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AÑO 2021\EJECUCION PRESUPUESTALES\VARIAS EJECUCIONES\EJECUCIONES PUBLICADAS VIGENCIA 2021\"/>
    </mc:Choice>
  </mc:AlternateContent>
  <xr:revisionPtr revIDLastSave="0" documentId="8_{6775EF43-D5DA-403F-874C-D40ACD93EF6F}" xr6:coauthVersionLast="36" xr6:coauthVersionMax="36" xr10:uidLastSave="{00000000-0000-0000-0000-000000000000}"/>
  <bookViews>
    <workbookView xWindow="0" yWindow="0" windowWidth="28800" windowHeight="12225" firstSheet="4" activeTab="10" xr2:uid="{F72B8B8F-1E32-41B6-B1B7-0CCFFC5041E2}"/>
  </bookViews>
  <sheets>
    <sheet name="ENERO" sheetId="1" r:id="rId1"/>
    <sheet name="FEBRERO" sheetId="3" r:id="rId2"/>
    <sheet name="MARZO " sheetId="4" r:id="rId3"/>
    <sheet name="ABRIL" sheetId="5" r:id="rId4"/>
    <sheet name="MAYO" sheetId="6" r:id="rId5"/>
    <sheet name="JUNIO" sheetId="7" r:id="rId6"/>
    <sheet name="JULIO" sheetId="8" r:id="rId7"/>
    <sheet name="AGOSTO" sheetId="9" r:id="rId8"/>
    <sheet name="SEPTIEMBRE" sheetId="10" r:id="rId9"/>
    <sheet name="OCTUBRE" sheetId="11" r:id="rId10"/>
    <sheet name="NOVIEMBRE" sheetId="12" r:id="rId11"/>
  </sheets>
  <externalReferences>
    <externalReference r:id="rId12"/>
  </externalReferences>
  <definedNames>
    <definedName name="_xlnm._FilterDatabase" localSheetId="3" hidden="1">ABRIL!$A$9:$AX$9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X1226" i="12" l="1"/>
  <c r="AV1226" i="12"/>
  <c r="AU1226" i="12"/>
  <c r="AT1226" i="12"/>
  <c r="AW1226" i="12" s="1"/>
  <c r="AO855" i="12"/>
  <c r="AO856" i="12"/>
  <c r="AL1176" i="12"/>
  <c r="AL1174" i="12"/>
  <c r="AL1170" i="12"/>
  <c r="AL1162" i="12"/>
  <c r="AL1113" i="12"/>
  <c r="AL1120" i="12"/>
  <c r="AL1138" i="12"/>
  <c r="AL1032" i="12"/>
  <c r="AL1098" i="12"/>
  <c r="AL1094" i="12"/>
  <c r="AL1093" i="12"/>
  <c r="AL1092" i="12"/>
  <c r="AL1087" i="12"/>
  <c r="AL1046" i="12"/>
  <c r="AL1034" i="12"/>
  <c r="AL1027" i="12"/>
  <c r="AL1026" i="12"/>
  <c r="AL1025" i="12"/>
  <c r="AL1024" i="12"/>
  <c r="AL1023" i="12"/>
  <c r="AL1016" i="12"/>
  <c r="AL1015" i="12"/>
  <c r="AL1013" i="12"/>
  <c r="AL1011" i="12"/>
  <c r="AL1008" i="12"/>
  <c r="AL1005" i="12"/>
  <c r="AL999" i="12"/>
  <c r="AL998" i="12"/>
  <c r="AL997" i="12"/>
  <c r="AL996" i="12"/>
  <c r="AL985" i="12"/>
  <c r="AL984" i="12"/>
  <c r="AL964" i="12"/>
  <c r="AL956" i="12"/>
  <c r="AL951" i="12"/>
  <c r="AL947" i="12"/>
  <c r="AL931" i="12"/>
  <c r="AL930" i="12"/>
  <c r="AL924" i="12"/>
  <c r="AL920" i="12"/>
  <c r="AL919" i="12"/>
  <c r="AL915" i="12"/>
  <c r="AL914" i="12"/>
  <c r="AL913" i="12"/>
  <c r="AL905" i="12"/>
  <c r="AL903" i="12"/>
  <c r="AL901" i="12"/>
  <c r="AL899" i="12"/>
  <c r="AL883" i="12"/>
  <c r="AL877" i="12"/>
  <c r="AL873" i="12"/>
  <c r="AL856" i="12"/>
  <c r="AL855" i="12"/>
  <c r="AL853" i="12"/>
  <c r="AL851" i="12"/>
  <c r="AL849" i="12"/>
  <c r="AL848" i="12"/>
  <c r="AL846" i="12"/>
  <c r="AL845" i="12"/>
  <c r="AL843" i="12"/>
  <c r="AL842" i="12"/>
  <c r="AL837" i="12"/>
  <c r="AL836" i="12"/>
  <c r="AL834" i="12"/>
  <c r="AL833" i="12"/>
  <c r="AL832" i="12"/>
  <c r="AL829" i="12"/>
  <c r="AL828" i="12"/>
  <c r="AL827" i="12"/>
  <c r="AL826" i="12"/>
  <c r="AL825" i="12"/>
  <c r="AL824" i="12"/>
  <c r="AL822" i="12"/>
  <c r="AL821" i="12"/>
  <c r="AL819" i="12"/>
  <c r="AL818" i="12"/>
  <c r="AL817" i="12"/>
  <c r="AL816" i="12"/>
  <c r="AL815" i="12"/>
  <c r="AL813" i="12"/>
  <c r="AL811" i="12"/>
  <c r="AL809" i="12"/>
  <c r="AL807" i="12"/>
  <c r="AL805" i="12"/>
  <c r="AL804" i="12"/>
  <c r="AL802" i="12"/>
  <c r="AL799" i="12"/>
  <c r="AL796" i="12"/>
  <c r="AL793" i="12"/>
  <c r="AL791" i="12"/>
  <c r="AL790" i="12"/>
  <c r="AL788" i="12"/>
  <c r="AL787" i="12"/>
  <c r="AL786" i="12"/>
  <c r="AL785" i="12"/>
  <c r="AL784" i="12"/>
  <c r="AL783" i="12"/>
  <c r="AL779" i="12"/>
  <c r="AL778" i="12"/>
  <c r="AL776" i="12"/>
  <c r="AL774" i="12"/>
  <c r="AL769" i="12"/>
  <c r="AL767" i="12"/>
  <c r="AL763" i="12"/>
  <c r="AL759" i="12"/>
  <c r="AL695" i="12"/>
  <c r="AL694" i="12"/>
  <c r="AL693" i="12"/>
  <c r="AL692" i="12"/>
  <c r="AL691" i="12"/>
  <c r="AL680" i="12"/>
  <c r="AL651" i="12"/>
  <c r="AL650" i="12"/>
  <c r="AL649" i="12"/>
  <c r="AL648" i="12"/>
  <c r="AL647" i="12"/>
  <c r="AL646" i="12"/>
  <c r="AL639" i="12"/>
  <c r="AL627" i="12"/>
  <c r="AL620" i="12"/>
  <c r="AL619" i="12"/>
  <c r="AL607" i="12"/>
  <c r="AL604" i="12"/>
  <c r="AL603" i="12"/>
  <c r="AL601" i="12"/>
  <c r="AL599" i="12"/>
  <c r="AL597" i="12"/>
  <c r="AL592" i="12"/>
  <c r="AL589" i="12"/>
  <c r="AL588" i="12"/>
  <c r="AL587" i="12"/>
  <c r="AL585" i="12"/>
  <c r="AL584" i="12"/>
  <c r="AL583" i="12"/>
  <c r="AL582" i="12"/>
  <c r="AL573" i="12"/>
  <c r="AL572" i="12"/>
  <c r="AL568" i="12"/>
  <c r="AL567" i="12"/>
  <c r="AL566" i="12"/>
  <c r="AL564" i="12"/>
  <c r="AL563" i="12"/>
  <c r="AL562" i="12"/>
  <c r="AL558" i="12"/>
  <c r="AL554" i="12"/>
  <c r="AL553" i="12"/>
  <c r="AL411" i="12" l="1"/>
  <c r="AL410" i="12"/>
  <c r="AL406" i="12"/>
  <c r="AL398" i="12"/>
  <c r="AL396" i="12"/>
  <c r="AL391" i="12"/>
  <c r="AL389" i="12"/>
  <c r="AL387" i="12"/>
  <c r="AL385" i="12"/>
  <c r="AL382" i="12"/>
  <c r="AL380" i="12"/>
  <c r="AL378" i="12"/>
  <c r="AL376" i="12"/>
  <c r="AL372" i="12"/>
  <c r="AL370" i="12"/>
  <c r="AL366" i="12"/>
  <c r="AL365" i="12"/>
  <c r="AL364" i="12"/>
  <c r="AL363" i="12"/>
  <c r="AL362" i="12"/>
  <c r="AL361" i="12"/>
  <c r="AL360" i="12"/>
  <c r="AL353" i="12"/>
  <c r="AL351" i="12"/>
  <c r="AL347" i="12"/>
  <c r="AL345" i="12"/>
  <c r="AL343" i="12"/>
  <c r="AL341" i="12"/>
  <c r="AL338" i="12"/>
  <c r="AL336" i="12"/>
  <c r="AL334" i="12"/>
  <c r="AL332" i="12"/>
  <c r="AL329" i="12"/>
  <c r="AL327" i="12"/>
  <c r="AL324" i="12"/>
  <c r="AL322" i="12"/>
  <c r="AL320" i="12"/>
  <c r="AL318" i="12"/>
  <c r="AL316" i="12"/>
  <c r="AL314" i="12"/>
  <c r="AL313" i="12"/>
  <c r="AL312" i="12"/>
  <c r="AL303" i="12"/>
  <c r="AL301" i="12"/>
  <c r="AL297" i="12"/>
  <c r="AL293" i="12"/>
  <c r="AL291" i="12"/>
  <c r="AL289" i="12"/>
  <c r="AL287" i="12"/>
  <c r="AL285" i="12"/>
  <c r="AL283" i="12"/>
  <c r="AL281" i="12"/>
  <c r="AL279" i="12"/>
  <c r="AL277" i="12"/>
  <c r="AL274" i="12"/>
  <c r="AL272" i="12"/>
  <c r="AL267" i="12"/>
  <c r="AL269" i="12"/>
  <c r="AL264" i="12"/>
  <c r="AL263" i="12"/>
  <c r="AL208" i="12"/>
  <c r="AL205" i="12"/>
  <c r="AL201" i="12"/>
  <c r="AL247" i="12"/>
  <c r="AL241" i="12"/>
  <c r="AL238" i="12"/>
  <c r="AL230" i="12"/>
  <c r="AL228" i="12"/>
  <c r="AL226" i="12"/>
  <c r="AL225" i="12"/>
  <c r="AL222" i="12"/>
  <c r="AL220" i="12"/>
  <c r="AL218" i="12"/>
  <c r="AL217" i="12"/>
  <c r="AL213" i="12"/>
  <c r="AL100" i="12"/>
  <c r="AL99" i="12"/>
  <c r="AL98" i="12"/>
  <c r="AL97" i="12"/>
  <c r="AL96" i="12"/>
  <c r="AL95" i="12"/>
  <c r="AL91" i="12"/>
  <c r="AL90" i="12"/>
  <c r="AL89" i="12"/>
  <c r="AL69" i="12"/>
  <c r="AL68" i="12"/>
  <c r="AL66" i="12"/>
  <c r="AL65" i="12"/>
  <c r="AL63" i="12"/>
  <c r="AL62" i="12"/>
  <c r="AL60" i="12"/>
  <c r="AL59" i="12"/>
  <c r="AL57" i="12"/>
  <c r="AL56" i="12"/>
  <c r="AL54" i="12"/>
  <c r="AL53" i="12"/>
  <c r="AL51" i="12"/>
  <c r="AL50" i="12"/>
  <c r="AL48" i="12"/>
  <c r="AL47" i="12"/>
  <c r="AL45" i="12"/>
  <c r="AL44" i="12"/>
  <c r="AL36" i="12"/>
  <c r="AL35" i="12"/>
  <c r="AL33" i="12"/>
  <c r="AL29" i="12"/>
  <c r="AL28" i="12"/>
  <c r="AL25" i="12"/>
  <c r="AL23" i="12"/>
  <c r="AL20" i="12"/>
  <c r="AL19" i="12"/>
  <c r="AL18" i="12"/>
  <c r="AX761" i="12" l="1"/>
  <c r="AV761" i="12"/>
  <c r="AU761" i="12"/>
  <c r="AT761" i="12"/>
  <c r="AW761" i="12" s="1"/>
  <c r="AX573" i="12"/>
  <c r="AV573" i="12"/>
  <c r="AU573" i="12"/>
  <c r="AT573" i="12"/>
  <c r="AW573" i="12" s="1"/>
  <c r="AG567" i="12"/>
  <c r="AG566" i="12"/>
  <c r="AX683" i="12"/>
  <c r="AV683" i="12"/>
  <c r="AU683" i="12"/>
  <c r="AT683" i="12"/>
  <c r="AW683" i="12" s="1"/>
  <c r="AV642" i="12"/>
  <c r="AT642" i="12"/>
  <c r="AW642" i="12" s="1"/>
  <c r="AX637" i="12"/>
  <c r="AV637" i="12"/>
  <c r="AU637" i="12"/>
  <c r="AT637" i="12"/>
  <c r="AW637" i="12" s="1"/>
  <c r="AX633" i="12"/>
  <c r="AV633" i="12"/>
  <c r="AU633" i="12"/>
  <c r="AT633" i="12"/>
  <c r="AW633" i="12" s="1"/>
  <c r="AX602" i="12"/>
  <c r="AW602" i="12"/>
  <c r="AV602" i="12"/>
  <c r="AU602" i="12"/>
  <c r="AT602" i="12"/>
  <c r="AG659" i="12"/>
  <c r="AV551" i="12"/>
  <c r="AT551" i="12"/>
  <c r="AW551" i="12" s="1"/>
  <c r="AV420" i="12"/>
  <c r="AU420" i="12"/>
  <c r="AT420" i="12"/>
  <c r="AW420" i="12" s="1"/>
  <c r="AG500" i="12"/>
  <c r="AI272" i="12"/>
  <c r="AJ272" i="12" s="1"/>
  <c r="AT117" i="12"/>
  <c r="AW117" i="12" s="1"/>
  <c r="AX117" i="12"/>
  <c r="AV117" i="12"/>
  <c r="AU117" i="12"/>
  <c r="AI117" i="12"/>
  <c r="AJ117" i="12" s="1"/>
  <c r="AI68" i="12"/>
  <c r="AJ68" i="12" s="1"/>
  <c r="AI65" i="12"/>
  <c r="AJ65" i="12" s="1"/>
  <c r="AV1129" i="12"/>
  <c r="AT1129" i="12"/>
  <c r="AW1129" i="12" s="1"/>
  <c r="AV1455" i="12"/>
  <c r="AT1455" i="12"/>
  <c r="AW1455" i="12" s="1"/>
  <c r="AV1231" i="12"/>
  <c r="AT1231" i="12"/>
  <c r="AW1231" i="12" s="1"/>
  <c r="AS104" i="12"/>
  <c r="AR104" i="12"/>
  <c r="AQ104" i="12"/>
  <c r="AP104" i="12"/>
  <c r="AO104" i="12"/>
  <c r="AN104" i="12"/>
  <c r="AM104" i="12"/>
  <c r="AL104" i="12"/>
  <c r="AK104" i="12"/>
  <c r="AH104" i="12"/>
  <c r="AF104" i="12"/>
  <c r="AE104" i="12"/>
  <c r="AD104" i="12"/>
  <c r="AI551" i="12"/>
  <c r="AJ551" i="12" s="1"/>
  <c r="AX551" i="12" s="1"/>
  <c r="AI642" i="12"/>
  <c r="AJ642" i="12" s="1"/>
  <c r="AU642" i="12" s="1"/>
  <c r="AI633" i="12"/>
  <c r="AJ633" i="12" s="1"/>
  <c r="AI637" i="12"/>
  <c r="AJ637" i="12" s="1"/>
  <c r="AI1455" i="12"/>
  <c r="AJ1455" i="12" s="1"/>
  <c r="AX1455" i="12" s="1"/>
  <c r="AI1231" i="12"/>
  <c r="AJ1231" i="12" s="1"/>
  <c r="AU1231" i="12" s="1"/>
  <c r="AI1226" i="12"/>
  <c r="AJ1226" i="12" s="1"/>
  <c r="AI420" i="12"/>
  <c r="AJ420" i="12" s="1"/>
  <c r="AX420" i="12" s="1"/>
  <c r="AG112" i="12"/>
  <c r="AG154" i="12"/>
  <c r="AG100" i="12"/>
  <c r="AG96" i="12"/>
  <c r="AG91" i="12"/>
  <c r="AH636" i="12"/>
  <c r="AH570" i="12"/>
  <c r="AH502" i="12"/>
  <c r="AH464" i="12"/>
  <c r="AH128" i="12"/>
  <c r="AH56" i="12"/>
  <c r="AH53" i="12"/>
  <c r="AH47" i="12"/>
  <c r="AH44" i="12"/>
  <c r="AH37" i="12"/>
  <c r="AV1269" i="12"/>
  <c r="AT1269" i="12"/>
  <c r="AW1269" i="12" s="1"/>
  <c r="AV1268" i="12"/>
  <c r="AT1268" i="12"/>
  <c r="AW1268" i="12" s="1"/>
  <c r="AV1311" i="12"/>
  <c r="AT1311" i="12"/>
  <c r="AW1311" i="12" s="1"/>
  <c r="AV1309" i="12"/>
  <c r="AT1309" i="12"/>
  <c r="AW1309" i="12" s="1"/>
  <c r="AV1307" i="12"/>
  <c r="AT1307" i="12"/>
  <c r="AW1307" i="12" s="1"/>
  <c r="AU1455" i="12" l="1"/>
  <c r="AU551" i="12"/>
  <c r="AX1231" i="12"/>
  <c r="AV1331" i="12"/>
  <c r="AT1331" i="12"/>
  <c r="AW1331" i="12" s="1"/>
  <c r="AV1369" i="12"/>
  <c r="AT1369" i="12"/>
  <c r="AW1369" i="12" s="1"/>
  <c r="AG116" i="12" l="1"/>
  <c r="AG104" i="12" s="1"/>
  <c r="AE1372" i="12"/>
  <c r="AI1362" i="12" l="1"/>
  <c r="AJ1362" i="12" s="1"/>
  <c r="AE1394" i="12"/>
  <c r="AI1129" i="12" l="1"/>
  <c r="AJ1129" i="12" s="1"/>
  <c r="AI761" i="12"/>
  <c r="AJ761" i="12" s="1"/>
  <c r="AI573" i="12"/>
  <c r="AJ573" i="12" s="1"/>
  <c r="AI602" i="12"/>
  <c r="AJ602" i="12" s="1"/>
  <c r="AI527" i="12"/>
  <c r="AJ527" i="12" s="1"/>
  <c r="AI114" i="12"/>
  <c r="AJ114" i="12" s="1"/>
  <c r="AI110" i="12"/>
  <c r="AJ110" i="12" s="1"/>
  <c r="AI109" i="12"/>
  <c r="AJ109" i="12" s="1"/>
  <c r="AS1336" i="12"/>
  <c r="AR1336" i="12"/>
  <c r="AQ1336" i="12"/>
  <c r="AP1336" i="12"/>
  <c r="AO1336" i="12"/>
  <c r="AN1336" i="12"/>
  <c r="AM1336" i="12"/>
  <c r="AL1336" i="12"/>
  <c r="AK1336" i="12"/>
  <c r="AH1336" i="12"/>
  <c r="AG1336" i="12"/>
  <c r="AF1336" i="12"/>
  <c r="AE1336" i="12"/>
  <c r="AD1336" i="12"/>
  <c r="AG1372" i="12"/>
  <c r="AI366" i="12"/>
  <c r="AJ366" i="12" s="1"/>
  <c r="AI362" i="12"/>
  <c r="AJ362" i="12" s="1"/>
  <c r="AG351" i="12"/>
  <c r="AG336" i="12"/>
  <c r="AG316" i="12"/>
  <c r="AI301" i="12"/>
  <c r="AJ301" i="12" s="1"/>
  <c r="AG209" i="12"/>
  <c r="AD1372" i="12"/>
  <c r="AI1369" i="12"/>
  <c r="AJ1369" i="12" s="1"/>
  <c r="AI1269" i="12"/>
  <c r="AJ1269" i="12" s="1"/>
  <c r="AI1268" i="12"/>
  <c r="AJ1268" i="12" s="1"/>
  <c r="AI1331" i="12"/>
  <c r="AJ1331" i="12" s="1"/>
  <c r="AI1311" i="12"/>
  <c r="AJ1311" i="12" s="1"/>
  <c r="AI1309" i="12"/>
  <c r="AJ1309" i="12" s="1"/>
  <c r="AI1307" i="12"/>
  <c r="AJ1307" i="12" s="1"/>
  <c r="AU1129" i="12" l="1"/>
  <c r="AX1129" i="12"/>
  <c r="AX1311" i="12"/>
  <c r="AU1311" i="12"/>
  <c r="AU1369" i="12"/>
  <c r="AX1369" i="12"/>
  <c r="AX1307" i="12"/>
  <c r="AU1307" i="12"/>
  <c r="AX1331" i="12"/>
  <c r="AU1331" i="12"/>
  <c r="AU1309" i="12"/>
  <c r="AX1309" i="12"/>
  <c r="AX1268" i="12"/>
  <c r="AU1268" i="12"/>
  <c r="AX1269" i="12"/>
  <c r="AU1269" i="12"/>
  <c r="AH360" i="12"/>
  <c r="AH312" i="12"/>
  <c r="AI303" i="12"/>
  <c r="AJ303" i="12" s="1"/>
  <c r="AI220" i="12"/>
  <c r="AI683" i="12"/>
  <c r="AJ683" i="12" s="1"/>
  <c r="AS1474" i="12" l="1"/>
  <c r="AQ1474" i="12"/>
  <c r="AP1474" i="12"/>
  <c r="AO1474" i="12"/>
  <c r="AN1474" i="12"/>
  <c r="AM1474" i="12"/>
  <c r="AK1474" i="12"/>
  <c r="AH1474" i="12"/>
  <c r="AF1474" i="12"/>
  <c r="AD1474" i="12"/>
  <c r="AV1472" i="12"/>
  <c r="AT1472" i="12"/>
  <c r="AW1472" i="12" s="1"/>
  <c r="AI1472" i="12"/>
  <c r="AJ1472" i="12" s="1"/>
  <c r="AV1471" i="12"/>
  <c r="AT1471" i="12"/>
  <c r="AW1471" i="12" s="1"/>
  <c r="AI1471" i="12"/>
  <c r="AJ1471" i="12" s="1"/>
  <c r="AV1468" i="12"/>
  <c r="AT1468" i="12"/>
  <c r="AW1468" i="12" s="1"/>
  <c r="AI1468" i="12"/>
  <c r="AJ1468" i="12" s="1"/>
  <c r="AU1468" i="12" s="1"/>
  <c r="AV1466" i="12"/>
  <c r="AT1466" i="12"/>
  <c r="AW1466" i="12" s="1"/>
  <c r="AI1466" i="12"/>
  <c r="AJ1466" i="12" s="1"/>
  <c r="AV1465" i="12"/>
  <c r="AT1465" i="12"/>
  <c r="AW1465" i="12" s="1"/>
  <c r="AI1465" i="12"/>
  <c r="AJ1465" i="12" s="1"/>
  <c r="AV1464" i="12"/>
  <c r="AT1464" i="12"/>
  <c r="AW1464" i="12" s="1"/>
  <c r="AI1464" i="12"/>
  <c r="AJ1464" i="12" s="1"/>
  <c r="AV1462" i="12"/>
  <c r="AT1462" i="12"/>
  <c r="AW1462" i="12" s="1"/>
  <c r="AI1462" i="12"/>
  <c r="AJ1462" i="12" s="1"/>
  <c r="AV1457" i="12"/>
  <c r="AT1457" i="12"/>
  <c r="AW1457" i="12" s="1"/>
  <c r="AI1457" i="12"/>
  <c r="AJ1457" i="12" s="1"/>
  <c r="AU1457" i="12" s="1"/>
  <c r="AV1453" i="12"/>
  <c r="AT1453" i="12"/>
  <c r="AW1453" i="12" s="1"/>
  <c r="AG1453" i="12"/>
  <c r="AG1474" i="12" s="1"/>
  <c r="AV1451" i="12"/>
  <c r="AT1451" i="12"/>
  <c r="AW1451" i="12" s="1"/>
  <c r="AI1451" i="12"/>
  <c r="AJ1451" i="12" s="1"/>
  <c r="AV1449" i="12"/>
  <c r="AT1449" i="12"/>
  <c r="AW1449" i="12" s="1"/>
  <c r="AI1449" i="12"/>
  <c r="AJ1449" i="12" s="1"/>
  <c r="AU1449" i="12" s="1"/>
  <c r="AV1447" i="12"/>
  <c r="AT1447" i="12"/>
  <c r="AW1447" i="12" s="1"/>
  <c r="AI1447" i="12"/>
  <c r="AJ1447" i="12" s="1"/>
  <c r="AX1447" i="12" s="1"/>
  <c r="AV1446" i="12"/>
  <c r="AT1446" i="12"/>
  <c r="AW1446" i="12" s="1"/>
  <c r="AI1446" i="12"/>
  <c r="AJ1446" i="12" s="1"/>
  <c r="AV1445" i="12"/>
  <c r="AT1445" i="12"/>
  <c r="AW1445" i="12" s="1"/>
  <c r="AI1445" i="12"/>
  <c r="AJ1445" i="12" s="1"/>
  <c r="AV1443" i="12"/>
  <c r="AT1443" i="12"/>
  <c r="AW1443" i="12" s="1"/>
  <c r="AI1443" i="12"/>
  <c r="AJ1443" i="12" s="1"/>
  <c r="AX1443" i="12" s="1"/>
  <c r="AV1442" i="12"/>
  <c r="AT1442" i="12"/>
  <c r="AW1442" i="12" s="1"/>
  <c r="AI1442" i="12"/>
  <c r="AJ1442" i="12" s="1"/>
  <c r="AU1442" i="12" s="1"/>
  <c r="AV1439" i="12"/>
  <c r="AT1439" i="12"/>
  <c r="AW1439" i="12" s="1"/>
  <c r="AI1439" i="12"/>
  <c r="AJ1439" i="12" s="1"/>
  <c r="AV1438" i="12"/>
  <c r="AT1438" i="12"/>
  <c r="AW1438" i="12" s="1"/>
  <c r="AI1438" i="12"/>
  <c r="AJ1438" i="12" s="1"/>
  <c r="AV1437" i="12"/>
  <c r="AT1437" i="12"/>
  <c r="AW1437" i="12" s="1"/>
  <c r="AI1437" i="12"/>
  <c r="AJ1437" i="12" s="1"/>
  <c r="AU1437" i="12" s="1"/>
  <c r="AV1436" i="12"/>
  <c r="AT1436" i="12"/>
  <c r="AW1436" i="12" s="1"/>
  <c r="AI1436" i="12"/>
  <c r="AJ1436" i="12" s="1"/>
  <c r="AV1433" i="12"/>
  <c r="AT1433" i="12"/>
  <c r="AW1433" i="12" s="1"/>
  <c r="AI1433" i="12"/>
  <c r="AJ1433" i="12" s="1"/>
  <c r="AU1433" i="12" s="1"/>
  <c r="AV1432" i="12"/>
  <c r="AT1432" i="12"/>
  <c r="AW1432" i="12" s="1"/>
  <c r="AI1432" i="12"/>
  <c r="AJ1432" i="12" s="1"/>
  <c r="AV1431" i="12"/>
  <c r="AT1431" i="12"/>
  <c r="AW1431" i="12" s="1"/>
  <c r="AI1431" i="12"/>
  <c r="AJ1431" i="12" s="1"/>
  <c r="AU1431" i="12" s="1"/>
  <c r="AV1430" i="12"/>
  <c r="AT1430" i="12"/>
  <c r="AW1430" i="12" s="1"/>
  <c r="AI1430" i="12"/>
  <c r="AJ1430" i="12" s="1"/>
  <c r="AV1427" i="12"/>
  <c r="AT1427" i="12"/>
  <c r="AW1427" i="12" s="1"/>
  <c r="AI1427" i="12"/>
  <c r="AJ1427" i="12" s="1"/>
  <c r="AX1427" i="12" s="1"/>
  <c r="AV1426" i="12"/>
  <c r="AT1426" i="12"/>
  <c r="AW1426" i="12" s="1"/>
  <c r="AI1426" i="12"/>
  <c r="AJ1426" i="12" s="1"/>
  <c r="AV1423" i="12"/>
  <c r="AT1423" i="12"/>
  <c r="AW1423" i="12" s="1"/>
  <c r="AI1423" i="12"/>
  <c r="AJ1423" i="12" s="1"/>
  <c r="AX1423" i="12" s="1"/>
  <c r="AV1422" i="12"/>
  <c r="AT1422" i="12"/>
  <c r="AW1422" i="12" s="1"/>
  <c r="AI1422" i="12"/>
  <c r="AJ1422" i="12" s="1"/>
  <c r="AV1421" i="12"/>
  <c r="AT1421" i="12"/>
  <c r="AW1421" i="12" s="1"/>
  <c r="AI1421" i="12"/>
  <c r="AJ1421" i="12" s="1"/>
  <c r="AV1420" i="12"/>
  <c r="AT1420" i="12"/>
  <c r="AW1420" i="12" s="1"/>
  <c r="AI1420" i="12"/>
  <c r="AJ1420" i="12" s="1"/>
  <c r="AV1419" i="12"/>
  <c r="AT1419" i="12"/>
  <c r="AW1419" i="12" s="1"/>
  <c r="AI1419" i="12"/>
  <c r="AJ1419" i="12" s="1"/>
  <c r="AV1418" i="12"/>
  <c r="AT1418" i="12"/>
  <c r="AW1418" i="12" s="1"/>
  <c r="AI1418" i="12"/>
  <c r="AJ1418" i="12" s="1"/>
  <c r="AV1415" i="12"/>
  <c r="AT1415" i="12"/>
  <c r="AW1415" i="12" s="1"/>
  <c r="AI1415" i="12"/>
  <c r="AJ1415" i="12" s="1"/>
  <c r="AU1415" i="12" s="1"/>
  <c r="AV1414" i="12"/>
  <c r="AT1414" i="12"/>
  <c r="AW1414" i="12" s="1"/>
  <c r="AI1414" i="12"/>
  <c r="AJ1414" i="12" s="1"/>
  <c r="AX1412" i="12"/>
  <c r="AV1412" i="12"/>
  <c r="AT1412" i="12"/>
  <c r="AW1412" i="12" s="1"/>
  <c r="AI1412" i="12"/>
  <c r="AJ1412" i="12" s="1"/>
  <c r="AU1412" i="12" s="1"/>
  <c r="AV1411" i="12"/>
  <c r="AT1411" i="12"/>
  <c r="AW1411" i="12" s="1"/>
  <c r="AI1411" i="12"/>
  <c r="AJ1411" i="12" s="1"/>
  <c r="AV1408" i="12"/>
  <c r="AT1408" i="12"/>
  <c r="AW1408" i="12" s="1"/>
  <c r="AI1408" i="12"/>
  <c r="AJ1408" i="12" s="1"/>
  <c r="AV1407" i="12"/>
  <c r="AT1407" i="12"/>
  <c r="AW1407" i="12" s="1"/>
  <c r="AE1407" i="12"/>
  <c r="AI1407" i="12" s="1"/>
  <c r="AJ1407" i="12" s="1"/>
  <c r="AV1406" i="12"/>
  <c r="AT1406" i="12"/>
  <c r="AW1406" i="12" s="1"/>
  <c r="AI1406" i="12"/>
  <c r="AJ1406" i="12" s="1"/>
  <c r="AU1406" i="12" s="1"/>
  <c r="AV1405" i="12"/>
  <c r="AT1405" i="12"/>
  <c r="AW1405" i="12" s="1"/>
  <c r="AI1405" i="12"/>
  <c r="AJ1405" i="12" s="1"/>
  <c r="AV1402" i="12"/>
  <c r="AT1402" i="12"/>
  <c r="AW1402" i="12" s="1"/>
  <c r="AE1402" i="12"/>
  <c r="AI1402" i="12" s="1"/>
  <c r="AJ1402" i="12" s="1"/>
  <c r="AU1402" i="12" s="1"/>
  <c r="AV1401" i="12"/>
  <c r="AT1401" i="12"/>
  <c r="AW1401" i="12" s="1"/>
  <c r="AI1401" i="12"/>
  <c r="AJ1401" i="12" s="1"/>
  <c r="AU1401" i="12" s="1"/>
  <c r="AV1400" i="12"/>
  <c r="AT1400" i="12"/>
  <c r="AW1400" i="12" s="1"/>
  <c r="AI1400" i="12"/>
  <c r="AJ1400" i="12" s="1"/>
  <c r="AV1399" i="12"/>
  <c r="AT1399" i="12"/>
  <c r="AW1399" i="12" s="1"/>
  <c r="AI1399" i="12"/>
  <c r="AJ1399" i="12" s="1"/>
  <c r="AL1398" i="12"/>
  <c r="AL1474" i="12" s="1"/>
  <c r="AV1395" i="12"/>
  <c r="AT1395" i="12"/>
  <c r="AW1395" i="12" s="1"/>
  <c r="AR1395" i="12"/>
  <c r="AI1395" i="12"/>
  <c r="AJ1395" i="12" s="1"/>
  <c r="AV1394" i="12"/>
  <c r="AT1394" i="12"/>
  <c r="AW1394" i="12" s="1"/>
  <c r="AI1394" i="12"/>
  <c r="AJ1394" i="12" s="1"/>
  <c r="AV1393" i="12"/>
  <c r="AT1393" i="12"/>
  <c r="AW1393" i="12" s="1"/>
  <c r="AI1393" i="12"/>
  <c r="AJ1393" i="12" s="1"/>
  <c r="AU1393" i="12" s="1"/>
  <c r="AW1392" i="12"/>
  <c r="AV1392" i="12"/>
  <c r="AT1392" i="12"/>
  <c r="AI1392" i="12"/>
  <c r="AJ1392" i="12" s="1"/>
  <c r="AV1391" i="12"/>
  <c r="AT1391" i="12"/>
  <c r="AW1391" i="12" s="1"/>
  <c r="AI1391" i="12"/>
  <c r="AJ1391" i="12" s="1"/>
  <c r="AU1391" i="12" s="1"/>
  <c r="AV1390" i="12"/>
  <c r="AT1390" i="12"/>
  <c r="AW1390" i="12" s="1"/>
  <c r="AI1390" i="12"/>
  <c r="AJ1390" i="12" s="1"/>
  <c r="AV1387" i="12"/>
  <c r="AT1387" i="12"/>
  <c r="AW1387" i="12" s="1"/>
  <c r="AI1387" i="12"/>
  <c r="AJ1387" i="12" s="1"/>
  <c r="AU1387" i="12" s="1"/>
  <c r="AV1386" i="12"/>
  <c r="AT1386" i="12"/>
  <c r="AW1386" i="12" s="1"/>
  <c r="AI1386" i="12"/>
  <c r="AJ1386" i="12" s="1"/>
  <c r="AV1383" i="12"/>
  <c r="AT1383" i="12"/>
  <c r="AW1383" i="12" s="1"/>
  <c r="AI1383" i="12"/>
  <c r="AJ1383" i="12" s="1"/>
  <c r="AV1382" i="12"/>
  <c r="AT1382" i="12"/>
  <c r="AI1382" i="12"/>
  <c r="AJ1382" i="12" s="1"/>
  <c r="AS1372" i="12"/>
  <c r="AR1372" i="12"/>
  <c r="AQ1372" i="12"/>
  <c r="AP1372" i="12"/>
  <c r="AO1372" i="12"/>
  <c r="AN1372" i="12"/>
  <c r="AM1372" i="12"/>
  <c r="AL1372" i="12"/>
  <c r="AK1372" i="12"/>
  <c r="AH1372" i="12"/>
  <c r="AF1372" i="12"/>
  <c r="AV1366" i="12"/>
  <c r="AT1366" i="12"/>
  <c r="AW1366" i="12" s="1"/>
  <c r="AI1366" i="12"/>
  <c r="AJ1366" i="12" s="1"/>
  <c r="AV1365" i="12"/>
  <c r="AT1365" i="12"/>
  <c r="AW1365" i="12" s="1"/>
  <c r="AI1365" i="12"/>
  <c r="AX1362" i="12"/>
  <c r="AV1362" i="12"/>
  <c r="AU1362" i="12"/>
  <c r="AT1362" i="12"/>
  <c r="AW1362" i="12" s="1"/>
  <c r="AS1353" i="12"/>
  <c r="AR1353" i="12"/>
  <c r="AQ1353" i="12"/>
  <c r="AP1353" i="12"/>
  <c r="AO1353" i="12"/>
  <c r="AN1353" i="12"/>
  <c r="AM1353" i="12"/>
  <c r="AK1353" i="12"/>
  <c r="AF1353" i="12"/>
  <c r="AE1353" i="12"/>
  <c r="AD1353" i="12"/>
  <c r="AW1351" i="12"/>
  <c r="AV1351" i="12"/>
  <c r="AI1351" i="12"/>
  <c r="AJ1351" i="12" s="1"/>
  <c r="AV1349" i="12"/>
  <c r="AT1349" i="12"/>
  <c r="AW1349" i="12" s="1"/>
  <c r="AI1349" i="12"/>
  <c r="AJ1349" i="12" s="1"/>
  <c r="AV1347" i="12"/>
  <c r="AT1347" i="12"/>
  <c r="AW1347" i="12" s="1"/>
  <c r="AG1347" i="12"/>
  <c r="AI1347" i="12" s="1"/>
  <c r="AJ1347" i="12" s="1"/>
  <c r="AV1345" i="12"/>
  <c r="AT1345" i="12"/>
  <c r="AH1345" i="12"/>
  <c r="AH1353" i="12" s="1"/>
  <c r="AG1345" i="12"/>
  <c r="AV1334" i="12"/>
  <c r="AT1334" i="12"/>
  <c r="AW1334" i="12" s="1"/>
  <c r="AI1334" i="12"/>
  <c r="AV1333" i="12"/>
  <c r="AT1333" i="12"/>
  <c r="AI1333" i="12"/>
  <c r="AQ1321" i="12"/>
  <c r="AP1321" i="12"/>
  <c r="AO1321" i="12"/>
  <c r="AN1321" i="12"/>
  <c r="AK1321" i="12"/>
  <c r="AH1321" i="12"/>
  <c r="AG1321" i="12"/>
  <c r="AF1321" i="12"/>
  <c r="AE1321" i="12"/>
  <c r="AD1321" i="12"/>
  <c r="AV1319" i="12"/>
  <c r="AT1319" i="12"/>
  <c r="AW1319" i="12" s="1"/>
  <c r="AI1319" i="12"/>
  <c r="AJ1319" i="12" s="1"/>
  <c r="AV1317" i="12"/>
  <c r="AT1317" i="12"/>
  <c r="AW1317" i="12" s="1"/>
  <c r="AI1317" i="12"/>
  <c r="AJ1317" i="12" s="1"/>
  <c r="AX1317" i="12" s="1"/>
  <c r="AW1315" i="12"/>
  <c r="AV1315" i="12"/>
  <c r="AT1315" i="12"/>
  <c r="AI1315" i="12"/>
  <c r="AJ1315" i="12" s="1"/>
  <c r="AV1313" i="12"/>
  <c r="AT1313" i="12"/>
  <c r="AW1313" i="12" s="1"/>
  <c r="AI1313" i="12"/>
  <c r="AJ1313" i="12" s="1"/>
  <c r="AV1305" i="12"/>
  <c r="AT1305" i="12"/>
  <c r="AW1305" i="12" s="1"/>
  <c r="AI1305" i="12"/>
  <c r="AJ1305" i="12" s="1"/>
  <c r="AV1303" i="12"/>
  <c r="AT1303" i="12"/>
  <c r="AW1303" i="12" s="1"/>
  <c r="AI1303" i="12"/>
  <c r="AJ1303" i="12" s="1"/>
  <c r="AV1301" i="12"/>
  <c r="AT1301" i="12"/>
  <c r="AW1301" i="12" s="1"/>
  <c r="AI1301" i="12"/>
  <c r="AJ1301" i="12" s="1"/>
  <c r="AV1300" i="12"/>
  <c r="AT1300" i="12"/>
  <c r="AW1300" i="12" s="1"/>
  <c r="AI1300" i="12"/>
  <c r="AJ1300" i="12" s="1"/>
  <c r="AV1299" i="12"/>
  <c r="AT1299" i="12"/>
  <c r="AW1299" i="12" s="1"/>
  <c r="AI1299" i="12"/>
  <c r="AJ1299" i="12" s="1"/>
  <c r="AX1299" i="12" s="1"/>
  <c r="AV1297" i="12"/>
  <c r="AT1297" i="12"/>
  <c r="AW1297" i="12" s="1"/>
  <c r="AI1297" i="12"/>
  <c r="AJ1297" i="12" s="1"/>
  <c r="AX1297" i="12" s="1"/>
  <c r="AV1296" i="12"/>
  <c r="AT1296" i="12"/>
  <c r="AW1296" i="12" s="1"/>
  <c r="AI1296" i="12"/>
  <c r="AJ1296" i="12" s="1"/>
  <c r="AV1295" i="12"/>
  <c r="AT1295" i="12"/>
  <c r="AW1295" i="12" s="1"/>
  <c r="AI1295" i="12"/>
  <c r="AJ1295" i="12" s="1"/>
  <c r="AV1294" i="12"/>
  <c r="AT1294" i="12"/>
  <c r="AW1294" i="12" s="1"/>
  <c r="AI1294" i="12"/>
  <c r="AJ1294" i="12" s="1"/>
  <c r="AU1294" i="12" s="1"/>
  <c r="AV1293" i="12"/>
  <c r="AT1293" i="12"/>
  <c r="AW1293" i="12" s="1"/>
  <c r="AI1293" i="12"/>
  <c r="AJ1293" i="12" s="1"/>
  <c r="AU1293" i="12" s="1"/>
  <c r="AV1292" i="12"/>
  <c r="AT1292" i="12"/>
  <c r="AW1292" i="12" s="1"/>
  <c r="AI1292" i="12"/>
  <c r="AJ1292" i="12" s="1"/>
  <c r="AV1290" i="12"/>
  <c r="AT1290" i="12"/>
  <c r="AW1290" i="12" s="1"/>
  <c r="AI1290" i="12"/>
  <c r="AJ1290" i="12" s="1"/>
  <c r="AV1289" i="12"/>
  <c r="AT1289" i="12"/>
  <c r="AW1289" i="12" s="1"/>
  <c r="AI1289" i="12"/>
  <c r="AJ1289" i="12" s="1"/>
  <c r="AX1289" i="12" s="1"/>
  <c r="AX1286" i="12"/>
  <c r="AV1286" i="12"/>
  <c r="AU1286" i="12"/>
  <c r="AT1286" i="12"/>
  <c r="AW1286" i="12" s="1"/>
  <c r="AX1285" i="12"/>
  <c r="AV1285" i="12"/>
  <c r="AU1285" i="12"/>
  <c r="AT1285" i="12"/>
  <c r="AW1285" i="12" s="1"/>
  <c r="AX1284" i="12"/>
  <c r="AV1284" i="12"/>
  <c r="AU1284" i="12"/>
  <c r="AT1284" i="12"/>
  <c r="AW1284" i="12" s="1"/>
  <c r="AR1321" i="12"/>
  <c r="AM1321" i="12"/>
  <c r="AL1321" i="12"/>
  <c r="AI1283" i="12"/>
  <c r="AJ1283" i="12" s="1"/>
  <c r="AX1282" i="12"/>
  <c r="AV1282" i="12"/>
  <c r="AU1282" i="12"/>
  <c r="AT1282" i="12"/>
  <c r="AW1282" i="12" s="1"/>
  <c r="AS1272" i="12"/>
  <c r="AR1272" i="12"/>
  <c r="AQ1272" i="12"/>
  <c r="AP1272" i="12"/>
  <c r="AO1272" i="12"/>
  <c r="AN1272" i="12"/>
  <c r="AK1272" i="12"/>
  <c r="AH1272" i="12"/>
  <c r="AG1272" i="12"/>
  <c r="AF1272" i="12"/>
  <c r="AE1272" i="12"/>
  <c r="AD1272" i="12"/>
  <c r="AV1270" i="12"/>
  <c r="AT1270" i="12"/>
  <c r="AW1270" i="12" s="1"/>
  <c r="AI1270" i="12"/>
  <c r="AJ1270" i="12" s="1"/>
  <c r="AV1266" i="12"/>
  <c r="AT1266" i="12"/>
  <c r="AW1266" i="12" s="1"/>
  <c r="AI1266" i="12"/>
  <c r="AJ1266" i="12" s="1"/>
  <c r="AV1265" i="12"/>
  <c r="AT1265" i="12"/>
  <c r="AW1265" i="12" s="1"/>
  <c r="AI1265" i="12"/>
  <c r="AJ1265" i="12" s="1"/>
  <c r="AV1264" i="12"/>
  <c r="AT1264" i="12"/>
  <c r="AW1264" i="12" s="1"/>
  <c r="AI1264" i="12"/>
  <c r="AJ1264" i="12" s="1"/>
  <c r="AX1264" i="12" s="1"/>
  <c r="AV1263" i="12"/>
  <c r="AT1263" i="12"/>
  <c r="AW1263" i="12" s="1"/>
  <c r="AI1263" i="12"/>
  <c r="AJ1263" i="12" s="1"/>
  <c r="AX1263" i="12" s="1"/>
  <c r="AV1262" i="12"/>
  <c r="AT1262" i="12"/>
  <c r="AW1262" i="12" s="1"/>
  <c r="AI1262" i="12"/>
  <c r="AJ1262" i="12" s="1"/>
  <c r="AV1261" i="12"/>
  <c r="AT1261" i="12"/>
  <c r="AW1261" i="12" s="1"/>
  <c r="AI1261" i="12"/>
  <c r="AJ1261" i="12" s="1"/>
  <c r="AT1260" i="12"/>
  <c r="AW1260" i="12" s="1"/>
  <c r="AV1260" i="12"/>
  <c r="AL1272" i="12"/>
  <c r="AI1260" i="12"/>
  <c r="AJ1260" i="12" s="1"/>
  <c r="AV1259" i="12"/>
  <c r="AT1259" i="12"/>
  <c r="AW1259" i="12" s="1"/>
  <c r="AI1259" i="12"/>
  <c r="AS1250" i="12"/>
  <c r="AR1250" i="12"/>
  <c r="AQ1250" i="12"/>
  <c r="AP1250" i="12"/>
  <c r="AO1250" i="12"/>
  <c r="AN1250" i="12"/>
  <c r="AM1250" i="12"/>
  <c r="AL1250" i="12"/>
  <c r="AK1250" i="12"/>
  <c r="AG1250" i="12"/>
  <c r="AF1250" i="12"/>
  <c r="AE1250" i="12"/>
  <c r="AD1250" i="12"/>
  <c r="AV1248" i="12"/>
  <c r="AT1248" i="12"/>
  <c r="AW1248" i="12" s="1"/>
  <c r="AI1248" i="12"/>
  <c r="AJ1248" i="12" s="1"/>
  <c r="AX1243" i="12"/>
  <c r="AV1243" i="12"/>
  <c r="AU1243" i="12"/>
  <c r="AT1243" i="12"/>
  <c r="AW1243" i="12" s="1"/>
  <c r="AX1242" i="12"/>
  <c r="AV1242" i="12"/>
  <c r="AU1242" i="12"/>
  <c r="AT1242" i="12"/>
  <c r="AW1242" i="12" s="1"/>
  <c r="AV1233" i="12"/>
  <c r="AT1233" i="12"/>
  <c r="AW1233" i="12" s="1"/>
  <c r="AI1233" i="12"/>
  <c r="AJ1233" i="12" s="1"/>
  <c r="AV1229" i="12"/>
  <c r="AT1229" i="12"/>
  <c r="AW1229" i="12" s="1"/>
  <c r="AI1229" i="12"/>
  <c r="AJ1229" i="12" s="1"/>
  <c r="AV1228" i="12"/>
  <c r="AT1228" i="12"/>
  <c r="AW1228" i="12" s="1"/>
  <c r="AI1228" i="12"/>
  <c r="AJ1228" i="12" s="1"/>
  <c r="AX1228" i="12" s="1"/>
  <c r="AV1224" i="12"/>
  <c r="AT1224" i="12"/>
  <c r="AW1224" i="12" s="1"/>
  <c r="AI1224" i="12"/>
  <c r="AJ1224" i="12" s="1"/>
  <c r="AX1224" i="12" s="1"/>
  <c r="AV1222" i="12"/>
  <c r="AT1222" i="12"/>
  <c r="AW1222" i="12" s="1"/>
  <c r="AI1222" i="12"/>
  <c r="AJ1222" i="12" s="1"/>
  <c r="AV1220" i="12"/>
  <c r="AT1220" i="12"/>
  <c r="AW1220" i="12" s="1"/>
  <c r="AI1220" i="12"/>
  <c r="AJ1220" i="12" s="1"/>
  <c r="AU1220" i="12" s="1"/>
  <c r="AW1218" i="12"/>
  <c r="AV1218" i="12"/>
  <c r="AI1218" i="12"/>
  <c r="AJ1218" i="12" s="1"/>
  <c r="AU1218" i="12" s="1"/>
  <c r="AV1216" i="12"/>
  <c r="AT1216" i="12"/>
  <c r="AW1216" i="12" s="1"/>
  <c r="AH1216" i="12"/>
  <c r="AH1250" i="12" s="1"/>
  <c r="AV1214" i="12"/>
  <c r="AT1214" i="12"/>
  <c r="AW1214" i="12" s="1"/>
  <c r="AI1214" i="12"/>
  <c r="AJ1214" i="12" s="1"/>
  <c r="AX1214" i="12" s="1"/>
  <c r="AV1213" i="12"/>
  <c r="AT1213" i="12"/>
  <c r="AW1213" i="12" s="1"/>
  <c r="AI1213" i="12"/>
  <c r="AJ1213" i="12" s="1"/>
  <c r="AX1213" i="12" s="1"/>
  <c r="AV1211" i="12"/>
  <c r="AT1211" i="12"/>
  <c r="AW1211" i="12" s="1"/>
  <c r="AI1211" i="12"/>
  <c r="AJ1211" i="12" s="1"/>
  <c r="AW1209" i="12"/>
  <c r="AV1209" i="12"/>
  <c r="AI1209" i="12"/>
  <c r="AJ1209" i="12" s="1"/>
  <c r="AX1209" i="12" s="1"/>
  <c r="AV1207" i="12"/>
  <c r="AT1207" i="12"/>
  <c r="AW1207" i="12" s="1"/>
  <c r="AI1207" i="12"/>
  <c r="AJ1207" i="12" s="1"/>
  <c r="AV1205" i="12"/>
  <c r="AT1205" i="12"/>
  <c r="AW1205" i="12" s="1"/>
  <c r="AI1205" i="12"/>
  <c r="AJ1205" i="12" s="1"/>
  <c r="AU1205" i="12" s="1"/>
  <c r="AV1203" i="12"/>
  <c r="AT1203" i="12"/>
  <c r="AW1203" i="12" s="1"/>
  <c r="AI1203" i="12"/>
  <c r="AJ1203" i="12" s="1"/>
  <c r="AX1203" i="12" s="1"/>
  <c r="AV1202" i="12"/>
  <c r="AT1202" i="12"/>
  <c r="AW1202" i="12" s="1"/>
  <c r="AI1202" i="12"/>
  <c r="AJ1202" i="12" s="1"/>
  <c r="AX1202" i="12" s="1"/>
  <c r="AV1201" i="12"/>
  <c r="AT1201" i="12"/>
  <c r="AW1201" i="12" s="1"/>
  <c r="AI1201" i="12"/>
  <c r="AJ1201" i="12" s="1"/>
  <c r="AV1198" i="12"/>
  <c r="AT1198" i="12"/>
  <c r="AW1198" i="12" s="1"/>
  <c r="AI1198" i="12"/>
  <c r="AJ1198" i="12" s="1"/>
  <c r="AS1190" i="12"/>
  <c r="AR1190" i="12"/>
  <c r="AQ1190" i="12"/>
  <c r="AP1190" i="12"/>
  <c r="AO1190" i="12"/>
  <c r="AN1190" i="12"/>
  <c r="AM1190" i="12"/>
  <c r="AK1190" i="12"/>
  <c r="AG1190" i="12"/>
  <c r="AF1190" i="12"/>
  <c r="AE1190" i="12"/>
  <c r="AD1190" i="12"/>
  <c r="AV1188" i="12"/>
  <c r="AT1188" i="12"/>
  <c r="AW1188" i="12" s="1"/>
  <c r="AI1188" i="12"/>
  <c r="AJ1188" i="12" s="1"/>
  <c r="AV1182" i="12"/>
  <c r="AT1182" i="12"/>
  <c r="AW1182" i="12" s="1"/>
  <c r="AI1182" i="12"/>
  <c r="AJ1182" i="12" s="1"/>
  <c r="AX1182" i="12" s="1"/>
  <c r="AV1181" i="12"/>
  <c r="AT1181" i="12"/>
  <c r="AW1181" i="12" s="1"/>
  <c r="AI1181" i="12"/>
  <c r="AJ1181" i="12" s="1"/>
  <c r="AX1181" i="12" s="1"/>
  <c r="AV1179" i="12"/>
  <c r="AT1179" i="12"/>
  <c r="AW1179" i="12" s="1"/>
  <c r="AI1179" i="12"/>
  <c r="AJ1179" i="12" s="1"/>
  <c r="AV1177" i="12"/>
  <c r="AT1177" i="12"/>
  <c r="AW1177" i="12" s="1"/>
  <c r="AI1177" i="12"/>
  <c r="AJ1177" i="12" s="1"/>
  <c r="AX1176" i="12"/>
  <c r="AV1176" i="12"/>
  <c r="AU1176" i="12"/>
  <c r="AT1176" i="12"/>
  <c r="AW1176" i="12" s="1"/>
  <c r="AX1174" i="12"/>
  <c r="AV1174" i="12"/>
  <c r="AU1174" i="12"/>
  <c r="AT1174" i="12"/>
  <c r="AW1174" i="12" s="1"/>
  <c r="AX1170" i="12"/>
  <c r="AV1170" i="12"/>
  <c r="AU1170" i="12"/>
  <c r="AT1170" i="12"/>
  <c r="AW1170" i="12" s="1"/>
  <c r="AL1190" i="12"/>
  <c r="AV1168" i="12"/>
  <c r="AT1168" i="12"/>
  <c r="AW1168" i="12" s="1"/>
  <c r="AI1168" i="12"/>
  <c r="AJ1168" i="12" s="1"/>
  <c r="AU1168" i="12" s="1"/>
  <c r="AV1167" i="12"/>
  <c r="AT1167" i="12"/>
  <c r="AW1167" i="12" s="1"/>
  <c r="AI1167" i="12"/>
  <c r="AJ1167" i="12" s="1"/>
  <c r="AU1167" i="12" s="1"/>
  <c r="AV1163" i="12"/>
  <c r="AT1163" i="12"/>
  <c r="AW1163" i="12" s="1"/>
  <c r="AH1163" i="12"/>
  <c r="AI1163" i="12" s="1"/>
  <c r="AJ1163" i="12" s="1"/>
  <c r="AV1162" i="12"/>
  <c r="AT1162" i="12"/>
  <c r="AH1162" i="12"/>
  <c r="AS1153" i="12"/>
  <c r="AR1153" i="12"/>
  <c r="AQ1153" i="12"/>
  <c r="AP1153" i="12"/>
  <c r="AO1153" i="12"/>
  <c r="AN1153" i="12"/>
  <c r="AM1153" i="12"/>
  <c r="AL1153" i="12"/>
  <c r="AK1153" i="12"/>
  <c r="AF1153" i="12"/>
  <c r="AE1153" i="12"/>
  <c r="AD1153" i="12"/>
  <c r="AV1151" i="12"/>
  <c r="AT1151" i="12"/>
  <c r="AW1151" i="12" s="1"/>
  <c r="AI1151" i="12"/>
  <c r="AJ1151" i="12" s="1"/>
  <c r="AV1146" i="12"/>
  <c r="AT1146" i="12"/>
  <c r="AW1146" i="12" s="1"/>
  <c r="AG1146" i="12"/>
  <c r="AI1146" i="12" s="1"/>
  <c r="AJ1146" i="12" s="1"/>
  <c r="AU1146" i="12" s="1"/>
  <c r="AV1143" i="12"/>
  <c r="AT1143" i="12"/>
  <c r="AW1143" i="12" s="1"/>
  <c r="AG1143" i="12"/>
  <c r="AI1143" i="12" s="1"/>
  <c r="AJ1143" i="12" s="1"/>
  <c r="AU1143" i="12" s="1"/>
  <c r="AV1141" i="12"/>
  <c r="AT1141" i="12"/>
  <c r="AW1141" i="12" s="1"/>
  <c r="AI1141" i="12"/>
  <c r="AJ1141" i="12" s="1"/>
  <c r="AX1140" i="12"/>
  <c r="AV1140" i="12"/>
  <c r="AU1140" i="12"/>
  <c r="AT1140" i="12"/>
  <c r="AW1140" i="12" s="1"/>
  <c r="AX1139" i="12"/>
  <c r="AV1139" i="12"/>
  <c r="AU1139" i="12"/>
  <c r="AT1139" i="12"/>
  <c r="AW1139" i="12" s="1"/>
  <c r="AV1138" i="12"/>
  <c r="AT1138" i="12"/>
  <c r="AW1138" i="12" s="1"/>
  <c r="AG1138" i="12"/>
  <c r="AI1138" i="12" s="1"/>
  <c r="AJ1138" i="12" s="1"/>
  <c r="AX1138" i="12" s="1"/>
  <c r="AV1136" i="12"/>
  <c r="AT1136" i="12"/>
  <c r="AW1136" i="12" s="1"/>
  <c r="AI1136" i="12"/>
  <c r="AJ1136" i="12" s="1"/>
  <c r="AV1134" i="12"/>
  <c r="AT1134" i="12"/>
  <c r="AW1134" i="12" s="1"/>
  <c r="AI1134" i="12"/>
  <c r="AJ1134" i="12" s="1"/>
  <c r="AX1134" i="12" s="1"/>
  <c r="AV1132" i="12"/>
  <c r="AT1132" i="12"/>
  <c r="AW1132" i="12" s="1"/>
  <c r="AI1132" i="12"/>
  <c r="AJ1132" i="12" s="1"/>
  <c r="AV1131" i="12"/>
  <c r="AT1131" i="12"/>
  <c r="AW1131" i="12" s="1"/>
  <c r="AG1131" i="12"/>
  <c r="AI1131" i="12" s="1"/>
  <c r="AJ1131" i="12" s="1"/>
  <c r="AV1128" i="12"/>
  <c r="AT1128" i="12"/>
  <c r="AW1128" i="12" s="1"/>
  <c r="AH1128" i="12"/>
  <c r="AI1128" i="12" s="1"/>
  <c r="AJ1128" i="12" s="1"/>
  <c r="AV1126" i="12"/>
  <c r="AT1126" i="12"/>
  <c r="AW1126" i="12" s="1"/>
  <c r="AI1126" i="12"/>
  <c r="AJ1126" i="12" s="1"/>
  <c r="AV1124" i="12"/>
  <c r="AT1124" i="12"/>
  <c r="AW1124" i="12" s="1"/>
  <c r="AG1124" i="12"/>
  <c r="AI1124" i="12" s="1"/>
  <c r="AJ1124" i="12" s="1"/>
  <c r="AV1122" i="12"/>
  <c r="AT1122" i="12"/>
  <c r="AW1122" i="12" s="1"/>
  <c r="AG1122" i="12"/>
  <c r="AI1122" i="12" s="1"/>
  <c r="AJ1122" i="12" s="1"/>
  <c r="AX1122" i="12" s="1"/>
  <c r="AV1120" i="12"/>
  <c r="AT1120" i="12"/>
  <c r="AW1120" i="12" s="1"/>
  <c r="AH1120" i="12"/>
  <c r="AV1118" i="12"/>
  <c r="AT1118" i="12"/>
  <c r="AW1118" i="12" s="1"/>
  <c r="AI1118" i="12"/>
  <c r="AJ1118" i="12" s="1"/>
  <c r="AU1118" i="12" s="1"/>
  <c r="AV1113" i="12"/>
  <c r="AT1113" i="12"/>
  <c r="AW1113" i="12" s="1"/>
  <c r="AI1113" i="12"/>
  <c r="AJ1113" i="12" s="1"/>
  <c r="AU1113" i="12" s="1"/>
  <c r="AX1111" i="12"/>
  <c r="AV1111" i="12"/>
  <c r="AU1111" i="12"/>
  <c r="AT1111" i="12"/>
  <c r="AW1111" i="12" s="1"/>
  <c r="AV1109" i="12"/>
  <c r="AT1109" i="12"/>
  <c r="AW1109" i="12" s="1"/>
  <c r="AI1109" i="12"/>
  <c r="AS1100" i="12"/>
  <c r="AR1100" i="12"/>
  <c r="AQ1100" i="12"/>
  <c r="AP1100" i="12"/>
  <c r="AN1100" i="12"/>
  <c r="AM1100" i="12"/>
  <c r="AK1100" i="12"/>
  <c r="AF1100" i="12"/>
  <c r="AE1100" i="12"/>
  <c r="AD1100" i="12"/>
  <c r="AX1098" i="12"/>
  <c r="AV1098" i="12"/>
  <c r="AU1098" i="12"/>
  <c r="AT1098" i="12"/>
  <c r="AW1098" i="12" s="1"/>
  <c r="AV1094" i="12"/>
  <c r="AT1094" i="12"/>
  <c r="AW1094" i="12" s="1"/>
  <c r="AI1094" i="12"/>
  <c r="AJ1094" i="12" s="1"/>
  <c r="AV1093" i="12"/>
  <c r="AT1093" i="12"/>
  <c r="AW1093" i="12" s="1"/>
  <c r="AI1093" i="12"/>
  <c r="AJ1093" i="12" s="1"/>
  <c r="AX1092" i="12"/>
  <c r="AV1092" i="12"/>
  <c r="AU1092" i="12"/>
  <c r="AT1092" i="12"/>
  <c r="AW1092" i="12" s="1"/>
  <c r="AV1087" i="12"/>
  <c r="AT1087" i="12"/>
  <c r="AW1087" i="12" s="1"/>
  <c r="AI1087" i="12"/>
  <c r="AJ1087" i="12" s="1"/>
  <c r="AV1083" i="12"/>
  <c r="AT1083" i="12"/>
  <c r="AW1083" i="12" s="1"/>
  <c r="AI1083" i="12"/>
  <c r="AJ1083" i="12" s="1"/>
  <c r="AV1077" i="12"/>
  <c r="AT1077" i="12"/>
  <c r="AW1077" i="12" s="1"/>
  <c r="AI1077" i="12"/>
  <c r="AJ1077" i="12" s="1"/>
  <c r="AX1075" i="12"/>
  <c r="AV1075" i="12"/>
  <c r="AU1075" i="12"/>
  <c r="AT1075" i="12"/>
  <c r="AW1075" i="12" s="1"/>
  <c r="AV1062" i="12"/>
  <c r="AT1062" i="12"/>
  <c r="AW1062" i="12" s="1"/>
  <c r="AI1062" i="12"/>
  <c r="AJ1062" i="12" s="1"/>
  <c r="AU1062" i="12" s="1"/>
  <c r="AX1061" i="12"/>
  <c r="AV1061" i="12"/>
  <c r="AU1061" i="12"/>
  <c r="AT1061" i="12"/>
  <c r="AW1061" i="12" s="1"/>
  <c r="AL1061" i="12"/>
  <c r="AV1052" i="12"/>
  <c r="AT1052" i="12"/>
  <c r="AW1052" i="12" s="1"/>
  <c r="AI1052" i="12"/>
  <c r="AJ1052" i="12" s="1"/>
  <c r="AU1052" i="12" s="1"/>
  <c r="AX1051" i="12"/>
  <c r="AV1051" i="12"/>
  <c r="AU1051" i="12"/>
  <c r="AT1051" i="12"/>
  <c r="AW1051" i="12" s="1"/>
  <c r="AX1050" i="12"/>
  <c r="AV1050" i="12"/>
  <c r="AU1050" i="12"/>
  <c r="AT1050" i="12"/>
  <c r="AW1050" i="12" s="1"/>
  <c r="AV1046" i="12"/>
  <c r="AT1046" i="12"/>
  <c r="AW1046" i="12" s="1"/>
  <c r="AI1046" i="12"/>
  <c r="AJ1046" i="12" s="1"/>
  <c r="AX1045" i="12"/>
  <c r="AV1045" i="12"/>
  <c r="AU1045" i="12"/>
  <c r="AT1045" i="12"/>
  <c r="AW1045" i="12" s="1"/>
  <c r="AX1041" i="12"/>
  <c r="AV1041" i="12"/>
  <c r="AU1041" i="12"/>
  <c r="AT1041" i="12"/>
  <c r="AW1041" i="12" s="1"/>
  <c r="AV1034" i="12"/>
  <c r="AT1034" i="12"/>
  <c r="AW1034" i="12" s="1"/>
  <c r="AI1034" i="12"/>
  <c r="AJ1034" i="12" s="1"/>
  <c r="AV1032" i="12"/>
  <c r="AT1032" i="12"/>
  <c r="AW1032" i="12" s="1"/>
  <c r="AI1032" i="12"/>
  <c r="AJ1032" i="12" s="1"/>
  <c r="AV1031" i="12"/>
  <c r="AT1031" i="12"/>
  <c r="AW1031" i="12" s="1"/>
  <c r="AI1031" i="12"/>
  <c r="AJ1031" i="12" s="1"/>
  <c r="AU1031" i="12" s="1"/>
  <c r="AV1027" i="12"/>
  <c r="AT1027" i="12"/>
  <c r="AW1027" i="12" s="1"/>
  <c r="AI1027" i="12"/>
  <c r="AJ1027" i="12" s="1"/>
  <c r="AV1026" i="12"/>
  <c r="AT1026" i="12"/>
  <c r="AW1026" i="12" s="1"/>
  <c r="AH1026" i="12"/>
  <c r="AI1026" i="12" s="1"/>
  <c r="AJ1026" i="12" s="1"/>
  <c r="AV1025" i="12"/>
  <c r="AT1025" i="12"/>
  <c r="AW1025" i="12" s="1"/>
  <c r="AI1025" i="12"/>
  <c r="AJ1025" i="12" s="1"/>
  <c r="AV1024" i="12"/>
  <c r="AT1024" i="12"/>
  <c r="AW1024" i="12" s="1"/>
  <c r="AI1024" i="12"/>
  <c r="AJ1024" i="12" s="1"/>
  <c r="AV1023" i="12"/>
  <c r="AT1023" i="12"/>
  <c r="AW1023" i="12" s="1"/>
  <c r="AH1023" i="12"/>
  <c r="AI1023" i="12" s="1"/>
  <c r="AJ1023" i="12" s="1"/>
  <c r="AU1023" i="12" s="1"/>
  <c r="AV1021" i="12"/>
  <c r="AT1021" i="12"/>
  <c r="AW1021" i="12" s="1"/>
  <c r="AI1021" i="12"/>
  <c r="AJ1021" i="12" s="1"/>
  <c r="AX1021" i="12" s="1"/>
  <c r="AV1020" i="12"/>
  <c r="AT1020" i="12"/>
  <c r="AW1020" i="12" s="1"/>
  <c r="AI1020" i="12"/>
  <c r="AJ1020" i="12" s="1"/>
  <c r="AV1016" i="12"/>
  <c r="AT1016" i="12"/>
  <c r="AW1016" i="12" s="1"/>
  <c r="AH1016" i="12"/>
  <c r="AI1016" i="12" s="1"/>
  <c r="AJ1016" i="12" s="1"/>
  <c r="AU1016" i="12" s="1"/>
  <c r="AV1015" i="12"/>
  <c r="AT1015" i="12"/>
  <c r="AW1015" i="12" s="1"/>
  <c r="AI1015" i="12"/>
  <c r="AJ1015" i="12" s="1"/>
  <c r="AV1013" i="12"/>
  <c r="AT1013" i="12"/>
  <c r="AW1013" i="12" s="1"/>
  <c r="AI1013" i="12"/>
  <c r="AJ1013" i="12" s="1"/>
  <c r="AV1011" i="12"/>
  <c r="AT1011" i="12"/>
  <c r="AW1011" i="12" s="1"/>
  <c r="AI1011" i="12"/>
  <c r="AJ1011" i="12" s="1"/>
  <c r="AX1011" i="12" s="1"/>
  <c r="AX1009" i="12"/>
  <c r="AV1009" i="12"/>
  <c r="AU1009" i="12"/>
  <c r="AT1009" i="12"/>
  <c r="AW1009" i="12" s="1"/>
  <c r="AV1008" i="12"/>
  <c r="AT1008" i="12"/>
  <c r="AW1008" i="12" s="1"/>
  <c r="AI1008" i="12"/>
  <c r="AJ1008" i="12" s="1"/>
  <c r="AV1006" i="12"/>
  <c r="AT1006" i="12"/>
  <c r="AW1006" i="12" s="1"/>
  <c r="AI1006" i="12"/>
  <c r="AJ1006" i="12" s="1"/>
  <c r="AX1006" i="12" s="1"/>
  <c r="AV1005" i="12"/>
  <c r="AT1005" i="12"/>
  <c r="AW1005" i="12" s="1"/>
  <c r="AG1005" i="12"/>
  <c r="AI1005" i="12" s="1"/>
  <c r="AJ1005" i="12" s="1"/>
  <c r="AV999" i="12"/>
  <c r="AT999" i="12"/>
  <c r="AW999" i="12" s="1"/>
  <c r="AI999" i="12"/>
  <c r="AJ999" i="12" s="1"/>
  <c r="AV998" i="12"/>
  <c r="AT998" i="12"/>
  <c r="AW998" i="12" s="1"/>
  <c r="AI998" i="12"/>
  <c r="AJ998" i="12" s="1"/>
  <c r="AV997" i="12"/>
  <c r="AT997" i="12"/>
  <c r="AW997" i="12" s="1"/>
  <c r="AI997" i="12"/>
  <c r="AJ997" i="12" s="1"/>
  <c r="AV996" i="12"/>
  <c r="AT996" i="12"/>
  <c r="AW996" i="12" s="1"/>
  <c r="AI996" i="12"/>
  <c r="AJ996" i="12" s="1"/>
  <c r="AX996" i="12" s="1"/>
  <c r="AV995" i="12"/>
  <c r="AT995" i="12"/>
  <c r="AW995" i="12" s="1"/>
  <c r="AI995" i="12"/>
  <c r="AJ995" i="12" s="1"/>
  <c r="AU995" i="12" s="1"/>
  <c r="AV993" i="12"/>
  <c r="AT993" i="12"/>
  <c r="AW993" i="12" s="1"/>
  <c r="AI993" i="12"/>
  <c r="AJ993" i="12" s="1"/>
  <c r="AV985" i="12"/>
  <c r="AT985" i="12"/>
  <c r="AW985" i="12" s="1"/>
  <c r="AI985" i="12"/>
  <c r="AJ985" i="12" s="1"/>
  <c r="AV984" i="12"/>
  <c r="AT984" i="12"/>
  <c r="AW984" i="12" s="1"/>
  <c r="AG984" i="12"/>
  <c r="AI984" i="12" s="1"/>
  <c r="AJ984" i="12" s="1"/>
  <c r="AX984" i="12" s="1"/>
  <c r="AV977" i="12"/>
  <c r="AT977" i="12"/>
  <c r="AW977" i="12" s="1"/>
  <c r="AI977" i="12"/>
  <c r="AJ977" i="12" s="1"/>
  <c r="AU977" i="12" s="1"/>
  <c r="AV976" i="12"/>
  <c r="AT976" i="12"/>
  <c r="AW976" i="12" s="1"/>
  <c r="AI976" i="12"/>
  <c r="AJ976" i="12" s="1"/>
  <c r="AU976" i="12" s="1"/>
  <c r="AH976" i="12"/>
  <c r="AV971" i="12"/>
  <c r="AT971" i="12"/>
  <c r="AW971" i="12" s="1"/>
  <c r="AG971" i="12"/>
  <c r="AI971" i="12" s="1"/>
  <c r="AJ971" i="12" s="1"/>
  <c r="AV965" i="12"/>
  <c r="AT965" i="12"/>
  <c r="AW965" i="12" s="1"/>
  <c r="AI965" i="12"/>
  <c r="AJ965" i="12" s="1"/>
  <c r="AV964" i="12"/>
  <c r="AT964" i="12"/>
  <c r="AW964" i="12" s="1"/>
  <c r="AI964" i="12"/>
  <c r="AJ964" i="12" s="1"/>
  <c r="AV963" i="12"/>
  <c r="AT963" i="12"/>
  <c r="AW963" i="12" s="1"/>
  <c r="AG963" i="12"/>
  <c r="AI963" i="12" s="1"/>
  <c r="AJ963" i="12" s="1"/>
  <c r="AV960" i="12"/>
  <c r="AT960" i="12"/>
  <c r="AW960" i="12" s="1"/>
  <c r="AL960" i="12"/>
  <c r="AJ960" i="12"/>
  <c r="AI960" i="12"/>
  <c r="AV958" i="12"/>
  <c r="AT958" i="12"/>
  <c r="AW958" i="12" s="1"/>
  <c r="AL958" i="12"/>
  <c r="AI958" i="12"/>
  <c r="AJ958" i="12" s="1"/>
  <c r="AV956" i="12"/>
  <c r="AT956" i="12"/>
  <c r="AW956" i="12" s="1"/>
  <c r="AG956" i="12"/>
  <c r="AI956" i="12" s="1"/>
  <c r="AJ956" i="12" s="1"/>
  <c r="AV954" i="12"/>
  <c r="AT954" i="12"/>
  <c r="AW954" i="12" s="1"/>
  <c r="AL954" i="12"/>
  <c r="AI954" i="12"/>
  <c r="AJ954" i="12" s="1"/>
  <c r="AV952" i="12"/>
  <c r="AT952" i="12"/>
  <c r="AW952" i="12" s="1"/>
  <c r="AL952" i="12"/>
  <c r="AI952" i="12"/>
  <c r="AJ952" i="12" s="1"/>
  <c r="AV951" i="12"/>
  <c r="AT951" i="12"/>
  <c r="AW951" i="12" s="1"/>
  <c r="AG951" i="12"/>
  <c r="AI951" i="12" s="1"/>
  <c r="AJ951" i="12" s="1"/>
  <c r="AV949" i="12"/>
  <c r="AT949" i="12"/>
  <c r="AW949" i="12" s="1"/>
  <c r="AL949" i="12"/>
  <c r="AI949" i="12"/>
  <c r="AJ949" i="12" s="1"/>
  <c r="AG949" i="12"/>
  <c r="AV947" i="12"/>
  <c r="AT947" i="12"/>
  <c r="AW947" i="12" s="1"/>
  <c r="AG947" i="12"/>
  <c r="AI947" i="12" s="1"/>
  <c r="AJ947" i="12" s="1"/>
  <c r="AX947" i="12" s="1"/>
  <c r="AV937" i="12"/>
  <c r="AT937" i="12"/>
  <c r="AW937" i="12" s="1"/>
  <c r="AL937" i="12"/>
  <c r="AI937" i="12"/>
  <c r="AJ937" i="12" s="1"/>
  <c r="AV931" i="12"/>
  <c r="AT931" i="12"/>
  <c r="AW931" i="12" s="1"/>
  <c r="AI931" i="12"/>
  <c r="AJ931" i="12" s="1"/>
  <c r="AV930" i="12"/>
  <c r="AT930" i="12"/>
  <c r="AW930" i="12" s="1"/>
  <c r="AH930" i="12"/>
  <c r="AI930" i="12" s="1"/>
  <c r="AJ930" i="12" s="1"/>
  <c r="AV926" i="12"/>
  <c r="AT926" i="12"/>
  <c r="AW926" i="12" s="1"/>
  <c r="AI926" i="12"/>
  <c r="AJ926" i="12" s="1"/>
  <c r="AX924" i="12"/>
  <c r="AV924" i="12"/>
  <c r="AU924" i="12"/>
  <c r="AT924" i="12"/>
  <c r="AW924" i="12" s="1"/>
  <c r="AV922" i="12"/>
  <c r="AT922" i="12"/>
  <c r="AW922" i="12" s="1"/>
  <c r="AO922" i="12"/>
  <c r="AO1100" i="12" s="1"/>
  <c r="AI922" i="12"/>
  <c r="AJ922" i="12" s="1"/>
  <c r="AU922" i="12" s="1"/>
  <c r="AT921" i="12"/>
  <c r="AV920" i="12"/>
  <c r="AT920" i="12"/>
  <c r="AW920" i="12" s="1"/>
  <c r="AI920" i="12"/>
  <c r="AJ920" i="12" s="1"/>
  <c r="AX920" i="12" s="1"/>
  <c r="AV919" i="12"/>
  <c r="AT919" i="12"/>
  <c r="AW919" i="12" s="1"/>
  <c r="AH919" i="12"/>
  <c r="AG919" i="12"/>
  <c r="AV917" i="12"/>
  <c r="AT917" i="12"/>
  <c r="AW917" i="12" s="1"/>
  <c r="AI917" i="12"/>
  <c r="AJ917" i="12" s="1"/>
  <c r="AV915" i="12"/>
  <c r="AT915" i="12"/>
  <c r="AW915" i="12" s="1"/>
  <c r="AG915" i="12"/>
  <c r="AI915" i="12" s="1"/>
  <c r="AJ915" i="12" s="1"/>
  <c r="AV914" i="12"/>
  <c r="AT914" i="12"/>
  <c r="AW914" i="12" s="1"/>
  <c r="AG914" i="12"/>
  <c r="AI914" i="12" s="1"/>
  <c r="AJ914" i="12" s="1"/>
  <c r="AV913" i="12"/>
  <c r="AT913" i="12"/>
  <c r="AW913" i="12" s="1"/>
  <c r="AG913" i="12"/>
  <c r="AI913" i="12" s="1"/>
  <c r="AJ913" i="12" s="1"/>
  <c r="AU913" i="12" s="1"/>
  <c r="AV911" i="12"/>
  <c r="AT911" i="12"/>
  <c r="AW911" i="12" s="1"/>
  <c r="AL911" i="12"/>
  <c r="AI911" i="12"/>
  <c r="AJ911" i="12" s="1"/>
  <c r="AV909" i="12"/>
  <c r="AT909" i="12"/>
  <c r="AW909" i="12" s="1"/>
  <c r="AL909" i="12"/>
  <c r="AH909" i="12"/>
  <c r="AI909" i="12" s="1"/>
  <c r="AJ909" i="12" s="1"/>
  <c r="AV907" i="12"/>
  <c r="AT907" i="12"/>
  <c r="AW907" i="12" s="1"/>
  <c r="AI907" i="12"/>
  <c r="AJ907" i="12" s="1"/>
  <c r="AX905" i="12"/>
  <c r="AV905" i="12"/>
  <c r="AU905" i="12"/>
  <c r="AT905" i="12"/>
  <c r="AW905" i="12" s="1"/>
  <c r="AV903" i="12"/>
  <c r="AT903" i="12"/>
  <c r="AW903" i="12" s="1"/>
  <c r="AI903" i="12"/>
  <c r="AJ903" i="12" s="1"/>
  <c r="AU903" i="12" s="1"/>
  <c r="AV901" i="12"/>
  <c r="AT901" i="12"/>
  <c r="AW901" i="12" s="1"/>
  <c r="AG901" i="12"/>
  <c r="AI901" i="12" s="1"/>
  <c r="AJ901" i="12" s="1"/>
  <c r="AU901" i="12" s="1"/>
  <c r="AV899" i="12"/>
  <c r="AT899" i="12"/>
  <c r="AW899" i="12" s="1"/>
  <c r="AI899" i="12"/>
  <c r="AJ899" i="12" s="1"/>
  <c r="AV895" i="12"/>
  <c r="AT895" i="12"/>
  <c r="AW895" i="12" s="1"/>
  <c r="AI895" i="12"/>
  <c r="AJ895" i="12" s="1"/>
  <c r="AU895" i="12" s="1"/>
  <c r="AV894" i="12"/>
  <c r="AT894" i="12"/>
  <c r="AW894" i="12" s="1"/>
  <c r="AH894" i="12"/>
  <c r="AX892" i="12"/>
  <c r="AV892" i="12"/>
  <c r="AU892" i="12"/>
  <c r="AT892" i="12"/>
  <c r="AW892" i="12" s="1"/>
  <c r="AV890" i="12"/>
  <c r="AT890" i="12"/>
  <c r="AW890" i="12" s="1"/>
  <c r="AI890" i="12"/>
  <c r="AJ890" i="12" s="1"/>
  <c r="AV887" i="12"/>
  <c r="AT887" i="12"/>
  <c r="AW887" i="12" s="1"/>
  <c r="AJ887" i="12"/>
  <c r="AU887" i="12" s="1"/>
  <c r="AI887" i="12"/>
  <c r="AV885" i="12"/>
  <c r="AT885" i="12"/>
  <c r="AW885" i="12" s="1"/>
  <c r="AI885" i="12"/>
  <c r="AJ885" i="12" s="1"/>
  <c r="AV883" i="12"/>
  <c r="AT883" i="12"/>
  <c r="AW883" i="12" s="1"/>
  <c r="AI883" i="12"/>
  <c r="AJ883" i="12" s="1"/>
  <c r="AV877" i="12"/>
  <c r="AT877" i="12"/>
  <c r="AW877" i="12" s="1"/>
  <c r="AG877" i="12"/>
  <c r="AI877" i="12" s="1"/>
  <c r="AJ877" i="12" s="1"/>
  <c r="AV875" i="12"/>
  <c r="AT875" i="12"/>
  <c r="AW875" i="12" s="1"/>
  <c r="AI875" i="12"/>
  <c r="AJ875" i="12" s="1"/>
  <c r="AU875" i="12" s="1"/>
  <c r="AV873" i="12"/>
  <c r="AT873" i="12"/>
  <c r="AW873" i="12" s="1"/>
  <c r="AI873" i="12"/>
  <c r="AJ873" i="12" s="1"/>
  <c r="AU873" i="12" s="1"/>
  <c r="AV872" i="12"/>
  <c r="AT872" i="12"/>
  <c r="AW872" i="12" s="1"/>
  <c r="AI872" i="12"/>
  <c r="AJ872" i="12" s="1"/>
  <c r="AU872" i="12" s="1"/>
  <c r="AS862" i="12"/>
  <c r="AQ862" i="12"/>
  <c r="AP862" i="12"/>
  <c r="AN862" i="12"/>
  <c r="AM862" i="12"/>
  <c r="AK862" i="12"/>
  <c r="AF862" i="12"/>
  <c r="AE862" i="12"/>
  <c r="AD862" i="12"/>
  <c r="AV861" i="12"/>
  <c r="AT861" i="12"/>
  <c r="AW861" i="12" s="1"/>
  <c r="AI861" i="12"/>
  <c r="AJ861" i="12" s="1"/>
  <c r="AV856" i="12"/>
  <c r="AT856" i="12"/>
  <c r="AW856" i="12" s="1"/>
  <c r="AI856" i="12"/>
  <c r="AJ856" i="12" s="1"/>
  <c r="AV855" i="12"/>
  <c r="AT855" i="12"/>
  <c r="AW855" i="12" s="1"/>
  <c r="AI855" i="12"/>
  <c r="AJ855" i="12" s="1"/>
  <c r="AG855" i="12"/>
  <c r="AV853" i="12"/>
  <c r="AT853" i="12"/>
  <c r="AW853" i="12" s="1"/>
  <c r="AI853" i="12"/>
  <c r="AJ853" i="12" s="1"/>
  <c r="AV851" i="12"/>
  <c r="AT851" i="12"/>
  <c r="AW851" i="12" s="1"/>
  <c r="AI851" i="12"/>
  <c r="AJ851" i="12" s="1"/>
  <c r="AV849" i="12"/>
  <c r="AT849" i="12"/>
  <c r="AW849" i="12" s="1"/>
  <c r="AI849" i="12"/>
  <c r="AJ849" i="12" s="1"/>
  <c r="AV848" i="12"/>
  <c r="AT848" i="12"/>
  <c r="AW848" i="12" s="1"/>
  <c r="AI848" i="12"/>
  <c r="AJ848" i="12" s="1"/>
  <c r="AU848" i="12" s="1"/>
  <c r="AV846" i="12"/>
  <c r="AT846" i="12"/>
  <c r="AW846" i="12" s="1"/>
  <c r="AI846" i="12"/>
  <c r="AJ846" i="12" s="1"/>
  <c r="AX845" i="12"/>
  <c r="AV845" i="12"/>
  <c r="AU845" i="12"/>
  <c r="AT845" i="12"/>
  <c r="AW845" i="12" s="1"/>
  <c r="AV843" i="12"/>
  <c r="AT843" i="12"/>
  <c r="AW843" i="12" s="1"/>
  <c r="AI843" i="12"/>
  <c r="AJ843" i="12" s="1"/>
  <c r="AX843" i="12" s="1"/>
  <c r="AV842" i="12"/>
  <c r="AT842" i="12"/>
  <c r="AW842" i="12" s="1"/>
  <c r="AI842" i="12"/>
  <c r="AJ842" i="12" s="1"/>
  <c r="AV840" i="12"/>
  <c r="AT840" i="12"/>
  <c r="AW840" i="12" s="1"/>
  <c r="AI840" i="12"/>
  <c r="AJ840" i="12" s="1"/>
  <c r="AU840" i="12" s="1"/>
  <c r="AV838" i="12"/>
  <c r="AT838" i="12"/>
  <c r="AW838" i="12" s="1"/>
  <c r="AJ838" i="12"/>
  <c r="AU838" i="12" s="1"/>
  <c r="AX837" i="12"/>
  <c r="AV837" i="12"/>
  <c r="AU837" i="12"/>
  <c r="AT837" i="12"/>
  <c r="AW837" i="12" s="1"/>
  <c r="AV836" i="12"/>
  <c r="AT836" i="12"/>
  <c r="AW836" i="12" s="1"/>
  <c r="AH836" i="12"/>
  <c r="AG836" i="12"/>
  <c r="AV834" i="12"/>
  <c r="AT834" i="12"/>
  <c r="AW834" i="12" s="1"/>
  <c r="AI834" i="12"/>
  <c r="AJ834" i="12" s="1"/>
  <c r="AX833" i="12"/>
  <c r="AV833" i="12"/>
  <c r="AU833" i="12"/>
  <c r="AT833" i="12"/>
  <c r="AW833" i="12" s="1"/>
  <c r="AV832" i="12"/>
  <c r="AT832" i="12"/>
  <c r="AW832" i="12" s="1"/>
  <c r="AH832" i="12"/>
  <c r="AI832" i="12" s="1"/>
  <c r="AJ832" i="12" s="1"/>
  <c r="AX832" i="12" s="1"/>
  <c r="AW830" i="12"/>
  <c r="AV830" i="12"/>
  <c r="AR830" i="12"/>
  <c r="AL830" i="12"/>
  <c r="AI830" i="12"/>
  <c r="AJ830" i="12" s="1"/>
  <c r="AU830" i="12" s="1"/>
  <c r="AV829" i="12"/>
  <c r="AT829" i="12"/>
  <c r="AW829" i="12" s="1"/>
  <c r="AH829" i="12"/>
  <c r="AI829" i="12" s="1"/>
  <c r="AJ829" i="12" s="1"/>
  <c r="AX829" i="12" s="1"/>
  <c r="AV828" i="12"/>
  <c r="AT828" i="12"/>
  <c r="AW828" i="12" s="1"/>
  <c r="AR828" i="12"/>
  <c r="AO828" i="12"/>
  <c r="AO862" i="12" s="1"/>
  <c r="AI828" i="12"/>
  <c r="AJ828" i="12" s="1"/>
  <c r="AX828" i="12" s="1"/>
  <c r="AV827" i="12"/>
  <c r="AT827" i="12"/>
  <c r="AW827" i="12" s="1"/>
  <c r="AI827" i="12"/>
  <c r="AJ827" i="12" s="1"/>
  <c r="AV826" i="12"/>
  <c r="AT826" i="12"/>
  <c r="AW826" i="12" s="1"/>
  <c r="AI826" i="12"/>
  <c r="AJ826" i="12" s="1"/>
  <c r="AV825" i="12"/>
  <c r="AT825" i="12"/>
  <c r="AW825" i="12" s="1"/>
  <c r="AI825" i="12"/>
  <c r="AJ825" i="12" s="1"/>
  <c r="AX825" i="12" s="1"/>
  <c r="AV824" i="12"/>
  <c r="AT824" i="12"/>
  <c r="AW824" i="12" s="1"/>
  <c r="AG824" i="12"/>
  <c r="AI824" i="12" s="1"/>
  <c r="AJ824" i="12" s="1"/>
  <c r="AX824" i="12" s="1"/>
  <c r="AV822" i="12"/>
  <c r="AT822" i="12"/>
  <c r="AW822" i="12" s="1"/>
  <c r="AI822" i="12"/>
  <c r="AJ822" i="12" s="1"/>
  <c r="AV821" i="12"/>
  <c r="AT821" i="12"/>
  <c r="AW821" i="12" s="1"/>
  <c r="AI821" i="12"/>
  <c r="AJ821" i="12" s="1"/>
  <c r="AV819" i="12"/>
  <c r="AT819" i="12"/>
  <c r="AW819" i="12" s="1"/>
  <c r="AI819" i="12"/>
  <c r="AJ819" i="12" s="1"/>
  <c r="AV818" i="12"/>
  <c r="AT818" i="12"/>
  <c r="AW818" i="12" s="1"/>
  <c r="AI818" i="12"/>
  <c r="AJ818" i="12" s="1"/>
  <c r="AU818" i="12" s="1"/>
  <c r="AV817" i="12"/>
  <c r="AT817" i="12"/>
  <c r="AW817" i="12" s="1"/>
  <c r="AI817" i="12"/>
  <c r="AJ817" i="12" s="1"/>
  <c r="AU817" i="12" s="1"/>
  <c r="AV816" i="12"/>
  <c r="AT816" i="12"/>
  <c r="AW816" i="12" s="1"/>
  <c r="AI816" i="12"/>
  <c r="AJ816" i="12" s="1"/>
  <c r="AV815" i="12"/>
  <c r="AT815" i="12"/>
  <c r="AW815" i="12" s="1"/>
  <c r="AH815" i="12"/>
  <c r="AI815" i="12" s="1"/>
  <c r="AJ815" i="12" s="1"/>
  <c r="AX815" i="12" s="1"/>
  <c r="AX813" i="12"/>
  <c r="AV813" i="12"/>
  <c r="AU813" i="12"/>
  <c r="AT813" i="12"/>
  <c r="AW813" i="12" s="1"/>
  <c r="AX811" i="12"/>
  <c r="AV811" i="12"/>
  <c r="AU811" i="12"/>
  <c r="AT811" i="12"/>
  <c r="AW811" i="12" s="1"/>
  <c r="AX809" i="12"/>
  <c r="AV809" i="12"/>
  <c r="AU809" i="12"/>
  <c r="AT809" i="12"/>
  <c r="AW809" i="12" s="1"/>
  <c r="AV807" i="12"/>
  <c r="AT807" i="12"/>
  <c r="AW807" i="12" s="1"/>
  <c r="AI807" i="12"/>
  <c r="AJ807" i="12" s="1"/>
  <c r="AU807" i="12" s="1"/>
  <c r="AV805" i="12"/>
  <c r="AT805" i="12"/>
  <c r="AW805" i="12" s="1"/>
  <c r="AI805" i="12"/>
  <c r="AJ805" i="12" s="1"/>
  <c r="AU805" i="12" s="1"/>
  <c r="AW804" i="12"/>
  <c r="AV804" i="12"/>
  <c r="AI804" i="12"/>
  <c r="AJ804" i="12" s="1"/>
  <c r="AU804" i="12" s="1"/>
  <c r="AV802" i="12"/>
  <c r="AT802" i="12"/>
  <c r="AW802" i="12" s="1"/>
  <c r="AI802" i="12"/>
  <c r="AJ802" i="12" s="1"/>
  <c r="AV799" i="12"/>
  <c r="AT799" i="12"/>
  <c r="AW799" i="12" s="1"/>
  <c r="AI799" i="12"/>
  <c r="AJ799" i="12" s="1"/>
  <c r="AX799" i="12" s="1"/>
  <c r="AV796" i="12"/>
  <c r="AT796" i="12"/>
  <c r="AW796" i="12" s="1"/>
  <c r="AI796" i="12"/>
  <c r="AJ796" i="12" s="1"/>
  <c r="AX796" i="12" s="1"/>
  <c r="AV793" i="12"/>
  <c r="AT793" i="12"/>
  <c r="AW793" i="12" s="1"/>
  <c r="AI793" i="12"/>
  <c r="AJ793" i="12" s="1"/>
  <c r="AV791" i="12"/>
  <c r="AT791" i="12"/>
  <c r="AW791" i="12" s="1"/>
  <c r="AI791" i="12"/>
  <c r="AJ791" i="12" s="1"/>
  <c r="AV790" i="12"/>
  <c r="AT790" i="12"/>
  <c r="AW790" i="12" s="1"/>
  <c r="AI790" i="12"/>
  <c r="AJ790" i="12" s="1"/>
  <c r="AV788" i="12"/>
  <c r="AT788" i="12"/>
  <c r="AW788" i="12" s="1"/>
  <c r="AI788" i="12"/>
  <c r="AJ788" i="12" s="1"/>
  <c r="AU788" i="12" s="1"/>
  <c r="AX787" i="12"/>
  <c r="AV787" i="12"/>
  <c r="AU787" i="12"/>
  <c r="AT787" i="12"/>
  <c r="AW787" i="12" s="1"/>
  <c r="AG787" i="12"/>
  <c r="AI787" i="12" s="1"/>
  <c r="AJ787" i="12" s="1"/>
  <c r="AV786" i="12"/>
  <c r="AT786" i="12"/>
  <c r="AW786" i="12" s="1"/>
  <c r="AI786" i="12"/>
  <c r="AJ786" i="12" s="1"/>
  <c r="AX785" i="12"/>
  <c r="AV785" i="12"/>
  <c r="AU785" i="12"/>
  <c r="AT785" i="12"/>
  <c r="AW785" i="12" s="1"/>
  <c r="AX784" i="12"/>
  <c r="AV784" i="12"/>
  <c r="AU784" i="12"/>
  <c r="AT784" i="12"/>
  <c r="AW784" i="12" s="1"/>
  <c r="AV783" i="12"/>
  <c r="AT783" i="12"/>
  <c r="AW783" i="12" s="1"/>
  <c r="AG783" i="12"/>
  <c r="AV779" i="12"/>
  <c r="AT779" i="12"/>
  <c r="AW779" i="12" s="1"/>
  <c r="AI779" i="12"/>
  <c r="AJ779" i="12" s="1"/>
  <c r="AU779" i="12" s="1"/>
  <c r="AV778" i="12"/>
  <c r="AT778" i="12"/>
  <c r="AW778" i="12" s="1"/>
  <c r="AJ778" i="12"/>
  <c r="AX778" i="12" s="1"/>
  <c r="AI778" i="12"/>
  <c r="AX776" i="12"/>
  <c r="AV776" i="12"/>
  <c r="AT776" i="12"/>
  <c r="AW776" i="12" s="1"/>
  <c r="AI776" i="12"/>
  <c r="AJ776" i="12" s="1"/>
  <c r="AU776" i="12" s="1"/>
  <c r="AV774" i="12"/>
  <c r="AT774" i="12"/>
  <c r="AW774" i="12" s="1"/>
  <c r="AH774" i="12"/>
  <c r="AG774" i="12"/>
  <c r="AI774" i="12" s="1"/>
  <c r="AJ774" i="12" s="1"/>
  <c r="AV769" i="12"/>
  <c r="AT769" i="12"/>
  <c r="AW769" i="12" s="1"/>
  <c r="AI769" i="12"/>
  <c r="AJ769" i="12" s="1"/>
  <c r="AV767" i="12"/>
  <c r="AT767" i="12"/>
  <c r="AW767" i="12" s="1"/>
  <c r="AI767" i="12"/>
  <c r="AJ767" i="12" s="1"/>
  <c r="AX767" i="12" s="1"/>
  <c r="AV765" i="12"/>
  <c r="AT765" i="12"/>
  <c r="AW765" i="12" s="1"/>
  <c r="AI765" i="12"/>
  <c r="AJ765" i="12" s="1"/>
  <c r="AU765" i="12" s="1"/>
  <c r="AV763" i="12"/>
  <c r="AT763" i="12"/>
  <c r="AW763" i="12" s="1"/>
  <c r="AI763" i="12"/>
  <c r="AJ763" i="12" s="1"/>
  <c r="AV759" i="12"/>
  <c r="AT759" i="12"/>
  <c r="AW759" i="12" s="1"/>
  <c r="AI759" i="12"/>
  <c r="AJ759" i="12" s="1"/>
  <c r="AS753" i="12"/>
  <c r="AQ753" i="12"/>
  <c r="AP753" i="12"/>
  <c r="AN753" i="12"/>
  <c r="AM753" i="12"/>
  <c r="AK753" i="12"/>
  <c r="AF753" i="12"/>
  <c r="AD753" i="12"/>
  <c r="AV751" i="12"/>
  <c r="AT751" i="12"/>
  <c r="AW751" i="12" s="1"/>
  <c r="AI751" i="12"/>
  <c r="AJ751" i="12" s="1"/>
  <c r="AX750" i="12"/>
  <c r="AV750" i="12"/>
  <c r="AU750" i="12"/>
  <c r="AT750" i="12"/>
  <c r="AW750" i="12" s="1"/>
  <c r="AX749" i="12"/>
  <c r="AV749" i="12"/>
  <c r="AU749" i="12"/>
  <c r="AT749" i="12"/>
  <c r="AW749" i="12" s="1"/>
  <c r="AX740" i="12"/>
  <c r="AV740" i="12"/>
  <c r="AU740" i="12"/>
  <c r="AT740" i="12"/>
  <c r="AW740" i="12" s="1"/>
  <c r="AX739" i="12"/>
  <c r="AV739" i="12"/>
  <c r="AU739" i="12"/>
  <c r="AT739" i="12"/>
  <c r="AW739" i="12" s="1"/>
  <c r="AX738" i="12"/>
  <c r="AV738" i="12"/>
  <c r="AU738" i="12"/>
  <c r="AT738" i="12"/>
  <c r="AW738" i="12" s="1"/>
  <c r="AX737" i="12"/>
  <c r="AV737" i="12"/>
  <c r="AU737" i="12"/>
  <c r="AT737" i="12"/>
  <c r="AW737" i="12" s="1"/>
  <c r="AV736" i="12"/>
  <c r="AT736" i="12"/>
  <c r="AW736" i="12" s="1"/>
  <c r="AO736" i="12"/>
  <c r="AI736" i="12"/>
  <c r="AJ736" i="12" s="1"/>
  <c r="AX735" i="12"/>
  <c r="AV735" i="12"/>
  <c r="AU735" i="12"/>
  <c r="AT735" i="12"/>
  <c r="AW735" i="12" s="1"/>
  <c r="AL735" i="12"/>
  <c r="AV727" i="12"/>
  <c r="AT727" i="12"/>
  <c r="AW727" i="12" s="1"/>
  <c r="AI727" i="12"/>
  <c r="AJ727" i="12" s="1"/>
  <c r="AV724" i="12"/>
  <c r="AT724" i="12"/>
  <c r="AW724" i="12" s="1"/>
  <c r="AO724" i="12"/>
  <c r="AI724" i="12"/>
  <c r="AJ724" i="12" s="1"/>
  <c r="AV723" i="12"/>
  <c r="AT723" i="12"/>
  <c r="AW723" i="12" s="1"/>
  <c r="AG723" i="12"/>
  <c r="AI723" i="12" s="1"/>
  <c r="AJ723" i="12" s="1"/>
  <c r="AV721" i="12"/>
  <c r="AT721" i="12"/>
  <c r="AW721" i="12" s="1"/>
  <c r="AI721" i="12"/>
  <c r="AJ721" i="12" s="1"/>
  <c r="AX720" i="12"/>
  <c r="AV720" i="12"/>
  <c r="AU720" i="12"/>
  <c r="AT720" i="12"/>
  <c r="AW720" i="12" s="1"/>
  <c r="AV719" i="12"/>
  <c r="AT719" i="12"/>
  <c r="AW719" i="12" s="1"/>
  <c r="AG719" i="12"/>
  <c r="AI719" i="12" s="1"/>
  <c r="AJ719" i="12" s="1"/>
  <c r="AV717" i="12"/>
  <c r="AT717" i="12"/>
  <c r="AW717" i="12" s="1"/>
  <c r="AI717" i="12"/>
  <c r="AJ717" i="12" s="1"/>
  <c r="AU717" i="12" s="1"/>
  <c r="AV716" i="12"/>
  <c r="AT716" i="12"/>
  <c r="AW716" i="12" s="1"/>
  <c r="AH716" i="12"/>
  <c r="AI716" i="12" s="1"/>
  <c r="AJ716" i="12" s="1"/>
  <c r="AU716" i="12" s="1"/>
  <c r="AV714" i="12"/>
  <c r="AT714" i="12"/>
  <c r="AW714" i="12" s="1"/>
  <c r="AH714" i="12"/>
  <c r="AI714" i="12" s="1"/>
  <c r="AJ714" i="12" s="1"/>
  <c r="AU714" i="12" s="1"/>
  <c r="AV712" i="12"/>
  <c r="AT712" i="12"/>
  <c r="AW712" i="12" s="1"/>
  <c r="AI712" i="12"/>
  <c r="AJ712" i="12" s="1"/>
  <c r="AU712" i="12" s="1"/>
  <c r="AX711" i="12"/>
  <c r="AV711" i="12"/>
  <c r="AU711" i="12"/>
  <c r="AT711" i="12"/>
  <c r="AW711" i="12" s="1"/>
  <c r="AV708" i="12"/>
  <c r="AT708" i="12"/>
  <c r="AW708" i="12" s="1"/>
  <c r="AI708" i="12"/>
  <c r="AJ708" i="12" s="1"/>
  <c r="AV707" i="12"/>
  <c r="AT707" i="12"/>
  <c r="AW707" i="12" s="1"/>
  <c r="AI707" i="12"/>
  <c r="AJ707" i="12" s="1"/>
  <c r="AX707" i="12" s="1"/>
  <c r="AV706" i="12"/>
  <c r="AT706" i="12"/>
  <c r="AW706" i="12" s="1"/>
  <c r="AI706" i="12"/>
  <c r="AJ706" i="12" s="1"/>
  <c r="AV705" i="12"/>
  <c r="AT705" i="12"/>
  <c r="AW705" i="12" s="1"/>
  <c r="AI705" i="12"/>
  <c r="AJ705" i="12" s="1"/>
  <c r="AX705" i="12" s="1"/>
  <c r="AV704" i="12"/>
  <c r="AT704" i="12"/>
  <c r="AW704" i="12" s="1"/>
  <c r="AI704" i="12"/>
  <c r="AJ704" i="12" s="1"/>
  <c r="AX704" i="12" s="1"/>
  <c r="AV703" i="12"/>
  <c r="AT703" i="12"/>
  <c r="AW703" i="12" s="1"/>
  <c r="AI703" i="12"/>
  <c r="AJ703" i="12" s="1"/>
  <c r="AV702" i="12"/>
  <c r="AT702" i="12"/>
  <c r="AW702" i="12" s="1"/>
  <c r="AI702" i="12"/>
  <c r="AJ702" i="12" s="1"/>
  <c r="AV701" i="12"/>
  <c r="AT701" i="12"/>
  <c r="AW701" i="12" s="1"/>
  <c r="AI701" i="12"/>
  <c r="AJ701" i="12" s="1"/>
  <c r="AV695" i="12"/>
  <c r="AT695" i="12"/>
  <c r="AW695" i="12" s="1"/>
  <c r="AI695" i="12"/>
  <c r="AJ695" i="12" s="1"/>
  <c r="AV694" i="12"/>
  <c r="AT694" i="12"/>
  <c r="AW694" i="12" s="1"/>
  <c r="AI694" i="12"/>
  <c r="AJ694" i="12" s="1"/>
  <c r="AU694" i="12" s="1"/>
  <c r="AV693" i="12"/>
  <c r="AT693" i="12"/>
  <c r="AW693" i="12" s="1"/>
  <c r="AG693" i="12"/>
  <c r="AI693" i="12" s="1"/>
  <c r="AJ693" i="12" s="1"/>
  <c r="AX692" i="12"/>
  <c r="AV692" i="12"/>
  <c r="AU692" i="12"/>
  <c r="AT692" i="12"/>
  <c r="AW692" i="12" s="1"/>
  <c r="AV691" i="12"/>
  <c r="AT691" i="12"/>
  <c r="AW691" i="12" s="1"/>
  <c r="AI691" i="12"/>
  <c r="AJ691" i="12" s="1"/>
  <c r="AX691" i="12" s="1"/>
  <c r="AV689" i="12"/>
  <c r="AT689" i="12"/>
  <c r="AW689" i="12" s="1"/>
  <c r="AI689" i="12"/>
  <c r="AJ689" i="12" s="1"/>
  <c r="AV688" i="12"/>
  <c r="AT688" i="12"/>
  <c r="AW688" i="12" s="1"/>
  <c r="AI688" i="12"/>
  <c r="AJ688" i="12" s="1"/>
  <c r="AV686" i="12"/>
  <c r="AT686" i="12"/>
  <c r="AW686" i="12" s="1"/>
  <c r="AI686" i="12"/>
  <c r="AJ686" i="12" s="1"/>
  <c r="AV685" i="12"/>
  <c r="AT685" i="12"/>
  <c r="AW685" i="12" s="1"/>
  <c r="AI685" i="12"/>
  <c r="AJ685" i="12" s="1"/>
  <c r="AX685" i="12" s="1"/>
  <c r="AX681" i="12"/>
  <c r="AV681" i="12"/>
  <c r="AT681" i="12"/>
  <c r="AW681" i="12" s="1"/>
  <c r="AI681" i="12"/>
  <c r="AJ681" i="12" s="1"/>
  <c r="AU681" i="12" s="1"/>
  <c r="AV680" i="12"/>
  <c r="AT680" i="12"/>
  <c r="AW680" i="12" s="1"/>
  <c r="AG680" i="12"/>
  <c r="AI680" i="12" s="1"/>
  <c r="AJ680" i="12" s="1"/>
  <c r="AV678" i="12"/>
  <c r="AT678" i="12"/>
  <c r="AW678" i="12" s="1"/>
  <c r="AI678" i="12"/>
  <c r="AJ678" i="12" s="1"/>
  <c r="AV677" i="12"/>
  <c r="AT677" i="12"/>
  <c r="AW677" i="12" s="1"/>
  <c r="AG677" i="12"/>
  <c r="AI677" i="12" s="1"/>
  <c r="AJ677" i="12" s="1"/>
  <c r="AV675" i="12"/>
  <c r="AT675" i="12"/>
  <c r="AW675" i="12" s="1"/>
  <c r="AI675" i="12"/>
  <c r="AJ675" i="12" s="1"/>
  <c r="AH675" i="12"/>
  <c r="AV674" i="12"/>
  <c r="AT674" i="12"/>
  <c r="AW674" i="12" s="1"/>
  <c r="AI674" i="12"/>
  <c r="AJ674" i="12" s="1"/>
  <c r="AU674" i="12" s="1"/>
  <c r="AH674" i="12"/>
  <c r="AV673" i="12"/>
  <c r="AT673" i="12"/>
  <c r="AW673" i="12" s="1"/>
  <c r="AH673" i="12"/>
  <c r="AI673" i="12" s="1"/>
  <c r="AJ673" i="12" s="1"/>
  <c r="AV671" i="12"/>
  <c r="AT671" i="12"/>
  <c r="AW671" i="12" s="1"/>
  <c r="AI671" i="12"/>
  <c r="AJ671" i="12" s="1"/>
  <c r="AX671" i="12" s="1"/>
  <c r="AV670" i="12"/>
  <c r="AT670" i="12"/>
  <c r="AW670" i="12" s="1"/>
  <c r="AI670" i="12"/>
  <c r="AJ670" i="12" s="1"/>
  <c r="AV668" i="12"/>
  <c r="AT668" i="12"/>
  <c r="AW668" i="12" s="1"/>
  <c r="AL668" i="12"/>
  <c r="AG668" i="12"/>
  <c r="AI668" i="12" s="1"/>
  <c r="AJ668" i="12" s="1"/>
  <c r="AV666" i="12"/>
  <c r="AT666" i="12"/>
  <c r="AW666" i="12" s="1"/>
  <c r="AI666" i="12"/>
  <c r="AJ666" i="12" s="1"/>
  <c r="AU666" i="12" s="1"/>
  <c r="AV664" i="12"/>
  <c r="AT664" i="12"/>
  <c r="AW664" i="12" s="1"/>
  <c r="AR664" i="12"/>
  <c r="AR753" i="12" s="1"/>
  <c r="AL664" i="12"/>
  <c r="AI664" i="12"/>
  <c r="AJ664" i="12" s="1"/>
  <c r="AV662" i="12"/>
  <c r="AT662" i="12"/>
  <c r="AW662" i="12" s="1"/>
  <c r="AI662" i="12"/>
  <c r="AJ662" i="12" s="1"/>
  <c r="AV661" i="12"/>
  <c r="AT661" i="12"/>
  <c r="AW661" i="12" s="1"/>
  <c r="AI661" i="12"/>
  <c r="AJ661" i="12" s="1"/>
  <c r="AX661" i="12" s="1"/>
  <c r="AV659" i="12"/>
  <c r="AT659" i="12"/>
  <c r="AW659" i="12" s="1"/>
  <c r="AL659" i="12"/>
  <c r="AI659" i="12"/>
  <c r="AJ659" i="12" s="1"/>
  <c r="AU659" i="12" s="1"/>
  <c r="AV657" i="12"/>
  <c r="AT657" i="12"/>
  <c r="AW657" i="12" s="1"/>
  <c r="AI657" i="12"/>
  <c r="AJ657" i="12" s="1"/>
  <c r="AU657" i="12" s="1"/>
  <c r="AX654" i="12"/>
  <c r="AV654" i="12"/>
  <c r="AU654" i="12"/>
  <c r="AT654" i="12"/>
  <c r="AW654" i="12" s="1"/>
  <c r="AL654" i="12"/>
  <c r="AV651" i="12"/>
  <c r="AT651" i="12"/>
  <c r="AW651" i="12" s="1"/>
  <c r="AI651" i="12"/>
  <c r="AJ651" i="12" s="1"/>
  <c r="AV650" i="12"/>
  <c r="AT650" i="12"/>
  <c r="AW650" i="12" s="1"/>
  <c r="AI650" i="12"/>
  <c r="AJ650" i="12" s="1"/>
  <c r="AX650" i="12" s="1"/>
  <c r="AV649" i="12"/>
  <c r="AT649" i="12"/>
  <c r="AW649" i="12" s="1"/>
  <c r="AI649" i="12"/>
  <c r="AJ649" i="12" s="1"/>
  <c r="AV648" i="12"/>
  <c r="AT648" i="12"/>
  <c r="AW648" i="12" s="1"/>
  <c r="AI648" i="12"/>
  <c r="AJ648" i="12" s="1"/>
  <c r="AV647" i="12"/>
  <c r="AT647" i="12"/>
  <c r="AW647" i="12" s="1"/>
  <c r="AI647" i="12"/>
  <c r="AJ647" i="12" s="1"/>
  <c r="AV646" i="12"/>
  <c r="AT646" i="12"/>
  <c r="AW646" i="12" s="1"/>
  <c r="AH646" i="12"/>
  <c r="AI646" i="12" s="1"/>
  <c r="AJ646" i="12" s="1"/>
  <c r="AV643" i="12"/>
  <c r="AT643" i="12"/>
  <c r="AW643" i="12" s="1"/>
  <c r="AI643" i="12"/>
  <c r="AJ643" i="12" s="1"/>
  <c r="AU643" i="12" s="1"/>
  <c r="AV641" i="12"/>
  <c r="AT641" i="12"/>
  <c r="AW641" i="12" s="1"/>
  <c r="AI641" i="12"/>
  <c r="AJ641" i="12" s="1"/>
  <c r="AU641" i="12" s="1"/>
  <c r="AV639" i="12"/>
  <c r="AT639" i="12"/>
  <c r="AW639" i="12" s="1"/>
  <c r="AG639" i="12"/>
  <c r="AI639" i="12" s="1"/>
  <c r="AJ639" i="12" s="1"/>
  <c r="AV636" i="12"/>
  <c r="AT636" i="12"/>
  <c r="AW636" i="12" s="1"/>
  <c r="AI636" i="12"/>
  <c r="AJ636" i="12" s="1"/>
  <c r="AV634" i="12"/>
  <c r="AT634" i="12"/>
  <c r="AW634" i="12" s="1"/>
  <c r="AE634" i="12"/>
  <c r="AI634" i="12" s="1"/>
  <c r="AJ634" i="12" s="1"/>
  <c r="AX634" i="12" s="1"/>
  <c r="AV632" i="12"/>
  <c r="AT632" i="12"/>
  <c r="AW632" i="12" s="1"/>
  <c r="AG632" i="12"/>
  <c r="AI632" i="12" s="1"/>
  <c r="AJ632" i="12" s="1"/>
  <c r="AX630" i="12"/>
  <c r="AV630" i="12"/>
  <c r="AU630" i="12"/>
  <c r="AT630" i="12"/>
  <c r="AW630" i="12" s="1"/>
  <c r="AV629" i="12"/>
  <c r="AT629" i="12"/>
  <c r="AW629" i="12" s="1"/>
  <c r="AI629" i="12"/>
  <c r="AJ629" i="12" s="1"/>
  <c r="AV627" i="12"/>
  <c r="AT627" i="12"/>
  <c r="AW627" i="12" s="1"/>
  <c r="AI627" i="12"/>
  <c r="AJ627" i="12" s="1"/>
  <c r="AV625" i="12"/>
  <c r="AT625" i="12"/>
  <c r="AW625" i="12" s="1"/>
  <c r="AI625" i="12"/>
  <c r="AJ625" i="12" s="1"/>
  <c r="AV623" i="12"/>
  <c r="AT623" i="12"/>
  <c r="AW623" i="12" s="1"/>
  <c r="AI623" i="12"/>
  <c r="AJ623" i="12" s="1"/>
  <c r="AU623" i="12" s="1"/>
  <c r="AV622" i="12"/>
  <c r="AT622" i="12"/>
  <c r="AW622" i="12" s="1"/>
  <c r="AI622" i="12"/>
  <c r="AJ622" i="12" s="1"/>
  <c r="AV621" i="12"/>
  <c r="AT621" i="12"/>
  <c r="AW621" i="12" s="1"/>
  <c r="AO621" i="12"/>
  <c r="AI621" i="12"/>
  <c r="AJ621" i="12" s="1"/>
  <c r="AV620" i="12"/>
  <c r="AT620" i="12"/>
  <c r="AW620" i="12" s="1"/>
  <c r="AI620" i="12"/>
  <c r="AJ620" i="12" s="1"/>
  <c r="AV619" i="12"/>
  <c r="AT619" i="12"/>
  <c r="AW619" i="12" s="1"/>
  <c r="AI619" i="12"/>
  <c r="AJ619" i="12" s="1"/>
  <c r="AV618" i="12"/>
  <c r="AT618" i="12"/>
  <c r="AW618" i="12" s="1"/>
  <c r="AI618" i="12"/>
  <c r="AJ618" i="12" s="1"/>
  <c r="AU618" i="12" s="1"/>
  <c r="AV616" i="12"/>
  <c r="AT616" i="12"/>
  <c r="AW616" i="12" s="1"/>
  <c r="AI616" i="12"/>
  <c r="AJ616" i="12" s="1"/>
  <c r="AU616" i="12" s="1"/>
  <c r="AV614" i="12"/>
  <c r="AT614" i="12"/>
  <c r="AW614" i="12" s="1"/>
  <c r="AI614" i="12"/>
  <c r="AJ614" i="12" s="1"/>
  <c r="AU614" i="12" s="1"/>
  <c r="AV613" i="12"/>
  <c r="AT613" i="12"/>
  <c r="AW613" i="12" s="1"/>
  <c r="AI613" i="12"/>
  <c r="AJ613" i="12" s="1"/>
  <c r="AU613" i="12" s="1"/>
  <c r="AV612" i="12"/>
  <c r="AT612" i="12"/>
  <c r="AW612" i="12" s="1"/>
  <c r="AI612" i="12"/>
  <c r="AJ612" i="12" s="1"/>
  <c r="AU612" i="12" s="1"/>
  <c r="AV611" i="12"/>
  <c r="AT611" i="12"/>
  <c r="AW611" i="12" s="1"/>
  <c r="AI611" i="12"/>
  <c r="AJ611" i="12" s="1"/>
  <c r="AX611" i="12" s="1"/>
  <c r="AV609" i="12"/>
  <c r="AT609" i="12"/>
  <c r="AW609" i="12" s="1"/>
  <c r="AI609" i="12"/>
  <c r="AJ609" i="12" s="1"/>
  <c r="AU609" i="12" s="1"/>
  <c r="AV607" i="12"/>
  <c r="AT607" i="12"/>
  <c r="AW607" i="12" s="1"/>
  <c r="AI607" i="12"/>
  <c r="AJ607" i="12" s="1"/>
  <c r="AV605" i="12"/>
  <c r="AT605" i="12"/>
  <c r="AW605" i="12" s="1"/>
  <c r="AH605" i="12"/>
  <c r="AI605" i="12" s="1"/>
  <c r="AJ605" i="12" s="1"/>
  <c r="AU605" i="12" s="1"/>
  <c r="AV604" i="12"/>
  <c r="AT604" i="12"/>
  <c r="AW604" i="12" s="1"/>
  <c r="AI604" i="12"/>
  <c r="AJ604" i="12" s="1"/>
  <c r="AU604" i="12" s="1"/>
  <c r="AV603" i="12"/>
  <c r="AT603" i="12"/>
  <c r="AW603" i="12" s="1"/>
  <c r="AG603" i="12"/>
  <c r="AI603" i="12" s="1"/>
  <c r="AJ603" i="12" s="1"/>
  <c r="AV601" i="12"/>
  <c r="AT601" i="12"/>
  <c r="AW601" i="12" s="1"/>
  <c r="AI601" i="12"/>
  <c r="AJ601" i="12" s="1"/>
  <c r="AV599" i="12"/>
  <c r="AT599" i="12"/>
  <c r="AW599" i="12" s="1"/>
  <c r="AI599" i="12"/>
  <c r="AJ599" i="12" s="1"/>
  <c r="AV597" i="12"/>
  <c r="AT597" i="12"/>
  <c r="AW597" i="12" s="1"/>
  <c r="AI597" i="12"/>
  <c r="AJ597" i="12" s="1"/>
  <c r="AV595" i="12"/>
  <c r="AT595" i="12"/>
  <c r="AW595" i="12" s="1"/>
  <c r="AI595" i="12"/>
  <c r="AJ595" i="12" s="1"/>
  <c r="AU595" i="12" s="1"/>
  <c r="AV593" i="12"/>
  <c r="AT593" i="12"/>
  <c r="AW593" i="12" s="1"/>
  <c r="AI593" i="12"/>
  <c r="AJ593" i="12" s="1"/>
  <c r="AV592" i="12"/>
  <c r="AT592" i="12"/>
  <c r="AW592" i="12" s="1"/>
  <c r="AI592" i="12"/>
  <c r="AJ592" i="12" s="1"/>
  <c r="AV591" i="12"/>
  <c r="AT591" i="12"/>
  <c r="AW591" i="12" s="1"/>
  <c r="AI591" i="12"/>
  <c r="AJ591" i="12" s="1"/>
  <c r="AV589" i="12"/>
  <c r="AT589" i="12"/>
  <c r="AW589" i="12" s="1"/>
  <c r="AI589" i="12"/>
  <c r="AJ589" i="12" s="1"/>
  <c r="AU589" i="12" s="1"/>
  <c r="AX588" i="12"/>
  <c r="AV588" i="12"/>
  <c r="AU588" i="12"/>
  <c r="AT588" i="12"/>
  <c r="AW588" i="12" s="1"/>
  <c r="AX587" i="12"/>
  <c r="AV587" i="12"/>
  <c r="AU587" i="12"/>
  <c r="AT587" i="12"/>
  <c r="AW587" i="12" s="1"/>
  <c r="AV585" i="12"/>
  <c r="AT585" i="12"/>
  <c r="AW585" i="12" s="1"/>
  <c r="AI585" i="12"/>
  <c r="AJ585" i="12" s="1"/>
  <c r="AV584" i="12"/>
  <c r="AT584" i="12"/>
  <c r="AW584" i="12" s="1"/>
  <c r="AI584" i="12"/>
  <c r="AJ584" i="12" s="1"/>
  <c r="AV583" i="12"/>
  <c r="AT583" i="12"/>
  <c r="AW583" i="12" s="1"/>
  <c r="AI583" i="12"/>
  <c r="AJ583" i="12" s="1"/>
  <c r="AV582" i="12"/>
  <c r="AT582" i="12"/>
  <c r="AW582" i="12" s="1"/>
  <c r="AG582" i="12"/>
  <c r="AI582" i="12" s="1"/>
  <c r="AJ582" i="12" s="1"/>
  <c r="AV580" i="12"/>
  <c r="AT580" i="12"/>
  <c r="AW580" i="12" s="1"/>
  <c r="AO580" i="12"/>
  <c r="AI580" i="12"/>
  <c r="AJ580" i="12" s="1"/>
  <c r="AV579" i="12"/>
  <c r="AT579" i="12"/>
  <c r="AW579" i="12" s="1"/>
  <c r="AO579" i="12"/>
  <c r="AI579" i="12"/>
  <c r="AJ579" i="12" s="1"/>
  <c r="AX579" i="12" s="1"/>
  <c r="AX578" i="12"/>
  <c r="AV578" i="12"/>
  <c r="AU578" i="12"/>
  <c r="AT578" i="12"/>
  <c r="AW578" i="12" s="1"/>
  <c r="AO578" i="12"/>
  <c r="AV577" i="12"/>
  <c r="AT577" i="12"/>
  <c r="AW577" i="12" s="1"/>
  <c r="AO577" i="12"/>
  <c r="AL577" i="12"/>
  <c r="AI577" i="12"/>
  <c r="AJ577" i="12" s="1"/>
  <c r="AV575" i="12"/>
  <c r="AT575" i="12"/>
  <c r="AW575" i="12" s="1"/>
  <c r="AH575" i="12"/>
  <c r="AV572" i="12"/>
  <c r="AT572" i="12"/>
  <c r="AW572" i="12" s="1"/>
  <c r="AG572" i="12"/>
  <c r="AI572" i="12" s="1"/>
  <c r="AJ572" i="12" s="1"/>
  <c r="AV570" i="12"/>
  <c r="AT570" i="12"/>
  <c r="AW570" i="12" s="1"/>
  <c r="AE570" i="12"/>
  <c r="AV568" i="12"/>
  <c r="AT568" i="12"/>
  <c r="AW568" i="12" s="1"/>
  <c r="AI568" i="12"/>
  <c r="AJ568" i="12" s="1"/>
  <c r="AV567" i="12"/>
  <c r="AT567" i="12"/>
  <c r="AW567" i="12" s="1"/>
  <c r="AI567" i="12"/>
  <c r="AJ567" i="12" s="1"/>
  <c r="AV566" i="12"/>
  <c r="AT566" i="12"/>
  <c r="AW566" i="12" s="1"/>
  <c r="AI566" i="12"/>
  <c r="AJ566" i="12" s="1"/>
  <c r="AX566" i="12" s="1"/>
  <c r="AV564" i="12"/>
  <c r="AT564" i="12"/>
  <c r="AW564" i="12" s="1"/>
  <c r="AI564" i="12"/>
  <c r="AJ564" i="12" s="1"/>
  <c r="AV563" i="12"/>
  <c r="AT563" i="12"/>
  <c r="AW563" i="12" s="1"/>
  <c r="AI563" i="12"/>
  <c r="AJ563" i="12" s="1"/>
  <c r="AV562" i="12"/>
  <c r="AT562" i="12"/>
  <c r="AW562" i="12" s="1"/>
  <c r="AI562" i="12"/>
  <c r="AJ562" i="12" s="1"/>
  <c r="AU562" i="12" s="1"/>
  <c r="AX558" i="12"/>
  <c r="AV558" i="12"/>
  <c r="AU558" i="12"/>
  <c r="AT558" i="12"/>
  <c r="AW558" i="12" s="1"/>
  <c r="AX556" i="12"/>
  <c r="AV556" i="12"/>
  <c r="AU556" i="12"/>
  <c r="AT556" i="12"/>
  <c r="AW556" i="12" s="1"/>
  <c r="AV554" i="12"/>
  <c r="AT554" i="12"/>
  <c r="AW554" i="12" s="1"/>
  <c r="AI554" i="12"/>
  <c r="AJ554" i="12" s="1"/>
  <c r="AV553" i="12"/>
  <c r="AT553" i="12"/>
  <c r="AW553" i="12" s="1"/>
  <c r="AI553" i="12"/>
  <c r="AJ553" i="12" s="1"/>
  <c r="AU553" i="12" s="1"/>
  <c r="AV550" i="12"/>
  <c r="AT550" i="12"/>
  <c r="AI550" i="12"/>
  <c r="AJ550" i="12" s="1"/>
  <c r="AS540" i="12"/>
  <c r="AQ540" i="12"/>
  <c r="AP540" i="12"/>
  <c r="AO540" i="12"/>
  <c r="AN540" i="12"/>
  <c r="AM540" i="12"/>
  <c r="AK540" i="12"/>
  <c r="AF540" i="12"/>
  <c r="AE540" i="12"/>
  <c r="AD540" i="12"/>
  <c r="AV539" i="12"/>
  <c r="AT539" i="12"/>
  <c r="AW539" i="12" s="1"/>
  <c r="AI539" i="12"/>
  <c r="AJ539" i="12" s="1"/>
  <c r="AX539" i="12" s="1"/>
  <c r="AW533" i="12"/>
  <c r="AV533" i="12"/>
  <c r="AT533" i="12"/>
  <c r="AI533" i="12"/>
  <c r="AJ533" i="12" s="1"/>
  <c r="AX533" i="12" s="1"/>
  <c r="AV530" i="12"/>
  <c r="AT530" i="12"/>
  <c r="AW530" i="12" s="1"/>
  <c r="AI530" i="12"/>
  <c r="AJ530" i="12" s="1"/>
  <c r="AU530" i="12" s="1"/>
  <c r="AV528" i="12"/>
  <c r="AT528" i="12"/>
  <c r="AW528" i="12" s="1"/>
  <c r="AI528" i="12"/>
  <c r="AJ528" i="12" s="1"/>
  <c r="AX527" i="12"/>
  <c r="AV527" i="12"/>
  <c r="AU527" i="12"/>
  <c r="AT527" i="12"/>
  <c r="AW527" i="12" s="1"/>
  <c r="AX526" i="12"/>
  <c r="AV526" i="12"/>
  <c r="AU526" i="12"/>
  <c r="AT526" i="12"/>
  <c r="AW526" i="12" s="1"/>
  <c r="AV525" i="12"/>
  <c r="AT525" i="12"/>
  <c r="AW525" i="12" s="1"/>
  <c r="AI525" i="12"/>
  <c r="AJ525" i="12" s="1"/>
  <c r="AV517" i="12"/>
  <c r="AT517" i="12"/>
  <c r="AW517" i="12" s="1"/>
  <c r="AI517" i="12"/>
  <c r="AJ517" i="12" s="1"/>
  <c r="AU517" i="12" s="1"/>
  <c r="AV516" i="12"/>
  <c r="AT516" i="12"/>
  <c r="AW516" i="12" s="1"/>
  <c r="AL516" i="12"/>
  <c r="AI516" i="12"/>
  <c r="AJ516" i="12" s="1"/>
  <c r="AX516" i="12" s="1"/>
  <c r="AV510" i="12"/>
  <c r="AT510" i="12"/>
  <c r="AW510" i="12" s="1"/>
  <c r="AJ510" i="12"/>
  <c r="AX510" i="12" s="1"/>
  <c r="AI510" i="12"/>
  <c r="AX508" i="12"/>
  <c r="AV508" i="12"/>
  <c r="AU508" i="12"/>
  <c r="AT508" i="12"/>
  <c r="AW508" i="12" s="1"/>
  <c r="AV507" i="12"/>
  <c r="AT507" i="12"/>
  <c r="AW507" i="12" s="1"/>
  <c r="AI507" i="12"/>
  <c r="AJ507" i="12" s="1"/>
  <c r="AV505" i="12"/>
  <c r="AT505" i="12"/>
  <c r="AW505" i="12" s="1"/>
  <c r="AI505" i="12"/>
  <c r="AJ505" i="12" s="1"/>
  <c r="AV504" i="12"/>
  <c r="AT504" i="12"/>
  <c r="AW504" i="12" s="1"/>
  <c r="AH504" i="12"/>
  <c r="AI504" i="12" s="1"/>
  <c r="AJ504" i="12" s="1"/>
  <c r="AV502" i="12"/>
  <c r="AT502" i="12"/>
  <c r="AW502" i="12" s="1"/>
  <c r="AI502" i="12"/>
  <c r="AJ502" i="12" s="1"/>
  <c r="AV500" i="12"/>
  <c r="AT500" i="12"/>
  <c r="AW500" i="12" s="1"/>
  <c r="AI500" i="12"/>
  <c r="AJ500" i="12" s="1"/>
  <c r="AX500" i="12" s="1"/>
  <c r="AV498" i="12"/>
  <c r="AT498" i="12"/>
  <c r="AW498" i="12" s="1"/>
  <c r="AL498" i="12"/>
  <c r="AJ498" i="12"/>
  <c r="AU498" i="12" s="1"/>
  <c r="AI498" i="12"/>
  <c r="AV496" i="12"/>
  <c r="AT496" i="12"/>
  <c r="AW496" i="12" s="1"/>
  <c r="AL496" i="12"/>
  <c r="AJ496" i="12"/>
  <c r="AU496" i="12" s="1"/>
  <c r="AI496" i="12"/>
  <c r="AV495" i="12"/>
  <c r="AT495" i="12"/>
  <c r="AW495" i="12" s="1"/>
  <c r="AI495" i="12"/>
  <c r="AJ495" i="12" s="1"/>
  <c r="AU495" i="12" s="1"/>
  <c r="AX494" i="12"/>
  <c r="AV494" i="12"/>
  <c r="AU494" i="12"/>
  <c r="AT494" i="12"/>
  <c r="AW494" i="12" s="1"/>
  <c r="AV492" i="12"/>
  <c r="AT492" i="12"/>
  <c r="AW492" i="12" s="1"/>
  <c r="AI492" i="12"/>
  <c r="AJ492" i="12" s="1"/>
  <c r="AH492" i="12"/>
  <c r="AX491" i="12"/>
  <c r="AV491" i="12"/>
  <c r="AU491" i="12"/>
  <c r="AT491" i="12"/>
  <c r="AW491" i="12" s="1"/>
  <c r="AV489" i="12"/>
  <c r="AT489" i="12"/>
  <c r="AW489" i="12" s="1"/>
  <c r="AR489" i="12"/>
  <c r="AI489" i="12"/>
  <c r="AJ489" i="12" s="1"/>
  <c r="AU489" i="12" s="1"/>
  <c r="AV488" i="12"/>
  <c r="AT488" i="12"/>
  <c r="AW488" i="12" s="1"/>
  <c r="AI488" i="12"/>
  <c r="AJ488" i="12" s="1"/>
  <c r="AX487" i="12"/>
  <c r="AV487" i="12"/>
  <c r="AU487" i="12"/>
  <c r="AT487" i="12"/>
  <c r="AW487" i="12" s="1"/>
  <c r="AX485" i="12"/>
  <c r="AV485" i="12"/>
  <c r="AU485" i="12"/>
  <c r="AT485" i="12"/>
  <c r="AW485" i="12" s="1"/>
  <c r="AX484" i="12"/>
  <c r="AV484" i="12"/>
  <c r="AU484" i="12"/>
  <c r="AT484" i="12"/>
  <c r="AW484" i="12" s="1"/>
  <c r="AV482" i="12"/>
  <c r="AT482" i="12"/>
  <c r="AW482" i="12" s="1"/>
  <c r="AI482" i="12"/>
  <c r="AJ482" i="12" s="1"/>
  <c r="AU482" i="12" s="1"/>
  <c r="AV481" i="12"/>
  <c r="AT481" i="12"/>
  <c r="AW481" i="12" s="1"/>
  <c r="AI481" i="12"/>
  <c r="AJ481" i="12" s="1"/>
  <c r="AU481" i="12" s="1"/>
  <c r="AV479" i="12"/>
  <c r="AT479" i="12"/>
  <c r="AW479" i="12" s="1"/>
  <c r="AJ479" i="12"/>
  <c r="AU479" i="12" s="1"/>
  <c r="AI479" i="12"/>
  <c r="AV477" i="12"/>
  <c r="AT477" i="12"/>
  <c r="AW477" i="12" s="1"/>
  <c r="AI477" i="12"/>
  <c r="AJ477" i="12" s="1"/>
  <c r="AU477" i="12" s="1"/>
  <c r="AV476" i="12"/>
  <c r="AT476" i="12"/>
  <c r="AW476" i="12" s="1"/>
  <c r="AI476" i="12"/>
  <c r="AJ476" i="12" s="1"/>
  <c r="AU476" i="12" s="1"/>
  <c r="AX474" i="12"/>
  <c r="AV474" i="12"/>
  <c r="AU474" i="12"/>
  <c r="AT474" i="12"/>
  <c r="AW474" i="12" s="1"/>
  <c r="AX472" i="12"/>
  <c r="AV472" i="12"/>
  <c r="AU472" i="12"/>
  <c r="AT472" i="12"/>
  <c r="AW472" i="12" s="1"/>
  <c r="AV470" i="12"/>
  <c r="AT470" i="12"/>
  <c r="AW470" i="12" s="1"/>
  <c r="AI470" i="12"/>
  <c r="AJ470" i="12" s="1"/>
  <c r="AX470" i="12" s="1"/>
  <c r="AV468" i="12"/>
  <c r="AT468" i="12"/>
  <c r="AW468" i="12" s="1"/>
  <c r="AI468" i="12"/>
  <c r="AJ468" i="12" s="1"/>
  <c r="AU468" i="12" s="1"/>
  <c r="AV466" i="12"/>
  <c r="AT466" i="12"/>
  <c r="AW466" i="12" s="1"/>
  <c r="AI466" i="12"/>
  <c r="AJ466" i="12" s="1"/>
  <c r="AV464" i="12"/>
  <c r="AT464" i="12"/>
  <c r="AW464" i="12" s="1"/>
  <c r="AI464" i="12"/>
  <c r="AJ464" i="12" s="1"/>
  <c r="AV463" i="12"/>
  <c r="AT463" i="12"/>
  <c r="AW463" i="12" s="1"/>
  <c r="AI463" i="12"/>
  <c r="AJ463" i="12" s="1"/>
  <c r="AV462" i="12"/>
  <c r="AT462" i="12"/>
  <c r="AW462" i="12" s="1"/>
  <c r="AI462" i="12"/>
  <c r="AJ462" i="12" s="1"/>
  <c r="AU462" i="12" s="1"/>
  <c r="AV461" i="12"/>
  <c r="AT461" i="12"/>
  <c r="AW461" i="12" s="1"/>
  <c r="AI461" i="12"/>
  <c r="AJ461" i="12" s="1"/>
  <c r="AV459" i="12"/>
  <c r="AT459" i="12"/>
  <c r="AW459" i="12" s="1"/>
  <c r="AL459" i="12"/>
  <c r="AI459" i="12"/>
  <c r="AJ459" i="12" s="1"/>
  <c r="AU459" i="12" s="1"/>
  <c r="AV455" i="12"/>
  <c r="AT455" i="12"/>
  <c r="AW455" i="12" s="1"/>
  <c r="AL455" i="12"/>
  <c r="AI455" i="12"/>
  <c r="AJ455" i="12" s="1"/>
  <c r="AU455" i="12" s="1"/>
  <c r="AV451" i="12"/>
  <c r="AT451" i="12"/>
  <c r="AW451" i="12" s="1"/>
  <c r="AI451" i="12"/>
  <c r="AJ451" i="12" s="1"/>
  <c r="AV450" i="12"/>
  <c r="AT450" i="12"/>
  <c r="AW450" i="12" s="1"/>
  <c r="AI450" i="12"/>
  <c r="AJ450" i="12" s="1"/>
  <c r="AV449" i="12"/>
  <c r="AT449" i="12"/>
  <c r="AW449" i="12" s="1"/>
  <c r="AI449" i="12"/>
  <c r="AJ449" i="12" s="1"/>
  <c r="AV448" i="12"/>
  <c r="AT448" i="12"/>
  <c r="AW448" i="12" s="1"/>
  <c r="AI448" i="12"/>
  <c r="AJ448" i="12" s="1"/>
  <c r="AV447" i="12"/>
  <c r="AT447" i="12"/>
  <c r="AW447" i="12" s="1"/>
  <c r="AI447" i="12"/>
  <c r="AJ447" i="12" s="1"/>
  <c r="AV446" i="12"/>
  <c r="AT446" i="12"/>
  <c r="AW446" i="12" s="1"/>
  <c r="AI446" i="12"/>
  <c r="AJ446" i="12" s="1"/>
  <c r="AV445" i="12"/>
  <c r="AT445" i="12"/>
  <c r="AW445" i="12" s="1"/>
  <c r="AI445" i="12"/>
  <c r="AJ445" i="12" s="1"/>
  <c r="AV444" i="12"/>
  <c r="AT444" i="12"/>
  <c r="AW444" i="12" s="1"/>
  <c r="AH444" i="12"/>
  <c r="AI444" i="12" s="1"/>
  <c r="AJ444" i="12" s="1"/>
  <c r="AV442" i="12"/>
  <c r="AT442" i="12"/>
  <c r="AW442" i="12" s="1"/>
  <c r="AI442" i="12"/>
  <c r="AJ442" i="12" s="1"/>
  <c r="AV441" i="12"/>
  <c r="AT441" i="12"/>
  <c r="AW441" i="12" s="1"/>
  <c r="AI441" i="12"/>
  <c r="AJ441" i="12" s="1"/>
  <c r="AV440" i="12"/>
  <c r="AT440" i="12"/>
  <c r="AW440" i="12" s="1"/>
  <c r="AI440" i="12"/>
  <c r="AJ440" i="12" s="1"/>
  <c r="AV438" i="12"/>
  <c r="AT438" i="12"/>
  <c r="AW438" i="12" s="1"/>
  <c r="AI438" i="12"/>
  <c r="AJ438" i="12" s="1"/>
  <c r="AV433" i="12"/>
  <c r="AT433" i="12"/>
  <c r="AW433" i="12" s="1"/>
  <c r="AH433" i="12"/>
  <c r="AI433" i="12" s="1"/>
  <c r="AJ433" i="12" s="1"/>
  <c r="AV431" i="12"/>
  <c r="AT431" i="12"/>
  <c r="AW431" i="12" s="1"/>
  <c r="AI431" i="12"/>
  <c r="AJ431" i="12" s="1"/>
  <c r="AV428" i="12"/>
  <c r="AT428" i="12"/>
  <c r="AW428" i="12" s="1"/>
  <c r="AI428" i="12"/>
  <c r="AJ428" i="12" s="1"/>
  <c r="AV427" i="12"/>
  <c r="AT427" i="12"/>
  <c r="AW427" i="12" s="1"/>
  <c r="AI427" i="12"/>
  <c r="AJ427" i="12" s="1"/>
  <c r="AV426" i="12"/>
  <c r="AT426" i="12"/>
  <c r="AW426" i="12" s="1"/>
  <c r="AI426" i="12"/>
  <c r="AJ426" i="12" s="1"/>
  <c r="AV425" i="12"/>
  <c r="AT425" i="12"/>
  <c r="AW425" i="12" s="1"/>
  <c r="AI425" i="12"/>
  <c r="AJ425" i="12" s="1"/>
  <c r="AV423" i="12"/>
  <c r="AT423" i="12"/>
  <c r="AW423" i="12" s="1"/>
  <c r="AI423" i="12"/>
  <c r="AJ423" i="12" s="1"/>
  <c r="AV422" i="12"/>
  <c r="AT422" i="12"/>
  <c r="AW422" i="12" s="1"/>
  <c r="AI422" i="12"/>
  <c r="AJ422" i="12" s="1"/>
  <c r="AV421" i="12"/>
  <c r="AT421" i="12"/>
  <c r="AW421" i="12" s="1"/>
  <c r="AI421" i="12"/>
  <c r="AJ421" i="12" s="1"/>
  <c r="AV419" i="12"/>
  <c r="AT419" i="12"/>
  <c r="AW419" i="12" s="1"/>
  <c r="AI419" i="12"/>
  <c r="AJ419" i="12" s="1"/>
  <c r="AV418" i="12"/>
  <c r="AT418" i="12"/>
  <c r="AW418" i="12" s="1"/>
  <c r="AI418" i="12"/>
  <c r="AJ418" i="12" s="1"/>
  <c r="AV417" i="12"/>
  <c r="AT417" i="12"/>
  <c r="AW417" i="12" s="1"/>
  <c r="AI417" i="12"/>
  <c r="AJ417" i="12" s="1"/>
  <c r="AV416" i="12"/>
  <c r="AT416" i="12"/>
  <c r="AW416" i="12" s="1"/>
  <c r="AI416" i="12"/>
  <c r="AJ416" i="12" s="1"/>
  <c r="AV411" i="12"/>
  <c r="AT411" i="12"/>
  <c r="AW411" i="12" s="1"/>
  <c r="AI411" i="12"/>
  <c r="AJ411" i="12" s="1"/>
  <c r="AV410" i="12"/>
  <c r="AT410" i="12"/>
  <c r="AW410" i="12" s="1"/>
  <c r="AG410" i="12"/>
  <c r="AX406" i="12"/>
  <c r="AV406" i="12"/>
  <c r="AU406" i="12"/>
  <c r="AT406" i="12"/>
  <c r="AW406" i="12" s="1"/>
  <c r="AX398" i="12"/>
  <c r="AV398" i="12"/>
  <c r="AU398" i="12"/>
  <c r="AT398" i="12"/>
  <c r="AW398" i="12" s="1"/>
  <c r="AV396" i="12"/>
  <c r="AT396" i="12"/>
  <c r="AW396" i="12" s="1"/>
  <c r="AI396" i="12"/>
  <c r="AJ396" i="12" s="1"/>
  <c r="AX391" i="12"/>
  <c r="AV391" i="12"/>
  <c r="AU391" i="12"/>
  <c r="AT391" i="12"/>
  <c r="AW391" i="12" s="1"/>
  <c r="AX389" i="12"/>
  <c r="AV389" i="12"/>
  <c r="AU389" i="12"/>
  <c r="AT389" i="12"/>
  <c r="AW389" i="12" s="1"/>
  <c r="AX387" i="12"/>
  <c r="AV387" i="12"/>
  <c r="AU387" i="12"/>
  <c r="AT387" i="12"/>
  <c r="AW387" i="12" s="1"/>
  <c r="AX385" i="12"/>
  <c r="AV385" i="12"/>
  <c r="AU385" i="12"/>
  <c r="AT385" i="12"/>
  <c r="AW385" i="12" s="1"/>
  <c r="AX382" i="12"/>
  <c r="AV382" i="12"/>
  <c r="AU382" i="12"/>
  <c r="AT382" i="12"/>
  <c r="AW382" i="12" s="1"/>
  <c r="AV380" i="12"/>
  <c r="AT380" i="12"/>
  <c r="AW380" i="12" s="1"/>
  <c r="AI380" i="12"/>
  <c r="AJ380" i="12" s="1"/>
  <c r="AV378" i="12"/>
  <c r="AT378" i="12"/>
  <c r="AW378" i="12" s="1"/>
  <c r="AI378" i="12"/>
  <c r="AJ378" i="12" s="1"/>
  <c r="AV376" i="12"/>
  <c r="AT376" i="12"/>
  <c r="AW376" i="12" s="1"/>
  <c r="AI376" i="12"/>
  <c r="AJ376" i="12" s="1"/>
  <c r="AX372" i="12"/>
  <c r="AV372" i="12"/>
  <c r="AU372" i="12"/>
  <c r="AT372" i="12"/>
  <c r="AW372" i="12" s="1"/>
  <c r="AX370" i="12"/>
  <c r="AV370" i="12"/>
  <c r="AU370" i="12"/>
  <c r="AT370" i="12"/>
  <c r="AW370" i="12" s="1"/>
  <c r="AX366" i="12"/>
  <c r="AV366" i="12"/>
  <c r="AU366" i="12"/>
  <c r="AT366" i="12"/>
  <c r="AW366" i="12" s="1"/>
  <c r="AX364" i="12"/>
  <c r="AV364" i="12"/>
  <c r="AU364" i="12"/>
  <c r="AT364" i="12"/>
  <c r="AW364" i="12" s="1"/>
  <c r="AX362" i="12"/>
  <c r="AV362" i="12"/>
  <c r="AU362" i="12"/>
  <c r="AT362" i="12"/>
  <c r="AW362" i="12" s="1"/>
  <c r="AV360" i="12"/>
  <c r="AT360" i="12"/>
  <c r="AW360" i="12" s="1"/>
  <c r="AI360" i="12"/>
  <c r="AJ360" i="12" s="1"/>
  <c r="AX353" i="12"/>
  <c r="AV353" i="12"/>
  <c r="AU353" i="12"/>
  <c r="AT353" i="12"/>
  <c r="AW353" i="12" s="1"/>
  <c r="AV351" i="12"/>
  <c r="AT351" i="12"/>
  <c r="AW351" i="12" s="1"/>
  <c r="AI351" i="12"/>
  <c r="AJ351" i="12" s="1"/>
  <c r="AU351" i="12" s="1"/>
  <c r="AX347" i="12"/>
  <c r="AV347" i="12"/>
  <c r="AU347" i="12"/>
  <c r="AT347" i="12"/>
  <c r="AW347" i="12" s="1"/>
  <c r="AX345" i="12"/>
  <c r="AV345" i="12"/>
  <c r="AU345" i="12"/>
  <c r="AT345" i="12"/>
  <c r="AW345" i="12" s="1"/>
  <c r="AX343" i="12"/>
  <c r="AV343" i="12"/>
  <c r="AU343" i="12"/>
  <c r="AT343" i="12"/>
  <c r="AW343" i="12" s="1"/>
  <c r="AX341" i="12"/>
  <c r="AV341" i="12"/>
  <c r="AU341" i="12"/>
  <c r="AT341" i="12"/>
  <c r="AW341" i="12" s="1"/>
  <c r="AX338" i="12"/>
  <c r="AV338" i="12"/>
  <c r="AU338" i="12"/>
  <c r="AT338" i="12"/>
  <c r="AW338" i="12" s="1"/>
  <c r="AV336" i="12"/>
  <c r="AT336" i="12"/>
  <c r="AW336" i="12" s="1"/>
  <c r="AI336" i="12"/>
  <c r="AJ336" i="12" s="1"/>
  <c r="AV334" i="12"/>
  <c r="AT334" i="12"/>
  <c r="AW334" i="12" s="1"/>
  <c r="AI334" i="12"/>
  <c r="AJ334" i="12" s="1"/>
  <c r="AX334" i="12" s="1"/>
  <c r="AV332" i="12"/>
  <c r="AT332" i="12"/>
  <c r="AW332" i="12" s="1"/>
  <c r="AI332" i="12"/>
  <c r="AJ332" i="12" s="1"/>
  <c r="AV329" i="12"/>
  <c r="AT329" i="12"/>
  <c r="AW329" i="12" s="1"/>
  <c r="AI329" i="12"/>
  <c r="AJ329" i="12" s="1"/>
  <c r="AX329" i="12" s="1"/>
  <c r="AV327" i="12"/>
  <c r="AT327" i="12"/>
  <c r="AW327" i="12" s="1"/>
  <c r="AI327" i="12"/>
  <c r="AJ327" i="12" s="1"/>
  <c r="AV324" i="12"/>
  <c r="AT324" i="12"/>
  <c r="AW324" i="12" s="1"/>
  <c r="AJ324" i="12"/>
  <c r="AX324" i="12" s="1"/>
  <c r="AI324" i="12"/>
  <c r="AV322" i="12"/>
  <c r="AT322" i="12"/>
  <c r="AW322" i="12" s="1"/>
  <c r="AI322" i="12"/>
  <c r="AJ322" i="12" s="1"/>
  <c r="AV320" i="12"/>
  <c r="AT320" i="12"/>
  <c r="AW320" i="12" s="1"/>
  <c r="AI320" i="12"/>
  <c r="AJ320" i="12" s="1"/>
  <c r="AX320" i="12" s="1"/>
  <c r="AV318" i="12"/>
  <c r="AT318" i="12"/>
  <c r="AW318" i="12" s="1"/>
  <c r="AI318" i="12"/>
  <c r="AJ318" i="12" s="1"/>
  <c r="AV316" i="12"/>
  <c r="AT316" i="12"/>
  <c r="AW316" i="12" s="1"/>
  <c r="AI316" i="12"/>
  <c r="AJ316" i="12" s="1"/>
  <c r="AU316" i="12" s="1"/>
  <c r="AV314" i="12"/>
  <c r="AT314" i="12"/>
  <c r="AW314" i="12" s="1"/>
  <c r="AI314" i="12"/>
  <c r="AJ314" i="12" s="1"/>
  <c r="AV313" i="12"/>
  <c r="AT313" i="12"/>
  <c r="AW313" i="12" s="1"/>
  <c r="AI313" i="12"/>
  <c r="AJ313" i="12" s="1"/>
  <c r="AX313" i="12" s="1"/>
  <c r="AV312" i="12"/>
  <c r="AT312" i="12"/>
  <c r="AW312" i="12" s="1"/>
  <c r="AX303" i="12"/>
  <c r="AV303" i="12"/>
  <c r="AU303" i="12"/>
  <c r="AT303" i="12"/>
  <c r="AW303" i="12" s="1"/>
  <c r="AX301" i="12"/>
  <c r="AV301" i="12"/>
  <c r="AU301" i="12"/>
  <c r="AT301" i="12"/>
  <c r="AW301" i="12" s="1"/>
  <c r="AX299" i="12"/>
  <c r="AV299" i="12"/>
  <c r="AU299" i="12"/>
  <c r="AT299" i="12"/>
  <c r="AW299" i="12" s="1"/>
  <c r="AV297" i="12"/>
  <c r="AT297" i="12"/>
  <c r="AW297" i="12" s="1"/>
  <c r="AI297" i="12"/>
  <c r="AJ297" i="12" s="1"/>
  <c r="AU297" i="12" s="1"/>
  <c r="AV293" i="12"/>
  <c r="AT293" i="12"/>
  <c r="AW293" i="12" s="1"/>
  <c r="AI293" i="12"/>
  <c r="AJ293" i="12" s="1"/>
  <c r="AU293" i="12" s="1"/>
  <c r="AT292" i="12"/>
  <c r="AV291" i="12"/>
  <c r="AT291" i="12"/>
  <c r="AW291" i="12" s="1"/>
  <c r="AI291" i="12"/>
  <c r="AJ291" i="12" s="1"/>
  <c r="AU291" i="12" s="1"/>
  <c r="AT290" i="12"/>
  <c r="AV289" i="12"/>
  <c r="AT289" i="12"/>
  <c r="AW289" i="12" s="1"/>
  <c r="AI289" i="12"/>
  <c r="AJ289" i="12" s="1"/>
  <c r="AU289" i="12" s="1"/>
  <c r="AT288" i="12"/>
  <c r="AV287" i="12"/>
  <c r="AT287" i="12"/>
  <c r="AW287" i="12" s="1"/>
  <c r="AI287" i="12"/>
  <c r="AJ287" i="12" s="1"/>
  <c r="AU287" i="12" s="1"/>
  <c r="AT286" i="12"/>
  <c r="AV285" i="12"/>
  <c r="AT285" i="12"/>
  <c r="AW285" i="12" s="1"/>
  <c r="AI285" i="12"/>
  <c r="AJ285" i="12" s="1"/>
  <c r="AX285" i="12" s="1"/>
  <c r="AT284" i="12"/>
  <c r="AV283" i="12"/>
  <c r="AT283" i="12"/>
  <c r="AW283" i="12" s="1"/>
  <c r="AI283" i="12"/>
  <c r="AJ283" i="12" s="1"/>
  <c r="AX283" i="12" s="1"/>
  <c r="AV281" i="12"/>
  <c r="AT281" i="12"/>
  <c r="AW281" i="12" s="1"/>
  <c r="AI281" i="12"/>
  <c r="AJ281" i="12" s="1"/>
  <c r="AX281" i="12" s="1"/>
  <c r="AX279" i="12"/>
  <c r="AV279" i="12"/>
  <c r="AU279" i="12"/>
  <c r="AT279" i="12"/>
  <c r="AW279" i="12" s="1"/>
  <c r="AX277" i="12"/>
  <c r="AV277" i="12"/>
  <c r="AU277" i="12"/>
  <c r="AT277" i="12"/>
  <c r="AW277" i="12" s="1"/>
  <c r="AV274" i="12"/>
  <c r="AT274" i="12"/>
  <c r="AW274" i="12" s="1"/>
  <c r="AI274" i="12"/>
  <c r="AJ274" i="12" s="1"/>
  <c r="AU274" i="12" s="1"/>
  <c r="AX272" i="12"/>
  <c r="AV272" i="12"/>
  <c r="AU272" i="12"/>
  <c r="AT272" i="12"/>
  <c r="AW272" i="12" s="1"/>
  <c r="AX269" i="12"/>
  <c r="AV269" i="12"/>
  <c r="AU269" i="12"/>
  <c r="AT269" i="12"/>
  <c r="AW269" i="12" s="1"/>
  <c r="AV267" i="12"/>
  <c r="AT267" i="12"/>
  <c r="AW267" i="12" s="1"/>
  <c r="AI267" i="12"/>
  <c r="AJ267" i="12" s="1"/>
  <c r="AX267" i="12" s="1"/>
  <c r="AV264" i="12"/>
  <c r="AT264" i="12"/>
  <c r="AW264" i="12" s="1"/>
  <c r="AI264" i="12"/>
  <c r="AJ264" i="12" s="1"/>
  <c r="AX264" i="12" s="1"/>
  <c r="AV263" i="12"/>
  <c r="AT263" i="12"/>
  <c r="AW263" i="12" s="1"/>
  <c r="AI263" i="12"/>
  <c r="AJ263" i="12" s="1"/>
  <c r="AS252" i="12"/>
  <c r="AR252" i="12"/>
  <c r="AQ252" i="12"/>
  <c r="AP252" i="12"/>
  <c r="AO252" i="12"/>
  <c r="AN252" i="12"/>
  <c r="AM252" i="12"/>
  <c r="AK252" i="12"/>
  <c r="AF252" i="12"/>
  <c r="AE252" i="12"/>
  <c r="AD252" i="12"/>
  <c r="AV251" i="12"/>
  <c r="AT251" i="12"/>
  <c r="AW251" i="12" s="1"/>
  <c r="AI251" i="12"/>
  <c r="AJ251" i="12" s="1"/>
  <c r="AV247" i="12"/>
  <c r="AT247" i="12"/>
  <c r="AW247" i="12" s="1"/>
  <c r="AI247" i="12"/>
  <c r="AJ247" i="12" s="1"/>
  <c r="AU247" i="12" s="1"/>
  <c r="AV244" i="12"/>
  <c r="AT244" i="12"/>
  <c r="AW244" i="12" s="1"/>
  <c r="AI244" i="12"/>
  <c r="AJ244" i="12" s="1"/>
  <c r="AU244" i="12" s="1"/>
  <c r="AV241" i="12"/>
  <c r="AT241" i="12"/>
  <c r="AW241" i="12" s="1"/>
  <c r="AI241" i="12"/>
  <c r="AJ241" i="12" s="1"/>
  <c r="AV239" i="12"/>
  <c r="AT239" i="12"/>
  <c r="AW239" i="12" s="1"/>
  <c r="AI239" i="12"/>
  <c r="AJ239" i="12" s="1"/>
  <c r="AX239" i="12" s="1"/>
  <c r="AV238" i="12"/>
  <c r="AT238" i="12"/>
  <c r="AW238" i="12" s="1"/>
  <c r="AI238" i="12"/>
  <c r="AJ238" i="12" s="1"/>
  <c r="AU238" i="12" s="1"/>
  <c r="AV236" i="12"/>
  <c r="AT236" i="12"/>
  <c r="AW236" i="12" s="1"/>
  <c r="AH236" i="12"/>
  <c r="AI236" i="12" s="1"/>
  <c r="AJ236" i="12" s="1"/>
  <c r="AU236" i="12" s="1"/>
  <c r="AV234" i="12"/>
  <c r="AT234" i="12"/>
  <c r="AW234" i="12" s="1"/>
  <c r="AI234" i="12"/>
  <c r="AJ234" i="12" s="1"/>
  <c r="AU234" i="12" s="1"/>
  <c r="AV232" i="12"/>
  <c r="AT232" i="12"/>
  <c r="AW232" i="12" s="1"/>
  <c r="AI232" i="12"/>
  <c r="AJ232" i="12" s="1"/>
  <c r="AU232" i="12" s="1"/>
  <c r="AV230" i="12"/>
  <c r="AT230" i="12"/>
  <c r="AW230" i="12" s="1"/>
  <c r="AI230" i="12"/>
  <c r="AJ230" i="12" s="1"/>
  <c r="AX230" i="12" s="1"/>
  <c r="AV228" i="12"/>
  <c r="AT228" i="12"/>
  <c r="AW228" i="12" s="1"/>
  <c r="AI228" i="12"/>
  <c r="AJ228" i="12" s="1"/>
  <c r="AV226" i="12"/>
  <c r="AT226" i="12"/>
  <c r="AW226" i="12" s="1"/>
  <c r="AI226" i="12"/>
  <c r="AJ226" i="12" s="1"/>
  <c r="AV225" i="12"/>
  <c r="AT225" i="12"/>
  <c r="AW225" i="12" s="1"/>
  <c r="AI225" i="12"/>
  <c r="AJ225" i="12" s="1"/>
  <c r="AV224" i="12"/>
  <c r="AU224" i="12"/>
  <c r="AT224" i="12"/>
  <c r="AW224" i="12" s="1"/>
  <c r="AV223" i="12"/>
  <c r="AT223" i="12"/>
  <c r="AW223" i="12" s="1"/>
  <c r="AI223" i="12"/>
  <c r="AJ223" i="12" s="1"/>
  <c r="AV222" i="12"/>
  <c r="AT222" i="12"/>
  <c r="AW222" i="12" s="1"/>
  <c r="AI222" i="12"/>
  <c r="AJ222" i="12" s="1"/>
  <c r="AV220" i="12"/>
  <c r="AT220" i="12"/>
  <c r="AW220" i="12" s="1"/>
  <c r="AJ220" i="12"/>
  <c r="AV218" i="12"/>
  <c r="AT218" i="12"/>
  <c r="AW218" i="12" s="1"/>
  <c r="AI218" i="12"/>
  <c r="AJ218" i="12" s="1"/>
  <c r="AV217" i="12"/>
  <c r="AT217" i="12"/>
  <c r="AW217" i="12" s="1"/>
  <c r="AI217" i="12"/>
  <c r="AJ217" i="12" s="1"/>
  <c r="AV214" i="12"/>
  <c r="AT214" i="12"/>
  <c r="AW214" i="12" s="1"/>
  <c r="AI214" i="12"/>
  <c r="AJ214" i="12" s="1"/>
  <c r="AV213" i="12"/>
  <c r="AT213" i="12"/>
  <c r="AW213" i="12" s="1"/>
  <c r="AI213" i="12"/>
  <c r="AJ213" i="12" s="1"/>
  <c r="AX213" i="12" s="1"/>
  <c r="AG213" i="12"/>
  <c r="AG252" i="12" s="1"/>
  <c r="AV209" i="12"/>
  <c r="AT209" i="12"/>
  <c r="AW209" i="12" s="1"/>
  <c r="AI209" i="12"/>
  <c r="AJ209" i="12" s="1"/>
  <c r="AU209" i="12" s="1"/>
  <c r="AV208" i="12"/>
  <c r="AT208" i="12"/>
  <c r="AW208" i="12" s="1"/>
  <c r="AI208" i="12"/>
  <c r="AJ208" i="12" s="1"/>
  <c r="AV206" i="12"/>
  <c r="AT206" i="12"/>
  <c r="AW206" i="12" s="1"/>
  <c r="AH206" i="12"/>
  <c r="AI206" i="12" s="1"/>
  <c r="AJ206" i="12" s="1"/>
  <c r="AU206" i="12" s="1"/>
  <c r="AV205" i="12"/>
  <c r="AT205" i="12"/>
  <c r="AW205" i="12" s="1"/>
  <c r="AI205" i="12"/>
  <c r="AJ205" i="12" s="1"/>
  <c r="AV203" i="12"/>
  <c r="AT203" i="12"/>
  <c r="AW203" i="12" s="1"/>
  <c r="AI203" i="12"/>
  <c r="AJ203" i="12" s="1"/>
  <c r="AV201" i="12"/>
  <c r="AT201" i="12"/>
  <c r="AI201" i="12"/>
  <c r="AJ201" i="12" s="1"/>
  <c r="AX201" i="12" s="1"/>
  <c r="AX190" i="12"/>
  <c r="AV190" i="12"/>
  <c r="AU190" i="12"/>
  <c r="AT190" i="12"/>
  <c r="AW190" i="12" s="1"/>
  <c r="AL189" i="12"/>
  <c r="AS189" i="12"/>
  <c r="AR189" i="12"/>
  <c r="AQ189" i="12"/>
  <c r="AP189" i="12"/>
  <c r="AX189" i="12" s="1"/>
  <c r="AO189" i="12"/>
  <c r="AN189" i="12"/>
  <c r="AM189" i="12"/>
  <c r="AK189" i="12"/>
  <c r="AJ189" i="12"/>
  <c r="AI189" i="12"/>
  <c r="AH189" i="12"/>
  <c r="AG189" i="12"/>
  <c r="AG181" i="12" s="1"/>
  <c r="AF189" i="12"/>
  <c r="AE189" i="12"/>
  <c r="AD189" i="12"/>
  <c r="AV188" i="12"/>
  <c r="AT188" i="12"/>
  <c r="AW188" i="12" s="1"/>
  <c r="AI188" i="12"/>
  <c r="AJ188" i="12" s="1"/>
  <c r="AV187" i="12"/>
  <c r="AT187" i="12"/>
  <c r="AW187" i="12" s="1"/>
  <c r="AI187" i="12"/>
  <c r="AJ187" i="12" s="1"/>
  <c r="AX186" i="12"/>
  <c r="AV186" i="12"/>
  <c r="AU186" i="12"/>
  <c r="AT186" i="12"/>
  <c r="AW186" i="12" s="1"/>
  <c r="AX185" i="12"/>
  <c r="AV185" i="12"/>
  <c r="AU185" i="12"/>
  <c r="AT185" i="12"/>
  <c r="AW185" i="12" s="1"/>
  <c r="AX184" i="12"/>
  <c r="AV184" i="12"/>
  <c r="AU184" i="12"/>
  <c r="AT184" i="12"/>
  <c r="AW184" i="12" s="1"/>
  <c r="AX183" i="12"/>
  <c r="AV183" i="12"/>
  <c r="AU183" i="12"/>
  <c r="AT183" i="12"/>
  <c r="AW183" i="12" s="1"/>
  <c r="AS182" i="12"/>
  <c r="AR182" i="12"/>
  <c r="AQ182" i="12"/>
  <c r="AQ181" i="12" s="1"/>
  <c r="AP182" i="12"/>
  <c r="AO182" i="12"/>
  <c r="AN182" i="12"/>
  <c r="AM182" i="12"/>
  <c r="AK182" i="12"/>
  <c r="AH182" i="12"/>
  <c r="AG182" i="12"/>
  <c r="AF182" i="12"/>
  <c r="AF181" i="12" s="1"/>
  <c r="AE182" i="12"/>
  <c r="AD182" i="12"/>
  <c r="AE181" i="12"/>
  <c r="AV180" i="12"/>
  <c r="AT180" i="12"/>
  <c r="AW180" i="12" s="1"/>
  <c r="AE180" i="12"/>
  <c r="AI180" i="12" s="1"/>
  <c r="AJ180" i="12" s="1"/>
  <c r="AX179" i="12"/>
  <c r="AV179" i="12"/>
  <c r="AV178" i="12" s="1"/>
  <c r="AV177" i="12" s="1"/>
  <c r="AV176" i="12" s="1"/>
  <c r="AU179" i="12"/>
  <c r="AU178" i="12" s="1"/>
  <c r="AU177" i="12" s="1"/>
  <c r="AU176" i="12" s="1"/>
  <c r="AT179" i="12"/>
  <c r="AW179" i="12" s="1"/>
  <c r="AW178" i="12" s="1"/>
  <c r="AW177" i="12" s="1"/>
  <c r="AW176" i="12" s="1"/>
  <c r="AS178" i="12"/>
  <c r="AS177" i="12" s="1"/>
  <c r="AS176" i="12" s="1"/>
  <c r="AR178" i="12"/>
  <c r="AR177" i="12" s="1"/>
  <c r="AR176" i="12" s="1"/>
  <c r="AQ178" i="12"/>
  <c r="AQ177" i="12" s="1"/>
  <c r="AQ176" i="12" s="1"/>
  <c r="AP178" i="12"/>
  <c r="AO178" i="12"/>
  <c r="AO177" i="12" s="1"/>
  <c r="AO176" i="12" s="1"/>
  <c r="AN178" i="12"/>
  <c r="AN177" i="12" s="1"/>
  <c r="AN176" i="12" s="1"/>
  <c r="AM178" i="12"/>
  <c r="AM177" i="12" s="1"/>
  <c r="AM176" i="12" s="1"/>
  <c r="AL178" i="12"/>
  <c r="AL177" i="12" s="1"/>
  <c r="AL176" i="12" s="1"/>
  <c r="AK178" i="12"/>
  <c r="AK177" i="12" s="1"/>
  <c r="AK176" i="12" s="1"/>
  <c r="AJ178" i="12"/>
  <c r="AJ177" i="12" s="1"/>
  <c r="AJ176" i="12" s="1"/>
  <c r="AD178" i="12"/>
  <c r="AD177" i="12" s="1"/>
  <c r="AD176" i="12" s="1"/>
  <c r="AV175" i="12"/>
  <c r="AT175" i="12"/>
  <c r="AW175" i="12" s="1"/>
  <c r="AI175" i="12"/>
  <c r="AI174" i="12" s="1"/>
  <c r="AI173" i="12" s="1"/>
  <c r="AI172" i="12" s="1"/>
  <c r="AI171" i="12" s="1"/>
  <c r="AS174" i="12"/>
  <c r="AS173" i="12" s="1"/>
  <c r="AS172" i="12" s="1"/>
  <c r="AS171" i="12" s="1"/>
  <c r="AR174" i="12"/>
  <c r="AR173" i="12" s="1"/>
  <c r="AR172" i="12" s="1"/>
  <c r="AR171" i="12" s="1"/>
  <c r="AQ174" i="12"/>
  <c r="AP174" i="12"/>
  <c r="AP173" i="12" s="1"/>
  <c r="AO174" i="12"/>
  <c r="AO173" i="12" s="1"/>
  <c r="AO172" i="12" s="1"/>
  <c r="AO171" i="12" s="1"/>
  <c r="AN174" i="12"/>
  <c r="AN173" i="12" s="1"/>
  <c r="AN172" i="12" s="1"/>
  <c r="AN171" i="12" s="1"/>
  <c r="AM174" i="12"/>
  <c r="AM173" i="12" s="1"/>
  <c r="AM172" i="12" s="1"/>
  <c r="AM171" i="12" s="1"/>
  <c r="AL174" i="12"/>
  <c r="AL173" i="12" s="1"/>
  <c r="AL172" i="12" s="1"/>
  <c r="AL171" i="12" s="1"/>
  <c r="AK174" i="12"/>
  <c r="AK173" i="12" s="1"/>
  <c r="AK172" i="12" s="1"/>
  <c r="AK171" i="12" s="1"/>
  <c r="AH174" i="12"/>
  <c r="AH173" i="12" s="1"/>
  <c r="AH172" i="12" s="1"/>
  <c r="AH171" i="12" s="1"/>
  <c r="AG174" i="12"/>
  <c r="AG173" i="12" s="1"/>
  <c r="AG172" i="12" s="1"/>
  <c r="AG171" i="12" s="1"/>
  <c r="AF174" i="12"/>
  <c r="AF173" i="12" s="1"/>
  <c r="AF172" i="12" s="1"/>
  <c r="AF171" i="12" s="1"/>
  <c r="AE174" i="12"/>
  <c r="AE173" i="12" s="1"/>
  <c r="AE172" i="12" s="1"/>
  <c r="AE171" i="12" s="1"/>
  <c r="AD174" i="12"/>
  <c r="AD173" i="12" s="1"/>
  <c r="AD172" i="12" s="1"/>
  <c r="AD171" i="12" s="1"/>
  <c r="AV170" i="12"/>
  <c r="AT170" i="12"/>
  <c r="AW170" i="12" s="1"/>
  <c r="AI170" i="12"/>
  <c r="AJ170" i="12" s="1"/>
  <c r="AS169" i="12"/>
  <c r="AS168" i="12" s="1"/>
  <c r="AS167" i="12" s="1"/>
  <c r="AS166" i="12" s="1"/>
  <c r="AR169" i="12"/>
  <c r="AR168" i="12" s="1"/>
  <c r="AR167" i="12" s="1"/>
  <c r="AR166" i="12" s="1"/>
  <c r="AQ169" i="12"/>
  <c r="AP169" i="12"/>
  <c r="AO169" i="12"/>
  <c r="AO168" i="12" s="1"/>
  <c r="AO167" i="12" s="1"/>
  <c r="AO166" i="12" s="1"/>
  <c r="AN169" i="12"/>
  <c r="AN168" i="12" s="1"/>
  <c r="AN167" i="12" s="1"/>
  <c r="AN166" i="12" s="1"/>
  <c r="AM169" i="12"/>
  <c r="AL169" i="12"/>
  <c r="AL168" i="12" s="1"/>
  <c r="AL167" i="12" s="1"/>
  <c r="AL166" i="12" s="1"/>
  <c r="AK169" i="12"/>
  <c r="AK168" i="12" s="1"/>
  <c r="AK167" i="12" s="1"/>
  <c r="AK166" i="12" s="1"/>
  <c r="AH169" i="12"/>
  <c r="AH168" i="12" s="1"/>
  <c r="AH167" i="12" s="1"/>
  <c r="AH166" i="12" s="1"/>
  <c r="AG169" i="12"/>
  <c r="AG168" i="12" s="1"/>
  <c r="AG167" i="12" s="1"/>
  <c r="AG166" i="12" s="1"/>
  <c r="AF169" i="12"/>
  <c r="AF168" i="12" s="1"/>
  <c r="AF167" i="12" s="1"/>
  <c r="AF166" i="12" s="1"/>
  <c r="AE169" i="12"/>
  <c r="AE168" i="12" s="1"/>
  <c r="AE167" i="12" s="1"/>
  <c r="AE166" i="12" s="1"/>
  <c r="AD169" i="12"/>
  <c r="AD168" i="12"/>
  <c r="AD167" i="12" s="1"/>
  <c r="AD166" i="12" s="1"/>
  <c r="AX163" i="12"/>
  <c r="AV163" i="12"/>
  <c r="AU163" i="12"/>
  <c r="AT163" i="12"/>
  <c r="AW163" i="12" s="1"/>
  <c r="AL163" i="12"/>
  <c r="AX162" i="12"/>
  <c r="AV162" i="12"/>
  <c r="AU162" i="12"/>
  <c r="AT162" i="12"/>
  <c r="AW162" i="12" s="1"/>
  <c r="AL162" i="12"/>
  <c r="AL161" i="12" s="1"/>
  <c r="AS161" i="12"/>
  <c r="AS160" i="12" s="1"/>
  <c r="AR161" i="12"/>
  <c r="AR160" i="12" s="1"/>
  <c r="AQ161" i="12"/>
  <c r="AP161" i="12"/>
  <c r="AO161" i="12"/>
  <c r="AO160" i="12" s="1"/>
  <c r="AN161" i="12"/>
  <c r="AN160" i="12" s="1"/>
  <c r="AM161" i="12"/>
  <c r="AM160" i="12" s="1"/>
  <c r="AK161" i="12"/>
  <c r="AK160" i="12" s="1"/>
  <c r="AJ161" i="12"/>
  <c r="AI161" i="12"/>
  <c r="AI160" i="12" s="1"/>
  <c r="AH161" i="12"/>
  <c r="AH160" i="12" s="1"/>
  <c r="AG161" i="12"/>
  <c r="AG160" i="12" s="1"/>
  <c r="AF161" i="12"/>
  <c r="AF160" i="12" s="1"/>
  <c r="AE161" i="12"/>
  <c r="AE160" i="12" s="1"/>
  <c r="AD161" i="12"/>
  <c r="AD160" i="12" s="1"/>
  <c r="AP160" i="12"/>
  <c r="AJ160" i="12"/>
  <c r="AV159" i="12"/>
  <c r="AT159" i="12"/>
  <c r="AW159" i="12" s="1"/>
  <c r="AL159" i="12"/>
  <c r="AG159" i="12"/>
  <c r="AI159" i="12" s="1"/>
  <c r="AJ159" i="12" s="1"/>
  <c r="AX158" i="12"/>
  <c r="AV158" i="12"/>
  <c r="AU158" i="12"/>
  <c r="AT158" i="12"/>
  <c r="AW158" i="12" s="1"/>
  <c r="AL158" i="12"/>
  <c r="AX157" i="12"/>
  <c r="AV157" i="12"/>
  <c r="AU157" i="12"/>
  <c r="AT157" i="12"/>
  <c r="AW157" i="12" s="1"/>
  <c r="AL157" i="12"/>
  <c r="AS156" i="12"/>
  <c r="AS155" i="12" s="1"/>
  <c r="AR156" i="12"/>
  <c r="AR155" i="12" s="1"/>
  <c r="AQ156" i="12"/>
  <c r="AP156" i="12"/>
  <c r="AO156" i="12"/>
  <c r="AO155" i="12" s="1"/>
  <c r="AN156" i="12"/>
  <c r="AN155" i="12" s="1"/>
  <c r="AM156" i="12"/>
  <c r="AK156" i="12"/>
  <c r="AK155" i="12" s="1"/>
  <c r="AJ156" i="12"/>
  <c r="AU156" i="12" s="1"/>
  <c r="AI156" i="12"/>
  <c r="AH156" i="12"/>
  <c r="AH155" i="12" s="1"/>
  <c r="AG156" i="12"/>
  <c r="AF156" i="12"/>
  <c r="AF155" i="12" s="1"/>
  <c r="AE156" i="12"/>
  <c r="AE155" i="12" s="1"/>
  <c r="AD156" i="12"/>
  <c r="AD155" i="12" s="1"/>
  <c r="AM155" i="12"/>
  <c r="AV154" i="12"/>
  <c r="AT154" i="12"/>
  <c r="AW154" i="12" s="1"/>
  <c r="AI154" i="12"/>
  <c r="AJ154" i="12" s="1"/>
  <c r="AU154" i="12" s="1"/>
  <c r="AX153" i="12"/>
  <c r="AV153" i="12"/>
  <c r="AU153" i="12"/>
  <c r="AT153" i="12"/>
  <c r="AW153" i="12" s="1"/>
  <c r="AX152" i="12"/>
  <c r="AV152" i="12"/>
  <c r="AV151" i="12" s="1"/>
  <c r="AU152" i="12"/>
  <c r="AU151" i="12" s="1"/>
  <c r="AT152" i="12"/>
  <c r="AW152" i="12" s="1"/>
  <c r="AW151" i="12" s="1"/>
  <c r="AS151" i="12"/>
  <c r="AR151" i="12"/>
  <c r="AQ151" i="12"/>
  <c r="AP151" i="12"/>
  <c r="AX151" i="12" s="1"/>
  <c r="AO151" i="12"/>
  <c r="AN151" i="12"/>
  <c r="AM151" i="12"/>
  <c r="AL151" i="12"/>
  <c r="AK151" i="12"/>
  <c r="AJ151" i="12"/>
  <c r="AI151" i="12"/>
  <c r="AH151" i="12"/>
  <c r="AG151" i="12"/>
  <c r="AF151" i="12"/>
  <c r="AE151" i="12"/>
  <c r="AD151" i="12"/>
  <c r="AD150" i="12" s="1"/>
  <c r="AV149" i="12"/>
  <c r="AT149" i="12"/>
  <c r="AW149" i="12" s="1"/>
  <c r="AI149" i="12"/>
  <c r="AJ149" i="12" s="1"/>
  <c r="AV148" i="12"/>
  <c r="AT148" i="12"/>
  <c r="AW148" i="12" s="1"/>
  <c r="AI148" i="12"/>
  <c r="AJ148" i="12" s="1"/>
  <c r="AU148" i="12" s="1"/>
  <c r="AS144" i="12"/>
  <c r="AR144" i="12"/>
  <c r="AQ144" i="12"/>
  <c r="AP144" i="12"/>
  <c r="AO144" i="12"/>
  <c r="AN144" i="12"/>
  <c r="AM144" i="12"/>
  <c r="AL144" i="12"/>
  <c r="AK144" i="12"/>
  <c r="AH144" i="12"/>
  <c r="AG144" i="12"/>
  <c r="AF144" i="12"/>
  <c r="AE144" i="12"/>
  <c r="AD144" i="12"/>
  <c r="AX143" i="12"/>
  <c r="AV143" i="12"/>
  <c r="AU143" i="12"/>
  <c r="AT143" i="12"/>
  <c r="AW143" i="12" s="1"/>
  <c r="AX142" i="12"/>
  <c r="AV142" i="12"/>
  <c r="AU142" i="12"/>
  <c r="AT142" i="12"/>
  <c r="AW142" i="12" s="1"/>
  <c r="AR141" i="12"/>
  <c r="AR140" i="12" s="1"/>
  <c r="AS141" i="12"/>
  <c r="AS140" i="12" s="1"/>
  <c r="AQ141" i="12"/>
  <c r="AP141" i="12"/>
  <c r="AO141" i="12"/>
  <c r="AO140" i="12" s="1"/>
  <c r="AN141" i="12"/>
  <c r="AN140" i="12" s="1"/>
  <c r="AM141" i="12"/>
  <c r="AL141" i="12"/>
  <c r="AL140" i="12" s="1"/>
  <c r="AK141" i="12"/>
  <c r="AK140" i="12" s="1"/>
  <c r="AJ141" i="12"/>
  <c r="AJ140" i="12" s="1"/>
  <c r="AI141" i="12"/>
  <c r="AI140" i="12" s="1"/>
  <c r="AH141" i="12"/>
  <c r="AH140" i="12" s="1"/>
  <c r="AG141" i="12"/>
  <c r="AG140" i="12" s="1"/>
  <c r="AF141" i="12"/>
  <c r="AF140" i="12" s="1"/>
  <c r="AE141" i="12"/>
  <c r="AE140" i="12" s="1"/>
  <c r="AD141" i="12"/>
  <c r="AD140" i="12" s="1"/>
  <c r="AX139" i="12"/>
  <c r="AV139" i="12"/>
  <c r="AU139" i="12"/>
  <c r="AT139" i="12"/>
  <c r="AW139" i="12" s="1"/>
  <c r="AV138" i="12"/>
  <c r="AT138" i="12"/>
  <c r="AW138" i="12" s="1"/>
  <c r="AI138" i="12"/>
  <c r="AJ138" i="12" s="1"/>
  <c r="AX138" i="12" s="1"/>
  <c r="AV137" i="12"/>
  <c r="AU137" i="12"/>
  <c r="AT137" i="12"/>
  <c r="AW137" i="12" s="1"/>
  <c r="AV136" i="12"/>
  <c r="AT136" i="12"/>
  <c r="AW136" i="12" s="1"/>
  <c r="AR135" i="12"/>
  <c r="AI136" i="12"/>
  <c r="AJ136" i="12" s="1"/>
  <c r="AU136" i="12" s="1"/>
  <c r="AS135" i="12"/>
  <c r="AQ135" i="12"/>
  <c r="AP135" i="12"/>
  <c r="AO135" i="12"/>
  <c r="AN135" i="12"/>
  <c r="AM135" i="12"/>
  <c r="AL135" i="12"/>
  <c r="AK135" i="12"/>
  <c r="AH135" i="12"/>
  <c r="AG135" i="12"/>
  <c r="AF135" i="12"/>
  <c r="AE135" i="12"/>
  <c r="AD135" i="12"/>
  <c r="AX134" i="12"/>
  <c r="AV134" i="12"/>
  <c r="AU134" i="12"/>
  <c r="AT134" i="12"/>
  <c r="AW134" i="12" s="1"/>
  <c r="AX133" i="12"/>
  <c r="AV133" i="12"/>
  <c r="AU133" i="12"/>
  <c r="AT133" i="12"/>
  <c r="AW133" i="12" s="1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V131" i="12"/>
  <c r="AT131" i="12"/>
  <c r="AW131" i="12" s="1"/>
  <c r="AJ131" i="12"/>
  <c r="AI131" i="12"/>
  <c r="AX130" i="12"/>
  <c r="AV130" i="12"/>
  <c r="AU130" i="12"/>
  <c r="AT130" i="12"/>
  <c r="AW130" i="12" s="1"/>
  <c r="AX129" i="12"/>
  <c r="AV129" i="12"/>
  <c r="AU129" i="12"/>
  <c r="AT129" i="12"/>
  <c r="AW129" i="12" s="1"/>
  <c r="AV128" i="12"/>
  <c r="AT128" i="12"/>
  <c r="AW128" i="12" s="1"/>
  <c r="AI128" i="12"/>
  <c r="AS127" i="12"/>
  <c r="AS126" i="12" s="1"/>
  <c r="AQ127" i="12"/>
  <c r="AQ126" i="12" s="1"/>
  <c r="AP127" i="12"/>
  <c r="AP126" i="12" s="1"/>
  <c r="AO127" i="12"/>
  <c r="AO126" i="12" s="1"/>
  <c r="AN127" i="12"/>
  <c r="AM127" i="12"/>
  <c r="AM126" i="12" s="1"/>
  <c r="AL127" i="12"/>
  <c r="AL126" i="12" s="1"/>
  <c r="AK127" i="12"/>
  <c r="AK126" i="12" s="1"/>
  <c r="AG127" i="12"/>
  <c r="AG126" i="12" s="1"/>
  <c r="AF127" i="12"/>
  <c r="AF126" i="12" s="1"/>
  <c r="AE127" i="12"/>
  <c r="AD127" i="12"/>
  <c r="AD126" i="12" s="1"/>
  <c r="AN126" i="12"/>
  <c r="AE126" i="12"/>
  <c r="AX123" i="12"/>
  <c r="AV123" i="12"/>
  <c r="AU123" i="12"/>
  <c r="AT123" i="12"/>
  <c r="AW123" i="12" s="1"/>
  <c r="AX122" i="12"/>
  <c r="AV122" i="12"/>
  <c r="AU122" i="12"/>
  <c r="AT122" i="12"/>
  <c r="AW122" i="12" s="1"/>
  <c r="AS121" i="12"/>
  <c r="AS120" i="12" s="1"/>
  <c r="AS119" i="12" s="1"/>
  <c r="AS118" i="12" s="1"/>
  <c r="AQ121" i="12"/>
  <c r="AQ120" i="12" s="1"/>
  <c r="AQ119" i="12" s="1"/>
  <c r="AP121" i="12"/>
  <c r="AO121" i="12"/>
  <c r="AO120" i="12" s="1"/>
  <c r="AO119" i="12" s="1"/>
  <c r="AO118" i="12" s="1"/>
  <c r="AN121" i="12"/>
  <c r="AN120" i="12" s="1"/>
  <c r="AN119" i="12" s="1"/>
  <c r="AN118" i="12" s="1"/>
  <c r="AM121" i="12"/>
  <c r="AM120" i="12" s="1"/>
  <c r="AM119" i="12" s="1"/>
  <c r="AM118" i="12" s="1"/>
  <c r="AL121" i="12"/>
  <c r="AL120" i="12" s="1"/>
  <c r="AL119" i="12" s="1"/>
  <c r="AL118" i="12" s="1"/>
  <c r="AK121" i="12"/>
  <c r="AK120" i="12" s="1"/>
  <c r="AK119" i="12" s="1"/>
  <c r="AK118" i="12" s="1"/>
  <c r="AJ121" i="12"/>
  <c r="AI121" i="12"/>
  <c r="AI120" i="12" s="1"/>
  <c r="AI119" i="12" s="1"/>
  <c r="AI118" i="12" s="1"/>
  <c r="AH121" i="12"/>
  <c r="AH120" i="12" s="1"/>
  <c r="AH119" i="12" s="1"/>
  <c r="AH118" i="12" s="1"/>
  <c r="AG121" i="12"/>
  <c r="AG120" i="12" s="1"/>
  <c r="AG119" i="12" s="1"/>
  <c r="AG118" i="12" s="1"/>
  <c r="AF121" i="12"/>
  <c r="AE121" i="12"/>
  <c r="AD121" i="12"/>
  <c r="AD120" i="12" s="1"/>
  <c r="AD119" i="12" s="1"/>
  <c r="AD118" i="12" s="1"/>
  <c r="AF120" i="12"/>
  <c r="AF119" i="12" s="1"/>
  <c r="AF118" i="12" s="1"/>
  <c r="AE120" i="12"/>
  <c r="AE119" i="12" s="1"/>
  <c r="AE118" i="12" s="1"/>
  <c r="AV116" i="12"/>
  <c r="AT116" i="12"/>
  <c r="AW116" i="12" s="1"/>
  <c r="AI116" i="12"/>
  <c r="AJ116" i="12" s="1"/>
  <c r="AU116" i="12" s="1"/>
  <c r="AG103" i="12"/>
  <c r="AV115" i="12"/>
  <c r="AT115" i="12"/>
  <c r="AW115" i="12" s="1"/>
  <c r="AI115" i="12"/>
  <c r="AJ115" i="12" s="1"/>
  <c r="AX114" i="12"/>
  <c r="AV114" i="12"/>
  <c r="AU114" i="12"/>
  <c r="AT114" i="12"/>
  <c r="AW114" i="12" s="1"/>
  <c r="AX113" i="12"/>
  <c r="AV113" i="12"/>
  <c r="AU113" i="12"/>
  <c r="AT113" i="12"/>
  <c r="AW113" i="12" s="1"/>
  <c r="AV112" i="12"/>
  <c r="AT112" i="12"/>
  <c r="AW112" i="12" s="1"/>
  <c r="AI112" i="12"/>
  <c r="AJ112" i="12" s="1"/>
  <c r="AX112" i="12" s="1"/>
  <c r="AX111" i="12"/>
  <c r="AV111" i="12"/>
  <c r="AU111" i="12"/>
  <c r="AT111" i="12"/>
  <c r="AW111" i="12" s="1"/>
  <c r="AX110" i="12"/>
  <c r="AV110" i="12"/>
  <c r="AU110" i="12"/>
  <c r="AT110" i="12"/>
  <c r="AW110" i="12" s="1"/>
  <c r="AX109" i="12"/>
  <c r="AV109" i="12"/>
  <c r="AU109" i="12"/>
  <c r="AT109" i="12"/>
  <c r="AW109" i="12" s="1"/>
  <c r="AX108" i="12"/>
  <c r="AV108" i="12"/>
  <c r="AU108" i="12"/>
  <c r="AT108" i="12"/>
  <c r="AW108" i="12" s="1"/>
  <c r="AX107" i="12"/>
  <c r="AV107" i="12"/>
  <c r="AU107" i="12"/>
  <c r="AT107" i="12"/>
  <c r="AW107" i="12" s="1"/>
  <c r="AX106" i="12"/>
  <c r="AV106" i="12"/>
  <c r="AU106" i="12"/>
  <c r="AT106" i="12"/>
  <c r="AW106" i="12" s="1"/>
  <c r="AV105" i="12"/>
  <c r="AT105" i="12"/>
  <c r="AI105" i="12"/>
  <c r="AN103" i="12"/>
  <c r="AM103" i="12"/>
  <c r="AL103" i="12"/>
  <c r="AK103" i="12"/>
  <c r="AH103" i="12"/>
  <c r="AF103" i="12"/>
  <c r="AE103" i="12"/>
  <c r="AD103" i="12"/>
  <c r="AS103" i="12"/>
  <c r="AQ103" i="12"/>
  <c r="AO103" i="12"/>
  <c r="AV100" i="12"/>
  <c r="AT100" i="12"/>
  <c r="AW100" i="12" s="1"/>
  <c r="AI100" i="12"/>
  <c r="AJ100" i="12" s="1"/>
  <c r="AV99" i="12"/>
  <c r="AT99" i="12"/>
  <c r="AW99" i="12" s="1"/>
  <c r="AI99" i="12"/>
  <c r="AJ99" i="12" s="1"/>
  <c r="AV98" i="12"/>
  <c r="AT98" i="12"/>
  <c r="AW98" i="12" s="1"/>
  <c r="AH98" i="12"/>
  <c r="AG98" i="12"/>
  <c r="AG94" i="12" s="1"/>
  <c r="AV97" i="12"/>
  <c r="AT97" i="12"/>
  <c r="AW97" i="12" s="1"/>
  <c r="AI97" i="12"/>
  <c r="AJ97" i="12" s="1"/>
  <c r="AU97" i="12" s="1"/>
  <c r="AV96" i="12"/>
  <c r="AT96" i="12"/>
  <c r="AW96" i="12" s="1"/>
  <c r="AI96" i="12"/>
  <c r="AJ96" i="12" s="1"/>
  <c r="AV95" i="12"/>
  <c r="AT95" i="12"/>
  <c r="AW95" i="12" s="1"/>
  <c r="AH95" i="12"/>
  <c r="AS94" i="12"/>
  <c r="AR94" i="12"/>
  <c r="AQ94" i="12"/>
  <c r="AP94" i="12"/>
  <c r="AO94" i="12"/>
  <c r="AN94" i="12"/>
  <c r="AM94" i="12"/>
  <c r="AK94" i="12"/>
  <c r="AF94" i="12"/>
  <c r="AE94" i="12"/>
  <c r="AD94" i="12"/>
  <c r="AV93" i="12"/>
  <c r="AT93" i="12"/>
  <c r="AW93" i="12" s="1"/>
  <c r="AL93" i="12"/>
  <c r="AH93" i="12"/>
  <c r="AG93" i="12"/>
  <c r="AV92" i="12"/>
  <c r="AT92" i="12"/>
  <c r="AW92" i="12" s="1"/>
  <c r="AL92" i="12"/>
  <c r="AJ92" i="12"/>
  <c r="AU92" i="12" s="1"/>
  <c r="AI92" i="12"/>
  <c r="AV91" i="12"/>
  <c r="AT91" i="12"/>
  <c r="AW91" i="12" s="1"/>
  <c r="AI91" i="12"/>
  <c r="AJ91" i="12" s="1"/>
  <c r="AV90" i="12"/>
  <c r="AT90" i="12"/>
  <c r="AI90" i="12"/>
  <c r="AJ90" i="12" s="1"/>
  <c r="AV89" i="12"/>
  <c r="AT89" i="12"/>
  <c r="AW89" i="12" s="1"/>
  <c r="AI89" i="12"/>
  <c r="AJ89" i="12" s="1"/>
  <c r="AS88" i="12"/>
  <c r="AS87" i="12" s="1"/>
  <c r="AS86" i="12" s="1"/>
  <c r="AR88" i="12"/>
  <c r="AQ88" i="12"/>
  <c r="AP88" i="12"/>
  <c r="AO88" i="12"/>
  <c r="AN88" i="12"/>
  <c r="AN87" i="12" s="1"/>
  <c r="AN86" i="12" s="1"/>
  <c r="AM88" i="12"/>
  <c r="AM87" i="12" s="1"/>
  <c r="AM86" i="12" s="1"/>
  <c r="AK88" i="12"/>
  <c r="AH88" i="12"/>
  <c r="AG88" i="12"/>
  <c r="AF88" i="12"/>
  <c r="AF87" i="12" s="1"/>
  <c r="AF86" i="12" s="1"/>
  <c r="AE88" i="12"/>
  <c r="AD88" i="12"/>
  <c r="AX85" i="12"/>
  <c r="AV85" i="12"/>
  <c r="AU85" i="12"/>
  <c r="AT85" i="12"/>
  <c r="AW85" i="12" s="1"/>
  <c r="AV84" i="12"/>
  <c r="AT84" i="12"/>
  <c r="AW84" i="12" s="1"/>
  <c r="AI84" i="12"/>
  <c r="AJ84" i="12" s="1"/>
  <c r="AX83" i="12"/>
  <c r="AV83" i="12"/>
  <c r="AU83" i="12"/>
  <c r="AT83" i="12"/>
  <c r="AW83" i="12" s="1"/>
  <c r="AX82" i="12"/>
  <c r="AV82" i="12"/>
  <c r="AU82" i="12"/>
  <c r="AT82" i="12"/>
  <c r="AW82" i="12" s="1"/>
  <c r="AX81" i="12"/>
  <c r="AV81" i="12"/>
  <c r="AU81" i="12"/>
  <c r="AT81" i="12"/>
  <c r="AW81" i="12" s="1"/>
  <c r="AX80" i="12"/>
  <c r="AV80" i="12"/>
  <c r="AU80" i="12"/>
  <c r="AT80" i="12"/>
  <c r="AW80" i="12" s="1"/>
  <c r="AX79" i="12"/>
  <c r="AV79" i="12"/>
  <c r="AU79" i="12"/>
  <c r="AT79" i="12"/>
  <c r="AW79" i="12" s="1"/>
  <c r="AS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X77" i="12"/>
  <c r="AV77" i="12"/>
  <c r="AU77" i="12"/>
  <c r="AT77" i="12"/>
  <c r="AW77" i="12" s="1"/>
  <c r="AV76" i="12"/>
  <c r="AT76" i="12"/>
  <c r="AW76" i="12" s="1"/>
  <c r="AH76" i="12"/>
  <c r="AS75" i="12"/>
  <c r="AQ75" i="12"/>
  <c r="AP75" i="12"/>
  <c r="AO75" i="12"/>
  <c r="AN75" i="12"/>
  <c r="AM75" i="12"/>
  <c r="AL75" i="12"/>
  <c r="AK75" i="12"/>
  <c r="AG75" i="12"/>
  <c r="AF75" i="12"/>
  <c r="AE75" i="12"/>
  <c r="AD75" i="12"/>
  <c r="AV74" i="12"/>
  <c r="AT74" i="12"/>
  <c r="AW74" i="12" s="1"/>
  <c r="AI74" i="12"/>
  <c r="AI72" i="12" s="1"/>
  <c r="AX73" i="12"/>
  <c r="AV73" i="12"/>
  <c r="AU73" i="12"/>
  <c r="AT73" i="12"/>
  <c r="AW73" i="12" s="1"/>
  <c r="AS72" i="12"/>
  <c r="AQ72" i="12"/>
  <c r="AP72" i="12"/>
  <c r="AO72" i="12"/>
  <c r="AN72" i="12"/>
  <c r="AM72" i="12"/>
  <c r="AL72" i="12"/>
  <c r="AK72" i="12"/>
  <c r="AH72" i="12"/>
  <c r="AG72" i="12"/>
  <c r="AF72" i="12"/>
  <c r="AE72" i="12"/>
  <c r="AD72" i="12"/>
  <c r="AD71" i="12" s="1"/>
  <c r="AD70" i="12" s="1"/>
  <c r="AV69" i="12"/>
  <c r="AT69" i="12"/>
  <c r="AW69" i="12" s="1"/>
  <c r="AI69" i="12"/>
  <c r="AX68" i="12"/>
  <c r="AV68" i="12"/>
  <c r="AU68" i="12"/>
  <c r="AT68" i="12"/>
  <c r="AW68" i="12" s="1"/>
  <c r="AS67" i="12"/>
  <c r="AQ67" i="12"/>
  <c r="AP67" i="12"/>
  <c r="AO67" i="12"/>
  <c r="AN67" i="12"/>
  <c r="AM67" i="12"/>
  <c r="AL67" i="12"/>
  <c r="AK67" i="12"/>
  <c r="AH67" i="12"/>
  <c r="AG67" i="12"/>
  <c r="AF67" i="12"/>
  <c r="AE67" i="12"/>
  <c r="AD67" i="12"/>
  <c r="AV66" i="12"/>
  <c r="AT66" i="12"/>
  <c r="AW66" i="12" s="1"/>
  <c r="AI66" i="12"/>
  <c r="AX65" i="12"/>
  <c r="AV65" i="12"/>
  <c r="AU65" i="12"/>
  <c r="AT65" i="12"/>
  <c r="AW65" i="12" s="1"/>
  <c r="AS64" i="12"/>
  <c r="AQ64" i="12"/>
  <c r="AT64" i="12" s="1"/>
  <c r="AP64" i="12"/>
  <c r="AO64" i="12"/>
  <c r="AN64" i="12"/>
  <c r="AM64" i="12"/>
  <c r="AL64" i="12"/>
  <c r="AK64" i="12"/>
  <c r="AH64" i="12"/>
  <c r="AG64" i="12"/>
  <c r="AF64" i="12"/>
  <c r="AE64" i="12"/>
  <c r="AD64" i="12"/>
  <c r="AV63" i="12"/>
  <c r="AT63" i="12"/>
  <c r="AW63" i="12" s="1"/>
  <c r="AI63" i="12"/>
  <c r="AJ63" i="12" s="1"/>
  <c r="AV62" i="12"/>
  <c r="AT62" i="12"/>
  <c r="AW62" i="12" s="1"/>
  <c r="AI62" i="12"/>
  <c r="AJ62" i="12" s="1"/>
  <c r="AS61" i="12"/>
  <c r="AQ61" i="12"/>
  <c r="AT61" i="12" s="1"/>
  <c r="AP61" i="12"/>
  <c r="AO61" i="12"/>
  <c r="AN61" i="12"/>
  <c r="AM61" i="12"/>
  <c r="AV61" i="12" s="1"/>
  <c r="AL61" i="12"/>
  <c r="AK61" i="12"/>
  <c r="AH61" i="12"/>
  <c r="AG61" i="12"/>
  <c r="AF61" i="12"/>
  <c r="AE61" i="12"/>
  <c r="AD61" i="12"/>
  <c r="AV60" i="12"/>
  <c r="AT60" i="12"/>
  <c r="AW60" i="12" s="1"/>
  <c r="AI60" i="12"/>
  <c r="AI58" i="12" s="1"/>
  <c r="AV59" i="12"/>
  <c r="AT59" i="12"/>
  <c r="AW59" i="12" s="1"/>
  <c r="AI59" i="12"/>
  <c r="AJ59" i="12" s="1"/>
  <c r="AS58" i="12"/>
  <c r="AQ58" i="12"/>
  <c r="AP58" i="12"/>
  <c r="AO58" i="12"/>
  <c r="AN58" i="12"/>
  <c r="AM58" i="12"/>
  <c r="AL58" i="12"/>
  <c r="AK58" i="12"/>
  <c r="AH58" i="12"/>
  <c r="AG58" i="12"/>
  <c r="AF58" i="12"/>
  <c r="AE58" i="12"/>
  <c r="AD58" i="12"/>
  <c r="AX57" i="12"/>
  <c r="AV57" i="12"/>
  <c r="AU57" i="12"/>
  <c r="AT57" i="12"/>
  <c r="AW57" i="12" s="1"/>
  <c r="AV56" i="12"/>
  <c r="AT56" i="12"/>
  <c r="AW56" i="12" s="1"/>
  <c r="AI56" i="12"/>
  <c r="AJ56" i="12" s="1"/>
  <c r="AU56" i="12" s="1"/>
  <c r="AS55" i="12"/>
  <c r="AQ55" i="12"/>
  <c r="AP55" i="12"/>
  <c r="AO55" i="12"/>
  <c r="AN55" i="12"/>
  <c r="AM55" i="12"/>
  <c r="AL55" i="12"/>
  <c r="AK55" i="12"/>
  <c r="AH55" i="12"/>
  <c r="AG55" i="12"/>
  <c r="AF55" i="12"/>
  <c r="AE55" i="12"/>
  <c r="AD55" i="12"/>
  <c r="AV54" i="12"/>
  <c r="AT54" i="12"/>
  <c r="AW54" i="12" s="1"/>
  <c r="AI54" i="12"/>
  <c r="AJ54" i="12" s="1"/>
  <c r="AV53" i="12"/>
  <c r="AT53" i="12"/>
  <c r="AW53" i="12" s="1"/>
  <c r="AH52" i="12"/>
  <c r="AS52" i="12"/>
  <c r="AQ52" i="12"/>
  <c r="AP52" i="12"/>
  <c r="AO52" i="12"/>
  <c r="AN52" i="12"/>
  <c r="AM52" i="12"/>
  <c r="AL52" i="12"/>
  <c r="AK52" i="12"/>
  <c r="AG52" i="12"/>
  <c r="AF52" i="12"/>
  <c r="AE52" i="12"/>
  <c r="AD52" i="12"/>
  <c r="AX51" i="12"/>
  <c r="AV51" i="12"/>
  <c r="AU51" i="12"/>
  <c r="AT51" i="12"/>
  <c r="AW51" i="12" s="1"/>
  <c r="AX50" i="12"/>
  <c r="AV50" i="12"/>
  <c r="AU50" i="12"/>
  <c r="AT50" i="12"/>
  <c r="AW50" i="12" s="1"/>
  <c r="AS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X48" i="12"/>
  <c r="AV48" i="12"/>
  <c r="AU48" i="12"/>
  <c r="AT48" i="12"/>
  <c r="AW48" i="12" s="1"/>
  <c r="AV47" i="12"/>
  <c r="AT47" i="12"/>
  <c r="AW47" i="12" s="1"/>
  <c r="AI47" i="12"/>
  <c r="AS46" i="12"/>
  <c r="AQ46" i="12"/>
  <c r="AP46" i="12"/>
  <c r="AO46" i="12"/>
  <c r="AN46" i="12"/>
  <c r="AM46" i="12"/>
  <c r="AL46" i="12"/>
  <c r="AK46" i="12"/>
  <c r="AH46" i="12"/>
  <c r="AG46" i="12"/>
  <c r="AF46" i="12"/>
  <c r="AE46" i="12"/>
  <c r="AD46" i="12"/>
  <c r="AV45" i="12"/>
  <c r="AT45" i="12"/>
  <c r="AW45" i="12" s="1"/>
  <c r="AI45" i="12"/>
  <c r="AJ45" i="12" s="1"/>
  <c r="AV44" i="12"/>
  <c r="AT44" i="12"/>
  <c r="AW44" i="12" s="1"/>
  <c r="AS43" i="12"/>
  <c r="AQ43" i="12"/>
  <c r="AP43" i="12"/>
  <c r="AO43" i="12"/>
  <c r="AN43" i="12"/>
  <c r="AM43" i="12"/>
  <c r="AL43" i="12"/>
  <c r="AK43" i="12"/>
  <c r="AG43" i="12"/>
  <c r="AF43" i="12"/>
  <c r="AE43" i="12"/>
  <c r="AD43" i="12"/>
  <c r="AX41" i="12"/>
  <c r="AV41" i="12"/>
  <c r="AU41" i="12"/>
  <c r="AT41" i="12"/>
  <c r="AW41" i="12" s="1"/>
  <c r="AS40" i="12"/>
  <c r="AS39" i="12" s="1"/>
  <c r="AR40" i="12"/>
  <c r="AR39" i="12" s="1"/>
  <c r="AQ40" i="12"/>
  <c r="AQ39" i="12" s="1"/>
  <c r="AP40" i="12"/>
  <c r="AO40" i="12"/>
  <c r="AO39" i="12" s="1"/>
  <c r="AN40" i="12"/>
  <c r="AN39" i="12" s="1"/>
  <c r="AM40" i="12"/>
  <c r="AM39" i="12" s="1"/>
  <c r="AL40" i="12"/>
  <c r="AL39" i="12" s="1"/>
  <c r="AK40" i="12"/>
  <c r="AK39" i="12" s="1"/>
  <c r="AJ40" i="12"/>
  <c r="AI40" i="12"/>
  <c r="AI39" i="12" s="1"/>
  <c r="AH40" i="12"/>
  <c r="AH39" i="12" s="1"/>
  <c r="AG40" i="12"/>
  <c r="AG39" i="12" s="1"/>
  <c r="AF40" i="12"/>
  <c r="AF39" i="12" s="1"/>
  <c r="AE40" i="12"/>
  <c r="AE39" i="12" s="1"/>
  <c r="AD40" i="12"/>
  <c r="AD39" i="12" s="1"/>
  <c r="AV38" i="12"/>
  <c r="AU38" i="12"/>
  <c r="AT38" i="12"/>
  <c r="AW38" i="12" s="1"/>
  <c r="AR38" i="12"/>
  <c r="AO38" i="12"/>
  <c r="AL38" i="12"/>
  <c r="AV37" i="12"/>
  <c r="AT37" i="12"/>
  <c r="AW37" i="12" s="1"/>
  <c r="AI37" i="12"/>
  <c r="AJ37" i="12" s="1"/>
  <c r="AV36" i="12"/>
  <c r="AT36" i="12"/>
  <c r="AW36" i="12" s="1"/>
  <c r="AJ36" i="12"/>
  <c r="AU36" i="12" s="1"/>
  <c r="AI36" i="12"/>
  <c r="AV35" i="12"/>
  <c r="AT35" i="12"/>
  <c r="AW35" i="12" s="1"/>
  <c r="AI35" i="12"/>
  <c r="AJ35" i="12" s="1"/>
  <c r="AS34" i="12"/>
  <c r="AQ34" i="12"/>
  <c r="AT34" i="12" s="1"/>
  <c r="AP34" i="12"/>
  <c r="AO34" i="12"/>
  <c r="AN34" i="12"/>
  <c r="AM34" i="12"/>
  <c r="AL34" i="12"/>
  <c r="AK34" i="12"/>
  <c r="AH34" i="12"/>
  <c r="AG34" i="12"/>
  <c r="AF34" i="12"/>
  <c r="AE34" i="12"/>
  <c r="AD34" i="12"/>
  <c r="AX33" i="12"/>
  <c r="AV33" i="12"/>
  <c r="AU33" i="12"/>
  <c r="AT33" i="12"/>
  <c r="AW33" i="12" s="1"/>
  <c r="AX32" i="12"/>
  <c r="AV32" i="12"/>
  <c r="AU32" i="12"/>
  <c r="AT32" i="12"/>
  <c r="AW32" i="12" s="1"/>
  <c r="AS31" i="12"/>
  <c r="AQ31" i="12"/>
  <c r="AP31" i="12"/>
  <c r="AO31" i="12"/>
  <c r="AN31" i="12"/>
  <c r="AN30" i="12" s="1"/>
  <c r="AM31" i="12"/>
  <c r="AL31" i="12"/>
  <c r="AK31" i="12"/>
  <c r="AJ31" i="12"/>
  <c r="AI31" i="12"/>
  <c r="AH31" i="12"/>
  <c r="AG31" i="12"/>
  <c r="AF31" i="12"/>
  <c r="AE31" i="12"/>
  <c r="AD31" i="12"/>
  <c r="AX29" i="12"/>
  <c r="AV29" i="12"/>
  <c r="AU29" i="12"/>
  <c r="AT29" i="12"/>
  <c r="AW29" i="12" s="1"/>
  <c r="AX28" i="12"/>
  <c r="AV28" i="12"/>
  <c r="AU28" i="12"/>
  <c r="AT28" i="12"/>
  <c r="AW28" i="12" s="1"/>
  <c r="AS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X26" i="12"/>
  <c r="AV26" i="12"/>
  <c r="AU26" i="12"/>
  <c r="AT26" i="12"/>
  <c r="AW26" i="12" s="1"/>
  <c r="AV25" i="12"/>
  <c r="AT25" i="12"/>
  <c r="AW25" i="12" s="1"/>
  <c r="AI25" i="12"/>
  <c r="AJ25" i="12" s="1"/>
  <c r="AS24" i="12"/>
  <c r="AQ24" i="12"/>
  <c r="AT24" i="12" s="1"/>
  <c r="AP24" i="12"/>
  <c r="AO24" i="12"/>
  <c r="AN24" i="12"/>
  <c r="AM24" i="12"/>
  <c r="AV24" i="12" s="1"/>
  <c r="AL24" i="12"/>
  <c r="AK24" i="12"/>
  <c r="AH24" i="12"/>
  <c r="AG24" i="12"/>
  <c r="AF24" i="12"/>
  <c r="AE24" i="12"/>
  <c r="AD24" i="12"/>
  <c r="AX23" i="12"/>
  <c r="AV23" i="12"/>
  <c r="AU23" i="12"/>
  <c r="AT23" i="12"/>
  <c r="AW23" i="12" s="1"/>
  <c r="AX22" i="12"/>
  <c r="AV22" i="12"/>
  <c r="AU22" i="12"/>
  <c r="AT22" i="12"/>
  <c r="AW22" i="12" s="1"/>
  <c r="AL22" i="12"/>
  <c r="AV21" i="12"/>
  <c r="AU21" i="12"/>
  <c r="AT21" i="12"/>
  <c r="AW21" i="12" s="1"/>
  <c r="AL21" i="12"/>
  <c r="AV20" i="12"/>
  <c r="AT20" i="12"/>
  <c r="AW20" i="12" s="1"/>
  <c r="AI20" i="12"/>
  <c r="AJ20" i="12" s="1"/>
  <c r="AV19" i="12"/>
  <c r="AT19" i="12"/>
  <c r="AW19" i="12" s="1"/>
  <c r="AI19" i="12"/>
  <c r="AJ19" i="12" s="1"/>
  <c r="AV18" i="12"/>
  <c r="AT18" i="12"/>
  <c r="AW18" i="12" s="1"/>
  <c r="AH18" i="12"/>
  <c r="AI18" i="12" s="1"/>
  <c r="AJ18" i="12" s="1"/>
  <c r="AS17" i="12"/>
  <c r="AQ17" i="12"/>
  <c r="AP17" i="12"/>
  <c r="AO17" i="12"/>
  <c r="AN17" i="12"/>
  <c r="AM17" i="12"/>
  <c r="AL17" i="12"/>
  <c r="AK17" i="12"/>
  <c r="AG17" i="12"/>
  <c r="AF17" i="12"/>
  <c r="AE17" i="12"/>
  <c r="AD17" i="12"/>
  <c r="AE30" i="12" l="1"/>
  <c r="AF30" i="12"/>
  <c r="AE71" i="12"/>
  <c r="AE70" i="12" s="1"/>
  <c r="AO87" i="12"/>
  <c r="AO86" i="12" s="1"/>
  <c r="AU121" i="12"/>
  <c r="AS125" i="12"/>
  <c r="AS124" i="12" s="1"/>
  <c r="AV135" i="12"/>
  <c r="AH1190" i="12"/>
  <c r="AK125" i="12"/>
  <c r="AK124" i="12" s="1"/>
  <c r="AK150" i="12"/>
  <c r="AX498" i="12"/>
  <c r="AE753" i="12"/>
  <c r="AT1100" i="12"/>
  <c r="AX31" i="12"/>
  <c r="AM125" i="12"/>
  <c r="AM124" i="12" s="1"/>
  <c r="AG155" i="12"/>
  <c r="AI155" i="12" s="1"/>
  <c r="AX156" i="12"/>
  <c r="AH181" i="12"/>
  <c r="AI93" i="12"/>
  <c r="AJ93" i="12" s="1"/>
  <c r="AU93" i="12" s="1"/>
  <c r="AX132" i="12"/>
  <c r="AT135" i="12"/>
  <c r="AT156" i="12"/>
  <c r="AX589" i="12"/>
  <c r="AI104" i="12"/>
  <c r="AI103" i="12" s="1"/>
  <c r="AI102" i="12" s="1"/>
  <c r="AT132" i="12"/>
  <c r="AI135" i="12"/>
  <c r="AU27" i="12"/>
  <c r="AV1336" i="12"/>
  <c r="AR181" i="12"/>
  <c r="AS181" i="12"/>
  <c r="AK181" i="12"/>
  <c r="AT189" i="12"/>
  <c r="AW189" i="12" s="1"/>
  <c r="AW105" i="12"/>
  <c r="AW104" i="12" s="1"/>
  <c r="AT104" i="12"/>
  <c r="AV104" i="12"/>
  <c r="AL71" i="12"/>
  <c r="AL70" i="12" s="1"/>
  <c r="AO71" i="12"/>
  <c r="AO70" i="12" s="1"/>
  <c r="AM71" i="12"/>
  <c r="AV27" i="12"/>
  <c r="AT1153" i="12"/>
  <c r="AU396" i="12"/>
  <c r="AX396" i="12"/>
  <c r="AU525" i="12"/>
  <c r="AX525" i="12"/>
  <c r="AU577" i="12"/>
  <c r="AX577" i="12"/>
  <c r="AJ60" i="12"/>
  <c r="AU141" i="12"/>
  <c r="AU140" i="12" s="1"/>
  <c r="AW132" i="12"/>
  <c r="AV52" i="12"/>
  <c r="AG71" i="12"/>
  <c r="AG70" i="12" s="1"/>
  <c r="AT72" i="12"/>
  <c r="AW72" i="12" s="1"/>
  <c r="AI98" i="12"/>
  <c r="AJ98" i="12" s="1"/>
  <c r="AX98" i="12" s="1"/>
  <c r="AL125" i="12"/>
  <c r="AL124" i="12" s="1"/>
  <c r="AJ175" i="12"/>
  <c r="AN181" i="12"/>
  <c r="AN165" i="12" s="1"/>
  <c r="AN164" i="12" s="1"/>
  <c r="AU1182" i="12"/>
  <c r="AS71" i="12"/>
  <c r="AS70" i="12" s="1"/>
  <c r="AN16" i="12"/>
  <c r="AN15" i="12" s="1"/>
  <c r="AK30" i="12"/>
  <c r="AX36" i="12"/>
  <c r="AK71" i="12"/>
  <c r="AK70" i="12" s="1"/>
  <c r="AT126" i="12"/>
  <c r="AW126" i="12" s="1"/>
  <c r="AP181" i="12"/>
  <c r="AV181" i="12" s="1"/>
  <c r="AI836" i="12"/>
  <c r="AJ836" i="12" s="1"/>
  <c r="AU836" i="12" s="1"/>
  <c r="AI919" i="12"/>
  <c r="AJ919" i="12" s="1"/>
  <c r="AU1006" i="12"/>
  <c r="AX1146" i="12"/>
  <c r="AM181" i="12"/>
  <c r="AN42" i="12"/>
  <c r="AH1100" i="12"/>
  <c r="AU78" i="12"/>
  <c r="AH94" i="12"/>
  <c r="AH87" i="12" s="1"/>
  <c r="AH86" i="12" s="1"/>
  <c r="AV126" i="12"/>
  <c r="AX27" i="12"/>
  <c r="AU31" i="12"/>
  <c r="AV58" i="12"/>
  <c r="AX78" i="12"/>
  <c r="AQ125" i="12"/>
  <c r="AT125" i="12" s="1"/>
  <c r="AX141" i="12"/>
  <c r="AV144" i="12"/>
  <c r="AU189" i="12"/>
  <c r="AX495" i="12"/>
  <c r="AX1433" i="12"/>
  <c r="AO102" i="12"/>
  <c r="AI24" i="12"/>
  <c r="AG87" i="12"/>
  <c r="AG86" i="12" s="1"/>
  <c r="AR87" i="12"/>
  <c r="AR86" i="12" s="1"/>
  <c r="AG125" i="12"/>
  <c r="AG124" i="12" s="1"/>
  <c r="AI182" i="12"/>
  <c r="AU1414" i="12"/>
  <c r="AX1414" i="12"/>
  <c r="AU1436" i="12"/>
  <c r="AX1436" i="12"/>
  <c r="AJ1333" i="12"/>
  <c r="AI1336" i="12"/>
  <c r="AU89" i="12"/>
  <c r="AX89" i="12"/>
  <c r="AI55" i="12"/>
  <c r="AW1333" i="12"/>
  <c r="AW1336" i="12" s="1"/>
  <c r="AT1336" i="12"/>
  <c r="AV1372" i="12"/>
  <c r="AV1353" i="12"/>
  <c r="AK192" i="12"/>
  <c r="AQ192" i="12"/>
  <c r="AP192" i="12"/>
  <c r="AG102" i="12"/>
  <c r="AX332" i="12"/>
  <c r="AU332" i="12"/>
  <c r="AD192" i="12"/>
  <c r="AF192" i="12"/>
  <c r="AX564" i="12"/>
  <c r="AU564" i="12"/>
  <c r="AX1083" i="12"/>
  <c r="AU1083" i="12"/>
  <c r="AU1303" i="12"/>
  <c r="AX1303" i="12"/>
  <c r="AU1390" i="12"/>
  <c r="AX1390" i="12"/>
  <c r="AX1430" i="12"/>
  <c r="AU1430" i="12"/>
  <c r="AT49" i="12"/>
  <c r="AW49" i="12" s="1"/>
  <c r="AU327" i="12"/>
  <c r="AX327" i="12"/>
  <c r="AU1392" i="12"/>
  <c r="AX1392" i="12"/>
  <c r="AU251" i="12"/>
  <c r="AX251" i="12"/>
  <c r="AX1008" i="12"/>
  <c r="AU1008" i="12"/>
  <c r="AU203" i="12"/>
  <c r="AX203" i="12"/>
  <c r="AX322" i="12"/>
  <c r="AU322" i="12"/>
  <c r="AU463" i="12"/>
  <c r="AX463" i="12"/>
  <c r="AU35" i="12"/>
  <c r="AX35" i="12"/>
  <c r="AJ34" i="12"/>
  <c r="AU19" i="12"/>
  <c r="AX19" i="12"/>
  <c r="AF16" i="12"/>
  <c r="AI46" i="12"/>
  <c r="AJ47" i="12"/>
  <c r="AU47" i="12" s="1"/>
  <c r="AU90" i="12"/>
  <c r="AX90" i="12"/>
  <c r="AJ144" i="12"/>
  <c r="AX149" i="12"/>
  <c r="AU149" i="12"/>
  <c r="AU144" i="12" s="1"/>
  <c r="AH150" i="12"/>
  <c r="AU890" i="12"/>
  <c r="AX890" i="12"/>
  <c r="AX954" i="12"/>
  <c r="AU954" i="12"/>
  <c r="AU1305" i="12"/>
  <c r="AX1305" i="12"/>
  <c r="AU1394" i="12"/>
  <c r="AX1394" i="12"/>
  <c r="AI67" i="12"/>
  <c r="AJ69" i="12"/>
  <c r="AX69" i="12" s="1"/>
  <c r="AU721" i="12"/>
  <c r="AX721" i="12"/>
  <c r="AX985" i="12"/>
  <c r="AU985" i="12"/>
  <c r="AX1077" i="12"/>
  <c r="AU1077" i="12"/>
  <c r="AU1405" i="12"/>
  <c r="AX1405" i="12"/>
  <c r="AU45" i="12"/>
  <c r="AX45" i="12"/>
  <c r="AU49" i="12"/>
  <c r="AX49" i="12"/>
  <c r="AI88" i="12"/>
  <c r="AU180" i="12"/>
  <c r="AX180" i="12"/>
  <c r="AU226" i="12"/>
  <c r="AX226" i="12"/>
  <c r="AX786" i="12"/>
  <c r="AU786" i="12"/>
  <c r="AX63" i="12"/>
  <c r="AU63" i="12"/>
  <c r="AI127" i="12"/>
  <c r="AI126" i="12" s="1"/>
  <c r="AI125" i="12" s="1"/>
  <c r="AI124" i="12" s="1"/>
  <c r="AJ128" i="12"/>
  <c r="AX128" i="12" s="1"/>
  <c r="AX336" i="12"/>
  <c r="AU336" i="12"/>
  <c r="AI64" i="12"/>
  <c r="AJ66" i="12"/>
  <c r="AU115" i="12"/>
  <c r="AX115" i="12"/>
  <c r="AU170" i="12"/>
  <c r="AJ169" i="12"/>
  <c r="AX169" i="12" s="1"/>
  <c r="AX170" i="12"/>
  <c r="AU568" i="12"/>
  <c r="AX568" i="12"/>
  <c r="AU842" i="12"/>
  <c r="AX842" i="12"/>
  <c r="AU1141" i="12"/>
  <c r="AX1141" i="12"/>
  <c r="AU1207" i="12"/>
  <c r="AX1207" i="12"/>
  <c r="AU20" i="12"/>
  <c r="AX20" i="12"/>
  <c r="AX34" i="12"/>
  <c r="AU91" i="12"/>
  <c r="AX91" i="12"/>
  <c r="AU131" i="12"/>
  <c r="AX131" i="12"/>
  <c r="AU318" i="12"/>
  <c r="AX318" i="12"/>
  <c r="AX952" i="12"/>
  <c r="AU952" i="12"/>
  <c r="AU1020" i="12"/>
  <c r="AX1020" i="12"/>
  <c r="AU1395" i="12"/>
  <c r="AX1395" i="12"/>
  <c r="AS30" i="12"/>
  <c r="AS16" i="12" s="1"/>
  <c r="AS15" i="12" s="1"/>
  <c r="AI34" i="12"/>
  <c r="AI30" i="12" s="1"/>
  <c r="AT55" i="12"/>
  <c r="AT58" i="12"/>
  <c r="AT67" i="12"/>
  <c r="AW67" i="12" s="1"/>
  <c r="AN71" i="12"/>
  <c r="AN70" i="12" s="1"/>
  <c r="AQ87" i="12"/>
  <c r="AF102" i="12"/>
  <c r="AG150" i="12"/>
  <c r="AO150" i="12"/>
  <c r="AX175" i="12"/>
  <c r="AX316" i="12"/>
  <c r="AU329" i="12"/>
  <c r="AG101" i="12"/>
  <c r="AX160" i="12"/>
  <c r="AU213" i="12"/>
  <c r="AU634" i="12"/>
  <c r="AG862" i="12"/>
  <c r="AH1153" i="12"/>
  <c r="AT1353" i="12"/>
  <c r="AT27" i="12"/>
  <c r="AW27" i="12" s="1"/>
  <c r="AI53" i="12"/>
  <c r="AI61" i="12"/>
  <c r="AF71" i="12"/>
  <c r="AF70" i="12" s="1"/>
  <c r="AT75" i="12"/>
  <c r="AW75" i="12" s="1"/>
  <c r="AT78" i="12"/>
  <c r="AW78" i="12" s="1"/>
  <c r="AE87" i="12"/>
  <c r="AE86" i="12" s="1"/>
  <c r="AJ120" i="12"/>
  <c r="AJ119" i="12" s="1"/>
  <c r="AU119" i="12" s="1"/>
  <c r="AU118" i="12" s="1"/>
  <c r="AD125" i="12"/>
  <c r="AD124" i="12" s="1"/>
  <c r="AJ135" i="12"/>
  <c r="AU135" i="12" s="1"/>
  <c r="AR150" i="12"/>
  <c r="AI169" i="12"/>
  <c r="AI168" i="12" s="1"/>
  <c r="AI167" i="12" s="1"/>
  <c r="AI166" i="12" s="1"/>
  <c r="AI181" i="12"/>
  <c r="AN192" i="12"/>
  <c r="AU324" i="12"/>
  <c r="AX659" i="12"/>
  <c r="AI783" i="12"/>
  <c r="AJ783" i="12" s="1"/>
  <c r="AJ862" i="12" s="1"/>
  <c r="AX862" i="12" s="1"/>
  <c r="AU1209" i="12"/>
  <c r="AT1272" i="12"/>
  <c r="AE1474" i="12"/>
  <c r="AE192" i="12" s="1"/>
  <c r="AU37" i="12"/>
  <c r="AO125" i="12"/>
  <c r="AO124" i="12" s="1"/>
  <c r="AV160" i="12"/>
  <c r="AX459" i="12"/>
  <c r="AX496" i="12"/>
  <c r="AX604" i="12"/>
  <c r="AU778" i="12"/>
  <c r="AX788" i="12"/>
  <c r="AU815" i="12"/>
  <c r="AU947" i="12"/>
  <c r="AX1023" i="12"/>
  <c r="AV1190" i="12"/>
  <c r="AS42" i="12"/>
  <c r="AV55" i="12"/>
  <c r="AV67" i="12"/>
  <c r="AJ74" i="12"/>
  <c r="AJ72" i="12" s="1"/>
  <c r="AK87" i="12"/>
  <c r="AK86" i="12" s="1"/>
  <c r="AS102" i="12"/>
  <c r="AS101" i="12" s="1"/>
  <c r="AX144" i="12"/>
  <c r="AX148" i="12"/>
  <c r="AS150" i="12"/>
  <c r="AQ155" i="12"/>
  <c r="AT155" i="12" s="1"/>
  <c r="AV189" i="12"/>
  <c r="AU283" i="12"/>
  <c r="AU320" i="12"/>
  <c r="AX836" i="12"/>
  <c r="AU843" i="12"/>
  <c r="AX903" i="12"/>
  <c r="AX1016" i="12"/>
  <c r="AX1393" i="12"/>
  <c r="AX1406" i="12"/>
  <c r="AE16" i="12"/>
  <c r="AE15" i="12" s="1"/>
  <c r="AT17" i="12"/>
  <c r="AG30" i="12"/>
  <c r="AO30" i="12"/>
  <c r="AO16" i="12" s="1"/>
  <c r="AO15" i="12" s="1"/>
  <c r="AD87" i="12"/>
  <c r="AD86" i="12" s="1"/>
  <c r="AI95" i="12"/>
  <c r="AK102" i="12"/>
  <c r="AK101" i="12" s="1"/>
  <c r="AE125" i="12"/>
  <c r="AE124" i="12" s="1"/>
  <c r="AD181" i="12"/>
  <c r="AX209" i="12"/>
  <c r="AX455" i="12"/>
  <c r="AU533" i="12"/>
  <c r="AT1372" i="12"/>
  <c r="AH30" i="12"/>
  <c r="AV46" i="12"/>
  <c r="AF42" i="12"/>
  <c r="AV75" i="12"/>
  <c r="AV78" i="12"/>
  <c r="AD102" i="12"/>
  <c r="AF125" i="12"/>
  <c r="AF124" i="12" s="1"/>
  <c r="AN125" i="12"/>
  <c r="AN124" i="12" s="1"/>
  <c r="AP140" i="12"/>
  <c r="AX140" i="12" s="1"/>
  <c r="AI144" i="12"/>
  <c r="AX161" i="12"/>
  <c r="AO181" i="12"/>
  <c r="AU267" i="12"/>
  <c r="AU334" i="12"/>
  <c r="AH862" i="12"/>
  <c r="AU832" i="12"/>
  <c r="AU1203" i="12"/>
  <c r="AV1283" i="12"/>
  <c r="AV1321" i="12" s="1"/>
  <c r="AI1345" i="12"/>
  <c r="AI1353" i="12" s="1"/>
  <c r="AX1391" i="12"/>
  <c r="AX1415" i="12"/>
  <c r="AX1437" i="12"/>
  <c r="AX1442" i="12"/>
  <c r="AR52" i="12"/>
  <c r="AR58" i="12"/>
  <c r="AR34" i="12"/>
  <c r="AT120" i="12"/>
  <c r="AU461" i="12"/>
  <c r="AX461" i="12"/>
  <c r="AR49" i="12"/>
  <c r="AR72" i="12"/>
  <c r="AX40" i="12"/>
  <c r="AL160" i="12"/>
  <c r="AR64" i="12"/>
  <c r="AX178" i="12"/>
  <c r="AU1299" i="12"/>
  <c r="AR61" i="12"/>
  <c r="AU827" i="12"/>
  <c r="AX827" i="12"/>
  <c r="AW144" i="12"/>
  <c r="AR31" i="12"/>
  <c r="AT39" i="12"/>
  <c r="AW1345" i="12"/>
  <c r="AW1353" i="12" s="1"/>
  <c r="AL102" i="12"/>
  <c r="AT174" i="12"/>
  <c r="AW174" i="12" s="1"/>
  <c r="AV1100" i="12"/>
  <c r="AU1270" i="12"/>
  <c r="AX1270" i="12"/>
  <c r="AU1024" i="12"/>
  <c r="AX1024" i="12"/>
  <c r="AX708" i="12"/>
  <c r="AU708" i="12"/>
  <c r="AX999" i="12"/>
  <c r="AU999" i="12"/>
  <c r="AU816" i="12"/>
  <c r="AX816" i="12"/>
  <c r="AU1025" i="12"/>
  <c r="AX1025" i="12"/>
  <c r="AR46" i="12"/>
  <c r="AQ173" i="12"/>
  <c r="AT173" i="12" s="1"/>
  <c r="AW173" i="12" s="1"/>
  <c r="AX1294" i="12"/>
  <c r="AV88" i="12"/>
  <c r="AK165" i="12"/>
  <c r="AK164" i="12" s="1"/>
  <c r="AU707" i="12"/>
  <c r="AX848" i="12"/>
  <c r="AR121" i="12"/>
  <c r="AR120" i="12" s="1"/>
  <c r="AR119" i="12" s="1"/>
  <c r="AR118" i="12" s="1"/>
  <c r="AV252" i="12"/>
  <c r="AR862" i="12"/>
  <c r="AX995" i="12"/>
  <c r="AX1293" i="12"/>
  <c r="AR27" i="12"/>
  <c r="AR67" i="12"/>
  <c r="AV1272" i="12"/>
  <c r="AV182" i="12"/>
  <c r="AX553" i="12"/>
  <c r="AU704" i="12"/>
  <c r="AX817" i="12"/>
  <c r="AU828" i="12"/>
  <c r="AL156" i="12"/>
  <c r="AL155" i="12" s="1"/>
  <c r="AT1190" i="12"/>
  <c r="AW1372" i="12"/>
  <c r="AU360" i="12"/>
  <c r="AX360" i="12"/>
  <c r="AX116" i="12"/>
  <c r="AU217" i="12"/>
  <c r="AX217" i="12"/>
  <c r="AX621" i="12"/>
  <c r="AU621" i="12"/>
  <c r="AX620" i="12"/>
  <c r="AU620" i="12"/>
  <c r="AX218" i="12"/>
  <c r="AU218" i="12"/>
  <c r="AX314" i="12"/>
  <c r="AU314" i="12"/>
  <c r="AU205" i="12"/>
  <c r="AX205" i="12"/>
  <c r="AX622" i="12"/>
  <c r="AU622" i="12"/>
  <c r="AX619" i="12"/>
  <c r="AU619" i="12"/>
  <c r="AT40" i="12"/>
  <c r="AW40" i="12" s="1"/>
  <c r="AW39" i="12" s="1"/>
  <c r="AL88" i="12"/>
  <c r="AR103" i="12"/>
  <c r="AT169" i="12"/>
  <c r="AW169" i="12" s="1"/>
  <c r="AP177" i="12"/>
  <c r="AE102" i="12"/>
  <c r="AE101" i="12" s="1"/>
  <c r="AR165" i="12"/>
  <c r="AR164" i="12" s="1"/>
  <c r="AL862" i="12"/>
  <c r="AU120" i="12"/>
  <c r="AP168" i="12"/>
  <c r="AP167" i="12" s="1"/>
  <c r="AP166" i="12" s="1"/>
  <c r="AX517" i="12"/>
  <c r="AL753" i="12"/>
  <c r="AM102" i="12"/>
  <c r="AR17" i="12"/>
  <c r="AF15" i="12"/>
  <c r="AR75" i="12"/>
  <c r="AR78" i="12"/>
  <c r="AE165" i="12"/>
  <c r="AE164" i="12" s="1"/>
  <c r="AV169" i="12"/>
  <c r="AL182" i="12"/>
  <c r="AU313" i="12"/>
  <c r="AR24" i="12"/>
  <c r="AR43" i="12"/>
  <c r="AV94" i="12"/>
  <c r="AX462" i="12"/>
  <c r="AU516" i="12"/>
  <c r="AL1353" i="12"/>
  <c r="AT127" i="12"/>
  <c r="AV17" i="12"/>
  <c r="AU40" i="12"/>
  <c r="AU39" i="12" s="1"/>
  <c r="AR127" i="12"/>
  <c r="AR126" i="12" s="1"/>
  <c r="AR125" i="12" s="1"/>
  <c r="AR124" i="12" s="1"/>
  <c r="AW135" i="12"/>
  <c r="AF165" i="12"/>
  <c r="AF164" i="12" s="1"/>
  <c r="AL252" i="12"/>
  <c r="AX636" i="12"/>
  <c r="AU636" i="12"/>
  <c r="AX25" i="12"/>
  <c r="AU25" i="12"/>
  <c r="AJ24" i="12"/>
  <c r="AU24" i="12" s="1"/>
  <c r="AW17" i="12"/>
  <c r="AM70" i="12"/>
  <c r="AJ105" i="12"/>
  <c r="AJ104" i="12" s="1"/>
  <c r="AL42" i="12"/>
  <c r="AH43" i="12"/>
  <c r="AH42" i="12" s="1"/>
  <c r="AI44" i="12"/>
  <c r="AT46" i="12"/>
  <c r="AW46" i="12" s="1"/>
  <c r="AU54" i="12"/>
  <c r="AX54" i="12"/>
  <c r="AU59" i="12"/>
  <c r="AX59" i="12"/>
  <c r="AX62" i="12"/>
  <c r="AJ61" i="12"/>
  <c r="AU61" i="12" s="1"/>
  <c r="AU66" i="12"/>
  <c r="AJ64" i="12"/>
  <c r="AX66" i="12"/>
  <c r="AN102" i="12"/>
  <c r="AM42" i="12"/>
  <c r="AV43" i="12"/>
  <c r="AH75" i="12"/>
  <c r="AI76" i="12"/>
  <c r="AT87" i="12"/>
  <c r="AQ86" i="12"/>
  <c r="AT86" i="12" s="1"/>
  <c r="AU96" i="12"/>
  <c r="AX96" i="12"/>
  <c r="AU100" i="12"/>
  <c r="AX100" i="12"/>
  <c r="AW127" i="12"/>
  <c r="AU18" i="12"/>
  <c r="AJ17" i="12"/>
  <c r="AP103" i="12"/>
  <c r="AX228" i="12"/>
  <c r="AU228" i="12"/>
  <c r="AX121" i="12"/>
  <c r="AP120" i="12"/>
  <c r="AQ71" i="12"/>
  <c r="AU74" i="12"/>
  <c r="AX632" i="12"/>
  <c r="AU632" i="12"/>
  <c r="AI17" i="12"/>
  <c r="AV40" i="12"/>
  <c r="AV39" i="12" s="1"/>
  <c r="AP39" i="12"/>
  <c r="AK16" i="12"/>
  <c r="AK15" i="12" s="1"/>
  <c r="AX18" i="12"/>
  <c r="AE42" i="12"/>
  <c r="AO42" i="12"/>
  <c r="AV49" i="12"/>
  <c r="AX56" i="12"/>
  <c r="AJ55" i="12"/>
  <c r="AU55" i="12" s="1"/>
  <c r="AU62" i="12"/>
  <c r="AP71" i="12"/>
  <c r="AV71" i="12" s="1"/>
  <c r="AV70" i="12" s="1"/>
  <c r="AV72" i="12"/>
  <c r="AJ88" i="12"/>
  <c r="AX99" i="12"/>
  <c r="AU99" i="12"/>
  <c r="AV103" i="12"/>
  <c r="AS165" i="12"/>
  <c r="AS164" i="12" s="1"/>
  <c r="AX625" i="12"/>
  <c r="AU625" i="12"/>
  <c r="AT31" i="12"/>
  <c r="AW31" i="12" s="1"/>
  <c r="AQ30" i="12"/>
  <c r="AT52" i="12"/>
  <c r="AW52" i="12" s="1"/>
  <c r="AR55" i="12"/>
  <c r="AW64" i="12"/>
  <c r="AV64" i="12"/>
  <c r="AH102" i="12"/>
  <c r="AU112" i="12"/>
  <c r="AV132" i="12"/>
  <c r="AU132" i="12"/>
  <c r="AM30" i="12"/>
  <c r="AV31" i="12"/>
  <c r="AU128" i="12"/>
  <c r="AJ127" i="12"/>
  <c r="AJ126" i="12" s="1"/>
  <c r="AK42" i="12"/>
  <c r="AU84" i="12"/>
  <c r="AX84" i="12"/>
  <c r="AW90" i="12"/>
  <c r="AW88" i="12" s="1"/>
  <c r="AT88" i="12"/>
  <c r="AX563" i="12"/>
  <c r="AU563" i="12"/>
  <c r="AG16" i="12"/>
  <c r="AG15" i="12" s="1"/>
  <c r="AH17" i="12"/>
  <c r="AH16" i="12" s="1"/>
  <c r="AH15" i="12" s="1"/>
  <c r="AD42" i="12"/>
  <c r="AW34" i="12"/>
  <c r="AV34" i="12"/>
  <c r="AJ58" i="12"/>
  <c r="AU58" i="12" s="1"/>
  <c r="AX24" i="12"/>
  <c r="AD30" i="12"/>
  <c r="AD16" i="12" s="1"/>
  <c r="AD15" i="12" s="1"/>
  <c r="AL30" i="12"/>
  <c r="AL16" i="12" s="1"/>
  <c r="AL15" i="12" s="1"/>
  <c r="AG42" i="12"/>
  <c r="AT43" i="12"/>
  <c r="AW43" i="12" s="1"/>
  <c r="AQ42" i="12"/>
  <c r="AT42" i="12" s="1"/>
  <c r="AU60" i="12"/>
  <c r="AX60" i="12"/>
  <c r="AH71" i="12"/>
  <c r="AH70" i="12" s="1"/>
  <c r="AW94" i="12"/>
  <c r="AW58" i="12"/>
  <c r="AP87" i="12"/>
  <c r="AX97" i="12"/>
  <c r="AH165" i="12"/>
  <c r="AH164" i="12" s="1"/>
  <c r="AG165" i="12"/>
  <c r="AG164" i="12" s="1"/>
  <c r="AO165" i="12"/>
  <c r="AO164" i="12" s="1"/>
  <c r="AX187" i="12"/>
  <c r="AU187" i="12"/>
  <c r="AT252" i="12"/>
  <c r="AU214" i="12"/>
  <c r="AX214" i="12"/>
  <c r="AX220" i="12"/>
  <c r="AU220" i="12"/>
  <c r="AW540" i="12"/>
  <c r="AP30" i="12"/>
  <c r="AP42" i="12"/>
  <c r="AU69" i="12"/>
  <c r="AM140" i="12"/>
  <c r="AV141" i="12"/>
  <c r="AV140" i="12" s="1"/>
  <c r="AT103" i="12"/>
  <c r="AT121" i="12"/>
  <c r="AW121" i="12" s="1"/>
  <c r="AP125" i="12"/>
  <c r="AP172" i="12"/>
  <c r="AT181" i="12"/>
  <c r="AX208" i="12"/>
  <c r="AU208" i="12"/>
  <c r="AX416" i="12"/>
  <c r="AU416" i="12"/>
  <c r="AX426" i="12"/>
  <c r="AU426" i="12"/>
  <c r="AX438" i="12"/>
  <c r="AU438" i="12"/>
  <c r="AX441" i="12"/>
  <c r="AU441" i="12"/>
  <c r="AX222" i="12"/>
  <c r="AU222" i="12"/>
  <c r="AG540" i="12"/>
  <c r="AI410" i="12"/>
  <c r="AJ410" i="12" s="1"/>
  <c r="AW24" i="12"/>
  <c r="AJ39" i="12"/>
  <c r="AT94" i="12"/>
  <c r="AL94" i="12"/>
  <c r="AV121" i="12"/>
  <c r="AX188" i="12"/>
  <c r="AJ182" i="12"/>
  <c r="AJ181" i="12" s="1"/>
  <c r="AU181" i="12" s="1"/>
  <c r="AU188" i="12"/>
  <c r="AW55" i="12"/>
  <c r="AW61" i="12"/>
  <c r="AT119" i="12"/>
  <c r="AQ118" i="12"/>
  <c r="AT118" i="12" s="1"/>
  <c r="AH127" i="12"/>
  <c r="AH126" i="12" s="1"/>
  <c r="AH125" i="12" s="1"/>
  <c r="AH124" i="12" s="1"/>
  <c r="AX136" i="12"/>
  <c r="AU138" i="12"/>
  <c r="AT141" i="12"/>
  <c r="AW141" i="12" s="1"/>
  <c r="AW140" i="12" s="1"/>
  <c r="AE150" i="12"/>
  <c r="AM150" i="12"/>
  <c r="AW156" i="12"/>
  <c r="AV156" i="12"/>
  <c r="AP155" i="12"/>
  <c r="AV155" i="12" s="1"/>
  <c r="AV150" i="12" s="1"/>
  <c r="AU160" i="12"/>
  <c r="AL181" i="12"/>
  <c r="AL165" i="12" s="1"/>
  <c r="AL164" i="12" s="1"/>
  <c r="AI252" i="12"/>
  <c r="AW103" i="12"/>
  <c r="AV127" i="12"/>
  <c r="AF150" i="12"/>
  <c r="AN150" i="12"/>
  <c r="AX159" i="12"/>
  <c r="AU159" i="12"/>
  <c r="AT161" i="12"/>
  <c r="AW161" i="12" s="1"/>
  <c r="AQ160" i="12"/>
  <c r="AT160" i="12" s="1"/>
  <c r="AW160" i="12" s="1"/>
  <c r="AD165" i="12"/>
  <c r="AD164" i="12" s="1"/>
  <c r="AW182" i="12"/>
  <c r="AU223" i="12"/>
  <c r="AX223" i="12"/>
  <c r="AX225" i="12"/>
  <c r="AU225" i="12"/>
  <c r="AX241" i="12"/>
  <c r="AU241" i="12"/>
  <c r="AU285" i="12"/>
  <c r="AQ140" i="12"/>
  <c r="AT140" i="12" s="1"/>
  <c r="AT144" i="12"/>
  <c r="AT151" i="12"/>
  <c r="AM168" i="12"/>
  <c r="AW201" i="12"/>
  <c r="AW252" i="12" s="1"/>
  <c r="AH252" i="12"/>
  <c r="AX238" i="12"/>
  <c r="AX274" i="12"/>
  <c r="AU281" i="12"/>
  <c r="AX287" i="12"/>
  <c r="AX289" i="12"/>
  <c r="AX291" i="12"/>
  <c r="AX351" i="12"/>
  <c r="AX380" i="12"/>
  <c r="AU380" i="12"/>
  <c r="AX422" i="12"/>
  <c r="AU422" i="12"/>
  <c r="AU464" i="12"/>
  <c r="AX464" i="12"/>
  <c r="AU488" i="12"/>
  <c r="AX488" i="12"/>
  <c r="AU502" i="12"/>
  <c r="AU528" i="12"/>
  <c r="AX528" i="12"/>
  <c r="AX583" i="12"/>
  <c r="AU583" i="12"/>
  <c r="AV174" i="12"/>
  <c r="AX293" i="12"/>
  <c r="AX297" i="12"/>
  <c r="AX418" i="12"/>
  <c r="AU418" i="12"/>
  <c r="AX428" i="12"/>
  <c r="AU428" i="12"/>
  <c r="AX444" i="12"/>
  <c r="AU444" i="12"/>
  <c r="AX446" i="12"/>
  <c r="AU446" i="12"/>
  <c r="AX448" i="12"/>
  <c r="AU448" i="12"/>
  <c r="AX450" i="12"/>
  <c r="AU450" i="12"/>
  <c r="AX507" i="12"/>
  <c r="AU507" i="12"/>
  <c r="AH753" i="12"/>
  <c r="AI575" i="12"/>
  <c r="AJ575" i="12" s="1"/>
  <c r="AU575" i="12" s="1"/>
  <c r="AU607" i="12"/>
  <c r="AX607" i="12"/>
  <c r="AX263" i="12"/>
  <c r="AI312" i="12"/>
  <c r="AJ312" i="12" s="1"/>
  <c r="AH540" i="12"/>
  <c r="AX425" i="12"/>
  <c r="AU425" i="12"/>
  <c r="AX492" i="12"/>
  <c r="AU492" i="12"/>
  <c r="AO753" i="12"/>
  <c r="AO192" i="12" s="1"/>
  <c r="AU597" i="12"/>
  <c r="AX597" i="12"/>
  <c r="AU603" i="12"/>
  <c r="AX603" i="12"/>
  <c r="AU161" i="12"/>
  <c r="AJ252" i="12"/>
  <c r="AR540" i="12"/>
  <c r="AX378" i="12"/>
  <c r="AU378" i="12"/>
  <c r="AX411" i="12"/>
  <c r="AU411" i="12"/>
  <c r="AX421" i="12"/>
  <c r="AU421" i="12"/>
  <c r="AX433" i="12"/>
  <c r="AU433" i="12"/>
  <c r="AX440" i="12"/>
  <c r="AU440" i="12"/>
  <c r="AX505" i="12"/>
  <c r="AU505" i="12"/>
  <c r="AU592" i="12"/>
  <c r="AX592" i="12"/>
  <c r="AX736" i="12"/>
  <c r="AU736" i="12"/>
  <c r="AX751" i="12"/>
  <c r="AU751" i="12"/>
  <c r="AV161" i="12"/>
  <c r="AQ168" i="12"/>
  <c r="AV173" i="12"/>
  <c r="AU239" i="12"/>
  <c r="AT540" i="12"/>
  <c r="AU264" i="12"/>
  <c r="AX417" i="12"/>
  <c r="AU417" i="12"/>
  <c r="AX427" i="12"/>
  <c r="AU427" i="12"/>
  <c r="AX442" i="12"/>
  <c r="AU442" i="12"/>
  <c r="AG753" i="12"/>
  <c r="AX584" i="12"/>
  <c r="AU584" i="12"/>
  <c r="AT182" i="12"/>
  <c r="AU230" i="12"/>
  <c r="AU263" i="12"/>
  <c r="AX423" i="12"/>
  <c r="AU423" i="12"/>
  <c r="AX445" i="12"/>
  <c r="AU445" i="12"/>
  <c r="AX447" i="12"/>
  <c r="AU447" i="12"/>
  <c r="AX449" i="12"/>
  <c r="AU449" i="12"/>
  <c r="AX451" i="12"/>
  <c r="AU451" i="12"/>
  <c r="AU466" i="12"/>
  <c r="AX466" i="12"/>
  <c r="AX468" i="12"/>
  <c r="AX504" i="12"/>
  <c r="AU504" i="12"/>
  <c r="AX567" i="12"/>
  <c r="AU567" i="12"/>
  <c r="AU572" i="12"/>
  <c r="AX572" i="12"/>
  <c r="AX693" i="12"/>
  <c r="AU693" i="12"/>
  <c r="AX703" i="12"/>
  <c r="AU703" i="12"/>
  <c r="AT178" i="12"/>
  <c r="AT177" i="12" s="1"/>
  <c r="AT176" i="12" s="1"/>
  <c r="AU201" i="12"/>
  <c r="AV540" i="12"/>
  <c r="AX376" i="12"/>
  <c r="AU376" i="12"/>
  <c r="AX419" i="12"/>
  <c r="AU419" i="12"/>
  <c r="AX431" i="12"/>
  <c r="AU431" i="12"/>
  <c r="AX554" i="12"/>
  <c r="AU554" i="12"/>
  <c r="AX580" i="12"/>
  <c r="AU580" i="12"/>
  <c r="AX668" i="12"/>
  <c r="AU668" i="12"/>
  <c r="AX674" i="12"/>
  <c r="AU677" i="12"/>
  <c r="AX677" i="12"/>
  <c r="AU680" i="12"/>
  <c r="AX680" i="12"/>
  <c r="AX716" i="12"/>
  <c r="AU719" i="12"/>
  <c r="AX719" i="12"/>
  <c r="AU724" i="12"/>
  <c r="AX724" i="12"/>
  <c r="AX802" i="12"/>
  <c r="AU802" i="12"/>
  <c r="AU550" i="12"/>
  <c r="AU639" i="12"/>
  <c r="AX639" i="12"/>
  <c r="AX651" i="12"/>
  <c r="AU651" i="12"/>
  <c r="AX688" i="12"/>
  <c r="AU688" i="12"/>
  <c r="AX695" i="12"/>
  <c r="AU695" i="12"/>
  <c r="AX822" i="12"/>
  <c r="AU822" i="12"/>
  <c r="AW550" i="12"/>
  <c r="AW753" i="12" s="1"/>
  <c r="AT753" i="12"/>
  <c r="AU601" i="12"/>
  <c r="AX601" i="12"/>
  <c r="AX627" i="12"/>
  <c r="AU627" i="12"/>
  <c r="AX647" i="12"/>
  <c r="AU647" i="12"/>
  <c r="AX649" i="12"/>
  <c r="AU649" i="12"/>
  <c r="AX662" i="12"/>
  <c r="AU662" i="12"/>
  <c r="AU675" i="12"/>
  <c r="AX675" i="12"/>
  <c r="AU763" i="12"/>
  <c r="AX763" i="12"/>
  <c r="AU791" i="12"/>
  <c r="AX791" i="12"/>
  <c r="AU819" i="12"/>
  <c r="AX819" i="12"/>
  <c r="AU834" i="12"/>
  <c r="AX834" i="12"/>
  <c r="AU470" i="12"/>
  <c r="AU500" i="12"/>
  <c r="AU539" i="12"/>
  <c r="AV753" i="12"/>
  <c r="AU591" i="12"/>
  <c r="AX591" i="12"/>
  <c r="AX702" i="12"/>
  <c r="AU702" i="12"/>
  <c r="AU723" i="12"/>
  <c r="AX723" i="12"/>
  <c r="AX774" i="12"/>
  <c r="AU774" i="12"/>
  <c r="AX958" i="12"/>
  <c r="AU958" i="12"/>
  <c r="AX550" i="12"/>
  <c r="AU566" i="12"/>
  <c r="AI570" i="12"/>
  <c r="AJ570" i="12" s="1"/>
  <c r="AU570" i="12" s="1"/>
  <c r="AU579" i="12"/>
  <c r="AU593" i="12"/>
  <c r="AX593" i="12"/>
  <c r="AU611" i="12"/>
  <c r="AX673" i="12"/>
  <c r="AU673" i="12"/>
  <c r="AU678" i="12"/>
  <c r="AX678" i="12"/>
  <c r="AX706" i="12"/>
  <c r="AU706" i="12"/>
  <c r="AU917" i="12"/>
  <c r="AX917" i="12"/>
  <c r="AU510" i="12"/>
  <c r="AX585" i="12"/>
  <c r="AU585" i="12"/>
  <c r="AX595" i="12"/>
  <c r="AU599" i="12"/>
  <c r="AX599" i="12"/>
  <c r="AX605" i="12"/>
  <c r="AX670" i="12"/>
  <c r="AU670" i="12"/>
  <c r="AX686" i="12"/>
  <c r="AU686" i="12"/>
  <c r="AX712" i="12"/>
  <c r="AX793" i="12"/>
  <c r="AU793" i="12"/>
  <c r="AX826" i="12"/>
  <c r="AU826" i="12"/>
  <c r="AL540" i="12"/>
  <c r="AX582" i="12"/>
  <c r="AU582" i="12"/>
  <c r="AX629" i="12"/>
  <c r="AU629" i="12"/>
  <c r="AX646" i="12"/>
  <c r="AU646" i="12"/>
  <c r="AX648" i="12"/>
  <c r="AU648" i="12"/>
  <c r="AX664" i="12"/>
  <c r="AU664" i="12"/>
  <c r="AX689" i="12"/>
  <c r="AU689" i="12"/>
  <c r="AX701" i="12"/>
  <c r="AU701" i="12"/>
  <c r="AU727" i="12"/>
  <c r="AX727" i="12"/>
  <c r="AX769" i="12"/>
  <c r="AU769" i="12"/>
  <c r="AU790" i="12"/>
  <c r="AX790" i="12"/>
  <c r="AX883" i="12"/>
  <c r="AU883" i="12"/>
  <c r="AU650" i="12"/>
  <c r="AU671" i="12"/>
  <c r="AU705" i="12"/>
  <c r="AX717" i="12"/>
  <c r="AU796" i="12"/>
  <c r="AU824" i="12"/>
  <c r="AX853" i="12"/>
  <c r="AU853" i="12"/>
  <c r="AU937" i="12"/>
  <c r="AX937" i="12"/>
  <c r="AX951" i="12"/>
  <c r="AU951" i="12"/>
  <c r="AU993" i="12"/>
  <c r="AX993" i="12"/>
  <c r="AU1026" i="12"/>
  <c r="AX1026" i="12"/>
  <c r="AU1046" i="12"/>
  <c r="AX1046" i="12"/>
  <c r="AU1093" i="12"/>
  <c r="AX1093" i="12"/>
  <c r="AJ1109" i="12"/>
  <c r="AU1124" i="12"/>
  <c r="AX1124" i="12"/>
  <c r="AU1128" i="12"/>
  <c r="AX1128" i="12"/>
  <c r="AX1163" i="12"/>
  <c r="AU1163" i="12"/>
  <c r="AU1290" i="12"/>
  <c r="AX1290" i="12"/>
  <c r="AX1315" i="12"/>
  <c r="AU1315" i="12"/>
  <c r="AX1319" i="12"/>
  <c r="AU1319" i="12"/>
  <c r="AX1465" i="12"/>
  <c r="AU1465" i="12"/>
  <c r="AX849" i="12"/>
  <c r="AU849" i="12"/>
  <c r="AX856" i="12"/>
  <c r="AU856" i="12"/>
  <c r="AX907" i="12"/>
  <c r="AU907" i="12"/>
  <c r="AU926" i="12"/>
  <c r="AX926" i="12"/>
  <c r="AX963" i="12"/>
  <c r="AU963" i="12"/>
  <c r="AX965" i="12"/>
  <c r="AU965" i="12"/>
  <c r="AX998" i="12"/>
  <c r="AU998" i="12"/>
  <c r="AX1005" i="12"/>
  <c r="AU1005" i="12"/>
  <c r="AW1153" i="12"/>
  <c r="AU1266" i="12"/>
  <c r="AX1266" i="12"/>
  <c r="AU691" i="12"/>
  <c r="AT862" i="12"/>
  <c r="AX899" i="12"/>
  <c r="AU899" i="12"/>
  <c r="AX911" i="12"/>
  <c r="AU911" i="12"/>
  <c r="AU915" i="12"/>
  <c r="AX915" i="12"/>
  <c r="AX956" i="12"/>
  <c r="AU956" i="12"/>
  <c r="AX1013" i="12"/>
  <c r="AU1013" i="12"/>
  <c r="AX1034" i="12"/>
  <c r="AU1034" i="12"/>
  <c r="AU661" i="12"/>
  <c r="AU685" i="12"/>
  <c r="AU759" i="12"/>
  <c r="AX877" i="12"/>
  <c r="AU877" i="12"/>
  <c r="AX901" i="12"/>
  <c r="AX913" i="12"/>
  <c r="AU920" i="12"/>
  <c r="AU931" i="12"/>
  <c r="AX931" i="12"/>
  <c r="AU1126" i="12"/>
  <c r="AX1126" i="12"/>
  <c r="AU1131" i="12"/>
  <c r="AX1131" i="12"/>
  <c r="AU1138" i="12"/>
  <c r="AU1233" i="12"/>
  <c r="AX1233" i="12"/>
  <c r="AV862" i="12"/>
  <c r="AU767" i="12"/>
  <c r="AX821" i="12"/>
  <c r="AU821" i="12"/>
  <c r="AU829" i="12"/>
  <c r="AX851" i="12"/>
  <c r="AU851" i="12"/>
  <c r="AX885" i="12"/>
  <c r="AU885" i="12"/>
  <c r="AX919" i="12"/>
  <c r="AU919" i="12"/>
  <c r="AX949" i="12"/>
  <c r="AU949" i="12"/>
  <c r="AX960" i="12"/>
  <c r="AU960" i="12"/>
  <c r="AW862" i="12"/>
  <c r="AX779" i="12"/>
  <c r="AU799" i="12"/>
  <c r="AX818" i="12"/>
  <c r="AU825" i="12"/>
  <c r="AX855" i="12"/>
  <c r="AU855" i="12"/>
  <c r="AX861" i="12"/>
  <c r="AU861" i="12"/>
  <c r="AX873" i="12"/>
  <c r="AU914" i="12"/>
  <c r="AX914" i="12"/>
  <c r="AX964" i="12"/>
  <c r="AU964" i="12"/>
  <c r="AX997" i="12"/>
  <c r="AU997" i="12"/>
  <c r="AU1027" i="12"/>
  <c r="AX1027" i="12"/>
  <c r="AU1094" i="12"/>
  <c r="AX1094" i="12"/>
  <c r="AV1474" i="12"/>
  <c r="AX759" i="12"/>
  <c r="AU846" i="12"/>
  <c r="AX846" i="12"/>
  <c r="AX909" i="12"/>
  <c r="AU909" i="12"/>
  <c r="AU930" i="12"/>
  <c r="AX930" i="12"/>
  <c r="AX971" i="12"/>
  <c r="AU971" i="12"/>
  <c r="AU984" i="12"/>
  <c r="AX1015" i="12"/>
  <c r="AU1015" i="12"/>
  <c r="AX1032" i="12"/>
  <c r="AU1032" i="12"/>
  <c r="AX1062" i="12"/>
  <c r="AX1087" i="12"/>
  <c r="AU1087" i="12"/>
  <c r="AU1122" i="12"/>
  <c r="AU1132" i="12"/>
  <c r="AX1132" i="12"/>
  <c r="AX1136" i="12"/>
  <c r="AU1136" i="12"/>
  <c r="AW1100" i="12"/>
  <c r="AL1100" i="12"/>
  <c r="AX1211" i="12"/>
  <c r="AU1211" i="12"/>
  <c r="AX1222" i="12"/>
  <c r="AU1222" i="12"/>
  <c r="AX1260" i="12"/>
  <c r="AU1260" i="12"/>
  <c r="AX1262" i="12"/>
  <c r="AU1262" i="12"/>
  <c r="AX1351" i="12"/>
  <c r="AU1351" i="12"/>
  <c r="AU1383" i="12"/>
  <c r="AX1383" i="12"/>
  <c r="AU1399" i="12"/>
  <c r="AX1399" i="12"/>
  <c r="AU1432" i="12"/>
  <c r="AX1432" i="12"/>
  <c r="AU1472" i="12"/>
  <c r="AX1472" i="12"/>
  <c r="AX1151" i="12"/>
  <c r="AU1151" i="12"/>
  <c r="AX1177" i="12"/>
  <c r="AU1177" i="12"/>
  <c r="AU1188" i="12"/>
  <c r="AX1188" i="12"/>
  <c r="AX1198" i="12"/>
  <c r="AU1198" i="12"/>
  <c r="AX1283" i="12"/>
  <c r="AJ1321" i="12"/>
  <c r="AX1321" i="12" s="1"/>
  <c r="AU1283" i="12"/>
  <c r="AX1295" i="12"/>
  <c r="AU1295" i="12"/>
  <c r="AU1300" i="12"/>
  <c r="AX1300" i="12"/>
  <c r="AX1366" i="12"/>
  <c r="AU1366" i="12"/>
  <c r="AU1408" i="12"/>
  <c r="AX1408" i="12"/>
  <c r="AX1419" i="12"/>
  <c r="AU1419" i="12"/>
  <c r="AX1421" i="12"/>
  <c r="AU1421" i="12"/>
  <c r="AI894" i="12"/>
  <c r="AJ894" i="12" s="1"/>
  <c r="AV1153" i="12"/>
  <c r="AW1250" i="12"/>
  <c r="AU1214" i="12"/>
  <c r="AU1228" i="12"/>
  <c r="AU1264" i="12"/>
  <c r="AU1292" i="12"/>
  <c r="AX1292" i="12"/>
  <c r="AX1445" i="12"/>
  <c r="AU1445" i="12"/>
  <c r="AU1451" i="12"/>
  <c r="AX1451" i="12"/>
  <c r="AU996" i="12"/>
  <c r="AU1011" i="12"/>
  <c r="AU1021" i="12"/>
  <c r="AG1153" i="12"/>
  <c r="AV1250" i="12"/>
  <c r="AU1248" i="12"/>
  <c r="AX1248" i="12"/>
  <c r="AX1313" i="12"/>
  <c r="AU1313" i="12"/>
  <c r="AJ1334" i="12"/>
  <c r="AX1349" i="12"/>
  <c r="AU1349" i="12"/>
  <c r="AX1439" i="12"/>
  <c r="AU1439" i="12"/>
  <c r="AX1464" i="12"/>
  <c r="AU1464" i="12"/>
  <c r="AU1134" i="12"/>
  <c r="AX1143" i="12"/>
  <c r="AU1229" i="12"/>
  <c r="AX1229" i="12"/>
  <c r="AI1272" i="12"/>
  <c r="AJ1259" i="12"/>
  <c r="AX1261" i="12"/>
  <c r="AU1261" i="12"/>
  <c r="AU1265" i="12"/>
  <c r="AX1265" i="12"/>
  <c r="AU1301" i="12"/>
  <c r="AX1301" i="12"/>
  <c r="AU1382" i="12"/>
  <c r="AX1382" i="12"/>
  <c r="AU1386" i="12"/>
  <c r="AX1386" i="12"/>
  <c r="AX1387" i="12"/>
  <c r="AX1402" i="12"/>
  <c r="AU1407" i="12"/>
  <c r="AX1407" i="12"/>
  <c r="AU1427" i="12"/>
  <c r="AU1447" i="12"/>
  <c r="AX1466" i="12"/>
  <c r="AU1466" i="12"/>
  <c r="AU1471" i="12"/>
  <c r="AX1471" i="12"/>
  <c r="AI1120" i="12"/>
  <c r="AJ1120" i="12" s="1"/>
  <c r="AX1179" i="12"/>
  <c r="AU1179" i="12"/>
  <c r="AX1201" i="12"/>
  <c r="AU1201" i="12"/>
  <c r="AW1272" i="12"/>
  <c r="AS1321" i="12"/>
  <c r="AT1283" i="12"/>
  <c r="AW1283" i="12" s="1"/>
  <c r="AW1321" i="12" s="1"/>
  <c r="AU1289" i="12"/>
  <c r="AX1296" i="12"/>
  <c r="AU1296" i="12"/>
  <c r="AI1372" i="12"/>
  <c r="AJ1365" i="12"/>
  <c r="AR1474" i="12"/>
  <c r="AU1400" i="12"/>
  <c r="AX1400" i="12"/>
  <c r="AX1418" i="12"/>
  <c r="AU1418" i="12"/>
  <c r="AX1420" i="12"/>
  <c r="AU1420" i="12"/>
  <c r="AG1100" i="12"/>
  <c r="AX1113" i="12"/>
  <c r="AJ1345" i="12"/>
  <c r="AX1347" i="12"/>
  <c r="AU1347" i="12"/>
  <c r="AT1474" i="12"/>
  <c r="AX1401" i="12"/>
  <c r="AU1411" i="12"/>
  <c r="AX1411" i="12"/>
  <c r="AX1422" i="12"/>
  <c r="AU1422" i="12"/>
  <c r="AX1426" i="12"/>
  <c r="AU1426" i="12"/>
  <c r="AX1438" i="12"/>
  <c r="AU1438" i="12"/>
  <c r="AX1446" i="12"/>
  <c r="AU1446" i="12"/>
  <c r="AX1462" i="12"/>
  <c r="AU1462" i="12"/>
  <c r="AU1181" i="12"/>
  <c r="AU1202" i="12"/>
  <c r="AU1213" i="12"/>
  <c r="AU1224" i="12"/>
  <c r="AU1263" i="12"/>
  <c r="AU1297" i="12"/>
  <c r="AU1317" i="12"/>
  <c r="AI1321" i="12"/>
  <c r="AG1353" i="12"/>
  <c r="AW1382" i="12"/>
  <c r="AW1474" i="12" s="1"/>
  <c r="AU1423" i="12"/>
  <c r="AU1443" i="12"/>
  <c r="AW1162" i="12"/>
  <c r="AW1190" i="12" s="1"/>
  <c r="AM1272" i="12"/>
  <c r="AM192" i="12" s="1"/>
  <c r="AX1431" i="12"/>
  <c r="AX1449" i="12"/>
  <c r="AT1250" i="12"/>
  <c r="AI1453" i="12"/>
  <c r="AU1333" i="12"/>
  <c r="AI1162" i="12"/>
  <c r="AI1216" i="12"/>
  <c r="AJ1216" i="12" s="1"/>
  <c r="AJ1250" i="12" s="1"/>
  <c r="AX1250" i="12" s="1"/>
  <c r="AV791" i="11"/>
  <c r="AT791" i="11"/>
  <c r="AW791" i="11" s="1"/>
  <c r="AV775" i="11"/>
  <c r="AT775" i="11"/>
  <c r="AW775" i="11" s="1"/>
  <c r="AX774" i="11"/>
  <c r="AV774" i="11"/>
  <c r="AU774" i="11"/>
  <c r="AT774" i="11"/>
  <c r="AW774" i="11" s="1"/>
  <c r="AX773" i="11"/>
  <c r="AV773" i="11"/>
  <c r="AU773" i="11"/>
  <c r="AT773" i="11"/>
  <c r="AW773" i="11" s="1"/>
  <c r="AV772" i="11"/>
  <c r="AT772" i="11"/>
  <c r="AW772" i="11" s="1"/>
  <c r="AV765" i="11"/>
  <c r="AT765" i="11"/>
  <c r="AW765" i="11" s="1"/>
  <c r="AV763" i="11"/>
  <c r="AT763" i="11"/>
  <c r="AW763" i="11" s="1"/>
  <c r="AI150" i="12" l="1"/>
  <c r="AJ155" i="12"/>
  <c r="AJ67" i="12"/>
  <c r="AU67" i="12" s="1"/>
  <c r="AO101" i="12"/>
  <c r="AT30" i="12"/>
  <c r="AX74" i="12"/>
  <c r="AF14" i="12"/>
  <c r="AF13" i="12" s="1"/>
  <c r="AU88" i="12"/>
  <c r="AW181" i="12"/>
  <c r="AN101" i="12"/>
  <c r="AQ124" i="12"/>
  <c r="AT124" i="12" s="1"/>
  <c r="AL101" i="12"/>
  <c r="AM101" i="12"/>
  <c r="AS14" i="12"/>
  <c r="AS13" i="12" s="1"/>
  <c r="AS12" i="12" s="1"/>
  <c r="AU17" i="12"/>
  <c r="AJ118" i="12"/>
  <c r="AI94" i="12"/>
  <c r="AI87" i="12" s="1"/>
  <c r="AI86" i="12" s="1"/>
  <c r="AU98" i="12"/>
  <c r="AU175" i="12"/>
  <c r="AJ174" i="12"/>
  <c r="AX135" i="12"/>
  <c r="AD101" i="12"/>
  <c r="AO14" i="12"/>
  <c r="AO13" i="12" s="1"/>
  <c r="AO12" i="12" s="1"/>
  <c r="AO11" i="12" s="1"/>
  <c r="AI165" i="12"/>
  <c r="AI164" i="12" s="1"/>
  <c r="AF101" i="12"/>
  <c r="AX1333" i="12"/>
  <c r="AJ1336" i="12"/>
  <c r="AX1336" i="12" s="1"/>
  <c r="AJ168" i="12"/>
  <c r="AU169" i="12"/>
  <c r="AV87" i="12"/>
  <c r="AV86" i="12" s="1"/>
  <c r="AR71" i="12"/>
  <c r="AR70" i="12" s="1"/>
  <c r="AR30" i="12"/>
  <c r="AR16" i="12" s="1"/>
  <c r="AR15" i="12" s="1"/>
  <c r="AE14" i="12"/>
  <c r="AE13" i="12" s="1"/>
  <c r="AE12" i="12" s="1"/>
  <c r="AE11" i="12" s="1"/>
  <c r="AJ95" i="12"/>
  <c r="AU95" i="12" s="1"/>
  <c r="AU127" i="12"/>
  <c r="AX783" i="12"/>
  <c r="AQ150" i="12"/>
  <c r="AL14" i="12"/>
  <c r="AL13" i="12" s="1"/>
  <c r="AD14" i="12"/>
  <c r="AD13" i="12" s="1"/>
  <c r="AU783" i="12"/>
  <c r="AU862" i="12" s="1"/>
  <c r="AU34" i="12"/>
  <c r="AJ30" i="12"/>
  <c r="AU30" i="12" s="1"/>
  <c r="AU16" i="12" s="1"/>
  <c r="AU15" i="12" s="1"/>
  <c r="AX17" i="12"/>
  <c r="AI862" i="12"/>
  <c r="AX182" i="12"/>
  <c r="AI16" i="12"/>
  <c r="AI15" i="12" s="1"/>
  <c r="AX47" i="12"/>
  <c r="AJ46" i="12"/>
  <c r="AI753" i="12"/>
  <c r="AN14" i="12"/>
  <c r="AN13" i="12" s="1"/>
  <c r="AN12" i="12" s="1"/>
  <c r="AN11" i="12" s="1"/>
  <c r="AI52" i="12"/>
  <c r="AJ53" i="12"/>
  <c r="AU182" i="12"/>
  <c r="AL150" i="12"/>
  <c r="AQ172" i="12"/>
  <c r="AT172" i="12" s="1"/>
  <c r="AT171" i="12" s="1"/>
  <c r="AR42" i="12"/>
  <c r="AU1321" i="12"/>
  <c r="AR102" i="12"/>
  <c r="AR101" i="12" s="1"/>
  <c r="AL87" i="12"/>
  <c r="AL86" i="12" s="1"/>
  <c r="AR192" i="12"/>
  <c r="AV192" i="12"/>
  <c r="AX177" i="12"/>
  <c r="AP176" i="12"/>
  <c r="AX176" i="12" s="1"/>
  <c r="AL192" i="12"/>
  <c r="AW42" i="12"/>
  <c r="AT150" i="12"/>
  <c r="AV42" i="12"/>
  <c r="AU168" i="12"/>
  <c r="AJ167" i="12"/>
  <c r="AG192" i="12"/>
  <c r="AW30" i="12"/>
  <c r="AW16" i="12" s="1"/>
  <c r="AW15" i="12" s="1"/>
  <c r="AQ16" i="12"/>
  <c r="AP119" i="12"/>
  <c r="AW120" i="12"/>
  <c r="AX120" i="12"/>
  <c r="AJ76" i="12"/>
  <c r="AI75" i="12"/>
  <c r="AI71" i="12" s="1"/>
  <c r="AI70" i="12" s="1"/>
  <c r="AU64" i="12"/>
  <c r="AX64" i="12"/>
  <c r="AX1334" i="12"/>
  <c r="AU1334" i="12"/>
  <c r="AU1336" i="12" s="1"/>
  <c r="AU894" i="12"/>
  <c r="AU1100" i="12" s="1"/>
  <c r="AX894" i="12"/>
  <c r="AU312" i="12"/>
  <c r="AX312" i="12"/>
  <c r="AX155" i="12"/>
  <c r="AW155" i="12"/>
  <c r="AW150" i="12" s="1"/>
  <c r="AP150" i="12"/>
  <c r="AX127" i="12"/>
  <c r="AK14" i="12"/>
  <c r="AK13" i="12" s="1"/>
  <c r="AK12" i="12" s="1"/>
  <c r="AK11" i="12" s="1"/>
  <c r="AJ44" i="12"/>
  <c r="AI43" i="12"/>
  <c r="AT1321" i="12"/>
  <c r="AS192" i="12"/>
  <c r="AT192" i="12" s="1"/>
  <c r="AI1153" i="12"/>
  <c r="AJ540" i="12"/>
  <c r="AX540" i="12" s="1"/>
  <c r="AI540" i="12"/>
  <c r="AX39" i="12"/>
  <c r="AU1109" i="12"/>
  <c r="AJ1153" i="12"/>
  <c r="AX1153" i="12" s="1"/>
  <c r="AJ1272" i="12"/>
  <c r="AX1272" i="12" s="1"/>
  <c r="AX1259" i="12"/>
  <c r="AU1259" i="12"/>
  <c r="AU1272" i="12" s="1"/>
  <c r="AU252" i="12"/>
  <c r="AX252" i="12"/>
  <c r="AH192" i="12"/>
  <c r="AW125" i="12"/>
  <c r="AW124" i="12" s="1"/>
  <c r="AP124" i="12"/>
  <c r="AX181" i="12"/>
  <c r="AV125" i="12"/>
  <c r="AV124" i="12" s="1"/>
  <c r="AX58" i="12"/>
  <c r="AH101" i="12"/>
  <c r="AP70" i="12"/>
  <c r="AU72" i="12"/>
  <c r="AX72" i="12"/>
  <c r="AP16" i="12"/>
  <c r="AX1216" i="12"/>
  <c r="AU1216" i="12"/>
  <c r="AU1250" i="12" s="1"/>
  <c r="AX1120" i="12"/>
  <c r="AU1120" i="12"/>
  <c r="AX1365" i="12"/>
  <c r="AJ1372" i="12"/>
  <c r="AX1372" i="12" s="1"/>
  <c r="AU1365" i="12"/>
  <c r="AU1372" i="12" s="1"/>
  <c r="AJ753" i="12"/>
  <c r="AX753" i="12" s="1"/>
  <c r="AX168" i="12"/>
  <c r="AW192" i="12"/>
  <c r="AV30" i="12"/>
  <c r="AV16" i="12" s="1"/>
  <c r="AV15" i="12" s="1"/>
  <c r="AM16" i="12"/>
  <c r="AM15" i="12" s="1"/>
  <c r="AM14" i="12" s="1"/>
  <c r="AM13" i="12" s="1"/>
  <c r="AM12" i="12" s="1"/>
  <c r="AX55" i="12"/>
  <c r="AX1345" i="12"/>
  <c r="AJ1353" i="12"/>
  <c r="AX1353" i="12" s="1"/>
  <c r="AU1345" i="12"/>
  <c r="AU1353" i="12" s="1"/>
  <c r="AU126" i="12"/>
  <c r="AJ125" i="12"/>
  <c r="AX126" i="12"/>
  <c r="AI1250" i="12"/>
  <c r="AJ1162" i="12"/>
  <c r="AI1190" i="12"/>
  <c r="AI1100" i="12"/>
  <c r="AU753" i="12"/>
  <c r="AQ167" i="12"/>
  <c r="AT168" i="12"/>
  <c r="AW168" i="12" s="1"/>
  <c r="AQ102" i="12"/>
  <c r="AV120" i="12"/>
  <c r="AH14" i="12"/>
  <c r="AH13" i="12" s="1"/>
  <c r="AW87" i="12"/>
  <c r="AW86" i="12" s="1"/>
  <c r="AT71" i="12"/>
  <c r="AT70" i="12" s="1"/>
  <c r="AQ70" i="12"/>
  <c r="AX88" i="12"/>
  <c r="AI101" i="12"/>
  <c r="AJ1453" i="12"/>
  <c r="AI1474" i="12"/>
  <c r="AJ1100" i="12"/>
  <c r="AX1100" i="12" s="1"/>
  <c r="AM167" i="12"/>
  <c r="AV168" i="12"/>
  <c r="AX410" i="12"/>
  <c r="AU410" i="12"/>
  <c r="AP171" i="12"/>
  <c r="AV172" i="12"/>
  <c r="AV171" i="12" s="1"/>
  <c r="AJ150" i="12"/>
  <c r="AU155" i="12"/>
  <c r="AU150" i="12" s="1"/>
  <c r="AP86" i="12"/>
  <c r="AX61" i="12"/>
  <c r="AG14" i="12"/>
  <c r="AG13" i="12" s="1"/>
  <c r="AG12" i="12" s="1"/>
  <c r="AX67" i="12"/>
  <c r="AX105" i="12"/>
  <c r="AU105" i="12"/>
  <c r="AR1352" i="11"/>
  <c r="AR1351" i="11"/>
  <c r="AR1364" i="11"/>
  <c r="AR1363" i="11"/>
  <c r="AR1362" i="11"/>
  <c r="AR1361" i="11"/>
  <c r="AR1360" i="11"/>
  <c r="AR1359" i="11"/>
  <c r="AR1369" i="11"/>
  <c r="AR1368" i="11"/>
  <c r="AR1377" i="11"/>
  <c r="AR1376" i="11"/>
  <c r="AR1375" i="11"/>
  <c r="AR1374" i="11"/>
  <c r="AR1380" i="11"/>
  <c r="AR1383" i="11"/>
  <c r="AR1389" i="11"/>
  <c r="AR1388" i="11"/>
  <c r="AR1387" i="11"/>
  <c r="AR1395" i="11"/>
  <c r="AR1399" i="11"/>
  <c r="AR1405" i="11"/>
  <c r="AR1411" i="11"/>
  <c r="AR1415" i="11"/>
  <c r="AR1414" i="11"/>
  <c r="AR1433" i="11"/>
  <c r="AR1440" i="11"/>
  <c r="AR453" i="11"/>
  <c r="AR449" i="11"/>
  <c r="AR448" i="11"/>
  <c r="AR447" i="11"/>
  <c r="AR446" i="11"/>
  <c r="AR445" i="11"/>
  <c r="AR444" i="11"/>
  <c r="AR443" i="11"/>
  <c r="AR442" i="11"/>
  <c r="AR440" i="11"/>
  <c r="AR439" i="11"/>
  <c r="AR431" i="11"/>
  <c r="AR429" i="11"/>
  <c r="AR426" i="11"/>
  <c r="AR425" i="11"/>
  <c r="AR424" i="11"/>
  <c r="AR423" i="11"/>
  <c r="AR421" i="11"/>
  <c r="AR420" i="11"/>
  <c r="AR419" i="11"/>
  <c r="AR418" i="11"/>
  <c r="AR417" i="11"/>
  <c r="AR416" i="11"/>
  <c r="AR415" i="11"/>
  <c r="AR395" i="11"/>
  <c r="AR390" i="11"/>
  <c r="AR388" i="11"/>
  <c r="AR386" i="11"/>
  <c r="AR384" i="11"/>
  <c r="AR381" i="11"/>
  <c r="AR379" i="11"/>
  <c r="AR377" i="11"/>
  <c r="AR375" i="11"/>
  <c r="AR371" i="11"/>
  <c r="AR369" i="11"/>
  <c r="AR365" i="11"/>
  <c r="AR363" i="11"/>
  <c r="AR361" i="11"/>
  <c r="AR359" i="11"/>
  <c r="AR350" i="11"/>
  <c r="AR346" i="11"/>
  <c r="AR344" i="11"/>
  <c r="AR342" i="11"/>
  <c r="AR340" i="11"/>
  <c r="AR337" i="11"/>
  <c r="AR335" i="11"/>
  <c r="AR333" i="11"/>
  <c r="AR331" i="11"/>
  <c r="AR328" i="11"/>
  <c r="AR326" i="11"/>
  <c r="AR323" i="11"/>
  <c r="AR321" i="11"/>
  <c r="AR319" i="11"/>
  <c r="AR317" i="11"/>
  <c r="AR315" i="11"/>
  <c r="AR313" i="11"/>
  <c r="AR312" i="11"/>
  <c r="AR311" i="11"/>
  <c r="AR302" i="11"/>
  <c r="AR300" i="11"/>
  <c r="AR296" i="11"/>
  <c r="AR292" i="11"/>
  <c r="AR290" i="11"/>
  <c r="AR288" i="11"/>
  <c r="AR286" i="11"/>
  <c r="AR284" i="11"/>
  <c r="AR282" i="11"/>
  <c r="AR280" i="11"/>
  <c r="AR278" i="11"/>
  <c r="AR276" i="11"/>
  <c r="AR273" i="11"/>
  <c r="AR271" i="11"/>
  <c r="AR268" i="11"/>
  <c r="AR266" i="11"/>
  <c r="AR263" i="11"/>
  <c r="AR262" i="11"/>
  <c r="AR462" i="11"/>
  <c r="AR461" i="11"/>
  <c r="AR460" i="11"/>
  <c r="AR459" i="11"/>
  <c r="AR464" i="11"/>
  <c r="AR479" i="11"/>
  <c r="AR483" i="11"/>
  <c r="AR487" i="11"/>
  <c r="AR486" i="11"/>
  <c r="AR485" i="11"/>
  <c r="AR489" i="11"/>
  <c r="AR490" i="11"/>
  <c r="AR505" i="11"/>
  <c r="AR503" i="11"/>
  <c r="AR502" i="11"/>
  <c r="AR525" i="11"/>
  <c r="AR526" i="11"/>
  <c r="AR524" i="11"/>
  <c r="AR523" i="11"/>
  <c r="AR141" i="11"/>
  <c r="AR138" i="11"/>
  <c r="AR137" i="11"/>
  <c r="AR136" i="11"/>
  <c r="AR135" i="11"/>
  <c r="AR130" i="11"/>
  <c r="AR129" i="11"/>
  <c r="AR128" i="11"/>
  <c r="AR127" i="11"/>
  <c r="AR122" i="11"/>
  <c r="AR121" i="11"/>
  <c r="AR116" i="11"/>
  <c r="AR115" i="11"/>
  <c r="AR114" i="11"/>
  <c r="AR113" i="11"/>
  <c r="AR112" i="11"/>
  <c r="AR111" i="11"/>
  <c r="AR110" i="11"/>
  <c r="AR109" i="11"/>
  <c r="AR108" i="11"/>
  <c r="AR107" i="11"/>
  <c r="AR106" i="11"/>
  <c r="AR105" i="11"/>
  <c r="AR85" i="11"/>
  <c r="AR84" i="11"/>
  <c r="AR83" i="11"/>
  <c r="AR82" i="11"/>
  <c r="AR81" i="11"/>
  <c r="AR80" i="11"/>
  <c r="AR79" i="11"/>
  <c r="AR77" i="11"/>
  <c r="AR76" i="11"/>
  <c r="AR74" i="11"/>
  <c r="AR73" i="11"/>
  <c r="AR69" i="11"/>
  <c r="AR68" i="11"/>
  <c r="AR66" i="11"/>
  <c r="AR65" i="11"/>
  <c r="AR63" i="11"/>
  <c r="AR62" i="11"/>
  <c r="AR60" i="11"/>
  <c r="AR59" i="11"/>
  <c r="AR57" i="11"/>
  <c r="AR56" i="11"/>
  <c r="AR54" i="11"/>
  <c r="AR53" i="11"/>
  <c r="AR51" i="11"/>
  <c r="AR50" i="11"/>
  <c r="AR48" i="11"/>
  <c r="AR47" i="11"/>
  <c r="AR45" i="11"/>
  <c r="AR44" i="11"/>
  <c r="AR36" i="11"/>
  <c r="AR35" i="11"/>
  <c r="AR33" i="11"/>
  <c r="AR32" i="11"/>
  <c r="AR29" i="11"/>
  <c r="AR28" i="11"/>
  <c r="AR26" i="11"/>
  <c r="AR25" i="11"/>
  <c r="AR23" i="11"/>
  <c r="AR20" i="11"/>
  <c r="AR19" i="11"/>
  <c r="AR18" i="11"/>
  <c r="AO683" i="11"/>
  <c r="AO686" i="11"/>
  <c r="AO685" i="11"/>
  <c r="AO684" i="11"/>
  <c r="AO682" i="11"/>
  <c r="AO692" i="11"/>
  <c r="AO622" i="11"/>
  <c r="AO616" i="11"/>
  <c r="AO597" i="11"/>
  <c r="AO595" i="11"/>
  <c r="AO593" i="11"/>
  <c r="AO588" i="11"/>
  <c r="AO589" i="11"/>
  <c r="AO585" i="11"/>
  <c r="AO584" i="11"/>
  <c r="AO583" i="11"/>
  <c r="AO581" i="11"/>
  <c r="AO580" i="11"/>
  <c r="AO579" i="11"/>
  <c r="AO578" i="11"/>
  <c r="AO576" i="11"/>
  <c r="AO575" i="11"/>
  <c r="AO574" i="11"/>
  <c r="AO573" i="11"/>
  <c r="AO569" i="11"/>
  <c r="AO565" i="11"/>
  <c r="AO564" i="11"/>
  <c r="AO563" i="11"/>
  <c r="AO550" i="11"/>
  <c r="AO602" i="11"/>
  <c r="AO615" i="11"/>
  <c r="AO614" i="11"/>
  <c r="AO640" i="11"/>
  <c r="AO639" i="11"/>
  <c r="AO644" i="11"/>
  <c r="AO668" i="11"/>
  <c r="AO667" i="11"/>
  <c r="AO666" i="11"/>
  <c r="AO697" i="11"/>
  <c r="AO699" i="11"/>
  <c r="AO708" i="11"/>
  <c r="AO712" i="11"/>
  <c r="AO711" i="11"/>
  <c r="AO710" i="11"/>
  <c r="AO715" i="11"/>
  <c r="AO714" i="11"/>
  <c r="AO727" i="11"/>
  <c r="AO728" i="11"/>
  <c r="AL100" i="11"/>
  <c r="AL99" i="11"/>
  <c r="AL98" i="11"/>
  <c r="AL97" i="11"/>
  <c r="AL96" i="11"/>
  <c r="AL95" i="11"/>
  <c r="AL91" i="11"/>
  <c r="AL90" i="11"/>
  <c r="AL89" i="11"/>
  <c r="AL1322" i="11"/>
  <c r="AL1318" i="11"/>
  <c r="AL1320" i="11"/>
  <c r="AL1324" i="11"/>
  <c r="AL1439" i="11"/>
  <c r="AL943" i="11"/>
  <c r="AL941" i="11"/>
  <c r="AL940" i="11"/>
  <c r="AL938" i="11"/>
  <c r="AL936" i="11"/>
  <c r="AL926" i="11"/>
  <c r="AL920" i="11"/>
  <c r="AL919" i="11"/>
  <c r="AL915" i="11"/>
  <c r="AL913" i="11"/>
  <c r="AL908" i="11"/>
  <c r="AL906" i="11"/>
  <c r="AL904" i="11"/>
  <c r="AL903" i="11"/>
  <c r="AL902" i="11"/>
  <c r="AL900" i="11"/>
  <c r="AL896" i="11"/>
  <c r="AL894" i="11"/>
  <c r="AL892" i="11"/>
  <c r="AL890" i="11"/>
  <c r="AL888" i="11"/>
  <c r="AL949" i="11"/>
  <c r="AL947" i="11"/>
  <c r="AL945" i="11"/>
  <c r="AL1002" i="11"/>
  <c r="AL1005" i="11"/>
  <c r="AL1004" i="11"/>
  <c r="AL1009" i="11"/>
  <c r="AL1016" i="11"/>
  <c r="AL1015" i="11"/>
  <c r="AL1014" i="11"/>
  <c r="AL1013" i="11"/>
  <c r="AL1012" i="11"/>
  <c r="AL1023" i="11"/>
  <c r="AL1021" i="11"/>
  <c r="AL1039" i="11"/>
  <c r="AL1066" i="11"/>
  <c r="AL1076" i="11"/>
  <c r="AL1082" i="11"/>
  <c r="AL1081" i="11"/>
  <c r="AL1087" i="11"/>
  <c r="AL821" i="11"/>
  <c r="AL825" i="11"/>
  <c r="AL832" i="11"/>
  <c r="AL831" i="11"/>
  <c r="AL835" i="11"/>
  <c r="AL834" i="11"/>
  <c r="AL842" i="11"/>
  <c r="AL844" i="11"/>
  <c r="AL845" i="11"/>
  <c r="AL668" i="11"/>
  <c r="AL667" i="11"/>
  <c r="AL666" i="11"/>
  <c r="AL679" i="11"/>
  <c r="AL682" i="11"/>
  <c r="AL683" i="11"/>
  <c r="AL684" i="11"/>
  <c r="AL692" i="11"/>
  <c r="AL695" i="11"/>
  <c r="AL699" i="11"/>
  <c r="AL708" i="11"/>
  <c r="AL715" i="11"/>
  <c r="AV840" i="11"/>
  <c r="AT840" i="11"/>
  <c r="AW840" i="11" s="1"/>
  <c r="AV838" i="11"/>
  <c r="AT838" i="11"/>
  <c r="AW838" i="11" s="1"/>
  <c r="AV837" i="11"/>
  <c r="AT837" i="11"/>
  <c r="AW837" i="11" s="1"/>
  <c r="AV818" i="11"/>
  <c r="AT818" i="11"/>
  <c r="AW818" i="11" s="1"/>
  <c r="AV777" i="11"/>
  <c r="AT777" i="11"/>
  <c r="AW777" i="11" s="1"/>
  <c r="AV768" i="11"/>
  <c r="AT768" i="11"/>
  <c r="AW768" i="11" s="1"/>
  <c r="AV677" i="11"/>
  <c r="AT677" i="11"/>
  <c r="AW677" i="11" s="1"/>
  <c r="AV676" i="11"/>
  <c r="AT676" i="11"/>
  <c r="AW676" i="11" s="1"/>
  <c r="AV674" i="11"/>
  <c r="AT674" i="11"/>
  <c r="AW674" i="11" s="1"/>
  <c r="AV636" i="11"/>
  <c r="AT636" i="11"/>
  <c r="AW636" i="11" s="1"/>
  <c r="AV630" i="11"/>
  <c r="AT630" i="11"/>
  <c r="AW630" i="11" s="1"/>
  <c r="AV587" i="11"/>
  <c r="AT587" i="11"/>
  <c r="AW587" i="11" s="1"/>
  <c r="AF12" i="12" l="1"/>
  <c r="AF11" i="12" s="1"/>
  <c r="AU104" i="12"/>
  <c r="AU103" i="12" s="1"/>
  <c r="AU102" i="12" s="1"/>
  <c r="AD12" i="12"/>
  <c r="AD11" i="12" s="1"/>
  <c r="AU94" i="12"/>
  <c r="AU87" i="12" s="1"/>
  <c r="AU86" i="12" s="1"/>
  <c r="AX174" i="12"/>
  <c r="AU174" i="12"/>
  <c r="AJ173" i="12"/>
  <c r="AJ94" i="12"/>
  <c r="AX94" i="12" s="1"/>
  <c r="AX95" i="12"/>
  <c r="AI42" i="12"/>
  <c r="AI14" i="12" s="1"/>
  <c r="AI13" i="12" s="1"/>
  <c r="AI12" i="12" s="1"/>
  <c r="AG11" i="12"/>
  <c r="AQ171" i="12"/>
  <c r="AU46" i="12"/>
  <c r="AX46" i="12"/>
  <c r="AJ16" i="12"/>
  <c r="AJ15" i="12" s="1"/>
  <c r="AX30" i="12"/>
  <c r="AU53" i="12"/>
  <c r="AJ52" i="12"/>
  <c r="AX53" i="12"/>
  <c r="AU540" i="12"/>
  <c r="AP165" i="12"/>
  <c r="AP164" i="12" s="1"/>
  <c r="AW172" i="12"/>
  <c r="AW171" i="12" s="1"/>
  <c r="AL12" i="12"/>
  <c r="AI192" i="12"/>
  <c r="AR14" i="12"/>
  <c r="AR13" i="12" s="1"/>
  <c r="AR12" i="12" s="1"/>
  <c r="AR11" i="12" s="1"/>
  <c r="AV14" i="12"/>
  <c r="AV13" i="12" s="1"/>
  <c r="AT167" i="12"/>
  <c r="AW167" i="12" s="1"/>
  <c r="AW166" i="12" s="1"/>
  <c r="AQ166" i="12"/>
  <c r="AM166" i="12"/>
  <c r="AM165" i="12" s="1"/>
  <c r="AM164" i="12" s="1"/>
  <c r="AM11" i="12" s="1"/>
  <c r="AV167" i="12"/>
  <c r="AV166" i="12" s="1"/>
  <c r="AV165" i="12" s="1"/>
  <c r="AV164" i="12" s="1"/>
  <c r="AU44" i="12"/>
  <c r="AJ43" i="12"/>
  <c r="AX44" i="12"/>
  <c r="AU76" i="12"/>
  <c r="AJ75" i="12"/>
  <c r="AX76" i="12"/>
  <c r="AU125" i="12"/>
  <c r="AU124" i="12" s="1"/>
  <c r="AJ124" i="12"/>
  <c r="AX124" i="12" s="1"/>
  <c r="AW71" i="12"/>
  <c r="AW70" i="12" s="1"/>
  <c r="AW14" i="12" s="1"/>
  <c r="AW13" i="12" s="1"/>
  <c r="AX125" i="12"/>
  <c r="AU167" i="12"/>
  <c r="AU166" i="12" s="1"/>
  <c r="AJ166" i="12"/>
  <c r="AX167" i="12"/>
  <c r="AJ103" i="12"/>
  <c r="AX104" i="12"/>
  <c r="AX1162" i="12"/>
  <c r="AJ1190" i="12"/>
  <c r="AX1190" i="12" s="1"/>
  <c r="AU1162" i="12"/>
  <c r="AU1190" i="12" s="1"/>
  <c r="AS11" i="12"/>
  <c r="AU1453" i="12"/>
  <c r="AU1474" i="12" s="1"/>
  <c r="AX1453" i="12"/>
  <c r="AJ1474" i="12"/>
  <c r="AX1474" i="12" s="1"/>
  <c r="AP15" i="12"/>
  <c r="AU1153" i="12"/>
  <c r="AX150" i="12"/>
  <c r="AX119" i="12"/>
  <c r="AP118" i="12"/>
  <c r="AW119" i="12"/>
  <c r="AW118" i="12" s="1"/>
  <c r="AW102" i="12" s="1"/>
  <c r="AW101" i="12" s="1"/>
  <c r="AV119" i="12"/>
  <c r="AV118" i="12" s="1"/>
  <c r="AV102" i="12" s="1"/>
  <c r="AV101" i="12" s="1"/>
  <c r="AT102" i="12"/>
  <c r="AQ101" i="12"/>
  <c r="AT101" i="12" s="1"/>
  <c r="AH12" i="12"/>
  <c r="AH11" i="12" s="1"/>
  <c r="AT16" i="12"/>
  <c r="AQ15" i="12"/>
  <c r="AV466" i="11"/>
  <c r="AT466" i="11"/>
  <c r="AW466" i="11" s="1"/>
  <c r="AV1010" i="11"/>
  <c r="AT1010" i="11"/>
  <c r="AW1010" i="11" s="1"/>
  <c r="AV995" i="11"/>
  <c r="AT995" i="11"/>
  <c r="AW995" i="11" s="1"/>
  <c r="AV988" i="11"/>
  <c r="AT988" i="11"/>
  <c r="AW988" i="11" s="1"/>
  <c r="AG973" i="11"/>
  <c r="AV987" i="11"/>
  <c r="AT987" i="11"/>
  <c r="AW987" i="11" s="1"/>
  <c r="AV986" i="11"/>
  <c r="AT986" i="11"/>
  <c r="AW986" i="11" s="1"/>
  <c r="AV985" i="11"/>
  <c r="AT985" i="11"/>
  <c r="AW985" i="11" s="1"/>
  <c r="AV984" i="11"/>
  <c r="AT984" i="11"/>
  <c r="AW984" i="11" s="1"/>
  <c r="AV974" i="11"/>
  <c r="AT974" i="11"/>
  <c r="AW974" i="11" s="1"/>
  <c r="AV966" i="11"/>
  <c r="AT966" i="11"/>
  <c r="AW966" i="11" s="1"/>
  <c r="AI966" i="11"/>
  <c r="AJ966" i="11" s="1"/>
  <c r="AU966" i="11" s="1"/>
  <c r="AV953" i="11"/>
  <c r="AT953" i="11"/>
  <c r="AW953" i="11" s="1"/>
  <c r="AG945" i="11"/>
  <c r="AI879" i="11"/>
  <c r="AJ879" i="11" s="1"/>
  <c r="AI874" i="11"/>
  <c r="AJ874" i="11" s="1"/>
  <c r="AI872" i="11"/>
  <c r="AJ872" i="11" s="1"/>
  <c r="AV862" i="11"/>
  <c r="AT862" i="11"/>
  <c r="AW862" i="11" s="1"/>
  <c r="AM1244" i="11"/>
  <c r="AL1244" i="11"/>
  <c r="AS1264" i="11"/>
  <c r="AR1264" i="11"/>
  <c r="AM1264" i="11"/>
  <c r="AL1264" i="11"/>
  <c r="AI1322" i="11"/>
  <c r="AJ1322" i="11" s="1"/>
  <c r="AV225" i="11"/>
  <c r="AT225" i="11"/>
  <c r="AW225" i="11" s="1"/>
  <c r="AV217" i="11"/>
  <c r="AT217" i="11"/>
  <c r="AW217" i="11" s="1"/>
  <c r="AV216" i="11"/>
  <c r="AT216" i="11"/>
  <c r="AW216" i="11" s="1"/>
  <c r="AV213" i="11"/>
  <c r="AT213" i="11"/>
  <c r="AW213" i="11" s="1"/>
  <c r="AV208" i="11"/>
  <c r="AT208" i="11"/>
  <c r="AW208" i="11" s="1"/>
  <c r="AI204" i="11"/>
  <c r="AJ204" i="11" s="1"/>
  <c r="AI221" i="11"/>
  <c r="AJ221" i="11" s="1"/>
  <c r="AH205" i="11"/>
  <c r="AI54" i="11"/>
  <c r="AJ54" i="11" s="1"/>
  <c r="AI19" i="11"/>
  <c r="AJ19" i="11" s="1"/>
  <c r="AI74" i="11"/>
  <c r="AJ74" i="11" s="1"/>
  <c r="AI69" i="11"/>
  <c r="AJ69" i="11" s="1"/>
  <c r="AI66" i="11"/>
  <c r="AJ66" i="11" s="1"/>
  <c r="AI63" i="11"/>
  <c r="AJ63" i="11" s="1"/>
  <c r="AI60" i="11"/>
  <c r="AJ60" i="11" s="1"/>
  <c r="AI36" i="11"/>
  <c r="AJ36" i="11" s="1"/>
  <c r="AL11" i="12" l="1"/>
  <c r="AU101" i="12"/>
  <c r="AJ87" i="12"/>
  <c r="AX173" i="12"/>
  <c r="AJ172" i="12"/>
  <c r="AU173" i="12"/>
  <c r="AX16" i="12"/>
  <c r="AG10" i="12"/>
  <c r="AW165" i="12"/>
  <c r="AW164" i="12" s="1"/>
  <c r="AU192" i="12"/>
  <c r="AU52" i="12"/>
  <c r="AX52" i="12"/>
  <c r="AI11" i="12"/>
  <c r="AV12" i="12"/>
  <c r="AV11" i="12" s="1"/>
  <c r="AJ192" i="12"/>
  <c r="AX192" i="12" s="1"/>
  <c r="AW12" i="12"/>
  <c r="AX118" i="12"/>
  <c r="AP102" i="12"/>
  <c r="AT166" i="12"/>
  <c r="AT165" i="12" s="1"/>
  <c r="AQ165" i="12"/>
  <c r="AQ164" i="12" s="1"/>
  <c r="AT164" i="12" s="1"/>
  <c r="AJ102" i="12"/>
  <c r="AJ101" i="12" s="1"/>
  <c r="AX103" i="12"/>
  <c r="AJ42" i="12"/>
  <c r="AU43" i="12"/>
  <c r="AX43" i="12"/>
  <c r="AU75" i="12"/>
  <c r="AX75" i="12"/>
  <c r="AJ71" i="12"/>
  <c r="AX166" i="12"/>
  <c r="AX15" i="12"/>
  <c r="AP14" i="12"/>
  <c r="AJ86" i="12"/>
  <c r="AX86" i="12" s="1"/>
  <c r="AX87" i="12"/>
  <c r="AT15" i="12"/>
  <c r="AQ14" i="12"/>
  <c r="AI995" i="11"/>
  <c r="AJ995" i="11" s="1"/>
  <c r="AG994" i="11"/>
  <c r="AI1010" i="11"/>
  <c r="AJ1010" i="11" s="1"/>
  <c r="AI862" i="11"/>
  <c r="AJ862" i="11" s="1"/>
  <c r="AI974" i="11"/>
  <c r="AJ974" i="11" s="1"/>
  <c r="AI953" i="11"/>
  <c r="AJ953" i="11" s="1"/>
  <c r="AI861" i="11"/>
  <c r="AJ861" i="11" s="1"/>
  <c r="AI892" i="11"/>
  <c r="AJ892" i="11" s="1"/>
  <c r="AH1015" i="11"/>
  <c r="AH1005" i="11"/>
  <c r="AG1320" i="11"/>
  <c r="AI208" i="11"/>
  <c r="AJ208" i="11" s="1"/>
  <c r="AI213" i="11"/>
  <c r="AJ213" i="11" s="1"/>
  <c r="AI466" i="11"/>
  <c r="AJ466" i="11" s="1"/>
  <c r="AI379" i="11"/>
  <c r="AJ379" i="11" s="1"/>
  <c r="AI377" i="11"/>
  <c r="AJ377" i="11" s="1"/>
  <c r="AI395" i="11"/>
  <c r="AJ395" i="11" s="1"/>
  <c r="AI335" i="11"/>
  <c r="AJ335" i="11" s="1"/>
  <c r="AI333" i="11"/>
  <c r="AJ333" i="11" s="1"/>
  <c r="AI350" i="11"/>
  <c r="AJ350" i="11" s="1"/>
  <c r="AI296" i="11"/>
  <c r="AJ296" i="11" s="1"/>
  <c r="AI292" i="11"/>
  <c r="AJ292" i="11" s="1"/>
  <c r="AI290" i="11"/>
  <c r="AJ290" i="11" s="1"/>
  <c r="AI288" i="11"/>
  <c r="AJ288" i="11" s="1"/>
  <c r="AI286" i="11"/>
  <c r="AJ286" i="11" s="1"/>
  <c r="AI284" i="11"/>
  <c r="AJ284" i="11" s="1"/>
  <c r="AI282" i="11"/>
  <c r="AJ282" i="11" s="1"/>
  <c r="AI280" i="11"/>
  <c r="AJ280" i="11" s="1"/>
  <c r="AI273" i="11"/>
  <c r="AJ273" i="11" s="1"/>
  <c r="AG158" i="11"/>
  <c r="AG100" i="11"/>
  <c r="AH442" i="11"/>
  <c r="AH311" i="11"/>
  <c r="AI331" i="11"/>
  <c r="AJ331" i="11" s="1"/>
  <c r="AI375" i="11"/>
  <c r="AJ375" i="11" s="1"/>
  <c r="AI359" i="11"/>
  <c r="AJ359" i="11" s="1"/>
  <c r="AH44" i="11"/>
  <c r="AH95" i="11"/>
  <c r="AI62" i="11"/>
  <c r="AJ62" i="11" s="1"/>
  <c r="AI45" i="11"/>
  <c r="AJ45" i="11" s="1"/>
  <c r="AI840" i="11"/>
  <c r="AJ840" i="11" s="1"/>
  <c r="AI838" i="11"/>
  <c r="AJ838" i="11" s="1"/>
  <c r="AI837" i="11"/>
  <c r="AJ837" i="11" s="1"/>
  <c r="AG763" i="11"/>
  <c r="AI777" i="11"/>
  <c r="AJ777" i="11" s="1"/>
  <c r="AG776" i="11"/>
  <c r="AG772" i="11"/>
  <c r="AI768" i="11"/>
  <c r="AJ768" i="11" s="1"/>
  <c r="AW11" i="12" l="1"/>
  <c r="AX172" i="12"/>
  <c r="AU172" i="12"/>
  <c r="AU171" i="12" s="1"/>
  <c r="AU165" i="12" s="1"/>
  <c r="AU164" i="12" s="1"/>
  <c r="AJ171" i="12"/>
  <c r="AU42" i="12"/>
  <c r="AX42" i="12"/>
  <c r="AP13" i="12"/>
  <c r="AU71" i="12"/>
  <c r="AU70" i="12" s="1"/>
  <c r="AJ70" i="12"/>
  <c r="AX70" i="12" s="1"/>
  <c r="AX71" i="12"/>
  <c r="AP101" i="12"/>
  <c r="AX101" i="12" s="1"/>
  <c r="AX102" i="12"/>
  <c r="AQ13" i="12"/>
  <c r="AT14" i="12"/>
  <c r="AU768" i="11"/>
  <c r="AX768" i="11"/>
  <c r="AX777" i="11"/>
  <c r="AU777" i="11"/>
  <c r="AX837" i="11"/>
  <c r="AU837" i="11"/>
  <c r="AU838" i="11"/>
  <c r="AX838" i="11"/>
  <c r="AX840" i="11"/>
  <c r="AU840" i="11"/>
  <c r="AX466" i="11"/>
  <c r="AU466" i="11"/>
  <c r="AX1010" i="11"/>
  <c r="AU1010" i="11"/>
  <c r="AX995" i="11"/>
  <c r="AU995" i="11"/>
  <c r="AX974" i="11"/>
  <c r="AU974" i="11"/>
  <c r="AX953" i="11"/>
  <c r="AU953" i="11"/>
  <c r="AU862" i="11"/>
  <c r="AX862" i="11"/>
  <c r="AU208" i="11"/>
  <c r="AX208" i="11"/>
  <c r="AX213" i="11"/>
  <c r="AU213" i="11"/>
  <c r="AG940" i="11"/>
  <c r="AI988" i="11"/>
  <c r="AJ988" i="11" s="1"/>
  <c r="AI987" i="11"/>
  <c r="AJ987" i="11" s="1"/>
  <c r="AI986" i="11"/>
  <c r="AJ986" i="11" s="1"/>
  <c r="AI985" i="11"/>
  <c r="AJ985" i="11" s="1"/>
  <c r="AI984" i="11"/>
  <c r="AJ984" i="11" s="1"/>
  <c r="AI982" i="11"/>
  <c r="AJ982" i="11" s="1"/>
  <c r="AG938" i="11"/>
  <c r="AG908" i="11"/>
  <c r="AG578" i="11"/>
  <c r="AG633" i="11"/>
  <c r="AI587" i="11"/>
  <c r="AJ587" i="11" s="1"/>
  <c r="AI674" i="11"/>
  <c r="AJ674" i="11" s="1"/>
  <c r="AI677" i="11"/>
  <c r="AJ677" i="11" s="1"/>
  <c r="AI676" i="11"/>
  <c r="AJ676" i="11" s="1"/>
  <c r="AI636" i="11"/>
  <c r="AJ636" i="11" s="1"/>
  <c r="AU636" i="11" s="1"/>
  <c r="AG627" i="11"/>
  <c r="AI630" i="11"/>
  <c r="AJ630" i="11" s="1"/>
  <c r="AX171" i="12" l="1"/>
  <c r="AJ165" i="12"/>
  <c r="AU14" i="12"/>
  <c r="AU13" i="12" s="1"/>
  <c r="AU12" i="12" s="1"/>
  <c r="AU11" i="12" s="1"/>
  <c r="AP12" i="12"/>
  <c r="AJ14" i="12"/>
  <c r="AQ12" i="12"/>
  <c r="AQ11" i="12" s="1"/>
  <c r="AT11" i="12" s="1"/>
  <c r="AT13" i="12"/>
  <c r="AT12" i="12" s="1"/>
  <c r="AX674" i="11"/>
  <c r="AU674" i="11"/>
  <c r="AX630" i="11"/>
  <c r="AU630" i="11"/>
  <c r="AX677" i="11"/>
  <c r="AU677" i="11"/>
  <c r="AU676" i="11"/>
  <c r="AX676" i="11"/>
  <c r="AX587" i="11"/>
  <c r="AU587" i="11"/>
  <c r="AX988" i="11"/>
  <c r="AU988" i="11"/>
  <c r="AX985" i="11"/>
  <c r="AU985" i="11"/>
  <c r="AU984" i="11"/>
  <c r="AX984" i="11"/>
  <c r="AX986" i="11"/>
  <c r="AU986" i="11"/>
  <c r="AX987" i="11"/>
  <c r="AU987" i="11"/>
  <c r="AH821" i="11"/>
  <c r="AI810" i="11"/>
  <c r="AJ810" i="11" s="1"/>
  <c r="AH804" i="11"/>
  <c r="AH825" i="11"/>
  <c r="AH818" i="11"/>
  <c r="AJ164" i="12" l="1"/>
  <c r="AX164" i="12" s="1"/>
  <c r="AX165" i="12"/>
  <c r="AJ13" i="12"/>
  <c r="AX14" i="12"/>
  <c r="AP11" i="12"/>
  <c r="AH571" i="11"/>
  <c r="AH668" i="11"/>
  <c r="AJ12" i="12" l="1"/>
  <c r="AX13" i="12"/>
  <c r="AI217" i="11"/>
  <c r="AJ217" i="11" s="1"/>
  <c r="AI216" i="11"/>
  <c r="AJ216" i="11" s="1"/>
  <c r="AI225" i="11"/>
  <c r="AJ225" i="11" s="1"/>
  <c r="AJ11" i="12" l="1"/>
  <c r="AX11" i="12" s="1"/>
  <c r="AX12" i="12"/>
  <c r="AX225" i="11"/>
  <c r="AU225" i="11"/>
  <c r="AX216" i="11"/>
  <c r="AU216" i="11"/>
  <c r="AX217" i="11"/>
  <c r="AU217" i="11"/>
  <c r="D407" i="9"/>
  <c r="AT54" i="10" l="1"/>
  <c r="AT53" i="10"/>
  <c r="AT54" i="11"/>
  <c r="AT53" i="11"/>
  <c r="AW53" i="11" s="1"/>
  <c r="AS1442" i="11" l="1"/>
  <c r="AR1442" i="11"/>
  <c r="AQ1442" i="11"/>
  <c r="AP1442" i="11"/>
  <c r="AO1442" i="11"/>
  <c r="AN1442" i="11"/>
  <c r="AM1442" i="11"/>
  <c r="AK1442" i="11"/>
  <c r="AH1442" i="11"/>
  <c r="AF1442" i="11"/>
  <c r="AD1442" i="11"/>
  <c r="AV1440" i="11"/>
  <c r="AT1440" i="11"/>
  <c r="AW1440" i="11" s="1"/>
  <c r="AI1440" i="11"/>
  <c r="AJ1440" i="11" s="1"/>
  <c r="AV1439" i="11"/>
  <c r="AT1439" i="11"/>
  <c r="AW1439" i="11" s="1"/>
  <c r="AI1439" i="11"/>
  <c r="AJ1439" i="11" s="1"/>
  <c r="AV1436" i="11"/>
  <c r="AT1436" i="11"/>
  <c r="AW1436" i="11" s="1"/>
  <c r="AI1436" i="11"/>
  <c r="AJ1436" i="11" s="1"/>
  <c r="AU1436" i="11" s="1"/>
  <c r="AV1434" i="11"/>
  <c r="AT1434" i="11"/>
  <c r="AW1434" i="11" s="1"/>
  <c r="AI1434" i="11"/>
  <c r="AJ1434" i="11" s="1"/>
  <c r="AV1433" i="11"/>
  <c r="AT1433" i="11"/>
  <c r="AW1433" i="11" s="1"/>
  <c r="AI1433" i="11"/>
  <c r="AJ1433" i="11" s="1"/>
  <c r="AV1432" i="11"/>
  <c r="AT1432" i="11"/>
  <c r="AW1432" i="11" s="1"/>
  <c r="AI1432" i="11"/>
  <c r="AJ1432" i="11" s="1"/>
  <c r="AV1430" i="11"/>
  <c r="AT1430" i="11"/>
  <c r="AW1430" i="11" s="1"/>
  <c r="AI1430" i="11"/>
  <c r="AJ1430" i="11" s="1"/>
  <c r="AX1430" i="11" s="1"/>
  <c r="AV1425" i="11"/>
  <c r="AT1425" i="11"/>
  <c r="AW1425" i="11" s="1"/>
  <c r="AI1425" i="11"/>
  <c r="AJ1425" i="11" s="1"/>
  <c r="AU1425" i="11" s="1"/>
  <c r="AV1422" i="11"/>
  <c r="AT1422" i="11"/>
  <c r="AW1422" i="11" s="1"/>
  <c r="AG1422" i="11"/>
  <c r="AG1442" i="11" s="1"/>
  <c r="AV1420" i="11"/>
  <c r="AT1420" i="11"/>
  <c r="AW1420" i="11" s="1"/>
  <c r="AI1420" i="11"/>
  <c r="AJ1420" i="11" s="1"/>
  <c r="AU1420" i="11" s="1"/>
  <c r="AV1418" i="11"/>
  <c r="AT1418" i="11"/>
  <c r="AW1418" i="11" s="1"/>
  <c r="AI1418" i="11"/>
  <c r="AJ1418" i="11" s="1"/>
  <c r="AX1418" i="11" s="1"/>
  <c r="AV1416" i="11"/>
  <c r="AT1416" i="11"/>
  <c r="AW1416" i="11" s="1"/>
  <c r="AI1416" i="11"/>
  <c r="AJ1416" i="11" s="1"/>
  <c r="AV1415" i="11"/>
  <c r="AT1415" i="11"/>
  <c r="AW1415" i="11" s="1"/>
  <c r="AI1415" i="11"/>
  <c r="AJ1415" i="11" s="1"/>
  <c r="AV1414" i="11"/>
  <c r="AT1414" i="11"/>
  <c r="AW1414" i="11" s="1"/>
  <c r="AI1414" i="11"/>
  <c r="AJ1414" i="11" s="1"/>
  <c r="AV1412" i="11"/>
  <c r="AT1412" i="11"/>
  <c r="AW1412" i="11" s="1"/>
  <c r="AI1412" i="11"/>
  <c r="AJ1412" i="11" s="1"/>
  <c r="AV1411" i="11"/>
  <c r="AT1411" i="11"/>
  <c r="AW1411" i="11" s="1"/>
  <c r="AI1411" i="11"/>
  <c r="AJ1411" i="11" s="1"/>
  <c r="AU1411" i="11" s="1"/>
  <c r="AV1408" i="11"/>
  <c r="AT1408" i="11"/>
  <c r="AW1408" i="11" s="1"/>
  <c r="AI1408" i="11"/>
  <c r="AJ1408" i="11" s="1"/>
  <c r="AV1407" i="11"/>
  <c r="AT1407" i="11"/>
  <c r="AW1407" i="11" s="1"/>
  <c r="AI1407" i="11"/>
  <c r="AJ1407" i="11" s="1"/>
  <c r="AU1407" i="11" s="1"/>
  <c r="AV1406" i="11"/>
  <c r="AT1406" i="11"/>
  <c r="AW1406" i="11" s="1"/>
  <c r="AI1406" i="11"/>
  <c r="AJ1406" i="11" s="1"/>
  <c r="AX1406" i="11" s="1"/>
  <c r="AV1405" i="11"/>
  <c r="AT1405" i="11"/>
  <c r="AW1405" i="11" s="1"/>
  <c r="AI1405" i="11"/>
  <c r="AJ1405" i="11" s="1"/>
  <c r="AV1402" i="11"/>
  <c r="AT1402" i="11"/>
  <c r="AW1402" i="11" s="1"/>
  <c r="AI1402" i="11"/>
  <c r="AJ1402" i="11" s="1"/>
  <c r="AV1401" i="11"/>
  <c r="AT1401" i="11"/>
  <c r="AW1401" i="11" s="1"/>
  <c r="AI1401" i="11"/>
  <c r="AJ1401" i="11" s="1"/>
  <c r="AV1400" i="11"/>
  <c r="AT1400" i="11"/>
  <c r="AW1400" i="11" s="1"/>
  <c r="AI1400" i="11"/>
  <c r="AJ1400" i="11" s="1"/>
  <c r="AV1399" i="11"/>
  <c r="AT1399" i="11"/>
  <c r="AW1399" i="11" s="1"/>
  <c r="AI1399" i="11"/>
  <c r="AJ1399" i="11" s="1"/>
  <c r="AU1399" i="11" s="1"/>
  <c r="AV1396" i="11"/>
  <c r="AT1396" i="11"/>
  <c r="AW1396" i="11" s="1"/>
  <c r="AI1396" i="11"/>
  <c r="AJ1396" i="11" s="1"/>
  <c r="AV1395" i="11"/>
  <c r="AT1395" i="11"/>
  <c r="AW1395" i="11" s="1"/>
  <c r="AI1395" i="11"/>
  <c r="AJ1395" i="11" s="1"/>
  <c r="AU1395" i="11" s="1"/>
  <c r="AV1392" i="11"/>
  <c r="AT1392" i="11"/>
  <c r="AW1392" i="11" s="1"/>
  <c r="AI1392" i="11"/>
  <c r="AJ1392" i="11" s="1"/>
  <c r="AX1392" i="11" s="1"/>
  <c r="AV1391" i="11"/>
  <c r="AT1391" i="11"/>
  <c r="AW1391" i="11" s="1"/>
  <c r="AI1391" i="11"/>
  <c r="AJ1391" i="11" s="1"/>
  <c r="AV1390" i="11"/>
  <c r="AT1390" i="11"/>
  <c r="AW1390" i="11" s="1"/>
  <c r="AI1390" i="11"/>
  <c r="AJ1390" i="11" s="1"/>
  <c r="AV1389" i="11"/>
  <c r="AT1389" i="11"/>
  <c r="AW1389" i="11" s="1"/>
  <c r="AI1389" i="11"/>
  <c r="AJ1389" i="11" s="1"/>
  <c r="AV1388" i="11"/>
  <c r="AT1388" i="11"/>
  <c r="AW1388" i="11" s="1"/>
  <c r="AI1388" i="11"/>
  <c r="AJ1388" i="11" s="1"/>
  <c r="AV1387" i="11"/>
  <c r="AT1387" i="11"/>
  <c r="AW1387" i="11" s="1"/>
  <c r="AI1387" i="11"/>
  <c r="AJ1387" i="11" s="1"/>
  <c r="AV1384" i="11"/>
  <c r="AT1384" i="11"/>
  <c r="AW1384" i="11" s="1"/>
  <c r="AI1384" i="11"/>
  <c r="AJ1384" i="11" s="1"/>
  <c r="AV1383" i="11"/>
  <c r="AT1383" i="11"/>
  <c r="AI1383" i="11"/>
  <c r="AJ1383" i="11" s="1"/>
  <c r="AU1383" i="11" s="1"/>
  <c r="AV1381" i="11"/>
  <c r="AT1381" i="11"/>
  <c r="AW1381" i="11" s="1"/>
  <c r="AI1381" i="11"/>
  <c r="AJ1381" i="11" s="1"/>
  <c r="AX1381" i="11" s="1"/>
  <c r="AV1380" i="11"/>
  <c r="AT1380" i="11"/>
  <c r="AW1380" i="11" s="1"/>
  <c r="AI1380" i="11"/>
  <c r="AJ1380" i="11" s="1"/>
  <c r="AV1377" i="11"/>
  <c r="AT1377" i="11"/>
  <c r="AW1377" i="11" s="1"/>
  <c r="AI1377" i="11"/>
  <c r="AJ1377" i="11" s="1"/>
  <c r="AV1376" i="11"/>
  <c r="AT1376" i="11"/>
  <c r="AW1376" i="11" s="1"/>
  <c r="AE1376" i="11"/>
  <c r="AI1376" i="11" s="1"/>
  <c r="AJ1376" i="11" s="1"/>
  <c r="AV1375" i="11"/>
  <c r="AT1375" i="11"/>
  <c r="AW1375" i="11" s="1"/>
  <c r="AI1375" i="11"/>
  <c r="AJ1375" i="11" s="1"/>
  <c r="AV1374" i="11"/>
  <c r="AT1374" i="11"/>
  <c r="AW1374" i="11" s="1"/>
  <c r="AI1374" i="11"/>
  <c r="AJ1374" i="11" s="1"/>
  <c r="AV1370" i="11"/>
  <c r="AT1370" i="11"/>
  <c r="AW1370" i="11" s="1"/>
  <c r="AI1370" i="11"/>
  <c r="AJ1370" i="11" s="1"/>
  <c r="AV1371" i="11"/>
  <c r="AT1371" i="11"/>
  <c r="AW1371" i="11" s="1"/>
  <c r="AE1371" i="11"/>
  <c r="AV1369" i="11"/>
  <c r="AT1369" i="11"/>
  <c r="AW1369" i="11" s="1"/>
  <c r="AI1369" i="11"/>
  <c r="AJ1369" i="11" s="1"/>
  <c r="AV1368" i="11"/>
  <c r="AT1368" i="11"/>
  <c r="AW1368" i="11" s="1"/>
  <c r="AI1368" i="11"/>
  <c r="AJ1368" i="11" s="1"/>
  <c r="AL1367" i="11"/>
  <c r="AV1364" i="11"/>
  <c r="AT1364" i="11"/>
  <c r="AW1364" i="11" s="1"/>
  <c r="AI1364" i="11"/>
  <c r="AJ1364" i="11" s="1"/>
  <c r="AV1363" i="11"/>
  <c r="AT1363" i="11"/>
  <c r="AW1363" i="11" s="1"/>
  <c r="AI1363" i="11"/>
  <c r="AJ1363" i="11" s="1"/>
  <c r="AV1362" i="11"/>
  <c r="AT1362" i="11"/>
  <c r="AW1362" i="11" s="1"/>
  <c r="AI1362" i="11"/>
  <c r="AJ1362" i="11" s="1"/>
  <c r="AU1362" i="11" s="1"/>
  <c r="AV1361" i="11"/>
  <c r="AT1361" i="11"/>
  <c r="AW1361" i="11" s="1"/>
  <c r="AI1361" i="11"/>
  <c r="AJ1361" i="11" s="1"/>
  <c r="AX1361" i="11" s="1"/>
  <c r="AV1360" i="11"/>
  <c r="AT1360" i="11"/>
  <c r="AW1360" i="11" s="1"/>
  <c r="AI1360" i="11"/>
  <c r="AJ1360" i="11" s="1"/>
  <c r="AV1359" i="11"/>
  <c r="AT1359" i="11"/>
  <c r="AW1359" i="11" s="1"/>
  <c r="AI1359" i="11"/>
  <c r="AJ1359" i="11" s="1"/>
  <c r="AV1356" i="11"/>
  <c r="AT1356" i="11"/>
  <c r="AW1356" i="11" s="1"/>
  <c r="AI1356" i="11"/>
  <c r="AV1355" i="11"/>
  <c r="AT1355" i="11"/>
  <c r="AW1355" i="11" s="1"/>
  <c r="AI1355" i="11"/>
  <c r="AJ1355" i="11" s="1"/>
  <c r="AV1352" i="11"/>
  <c r="AT1352" i="11"/>
  <c r="AW1352" i="11" s="1"/>
  <c r="AI1352" i="11"/>
  <c r="AJ1352" i="11" s="1"/>
  <c r="AU1352" i="11" s="1"/>
  <c r="AV1351" i="11"/>
  <c r="AT1351" i="11"/>
  <c r="AW1351" i="11" s="1"/>
  <c r="AI1351" i="11"/>
  <c r="AJ1351" i="11" s="1"/>
  <c r="AX1351" i="11" s="1"/>
  <c r="AS1341" i="11"/>
  <c r="AR1341" i="11"/>
  <c r="AQ1341" i="11"/>
  <c r="AP1341" i="11"/>
  <c r="AO1341" i="11"/>
  <c r="AN1341" i="11"/>
  <c r="AM1341" i="11"/>
  <c r="AK1341" i="11"/>
  <c r="AH1341" i="11"/>
  <c r="AG1341" i="11"/>
  <c r="AF1341" i="11"/>
  <c r="AE1341" i="11"/>
  <c r="AD1341" i="11"/>
  <c r="AV1339" i="11"/>
  <c r="AT1339" i="11"/>
  <c r="AW1339" i="11" s="1"/>
  <c r="AI1339" i="11"/>
  <c r="AJ1339" i="11" s="1"/>
  <c r="AX1339" i="11" s="1"/>
  <c r="AV1338" i="11"/>
  <c r="AT1338" i="11"/>
  <c r="AW1338" i="11" s="1"/>
  <c r="AI1338" i="11"/>
  <c r="AJ1338" i="11" s="1"/>
  <c r="AX1335" i="11"/>
  <c r="AV1335" i="11"/>
  <c r="AU1335" i="11"/>
  <c r="AT1335" i="11"/>
  <c r="AW1335" i="11" s="1"/>
  <c r="AL1341" i="11"/>
  <c r="AS1326" i="11"/>
  <c r="AR1326" i="11"/>
  <c r="AQ1326" i="11"/>
  <c r="AP1326" i="11"/>
  <c r="AO1326" i="11"/>
  <c r="AN1326" i="11"/>
  <c r="AM1326" i="11"/>
  <c r="AK1326" i="11"/>
  <c r="AF1326" i="11"/>
  <c r="AE1326" i="11"/>
  <c r="AD1326" i="11"/>
  <c r="AW1324" i="11"/>
  <c r="AV1324" i="11"/>
  <c r="AI1324" i="11"/>
  <c r="AJ1324" i="11" s="1"/>
  <c r="AX1322" i="11"/>
  <c r="AV1322" i="11"/>
  <c r="AU1322" i="11"/>
  <c r="AT1322" i="11"/>
  <c r="AW1322" i="11" s="1"/>
  <c r="AV1320" i="11"/>
  <c r="AT1320" i="11"/>
  <c r="AW1320" i="11" s="1"/>
  <c r="AV1318" i="11"/>
  <c r="AT1318" i="11"/>
  <c r="AW1318" i="11" s="1"/>
  <c r="AH1318" i="11"/>
  <c r="AH1326" i="11" s="1"/>
  <c r="AG1318" i="11"/>
  <c r="AS1309" i="11"/>
  <c r="AR1309" i="11"/>
  <c r="AQ1309" i="11"/>
  <c r="AP1309" i="11"/>
  <c r="AO1309" i="11"/>
  <c r="AN1309" i="11"/>
  <c r="AM1309" i="11"/>
  <c r="AK1309" i="11"/>
  <c r="AH1309" i="11"/>
  <c r="AG1309" i="11"/>
  <c r="AF1309" i="11"/>
  <c r="AE1309" i="11"/>
  <c r="AD1309" i="11"/>
  <c r="AV1307" i="11"/>
  <c r="AT1307" i="11"/>
  <c r="AW1307" i="11" s="1"/>
  <c r="AI1307" i="11"/>
  <c r="AJ1307" i="11" s="1"/>
  <c r="AV1306" i="11"/>
  <c r="AT1306" i="11"/>
  <c r="AW1306" i="11" s="1"/>
  <c r="AI1306" i="11"/>
  <c r="AS1296" i="11"/>
  <c r="AR1296" i="11"/>
  <c r="AQ1296" i="11"/>
  <c r="AP1296" i="11"/>
  <c r="AO1296" i="11"/>
  <c r="AN1296" i="11"/>
  <c r="AM1296" i="11"/>
  <c r="AK1296" i="11"/>
  <c r="AH1296" i="11"/>
  <c r="AG1296" i="11"/>
  <c r="AF1296" i="11"/>
  <c r="AE1296" i="11"/>
  <c r="AD1296" i="11"/>
  <c r="AV1294" i="11"/>
  <c r="AT1294" i="11"/>
  <c r="AW1294" i="11" s="1"/>
  <c r="AI1294" i="11"/>
  <c r="AJ1294" i="11" s="1"/>
  <c r="AV1292" i="11"/>
  <c r="AT1292" i="11"/>
  <c r="AW1292" i="11" s="1"/>
  <c r="AI1292" i="11"/>
  <c r="AJ1292" i="11" s="1"/>
  <c r="AU1292" i="11" s="1"/>
  <c r="AV1290" i="11"/>
  <c r="AT1290" i="11"/>
  <c r="AW1290" i="11" s="1"/>
  <c r="AI1290" i="11"/>
  <c r="AJ1290" i="11" s="1"/>
  <c r="AX1290" i="11" s="1"/>
  <c r="AV1288" i="11"/>
  <c r="AT1288" i="11"/>
  <c r="AW1288" i="11" s="1"/>
  <c r="AI1288" i="11"/>
  <c r="AJ1288" i="11" s="1"/>
  <c r="AV1286" i="11"/>
  <c r="AT1286" i="11"/>
  <c r="AW1286" i="11" s="1"/>
  <c r="AI1286" i="11"/>
  <c r="AJ1286" i="11" s="1"/>
  <c r="AV1284" i="11"/>
  <c r="AT1284" i="11"/>
  <c r="AW1284" i="11" s="1"/>
  <c r="AI1284" i="11"/>
  <c r="AJ1284" i="11" s="1"/>
  <c r="AV1282" i="11"/>
  <c r="AT1282" i="11"/>
  <c r="AW1282" i="11" s="1"/>
  <c r="AI1282" i="11"/>
  <c r="AJ1282" i="11" s="1"/>
  <c r="AV1281" i="11"/>
  <c r="AT1281" i="11"/>
  <c r="AW1281" i="11" s="1"/>
  <c r="AI1281" i="11"/>
  <c r="AJ1281" i="11" s="1"/>
  <c r="AU1281" i="11" s="1"/>
  <c r="AV1280" i="11"/>
  <c r="AT1280" i="11"/>
  <c r="AW1280" i="11" s="1"/>
  <c r="AI1280" i="11"/>
  <c r="AJ1280" i="11" s="1"/>
  <c r="AV1278" i="11"/>
  <c r="AT1278" i="11"/>
  <c r="AW1278" i="11" s="1"/>
  <c r="AI1278" i="11"/>
  <c r="AJ1278" i="11" s="1"/>
  <c r="AU1278" i="11" s="1"/>
  <c r="AV1277" i="11"/>
  <c r="AT1277" i="11"/>
  <c r="AW1277" i="11" s="1"/>
  <c r="AI1277" i="11"/>
  <c r="AJ1277" i="11" s="1"/>
  <c r="AX1277" i="11" s="1"/>
  <c r="AV1276" i="11"/>
  <c r="AT1276" i="11"/>
  <c r="AW1276" i="11" s="1"/>
  <c r="AI1276" i="11"/>
  <c r="AJ1276" i="11" s="1"/>
  <c r="AV1275" i="11"/>
  <c r="AT1275" i="11"/>
  <c r="AW1275" i="11" s="1"/>
  <c r="AI1275" i="11"/>
  <c r="AJ1275" i="11" s="1"/>
  <c r="AV1274" i="11"/>
  <c r="AT1274" i="11"/>
  <c r="AW1274" i="11" s="1"/>
  <c r="AI1274" i="11"/>
  <c r="AJ1274" i="11" s="1"/>
  <c r="AV1273" i="11"/>
  <c r="AT1273" i="11"/>
  <c r="AW1273" i="11" s="1"/>
  <c r="AI1273" i="11"/>
  <c r="AJ1273" i="11" s="1"/>
  <c r="AV1271" i="11"/>
  <c r="AT1271" i="11"/>
  <c r="AW1271" i="11" s="1"/>
  <c r="AI1271" i="11"/>
  <c r="AJ1271" i="11" s="1"/>
  <c r="AU1271" i="11" s="1"/>
  <c r="AV1270" i="11"/>
  <c r="AT1270" i="11"/>
  <c r="AW1270" i="11" s="1"/>
  <c r="AI1270" i="11"/>
  <c r="AJ1270" i="11" s="1"/>
  <c r="AU1270" i="11" s="1"/>
  <c r="AX1267" i="11"/>
  <c r="AV1267" i="11"/>
  <c r="AU1267" i="11"/>
  <c r="AT1267" i="11"/>
  <c r="AW1267" i="11" s="1"/>
  <c r="AX1266" i="11"/>
  <c r="AV1266" i="11"/>
  <c r="AU1266" i="11"/>
  <c r="AT1266" i="11"/>
  <c r="AW1266" i="11" s="1"/>
  <c r="AX1265" i="11"/>
  <c r="AV1265" i="11"/>
  <c r="AU1265" i="11"/>
  <c r="AT1265" i="11"/>
  <c r="AW1265" i="11" s="1"/>
  <c r="AV1264" i="11"/>
  <c r="AT1264" i="11"/>
  <c r="AW1264" i="11" s="1"/>
  <c r="AI1264" i="11"/>
  <c r="AX1263" i="11"/>
  <c r="AV1263" i="11"/>
  <c r="AU1263" i="11"/>
  <c r="AT1263" i="11"/>
  <c r="AW1263" i="11" s="1"/>
  <c r="AS1253" i="11"/>
  <c r="AR1253" i="11"/>
  <c r="AQ1253" i="11"/>
  <c r="AP1253" i="11"/>
  <c r="AO1253" i="11"/>
  <c r="AN1253" i="11"/>
  <c r="AM1253" i="11"/>
  <c r="AK1253" i="11"/>
  <c r="AH1253" i="11"/>
  <c r="AG1253" i="11"/>
  <c r="AF1253" i="11"/>
  <c r="AE1253" i="11"/>
  <c r="AD1253" i="11"/>
  <c r="AV1251" i="11"/>
  <c r="AT1251" i="11"/>
  <c r="AW1251" i="11" s="1"/>
  <c r="AI1251" i="11"/>
  <c r="AJ1251" i="11" s="1"/>
  <c r="AV1250" i="11"/>
  <c r="AT1250" i="11"/>
  <c r="AW1250" i="11" s="1"/>
  <c r="AI1250" i="11"/>
  <c r="AJ1250" i="11" s="1"/>
  <c r="AU1250" i="11" s="1"/>
  <c r="AV1249" i="11"/>
  <c r="AT1249" i="11"/>
  <c r="AW1249" i="11" s="1"/>
  <c r="AI1249" i="11"/>
  <c r="AJ1249" i="11" s="1"/>
  <c r="AU1249" i="11" s="1"/>
  <c r="AV1248" i="11"/>
  <c r="AT1248" i="11"/>
  <c r="AW1248" i="11" s="1"/>
  <c r="AI1248" i="11"/>
  <c r="AJ1248" i="11" s="1"/>
  <c r="AU1248" i="11" s="1"/>
  <c r="AV1247" i="11"/>
  <c r="AT1247" i="11"/>
  <c r="AW1247" i="11" s="1"/>
  <c r="AI1247" i="11"/>
  <c r="AJ1247" i="11" s="1"/>
  <c r="AX1247" i="11" s="1"/>
  <c r="AV1246" i="11"/>
  <c r="AT1246" i="11"/>
  <c r="AW1246" i="11" s="1"/>
  <c r="AI1246" i="11"/>
  <c r="AJ1246" i="11" s="1"/>
  <c r="AV1245" i="11"/>
  <c r="AT1245" i="11"/>
  <c r="AW1245" i="11" s="1"/>
  <c r="AI1245" i="11"/>
  <c r="AJ1245" i="11" s="1"/>
  <c r="AV1244" i="11"/>
  <c r="AT1244" i="11"/>
  <c r="AW1244" i="11" s="1"/>
  <c r="AI1244" i="11"/>
  <c r="AJ1244" i="11" s="1"/>
  <c r="AV1243" i="11"/>
  <c r="AT1243" i="11"/>
  <c r="AW1243" i="11" s="1"/>
  <c r="AI1243" i="11"/>
  <c r="AJ1243" i="11" s="1"/>
  <c r="AS1234" i="11"/>
  <c r="AR1234" i="11"/>
  <c r="AQ1234" i="11"/>
  <c r="AP1234" i="11"/>
  <c r="AO1234" i="11"/>
  <c r="AN1234" i="11"/>
  <c r="AM1234" i="11"/>
  <c r="AK1234" i="11"/>
  <c r="AG1234" i="11"/>
  <c r="AF1234" i="11"/>
  <c r="AE1234" i="11"/>
  <c r="AD1234" i="11"/>
  <c r="AV1232" i="11"/>
  <c r="AT1232" i="11"/>
  <c r="AW1232" i="11" s="1"/>
  <c r="AI1232" i="11"/>
  <c r="AJ1232" i="11" s="1"/>
  <c r="AX1227" i="11"/>
  <c r="AV1227" i="11"/>
  <c r="AU1227" i="11"/>
  <c r="AT1227" i="11"/>
  <c r="AW1227" i="11" s="1"/>
  <c r="AX1226" i="11"/>
  <c r="AV1226" i="11"/>
  <c r="AU1226" i="11"/>
  <c r="AT1226" i="11"/>
  <c r="AW1226" i="11" s="1"/>
  <c r="AV1217" i="11"/>
  <c r="AT1217" i="11"/>
  <c r="AW1217" i="11" s="1"/>
  <c r="AI1217" i="11"/>
  <c r="AJ1217" i="11" s="1"/>
  <c r="AV1215" i="11"/>
  <c r="AT1215" i="11"/>
  <c r="AW1215" i="11" s="1"/>
  <c r="AI1215" i="11"/>
  <c r="AJ1215" i="11" s="1"/>
  <c r="AV1214" i="11"/>
  <c r="AT1214" i="11"/>
  <c r="AW1214" i="11" s="1"/>
  <c r="AI1214" i="11"/>
  <c r="AJ1214" i="11" s="1"/>
  <c r="AV1212" i="11"/>
  <c r="AT1212" i="11"/>
  <c r="AW1212" i="11" s="1"/>
  <c r="AI1212" i="11"/>
  <c r="AJ1212" i="11" s="1"/>
  <c r="AV1210" i="11"/>
  <c r="AT1210" i="11"/>
  <c r="AW1210" i="11" s="1"/>
  <c r="AI1210" i="11"/>
  <c r="AJ1210" i="11" s="1"/>
  <c r="AV1208" i="11"/>
  <c r="AT1208" i="11"/>
  <c r="AW1208" i="11" s="1"/>
  <c r="AI1208" i="11"/>
  <c r="AJ1208" i="11" s="1"/>
  <c r="AU1208" i="11" s="1"/>
  <c r="AW1206" i="11"/>
  <c r="AV1206" i="11"/>
  <c r="AI1206" i="11"/>
  <c r="AJ1206" i="11" s="1"/>
  <c r="AU1206" i="11" s="1"/>
  <c r="AV1204" i="11"/>
  <c r="AT1204" i="11"/>
  <c r="AW1204" i="11" s="1"/>
  <c r="AH1204" i="11"/>
  <c r="AH1234" i="11" s="1"/>
  <c r="AV1202" i="11"/>
  <c r="AT1202" i="11"/>
  <c r="AW1202" i="11" s="1"/>
  <c r="AI1202" i="11"/>
  <c r="AJ1202" i="11" s="1"/>
  <c r="AV1201" i="11"/>
  <c r="AT1201" i="11"/>
  <c r="AW1201" i="11" s="1"/>
  <c r="AI1201" i="11"/>
  <c r="AJ1201" i="11" s="1"/>
  <c r="AV1199" i="11"/>
  <c r="AT1199" i="11"/>
  <c r="AW1199" i="11" s="1"/>
  <c r="AI1199" i="11"/>
  <c r="AJ1199" i="11" s="1"/>
  <c r="AW1197" i="11"/>
  <c r="AV1197" i="11"/>
  <c r="AI1197" i="11"/>
  <c r="AJ1197" i="11" s="1"/>
  <c r="AU1197" i="11" s="1"/>
  <c r="AV1195" i="11"/>
  <c r="AT1195" i="11"/>
  <c r="AW1195" i="11" s="1"/>
  <c r="AI1195" i="11"/>
  <c r="AJ1195" i="11" s="1"/>
  <c r="AV1193" i="11"/>
  <c r="AT1193" i="11"/>
  <c r="AW1193" i="11" s="1"/>
  <c r="AI1193" i="11"/>
  <c r="AJ1193" i="11" s="1"/>
  <c r="AU1193" i="11" s="1"/>
  <c r="AV1191" i="11"/>
  <c r="AT1191" i="11"/>
  <c r="AW1191" i="11" s="1"/>
  <c r="AI1191" i="11"/>
  <c r="AJ1191" i="11" s="1"/>
  <c r="AX1191" i="11" s="1"/>
  <c r="AV1190" i="11"/>
  <c r="AT1190" i="11"/>
  <c r="AW1190" i="11" s="1"/>
  <c r="AI1190" i="11"/>
  <c r="AJ1190" i="11" s="1"/>
  <c r="AX1190" i="11" s="1"/>
  <c r="AV1189" i="11"/>
  <c r="AT1189" i="11"/>
  <c r="AW1189" i="11" s="1"/>
  <c r="AI1189" i="11"/>
  <c r="AJ1189" i="11" s="1"/>
  <c r="AV1186" i="11"/>
  <c r="AT1186" i="11"/>
  <c r="AW1186" i="11" s="1"/>
  <c r="AI1186" i="11"/>
  <c r="AJ1186" i="11" s="1"/>
  <c r="AU1186" i="11" s="1"/>
  <c r="AS1178" i="11"/>
  <c r="AR1178" i="11"/>
  <c r="AQ1178" i="11"/>
  <c r="AP1178" i="11"/>
  <c r="AO1178" i="11"/>
  <c r="AN1178" i="11"/>
  <c r="AM1178" i="11"/>
  <c r="AK1178" i="11"/>
  <c r="AG1178" i="11"/>
  <c r="AF1178" i="11"/>
  <c r="AE1178" i="11"/>
  <c r="AD1178" i="11"/>
  <c r="AV1176" i="11"/>
  <c r="AT1176" i="11"/>
  <c r="AW1176" i="11" s="1"/>
  <c r="AI1176" i="11"/>
  <c r="AJ1176" i="11" s="1"/>
  <c r="AU1176" i="11" s="1"/>
  <c r="AV1169" i="11"/>
  <c r="AT1169" i="11"/>
  <c r="AW1169" i="11" s="1"/>
  <c r="AI1169" i="11"/>
  <c r="AJ1169" i="11" s="1"/>
  <c r="AU1169" i="11" s="1"/>
  <c r="AV1170" i="11"/>
  <c r="AT1170" i="11"/>
  <c r="AW1170" i="11" s="1"/>
  <c r="AI1170" i="11"/>
  <c r="AJ1170" i="11" s="1"/>
  <c r="AU1170" i="11" s="1"/>
  <c r="AV1167" i="11"/>
  <c r="AT1167" i="11"/>
  <c r="AW1167" i="11" s="1"/>
  <c r="AI1167" i="11"/>
  <c r="AJ1167" i="11" s="1"/>
  <c r="AX1167" i="11" s="1"/>
  <c r="AV1165" i="11"/>
  <c r="AT1165" i="11"/>
  <c r="AI1165" i="11"/>
  <c r="AJ1165" i="11" s="1"/>
  <c r="AX1165" i="11" s="1"/>
  <c r="AX1164" i="11"/>
  <c r="AV1164" i="11"/>
  <c r="AU1164" i="11"/>
  <c r="AT1164" i="11"/>
  <c r="AW1164" i="11" s="1"/>
  <c r="AX1162" i="11"/>
  <c r="AV1162" i="11"/>
  <c r="AU1162" i="11"/>
  <c r="AT1162" i="11"/>
  <c r="AW1162" i="11" s="1"/>
  <c r="AX1158" i="11"/>
  <c r="AV1158" i="11"/>
  <c r="AU1158" i="11"/>
  <c r="AT1158" i="11"/>
  <c r="AW1158" i="11" s="1"/>
  <c r="AL1158" i="11"/>
  <c r="AL1178" i="11" s="1"/>
  <c r="AV1156" i="11"/>
  <c r="AT1156" i="11"/>
  <c r="AW1156" i="11" s="1"/>
  <c r="AI1156" i="11"/>
  <c r="AJ1156" i="11" s="1"/>
  <c r="AU1156" i="11" s="1"/>
  <c r="AV1155" i="11"/>
  <c r="AT1155" i="11"/>
  <c r="AW1155" i="11" s="1"/>
  <c r="AI1155" i="11"/>
  <c r="AJ1155" i="11" s="1"/>
  <c r="AU1155" i="11" s="1"/>
  <c r="AV1151" i="11"/>
  <c r="AT1151" i="11"/>
  <c r="AW1151" i="11" s="1"/>
  <c r="AH1151" i="11"/>
  <c r="AI1151" i="11" s="1"/>
  <c r="AJ1151" i="11" s="1"/>
  <c r="AU1151" i="11" s="1"/>
  <c r="AV1150" i="11"/>
  <c r="AT1150" i="11"/>
  <c r="AW1150" i="11" s="1"/>
  <c r="AH1150" i="11"/>
  <c r="AS1141" i="11"/>
  <c r="AR1141" i="11"/>
  <c r="AQ1141" i="11"/>
  <c r="AP1141" i="11"/>
  <c r="AO1141" i="11"/>
  <c r="AN1141" i="11"/>
  <c r="AM1141" i="11"/>
  <c r="AL1141" i="11"/>
  <c r="AK1141" i="11"/>
  <c r="AF1141" i="11"/>
  <c r="AE1141" i="11"/>
  <c r="AD1141" i="11"/>
  <c r="AV1139" i="11"/>
  <c r="AT1139" i="11"/>
  <c r="AW1139" i="11" s="1"/>
  <c r="AI1139" i="11"/>
  <c r="AJ1139" i="11" s="1"/>
  <c r="AX1139" i="11" s="1"/>
  <c r="AV1134" i="11"/>
  <c r="AT1134" i="11"/>
  <c r="AW1134" i="11" s="1"/>
  <c r="AG1134" i="11"/>
  <c r="AI1134" i="11" s="1"/>
  <c r="AJ1134" i="11" s="1"/>
  <c r="AV1131" i="11"/>
  <c r="AT1131" i="11"/>
  <c r="AW1131" i="11" s="1"/>
  <c r="AG1131" i="11"/>
  <c r="AI1131" i="11" s="1"/>
  <c r="AJ1131" i="11" s="1"/>
  <c r="AV1129" i="11"/>
  <c r="AT1129" i="11"/>
  <c r="AW1129" i="11" s="1"/>
  <c r="AI1129" i="11"/>
  <c r="AJ1129" i="11" s="1"/>
  <c r="AU1129" i="11" s="1"/>
  <c r="AX1128" i="11"/>
  <c r="AV1128" i="11"/>
  <c r="AU1128" i="11"/>
  <c r="AT1128" i="11"/>
  <c r="AW1128" i="11" s="1"/>
  <c r="AX1127" i="11"/>
  <c r="AV1127" i="11"/>
  <c r="AU1127" i="11"/>
  <c r="AT1127" i="11"/>
  <c r="AW1127" i="11" s="1"/>
  <c r="AV1126" i="11"/>
  <c r="AT1126" i="11"/>
  <c r="AW1126" i="11" s="1"/>
  <c r="AG1126" i="11"/>
  <c r="AI1126" i="11" s="1"/>
  <c r="AJ1126" i="11" s="1"/>
  <c r="AV1124" i="11"/>
  <c r="AT1124" i="11"/>
  <c r="AW1124" i="11" s="1"/>
  <c r="AI1124" i="11"/>
  <c r="AJ1124" i="11" s="1"/>
  <c r="AX1124" i="11" s="1"/>
  <c r="AV1122" i="11"/>
  <c r="AT1122" i="11"/>
  <c r="AW1122" i="11" s="1"/>
  <c r="AI1122" i="11"/>
  <c r="AJ1122" i="11" s="1"/>
  <c r="AV1120" i="11"/>
  <c r="AT1120" i="11"/>
  <c r="AW1120" i="11" s="1"/>
  <c r="AI1120" i="11"/>
  <c r="AJ1120" i="11" s="1"/>
  <c r="AV1119" i="11"/>
  <c r="AT1119" i="11"/>
  <c r="AW1119" i="11" s="1"/>
  <c r="AG1119" i="11"/>
  <c r="AI1119" i="11" s="1"/>
  <c r="AJ1119" i="11" s="1"/>
  <c r="AV1117" i="11"/>
  <c r="AT1117" i="11"/>
  <c r="AW1117" i="11" s="1"/>
  <c r="AH1117" i="11"/>
  <c r="AI1117" i="11" s="1"/>
  <c r="AJ1117" i="11" s="1"/>
  <c r="AV1115" i="11"/>
  <c r="AT1115" i="11"/>
  <c r="AW1115" i="11" s="1"/>
  <c r="AI1115" i="11"/>
  <c r="AJ1115" i="11" s="1"/>
  <c r="AV1113" i="11"/>
  <c r="AT1113" i="11"/>
  <c r="AW1113" i="11" s="1"/>
  <c r="AG1113" i="11"/>
  <c r="AI1113" i="11" s="1"/>
  <c r="AJ1113" i="11" s="1"/>
  <c r="AV1111" i="11"/>
  <c r="AT1111" i="11"/>
  <c r="AW1111" i="11" s="1"/>
  <c r="AG1111" i="11"/>
  <c r="AI1111" i="11" s="1"/>
  <c r="AJ1111" i="11" s="1"/>
  <c r="AV1109" i="11"/>
  <c r="AT1109" i="11"/>
  <c r="AW1109" i="11" s="1"/>
  <c r="AH1109" i="11"/>
  <c r="AV1107" i="11"/>
  <c r="AT1107" i="11"/>
  <c r="AW1107" i="11" s="1"/>
  <c r="AI1107" i="11"/>
  <c r="AJ1107" i="11" s="1"/>
  <c r="AU1107" i="11" s="1"/>
  <c r="AV1102" i="11"/>
  <c r="AT1102" i="11"/>
  <c r="AW1102" i="11" s="1"/>
  <c r="AI1102" i="11"/>
  <c r="AJ1102" i="11" s="1"/>
  <c r="AU1102" i="11" s="1"/>
  <c r="AX1100" i="11"/>
  <c r="AV1100" i="11"/>
  <c r="AU1100" i="11"/>
  <c r="AT1100" i="11"/>
  <c r="AW1100" i="11" s="1"/>
  <c r="AV1098" i="11"/>
  <c r="AT1098" i="11"/>
  <c r="AW1098" i="11" s="1"/>
  <c r="AI1098" i="11"/>
  <c r="AS1089" i="11"/>
  <c r="AR1089" i="11"/>
  <c r="AQ1089" i="11"/>
  <c r="AP1089" i="11"/>
  <c r="AN1089" i="11"/>
  <c r="AM1089" i="11"/>
  <c r="AK1089" i="11"/>
  <c r="AF1089" i="11"/>
  <c r="AE1089" i="11"/>
  <c r="AD1089" i="11"/>
  <c r="AX1087" i="11"/>
  <c r="AV1087" i="11"/>
  <c r="AU1087" i="11"/>
  <c r="AT1087" i="11"/>
  <c r="AW1087" i="11" s="1"/>
  <c r="AV1083" i="11"/>
  <c r="AT1083" i="11"/>
  <c r="AW1083" i="11" s="1"/>
  <c r="AI1083" i="11"/>
  <c r="AJ1083" i="11" s="1"/>
  <c r="AV1082" i="11"/>
  <c r="AT1082" i="11"/>
  <c r="AW1082" i="11" s="1"/>
  <c r="AI1082" i="11"/>
  <c r="AJ1082" i="11" s="1"/>
  <c r="AX1081" i="11"/>
  <c r="AV1081" i="11"/>
  <c r="AU1081" i="11"/>
  <c r="AT1081" i="11"/>
  <c r="AW1081" i="11" s="1"/>
  <c r="AV1076" i="11"/>
  <c r="AT1076" i="11"/>
  <c r="AW1076" i="11" s="1"/>
  <c r="AI1076" i="11"/>
  <c r="AJ1076" i="11" s="1"/>
  <c r="AV1072" i="11"/>
  <c r="AT1072" i="11"/>
  <c r="AW1072" i="11" s="1"/>
  <c r="AI1072" i="11"/>
  <c r="AJ1072" i="11" s="1"/>
  <c r="AV1066" i="11"/>
  <c r="AT1066" i="11"/>
  <c r="AW1066" i="11" s="1"/>
  <c r="AI1066" i="11"/>
  <c r="AJ1066" i="11" s="1"/>
  <c r="AX1064" i="11"/>
  <c r="AV1064" i="11"/>
  <c r="AU1064" i="11"/>
  <c r="AT1064" i="11"/>
  <c r="AW1064" i="11" s="1"/>
  <c r="AV1051" i="11"/>
  <c r="AT1051" i="11"/>
  <c r="AW1051" i="11" s="1"/>
  <c r="AI1051" i="11"/>
  <c r="AJ1051" i="11" s="1"/>
  <c r="AU1051" i="11" s="1"/>
  <c r="AX1050" i="11"/>
  <c r="AV1050" i="11"/>
  <c r="AU1050" i="11"/>
  <c r="AT1050" i="11"/>
  <c r="AW1050" i="11" s="1"/>
  <c r="AL1050" i="11"/>
  <c r="AV1041" i="11"/>
  <c r="AT1041" i="11"/>
  <c r="AW1041" i="11" s="1"/>
  <c r="AI1041" i="11"/>
  <c r="AJ1041" i="11" s="1"/>
  <c r="AU1041" i="11" s="1"/>
  <c r="AX1040" i="11"/>
  <c r="AV1040" i="11"/>
  <c r="AU1040" i="11"/>
  <c r="AT1040" i="11"/>
  <c r="AW1040" i="11" s="1"/>
  <c r="AX1039" i="11"/>
  <c r="AV1039" i="11"/>
  <c r="AU1039" i="11"/>
  <c r="AT1039" i="11"/>
  <c r="AW1039" i="11" s="1"/>
  <c r="AV1035" i="11"/>
  <c r="AT1035" i="11"/>
  <c r="AW1035" i="11" s="1"/>
  <c r="AL1035" i="11"/>
  <c r="AI1035" i="11"/>
  <c r="AJ1035" i="11" s="1"/>
  <c r="AX1034" i="11"/>
  <c r="AV1034" i="11"/>
  <c r="AU1034" i="11"/>
  <c r="AT1034" i="11"/>
  <c r="AW1034" i="11" s="1"/>
  <c r="AL1034" i="11"/>
  <c r="AX1030" i="11"/>
  <c r="AV1030" i="11"/>
  <c r="AU1030" i="11"/>
  <c r="AT1030" i="11"/>
  <c r="AW1030" i="11" s="1"/>
  <c r="AV1023" i="11"/>
  <c r="AT1023" i="11"/>
  <c r="AW1023" i="11" s="1"/>
  <c r="AI1023" i="11"/>
  <c r="AJ1023" i="11" s="1"/>
  <c r="AV1021" i="11"/>
  <c r="AT1021" i="11"/>
  <c r="AW1021" i="11" s="1"/>
  <c r="AI1021" i="11"/>
  <c r="AJ1021" i="11" s="1"/>
  <c r="AU1021" i="11" s="1"/>
  <c r="AV1020" i="11"/>
  <c r="AT1020" i="11"/>
  <c r="AW1020" i="11" s="1"/>
  <c r="AI1020" i="11"/>
  <c r="AJ1020" i="11" s="1"/>
  <c r="AU1020" i="11" s="1"/>
  <c r="AV1016" i="11"/>
  <c r="AT1016" i="11"/>
  <c r="AW1016" i="11" s="1"/>
  <c r="AI1016" i="11"/>
  <c r="AJ1016" i="11" s="1"/>
  <c r="AV1015" i="11"/>
  <c r="AT1015" i="11"/>
  <c r="AW1015" i="11" s="1"/>
  <c r="AI1015" i="11"/>
  <c r="AJ1015" i="11" s="1"/>
  <c r="AV1014" i="11"/>
  <c r="AT1014" i="11"/>
  <c r="AW1014" i="11" s="1"/>
  <c r="AI1014" i="11"/>
  <c r="AJ1014" i="11" s="1"/>
  <c r="AV1013" i="11"/>
  <c r="AT1013" i="11"/>
  <c r="AW1013" i="11" s="1"/>
  <c r="AI1013" i="11"/>
  <c r="AJ1013" i="11" s="1"/>
  <c r="AV1012" i="11"/>
  <c r="AT1012" i="11"/>
  <c r="AW1012" i="11" s="1"/>
  <c r="AH1012" i="11"/>
  <c r="AI1012" i="11" s="1"/>
  <c r="AJ1012" i="11" s="1"/>
  <c r="AV1009" i="11"/>
  <c r="AT1009" i="11"/>
  <c r="AW1009" i="11" s="1"/>
  <c r="AI1009" i="11"/>
  <c r="AJ1009" i="11" s="1"/>
  <c r="AX1009" i="11" s="1"/>
  <c r="AV1005" i="11"/>
  <c r="AT1005" i="11"/>
  <c r="AW1005" i="11" s="1"/>
  <c r="AI1005" i="11"/>
  <c r="AJ1005" i="11" s="1"/>
  <c r="AV1004" i="11"/>
  <c r="AT1004" i="11"/>
  <c r="AW1004" i="11" s="1"/>
  <c r="AI1004" i="11"/>
  <c r="AJ1004" i="11" s="1"/>
  <c r="AX1004" i="11" s="1"/>
  <c r="AV1002" i="11"/>
  <c r="AT1002" i="11"/>
  <c r="AW1002" i="11" s="1"/>
  <c r="AI1002" i="11"/>
  <c r="AJ1002" i="11" s="1"/>
  <c r="AX1002" i="11" s="1"/>
  <c r="AV1000" i="11"/>
  <c r="AT1000" i="11"/>
  <c r="AW1000" i="11" s="1"/>
  <c r="AI1000" i="11"/>
  <c r="AJ1000" i="11" s="1"/>
  <c r="AV954" i="11"/>
  <c r="AT954" i="11"/>
  <c r="AW954" i="11" s="1"/>
  <c r="AI954" i="11"/>
  <c r="AJ954" i="11" s="1"/>
  <c r="AX998" i="11"/>
  <c r="AV998" i="11"/>
  <c r="AU998" i="11"/>
  <c r="AT998" i="11"/>
  <c r="AW998" i="11" s="1"/>
  <c r="AV997" i="11"/>
  <c r="AT997" i="11"/>
  <c r="AW997" i="11" s="1"/>
  <c r="AL997" i="11"/>
  <c r="AI997" i="11"/>
  <c r="AJ997" i="11" s="1"/>
  <c r="AV994" i="11"/>
  <c r="AT994" i="11"/>
  <c r="AW994" i="11" s="1"/>
  <c r="AI994" i="11"/>
  <c r="AJ994" i="11" s="1"/>
  <c r="AX982" i="11"/>
  <c r="AV982" i="11"/>
  <c r="AU982" i="11"/>
  <c r="AT982" i="11"/>
  <c r="AW982" i="11" s="1"/>
  <c r="AV973" i="11"/>
  <c r="AT973" i="11"/>
  <c r="AW973" i="11" s="1"/>
  <c r="AL973" i="11"/>
  <c r="AI973" i="11"/>
  <c r="AJ973" i="11" s="1"/>
  <c r="AV965" i="11"/>
  <c r="AT965" i="11"/>
  <c r="AW965" i="11" s="1"/>
  <c r="AH965" i="11"/>
  <c r="AI965" i="11" s="1"/>
  <c r="AJ965" i="11" s="1"/>
  <c r="AU965" i="11" s="1"/>
  <c r="AV960" i="11"/>
  <c r="AT960" i="11"/>
  <c r="AW960" i="11" s="1"/>
  <c r="AG960" i="11"/>
  <c r="AI960" i="11" s="1"/>
  <c r="AJ960" i="11" s="1"/>
  <c r="AV952" i="11"/>
  <c r="AT952" i="11"/>
  <c r="AW952" i="11" s="1"/>
  <c r="AL952" i="11"/>
  <c r="AG952" i="11"/>
  <c r="AI952" i="11" s="1"/>
  <c r="AJ952" i="11" s="1"/>
  <c r="AU952" i="11" s="1"/>
  <c r="AV949" i="11"/>
  <c r="AT949" i="11"/>
  <c r="AW949" i="11" s="1"/>
  <c r="AI949" i="11"/>
  <c r="AJ949" i="11" s="1"/>
  <c r="AV947" i="11"/>
  <c r="AT947" i="11"/>
  <c r="AW947" i="11" s="1"/>
  <c r="AI947" i="11"/>
  <c r="AJ947" i="11" s="1"/>
  <c r="AV945" i="11"/>
  <c r="AT945" i="11"/>
  <c r="AW945" i="11" s="1"/>
  <c r="AI945" i="11"/>
  <c r="AJ945" i="11" s="1"/>
  <c r="AV943" i="11"/>
  <c r="AT943" i="11"/>
  <c r="AW943" i="11" s="1"/>
  <c r="AI943" i="11"/>
  <c r="AJ943" i="11" s="1"/>
  <c r="AU943" i="11" s="1"/>
  <c r="AV941" i="11"/>
  <c r="AT941" i="11"/>
  <c r="AW941" i="11" s="1"/>
  <c r="AI941" i="11"/>
  <c r="AJ941" i="11" s="1"/>
  <c r="AV940" i="11"/>
  <c r="AT940" i="11"/>
  <c r="AW940" i="11" s="1"/>
  <c r="AI940" i="11"/>
  <c r="AJ940" i="11" s="1"/>
  <c r="AU940" i="11" s="1"/>
  <c r="AV938" i="11"/>
  <c r="AT938" i="11"/>
  <c r="AW938" i="11" s="1"/>
  <c r="AI938" i="11"/>
  <c r="AJ938" i="11" s="1"/>
  <c r="AV936" i="11"/>
  <c r="AT936" i="11"/>
  <c r="AW936" i="11" s="1"/>
  <c r="AG936" i="11"/>
  <c r="AI936" i="11" s="1"/>
  <c r="AJ936" i="11" s="1"/>
  <c r="AX936" i="11" s="1"/>
  <c r="AV926" i="11"/>
  <c r="AT926" i="11"/>
  <c r="AW926" i="11" s="1"/>
  <c r="AI926" i="11"/>
  <c r="AJ926" i="11" s="1"/>
  <c r="AU926" i="11" s="1"/>
  <c r="AV920" i="11"/>
  <c r="AT920" i="11"/>
  <c r="AW920" i="11" s="1"/>
  <c r="AI920" i="11"/>
  <c r="AJ920" i="11" s="1"/>
  <c r="AX920" i="11" s="1"/>
  <c r="AV919" i="11"/>
  <c r="AT919" i="11"/>
  <c r="AW919" i="11" s="1"/>
  <c r="AH919" i="11"/>
  <c r="AI919" i="11" s="1"/>
  <c r="AJ919" i="11" s="1"/>
  <c r="AV915" i="11"/>
  <c r="AT915" i="11"/>
  <c r="AW915" i="11" s="1"/>
  <c r="AI915" i="11"/>
  <c r="AJ915" i="11" s="1"/>
  <c r="AX915" i="11" s="1"/>
  <c r="AX913" i="11"/>
  <c r="AV913" i="11"/>
  <c r="AU913" i="11"/>
  <c r="AT913" i="11"/>
  <c r="AW913" i="11" s="1"/>
  <c r="AV911" i="11"/>
  <c r="AT911" i="11"/>
  <c r="AW911" i="11" s="1"/>
  <c r="AO911" i="11"/>
  <c r="AO1089" i="11" s="1"/>
  <c r="AI911" i="11"/>
  <c r="AJ911" i="11" s="1"/>
  <c r="AU911" i="11" s="1"/>
  <c r="AT910" i="11"/>
  <c r="AV909" i="11"/>
  <c r="AT909" i="11"/>
  <c r="AW909" i="11" s="1"/>
  <c r="AI909" i="11"/>
  <c r="AJ909" i="11" s="1"/>
  <c r="AV908" i="11"/>
  <c r="AT908" i="11"/>
  <c r="AW908" i="11" s="1"/>
  <c r="AH908" i="11"/>
  <c r="AV906" i="11"/>
  <c r="AT906" i="11"/>
  <c r="AW906" i="11" s="1"/>
  <c r="AI906" i="11"/>
  <c r="AJ906" i="11" s="1"/>
  <c r="AX906" i="11" s="1"/>
  <c r="AV904" i="11"/>
  <c r="AT904" i="11"/>
  <c r="AW904" i="11" s="1"/>
  <c r="AG904" i="11"/>
  <c r="AI904" i="11" s="1"/>
  <c r="AJ904" i="11" s="1"/>
  <c r="AV903" i="11"/>
  <c r="AT903" i="11"/>
  <c r="AW903" i="11" s="1"/>
  <c r="AG903" i="11"/>
  <c r="AI903" i="11" s="1"/>
  <c r="AJ903" i="11" s="1"/>
  <c r="AV902" i="11"/>
  <c r="AT902" i="11"/>
  <c r="AW902" i="11" s="1"/>
  <c r="AG902" i="11"/>
  <c r="AI902" i="11" s="1"/>
  <c r="AJ902" i="11" s="1"/>
  <c r="AX902" i="11" s="1"/>
  <c r="AV900" i="11"/>
  <c r="AT900" i="11"/>
  <c r="AW900" i="11" s="1"/>
  <c r="AI900" i="11"/>
  <c r="AJ900" i="11" s="1"/>
  <c r="AU900" i="11" s="1"/>
  <c r="AV898" i="11"/>
  <c r="AT898" i="11"/>
  <c r="AW898" i="11" s="1"/>
  <c r="AL898" i="11"/>
  <c r="AH898" i="11"/>
  <c r="AI898" i="11" s="1"/>
  <c r="AJ898" i="11" s="1"/>
  <c r="AX898" i="11" s="1"/>
  <c r="AV896" i="11"/>
  <c r="AT896" i="11"/>
  <c r="AW896" i="11" s="1"/>
  <c r="AI896" i="11"/>
  <c r="AJ896" i="11" s="1"/>
  <c r="AX894" i="11"/>
  <c r="AV894" i="11"/>
  <c r="AU894" i="11"/>
  <c r="AT894" i="11"/>
  <c r="AW894" i="11" s="1"/>
  <c r="AX892" i="11"/>
  <c r="AV892" i="11"/>
  <c r="AU892" i="11"/>
  <c r="AT892" i="11"/>
  <c r="AW892" i="11" s="1"/>
  <c r="AV890" i="11"/>
  <c r="AT890" i="11"/>
  <c r="AW890" i="11" s="1"/>
  <c r="AG890" i="11"/>
  <c r="AI890" i="11" s="1"/>
  <c r="AJ890" i="11" s="1"/>
  <c r="AV888" i="11"/>
  <c r="AT888" i="11"/>
  <c r="AW888" i="11" s="1"/>
  <c r="AI888" i="11"/>
  <c r="AJ888" i="11" s="1"/>
  <c r="AV884" i="11"/>
  <c r="AT884" i="11"/>
  <c r="AW884" i="11" s="1"/>
  <c r="AI884" i="11"/>
  <c r="AJ884" i="11" s="1"/>
  <c r="AU884" i="11" s="1"/>
  <c r="AV883" i="11"/>
  <c r="AT883" i="11"/>
  <c r="AW883" i="11" s="1"/>
  <c r="AH883" i="11"/>
  <c r="AX881" i="11"/>
  <c r="AV881" i="11"/>
  <c r="AU881" i="11"/>
  <c r="AT881" i="11"/>
  <c r="AW881" i="11" s="1"/>
  <c r="AL881" i="11"/>
  <c r="AV879" i="11"/>
  <c r="AT879" i="11"/>
  <c r="AW879" i="11" s="1"/>
  <c r="AL879" i="11"/>
  <c r="AX879" i="11"/>
  <c r="AV876" i="11"/>
  <c r="AT876" i="11"/>
  <c r="AW876" i="11" s="1"/>
  <c r="AI876" i="11"/>
  <c r="AJ876" i="11" s="1"/>
  <c r="AU876" i="11" s="1"/>
  <c r="AV874" i="11"/>
  <c r="AT874" i="11"/>
  <c r="AW874" i="11" s="1"/>
  <c r="AX874" i="11"/>
  <c r="AX872" i="11"/>
  <c r="AV872" i="11"/>
  <c r="AU872" i="11"/>
  <c r="AT872" i="11"/>
  <c r="AW872" i="11" s="1"/>
  <c r="AL872" i="11"/>
  <c r="AV866" i="11"/>
  <c r="AT866" i="11"/>
  <c r="AW866" i="11" s="1"/>
  <c r="AG866" i="11"/>
  <c r="AV864" i="11"/>
  <c r="AT864" i="11"/>
  <c r="AW864" i="11" s="1"/>
  <c r="AI864" i="11"/>
  <c r="AJ864" i="11" s="1"/>
  <c r="AV861" i="11"/>
  <c r="AU861" i="11"/>
  <c r="AT861" i="11"/>
  <c r="AW861" i="11" s="1"/>
  <c r="AS851" i="11"/>
  <c r="AQ851" i="11"/>
  <c r="AP851" i="11"/>
  <c r="AN851" i="11"/>
  <c r="AM851" i="11"/>
  <c r="AK851" i="11"/>
  <c r="AF851" i="11"/>
  <c r="AE851" i="11"/>
  <c r="AD851" i="11"/>
  <c r="AV850" i="11"/>
  <c r="AT850" i="11"/>
  <c r="AW850" i="11" s="1"/>
  <c r="AI850" i="11"/>
  <c r="AJ850" i="11" s="1"/>
  <c r="AV845" i="11"/>
  <c r="AT845" i="11"/>
  <c r="AW845" i="11" s="1"/>
  <c r="AI845" i="11"/>
  <c r="AJ845" i="11" s="1"/>
  <c r="AV844" i="11"/>
  <c r="AT844" i="11"/>
  <c r="AW844" i="11" s="1"/>
  <c r="AG844" i="11"/>
  <c r="AI844" i="11" s="1"/>
  <c r="AJ844" i="11" s="1"/>
  <c r="AU844" i="11" s="1"/>
  <c r="AV842" i="11"/>
  <c r="AT842" i="11"/>
  <c r="AW842" i="11" s="1"/>
  <c r="AI842" i="11"/>
  <c r="AJ842" i="11" s="1"/>
  <c r="AU842" i="11" s="1"/>
  <c r="AV835" i="11"/>
  <c r="AT835" i="11"/>
  <c r="AW835" i="11" s="1"/>
  <c r="AI835" i="11"/>
  <c r="AJ835" i="11" s="1"/>
  <c r="AX835" i="11" s="1"/>
  <c r="AX834" i="11"/>
  <c r="AV834" i="11"/>
  <c r="AU834" i="11"/>
  <c r="AT834" i="11"/>
  <c r="AW834" i="11" s="1"/>
  <c r="AV832" i="11"/>
  <c r="AT832" i="11"/>
  <c r="AW832" i="11" s="1"/>
  <c r="AI832" i="11"/>
  <c r="AJ832" i="11" s="1"/>
  <c r="AX832" i="11" s="1"/>
  <c r="AV831" i="11"/>
  <c r="AT831" i="11"/>
  <c r="AW831" i="11" s="1"/>
  <c r="AI831" i="11"/>
  <c r="AJ831" i="11" s="1"/>
  <c r="AX831" i="11" s="1"/>
  <c r="AV829" i="11"/>
  <c r="AT829" i="11"/>
  <c r="AW829" i="11" s="1"/>
  <c r="AI829" i="11"/>
  <c r="AJ829" i="11" s="1"/>
  <c r="AU829" i="11" s="1"/>
  <c r="AV827" i="11"/>
  <c r="AT827" i="11"/>
  <c r="AW827" i="11" s="1"/>
  <c r="AI827" i="11"/>
  <c r="AJ827" i="11" s="1"/>
  <c r="AU827" i="11" s="1"/>
  <c r="AX826" i="11"/>
  <c r="AV826" i="11"/>
  <c r="AU826" i="11"/>
  <c r="AT826" i="11"/>
  <c r="AW826" i="11" s="1"/>
  <c r="AV825" i="11"/>
  <c r="AT825" i="11"/>
  <c r="AW825" i="11" s="1"/>
  <c r="AG825" i="11"/>
  <c r="AV823" i="11"/>
  <c r="AT823" i="11"/>
  <c r="AW823" i="11" s="1"/>
  <c r="AI823" i="11"/>
  <c r="AJ823" i="11" s="1"/>
  <c r="AX823" i="11" s="1"/>
  <c r="AX822" i="11"/>
  <c r="AV822" i="11"/>
  <c r="AU822" i="11"/>
  <c r="AT822" i="11"/>
  <c r="AW822" i="11" s="1"/>
  <c r="AV821" i="11"/>
  <c r="AT821" i="11"/>
  <c r="AW821" i="11" s="1"/>
  <c r="AI821" i="11"/>
  <c r="AJ821" i="11" s="1"/>
  <c r="AW819" i="11"/>
  <c r="AV819" i="11"/>
  <c r="AR819" i="11"/>
  <c r="AL819" i="11"/>
  <c r="AI819" i="11"/>
  <c r="AJ819" i="11" s="1"/>
  <c r="AU819" i="11" s="1"/>
  <c r="AI818" i="11"/>
  <c r="AJ818" i="11" s="1"/>
  <c r="AV817" i="11"/>
  <c r="AT817" i="11"/>
  <c r="AW817" i="11" s="1"/>
  <c r="AR817" i="11"/>
  <c r="AO817" i="11"/>
  <c r="AL817" i="11"/>
  <c r="AI817" i="11"/>
  <c r="AJ817" i="11" s="1"/>
  <c r="AV816" i="11"/>
  <c r="AT816" i="11"/>
  <c r="AW816" i="11" s="1"/>
  <c r="AI816" i="11"/>
  <c r="AJ816" i="11" s="1"/>
  <c r="AV815" i="11"/>
  <c r="AT815" i="11"/>
  <c r="AW815" i="11" s="1"/>
  <c r="AI815" i="11"/>
  <c r="AJ815" i="11" s="1"/>
  <c r="AX815" i="11" s="1"/>
  <c r="AV814" i="11"/>
  <c r="AT814" i="11"/>
  <c r="AW814" i="11" s="1"/>
  <c r="AI814" i="11"/>
  <c r="AJ814" i="11" s="1"/>
  <c r="AV813" i="11"/>
  <c r="AT813" i="11"/>
  <c r="AW813" i="11" s="1"/>
  <c r="AG813" i="11"/>
  <c r="AI813" i="11" s="1"/>
  <c r="AJ813" i="11" s="1"/>
  <c r="AV811" i="11"/>
  <c r="AT811" i="11"/>
  <c r="AW811" i="11" s="1"/>
  <c r="AI811" i="11"/>
  <c r="AJ811" i="11" s="1"/>
  <c r="AX811" i="11" s="1"/>
  <c r="AX810" i="11"/>
  <c r="AV810" i="11"/>
  <c r="AU810" i="11"/>
  <c r="AT810" i="11"/>
  <c r="AW810" i="11" s="1"/>
  <c r="AV808" i="11"/>
  <c r="AT808" i="11"/>
  <c r="AW808" i="11" s="1"/>
  <c r="AI808" i="11"/>
  <c r="AJ808" i="11" s="1"/>
  <c r="AX808" i="11" s="1"/>
  <c r="AV807" i="11"/>
  <c r="AT807" i="11"/>
  <c r="AW807" i="11" s="1"/>
  <c r="AI807" i="11"/>
  <c r="AJ807" i="11" s="1"/>
  <c r="AX807" i="11" s="1"/>
  <c r="AV806" i="11"/>
  <c r="AT806" i="11"/>
  <c r="AW806" i="11" s="1"/>
  <c r="AI806" i="11"/>
  <c r="AJ806" i="11" s="1"/>
  <c r="AV805" i="11"/>
  <c r="AT805" i="11"/>
  <c r="AW805" i="11" s="1"/>
  <c r="AI805" i="11"/>
  <c r="AJ805" i="11" s="1"/>
  <c r="AV804" i="11"/>
  <c r="AT804" i="11"/>
  <c r="AW804" i="11" s="1"/>
  <c r="AI804" i="11"/>
  <c r="AJ804" i="11" s="1"/>
  <c r="AX802" i="11"/>
  <c r="AV802" i="11"/>
  <c r="AU802" i="11"/>
  <c r="AT802" i="11"/>
  <c r="AW802" i="11" s="1"/>
  <c r="AX800" i="11"/>
  <c r="AV800" i="11"/>
  <c r="AU800" i="11"/>
  <c r="AT800" i="11"/>
  <c r="AW800" i="11" s="1"/>
  <c r="AX798" i="11"/>
  <c r="AV798" i="11"/>
  <c r="AU798" i="11"/>
  <c r="AT798" i="11"/>
  <c r="AW798" i="11" s="1"/>
  <c r="AV796" i="11"/>
  <c r="AT796" i="11"/>
  <c r="AW796" i="11" s="1"/>
  <c r="AI796" i="11"/>
  <c r="AJ796" i="11" s="1"/>
  <c r="AU796" i="11" s="1"/>
  <c r="AV794" i="11"/>
  <c r="AT794" i="11"/>
  <c r="AW794" i="11" s="1"/>
  <c r="AI794" i="11"/>
  <c r="AJ794" i="11" s="1"/>
  <c r="AW793" i="11"/>
  <c r="AV793" i="11"/>
  <c r="AI793" i="11"/>
  <c r="AJ793" i="11" s="1"/>
  <c r="AI791" i="11"/>
  <c r="AJ791" i="11" s="1"/>
  <c r="AV788" i="11"/>
  <c r="AT788" i="11"/>
  <c r="AW788" i="11" s="1"/>
  <c r="AI788" i="11"/>
  <c r="AJ788" i="11" s="1"/>
  <c r="AV785" i="11"/>
  <c r="AT785" i="11"/>
  <c r="AW785" i="11" s="1"/>
  <c r="AI785" i="11"/>
  <c r="AJ785" i="11" s="1"/>
  <c r="AU785" i="11" s="1"/>
  <c r="AV782" i="11"/>
  <c r="AT782" i="11"/>
  <c r="AW782" i="11" s="1"/>
  <c r="AI782" i="11"/>
  <c r="AJ782" i="11" s="1"/>
  <c r="AU782" i="11" s="1"/>
  <c r="AV780" i="11"/>
  <c r="AT780" i="11"/>
  <c r="AW780" i="11" s="1"/>
  <c r="AI780" i="11"/>
  <c r="AJ780" i="11" s="1"/>
  <c r="AV779" i="11"/>
  <c r="AT779" i="11"/>
  <c r="AW779" i="11" s="1"/>
  <c r="AI779" i="11"/>
  <c r="AJ779" i="11" s="1"/>
  <c r="AX779" i="11" s="1"/>
  <c r="AV776" i="11"/>
  <c r="AT776" i="11"/>
  <c r="AW776" i="11" s="1"/>
  <c r="AI776" i="11"/>
  <c r="AJ776" i="11" s="1"/>
  <c r="AX776" i="11" s="1"/>
  <c r="AI775" i="11"/>
  <c r="AJ775" i="11" s="1"/>
  <c r="AI772" i="11"/>
  <c r="AJ772" i="11" s="1"/>
  <c r="AV767" i="11"/>
  <c r="AT767" i="11"/>
  <c r="AW767" i="11" s="1"/>
  <c r="AI767" i="11"/>
  <c r="AJ767" i="11" s="1"/>
  <c r="AI765" i="11"/>
  <c r="AJ765" i="11" s="1"/>
  <c r="AH763" i="11"/>
  <c r="AI763" i="11" s="1"/>
  <c r="AJ763" i="11" s="1"/>
  <c r="AV758" i="11"/>
  <c r="AT758" i="11"/>
  <c r="AW758" i="11" s="1"/>
  <c r="AI758" i="11"/>
  <c r="AJ758" i="11" s="1"/>
  <c r="AV756" i="11"/>
  <c r="AT756" i="11"/>
  <c r="AW756" i="11" s="1"/>
  <c r="AI756" i="11"/>
  <c r="AJ756" i="11" s="1"/>
  <c r="AX756" i="11" s="1"/>
  <c r="AV754" i="11"/>
  <c r="AT754" i="11"/>
  <c r="AW754" i="11" s="1"/>
  <c r="AI754" i="11"/>
  <c r="AJ754" i="11" s="1"/>
  <c r="AV752" i="11"/>
  <c r="AT752" i="11"/>
  <c r="AW752" i="11" s="1"/>
  <c r="AI752" i="11"/>
  <c r="AJ752" i="11" s="1"/>
  <c r="AV750" i="11"/>
  <c r="AT750" i="11"/>
  <c r="AW750" i="11" s="1"/>
  <c r="AI750" i="11"/>
  <c r="AS744" i="11"/>
  <c r="AQ744" i="11"/>
  <c r="AP744" i="11"/>
  <c r="AO744" i="11"/>
  <c r="AN744" i="11"/>
  <c r="AM744" i="11"/>
  <c r="AK744" i="11"/>
  <c r="AF744" i="11"/>
  <c r="AD744" i="11"/>
  <c r="AV742" i="11"/>
  <c r="AT742" i="11"/>
  <c r="AW742" i="11" s="1"/>
  <c r="AI742" i="11"/>
  <c r="AJ742" i="11" s="1"/>
  <c r="AX742" i="11" s="1"/>
  <c r="AX741" i="11"/>
  <c r="AV741" i="11"/>
  <c r="AU741" i="11"/>
  <c r="AT741" i="11"/>
  <c r="AW741" i="11" s="1"/>
  <c r="AX740" i="11"/>
  <c r="AV740" i="11"/>
  <c r="AU740" i="11"/>
  <c r="AT740" i="11"/>
  <c r="AW740" i="11" s="1"/>
  <c r="AX731" i="11"/>
  <c r="AV731" i="11"/>
  <c r="AU731" i="11"/>
  <c r="AT731" i="11"/>
  <c r="AW731" i="11" s="1"/>
  <c r="AX730" i="11"/>
  <c r="AV730" i="11"/>
  <c r="AU730" i="11"/>
  <c r="AT730" i="11"/>
  <c r="AW730" i="11" s="1"/>
  <c r="AX729" i="11"/>
  <c r="AV729" i="11"/>
  <c r="AU729" i="11"/>
  <c r="AT729" i="11"/>
  <c r="AW729" i="11" s="1"/>
  <c r="AX728" i="11"/>
  <c r="AV728" i="11"/>
  <c r="AU728" i="11"/>
  <c r="AT728" i="11"/>
  <c r="AW728" i="11" s="1"/>
  <c r="AV727" i="11"/>
  <c r="AT727" i="11"/>
  <c r="AW727" i="11" s="1"/>
  <c r="AI727" i="11"/>
  <c r="AJ727" i="11" s="1"/>
  <c r="AX727" i="11" s="1"/>
  <c r="AX726" i="11"/>
  <c r="AV726" i="11"/>
  <c r="AU726" i="11"/>
  <c r="AT726" i="11"/>
  <c r="AW726" i="11" s="1"/>
  <c r="AL726" i="11"/>
  <c r="AV718" i="11"/>
  <c r="AT718" i="11"/>
  <c r="AW718" i="11" s="1"/>
  <c r="AI718" i="11"/>
  <c r="AJ718" i="11" s="1"/>
  <c r="AV715" i="11"/>
  <c r="AT715" i="11"/>
  <c r="AW715" i="11" s="1"/>
  <c r="AI715" i="11"/>
  <c r="AJ715" i="11" s="1"/>
  <c r="AV714" i="11"/>
  <c r="AT714" i="11"/>
  <c r="AW714" i="11" s="1"/>
  <c r="AG714" i="11"/>
  <c r="AI714" i="11" s="1"/>
  <c r="AJ714" i="11" s="1"/>
  <c r="AV712" i="11"/>
  <c r="AT712" i="11"/>
  <c r="AW712" i="11" s="1"/>
  <c r="AI712" i="11"/>
  <c r="AJ712" i="11" s="1"/>
  <c r="AX711" i="11"/>
  <c r="AV711" i="11"/>
  <c r="AU711" i="11"/>
  <c r="AT711" i="11"/>
  <c r="AW711" i="11" s="1"/>
  <c r="AV710" i="11"/>
  <c r="AT710" i="11"/>
  <c r="AW710" i="11" s="1"/>
  <c r="AG710" i="11"/>
  <c r="AI710" i="11" s="1"/>
  <c r="AJ710" i="11" s="1"/>
  <c r="AX710" i="11" s="1"/>
  <c r="AV708" i="11"/>
  <c r="AT708" i="11"/>
  <c r="AW708" i="11" s="1"/>
  <c r="AI708" i="11"/>
  <c r="AJ708" i="11" s="1"/>
  <c r="AU708" i="11" s="1"/>
  <c r="AV707" i="11"/>
  <c r="AT707" i="11"/>
  <c r="AW707" i="11" s="1"/>
  <c r="AL707" i="11"/>
  <c r="AH707" i="11"/>
  <c r="AI707" i="11" s="1"/>
  <c r="AJ707" i="11" s="1"/>
  <c r="AV705" i="11"/>
  <c r="AT705" i="11"/>
  <c r="AW705" i="11" s="1"/>
  <c r="AH705" i="11"/>
  <c r="AI705" i="11" s="1"/>
  <c r="AJ705" i="11" s="1"/>
  <c r="AU705" i="11" s="1"/>
  <c r="AV703" i="11"/>
  <c r="AT703" i="11"/>
  <c r="AW703" i="11" s="1"/>
  <c r="AI703" i="11"/>
  <c r="AJ703" i="11" s="1"/>
  <c r="AU703" i="11" s="1"/>
  <c r="AX702" i="11"/>
  <c r="AV702" i="11"/>
  <c r="AU702" i="11"/>
  <c r="AT702" i="11"/>
  <c r="AW702" i="11" s="1"/>
  <c r="AV699" i="11"/>
  <c r="AT699" i="11"/>
  <c r="AW699" i="11" s="1"/>
  <c r="AI699" i="11"/>
  <c r="AJ699" i="11" s="1"/>
  <c r="AX699" i="11" s="1"/>
  <c r="AV698" i="11"/>
  <c r="AT698" i="11"/>
  <c r="AW698" i="11" s="1"/>
  <c r="AI698" i="11"/>
  <c r="AJ698" i="11" s="1"/>
  <c r="AV697" i="11"/>
  <c r="AT697" i="11"/>
  <c r="AW697" i="11" s="1"/>
  <c r="AI697" i="11"/>
  <c r="AJ697" i="11" s="1"/>
  <c r="AX697" i="11" s="1"/>
  <c r="AV696" i="11"/>
  <c r="AT696" i="11"/>
  <c r="AW696" i="11" s="1"/>
  <c r="AI696" i="11"/>
  <c r="AJ696" i="11" s="1"/>
  <c r="AV695" i="11"/>
  <c r="AT695" i="11"/>
  <c r="AW695" i="11" s="1"/>
  <c r="AI695" i="11"/>
  <c r="AJ695" i="11" s="1"/>
  <c r="AV694" i="11"/>
  <c r="AT694" i="11"/>
  <c r="AW694" i="11" s="1"/>
  <c r="AI694" i="11"/>
  <c r="AJ694" i="11" s="1"/>
  <c r="AV693" i="11"/>
  <c r="AT693" i="11"/>
  <c r="AW693" i="11" s="1"/>
  <c r="AI693" i="11"/>
  <c r="AJ693" i="11" s="1"/>
  <c r="AX693" i="11" s="1"/>
  <c r="AV692" i="11"/>
  <c r="AT692" i="11"/>
  <c r="AW692" i="11" s="1"/>
  <c r="AI692" i="11"/>
  <c r="AJ692" i="11" s="1"/>
  <c r="AV686" i="11"/>
  <c r="AT686" i="11"/>
  <c r="AW686" i="11" s="1"/>
  <c r="AI686" i="11"/>
  <c r="AJ686" i="11" s="1"/>
  <c r="AX686" i="11" s="1"/>
  <c r="AV685" i="11"/>
  <c r="AT685" i="11"/>
  <c r="AW685" i="11" s="1"/>
  <c r="AI685" i="11"/>
  <c r="AJ685" i="11" s="1"/>
  <c r="AU685" i="11" s="1"/>
  <c r="AV684" i="11"/>
  <c r="AT684" i="11"/>
  <c r="AW684" i="11" s="1"/>
  <c r="AG684" i="11"/>
  <c r="AI684" i="11" s="1"/>
  <c r="AJ684" i="11" s="1"/>
  <c r="AX683" i="11"/>
  <c r="AV683" i="11"/>
  <c r="AU683" i="11"/>
  <c r="AT683" i="11"/>
  <c r="AW683" i="11" s="1"/>
  <c r="AV682" i="11"/>
  <c r="AT682" i="11"/>
  <c r="AW682" i="11" s="1"/>
  <c r="AI682" i="11"/>
  <c r="AJ682" i="11" s="1"/>
  <c r="AV680" i="11"/>
  <c r="AT680" i="11"/>
  <c r="AW680" i="11" s="1"/>
  <c r="AI680" i="11"/>
  <c r="AJ680" i="11" s="1"/>
  <c r="AU680" i="11" s="1"/>
  <c r="AV679" i="11"/>
  <c r="AT679" i="11"/>
  <c r="AW679" i="11" s="1"/>
  <c r="AI679" i="11"/>
  <c r="AJ679" i="11" s="1"/>
  <c r="AU679" i="11" s="1"/>
  <c r="AV673" i="11"/>
  <c r="AT673" i="11"/>
  <c r="AW673" i="11" s="1"/>
  <c r="AG673" i="11"/>
  <c r="AI673" i="11" s="1"/>
  <c r="AJ673" i="11" s="1"/>
  <c r="AV671" i="11"/>
  <c r="AT671" i="11"/>
  <c r="AW671" i="11" s="1"/>
  <c r="AI671" i="11"/>
  <c r="AJ671" i="11" s="1"/>
  <c r="AV670" i="11"/>
  <c r="AT670" i="11"/>
  <c r="AW670" i="11" s="1"/>
  <c r="AG670" i="11"/>
  <c r="AI670" i="11" s="1"/>
  <c r="AJ670" i="11" s="1"/>
  <c r="AV668" i="11"/>
  <c r="AT668" i="11"/>
  <c r="AW668" i="11" s="1"/>
  <c r="AI668" i="11"/>
  <c r="AJ668" i="11" s="1"/>
  <c r="AV667" i="11"/>
  <c r="AT667" i="11"/>
  <c r="AW667" i="11" s="1"/>
  <c r="AH667" i="11"/>
  <c r="AI667" i="11" s="1"/>
  <c r="AJ667" i="11" s="1"/>
  <c r="AV666" i="11"/>
  <c r="AT666" i="11"/>
  <c r="AW666" i="11" s="1"/>
  <c r="AH666" i="11"/>
  <c r="AI666" i="11" s="1"/>
  <c r="AJ666" i="11" s="1"/>
  <c r="AV664" i="11"/>
  <c r="AT664" i="11"/>
  <c r="AW664" i="11" s="1"/>
  <c r="AI664" i="11"/>
  <c r="AJ664" i="11" s="1"/>
  <c r="AV663" i="11"/>
  <c r="AT663" i="11"/>
  <c r="AW663" i="11" s="1"/>
  <c r="AI663" i="11"/>
  <c r="AJ663" i="11" s="1"/>
  <c r="AU663" i="11" s="1"/>
  <c r="AV661" i="11"/>
  <c r="AT661" i="11"/>
  <c r="AW661" i="11" s="1"/>
  <c r="AL661" i="11"/>
  <c r="AG661" i="11"/>
  <c r="AI661" i="11" s="1"/>
  <c r="AJ661" i="11" s="1"/>
  <c r="AV659" i="11"/>
  <c r="AT659" i="11"/>
  <c r="AW659" i="11" s="1"/>
  <c r="AI659" i="11"/>
  <c r="AJ659" i="11" s="1"/>
  <c r="AU659" i="11" s="1"/>
  <c r="AV657" i="11"/>
  <c r="AT657" i="11"/>
  <c r="AW657" i="11" s="1"/>
  <c r="AR657" i="11"/>
  <c r="AR744" i="11" s="1"/>
  <c r="AL657" i="11"/>
  <c r="AI657" i="11"/>
  <c r="AJ657" i="11" s="1"/>
  <c r="AV655" i="11"/>
  <c r="AT655" i="11"/>
  <c r="AW655" i="11" s="1"/>
  <c r="AI655" i="11"/>
  <c r="AJ655" i="11" s="1"/>
  <c r="AV654" i="11"/>
  <c r="AT654" i="11"/>
  <c r="AW654" i="11" s="1"/>
  <c r="AI654" i="11"/>
  <c r="AJ654" i="11" s="1"/>
  <c r="AV652" i="11"/>
  <c r="AT652" i="11"/>
  <c r="AW652" i="11" s="1"/>
  <c r="AL652" i="11"/>
  <c r="AI652" i="11"/>
  <c r="AJ652" i="11" s="1"/>
  <c r="AU652" i="11" s="1"/>
  <c r="AV650" i="11"/>
  <c r="AT650" i="11"/>
  <c r="AW650" i="11" s="1"/>
  <c r="AI650" i="11"/>
  <c r="AJ650" i="11" s="1"/>
  <c r="AU650" i="11" s="1"/>
  <c r="AX647" i="11"/>
  <c r="AV647" i="11"/>
  <c r="AU647" i="11"/>
  <c r="AT647" i="11"/>
  <c r="AW647" i="11" s="1"/>
  <c r="AL647" i="11"/>
  <c r="AV644" i="11"/>
  <c r="AT644" i="11"/>
  <c r="AW644" i="11" s="1"/>
  <c r="AI644" i="11"/>
  <c r="AJ644" i="11" s="1"/>
  <c r="AX644" i="11" s="1"/>
  <c r="AV643" i="11"/>
  <c r="AT643" i="11"/>
  <c r="AW643" i="11" s="1"/>
  <c r="AI643" i="11"/>
  <c r="AJ643" i="11" s="1"/>
  <c r="AX643" i="11" s="1"/>
  <c r="AV642" i="11"/>
  <c r="AT642" i="11"/>
  <c r="AW642" i="11" s="1"/>
  <c r="AI642" i="11"/>
  <c r="AJ642" i="11" s="1"/>
  <c r="AV641" i="11"/>
  <c r="AT641" i="11"/>
  <c r="AW641" i="11" s="1"/>
  <c r="AI641" i="11"/>
  <c r="AJ641" i="11" s="1"/>
  <c r="AV640" i="11"/>
  <c r="AT640" i="11"/>
  <c r="AW640" i="11" s="1"/>
  <c r="AI640" i="11"/>
  <c r="AJ640" i="11" s="1"/>
  <c r="AV639" i="11"/>
  <c r="AT639" i="11"/>
  <c r="AW639" i="11" s="1"/>
  <c r="AH639" i="11"/>
  <c r="AV635" i="11"/>
  <c r="AT635" i="11"/>
  <c r="AW635" i="11" s="1"/>
  <c r="AI635" i="11"/>
  <c r="AJ635" i="11" s="1"/>
  <c r="AU635" i="11" s="1"/>
  <c r="AV633" i="11"/>
  <c r="AT633" i="11"/>
  <c r="AW633" i="11" s="1"/>
  <c r="AI633" i="11"/>
  <c r="AJ633" i="11" s="1"/>
  <c r="AV628" i="11"/>
  <c r="AT628" i="11"/>
  <c r="AW628" i="11" s="1"/>
  <c r="AE628" i="11"/>
  <c r="AI628" i="11" s="1"/>
  <c r="AJ628" i="11" s="1"/>
  <c r="AV627" i="11"/>
  <c r="AT627" i="11"/>
  <c r="AW627" i="11" s="1"/>
  <c r="AI627" i="11"/>
  <c r="AJ627" i="11" s="1"/>
  <c r="AX625" i="11"/>
  <c r="AV625" i="11"/>
  <c r="AU625" i="11"/>
  <c r="AT625" i="11"/>
  <c r="AW625" i="11" s="1"/>
  <c r="AV624" i="11"/>
  <c r="AT624" i="11"/>
  <c r="AW624" i="11" s="1"/>
  <c r="AI624" i="11"/>
  <c r="AJ624" i="11" s="1"/>
  <c r="AV622" i="11"/>
  <c r="AT622" i="11"/>
  <c r="AW622" i="11" s="1"/>
  <c r="AI622" i="11"/>
  <c r="AJ622" i="11" s="1"/>
  <c r="AV620" i="11"/>
  <c r="AT620" i="11"/>
  <c r="AW620" i="11" s="1"/>
  <c r="AI620" i="11"/>
  <c r="AJ620" i="11" s="1"/>
  <c r="AX620" i="11" s="1"/>
  <c r="AV618" i="11"/>
  <c r="AT618" i="11"/>
  <c r="AW618" i="11" s="1"/>
  <c r="AI618" i="11"/>
  <c r="AJ618" i="11" s="1"/>
  <c r="AU618" i="11" s="1"/>
  <c r="AV617" i="11"/>
  <c r="AT617" i="11"/>
  <c r="AW617" i="11" s="1"/>
  <c r="AI617" i="11"/>
  <c r="AJ617" i="11" s="1"/>
  <c r="AV616" i="11"/>
  <c r="AT616" i="11"/>
  <c r="AW616" i="11" s="1"/>
  <c r="AI616" i="11"/>
  <c r="AJ616" i="11" s="1"/>
  <c r="AV615" i="11"/>
  <c r="AT615" i="11"/>
  <c r="AW615" i="11" s="1"/>
  <c r="AI615" i="11"/>
  <c r="AJ615" i="11" s="1"/>
  <c r="AU615" i="11" s="1"/>
  <c r="AV614" i="11"/>
  <c r="AT614" i="11"/>
  <c r="AW614" i="11" s="1"/>
  <c r="AI614" i="11"/>
  <c r="AJ614" i="11" s="1"/>
  <c r="AU614" i="11" s="1"/>
  <c r="AV613" i="11"/>
  <c r="AT613" i="11"/>
  <c r="AW613" i="11" s="1"/>
  <c r="AI613" i="11"/>
  <c r="AJ613" i="11" s="1"/>
  <c r="AU613" i="11" s="1"/>
  <c r="AV611" i="11"/>
  <c r="AT611" i="11"/>
  <c r="AW611" i="11" s="1"/>
  <c r="AI611" i="11"/>
  <c r="AJ611" i="11" s="1"/>
  <c r="AU611" i="11" s="1"/>
  <c r="AV609" i="11"/>
  <c r="AT609" i="11"/>
  <c r="AW609" i="11" s="1"/>
  <c r="AI609" i="11"/>
  <c r="AJ609" i="11" s="1"/>
  <c r="AU609" i="11" s="1"/>
  <c r="AV608" i="11"/>
  <c r="AT608" i="11"/>
  <c r="AW608" i="11" s="1"/>
  <c r="AI608" i="11"/>
  <c r="AJ608" i="11" s="1"/>
  <c r="AU608" i="11" s="1"/>
  <c r="AV607" i="11"/>
  <c r="AT607" i="11"/>
  <c r="AW607" i="11" s="1"/>
  <c r="AI607" i="11"/>
  <c r="AJ607" i="11" s="1"/>
  <c r="AU607" i="11" s="1"/>
  <c r="AV606" i="11"/>
  <c r="AT606" i="11"/>
  <c r="AW606" i="11" s="1"/>
  <c r="AI606" i="11"/>
  <c r="AJ606" i="11" s="1"/>
  <c r="AX606" i="11" s="1"/>
  <c r="AV604" i="11"/>
  <c r="AT604" i="11"/>
  <c r="AW604" i="11" s="1"/>
  <c r="AI604" i="11"/>
  <c r="AJ604" i="11" s="1"/>
  <c r="AV602" i="11"/>
  <c r="AT602" i="11"/>
  <c r="AW602" i="11" s="1"/>
  <c r="AI602" i="11"/>
  <c r="AJ602" i="11" s="1"/>
  <c r="AV599" i="11"/>
  <c r="AT599" i="11"/>
  <c r="AW599" i="11" s="1"/>
  <c r="AI599" i="11"/>
  <c r="AJ599" i="11" s="1"/>
  <c r="AV600" i="11"/>
  <c r="AT600" i="11"/>
  <c r="AW600" i="11" s="1"/>
  <c r="AH600" i="11"/>
  <c r="AI600" i="11" s="1"/>
  <c r="AJ600" i="11" s="1"/>
  <c r="AX600" i="11" s="1"/>
  <c r="AV598" i="11"/>
  <c r="AT598" i="11"/>
  <c r="AW598" i="11" s="1"/>
  <c r="AG598" i="11"/>
  <c r="AI598" i="11" s="1"/>
  <c r="AJ598" i="11" s="1"/>
  <c r="AX598" i="11" s="1"/>
  <c r="AV597" i="11"/>
  <c r="AT597" i="11"/>
  <c r="AW597" i="11" s="1"/>
  <c r="AI597" i="11"/>
  <c r="AJ597" i="11" s="1"/>
  <c r="AV595" i="11"/>
  <c r="AT595" i="11"/>
  <c r="AW595" i="11" s="1"/>
  <c r="AI595" i="11"/>
  <c r="AJ595" i="11" s="1"/>
  <c r="AX595" i="11" s="1"/>
  <c r="AV593" i="11"/>
  <c r="AT593" i="11"/>
  <c r="AW593" i="11" s="1"/>
  <c r="AL593" i="11"/>
  <c r="AI593" i="11"/>
  <c r="AJ593" i="11" s="1"/>
  <c r="AX593" i="11" s="1"/>
  <c r="AV591" i="11"/>
  <c r="AT591" i="11"/>
  <c r="AW591" i="11" s="1"/>
  <c r="AI591" i="11"/>
  <c r="AJ591" i="11" s="1"/>
  <c r="AX591" i="11" s="1"/>
  <c r="AV589" i="11"/>
  <c r="AT589" i="11"/>
  <c r="AW589" i="11" s="1"/>
  <c r="AI589" i="11"/>
  <c r="AJ589" i="11" s="1"/>
  <c r="AV588" i="11"/>
  <c r="AT588" i="11"/>
  <c r="AW588" i="11" s="1"/>
  <c r="AI588" i="11"/>
  <c r="AJ588" i="11" s="1"/>
  <c r="AV585" i="11"/>
  <c r="AT585" i="11"/>
  <c r="AW585" i="11" s="1"/>
  <c r="AI585" i="11"/>
  <c r="AJ585" i="11" s="1"/>
  <c r="AX584" i="11"/>
  <c r="AV584" i="11"/>
  <c r="AU584" i="11"/>
  <c r="AT584" i="11"/>
  <c r="AW584" i="11" s="1"/>
  <c r="AX583" i="11"/>
  <c r="AV583" i="11"/>
  <c r="AU583" i="11"/>
  <c r="AT583" i="11"/>
  <c r="AW583" i="11" s="1"/>
  <c r="AV581" i="11"/>
  <c r="AT581" i="11"/>
  <c r="AW581" i="11" s="1"/>
  <c r="AI581" i="11"/>
  <c r="AJ581" i="11" s="1"/>
  <c r="AV580" i="11"/>
  <c r="AT580" i="11"/>
  <c r="AW580" i="11" s="1"/>
  <c r="AI580" i="11"/>
  <c r="AJ580" i="11" s="1"/>
  <c r="AX580" i="11" s="1"/>
  <c r="AV579" i="11"/>
  <c r="AT579" i="11"/>
  <c r="AW579" i="11" s="1"/>
  <c r="AI579" i="11"/>
  <c r="AJ579" i="11" s="1"/>
  <c r="AX579" i="11" s="1"/>
  <c r="AV578" i="11"/>
  <c r="AT578" i="11"/>
  <c r="AW578" i="11" s="1"/>
  <c r="AI578" i="11"/>
  <c r="AJ578" i="11" s="1"/>
  <c r="AV576" i="11"/>
  <c r="AT576" i="11"/>
  <c r="AW576" i="11" s="1"/>
  <c r="AI576" i="11"/>
  <c r="AJ576" i="11" s="1"/>
  <c r="AX576" i="11" s="1"/>
  <c r="AV575" i="11"/>
  <c r="AT575" i="11"/>
  <c r="AW575" i="11" s="1"/>
  <c r="AI575" i="11"/>
  <c r="AJ575" i="11" s="1"/>
  <c r="AX574" i="11"/>
  <c r="AV574" i="11"/>
  <c r="AU574" i="11"/>
  <c r="AT574" i="11"/>
  <c r="AW574" i="11" s="1"/>
  <c r="AV573" i="11"/>
  <c r="AT573" i="11"/>
  <c r="AW573" i="11" s="1"/>
  <c r="AL573" i="11"/>
  <c r="AI573" i="11"/>
  <c r="AJ573" i="11" s="1"/>
  <c r="AX573" i="11" s="1"/>
  <c r="AV571" i="11"/>
  <c r="AT571" i="11"/>
  <c r="AW571" i="11" s="1"/>
  <c r="AI571" i="11"/>
  <c r="AJ571" i="11" s="1"/>
  <c r="AV569" i="11"/>
  <c r="AT569" i="11"/>
  <c r="AW569" i="11" s="1"/>
  <c r="AG569" i="11"/>
  <c r="AI569" i="11" s="1"/>
  <c r="AJ569" i="11" s="1"/>
  <c r="AV567" i="11"/>
  <c r="AT567" i="11"/>
  <c r="AW567" i="11" s="1"/>
  <c r="AE567" i="11"/>
  <c r="AV565" i="11"/>
  <c r="AT565" i="11"/>
  <c r="AW565" i="11" s="1"/>
  <c r="AL565" i="11"/>
  <c r="AI565" i="11"/>
  <c r="AJ565" i="11" s="1"/>
  <c r="AV563" i="11"/>
  <c r="AT563" i="11"/>
  <c r="AW563" i="11" s="1"/>
  <c r="AL563" i="11"/>
  <c r="AI563" i="11"/>
  <c r="AJ563" i="11" s="1"/>
  <c r="AV564" i="11"/>
  <c r="AT564" i="11"/>
  <c r="AW564" i="11" s="1"/>
  <c r="AL564" i="11"/>
  <c r="AI564" i="11"/>
  <c r="AJ564" i="11" s="1"/>
  <c r="AV561" i="11"/>
  <c r="AT561" i="11"/>
  <c r="AW561" i="11" s="1"/>
  <c r="AI561" i="11"/>
  <c r="AJ561" i="11" s="1"/>
  <c r="AV560" i="11"/>
  <c r="AT560" i="11"/>
  <c r="AW560" i="11" s="1"/>
  <c r="AI560" i="11"/>
  <c r="AJ560" i="11" s="1"/>
  <c r="AV559" i="11"/>
  <c r="AT559" i="11"/>
  <c r="AW559" i="11" s="1"/>
  <c r="AI559" i="11"/>
  <c r="AJ559" i="11" s="1"/>
  <c r="AU559" i="11" s="1"/>
  <c r="AX555" i="11"/>
  <c r="AV555" i="11"/>
  <c r="AU555" i="11"/>
  <c r="AT555" i="11"/>
  <c r="AW555" i="11" s="1"/>
  <c r="AX553" i="11"/>
  <c r="AV553" i="11"/>
  <c r="AU553" i="11"/>
  <c r="AT553" i="11"/>
  <c r="AW553" i="11" s="1"/>
  <c r="AV551" i="11"/>
  <c r="AT551" i="11"/>
  <c r="AW551" i="11" s="1"/>
  <c r="AI551" i="11"/>
  <c r="AJ551" i="11" s="1"/>
  <c r="AV550" i="11"/>
  <c r="AT550" i="11"/>
  <c r="AW550" i="11" s="1"/>
  <c r="AI550" i="11"/>
  <c r="AJ550" i="11" s="1"/>
  <c r="AX550" i="11" s="1"/>
  <c r="AV548" i="11"/>
  <c r="AT548" i="11"/>
  <c r="AI548" i="11"/>
  <c r="AJ548" i="11" s="1"/>
  <c r="AU548" i="11" s="1"/>
  <c r="AS538" i="11"/>
  <c r="AR538" i="11"/>
  <c r="AQ538" i="11"/>
  <c r="AP538" i="11"/>
  <c r="AO538" i="11"/>
  <c r="AN538" i="11"/>
  <c r="AM538" i="11"/>
  <c r="AK538" i="11"/>
  <c r="AF538" i="11"/>
  <c r="AE538" i="11"/>
  <c r="AD538" i="11"/>
  <c r="AV537" i="11"/>
  <c r="AT537" i="11"/>
  <c r="AW537" i="11" s="1"/>
  <c r="AI537" i="11"/>
  <c r="AJ537" i="11" s="1"/>
  <c r="AU537" i="11" s="1"/>
  <c r="AV531" i="11"/>
  <c r="AT531" i="11"/>
  <c r="AW531" i="11" s="1"/>
  <c r="AI531" i="11"/>
  <c r="AJ531" i="11" s="1"/>
  <c r="AX531" i="11" s="1"/>
  <c r="AV528" i="11"/>
  <c r="AT528" i="11"/>
  <c r="AW528" i="11" s="1"/>
  <c r="AI528" i="11"/>
  <c r="AJ528" i="11" s="1"/>
  <c r="AU528" i="11" s="1"/>
  <c r="AV526" i="11"/>
  <c r="AT526" i="11"/>
  <c r="AW526" i="11" s="1"/>
  <c r="AI526" i="11"/>
  <c r="AJ526" i="11" s="1"/>
  <c r="AX526" i="11" s="1"/>
  <c r="AX525" i="11"/>
  <c r="AV525" i="11"/>
  <c r="AU525" i="11"/>
  <c r="AT525" i="11"/>
  <c r="AW525" i="11" s="1"/>
  <c r="AX524" i="11"/>
  <c r="AV524" i="11"/>
  <c r="AU524" i="11"/>
  <c r="AT524" i="11"/>
  <c r="AW524" i="11" s="1"/>
  <c r="AV523" i="11"/>
  <c r="AT523" i="11"/>
  <c r="AW523" i="11" s="1"/>
  <c r="AI523" i="11"/>
  <c r="AJ523" i="11" s="1"/>
  <c r="AV515" i="11"/>
  <c r="AT515" i="11"/>
  <c r="AW515" i="11" s="1"/>
  <c r="AI515" i="11"/>
  <c r="AJ515" i="11" s="1"/>
  <c r="AX515" i="11" s="1"/>
  <c r="AV514" i="11"/>
  <c r="AT514" i="11"/>
  <c r="AW514" i="11" s="1"/>
  <c r="AL514" i="11"/>
  <c r="AI514" i="11"/>
  <c r="AJ514" i="11" s="1"/>
  <c r="AX514" i="11" s="1"/>
  <c r="AV508" i="11"/>
  <c r="AT508" i="11"/>
  <c r="AW508" i="11" s="1"/>
  <c r="AI508" i="11"/>
  <c r="AJ508" i="11" s="1"/>
  <c r="AX508" i="11" s="1"/>
  <c r="AX506" i="11"/>
  <c r="AV506" i="11"/>
  <c r="AU506" i="11"/>
  <c r="AT506" i="11"/>
  <c r="AW506" i="11" s="1"/>
  <c r="AV505" i="11"/>
  <c r="AT505" i="11"/>
  <c r="AW505" i="11" s="1"/>
  <c r="AI505" i="11"/>
  <c r="AJ505" i="11" s="1"/>
  <c r="AV503" i="11"/>
  <c r="AT503" i="11"/>
  <c r="AW503" i="11" s="1"/>
  <c r="AI503" i="11"/>
  <c r="AJ503" i="11" s="1"/>
  <c r="AV502" i="11"/>
  <c r="AT502" i="11"/>
  <c r="AW502" i="11" s="1"/>
  <c r="AH502" i="11"/>
  <c r="AI502" i="11" s="1"/>
  <c r="AJ502" i="11" s="1"/>
  <c r="AV500" i="11"/>
  <c r="AT500" i="11"/>
  <c r="AW500" i="11" s="1"/>
  <c r="AI500" i="11"/>
  <c r="AJ500" i="11" s="1"/>
  <c r="AX500" i="11" s="1"/>
  <c r="AV498" i="11"/>
  <c r="AT498" i="11"/>
  <c r="AW498" i="11" s="1"/>
  <c r="AI498" i="11"/>
  <c r="AJ498" i="11" s="1"/>
  <c r="AV496" i="11"/>
  <c r="AT496" i="11"/>
  <c r="AW496" i="11" s="1"/>
  <c r="AL496" i="11"/>
  <c r="AI496" i="11"/>
  <c r="AJ496" i="11" s="1"/>
  <c r="AV494" i="11"/>
  <c r="AT494" i="11"/>
  <c r="AW494" i="11" s="1"/>
  <c r="AL494" i="11"/>
  <c r="AI494" i="11"/>
  <c r="AJ494" i="11" s="1"/>
  <c r="AV493" i="11"/>
  <c r="AT493" i="11"/>
  <c r="AW493" i="11" s="1"/>
  <c r="AI493" i="11"/>
  <c r="AJ493" i="11" s="1"/>
  <c r="AX493" i="11" s="1"/>
  <c r="AX492" i="11"/>
  <c r="AV492" i="11"/>
  <c r="AU492" i="11"/>
  <c r="AT492" i="11"/>
  <c r="AW492" i="11" s="1"/>
  <c r="AV490" i="11"/>
  <c r="AT490" i="11"/>
  <c r="AW490" i="11" s="1"/>
  <c r="AH490" i="11"/>
  <c r="AI490" i="11" s="1"/>
  <c r="AJ490" i="11" s="1"/>
  <c r="AX489" i="11"/>
  <c r="AV489" i="11"/>
  <c r="AU489" i="11"/>
  <c r="AT489" i="11"/>
  <c r="AW489" i="11" s="1"/>
  <c r="AV487" i="11"/>
  <c r="AT487" i="11"/>
  <c r="AW487" i="11" s="1"/>
  <c r="AI487" i="11"/>
  <c r="AJ487" i="11" s="1"/>
  <c r="AU487" i="11" s="1"/>
  <c r="AV486" i="11"/>
  <c r="AT486" i="11"/>
  <c r="AW486" i="11" s="1"/>
  <c r="AI486" i="11"/>
  <c r="AJ486" i="11" s="1"/>
  <c r="AX486" i="11" s="1"/>
  <c r="AX485" i="11"/>
  <c r="AV485" i="11"/>
  <c r="AU485" i="11"/>
  <c r="AT485" i="11"/>
  <c r="AW485" i="11" s="1"/>
  <c r="AX483" i="11"/>
  <c r="AV483" i="11"/>
  <c r="AU483" i="11"/>
  <c r="AT483" i="11"/>
  <c r="AW483" i="11" s="1"/>
  <c r="AL483" i="11"/>
  <c r="AX482" i="11"/>
  <c r="AV482" i="11"/>
  <c r="AU482" i="11"/>
  <c r="AT482" i="11"/>
  <c r="AW482" i="11" s="1"/>
  <c r="AL482" i="11"/>
  <c r="AV480" i="11"/>
  <c r="AT480" i="11"/>
  <c r="AW480" i="11" s="1"/>
  <c r="AI480" i="11"/>
  <c r="AJ480" i="11" s="1"/>
  <c r="AU480" i="11" s="1"/>
  <c r="AV479" i="11"/>
  <c r="AT479" i="11"/>
  <c r="AW479" i="11" s="1"/>
  <c r="AI479" i="11"/>
  <c r="AJ479" i="11" s="1"/>
  <c r="AU479" i="11" s="1"/>
  <c r="AV477" i="11"/>
  <c r="AT477" i="11"/>
  <c r="AW477" i="11" s="1"/>
  <c r="AI477" i="11"/>
  <c r="AJ477" i="11" s="1"/>
  <c r="AU477" i="11" s="1"/>
  <c r="AV475" i="11"/>
  <c r="AT475" i="11"/>
  <c r="AW475" i="11" s="1"/>
  <c r="AI475" i="11"/>
  <c r="AJ475" i="11" s="1"/>
  <c r="AU475" i="11" s="1"/>
  <c r="AV474" i="11"/>
  <c r="AT474" i="11"/>
  <c r="AW474" i="11" s="1"/>
  <c r="AI474" i="11"/>
  <c r="AJ474" i="11" s="1"/>
  <c r="AU474" i="11" s="1"/>
  <c r="AX472" i="11"/>
  <c r="AV472" i="11"/>
  <c r="AU472" i="11"/>
  <c r="AT472" i="11"/>
  <c r="AW472" i="11" s="1"/>
  <c r="AX470" i="11"/>
  <c r="AV470" i="11"/>
  <c r="AU470" i="11"/>
  <c r="AT470" i="11"/>
  <c r="AW470" i="11" s="1"/>
  <c r="AV468" i="11"/>
  <c r="AT468" i="11"/>
  <c r="AW468" i="11" s="1"/>
  <c r="AI468" i="11"/>
  <c r="AJ468" i="11" s="1"/>
  <c r="AV464" i="11"/>
  <c r="AT464" i="11"/>
  <c r="AW464" i="11" s="1"/>
  <c r="AI464" i="11"/>
  <c r="AJ464" i="11" s="1"/>
  <c r="AV462" i="11"/>
  <c r="AT462" i="11"/>
  <c r="AW462" i="11" s="1"/>
  <c r="AH462" i="11"/>
  <c r="AI462" i="11" s="1"/>
  <c r="AJ462" i="11" s="1"/>
  <c r="AV461" i="11"/>
  <c r="AT461" i="11"/>
  <c r="AW461" i="11" s="1"/>
  <c r="AI461" i="11"/>
  <c r="AJ461" i="11" s="1"/>
  <c r="AU461" i="11" s="1"/>
  <c r="AV460" i="11"/>
  <c r="AT460" i="11"/>
  <c r="AW460" i="11" s="1"/>
  <c r="AI460" i="11"/>
  <c r="AJ460" i="11" s="1"/>
  <c r="AV459" i="11"/>
  <c r="AT459" i="11"/>
  <c r="AW459" i="11" s="1"/>
  <c r="AI459" i="11"/>
  <c r="AJ459" i="11" s="1"/>
  <c r="AV457" i="11"/>
  <c r="AT457" i="11"/>
  <c r="AW457" i="11" s="1"/>
  <c r="AL457" i="11"/>
  <c r="AI457" i="11"/>
  <c r="AJ457" i="11" s="1"/>
  <c r="AV453" i="11"/>
  <c r="AT453" i="11"/>
  <c r="AW453" i="11" s="1"/>
  <c r="AL453" i="11"/>
  <c r="AI453" i="11"/>
  <c r="AJ453" i="11" s="1"/>
  <c r="AV449" i="11"/>
  <c r="AT449" i="11"/>
  <c r="AW449" i="11" s="1"/>
  <c r="AI449" i="11"/>
  <c r="AJ449" i="11" s="1"/>
  <c r="AV448" i="11"/>
  <c r="AT448" i="11"/>
  <c r="AW448" i="11" s="1"/>
  <c r="AI448" i="11"/>
  <c r="AJ448" i="11" s="1"/>
  <c r="AV447" i="11"/>
  <c r="AT447" i="11"/>
  <c r="AW447" i="11" s="1"/>
  <c r="AI447" i="11"/>
  <c r="AJ447" i="11" s="1"/>
  <c r="AU447" i="11" s="1"/>
  <c r="AV446" i="11"/>
  <c r="AT446" i="11"/>
  <c r="AW446" i="11" s="1"/>
  <c r="AI446" i="11"/>
  <c r="AJ446" i="11" s="1"/>
  <c r="AU446" i="11" s="1"/>
  <c r="AV445" i="11"/>
  <c r="AT445" i="11"/>
  <c r="AW445" i="11" s="1"/>
  <c r="AI445" i="11"/>
  <c r="AJ445" i="11" s="1"/>
  <c r="AU445" i="11" s="1"/>
  <c r="AV444" i="11"/>
  <c r="AT444" i="11"/>
  <c r="AW444" i="11" s="1"/>
  <c r="AI444" i="11"/>
  <c r="AJ444" i="11" s="1"/>
  <c r="AV443" i="11"/>
  <c r="AT443" i="11"/>
  <c r="AW443" i="11" s="1"/>
  <c r="AI443" i="11"/>
  <c r="AJ443" i="11" s="1"/>
  <c r="AU443" i="11" s="1"/>
  <c r="AV442" i="11"/>
  <c r="AT442" i="11"/>
  <c r="AW442" i="11" s="1"/>
  <c r="AI442" i="11"/>
  <c r="AJ442" i="11" s="1"/>
  <c r="AU442" i="11" s="1"/>
  <c r="AV440" i="11"/>
  <c r="AT440" i="11"/>
  <c r="AW440" i="11" s="1"/>
  <c r="AI440" i="11"/>
  <c r="AJ440" i="11" s="1"/>
  <c r="AU440" i="11" s="1"/>
  <c r="AV439" i="11"/>
  <c r="AT439" i="11"/>
  <c r="AW439" i="11" s="1"/>
  <c r="AI439" i="11"/>
  <c r="AJ439" i="11" s="1"/>
  <c r="AV438" i="11"/>
  <c r="AT438" i="11"/>
  <c r="AW438" i="11" s="1"/>
  <c r="AI438" i="11"/>
  <c r="AJ438" i="11" s="1"/>
  <c r="AU438" i="11" s="1"/>
  <c r="AV436" i="11"/>
  <c r="AT436" i="11"/>
  <c r="AW436" i="11" s="1"/>
  <c r="AL436" i="11"/>
  <c r="AI436" i="11"/>
  <c r="AJ436" i="11" s="1"/>
  <c r="AU436" i="11" s="1"/>
  <c r="AV431" i="11"/>
  <c r="AT431" i="11"/>
  <c r="AW431" i="11" s="1"/>
  <c r="AH431" i="11"/>
  <c r="AV429" i="11"/>
  <c r="AT429" i="11"/>
  <c r="AW429" i="11" s="1"/>
  <c r="AI429" i="11"/>
  <c r="AJ429" i="11" s="1"/>
  <c r="AV423" i="11"/>
  <c r="AT423" i="11"/>
  <c r="AW423" i="11" s="1"/>
  <c r="AI423" i="11"/>
  <c r="AJ423" i="11" s="1"/>
  <c r="AU423" i="11" s="1"/>
  <c r="AV425" i="11"/>
  <c r="AT425" i="11"/>
  <c r="AW425" i="11" s="1"/>
  <c r="AI425" i="11"/>
  <c r="AJ425" i="11" s="1"/>
  <c r="AU425" i="11" s="1"/>
  <c r="AV426" i="11"/>
  <c r="AT426" i="11"/>
  <c r="AW426" i="11" s="1"/>
  <c r="AI426" i="11"/>
  <c r="AJ426" i="11" s="1"/>
  <c r="AU426" i="11" s="1"/>
  <c r="AV424" i="11"/>
  <c r="AT424" i="11"/>
  <c r="AW424" i="11" s="1"/>
  <c r="AI424" i="11"/>
  <c r="AJ424" i="11" s="1"/>
  <c r="AV421" i="11"/>
  <c r="AT421" i="11"/>
  <c r="AW421" i="11" s="1"/>
  <c r="AI421" i="11"/>
  <c r="AJ421" i="11" s="1"/>
  <c r="AV420" i="11"/>
  <c r="AT420" i="11"/>
  <c r="AW420" i="11" s="1"/>
  <c r="AI420" i="11"/>
  <c r="AJ420" i="11" s="1"/>
  <c r="AX420" i="11" s="1"/>
  <c r="AV419" i="11"/>
  <c r="AT419" i="11"/>
  <c r="AW419" i="11" s="1"/>
  <c r="AI419" i="11"/>
  <c r="AJ419" i="11" s="1"/>
  <c r="AV418" i="11"/>
  <c r="AT418" i="11"/>
  <c r="AW418" i="11" s="1"/>
  <c r="AI418" i="11"/>
  <c r="AJ418" i="11" s="1"/>
  <c r="AV417" i="11"/>
  <c r="AT417" i="11"/>
  <c r="AW417" i="11" s="1"/>
  <c r="AI417" i="11"/>
  <c r="AJ417" i="11" s="1"/>
  <c r="AV416" i="11"/>
  <c r="AT416" i="11"/>
  <c r="AW416" i="11" s="1"/>
  <c r="AI416" i="11"/>
  <c r="AJ416" i="11" s="1"/>
  <c r="AV415" i="11"/>
  <c r="AT415" i="11"/>
  <c r="AW415" i="11" s="1"/>
  <c r="AI415" i="11"/>
  <c r="AJ415" i="11" s="1"/>
  <c r="AU415" i="11" s="1"/>
  <c r="AV410" i="11"/>
  <c r="AT410" i="11"/>
  <c r="AW410" i="11" s="1"/>
  <c r="AI410" i="11"/>
  <c r="AJ410" i="11" s="1"/>
  <c r="AU410" i="11" s="1"/>
  <c r="AV409" i="11"/>
  <c r="AT409" i="11"/>
  <c r="AW409" i="11" s="1"/>
  <c r="AG409" i="11"/>
  <c r="AX405" i="11"/>
  <c r="AV405" i="11"/>
  <c r="AU405" i="11"/>
  <c r="AT405" i="11"/>
  <c r="AW405" i="11" s="1"/>
  <c r="AX397" i="11"/>
  <c r="AV397" i="11"/>
  <c r="AU397" i="11"/>
  <c r="AT397" i="11"/>
  <c r="AW397" i="11" s="1"/>
  <c r="AL397" i="11"/>
  <c r="AX395" i="11"/>
  <c r="AV395" i="11"/>
  <c r="AU395" i="11"/>
  <c r="AT395" i="11"/>
  <c r="AW395" i="11" s="1"/>
  <c r="AX390" i="11"/>
  <c r="AV390" i="11"/>
  <c r="AU390" i="11"/>
  <c r="AT390" i="11"/>
  <c r="AW390" i="11" s="1"/>
  <c r="AX388" i="11"/>
  <c r="AV388" i="11"/>
  <c r="AU388" i="11"/>
  <c r="AT388" i="11"/>
  <c r="AW388" i="11" s="1"/>
  <c r="AX386" i="11"/>
  <c r="AV386" i="11"/>
  <c r="AU386" i="11"/>
  <c r="AT386" i="11"/>
  <c r="AW386" i="11" s="1"/>
  <c r="AX384" i="11"/>
  <c r="AV384" i="11"/>
  <c r="AU384" i="11"/>
  <c r="AT384" i="11"/>
  <c r="AW384" i="11" s="1"/>
  <c r="AX381" i="11"/>
  <c r="AV381" i="11"/>
  <c r="AU381" i="11"/>
  <c r="AT381" i="11"/>
  <c r="AW381" i="11" s="1"/>
  <c r="AX379" i="11"/>
  <c r="AV379" i="11"/>
  <c r="AU379" i="11"/>
  <c r="AT379" i="11"/>
  <c r="AW379" i="11" s="1"/>
  <c r="AX377" i="11"/>
  <c r="AV377" i="11"/>
  <c r="AU377" i="11"/>
  <c r="AT377" i="11"/>
  <c r="AW377" i="11" s="1"/>
  <c r="AX375" i="11"/>
  <c r="AV375" i="11"/>
  <c r="AU375" i="11"/>
  <c r="AT375" i="11"/>
  <c r="AW375" i="11" s="1"/>
  <c r="AX371" i="11"/>
  <c r="AV371" i="11"/>
  <c r="AU371" i="11"/>
  <c r="AT371" i="11"/>
  <c r="AW371" i="11" s="1"/>
  <c r="AX369" i="11"/>
  <c r="AV369" i="11"/>
  <c r="AU369" i="11"/>
  <c r="AT369" i="11"/>
  <c r="AW369" i="11" s="1"/>
  <c r="AX365" i="11"/>
  <c r="AV365" i="11"/>
  <c r="AU365" i="11"/>
  <c r="AT365" i="11"/>
  <c r="AW365" i="11" s="1"/>
  <c r="AX363" i="11"/>
  <c r="AV363" i="11"/>
  <c r="AU363" i="11"/>
  <c r="AT363" i="11"/>
  <c r="AW363" i="11" s="1"/>
  <c r="AX361" i="11"/>
  <c r="AV361" i="11"/>
  <c r="AU361" i="11"/>
  <c r="AT361" i="11"/>
  <c r="AW361" i="11" s="1"/>
  <c r="AX359" i="11"/>
  <c r="AV359" i="11"/>
  <c r="AU359" i="11"/>
  <c r="AT359" i="11"/>
  <c r="AW359" i="11" s="1"/>
  <c r="AX352" i="11"/>
  <c r="AV352" i="11"/>
  <c r="AU352" i="11"/>
  <c r="AT352" i="11"/>
  <c r="AW352" i="11" s="1"/>
  <c r="AX350" i="11"/>
  <c r="AV350" i="11"/>
  <c r="AU350" i="11"/>
  <c r="AT350" i="11"/>
  <c r="AW350" i="11" s="1"/>
  <c r="AX346" i="11"/>
  <c r="AV346" i="11"/>
  <c r="AU346" i="11"/>
  <c r="AT346" i="11"/>
  <c r="AW346" i="11" s="1"/>
  <c r="AX344" i="11"/>
  <c r="AV344" i="11"/>
  <c r="AU344" i="11"/>
  <c r="AT344" i="11"/>
  <c r="AW344" i="11" s="1"/>
  <c r="AX342" i="11"/>
  <c r="AV342" i="11"/>
  <c r="AU342" i="11"/>
  <c r="AT342" i="11"/>
  <c r="AW342" i="11" s="1"/>
  <c r="AX340" i="11"/>
  <c r="AV340" i="11"/>
  <c r="AU340" i="11"/>
  <c r="AT340" i="11"/>
  <c r="AW340" i="11" s="1"/>
  <c r="AX337" i="11"/>
  <c r="AV337" i="11"/>
  <c r="AU337" i="11"/>
  <c r="AT337" i="11"/>
  <c r="AW337" i="11" s="1"/>
  <c r="AX335" i="11"/>
  <c r="AV335" i="11"/>
  <c r="AU335" i="11"/>
  <c r="AT335" i="11"/>
  <c r="AW335" i="11" s="1"/>
  <c r="AX333" i="11"/>
  <c r="AV333" i="11"/>
  <c r="AU333" i="11"/>
  <c r="AT333" i="11"/>
  <c r="AW333" i="11" s="1"/>
  <c r="AX331" i="11"/>
  <c r="AV331" i="11"/>
  <c r="AU331" i="11"/>
  <c r="AT331" i="11"/>
  <c r="AW331" i="11" s="1"/>
  <c r="AV328" i="11"/>
  <c r="AT328" i="11"/>
  <c r="AW328" i="11" s="1"/>
  <c r="AL328" i="11"/>
  <c r="AI328" i="11"/>
  <c r="AJ328" i="11" s="1"/>
  <c r="AX328" i="11" s="1"/>
  <c r="AV326" i="11"/>
  <c r="AT326" i="11"/>
  <c r="AW326" i="11" s="1"/>
  <c r="AI326" i="11"/>
  <c r="AJ326" i="11" s="1"/>
  <c r="AV323" i="11"/>
  <c r="AT323" i="11"/>
  <c r="AW323" i="11" s="1"/>
  <c r="AI323" i="11"/>
  <c r="AJ323" i="11" s="1"/>
  <c r="AV321" i="11"/>
  <c r="AT321" i="11"/>
  <c r="AW321" i="11" s="1"/>
  <c r="AI321" i="11"/>
  <c r="AJ321" i="11" s="1"/>
  <c r="AV319" i="11"/>
  <c r="AT319" i="11"/>
  <c r="AW319" i="11" s="1"/>
  <c r="AI319" i="11"/>
  <c r="AJ319" i="11" s="1"/>
  <c r="AX319" i="11" s="1"/>
  <c r="AV317" i="11"/>
  <c r="AT317" i="11"/>
  <c r="AW317" i="11" s="1"/>
  <c r="AI317" i="11"/>
  <c r="AJ317" i="11" s="1"/>
  <c r="AV315" i="11"/>
  <c r="AT315" i="11"/>
  <c r="AW315" i="11" s="1"/>
  <c r="AI315" i="11"/>
  <c r="AJ315" i="11" s="1"/>
  <c r="AV313" i="11"/>
  <c r="AT313" i="11"/>
  <c r="AW313" i="11" s="1"/>
  <c r="AI313" i="11"/>
  <c r="AJ313" i="11" s="1"/>
  <c r="AV312" i="11"/>
  <c r="AT312" i="11"/>
  <c r="AW312" i="11" s="1"/>
  <c r="AI312" i="11"/>
  <c r="AJ312" i="11" s="1"/>
  <c r="AX312" i="11" s="1"/>
  <c r="AV311" i="11"/>
  <c r="AT311" i="11"/>
  <c r="AW311" i="11" s="1"/>
  <c r="AI311" i="11"/>
  <c r="AJ311" i="11" s="1"/>
  <c r="AX302" i="11"/>
  <c r="AV302" i="11"/>
  <c r="AU302" i="11"/>
  <c r="AT302" i="11"/>
  <c r="AW302" i="11" s="1"/>
  <c r="AX300" i="11"/>
  <c r="AV300" i="11"/>
  <c r="AU300" i="11"/>
  <c r="AT300" i="11"/>
  <c r="AW300" i="11" s="1"/>
  <c r="AX298" i="11"/>
  <c r="AV298" i="11"/>
  <c r="AU298" i="11"/>
  <c r="AT298" i="11"/>
  <c r="AW298" i="11" s="1"/>
  <c r="AX296" i="11"/>
  <c r="AV296" i="11"/>
  <c r="AU296" i="11"/>
  <c r="AT296" i="11"/>
  <c r="AW296" i="11" s="1"/>
  <c r="AX292" i="11"/>
  <c r="AV292" i="11"/>
  <c r="AU292" i="11"/>
  <c r="AT292" i="11"/>
  <c r="AW292" i="11" s="1"/>
  <c r="AT291" i="11"/>
  <c r="AX290" i="11"/>
  <c r="AV290" i="11"/>
  <c r="AU290" i="11"/>
  <c r="AT290" i="11"/>
  <c r="AW290" i="11" s="1"/>
  <c r="AT289" i="11"/>
  <c r="AX288" i="11"/>
  <c r="AV288" i="11"/>
  <c r="AU288" i="11"/>
  <c r="AT288" i="11"/>
  <c r="AW288" i="11" s="1"/>
  <c r="AT287" i="11"/>
  <c r="AX286" i="11"/>
  <c r="AV286" i="11"/>
  <c r="AU286" i="11"/>
  <c r="AT286" i="11"/>
  <c r="AW286" i="11" s="1"/>
  <c r="AT285" i="11"/>
  <c r="AX284" i="11"/>
  <c r="AV284" i="11"/>
  <c r="AU284" i="11"/>
  <c r="AT284" i="11"/>
  <c r="AW284" i="11" s="1"/>
  <c r="AT283" i="11"/>
  <c r="AX282" i="11"/>
  <c r="AV282" i="11"/>
  <c r="AU282" i="11"/>
  <c r="AT282" i="11"/>
  <c r="AW282" i="11" s="1"/>
  <c r="AX280" i="11"/>
  <c r="AV280" i="11"/>
  <c r="AU280" i="11"/>
  <c r="AT280" i="11"/>
  <c r="AW280" i="11" s="1"/>
  <c r="AX278" i="11"/>
  <c r="AV278" i="11"/>
  <c r="AU278" i="11"/>
  <c r="AT278" i="11"/>
  <c r="AW278" i="11" s="1"/>
  <c r="AX276" i="11"/>
  <c r="AV276" i="11"/>
  <c r="AU276" i="11"/>
  <c r="AT276" i="11"/>
  <c r="AW276" i="11" s="1"/>
  <c r="AX273" i="11"/>
  <c r="AV273" i="11"/>
  <c r="AU273" i="11"/>
  <c r="AT273" i="11"/>
  <c r="AW273" i="11" s="1"/>
  <c r="AX271" i="11"/>
  <c r="AV271" i="11"/>
  <c r="AU271" i="11"/>
  <c r="AT271" i="11"/>
  <c r="AW271" i="11" s="1"/>
  <c r="AX268" i="11"/>
  <c r="AV268" i="11"/>
  <c r="AU268" i="11"/>
  <c r="AT268" i="11"/>
  <c r="AW268" i="11" s="1"/>
  <c r="AV266" i="11"/>
  <c r="AT266" i="11"/>
  <c r="AW266" i="11" s="1"/>
  <c r="AI266" i="11"/>
  <c r="AJ266" i="11" s="1"/>
  <c r="AV263" i="11"/>
  <c r="AT263" i="11"/>
  <c r="AW263" i="11" s="1"/>
  <c r="AI263" i="11"/>
  <c r="AJ263" i="11" s="1"/>
  <c r="AV262" i="11"/>
  <c r="AT262" i="11"/>
  <c r="AW262" i="11" s="1"/>
  <c r="AI262" i="11"/>
  <c r="AS251" i="11"/>
  <c r="AR251" i="11"/>
  <c r="AQ251" i="11"/>
  <c r="AP251" i="11"/>
  <c r="AO251" i="11"/>
  <c r="AN251" i="11"/>
  <c r="AM251" i="11"/>
  <c r="AK251" i="11"/>
  <c r="AF251" i="11"/>
  <c r="AE251" i="11"/>
  <c r="AD251" i="11"/>
  <c r="AV250" i="11"/>
  <c r="AT250" i="11"/>
  <c r="AW250" i="11" s="1"/>
  <c r="AI250" i="11"/>
  <c r="AJ250" i="11" s="1"/>
  <c r="AV246" i="11"/>
  <c r="AT246" i="11"/>
  <c r="AW246" i="11" s="1"/>
  <c r="AI246" i="11"/>
  <c r="AJ246" i="11" s="1"/>
  <c r="AU246" i="11" s="1"/>
  <c r="AV243" i="11"/>
  <c r="AT243" i="11"/>
  <c r="AW243" i="11" s="1"/>
  <c r="AI243" i="11"/>
  <c r="AJ243" i="11" s="1"/>
  <c r="AU243" i="11" s="1"/>
  <c r="AV240" i="11"/>
  <c r="AT240" i="11"/>
  <c r="AW240" i="11" s="1"/>
  <c r="AI240" i="11"/>
  <c r="AJ240" i="11" s="1"/>
  <c r="AV238" i="11"/>
  <c r="AT238" i="11"/>
  <c r="AW238" i="11" s="1"/>
  <c r="AI238" i="11"/>
  <c r="AJ238" i="11" s="1"/>
  <c r="AV237" i="11"/>
  <c r="AT237" i="11"/>
  <c r="AW237" i="11" s="1"/>
  <c r="AI237" i="11"/>
  <c r="AJ237" i="11" s="1"/>
  <c r="AV235" i="11"/>
  <c r="AT235" i="11"/>
  <c r="AW235" i="11" s="1"/>
  <c r="AH235" i="11"/>
  <c r="AI235" i="11" s="1"/>
  <c r="AJ235" i="11" s="1"/>
  <c r="AU235" i="11" s="1"/>
  <c r="AV233" i="11"/>
  <c r="AT233" i="11"/>
  <c r="AW233" i="11" s="1"/>
  <c r="AI233" i="11"/>
  <c r="AJ233" i="11" s="1"/>
  <c r="AU233" i="11" s="1"/>
  <c r="AV231" i="11"/>
  <c r="AT231" i="11"/>
  <c r="AW231" i="11" s="1"/>
  <c r="AI231" i="11"/>
  <c r="AJ231" i="11" s="1"/>
  <c r="AU231" i="11" s="1"/>
  <c r="AV229" i="11"/>
  <c r="AT229" i="11"/>
  <c r="AW229" i="11" s="1"/>
  <c r="AL229" i="11"/>
  <c r="AI229" i="11"/>
  <c r="AJ229" i="11" s="1"/>
  <c r="AX229" i="11" s="1"/>
  <c r="AV227" i="11"/>
  <c r="AT227" i="11"/>
  <c r="AW227" i="11" s="1"/>
  <c r="AI227" i="11"/>
  <c r="AJ227" i="11" s="1"/>
  <c r="AX227" i="11" s="1"/>
  <c r="AV224" i="11"/>
  <c r="AT224" i="11"/>
  <c r="AW224" i="11" s="1"/>
  <c r="AI224" i="11"/>
  <c r="AJ224" i="11" s="1"/>
  <c r="AV223" i="11"/>
  <c r="AU223" i="11"/>
  <c r="AT223" i="11"/>
  <c r="AW223" i="11" s="1"/>
  <c r="AV222" i="11"/>
  <c r="AT222" i="11"/>
  <c r="AW222" i="11" s="1"/>
  <c r="AI222" i="11"/>
  <c r="AJ222" i="11" s="1"/>
  <c r="AU222" i="11" s="1"/>
  <c r="AV221" i="11"/>
  <c r="AT221" i="11"/>
  <c r="AW221" i="11" s="1"/>
  <c r="AU221" i="11"/>
  <c r="AV219" i="11"/>
  <c r="AT219" i="11"/>
  <c r="AW219" i="11" s="1"/>
  <c r="AI219" i="11"/>
  <c r="AJ219" i="11" s="1"/>
  <c r="AV212" i="11"/>
  <c r="AT212" i="11"/>
  <c r="AW212" i="11" s="1"/>
  <c r="AG212" i="11"/>
  <c r="AI212" i="11" s="1"/>
  <c r="AJ212" i="11" s="1"/>
  <c r="AV207" i="11"/>
  <c r="AT207" i="11"/>
  <c r="AW207" i="11" s="1"/>
  <c r="AL207" i="11"/>
  <c r="AI207" i="11"/>
  <c r="AJ207" i="11" s="1"/>
  <c r="AX207" i="11" s="1"/>
  <c r="AV205" i="11"/>
  <c r="AT205" i="11"/>
  <c r="AW205" i="11" s="1"/>
  <c r="AI205" i="11"/>
  <c r="AJ205" i="11" s="1"/>
  <c r="AU205" i="11" s="1"/>
  <c r="AV204" i="11"/>
  <c r="AT204" i="11"/>
  <c r="AW204" i="11" s="1"/>
  <c r="AL204" i="11"/>
  <c r="AV202" i="11"/>
  <c r="AT202" i="11"/>
  <c r="AW202" i="11" s="1"/>
  <c r="AI202" i="11"/>
  <c r="AJ202" i="11" s="1"/>
  <c r="AX202" i="11" s="1"/>
  <c r="AV200" i="11"/>
  <c r="AT200" i="11"/>
  <c r="AW200" i="11" s="1"/>
  <c r="AL200" i="11"/>
  <c r="AI200" i="11"/>
  <c r="AJ200" i="11" s="1"/>
  <c r="AX200" i="11" s="1"/>
  <c r="AX189" i="11"/>
  <c r="AV189" i="11"/>
  <c r="AU189" i="11"/>
  <c r="AT189" i="11"/>
  <c r="AW189" i="11" s="1"/>
  <c r="AL189" i="11"/>
  <c r="AL188" i="11" s="1"/>
  <c r="AS188" i="11"/>
  <c r="AR188" i="11"/>
  <c r="AQ188" i="11"/>
  <c r="AP188" i="11"/>
  <c r="AO188" i="11"/>
  <c r="AN188" i="11"/>
  <c r="AM188" i="11"/>
  <c r="AK188" i="11"/>
  <c r="AJ188" i="11"/>
  <c r="AI188" i="11"/>
  <c r="AH188" i="11"/>
  <c r="AG188" i="11"/>
  <c r="AF188" i="11"/>
  <c r="AE188" i="11"/>
  <c r="AD188" i="11"/>
  <c r="AV187" i="11"/>
  <c r="AT187" i="11"/>
  <c r="AW187" i="11" s="1"/>
  <c r="AL187" i="11"/>
  <c r="AI187" i="11"/>
  <c r="AV186" i="11"/>
  <c r="AT186" i="11"/>
  <c r="AW186" i="11" s="1"/>
  <c r="AL186" i="11"/>
  <c r="AI186" i="11"/>
  <c r="AJ186" i="11" s="1"/>
  <c r="AU186" i="11" s="1"/>
  <c r="AX185" i="11"/>
  <c r="AV185" i="11"/>
  <c r="AU185" i="11"/>
  <c r="AT185" i="11"/>
  <c r="AW185" i="11" s="1"/>
  <c r="AX184" i="11"/>
  <c r="AV184" i="11"/>
  <c r="AU184" i="11"/>
  <c r="AT184" i="11"/>
  <c r="AW184" i="11" s="1"/>
  <c r="AX183" i="11"/>
  <c r="AV183" i="11"/>
  <c r="AU183" i="11"/>
  <c r="AT183" i="11"/>
  <c r="AW183" i="11" s="1"/>
  <c r="AX182" i="11"/>
  <c r="AV182" i="11"/>
  <c r="AU182" i="11"/>
  <c r="AT182" i="11"/>
  <c r="AW182" i="11" s="1"/>
  <c r="AS181" i="11"/>
  <c r="AR181" i="11"/>
  <c r="AQ181" i="11"/>
  <c r="AP181" i="11"/>
  <c r="AO181" i="11"/>
  <c r="AN181" i="11"/>
  <c r="AM181" i="11"/>
  <c r="AK181" i="11"/>
  <c r="AH181" i="11"/>
  <c r="AG181" i="11"/>
  <c r="AF181" i="11"/>
  <c r="AE181" i="11"/>
  <c r="AD181" i="11"/>
  <c r="AV179" i="11"/>
  <c r="AT179" i="11"/>
  <c r="AW179" i="11" s="1"/>
  <c r="AE179" i="11"/>
  <c r="AI179" i="11" s="1"/>
  <c r="AJ179" i="11" s="1"/>
  <c r="AX178" i="11"/>
  <c r="AV178" i="11"/>
  <c r="AV177" i="11" s="1"/>
  <c r="AV176" i="11" s="1"/>
  <c r="AV175" i="11" s="1"/>
  <c r="AU178" i="11"/>
  <c r="AU177" i="11" s="1"/>
  <c r="AU176" i="11" s="1"/>
  <c r="AU175" i="11" s="1"/>
  <c r="AT178" i="11"/>
  <c r="AS177" i="11"/>
  <c r="AS176" i="11" s="1"/>
  <c r="AS175" i="11" s="1"/>
  <c r="AR177" i="11"/>
  <c r="AR176" i="11" s="1"/>
  <c r="AR175" i="11" s="1"/>
  <c r="AQ177" i="11"/>
  <c r="AQ176" i="11" s="1"/>
  <c r="AQ175" i="11" s="1"/>
  <c r="AP177" i="11"/>
  <c r="AP176" i="11" s="1"/>
  <c r="AO177" i="11"/>
  <c r="AO176" i="11" s="1"/>
  <c r="AO175" i="11" s="1"/>
  <c r="AN177" i="11"/>
  <c r="AN176" i="11" s="1"/>
  <c r="AN175" i="11" s="1"/>
  <c r="AM177" i="11"/>
  <c r="AM176" i="11" s="1"/>
  <c r="AM175" i="11" s="1"/>
  <c r="AL177" i="11"/>
  <c r="AL176" i="11" s="1"/>
  <c r="AL175" i="11" s="1"/>
  <c r="AK177" i="11"/>
  <c r="AK176" i="11" s="1"/>
  <c r="AK175" i="11" s="1"/>
  <c r="AJ177" i="11"/>
  <c r="AJ176" i="11" s="1"/>
  <c r="AJ175" i="11" s="1"/>
  <c r="AD177" i="11"/>
  <c r="AD176" i="11" s="1"/>
  <c r="AD175" i="11" s="1"/>
  <c r="AV174" i="11"/>
  <c r="AT174" i="11"/>
  <c r="AW174" i="11" s="1"/>
  <c r="AL173" i="11"/>
  <c r="AL172" i="11" s="1"/>
  <c r="AL171" i="11" s="1"/>
  <c r="AL170" i="11" s="1"/>
  <c r="AI174" i="11"/>
  <c r="AI173" i="11" s="1"/>
  <c r="AI172" i="11" s="1"/>
  <c r="AI171" i="11" s="1"/>
  <c r="AI170" i="11" s="1"/>
  <c r="AS173" i="11"/>
  <c r="AS172" i="11" s="1"/>
  <c r="AS171" i="11" s="1"/>
  <c r="AS170" i="11" s="1"/>
  <c r="AR173" i="11"/>
  <c r="AR172" i="11" s="1"/>
  <c r="AR171" i="11" s="1"/>
  <c r="AR170" i="11" s="1"/>
  <c r="AQ173" i="11"/>
  <c r="AP173" i="11"/>
  <c r="AP172" i="11" s="1"/>
  <c r="AO173" i="11"/>
  <c r="AO172" i="11" s="1"/>
  <c r="AO171" i="11" s="1"/>
  <c r="AO170" i="11" s="1"/>
  <c r="AN173" i="11"/>
  <c r="AN172" i="11" s="1"/>
  <c r="AN171" i="11" s="1"/>
  <c r="AN170" i="11" s="1"/>
  <c r="AM173" i="11"/>
  <c r="AM172" i="11" s="1"/>
  <c r="AM171" i="11" s="1"/>
  <c r="AK173" i="11"/>
  <c r="AK172" i="11" s="1"/>
  <c r="AK171" i="11" s="1"/>
  <c r="AK170" i="11" s="1"/>
  <c r="AH173" i="11"/>
  <c r="AH172" i="11" s="1"/>
  <c r="AH171" i="11" s="1"/>
  <c r="AH170" i="11" s="1"/>
  <c r="AG173" i="11"/>
  <c r="AG172" i="11" s="1"/>
  <c r="AG171" i="11" s="1"/>
  <c r="AG170" i="11" s="1"/>
  <c r="AF173" i="11"/>
  <c r="AF172" i="11" s="1"/>
  <c r="AF171" i="11" s="1"/>
  <c r="AF170" i="11" s="1"/>
  <c r="AE173" i="11"/>
  <c r="AE172" i="11" s="1"/>
  <c r="AE171" i="11" s="1"/>
  <c r="AE170" i="11" s="1"/>
  <c r="AD173" i="11"/>
  <c r="AD172" i="11" s="1"/>
  <c r="AD171" i="11" s="1"/>
  <c r="AD170" i="11" s="1"/>
  <c r="AV169" i="11"/>
  <c r="AT169" i="11"/>
  <c r="AW169" i="11" s="1"/>
  <c r="AL168" i="11"/>
  <c r="AL167" i="11" s="1"/>
  <c r="AL166" i="11" s="1"/>
  <c r="AL165" i="11" s="1"/>
  <c r="AI169" i="11"/>
  <c r="AJ169" i="11" s="1"/>
  <c r="AS168" i="11"/>
  <c r="AS167" i="11" s="1"/>
  <c r="AS166" i="11" s="1"/>
  <c r="AS165" i="11" s="1"/>
  <c r="AR168" i="11"/>
  <c r="AR167" i="11" s="1"/>
  <c r="AR166" i="11" s="1"/>
  <c r="AR165" i="11" s="1"/>
  <c r="AQ168" i="11"/>
  <c r="AP168" i="11"/>
  <c r="AP167" i="11" s="1"/>
  <c r="AP166" i="11" s="1"/>
  <c r="AP165" i="11" s="1"/>
  <c r="AO168" i="11"/>
  <c r="AO167" i="11" s="1"/>
  <c r="AO166" i="11" s="1"/>
  <c r="AO165" i="11" s="1"/>
  <c r="AN168" i="11"/>
  <c r="AN167" i="11" s="1"/>
  <c r="AN166" i="11" s="1"/>
  <c r="AN165" i="11" s="1"/>
  <c r="AM168" i="11"/>
  <c r="AM167" i="11" s="1"/>
  <c r="AM166" i="11" s="1"/>
  <c r="AK168" i="11"/>
  <c r="AK167" i="11" s="1"/>
  <c r="AK166" i="11" s="1"/>
  <c r="AK165" i="11" s="1"/>
  <c r="AH168" i="11"/>
  <c r="AH167" i="11" s="1"/>
  <c r="AH166" i="11" s="1"/>
  <c r="AH165" i="11" s="1"/>
  <c r="AG168" i="11"/>
  <c r="AG167" i="11" s="1"/>
  <c r="AG166" i="11" s="1"/>
  <c r="AG165" i="11" s="1"/>
  <c r="AF168" i="11"/>
  <c r="AF167" i="11" s="1"/>
  <c r="AF166" i="11" s="1"/>
  <c r="AF165" i="11" s="1"/>
  <c r="AE168" i="11"/>
  <c r="AE167" i="11" s="1"/>
  <c r="AE166" i="11" s="1"/>
  <c r="AE165" i="11" s="1"/>
  <c r="AD168" i="11"/>
  <c r="AD167" i="11" s="1"/>
  <c r="AD166" i="11" s="1"/>
  <c r="AD165" i="11" s="1"/>
  <c r="AX162" i="11"/>
  <c r="AV162" i="11"/>
  <c r="AU162" i="11"/>
  <c r="AT162" i="11"/>
  <c r="AW162" i="11" s="1"/>
  <c r="AL162" i="11"/>
  <c r="AX161" i="11"/>
  <c r="AV161" i="11"/>
  <c r="AU161" i="11"/>
  <c r="AT161" i="11"/>
  <c r="AW161" i="11" s="1"/>
  <c r="AL161" i="11"/>
  <c r="AL160" i="11" s="1"/>
  <c r="AS160" i="11"/>
  <c r="AS159" i="11" s="1"/>
  <c r="AR160" i="11"/>
  <c r="AR159" i="11" s="1"/>
  <c r="AQ160" i="11"/>
  <c r="AP160" i="11"/>
  <c r="AP159" i="11" s="1"/>
  <c r="AO160" i="11"/>
  <c r="AO159" i="11" s="1"/>
  <c r="AN160" i="11"/>
  <c r="AN159" i="11" s="1"/>
  <c r="AM160" i="11"/>
  <c r="AK160" i="11"/>
  <c r="AK159" i="11" s="1"/>
  <c r="AJ160" i="11"/>
  <c r="AI160" i="11"/>
  <c r="AI159" i="11" s="1"/>
  <c r="AH160" i="11"/>
  <c r="AH159" i="11" s="1"/>
  <c r="AG160" i="11"/>
  <c r="AG159" i="11" s="1"/>
  <c r="AF160" i="11"/>
  <c r="AF159" i="11" s="1"/>
  <c r="AE160" i="11"/>
  <c r="AE159" i="11" s="1"/>
  <c r="AD160" i="11"/>
  <c r="AD159" i="11" s="1"/>
  <c r="AV158" i="11"/>
  <c r="AT158" i="11"/>
  <c r="AW158" i="11" s="1"/>
  <c r="AL158" i="11"/>
  <c r="AI158" i="11"/>
  <c r="AJ158" i="11" s="1"/>
  <c r="AX158" i="11" s="1"/>
  <c r="AX157" i="11"/>
  <c r="AV157" i="11"/>
  <c r="AU157" i="11"/>
  <c r="AT157" i="11"/>
  <c r="AW157" i="11" s="1"/>
  <c r="AL157" i="11"/>
  <c r="AX156" i="11"/>
  <c r="AV156" i="11"/>
  <c r="AU156" i="11"/>
  <c r="AT156" i="11"/>
  <c r="AW156" i="11" s="1"/>
  <c r="AL156" i="11"/>
  <c r="AS155" i="11"/>
  <c r="AS154" i="11" s="1"/>
  <c r="AR155" i="11"/>
  <c r="AR154" i="11" s="1"/>
  <c r="AQ155" i="11"/>
  <c r="AP155" i="11"/>
  <c r="AO155" i="11"/>
  <c r="AO154" i="11" s="1"/>
  <c r="AN155" i="11"/>
  <c r="AN154" i="11" s="1"/>
  <c r="AM155" i="11"/>
  <c r="AM154" i="11" s="1"/>
  <c r="AK155" i="11"/>
  <c r="AK154" i="11" s="1"/>
  <c r="AJ155" i="11"/>
  <c r="AI155" i="11"/>
  <c r="AH155" i="11"/>
  <c r="AH154" i="11" s="1"/>
  <c r="AG155" i="11"/>
  <c r="AF155" i="11"/>
  <c r="AF154" i="11" s="1"/>
  <c r="AE155" i="11"/>
  <c r="AE154" i="11" s="1"/>
  <c r="AD155" i="11"/>
  <c r="AD154" i="11" s="1"/>
  <c r="AV153" i="11"/>
  <c r="AT153" i="11"/>
  <c r="AW153" i="11" s="1"/>
  <c r="AG153" i="11"/>
  <c r="AI153" i="11" s="1"/>
  <c r="AJ153" i="11" s="1"/>
  <c r="AU153" i="11" s="1"/>
  <c r="AX152" i="11"/>
  <c r="AV152" i="11"/>
  <c r="AU152" i="11"/>
  <c r="AT152" i="11"/>
  <c r="AW152" i="11" s="1"/>
  <c r="AX151" i="11"/>
  <c r="AV151" i="11"/>
  <c r="AV150" i="11" s="1"/>
  <c r="AU151" i="11"/>
  <c r="AU150" i="11" s="1"/>
  <c r="AT151" i="11"/>
  <c r="AT150" i="11" s="1"/>
  <c r="AL150" i="11"/>
  <c r="AS150" i="11"/>
  <c r="AR150" i="11"/>
  <c r="AQ150" i="11"/>
  <c r="AP150" i="11"/>
  <c r="AO150" i="11"/>
  <c r="AN150" i="11"/>
  <c r="AM150" i="11"/>
  <c r="AK150" i="11"/>
  <c r="AJ150" i="11"/>
  <c r="AI150" i="11"/>
  <c r="AH150" i="11"/>
  <c r="AG150" i="11"/>
  <c r="AF150" i="11"/>
  <c r="AE150" i="11"/>
  <c r="AD150" i="11"/>
  <c r="AV148" i="11"/>
  <c r="AT148" i="11"/>
  <c r="AI148" i="11"/>
  <c r="AJ148" i="11" s="1"/>
  <c r="AU148" i="11" s="1"/>
  <c r="AV147" i="11"/>
  <c r="AT147" i="11"/>
  <c r="AW147" i="11" s="1"/>
  <c r="AI147" i="11"/>
  <c r="AS143" i="11"/>
  <c r="AR143" i="11"/>
  <c r="AQ143" i="11"/>
  <c r="AP143" i="11"/>
  <c r="AO143" i="11"/>
  <c r="AN143" i="11"/>
  <c r="AM143" i="11"/>
  <c r="AK143" i="11"/>
  <c r="AH143" i="11"/>
  <c r="AG143" i="11"/>
  <c r="AF143" i="11"/>
  <c r="AE143" i="11"/>
  <c r="AD143" i="11"/>
  <c r="AX142" i="11"/>
  <c r="AV142" i="11"/>
  <c r="AU142" i="11"/>
  <c r="AT142" i="11"/>
  <c r="AW142" i="11" s="1"/>
  <c r="AX141" i="11"/>
  <c r="AV141" i="11"/>
  <c r="AU141" i="11"/>
  <c r="AT141" i="11"/>
  <c r="AW141" i="11" s="1"/>
  <c r="AL140" i="11"/>
  <c r="AL139" i="11" s="1"/>
  <c r="AS140" i="11"/>
  <c r="AS139" i="11" s="1"/>
  <c r="AR140" i="11"/>
  <c r="AR139" i="11" s="1"/>
  <c r="AQ140" i="11"/>
  <c r="AP140" i="11"/>
  <c r="AO140" i="11"/>
  <c r="AO139" i="11" s="1"/>
  <c r="AN140" i="11"/>
  <c r="AN139" i="11" s="1"/>
  <c r="AM140" i="11"/>
  <c r="AM139" i="11" s="1"/>
  <c r="AK140" i="11"/>
  <c r="AK139" i="11" s="1"/>
  <c r="AJ140" i="11"/>
  <c r="AI140" i="11"/>
  <c r="AI139" i="11" s="1"/>
  <c r="AH140" i="11"/>
  <c r="AH139" i="11" s="1"/>
  <c r="AG140" i="11"/>
  <c r="AG139" i="11" s="1"/>
  <c r="AF140" i="11"/>
  <c r="AF139" i="11" s="1"/>
  <c r="AE140" i="11"/>
  <c r="AE139" i="11" s="1"/>
  <c r="AD140" i="11"/>
  <c r="AD139" i="11" s="1"/>
  <c r="AX138" i="11"/>
  <c r="AV138" i="11"/>
  <c r="AU138" i="11"/>
  <c r="AT138" i="11"/>
  <c r="AW138" i="11" s="1"/>
  <c r="AV137" i="11"/>
  <c r="AT137" i="11"/>
  <c r="AW137" i="11" s="1"/>
  <c r="AI137" i="11"/>
  <c r="AJ137" i="11" s="1"/>
  <c r="AV136" i="11"/>
  <c r="AU136" i="11"/>
  <c r="AT136" i="11"/>
  <c r="AW136" i="11" s="1"/>
  <c r="AV135" i="11"/>
  <c r="AT135" i="11"/>
  <c r="AW135" i="11" s="1"/>
  <c r="AL134" i="11"/>
  <c r="AI135" i="11"/>
  <c r="AJ135" i="11" s="1"/>
  <c r="AS134" i="11"/>
  <c r="AR134" i="11"/>
  <c r="AQ134" i="11"/>
  <c r="AP134" i="11"/>
  <c r="AO134" i="11"/>
  <c r="AN134" i="11"/>
  <c r="AM134" i="11"/>
  <c r="AK134" i="11"/>
  <c r="AH134" i="11"/>
  <c r="AG134" i="11"/>
  <c r="AF134" i="11"/>
  <c r="AE134" i="11"/>
  <c r="AD134" i="11"/>
  <c r="AX133" i="11"/>
  <c r="AV133" i="11"/>
  <c r="AU133" i="11"/>
  <c r="AT133" i="11"/>
  <c r="AW133" i="11" s="1"/>
  <c r="AX132" i="11"/>
  <c r="AV132" i="11"/>
  <c r="AU132" i="11"/>
  <c r="AT132" i="11"/>
  <c r="AW132" i="11" s="1"/>
  <c r="AL131" i="11"/>
  <c r="AS131" i="11"/>
  <c r="AR131" i="11"/>
  <c r="AQ131" i="11"/>
  <c r="AP131" i="11"/>
  <c r="AO131" i="11"/>
  <c r="AN131" i="11"/>
  <c r="AM131" i="11"/>
  <c r="AK131" i="11"/>
  <c r="AJ131" i="11"/>
  <c r="AI131" i="11"/>
  <c r="AH131" i="11"/>
  <c r="AG131" i="11"/>
  <c r="AF131" i="11"/>
  <c r="AE131" i="11"/>
  <c r="AD131" i="11"/>
  <c r="AV130" i="11"/>
  <c r="AT130" i="11"/>
  <c r="AW130" i="11" s="1"/>
  <c r="AI130" i="11"/>
  <c r="AJ130" i="11" s="1"/>
  <c r="AX129" i="11"/>
  <c r="AV129" i="11"/>
  <c r="AU129" i="11"/>
  <c r="AT129" i="11"/>
  <c r="AW129" i="11" s="1"/>
  <c r="AX128" i="11"/>
  <c r="AV128" i="11"/>
  <c r="AU128" i="11"/>
  <c r="AT128" i="11"/>
  <c r="AW128" i="11" s="1"/>
  <c r="AV127" i="11"/>
  <c r="AT127" i="11"/>
  <c r="AW127" i="11" s="1"/>
  <c r="AH127" i="11"/>
  <c r="AS126" i="11"/>
  <c r="AS125" i="11" s="1"/>
  <c r="AR126" i="11"/>
  <c r="AR125" i="11" s="1"/>
  <c r="AQ126" i="11"/>
  <c r="AQ125" i="11" s="1"/>
  <c r="AP126" i="11"/>
  <c r="AP125" i="11" s="1"/>
  <c r="AO126" i="11"/>
  <c r="AO125" i="11" s="1"/>
  <c r="AN126" i="11"/>
  <c r="AN125" i="11" s="1"/>
  <c r="AM126" i="11"/>
  <c r="AM125" i="11" s="1"/>
  <c r="AK126" i="11"/>
  <c r="AK125" i="11" s="1"/>
  <c r="AG126" i="11"/>
  <c r="AG125" i="11" s="1"/>
  <c r="AF126" i="11"/>
  <c r="AF125" i="11" s="1"/>
  <c r="AE126" i="11"/>
  <c r="AE125" i="11" s="1"/>
  <c r="AD126" i="11"/>
  <c r="AD125" i="11" s="1"/>
  <c r="AX122" i="11"/>
  <c r="AV122" i="11"/>
  <c r="AU122" i="11"/>
  <c r="AT122" i="11"/>
  <c r="AW122" i="11" s="1"/>
  <c r="AX121" i="11"/>
  <c r="AV121" i="11"/>
  <c r="AU121" i="11"/>
  <c r="AT121" i="11"/>
  <c r="AW121" i="11" s="1"/>
  <c r="AS120" i="11"/>
  <c r="AS119" i="11" s="1"/>
  <c r="AS118" i="11" s="1"/>
  <c r="AS117" i="11" s="1"/>
  <c r="AQ120" i="11"/>
  <c r="AP120" i="11"/>
  <c r="AP119" i="11" s="1"/>
  <c r="AP118" i="11" s="1"/>
  <c r="AO120" i="11"/>
  <c r="AO119" i="11" s="1"/>
  <c r="AO118" i="11" s="1"/>
  <c r="AO117" i="11" s="1"/>
  <c r="AN120" i="11"/>
  <c r="AN119" i="11" s="1"/>
  <c r="AN118" i="11" s="1"/>
  <c r="AN117" i="11" s="1"/>
  <c r="AM120" i="11"/>
  <c r="AL120" i="11"/>
  <c r="AL119" i="11" s="1"/>
  <c r="AL118" i="11" s="1"/>
  <c r="AL117" i="11" s="1"/>
  <c r="AK120" i="11"/>
  <c r="AJ120" i="11"/>
  <c r="AI120" i="11"/>
  <c r="AI119" i="11" s="1"/>
  <c r="AI118" i="11" s="1"/>
  <c r="AI117" i="11" s="1"/>
  <c r="AH120" i="11"/>
  <c r="AH119" i="11" s="1"/>
  <c r="AH118" i="11" s="1"/>
  <c r="AH117" i="11" s="1"/>
  <c r="AG120" i="11"/>
  <c r="AG119" i="11" s="1"/>
  <c r="AG118" i="11" s="1"/>
  <c r="AG117" i="11" s="1"/>
  <c r="AF120" i="11"/>
  <c r="AF119" i="11" s="1"/>
  <c r="AF118" i="11" s="1"/>
  <c r="AF117" i="11" s="1"/>
  <c r="AE120" i="11"/>
  <c r="AE119" i="11" s="1"/>
  <c r="AE118" i="11" s="1"/>
  <c r="AE117" i="11" s="1"/>
  <c r="AD120" i="11"/>
  <c r="AD119" i="11" s="1"/>
  <c r="AD118" i="11" s="1"/>
  <c r="AD117" i="11" s="1"/>
  <c r="AK119" i="11"/>
  <c r="AK118" i="11" s="1"/>
  <c r="AK117" i="11" s="1"/>
  <c r="AV116" i="11"/>
  <c r="AT116" i="11"/>
  <c r="AW116" i="11" s="1"/>
  <c r="AG116" i="11"/>
  <c r="AI116" i="11" s="1"/>
  <c r="AJ116" i="11" s="1"/>
  <c r="AV115" i="11"/>
  <c r="AT115" i="11"/>
  <c r="AW115" i="11" s="1"/>
  <c r="AI115" i="11"/>
  <c r="AJ115" i="11" s="1"/>
  <c r="AX114" i="11"/>
  <c r="AV114" i="11"/>
  <c r="AU114" i="11"/>
  <c r="AT114" i="11"/>
  <c r="AW114" i="11" s="1"/>
  <c r="AX113" i="11"/>
  <c r="AV113" i="11"/>
  <c r="AU113" i="11"/>
  <c r="AT113" i="11"/>
  <c r="AW113" i="11" s="1"/>
  <c r="AV112" i="11"/>
  <c r="AT112" i="11"/>
  <c r="AW112" i="11" s="1"/>
  <c r="AI112" i="11"/>
  <c r="AJ112" i="11" s="1"/>
  <c r="AU112" i="11" s="1"/>
  <c r="AX111" i="11"/>
  <c r="AV111" i="11"/>
  <c r="AU111" i="11"/>
  <c r="AT111" i="11"/>
  <c r="AW111" i="11" s="1"/>
  <c r="AX110" i="11"/>
  <c r="AV110" i="11"/>
  <c r="AU110" i="11"/>
  <c r="AT110" i="11"/>
  <c r="AW110" i="11" s="1"/>
  <c r="AX109" i="11"/>
  <c r="AV109" i="11"/>
  <c r="AU109" i="11"/>
  <c r="AT109" i="11"/>
  <c r="AW109" i="11" s="1"/>
  <c r="AX108" i="11"/>
  <c r="AV108" i="11"/>
  <c r="AU108" i="11"/>
  <c r="AT108" i="11"/>
  <c r="AW108" i="11" s="1"/>
  <c r="AX107" i="11"/>
  <c r="AV107" i="11"/>
  <c r="AU107" i="11"/>
  <c r="AT107" i="11"/>
  <c r="AX106" i="11"/>
  <c r="AV106" i="11"/>
  <c r="AU106" i="11"/>
  <c r="AT106" i="11"/>
  <c r="AW106" i="11" s="1"/>
  <c r="AV105" i="11"/>
  <c r="AT105" i="11"/>
  <c r="AW105" i="11" s="1"/>
  <c r="AI105" i="11"/>
  <c r="AJ105" i="11" s="1"/>
  <c r="AS104" i="11"/>
  <c r="AS103" i="11" s="1"/>
  <c r="AR104" i="11"/>
  <c r="AR103" i="11" s="1"/>
  <c r="AQ104" i="11"/>
  <c r="AQ103" i="11" s="1"/>
  <c r="AP104" i="11"/>
  <c r="AP103" i="11" s="1"/>
  <c r="AO104" i="11"/>
  <c r="AO103" i="11" s="1"/>
  <c r="AN104" i="11"/>
  <c r="AN103" i="11" s="1"/>
  <c r="AM104" i="11"/>
  <c r="AM103" i="11" s="1"/>
  <c r="AK104" i="11"/>
  <c r="AK103" i="11" s="1"/>
  <c r="AH104" i="11"/>
  <c r="AH103" i="11" s="1"/>
  <c r="AF104" i="11"/>
  <c r="AF103" i="11" s="1"/>
  <c r="AE104" i="11"/>
  <c r="AE103" i="11" s="1"/>
  <c r="AD104" i="11"/>
  <c r="AD103" i="11" s="1"/>
  <c r="AV100" i="11"/>
  <c r="AT100" i="11"/>
  <c r="AW100" i="11" s="1"/>
  <c r="AI100" i="11"/>
  <c r="AJ100" i="11" s="1"/>
  <c r="AU100" i="11" s="1"/>
  <c r="AV99" i="11"/>
  <c r="AT99" i="11"/>
  <c r="AW99" i="11" s="1"/>
  <c r="AI99" i="11"/>
  <c r="AJ99" i="11" s="1"/>
  <c r="AV98" i="11"/>
  <c r="AT98" i="11"/>
  <c r="AW98" i="11" s="1"/>
  <c r="AH98" i="11"/>
  <c r="AG98" i="11"/>
  <c r="AV97" i="11"/>
  <c r="AT97" i="11"/>
  <c r="AW97" i="11" s="1"/>
  <c r="AI97" i="11"/>
  <c r="AJ97" i="11" s="1"/>
  <c r="AV96" i="11"/>
  <c r="AT96" i="11"/>
  <c r="AW96" i="11" s="1"/>
  <c r="AG96" i="11"/>
  <c r="AV95" i="11"/>
  <c r="AT95" i="11"/>
  <c r="AW95" i="11" s="1"/>
  <c r="AS94" i="11"/>
  <c r="AR94" i="11"/>
  <c r="AQ94" i="11"/>
  <c r="AP94" i="11"/>
  <c r="AN94" i="11"/>
  <c r="AM94" i="11"/>
  <c r="AK94" i="11"/>
  <c r="AF94" i="11"/>
  <c r="AE94" i="11"/>
  <c r="AD94" i="11"/>
  <c r="AV93" i="11"/>
  <c r="AT93" i="11"/>
  <c r="AL93" i="11"/>
  <c r="AH93" i="11"/>
  <c r="AH88" i="11" s="1"/>
  <c r="AG93" i="11"/>
  <c r="AV92" i="11"/>
  <c r="AT92" i="11"/>
  <c r="AW92" i="11" s="1"/>
  <c r="AL92" i="11"/>
  <c r="AI92" i="11"/>
  <c r="AJ92" i="11" s="1"/>
  <c r="AU92" i="11" s="1"/>
  <c r="AV91" i="11"/>
  <c r="AT91" i="11"/>
  <c r="AW91" i="11" s="1"/>
  <c r="AI91" i="11"/>
  <c r="AJ91" i="11" s="1"/>
  <c r="AX91" i="11" s="1"/>
  <c r="AV90" i="11"/>
  <c r="AT90" i="11"/>
  <c r="AW90" i="11" s="1"/>
  <c r="AI90" i="11"/>
  <c r="AJ90" i="11" s="1"/>
  <c r="AV89" i="11"/>
  <c r="AT89" i="11"/>
  <c r="AW89" i="11" s="1"/>
  <c r="AI89" i="11"/>
  <c r="AJ89" i="11" s="1"/>
  <c r="AS88" i="11"/>
  <c r="AR88" i="11"/>
  <c r="AQ88" i="11"/>
  <c r="AP88" i="11"/>
  <c r="AO88" i="11"/>
  <c r="AN88" i="11"/>
  <c r="AM88" i="11"/>
  <c r="AK88" i="11"/>
  <c r="AF88" i="11"/>
  <c r="AE88" i="11"/>
  <c r="AD88" i="11"/>
  <c r="AX85" i="11"/>
  <c r="AV85" i="11"/>
  <c r="AU85" i="11"/>
  <c r="AT85" i="11"/>
  <c r="AW85" i="11" s="1"/>
  <c r="AV84" i="11"/>
  <c r="AT84" i="11"/>
  <c r="AW84" i="11" s="1"/>
  <c r="AI84" i="11"/>
  <c r="AJ84" i="11" s="1"/>
  <c r="AX83" i="11"/>
  <c r="AV83" i="11"/>
  <c r="AU83" i="11"/>
  <c r="AT83" i="11"/>
  <c r="AW83" i="11" s="1"/>
  <c r="AX82" i="11"/>
  <c r="AV82" i="11"/>
  <c r="AU82" i="11"/>
  <c r="AT82" i="11"/>
  <c r="AW82" i="11" s="1"/>
  <c r="AX81" i="11"/>
  <c r="AV81" i="11"/>
  <c r="AU81" i="11"/>
  <c r="AT81" i="11"/>
  <c r="AW81" i="11" s="1"/>
  <c r="AX80" i="11"/>
  <c r="AV80" i="11"/>
  <c r="AU80" i="11"/>
  <c r="AT80" i="11"/>
  <c r="AW80" i="11" s="1"/>
  <c r="AX79" i="11"/>
  <c r="AV79" i="11"/>
  <c r="AU79" i="11"/>
  <c r="AT79" i="11"/>
  <c r="AW79" i="11" s="1"/>
  <c r="AS78" i="11"/>
  <c r="AR78" i="11"/>
  <c r="AQ78" i="11"/>
  <c r="AP78" i="11"/>
  <c r="AO78" i="11"/>
  <c r="AN78" i="11"/>
  <c r="AM78" i="11"/>
  <c r="AK78" i="11"/>
  <c r="AJ78" i="11"/>
  <c r="AI78" i="11"/>
  <c r="AH78" i="11"/>
  <c r="AG78" i="11"/>
  <c r="AF78" i="11"/>
  <c r="AE78" i="11"/>
  <c r="AD78" i="11"/>
  <c r="AX77" i="11"/>
  <c r="AV77" i="11"/>
  <c r="AU77" i="11"/>
  <c r="AT77" i="11"/>
  <c r="AW77" i="11" s="1"/>
  <c r="AV76" i="11"/>
  <c r="AT76" i="11"/>
  <c r="AW76" i="11" s="1"/>
  <c r="AH76" i="11"/>
  <c r="AI76" i="11" s="1"/>
  <c r="AS75" i="11"/>
  <c r="AR75" i="11"/>
  <c r="AQ75" i="11"/>
  <c r="AP75" i="11"/>
  <c r="AO75" i="11"/>
  <c r="AN75" i="11"/>
  <c r="AM75" i="11"/>
  <c r="AK75" i="11"/>
  <c r="AG75" i="11"/>
  <c r="AF75" i="11"/>
  <c r="AE75" i="11"/>
  <c r="AD75" i="11"/>
  <c r="AX74" i="11"/>
  <c r="AV74" i="11"/>
  <c r="AU74" i="11"/>
  <c r="AT74" i="11"/>
  <c r="AW74" i="11" s="1"/>
  <c r="AX73" i="11"/>
  <c r="AV73" i="11"/>
  <c r="AU73" i="11"/>
  <c r="AT73" i="11"/>
  <c r="AW73" i="11" s="1"/>
  <c r="AS72" i="11"/>
  <c r="AR72" i="11"/>
  <c r="AQ72" i="11"/>
  <c r="AP72" i="11"/>
  <c r="AO72" i="11"/>
  <c r="AN72" i="11"/>
  <c r="AM72" i="11"/>
  <c r="AK72" i="11"/>
  <c r="AJ72" i="11"/>
  <c r="AI72" i="11"/>
  <c r="AH72" i="11"/>
  <c r="AG72" i="11"/>
  <c r="AF72" i="11"/>
  <c r="AE72" i="11"/>
  <c r="AD72" i="11"/>
  <c r="AX69" i="11"/>
  <c r="AV69" i="11"/>
  <c r="AU69" i="11"/>
  <c r="AT69" i="11"/>
  <c r="AW69" i="11" s="1"/>
  <c r="AX68" i="11"/>
  <c r="AV68" i="11"/>
  <c r="AU68" i="11"/>
  <c r="AT68" i="11"/>
  <c r="AW68" i="11" s="1"/>
  <c r="AS67" i="11"/>
  <c r="AR67" i="11"/>
  <c r="AQ67" i="11"/>
  <c r="AP67" i="11"/>
  <c r="AO67" i="11"/>
  <c r="AN67" i="11"/>
  <c r="AM67" i="11"/>
  <c r="AK67" i="11"/>
  <c r="AJ67" i="11"/>
  <c r="AI67" i="11"/>
  <c r="AH67" i="11"/>
  <c r="AG67" i="11"/>
  <c r="AF67" i="11"/>
  <c r="AE67" i="11"/>
  <c r="AD67" i="11"/>
  <c r="AX66" i="11"/>
  <c r="AV66" i="11"/>
  <c r="AU66" i="11"/>
  <c r="AT66" i="11"/>
  <c r="AW66" i="11" s="1"/>
  <c r="AX65" i="11"/>
  <c r="AV65" i="11"/>
  <c r="AU65" i="11"/>
  <c r="AT65" i="11"/>
  <c r="AW65" i="11" s="1"/>
  <c r="AS64" i="11"/>
  <c r="AR64" i="11"/>
  <c r="AQ64" i="11"/>
  <c r="AP64" i="11"/>
  <c r="AO64" i="11"/>
  <c r="AN64" i="11"/>
  <c r="AM64" i="11"/>
  <c r="AK64" i="11"/>
  <c r="AJ64" i="11"/>
  <c r="AI64" i="11"/>
  <c r="AH64" i="11"/>
  <c r="AG64" i="11"/>
  <c r="AF64" i="11"/>
  <c r="AE64" i="11"/>
  <c r="AD64" i="11"/>
  <c r="AX63" i="11"/>
  <c r="AV63" i="11"/>
  <c r="AU63" i="11"/>
  <c r="AT63" i="11"/>
  <c r="AW63" i="11" s="1"/>
  <c r="AX62" i="11"/>
  <c r="AV62" i="11"/>
  <c r="AU62" i="11"/>
  <c r="AT62" i="11"/>
  <c r="AW62" i="11" s="1"/>
  <c r="AS61" i="11"/>
  <c r="AR61" i="11"/>
  <c r="AQ61" i="11"/>
  <c r="AP61" i="11"/>
  <c r="AO61" i="11"/>
  <c r="AN61" i="11"/>
  <c r="AM61" i="11"/>
  <c r="AK61" i="11"/>
  <c r="AJ61" i="11"/>
  <c r="AI61" i="11"/>
  <c r="AH61" i="11"/>
  <c r="AG61" i="11"/>
  <c r="AF61" i="11"/>
  <c r="AE61" i="11"/>
  <c r="AD61" i="11"/>
  <c r="AX60" i="11"/>
  <c r="AV60" i="11"/>
  <c r="AU60" i="11"/>
  <c r="AT60" i="11"/>
  <c r="AW60" i="11" s="1"/>
  <c r="AV59" i="11"/>
  <c r="AT59" i="11"/>
  <c r="AW59" i="11" s="1"/>
  <c r="AI59" i="11"/>
  <c r="AJ59" i="11" s="1"/>
  <c r="AJ58" i="11" s="1"/>
  <c r="AS58" i="11"/>
  <c r="AR58" i="11"/>
  <c r="AQ58" i="11"/>
  <c r="AP58" i="11"/>
  <c r="AO58" i="11"/>
  <c r="AN58" i="11"/>
  <c r="AM58" i="11"/>
  <c r="AK58" i="11"/>
  <c r="AH58" i="11"/>
  <c r="AG58" i="11"/>
  <c r="AF58" i="11"/>
  <c r="AE58" i="11"/>
  <c r="AD58" i="11"/>
  <c r="AX57" i="11"/>
  <c r="AV57" i="11"/>
  <c r="AU57" i="11"/>
  <c r="AT57" i="11"/>
  <c r="AW57" i="11" s="1"/>
  <c r="AV56" i="11"/>
  <c r="AT56" i="11"/>
  <c r="AW56" i="11" s="1"/>
  <c r="AI56" i="11"/>
  <c r="AI55" i="11" s="1"/>
  <c r="AS55" i="11"/>
  <c r="AR55" i="11"/>
  <c r="AQ55" i="11"/>
  <c r="AP55" i="11"/>
  <c r="AO55" i="11"/>
  <c r="AN55" i="11"/>
  <c r="AM55" i="11"/>
  <c r="AK55" i="11"/>
  <c r="AH55" i="11"/>
  <c r="AG55" i="11"/>
  <c r="AF55" i="11"/>
  <c r="AE55" i="11"/>
  <c r="AD55" i="11"/>
  <c r="AX54" i="11"/>
  <c r="AW54" i="11"/>
  <c r="AV54" i="11"/>
  <c r="AU54" i="11"/>
  <c r="AV53" i="11"/>
  <c r="AH53" i="11"/>
  <c r="AH52" i="11" s="1"/>
  <c r="AS52" i="11"/>
  <c r="AR52" i="11"/>
  <c r="AQ52" i="11"/>
  <c r="AP52" i="11"/>
  <c r="AO52" i="11"/>
  <c r="AN52" i="11"/>
  <c r="AM52" i="11"/>
  <c r="AK52" i="11"/>
  <c r="AG52" i="11"/>
  <c r="AF52" i="11"/>
  <c r="AE52" i="11"/>
  <c r="AD52" i="11"/>
  <c r="AX51" i="11"/>
  <c r="AV51" i="11"/>
  <c r="AU51" i="11"/>
  <c r="AT51" i="11"/>
  <c r="AW51" i="11" s="1"/>
  <c r="AX50" i="11"/>
  <c r="AV50" i="11"/>
  <c r="AU50" i="11"/>
  <c r="AT50" i="11"/>
  <c r="AW50" i="11" s="1"/>
  <c r="AS49" i="11"/>
  <c r="AR49" i="11"/>
  <c r="AQ49" i="11"/>
  <c r="AP49" i="11"/>
  <c r="AO49" i="11"/>
  <c r="AN49" i="11"/>
  <c r="AM49" i="11"/>
  <c r="AK49" i="11"/>
  <c r="AJ49" i="11"/>
  <c r="AI49" i="11"/>
  <c r="AH49" i="11"/>
  <c r="AG49" i="11"/>
  <c r="AF49" i="11"/>
  <c r="AE49" i="11"/>
  <c r="AD49" i="11"/>
  <c r="AX48" i="11"/>
  <c r="AV48" i="11"/>
  <c r="AU48" i="11"/>
  <c r="AT48" i="11"/>
  <c r="AW48" i="11" s="1"/>
  <c r="AV47" i="11"/>
  <c r="AT47" i="11"/>
  <c r="AW47" i="11" s="1"/>
  <c r="AI47" i="11"/>
  <c r="AJ47" i="11" s="1"/>
  <c r="AU47" i="11" s="1"/>
  <c r="AS46" i="11"/>
  <c r="AR46" i="11"/>
  <c r="AQ46" i="11"/>
  <c r="AP46" i="11"/>
  <c r="AO46" i="11"/>
  <c r="AN46" i="11"/>
  <c r="AM46" i="11"/>
  <c r="AK46" i="11"/>
  <c r="AH46" i="11"/>
  <c r="AG46" i="11"/>
  <c r="AF46" i="11"/>
  <c r="AE46" i="11"/>
  <c r="AD46" i="11"/>
  <c r="AX45" i="11"/>
  <c r="AV45" i="11"/>
  <c r="AU45" i="11"/>
  <c r="AT45" i="11"/>
  <c r="AW45" i="11" s="1"/>
  <c r="AV44" i="11"/>
  <c r="AT44" i="11"/>
  <c r="AW44" i="11" s="1"/>
  <c r="AH43" i="11"/>
  <c r="AS43" i="11"/>
  <c r="AR43" i="11"/>
  <c r="AQ43" i="11"/>
  <c r="AP43" i="11"/>
  <c r="AO43" i="11"/>
  <c r="AN43" i="11"/>
  <c r="AM43" i="11"/>
  <c r="AK43" i="11"/>
  <c r="AG43" i="11"/>
  <c r="AF43" i="11"/>
  <c r="AE43" i="11"/>
  <c r="AD43" i="11"/>
  <c r="AX41" i="11"/>
  <c r="AV41" i="11"/>
  <c r="AU41" i="11"/>
  <c r="AT41" i="11"/>
  <c r="AW41" i="11" s="1"/>
  <c r="AS40" i="11"/>
  <c r="AS39" i="11" s="1"/>
  <c r="AR40" i="11"/>
  <c r="AR39" i="11" s="1"/>
  <c r="AQ40" i="11"/>
  <c r="AP40" i="11"/>
  <c r="AO40" i="11"/>
  <c r="AO39" i="11" s="1"/>
  <c r="AN40" i="11"/>
  <c r="AN39" i="11" s="1"/>
  <c r="AM40" i="11"/>
  <c r="AM39" i="11" s="1"/>
  <c r="AL40" i="11"/>
  <c r="AL39" i="11" s="1"/>
  <c r="AK40" i="11"/>
  <c r="AK39" i="11" s="1"/>
  <c r="AJ40" i="11"/>
  <c r="AI40" i="11"/>
  <c r="AI39" i="11" s="1"/>
  <c r="AH40" i="11"/>
  <c r="AH39" i="11" s="1"/>
  <c r="AG40" i="11"/>
  <c r="AG39" i="11" s="1"/>
  <c r="AF40" i="11"/>
  <c r="AF39" i="11" s="1"/>
  <c r="AE40" i="11"/>
  <c r="AE39" i="11" s="1"/>
  <c r="AD40" i="11"/>
  <c r="AD39" i="11" s="1"/>
  <c r="AV38" i="11"/>
  <c r="AU38" i="11"/>
  <c r="AT38" i="11"/>
  <c r="AW38" i="11" s="1"/>
  <c r="AR38" i="11"/>
  <c r="AO38" i="11"/>
  <c r="AL38" i="11"/>
  <c r="AV37" i="11"/>
  <c r="AT37" i="11"/>
  <c r="AW37" i="11" s="1"/>
  <c r="AI37" i="11"/>
  <c r="AJ37" i="11" s="1"/>
  <c r="AX36" i="11"/>
  <c r="AV36" i="11"/>
  <c r="AU36" i="11"/>
  <c r="AT36" i="11"/>
  <c r="AW36" i="11" s="1"/>
  <c r="AV35" i="11"/>
  <c r="AT35" i="11"/>
  <c r="AW35" i="11" s="1"/>
  <c r="AI35" i="11"/>
  <c r="AJ35" i="11" s="1"/>
  <c r="AX35" i="11" s="1"/>
  <c r="AS34" i="11"/>
  <c r="AR34" i="11"/>
  <c r="AQ34" i="11"/>
  <c r="AP34" i="11"/>
  <c r="AO34" i="11"/>
  <c r="AN34" i="11"/>
  <c r="AM34" i="11"/>
  <c r="AK34" i="11"/>
  <c r="AH34" i="11"/>
  <c r="AG34" i="11"/>
  <c r="AF34" i="11"/>
  <c r="AE34" i="11"/>
  <c r="AD34" i="11"/>
  <c r="AX33" i="11"/>
  <c r="AV33" i="11"/>
  <c r="AU33" i="11"/>
  <c r="AT33" i="11"/>
  <c r="AW33" i="11" s="1"/>
  <c r="AX32" i="11"/>
  <c r="AV32" i="11"/>
  <c r="AU32" i="11"/>
  <c r="AT32" i="11"/>
  <c r="AW32" i="11" s="1"/>
  <c r="AS31" i="11"/>
  <c r="AR31" i="11"/>
  <c r="AQ31" i="11"/>
  <c r="AP31" i="11"/>
  <c r="AO31" i="11"/>
  <c r="AN31" i="11"/>
  <c r="AM31" i="11"/>
  <c r="AK31" i="11"/>
  <c r="AJ31" i="11"/>
  <c r="AI31" i="11"/>
  <c r="AH31" i="11"/>
  <c r="AG31" i="11"/>
  <c r="AF31" i="11"/>
  <c r="AE31" i="11"/>
  <c r="AD31" i="11"/>
  <c r="AX29" i="11"/>
  <c r="AV29" i="11"/>
  <c r="AU29" i="11"/>
  <c r="AT29" i="11"/>
  <c r="AW29" i="11" s="1"/>
  <c r="AX28" i="11"/>
  <c r="AV28" i="11"/>
  <c r="AU28" i="11"/>
  <c r="AT28" i="11"/>
  <c r="AW28" i="11" s="1"/>
  <c r="AS27" i="11"/>
  <c r="AR27" i="11"/>
  <c r="AQ27" i="11"/>
  <c r="AP27" i="11"/>
  <c r="AO27" i="11"/>
  <c r="AN27" i="11"/>
  <c r="AM27" i="11"/>
  <c r="AK27" i="11"/>
  <c r="AJ27" i="11"/>
  <c r="AI27" i="11"/>
  <c r="AH27" i="11"/>
  <c r="AG27" i="11"/>
  <c r="AF27" i="11"/>
  <c r="AE27" i="11"/>
  <c r="AD27" i="11"/>
  <c r="AX26" i="11"/>
  <c r="AV26" i="11"/>
  <c r="AU26" i="11"/>
  <c r="AT26" i="11"/>
  <c r="AW26" i="11" s="1"/>
  <c r="AV25" i="11"/>
  <c r="AT25" i="11"/>
  <c r="AW25" i="11" s="1"/>
  <c r="AI25" i="11"/>
  <c r="AJ25" i="11" s="1"/>
  <c r="AS24" i="11"/>
  <c r="AR24" i="11"/>
  <c r="AQ24" i="11"/>
  <c r="AP24" i="11"/>
  <c r="AO24" i="11"/>
  <c r="AN24" i="11"/>
  <c r="AM24" i="11"/>
  <c r="AK24" i="11"/>
  <c r="AH24" i="11"/>
  <c r="AG24" i="11"/>
  <c r="AF24" i="11"/>
  <c r="AE24" i="11"/>
  <c r="AD24" i="11"/>
  <c r="AX23" i="11"/>
  <c r="AV23" i="11"/>
  <c r="AU23" i="11"/>
  <c r="AT23" i="11"/>
  <c r="AW23" i="11" s="1"/>
  <c r="AX22" i="11"/>
  <c r="AV22" i="11"/>
  <c r="AU22" i="11"/>
  <c r="AT22" i="11"/>
  <c r="AW22" i="11" s="1"/>
  <c r="AL22" i="11"/>
  <c r="AV21" i="11"/>
  <c r="AU21" i="11"/>
  <c r="AT21" i="11"/>
  <c r="AW21" i="11" s="1"/>
  <c r="AL21" i="11"/>
  <c r="AV20" i="11"/>
  <c r="AT20" i="11"/>
  <c r="AW20" i="11" s="1"/>
  <c r="AI20" i="11"/>
  <c r="AJ20" i="11" s="1"/>
  <c r="AU20" i="11" s="1"/>
  <c r="AX19" i="11"/>
  <c r="AV19" i="11"/>
  <c r="AU19" i="11"/>
  <c r="AT19" i="11"/>
  <c r="AW19" i="11" s="1"/>
  <c r="AV18" i="11"/>
  <c r="AT18" i="11"/>
  <c r="AW18" i="11" s="1"/>
  <c r="AH18" i="11"/>
  <c r="AI18" i="11" s="1"/>
  <c r="AS17" i="11"/>
  <c r="AR17" i="11"/>
  <c r="AQ17" i="11"/>
  <c r="AP17" i="11"/>
  <c r="AO17" i="11"/>
  <c r="AN17" i="11"/>
  <c r="AM17" i="11"/>
  <c r="AK17" i="11"/>
  <c r="AG17" i="11"/>
  <c r="AF17" i="11"/>
  <c r="AE17" i="11"/>
  <c r="AD17" i="11"/>
  <c r="AX772" i="11" l="1"/>
  <c r="AU772" i="11"/>
  <c r="AW538" i="11"/>
  <c r="AX775" i="11"/>
  <c r="AU775" i="11"/>
  <c r="AX763" i="11"/>
  <c r="AU763" i="11"/>
  <c r="AW251" i="11"/>
  <c r="AX765" i="11"/>
  <c r="AU765" i="11"/>
  <c r="AX791" i="11"/>
  <c r="AU791" i="11"/>
  <c r="AW851" i="11"/>
  <c r="AU818" i="11"/>
  <c r="AX818" i="11"/>
  <c r="AW1383" i="11"/>
  <c r="AW1442" i="11" s="1"/>
  <c r="AG94" i="11"/>
  <c r="AI866" i="11"/>
  <c r="AJ866" i="11" s="1"/>
  <c r="AU866" i="11" s="1"/>
  <c r="AF87" i="11"/>
  <c r="AF86" i="11" s="1"/>
  <c r="AD87" i="11"/>
  <c r="AD86" i="11" s="1"/>
  <c r="AQ124" i="11"/>
  <c r="AU155" i="11"/>
  <c r="AE744" i="11"/>
  <c r="AJ174" i="11"/>
  <c r="AU174" i="11" s="1"/>
  <c r="AX150" i="11"/>
  <c r="AK30" i="11"/>
  <c r="AK16" i="11" s="1"/>
  <c r="AK15" i="11" s="1"/>
  <c r="AK180" i="11"/>
  <c r="AT131" i="11"/>
  <c r="AW131" i="11" s="1"/>
  <c r="AN180" i="11"/>
  <c r="AD30" i="11"/>
  <c r="AD16" i="11" s="1"/>
  <c r="AD15" i="11" s="1"/>
  <c r="AH251" i="11"/>
  <c r="AM87" i="11"/>
  <c r="AM86" i="11" s="1"/>
  <c r="AS71" i="11"/>
  <c r="AS70" i="11" s="1"/>
  <c r="AR71" i="11"/>
  <c r="AR70" i="11" s="1"/>
  <c r="AN30" i="11"/>
  <c r="AX782" i="11"/>
  <c r="AR87" i="11"/>
  <c r="AR86" i="11" s="1"/>
  <c r="AR30" i="11"/>
  <c r="AR16" i="11" s="1"/>
  <c r="AR15" i="11" s="1"/>
  <c r="AG104" i="11"/>
  <c r="AG103" i="11" s="1"/>
  <c r="AG102" i="11" s="1"/>
  <c r="AW1309" i="11"/>
  <c r="AV43" i="11"/>
  <c r="AV58" i="11"/>
  <c r="AV120" i="11"/>
  <c r="AE180" i="11"/>
  <c r="AU72" i="11"/>
  <c r="AS30" i="11"/>
  <c r="AS16" i="11" s="1"/>
  <c r="AS15" i="11" s="1"/>
  <c r="AS149" i="11"/>
  <c r="AQ180" i="11"/>
  <c r="AT1341" i="11"/>
  <c r="AM30" i="11"/>
  <c r="AM16" i="11" s="1"/>
  <c r="AM15" i="11" s="1"/>
  <c r="AF124" i="11"/>
  <c r="AF123" i="11" s="1"/>
  <c r="AH180" i="11"/>
  <c r="AX410" i="11"/>
  <c r="AG124" i="11"/>
  <c r="AG123" i="11" s="1"/>
  <c r="AT125" i="11"/>
  <c r="AW125" i="11" s="1"/>
  <c r="AV143" i="11"/>
  <c r="AI181" i="11"/>
  <c r="AV75" i="11"/>
  <c r="AI143" i="11"/>
  <c r="AV1326" i="11"/>
  <c r="AT1309" i="11"/>
  <c r="AH30" i="11"/>
  <c r="AV131" i="11"/>
  <c r="AU31" i="11"/>
  <c r="AI34" i="11"/>
  <c r="AI30" i="11" s="1"/>
  <c r="AT134" i="11"/>
  <c r="AW134" i="11" s="1"/>
  <c r="AN191" i="11"/>
  <c r="AX703" i="11"/>
  <c r="AU835" i="11"/>
  <c r="AO42" i="11"/>
  <c r="AG1326" i="11"/>
  <c r="AV1309" i="11"/>
  <c r="AQ87" i="11"/>
  <c r="AQ86" i="11" s="1"/>
  <c r="AH17" i="11"/>
  <c r="AT17" i="11"/>
  <c r="AE30" i="11"/>
  <c r="AE16" i="11" s="1"/>
  <c r="AE15" i="11" s="1"/>
  <c r="AX78" i="11"/>
  <c r="AU902" i="11"/>
  <c r="AT1141" i="11"/>
  <c r="AT1296" i="11"/>
  <c r="AX58" i="11"/>
  <c r="AU64" i="11"/>
  <c r="AF71" i="11"/>
  <c r="AF70" i="11" s="1"/>
  <c r="AT75" i="11"/>
  <c r="AW75" i="11" s="1"/>
  <c r="AF180" i="11"/>
  <c r="AS191" i="11"/>
  <c r="AX1288" i="11"/>
  <c r="AU1288" i="11"/>
  <c r="AX315" i="11"/>
  <c r="AU315" i="11"/>
  <c r="AX694" i="11"/>
  <c r="AU694" i="11"/>
  <c r="AX1243" i="11"/>
  <c r="AU1243" i="11"/>
  <c r="AX1122" i="11"/>
  <c r="AU1122" i="11"/>
  <c r="AX1244" i="11"/>
  <c r="AU1244" i="11"/>
  <c r="AF30" i="11"/>
  <c r="AF16" i="11" s="1"/>
  <c r="AF15" i="11" s="1"/>
  <c r="AV49" i="11"/>
  <c r="AV78" i="11"/>
  <c r="AV160" i="11"/>
  <c r="AM180" i="11"/>
  <c r="AJ187" i="11"/>
  <c r="AX187" i="11" s="1"/>
  <c r="AD191" i="11"/>
  <c r="AU576" i="11"/>
  <c r="AU579" i="11"/>
  <c r="AU823" i="11"/>
  <c r="AT34" i="11"/>
  <c r="AW34" i="11" s="1"/>
  <c r="AU58" i="11"/>
  <c r="AT64" i="11"/>
  <c r="AW64" i="11" s="1"/>
  <c r="AD71" i="11"/>
  <c r="AD70" i="11" s="1"/>
  <c r="AK124" i="11"/>
  <c r="AK123" i="11" s="1"/>
  <c r="AV134" i="11"/>
  <c r="AR180" i="11"/>
  <c r="AR164" i="11" s="1"/>
  <c r="AR163" i="11" s="1"/>
  <c r="AX436" i="11"/>
  <c r="AX537" i="11"/>
  <c r="AP191" i="11"/>
  <c r="AP42" i="11"/>
  <c r="AU61" i="11"/>
  <c r="AE87" i="11"/>
  <c r="AE86" i="11" s="1"/>
  <c r="AN124" i="11"/>
  <c r="AN123" i="11" s="1"/>
  <c r="AR149" i="11"/>
  <c r="AD180" i="11"/>
  <c r="AF191" i="11"/>
  <c r="AI908" i="11"/>
  <c r="AJ908" i="11" s="1"/>
  <c r="AU1002" i="11"/>
  <c r="AU1247" i="11"/>
  <c r="AG251" i="11"/>
  <c r="AX842" i="11"/>
  <c r="AX1169" i="11"/>
  <c r="AX1270" i="11"/>
  <c r="AX72" i="11"/>
  <c r="AT1253" i="11"/>
  <c r="AI24" i="11"/>
  <c r="AT27" i="11"/>
  <c r="AW27" i="11" s="1"/>
  <c r="AV31" i="11"/>
  <c r="AV34" i="11"/>
  <c r="AT72" i="11"/>
  <c r="AW72" i="11" s="1"/>
  <c r="AE102" i="11"/>
  <c r="AG180" i="11"/>
  <c r="AG164" i="11" s="1"/>
  <c r="AG163" i="11" s="1"/>
  <c r="AM191" i="11"/>
  <c r="AU1165" i="11"/>
  <c r="AX1281" i="11"/>
  <c r="AI46" i="11"/>
  <c r="AT46" i="11"/>
  <c r="AW46" i="11" s="1"/>
  <c r="AU49" i="11"/>
  <c r="AV52" i="11"/>
  <c r="AT58" i="11"/>
  <c r="AW58" i="11" s="1"/>
  <c r="AR124" i="11"/>
  <c r="AR123" i="11" s="1"/>
  <c r="AU160" i="11"/>
  <c r="AI168" i="11"/>
  <c r="AI167" i="11" s="1"/>
  <c r="AI166" i="11" s="1"/>
  <c r="AI165" i="11" s="1"/>
  <c r="AU1418" i="11"/>
  <c r="AU815" i="11"/>
  <c r="AX326" i="11"/>
  <c r="AU326" i="11"/>
  <c r="AU453" i="11"/>
  <c r="AX453" i="11"/>
  <c r="AX84" i="11"/>
  <c r="AU84" i="11"/>
  <c r="AU212" i="11"/>
  <c r="AX212" i="11"/>
  <c r="AU682" i="11"/>
  <c r="AX682" i="11"/>
  <c r="AU1245" i="11"/>
  <c r="AX1245" i="11"/>
  <c r="AU137" i="11"/>
  <c r="AX137" i="11"/>
  <c r="AX523" i="11"/>
  <c r="AU523" i="11"/>
  <c r="AU561" i="11"/>
  <c r="AX561" i="11"/>
  <c r="AU624" i="11"/>
  <c r="AX624" i="11"/>
  <c r="AX1276" i="11"/>
  <c r="AU1276" i="11"/>
  <c r="AU622" i="11"/>
  <c r="AX622" i="11"/>
  <c r="AX1380" i="11"/>
  <c r="AU1380" i="11"/>
  <c r="AX323" i="11"/>
  <c r="AU323" i="11"/>
  <c r="AU449" i="11"/>
  <c r="AX449" i="11"/>
  <c r="AU602" i="11"/>
  <c r="AX602" i="11"/>
  <c r="AE149" i="11"/>
  <c r="AX224" i="11"/>
  <c r="AU224" i="11"/>
  <c r="AU457" i="11"/>
  <c r="AX457" i="11"/>
  <c r="AU640" i="11"/>
  <c r="AX640" i="11"/>
  <c r="AX758" i="11"/>
  <c r="AU758" i="11"/>
  <c r="AU941" i="11"/>
  <c r="AX941" i="11"/>
  <c r="AX1246" i="11"/>
  <c r="AU1246" i="11"/>
  <c r="AX317" i="11"/>
  <c r="AU317" i="11"/>
  <c r="AU1134" i="11"/>
  <c r="AX1134" i="11"/>
  <c r="AX560" i="11"/>
  <c r="AU560" i="11"/>
  <c r="AU673" i="11"/>
  <c r="AX673" i="11"/>
  <c r="AS42" i="11"/>
  <c r="AT49" i="11"/>
  <c r="AW49" i="11" s="1"/>
  <c r="AE71" i="11"/>
  <c r="AE70" i="11" s="1"/>
  <c r="AI96" i="11"/>
  <c r="AJ96" i="11" s="1"/>
  <c r="AX96" i="11" s="1"/>
  <c r="AN102" i="11"/>
  <c r="AJ147" i="11"/>
  <c r="AJ143" i="11" s="1"/>
  <c r="AX143" i="11" s="1"/>
  <c r="AK149" i="11"/>
  <c r="AX160" i="11"/>
  <c r="AO180" i="11"/>
  <c r="AU500" i="11"/>
  <c r="AU531" i="11"/>
  <c r="AU27" i="11"/>
  <c r="AX31" i="11"/>
  <c r="AK42" i="11"/>
  <c r="AH42" i="11"/>
  <c r="AM42" i="11"/>
  <c r="AI53" i="11"/>
  <c r="AT61" i="11"/>
  <c r="AW61" i="11" s="1"/>
  <c r="AV125" i="11"/>
  <c r="AP180" i="11"/>
  <c r="AU200" i="11"/>
  <c r="AU202" i="11"/>
  <c r="AU593" i="11"/>
  <c r="AU710" i="11"/>
  <c r="AU756" i="11"/>
  <c r="AX866" i="11"/>
  <c r="AH1178" i="11"/>
  <c r="AX1151" i="11"/>
  <c r="AV1253" i="11"/>
  <c r="AX1250" i="11"/>
  <c r="AI1296" i="11"/>
  <c r="AU1277" i="11"/>
  <c r="AI1320" i="11"/>
  <c r="AJ1320" i="11" s="1"/>
  <c r="AU1406" i="11"/>
  <c r="AN42" i="11"/>
  <c r="AT67" i="11"/>
  <c r="AW67" i="11" s="1"/>
  <c r="AS87" i="11"/>
  <c r="AS86" i="11" s="1"/>
  <c r="AI98" i="11"/>
  <c r="AJ98" i="11" s="1"/>
  <c r="AX98" i="11" s="1"/>
  <c r="AX112" i="11"/>
  <c r="AS124" i="11"/>
  <c r="AS123" i="11" s="1"/>
  <c r="AX131" i="11"/>
  <c r="AX148" i="11"/>
  <c r="AU227" i="11"/>
  <c r="AU486" i="11"/>
  <c r="AU727" i="11"/>
  <c r="AU742" i="11"/>
  <c r="AU776" i="11"/>
  <c r="AX900" i="11"/>
  <c r="AI1204" i="11"/>
  <c r="AJ1204" i="11" s="1"/>
  <c r="AX1204" i="11" s="1"/>
  <c r="AT1234" i="11"/>
  <c r="AI1309" i="11"/>
  <c r="AW1341" i="11"/>
  <c r="AE42" i="11"/>
  <c r="AU59" i="11"/>
  <c r="AV61" i="11"/>
  <c r="AH75" i="11"/>
  <c r="AH71" i="11" s="1"/>
  <c r="AH70" i="11" s="1"/>
  <c r="AX140" i="11"/>
  <c r="AS180" i="11"/>
  <c r="AX461" i="11"/>
  <c r="AU573" i="11"/>
  <c r="AU591" i="11"/>
  <c r="AU879" i="11"/>
  <c r="AX926" i="11"/>
  <c r="AV1178" i="11"/>
  <c r="AX1170" i="11"/>
  <c r="AJ1306" i="11"/>
  <c r="AJ1309" i="11" s="1"/>
  <c r="AU1339" i="11"/>
  <c r="AI1341" i="11"/>
  <c r="AX27" i="11"/>
  <c r="AF42" i="11"/>
  <c r="AT55" i="11"/>
  <c r="AW55" i="11" s="1"/>
  <c r="AV64" i="11"/>
  <c r="AU67" i="11"/>
  <c r="AM71" i="11"/>
  <c r="AM70" i="11" s="1"/>
  <c r="AU78" i="11"/>
  <c r="AN87" i="11"/>
  <c r="AN86" i="11" s="1"/>
  <c r="AK87" i="11"/>
  <c r="AK86" i="11" s="1"/>
  <c r="AM119" i="11"/>
  <c r="AM118" i="11" s="1"/>
  <c r="AM117" i="11" s="1"/>
  <c r="AM102" i="11" s="1"/>
  <c r="AU120" i="11"/>
  <c r="AT140" i="11"/>
  <c r="AW140" i="11" s="1"/>
  <c r="AW139" i="11" s="1"/>
  <c r="AG154" i="11"/>
  <c r="AI154" i="11" s="1"/>
  <c r="AM159" i="11"/>
  <c r="AV159" i="11" s="1"/>
  <c r="AJ181" i="11"/>
  <c r="AJ180" i="11" s="1"/>
  <c r="AX652" i="11"/>
  <c r="AX785" i="11"/>
  <c r="AU920" i="11"/>
  <c r="AX940" i="11"/>
  <c r="AK191" i="11"/>
  <c r="AW1141" i="11"/>
  <c r="AU1190" i="11"/>
  <c r="AI1253" i="11"/>
  <c r="AX1249" i="11"/>
  <c r="AV1341" i="11"/>
  <c r="AP30" i="11"/>
  <c r="AG42" i="11"/>
  <c r="AT52" i="11"/>
  <c r="AW52" i="11" s="1"/>
  <c r="AI58" i="11"/>
  <c r="AX59" i="11"/>
  <c r="AN71" i="11"/>
  <c r="AN70" i="11" s="1"/>
  <c r="AK71" i="11"/>
  <c r="AK70" i="11" s="1"/>
  <c r="AU91" i="11"/>
  <c r="AI104" i="11"/>
  <c r="AI103" i="11" s="1"/>
  <c r="AI102" i="11" s="1"/>
  <c r="AI134" i="11"/>
  <c r="AN149" i="11"/>
  <c r="AT155" i="11"/>
  <c r="AW155" i="11" s="1"/>
  <c r="AX186" i="11"/>
  <c r="AV188" i="11"/>
  <c r="AX708" i="11"/>
  <c r="AU1004" i="11"/>
  <c r="AX1051" i="11"/>
  <c r="AJ1253" i="11"/>
  <c r="AX1253" i="11" s="1"/>
  <c r="AP87" i="11"/>
  <c r="AP86" i="11" s="1"/>
  <c r="AQ191" i="11"/>
  <c r="AX1129" i="11"/>
  <c r="AG1141" i="11"/>
  <c r="AU780" i="11"/>
  <c r="AX780" i="11"/>
  <c r="AX696" i="11"/>
  <c r="AU696" i="11"/>
  <c r="AX816" i="11"/>
  <c r="AU816" i="11"/>
  <c r="AX698" i="11"/>
  <c r="AU698" i="11"/>
  <c r="AX692" i="11"/>
  <c r="AU692" i="11"/>
  <c r="AX695" i="11"/>
  <c r="AU695" i="11"/>
  <c r="AU693" i="11"/>
  <c r="AU686" i="11"/>
  <c r="AU699" i="11"/>
  <c r="AU807" i="11"/>
  <c r="AU697" i="11"/>
  <c r="AX425" i="11"/>
  <c r="AU641" i="11"/>
  <c r="AX641" i="11"/>
  <c r="AX442" i="11"/>
  <c r="AU643" i="11"/>
  <c r="AX446" i="11"/>
  <c r="AX445" i="11"/>
  <c r="AV168" i="11"/>
  <c r="AU420" i="11"/>
  <c r="AU459" i="11"/>
  <c r="AX459" i="11"/>
  <c r="AX311" i="11"/>
  <c r="AU311" i="11"/>
  <c r="AU421" i="11"/>
  <c r="AX421" i="11"/>
  <c r="AU460" i="11"/>
  <c r="AX460" i="11"/>
  <c r="AU448" i="11"/>
  <c r="AX448" i="11"/>
  <c r="AX418" i="11"/>
  <c r="AU418" i="11"/>
  <c r="AT104" i="11"/>
  <c r="AV744" i="11"/>
  <c r="AX426" i="11"/>
  <c r="AU600" i="11"/>
  <c r="AL31" i="11"/>
  <c r="AL52" i="11"/>
  <c r="AL61" i="11"/>
  <c r="AL17" i="11"/>
  <c r="AT143" i="11"/>
  <c r="AL88" i="11"/>
  <c r="AX100" i="11"/>
  <c r="AX440" i="11"/>
  <c r="AL75" i="11"/>
  <c r="AR120" i="11"/>
  <c r="AR119" i="11" s="1"/>
  <c r="AR118" i="11" s="1"/>
  <c r="AR117" i="11" s="1"/>
  <c r="AR102" i="11" s="1"/>
  <c r="AR101" i="11" s="1"/>
  <c r="AX222" i="11"/>
  <c r="AX423" i="11"/>
  <c r="AU794" i="11"/>
  <c r="AU817" i="11"/>
  <c r="AX817" i="11"/>
  <c r="AU571" i="11"/>
  <c r="AU606" i="11"/>
  <c r="AX615" i="11"/>
  <c r="AU604" i="11"/>
  <c r="AL143" i="11"/>
  <c r="AH164" i="11"/>
  <c r="AH163" i="11" s="1"/>
  <c r="AO851" i="11"/>
  <c r="AO191" i="11" s="1"/>
  <c r="AR851" i="11"/>
  <c r="AR191" i="11" s="1"/>
  <c r="AV88" i="11"/>
  <c r="AL49" i="11"/>
  <c r="AL1309" i="11"/>
  <c r="AV17" i="11"/>
  <c r="AL58" i="11"/>
  <c r="AL64" i="11"/>
  <c r="AL1442" i="11"/>
  <c r="AL24" i="11"/>
  <c r="AL46" i="11"/>
  <c r="AL55" i="11"/>
  <c r="AL67" i="11"/>
  <c r="AL72" i="11"/>
  <c r="AF164" i="11"/>
  <c r="AF163" i="11" s="1"/>
  <c r="AL1234" i="11"/>
  <c r="AL1253" i="11"/>
  <c r="AK164" i="11"/>
  <c r="AK163" i="11" s="1"/>
  <c r="AL27" i="11"/>
  <c r="AV94" i="11"/>
  <c r="AW148" i="11"/>
  <c r="AW143" i="11" s="1"/>
  <c r="AL78" i="11"/>
  <c r="AT88" i="11"/>
  <c r="AV126" i="11"/>
  <c r="AW151" i="11"/>
  <c r="AW150" i="11" s="1"/>
  <c r="AL43" i="11"/>
  <c r="AL94" i="11"/>
  <c r="AW93" i="11"/>
  <c r="AW88" i="11" s="1"/>
  <c r="AL104" i="11"/>
  <c r="AL103" i="11" s="1"/>
  <c r="AL102" i="11" s="1"/>
  <c r="AV104" i="11"/>
  <c r="AV103" i="11" s="1"/>
  <c r="AL126" i="11"/>
  <c r="AL125" i="11" s="1"/>
  <c r="AL124" i="11" s="1"/>
  <c r="AL123" i="11" s="1"/>
  <c r="AL159" i="11"/>
  <c r="AX177" i="11"/>
  <c r="AX221" i="11"/>
  <c r="AL538" i="11"/>
  <c r="AL1296" i="11"/>
  <c r="AW17" i="11"/>
  <c r="AL34" i="11"/>
  <c r="AS102" i="11"/>
  <c r="AW107" i="11"/>
  <c r="AW104" i="11" s="1"/>
  <c r="AW103" i="11" s="1"/>
  <c r="AV173" i="11"/>
  <c r="AL251" i="11"/>
  <c r="AL1326" i="11"/>
  <c r="AE164" i="11"/>
  <c r="AE163" i="11" s="1"/>
  <c r="AX204" i="11"/>
  <c r="AU204" i="11"/>
  <c r="AU25" i="11"/>
  <c r="AX25" i="11"/>
  <c r="AJ24" i="11"/>
  <c r="AU24" i="11" s="1"/>
  <c r="AX37" i="11"/>
  <c r="AU37" i="11"/>
  <c r="AT24" i="11"/>
  <c r="AW24" i="11" s="1"/>
  <c r="AV27" i="11"/>
  <c r="AT43" i="11"/>
  <c r="AW43" i="11" s="1"/>
  <c r="AQ42" i="11"/>
  <c r="AT42" i="11" s="1"/>
  <c r="AJ46" i="11"/>
  <c r="AU46" i="11" s="1"/>
  <c r="AX47" i="11"/>
  <c r="AX49" i="11"/>
  <c r="AV55" i="11"/>
  <c r="AJ76" i="11"/>
  <c r="AI75" i="11"/>
  <c r="AI71" i="11" s="1"/>
  <c r="AI70" i="11" s="1"/>
  <c r="AT103" i="11"/>
  <c r="AW126" i="11"/>
  <c r="AT744" i="11"/>
  <c r="AW548" i="11"/>
  <c r="AV24" i="11"/>
  <c r="AR42" i="11"/>
  <c r="AX97" i="11"/>
  <c r="AU97" i="11"/>
  <c r="AU219" i="11"/>
  <c r="AX219" i="11"/>
  <c r="AX321" i="11"/>
  <c r="AU321" i="11"/>
  <c r="AU494" i="11"/>
  <c r="AX494" i="11"/>
  <c r="AU498" i="11"/>
  <c r="AX498" i="11"/>
  <c r="AX551" i="11"/>
  <c r="AU551" i="11"/>
  <c r="AN16" i="11"/>
  <c r="AN15" i="11" s="1"/>
  <c r="AO30" i="11"/>
  <c r="AO16" i="11" s="1"/>
  <c r="AO15" i="11" s="1"/>
  <c r="AT40" i="11"/>
  <c r="AW40" i="11" s="1"/>
  <c r="AW39" i="11" s="1"/>
  <c r="AQ39" i="11"/>
  <c r="AT39" i="11" s="1"/>
  <c r="AI44" i="11"/>
  <c r="AI95" i="11"/>
  <c r="AH94" i="11"/>
  <c r="AH87" i="11" s="1"/>
  <c r="AH86" i="11" s="1"/>
  <c r="AF102" i="11"/>
  <c r="AF101" i="11" s="1"/>
  <c r="AM124" i="11"/>
  <c r="AX130" i="11"/>
  <c r="AU130" i="11"/>
  <c r="AV167" i="11"/>
  <c r="AX90" i="11"/>
  <c r="AU90" i="11"/>
  <c r="AX176" i="11"/>
  <c r="AP175" i="11"/>
  <c r="AX175" i="11" s="1"/>
  <c r="AJ18" i="11"/>
  <c r="AI17" i="11"/>
  <c r="AX20" i="11"/>
  <c r="AG30" i="11"/>
  <c r="AG16" i="11" s="1"/>
  <c r="AG15" i="11" s="1"/>
  <c r="AU40" i="11"/>
  <c r="AU39" i="11" s="1"/>
  <c r="AJ39" i="11"/>
  <c r="AD42" i="11"/>
  <c r="AJ56" i="11"/>
  <c r="AX89" i="11"/>
  <c r="AU89" i="11"/>
  <c r="AU99" i="11"/>
  <c r="AX99" i="11"/>
  <c r="AX116" i="11"/>
  <c r="AU116" i="11"/>
  <c r="AN164" i="11"/>
  <c r="AN163" i="11" s="1"/>
  <c r="AT168" i="11"/>
  <c r="AW168" i="11" s="1"/>
  <c r="AQ167" i="11"/>
  <c r="AT31" i="11"/>
  <c r="AW31" i="11" s="1"/>
  <c r="AQ30" i="11"/>
  <c r="AT30" i="11" s="1"/>
  <c r="AU35" i="11"/>
  <c r="AJ34" i="11"/>
  <c r="AU34" i="11" s="1"/>
  <c r="AH102" i="11"/>
  <c r="AV40" i="11"/>
  <c r="AV39" i="11" s="1"/>
  <c r="AP39" i="11"/>
  <c r="AX40" i="11"/>
  <c r="AV46" i="11"/>
  <c r="AK102" i="11"/>
  <c r="AQ123" i="11"/>
  <c r="AP154" i="11"/>
  <c r="AP149" i="11" s="1"/>
  <c r="AX155" i="11"/>
  <c r="AV166" i="11"/>
  <c r="AV165" i="11" s="1"/>
  <c r="AM165" i="11"/>
  <c r="AF149" i="11"/>
  <c r="AX67" i="11"/>
  <c r="AO94" i="11"/>
  <c r="AO87" i="11" s="1"/>
  <c r="AO86" i="11" s="1"/>
  <c r="AX115" i="11"/>
  <c r="AU115" i="11"/>
  <c r="AP117" i="11"/>
  <c r="AD124" i="11"/>
  <c r="AD123" i="11" s="1"/>
  <c r="AG149" i="11"/>
  <c r="AP171" i="11"/>
  <c r="AV171" i="11" s="1"/>
  <c r="AV170" i="11" s="1"/>
  <c r="AU179" i="11"/>
  <c r="AX179" i="11"/>
  <c r="AV181" i="11"/>
  <c r="AX313" i="11"/>
  <c r="AU313" i="11"/>
  <c r="AX416" i="11"/>
  <c r="AU416" i="11"/>
  <c r="AU429" i="11"/>
  <c r="AX429" i="11"/>
  <c r="AV72" i="11"/>
  <c r="AT251" i="11"/>
  <c r="AX767" i="11"/>
  <c r="AU767" i="11"/>
  <c r="AI825" i="11"/>
  <c r="AJ825" i="11" s="1"/>
  <c r="AG851" i="11"/>
  <c r="AX64" i="11"/>
  <c r="AV67" i="11"/>
  <c r="AO71" i="11"/>
  <c r="AO70" i="11" s="1"/>
  <c r="AI93" i="11"/>
  <c r="AG88" i="11"/>
  <c r="AG87" i="11" s="1"/>
  <c r="AG86" i="11" s="1"/>
  <c r="AT94" i="11"/>
  <c r="AD102" i="11"/>
  <c r="AJ104" i="11"/>
  <c r="AJ103" i="11" s="1"/>
  <c r="AX105" i="11"/>
  <c r="AU105" i="11"/>
  <c r="AE124" i="11"/>
  <c r="AE123" i="11" s="1"/>
  <c r="AI127" i="11"/>
  <c r="AH126" i="11"/>
  <c r="AH125" i="11" s="1"/>
  <c r="AH124" i="11" s="1"/>
  <c r="AH123" i="11" s="1"/>
  <c r="AT126" i="11"/>
  <c r="AU131" i="11"/>
  <c r="AH149" i="11"/>
  <c r="AD164" i="11"/>
  <c r="AD163" i="11" s="1"/>
  <c r="AW181" i="11"/>
  <c r="AU207" i="11"/>
  <c r="AJ251" i="11"/>
  <c r="AX251" i="11" s="1"/>
  <c r="AU237" i="11"/>
  <c r="AX237" i="11"/>
  <c r="AT538" i="11"/>
  <c r="AU424" i="11"/>
  <c r="AX424" i="11"/>
  <c r="AU490" i="11"/>
  <c r="AX490" i="11"/>
  <c r="AU667" i="11"/>
  <c r="AX667" i="11"/>
  <c r="AJ134" i="11"/>
  <c r="AU134" i="11" s="1"/>
  <c r="AX135" i="11"/>
  <c r="AO149" i="11"/>
  <c r="AD149" i="11"/>
  <c r="AU188" i="11"/>
  <c r="AX188" i="11"/>
  <c r="AG71" i="11"/>
  <c r="AG70" i="11" s="1"/>
  <c r="AP71" i="11"/>
  <c r="AW94" i="11"/>
  <c r="AO102" i="11"/>
  <c r="AT120" i="11"/>
  <c r="AW120" i="11" s="1"/>
  <c r="AQ119" i="11"/>
  <c r="AO124" i="11"/>
  <c r="AO123" i="11" s="1"/>
  <c r="AU135" i="11"/>
  <c r="AV155" i="11"/>
  <c r="AU158" i="11"/>
  <c r="AU240" i="11"/>
  <c r="AX240" i="11"/>
  <c r="AU444" i="11"/>
  <c r="AX444" i="11"/>
  <c r="AU714" i="11"/>
  <c r="AX714" i="11"/>
  <c r="AX61" i="11"/>
  <c r="AT78" i="11"/>
  <c r="AW78" i="11" s="1"/>
  <c r="AL155" i="11"/>
  <c r="AL154" i="11" s="1"/>
  <c r="AT160" i="11"/>
  <c r="AW160" i="11" s="1"/>
  <c r="AQ159" i="11"/>
  <c r="AT159" i="11" s="1"/>
  <c r="AW159" i="11" s="1"/>
  <c r="AU169" i="11"/>
  <c r="AJ168" i="11"/>
  <c r="AX168" i="11" s="1"/>
  <c r="AX169" i="11"/>
  <c r="AM170" i="11"/>
  <c r="AI180" i="11"/>
  <c r="AU627" i="11"/>
  <c r="AX627" i="11"/>
  <c r="AU140" i="11"/>
  <c r="AU139" i="11" s="1"/>
  <c r="AJ139" i="11"/>
  <c r="AP124" i="11"/>
  <c r="AV140" i="11"/>
  <c r="AV139" i="11" s="1"/>
  <c r="AP139" i="11"/>
  <c r="AO164" i="11"/>
  <c r="AO163" i="11" s="1"/>
  <c r="AV172" i="11"/>
  <c r="AU439" i="11"/>
  <c r="AX439" i="11"/>
  <c r="AU657" i="11"/>
  <c r="AX657" i="11"/>
  <c r="AX120" i="11"/>
  <c r="AX250" i="11"/>
  <c r="AU250" i="11"/>
  <c r="AU462" i="11"/>
  <c r="AX462" i="11"/>
  <c r="AU502" i="11"/>
  <c r="AX502" i="11"/>
  <c r="AU585" i="11"/>
  <c r="AX585" i="11"/>
  <c r="AU617" i="11"/>
  <c r="AX617" i="11"/>
  <c r="AI639" i="11"/>
  <c r="AJ639" i="11" s="1"/>
  <c r="AH744" i="11"/>
  <c r="AU670" i="11"/>
  <c r="AX670" i="11"/>
  <c r="AU718" i="11"/>
  <c r="AX718" i="11"/>
  <c r="AU805" i="11"/>
  <c r="AX805" i="11"/>
  <c r="AX813" i="11"/>
  <c r="AU813" i="11"/>
  <c r="AU960" i="11"/>
  <c r="AX960" i="11"/>
  <c r="AU1023" i="11"/>
  <c r="AX1023" i="11"/>
  <c r="AU1364" i="11"/>
  <c r="AX1364" i="11"/>
  <c r="AX1400" i="11"/>
  <c r="AU1400" i="11"/>
  <c r="AX1402" i="11"/>
  <c r="AU1402" i="11"/>
  <c r="AT173" i="11"/>
  <c r="AW173" i="11" s="1"/>
  <c r="AQ172" i="11"/>
  <c r="AV251" i="11"/>
  <c r="AI251" i="11"/>
  <c r="AU266" i="11"/>
  <c r="AX266" i="11"/>
  <c r="AX417" i="11"/>
  <c r="AU417" i="11"/>
  <c r="AX419" i="11"/>
  <c r="AU419" i="11"/>
  <c r="AU468" i="11"/>
  <c r="AX468" i="11"/>
  <c r="AU505" i="11"/>
  <c r="AX505" i="11"/>
  <c r="AU633" i="11"/>
  <c r="AX633" i="11"/>
  <c r="AU666" i="11"/>
  <c r="AX666" i="11"/>
  <c r="AU752" i="11"/>
  <c r="AX752" i="11"/>
  <c r="AU496" i="11"/>
  <c r="AX496" i="11"/>
  <c r="AX581" i="11"/>
  <c r="AU581" i="11"/>
  <c r="AU707" i="11"/>
  <c r="AX707" i="11"/>
  <c r="AU712" i="11"/>
  <c r="AX712" i="11"/>
  <c r="AU864" i="11"/>
  <c r="AX1005" i="11"/>
  <c r="AU1005" i="11"/>
  <c r="AQ139" i="11"/>
  <c r="AT139" i="11" s="1"/>
  <c r="AQ154" i="11"/>
  <c r="AT154" i="11" s="1"/>
  <c r="AJ159" i="11"/>
  <c r="AU263" i="11"/>
  <c r="AX263" i="11"/>
  <c r="AG538" i="11"/>
  <c r="AI409" i="11"/>
  <c r="AJ409" i="11" s="1"/>
  <c r="AU493" i="11"/>
  <c r="AU598" i="11"/>
  <c r="AX599" i="11"/>
  <c r="AU599" i="11"/>
  <c r="AU628" i="11"/>
  <c r="AX628" i="11"/>
  <c r="AU661" i="11"/>
  <c r="AX661" i="11"/>
  <c r="AX663" i="11"/>
  <c r="AU668" i="11"/>
  <c r="AX668" i="11"/>
  <c r="AX806" i="11"/>
  <c r="AU806" i="11"/>
  <c r="AU845" i="11"/>
  <c r="AX845" i="11"/>
  <c r="AL181" i="11"/>
  <c r="AL180" i="11" s="1"/>
  <c r="AL164" i="11" s="1"/>
  <c r="AL163" i="11" s="1"/>
  <c r="AU229" i="11"/>
  <c r="AU312" i="11"/>
  <c r="AU319" i="11"/>
  <c r="AU328" i="11"/>
  <c r="AX415" i="11"/>
  <c r="AU588" i="11"/>
  <c r="AX588" i="11"/>
  <c r="AX597" i="11"/>
  <c r="AU597" i="11"/>
  <c r="AX684" i="11"/>
  <c r="AU684" i="11"/>
  <c r="AU804" i="11"/>
  <c r="AX804" i="11"/>
  <c r="AQ71" i="11"/>
  <c r="AJ119" i="11"/>
  <c r="AX119" i="11" s="1"/>
  <c r="AW178" i="11"/>
  <c r="AW177" i="11" s="1"/>
  <c r="AW176" i="11" s="1"/>
  <c r="AW175" i="11" s="1"/>
  <c r="AT177" i="11"/>
  <c r="AT176" i="11" s="1"/>
  <c r="AT175" i="11" s="1"/>
  <c r="AT181" i="11"/>
  <c r="AT188" i="11"/>
  <c r="AW188" i="11" s="1"/>
  <c r="AU238" i="11"/>
  <c r="AX238" i="11"/>
  <c r="AJ262" i="11"/>
  <c r="AX438" i="11"/>
  <c r="AX443" i="11"/>
  <c r="AX447" i="11"/>
  <c r="AU464" i="11"/>
  <c r="AX464" i="11"/>
  <c r="AU503" i="11"/>
  <c r="AX503" i="11"/>
  <c r="AU515" i="11"/>
  <c r="AU671" i="11"/>
  <c r="AX671" i="11"/>
  <c r="AU814" i="11"/>
  <c r="AX814" i="11"/>
  <c r="AX1113" i="11"/>
  <c r="AU1113" i="11"/>
  <c r="AX564" i="11"/>
  <c r="AU564" i="11"/>
  <c r="AU654" i="11"/>
  <c r="AX654" i="11"/>
  <c r="AU788" i="11"/>
  <c r="AX788" i="11"/>
  <c r="AU973" i="11"/>
  <c r="AX973" i="11"/>
  <c r="AX1201" i="11"/>
  <c r="AU1201" i="11"/>
  <c r="AX1215" i="11"/>
  <c r="AU1215" i="11"/>
  <c r="AU1280" i="11"/>
  <c r="AX1280" i="11"/>
  <c r="AH538" i="11"/>
  <c r="AX565" i="11"/>
  <c r="AU565" i="11"/>
  <c r="AX575" i="11"/>
  <c r="AU575" i="11"/>
  <c r="AX578" i="11"/>
  <c r="AU578" i="11"/>
  <c r="AX642" i="11"/>
  <c r="AU642" i="11"/>
  <c r="AU945" i="11"/>
  <c r="AX945" i="11"/>
  <c r="AX1111" i="11"/>
  <c r="AU1111" i="11"/>
  <c r="AJ1356" i="11"/>
  <c r="AI431" i="11"/>
  <c r="AJ431" i="11" s="1"/>
  <c r="AU514" i="11"/>
  <c r="AX569" i="11"/>
  <c r="AU569" i="11"/>
  <c r="AX664" i="11"/>
  <c r="AU664" i="11"/>
  <c r="AJ750" i="11"/>
  <c r="AU793" i="11"/>
  <c r="AU850" i="11"/>
  <c r="AX850" i="11"/>
  <c r="AX896" i="11"/>
  <c r="AU896" i="11"/>
  <c r="AU938" i="11"/>
  <c r="AX938" i="11"/>
  <c r="AX1126" i="11"/>
  <c r="AU1126" i="11"/>
  <c r="AX1189" i="11"/>
  <c r="AU1189" i="11"/>
  <c r="AU1324" i="11"/>
  <c r="AX1324" i="11"/>
  <c r="AU508" i="11"/>
  <c r="AL744" i="11"/>
  <c r="AU616" i="11"/>
  <c r="AX616" i="11"/>
  <c r="AU620" i="11"/>
  <c r="AX680" i="11"/>
  <c r="AU779" i="11"/>
  <c r="AU808" i="11"/>
  <c r="AU821" i="11"/>
  <c r="AX821" i="11"/>
  <c r="AU906" i="11"/>
  <c r="AU915" i="11"/>
  <c r="AX1035" i="11"/>
  <c r="AU1035" i="11"/>
  <c r="AX1066" i="11"/>
  <c r="AU1066" i="11"/>
  <c r="AX1076" i="11"/>
  <c r="AU1076" i="11"/>
  <c r="AX563" i="11"/>
  <c r="AU563" i="11"/>
  <c r="AX589" i="11"/>
  <c r="AU589" i="11"/>
  <c r="AX614" i="11"/>
  <c r="AU644" i="11"/>
  <c r="AU655" i="11"/>
  <c r="AX655" i="11"/>
  <c r="AU754" i="11"/>
  <c r="AU811" i="11"/>
  <c r="AU831" i="11"/>
  <c r="AU890" i="11"/>
  <c r="AX890" i="11"/>
  <c r="AX909" i="11"/>
  <c r="AU909" i="11"/>
  <c r="AX1013" i="11"/>
  <c r="AU1013" i="11"/>
  <c r="AX1015" i="11"/>
  <c r="AU1015" i="11"/>
  <c r="AX1117" i="11"/>
  <c r="AU1117" i="11"/>
  <c r="AX1120" i="11"/>
  <c r="AU1120" i="11"/>
  <c r="AV538" i="11"/>
  <c r="AU526" i="11"/>
  <c r="AX548" i="11"/>
  <c r="AU550" i="11"/>
  <c r="AU580" i="11"/>
  <c r="AU595" i="11"/>
  <c r="AX679" i="11"/>
  <c r="AU715" i="11"/>
  <c r="AX715" i="11"/>
  <c r="AX844" i="11"/>
  <c r="AX997" i="11"/>
  <c r="AU997" i="11"/>
  <c r="AX954" i="11"/>
  <c r="AU954" i="11"/>
  <c r="AJ1098" i="11"/>
  <c r="AH1141" i="11"/>
  <c r="AI1109" i="11"/>
  <c r="AJ1109" i="11" s="1"/>
  <c r="AG744" i="11"/>
  <c r="AU832" i="11"/>
  <c r="AL1089" i="11"/>
  <c r="AU874" i="11"/>
  <c r="AU1009" i="11"/>
  <c r="AX1082" i="11"/>
  <c r="AU1082" i="11"/>
  <c r="AX1232" i="11"/>
  <c r="AU1232" i="11"/>
  <c r="AX1412" i="11"/>
  <c r="AU1412" i="11"/>
  <c r="AX1415" i="11"/>
  <c r="AU1415" i="11"/>
  <c r="AU1440" i="11"/>
  <c r="AX1440" i="11"/>
  <c r="AV1089" i="11"/>
  <c r="AG1089" i="11"/>
  <c r="AH1089" i="11"/>
  <c r="AI883" i="11"/>
  <c r="AJ883" i="11" s="1"/>
  <c r="AX888" i="11"/>
  <c r="AU888" i="11"/>
  <c r="AX904" i="11"/>
  <c r="AU904" i="11"/>
  <c r="AU949" i="11"/>
  <c r="AX949" i="11"/>
  <c r="AX994" i="11"/>
  <c r="AU994" i="11"/>
  <c r="AX1000" i="11"/>
  <c r="AU1000" i="11"/>
  <c r="AX1012" i="11"/>
  <c r="AU1012" i="11"/>
  <c r="AX1014" i="11"/>
  <c r="AU1014" i="11"/>
  <c r="AX1016" i="11"/>
  <c r="AU1016" i="11"/>
  <c r="AX1072" i="11"/>
  <c r="AU1072" i="11"/>
  <c r="AW1165" i="11"/>
  <c r="AT1178" i="11"/>
  <c r="AX1214" i="11"/>
  <c r="AU1214" i="11"/>
  <c r="AX1217" i="11"/>
  <c r="AU1217" i="11"/>
  <c r="AT851" i="11"/>
  <c r="AW1089" i="11"/>
  <c r="AX919" i="11"/>
  <c r="AU919" i="11"/>
  <c r="AX1083" i="11"/>
  <c r="AU1083" i="11"/>
  <c r="AU1131" i="11"/>
  <c r="AX1131" i="11"/>
  <c r="AU1210" i="11"/>
  <c r="AX1210" i="11"/>
  <c r="AI567" i="11"/>
  <c r="AH851" i="11"/>
  <c r="AL851" i="11"/>
  <c r="AX952" i="11"/>
  <c r="AX1115" i="11"/>
  <c r="AU1115" i="11"/>
  <c r="AX1119" i="11"/>
  <c r="AU1119" i="11"/>
  <c r="AX1273" i="11"/>
  <c r="AU1273" i="11"/>
  <c r="AE1442" i="11"/>
  <c r="AI1371" i="11"/>
  <c r="AJ1371" i="11" s="1"/>
  <c r="AX1374" i="11"/>
  <c r="AU1374" i="11"/>
  <c r="AX1376" i="11"/>
  <c r="AU1376" i="11"/>
  <c r="AX1389" i="11"/>
  <c r="AU1389" i="11"/>
  <c r="AX1391" i="11"/>
  <c r="AU1391" i="11"/>
  <c r="AV851" i="11"/>
  <c r="AU898" i="11"/>
  <c r="AX903" i="11"/>
  <c r="AU903" i="11"/>
  <c r="AX908" i="11"/>
  <c r="AU908" i="11"/>
  <c r="AU936" i="11"/>
  <c r="AU947" i="11"/>
  <c r="AX947" i="11"/>
  <c r="AT1089" i="11"/>
  <c r="AU1124" i="11"/>
  <c r="AW1296" i="11"/>
  <c r="AU1368" i="11"/>
  <c r="AX1368" i="11"/>
  <c r="AU1387" i="11"/>
  <c r="AX1387" i="11"/>
  <c r="AX943" i="11"/>
  <c r="AX1021" i="11"/>
  <c r="AX1102" i="11"/>
  <c r="AV1234" i="11"/>
  <c r="AX1251" i="11"/>
  <c r="AU1251" i="11"/>
  <c r="AX1275" i="11"/>
  <c r="AU1275" i="11"/>
  <c r="AX1360" i="11"/>
  <c r="AU1360" i="11"/>
  <c r="AX1433" i="11"/>
  <c r="AU1433" i="11"/>
  <c r="AX1282" i="11"/>
  <c r="AU1282" i="11"/>
  <c r="AX1286" i="11"/>
  <c r="AU1286" i="11"/>
  <c r="AW1326" i="11"/>
  <c r="AU1351" i="11"/>
  <c r="AX1370" i="11"/>
  <c r="AU1370" i="11"/>
  <c r="AX1375" i="11"/>
  <c r="AU1375" i="11"/>
  <c r="AX1377" i="11"/>
  <c r="AU1377" i="11"/>
  <c r="AX1401" i="11"/>
  <c r="AU1401" i="11"/>
  <c r="AX1405" i="11"/>
  <c r="AU1405" i="11"/>
  <c r="AX1414" i="11"/>
  <c r="AU1414" i="11"/>
  <c r="AX1416" i="11"/>
  <c r="AU1416" i="11"/>
  <c r="AV1141" i="11"/>
  <c r="AX1274" i="11"/>
  <c r="AU1274" i="11"/>
  <c r="AU1294" i="11"/>
  <c r="AX1294" i="11"/>
  <c r="AX1307" i="11"/>
  <c r="AU1307" i="11"/>
  <c r="AX1338" i="11"/>
  <c r="AJ1341" i="11"/>
  <c r="AX1341" i="11" s="1"/>
  <c r="AU1338" i="11"/>
  <c r="AX1432" i="11"/>
  <c r="AU1432" i="11"/>
  <c r="AX1434" i="11"/>
  <c r="AU1434" i="11"/>
  <c r="AU1439" i="11"/>
  <c r="AX1439" i="11"/>
  <c r="AU1139" i="11"/>
  <c r="AU1167" i="11"/>
  <c r="AX1212" i="11"/>
  <c r="AU1212" i="11"/>
  <c r="AU1290" i="11"/>
  <c r="AT1442" i="11"/>
  <c r="AX1369" i="11"/>
  <c r="AU1369" i="11"/>
  <c r="AX1176" i="11"/>
  <c r="AU1195" i="11"/>
  <c r="AX1195" i="11"/>
  <c r="AX1197" i="11"/>
  <c r="AW1253" i="11"/>
  <c r="AX1284" i="11"/>
  <c r="AU1284" i="11"/>
  <c r="AV1442" i="11"/>
  <c r="AX1352" i="11"/>
  <c r="AX1359" i="11"/>
  <c r="AU1359" i="11"/>
  <c r="AU1361" i="11"/>
  <c r="AU1363" i="11"/>
  <c r="AX1363" i="11"/>
  <c r="AU1381" i="11"/>
  <c r="AU1384" i="11"/>
  <c r="AX1384" i="11"/>
  <c r="AW1234" i="11"/>
  <c r="AU1191" i="11"/>
  <c r="AX1199" i="11"/>
  <c r="AU1199" i="11"/>
  <c r="AX1202" i="11"/>
  <c r="AU1202" i="11"/>
  <c r="AV1296" i="11"/>
  <c r="AX1271" i="11"/>
  <c r="AX1320" i="11"/>
  <c r="AU1320" i="11"/>
  <c r="AX1355" i="11"/>
  <c r="AU1355" i="11"/>
  <c r="AX1388" i="11"/>
  <c r="AU1388" i="11"/>
  <c r="AX1390" i="11"/>
  <c r="AU1390" i="11"/>
  <c r="AU1392" i="11"/>
  <c r="AU1396" i="11"/>
  <c r="AX1396" i="11"/>
  <c r="AX1399" i="11"/>
  <c r="AU1408" i="11"/>
  <c r="AX1408" i="11"/>
  <c r="AX1411" i="11"/>
  <c r="AX1248" i="11"/>
  <c r="AX1278" i="11"/>
  <c r="AX1292" i="11"/>
  <c r="AX1362" i="11"/>
  <c r="AX1383" i="11"/>
  <c r="AX1395" i="11"/>
  <c r="AX1407" i="11"/>
  <c r="AX1420" i="11"/>
  <c r="AI1150" i="11"/>
  <c r="AT1326" i="11"/>
  <c r="AX1186" i="11"/>
  <c r="AJ1264" i="11"/>
  <c r="AI1422" i="11"/>
  <c r="AJ1422" i="11" s="1"/>
  <c r="AU1430" i="11"/>
  <c r="AI1318" i="11"/>
  <c r="AO100" i="10"/>
  <c r="AO99" i="10"/>
  <c r="AO98" i="10"/>
  <c r="AO97" i="10"/>
  <c r="AO96" i="10"/>
  <c r="AL1407" i="10"/>
  <c r="AL1406" i="10"/>
  <c r="AL1344" i="10"/>
  <c r="AL1342" i="10"/>
  <c r="AL1319" i="10"/>
  <c r="AL1318" i="10"/>
  <c r="AL1302" i="10"/>
  <c r="AL1289" i="10"/>
  <c r="AL1287" i="10"/>
  <c r="AL1285" i="10"/>
  <c r="AL1274" i="10"/>
  <c r="AL1273" i="10"/>
  <c r="AL1232" i="10"/>
  <c r="AL1231" i="10"/>
  <c r="AL1230" i="10"/>
  <c r="AL1212" i="10"/>
  <c r="AL1211" i="10"/>
  <c r="AL1210" i="10"/>
  <c r="AL1161" i="10"/>
  <c r="AL1157" i="10"/>
  <c r="AL1156" i="10"/>
  <c r="AL1155" i="10"/>
  <c r="AL1181" i="10"/>
  <c r="AL1180" i="10"/>
  <c r="AL1176" i="10"/>
  <c r="AL1032" i="10"/>
  <c r="AL996" i="10"/>
  <c r="AL1053" i="10"/>
  <c r="AL1042" i="10"/>
  <c r="AL1001" i="10"/>
  <c r="AL1000" i="10"/>
  <c r="AL968" i="10"/>
  <c r="AL966" i="10"/>
  <c r="AL962" i="10"/>
  <c r="AL960" i="10"/>
  <c r="AL946" i="10"/>
  <c r="AL926" i="10"/>
  <c r="AL922" i="10"/>
  <c r="AL918" i="10"/>
  <c r="AL896" i="10"/>
  <c r="AL890" i="10"/>
  <c r="AL880" i="10"/>
  <c r="AL879" i="10"/>
  <c r="AL875" i="10"/>
  <c r="AL873" i="10"/>
  <c r="AL871" i="10"/>
  <c r="AL869" i="10"/>
  <c r="AL867" i="10"/>
  <c r="AL856" i="10"/>
  <c r="AL858" i="10"/>
  <c r="AL865" i="10"/>
  <c r="AL929" i="10"/>
  <c r="AL924" i="10"/>
  <c r="AL973" i="10"/>
  <c r="AL972" i="10"/>
  <c r="AL885" i="10"/>
  <c r="AL913" i="10"/>
  <c r="AL917" i="10"/>
  <c r="AL981" i="10"/>
  <c r="AL980" i="10"/>
  <c r="AL979" i="10"/>
  <c r="AL978" i="10"/>
  <c r="AL977" i="10"/>
  <c r="AL1005" i="10"/>
  <c r="AL1016" i="10"/>
  <c r="AL1048" i="10"/>
  <c r="AL1047" i="10"/>
  <c r="AT180" i="11" l="1"/>
  <c r="AW180" i="11" s="1"/>
  <c r="AP16" i="11"/>
  <c r="AW30" i="11"/>
  <c r="AK101" i="11"/>
  <c r="AW1178" i="11"/>
  <c r="AJ1089" i="11"/>
  <c r="AX1089" i="11" s="1"/>
  <c r="AW744" i="11"/>
  <c r="AE191" i="11"/>
  <c r="AU96" i="11"/>
  <c r="AT124" i="11"/>
  <c r="AJ173" i="11"/>
  <c r="AJ172" i="11" s="1"/>
  <c r="AX174" i="11"/>
  <c r="AS14" i="11"/>
  <c r="AS13" i="11" s="1"/>
  <c r="AU187" i="11"/>
  <c r="AU181" i="11" s="1"/>
  <c r="AG101" i="11"/>
  <c r="AX1306" i="11"/>
  <c r="AX1309" i="11" s="1"/>
  <c r="AV180" i="11"/>
  <c r="AV164" i="11" s="1"/>
  <c r="AV163" i="11" s="1"/>
  <c r="AU180" i="11"/>
  <c r="AT123" i="11"/>
  <c r="AS101" i="11"/>
  <c r="AT86" i="11"/>
  <c r="AT87" i="11"/>
  <c r="AN14" i="11"/>
  <c r="AN13" i="11" s="1"/>
  <c r="AI16" i="11"/>
  <c r="AI15" i="11" s="1"/>
  <c r="AJ30" i="11"/>
  <c r="AU30" i="11" s="1"/>
  <c r="AW16" i="11"/>
  <c r="AW15" i="11" s="1"/>
  <c r="AN101" i="11"/>
  <c r="AH16" i="11"/>
  <c r="AH15" i="11" s="1"/>
  <c r="AH14" i="11" s="1"/>
  <c r="AH13" i="11" s="1"/>
  <c r="AG14" i="11"/>
  <c r="AG13" i="11" s="1"/>
  <c r="AV118" i="11"/>
  <c r="AV117" i="11" s="1"/>
  <c r="AV102" i="11" s="1"/>
  <c r="AX24" i="11"/>
  <c r="AE101" i="11"/>
  <c r="AU1253" i="11"/>
  <c r="AI164" i="11"/>
  <c r="AI163" i="11" s="1"/>
  <c r="AU1341" i="11"/>
  <c r="AX104" i="11"/>
  <c r="AT191" i="11"/>
  <c r="AL30" i="11"/>
  <c r="AL16" i="11" s="1"/>
  <c r="AL15" i="11" s="1"/>
  <c r="AI149" i="11"/>
  <c r="AJ154" i="11"/>
  <c r="AX154" i="11" s="1"/>
  <c r="AG191" i="11"/>
  <c r="AD14" i="11"/>
  <c r="AD13" i="11" s="1"/>
  <c r="AU98" i="11"/>
  <c r="AO14" i="11"/>
  <c r="AO13" i="11" s="1"/>
  <c r="AS164" i="11"/>
  <c r="AS163" i="11" s="1"/>
  <c r="AX46" i="11"/>
  <c r="AF14" i="11"/>
  <c r="AF13" i="11" s="1"/>
  <c r="AF12" i="11" s="1"/>
  <c r="AF11" i="11" s="1"/>
  <c r="AU1306" i="11"/>
  <c r="AU1309" i="11" s="1"/>
  <c r="AK14" i="11"/>
  <c r="AK13" i="11" s="1"/>
  <c r="AK12" i="11" s="1"/>
  <c r="AK11" i="11" s="1"/>
  <c r="AD101" i="11"/>
  <c r="AV119" i="11"/>
  <c r="AL87" i="11"/>
  <c r="AL86" i="11" s="1"/>
  <c r="AJ53" i="11"/>
  <c r="AI52" i="11"/>
  <c r="AV30" i="11"/>
  <c r="AV16" i="11" s="1"/>
  <c r="AV15" i="11" s="1"/>
  <c r="AX181" i="11"/>
  <c r="AM149" i="11"/>
  <c r="AJ1234" i="11"/>
  <c r="AX1234" i="11" s="1"/>
  <c r="AH101" i="11"/>
  <c r="AI1442" i="11"/>
  <c r="AU147" i="11"/>
  <c r="AU143" i="11" s="1"/>
  <c r="AX147" i="11"/>
  <c r="AI1234" i="11"/>
  <c r="AU1204" i="11"/>
  <c r="AU1234" i="11" s="1"/>
  <c r="AE14" i="11"/>
  <c r="AE13" i="11" s="1"/>
  <c r="AQ16" i="11"/>
  <c r="AQ15" i="11" s="1"/>
  <c r="AW87" i="11"/>
  <c r="AW86" i="11" s="1"/>
  <c r="AR14" i="11"/>
  <c r="AR13" i="11" s="1"/>
  <c r="AR12" i="11" s="1"/>
  <c r="AR11" i="11" s="1"/>
  <c r="AV87" i="11"/>
  <c r="AV86" i="11" s="1"/>
  <c r="AL71" i="11"/>
  <c r="AL70" i="11" s="1"/>
  <c r="AL42" i="11"/>
  <c r="AV191" i="11"/>
  <c r="AL101" i="11"/>
  <c r="AH191" i="11"/>
  <c r="AL149" i="11"/>
  <c r="AL191" i="11"/>
  <c r="AT149" i="11"/>
  <c r="AU251" i="11"/>
  <c r="AX39" i="11"/>
  <c r="AX1356" i="11"/>
  <c r="AU1356" i="11"/>
  <c r="AP102" i="11"/>
  <c r="AU56" i="11"/>
  <c r="AX56" i="11"/>
  <c r="AJ55" i="11"/>
  <c r="AI1178" i="11"/>
  <c r="AJ1150" i="11"/>
  <c r="AX1371" i="11"/>
  <c r="AU1371" i="11"/>
  <c r="AJ1141" i="11"/>
  <c r="AX1141" i="11" s="1"/>
  <c r="AU1098" i="11"/>
  <c r="AI538" i="11"/>
  <c r="AP70" i="11"/>
  <c r="AQ149" i="11"/>
  <c r="AT167" i="11"/>
  <c r="AW167" i="11" s="1"/>
  <c r="AQ166" i="11"/>
  <c r="AJ17" i="11"/>
  <c r="AX18" i="11"/>
  <c r="AU18" i="11"/>
  <c r="AU17" i="11" s="1"/>
  <c r="AJ851" i="11"/>
  <c r="AX851" i="11" s="1"/>
  <c r="AU750" i="11"/>
  <c r="AX750" i="11"/>
  <c r="AW124" i="11"/>
  <c r="AW123" i="11" s="1"/>
  <c r="AP123" i="11"/>
  <c r="AI851" i="11"/>
  <c r="AQ171" i="11"/>
  <c r="AT172" i="11"/>
  <c r="AW172" i="11" s="1"/>
  <c r="AU883" i="11"/>
  <c r="AU1089" i="11" s="1"/>
  <c r="AX883" i="11"/>
  <c r="AI1141" i="11"/>
  <c r="AU173" i="11"/>
  <c r="AX173" i="11"/>
  <c r="AT119" i="11"/>
  <c r="AW119" i="11" s="1"/>
  <c r="AQ118" i="11"/>
  <c r="AU104" i="11"/>
  <c r="AU103" i="11" s="1"/>
  <c r="AM164" i="11"/>
  <c r="AM163" i="11" s="1"/>
  <c r="AV124" i="11"/>
  <c r="AV123" i="11" s="1"/>
  <c r="AM123" i="11"/>
  <c r="AM101" i="11" s="1"/>
  <c r="AJ567" i="11"/>
  <c r="AI744" i="11"/>
  <c r="AX825" i="11"/>
  <c r="AU825" i="11"/>
  <c r="AW154" i="11"/>
  <c r="AW149" i="11" s="1"/>
  <c r="AJ44" i="11"/>
  <c r="AJ43" i="11" s="1"/>
  <c r="AI43" i="11"/>
  <c r="AX1109" i="11"/>
  <c r="AU1109" i="11"/>
  <c r="AJ93" i="11"/>
  <c r="AI88" i="11"/>
  <c r="AJ1318" i="11"/>
  <c r="AI1326" i="11"/>
  <c r="AJ1442" i="11"/>
  <c r="AX1442" i="11" s="1"/>
  <c r="AI1089" i="11"/>
  <c r="AU119" i="11"/>
  <c r="AJ118" i="11"/>
  <c r="AU159" i="11"/>
  <c r="AX159" i="11"/>
  <c r="AV154" i="11"/>
  <c r="AV149" i="11" s="1"/>
  <c r="AU168" i="11"/>
  <c r="AJ167" i="11"/>
  <c r="AM14" i="11"/>
  <c r="AM13" i="11" s="1"/>
  <c r="AJ75" i="11"/>
  <c r="AX76" i="11"/>
  <c r="AU76" i="11"/>
  <c r="AW42" i="11"/>
  <c r="AJ538" i="11"/>
  <c r="AX538" i="11" s="1"/>
  <c r="AU262" i="11"/>
  <c r="AX262" i="11"/>
  <c r="AT71" i="11"/>
  <c r="AT70" i="11" s="1"/>
  <c r="AQ70" i="11"/>
  <c r="AU639" i="11"/>
  <c r="AX639" i="11"/>
  <c r="AX139" i="11"/>
  <c r="AO101" i="11"/>
  <c r="AX103" i="11"/>
  <c r="AX134" i="11"/>
  <c r="AV42" i="11"/>
  <c r="AP15" i="11"/>
  <c r="AU409" i="11"/>
  <c r="AX409" i="11"/>
  <c r="AJ127" i="11"/>
  <c r="AI126" i="11"/>
  <c r="AI125" i="11" s="1"/>
  <c r="AI124" i="11" s="1"/>
  <c r="AI123" i="11" s="1"/>
  <c r="AI101" i="11" s="1"/>
  <c r="AU1422" i="11"/>
  <c r="AX1422" i="11"/>
  <c r="AU1264" i="11"/>
  <c r="AU1296" i="11" s="1"/>
  <c r="AX1264" i="11"/>
  <c r="AJ1296" i="11"/>
  <c r="AX1296" i="11" s="1"/>
  <c r="AU431" i="11"/>
  <c r="AX431" i="11"/>
  <c r="AX180" i="11"/>
  <c r="AP170" i="11"/>
  <c r="AV71" i="11"/>
  <c r="AV70" i="11" s="1"/>
  <c r="AI94" i="11"/>
  <c r="AJ95" i="11"/>
  <c r="AX34" i="11"/>
  <c r="AL703" i="10"/>
  <c r="AL711" i="10"/>
  <c r="AL669" i="10"/>
  <c r="AL668" i="10"/>
  <c r="AL667" i="10"/>
  <c r="AL665" i="10"/>
  <c r="AL664" i="10"/>
  <c r="AL650" i="10"/>
  <c r="AL646" i="10"/>
  <c r="AL644" i="10"/>
  <c r="AL641" i="10"/>
  <c r="AL633" i="10"/>
  <c r="AL630" i="10"/>
  <c r="AL684" i="10"/>
  <c r="AL683" i="10"/>
  <c r="AL682" i="10"/>
  <c r="AL681" i="10"/>
  <c r="AL687" i="10"/>
  <c r="AL692" i="10"/>
  <c r="AL671" i="10"/>
  <c r="AL657" i="10"/>
  <c r="AL656" i="10"/>
  <c r="AL655" i="10"/>
  <c r="AL636" i="10"/>
  <c r="AL629" i="10"/>
  <c r="AL628" i="10"/>
  <c r="AL615" i="10"/>
  <c r="AL608" i="10"/>
  <c r="AL607" i="10"/>
  <c r="AL595" i="10"/>
  <c r="AL590" i="10"/>
  <c r="AL588" i="10"/>
  <c r="AL586" i="10"/>
  <c r="AL581" i="10"/>
  <c r="AL577" i="10"/>
  <c r="AL575" i="10"/>
  <c r="AL574" i="10"/>
  <c r="AL572" i="10"/>
  <c r="AL563" i="10"/>
  <c r="AL559" i="10"/>
  <c r="AL558" i="10"/>
  <c r="AL557" i="10"/>
  <c r="AL544" i="10"/>
  <c r="AL567" i="10"/>
  <c r="AL621" i="10"/>
  <c r="AL680" i="10"/>
  <c r="AL679" i="10"/>
  <c r="AL678" i="10"/>
  <c r="AL677" i="10"/>
  <c r="AL693" i="10"/>
  <c r="AL699" i="10"/>
  <c r="AL697" i="10"/>
  <c r="AL696" i="10"/>
  <c r="AL695" i="10"/>
  <c r="AL713" i="10"/>
  <c r="AL727" i="10"/>
  <c r="AL549" i="10"/>
  <c r="AL479" i="10"/>
  <c r="AL444" i="10"/>
  <c r="AL443" i="10"/>
  <c r="AL442" i="10"/>
  <c r="AL441" i="10"/>
  <c r="AL440" i="10"/>
  <c r="AL439" i="10"/>
  <c r="AL438" i="10"/>
  <c r="AL437" i="10"/>
  <c r="AL424" i="10"/>
  <c r="AU154" i="11" l="1"/>
  <c r="AW191" i="11"/>
  <c r="AJ149" i="11"/>
  <c r="AX149" i="11" s="1"/>
  <c r="AU16" i="11"/>
  <c r="AU15" i="11" s="1"/>
  <c r="AS12" i="11"/>
  <c r="AS11" i="11" s="1"/>
  <c r="AD12" i="11"/>
  <c r="AD11" i="11" s="1"/>
  <c r="AX30" i="11"/>
  <c r="AE12" i="11"/>
  <c r="AE11" i="11" s="1"/>
  <c r="AG12" i="11"/>
  <c r="AG11" i="11" s="1"/>
  <c r="AN12" i="11"/>
  <c r="AN11" i="11" s="1"/>
  <c r="AI42" i="11"/>
  <c r="AI14" i="11" s="1"/>
  <c r="AI13" i="11" s="1"/>
  <c r="AT16" i="11"/>
  <c r="AU1442" i="11"/>
  <c r="AO12" i="11"/>
  <c r="AO11" i="11" s="1"/>
  <c r="AH12" i="11"/>
  <c r="AH11" i="11" s="1"/>
  <c r="AL14" i="11"/>
  <c r="AL13" i="11" s="1"/>
  <c r="AL12" i="11" s="1"/>
  <c r="AU149" i="11"/>
  <c r="AU1141" i="11"/>
  <c r="AJ52" i="11"/>
  <c r="AX53" i="11"/>
  <c r="AU53" i="11"/>
  <c r="AV101" i="11"/>
  <c r="AI191" i="11"/>
  <c r="AV14" i="11"/>
  <c r="AV13" i="11" s="1"/>
  <c r="AM12" i="11"/>
  <c r="AM11" i="11" s="1"/>
  <c r="AU118" i="11"/>
  <c r="AU117" i="11" s="1"/>
  <c r="AU102" i="11" s="1"/>
  <c r="AJ117" i="11"/>
  <c r="AX118" i="11"/>
  <c r="AI87" i="11"/>
  <c r="AI86" i="11" s="1"/>
  <c r="AP14" i="11"/>
  <c r="AU538" i="11"/>
  <c r="AU93" i="11"/>
  <c r="AU88" i="11" s="1"/>
  <c r="AJ88" i="11"/>
  <c r="AU55" i="11"/>
  <c r="AX55" i="11"/>
  <c r="AU95" i="11"/>
  <c r="AU94" i="11" s="1"/>
  <c r="AJ94" i="11"/>
  <c r="AX94" i="11" s="1"/>
  <c r="AX95" i="11"/>
  <c r="AU167" i="11"/>
  <c r="AJ166" i="11"/>
  <c r="AX167" i="11"/>
  <c r="AT166" i="11"/>
  <c r="AW166" i="11" s="1"/>
  <c r="AW165" i="11" s="1"/>
  <c r="AQ165" i="11"/>
  <c r="AU567" i="11"/>
  <c r="AU744" i="11" s="1"/>
  <c r="AJ744" i="11"/>
  <c r="AX744" i="11" s="1"/>
  <c r="AT118" i="11"/>
  <c r="AW118" i="11" s="1"/>
  <c r="AW117" i="11" s="1"/>
  <c r="AW102" i="11" s="1"/>
  <c r="AW101" i="11" s="1"/>
  <c r="AQ117" i="11"/>
  <c r="AU851" i="11"/>
  <c r="AU44" i="11"/>
  <c r="AX44" i="11"/>
  <c r="AP101" i="11"/>
  <c r="AJ126" i="11"/>
  <c r="AU127" i="11"/>
  <c r="AU126" i="11" s="1"/>
  <c r="AX127" i="11"/>
  <c r="AX1318" i="11"/>
  <c r="AU1318" i="11"/>
  <c r="AU1326" i="11" s="1"/>
  <c r="AJ1326" i="11"/>
  <c r="AX1326" i="11" s="1"/>
  <c r="AQ170" i="11"/>
  <c r="AT171" i="11"/>
  <c r="AT15" i="11"/>
  <c r="AQ14" i="11"/>
  <c r="AJ16" i="11"/>
  <c r="AX17" i="11"/>
  <c r="AP164" i="11"/>
  <c r="AU75" i="11"/>
  <c r="AJ71" i="11"/>
  <c r="AX75" i="11"/>
  <c r="AJ171" i="11"/>
  <c r="AU172" i="11"/>
  <c r="AX172" i="11"/>
  <c r="AW71" i="11"/>
  <c r="AW70" i="11" s="1"/>
  <c r="AW14" i="11" s="1"/>
  <c r="AW13" i="11" s="1"/>
  <c r="AJ1178" i="11"/>
  <c r="AX1178" i="11" s="1"/>
  <c r="AU1150" i="11"/>
  <c r="AU1178" i="11" s="1"/>
  <c r="AX1150" i="11"/>
  <c r="AL729" i="10"/>
  <c r="AL366" i="10"/>
  <c r="AL364" i="10"/>
  <c r="AL360" i="10"/>
  <c r="AL358" i="10"/>
  <c r="AL356" i="10"/>
  <c r="AL354" i="10"/>
  <c r="AL345" i="10"/>
  <c r="AL341" i="10"/>
  <c r="AL339" i="10"/>
  <c r="AL337" i="10"/>
  <c r="AL335" i="10"/>
  <c r="AL332" i="10"/>
  <c r="AL330" i="10"/>
  <c r="AL328" i="10"/>
  <c r="AL326" i="10"/>
  <c r="AL323" i="10"/>
  <c r="AL321" i="10"/>
  <c r="AL318" i="10"/>
  <c r="AL316" i="10"/>
  <c r="AL314" i="10"/>
  <c r="AL312" i="10"/>
  <c r="AL310" i="10"/>
  <c r="AL308" i="10"/>
  <c r="AL307" i="10"/>
  <c r="AL306" i="10"/>
  <c r="AL517" i="10"/>
  <c r="AL508" i="10"/>
  <c r="AL500" i="10"/>
  <c r="AL499" i="10"/>
  <c r="AL497" i="10"/>
  <c r="AL496" i="10"/>
  <c r="AL490" i="10"/>
  <c r="AL488" i="10"/>
  <c r="AL487" i="10"/>
  <c r="AL486" i="10"/>
  <c r="AL484" i="10"/>
  <c r="AL483" i="10"/>
  <c r="AL480" i="10"/>
  <c r="AL477" i="10"/>
  <c r="AL476" i="10"/>
  <c r="AL474" i="10"/>
  <c r="AL469" i="10"/>
  <c r="AL466" i="10"/>
  <c r="AL464" i="10"/>
  <c r="AL462" i="10"/>
  <c r="AL459" i="10"/>
  <c r="AL457" i="10"/>
  <c r="AL456" i="10"/>
  <c r="AL455" i="10"/>
  <c r="AL454" i="10"/>
  <c r="AL452" i="10"/>
  <c r="AL448" i="10"/>
  <c r="AL435" i="10"/>
  <c r="AL434" i="10"/>
  <c r="AL433" i="10"/>
  <c r="AL431" i="10"/>
  <c r="AL422" i="10"/>
  <c r="AL421" i="10"/>
  <c r="AL420" i="10"/>
  <c r="AL419" i="10"/>
  <c r="AL411" i="10"/>
  <c r="AL406" i="10"/>
  <c r="AL405" i="10"/>
  <c r="AL392" i="10"/>
  <c r="AL390" i="10"/>
  <c r="AL385" i="10"/>
  <c r="AL383" i="10"/>
  <c r="AL381" i="10"/>
  <c r="AL379" i="10"/>
  <c r="AL376" i="10"/>
  <c r="AL374" i="10"/>
  <c r="AL372" i="10"/>
  <c r="AL370" i="10"/>
  <c r="AL347" i="10"/>
  <c r="AL297" i="10"/>
  <c r="AL295" i="10"/>
  <c r="AL293" i="10"/>
  <c r="AL291" i="10"/>
  <c r="AL287" i="10"/>
  <c r="AL285" i="10"/>
  <c r="AL283" i="10"/>
  <c r="AL281" i="10"/>
  <c r="AL279" i="10"/>
  <c r="AL277" i="10"/>
  <c r="AL275" i="10"/>
  <c r="AL273" i="10"/>
  <c r="AL271" i="10"/>
  <c r="AL268" i="10"/>
  <c r="AL266" i="10"/>
  <c r="AL263" i="10"/>
  <c r="AL261" i="10"/>
  <c r="AL258" i="10"/>
  <c r="AL257" i="10"/>
  <c r="AL241" i="10"/>
  <c r="AL232" i="10"/>
  <c r="AL224" i="10"/>
  <c r="AL222" i="10"/>
  <c r="AL220" i="10"/>
  <c r="AL218" i="10"/>
  <c r="AL217" i="10"/>
  <c r="AL215" i="10"/>
  <c r="AL212" i="10"/>
  <c r="AL207" i="10"/>
  <c r="AL204" i="10"/>
  <c r="AL202" i="10"/>
  <c r="AL200" i="10"/>
  <c r="AL189" i="10"/>
  <c r="AL187" i="10"/>
  <c r="AL186" i="10"/>
  <c r="AL185" i="10"/>
  <c r="AL184" i="10"/>
  <c r="AL183" i="10"/>
  <c r="AL182" i="10"/>
  <c r="AL179" i="10"/>
  <c r="AL174" i="10"/>
  <c r="AL169" i="10"/>
  <c r="AL162" i="10"/>
  <c r="AL161" i="10"/>
  <c r="AL158" i="10"/>
  <c r="AL157" i="10"/>
  <c r="AL156" i="10"/>
  <c r="AL153" i="10"/>
  <c r="AL152" i="10"/>
  <c r="AL151" i="10"/>
  <c r="AL148" i="10"/>
  <c r="AL147" i="10"/>
  <c r="AL141" i="10"/>
  <c r="AL138" i="10"/>
  <c r="AL137" i="10"/>
  <c r="AL136" i="10"/>
  <c r="AL135" i="10"/>
  <c r="AL132" i="10"/>
  <c r="AL130" i="10"/>
  <c r="AL129" i="10"/>
  <c r="AL128" i="10"/>
  <c r="AL127" i="10"/>
  <c r="AL116" i="10"/>
  <c r="AL115" i="10"/>
  <c r="AL114" i="10"/>
  <c r="AL113" i="10"/>
  <c r="AL112" i="10"/>
  <c r="AL111" i="10"/>
  <c r="AL110" i="10"/>
  <c r="AL109" i="10"/>
  <c r="AL108" i="10"/>
  <c r="AL107" i="10"/>
  <c r="AL106" i="10"/>
  <c r="AL105" i="10"/>
  <c r="AL100" i="10"/>
  <c r="AL99" i="10"/>
  <c r="AL98" i="10"/>
  <c r="AL97" i="10"/>
  <c r="AL96" i="10"/>
  <c r="AL95" i="10"/>
  <c r="AL93" i="10"/>
  <c r="AL92" i="10"/>
  <c r="AL91" i="10"/>
  <c r="AL90" i="10"/>
  <c r="AL89" i="10"/>
  <c r="AL85" i="10"/>
  <c r="AL84" i="10"/>
  <c r="AL83" i="10"/>
  <c r="AL82" i="10"/>
  <c r="AL81" i="10"/>
  <c r="AL80" i="10"/>
  <c r="AL79" i="10"/>
  <c r="AL77" i="10"/>
  <c r="AL76" i="10"/>
  <c r="AL74" i="10"/>
  <c r="AL73" i="10"/>
  <c r="AL69" i="10"/>
  <c r="AL68" i="10"/>
  <c r="AL66" i="10"/>
  <c r="AL65" i="10"/>
  <c r="AL63" i="10"/>
  <c r="AL62" i="10"/>
  <c r="AL60" i="10"/>
  <c r="AL59" i="10"/>
  <c r="AL57" i="10"/>
  <c r="AL56" i="10"/>
  <c r="AL54" i="10"/>
  <c r="AL53" i="10"/>
  <c r="AL51" i="10"/>
  <c r="AL50" i="10"/>
  <c r="AL48" i="10"/>
  <c r="AL47" i="10"/>
  <c r="AL45" i="10"/>
  <c r="AL44" i="10"/>
  <c r="AL36" i="10"/>
  <c r="AL35" i="10"/>
  <c r="AL33" i="10"/>
  <c r="AL32" i="10"/>
  <c r="AL29" i="10"/>
  <c r="AL28" i="10"/>
  <c r="AL26" i="10"/>
  <c r="AL25" i="10"/>
  <c r="AL23" i="10"/>
  <c r="AL22" i="10"/>
  <c r="AL21" i="10"/>
  <c r="AL20" i="10"/>
  <c r="AL19" i="10"/>
  <c r="AL18" i="10"/>
  <c r="AX712" i="10"/>
  <c r="AV712" i="10"/>
  <c r="AU712" i="10"/>
  <c r="AT712" i="10"/>
  <c r="AW712" i="10" s="1"/>
  <c r="AX684" i="10"/>
  <c r="AW684" i="10"/>
  <c r="AV684" i="10"/>
  <c r="AU684" i="10"/>
  <c r="AT684" i="10"/>
  <c r="AX653" i="10"/>
  <c r="AV653" i="10"/>
  <c r="AU653" i="10"/>
  <c r="AT653" i="10"/>
  <c r="AW653" i="10" s="1"/>
  <c r="AX652" i="10"/>
  <c r="AW652" i="10"/>
  <c r="AV652" i="10"/>
  <c r="AU652" i="10"/>
  <c r="AT652" i="10"/>
  <c r="AX597" i="10"/>
  <c r="AV597" i="10"/>
  <c r="AU597" i="10"/>
  <c r="AT597" i="10"/>
  <c r="AW597" i="10" s="1"/>
  <c r="AX573" i="10"/>
  <c r="AV573" i="10"/>
  <c r="AU573" i="10"/>
  <c r="AT573" i="10"/>
  <c r="AW573" i="10" s="1"/>
  <c r="AX565" i="10"/>
  <c r="AV565" i="10"/>
  <c r="AU565" i="10"/>
  <c r="AT565" i="10"/>
  <c r="AW565" i="10" s="1"/>
  <c r="AX542" i="10"/>
  <c r="AV542" i="10"/>
  <c r="AU542" i="10"/>
  <c r="AT542" i="10"/>
  <c r="AW542" i="10" s="1"/>
  <c r="AX502" i="10"/>
  <c r="AV502" i="10"/>
  <c r="AU502" i="10"/>
  <c r="AT502" i="10"/>
  <c r="AW502" i="10" s="1"/>
  <c r="AX494" i="10"/>
  <c r="AV494" i="10"/>
  <c r="AU494" i="10"/>
  <c r="AT494" i="10"/>
  <c r="AW494" i="10" s="1"/>
  <c r="AX492" i="10"/>
  <c r="AV492" i="10"/>
  <c r="AU492" i="10"/>
  <c r="AT492" i="10"/>
  <c r="AW492" i="10" s="1"/>
  <c r="AV469" i="10"/>
  <c r="AU469" i="10"/>
  <c r="AT469" i="10"/>
  <c r="AW469" i="10" s="1"/>
  <c r="AX412" i="10"/>
  <c r="AV412" i="10"/>
  <c r="AU412" i="10"/>
  <c r="AT412" i="10"/>
  <c r="AW412" i="10" s="1"/>
  <c r="AX235" i="10"/>
  <c r="AW235" i="10"/>
  <c r="AV235" i="10"/>
  <c r="AU235" i="10"/>
  <c r="AT235" i="10"/>
  <c r="AL11" i="11" l="1"/>
  <c r="AI12" i="11"/>
  <c r="AG10" i="11"/>
  <c r="AW12" i="11"/>
  <c r="AU52" i="11"/>
  <c r="AX52" i="11"/>
  <c r="AV12" i="11"/>
  <c r="AV11" i="11" s="1"/>
  <c r="AI11" i="11"/>
  <c r="AU87" i="11"/>
  <c r="AU86" i="11" s="1"/>
  <c r="AT165" i="11"/>
  <c r="AQ164" i="11"/>
  <c r="AQ163" i="11" s="1"/>
  <c r="AT163" i="11" s="1"/>
  <c r="AU43" i="11"/>
  <c r="AJ42" i="11"/>
  <c r="AX42" i="11" s="1"/>
  <c r="AX43" i="11"/>
  <c r="AJ170" i="11"/>
  <c r="AX170" i="11" s="1"/>
  <c r="AU171" i="11"/>
  <c r="AU170" i="11" s="1"/>
  <c r="AX171" i="11"/>
  <c r="AU166" i="11"/>
  <c r="AU165" i="11" s="1"/>
  <c r="AJ165" i="11"/>
  <c r="AX166" i="11"/>
  <c r="AX117" i="11"/>
  <c r="AJ102" i="11"/>
  <c r="AJ87" i="11"/>
  <c r="AX88" i="11"/>
  <c r="AJ70" i="11"/>
  <c r="AX70" i="11" s="1"/>
  <c r="AU71" i="11"/>
  <c r="AU70" i="11" s="1"/>
  <c r="AX71" i="11"/>
  <c r="AT14" i="11"/>
  <c r="AQ13" i="11"/>
  <c r="AT117" i="11"/>
  <c r="AQ102" i="11"/>
  <c r="AU191" i="11"/>
  <c r="AJ15" i="11"/>
  <c r="AX16" i="11"/>
  <c r="AJ125" i="11"/>
  <c r="AX126" i="11"/>
  <c r="AP163" i="11"/>
  <c r="AT170" i="11"/>
  <c r="AW171" i="11"/>
  <c r="AW170" i="11" s="1"/>
  <c r="AW164" i="11" s="1"/>
  <c r="AW163" i="11" s="1"/>
  <c r="AP13" i="11"/>
  <c r="AJ191" i="11"/>
  <c r="AX191" i="11" s="1"/>
  <c r="AX777" i="10"/>
  <c r="AV777" i="10"/>
  <c r="AU777" i="10"/>
  <c r="AT777" i="10"/>
  <c r="AW777" i="10" s="1"/>
  <c r="AX776" i="10"/>
  <c r="AW776" i="10"/>
  <c r="AV776" i="10"/>
  <c r="AU776" i="10"/>
  <c r="AJ762" i="10"/>
  <c r="AX739" i="10"/>
  <c r="AV739" i="10"/>
  <c r="AU739" i="10"/>
  <c r="AT739" i="10"/>
  <c r="AW739" i="10" s="1"/>
  <c r="AV977" i="10"/>
  <c r="AT978" i="10"/>
  <c r="AH977" i="10"/>
  <c r="AX975" i="10"/>
  <c r="AV975" i="10"/>
  <c r="AU975" i="10"/>
  <c r="AT975" i="10"/>
  <c r="AW975" i="10" s="1"/>
  <c r="AI972" i="10"/>
  <c r="AJ972" i="10" s="1"/>
  <c r="AH939" i="10"/>
  <c r="AV883" i="10"/>
  <c r="AT883" i="10"/>
  <c r="AW883" i="10" s="1"/>
  <c r="AW11" i="11" l="1"/>
  <c r="AU42" i="11"/>
  <c r="AU14" i="11" s="1"/>
  <c r="AU13" i="11" s="1"/>
  <c r="AU164" i="11"/>
  <c r="AU163" i="11" s="1"/>
  <c r="AT164" i="11"/>
  <c r="AT13" i="11"/>
  <c r="AU125" i="11"/>
  <c r="AJ124" i="11"/>
  <c r="AX125" i="11"/>
  <c r="AJ164" i="11"/>
  <c r="AX165" i="11"/>
  <c r="AJ14" i="11"/>
  <c r="AX15" i="11"/>
  <c r="AX102" i="11"/>
  <c r="AP12" i="11"/>
  <c r="AT102" i="11"/>
  <c r="AQ101" i="11"/>
  <c r="AT101" i="11" s="1"/>
  <c r="AJ86" i="11"/>
  <c r="AX86" i="11" s="1"/>
  <c r="AX87" i="11"/>
  <c r="AV851" i="10"/>
  <c r="AT851" i="10"/>
  <c r="AW851" i="10" s="1"/>
  <c r="AV1090" i="10"/>
  <c r="AT1090" i="10"/>
  <c r="AW1090" i="10" s="1"/>
  <c r="AV1068" i="10"/>
  <c r="AT1068" i="10"/>
  <c r="AW1068" i="10" s="1"/>
  <c r="AI1064" i="10"/>
  <c r="AJ1064" i="10" s="1"/>
  <c r="AQ12" i="11" l="1"/>
  <c r="AQ11" i="11" s="1"/>
  <c r="AT11" i="11" s="1"/>
  <c r="AP11" i="11"/>
  <c r="AJ163" i="11"/>
  <c r="AX163" i="11" s="1"/>
  <c r="AX164" i="11"/>
  <c r="AJ13" i="11"/>
  <c r="AX14" i="11"/>
  <c r="AT12" i="11"/>
  <c r="AU124" i="11"/>
  <c r="AU123" i="11" s="1"/>
  <c r="AU101" i="11" s="1"/>
  <c r="AU12" i="11" s="1"/>
  <c r="AU11" i="11" s="1"/>
  <c r="AJ123" i="11"/>
  <c r="AX124" i="11"/>
  <c r="AV1136" i="10"/>
  <c r="AT1136" i="10"/>
  <c r="AW1136" i="10" s="1"/>
  <c r="AX123" i="11" l="1"/>
  <c r="AJ101" i="11"/>
  <c r="AX101" i="11" s="1"/>
  <c r="AX13" i="11"/>
  <c r="AV1183" i="10"/>
  <c r="AT1183" i="10"/>
  <c r="AW1183" i="10" s="1"/>
  <c r="AI1180" i="10"/>
  <c r="AJ1180" i="10" s="1"/>
  <c r="AV1178" i="10"/>
  <c r="AT1178" i="10"/>
  <c r="AW1178" i="10" s="1"/>
  <c r="AH1170" i="10"/>
  <c r="AJ12" i="11" l="1"/>
  <c r="AT1218" i="10"/>
  <c r="AW1218" i="10" s="1"/>
  <c r="AV1218" i="10"/>
  <c r="AT1217" i="10"/>
  <c r="AW1217" i="10" s="1"/>
  <c r="AV1217" i="10"/>
  <c r="AV1247" i="10"/>
  <c r="AT1247" i="10"/>
  <c r="AW1247" i="10" s="1"/>
  <c r="AT1242" i="10"/>
  <c r="AW1242" i="10" s="1"/>
  <c r="AV1242" i="10"/>
  <c r="AV1241" i="10"/>
  <c r="AT1241" i="10"/>
  <c r="AW1241" i="10" s="1"/>
  <c r="AJ11" i="11" l="1"/>
  <c r="AX11" i="11" s="1"/>
  <c r="AX12" i="11"/>
  <c r="AI684" i="10"/>
  <c r="AJ684" i="10" s="1"/>
  <c r="AH1409" i="10" l="1"/>
  <c r="AG1200" i="10"/>
  <c r="AE1200" i="10"/>
  <c r="AI975" i="10"/>
  <c r="AJ975" i="10" s="1"/>
  <c r="AG867" i="10"/>
  <c r="AI883" i="10"/>
  <c r="AJ883" i="10" s="1"/>
  <c r="AI851" i="10"/>
  <c r="AJ851" i="10" s="1"/>
  <c r="AG1092" i="10"/>
  <c r="AI1090" i="10"/>
  <c r="AJ1090" i="10" s="1"/>
  <c r="AI1068" i="10"/>
  <c r="AJ1068" i="10" s="1"/>
  <c r="AI739" i="10"/>
  <c r="AJ739" i="10" s="1"/>
  <c r="AI777" i="10"/>
  <c r="AJ777" i="10" s="1"/>
  <c r="AI776" i="10"/>
  <c r="AJ776" i="10" s="1"/>
  <c r="AI235" i="10"/>
  <c r="AJ235" i="10" s="1"/>
  <c r="AI652" i="10"/>
  <c r="AJ652" i="10" s="1"/>
  <c r="AI653" i="10"/>
  <c r="AJ653" i="10" s="1"/>
  <c r="AI502" i="10"/>
  <c r="AJ502" i="10" s="1"/>
  <c r="AI492" i="10"/>
  <c r="AJ492" i="10" s="1"/>
  <c r="AI494" i="10"/>
  <c r="AJ494" i="10" s="1"/>
  <c r="AI1183" i="10"/>
  <c r="AJ1183" i="10" s="1"/>
  <c r="AI1178" i="10"/>
  <c r="AJ1178" i="10" s="1"/>
  <c r="AH860" i="10"/>
  <c r="AH973" i="10"/>
  <c r="AI1073" i="10"/>
  <c r="AJ1073" i="10" s="1"/>
  <c r="AI820" i="10"/>
  <c r="AJ820" i="10" s="1"/>
  <c r="AI750" i="10"/>
  <c r="AJ750" i="10" s="1"/>
  <c r="AH748" i="10"/>
  <c r="AH230" i="10"/>
  <c r="AI490" i="10"/>
  <c r="AJ490" i="10" s="1"/>
  <c r="AH457" i="10"/>
  <c r="AI473" i="10"/>
  <c r="AX883" i="10" l="1"/>
  <c r="AU883" i="10"/>
  <c r="AX851" i="10"/>
  <c r="AU851" i="10"/>
  <c r="AX1183" i="10"/>
  <c r="AU1183" i="10"/>
  <c r="AX1178" i="10"/>
  <c r="AU1178" i="10"/>
  <c r="AX1068" i="10"/>
  <c r="AU1068" i="10"/>
  <c r="AX1090" i="10"/>
  <c r="AU1090" i="10"/>
  <c r="AV1392" i="10" l="1"/>
  <c r="AT1392" i="10"/>
  <c r="AW1392" i="10" s="1"/>
  <c r="AS729" i="10"/>
  <c r="AQ729" i="10"/>
  <c r="AP729" i="10"/>
  <c r="AO729" i="10"/>
  <c r="AN729" i="10"/>
  <c r="AM729" i="10"/>
  <c r="AK729" i="10"/>
  <c r="AF729" i="10"/>
  <c r="AD729" i="10"/>
  <c r="AI1136" i="10"/>
  <c r="AJ1136" i="10" s="1"/>
  <c r="AI1247" i="10"/>
  <c r="AJ1247" i="10" s="1"/>
  <c r="AI1242" i="10"/>
  <c r="AJ1242" i="10" s="1"/>
  <c r="AI1241" i="10"/>
  <c r="AJ1241" i="10" s="1"/>
  <c r="AI1392" i="10"/>
  <c r="AJ1392" i="10" s="1"/>
  <c r="AU1392" i="10" s="1"/>
  <c r="AI565" i="10"/>
  <c r="AJ565" i="10" s="1"/>
  <c r="AI542" i="10"/>
  <c r="AJ542" i="10" s="1"/>
  <c r="AI597" i="10"/>
  <c r="AJ597" i="10" s="1"/>
  <c r="AI1217" i="10"/>
  <c r="AJ1217" i="10" s="1"/>
  <c r="AI1218" i="10"/>
  <c r="AJ1218" i="10" s="1"/>
  <c r="AI1231" i="10"/>
  <c r="AJ1231" i="10" s="1"/>
  <c r="AI712" i="10"/>
  <c r="AJ712" i="10" s="1"/>
  <c r="AI573" i="10"/>
  <c r="AJ573" i="10" s="1"/>
  <c r="AI469" i="10"/>
  <c r="AJ469" i="10" s="1"/>
  <c r="AI468" i="10"/>
  <c r="AJ468" i="10" s="1"/>
  <c r="AI412" i="10"/>
  <c r="AJ412" i="10" s="1"/>
  <c r="AU1242" i="10" l="1"/>
  <c r="AX1242" i="10"/>
  <c r="AU1217" i="10"/>
  <c r="AX1217" i="10"/>
  <c r="AX1241" i="10"/>
  <c r="AU1241" i="10"/>
  <c r="AX1218" i="10"/>
  <c r="AU1218" i="10"/>
  <c r="AU1247" i="10"/>
  <c r="AX1247" i="10"/>
  <c r="AU1136" i="10"/>
  <c r="AX1136" i="10"/>
  <c r="AI174" i="10"/>
  <c r="AJ174" i="10" s="1"/>
  <c r="AI169" i="10"/>
  <c r="AJ169" i="10" s="1"/>
  <c r="AH127" i="10"/>
  <c r="AG96" i="10"/>
  <c r="AI90" i="10"/>
  <c r="AJ90" i="10" s="1"/>
  <c r="AH93" i="10"/>
  <c r="AI47" i="10"/>
  <c r="AJ47" i="10" s="1"/>
  <c r="AI100" i="10"/>
  <c r="AJ100" i="10" s="1"/>
  <c r="AS1409" i="10" l="1"/>
  <c r="AR1409" i="10"/>
  <c r="AQ1409" i="10"/>
  <c r="AP1409" i="10"/>
  <c r="AO1409" i="10"/>
  <c r="AN1409" i="10"/>
  <c r="AM1409" i="10"/>
  <c r="AK1409" i="10"/>
  <c r="AF1409" i="10"/>
  <c r="AD1409" i="10"/>
  <c r="AV1407" i="10"/>
  <c r="AT1407" i="10"/>
  <c r="AW1407" i="10" s="1"/>
  <c r="AI1407" i="10"/>
  <c r="AJ1407" i="10" s="1"/>
  <c r="AU1407" i="10" s="1"/>
  <c r="AV1406" i="10"/>
  <c r="AT1406" i="10"/>
  <c r="AW1406" i="10" s="1"/>
  <c r="AI1406" i="10"/>
  <c r="AJ1406" i="10" s="1"/>
  <c r="AX1406" i="10" s="1"/>
  <c r="AV1403" i="10"/>
  <c r="AT1403" i="10"/>
  <c r="AW1403" i="10" s="1"/>
  <c r="AI1403" i="10"/>
  <c r="AJ1403" i="10" s="1"/>
  <c r="AU1403" i="10" s="1"/>
  <c r="AV1401" i="10"/>
  <c r="AT1401" i="10"/>
  <c r="AW1401" i="10" s="1"/>
  <c r="AI1401" i="10"/>
  <c r="AJ1401" i="10" s="1"/>
  <c r="AV1400" i="10"/>
  <c r="AT1400" i="10"/>
  <c r="AW1400" i="10" s="1"/>
  <c r="AI1400" i="10"/>
  <c r="AJ1400" i="10" s="1"/>
  <c r="AV1399" i="10"/>
  <c r="AT1399" i="10"/>
  <c r="AW1399" i="10" s="1"/>
  <c r="AI1399" i="10"/>
  <c r="AJ1399" i="10" s="1"/>
  <c r="AU1399" i="10" s="1"/>
  <c r="AV1397" i="10"/>
  <c r="AT1397" i="10"/>
  <c r="AW1397" i="10" s="1"/>
  <c r="AI1397" i="10"/>
  <c r="AJ1397" i="10" s="1"/>
  <c r="AU1397" i="10" s="1"/>
  <c r="AV1389" i="10"/>
  <c r="AT1389" i="10"/>
  <c r="AW1389" i="10" s="1"/>
  <c r="AG1389" i="10"/>
  <c r="AG1409" i="10" s="1"/>
  <c r="AV1387" i="10"/>
  <c r="AT1387" i="10"/>
  <c r="AW1387" i="10" s="1"/>
  <c r="AI1387" i="10"/>
  <c r="AJ1387" i="10" s="1"/>
  <c r="AV1385" i="10"/>
  <c r="AT1385" i="10"/>
  <c r="AW1385" i="10" s="1"/>
  <c r="AI1385" i="10"/>
  <c r="AJ1385" i="10" s="1"/>
  <c r="AX1385" i="10" s="1"/>
  <c r="AV1383" i="10"/>
  <c r="AT1383" i="10"/>
  <c r="AW1383" i="10" s="1"/>
  <c r="AI1383" i="10"/>
  <c r="AJ1383" i="10" s="1"/>
  <c r="AV1382" i="10"/>
  <c r="AT1382" i="10"/>
  <c r="AW1382" i="10" s="1"/>
  <c r="AI1382" i="10"/>
  <c r="AJ1382" i="10" s="1"/>
  <c r="AV1381" i="10"/>
  <c r="AT1381" i="10"/>
  <c r="AW1381" i="10" s="1"/>
  <c r="AI1381" i="10"/>
  <c r="AJ1381" i="10" s="1"/>
  <c r="AV1379" i="10"/>
  <c r="AT1379" i="10"/>
  <c r="AW1379" i="10" s="1"/>
  <c r="AI1379" i="10"/>
  <c r="AJ1379" i="10" s="1"/>
  <c r="AV1378" i="10"/>
  <c r="AT1378" i="10"/>
  <c r="AW1378" i="10" s="1"/>
  <c r="AI1378" i="10"/>
  <c r="AJ1378" i="10" s="1"/>
  <c r="AU1378" i="10" s="1"/>
  <c r="AV1375" i="10"/>
  <c r="AT1375" i="10"/>
  <c r="AW1375" i="10" s="1"/>
  <c r="AI1375" i="10"/>
  <c r="AJ1375" i="10" s="1"/>
  <c r="AU1375" i="10" s="1"/>
  <c r="AV1374" i="10"/>
  <c r="AT1374" i="10"/>
  <c r="AW1374" i="10" s="1"/>
  <c r="AI1374" i="10"/>
  <c r="AJ1374" i="10" s="1"/>
  <c r="AV1373" i="10"/>
  <c r="AT1373" i="10"/>
  <c r="AW1373" i="10" s="1"/>
  <c r="AI1373" i="10"/>
  <c r="AJ1373" i="10" s="1"/>
  <c r="AX1373" i="10" s="1"/>
  <c r="AV1372" i="10"/>
  <c r="AT1372" i="10"/>
  <c r="AW1372" i="10" s="1"/>
  <c r="AI1372" i="10"/>
  <c r="AJ1372" i="10" s="1"/>
  <c r="AV1369" i="10"/>
  <c r="AT1369" i="10"/>
  <c r="AW1369" i="10" s="1"/>
  <c r="AI1369" i="10"/>
  <c r="AJ1369" i="10" s="1"/>
  <c r="AV1368" i="10"/>
  <c r="AT1368" i="10"/>
  <c r="AW1368" i="10" s="1"/>
  <c r="AI1368" i="10"/>
  <c r="AJ1368" i="10" s="1"/>
  <c r="AV1367" i="10"/>
  <c r="AT1367" i="10"/>
  <c r="AW1367" i="10" s="1"/>
  <c r="AI1367" i="10"/>
  <c r="AJ1367" i="10" s="1"/>
  <c r="AV1366" i="10"/>
  <c r="AT1366" i="10"/>
  <c r="AW1366" i="10" s="1"/>
  <c r="AI1366" i="10"/>
  <c r="AJ1366" i="10" s="1"/>
  <c r="AU1366" i="10" s="1"/>
  <c r="AV1363" i="10"/>
  <c r="AT1363" i="10"/>
  <c r="AW1363" i="10" s="1"/>
  <c r="AI1363" i="10"/>
  <c r="AJ1363" i="10" s="1"/>
  <c r="AU1363" i="10" s="1"/>
  <c r="AV1362" i="10"/>
  <c r="AT1362" i="10"/>
  <c r="AW1362" i="10" s="1"/>
  <c r="AI1362" i="10"/>
  <c r="AJ1362" i="10" s="1"/>
  <c r="AV1359" i="10"/>
  <c r="AT1359" i="10"/>
  <c r="AW1359" i="10" s="1"/>
  <c r="AI1359" i="10"/>
  <c r="AJ1359" i="10" s="1"/>
  <c r="AX1359" i="10" s="1"/>
  <c r="AV1358" i="10"/>
  <c r="AT1358" i="10"/>
  <c r="AW1358" i="10" s="1"/>
  <c r="AI1358" i="10"/>
  <c r="AJ1358" i="10" s="1"/>
  <c r="AV1357" i="10"/>
  <c r="AT1357" i="10"/>
  <c r="AW1357" i="10" s="1"/>
  <c r="AI1357" i="10"/>
  <c r="AJ1357" i="10" s="1"/>
  <c r="AV1356" i="10"/>
  <c r="AT1356" i="10"/>
  <c r="AW1356" i="10" s="1"/>
  <c r="AI1356" i="10"/>
  <c r="AJ1356" i="10" s="1"/>
  <c r="AV1355" i="10"/>
  <c r="AT1355" i="10"/>
  <c r="AW1355" i="10" s="1"/>
  <c r="AI1355" i="10"/>
  <c r="AJ1355" i="10" s="1"/>
  <c r="AV1354" i="10"/>
  <c r="AT1354" i="10"/>
  <c r="AW1354" i="10" s="1"/>
  <c r="AI1354" i="10"/>
  <c r="AJ1354" i="10" s="1"/>
  <c r="AU1354" i="10" s="1"/>
  <c r="AV1351" i="10"/>
  <c r="AT1351" i="10"/>
  <c r="AW1351" i="10" s="1"/>
  <c r="AI1351" i="10"/>
  <c r="AJ1351" i="10" s="1"/>
  <c r="AU1351" i="10" s="1"/>
  <c r="AV1350" i="10"/>
  <c r="AT1350" i="10"/>
  <c r="AW1350" i="10" s="1"/>
  <c r="AI1350" i="10"/>
  <c r="AJ1350" i="10" s="1"/>
  <c r="AV1348" i="10"/>
  <c r="AT1348" i="10"/>
  <c r="AW1348" i="10" s="1"/>
  <c r="AI1348" i="10"/>
  <c r="AJ1348" i="10" s="1"/>
  <c r="AX1348" i="10" s="1"/>
  <c r="AV1347" i="10"/>
  <c r="AT1347" i="10"/>
  <c r="AW1347" i="10" s="1"/>
  <c r="AI1347" i="10"/>
  <c r="AJ1347" i="10" s="1"/>
  <c r="AV1344" i="10"/>
  <c r="AT1344" i="10"/>
  <c r="AW1344" i="10" s="1"/>
  <c r="AI1344" i="10"/>
  <c r="AJ1344" i="10" s="1"/>
  <c r="AV1343" i="10"/>
  <c r="AT1343" i="10"/>
  <c r="AW1343" i="10" s="1"/>
  <c r="AE1343" i="10"/>
  <c r="AI1343" i="10" s="1"/>
  <c r="AJ1343" i="10" s="1"/>
  <c r="AV1342" i="10"/>
  <c r="AT1342" i="10"/>
  <c r="AW1342" i="10" s="1"/>
  <c r="AI1342" i="10"/>
  <c r="AJ1342" i="10" s="1"/>
  <c r="AV1341" i="10"/>
  <c r="AT1341" i="10"/>
  <c r="AW1341" i="10" s="1"/>
  <c r="AI1341" i="10"/>
  <c r="AJ1341" i="10" s="1"/>
  <c r="AV1338" i="10"/>
  <c r="AT1338" i="10"/>
  <c r="AW1338" i="10" s="1"/>
  <c r="AI1338" i="10"/>
  <c r="AJ1338" i="10" s="1"/>
  <c r="AV1337" i="10"/>
  <c r="AT1337" i="10"/>
  <c r="AW1337" i="10" s="1"/>
  <c r="AE1337" i="10"/>
  <c r="AV1336" i="10"/>
  <c r="AT1336" i="10"/>
  <c r="AW1336" i="10" s="1"/>
  <c r="AI1336" i="10"/>
  <c r="AJ1336" i="10" s="1"/>
  <c r="AV1335" i="10"/>
  <c r="AT1335" i="10"/>
  <c r="AW1335" i="10" s="1"/>
  <c r="AI1335" i="10"/>
  <c r="AJ1335" i="10" s="1"/>
  <c r="AL1334" i="10"/>
  <c r="AL1409" i="10" s="1"/>
  <c r="AV1331" i="10"/>
  <c r="AT1331" i="10"/>
  <c r="AW1331" i="10" s="1"/>
  <c r="AI1331" i="10"/>
  <c r="AJ1331" i="10" s="1"/>
  <c r="AV1330" i="10"/>
  <c r="AT1330" i="10"/>
  <c r="AW1330" i="10" s="1"/>
  <c r="AI1330" i="10"/>
  <c r="AJ1330" i="10" s="1"/>
  <c r="AU1330" i="10" s="1"/>
  <c r="AV1329" i="10"/>
  <c r="AT1329" i="10"/>
  <c r="AW1329" i="10" s="1"/>
  <c r="AI1329" i="10"/>
  <c r="AJ1329" i="10" s="1"/>
  <c r="AV1328" i="10"/>
  <c r="AT1328" i="10"/>
  <c r="AW1328" i="10" s="1"/>
  <c r="AI1328" i="10"/>
  <c r="AJ1328" i="10" s="1"/>
  <c r="AV1327" i="10"/>
  <c r="AT1327" i="10"/>
  <c r="AW1327" i="10" s="1"/>
  <c r="AI1327" i="10"/>
  <c r="AV1326" i="10"/>
  <c r="AT1326" i="10"/>
  <c r="AW1326" i="10" s="1"/>
  <c r="AI1326" i="10"/>
  <c r="AJ1326" i="10" s="1"/>
  <c r="AV1323" i="10"/>
  <c r="AT1323" i="10"/>
  <c r="AW1323" i="10" s="1"/>
  <c r="AI1323" i="10"/>
  <c r="AJ1323" i="10" s="1"/>
  <c r="AU1323" i="10" s="1"/>
  <c r="AV1322" i="10"/>
  <c r="AT1322" i="10"/>
  <c r="AW1322" i="10" s="1"/>
  <c r="AI1322" i="10"/>
  <c r="AJ1322" i="10" s="1"/>
  <c r="AV1319" i="10"/>
  <c r="AT1319" i="10"/>
  <c r="AW1319" i="10" s="1"/>
  <c r="AI1319" i="10"/>
  <c r="AJ1319" i="10" s="1"/>
  <c r="AV1318" i="10"/>
  <c r="AT1318" i="10"/>
  <c r="AI1318" i="10"/>
  <c r="AJ1318" i="10" s="1"/>
  <c r="AS1308" i="10"/>
  <c r="AR1308" i="10"/>
  <c r="AQ1308" i="10"/>
  <c r="AP1308" i="10"/>
  <c r="AO1308" i="10"/>
  <c r="AN1308" i="10"/>
  <c r="AM1308" i="10"/>
  <c r="AL1308" i="10"/>
  <c r="AK1308" i="10"/>
  <c r="AH1308" i="10"/>
  <c r="AG1308" i="10"/>
  <c r="AF1308" i="10"/>
  <c r="AE1308" i="10"/>
  <c r="AD1308" i="10"/>
  <c r="AV1306" i="10"/>
  <c r="AT1306" i="10"/>
  <c r="AW1306" i="10" s="1"/>
  <c r="AI1306" i="10"/>
  <c r="AJ1306" i="10" s="1"/>
  <c r="AV1305" i="10"/>
  <c r="AT1305" i="10"/>
  <c r="AW1305" i="10" s="1"/>
  <c r="AI1305" i="10"/>
  <c r="AX1302" i="10"/>
  <c r="AV1302" i="10"/>
  <c r="AU1302" i="10"/>
  <c r="AT1302" i="10"/>
  <c r="AW1302" i="10" s="1"/>
  <c r="AS1293" i="10"/>
  <c r="AR1293" i="10"/>
  <c r="AQ1293" i="10"/>
  <c r="AP1293" i="10"/>
  <c r="AO1293" i="10"/>
  <c r="AN1293" i="10"/>
  <c r="AM1293" i="10"/>
  <c r="AL1293" i="10"/>
  <c r="AK1293" i="10"/>
  <c r="AF1293" i="10"/>
  <c r="AE1293" i="10"/>
  <c r="AD1293" i="10"/>
  <c r="AW1291" i="10"/>
  <c r="AV1291" i="10"/>
  <c r="AI1291" i="10"/>
  <c r="AJ1291" i="10" s="1"/>
  <c r="AX1291" i="10" s="1"/>
  <c r="AX1289" i="10"/>
  <c r="AV1289" i="10"/>
  <c r="AU1289" i="10"/>
  <c r="AT1289" i="10"/>
  <c r="AW1289" i="10" s="1"/>
  <c r="AV1287" i="10"/>
  <c r="AT1287" i="10"/>
  <c r="AW1287" i="10" s="1"/>
  <c r="AG1287" i="10"/>
  <c r="AI1287" i="10" s="1"/>
  <c r="AJ1287" i="10" s="1"/>
  <c r="AV1285" i="10"/>
  <c r="AT1285" i="10"/>
  <c r="AW1285" i="10" s="1"/>
  <c r="AH1285" i="10"/>
  <c r="AH1293" i="10" s="1"/>
  <c r="AG1285" i="10"/>
  <c r="AS1276" i="10"/>
  <c r="AR1276" i="10"/>
  <c r="AQ1276" i="10"/>
  <c r="AP1276" i="10"/>
  <c r="AO1276" i="10"/>
  <c r="AN1276" i="10"/>
  <c r="AM1276" i="10"/>
  <c r="AL1276" i="10"/>
  <c r="AK1276" i="10"/>
  <c r="AH1276" i="10"/>
  <c r="AG1276" i="10"/>
  <c r="AF1276" i="10"/>
  <c r="AE1276" i="10"/>
  <c r="AD1276" i="10"/>
  <c r="AV1274" i="10"/>
  <c r="AT1274" i="10"/>
  <c r="AW1274" i="10" s="1"/>
  <c r="AI1274" i="10"/>
  <c r="AV1273" i="10"/>
  <c r="AT1273" i="10"/>
  <c r="AW1273" i="10" s="1"/>
  <c r="AI1273" i="10"/>
  <c r="AJ1273" i="10" s="1"/>
  <c r="AS1263" i="10"/>
  <c r="AR1263" i="10"/>
  <c r="AQ1263" i="10"/>
  <c r="AP1263" i="10"/>
  <c r="AO1263" i="10"/>
  <c r="AN1263" i="10"/>
  <c r="AM1263" i="10"/>
  <c r="AL1263" i="10"/>
  <c r="AK1263" i="10"/>
  <c r="AH1263" i="10"/>
  <c r="AG1263" i="10"/>
  <c r="AF1263" i="10"/>
  <c r="AE1263" i="10"/>
  <c r="AD1263" i="10"/>
  <c r="AV1261" i="10"/>
  <c r="AT1261" i="10"/>
  <c r="AW1261" i="10" s="1"/>
  <c r="AI1261" i="10"/>
  <c r="AJ1261" i="10" s="1"/>
  <c r="AV1259" i="10"/>
  <c r="AT1259" i="10"/>
  <c r="AW1259" i="10" s="1"/>
  <c r="AI1259" i="10"/>
  <c r="AJ1259" i="10" s="1"/>
  <c r="AV1257" i="10"/>
  <c r="AT1257" i="10"/>
  <c r="AW1257" i="10" s="1"/>
  <c r="AI1257" i="10"/>
  <c r="AJ1257" i="10" s="1"/>
  <c r="AV1255" i="10"/>
  <c r="AT1255" i="10"/>
  <c r="AW1255" i="10" s="1"/>
  <c r="AI1255" i="10"/>
  <c r="AJ1255" i="10" s="1"/>
  <c r="AV1253" i="10"/>
  <c r="AT1253" i="10"/>
  <c r="AW1253" i="10" s="1"/>
  <c r="AI1253" i="10"/>
  <c r="AJ1253" i="10" s="1"/>
  <c r="AV1251" i="10"/>
  <c r="AT1251" i="10"/>
  <c r="AW1251" i="10" s="1"/>
  <c r="AI1251" i="10"/>
  <c r="AJ1251" i="10" s="1"/>
  <c r="AV1249" i="10"/>
  <c r="AT1249" i="10"/>
  <c r="AW1249" i="10" s="1"/>
  <c r="AI1249" i="10"/>
  <c r="AJ1249" i="10" s="1"/>
  <c r="AV1248" i="10"/>
  <c r="AT1248" i="10"/>
  <c r="AW1248" i="10" s="1"/>
  <c r="AI1248" i="10"/>
  <c r="AJ1248" i="10" s="1"/>
  <c r="AU1248" i="10" s="1"/>
  <c r="AV1245" i="10"/>
  <c r="AT1245" i="10"/>
  <c r="AW1245" i="10" s="1"/>
  <c r="AI1245" i="10"/>
  <c r="AJ1245" i="10" s="1"/>
  <c r="AX1245" i="10" s="1"/>
  <c r="AV1244" i="10"/>
  <c r="AT1244" i="10"/>
  <c r="AW1244" i="10" s="1"/>
  <c r="AI1244" i="10"/>
  <c r="AJ1244" i="10" s="1"/>
  <c r="AV1243" i="10"/>
  <c r="AT1243" i="10"/>
  <c r="AW1243" i="10" s="1"/>
  <c r="AI1243" i="10"/>
  <c r="AJ1243" i="10" s="1"/>
  <c r="AV1240" i="10"/>
  <c r="AT1240" i="10"/>
  <c r="AW1240" i="10" s="1"/>
  <c r="AI1240" i="10"/>
  <c r="AJ1240" i="10" s="1"/>
  <c r="AV1238" i="10"/>
  <c r="AT1238" i="10"/>
  <c r="AW1238" i="10" s="1"/>
  <c r="AI1238" i="10"/>
  <c r="AJ1238" i="10" s="1"/>
  <c r="AV1237" i="10"/>
  <c r="AT1237" i="10"/>
  <c r="AW1237" i="10" s="1"/>
  <c r="AI1237" i="10"/>
  <c r="AX1234" i="10"/>
  <c r="AV1234" i="10"/>
  <c r="AU1234" i="10"/>
  <c r="AT1234" i="10"/>
  <c r="AW1234" i="10" s="1"/>
  <c r="AX1233" i="10"/>
  <c r="AV1233" i="10"/>
  <c r="AU1233" i="10"/>
  <c r="AT1233" i="10"/>
  <c r="AW1233" i="10" s="1"/>
  <c r="AX1232" i="10"/>
  <c r="AV1232" i="10"/>
  <c r="AU1232" i="10"/>
  <c r="AT1232" i="10"/>
  <c r="AW1232" i="10" s="1"/>
  <c r="AX1231" i="10"/>
  <c r="AV1231" i="10"/>
  <c r="AU1231" i="10"/>
  <c r="AT1231" i="10"/>
  <c r="AW1231" i="10" s="1"/>
  <c r="AX1230" i="10"/>
  <c r="AV1230" i="10"/>
  <c r="AU1230" i="10"/>
  <c r="AT1230" i="10"/>
  <c r="AW1230" i="10" s="1"/>
  <c r="AS1220" i="10"/>
  <c r="AR1220" i="10"/>
  <c r="AQ1220" i="10"/>
  <c r="AP1220" i="10"/>
  <c r="AO1220" i="10"/>
  <c r="AN1220" i="10"/>
  <c r="AM1220" i="10"/>
  <c r="AL1220" i="10"/>
  <c r="AK1220" i="10"/>
  <c r="AH1220" i="10"/>
  <c r="AG1220" i="10"/>
  <c r="AF1220" i="10"/>
  <c r="AE1220" i="10"/>
  <c r="AD1220" i="10"/>
  <c r="AV1216" i="10"/>
  <c r="AT1216" i="10"/>
  <c r="AW1216" i="10" s="1"/>
  <c r="AI1216" i="10"/>
  <c r="AJ1216" i="10" s="1"/>
  <c r="AX1216" i="10" s="1"/>
  <c r="AV1215" i="10"/>
  <c r="AT1215" i="10"/>
  <c r="AW1215" i="10" s="1"/>
  <c r="AI1215" i="10"/>
  <c r="AJ1215" i="10" s="1"/>
  <c r="AV1214" i="10"/>
  <c r="AT1214" i="10"/>
  <c r="AW1214" i="10" s="1"/>
  <c r="AI1214" i="10"/>
  <c r="AJ1214" i="10" s="1"/>
  <c r="AV1213" i="10"/>
  <c r="AT1213" i="10"/>
  <c r="AW1213" i="10" s="1"/>
  <c r="AI1213" i="10"/>
  <c r="AJ1213" i="10" s="1"/>
  <c r="AV1212" i="10"/>
  <c r="AT1212" i="10"/>
  <c r="AW1212" i="10" s="1"/>
  <c r="AI1212" i="10"/>
  <c r="AJ1212" i="10" s="1"/>
  <c r="AV1211" i="10"/>
  <c r="AT1211" i="10"/>
  <c r="AW1211" i="10" s="1"/>
  <c r="AI1211" i="10"/>
  <c r="AJ1211" i="10" s="1"/>
  <c r="AV1210" i="10"/>
  <c r="AT1210" i="10"/>
  <c r="AW1210" i="10" s="1"/>
  <c r="AI1210" i="10"/>
  <c r="AJ1210" i="10" s="1"/>
  <c r="AT1209" i="10"/>
  <c r="AS1200" i="10"/>
  <c r="AR1200" i="10"/>
  <c r="AQ1200" i="10"/>
  <c r="AP1200" i="10"/>
  <c r="AO1200" i="10"/>
  <c r="AN1200" i="10"/>
  <c r="AM1200" i="10"/>
  <c r="AL1200" i="10"/>
  <c r="AK1200" i="10"/>
  <c r="AH1200" i="10"/>
  <c r="AF1200" i="10"/>
  <c r="AD1200" i="10"/>
  <c r="AV1198" i="10"/>
  <c r="AT1198" i="10"/>
  <c r="AW1198" i="10" s="1"/>
  <c r="AI1198" i="10"/>
  <c r="AJ1198" i="10" s="1"/>
  <c r="AX1193" i="10"/>
  <c r="AV1193" i="10"/>
  <c r="AU1193" i="10"/>
  <c r="AT1193" i="10"/>
  <c r="AW1193" i="10" s="1"/>
  <c r="AX1192" i="10"/>
  <c r="AV1192" i="10"/>
  <c r="AU1192" i="10"/>
  <c r="AT1192" i="10"/>
  <c r="AW1192" i="10" s="1"/>
  <c r="AV1181" i="10"/>
  <c r="AT1181" i="10"/>
  <c r="AW1181" i="10" s="1"/>
  <c r="AI1181" i="10"/>
  <c r="AJ1181" i="10" s="1"/>
  <c r="AX1181" i="10" s="1"/>
  <c r="AX1180" i="10"/>
  <c r="AV1180" i="10"/>
  <c r="AU1180" i="10"/>
  <c r="AT1180" i="10"/>
  <c r="AW1180" i="10" s="1"/>
  <c r="AV1176" i="10"/>
  <c r="AT1176" i="10"/>
  <c r="AW1176" i="10" s="1"/>
  <c r="AI1176" i="10"/>
  <c r="AJ1176" i="10" s="1"/>
  <c r="AV1174" i="10"/>
  <c r="AT1174" i="10"/>
  <c r="AW1174" i="10" s="1"/>
  <c r="AI1174" i="10"/>
  <c r="AJ1174" i="10" s="1"/>
  <c r="AU1174" i="10" s="1"/>
  <c r="AW1172" i="10"/>
  <c r="AV1172" i="10"/>
  <c r="AI1172" i="10"/>
  <c r="AJ1172" i="10" s="1"/>
  <c r="AV1170" i="10"/>
  <c r="AT1170" i="10"/>
  <c r="AW1170" i="10" s="1"/>
  <c r="AI1170" i="10"/>
  <c r="AJ1170" i="10" s="1"/>
  <c r="AV1168" i="10"/>
  <c r="AT1168" i="10"/>
  <c r="AW1168" i="10" s="1"/>
  <c r="AI1168" i="10"/>
  <c r="AJ1168" i="10" s="1"/>
  <c r="AV1167" i="10"/>
  <c r="AT1167" i="10"/>
  <c r="AW1167" i="10" s="1"/>
  <c r="AI1167" i="10"/>
  <c r="AJ1167" i="10" s="1"/>
  <c r="AV1165" i="10"/>
  <c r="AT1165" i="10"/>
  <c r="AW1165" i="10" s="1"/>
  <c r="AI1165" i="10"/>
  <c r="AJ1165" i="10" s="1"/>
  <c r="AW1163" i="10"/>
  <c r="AV1163" i="10"/>
  <c r="AI1163" i="10"/>
  <c r="AJ1163" i="10" s="1"/>
  <c r="AU1163" i="10" s="1"/>
  <c r="AV1161" i="10"/>
  <c r="AT1161" i="10"/>
  <c r="AW1161" i="10" s="1"/>
  <c r="AI1161" i="10"/>
  <c r="AJ1161" i="10" s="1"/>
  <c r="AU1161" i="10" s="1"/>
  <c r="AV1159" i="10"/>
  <c r="AT1159" i="10"/>
  <c r="AI1159" i="10"/>
  <c r="AJ1159" i="10" s="1"/>
  <c r="AU1159" i="10" s="1"/>
  <c r="AV1157" i="10"/>
  <c r="AT1157" i="10"/>
  <c r="AW1157" i="10" s="1"/>
  <c r="AI1157" i="10"/>
  <c r="AJ1157" i="10" s="1"/>
  <c r="AV1156" i="10"/>
  <c r="AT1156" i="10"/>
  <c r="AW1156" i="10" s="1"/>
  <c r="AI1156" i="10"/>
  <c r="AJ1156" i="10" s="1"/>
  <c r="AV1155" i="10"/>
  <c r="AT1155" i="10"/>
  <c r="AW1155" i="10" s="1"/>
  <c r="AI1155" i="10"/>
  <c r="AJ1155" i="10" s="1"/>
  <c r="AV1152" i="10"/>
  <c r="AT1152" i="10"/>
  <c r="AW1152" i="10" s="1"/>
  <c r="AI1152" i="10"/>
  <c r="AJ1152" i="10" s="1"/>
  <c r="AS1144" i="10"/>
  <c r="AR1144" i="10"/>
  <c r="AQ1144" i="10"/>
  <c r="AP1144" i="10"/>
  <c r="AO1144" i="10"/>
  <c r="AN1144" i="10"/>
  <c r="AM1144" i="10"/>
  <c r="AK1144" i="10"/>
  <c r="AG1144" i="10"/>
  <c r="AF1144" i="10"/>
  <c r="AE1144" i="10"/>
  <c r="AD1144" i="10"/>
  <c r="AV1142" i="10"/>
  <c r="AT1142" i="10"/>
  <c r="AW1142" i="10" s="1"/>
  <c r="AI1142" i="10"/>
  <c r="AJ1142" i="10" s="1"/>
  <c r="AV1135" i="10"/>
  <c r="AT1135" i="10"/>
  <c r="AW1135" i="10" s="1"/>
  <c r="AI1135" i="10"/>
  <c r="AJ1135" i="10" s="1"/>
  <c r="AV1133" i="10"/>
  <c r="AT1133" i="10"/>
  <c r="AW1133" i="10" s="1"/>
  <c r="AI1133" i="10"/>
  <c r="AJ1133" i="10" s="1"/>
  <c r="AV1131" i="10"/>
  <c r="AT1131" i="10"/>
  <c r="AW1131" i="10" s="1"/>
  <c r="AI1131" i="10"/>
  <c r="AJ1131" i="10" s="1"/>
  <c r="AX1130" i="10"/>
  <c r="AV1130" i="10"/>
  <c r="AU1130" i="10"/>
  <c r="AT1130" i="10"/>
  <c r="AW1130" i="10" s="1"/>
  <c r="AX1128" i="10"/>
  <c r="AV1128" i="10"/>
  <c r="AU1128" i="10"/>
  <c r="AT1128" i="10"/>
  <c r="AW1128" i="10" s="1"/>
  <c r="AX1124" i="10"/>
  <c r="AV1124" i="10"/>
  <c r="AU1124" i="10"/>
  <c r="AT1124" i="10"/>
  <c r="AW1124" i="10" s="1"/>
  <c r="AL1124" i="10"/>
  <c r="AV1122" i="10"/>
  <c r="AT1122" i="10"/>
  <c r="AW1122" i="10" s="1"/>
  <c r="AI1122" i="10"/>
  <c r="AJ1122" i="10" s="1"/>
  <c r="AU1122" i="10" s="1"/>
  <c r="AV1121" i="10"/>
  <c r="AT1121" i="10"/>
  <c r="AW1121" i="10" s="1"/>
  <c r="AI1121" i="10"/>
  <c r="AJ1121" i="10" s="1"/>
  <c r="AU1121" i="10" s="1"/>
  <c r="AV1117" i="10"/>
  <c r="AT1117" i="10"/>
  <c r="AW1117" i="10" s="1"/>
  <c r="AH1117" i="10"/>
  <c r="AI1117" i="10" s="1"/>
  <c r="AJ1117" i="10" s="1"/>
  <c r="AV1116" i="10"/>
  <c r="AT1116" i="10"/>
  <c r="AW1116" i="10" s="1"/>
  <c r="AH1116" i="10"/>
  <c r="AI1116" i="10" s="1"/>
  <c r="AS1107" i="10"/>
  <c r="AR1107" i="10"/>
  <c r="AQ1107" i="10"/>
  <c r="AP1107" i="10"/>
  <c r="AO1107" i="10"/>
  <c r="AN1107" i="10"/>
  <c r="AM1107" i="10"/>
  <c r="AL1107" i="10"/>
  <c r="AK1107" i="10"/>
  <c r="AF1107" i="10"/>
  <c r="AE1107" i="10"/>
  <c r="AD1107" i="10"/>
  <c r="AV1105" i="10"/>
  <c r="AT1105" i="10"/>
  <c r="AW1105" i="10" s="1"/>
  <c r="AI1105" i="10"/>
  <c r="AJ1105" i="10" s="1"/>
  <c r="AV1100" i="10"/>
  <c r="AT1100" i="10"/>
  <c r="AW1100" i="10" s="1"/>
  <c r="AG1100" i="10"/>
  <c r="AI1100" i="10" s="1"/>
  <c r="AJ1100" i="10" s="1"/>
  <c r="AV1097" i="10"/>
  <c r="AT1097" i="10"/>
  <c r="AW1097" i="10" s="1"/>
  <c r="AG1097" i="10"/>
  <c r="AI1097" i="10" s="1"/>
  <c r="AJ1097" i="10" s="1"/>
  <c r="AV1095" i="10"/>
  <c r="AT1095" i="10"/>
  <c r="AW1095" i="10" s="1"/>
  <c r="AI1095" i="10"/>
  <c r="AJ1095" i="10" s="1"/>
  <c r="AX1094" i="10"/>
  <c r="AV1094" i="10"/>
  <c r="AU1094" i="10"/>
  <c r="AT1094" i="10"/>
  <c r="AW1094" i="10" s="1"/>
  <c r="AX1093" i="10"/>
  <c r="AV1093" i="10"/>
  <c r="AU1093" i="10"/>
  <c r="AT1093" i="10"/>
  <c r="AW1093" i="10" s="1"/>
  <c r="AV1092" i="10"/>
  <c r="AT1092" i="10"/>
  <c r="AW1092" i="10" s="1"/>
  <c r="AI1092" i="10"/>
  <c r="AJ1092" i="10" s="1"/>
  <c r="AV1088" i="10"/>
  <c r="AT1088" i="10"/>
  <c r="AW1088" i="10" s="1"/>
  <c r="AI1088" i="10"/>
  <c r="AJ1088" i="10" s="1"/>
  <c r="AV1086" i="10"/>
  <c r="AT1086" i="10"/>
  <c r="AW1086" i="10" s="1"/>
  <c r="AI1086" i="10"/>
  <c r="AJ1086" i="10" s="1"/>
  <c r="AV1085" i="10"/>
  <c r="AT1085" i="10"/>
  <c r="AW1085" i="10" s="1"/>
  <c r="AG1085" i="10"/>
  <c r="AI1085" i="10" s="1"/>
  <c r="AJ1085" i="10" s="1"/>
  <c r="AU1085" i="10" s="1"/>
  <c r="AV1083" i="10"/>
  <c r="AT1083" i="10"/>
  <c r="AW1083" i="10" s="1"/>
  <c r="AH1083" i="10"/>
  <c r="AI1083" i="10" s="1"/>
  <c r="AJ1083" i="10" s="1"/>
  <c r="AU1083" i="10" s="1"/>
  <c r="AV1081" i="10"/>
  <c r="AT1081" i="10"/>
  <c r="AW1081" i="10" s="1"/>
  <c r="AI1081" i="10"/>
  <c r="AJ1081" i="10" s="1"/>
  <c r="AU1081" i="10" s="1"/>
  <c r="AV1079" i="10"/>
  <c r="AT1079" i="10"/>
  <c r="AW1079" i="10" s="1"/>
  <c r="AG1079" i="10"/>
  <c r="AI1079" i="10" s="1"/>
  <c r="AJ1079" i="10" s="1"/>
  <c r="AV1077" i="10"/>
  <c r="AT1077" i="10"/>
  <c r="AW1077" i="10" s="1"/>
  <c r="AG1077" i="10"/>
  <c r="AI1077" i="10" s="1"/>
  <c r="AJ1077" i="10" s="1"/>
  <c r="AV1075" i="10"/>
  <c r="AT1075" i="10"/>
  <c r="AW1075" i="10" s="1"/>
  <c r="AH1075" i="10"/>
  <c r="AI1075" i="10" s="1"/>
  <c r="AV1073" i="10"/>
  <c r="AU1073" i="10"/>
  <c r="AT1073" i="10"/>
  <c r="AW1073" i="10" s="1"/>
  <c r="AX1066" i="10"/>
  <c r="AV1066" i="10"/>
  <c r="AU1066" i="10"/>
  <c r="AT1066" i="10"/>
  <c r="AW1066" i="10" s="1"/>
  <c r="AV1064" i="10"/>
  <c r="AU1064" i="10"/>
  <c r="AT1064" i="10"/>
  <c r="AW1064" i="10" s="1"/>
  <c r="AS1055" i="10"/>
  <c r="AR1055" i="10"/>
  <c r="AQ1055" i="10"/>
  <c r="AP1055" i="10"/>
  <c r="AN1055" i="10"/>
  <c r="AM1055" i="10"/>
  <c r="AK1055" i="10"/>
  <c r="AF1055" i="10"/>
  <c r="AE1055" i="10"/>
  <c r="AD1055" i="10"/>
  <c r="AX1053" i="10"/>
  <c r="AV1053" i="10"/>
  <c r="AU1053" i="10"/>
  <c r="AT1053" i="10"/>
  <c r="AW1053" i="10" s="1"/>
  <c r="AV1049" i="10"/>
  <c r="AT1049" i="10"/>
  <c r="AW1049" i="10" s="1"/>
  <c r="AL1049" i="10"/>
  <c r="AI1049" i="10"/>
  <c r="AJ1049" i="10" s="1"/>
  <c r="AV1048" i="10"/>
  <c r="AT1048" i="10"/>
  <c r="AW1048" i="10" s="1"/>
  <c r="AI1048" i="10"/>
  <c r="AJ1048" i="10" s="1"/>
  <c r="AX1047" i="10"/>
  <c r="AV1047" i="10"/>
  <c r="AU1047" i="10"/>
  <c r="AT1047" i="10"/>
  <c r="AW1047" i="10" s="1"/>
  <c r="AV1042" i="10"/>
  <c r="AT1042" i="10"/>
  <c r="AW1042" i="10" s="1"/>
  <c r="AI1042" i="10"/>
  <c r="AJ1042" i="10" s="1"/>
  <c r="AW1038" i="10"/>
  <c r="AV1038" i="10"/>
  <c r="AT1038" i="10"/>
  <c r="AI1038" i="10"/>
  <c r="AJ1038" i="10" s="1"/>
  <c r="AX1030" i="10"/>
  <c r="AV1030" i="10"/>
  <c r="AU1030" i="10"/>
  <c r="AT1030" i="10"/>
  <c r="AW1030" i="10" s="1"/>
  <c r="AV1017" i="10"/>
  <c r="AT1017" i="10"/>
  <c r="AW1017" i="10" s="1"/>
  <c r="AI1017" i="10"/>
  <c r="AJ1017" i="10" s="1"/>
  <c r="AU1017" i="10" s="1"/>
  <c r="AX1016" i="10"/>
  <c r="AV1016" i="10"/>
  <c r="AU1016" i="10"/>
  <c r="AT1016" i="10"/>
  <c r="AW1016" i="10" s="1"/>
  <c r="AV1007" i="10"/>
  <c r="AT1007" i="10"/>
  <c r="AW1007" i="10" s="1"/>
  <c r="AI1007" i="10"/>
  <c r="AJ1007" i="10" s="1"/>
  <c r="AU1007" i="10" s="1"/>
  <c r="AX1006" i="10"/>
  <c r="AV1006" i="10"/>
  <c r="AU1006" i="10"/>
  <c r="AT1006" i="10"/>
  <c r="AW1006" i="10" s="1"/>
  <c r="AX1005" i="10"/>
  <c r="AV1005" i="10"/>
  <c r="AU1005" i="10"/>
  <c r="AT1005" i="10"/>
  <c r="AW1005" i="10" s="1"/>
  <c r="AV1001" i="10"/>
  <c r="AT1001" i="10"/>
  <c r="AW1001" i="10" s="1"/>
  <c r="AI1001" i="10"/>
  <c r="AJ1001" i="10" s="1"/>
  <c r="AX1000" i="10"/>
  <c r="AV1000" i="10"/>
  <c r="AU1000" i="10"/>
  <c r="AT1000" i="10"/>
  <c r="AW1000" i="10" s="1"/>
  <c r="AX996" i="10"/>
  <c r="AV996" i="10"/>
  <c r="AU996" i="10"/>
  <c r="AT996" i="10"/>
  <c r="AW996" i="10" s="1"/>
  <c r="AV986" i="10"/>
  <c r="AT986" i="10"/>
  <c r="AW986" i="10" s="1"/>
  <c r="AI986" i="10"/>
  <c r="AJ986" i="10" s="1"/>
  <c r="AX986" i="10" s="1"/>
  <c r="AV985" i="10"/>
  <c r="AT985" i="10"/>
  <c r="AW985" i="10" s="1"/>
  <c r="AI985" i="10"/>
  <c r="AJ985" i="10" s="1"/>
  <c r="AU985" i="10" s="1"/>
  <c r="AV981" i="10"/>
  <c r="AT981" i="10"/>
  <c r="AW981" i="10" s="1"/>
  <c r="AI981" i="10"/>
  <c r="AJ981" i="10" s="1"/>
  <c r="AV980" i="10"/>
  <c r="AT980" i="10"/>
  <c r="AW980" i="10" s="1"/>
  <c r="AI980" i="10"/>
  <c r="AJ980" i="10" s="1"/>
  <c r="AV979" i="10"/>
  <c r="AT979" i="10"/>
  <c r="AW979" i="10" s="1"/>
  <c r="AI979" i="10"/>
  <c r="AJ979" i="10" s="1"/>
  <c r="AV978" i="10"/>
  <c r="AW978" i="10"/>
  <c r="AI978" i="10"/>
  <c r="AJ978" i="10" s="1"/>
  <c r="AT977" i="10"/>
  <c r="AW977" i="10" s="1"/>
  <c r="AI977" i="10"/>
  <c r="AJ977" i="10" s="1"/>
  <c r="AV973" i="10"/>
  <c r="AT973" i="10"/>
  <c r="AW973" i="10" s="1"/>
  <c r="AI973" i="10"/>
  <c r="AJ973" i="10" s="1"/>
  <c r="AX972" i="10"/>
  <c r="AV972" i="10"/>
  <c r="AU972" i="10"/>
  <c r="AT972" i="10"/>
  <c r="AW972" i="10" s="1"/>
  <c r="AV970" i="10"/>
  <c r="AT970" i="10"/>
  <c r="AW970" i="10" s="1"/>
  <c r="AI970" i="10"/>
  <c r="AJ970" i="10" s="1"/>
  <c r="AV968" i="10"/>
  <c r="AT968" i="10"/>
  <c r="AW968" i="10" s="1"/>
  <c r="AI968" i="10"/>
  <c r="AJ968" i="10" s="1"/>
  <c r="AU968" i="10" s="1"/>
  <c r="AV966" i="10"/>
  <c r="AT966" i="10"/>
  <c r="AW966" i="10" s="1"/>
  <c r="AI966" i="10"/>
  <c r="AJ966" i="10" s="1"/>
  <c r="AX966" i="10" s="1"/>
  <c r="AX963" i="10"/>
  <c r="AV963" i="10"/>
  <c r="AU963" i="10"/>
  <c r="AT963" i="10"/>
  <c r="AW963" i="10" s="1"/>
  <c r="AV962" i="10"/>
  <c r="AT962" i="10"/>
  <c r="AW962" i="10" s="1"/>
  <c r="AI962" i="10"/>
  <c r="AJ962" i="10" s="1"/>
  <c r="AV960" i="10"/>
  <c r="AT960" i="10"/>
  <c r="AW960" i="10" s="1"/>
  <c r="AG960" i="10"/>
  <c r="AI960" i="10" s="1"/>
  <c r="AJ960" i="10" s="1"/>
  <c r="AX954" i="10"/>
  <c r="AV954" i="10"/>
  <c r="AU954" i="10"/>
  <c r="AT954" i="10"/>
  <c r="AW954" i="10" s="1"/>
  <c r="AV946" i="10"/>
  <c r="AT946" i="10"/>
  <c r="AW946" i="10" s="1"/>
  <c r="AI946" i="10"/>
  <c r="AJ946" i="10" s="1"/>
  <c r="AX946" i="10" s="1"/>
  <c r="AV939" i="10"/>
  <c r="AT939" i="10"/>
  <c r="AW939" i="10" s="1"/>
  <c r="AI939" i="10"/>
  <c r="AJ939" i="10" s="1"/>
  <c r="AU939" i="10" s="1"/>
  <c r="AV934" i="10"/>
  <c r="AT934" i="10"/>
  <c r="AW934" i="10" s="1"/>
  <c r="AG934" i="10"/>
  <c r="AI934" i="10" s="1"/>
  <c r="AJ934" i="10" s="1"/>
  <c r="AV929" i="10"/>
  <c r="AT929" i="10"/>
  <c r="AW929" i="10" s="1"/>
  <c r="AG929" i="10"/>
  <c r="AI929" i="10" s="1"/>
  <c r="AJ929" i="10" s="1"/>
  <c r="AV913" i="10"/>
  <c r="AT913" i="10"/>
  <c r="AW913" i="10" s="1"/>
  <c r="AG913" i="10"/>
  <c r="AI913" i="10" s="1"/>
  <c r="AJ913" i="10" s="1"/>
  <c r="AV903" i="10"/>
  <c r="AT903" i="10"/>
  <c r="AW903" i="10" s="1"/>
  <c r="AI903" i="10"/>
  <c r="AJ903" i="10" s="1"/>
  <c r="AV897" i="10"/>
  <c r="AT897" i="10"/>
  <c r="AW897" i="10" s="1"/>
  <c r="AI897" i="10"/>
  <c r="AJ897" i="10" s="1"/>
  <c r="AV896" i="10"/>
  <c r="AT896" i="10"/>
  <c r="AW896" i="10" s="1"/>
  <c r="AH896" i="10"/>
  <c r="AI896" i="10" s="1"/>
  <c r="AJ896" i="10" s="1"/>
  <c r="AV892" i="10"/>
  <c r="AT892" i="10"/>
  <c r="AW892" i="10" s="1"/>
  <c r="AI892" i="10"/>
  <c r="AJ892" i="10" s="1"/>
  <c r="AV988" i="10"/>
  <c r="AT988" i="10"/>
  <c r="AW988" i="10" s="1"/>
  <c r="AI988" i="10"/>
  <c r="AJ988" i="10" s="1"/>
  <c r="AU988" i="10" s="1"/>
  <c r="AX890" i="10"/>
  <c r="AV890" i="10"/>
  <c r="AU890" i="10"/>
  <c r="AT890" i="10"/>
  <c r="AW890" i="10" s="1"/>
  <c r="AV888" i="10"/>
  <c r="AT888" i="10"/>
  <c r="AW888" i="10" s="1"/>
  <c r="AO888" i="10"/>
  <c r="AO1055" i="10" s="1"/>
  <c r="AI888" i="10"/>
  <c r="AJ888" i="10" s="1"/>
  <c r="AT887" i="10"/>
  <c r="AV886" i="10"/>
  <c r="AT886" i="10"/>
  <c r="AW886" i="10" s="1"/>
  <c r="AI886" i="10"/>
  <c r="AJ886" i="10" s="1"/>
  <c r="AV885" i="10"/>
  <c r="AT885" i="10"/>
  <c r="AW885" i="10" s="1"/>
  <c r="AH885" i="10"/>
  <c r="AG885" i="10"/>
  <c r="AV881" i="10"/>
  <c r="AT881" i="10"/>
  <c r="AW881" i="10" s="1"/>
  <c r="AG881" i="10"/>
  <c r="AI881" i="10" s="1"/>
  <c r="AJ881" i="10" s="1"/>
  <c r="AV880" i="10"/>
  <c r="AT880" i="10"/>
  <c r="AW880" i="10" s="1"/>
  <c r="AG880" i="10"/>
  <c r="AI880" i="10" s="1"/>
  <c r="AJ880" i="10" s="1"/>
  <c r="AV879" i="10"/>
  <c r="AT879" i="10"/>
  <c r="AW879" i="10" s="1"/>
  <c r="AG879" i="10"/>
  <c r="AI879" i="10" s="1"/>
  <c r="AJ879" i="10" s="1"/>
  <c r="AV877" i="10"/>
  <c r="AT877" i="10"/>
  <c r="AW877" i="10" s="1"/>
  <c r="AI877" i="10"/>
  <c r="AJ877" i="10" s="1"/>
  <c r="AV875" i="10"/>
  <c r="AT875" i="10"/>
  <c r="AW875" i="10" s="1"/>
  <c r="AH875" i="10"/>
  <c r="AI875" i="10" s="1"/>
  <c r="AJ875" i="10" s="1"/>
  <c r="AV873" i="10"/>
  <c r="AT873" i="10"/>
  <c r="AW873" i="10" s="1"/>
  <c r="AI873" i="10"/>
  <c r="AJ873" i="10" s="1"/>
  <c r="AX871" i="10"/>
  <c r="AV871" i="10"/>
  <c r="AU871" i="10"/>
  <c r="AT871" i="10"/>
  <c r="AW871" i="10" s="1"/>
  <c r="AX869" i="10"/>
  <c r="AV869" i="10"/>
  <c r="AU869" i="10"/>
  <c r="AT869" i="10"/>
  <c r="AW869" i="10" s="1"/>
  <c r="AV867" i="10"/>
  <c r="AT867" i="10"/>
  <c r="AW867" i="10" s="1"/>
  <c r="AI867" i="10"/>
  <c r="AJ867" i="10" s="1"/>
  <c r="AU867" i="10" s="1"/>
  <c r="AV865" i="10"/>
  <c r="AT865" i="10"/>
  <c r="AW865" i="10" s="1"/>
  <c r="AI865" i="10"/>
  <c r="AJ865" i="10" s="1"/>
  <c r="AV861" i="10"/>
  <c r="AT861" i="10"/>
  <c r="AW861" i="10" s="1"/>
  <c r="AI861" i="10"/>
  <c r="AJ861" i="10" s="1"/>
  <c r="AU861" i="10" s="1"/>
  <c r="AV860" i="10"/>
  <c r="AT860" i="10"/>
  <c r="AW860" i="10" s="1"/>
  <c r="AX858" i="10"/>
  <c r="AV858" i="10"/>
  <c r="AU858" i="10"/>
  <c r="AT858" i="10"/>
  <c r="AW858" i="10" s="1"/>
  <c r="AV856" i="10"/>
  <c r="AT856" i="10"/>
  <c r="AW856" i="10" s="1"/>
  <c r="AI856" i="10"/>
  <c r="AJ856" i="10" s="1"/>
  <c r="AU856" i="10" s="1"/>
  <c r="AV853" i="10"/>
  <c r="AT853" i="10"/>
  <c r="AW853" i="10" s="1"/>
  <c r="AI853" i="10"/>
  <c r="AJ853" i="10" s="1"/>
  <c r="AV1032" i="10"/>
  <c r="AT1032" i="10"/>
  <c r="AW1032" i="10" s="1"/>
  <c r="AI1032" i="10"/>
  <c r="AJ1032" i="10" s="1"/>
  <c r="AV926" i="10"/>
  <c r="AT926" i="10"/>
  <c r="AW926" i="10" s="1"/>
  <c r="AI926" i="10"/>
  <c r="AJ926" i="10" s="1"/>
  <c r="AV924" i="10"/>
  <c r="AT924" i="10"/>
  <c r="AW924" i="10" s="1"/>
  <c r="AI924" i="10"/>
  <c r="AJ924" i="10" s="1"/>
  <c r="AV922" i="10"/>
  <c r="AT922" i="10"/>
  <c r="AW922" i="10" s="1"/>
  <c r="AI922" i="10"/>
  <c r="AJ922" i="10" s="1"/>
  <c r="AV920" i="10"/>
  <c r="AT920" i="10"/>
  <c r="AW920" i="10" s="1"/>
  <c r="AI920" i="10"/>
  <c r="AJ920" i="10" s="1"/>
  <c r="AV918" i="10"/>
  <c r="AT918" i="10"/>
  <c r="AW918" i="10" s="1"/>
  <c r="AI918" i="10"/>
  <c r="AJ918" i="10" s="1"/>
  <c r="AV917" i="10"/>
  <c r="AT917" i="10"/>
  <c r="AW917" i="10" s="1"/>
  <c r="AI917" i="10"/>
  <c r="AJ917" i="10" s="1"/>
  <c r="AV915" i="10"/>
  <c r="AT915" i="10"/>
  <c r="AW915" i="10" s="1"/>
  <c r="AI915" i="10"/>
  <c r="AJ915" i="10" s="1"/>
  <c r="AX849" i="10"/>
  <c r="AV849" i="10"/>
  <c r="AU849" i="10"/>
  <c r="AT849" i="10"/>
  <c r="AW849" i="10" s="1"/>
  <c r="AL849" i="10"/>
  <c r="AV843" i="10"/>
  <c r="AT843" i="10"/>
  <c r="AW843" i="10" s="1"/>
  <c r="AG843" i="10"/>
  <c r="AV841" i="10"/>
  <c r="AT841" i="10"/>
  <c r="AW841" i="10" s="1"/>
  <c r="AI841" i="10"/>
  <c r="AX839" i="10"/>
  <c r="AV839" i="10"/>
  <c r="AU839" i="10"/>
  <c r="AT839" i="10"/>
  <c r="AW839" i="10" s="1"/>
  <c r="AS829" i="10"/>
  <c r="AQ829" i="10"/>
  <c r="AP829" i="10"/>
  <c r="AN829" i="10"/>
  <c r="AM829" i="10"/>
  <c r="AK829" i="10"/>
  <c r="AF829" i="10"/>
  <c r="AE829" i="10"/>
  <c r="AD829" i="10"/>
  <c r="AV828" i="10"/>
  <c r="AT828" i="10"/>
  <c r="AW828" i="10" s="1"/>
  <c r="AI828" i="10"/>
  <c r="AJ828" i="10" s="1"/>
  <c r="AV823" i="10"/>
  <c r="AT823" i="10"/>
  <c r="AW823" i="10" s="1"/>
  <c r="AI823" i="10"/>
  <c r="AJ823" i="10" s="1"/>
  <c r="AU823" i="10" s="1"/>
  <c r="AV822" i="10"/>
  <c r="AT822" i="10"/>
  <c r="AW822" i="10" s="1"/>
  <c r="AG822" i="10"/>
  <c r="AI822" i="10" s="1"/>
  <c r="AJ822" i="10" s="1"/>
  <c r="AX820" i="10"/>
  <c r="AV820" i="10"/>
  <c r="AU820" i="10"/>
  <c r="AT820" i="10"/>
  <c r="AW820" i="10" s="1"/>
  <c r="AV818" i="10"/>
  <c r="AT818" i="10"/>
  <c r="AW818" i="10" s="1"/>
  <c r="AI818" i="10"/>
  <c r="AJ818" i="10" s="1"/>
  <c r="AX817" i="10"/>
  <c r="AV817" i="10"/>
  <c r="AU817" i="10"/>
  <c r="AT817" i="10"/>
  <c r="AW817" i="10" s="1"/>
  <c r="AV815" i="10"/>
  <c r="AT815" i="10"/>
  <c r="AW815" i="10" s="1"/>
  <c r="AI815" i="10"/>
  <c r="AJ815" i="10" s="1"/>
  <c r="AX815" i="10" s="1"/>
  <c r="AV814" i="10"/>
  <c r="AT814" i="10"/>
  <c r="AW814" i="10" s="1"/>
  <c r="AI814" i="10"/>
  <c r="AJ814" i="10" s="1"/>
  <c r="AU814" i="10" s="1"/>
  <c r="AV812" i="10"/>
  <c r="AT812" i="10"/>
  <c r="AW812" i="10" s="1"/>
  <c r="AI812" i="10"/>
  <c r="AJ812" i="10" s="1"/>
  <c r="AU812" i="10" s="1"/>
  <c r="AV810" i="10"/>
  <c r="AT810" i="10"/>
  <c r="AW810" i="10" s="1"/>
  <c r="AI810" i="10"/>
  <c r="AJ810" i="10" s="1"/>
  <c r="AU810" i="10" s="1"/>
  <c r="AX809" i="10"/>
  <c r="AV809" i="10"/>
  <c r="AU809" i="10"/>
  <c r="AT809" i="10"/>
  <c r="AW809" i="10" s="1"/>
  <c r="AO809" i="10"/>
  <c r="AV808" i="10"/>
  <c r="AT808" i="10"/>
  <c r="AW808" i="10" s="1"/>
  <c r="AG808" i="10"/>
  <c r="AI808" i="10" s="1"/>
  <c r="AJ808" i="10" s="1"/>
  <c r="AV806" i="10"/>
  <c r="AT806" i="10"/>
  <c r="AW806" i="10" s="1"/>
  <c r="AL806" i="10"/>
  <c r="AI806" i="10"/>
  <c r="AJ806" i="10" s="1"/>
  <c r="AX805" i="10"/>
  <c r="AV805" i="10"/>
  <c r="AU805" i="10"/>
  <c r="AT805" i="10"/>
  <c r="AW805" i="10" s="1"/>
  <c r="AV804" i="10"/>
  <c r="AT804" i="10"/>
  <c r="AW804" i="10" s="1"/>
  <c r="AI804" i="10"/>
  <c r="AJ804" i="10" s="1"/>
  <c r="AW802" i="10"/>
  <c r="AV802" i="10"/>
  <c r="AR802" i="10"/>
  <c r="AL802" i="10"/>
  <c r="AI802" i="10"/>
  <c r="AJ802" i="10" s="1"/>
  <c r="AU802" i="10" s="1"/>
  <c r="AW801" i="10"/>
  <c r="AV801" i="10"/>
  <c r="AR801" i="10"/>
  <c r="AI801" i="10"/>
  <c r="AJ801" i="10" s="1"/>
  <c r="AU801" i="10" s="1"/>
  <c r="AV800" i="10"/>
  <c r="AT800" i="10"/>
  <c r="AW800" i="10" s="1"/>
  <c r="AR800" i="10"/>
  <c r="AO800" i="10"/>
  <c r="AL800" i="10"/>
  <c r="AI800" i="10"/>
  <c r="AJ800" i="10" s="1"/>
  <c r="AX800" i="10" s="1"/>
  <c r="AV799" i="10"/>
  <c r="AT799" i="10"/>
  <c r="AW799" i="10" s="1"/>
  <c r="AO799" i="10"/>
  <c r="AL799" i="10"/>
  <c r="AI799" i="10"/>
  <c r="AJ799" i="10" s="1"/>
  <c r="AX799" i="10" s="1"/>
  <c r="AV798" i="10"/>
  <c r="AT798" i="10"/>
  <c r="AW798" i="10" s="1"/>
  <c r="AO798" i="10"/>
  <c r="AL798" i="10"/>
  <c r="AI798" i="10"/>
  <c r="AJ798" i="10" s="1"/>
  <c r="AV797" i="10"/>
  <c r="AT797" i="10"/>
  <c r="AW797" i="10" s="1"/>
  <c r="AI797" i="10"/>
  <c r="AJ797" i="10" s="1"/>
  <c r="AV796" i="10"/>
  <c r="AT796" i="10"/>
  <c r="AW796" i="10" s="1"/>
  <c r="AG796" i="10"/>
  <c r="AV794" i="10"/>
  <c r="AT794" i="10"/>
  <c r="AW794" i="10" s="1"/>
  <c r="AI794" i="10"/>
  <c r="AJ794" i="10" s="1"/>
  <c r="AX793" i="10"/>
  <c r="AV793" i="10"/>
  <c r="AU793" i="10"/>
  <c r="AT793" i="10"/>
  <c r="AW793" i="10" s="1"/>
  <c r="AV791" i="10"/>
  <c r="AT791" i="10"/>
  <c r="AW791" i="10" s="1"/>
  <c r="AI791" i="10"/>
  <c r="AJ791" i="10" s="1"/>
  <c r="AV790" i="10"/>
  <c r="AT790" i="10"/>
  <c r="AW790" i="10" s="1"/>
  <c r="AI790" i="10"/>
  <c r="AJ790" i="10" s="1"/>
  <c r="AV789" i="10"/>
  <c r="AT789" i="10"/>
  <c r="AW789" i="10" s="1"/>
  <c r="AI789" i="10"/>
  <c r="AJ789" i="10" s="1"/>
  <c r="AV788" i="10"/>
  <c r="AT788" i="10"/>
  <c r="AW788" i="10" s="1"/>
  <c r="AI788" i="10"/>
  <c r="AJ788" i="10" s="1"/>
  <c r="AV787" i="10"/>
  <c r="AT787" i="10"/>
  <c r="AW787" i="10" s="1"/>
  <c r="AH787" i="10"/>
  <c r="AH829" i="10" s="1"/>
  <c r="AX785" i="10"/>
  <c r="AV785" i="10"/>
  <c r="AU785" i="10"/>
  <c r="AT785" i="10"/>
  <c r="AW785" i="10" s="1"/>
  <c r="AX783" i="10"/>
  <c r="AV783" i="10"/>
  <c r="AU783" i="10"/>
  <c r="AT783" i="10"/>
  <c r="AW783" i="10" s="1"/>
  <c r="AX781" i="10"/>
  <c r="AV781" i="10"/>
  <c r="AU781" i="10"/>
  <c r="AT781" i="10"/>
  <c r="AW781" i="10" s="1"/>
  <c r="AV779" i="10"/>
  <c r="AT779" i="10"/>
  <c r="AW779" i="10" s="1"/>
  <c r="AI779" i="10"/>
  <c r="AJ779" i="10" s="1"/>
  <c r="AU779" i="10" s="1"/>
  <c r="AV774" i="10"/>
  <c r="AT774" i="10"/>
  <c r="AW774" i="10" s="1"/>
  <c r="AI774" i="10"/>
  <c r="AJ774" i="10" s="1"/>
  <c r="AV771" i="10"/>
  <c r="AT771" i="10"/>
  <c r="AW771" i="10" s="1"/>
  <c r="AI771" i="10"/>
  <c r="AJ771" i="10" s="1"/>
  <c r="AV768" i="10"/>
  <c r="AT768" i="10"/>
  <c r="AW768" i="10" s="1"/>
  <c r="AI768" i="10"/>
  <c r="AJ768" i="10" s="1"/>
  <c r="AV765" i="10"/>
  <c r="AT765" i="10"/>
  <c r="AW765" i="10" s="1"/>
  <c r="AI765" i="10"/>
  <c r="AJ765" i="10" s="1"/>
  <c r="AV763" i="10"/>
  <c r="AT763" i="10"/>
  <c r="AW763" i="10" s="1"/>
  <c r="AI763" i="10"/>
  <c r="AJ763" i="10" s="1"/>
  <c r="AU763" i="10" s="1"/>
  <c r="AV762" i="10"/>
  <c r="AT762" i="10"/>
  <c r="AW762" i="10" s="1"/>
  <c r="AI762" i="10"/>
  <c r="AX762" i="10" s="1"/>
  <c r="AV760" i="10"/>
  <c r="AT760" i="10"/>
  <c r="AW760" i="10" s="1"/>
  <c r="AL760" i="10"/>
  <c r="AI760" i="10"/>
  <c r="AJ760" i="10" s="1"/>
  <c r="AV759" i="10"/>
  <c r="AT759" i="10"/>
  <c r="AW759" i="10" s="1"/>
  <c r="AI759" i="10"/>
  <c r="AJ759" i="10" s="1"/>
  <c r="AX758" i="10"/>
  <c r="AV758" i="10"/>
  <c r="AU758" i="10"/>
  <c r="AT758" i="10"/>
  <c r="AW758" i="10" s="1"/>
  <c r="AL758" i="10"/>
  <c r="AX757" i="10"/>
  <c r="AV757" i="10"/>
  <c r="AU757" i="10"/>
  <c r="AT757" i="10"/>
  <c r="AW757" i="10" s="1"/>
  <c r="AL757" i="10"/>
  <c r="AV756" i="10"/>
  <c r="AT756" i="10"/>
  <c r="AW756" i="10" s="1"/>
  <c r="AL756" i="10"/>
  <c r="AI756" i="10"/>
  <c r="AJ756" i="10" s="1"/>
  <c r="AU756" i="10" s="1"/>
  <c r="AV752" i="10"/>
  <c r="AT752" i="10"/>
  <c r="AW752" i="10" s="1"/>
  <c r="AI752" i="10"/>
  <c r="AJ752" i="10" s="1"/>
  <c r="AX750" i="10"/>
  <c r="AV750" i="10"/>
  <c r="AU750" i="10"/>
  <c r="AT750" i="10"/>
  <c r="AW750" i="10" s="1"/>
  <c r="AV748" i="10"/>
  <c r="AT748" i="10"/>
  <c r="AW748" i="10" s="1"/>
  <c r="AI748" i="10"/>
  <c r="AJ748" i="10" s="1"/>
  <c r="AV743" i="10"/>
  <c r="AT743" i="10"/>
  <c r="AW743" i="10" s="1"/>
  <c r="AI743" i="10"/>
  <c r="AJ743" i="10" s="1"/>
  <c r="AV741" i="10"/>
  <c r="AT741" i="10"/>
  <c r="AW741" i="10" s="1"/>
  <c r="AI741" i="10"/>
  <c r="AJ741" i="10" s="1"/>
  <c r="AV737" i="10"/>
  <c r="AT737" i="10"/>
  <c r="AW737" i="10" s="1"/>
  <c r="AI737" i="10"/>
  <c r="AJ737" i="10" s="1"/>
  <c r="AV735" i="10"/>
  <c r="AT735" i="10"/>
  <c r="AW735" i="10" s="1"/>
  <c r="AI735" i="10"/>
  <c r="AJ735" i="10" s="1"/>
  <c r="AV727" i="10"/>
  <c r="AT727" i="10"/>
  <c r="AW727" i="10" s="1"/>
  <c r="AI727" i="10"/>
  <c r="AJ727" i="10" s="1"/>
  <c r="AU727" i="10" s="1"/>
  <c r="AX726" i="10"/>
  <c r="AV726" i="10"/>
  <c r="AU726" i="10"/>
  <c r="AT726" i="10"/>
  <c r="AW726" i="10" s="1"/>
  <c r="AX725" i="10"/>
  <c r="AV725" i="10"/>
  <c r="AU725" i="10"/>
  <c r="AT725" i="10"/>
  <c r="AW725" i="10" s="1"/>
  <c r="AX716" i="10"/>
  <c r="AV716" i="10"/>
  <c r="AU716" i="10"/>
  <c r="AT716" i="10"/>
  <c r="AW716" i="10" s="1"/>
  <c r="AX715" i="10"/>
  <c r="AV715" i="10"/>
  <c r="AU715" i="10"/>
  <c r="AT715" i="10"/>
  <c r="AW715" i="10" s="1"/>
  <c r="AX714" i="10"/>
  <c r="AV714" i="10"/>
  <c r="AU714" i="10"/>
  <c r="AT714" i="10"/>
  <c r="AW714" i="10" s="1"/>
  <c r="AX713" i="10"/>
  <c r="AV713" i="10"/>
  <c r="AU713" i="10"/>
  <c r="AT713" i="10"/>
  <c r="AW713" i="10" s="1"/>
  <c r="AX711" i="10"/>
  <c r="AV711" i="10"/>
  <c r="AU711" i="10"/>
  <c r="AT711" i="10"/>
  <c r="AW711" i="10" s="1"/>
  <c r="AV703" i="10"/>
  <c r="AT703" i="10"/>
  <c r="AW703" i="10" s="1"/>
  <c r="AI703" i="10"/>
  <c r="AJ703" i="10" s="1"/>
  <c r="AU703" i="10" s="1"/>
  <c r="AV700" i="10"/>
  <c r="AT700" i="10"/>
  <c r="AW700" i="10" s="1"/>
  <c r="AI700" i="10"/>
  <c r="AJ700" i="10" s="1"/>
  <c r="AV699" i="10"/>
  <c r="AT699" i="10"/>
  <c r="AW699" i="10" s="1"/>
  <c r="AG699" i="10"/>
  <c r="AI699" i="10" s="1"/>
  <c r="AJ699" i="10" s="1"/>
  <c r="AV697" i="10"/>
  <c r="AT697" i="10"/>
  <c r="AW697" i="10" s="1"/>
  <c r="AI697" i="10"/>
  <c r="AJ697" i="10" s="1"/>
  <c r="AX696" i="10"/>
  <c r="AV696" i="10"/>
  <c r="AU696" i="10"/>
  <c r="AT696" i="10"/>
  <c r="AW696" i="10" s="1"/>
  <c r="AV695" i="10"/>
  <c r="AT695" i="10"/>
  <c r="AW695" i="10" s="1"/>
  <c r="AG695" i="10"/>
  <c r="AI695" i="10" s="1"/>
  <c r="AJ695" i="10" s="1"/>
  <c r="AV693" i="10"/>
  <c r="AT693" i="10"/>
  <c r="AW693" i="10" s="1"/>
  <c r="AI693" i="10"/>
  <c r="AJ693" i="10" s="1"/>
  <c r="AV692" i="10"/>
  <c r="AT692" i="10"/>
  <c r="AW692" i="10" s="1"/>
  <c r="AH692" i="10"/>
  <c r="AI692" i="10" s="1"/>
  <c r="AJ692" i="10" s="1"/>
  <c r="AV690" i="10"/>
  <c r="AT690" i="10"/>
  <c r="AW690" i="10" s="1"/>
  <c r="AH690" i="10"/>
  <c r="AI690" i="10" s="1"/>
  <c r="AJ690" i="10" s="1"/>
  <c r="AU690" i="10" s="1"/>
  <c r="AV688" i="10"/>
  <c r="AT688" i="10"/>
  <c r="AW688" i="10" s="1"/>
  <c r="AI688" i="10"/>
  <c r="AJ688" i="10" s="1"/>
  <c r="AU688" i="10" s="1"/>
  <c r="AX687" i="10"/>
  <c r="AV687" i="10"/>
  <c r="AU687" i="10"/>
  <c r="AT687" i="10"/>
  <c r="AW687" i="10" s="1"/>
  <c r="AV683" i="10"/>
  <c r="AT683" i="10"/>
  <c r="AW683" i="10" s="1"/>
  <c r="AI683" i="10"/>
  <c r="AJ683" i="10" s="1"/>
  <c r="AV682" i="10"/>
  <c r="AT682" i="10"/>
  <c r="AW682" i="10" s="1"/>
  <c r="AI682" i="10"/>
  <c r="AJ682" i="10" s="1"/>
  <c r="AV681" i="10"/>
  <c r="AT681" i="10"/>
  <c r="AW681" i="10" s="1"/>
  <c r="AI681" i="10"/>
  <c r="AJ681" i="10" s="1"/>
  <c r="AV680" i="10"/>
  <c r="AT680" i="10"/>
  <c r="AW680" i="10" s="1"/>
  <c r="AI680" i="10"/>
  <c r="AJ680" i="10" s="1"/>
  <c r="AV679" i="10"/>
  <c r="AT679" i="10"/>
  <c r="AW679" i="10" s="1"/>
  <c r="AI679" i="10"/>
  <c r="AJ679" i="10" s="1"/>
  <c r="AV678" i="10"/>
  <c r="AT678" i="10"/>
  <c r="AW678" i="10" s="1"/>
  <c r="AI678" i="10"/>
  <c r="AJ678" i="10" s="1"/>
  <c r="AV677" i="10"/>
  <c r="AT677" i="10"/>
  <c r="AW677" i="10" s="1"/>
  <c r="AI677" i="10"/>
  <c r="AJ677" i="10" s="1"/>
  <c r="AX677" i="10" s="1"/>
  <c r="AV671" i="10"/>
  <c r="AT671" i="10"/>
  <c r="AW671" i="10" s="1"/>
  <c r="AI671" i="10"/>
  <c r="AJ671" i="10" s="1"/>
  <c r="AV670" i="10"/>
  <c r="AT670" i="10"/>
  <c r="AW670" i="10" s="1"/>
  <c r="AI670" i="10"/>
  <c r="AJ670" i="10" s="1"/>
  <c r="AU670" i="10" s="1"/>
  <c r="AV669" i="10"/>
  <c r="AT669" i="10"/>
  <c r="AW669" i="10" s="1"/>
  <c r="AG669" i="10"/>
  <c r="AI669" i="10" s="1"/>
  <c r="AJ669" i="10" s="1"/>
  <c r="AX668" i="10"/>
  <c r="AV668" i="10"/>
  <c r="AU668" i="10"/>
  <c r="AT668" i="10"/>
  <c r="AW668" i="10" s="1"/>
  <c r="AV667" i="10"/>
  <c r="AT667" i="10"/>
  <c r="AW667" i="10" s="1"/>
  <c r="AI667" i="10"/>
  <c r="AJ667" i="10" s="1"/>
  <c r="AV665" i="10"/>
  <c r="AT665" i="10"/>
  <c r="AW665" i="10" s="1"/>
  <c r="AI665" i="10"/>
  <c r="AJ665" i="10" s="1"/>
  <c r="AV664" i="10"/>
  <c r="AT664" i="10"/>
  <c r="AW664" i="10" s="1"/>
  <c r="AI664" i="10"/>
  <c r="AJ664" i="10" s="1"/>
  <c r="AX664" i="10" s="1"/>
  <c r="AV662" i="10"/>
  <c r="AT662" i="10"/>
  <c r="AW662" i="10" s="1"/>
  <c r="AG662" i="10"/>
  <c r="AI662" i="10" s="1"/>
  <c r="AJ662" i="10" s="1"/>
  <c r="AV660" i="10"/>
  <c r="AT660" i="10"/>
  <c r="AW660" i="10" s="1"/>
  <c r="AI660" i="10"/>
  <c r="AJ660" i="10" s="1"/>
  <c r="AU660" i="10" s="1"/>
  <c r="AV659" i="10"/>
  <c r="AT659" i="10"/>
  <c r="AW659" i="10" s="1"/>
  <c r="AG659" i="10"/>
  <c r="AI659" i="10" s="1"/>
  <c r="AJ659" i="10" s="1"/>
  <c r="AV657" i="10"/>
  <c r="AT657" i="10"/>
  <c r="AW657" i="10" s="1"/>
  <c r="AI657" i="10"/>
  <c r="AJ657" i="10" s="1"/>
  <c r="AV656" i="10"/>
  <c r="AT656" i="10"/>
  <c r="AW656" i="10" s="1"/>
  <c r="AH656" i="10"/>
  <c r="AI656" i="10" s="1"/>
  <c r="AJ656" i="10" s="1"/>
  <c r="AV655" i="10"/>
  <c r="AT655" i="10"/>
  <c r="AW655" i="10" s="1"/>
  <c r="AH655" i="10"/>
  <c r="AI655" i="10" s="1"/>
  <c r="AJ655" i="10" s="1"/>
  <c r="AV650" i="10"/>
  <c r="AT650" i="10"/>
  <c r="AW650" i="10" s="1"/>
  <c r="AG650" i="10"/>
  <c r="AI650" i="10" s="1"/>
  <c r="AJ650" i="10" s="1"/>
  <c r="AV648" i="10"/>
  <c r="AT648" i="10"/>
  <c r="AW648" i="10" s="1"/>
  <c r="AI648" i="10"/>
  <c r="AJ648" i="10" s="1"/>
  <c r="AU648" i="10" s="1"/>
  <c r="AV646" i="10"/>
  <c r="AT646" i="10"/>
  <c r="AW646" i="10" s="1"/>
  <c r="AR646" i="10"/>
  <c r="AR729" i="10" s="1"/>
  <c r="AI646" i="10"/>
  <c r="AJ646" i="10" s="1"/>
  <c r="AV644" i="10"/>
  <c r="AT644" i="10"/>
  <c r="AW644" i="10" s="1"/>
  <c r="AI644" i="10"/>
  <c r="AJ644" i="10" s="1"/>
  <c r="AX644" i="10" s="1"/>
  <c r="AV643" i="10"/>
  <c r="AT643" i="10"/>
  <c r="AW643" i="10" s="1"/>
  <c r="AI643" i="10"/>
  <c r="AJ643" i="10" s="1"/>
  <c r="AV641" i="10"/>
  <c r="AT641" i="10"/>
  <c r="AW641" i="10" s="1"/>
  <c r="AI641" i="10"/>
  <c r="AJ641" i="10" s="1"/>
  <c r="AV639" i="10"/>
  <c r="AT639" i="10"/>
  <c r="AW639" i="10" s="1"/>
  <c r="AI639" i="10"/>
  <c r="AJ639" i="10" s="1"/>
  <c r="AU639" i="10" s="1"/>
  <c r="AX636" i="10"/>
  <c r="AV636" i="10"/>
  <c r="AU636" i="10"/>
  <c r="AT636" i="10"/>
  <c r="AW636" i="10" s="1"/>
  <c r="AV633" i="10"/>
  <c r="AT633" i="10"/>
  <c r="AW633" i="10" s="1"/>
  <c r="AI633" i="10"/>
  <c r="AJ633" i="10" s="1"/>
  <c r="AX633" i="10" s="1"/>
  <c r="AV632" i="10"/>
  <c r="AT632" i="10"/>
  <c r="AW632" i="10" s="1"/>
  <c r="AI632" i="10"/>
  <c r="AJ632" i="10" s="1"/>
  <c r="AX632" i="10" s="1"/>
  <c r="AV631" i="10"/>
  <c r="AT631" i="10"/>
  <c r="AW631" i="10" s="1"/>
  <c r="AI631" i="10"/>
  <c r="AJ631" i="10" s="1"/>
  <c r="AX631" i="10" s="1"/>
  <c r="AV630" i="10"/>
  <c r="AT630" i="10"/>
  <c r="AW630" i="10" s="1"/>
  <c r="AI630" i="10"/>
  <c r="AJ630" i="10" s="1"/>
  <c r="AV629" i="10"/>
  <c r="AT629" i="10"/>
  <c r="AW629" i="10" s="1"/>
  <c r="AI629" i="10"/>
  <c r="AJ629" i="10" s="1"/>
  <c r="AV628" i="10"/>
  <c r="AT628" i="10"/>
  <c r="AW628" i="10" s="1"/>
  <c r="AH628" i="10"/>
  <c r="AI628" i="10" s="1"/>
  <c r="AJ628" i="10" s="1"/>
  <c r="AV625" i="10"/>
  <c r="AT625" i="10"/>
  <c r="AW625" i="10" s="1"/>
  <c r="AI625" i="10"/>
  <c r="AJ625" i="10" s="1"/>
  <c r="AU625" i="10" s="1"/>
  <c r="AV623" i="10"/>
  <c r="AT623" i="10"/>
  <c r="AW623" i="10" s="1"/>
  <c r="AG623" i="10"/>
  <c r="AI623" i="10" s="1"/>
  <c r="AJ623" i="10" s="1"/>
  <c r="AV621" i="10"/>
  <c r="AT621" i="10"/>
  <c r="AW621" i="10" s="1"/>
  <c r="AE621" i="10"/>
  <c r="AI621" i="10" s="1"/>
  <c r="AJ621" i="10" s="1"/>
  <c r="AV620" i="10"/>
  <c r="AT620" i="10"/>
  <c r="AW620" i="10" s="1"/>
  <c r="AI620" i="10"/>
  <c r="AJ620" i="10" s="1"/>
  <c r="AX618" i="10"/>
  <c r="AV618" i="10"/>
  <c r="AU618" i="10"/>
  <c r="AT618" i="10"/>
  <c r="AW618" i="10" s="1"/>
  <c r="AV617" i="10"/>
  <c r="AT617" i="10"/>
  <c r="AW617" i="10" s="1"/>
  <c r="AI617" i="10"/>
  <c r="AJ617" i="10" s="1"/>
  <c r="AV615" i="10"/>
  <c r="AT615" i="10"/>
  <c r="AW615" i="10" s="1"/>
  <c r="AI615" i="10"/>
  <c r="AJ615" i="10" s="1"/>
  <c r="AV613" i="10"/>
  <c r="AT613" i="10"/>
  <c r="AW613" i="10" s="1"/>
  <c r="AI613" i="10"/>
  <c r="AJ613" i="10" s="1"/>
  <c r="AX613" i="10" s="1"/>
  <c r="AV611" i="10"/>
  <c r="AT611" i="10"/>
  <c r="AW611" i="10" s="1"/>
  <c r="AI611" i="10"/>
  <c r="AJ611" i="10" s="1"/>
  <c r="AU611" i="10" s="1"/>
  <c r="AV610" i="10"/>
  <c r="AT610" i="10"/>
  <c r="AW610" i="10" s="1"/>
  <c r="AI610" i="10"/>
  <c r="AJ610" i="10" s="1"/>
  <c r="AU610" i="10" s="1"/>
  <c r="AV609" i="10"/>
  <c r="AT609" i="10"/>
  <c r="AW609" i="10" s="1"/>
  <c r="AI609" i="10"/>
  <c r="AJ609" i="10" s="1"/>
  <c r="AV608" i="10"/>
  <c r="AT608" i="10"/>
  <c r="AW608" i="10" s="1"/>
  <c r="AI608" i="10"/>
  <c r="AJ608" i="10" s="1"/>
  <c r="AV607" i="10"/>
  <c r="AT607" i="10"/>
  <c r="AW607" i="10" s="1"/>
  <c r="AI607" i="10"/>
  <c r="AJ607" i="10" s="1"/>
  <c r="AV606" i="10"/>
  <c r="AT606" i="10"/>
  <c r="AW606" i="10" s="1"/>
  <c r="AI606" i="10"/>
  <c r="AJ606" i="10" s="1"/>
  <c r="AV604" i="10"/>
  <c r="AT604" i="10"/>
  <c r="AW604" i="10" s="1"/>
  <c r="AI604" i="10"/>
  <c r="AJ604" i="10" s="1"/>
  <c r="AU604" i="10" s="1"/>
  <c r="AV602" i="10"/>
  <c r="AT602" i="10"/>
  <c r="AW602" i="10" s="1"/>
  <c r="AI602" i="10"/>
  <c r="AJ602" i="10" s="1"/>
  <c r="AU602" i="10" s="1"/>
  <c r="AV601" i="10"/>
  <c r="AT601" i="10"/>
  <c r="AW601" i="10" s="1"/>
  <c r="AI601" i="10"/>
  <c r="AJ601" i="10" s="1"/>
  <c r="AU601" i="10" s="1"/>
  <c r="AV600" i="10"/>
  <c r="AT600" i="10"/>
  <c r="AW600" i="10" s="1"/>
  <c r="AI600" i="10"/>
  <c r="AJ600" i="10" s="1"/>
  <c r="AU600" i="10" s="1"/>
  <c r="AV599" i="10"/>
  <c r="AT599" i="10"/>
  <c r="AW599" i="10" s="1"/>
  <c r="AI599" i="10"/>
  <c r="AJ599" i="10" s="1"/>
  <c r="AX599" i="10" s="1"/>
  <c r="AV595" i="10"/>
  <c r="AT595" i="10"/>
  <c r="AW595" i="10" s="1"/>
  <c r="AI595" i="10"/>
  <c r="AJ595" i="10" s="1"/>
  <c r="AU595" i="10" s="1"/>
  <c r="AV593" i="10"/>
  <c r="AT593" i="10"/>
  <c r="AW593" i="10" s="1"/>
  <c r="AI593" i="10"/>
  <c r="AJ593" i="10" s="1"/>
  <c r="AV592" i="10"/>
  <c r="AT592" i="10"/>
  <c r="AW592" i="10" s="1"/>
  <c r="AH592" i="10"/>
  <c r="AV591" i="10"/>
  <c r="AT591" i="10"/>
  <c r="AW591" i="10" s="1"/>
  <c r="AG591" i="10"/>
  <c r="AI591" i="10" s="1"/>
  <c r="AJ591" i="10" s="1"/>
  <c r="AV590" i="10"/>
  <c r="AT590" i="10"/>
  <c r="AW590" i="10" s="1"/>
  <c r="AI590" i="10"/>
  <c r="AJ590" i="10" s="1"/>
  <c r="AU590" i="10" s="1"/>
  <c r="AV588" i="10"/>
  <c r="AT588" i="10"/>
  <c r="AW588" i="10" s="1"/>
  <c r="AI588" i="10"/>
  <c r="AJ588" i="10" s="1"/>
  <c r="AX588" i="10" s="1"/>
  <c r="AV586" i="10"/>
  <c r="AT586" i="10"/>
  <c r="AW586" i="10" s="1"/>
  <c r="AI586" i="10"/>
  <c r="AJ586" i="10" s="1"/>
  <c r="AV584" i="10"/>
  <c r="AT584" i="10"/>
  <c r="AW584" i="10" s="1"/>
  <c r="AI584" i="10"/>
  <c r="AJ584" i="10" s="1"/>
  <c r="AV582" i="10"/>
  <c r="AT582" i="10"/>
  <c r="AW582" i="10" s="1"/>
  <c r="AI582" i="10"/>
  <c r="AJ582" i="10" s="1"/>
  <c r="AV581" i="10"/>
  <c r="AT581" i="10"/>
  <c r="AW581" i="10" s="1"/>
  <c r="AI581" i="10"/>
  <c r="AJ581" i="10" s="1"/>
  <c r="AX581" i="10" s="1"/>
  <c r="AV579" i="10"/>
  <c r="AT579" i="10"/>
  <c r="AW579" i="10" s="1"/>
  <c r="AI579" i="10"/>
  <c r="AJ579" i="10" s="1"/>
  <c r="AU579" i="10" s="1"/>
  <c r="AX578" i="10"/>
  <c r="AV578" i="10"/>
  <c r="AU578" i="10"/>
  <c r="AT578" i="10"/>
  <c r="AW578" i="10" s="1"/>
  <c r="AX577" i="10"/>
  <c r="AV577" i="10"/>
  <c r="AU577" i="10"/>
  <c r="AT577" i="10"/>
  <c r="AW577" i="10" s="1"/>
  <c r="AV575" i="10"/>
  <c r="AT575" i="10"/>
  <c r="AW575" i="10" s="1"/>
  <c r="AI575" i="10"/>
  <c r="AJ575" i="10" s="1"/>
  <c r="AX575" i="10" s="1"/>
  <c r="AV574" i="10"/>
  <c r="AT574" i="10"/>
  <c r="AW574" i="10" s="1"/>
  <c r="AI574" i="10"/>
  <c r="AJ574" i="10" s="1"/>
  <c r="AU574" i="10" s="1"/>
  <c r="AV572" i="10"/>
  <c r="AT572" i="10"/>
  <c r="AW572" i="10" s="1"/>
  <c r="AG572" i="10"/>
  <c r="AI572" i="10" s="1"/>
  <c r="AJ572" i="10" s="1"/>
  <c r="AV570" i="10"/>
  <c r="AT570" i="10"/>
  <c r="AW570" i="10" s="1"/>
  <c r="AI570" i="10"/>
  <c r="AJ570" i="10" s="1"/>
  <c r="AV569" i="10"/>
  <c r="AT569" i="10"/>
  <c r="AW569" i="10" s="1"/>
  <c r="AI569" i="10"/>
  <c r="AJ569" i="10" s="1"/>
  <c r="AU569" i="10" s="1"/>
  <c r="AX568" i="10"/>
  <c r="AV568" i="10"/>
  <c r="AU568" i="10"/>
  <c r="AT568" i="10"/>
  <c r="AW568" i="10" s="1"/>
  <c r="AV567" i="10"/>
  <c r="AT567" i="10"/>
  <c r="AW567" i="10" s="1"/>
  <c r="AI567" i="10"/>
  <c r="AJ567" i="10" s="1"/>
  <c r="AV563" i="10"/>
  <c r="AT563" i="10"/>
  <c r="AW563" i="10" s="1"/>
  <c r="AG563" i="10"/>
  <c r="AV561" i="10"/>
  <c r="AT561" i="10"/>
  <c r="AW561" i="10" s="1"/>
  <c r="AE561" i="10"/>
  <c r="AV559" i="10"/>
  <c r="AT559" i="10"/>
  <c r="AW559" i="10" s="1"/>
  <c r="AI559" i="10"/>
  <c r="AJ559" i="10" s="1"/>
  <c r="AU559" i="10" s="1"/>
  <c r="AV558" i="10"/>
  <c r="AT558" i="10"/>
  <c r="AW558" i="10" s="1"/>
  <c r="AI558" i="10"/>
  <c r="AJ558" i="10" s="1"/>
  <c r="AV557" i="10"/>
  <c r="AT557" i="10"/>
  <c r="AW557" i="10" s="1"/>
  <c r="AI557" i="10"/>
  <c r="AJ557" i="10" s="1"/>
  <c r="AU557" i="10" s="1"/>
  <c r="AV555" i="10"/>
  <c r="AT555" i="10"/>
  <c r="AW555" i="10" s="1"/>
  <c r="AI555" i="10"/>
  <c r="AJ555" i="10" s="1"/>
  <c r="AX555" i="10" s="1"/>
  <c r="AV554" i="10"/>
  <c r="AT554" i="10"/>
  <c r="AW554" i="10" s="1"/>
  <c r="AI554" i="10"/>
  <c r="AJ554" i="10" s="1"/>
  <c r="AV553" i="10"/>
  <c r="AT553" i="10"/>
  <c r="AW553" i="10" s="1"/>
  <c r="AI553" i="10"/>
  <c r="AJ553" i="10" s="1"/>
  <c r="AU553" i="10" s="1"/>
  <c r="AX549" i="10"/>
  <c r="AV549" i="10"/>
  <c r="AU549" i="10"/>
  <c r="AT549" i="10"/>
  <c r="AW549" i="10" s="1"/>
  <c r="AX547" i="10"/>
  <c r="AV547" i="10"/>
  <c r="AU547" i="10"/>
  <c r="AT547" i="10"/>
  <c r="AW547" i="10" s="1"/>
  <c r="AV545" i="10"/>
  <c r="AT545" i="10"/>
  <c r="AW545" i="10" s="1"/>
  <c r="AI545" i="10"/>
  <c r="AJ545" i="10" s="1"/>
  <c r="AV544" i="10"/>
  <c r="AT544" i="10"/>
  <c r="AI544" i="10"/>
  <c r="AS532" i="10"/>
  <c r="AR532" i="10"/>
  <c r="AQ532" i="10"/>
  <c r="AP532" i="10"/>
  <c r="AO532" i="10"/>
  <c r="AN532" i="10"/>
  <c r="AM532" i="10"/>
  <c r="AL532" i="10"/>
  <c r="AK532" i="10"/>
  <c r="AF532" i="10"/>
  <c r="AE532" i="10"/>
  <c r="AD532" i="10"/>
  <c r="AV531" i="10"/>
  <c r="AT531" i="10"/>
  <c r="AW531" i="10" s="1"/>
  <c r="AI531" i="10"/>
  <c r="AJ531" i="10" s="1"/>
  <c r="AV525" i="10"/>
  <c r="AT525" i="10"/>
  <c r="AW525" i="10" s="1"/>
  <c r="AI525" i="10"/>
  <c r="AJ525" i="10" s="1"/>
  <c r="AX525" i="10" s="1"/>
  <c r="AV522" i="10"/>
  <c r="AT522" i="10"/>
  <c r="AW522" i="10" s="1"/>
  <c r="AI522" i="10"/>
  <c r="AJ522" i="10" s="1"/>
  <c r="AV520" i="10"/>
  <c r="AT520" i="10"/>
  <c r="AW520" i="10" s="1"/>
  <c r="AI520" i="10"/>
  <c r="AJ520" i="10" s="1"/>
  <c r="AX519" i="10"/>
  <c r="AV519" i="10"/>
  <c r="AU519" i="10"/>
  <c r="AT519" i="10"/>
  <c r="AW519" i="10" s="1"/>
  <c r="AX518" i="10"/>
  <c r="AV518" i="10"/>
  <c r="AU518" i="10"/>
  <c r="AT518" i="10"/>
  <c r="AW518" i="10" s="1"/>
  <c r="AV517" i="10"/>
  <c r="AT517" i="10"/>
  <c r="AW517" i="10" s="1"/>
  <c r="AI517" i="10"/>
  <c r="AJ517" i="10" s="1"/>
  <c r="AV509" i="10"/>
  <c r="AT509" i="10"/>
  <c r="AW509" i="10" s="1"/>
  <c r="AI509" i="10"/>
  <c r="AJ509" i="10" s="1"/>
  <c r="AV508" i="10"/>
  <c r="AT508" i="10"/>
  <c r="AW508" i="10" s="1"/>
  <c r="AI508" i="10"/>
  <c r="AJ508" i="10" s="1"/>
  <c r="AX500" i="10"/>
  <c r="AV500" i="10"/>
  <c r="AU500" i="10"/>
  <c r="AT500" i="10"/>
  <c r="AW500" i="10" s="1"/>
  <c r="AV499" i="10"/>
  <c r="AT499" i="10"/>
  <c r="AW499" i="10" s="1"/>
  <c r="AI499" i="10"/>
  <c r="AJ499" i="10" s="1"/>
  <c r="AV497" i="10"/>
  <c r="AT497" i="10"/>
  <c r="AW497" i="10" s="1"/>
  <c r="AI497" i="10"/>
  <c r="AJ497" i="10" s="1"/>
  <c r="AX497" i="10" s="1"/>
  <c r="AV496" i="10"/>
  <c r="AT496" i="10"/>
  <c r="AW496" i="10" s="1"/>
  <c r="AH496" i="10"/>
  <c r="AI496" i="10" s="1"/>
  <c r="AJ496" i="10" s="1"/>
  <c r="AX490" i="10"/>
  <c r="AV490" i="10"/>
  <c r="AU490" i="10"/>
  <c r="AT490" i="10"/>
  <c r="AW490" i="10" s="1"/>
  <c r="AV488" i="10"/>
  <c r="AT488" i="10"/>
  <c r="AW488" i="10" s="1"/>
  <c r="AI488" i="10"/>
  <c r="AJ488" i="10" s="1"/>
  <c r="AX488" i="10" s="1"/>
  <c r="AV487" i="10"/>
  <c r="AT487" i="10"/>
  <c r="AW487" i="10" s="1"/>
  <c r="AI487" i="10"/>
  <c r="AJ487" i="10" s="1"/>
  <c r="AU487" i="10" s="1"/>
  <c r="AX486" i="10"/>
  <c r="AV486" i="10"/>
  <c r="AU486" i="10"/>
  <c r="AT486" i="10"/>
  <c r="AW486" i="10" s="1"/>
  <c r="AV484" i="10"/>
  <c r="AT484" i="10"/>
  <c r="AW484" i="10" s="1"/>
  <c r="AH484" i="10"/>
  <c r="AI484" i="10" s="1"/>
  <c r="AJ484" i="10" s="1"/>
  <c r="AX483" i="10"/>
  <c r="AV483" i="10"/>
  <c r="AU483" i="10"/>
  <c r="AT483" i="10"/>
  <c r="AW483" i="10" s="1"/>
  <c r="AV481" i="10"/>
  <c r="AT481" i="10"/>
  <c r="AW481" i="10" s="1"/>
  <c r="AI481" i="10"/>
  <c r="AJ481" i="10" s="1"/>
  <c r="AU481" i="10" s="1"/>
  <c r="AV480" i="10"/>
  <c r="AT480" i="10"/>
  <c r="AW480" i="10" s="1"/>
  <c r="AI480" i="10"/>
  <c r="AJ480" i="10" s="1"/>
  <c r="AU480" i="10" s="1"/>
  <c r="AX479" i="10"/>
  <c r="AV479" i="10"/>
  <c r="AU479" i="10"/>
  <c r="AT479" i="10"/>
  <c r="AW479" i="10" s="1"/>
  <c r="AX477" i="10"/>
  <c r="AV477" i="10"/>
  <c r="AU477" i="10"/>
  <c r="AT477" i="10"/>
  <c r="AW477" i="10" s="1"/>
  <c r="AX476" i="10"/>
  <c r="AV476" i="10"/>
  <c r="AU476" i="10"/>
  <c r="AT476" i="10"/>
  <c r="AW476" i="10" s="1"/>
  <c r="AV474" i="10"/>
  <c r="AT474" i="10"/>
  <c r="AW474" i="10" s="1"/>
  <c r="AI474" i="10"/>
  <c r="AJ474" i="10" s="1"/>
  <c r="AU474" i="10" s="1"/>
  <c r="AV473" i="10"/>
  <c r="AT473" i="10"/>
  <c r="AW473" i="10" s="1"/>
  <c r="AJ473" i="10"/>
  <c r="AU473" i="10" s="1"/>
  <c r="AV471" i="10"/>
  <c r="AT471" i="10"/>
  <c r="AW471" i="10" s="1"/>
  <c r="AI471" i="10"/>
  <c r="AJ471" i="10" s="1"/>
  <c r="AU471" i="10" s="1"/>
  <c r="AV468" i="10"/>
  <c r="AT468" i="10"/>
  <c r="AW468" i="10" s="1"/>
  <c r="AU468" i="10"/>
  <c r="AX466" i="10"/>
  <c r="AV466" i="10"/>
  <c r="AU466" i="10"/>
  <c r="AT466" i="10"/>
  <c r="AW466" i="10" s="1"/>
  <c r="AX464" i="10"/>
  <c r="AV464" i="10"/>
  <c r="AU464" i="10"/>
  <c r="AT464" i="10"/>
  <c r="AW464" i="10" s="1"/>
  <c r="AV462" i="10"/>
  <c r="AT462" i="10"/>
  <c r="AW462" i="10" s="1"/>
  <c r="AI462" i="10"/>
  <c r="AJ462" i="10" s="1"/>
  <c r="AU462" i="10" s="1"/>
  <c r="AV459" i="10"/>
  <c r="AT459" i="10"/>
  <c r="AW459" i="10" s="1"/>
  <c r="AI459" i="10"/>
  <c r="AJ459" i="10" s="1"/>
  <c r="AV457" i="10"/>
  <c r="AT457" i="10"/>
  <c r="AW457" i="10" s="1"/>
  <c r="AI457" i="10"/>
  <c r="AJ457" i="10" s="1"/>
  <c r="AX457" i="10" s="1"/>
  <c r="AV456" i="10"/>
  <c r="AT456" i="10"/>
  <c r="AW456" i="10" s="1"/>
  <c r="AI456" i="10"/>
  <c r="AJ456" i="10" s="1"/>
  <c r="AV455" i="10"/>
  <c r="AT455" i="10"/>
  <c r="AW455" i="10" s="1"/>
  <c r="AI455" i="10"/>
  <c r="AJ455" i="10" s="1"/>
  <c r="AV454" i="10"/>
  <c r="AT454" i="10"/>
  <c r="AW454" i="10" s="1"/>
  <c r="AI454" i="10"/>
  <c r="AJ454" i="10" s="1"/>
  <c r="AV452" i="10"/>
  <c r="AT452" i="10"/>
  <c r="AW452" i="10" s="1"/>
  <c r="AI452" i="10"/>
  <c r="AJ452" i="10" s="1"/>
  <c r="AV448" i="10"/>
  <c r="AT448" i="10"/>
  <c r="AW448" i="10" s="1"/>
  <c r="AI448" i="10"/>
  <c r="AJ448" i="10" s="1"/>
  <c r="AU448" i="10" s="1"/>
  <c r="AV444" i="10"/>
  <c r="AT444" i="10"/>
  <c r="AW444" i="10" s="1"/>
  <c r="AI444" i="10"/>
  <c r="AJ444" i="10" s="1"/>
  <c r="AU444" i="10" s="1"/>
  <c r="AV443" i="10"/>
  <c r="AT443" i="10"/>
  <c r="AW443" i="10" s="1"/>
  <c r="AI443" i="10"/>
  <c r="AJ443" i="10" s="1"/>
  <c r="AV442" i="10"/>
  <c r="AT442" i="10"/>
  <c r="AW442" i="10" s="1"/>
  <c r="AI442" i="10"/>
  <c r="AJ442" i="10" s="1"/>
  <c r="AX442" i="10" s="1"/>
  <c r="AV441" i="10"/>
  <c r="AT441" i="10"/>
  <c r="AW441" i="10" s="1"/>
  <c r="AI441" i="10"/>
  <c r="AJ441" i="10" s="1"/>
  <c r="AV440" i="10"/>
  <c r="AT440" i="10"/>
  <c r="AW440" i="10" s="1"/>
  <c r="AI440" i="10"/>
  <c r="AJ440" i="10" s="1"/>
  <c r="AV439" i="10"/>
  <c r="AT439" i="10"/>
  <c r="AW439" i="10" s="1"/>
  <c r="AI439" i="10"/>
  <c r="AJ439" i="10" s="1"/>
  <c r="AV438" i="10"/>
  <c r="AT438" i="10"/>
  <c r="AW438" i="10" s="1"/>
  <c r="AI438" i="10"/>
  <c r="AJ438" i="10" s="1"/>
  <c r="AV437" i="10"/>
  <c r="AT437" i="10"/>
  <c r="AW437" i="10" s="1"/>
  <c r="AI437" i="10"/>
  <c r="AJ437" i="10" s="1"/>
  <c r="AU437" i="10" s="1"/>
  <c r="AV435" i="10"/>
  <c r="AT435" i="10"/>
  <c r="AW435" i="10" s="1"/>
  <c r="AI435" i="10"/>
  <c r="AJ435" i="10" s="1"/>
  <c r="AV434" i="10"/>
  <c r="AT434" i="10"/>
  <c r="AW434" i="10" s="1"/>
  <c r="AI434" i="10"/>
  <c r="AJ434" i="10" s="1"/>
  <c r="AV433" i="10"/>
  <c r="AT433" i="10"/>
  <c r="AW433" i="10" s="1"/>
  <c r="AI433" i="10"/>
  <c r="AJ433" i="10" s="1"/>
  <c r="AX433" i="10" s="1"/>
  <c r="AV431" i="10"/>
  <c r="AT431" i="10"/>
  <c r="AW431" i="10" s="1"/>
  <c r="AI431" i="10"/>
  <c r="AJ431" i="10" s="1"/>
  <c r="AV426" i="10"/>
  <c r="AT426" i="10"/>
  <c r="AW426" i="10" s="1"/>
  <c r="AH426" i="10"/>
  <c r="AV424" i="10"/>
  <c r="AT424" i="10"/>
  <c r="AW424" i="10" s="1"/>
  <c r="AI424" i="10"/>
  <c r="AJ424" i="10" s="1"/>
  <c r="AV422" i="10"/>
  <c r="AT422" i="10"/>
  <c r="AW422" i="10" s="1"/>
  <c r="AI422" i="10"/>
  <c r="AJ422" i="10" s="1"/>
  <c r="AV421" i="10"/>
  <c r="AT421" i="10"/>
  <c r="AW421" i="10" s="1"/>
  <c r="AI421" i="10"/>
  <c r="AJ421" i="10" s="1"/>
  <c r="AV420" i="10"/>
  <c r="AT420" i="10"/>
  <c r="AW420" i="10" s="1"/>
  <c r="AI420" i="10"/>
  <c r="AJ420" i="10" s="1"/>
  <c r="AU420" i="10" s="1"/>
  <c r="AV419" i="10"/>
  <c r="AT419" i="10"/>
  <c r="AW419" i="10" s="1"/>
  <c r="AI419" i="10"/>
  <c r="AJ419" i="10" s="1"/>
  <c r="AU419" i="10" s="1"/>
  <c r="AV417" i="10"/>
  <c r="AT417" i="10"/>
  <c r="AW417" i="10" s="1"/>
  <c r="AI417" i="10"/>
  <c r="AJ417" i="10" s="1"/>
  <c r="AV416" i="10"/>
  <c r="AT416" i="10"/>
  <c r="AW416" i="10" s="1"/>
  <c r="AI416" i="10"/>
  <c r="AJ416" i="10" s="1"/>
  <c r="AX416" i="10" s="1"/>
  <c r="AV415" i="10"/>
  <c r="AT415" i="10"/>
  <c r="AW415" i="10" s="1"/>
  <c r="AI415" i="10"/>
  <c r="AJ415" i="10" s="1"/>
  <c r="AV414" i="10"/>
  <c r="AT414" i="10"/>
  <c r="AW414" i="10" s="1"/>
  <c r="AI414" i="10"/>
  <c r="AJ414" i="10" s="1"/>
  <c r="AV413" i="10"/>
  <c r="AT413" i="10"/>
  <c r="AW413" i="10" s="1"/>
  <c r="AI413" i="10"/>
  <c r="AJ413" i="10" s="1"/>
  <c r="AV411" i="10"/>
  <c r="AT411" i="10"/>
  <c r="AW411" i="10" s="1"/>
  <c r="AI411" i="10"/>
  <c r="AJ411" i="10" s="1"/>
  <c r="AV406" i="10"/>
  <c r="AT406" i="10"/>
  <c r="AW406" i="10" s="1"/>
  <c r="AI406" i="10"/>
  <c r="AJ406" i="10" s="1"/>
  <c r="AU406" i="10" s="1"/>
  <c r="AV405" i="10"/>
  <c r="AT405" i="10"/>
  <c r="AW405" i="10" s="1"/>
  <c r="AG405" i="10"/>
  <c r="AG532" i="10" s="1"/>
  <c r="AX401" i="10"/>
  <c r="AV401" i="10"/>
  <c r="AU401" i="10"/>
  <c r="AT401" i="10"/>
  <c r="AW401" i="10" s="1"/>
  <c r="AX392" i="10"/>
  <c r="AV392" i="10"/>
  <c r="AU392" i="10"/>
  <c r="AT392" i="10"/>
  <c r="AW392" i="10" s="1"/>
  <c r="AX390" i="10"/>
  <c r="AV390" i="10"/>
  <c r="AU390" i="10"/>
  <c r="AT390" i="10"/>
  <c r="AW390" i="10" s="1"/>
  <c r="AX385" i="10"/>
  <c r="AV385" i="10"/>
  <c r="AU385" i="10"/>
  <c r="AT385" i="10"/>
  <c r="AW385" i="10" s="1"/>
  <c r="AX383" i="10"/>
  <c r="AV383" i="10"/>
  <c r="AU383" i="10"/>
  <c r="AT383" i="10"/>
  <c r="AW383" i="10" s="1"/>
  <c r="AX381" i="10"/>
  <c r="AV381" i="10"/>
  <c r="AU381" i="10"/>
  <c r="AT381" i="10"/>
  <c r="AW381" i="10" s="1"/>
  <c r="AX379" i="10"/>
  <c r="AV379" i="10"/>
  <c r="AU379" i="10"/>
  <c r="AT379" i="10"/>
  <c r="AW379" i="10" s="1"/>
  <c r="AX376" i="10"/>
  <c r="AV376" i="10"/>
  <c r="AU376" i="10"/>
  <c r="AT376" i="10"/>
  <c r="AW376" i="10" s="1"/>
  <c r="AX374" i="10"/>
  <c r="AV374" i="10"/>
  <c r="AU374" i="10"/>
  <c r="AT374" i="10"/>
  <c r="AW374" i="10" s="1"/>
  <c r="AX372" i="10"/>
  <c r="AV372" i="10"/>
  <c r="AU372" i="10"/>
  <c r="AT372" i="10"/>
  <c r="AW372" i="10" s="1"/>
  <c r="AX370" i="10"/>
  <c r="AV370" i="10"/>
  <c r="AU370" i="10"/>
  <c r="AT370" i="10"/>
  <c r="AW370" i="10" s="1"/>
  <c r="AX366" i="10"/>
  <c r="AV366" i="10"/>
  <c r="AU366" i="10"/>
  <c r="AT366" i="10"/>
  <c r="AW366" i="10" s="1"/>
  <c r="AX364" i="10"/>
  <c r="AV364" i="10"/>
  <c r="AU364" i="10"/>
  <c r="AT364" i="10"/>
  <c r="AW364" i="10" s="1"/>
  <c r="AX360" i="10"/>
  <c r="AV360" i="10"/>
  <c r="AU360" i="10"/>
  <c r="AT360" i="10"/>
  <c r="AW360" i="10" s="1"/>
  <c r="AX358" i="10"/>
  <c r="AV358" i="10"/>
  <c r="AU358" i="10"/>
  <c r="AT358" i="10"/>
  <c r="AW358" i="10" s="1"/>
  <c r="AX356" i="10"/>
  <c r="AV356" i="10"/>
  <c r="AU356" i="10"/>
  <c r="AT356" i="10"/>
  <c r="AW356" i="10" s="1"/>
  <c r="AX354" i="10"/>
  <c r="AV354" i="10"/>
  <c r="AU354" i="10"/>
  <c r="AT354" i="10"/>
  <c r="AW354" i="10" s="1"/>
  <c r="AX347" i="10"/>
  <c r="AV347" i="10"/>
  <c r="AU347" i="10"/>
  <c r="AT347" i="10"/>
  <c r="AW347" i="10" s="1"/>
  <c r="AX345" i="10"/>
  <c r="AV345" i="10"/>
  <c r="AU345" i="10"/>
  <c r="AT345" i="10"/>
  <c r="AW345" i="10" s="1"/>
  <c r="AX341" i="10"/>
  <c r="AV341" i="10"/>
  <c r="AU341" i="10"/>
  <c r="AT341" i="10"/>
  <c r="AW341" i="10" s="1"/>
  <c r="AX339" i="10"/>
  <c r="AV339" i="10"/>
  <c r="AU339" i="10"/>
  <c r="AT339" i="10"/>
  <c r="AW339" i="10" s="1"/>
  <c r="AX337" i="10"/>
  <c r="AV337" i="10"/>
  <c r="AU337" i="10"/>
  <c r="AT337" i="10"/>
  <c r="AW337" i="10" s="1"/>
  <c r="AX335" i="10"/>
  <c r="AV335" i="10"/>
  <c r="AU335" i="10"/>
  <c r="AT335" i="10"/>
  <c r="AW335" i="10" s="1"/>
  <c r="AX332" i="10"/>
  <c r="AV332" i="10"/>
  <c r="AU332" i="10"/>
  <c r="AT332" i="10"/>
  <c r="AW332" i="10" s="1"/>
  <c r="AX330" i="10"/>
  <c r="AV330" i="10"/>
  <c r="AU330" i="10"/>
  <c r="AT330" i="10"/>
  <c r="AW330" i="10" s="1"/>
  <c r="AX328" i="10"/>
  <c r="AV328" i="10"/>
  <c r="AU328" i="10"/>
  <c r="AT328" i="10"/>
  <c r="AW328" i="10" s="1"/>
  <c r="AX326" i="10"/>
  <c r="AV326" i="10"/>
  <c r="AU326" i="10"/>
  <c r="AT326" i="10"/>
  <c r="AW326" i="10" s="1"/>
  <c r="AV323" i="10"/>
  <c r="AT323" i="10"/>
  <c r="AW323" i="10" s="1"/>
  <c r="AI323" i="10"/>
  <c r="AJ323" i="10" s="1"/>
  <c r="AV321" i="10"/>
  <c r="AT321" i="10"/>
  <c r="AW321" i="10" s="1"/>
  <c r="AI321" i="10"/>
  <c r="AJ321" i="10" s="1"/>
  <c r="AX321" i="10" s="1"/>
  <c r="AV318" i="10"/>
  <c r="AT318" i="10"/>
  <c r="AW318" i="10" s="1"/>
  <c r="AI318" i="10"/>
  <c r="AJ318" i="10" s="1"/>
  <c r="AX318" i="10" s="1"/>
  <c r="AV316" i="10"/>
  <c r="AT316" i="10"/>
  <c r="AW316" i="10" s="1"/>
  <c r="AI316" i="10"/>
  <c r="AJ316" i="10" s="1"/>
  <c r="AV314" i="10"/>
  <c r="AT314" i="10"/>
  <c r="AW314" i="10" s="1"/>
  <c r="AI314" i="10"/>
  <c r="AJ314" i="10" s="1"/>
  <c r="AV312" i="10"/>
  <c r="AT312" i="10"/>
  <c r="AW312" i="10" s="1"/>
  <c r="AI312" i="10"/>
  <c r="AJ312" i="10" s="1"/>
  <c r="AV310" i="10"/>
  <c r="AT310" i="10"/>
  <c r="AW310" i="10" s="1"/>
  <c r="AI310" i="10"/>
  <c r="AJ310" i="10" s="1"/>
  <c r="AU310" i="10" s="1"/>
  <c r="AV308" i="10"/>
  <c r="AT308" i="10"/>
  <c r="AW308" i="10" s="1"/>
  <c r="AI308" i="10"/>
  <c r="AJ308" i="10" s="1"/>
  <c r="AV307" i="10"/>
  <c r="AT307" i="10"/>
  <c r="AW307" i="10" s="1"/>
  <c r="AI307" i="10"/>
  <c r="AJ307" i="10" s="1"/>
  <c r="AV306" i="10"/>
  <c r="AT306" i="10"/>
  <c r="AW306" i="10" s="1"/>
  <c r="AI306" i="10"/>
  <c r="AJ306" i="10" s="1"/>
  <c r="AX306" i="10" s="1"/>
  <c r="AX297" i="10"/>
  <c r="AV297" i="10"/>
  <c r="AU297" i="10"/>
  <c r="AT297" i="10"/>
  <c r="AW297" i="10" s="1"/>
  <c r="AX295" i="10"/>
  <c r="AV295" i="10"/>
  <c r="AU295" i="10"/>
  <c r="AT295" i="10"/>
  <c r="AW295" i="10" s="1"/>
  <c r="AX293" i="10"/>
  <c r="AV293" i="10"/>
  <c r="AU293" i="10"/>
  <c r="AT293" i="10"/>
  <c r="AW293" i="10" s="1"/>
  <c r="AX291" i="10"/>
  <c r="AV291" i="10"/>
  <c r="AU291" i="10"/>
  <c r="AT291" i="10"/>
  <c r="AW291" i="10" s="1"/>
  <c r="AX287" i="10"/>
  <c r="AV287" i="10"/>
  <c r="AU287" i="10"/>
  <c r="AT287" i="10"/>
  <c r="AW287" i="10" s="1"/>
  <c r="AT286" i="10"/>
  <c r="AX285" i="10"/>
  <c r="AV285" i="10"/>
  <c r="AU285" i="10"/>
  <c r="AT285" i="10"/>
  <c r="AW285" i="10" s="1"/>
  <c r="AT284" i="10"/>
  <c r="AX283" i="10"/>
  <c r="AV283" i="10"/>
  <c r="AU283" i="10"/>
  <c r="AT283" i="10"/>
  <c r="AW283" i="10" s="1"/>
  <c r="AT282" i="10"/>
  <c r="AX281" i="10"/>
  <c r="AV281" i="10"/>
  <c r="AU281" i="10"/>
  <c r="AT281" i="10"/>
  <c r="AW281" i="10" s="1"/>
  <c r="AT280" i="10"/>
  <c r="AX279" i="10"/>
  <c r="AV279" i="10"/>
  <c r="AU279" i="10"/>
  <c r="AT279" i="10"/>
  <c r="AW279" i="10" s="1"/>
  <c r="AT278" i="10"/>
  <c r="AX277" i="10"/>
  <c r="AV277" i="10"/>
  <c r="AU277" i="10"/>
  <c r="AT277" i="10"/>
  <c r="AW277" i="10" s="1"/>
  <c r="AX275" i="10"/>
  <c r="AV275" i="10"/>
  <c r="AU275" i="10"/>
  <c r="AT275" i="10"/>
  <c r="AW275" i="10" s="1"/>
  <c r="AX273" i="10"/>
  <c r="AV273" i="10"/>
  <c r="AU273" i="10"/>
  <c r="AT273" i="10"/>
  <c r="AW273" i="10" s="1"/>
  <c r="AX271" i="10"/>
  <c r="AV271" i="10"/>
  <c r="AU271" i="10"/>
  <c r="AT271" i="10"/>
  <c r="AW271" i="10" s="1"/>
  <c r="AX268" i="10"/>
  <c r="AV268" i="10"/>
  <c r="AU268" i="10"/>
  <c r="AT268" i="10"/>
  <c r="AW268" i="10" s="1"/>
  <c r="AX266" i="10"/>
  <c r="AV266" i="10"/>
  <c r="AU266" i="10"/>
  <c r="AT266" i="10"/>
  <c r="AW266" i="10" s="1"/>
  <c r="AX263" i="10"/>
  <c r="AV263" i="10"/>
  <c r="AU263" i="10"/>
  <c r="AT263" i="10"/>
  <c r="AW263" i="10" s="1"/>
  <c r="AV261" i="10"/>
  <c r="AT261" i="10"/>
  <c r="AW261" i="10" s="1"/>
  <c r="AI261" i="10"/>
  <c r="AJ261" i="10" s="1"/>
  <c r="AV258" i="10"/>
  <c r="AT258" i="10"/>
  <c r="AW258" i="10" s="1"/>
  <c r="AI258" i="10"/>
  <c r="AJ258" i="10" s="1"/>
  <c r="AU258" i="10" s="1"/>
  <c r="AV257" i="10"/>
  <c r="AT257" i="10"/>
  <c r="AW257" i="10" s="1"/>
  <c r="AI257" i="10"/>
  <c r="AJ257" i="10" s="1"/>
  <c r="AS246" i="10"/>
  <c r="AR246" i="10"/>
  <c r="AQ246" i="10"/>
  <c r="AP246" i="10"/>
  <c r="AO246" i="10"/>
  <c r="AN246" i="10"/>
  <c r="AM246" i="10"/>
  <c r="AL246" i="10"/>
  <c r="AK246" i="10"/>
  <c r="AH246" i="10"/>
  <c r="AF246" i="10"/>
  <c r="AE246" i="10"/>
  <c r="AD246" i="10"/>
  <c r="AV245" i="10"/>
  <c r="AT245" i="10"/>
  <c r="AW245" i="10" s="1"/>
  <c r="AI245" i="10"/>
  <c r="AJ245" i="10" s="1"/>
  <c r="AV241" i="10"/>
  <c r="AT241" i="10"/>
  <c r="AW241" i="10" s="1"/>
  <c r="AI241" i="10"/>
  <c r="AJ241" i="10" s="1"/>
  <c r="AU241" i="10" s="1"/>
  <c r="AV238" i="10"/>
  <c r="AT238" i="10"/>
  <c r="AW238" i="10" s="1"/>
  <c r="AI238" i="10"/>
  <c r="AJ238" i="10" s="1"/>
  <c r="AU238" i="10" s="1"/>
  <c r="AV233" i="10"/>
  <c r="AT233" i="10"/>
  <c r="AW233" i="10" s="1"/>
  <c r="AI233" i="10"/>
  <c r="AJ233" i="10" s="1"/>
  <c r="AV232" i="10"/>
  <c r="AT232" i="10"/>
  <c r="AW232" i="10" s="1"/>
  <c r="AI232" i="10"/>
  <c r="AJ232" i="10" s="1"/>
  <c r="AV230" i="10"/>
  <c r="AT230" i="10"/>
  <c r="AW230" i="10" s="1"/>
  <c r="AI230" i="10"/>
  <c r="AJ230" i="10" s="1"/>
  <c r="AV228" i="10"/>
  <c r="AT228" i="10"/>
  <c r="AW228" i="10" s="1"/>
  <c r="AI228" i="10"/>
  <c r="AJ228" i="10" s="1"/>
  <c r="AV226" i="10"/>
  <c r="AT226" i="10"/>
  <c r="AW226" i="10" s="1"/>
  <c r="AI226" i="10"/>
  <c r="AJ226" i="10" s="1"/>
  <c r="AU226" i="10" s="1"/>
  <c r="AV224" i="10"/>
  <c r="AT224" i="10"/>
  <c r="AW224" i="10" s="1"/>
  <c r="AI224" i="10"/>
  <c r="AJ224" i="10" s="1"/>
  <c r="AU224" i="10" s="1"/>
  <c r="AV222" i="10"/>
  <c r="AT222" i="10"/>
  <c r="AW222" i="10" s="1"/>
  <c r="AI222" i="10"/>
  <c r="AJ222" i="10" s="1"/>
  <c r="AU222" i="10" s="1"/>
  <c r="AV220" i="10"/>
  <c r="AT220" i="10"/>
  <c r="AW220" i="10" s="1"/>
  <c r="AI220" i="10"/>
  <c r="AJ220" i="10" s="1"/>
  <c r="AV219" i="10"/>
  <c r="AU219" i="10"/>
  <c r="AT219" i="10"/>
  <c r="AW219" i="10" s="1"/>
  <c r="AV218" i="10"/>
  <c r="AT218" i="10"/>
  <c r="AW218" i="10" s="1"/>
  <c r="AI218" i="10"/>
  <c r="AJ218" i="10" s="1"/>
  <c r="AV217" i="10"/>
  <c r="AT217" i="10"/>
  <c r="AW217" i="10" s="1"/>
  <c r="AI217" i="10"/>
  <c r="AJ217" i="10" s="1"/>
  <c r="AX217" i="10" s="1"/>
  <c r="AV215" i="10"/>
  <c r="AT215" i="10"/>
  <c r="AW215" i="10" s="1"/>
  <c r="AI215" i="10"/>
  <c r="AJ215" i="10" s="1"/>
  <c r="AU215" i="10" s="1"/>
  <c r="AV212" i="10"/>
  <c r="AT212" i="10"/>
  <c r="AW212" i="10" s="1"/>
  <c r="AG212" i="10"/>
  <c r="AG246" i="10" s="1"/>
  <c r="AV207" i="10"/>
  <c r="AT207" i="10"/>
  <c r="AW207" i="10" s="1"/>
  <c r="AI207" i="10"/>
  <c r="AJ207" i="10" s="1"/>
  <c r="AV205" i="10"/>
  <c r="AT205" i="10"/>
  <c r="AW205" i="10" s="1"/>
  <c r="AI205" i="10"/>
  <c r="AJ205" i="10" s="1"/>
  <c r="AU205" i="10" s="1"/>
  <c r="AV204" i="10"/>
  <c r="AT204" i="10"/>
  <c r="AW204" i="10" s="1"/>
  <c r="AI204" i="10"/>
  <c r="AJ204" i="10" s="1"/>
  <c r="AV202" i="10"/>
  <c r="AT202" i="10"/>
  <c r="AW202" i="10" s="1"/>
  <c r="AI202" i="10"/>
  <c r="AJ202" i="10" s="1"/>
  <c r="AV200" i="10"/>
  <c r="AT200" i="10"/>
  <c r="AW200" i="10" s="1"/>
  <c r="AI200" i="10"/>
  <c r="AX189" i="10"/>
  <c r="AV189" i="10"/>
  <c r="AU189" i="10"/>
  <c r="AT189" i="10"/>
  <c r="AW189" i="10" s="1"/>
  <c r="AS188" i="10"/>
  <c r="AR188" i="10"/>
  <c r="AQ188" i="10"/>
  <c r="AP188" i="10"/>
  <c r="AO188" i="10"/>
  <c r="AN188" i="10"/>
  <c r="AM188" i="10"/>
  <c r="AL188" i="10"/>
  <c r="AK188" i="10"/>
  <c r="AJ188" i="10"/>
  <c r="AI188" i="10"/>
  <c r="AH188" i="10"/>
  <c r="AG188" i="10"/>
  <c r="AF188" i="10"/>
  <c r="AE188" i="10"/>
  <c r="AD188" i="10"/>
  <c r="AV187" i="10"/>
  <c r="AT187" i="10"/>
  <c r="AW187" i="10" s="1"/>
  <c r="AI187" i="10"/>
  <c r="AV186" i="10"/>
  <c r="AT186" i="10"/>
  <c r="AI186" i="10"/>
  <c r="AJ186" i="10" s="1"/>
  <c r="AX185" i="10"/>
  <c r="AV185" i="10"/>
  <c r="AU185" i="10"/>
  <c r="AT185" i="10"/>
  <c r="AW185" i="10" s="1"/>
  <c r="AX184" i="10"/>
  <c r="AV184" i="10"/>
  <c r="AU184" i="10"/>
  <c r="AT184" i="10"/>
  <c r="AW184" i="10" s="1"/>
  <c r="AX183" i="10"/>
  <c r="AV183" i="10"/>
  <c r="AU183" i="10"/>
  <c r="AT183" i="10"/>
  <c r="AW183" i="10" s="1"/>
  <c r="AX182" i="10"/>
  <c r="AV182" i="10"/>
  <c r="AU182" i="10"/>
  <c r="AT182" i="10"/>
  <c r="AW182" i="10" s="1"/>
  <c r="AS181" i="10"/>
  <c r="AR181" i="10"/>
  <c r="AQ181" i="10"/>
  <c r="AP181" i="10"/>
  <c r="AO181" i="10"/>
  <c r="AN181" i="10"/>
  <c r="AM181" i="10"/>
  <c r="AL181" i="10"/>
  <c r="AK181" i="10"/>
  <c r="AH181" i="10"/>
  <c r="AG181" i="10"/>
  <c r="AF181" i="10"/>
  <c r="AE181" i="10"/>
  <c r="AD181" i="10"/>
  <c r="AV179" i="10"/>
  <c r="AT179" i="10"/>
  <c r="AW179" i="10" s="1"/>
  <c r="AE179" i="10"/>
  <c r="AI179" i="10" s="1"/>
  <c r="AJ179" i="10" s="1"/>
  <c r="AX178" i="10"/>
  <c r="AV178" i="10"/>
  <c r="AV177" i="10" s="1"/>
  <c r="AV176" i="10" s="1"/>
  <c r="AV175" i="10" s="1"/>
  <c r="AU178" i="10"/>
  <c r="AU177" i="10" s="1"/>
  <c r="AU176" i="10" s="1"/>
  <c r="AU175" i="10" s="1"/>
  <c r="AT178" i="10"/>
  <c r="AS177" i="10"/>
  <c r="AS176" i="10" s="1"/>
  <c r="AS175" i="10" s="1"/>
  <c r="AR177" i="10"/>
  <c r="AR176" i="10" s="1"/>
  <c r="AR175" i="10" s="1"/>
  <c r="AQ177" i="10"/>
  <c r="AQ176" i="10" s="1"/>
  <c r="AQ175" i="10" s="1"/>
  <c r="AP177" i="10"/>
  <c r="AO177" i="10"/>
  <c r="AO176" i="10" s="1"/>
  <c r="AO175" i="10" s="1"/>
  <c r="AN177" i="10"/>
  <c r="AN176" i="10" s="1"/>
  <c r="AN175" i="10" s="1"/>
  <c r="AM177" i="10"/>
  <c r="AM176" i="10" s="1"/>
  <c r="AM175" i="10" s="1"/>
  <c r="AL177" i="10"/>
  <c r="AL176" i="10" s="1"/>
  <c r="AL175" i="10" s="1"/>
  <c r="AK177" i="10"/>
  <c r="AK176" i="10" s="1"/>
  <c r="AK175" i="10" s="1"/>
  <c r="AJ177" i="10"/>
  <c r="AJ176" i="10" s="1"/>
  <c r="AJ175" i="10" s="1"/>
  <c r="AD177" i="10"/>
  <c r="AD176" i="10" s="1"/>
  <c r="AD175" i="10" s="1"/>
  <c r="AX174" i="10"/>
  <c r="AV174" i="10"/>
  <c r="AU174" i="10"/>
  <c r="AT174" i="10"/>
  <c r="AW174" i="10" s="1"/>
  <c r="AS173" i="10"/>
  <c r="AS172" i="10" s="1"/>
  <c r="AS171" i="10" s="1"/>
  <c r="AS170" i="10" s="1"/>
  <c r="AR173" i="10"/>
  <c r="AR172" i="10" s="1"/>
  <c r="AR171" i="10" s="1"/>
  <c r="AR170" i="10" s="1"/>
  <c r="AQ173" i="10"/>
  <c r="AP173" i="10"/>
  <c r="AO173" i="10"/>
  <c r="AO172" i="10" s="1"/>
  <c r="AO171" i="10" s="1"/>
  <c r="AO170" i="10" s="1"/>
  <c r="AN173" i="10"/>
  <c r="AN172" i="10" s="1"/>
  <c r="AN171" i="10" s="1"/>
  <c r="AN170" i="10" s="1"/>
  <c r="AM173" i="10"/>
  <c r="AL173" i="10"/>
  <c r="AL172" i="10" s="1"/>
  <c r="AL171" i="10" s="1"/>
  <c r="AL170" i="10" s="1"/>
  <c r="AK173" i="10"/>
  <c r="AK172" i="10" s="1"/>
  <c r="AK171" i="10" s="1"/>
  <c r="AK170" i="10" s="1"/>
  <c r="AJ173" i="10"/>
  <c r="AJ172" i="10" s="1"/>
  <c r="AJ171" i="10" s="1"/>
  <c r="AJ170" i="10" s="1"/>
  <c r="AI173" i="10"/>
  <c r="AI172" i="10" s="1"/>
  <c r="AI171" i="10" s="1"/>
  <c r="AI170" i="10" s="1"/>
  <c r="AH173" i="10"/>
  <c r="AH172" i="10" s="1"/>
  <c r="AH171" i="10" s="1"/>
  <c r="AH170" i="10" s="1"/>
  <c r="AG173" i="10"/>
  <c r="AG172" i="10" s="1"/>
  <c r="AG171" i="10" s="1"/>
  <c r="AG170" i="10" s="1"/>
  <c r="AF173" i="10"/>
  <c r="AF172" i="10" s="1"/>
  <c r="AF171" i="10" s="1"/>
  <c r="AF170" i="10" s="1"/>
  <c r="AE173" i="10"/>
  <c r="AE172" i="10" s="1"/>
  <c r="AE171" i="10" s="1"/>
  <c r="AE170" i="10" s="1"/>
  <c r="AD173" i="10"/>
  <c r="AD172" i="10" s="1"/>
  <c r="AD171" i="10" s="1"/>
  <c r="AD170" i="10" s="1"/>
  <c r="AX169" i="10"/>
  <c r="AV169" i="10"/>
  <c r="AU169" i="10"/>
  <c r="AT169" i="10"/>
  <c r="AW169" i="10" s="1"/>
  <c r="AS168" i="10"/>
  <c r="AS167" i="10" s="1"/>
  <c r="AS166" i="10" s="1"/>
  <c r="AS165" i="10" s="1"/>
  <c r="AR168" i="10"/>
  <c r="AR167" i="10" s="1"/>
  <c r="AR166" i="10" s="1"/>
  <c r="AR165" i="10" s="1"/>
  <c r="AQ168" i="10"/>
  <c r="AQ167" i="10" s="1"/>
  <c r="AP168" i="10"/>
  <c r="AO168" i="10"/>
  <c r="AO167" i="10" s="1"/>
  <c r="AO166" i="10" s="1"/>
  <c r="AO165" i="10" s="1"/>
  <c r="AN168" i="10"/>
  <c r="AN167" i="10" s="1"/>
  <c r="AN166" i="10" s="1"/>
  <c r="AN165" i="10" s="1"/>
  <c r="AM168" i="10"/>
  <c r="AM167" i="10" s="1"/>
  <c r="AM166" i="10" s="1"/>
  <c r="AL168" i="10"/>
  <c r="AL167" i="10" s="1"/>
  <c r="AL166" i="10" s="1"/>
  <c r="AL165" i="10" s="1"/>
  <c r="AK168" i="10"/>
  <c r="AK167" i="10" s="1"/>
  <c r="AK166" i="10" s="1"/>
  <c r="AK165" i="10" s="1"/>
  <c r="AJ168" i="10"/>
  <c r="AI168" i="10"/>
  <c r="AI167" i="10" s="1"/>
  <c r="AI166" i="10" s="1"/>
  <c r="AI165" i="10" s="1"/>
  <c r="AH168" i="10"/>
  <c r="AH167" i="10" s="1"/>
  <c r="AH166" i="10" s="1"/>
  <c r="AH165" i="10" s="1"/>
  <c r="AG168" i="10"/>
  <c r="AG167" i="10" s="1"/>
  <c r="AG166" i="10" s="1"/>
  <c r="AG165" i="10" s="1"/>
  <c r="AF168" i="10"/>
  <c r="AF167" i="10" s="1"/>
  <c r="AF166" i="10" s="1"/>
  <c r="AF165" i="10" s="1"/>
  <c r="AE168" i="10"/>
  <c r="AE167" i="10" s="1"/>
  <c r="AE166" i="10" s="1"/>
  <c r="AE165" i="10" s="1"/>
  <c r="AD168" i="10"/>
  <c r="AD167" i="10" s="1"/>
  <c r="AD166" i="10" s="1"/>
  <c r="AD165" i="10" s="1"/>
  <c r="AX162" i="10"/>
  <c r="AV162" i="10"/>
  <c r="AU162" i="10"/>
  <c r="AT162" i="10"/>
  <c r="AW162" i="10" s="1"/>
  <c r="AX161" i="10"/>
  <c r="AV161" i="10"/>
  <c r="AU161" i="10"/>
  <c r="AT161" i="10"/>
  <c r="AW161" i="10" s="1"/>
  <c r="AS160" i="10"/>
  <c r="AS159" i="10" s="1"/>
  <c r="AR160" i="10"/>
  <c r="AR159" i="10" s="1"/>
  <c r="AQ160" i="10"/>
  <c r="AP160" i="10"/>
  <c r="AP159" i="10" s="1"/>
  <c r="AO160" i="10"/>
  <c r="AO159" i="10" s="1"/>
  <c r="AN160" i="10"/>
  <c r="AN159" i="10" s="1"/>
  <c r="AM160" i="10"/>
  <c r="AL160" i="10"/>
  <c r="AL159" i="10" s="1"/>
  <c r="AK160" i="10"/>
  <c r="AK159" i="10" s="1"/>
  <c r="AJ160" i="10"/>
  <c r="AJ159" i="10" s="1"/>
  <c r="AI160" i="10"/>
  <c r="AI159" i="10" s="1"/>
  <c r="AH160" i="10"/>
  <c r="AH159" i="10" s="1"/>
  <c r="AG160" i="10"/>
  <c r="AG159" i="10" s="1"/>
  <c r="AF160" i="10"/>
  <c r="AF159" i="10" s="1"/>
  <c r="AE160" i="10"/>
  <c r="AE159" i="10" s="1"/>
  <c r="AD160" i="10"/>
  <c r="AD159" i="10" s="1"/>
  <c r="AQ159" i="10"/>
  <c r="AV158" i="10"/>
  <c r="AT158" i="10"/>
  <c r="AW158" i="10" s="1"/>
  <c r="AG158" i="10"/>
  <c r="AX157" i="10"/>
  <c r="AV157" i="10"/>
  <c r="AU157" i="10"/>
  <c r="AT157" i="10"/>
  <c r="AW157" i="10" s="1"/>
  <c r="AX156" i="10"/>
  <c r="AV156" i="10"/>
  <c r="AU156" i="10"/>
  <c r="AT156" i="10"/>
  <c r="AW156" i="10" s="1"/>
  <c r="AS155" i="10"/>
  <c r="AS154" i="10" s="1"/>
  <c r="AR155" i="10"/>
  <c r="AR154" i="10" s="1"/>
  <c r="AQ155" i="10"/>
  <c r="AQ154" i="10" s="1"/>
  <c r="AP155" i="10"/>
  <c r="AP154" i="10" s="1"/>
  <c r="AO155" i="10"/>
  <c r="AO154" i="10" s="1"/>
  <c r="AN155" i="10"/>
  <c r="AN154" i="10" s="1"/>
  <c r="AM155" i="10"/>
  <c r="AM154" i="10" s="1"/>
  <c r="AL155" i="10"/>
  <c r="AL154" i="10" s="1"/>
  <c r="AK155" i="10"/>
  <c r="AK154" i="10" s="1"/>
  <c r="AJ155" i="10"/>
  <c r="AI155" i="10"/>
  <c r="AH155" i="10"/>
  <c r="AH154" i="10" s="1"/>
  <c r="AG155" i="10"/>
  <c r="AF155" i="10"/>
  <c r="AF154" i="10" s="1"/>
  <c r="AE155" i="10"/>
  <c r="AE154" i="10" s="1"/>
  <c r="AD155" i="10"/>
  <c r="AD154" i="10" s="1"/>
  <c r="AV153" i="10"/>
  <c r="AT153" i="10"/>
  <c r="AW153" i="10" s="1"/>
  <c r="AG153" i="10"/>
  <c r="AI153" i="10" s="1"/>
  <c r="AJ153" i="10" s="1"/>
  <c r="AU153" i="10" s="1"/>
  <c r="AX152" i="10"/>
  <c r="AV152" i="10"/>
  <c r="AU152" i="10"/>
  <c r="AT152" i="10"/>
  <c r="AW152" i="10" s="1"/>
  <c r="AX151" i="10"/>
  <c r="AV151" i="10"/>
  <c r="AV150" i="10" s="1"/>
  <c r="AU151" i="10"/>
  <c r="AU150" i="10" s="1"/>
  <c r="AT151" i="10"/>
  <c r="AW151" i="10" s="1"/>
  <c r="AW150" i="10" s="1"/>
  <c r="AS150" i="10"/>
  <c r="AR150" i="10"/>
  <c r="AQ150" i="10"/>
  <c r="AP150" i="10"/>
  <c r="AO150" i="10"/>
  <c r="AN150" i="10"/>
  <c r="AM150" i="10"/>
  <c r="AL150" i="10"/>
  <c r="AK150" i="10"/>
  <c r="AJ150" i="10"/>
  <c r="AI150" i="10"/>
  <c r="AH150" i="10"/>
  <c r="AG150" i="10"/>
  <c r="AF150" i="10"/>
  <c r="AE150" i="10"/>
  <c r="AD150" i="10"/>
  <c r="AV148" i="10"/>
  <c r="AT148" i="10"/>
  <c r="AW148" i="10" s="1"/>
  <c r="AI148" i="10"/>
  <c r="AJ148" i="10" s="1"/>
  <c r="AV147" i="10"/>
  <c r="AT147" i="10"/>
  <c r="AI147" i="10"/>
  <c r="AJ147" i="10" s="1"/>
  <c r="AU147" i="10" s="1"/>
  <c r="AS143" i="10"/>
  <c r="AR143" i="10"/>
  <c r="AQ143" i="10"/>
  <c r="AP143" i="10"/>
  <c r="AO143" i="10"/>
  <c r="AN143" i="10"/>
  <c r="AM143" i="10"/>
  <c r="AL143" i="10"/>
  <c r="AK143" i="10"/>
  <c r="AH143" i="10"/>
  <c r="AG143" i="10"/>
  <c r="AF143" i="10"/>
  <c r="AE143" i="10"/>
  <c r="AD143" i="10"/>
  <c r="AX142" i="10"/>
  <c r="AV142" i="10"/>
  <c r="AU142" i="10"/>
  <c r="AT142" i="10"/>
  <c r="AW142" i="10" s="1"/>
  <c r="AX141" i="10"/>
  <c r="AV141" i="10"/>
  <c r="AU141" i="10"/>
  <c r="AT141" i="10"/>
  <c r="AW141" i="10" s="1"/>
  <c r="AS140" i="10"/>
  <c r="AR140" i="10"/>
  <c r="AQ140" i="10"/>
  <c r="AQ139" i="10" s="1"/>
  <c r="AP140" i="10"/>
  <c r="AP139" i="10" s="1"/>
  <c r="AO140" i="10"/>
  <c r="AO139" i="10" s="1"/>
  <c r="AN140" i="10"/>
  <c r="AN139" i="10" s="1"/>
  <c r="AM140" i="10"/>
  <c r="AL140" i="10"/>
  <c r="AL139" i="10" s="1"/>
  <c r="AK140" i="10"/>
  <c r="AK139" i="10" s="1"/>
  <c r="AJ140" i="10"/>
  <c r="AJ139" i="10" s="1"/>
  <c r="AI140" i="10"/>
  <c r="AI139" i="10" s="1"/>
  <c r="AH140" i="10"/>
  <c r="AH139" i="10" s="1"/>
  <c r="AG140" i="10"/>
  <c r="AG139" i="10" s="1"/>
  <c r="AF140" i="10"/>
  <c r="AF139" i="10" s="1"/>
  <c r="AE140" i="10"/>
  <c r="AE139" i="10" s="1"/>
  <c r="AD140" i="10"/>
  <c r="AD139" i="10" s="1"/>
  <c r="AS139" i="10"/>
  <c r="AR139" i="10"/>
  <c r="AX138" i="10"/>
  <c r="AV138" i="10"/>
  <c r="AU138" i="10"/>
  <c r="AT138" i="10"/>
  <c r="AW138" i="10" s="1"/>
  <c r="AV137" i="10"/>
  <c r="AT137" i="10"/>
  <c r="AW137" i="10" s="1"/>
  <c r="AI137" i="10"/>
  <c r="AJ137" i="10" s="1"/>
  <c r="AV136" i="10"/>
  <c r="AU136" i="10"/>
  <c r="AT136" i="10"/>
  <c r="AW136" i="10" s="1"/>
  <c r="AV135" i="10"/>
  <c r="AT135" i="10"/>
  <c r="AW135" i="10" s="1"/>
  <c r="AI135" i="10"/>
  <c r="AJ135" i="10" s="1"/>
  <c r="AS134" i="10"/>
  <c r="AR134" i="10"/>
  <c r="AQ134" i="10"/>
  <c r="AP134" i="10"/>
  <c r="AO134" i="10"/>
  <c r="AN134" i="10"/>
  <c r="AM134" i="10"/>
  <c r="AL134" i="10"/>
  <c r="AK134" i="10"/>
  <c r="AH134" i="10"/>
  <c r="AG134" i="10"/>
  <c r="AF134" i="10"/>
  <c r="AE134" i="10"/>
  <c r="AD134" i="10"/>
  <c r="AX133" i="10"/>
  <c r="AV133" i="10"/>
  <c r="AU133" i="10"/>
  <c r="AT133" i="10"/>
  <c r="AW133" i="10" s="1"/>
  <c r="AX132" i="10"/>
  <c r="AV132" i="10"/>
  <c r="AU132" i="10"/>
  <c r="AT132" i="10"/>
  <c r="AW132" i="10" s="1"/>
  <c r="AS131" i="10"/>
  <c r="AR131" i="10"/>
  <c r="AQ131" i="10"/>
  <c r="AP131" i="10"/>
  <c r="AO131" i="10"/>
  <c r="AN131" i="10"/>
  <c r="AM131" i="10"/>
  <c r="AL131" i="10"/>
  <c r="AK131" i="10"/>
  <c r="AJ131" i="10"/>
  <c r="AI131" i="10"/>
  <c r="AH131" i="10"/>
  <c r="AG131" i="10"/>
  <c r="AF131" i="10"/>
  <c r="AE131" i="10"/>
  <c r="AD131" i="10"/>
  <c r="AV130" i="10"/>
  <c r="AT130" i="10"/>
  <c r="AW130" i="10" s="1"/>
  <c r="AI130" i="10"/>
  <c r="AJ130" i="10" s="1"/>
  <c r="AX129" i="10"/>
  <c r="AV129" i="10"/>
  <c r="AU129" i="10"/>
  <c r="AT129" i="10"/>
  <c r="AW129" i="10" s="1"/>
  <c r="AX128" i="10"/>
  <c r="AV128" i="10"/>
  <c r="AU128" i="10"/>
  <c r="AT128" i="10"/>
  <c r="AW128" i="10" s="1"/>
  <c r="AV127" i="10"/>
  <c r="AT127" i="10"/>
  <c r="AI127" i="10"/>
  <c r="AJ127" i="10" s="1"/>
  <c r="AS126" i="10"/>
  <c r="AS125" i="10" s="1"/>
  <c r="AQ126" i="10"/>
  <c r="AQ125" i="10" s="1"/>
  <c r="AP126" i="10"/>
  <c r="AP125" i="10" s="1"/>
  <c r="AO126" i="10"/>
  <c r="AO125" i="10" s="1"/>
  <c r="AN126" i="10"/>
  <c r="AN125" i="10" s="1"/>
  <c r="AM126" i="10"/>
  <c r="AM125" i="10" s="1"/>
  <c r="AL126" i="10"/>
  <c r="AL125" i="10" s="1"/>
  <c r="AK126" i="10"/>
  <c r="AK125" i="10" s="1"/>
  <c r="AH126" i="10"/>
  <c r="AH125" i="10" s="1"/>
  <c r="AG126" i="10"/>
  <c r="AG125" i="10" s="1"/>
  <c r="AF126" i="10"/>
  <c r="AF125" i="10" s="1"/>
  <c r="AE126" i="10"/>
  <c r="AE125" i="10" s="1"/>
  <c r="AD126" i="10"/>
  <c r="AD125" i="10" s="1"/>
  <c r="AX122" i="10"/>
  <c r="AV122" i="10"/>
  <c r="AU122" i="10"/>
  <c r="AT122" i="10"/>
  <c r="AW122" i="10" s="1"/>
  <c r="AR122" i="10"/>
  <c r="AX121" i="10"/>
  <c r="AV121" i="10"/>
  <c r="AU121" i="10"/>
  <c r="AT121" i="10"/>
  <c r="AW121" i="10" s="1"/>
  <c r="AR121" i="10"/>
  <c r="AS120" i="10"/>
  <c r="AS119" i="10" s="1"/>
  <c r="AS118" i="10" s="1"/>
  <c r="AS117" i="10" s="1"/>
  <c r="AQ120" i="10"/>
  <c r="AQ119" i="10" s="1"/>
  <c r="AP120" i="10"/>
  <c r="AP119" i="10" s="1"/>
  <c r="AO120" i="10"/>
  <c r="AO119" i="10" s="1"/>
  <c r="AO118" i="10" s="1"/>
  <c r="AO117" i="10" s="1"/>
  <c r="AN120" i="10"/>
  <c r="AN119" i="10" s="1"/>
  <c r="AN118" i="10" s="1"/>
  <c r="AN117" i="10" s="1"/>
  <c r="AM120" i="10"/>
  <c r="AL120" i="10"/>
  <c r="AL119" i="10" s="1"/>
  <c r="AL118" i="10" s="1"/>
  <c r="AL117" i="10" s="1"/>
  <c r="AK120" i="10"/>
  <c r="AK119" i="10" s="1"/>
  <c r="AK118" i="10" s="1"/>
  <c r="AK117" i="10" s="1"/>
  <c r="AJ120" i="10"/>
  <c r="AJ119" i="10" s="1"/>
  <c r="AJ118" i="10" s="1"/>
  <c r="AI120" i="10"/>
  <c r="AI119" i="10" s="1"/>
  <c r="AI118" i="10" s="1"/>
  <c r="AI117" i="10" s="1"/>
  <c r="AH120" i="10"/>
  <c r="AH119" i="10" s="1"/>
  <c r="AH118" i="10" s="1"/>
  <c r="AH117" i="10" s="1"/>
  <c r="AG120" i="10"/>
  <c r="AG119" i="10" s="1"/>
  <c r="AG118" i="10" s="1"/>
  <c r="AG117" i="10" s="1"/>
  <c r="AF120" i="10"/>
  <c r="AF119" i="10" s="1"/>
  <c r="AF118" i="10" s="1"/>
  <c r="AF117" i="10" s="1"/>
  <c r="AE120" i="10"/>
  <c r="AE119" i="10" s="1"/>
  <c r="AE118" i="10" s="1"/>
  <c r="AE117" i="10" s="1"/>
  <c r="AD120" i="10"/>
  <c r="AD119" i="10" s="1"/>
  <c r="AD118" i="10" s="1"/>
  <c r="AD117" i="10" s="1"/>
  <c r="AV116" i="10"/>
  <c r="AT116" i="10"/>
  <c r="AW116" i="10" s="1"/>
  <c r="AG116" i="10"/>
  <c r="AV115" i="10"/>
  <c r="AT115" i="10"/>
  <c r="AW115" i="10" s="1"/>
  <c r="AI115" i="10"/>
  <c r="AJ115" i="10" s="1"/>
  <c r="AX114" i="10"/>
  <c r="AV114" i="10"/>
  <c r="AU114" i="10"/>
  <c r="AT114" i="10"/>
  <c r="AW114" i="10" s="1"/>
  <c r="AX113" i="10"/>
  <c r="AV113" i="10"/>
  <c r="AU113" i="10"/>
  <c r="AT113" i="10"/>
  <c r="AW113" i="10" s="1"/>
  <c r="AV112" i="10"/>
  <c r="AT112" i="10"/>
  <c r="AW112" i="10" s="1"/>
  <c r="AI112" i="10"/>
  <c r="AJ112" i="10" s="1"/>
  <c r="AX112" i="10" s="1"/>
  <c r="AX111" i="10"/>
  <c r="AV111" i="10"/>
  <c r="AU111" i="10"/>
  <c r="AT111" i="10"/>
  <c r="AW111" i="10" s="1"/>
  <c r="AX110" i="10"/>
  <c r="AV110" i="10"/>
  <c r="AU110" i="10"/>
  <c r="AT110" i="10"/>
  <c r="AW110" i="10" s="1"/>
  <c r="AX109" i="10"/>
  <c r="AV109" i="10"/>
  <c r="AU109" i="10"/>
  <c r="AT109" i="10"/>
  <c r="AW109" i="10" s="1"/>
  <c r="AX108" i="10"/>
  <c r="AV108" i="10"/>
  <c r="AU108" i="10"/>
  <c r="AT108" i="10"/>
  <c r="AW108" i="10" s="1"/>
  <c r="AX107" i="10"/>
  <c r="AV107" i="10"/>
  <c r="AU107" i="10"/>
  <c r="AT107" i="10"/>
  <c r="AW107" i="10" s="1"/>
  <c r="AX106" i="10"/>
  <c r="AV106" i="10"/>
  <c r="AU106" i="10"/>
  <c r="AT106" i="10"/>
  <c r="AW106" i="10" s="1"/>
  <c r="AV105" i="10"/>
  <c r="AT105" i="10"/>
  <c r="AW105" i="10" s="1"/>
  <c r="AI105" i="10"/>
  <c r="AJ105" i="10" s="1"/>
  <c r="AS104" i="10"/>
  <c r="AS103" i="10" s="1"/>
  <c r="AQ104" i="10"/>
  <c r="AQ103" i="10" s="1"/>
  <c r="AP104" i="10"/>
  <c r="AP103" i="10" s="1"/>
  <c r="AO104" i="10"/>
  <c r="AO103" i="10" s="1"/>
  <c r="AN104" i="10"/>
  <c r="AN103" i="10" s="1"/>
  <c r="AM104" i="10"/>
  <c r="AM103" i="10" s="1"/>
  <c r="AL104" i="10"/>
  <c r="AL103" i="10" s="1"/>
  <c r="AK104" i="10"/>
  <c r="AH104" i="10"/>
  <c r="AH103" i="10" s="1"/>
  <c r="AF104" i="10"/>
  <c r="AF103" i="10" s="1"/>
  <c r="AE104" i="10"/>
  <c r="AE103" i="10" s="1"/>
  <c r="AD104" i="10"/>
  <c r="AD103" i="10" s="1"/>
  <c r="AK103" i="10"/>
  <c r="AX100" i="10"/>
  <c r="AV100" i="10"/>
  <c r="AU100" i="10"/>
  <c r="AT100" i="10"/>
  <c r="AW100" i="10" s="1"/>
  <c r="AV99" i="10"/>
  <c r="AT99" i="10"/>
  <c r="AW99" i="10" s="1"/>
  <c r="AI99" i="10"/>
  <c r="AJ99" i="10" s="1"/>
  <c r="AX99" i="10" s="1"/>
  <c r="AV98" i="10"/>
  <c r="AT98" i="10"/>
  <c r="AW98" i="10" s="1"/>
  <c r="AH98" i="10"/>
  <c r="AG98" i="10"/>
  <c r="AV97" i="10"/>
  <c r="AT97" i="10"/>
  <c r="AW97" i="10" s="1"/>
  <c r="AI97" i="10"/>
  <c r="AJ97" i="10" s="1"/>
  <c r="AX97" i="10" s="1"/>
  <c r="AV96" i="10"/>
  <c r="AT96" i="10"/>
  <c r="AW96" i="10" s="1"/>
  <c r="AV95" i="10"/>
  <c r="AT95" i="10"/>
  <c r="AW95" i="10" s="1"/>
  <c r="AH95" i="10"/>
  <c r="AS94" i="10"/>
  <c r="AR94" i="10"/>
  <c r="AQ94" i="10"/>
  <c r="AP94" i="10"/>
  <c r="AO94" i="10"/>
  <c r="AN94" i="10"/>
  <c r="AM94" i="10"/>
  <c r="AL94" i="10"/>
  <c r="AK94" i="10"/>
  <c r="AF94" i="10"/>
  <c r="AE94" i="10"/>
  <c r="AD94" i="10"/>
  <c r="AV93" i="10"/>
  <c r="AT93" i="10"/>
  <c r="AW93" i="10" s="1"/>
  <c r="AG93" i="10"/>
  <c r="AI93" i="10" s="1"/>
  <c r="AV92" i="10"/>
  <c r="AT92" i="10"/>
  <c r="AW92" i="10" s="1"/>
  <c r="AI92" i="10"/>
  <c r="AJ92" i="10" s="1"/>
  <c r="AU92" i="10" s="1"/>
  <c r="AV91" i="10"/>
  <c r="AT91" i="10"/>
  <c r="AI91" i="10"/>
  <c r="AJ91" i="10" s="1"/>
  <c r="AX90" i="10"/>
  <c r="AV90" i="10"/>
  <c r="AU90" i="10"/>
  <c r="AT90" i="10"/>
  <c r="AW90" i="10" s="1"/>
  <c r="AV89" i="10"/>
  <c r="AT89" i="10"/>
  <c r="AW89" i="10" s="1"/>
  <c r="AI89" i="10"/>
  <c r="AJ89" i="10" s="1"/>
  <c r="AU89" i="10" s="1"/>
  <c r="AS88" i="10"/>
  <c r="AR88" i="10"/>
  <c r="AQ88" i="10"/>
  <c r="AP88" i="10"/>
  <c r="AO88" i="10"/>
  <c r="AN88" i="10"/>
  <c r="AM88" i="10"/>
  <c r="AL88" i="10"/>
  <c r="AK88" i="10"/>
  <c r="AH88" i="10"/>
  <c r="AF88" i="10"/>
  <c r="AE88" i="10"/>
  <c r="AD88" i="10"/>
  <c r="AX85" i="10"/>
  <c r="AV85" i="10"/>
  <c r="AU85" i="10"/>
  <c r="AT85" i="10"/>
  <c r="AW85" i="10" s="1"/>
  <c r="AV84" i="10"/>
  <c r="AT84" i="10"/>
  <c r="AW84" i="10" s="1"/>
  <c r="AI84" i="10"/>
  <c r="AJ84" i="10" s="1"/>
  <c r="AX83" i="10"/>
  <c r="AV83" i="10"/>
  <c r="AU83" i="10"/>
  <c r="AT83" i="10"/>
  <c r="AW83" i="10" s="1"/>
  <c r="AX82" i="10"/>
  <c r="AV82" i="10"/>
  <c r="AU82" i="10"/>
  <c r="AT82" i="10"/>
  <c r="AW82" i="10" s="1"/>
  <c r="AX81" i="10"/>
  <c r="AV81" i="10"/>
  <c r="AU81" i="10"/>
  <c r="AT81" i="10"/>
  <c r="AW81" i="10" s="1"/>
  <c r="AX80" i="10"/>
  <c r="AV80" i="10"/>
  <c r="AU80" i="10"/>
  <c r="AT80" i="10"/>
  <c r="AW80" i="10" s="1"/>
  <c r="AX79" i="10"/>
  <c r="AV79" i="10"/>
  <c r="AU79" i="10"/>
  <c r="AT79" i="10"/>
  <c r="AW79" i="10" s="1"/>
  <c r="AS78" i="10"/>
  <c r="AR78" i="10"/>
  <c r="AQ78" i="10"/>
  <c r="AP78" i="10"/>
  <c r="AO78" i="10"/>
  <c r="AN78" i="10"/>
  <c r="AM78" i="10"/>
  <c r="AL78" i="10"/>
  <c r="AK78" i="10"/>
  <c r="AJ78" i="10"/>
  <c r="AI78" i="10"/>
  <c r="AH78" i="10"/>
  <c r="AG78" i="10"/>
  <c r="AF78" i="10"/>
  <c r="AE78" i="10"/>
  <c r="AD78" i="10"/>
  <c r="AX77" i="10"/>
  <c r="AV77" i="10"/>
  <c r="AU77" i="10"/>
  <c r="AT77" i="10"/>
  <c r="AW77" i="10" s="1"/>
  <c r="AV76" i="10"/>
  <c r="AT76" i="10"/>
  <c r="AW76" i="10" s="1"/>
  <c r="AH76" i="10"/>
  <c r="AI76" i="10" s="1"/>
  <c r="AS75" i="10"/>
  <c r="AR75" i="10"/>
  <c r="AQ75" i="10"/>
  <c r="AP75" i="10"/>
  <c r="AO75" i="10"/>
  <c r="AN75" i="10"/>
  <c r="AM75" i="10"/>
  <c r="AL75" i="10"/>
  <c r="AK75" i="10"/>
  <c r="AG75" i="10"/>
  <c r="AF75" i="10"/>
  <c r="AE75" i="10"/>
  <c r="AD75" i="10"/>
  <c r="AX74" i="10"/>
  <c r="AV74" i="10"/>
  <c r="AU74" i="10"/>
  <c r="AT74" i="10"/>
  <c r="AW74" i="10" s="1"/>
  <c r="AX73" i="10"/>
  <c r="AV73" i="10"/>
  <c r="AU73" i="10"/>
  <c r="AT73" i="10"/>
  <c r="AW73" i="10" s="1"/>
  <c r="AS72" i="10"/>
  <c r="AR72" i="10"/>
  <c r="AQ72" i="10"/>
  <c r="AP72" i="10"/>
  <c r="AO72" i="10"/>
  <c r="AN72" i="10"/>
  <c r="AM72" i="10"/>
  <c r="AL72" i="10"/>
  <c r="AK72" i="10"/>
  <c r="AJ72" i="10"/>
  <c r="AI72" i="10"/>
  <c r="AH72" i="10"/>
  <c r="AG72" i="10"/>
  <c r="AF72" i="10"/>
  <c r="AE72" i="10"/>
  <c r="AD72" i="10"/>
  <c r="AX69" i="10"/>
  <c r="AV69" i="10"/>
  <c r="AU69" i="10"/>
  <c r="AT69" i="10"/>
  <c r="AW69" i="10" s="1"/>
  <c r="AX68" i="10"/>
  <c r="AV68" i="10"/>
  <c r="AU68" i="10"/>
  <c r="AT68" i="10"/>
  <c r="AW68" i="10" s="1"/>
  <c r="AS67" i="10"/>
  <c r="AR67" i="10"/>
  <c r="AQ67" i="10"/>
  <c r="AP67" i="10"/>
  <c r="AO67" i="10"/>
  <c r="AN67" i="10"/>
  <c r="AM67" i="10"/>
  <c r="AL67" i="10"/>
  <c r="AK67" i="10"/>
  <c r="AJ67" i="10"/>
  <c r="AI67" i="10"/>
  <c r="AH67" i="10"/>
  <c r="AG67" i="10"/>
  <c r="AF67" i="10"/>
  <c r="AE67" i="10"/>
  <c r="AD67" i="10"/>
  <c r="AX66" i="10"/>
  <c r="AV66" i="10"/>
  <c r="AU66" i="10"/>
  <c r="AT66" i="10"/>
  <c r="AW66" i="10" s="1"/>
  <c r="AX65" i="10"/>
  <c r="AV65" i="10"/>
  <c r="AU65" i="10"/>
  <c r="AT65" i="10"/>
  <c r="AW65" i="10" s="1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X63" i="10"/>
  <c r="AV63" i="10"/>
  <c r="AU63" i="10"/>
  <c r="AT63" i="10"/>
  <c r="AW63" i="10" s="1"/>
  <c r="AX62" i="10"/>
  <c r="AV62" i="10"/>
  <c r="AU62" i="10"/>
  <c r="AT62" i="10"/>
  <c r="AW62" i="10" s="1"/>
  <c r="AS61" i="10"/>
  <c r="AR61" i="10"/>
  <c r="AQ61" i="10"/>
  <c r="AP61" i="10"/>
  <c r="AO61" i="10"/>
  <c r="AN61" i="10"/>
  <c r="AM61" i="10"/>
  <c r="AL61" i="10"/>
  <c r="AK61" i="10"/>
  <c r="AJ61" i="10"/>
  <c r="AI61" i="10"/>
  <c r="AH61" i="10"/>
  <c r="AG61" i="10"/>
  <c r="AF61" i="10"/>
  <c r="AE61" i="10"/>
  <c r="AD61" i="10"/>
  <c r="AX60" i="10"/>
  <c r="AV60" i="10"/>
  <c r="AU60" i="10"/>
  <c r="AT60" i="10"/>
  <c r="AW60" i="10" s="1"/>
  <c r="AV59" i="10"/>
  <c r="AT59" i="10"/>
  <c r="AW59" i="10" s="1"/>
  <c r="AI59" i="10"/>
  <c r="AI58" i="10" s="1"/>
  <c r="AS58" i="10"/>
  <c r="AR58" i="10"/>
  <c r="AQ58" i="10"/>
  <c r="AP58" i="10"/>
  <c r="AO58" i="10"/>
  <c r="AN58" i="10"/>
  <c r="AM58" i="10"/>
  <c r="AL58" i="10"/>
  <c r="AK58" i="10"/>
  <c r="AH58" i="10"/>
  <c r="AG58" i="10"/>
  <c r="AF58" i="10"/>
  <c r="AE58" i="10"/>
  <c r="AD58" i="10"/>
  <c r="AX57" i="10"/>
  <c r="AV57" i="10"/>
  <c r="AU57" i="10"/>
  <c r="AT57" i="10"/>
  <c r="AW57" i="10" s="1"/>
  <c r="AV56" i="10"/>
  <c r="AT56" i="10"/>
  <c r="AW56" i="10" s="1"/>
  <c r="AI56" i="10"/>
  <c r="AJ56" i="10" s="1"/>
  <c r="AS55" i="10"/>
  <c r="AR55" i="10"/>
  <c r="AQ55" i="10"/>
  <c r="AP55" i="10"/>
  <c r="AO55" i="10"/>
  <c r="AN55" i="10"/>
  <c r="AM55" i="10"/>
  <c r="AL55" i="10"/>
  <c r="AK55" i="10"/>
  <c r="AH55" i="10"/>
  <c r="AG55" i="10"/>
  <c r="AF55" i="10"/>
  <c r="AE55" i="10"/>
  <c r="AD55" i="10"/>
  <c r="AX54" i="10"/>
  <c r="AW54" i="10"/>
  <c r="AV54" i="10"/>
  <c r="AU54" i="10"/>
  <c r="AW53" i="10"/>
  <c r="AV53" i="10"/>
  <c r="AH53" i="10"/>
  <c r="AI53" i="10" s="1"/>
  <c r="AS52" i="10"/>
  <c r="AR52" i="10"/>
  <c r="AQ52" i="10"/>
  <c r="AP52" i="10"/>
  <c r="AO52" i="10"/>
  <c r="AN52" i="10"/>
  <c r="AM52" i="10"/>
  <c r="AL52" i="10"/>
  <c r="AK52" i="10"/>
  <c r="AG52" i="10"/>
  <c r="AF52" i="10"/>
  <c r="AE52" i="10"/>
  <c r="AD52" i="10"/>
  <c r="AX51" i="10"/>
  <c r="AV51" i="10"/>
  <c r="AU51" i="10"/>
  <c r="AT51" i="10"/>
  <c r="AW51" i="10" s="1"/>
  <c r="AX50" i="10"/>
  <c r="AV50" i="10"/>
  <c r="AU50" i="10"/>
  <c r="AT50" i="10"/>
  <c r="AW50" i="10" s="1"/>
  <c r="AS49" i="10"/>
  <c r="AR49" i="10"/>
  <c r="AQ49" i="10"/>
  <c r="AP49" i="10"/>
  <c r="AO49" i="10"/>
  <c r="AN49" i="10"/>
  <c r="AM49" i="10"/>
  <c r="AL49" i="10"/>
  <c r="AK49" i="10"/>
  <c r="AJ49" i="10"/>
  <c r="AI49" i="10"/>
  <c r="AH49" i="10"/>
  <c r="AG49" i="10"/>
  <c r="AF49" i="10"/>
  <c r="AE49" i="10"/>
  <c r="AD49" i="10"/>
  <c r="AX48" i="10"/>
  <c r="AV48" i="10"/>
  <c r="AU48" i="10"/>
  <c r="AT48" i="10"/>
  <c r="AW48" i="10" s="1"/>
  <c r="AX47" i="10"/>
  <c r="AV47" i="10"/>
  <c r="AU47" i="10"/>
  <c r="AT47" i="10"/>
  <c r="AW47" i="10" s="1"/>
  <c r="AS46" i="10"/>
  <c r="AR46" i="10"/>
  <c r="AQ46" i="10"/>
  <c r="AP46" i="10"/>
  <c r="AO46" i="10"/>
  <c r="AN46" i="10"/>
  <c r="AM46" i="10"/>
  <c r="AL46" i="10"/>
  <c r="AK46" i="10"/>
  <c r="AJ46" i="10"/>
  <c r="AI46" i="10"/>
  <c r="AH46" i="10"/>
  <c r="AG46" i="10"/>
  <c r="AF46" i="10"/>
  <c r="AE46" i="10"/>
  <c r="AD46" i="10"/>
  <c r="AX45" i="10"/>
  <c r="AV45" i="10"/>
  <c r="AU45" i="10"/>
  <c r="AT45" i="10"/>
  <c r="AW45" i="10" s="1"/>
  <c r="AV44" i="10"/>
  <c r="AT44" i="10"/>
  <c r="AW44" i="10" s="1"/>
  <c r="AH44" i="10"/>
  <c r="AI44" i="10" s="1"/>
  <c r="AS43" i="10"/>
  <c r="AR43" i="10"/>
  <c r="AQ43" i="10"/>
  <c r="AP43" i="10"/>
  <c r="AO43" i="10"/>
  <c r="AN43" i="10"/>
  <c r="AM43" i="10"/>
  <c r="AL43" i="10"/>
  <c r="AK43" i="10"/>
  <c r="AG43" i="10"/>
  <c r="AF43" i="10"/>
  <c r="AE43" i="10"/>
  <c r="AD43" i="10"/>
  <c r="AX41" i="10"/>
  <c r="AV41" i="10"/>
  <c r="AU41" i="10"/>
  <c r="AT41" i="10"/>
  <c r="AW41" i="10" s="1"/>
  <c r="AS40" i="10"/>
  <c r="AS39" i="10" s="1"/>
  <c r="AR40" i="10"/>
  <c r="AR39" i="10" s="1"/>
  <c r="AQ40" i="10"/>
  <c r="AQ39" i="10" s="1"/>
  <c r="AP40" i="10"/>
  <c r="AP39" i="10" s="1"/>
  <c r="AO40" i="10"/>
  <c r="AO39" i="10" s="1"/>
  <c r="AN40" i="10"/>
  <c r="AN39" i="10" s="1"/>
  <c r="AM40" i="10"/>
  <c r="AL40" i="10"/>
  <c r="AL39" i="10" s="1"/>
  <c r="AK40" i="10"/>
  <c r="AK39" i="10" s="1"/>
  <c r="AJ40" i="10"/>
  <c r="AJ39" i="10" s="1"/>
  <c r="AI40" i="10"/>
  <c r="AI39" i="10" s="1"/>
  <c r="AH40" i="10"/>
  <c r="AH39" i="10" s="1"/>
  <c r="AG40" i="10"/>
  <c r="AG39" i="10" s="1"/>
  <c r="AF40" i="10"/>
  <c r="AF39" i="10" s="1"/>
  <c r="AE40" i="10"/>
  <c r="AE39" i="10" s="1"/>
  <c r="AD40" i="10"/>
  <c r="AD39" i="10" s="1"/>
  <c r="AV38" i="10"/>
  <c r="AU38" i="10"/>
  <c r="AT38" i="10"/>
  <c r="AW38" i="10" s="1"/>
  <c r="AR38" i="10"/>
  <c r="AO38" i="10"/>
  <c r="AL38" i="10"/>
  <c r="AV37" i="10"/>
  <c r="AT37" i="10"/>
  <c r="AW37" i="10" s="1"/>
  <c r="AI37" i="10"/>
  <c r="AJ37" i="10" s="1"/>
  <c r="AU37" i="10" s="1"/>
  <c r="AX36" i="10"/>
  <c r="AV36" i="10"/>
  <c r="AU36" i="10"/>
  <c r="AT36" i="10"/>
  <c r="AW36" i="10" s="1"/>
  <c r="AV35" i="10"/>
  <c r="AT35" i="10"/>
  <c r="AW35" i="10" s="1"/>
  <c r="AI35" i="10"/>
  <c r="AI34" i="10" s="1"/>
  <c r="AS34" i="10"/>
  <c r="AR34" i="10"/>
  <c r="AQ34" i="10"/>
  <c r="AP34" i="10"/>
  <c r="AO34" i="10"/>
  <c r="AN34" i="10"/>
  <c r="AM34" i="10"/>
  <c r="AL34" i="10"/>
  <c r="AK34" i="10"/>
  <c r="AH34" i="10"/>
  <c r="AG34" i="10"/>
  <c r="AF34" i="10"/>
  <c r="AE34" i="10"/>
  <c r="AD34" i="10"/>
  <c r="AX33" i="10"/>
  <c r="AV33" i="10"/>
  <c r="AU33" i="10"/>
  <c r="AT33" i="10"/>
  <c r="AW33" i="10" s="1"/>
  <c r="AX32" i="10"/>
  <c r="AV32" i="10"/>
  <c r="AU32" i="10"/>
  <c r="AT32" i="10"/>
  <c r="AW32" i="10" s="1"/>
  <c r="AS31" i="10"/>
  <c r="AR31" i="10"/>
  <c r="AQ31" i="10"/>
  <c r="AP31" i="10"/>
  <c r="AO31" i="10"/>
  <c r="AN31" i="10"/>
  <c r="AM31" i="10"/>
  <c r="AL31" i="10"/>
  <c r="AK31" i="10"/>
  <c r="AJ31" i="10"/>
  <c r="AI31" i="10"/>
  <c r="AH31" i="10"/>
  <c r="AH30" i="10" s="1"/>
  <c r="AG31" i="10"/>
  <c r="AG30" i="10" s="1"/>
  <c r="AF31" i="10"/>
  <c r="AF30" i="10" s="1"/>
  <c r="AE31" i="10"/>
  <c r="AE30" i="10" s="1"/>
  <c r="AD31" i="10"/>
  <c r="AX29" i="10"/>
  <c r="AV29" i="10"/>
  <c r="AU29" i="10"/>
  <c r="AT29" i="10"/>
  <c r="AW29" i="10" s="1"/>
  <c r="AX28" i="10"/>
  <c r="AV28" i="10"/>
  <c r="AU28" i="10"/>
  <c r="AT28" i="10"/>
  <c r="AW28" i="10" s="1"/>
  <c r="AS27" i="10"/>
  <c r="AR27" i="10"/>
  <c r="AQ27" i="10"/>
  <c r="AP27" i="10"/>
  <c r="AO27" i="10"/>
  <c r="AN27" i="10"/>
  <c r="AM27" i="10"/>
  <c r="AL27" i="10"/>
  <c r="AK27" i="10"/>
  <c r="AJ27" i="10"/>
  <c r="AI27" i="10"/>
  <c r="AH27" i="10"/>
  <c r="AG27" i="10"/>
  <c r="AF27" i="10"/>
  <c r="AE27" i="10"/>
  <c r="AD27" i="10"/>
  <c r="AX26" i="10"/>
  <c r="AV26" i="10"/>
  <c r="AU26" i="10"/>
  <c r="AT26" i="10"/>
  <c r="AW26" i="10" s="1"/>
  <c r="AV25" i="10"/>
  <c r="AT25" i="10"/>
  <c r="AW25" i="10" s="1"/>
  <c r="AI25" i="10"/>
  <c r="AJ25" i="10" s="1"/>
  <c r="AU25" i="10" s="1"/>
  <c r="AS24" i="10"/>
  <c r="AR24" i="10"/>
  <c r="AQ24" i="10"/>
  <c r="AP24" i="10"/>
  <c r="AO24" i="10"/>
  <c r="AN24" i="10"/>
  <c r="AM24" i="10"/>
  <c r="AL24" i="10"/>
  <c r="AK24" i="10"/>
  <c r="AH24" i="10"/>
  <c r="AG24" i="10"/>
  <c r="AF24" i="10"/>
  <c r="AE24" i="10"/>
  <c r="AD24" i="10"/>
  <c r="AX23" i="10"/>
  <c r="AV23" i="10"/>
  <c r="AU23" i="10"/>
  <c r="AT23" i="10"/>
  <c r="AW23" i="10" s="1"/>
  <c r="AX22" i="10"/>
  <c r="AV22" i="10"/>
  <c r="AU22" i="10"/>
  <c r="AT22" i="10"/>
  <c r="AW22" i="10" s="1"/>
  <c r="AV21" i="10"/>
  <c r="AU21" i="10"/>
  <c r="AT21" i="10"/>
  <c r="AW21" i="10" s="1"/>
  <c r="AV20" i="10"/>
  <c r="AT20" i="10"/>
  <c r="AW20" i="10" s="1"/>
  <c r="AI20" i="10"/>
  <c r="AJ20" i="10" s="1"/>
  <c r="AX19" i="10"/>
  <c r="AV19" i="10"/>
  <c r="AU19" i="10"/>
  <c r="AT19" i="10"/>
  <c r="AW19" i="10" s="1"/>
  <c r="AV18" i="10"/>
  <c r="AT18" i="10"/>
  <c r="AW18" i="10" s="1"/>
  <c r="AH18" i="10"/>
  <c r="AI18" i="10" s="1"/>
  <c r="AS17" i="10"/>
  <c r="AR17" i="10"/>
  <c r="AQ17" i="10"/>
  <c r="AP17" i="10"/>
  <c r="AO17" i="10"/>
  <c r="AN17" i="10"/>
  <c r="AM17" i="10"/>
  <c r="AL17" i="10"/>
  <c r="AK17" i="10"/>
  <c r="AG17" i="10"/>
  <c r="AF17" i="10"/>
  <c r="AE17" i="10"/>
  <c r="AD17" i="10"/>
  <c r="AX61" i="10" l="1"/>
  <c r="AG829" i="10"/>
  <c r="AX310" i="10"/>
  <c r="AI212" i="10"/>
  <c r="AJ212" i="10" s="1"/>
  <c r="AT160" i="10"/>
  <c r="AI885" i="10"/>
  <c r="AJ885" i="10" s="1"/>
  <c r="AX885" i="10" s="1"/>
  <c r="AT27" i="10"/>
  <c r="AW27" i="10" s="1"/>
  <c r="AK87" i="10"/>
  <c r="AK86" i="10" s="1"/>
  <c r="AX64" i="10"/>
  <c r="AX67" i="10"/>
  <c r="AN30" i="10"/>
  <c r="AN16" i="10" s="1"/>
  <c r="AN15" i="10" s="1"/>
  <c r="AU667" i="10"/>
  <c r="AX667" i="10"/>
  <c r="AH52" i="10"/>
  <c r="AD180" i="10"/>
  <c r="AD164" i="10" s="1"/>
  <c r="AD163" i="10" s="1"/>
  <c r="AF87" i="10"/>
  <c r="AF86" i="10" s="1"/>
  <c r="AO180" i="10"/>
  <c r="AO164" i="10" s="1"/>
  <c r="AO163" i="10" s="1"/>
  <c r="AF124" i="10"/>
  <c r="AF123" i="10" s="1"/>
  <c r="AG180" i="10"/>
  <c r="AG164" i="10" s="1"/>
  <c r="AG163" i="10" s="1"/>
  <c r="AT24" i="10"/>
  <c r="AT78" i="10"/>
  <c r="AW78" i="10" s="1"/>
  <c r="AT131" i="10"/>
  <c r="AI134" i="10"/>
  <c r="AS87" i="10"/>
  <c r="AS86" i="10" s="1"/>
  <c r="AL180" i="10"/>
  <c r="AL164" i="10" s="1"/>
  <c r="AL163" i="10" s="1"/>
  <c r="AT1055" i="10"/>
  <c r="AK191" i="10"/>
  <c r="AX1251" i="10"/>
  <c r="AU1251" i="10"/>
  <c r="AO30" i="10"/>
  <c r="AO16" i="10" s="1"/>
  <c r="AO15" i="10" s="1"/>
  <c r="AT34" i="10"/>
  <c r="AW34" i="10" s="1"/>
  <c r="AT46" i="10"/>
  <c r="AW46" i="10" s="1"/>
  <c r="AD87" i="10"/>
  <c r="AD86" i="10" s="1"/>
  <c r="AP87" i="10"/>
  <c r="AP86" i="10" s="1"/>
  <c r="AX160" i="10"/>
  <c r="AG729" i="10"/>
  <c r="AI1308" i="10"/>
  <c r="AN180" i="10"/>
  <c r="AN164" i="10" s="1"/>
  <c r="AN163" i="10" s="1"/>
  <c r="AE87" i="10"/>
  <c r="AE86" i="10" s="1"/>
  <c r="AF180" i="10"/>
  <c r="AF164" i="10" s="1"/>
  <c r="AF163" i="10" s="1"/>
  <c r="AU497" i="10"/>
  <c r="AV1107" i="10"/>
  <c r="AT1308" i="10"/>
  <c r="AN124" i="10"/>
  <c r="AN123" i="10" s="1"/>
  <c r="AJ59" i="10"/>
  <c r="AU59" i="10" s="1"/>
  <c r="AU72" i="10"/>
  <c r="AQ180" i="10"/>
  <c r="AU966" i="10"/>
  <c r="AT1263" i="10"/>
  <c r="AV1293" i="10"/>
  <c r="AX258" i="10"/>
  <c r="AF71" i="10"/>
  <c r="AF70" i="10" s="1"/>
  <c r="AN71" i="10"/>
  <c r="AN70" i="10" s="1"/>
  <c r="AV143" i="10"/>
  <c r="AX224" i="10"/>
  <c r="AE729" i="10"/>
  <c r="AX579" i="10"/>
  <c r="AH729" i="10"/>
  <c r="AS71" i="10"/>
  <c r="AS70" i="10" s="1"/>
  <c r="AH124" i="10"/>
  <c r="AH123" i="10" s="1"/>
  <c r="AX140" i="10"/>
  <c r="AT1220" i="10"/>
  <c r="AU97" i="10"/>
  <c r="AU99" i="10"/>
  <c r="AX1152" i="10"/>
  <c r="AU1152" i="10"/>
  <c r="AI24" i="10"/>
  <c r="AX49" i="10"/>
  <c r="AO87" i="10"/>
  <c r="AO86" i="10" s="1"/>
  <c r="AX131" i="10"/>
  <c r="AT140" i="10"/>
  <c r="AW140" i="10" s="1"/>
  <c r="AW139" i="10" s="1"/>
  <c r="AU946" i="10"/>
  <c r="AT1276" i="10"/>
  <c r="AK102" i="10"/>
  <c r="AT120" i="10"/>
  <c r="AW120" i="10" s="1"/>
  <c r="AX867" i="10"/>
  <c r="AX1081" i="10"/>
  <c r="AN191" i="10"/>
  <c r="AP71" i="10"/>
  <c r="AP70" i="10" s="1"/>
  <c r="AW160" i="10"/>
  <c r="AF42" i="10"/>
  <c r="AV27" i="10"/>
  <c r="AK30" i="10"/>
  <c r="AK16" i="10" s="1"/>
  <c r="AK15" i="10" s="1"/>
  <c r="AS30" i="10"/>
  <c r="AH43" i="10"/>
  <c r="AV78" i="10"/>
  <c r="AV120" i="10"/>
  <c r="AM180" i="10"/>
  <c r="AX1163" i="10"/>
  <c r="AS191" i="10"/>
  <c r="AV24" i="10"/>
  <c r="AD30" i="10"/>
  <c r="AT55" i="10"/>
  <c r="AW55" i="10" s="1"/>
  <c r="AV75" i="10"/>
  <c r="AI98" i="10"/>
  <c r="AJ98" i="10" s="1"/>
  <c r="AX98" i="10" s="1"/>
  <c r="AG124" i="10"/>
  <c r="AG123" i="10" s="1"/>
  <c r="AH180" i="10"/>
  <c r="AH164" i="10" s="1"/>
  <c r="AH163" i="10" s="1"/>
  <c r="AV46" i="10"/>
  <c r="AK71" i="10"/>
  <c r="AK70" i="10" s="1"/>
  <c r="AE180" i="10"/>
  <c r="AX1083" i="10"/>
  <c r="AE1409" i="10"/>
  <c r="AV61" i="10"/>
  <c r="AV64" i="10"/>
  <c r="AV67" i="10"/>
  <c r="AV160" i="10"/>
  <c r="AI787" i="10"/>
  <c r="AJ787" i="10" s="1"/>
  <c r="AX787" i="10" s="1"/>
  <c r="AI1337" i="10"/>
  <c r="AJ1337" i="10" s="1"/>
  <c r="AI1389" i="10"/>
  <c r="AJ1389" i="10" s="1"/>
  <c r="AU1389" i="10" s="1"/>
  <c r="AT729" i="10"/>
  <c r="AV729" i="10"/>
  <c r="AU853" i="10"/>
  <c r="AM191" i="10"/>
  <c r="AU230" i="10"/>
  <c r="AU257" i="10"/>
  <c r="AX257" i="10"/>
  <c r="AX643" i="10"/>
  <c r="AU643" i="10"/>
  <c r="AU806" i="10"/>
  <c r="AX806" i="10"/>
  <c r="AX743" i="10"/>
  <c r="AU743" i="10"/>
  <c r="AU662" i="10"/>
  <c r="AX662" i="10"/>
  <c r="AX926" i="10"/>
  <c r="AU926" i="10"/>
  <c r="AU865" i="10"/>
  <c r="AX865" i="10"/>
  <c r="AU1318" i="10"/>
  <c r="AX1318" i="10"/>
  <c r="AG1055" i="10"/>
  <c r="AF16" i="10"/>
  <c r="AF15" i="10" s="1"/>
  <c r="AI55" i="10"/>
  <c r="AT72" i="10"/>
  <c r="AW72" i="10" s="1"/>
  <c r="AG88" i="10"/>
  <c r="AH102" i="10"/>
  <c r="AH101" i="10" s="1"/>
  <c r="AH149" i="10"/>
  <c r="AX188" i="10"/>
  <c r="AX27" i="10"/>
  <c r="AV34" i="10"/>
  <c r="AX46" i="10"/>
  <c r="AT52" i="10"/>
  <c r="AW52" i="10" s="1"/>
  <c r="AD71" i="10"/>
  <c r="AD70" i="10" s="1"/>
  <c r="AR87" i="10"/>
  <c r="AR86" i="10" s="1"/>
  <c r="AE124" i="10"/>
  <c r="AE123" i="10" s="1"/>
  <c r="AU131" i="10"/>
  <c r="AX159" i="10"/>
  <c r="AI181" i="10"/>
  <c r="AI180" i="10" s="1"/>
  <c r="AI164" i="10" s="1"/>
  <c r="AI163" i="10" s="1"/>
  <c r="AT188" i="10"/>
  <c r="AW188" i="10" s="1"/>
  <c r="AH532" i="10"/>
  <c r="AX444" i="10"/>
  <c r="AX1085" i="10"/>
  <c r="AU31" i="10"/>
  <c r="AG42" i="10"/>
  <c r="AT43" i="10"/>
  <c r="AW43" i="10" s="1"/>
  <c r="AR42" i="10"/>
  <c r="AT49" i="10"/>
  <c r="AW49" i="10" s="1"/>
  <c r="AV55" i="10"/>
  <c r="AN87" i="10"/>
  <c r="AN86" i="10" s="1"/>
  <c r="AV125" i="10"/>
  <c r="AV134" i="10"/>
  <c r="AF149" i="10"/>
  <c r="AS149" i="10"/>
  <c r="AQ191" i="10"/>
  <c r="AX595" i="10"/>
  <c r="AX988" i="10"/>
  <c r="AV1200" i="10"/>
  <c r="AV1276" i="10"/>
  <c r="AV1308" i="10"/>
  <c r="AX1323" i="10"/>
  <c r="AE71" i="10"/>
  <c r="AE70" i="10" s="1"/>
  <c r="AM87" i="10"/>
  <c r="AM86" i="10" s="1"/>
  <c r="AU112" i="10"/>
  <c r="AM119" i="10"/>
  <c r="AV119" i="10" s="1"/>
  <c r="AD124" i="10"/>
  <c r="AD123" i="10" s="1"/>
  <c r="AR180" i="10"/>
  <c r="AR164" i="10" s="1"/>
  <c r="AR163" i="10" s="1"/>
  <c r="AV246" i="10"/>
  <c r="AU318" i="10"/>
  <c r="AU457" i="10"/>
  <c r="AI561" i="10"/>
  <c r="AJ561" i="10" s="1"/>
  <c r="AU561" i="10" s="1"/>
  <c r="AX703" i="10"/>
  <c r="AQ149" i="10"/>
  <c r="AE16" i="10"/>
  <c r="AE15" i="10" s="1"/>
  <c r="AK42" i="10"/>
  <c r="AS42" i="10"/>
  <c r="AD42" i="10"/>
  <c r="AV52" i="10"/>
  <c r="AX78" i="10"/>
  <c r="AX120" i="10"/>
  <c r="AO124" i="10"/>
  <c r="AO123" i="10" s="1"/>
  <c r="AX150" i="10"/>
  <c r="AT159" i="10"/>
  <c r="AW159" i="10" s="1"/>
  <c r="AU160" i="10"/>
  <c r="AV188" i="10"/>
  <c r="AX448" i="10"/>
  <c r="AX660" i="10"/>
  <c r="AI1285" i="10"/>
  <c r="AI1293" i="10" s="1"/>
  <c r="AP191" i="10"/>
  <c r="AT17" i="10"/>
  <c r="AT58" i="10"/>
  <c r="AW58" i="10" s="1"/>
  <c r="AT61" i="10"/>
  <c r="AW61" i="10" s="1"/>
  <c r="AT64" i="10"/>
  <c r="AW64" i="10" s="1"/>
  <c r="AT67" i="10"/>
  <c r="AW67" i="10" s="1"/>
  <c r="AG71" i="10"/>
  <c r="AG70" i="10" s="1"/>
  <c r="AO71" i="10"/>
  <c r="AO70" i="10" s="1"/>
  <c r="AK124" i="10"/>
  <c r="AK123" i="10" s="1"/>
  <c r="AT139" i="10"/>
  <c r="AJ143" i="10"/>
  <c r="AX143" i="10" s="1"/>
  <c r="AX462" i="10"/>
  <c r="AT1107" i="10"/>
  <c r="AE42" i="10"/>
  <c r="AG16" i="10"/>
  <c r="AG15" i="10" s="1"/>
  <c r="AI30" i="10"/>
  <c r="AT31" i="10"/>
  <c r="AW31" i="10" s="1"/>
  <c r="AV43" i="10"/>
  <c r="AU49" i="10"/>
  <c r="AU67" i="10"/>
  <c r="AH75" i="10"/>
  <c r="AH71" i="10" s="1"/>
  <c r="AH70" i="10" s="1"/>
  <c r="AU120" i="10"/>
  <c r="AI143" i="10"/>
  <c r="AR149" i="10"/>
  <c r="AD149" i="10"/>
  <c r="AM159" i="10"/>
  <c r="AV159" i="10" s="1"/>
  <c r="AU488" i="10"/>
  <c r="AU588" i="10"/>
  <c r="AW1293" i="10"/>
  <c r="AU1338" i="10"/>
  <c r="AX1338" i="10"/>
  <c r="AX1337" i="10"/>
  <c r="AU1337" i="10"/>
  <c r="AI1263" i="10"/>
  <c r="AT1293" i="10"/>
  <c r="AT1409" i="10"/>
  <c r="AX1336" i="10"/>
  <c r="AU1336" i="10"/>
  <c r="AX1330" i="10"/>
  <c r="AU1245" i="10"/>
  <c r="AJ1305" i="10"/>
  <c r="AX1305" i="10" s="1"/>
  <c r="AW1276" i="10"/>
  <c r="AX1378" i="10"/>
  <c r="AJ1237" i="10"/>
  <c r="AJ1263" i="10" s="1"/>
  <c r="AX1263" i="10" s="1"/>
  <c r="AX1366" i="10"/>
  <c r="AX1354" i="10"/>
  <c r="AX559" i="10"/>
  <c r="AV1220" i="10"/>
  <c r="AX1211" i="10"/>
  <c r="AU1211" i="10"/>
  <c r="AF191" i="10"/>
  <c r="AX177" i="10"/>
  <c r="AU631" i="10"/>
  <c r="AD191" i="10"/>
  <c r="AT119" i="10"/>
  <c r="AW119" i="10" s="1"/>
  <c r="AX419" i="10"/>
  <c r="AQ118" i="10"/>
  <c r="AT118" i="10" s="1"/>
  <c r="AT143" i="10"/>
  <c r="AV168" i="10"/>
  <c r="AT181" i="10"/>
  <c r="AV17" i="10"/>
  <c r="AU40" i="10"/>
  <c r="AU39" i="10" s="1"/>
  <c r="AR120" i="10"/>
  <c r="AR119" i="10" s="1"/>
  <c r="AR118" i="10" s="1"/>
  <c r="AR117" i="10" s="1"/>
  <c r="AP176" i="10"/>
  <c r="AX176" i="10" s="1"/>
  <c r="AX168" i="10"/>
  <c r="AU173" i="10"/>
  <c r="AT40" i="10"/>
  <c r="AW40" i="10" s="1"/>
  <c r="AW39" i="10" s="1"/>
  <c r="AL1144" i="10"/>
  <c r="AK180" i="10"/>
  <c r="AK164" i="10" s="1"/>
  <c r="AK163" i="10" s="1"/>
  <c r="AS180" i="10"/>
  <c r="AX173" i="10"/>
  <c r="AO149" i="10"/>
  <c r="AK149" i="10"/>
  <c r="AN149" i="10"/>
  <c r="AT154" i="10"/>
  <c r="AW154" i="10" s="1"/>
  <c r="AU155" i="10"/>
  <c r="AP149" i="10"/>
  <c r="AL149" i="10"/>
  <c r="AQ124" i="10"/>
  <c r="AQ123" i="10" s="1"/>
  <c r="AP124" i="10"/>
  <c r="AP123" i="10" s="1"/>
  <c r="AL124" i="10"/>
  <c r="AL123" i="10" s="1"/>
  <c r="AS124" i="10"/>
  <c r="AS123" i="10" s="1"/>
  <c r="AT126" i="10"/>
  <c r="AO102" i="10"/>
  <c r="AN102" i="10"/>
  <c r="AN101" i="10" s="1"/>
  <c r="AS102" i="10"/>
  <c r="AV94" i="10"/>
  <c r="AL87" i="10"/>
  <c r="AL86" i="10" s="1"/>
  <c r="AT88" i="10"/>
  <c r="AQ87" i="10"/>
  <c r="AR71" i="10"/>
  <c r="AR70" i="10" s="1"/>
  <c r="AL71" i="10"/>
  <c r="AL70" i="10" s="1"/>
  <c r="AQ71" i="10"/>
  <c r="AQ70" i="10" s="1"/>
  <c r="AU64" i="10"/>
  <c r="AO42" i="10"/>
  <c r="AP42" i="10"/>
  <c r="AN42" i="10"/>
  <c r="AL42" i="10"/>
  <c r="AR30" i="10"/>
  <c r="AR16" i="10" s="1"/>
  <c r="AR15" i="10" s="1"/>
  <c r="AM30" i="10"/>
  <c r="AM16" i="10" s="1"/>
  <c r="AL30" i="10"/>
  <c r="AW24" i="10"/>
  <c r="AS16" i="10"/>
  <c r="AS15" i="10" s="1"/>
  <c r="AJ117" i="10"/>
  <c r="AQ166" i="10"/>
  <c r="AQ165" i="10" s="1"/>
  <c r="AT167" i="10"/>
  <c r="AU308" i="10"/>
  <c r="AX308" i="10"/>
  <c r="AM165" i="10"/>
  <c r="AU671" i="10"/>
  <c r="AX671" i="10"/>
  <c r="AU435" i="10"/>
  <c r="AX435" i="10"/>
  <c r="AX798" i="10"/>
  <c r="AU798" i="10"/>
  <c r="AR126" i="10"/>
  <c r="AR125" i="10" s="1"/>
  <c r="AR124" i="10" s="1"/>
  <c r="AR123" i="10" s="1"/>
  <c r="AT150" i="10"/>
  <c r="AU168" i="10"/>
  <c r="AV173" i="10"/>
  <c r="AU306" i="10"/>
  <c r="AW91" i="10"/>
  <c r="AW88" i="10" s="1"/>
  <c r="AE102" i="10"/>
  <c r="AU762" i="10"/>
  <c r="AW1144" i="10"/>
  <c r="AE164" i="10"/>
  <c r="AE163" i="10" s="1"/>
  <c r="AX39" i="10"/>
  <c r="AV126" i="10"/>
  <c r="AT168" i="10"/>
  <c r="AW168" i="10" s="1"/>
  <c r="AX119" i="10"/>
  <c r="AW127" i="10"/>
  <c r="AW126" i="10" s="1"/>
  <c r="AM172" i="10"/>
  <c r="AU172" i="10" s="1"/>
  <c r="AW186" i="10"/>
  <c r="AW181" i="10" s="1"/>
  <c r="AW17" i="10"/>
  <c r="AV88" i="10"/>
  <c r="AT39" i="10"/>
  <c r="AR104" i="10"/>
  <c r="AR103" i="10" s="1"/>
  <c r="AP167" i="10"/>
  <c r="AP172" i="10"/>
  <c r="AT173" i="10"/>
  <c r="AW173" i="10" s="1"/>
  <c r="AU433" i="10"/>
  <c r="AX437" i="10"/>
  <c r="AU442" i="10"/>
  <c r="AR829" i="10"/>
  <c r="AR191" i="10" s="1"/>
  <c r="AW1055" i="10"/>
  <c r="AW104" i="10"/>
  <c r="AW103" i="10" s="1"/>
  <c r="AP118" i="10"/>
  <c r="AW1107" i="10"/>
  <c r="AJ1200" i="10"/>
  <c r="AX1200" i="10" s="1"/>
  <c r="AF102" i="10"/>
  <c r="AT103" i="10"/>
  <c r="AL16" i="10"/>
  <c r="AL15" i="10" s="1"/>
  <c r="AJ44" i="10"/>
  <c r="AI43" i="10"/>
  <c r="AU56" i="10"/>
  <c r="AJ55" i="10"/>
  <c r="AU55" i="10" s="1"/>
  <c r="AX56" i="10"/>
  <c r="AJ76" i="10"/>
  <c r="AI75" i="10"/>
  <c r="AI71" i="10" s="1"/>
  <c r="AI70" i="10" s="1"/>
  <c r="AX84" i="10"/>
  <c r="AU84" i="10"/>
  <c r="AJ18" i="10"/>
  <c r="AI17" i="10"/>
  <c r="AU20" i="10"/>
  <c r="AX20" i="10"/>
  <c r="AD16" i="10"/>
  <c r="AD15" i="10" s="1"/>
  <c r="AJ53" i="10"/>
  <c r="AI52" i="10"/>
  <c r="AU27" i="10"/>
  <c r="AJ35" i="10"/>
  <c r="AV40" i="10"/>
  <c r="AV39" i="10" s="1"/>
  <c r="AU46" i="10"/>
  <c r="AV49" i="10"/>
  <c r="AV58" i="10"/>
  <c r="AU61" i="10"/>
  <c r="AV72" i="10"/>
  <c r="AU78" i="10"/>
  <c r="AI96" i="10"/>
  <c r="AJ96" i="10" s="1"/>
  <c r="AG94" i="10"/>
  <c r="AX115" i="10"/>
  <c r="AU115" i="10"/>
  <c r="AW532" i="10"/>
  <c r="AU307" i="10"/>
  <c r="AX307" i="10"/>
  <c r="AX609" i="10"/>
  <c r="AU609" i="10"/>
  <c r="AX31" i="10"/>
  <c r="AX37" i="10"/>
  <c r="AM42" i="10"/>
  <c r="AD102" i="10"/>
  <c r="AT125" i="10"/>
  <c r="AW125" i="10" s="1"/>
  <c r="AM124" i="10"/>
  <c r="AV131" i="10"/>
  <c r="AU135" i="10"/>
  <c r="AJ134" i="10"/>
  <c r="AU134" i="10" s="1"/>
  <c r="AX135" i="10"/>
  <c r="AX137" i="10"/>
  <c r="AU137" i="10"/>
  <c r="AM139" i="10"/>
  <c r="AV140" i="10"/>
  <c r="AV139" i="10" s="1"/>
  <c r="AU140" i="10"/>
  <c r="AU139" i="10" s="1"/>
  <c r="AU148" i="10"/>
  <c r="AU143" i="10" s="1"/>
  <c r="AE149" i="10"/>
  <c r="AW178" i="10"/>
  <c r="AW177" i="10" s="1"/>
  <c r="AW176" i="10" s="1"/>
  <c r="AW175" i="10" s="1"/>
  <c r="AT177" i="10"/>
  <c r="AT176" i="10" s="1"/>
  <c r="AT175" i="10" s="1"/>
  <c r="AV181" i="10"/>
  <c r="AU186" i="10"/>
  <c r="AX186" i="10"/>
  <c r="AI246" i="10"/>
  <c r="AJ200" i="10"/>
  <c r="AX204" i="10"/>
  <c r="AU204" i="10"/>
  <c r="AU207" i="10"/>
  <c r="AX207" i="10"/>
  <c r="AX25" i="10"/>
  <c r="AP30" i="10"/>
  <c r="AM39" i="10"/>
  <c r="AX40" i="10"/>
  <c r="AM71" i="10"/>
  <c r="AX72" i="10"/>
  <c r="AU91" i="10"/>
  <c r="AX91" i="10"/>
  <c r="AU127" i="10"/>
  <c r="AJ126" i="10"/>
  <c r="AJ125" i="10" s="1"/>
  <c r="AX127" i="10"/>
  <c r="AT155" i="10"/>
  <c r="AW155" i="10" s="1"/>
  <c r="AL102" i="10"/>
  <c r="AG154" i="10"/>
  <c r="AG149" i="10" s="1"/>
  <c r="AI158" i="10"/>
  <c r="AJ158" i="10" s="1"/>
  <c r="AX641" i="10"/>
  <c r="AU641" i="10"/>
  <c r="AH17" i="10"/>
  <c r="AH16" i="10" s="1"/>
  <c r="AH15" i="10" s="1"/>
  <c r="AQ30" i="10"/>
  <c r="AI88" i="10"/>
  <c r="AJ93" i="10"/>
  <c r="AJ88" i="10" s="1"/>
  <c r="AT94" i="10"/>
  <c r="AX130" i="10"/>
  <c r="AU130" i="10"/>
  <c r="AX139" i="10"/>
  <c r="AX218" i="10"/>
  <c r="AU218" i="10"/>
  <c r="AU220" i="10"/>
  <c r="AX220" i="10"/>
  <c r="AX496" i="10"/>
  <c r="AU496" i="10"/>
  <c r="AU499" i="10"/>
  <c r="AX499" i="10"/>
  <c r="AX517" i="10"/>
  <c r="AU517" i="10"/>
  <c r="AI116" i="10"/>
  <c r="AJ116" i="10" s="1"/>
  <c r="AG104" i="10"/>
  <c r="AG103" i="10" s="1"/>
  <c r="AG102" i="10" s="1"/>
  <c r="AX148" i="10"/>
  <c r="AW246" i="10"/>
  <c r="AX228" i="10"/>
  <c r="AU228" i="10"/>
  <c r="AX232" i="10"/>
  <c r="AU232" i="10"/>
  <c r="AX422" i="10"/>
  <c r="AU422" i="10"/>
  <c r="AX440" i="10"/>
  <c r="AU440" i="10"/>
  <c r="AX455" i="10"/>
  <c r="AU455" i="10"/>
  <c r="AJ24" i="10"/>
  <c r="AU24" i="10" s="1"/>
  <c r="AV31" i="10"/>
  <c r="AQ42" i="10"/>
  <c r="AT75" i="10"/>
  <c r="AW75" i="10" s="1"/>
  <c r="AX89" i="10"/>
  <c r="AI95" i="10"/>
  <c r="AH94" i="10"/>
  <c r="AH87" i="10" s="1"/>
  <c r="AH86" i="10" s="1"/>
  <c r="AT134" i="10"/>
  <c r="AW134" i="10" s="1"/>
  <c r="AV154" i="10"/>
  <c r="AX155" i="10"/>
  <c r="AX179" i="10"/>
  <c r="AU179" i="10"/>
  <c r="AX105" i="10"/>
  <c r="AU105" i="10"/>
  <c r="AW94" i="10"/>
  <c r="AT104" i="10"/>
  <c r="AV104" i="10"/>
  <c r="AV103" i="10" s="1"/>
  <c r="AW147" i="10"/>
  <c r="AW143" i="10" s="1"/>
  <c r="AV155" i="10"/>
  <c r="AX202" i="10"/>
  <c r="AU202" i="10"/>
  <c r="AU212" i="10"/>
  <c r="AX212" i="10"/>
  <c r="AX215" i="10"/>
  <c r="AX413" i="10"/>
  <c r="AU413" i="10"/>
  <c r="AX147" i="10"/>
  <c r="AP180" i="10"/>
  <c r="AX245" i="10"/>
  <c r="AU245" i="10"/>
  <c r="AX438" i="10"/>
  <c r="AU438" i="10"/>
  <c r="AX452" i="10"/>
  <c r="AU452" i="10"/>
  <c r="AU570" i="10"/>
  <c r="AX570" i="10"/>
  <c r="AX584" i="10"/>
  <c r="AU584" i="10"/>
  <c r="AU591" i="10"/>
  <c r="AX591" i="10"/>
  <c r="AU593" i="10"/>
  <c r="AX593" i="10"/>
  <c r="AX629" i="10"/>
  <c r="AU629" i="10"/>
  <c r="AU650" i="10"/>
  <c r="AX650" i="10"/>
  <c r="AX681" i="10"/>
  <c r="AU681" i="10"/>
  <c r="AX789" i="10"/>
  <c r="AU789" i="10"/>
  <c r="AU797" i="10"/>
  <c r="AX797" i="10"/>
  <c r="AI126" i="10"/>
  <c r="AI125" i="10" s="1"/>
  <c r="AW131" i="10"/>
  <c r="AU188" i="10"/>
  <c r="AT246" i="10"/>
  <c r="AX314" i="10"/>
  <c r="AU314" i="10"/>
  <c r="AU323" i="10"/>
  <c r="AX323" i="10"/>
  <c r="AU522" i="10"/>
  <c r="AU531" i="10"/>
  <c r="AX531" i="10"/>
  <c r="AJ544" i="10"/>
  <c r="AX607" i="10"/>
  <c r="AU607" i="10"/>
  <c r="AX615" i="10"/>
  <c r="AU615" i="10"/>
  <c r="AU679" i="10"/>
  <c r="AX679" i="10"/>
  <c r="AU771" i="10"/>
  <c r="AX771" i="10"/>
  <c r="AJ187" i="10"/>
  <c r="AX431" i="10"/>
  <c r="AU431" i="10"/>
  <c r="AU434" i="10"/>
  <c r="AX434" i="10"/>
  <c r="AX441" i="10"/>
  <c r="AU441" i="10"/>
  <c r="AU443" i="10"/>
  <c r="AX443" i="10"/>
  <c r="AX456" i="10"/>
  <c r="AU456" i="10"/>
  <c r="AU459" i="10"/>
  <c r="AX459" i="10"/>
  <c r="AX484" i="10"/>
  <c r="AU484" i="10"/>
  <c r="AU555" i="10"/>
  <c r="AU558" i="10"/>
  <c r="AX558" i="10"/>
  <c r="AX567" i="10"/>
  <c r="AU567" i="10"/>
  <c r="AU621" i="10"/>
  <c r="AX621" i="10"/>
  <c r="AU669" i="10"/>
  <c r="AX669" i="10"/>
  <c r="AU970" i="10"/>
  <c r="AX970" i="10"/>
  <c r="AU217" i="10"/>
  <c r="AU233" i="10"/>
  <c r="AX233" i="10"/>
  <c r="AX406" i="10"/>
  <c r="AX414" i="10"/>
  <c r="AU414" i="10"/>
  <c r="AU416" i="10"/>
  <c r="AX420" i="10"/>
  <c r="AX424" i="10"/>
  <c r="AU424" i="10"/>
  <c r="AX439" i="10"/>
  <c r="AU439" i="10"/>
  <c r="AX454" i="10"/>
  <c r="AU454" i="10"/>
  <c r="AX509" i="10"/>
  <c r="AU509" i="10"/>
  <c r="AX574" i="10"/>
  <c r="AX582" i="10"/>
  <c r="AU582" i="10"/>
  <c r="AX586" i="10"/>
  <c r="AU586" i="10"/>
  <c r="AW829" i="10"/>
  <c r="AU752" i="10"/>
  <c r="AX752" i="10"/>
  <c r="AX929" i="10"/>
  <c r="AU929" i="10"/>
  <c r="AU960" i="10"/>
  <c r="AX960" i="10"/>
  <c r="AX411" i="10"/>
  <c r="AU411" i="10"/>
  <c r="AX421" i="10"/>
  <c r="AU421" i="10"/>
  <c r="AU572" i="10"/>
  <c r="AX572" i="10"/>
  <c r="AX606" i="10"/>
  <c r="AU606" i="10"/>
  <c r="AX608" i="10"/>
  <c r="AU608" i="10"/>
  <c r="AU655" i="10"/>
  <c r="AX655" i="10"/>
  <c r="AU657" i="10"/>
  <c r="AX657" i="10"/>
  <c r="AX695" i="10"/>
  <c r="AU695" i="10"/>
  <c r="AU697" i="10"/>
  <c r="AX697" i="10"/>
  <c r="AX924" i="10"/>
  <c r="AU924" i="10"/>
  <c r="AX1032" i="10"/>
  <c r="AU1032" i="10"/>
  <c r="AX886" i="10"/>
  <c r="AU886" i="10"/>
  <c r="AJ167" i="10"/>
  <c r="AQ172" i="10"/>
  <c r="AX222" i="10"/>
  <c r="AT532" i="10"/>
  <c r="AX261" i="10"/>
  <c r="AU261" i="10"/>
  <c r="AX312" i="10"/>
  <c r="AU312" i="10"/>
  <c r="AX316" i="10"/>
  <c r="AU316" i="10"/>
  <c r="AX487" i="10"/>
  <c r="AX520" i="10"/>
  <c r="AU520" i="10"/>
  <c r="AX545" i="10"/>
  <c r="AU545" i="10"/>
  <c r="AX554" i="10"/>
  <c r="AU554" i="10"/>
  <c r="AX628" i="10"/>
  <c r="AU628" i="10"/>
  <c r="AU630" i="10"/>
  <c r="AX630" i="10"/>
  <c r="AV532" i="10"/>
  <c r="AU321" i="10"/>
  <c r="AX415" i="10"/>
  <c r="AU415" i="10"/>
  <c r="AU417" i="10"/>
  <c r="AX417" i="10"/>
  <c r="AX508" i="10"/>
  <c r="AU508" i="10"/>
  <c r="AU525" i="10"/>
  <c r="AI563" i="10"/>
  <c r="AJ563" i="10" s="1"/>
  <c r="AX617" i="10"/>
  <c r="AU617" i="10"/>
  <c r="AU620" i="10"/>
  <c r="AX620" i="10"/>
  <c r="AU623" i="10"/>
  <c r="AX623" i="10"/>
  <c r="AX480" i="10"/>
  <c r="AX646" i="10"/>
  <c r="AU646" i="10"/>
  <c r="AX665" i="10"/>
  <c r="AU665" i="10"/>
  <c r="AU683" i="10"/>
  <c r="AX683" i="10"/>
  <c r="AV829" i="10"/>
  <c r="AX804" i="10"/>
  <c r="AU804" i="10"/>
  <c r="AU815" i="10"/>
  <c r="AU828" i="10"/>
  <c r="AX828" i="10"/>
  <c r="AX918" i="10"/>
  <c r="AU918" i="10"/>
  <c r="AH1055" i="10"/>
  <c r="AI860" i="10"/>
  <c r="AJ860" i="10" s="1"/>
  <c r="AU877" i="10"/>
  <c r="AX877" i="10"/>
  <c r="AX897" i="10"/>
  <c r="AU897" i="10"/>
  <c r="AX977" i="10"/>
  <c r="AU977" i="10"/>
  <c r="AX979" i="10"/>
  <c r="AU979" i="10"/>
  <c r="AX981" i="10"/>
  <c r="AU981" i="10"/>
  <c r="AX1238" i="10"/>
  <c r="AU1238" i="10"/>
  <c r="AX1243" i="10"/>
  <c r="AU1243" i="10"/>
  <c r="AX1261" i="10"/>
  <c r="AU1261" i="10"/>
  <c r="AX557" i="10"/>
  <c r="AX569" i="10"/>
  <c r="AX590" i="10"/>
  <c r="AX610" i="10"/>
  <c r="AX693" i="10"/>
  <c r="AU693" i="10"/>
  <c r="AX737" i="10"/>
  <c r="AU737" i="10"/>
  <c r="AX756" i="10"/>
  <c r="AX760" i="10"/>
  <c r="AU760" i="10"/>
  <c r="AX788" i="10"/>
  <c r="AU788" i="10"/>
  <c r="AX808" i="10"/>
  <c r="AU808" i="10"/>
  <c r="AU818" i="10"/>
  <c r="AX818" i="10"/>
  <c r="AV1055" i="10"/>
  <c r="AX915" i="10"/>
  <c r="AU915" i="10"/>
  <c r="AX922" i="10"/>
  <c r="AU922" i="10"/>
  <c r="AU880" i="10"/>
  <c r="AX880" i="10"/>
  <c r="AI405" i="10"/>
  <c r="AX678" i="10"/>
  <c r="AU678" i="10"/>
  <c r="AU768" i="10"/>
  <c r="AX768" i="10"/>
  <c r="AX801" i="10"/>
  <c r="AX892" i="10"/>
  <c r="AU892" i="10"/>
  <c r="AX913" i="10"/>
  <c r="AU913" i="10"/>
  <c r="AU986" i="10"/>
  <c r="AU1210" i="10"/>
  <c r="AJ1220" i="10"/>
  <c r="AX1220" i="10" s="1"/>
  <c r="AX1210" i="10"/>
  <c r="AU575" i="10"/>
  <c r="AU581" i="10"/>
  <c r="AI592" i="10"/>
  <c r="AJ592" i="10" s="1"/>
  <c r="AU599" i="10"/>
  <c r="AU613" i="10"/>
  <c r="AU632" i="10"/>
  <c r="AU699" i="10"/>
  <c r="AX699" i="10"/>
  <c r="AX791" i="10"/>
  <c r="AU791" i="10"/>
  <c r="AO829" i="10"/>
  <c r="AO191" i="10" s="1"/>
  <c r="AU875" i="10"/>
  <c r="AX875" i="10"/>
  <c r="AX973" i="10"/>
  <c r="AU973" i="10"/>
  <c r="AW544" i="10"/>
  <c r="AW729" i="10" s="1"/>
  <c r="AU656" i="10"/>
  <c r="AX656" i="10"/>
  <c r="AU659" i="10"/>
  <c r="AX659" i="10"/>
  <c r="AX680" i="10"/>
  <c r="AU680" i="10"/>
  <c r="AX692" i="10"/>
  <c r="AU692" i="10"/>
  <c r="AX774" i="10"/>
  <c r="AU774" i="10"/>
  <c r="AU822" i="10"/>
  <c r="AX822" i="10"/>
  <c r="AX917" i="10"/>
  <c r="AU917" i="10"/>
  <c r="AX920" i="10"/>
  <c r="AU920" i="10"/>
  <c r="AU879" i="10"/>
  <c r="AX879" i="10"/>
  <c r="AU888" i="10"/>
  <c r="AX962" i="10"/>
  <c r="AU962" i="10"/>
  <c r="AX978" i="10"/>
  <c r="AU978" i="10"/>
  <c r="AX980" i="10"/>
  <c r="AU980" i="10"/>
  <c r="AT1200" i="10"/>
  <c r="AW1159" i="10"/>
  <c r="AW1200" i="10" s="1"/>
  <c r="AU682" i="10"/>
  <c r="AX682" i="10"/>
  <c r="AX735" i="10"/>
  <c r="AU735" i="10"/>
  <c r="AX759" i="10"/>
  <c r="AU759" i="10"/>
  <c r="AX790" i="10"/>
  <c r="AU790" i="10"/>
  <c r="AX794" i="10"/>
  <c r="AU794" i="10"/>
  <c r="AU881" i="10"/>
  <c r="AX881" i="10"/>
  <c r="AX896" i="10"/>
  <c r="AU896" i="10"/>
  <c r="AX903" i="10"/>
  <c r="AU903" i="10"/>
  <c r="AX934" i="10"/>
  <c r="AU934" i="10"/>
  <c r="AX1097" i="10"/>
  <c r="AU1097" i="10"/>
  <c r="AX1131" i="10"/>
  <c r="AU1131" i="10"/>
  <c r="AI426" i="10"/>
  <c r="AJ426" i="10" s="1"/>
  <c r="AX688" i="10"/>
  <c r="AU700" i="10"/>
  <c r="AX700" i="10"/>
  <c r="AL829" i="10"/>
  <c r="AX741" i="10"/>
  <c r="AU741" i="10"/>
  <c r="AX748" i="10"/>
  <c r="AU748" i="10"/>
  <c r="AU765" i="10"/>
  <c r="AX765" i="10"/>
  <c r="AU873" i="10"/>
  <c r="AX873" i="10"/>
  <c r="AX1049" i="10"/>
  <c r="AU1049" i="10"/>
  <c r="AX1306" i="10"/>
  <c r="AU1306" i="10"/>
  <c r="AJ1327" i="10"/>
  <c r="AX1342" i="10"/>
  <c r="AU1342" i="10"/>
  <c r="AU633" i="10"/>
  <c r="AU644" i="10"/>
  <c r="AX968" i="10"/>
  <c r="AX1017" i="10"/>
  <c r="AT1144" i="10"/>
  <c r="AX1135" i="10"/>
  <c r="AU1135" i="10"/>
  <c r="AX1176" i="10"/>
  <c r="AU1176" i="10"/>
  <c r="AX1253" i="10"/>
  <c r="AU1253" i="10"/>
  <c r="AX1257" i="10"/>
  <c r="AU1257" i="10"/>
  <c r="AW1308" i="10"/>
  <c r="AU1319" i="10"/>
  <c r="AX1319" i="10"/>
  <c r="AX1329" i="10"/>
  <c r="AU1329" i="10"/>
  <c r="AX1355" i="10"/>
  <c r="AU1355" i="10"/>
  <c r="AX1367" i="10"/>
  <c r="AU1367" i="10"/>
  <c r="AX1379" i="10"/>
  <c r="AU1379" i="10"/>
  <c r="AX727" i="10"/>
  <c r="AX763" i="10"/>
  <c r="AU799" i="10"/>
  <c r="AX814" i="10"/>
  <c r="AX823" i="10"/>
  <c r="AX856" i="10"/>
  <c r="AU1042" i="10"/>
  <c r="AX1042" i="10"/>
  <c r="AX1088" i="10"/>
  <c r="AU1088" i="10"/>
  <c r="AX1105" i="10"/>
  <c r="AU1105" i="10"/>
  <c r="AJ1116" i="10"/>
  <c r="AI1144" i="10"/>
  <c r="AU1172" i="10"/>
  <c r="AX1212" i="10"/>
  <c r="AU1212" i="10"/>
  <c r="AX1214" i="10"/>
  <c r="AU1214" i="10"/>
  <c r="AU1331" i="10"/>
  <c r="AX1331" i="10"/>
  <c r="AX1344" i="10"/>
  <c r="AU1344" i="10"/>
  <c r="AX1357" i="10"/>
  <c r="AU1357" i="10"/>
  <c r="AX1369" i="10"/>
  <c r="AU1369" i="10"/>
  <c r="AX1382" i="10"/>
  <c r="AU1382" i="10"/>
  <c r="AT829" i="10"/>
  <c r="AL1055" i="10"/>
  <c r="AJ1075" i="10"/>
  <c r="AI1107" i="10"/>
  <c r="AU1079" i="10"/>
  <c r="AX1079" i="10"/>
  <c r="AX1095" i="10"/>
  <c r="AU1095" i="10"/>
  <c r="AX1155" i="10"/>
  <c r="AU1155" i="10"/>
  <c r="AX1165" i="10"/>
  <c r="AU1165" i="10"/>
  <c r="AU1181" i="10"/>
  <c r="AW1220" i="10"/>
  <c r="AU1216" i="10"/>
  <c r="AX1240" i="10"/>
  <c r="AU1240" i="10"/>
  <c r="AX1273" i="10"/>
  <c r="AU1273" i="10"/>
  <c r="AU1348" i="10"/>
  <c r="AU1359" i="10"/>
  <c r="AU1373" i="10"/>
  <c r="AU1385" i="10"/>
  <c r="AX1401" i="10"/>
  <c r="AU1401" i="10"/>
  <c r="AU664" i="10"/>
  <c r="AU677" i="10"/>
  <c r="AU800" i="10"/>
  <c r="AI843" i="10"/>
  <c r="AJ843" i="10" s="1"/>
  <c r="AX1048" i="10"/>
  <c r="AU1048" i="10"/>
  <c r="AV1144" i="10"/>
  <c r="AX1133" i="10"/>
  <c r="AU1133" i="10"/>
  <c r="AX1142" i="10"/>
  <c r="AU1142" i="10"/>
  <c r="AI1200" i="10"/>
  <c r="AX1157" i="10"/>
  <c r="AU1157" i="10"/>
  <c r="AX1168" i="10"/>
  <c r="AU1168" i="10"/>
  <c r="AX1244" i="10"/>
  <c r="AU1244" i="10"/>
  <c r="AX1255" i="10"/>
  <c r="AU1255" i="10"/>
  <c r="AU1322" i="10"/>
  <c r="AX1322" i="10"/>
  <c r="AX1341" i="10"/>
  <c r="AU1341" i="10"/>
  <c r="AU1001" i="10"/>
  <c r="AX1001" i="10"/>
  <c r="AX1100" i="10"/>
  <c r="AU1100" i="10"/>
  <c r="AU1117" i="10"/>
  <c r="AX1117" i="10"/>
  <c r="AX1198" i="10"/>
  <c r="AU1198" i="10"/>
  <c r="AX1213" i="10"/>
  <c r="AU1213" i="10"/>
  <c r="AX1259" i="10"/>
  <c r="AU1259" i="10"/>
  <c r="AX1287" i="10"/>
  <c r="AU1287" i="10"/>
  <c r="AX1326" i="10"/>
  <c r="AU1326" i="10"/>
  <c r="AX1328" i="10"/>
  <c r="AU1328" i="10"/>
  <c r="AX1343" i="10"/>
  <c r="AU1343" i="10"/>
  <c r="AU1350" i="10"/>
  <c r="AX1350" i="10"/>
  <c r="AX1356" i="10"/>
  <c r="AU1356" i="10"/>
  <c r="AU1362" i="10"/>
  <c r="AX1362" i="10"/>
  <c r="AX1368" i="10"/>
  <c r="AU1368" i="10"/>
  <c r="AU1374" i="10"/>
  <c r="AX1374" i="10"/>
  <c r="AX1381" i="10"/>
  <c r="AU1381" i="10"/>
  <c r="AU1387" i="10"/>
  <c r="AX1387" i="10"/>
  <c r="AI796" i="10"/>
  <c r="AJ796" i="10" s="1"/>
  <c r="AJ841" i="10"/>
  <c r="AU1038" i="10"/>
  <c r="AX1038" i="10"/>
  <c r="AX1086" i="10"/>
  <c r="AU1086" i="10"/>
  <c r="AX1215" i="10"/>
  <c r="AU1215" i="10"/>
  <c r="AV1263" i="10"/>
  <c r="AI1276" i="10"/>
  <c r="AJ1274" i="10"/>
  <c r="AJ1276" i="10" s="1"/>
  <c r="AU1335" i="10"/>
  <c r="AX1335" i="10"/>
  <c r="AX1347" i="10"/>
  <c r="AU1347" i="10"/>
  <c r="AX1358" i="10"/>
  <c r="AU1358" i="10"/>
  <c r="AX1372" i="10"/>
  <c r="AU1372" i="10"/>
  <c r="AX1383" i="10"/>
  <c r="AU1383" i="10"/>
  <c r="AX1399" i="10"/>
  <c r="AU1406" i="10"/>
  <c r="AU1077" i="10"/>
  <c r="AX1077" i="10"/>
  <c r="AX1092" i="10"/>
  <c r="AU1092" i="10"/>
  <c r="AX1156" i="10"/>
  <c r="AU1156" i="10"/>
  <c r="AX1167" i="10"/>
  <c r="AU1167" i="10"/>
  <c r="AX1170" i="10"/>
  <c r="AU1170" i="10"/>
  <c r="AW1263" i="10"/>
  <c r="AU1249" i="10"/>
  <c r="AX1249" i="10"/>
  <c r="AV1409" i="10"/>
  <c r="AX1400" i="10"/>
  <c r="AU1400" i="10"/>
  <c r="AG1107" i="10"/>
  <c r="AH1144" i="10"/>
  <c r="AI1220" i="10"/>
  <c r="AX1351" i="10"/>
  <c r="AX1363" i="10"/>
  <c r="AX1375" i="10"/>
  <c r="AX1397" i="10"/>
  <c r="AH1107" i="10"/>
  <c r="AX1161" i="10"/>
  <c r="AX1248" i="10"/>
  <c r="AW1318" i="10"/>
  <c r="AW1409" i="10" s="1"/>
  <c r="AX1407" i="10"/>
  <c r="AG1293" i="10"/>
  <c r="AU1291" i="10"/>
  <c r="AR130" i="9"/>
  <c r="AR129" i="9"/>
  <c r="AR128" i="9"/>
  <c r="AR127" i="9"/>
  <c r="AR122" i="9"/>
  <c r="AR121" i="9"/>
  <c r="AR116" i="9"/>
  <c r="AR115" i="9"/>
  <c r="AR114" i="9"/>
  <c r="AR113" i="9"/>
  <c r="AR112" i="9"/>
  <c r="AR111" i="9"/>
  <c r="AR110" i="9"/>
  <c r="AR109" i="9"/>
  <c r="AR108" i="9"/>
  <c r="AR107" i="9"/>
  <c r="AR106" i="9"/>
  <c r="AR105" i="9"/>
  <c r="AJ1285" i="10" l="1"/>
  <c r="AG101" i="10"/>
  <c r="AH42" i="10"/>
  <c r="AU885" i="10"/>
  <c r="AU98" i="10"/>
  <c r="AG87" i="10"/>
  <c r="AG86" i="10" s="1"/>
  <c r="AF14" i="10"/>
  <c r="AF13" i="10" s="1"/>
  <c r="AT180" i="10"/>
  <c r="AW180" i="10" s="1"/>
  <c r="AI124" i="10"/>
  <c r="AI123" i="10" s="1"/>
  <c r="AD101" i="10"/>
  <c r="AL101" i="10"/>
  <c r="AE14" i="10"/>
  <c r="AE13" i="10" s="1"/>
  <c r="AF101" i="10"/>
  <c r="AO101" i="10"/>
  <c r="AT42" i="10"/>
  <c r="AE191" i="10"/>
  <c r="AE101" i="10"/>
  <c r="AJ58" i="10"/>
  <c r="AX58" i="10" s="1"/>
  <c r="AI1409" i="10"/>
  <c r="AX59" i="10"/>
  <c r="AG14" i="10"/>
  <c r="AG13" i="10" s="1"/>
  <c r="AX1389" i="10"/>
  <c r="AK14" i="10"/>
  <c r="AK13" i="10" s="1"/>
  <c r="AM149" i="10"/>
  <c r="AV30" i="10"/>
  <c r="AV16" i="10" s="1"/>
  <c r="AV15" i="10" s="1"/>
  <c r="AI16" i="10"/>
  <c r="AI15" i="10" s="1"/>
  <c r="AT166" i="10"/>
  <c r="AU119" i="10"/>
  <c r="AT191" i="10"/>
  <c r="AM118" i="10"/>
  <c r="AU118" i="10" s="1"/>
  <c r="AU117" i="10" s="1"/>
  <c r="AK101" i="10"/>
  <c r="AU787" i="10"/>
  <c r="AJ1308" i="10"/>
  <c r="AX1308" i="10" s="1"/>
  <c r="AJ829" i="10"/>
  <c r="AX829" i="10" s="1"/>
  <c r="AU1305" i="10"/>
  <c r="AU1308" i="10" s="1"/>
  <c r="AT71" i="10"/>
  <c r="AT70" i="10" s="1"/>
  <c r="AV180" i="10"/>
  <c r="AR14" i="10"/>
  <c r="AR13" i="10" s="1"/>
  <c r="AF12" i="10"/>
  <c r="AF11" i="10" s="1"/>
  <c r="AS14" i="10"/>
  <c r="AS13" i="10" s="1"/>
  <c r="AV149" i="10"/>
  <c r="AJ729" i="10"/>
  <c r="AX729" i="10" s="1"/>
  <c r="AI729" i="10"/>
  <c r="AI1055" i="10"/>
  <c r="AW42" i="10"/>
  <c r="AG191" i="10"/>
  <c r="AH14" i="10"/>
  <c r="AH13" i="10" s="1"/>
  <c r="AH12" i="10" s="1"/>
  <c r="AD14" i="10"/>
  <c r="AD13" i="10" s="1"/>
  <c r="AX134" i="10"/>
  <c r="AU159" i="10"/>
  <c r="AI42" i="10"/>
  <c r="AU1237" i="10"/>
  <c r="AU1263" i="10" s="1"/>
  <c r="AX1237" i="10"/>
  <c r="AQ117" i="10"/>
  <c r="AT117" i="10" s="1"/>
  <c r="AW118" i="10"/>
  <c r="AW117" i="10" s="1"/>
  <c r="AW102" i="10" s="1"/>
  <c r="AV87" i="10"/>
  <c r="AV86" i="10" s="1"/>
  <c r="AT149" i="10"/>
  <c r="AW149" i="10"/>
  <c r="AP175" i="10"/>
  <c r="AX175" i="10" s="1"/>
  <c r="AR102" i="10"/>
  <c r="AR101" i="10" s="1"/>
  <c r="AS164" i="10"/>
  <c r="AS163" i="10" s="1"/>
  <c r="AS101" i="10"/>
  <c r="AT123" i="10"/>
  <c r="AT124" i="10"/>
  <c r="AW124" i="10" s="1"/>
  <c r="AW123" i="10" s="1"/>
  <c r="AW87" i="10"/>
  <c r="AW86" i="10" s="1"/>
  <c r="AQ86" i="10"/>
  <c r="AT86" i="10" s="1"/>
  <c r="AT87" i="10"/>
  <c r="AO14" i="10"/>
  <c r="AO13" i="10" s="1"/>
  <c r="AV42" i="10"/>
  <c r="AL14" i="10"/>
  <c r="AL13" i="10" s="1"/>
  <c r="AL12" i="10" s="1"/>
  <c r="AN14" i="10"/>
  <c r="AN13" i="10" s="1"/>
  <c r="AN12" i="10" s="1"/>
  <c r="AN11" i="10" s="1"/>
  <c r="AM15" i="10"/>
  <c r="AV172" i="10"/>
  <c r="AM171" i="10"/>
  <c r="AX118" i="10"/>
  <c r="AP117" i="10"/>
  <c r="AV191" i="10"/>
  <c r="AX172" i="10"/>
  <c r="AP171" i="10"/>
  <c r="AW167" i="10"/>
  <c r="AI829" i="10"/>
  <c r="AG12" i="10"/>
  <c r="AV167" i="10"/>
  <c r="AP166" i="10"/>
  <c r="AU1200" i="10"/>
  <c r="AX426" i="10"/>
  <c r="AU426" i="10"/>
  <c r="AU76" i="10"/>
  <c r="AJ75" i="10"/>
  <c r="AX76" i="10"/>
  <c r="AU843" i="10"/>
  <c r="AX843" i="10"/>
  <c r="AJ405" i="10"/>
  <c r="AI532" i="10"/>
  <c r="AU93" i="10"/>
  <c r="AU88" i="10" s="1"/>
  <c r="AX96" i="10"/>
  <c r="AU96" i="10"/>
  <c r="AX55" i="10"/>
  <c r="AU116" i="10"/>
  <c r="AU104" i="10" s="1"/>
  <c r="AU103" i="10" s="1"/>
  <c r="AX116" i="10"/>
  <c r="AX35" i="10"/>
  <c r="AU35" i="10"/>
  <c r="AJ34" i="10"/>
  <c r="AU1116" i="10"/>
  <c r="AU1144" i="10" s="1"/>
  <c r="AJ1144" i="10"/>
  <c r="AX1144" i="10" s="1"/>
  <c r="AX1116" i="10"/>
  <c r="AJ1055" i="10"/>
  <c r="AX1055" i="10" s="1"/>
  <c r="AU841" i="10"/>
  <c r="AU187" i="10"/>
  <c r="AU181" i="10" s="1"/>
  <c r="AJ181" i="10"/>
  <c r="AX187" i="10"/>
  <c r="AT165" i="10"/>
  <c r="AT30" i="10"/>
  <c r="AW30" i="10" s="1"/>
  <c r="AW16" i="10" s="1"/>
  <c r="AW15" i="10" s="1"/>
  <c r="AQ16" i="10"/>
  <c r="AI154" i="10"/>
  <c r="AX24" i="10"/>
  <c r="AX796" i="10"/>
  <c r="AU796" i="10"/>
  <c r="AJ1293" i="10"/>
  <c r="AX1293" i="10" s="1"/>
  <c r="AX1285" i="10"/>
  <c r="AU1285" i="10"/>
  <c r="AU1293" i="10" s="1"/>
  <c r="AL191" i="10"/>
  <c r="AU1220" i="10"/>
  <c r="AX860" i="10"/>
  <c r="AU860" i="10"/>
  <c r="AI104" i="10"/>
  <c r="AI103" i="10" s="1"/>
  <c r="AI102" i="10" s="1"/>
  <c r="AX88" i="10"/>
  <c r="AX563" i="10"/>
  <c r="AU563" i="10"/>
  <c r="AT172" i="10"/>
  <c r="AW172" i="10" s="1"/>
  <c r="AQ171" i="10"/>
  <c r="AU125" i="10"/>
  <c r="AJ124" i="10"/>
  <c r="AM70" i="10"/>
  <c r="AV71" i="10"/>
  <c r="AV70" i="10" s="1"/>
  <c r="AP16" i="10"/>
  <c r="AU1075" i="10"/>
  <c r="AU1107" i="10" s="1"/>
  <c r="AJ1107" i="10"/>
  <c r="AX1107" i="10" s="1"/>
  <c r="AX1075" i="10"/>
  <c r="AX1327" i="10"/>
  <c r="AU1327" i="10"/>
  <c r="AU1409" i="10" s="1"/>
  <c r="AU592" i="10"/>
  <c r="AX592" i="10"/>
  <c r="AU167" i="10"/>
  <c r="AJ166" i="10"/>
  <c r="AX544" i="10"/>
  <c r="AU544" i="10"/>
  <c r="AJ104" i="10"/>
  <c r="AX126" i="10"/>
  <c r="AU126" i="10"/>
  <c r="AU44" i="10"/>
  <c r="AJ43" i="10"/>
  <c r="AX44" i="10"/>
  <c r="AH191" i="10"/>
  <c r="AW191" i="10"/>
  <c r="AU53" i="10"/>
  <c r="AJ52" i="10"/>
  <c r="AX53" i="10"/>
  <c r="AX1274" i="10"/>
  <c r="AX1276" i="10" s="1"/>
  <c r="AU1274" i="10"/>
  <c r="AU1276" i="10" s="1"/>
  <c r="AJ1409" i="10"/>
  <c r="AX1409" i="10" s="1"/>
  <c r="AX125" i="10"/>
  <c r="AJ95" i="10"/>
  <c r="AI94" i="10"/>
  <c r="AI87" i="10" s="1"/>
  <c r="AI86" i="10" s="1"/>
  <c r="AX158" i="10"/>
  <c r="AU158" i="10"/>
  <c r="AJ246" i="10"/>
  <c r="AX200" i="10"/>
  <c r="AU200" i="10"/>
  <c r="AU246" i="10" s="1"/>
  <c r="AX167" i="10"/>
  <c r="AM123" i="10"/>
  <c r="AV124" i="10"/>
  <c r="AV123" i="10" s="1"/>
  <c r="AJ17" i="10"/>
  <c r="AU18" i="10"/>
  <c r="AU17" i="10" s="1"/>
  <c r="AX18" i="10"/>
  <c r="AR774" i="9"/>
  <c r="AR773" i="9"/>
  <c r="AR772" i="9"/>
  <c r="AR771" i="9"/>
  <c r="AR770" i="9"/>
  <c r="AR769" i="9"/>
  <c r="AR768" i="9"/>
  <c r="AO773" i="9"/>
  <c r="AO772" i="9"/>
  <c r="AO771" i="9"/>
  <c r="AO770" i="9"/>
  <c r="AO769" i="9"/>
  <c r="AO768" i="9"/>
  <c r="AO781" i="9"/>
  <c r="AO780" i="9"/>
  <c r="AO789" i="9"/>
  <c r="AO787" i="9"/>
  <c r="AO786" i="9"/>
  <c r="AO792" i="9"/>
  <c r="AO795" i="9"/>
  <c r="AL1096" i="9"/>
  <c r="AL1094" i="9"/>
  <c r="AL1090" i="9"/>
  <c r="AL1012" i="9"/>
  <c r="AL1023" i="9"/>
  <c r="AL1019" i="9"/>
  <c r="AL1018" i="9"/>
  <c r="AL1017" i="9"/>
  <c r="AL955" i="9"/>
  <c r="AL954" i="9"/>
  <c r="AL953" i="9"/>
  <c r="AL952" i="9"/>
  <c r="AL951" i="9"/>
  <c r="AL949" i="9"/>
  <c r="AL948" i="9"/>
  <c r="AL938" i="9"/>
  <c r="AL905" i="9"/>
  <c r="AL873" i="9"/>
  <c r="AL868" i="9"/>
  <c r="AL864" i="9"/>
  <c r="AL862" i="9"/>
  <c r="AL860" i="9"/>
  <c r="AL858" i="9"/>
  <c r="AL856" i="9"/>
  <c r="AL854" i="9"/>
  <c r="AL837" i="9"/>
  <c r="AL831" i="9"/>
  <c r="AL827" i="9"/>
  <c r="AL826" i="9"/>
  <c r="AL743" i="9"/>
  <c r="AL800" i="9"/>
  <c r="AL795" i="9"/>
  <c r="AL794" i="9"/>
  <c r="AL792" i="9"/>
  <c r="AL789" i="9"/>
  <c r="AL787" i="9"/>
  <c r="AL786" i="9"/>
  <c r="AL780" i="9"/>
  <c r="AL778" i="9"/>
  <c r="AL777" i="9"/>
  <c r="AL776" i="9"/>
  <c r="AL774" i="9"/>
  <c r="AL773" i="9"/>
  <c r="AL772" i="9"/>
  <c r="AL771" i="9"/>
  <c r="AL770" i="9"/>
  <c r="AL769" i="9"/>
  <c r="AL768" i="9"/>
  <c r="AL766" i="9"/>
  <c r="AL765" i="9"/>
  <c r="AL763" i="9"/>
  <c r="AL762" i="9"/>
  <c r="AL761" i="9"/>
  <c r="AL760" i="9"/>
  <c r="AL759" i="9"/>
  <c r="AL757" i="9"/>
  <c r="AL735" i="9"/>
  <c r="AL734" i="9"/>
  <c r="AL733" i="9"/>
  <c r="AL732" i="9"/>
  <c r="AL731" i="9"/>
  <c r="AL723" i="9"/>
  <c r="AL712" i="9"/>
  <c r="AX1248" i="9"/>
  <c r="AW1248" i="9"/>
  <c r="AV1248" i="9"/>
  <c r="AU1248" i="9"/>
  <c r="AI1248" i="9"/>
  <c r="AJ1248" i="9" s="1"/>
  <c r="AX1118" i="9"/>
  <c r="AV1118" i="9"/>
  <c r="AU1118" i="9"/>
  <c r="AT1118" i="9"/>
  <c r="AW1118" i="9" s="1"/>
  <c r="AX1101" i="9"/>
  <c r="AV1101" i="9"/>
  <c r="AU1101" i="9"/>
  <c r="AT1101" i="9"/>
  <c r="AW1101" i="9" s="1"/>
  <c r="AX1099" i="9"/>
  <c r="AV1099" i="9"/>
  <c r="AU1099" i="9"/>
  <c r="AT1099" i="9"/>
  <c r="AW1099" i="9" s="1"/>
  <c r="AG869" i="9"/>
  <c r="AV869" i="9"/>
  <c r="AU869" i="9"/>
  <c r="AT869" i="9"/>
  <c r="AW869" i="9" s="1"/>
  <c r="AI869" i="9"/>
  <c r="AJ869" i="9" s="1"/>
  <c r="AX869" i="9" s="1"/>
  <c r="AG868" i="9"/>
  <c r="AG870" i="9"/>
  <c r="AH949" i="9"/>
  <c r="AV882" i="9"/>
  <c r="AT882" i="9"/>
  <c r="AW882" i="9" s="1"/>
  <c r="AV880" i="9"/>
  <c r="AU880" i="9"/>
  <c r="AT880" i="9"/>
  <c r="AW880" i="9" s="1"/>
  <c r="AV824" i="9"/>
  <c r="AT824" i="9"/>
  <c r="AW824" i="9" s="1"/>
  <c r="AV746" i="9"/>
  <c r="AT746" i="9"/>
  <c r="AW746" i="9" s="1"/>
  <c r="AV740" i="9"/>
  <c r="AT740" i="9"/>
  <c r="AW740" i="9" s="1"/>
  <c r="AV738" i="9"/>
  <c r="AT738" i="9"/>
  <c r="AW738" i="9" s="1"/>
  <c r="AV737" i="9"/>
  <c r="AT737" i="9"/>
  <c r="AW737" i="9" s="1"/>
  <c r="AV735" i="9"/>
  <c r="AT735" i="9"/>
  <c r="AW735" i="9" s="1"/>
  <c r="AV718" i="9"/>
  <c r="AT718" i="9"/>
  <c r="AW718" i="9" s="1"/>
  <c r="AV716" i="9"/>
  <c r="AT716" i="9"/>
  <c r="AW716" i="9" s="1"/>
  <c r="AV714" i="9"/>
  <c r="AT714" i="9"/>
  <c r="AW714" i="9" s="1"/>
  <c r="AH668" i="9"/>
  <c r="AX532" i="9"/>
  <c r="AV532" i="9"/>
  <c r="AT532" i="9"/>
  <c r="AW532" i="9" s="1"/>
  <c r="AI615" i="9"/>
  <c r="AH1043" i="9"/>
  <c r="AG1063" i="9"/>
  <c r="AI845" i="9"/>
  <c r="AJ845" i="9" s="1"/>
  <c r="AG936" i="9"/>
  <c r="AI880" i="9"/>
  <c r="AJ880" i="9" s="1"/>
  <c r="AX880" i="9" s="1"/>
  <c r="AI824" i="9"/>
  <c r="AJ824" i="9" s="1"/>
  <c r="AX824" i="9" s="1"/>
  <c r="AI532" i="9"/>
  <c r="AJ532" i="9" s="1"/>
  <c r="AU532" i="9" s="1"/>
  <c r="AI531" i="9"/>
  <c r="AJ531" i="9" s="1"/>
  <c r="AX577" i="9"/>
  <c r="AV577" i="9"/>
  <c r="AT577" i="9"/>
  <c r="AW577" i="9" s="1"/>
  <c r="AI577" i="9"/>
  <c r="AJ577" i="9" s="1"/>
  <c r="AU577" i="9" s="1"/>
  <c r="AV566" i="9"/>
  <c r="AT566" i="9"/>
  <c r="AW566" i="9" s="1"/>
  <c r="AV559" i="9"/>
  <c r="AT559" i="9"/>
  <c r="AW559" i="9" s="1"/>
  <c r="AV546" i="9"/>
  <c r="AT546" i="9"/>
  <c r="AW546" i="9" s="1"/>
  <c r="AW545" i="9"/>
  <c r="AV545" i="9"/>
  <c r="AT545" i="9"/>
  <c r="AV542" i="9"/>
  <c r="AT542" i="9"/>
  <c r="AW542" i="9" s="1"/>
  <c r="AI540" i="9"/>
  <c r="AJ540" i="9" s="1"/>
  <c r="AK12" i="10" l="1"/>
  <c r="AK11" i="10" s="1"/>
  <c r="AO12" i="10"/>
  <c r="AO11" i="10" s="1"/>
  <c r="AI101" i="10"/>
  <c r="AD12" i="10"/>
  <c r="AD11" i="10" s="1"/>
  <c r="AE12" i="10"/>
  <c r="AE11" i="10" s="1"/>
  <c r="AI14" i="10"/>
  <c r="AI13" i="10" s="1"/>
  <c r="AU58" i="10"/>
  <c r="AU829" i="10"/>
  <c r="AM117" i="10"/>
  <c r="AM102" i="10" s="1"/>
  <c r="AM101" i="10" s="1"/>
  <c r="AV118" i="10"/>
  <c r="AV117" i="10" s="1"/>
  <c r="AV102" i="10" s="1"/>
  <c r="AV101" i="10" s="1"/>
  <c r="AR12" i="10"/>
  <c r="AR11" i="10" s="1"/>
  <c r="AS12" i="10"/>
  <c r="AS11" i="10" s="1"/>
  <c r="AU102" i="10"/>
  <c r="AW71" i="10"/>
  <c r="AW70" i="10" s="1"/>
  <c r="AW14" i="10" s="1"/>
  <c r="AW13" i="10" s="1"/>
  <c r="AU729" i="10"/>
  <c r="AG11" i="10"/>
  <c r="AQ102" i="10"/>
  <c r="AW101" i="10"/>
  <c r="AV14" i="10"/>
  <c r="AV13" i="10" s="1"/>
  <c r="AM14" i="10"/>
  <c r="AM13" i="10" s="1"/>
  <c r="AX171" i="10"/>
  <c r="AP170" i="10"/>
  <c r="AX170" i="10" s="1"/>
  <c r="AX117" i="10"/>
  <c r="AP102" i="10"/>
  <c r="AP101" i="10" s="1"/>
  <c r="AP165" i="10"/>
  <c r="AV166" i="10"/>
  <c r="AV165" i="10" s="1"/>
  <c r="AW166" i="10"/>
  <c r="AW165" i="10" s="1"/>
  <c r="AV171" i="10"/>
  <c r="AV170" i="10" s="1"/>
  <c r="AM170" i="10"/>
  <c r="AM164" i="10" s="1"/>
  <c r="AM163" i="10" s="1"/>
  <c r="AU171" i="10"/>
  <c r="AU170" i="10" s="1"/>
  <c r="AI191" i="10"/>
  <c r="AH11" i="10"/>
  <c r="AJ94" i="10"/>
  <c r="AX95" i="10"/>
  <c r="AU95" i="10"/>
  <c r="AU94" i="10" s="1"/>
  <c r="AU87" i="10" s="1"/>
  <c r="AU86" i="10" s="1"/>
  <c r="AU52" i="10"/>
  <c r="AX52" i="10"/>
  <c r="AJ180" i="10"/>
  <c r="AX181" i="10"/>
  <c r="AU405" i="10"/>
  <c r="AU532" i="10" s="1"/>
  <c r="AX405" i="10"/>
  <c r="AJ532" i="10"/>
  <c r="AX532" i="10" s="1"/>
  <c r="AJ103" i="10"/>
  <c r="AX104" i="10"/>
  <c r="AP15" i="10"/>
  <c r="AI149" i="10"/>
  <c r="AI12" i="10" s="1"/>
  <c r="AJ154" i="10"/>
  <c r="AL11" i="10"/>
  <c r="AT171" i="10"/>
  <c r="AQ170" i="10"/>
  <c r="AQ164" i="10" s="1"/>
  <c r="AQ163" i="10" s="1"/>
  <c r="AT163" i="10" s="1"/>
  <c r="AT16" i="10"/>
  <c r="AQ15" i="10"/>
  <c r="AU1055" i="10"/>
  <c r="AX246" i="10"/>
  <c r="AJ30" i="10"/>
  <c r="AU34" i="10"/>
  <c r="AX34" i="10"/>
  <c r="AU43" i="10"/>
  <c r="AJ42" i="10"/>
  <c r="AX42" i="10" s="1"/>
  <c r="AX43" i="10"/>
  <c r="AU75" i="10"/>
  <c r="AJ71" i="10"/>
  <c r="AX75" i="10"/>
  <c r="AX17" i="10"/>
  <c r="AU166" i="10"/>
  <c r="AU165" i="10" s="1"/>
  <c r="AJ165" i="10"/>
  <c r="AX166" i="10"/>
  <c r="AU124" i="10"/>
  <c r="AU123" i="10" s="1"/>
  <c r="AJ123" i="10"/>
  <c r="AX123" i="10" s="1"/>
  <c r="AX124" i="10"/>
  <c r="AU824" i="9"/>
  <c r="AV467" i="9"/>
  <c r="AT467" i="9"/>
  <c r="AW467" i="9" s="1"/>
  <c r="AI445" i="9"/>
  <c r="AJ445" i="9" s="1"/>
  <c r="AT419" i="9"/>
  <c r="AW419" i="9" s="1"/>
  <c r="AV419" i="9"/>
  <c r="AT418" i="9"/>
  <c r="AW418" i="9" s="1"/>
  <c r="AV418" i="9"/>
  <c r="AV147" i="9"/>
  <c r="AT147" i="9"/>
  <c r="AW147" i="9" s="1"/>
  <c r="AI99" i="9"/>
  <c r="AJ99" i="9" s="1"/>
  <c r="AG98" i="9"/>
  <c r="AG158" i="9"/>
  <c r="AI1101" i="9"/>
  <c r="AJ1101" i="9" s="1"/>
  <c r="AH1083" i="9"/>
  <c r="AH44" i="9"/>
  <c r="AH76" i="9"/>
  <c r="AI59" i="9"/>
  <c r="AJ59" i="9" s="1"/>
  <c r="AH53" i="9"/>
  <c r="AH18" i="9"/>
  <c r="AH127" i="9"/>
  <c r="AH98" i="9"/>
  <c r="AS1162" i="9"/>
  <c r="AR1162" i="9"/>
  <c r="AQ1162" i="9"/>
  <c r="AP1162" i="9"/>
  <c r="AO1162" i="9"/>
  <c r="AN1162" i="9"/>
  <c r="AM1162" i="9"/>
  <c r="AL1162" i="9"/>
  <c r="AK1162" i="9"/>
  <c r="AH1162" i="9"/>
  <c r="AG1162" i="9"/>
  <c r="AF1162" i="9"/>
  <c r="AE1162" i="9"/>
  <c r="AD1162" i="9"/>
  <c r="AS143" i="9"/>
  <c r="AR143" i="9"/>
  <c r="AQ143" i="9"/>
  <c r="AP143" i="9"/>
  <c r="AO143" i="9"/>
  <c r="AN143" i="9"/>
  <c r="AM143" i="9"/>
  <c r="AL143" i="9"/>
  <c r="AK143" i="9"/>
  <c r="AH143" i="9"/>
  <c r="AG143" i="9"/>
  <c r="AF143" i="9"/>
  <c r="AE143" i="9"/>
  <c r="AS1250" i="9"/>
  <c r="AR1250" i="9"/>
  <c r="AQ1250" i="9"/>
  <c r="AP1250" i="9"/>
  <c r="AO1250" i="9"/>
  <c r="AN1250" i="9"/>
  <c r="AM1250" i="9"/>
  <c r="AL1250" i="9"/>
  <c r="AK1250" i="9"/>
  <c r="AF1250" i="9"/>
  <c r="AE1250" i="9"/>
  <c r="AD1250" i="9"/>
  <c r="AG1346" i="9"/>
  <c r="AI1118" i="9"/>
  <c r="AJ1118" i="9" s="1"/>
  <c r="AI1099" i="9"/>
  <c r="AJ1099" i="9" s="1"/>
  <c r="AI746" i="9"/>
  <c r="AJ746" i="9" s="1"/>
  <c r="AI716" i="9"/>
  <c r="AJ716" i="9" s="1"/>
  <c r="AI735" i="9"/>
  <c r="AJ735" i="9" s="1"/>
  <c r="AI740" i="9"/>
  <c r="AJ740" i="9" s="1"/>
  <c r="AI738" i="9"/>
  <c r="AJ738" i="9" s="1"/>
  <c r="AI737" i="9"/>
  <c r="AJ737" i="9" s="1"/>
  <c r="AU101" i="10" l="1"/>
  <c r="AM12" i="10"/>
  <c r="AG10" i="10"/>
  <c r="AW12" i="10"/>
  <c r="AT102" i="10"/>
  <c r="AQ101" i="10"/>
  <c r="AT101" i="10" s="1"/>
  <c r="AV12" i="10"/>
  <c r="AI11" i="10"/>
  <c r="AP164" i="10"/>
  <c r="AP163" i="10" s="1"/>
  <c r="AJ191" i="10"/>
  <c r="AX191" i="10" s="1"/>
  <c r="AU191" i="10"/>
  <c r="AV164" i="10"/>
  <c r="AV163" i="10" s="1"/>
  <c r="AU42" i="10"/>
  <c r="AM11" i="10"/>
  <c r="AU180" i="10"/>
  <c r="AU164" i="10" s="1"/>
  <c r="AU163" i="10" s="1"/>
  <c r="AX180" i="10"/>
  <c r="AU30" i="10"/>
  <c r="AU16" i="10" s="1"/>
  <c r="AU15" i="10" s="1"/>
  <c r="AX30" i="10"/>
  <c r="AT15" i="10"/>
  <c r="AQ14" i="10"/>
  <c r="AU71" i="10"/>
  <c r="AU70" i="10" s="1"/>
  <c r="AJ70" i="10"/>
  <c r="AX70" i="10" s="1"/>
  <c r="AX71" i="10"/>
  <c r="AJ149" i="10"/>
  <c r="AX149" i="10" s="1"/>
  <c r="AU154" i="10"/>
  <c r="AU149" i="10" s="1"/>
  <c r="AX154" i="10"/>
  <c r="AJ16" i="10"/>
  <c r="AJ102" i="10"/>
  <c r="AX103" i="10"/>
  <c r="AJ164" i="10"/>
  <c r="AX165" i="10"/>
  <c r="AT170" i="10"/>
  <c r="AT164" i="10" s="1"/>
  <c r="AW171" i="10"/>
  <c r="AW170" i="10" s="1"/>
  <c r="AW164" i="10" s="1"/>
  <c r="AW163" i="10" s="1"/>
  <c r="AP14" i="10"/>
  <c r="AX94" i="10"/>
  <c r="AJ87" i="10"/>
  <c r="AX735" i="9"/>
  <c r="AU735" i="9"/>
  <c r="AX716" i="9"/>
  <c r="AU716" i="9"/>
  <c r="AU746" i="9"/>
  <c r="AX746" i="9"/>
  <c r="AX740" i="9"/>
  <c r="AU740" i="9"/>
  <c r="AU737" i="9"/>
  <c r="AX737" i="9"/>
  <c r="AX738" i="9"/>
  <c r="AU738" i="9"/>
  <c r="AI718" i="9"/>
  <c r="AJ718" i="9" s="1"/>
  <c r="AI714" i="9"/>
  <c r="AJ714" i="9" s="1"/>
  <c r="AI467" i="9"/>
  <c r="AJ467" i="9" s="1"/>
  <c r="AU467" i="9" s="1"/>
  <c r="AI419" i="9"/>
  <c r="AJ419" i="9" s="1"/>
  <c r="AI418" i="9"/>
  <c r="AJ418" i="9" s="1"/>
  <c r="AI882" i="9"/>
  <c r="AJ882" i="9" s="1"/>
  <c r="AI542" i="9"/>
  <c r="AJ542" i="9" s="1"/>
  <c r="AI566" i="9"/>
  <c r="AJ566" i="9" s="1"/>
  <c r="AG648" i="9"/>
  <c r="AI546" i="9"/>
  <c r="AJ546" i="9" s="1"/>
  <c r="AI545" i="9"/>
  <c r="AJ545" i="9" s="1"/>
  <c r="AI559" i="9"/>
  <c r="AJ559" i="9" s="1"/>
  <c r="AG557" i="9"/>
  <c r="AI147" i="9"/>
  <c r="AJ147" i="9" s="1"/>
  <c r="AH849" i="9"/>
  <c r="AH635" i="9"/>
  <c r="AH576" i="9"/>
  <c r="AW11" i="10" l="1"/>
  <c r="AV11" i="10"/>
  <c r="AJ15" i="10"/>
  <c r="AX16" i="10"/>
  <c r="AQ13" i="10"/>
  <c r="AT14" i="10"/>
  <c r="AP13" i="10"/>
  <c r="AU14" i="10"/>
  <c r="AU13" i="10" s="1"/>
  <c r="AU12" i="10" s="1"/>
  <c r="AU11" i="10" s="1"/>
  <c r="AJ101" i="10"/>
  <c r="AX101" i="10" s="1"/>
  <c r="AX102" i="10"/>
  <c r="AJ163" i="10"/>
  <c r="AX163" i="10" s="1"/>
  <c r="AX164" i="10"/>
  <c r="AJ86" i="10"/>
  <c r="AX86" i="10" s="1"/>
  <c r="AX87" i="10"/>
  <c r="AX542" i="9"/>
  <c r="AU542" i="9"/>
  <c r="AX147" i="9"/>
  <c r="AU147" i="9"/>
  <c r="AU566" i="9"/>
  <c r="AX566" i="9"/>
  <c r="AX882" i="9"/>
  <c r="AU882" i="9"/>
  <c r="AU714" i="9"/>
  <c r="AX714" i="9"/>
  <c r="AX718" i="9"/>
  <c r="AU718" i="9"/>
  <c r="AX559" i="9"/>
  <c r="AU559" i="9"/>
  <c r="AU545" i="9"/>
  <c r="AX545" i="9"/>
  <c r="AU546" i="9"/>
  <c r="AX546" i="9"/>
  <c r="AX419" i="9"/>
  <c r="AU419" i="9"/>
  <c r="AU418" i="9"/>
  <c r="AX418" i="9"/>
  <c r="AI749" i="9"/>
  <c r="AJ749" i="9" s="1"/>
  <c r="AH423" i="9"/>
  <c r="AH1051" i="9"/>
  <c r="AI1051" i="9" s="1"/>
  <c r="AJ1051" i="9" s="1"/>
  <c r="AI127" i="9"/>
  <c r="AS1363" i="9"/>
  <c r="AR1363" i="9"/>
  <c r="AQ1363" i="9"/>
  <c r="AP1363" i="9"/>
  <c r="AO1363" i="9"/>
  <c r="AN1363" i="9"/>
  <c r="AM1363" i="9"/>
  <c r="AK1363" i="9"/>
  <c r="AH1363" i="9"/>
  <c r="AG1363" i="9"/>
  <c r="AF1363" i="9"/>
  <c r="AD1363" i="9"/>
  <c r="AV1361" i="9"/>
  <c r="AT1361" i="9"/>
  <c r="AW1361" i="9" s="1"/>
  <c r="AI1361" i="9"/>
  <c r="AJ1361" i="9" s="1"/>
  <c r="AV1360" i="9"/>
  <c r="AT1360" i="9"/>
  <c r="AW1360" i="9" s="1"/>
  <c r="AI1360" i="9"/>
  <c r="AJ1360" i="9" s="1"/>
  <c r="AX1360" i="9" s="1"/>
  <c r="AV1357" i="9"/>
  <c r="AT1357" i="9"/>
  <c r="AW1357" i="9" s="1"/>
  <c r="AI1357" i="9"/>
  <c r="AJ1357" i="9" s="1"/>
  <c r="AU1357" i="9" s="1"/>
  <c r="AV1355" i="9"/>
  <c r="AT1355" i="9"/>
  <c r="AW1355" i="9" s="1"/>
  <c r="AI1355" i="9"/>
  <c r="AJ1355" i="9" s="1"/>
  <c r="AV1354" i="9"/>
  <c r="AT1354" i="9"/>
  <c r="AW1354" i="9" s="1"/>
  <c r="AI1354" i="9"/>
  <c r="AJ1354" i="9" s="1"/>
  <c r="AV1353" i="9"/>
  <c r="AT1353" i="9"/>
  <c r="AW1353" i="9" s="1"/>
  <c r="AI1353" i="9"/>
  <c r="AJ1353" i="9" s="1"/>
  <c r="AU1353" i="9" s="1"/>
  <c r="AV1351" i="9"/>
  <c r="AT1351" i="9"/>
  <c r="AW1351" i="9" s="1"/>
  <c r="AI1351" i="9"/>
  <c r="AJ1351" i="9" s="1"/>
  <c r="AU1351" i="9" s="1"/>
  <c r="AV1346" i="9"/>
  <c r="AT1346" i="9"/>
  <c r="AW1346" i="9" s="1"/>
  <c r="AI1346" i="9"/>
  <c r="AJ1346" i="9" s="1"/>
  <c r="AV1344" i="9"/>
  <c r="AT1344" i="9"/>
  <c r="AW1344" i="9" s="1"/>
  <c r="AI1344" i="9"/>
  <c r="AJ1344" i="9" s="1"/>
  <c r="AX1344" i="9" s="1"/>
  <c r="AV1342" i="9"/>
  <c r="AT1342" i="9"/>
  <c r="AW1342" i="9" s="1"/>
  <c r="AI1342" i="9"/>
  <c r="AJ1342" i="9" s="1"/>
  <c r="AV1340" i="9"/>
  <c r="AT1340" i="9"/>
  <c r="AW1340" i="9" s="1"/>
  <c r="AI1340" i="9"/>
  <c r="AJ1340" i="9" s="1"/>
  <c r="AV1339" i="9"/>
  <c r="AT1339" i="9"/>
  <c r="AW1339" i="9" s="1"/>
  <c r="AI1339" i="9"/>
  <c r="AJ1339" i="9" s="1"/>
  <c r="AV1338" i="9"/>
  <c r="AT1338" i="9"/>
  <c r="AW1338" i="9" s="1"/>
  <c r="AI1338" i="9"/>
  <c r="AJ1338" i="9" s="1"/>
  <c r="AV1336" i="9"/>
  <c r="AT1336" i="9"/>
  <c r="AW1336" i="9" s="1"/>
  <c r="AI1336" i="9"/>
  <c r="AJ1336" i="9" s="1"/>
  <c r="AU1336" i="9" s="1"/>
  <c r="AV1335" i="9"/>
  <c r="AT1335" i="9"/>
  <c r="AW1335" i="9" s="1"/>
  <c r="AI1335" i="9"/>
  <c r="AJ1335" i="9" s="1"/>
  <c r="AU1335" i="9" s="1"/>
  <c r="AV1332" i="9"/>
  <c r="AT1332" i="9"/>
  <c r="AW1332" i="9" s="1"/>
  <c r="AI1332" i="9"/>
  <c r="AJ1332" i="9" s="1"/>
  <c r="AU1332" i="9" s="1"/>
  <c r="AV1331" i="9"/>
  <c r="AT1331" i="9"/>
  <c r="AW1331" i="9" s="1"/>
  <c r="AI1331" i="9"/>
  <c r="AJ1331" i="9" s="1"/>
  <c r="AX1331" i="9" s="1"/>
  <c r="AV1330" i="9"/>
  <c r="AT1330" i="9"/>
  <c r="AW1330" i="9" s="1"/>
  <c r="AI1330" i="9"/>
  <c r="AJ1330" i="9" s="1"/>
  <c r="AX1330" i="9" s="1"/>
  <c r="AV1329" i="9"/>
  <c r="AT1329" i="9"/>
  <c r="AW1329" i="9" s="1"/>
  <c r="AI1329" i="9"/>
  <c r="AJ1329" i="9" s="1"/>
  <c r="AV1326" i="9"/>
  <c r="AT1326" i="9"/>
  <c r="AW1326" i="9" s="1"/>
  <c r="AI1326" i="9"/>
  <c r="AJ1326" i="9" s="1"/>
  <c r="AV1325" i="9"/>
  <c r="AT1325" i="9"/>
  <c r="AW1325" i="9" s="1"/>
  <c r="AI1325" i="9"/>
  <c r="AJ1325" i="9" s="1"/>
  <c r="AV1324" i="9"/>
  <c r="AT1324" i="9"/>
  <c r="AW1324" i="9" s="1"/>
  <c r="AI1324" i="9"/>
  <c r="AJ1324" i="9" s="1"/>
  <c r="AU1324" i="9" s="1"/>
  <c r="AV1323" i="9"/>
  <c r="AT1323" i="9"/>
  <c r="AW1323" i="9" s="1"/>
  <c r="AI1323" i="9"/>
  <c r="AJ1323" i="9" s="1"/>
  <c r="AU1323" i="9" s="1"/>
  <c r="AV1320" i="9"/>
  <c r="AT1320" i="9"/>
  <c r="AW1320" i="9" s="1"/>
  <c r="AI1320" i="9"/>
  <c r="AJ1320" i="9" s="1"/>
  <c r="AV1319" i="9"/>
  <c r="AT1319" i="9"/>
  <c r="AW1319" i="9" s="1"/>
  <c r="AI1319" i="9"/>
  <c r="AJ1319" i="9" s="1"/>
  <c r="AX1319" i="9" s="1"/>
  <c r="AV1316" i="9"/>
  <c r="AT1316" i="9"/>
  <c r="AW1316" i="9" s="1"/>
  <c r="AI1316" i="9"/>
  <c r="AJ1316" i="9" s="1"/>
  <c r="AV1315" i="9"/>
  <c r="AT1315" i="9"/>
  <c r="AW1315" i="9" s="1"/>
  <c r="AI1315" i="9"/>
  <c r="AJ1315" i="9" s="1"/>
  <c r="AV1314" i="9"/>
  <c r="AT1314" i="9"/>
  <c r="AW1314" i="9" s="1"/>
  <c r="AI1314" i="9"/>
  <c r="AJ1314" i="9" s="1"/>
  <c r="AV1313" i="9"/>
  <c r="AT1313" i="9"/>
  <c r="AW1313" i="9" s="1"/>
  <c r="AI1313" i="9"/>
  <c r="AJ1313" i="9" s="1"/>
  <c r="AV1312" i="9"/>
  <c r="AT1312" i="9"/>
  <c r="AW1312" i="9" s="1"/>
  <c r="AI1312" i="9"/>
  <c r="AJ1312" i="9" s="1"/>
  <c r="AU1312" i="9" s="1"/>
  <c r="AV1311" i="9"/>
  <c r="AT1311" i="9"/>
  <c r="AW1311" i="9" s="1"/>
  <c r="AI1311" i="9"/>
  <c r="AJ1311" i="9" s="1"/>
  <c r="AU1311" i="9" s="1"/>
  <c r="AV1308" i="9"/>
  <c r="AT1308" i="9"/>
  <c r="AW1308" i="9" s="1"/>
  <c r="AI1308" i="9"/>
  <c r="AJ1308" i="9" s="1"/>
  <c r="AV1307" i="9"/>
  <c r="AT1307" i="9"/>
  <c r="AW1307" i="9" s="1"/>
  <c r="AI1307" i="9"/>
  <c r="AJ1307" i="9" s="1"/>
  <c r="AV1305" i="9"/>
  <c r="AT1305" i="9"/>
  <c r="AW1305" i="9" s="1"/>
  <c r="AI1305" i="9"/>
  <c r="AJ1305" i="9" s="1"/>
  <c r="AV1304" i="9"/>
  <c r="AT1304" i="9"/>
  <c r="AW1304" i="9" s="1"/>
  <c r="AI1304" i="9"/>
  <c r="AJ1304" i="9" s="1"/>
  <c r="AV1301" i="9"/>
  <c r="AT1301" i="9"/>
  <c r="AW1301" i="9" s="1"/>
  <c r="AI1301" i="9"/>
  <c r="AJ1301" i="9" s="1"/>
  <c r="AV1300" i="9"/>
  <c r="AT1300" i="9"/>
  <c r="AW1300" i="9" s="1"/>
  <c r="AE1300" i="9"/>
  <c r="AI1300" i="9" s="1"/>
  <c r="AJ1300" i="9" s="1"/>
  <c r="AV1299" i="9"/>
  <c r="AT1299" i="9"/>
  <c r="AW1299" i="9" s="1"/>
  <c r="AI1299" i="9"/>
  <c r="AJ1299" i="9" s="1"/>
  <c r="AX1299" i="9" s="1"/>
  <c r="AV1298" i="9"/>
  <c r="AT1298" i="9"/>
  <c r="AW1298" i="9" s="1"/>
  <c r="AI1298" i="9"/>
  <c r="AJ1298" i="9" s="1"/>
  <c r="AX1298" i="9" s="1"/>
  <c r="AV1295" i="9"/>
  <c r="AT1295" i="9"/>
  <c r="AW1295" i="9" s="1"/>
  <c r="AI1295" i="9"/>
  <c r="AJ1295" i="9" s="1"/>
  <c r="AV1294" i="9"/>
  <c r="AT1294" i="9"/>
  <c r="AW1294" i="9" s="1"/>
  <c r="AE1294" i="9"/>
  <c r="AE1363" i="9" s="1"/>
  <c r="AV1293" i="9"/>
  <c r="AT1293" i="9"/>
  <c r="AW1293" i="9" s="1"/>
  <c r="AI1293" i="9"/>
  <c r="AJ1293" i="9" s="1"/>
  <c r="AV1292" i="9"/>
  <c r="AT1292" i="9"/>
  <c r="AW1292" i="9" s="1"/>
  <c r="AI1292" i="9"/>
  <c r="AJ1292" i="9" s="1"/>
  <c r="AL1291" i="9"/>
  <c r="AV1288" i="9"/>
  <c r="AT1288" i="9"/>
  <c r="AW1288" i="9" s="1"/>
  <c r="AI1288" i="9"/>
  <c r="AJ1288" i="9" s="1"/>
  <c r="AV1287" i="9"/>
  <c r="AT1287" i="9"/>
  <c r="AW1287" i="9" s="1"/>
  <c r="AI1287" i="9"/>
  <c r="AJ1287" i="9" s="1"/>
  <c r="AU1287" i="9" s="1"/>
  <c r="AV1286" i="9"/>
  <c r="AT1286" i="9"/>
  <c r="AW1286" i="9" s="1"/>
  <c r="AI1286" i="9"/>
  <c r="AJ1286" i="9" s="1"/>
  <c r="AV1285" i="9"/>
  <c r="AT1285" i="9"/>
  <c r="AW1285" i="9" s="1"/>
  <c r="AI1285" i="9"/>
  <c r="AJ1285" i="9" s="1"/>
  <c r="AV1284" i="9"/>
  <c r="AT1284" i="9"/>
  <c r="AW1284" i="9" s="1"/>
  <c r="AI1284" i="9"/>
  <c r="AJ1284" i="9" s="1"/>
  <c r="AV1283" i="9"/>
  <c r="AT1283" i="9"/>
  <c r="AW1283" i="9" s="1"/>
  <c r="AI1283" i="9"/>
  <c r="AJ1283" i="9" s="1"/>
  <c r="AV1280" i="9"/>
  <c r="AT1280" i="9"/>
  <c r="AW1280" i="9" s="1"/>
  <c r="AI1280" i="9"/>
  <c r="AJ1280" i="9" s="1"/>
  <c r="AX1280" i="9" s="1"/>
  <c r="AV1279" i="9"/>
  <c r="AT1279" i="9"/>
  <c r="AW1279" i="9" s="1"/>
  <c r="AI1279" i="9"/>
  <c r="AJ1279" i="9" s="1"/>
  <c r="AV1276" i="9"/>
  <c r="AT1276" i="9"/>
  <c r="AW1276" i="9" s="1"/>
  <c r="AI1276" i="9"/>
  <c r="AJ1276" i="9" s="1"/>
  <c r="AV1275" i="9"/>
  <c r="AT1275" i="9"/>
  <c r="AW1275" i="9" s="1"/>
  <c r="AI1275" i="9"/>
  <c r="AJ1275" i="9" s="1"/>
  <c r="AS1265" i="9"/>
  <c r="AR1265" i="9"/>
  <c r="AQ1265" i="9"/>
  <c r="AP1265" i="9"/>
  <c r="AO1265" i="9"/>
  <c r="AN1265" i="9"/>
  <c r="AM1265" i="9"/>
  <c r="AL1265" i="9"/>
  <c r="AK1265" i="9"/>
  <c r="AH1265" i="9"/>
  <c r="AG1265" i="9"/>
  <c r="AF1265" i="9"/>
  <c r="AE1265" i="9"/>
  <c r="AD1265" i="9"/>
  <c r="AV1263" i="9"/>
  <c r="AT1263" i="9"/>
  <c r="AW1263" i="9" s="1"/>
  <c r="AI1263" i="9"/>
  <c r="AJ1263" i="9" s="1"/>
  <c r="AV1262" i="9"/>
  <c r="AT1262" i="9"/>
  <c r="AW1262" i="9" s="1"/>
  <c r="AI1262" i="9"/>
  <c r="AX1259" i="9"/>
  <c r="AV1259" i="9"/>
  <c r="AU1259" i="9"/>
  <c r="AT1259" i="9"/>
  <c r="AW1259" i="9" s="1"/>
  <c r="AX1246" i="9"/>
  <c r="AV1246" i="9"/>
  <c r="AU1246" i="9"/>
  <c r="AT1246" i="9"/>
  <c r="AW1246" i="9" s="1"/>
  <c r="AV1244" i="9"/>
  <c r="AT1244" i="9"/>
  <c r="AW1244" i="9" s="1"/>
  <c r="AG1244" i="9"/>
  <c r="AI1244" i="9" s="1"/>
  <c r="AJ1244" i="9" s="1"/>
  <c r="AX1244" i="9" s="1"/>
  <c r="AV1242" i="9"/>
  <c r="AT1242" i="9"/>
  <c r="AH1242" i="9"/>
  <c r="AH1250" i="9" s="1"/>
  <c r="AG1242" i="9"/>
  <c r="AG1250" i="9" s="1"/>
  <c r="AS1233" i="9"/>
  <c r="AR1233" i="9"/>
  <c r="AQ1233" i="9"/>
  <c r="AP1233" i="9"/>
  <c r="AO1233" i="9"/>
  <c r="AN1233" i="9"/>
  <c r="AM1233" i="9"/>
  <c r="AL1233" i="9"/>
  <c r="AK1233" i="9"/>
  <c r="AH1233" i="9"/>
  <c r="AG1233" i="9"/>
  <c r="AF1233" i="9"/>
  <c r="AE1233" i="9"/>
  <c r="AD1233" i="9"/>
  <c r="AV1231" i="9"/>
  <c r="AT1231" i="9"/>
  <c r="AW1231" i="9" s="1"/>
  <c r="AI1231" i="9"/>
  <c r="AJ1231" i="9" s="1"/>
  <c r="AV1230" i="9"/>
  <c r="AT1230" i="9"/>
  <c r="AW1230" i="9" s="1"/>
  <c r="AI1230" i="9"/>
  <c r="AS1220" i="9"/>
  <c r="AR1220" i="9"/>
  <c r="AQ1220" i="9"/>
  <c r="AP1220" i="9"/>
  <c r="AO1220" i="9"/>
  <c r="AN1220" i="9"/>
  <c r="AM1220" i="9"/>
  <c r="AL1220" i="9"/>
  <c r="AK1220" i="9"/>
  <c r="AH1220" i="9"/>
  <c r="AG1220" i="9"/>
  <c r="AF1220" i="9"/>
  <c r="AE1220" i="9"/>
  <c r="AD1220" i="9"/>
  <c r="AV1218" i="9"/>
  <c r="AT1218" i="9"/>
  <c r="AW1218" i="9" s="1"/>
  <c r="AI1218" i="9"/>
  <c r="AJ1218" i="9" s="1"/>
  <c r="AV1216" i="9"/>
  <c r="AT1216" i="9"/>
  <c r="AW1216" i="9" s="1"/>
  <c r="AI1216" i="9"/>
  <c r="AJ1216" i="9" s="1"/>
  <c r="AV1214" i="9"/>
  <c r="AT1214" i="9"/>
  <c r="AW1214" i="9" s="1"/>
  <c r="AI1214" i="9"/>
  <c r="AJ1214" i="9" s="1"/>
  <c r="AV1212" i="9"/>
  <c r="AT1212" i="9"/>
  <c r="AW1212" i="9" s="1"/>
  <c r="AI1212" i="9"/>
  <c r="AJ1212" i="9" s="1"/>
  <c r="AV1210" i="9"/>
  <c r="AT1210" i="9"/>
  <c r="AW1210" i="9" s="1"/>
  <c r="AI1210" i="9"/>
  <c r="AJ1210" i="9" s="1"/>
  <c r="AV1208" i="9"/>
  <c r="AT1208" i="9"/>
  <c r="AW1208" i="9" s="1"/>
  <c r="AI1208" i="9"/>
  <c r="AJ1208" i="9" s="1"/>
  <c r="AU1208" i="9" s="1"/>
  <c r="AV1206" i="9"/>
  <c r="AT1206" i="9"/>
  <c r="AW1206" i="9" s="1"/>
  <c r="AI1206" i="9"/>
  <c r="AJ1206" i="9" s="1"/>
  <c r="AU1206" i="9" s="1"/>
  <c r="AV1205" i="9"/>
  <c r="AT1205" i="9"/>
  <c r="AW1205" i="9" s="1"/>
  <c r="AI1205" i="9"/>
  <c r="AJ1205" i="9" s="1"/>
  <c r="AV1203" i="9"/>
  <c r="AT1203" i="9"/>
  <c r="AW1203" i="9" s="1"/>
  <c r="AI1203" i="9"/>
  <c r="AJ1203" i="9" s="1"/>
  <c r="AV1202" i="9"/>
  <c r="AT1202" i="9"/>
  <c r="AW1202" i="9" s="1"/>
  <c r="AI1202" i="9"/>
  <c r="AJ1202" i="9" s="1"/>
  <c r="AV1201" i="9"/>
  <c r="AT1201" i="9"/>
  <c r="AW1201" i="9" s="1"/>
  <c r="AI1201" i="9"/>
  <c r="AJ1201" i="9" s="1"/>
  <c r="AV1200" i="9"/>
  <c r="AT1200" i="9"/>
  <c r="AW1200" i="9" s="1"/>
  <c r="AI1200" i="9"/>
  <c r="AJ1200" i="9" s="1"/>
  <c r="AV1198" i="9"/>
  <c r="AT1198" i="9"/>
  <c r="AW1198" i="9" s="1"/>
  <c r="AI1198" i="9"/>
  <c r="AJ1198" i="9" s="1"/>
  <c r="AV1197" i="9"/>
  <c r="AT1197" i="9"/>
  <c r="AW1197" i="9" s="1"/>
  <c r="AI1197" i="9"/>
  <c r="AJ1197" i="9" s="1"/>
  <c r="AX1194" i="9"/>
  <c r="AV1194" i="9"/>
  <c r="AU1194" i="9"/>
  <c r="AT1194" i="9"/>
  <c r="AW1194" i="9" s="1"/>
  <c r="AX1193" i="9"/>
  <c r="AV1193" i="9"/>
  <c r="AU1193" i="9"/>
  <c r="AT1193" i="9"/>
  <c r="AW1193" i="9" s="1"/>
  <c r="AX1192" i="9"/>
  <c r="AV1192" i="9"/>
  <c r="AU1192" i="9"/>
  <c r="AT1192" i="9"/>
  <c r="AW1192" i="9" s="1"/>
  <c r="AX1191" i="9"/>
  <c r="AV1191" i="9"/>
  <c r="AU1191" i="9"/>
  <c r="AT1191" i="9"/>
  <c r="AW1191" i="9" s="1"/>
  <c r="AX1190" i="9"/>
  <c r="AV1190" i="9"/>
  <c r="AU1190" i="9"/>
  <c r="AT1190" i="9"/>
  <c r="AW1190" i="9" s="1"/>
  <c r="AS1180" i="9"/>
  <c r="AR1180" i="9"/>
  <c r="AQ1180" i="9"/>
  <c r="AP1180" i="9"/>
  <c r="AO1180" i="9"/>
  <c r="AN1180" i="9"/>
  <c r="AM1180" i="9"/>
  <c r="AL1180" i="9"/>
  <c r="AK1180" i="9"/>
  <c r="AH1180" i="9"/>
  <c r="AG1180" i="9"/>
  <c r="AF1180" i="9"/>
  <c r="AE1180" i="9"/>
  <c r="AD1180" i="9"/>
  <c r="AV1178" i="9"/>
  <c r="AT1178" i="9"/>
  <c r="AW1178" i="9" s="1"/>
  <c r="AI1178" i="9"/>
  <c r="AJ1178" i="9" s="1"/>
  <c r="AV1177" i="9"/>
  <c r="AT1177" i="9"/>
  <c r="AW1177" i="9" s="1"/>
  <c r="AI1177" i="9"/>
  <c r="AJ1177" i="9" s="1"/>
  <c r="AV1176" i="9"/>
  <c r="AT1176" i="9"/>
  <c r="AW1176" i="9" s="1"/>
  <c r="AI1176" i="9"/>
  <c r="AJ1176" i="9" s="1"/>
  <c r="AV1175" i="9"/>
  <c r="AT1175" i="9"/>
  <c r="AW1175" i="9" s="1"/>
  <c r="AI1175" i="9"/>
  <c r="AJ1175" i="9" s="1"/>
  <c r="AV1174" i="9"/>
  <c r="AT1174" i="9"/>
  <c r="AW1174" i="9" s="1"/>
  <c r="AI1174" i="9"/>
  <c r="AJ1174" i="9" s="1"/>
  <c r="AX1174" i="9" s="1"/>
  <c r="AV1173" i="9"/>
  <c r="AT1173" i="9"/>
  <c r="AW1173" i="9" s="1"/>
  <c r="AI1173" i="9"/>
  <c r="AJ1173" i="9" s="1"/>
  <c r="AU1173" i="9" s="1"/>
  <c r="AV1172" i="9"/>
  <c r="AT1172" i="9"/>
  <c r="AW1172" i="9" s="1"/>
  <c r="AI1172" i="9"/>
  <c r="AJ1172" i="9" s="1"/>
  <c r="AT1171" i="9"/>
  <c r="AV1160" i="9"/>
  <c r="AT1160" i="9"/>
  <c r="AW1160" i="9" s="1"/>
  <c r="AI1160" i="9"/>
  <c r="AJ1160" i="9" s="1"/>
  <c r="AU1160" i="9" s="1"/>
  <c r="AX1155" i="9"/>
  <c r="AV1155" i="9"/>
  <c r="AU1155" i="9"/>
  <c r="AT1155" i="9"/>
  <c r="AW1155" i="9" s="1"/>
  <c r="AX1154" i="9"/>
  <c r="AV1154" i="9"/>
  <c r="AU1154" i="9"/>
  <c r="AT1154" i="9"/>
  <c r="AW1154" i="9" s="1"/>
  <c r="AV1145" i="9"/>
  <c r="AT1145" i="9"/>
  <c r="AW1145" i="9" s="1"/>
  <c r="AI1145" i="9"/>
  <c r="AJ1145" i="9" s="1"/>
  <c r="AX1145" i="9" s="1"/>
  <c r="AX1144" i="9"/>
  <c r="AV1144" i="9"/>
  <c r="AU1144" i="9"/>
  <c r="AT1144" i="9"/>
  <c r="AW1144" i="9" s="1"/>
  <c r="AV1142" i="9"/>
  <c r="AT1142" i="9"/>
  <c r="AW1142" i="9" s="1"/>
  <c r="AI1142" i="9"/>
  <c r="AJ1142" i="9" s="1"/>
  <c r="AV1140" i="9"/>
  <c r="AT1140" i="9"/>
  <c r="AW1140" i="9" s="1"/>
  <c r="AI1140" i="9"/>
  <c r="AJ1140" i="9" s="1"/>
  <c r="AU1140" i="9" s="1"/>
  <c r="AW1138" i="9"/>
  <c r="AV1138" i="9"/>
  <c r="AI1138" i="9"/>
  <c r="AJ1138" i="9" s="1"/>
  <c r="AV1136" i="9"/>
  <c r="AT1136" i="9"/>
  <c r="AW1136" i="9" s="1"/>
  <c r="AI1136" i="9"/>
  <c r="AJ1136" i="9" s="1"/>
  <c r="AU1136" i="9" s="1"/>
  <c r="AV1134" i="9"/>
  <c r="AT1134" i="9"/>
  <c r="AW1134" i="9" s="1"/>
  <c r="AI1134" i="9"/>
  <c r="AJ1134" i="9" s="1"/>
  <c r="AV1133" i="9"/>
  <c r="AT1133" i="9"/>
  <c r="AW1133" i="9" s="1"/>
  <c r="AI1133" i="9"/>
  <c r="AJ1133" i="9" s="1"/>
  <c r="AV1131" i="9"/>
  <c r="AT1131" i="9"/>
  <c r="AW1131" i="9" s="1"/>
  <c r="AI1131" i="9"/>
  <c r="AJ1131" i="9" s="1"/>
  <c r="AX1131" i="9" s="1"/>
  <c r="AW1129" i="9"/>
  <c r="AV1129" i="9"/>
  <c r="AI1129" i="9"/>
  <c r="AJ1129" i="9" s="1"/>
  <c r="AU1129" i="9" s="1"/>
  <c r="AV1127" i="9"/>
  <c r="AT1127" i="9"/>
  <c r="AW1127" i="9" s="1"/>
  <c r="AI1127" i="9"/>
  <c r="AJ1127" i="9" s="1"/>
  <c r="AV1125" i="9"/>
  <c r="AT1125" i="9"/>
  <c r="AW1125" i="9" s="1"/>
  <c r="AI1125" i="9"/>
  <c r="AJ1125" i="9" s="1"/>
  <c r="AU1125" i="9" s="1"/>
  <c r="AV1123" i="9"/>
  <c r="AT1123" i="9"/>
  <c r="AW1123" i="9" s="1"/>
  <c r="AI1123" i="9"/>
  <c r="AJ1123" i="9" s="1"/>
  <c r="AV1122" i="9"/>
  <c r="AT1122" i="9"/>
  <c r="AW1122" i="9" s="1"/>
  <c r="AI1122" i="9"/>
  <c r="AJ1122" i="9" s="1"/>
  <c r="AV1121" i="9"/>
  <c r="AT1121" i="9"/>
  <c r="AI1121" i="9"/>
  <c r="AS1110" i="9"/>
  <c r="AR1110" i="9"/>
  <c r="AQ1110" i="9"/>
  <c r="AP1110" i="9"/>
  <c r="AO1110" i="9"/>
  <c r="AN1110" i="9"/>
  <c r="AM1110" i="9"/>
  <c r="AL1110" i="9"/>
  <c r="AK1110" i="9"/>
  <c r="AG1110" i="9"/>
  <c r="AF1110" i="9"/>
  <c r="AE1110" i="9"/>
  <c r="AD1110" i="9"/>
  <c r="AV1108" i="9"/>
  <c r="AT1108" i="9"/>
  <c r="AW1108" i="9" s="1"/>
  <c r="AI1108" i="9"/>
  <c r="AJ1108" i="9" s="1"/>
  <c r="AV1097" i="9"/>
  <c r="AT1097" i="9"/>
  <c r="AW1097" i="9" s="1"/>
  <c r="AI1097" i="9"/>
  <c r="AJ1097" i="9" s="1"/>
  <c r="AX1096" i="9"/>
  <c r="AV1096" i="9"/>
  <c r="AU1096" i="9"/>
  <c r="AT1096" i="9"/>
  <c r="AW1096" i="9" s="1"/>
  <c r="AX1094" i="9"/>
  <c r="AV1094" i="9"/>
  <c r="AU1094" i="9"/>
  <c r="AT1094" i="9"/>
  <c r="AW1094" i="9" s="1"/>
  <c r="AX1090" i="9"/>
  <c r="AV1090" i="9"/>
  <c r="AU1090" i="9"/>
  <c r="AT1090" i="9"/>
  <c r="AW1090" i="9" s="1"/>
  <c r="AV1088" i="9"/>
  <c r="AT1088" i="9"/>
  <c r="AW1088" i="9" s="1"/>
  <c r="AI1088" i="9"/>
  <c r="AJ1088" i="9" s="1"/>
  <c r="AU1088" i="9" s="1"/>
  <c r="AV1087" i="9"/>
  <c r="AT1087" i="9"/>
  <c r="AW1087" i="9" s="1"/>
  <c r="AI1087" i="9"/>
  <c r="AJ1087" i="9" s="1"/>
  <c r="AU1087" i="9" s="1"/>
  <c r="AV1083" i="9"/>
  <c r="AT1083" i="9"/>
  <c r="AW1083" i="9" s="1"/>
  <c r="AI1083" i="9"/>
  <c r="AJ1083" i="9" s="1"/>
  <c r="AV1082" i="9"/>
  <c r="AT1082" i="9"/>
  <c r="AW1082" i="9" s="1"/>
  <c r="AH1082" i="9"/>
  <c r="AI1082" i="9" s="1"/>
  <c r="AS1073" i="9"/>
  <c r="AR1073" i="9"/>
  <c r="AQ1073" i="9"/>
  <c r="AP1073" i="9"/>
  <c r="AO1073" i="9"/>
  <c r="AN1073" i="9"/>
  <c r="AM1073" i="9"/>
  <c r="AL1073" i="9"/>
  <c r="AK1073" i="9"/>
  <c r="AF1073" i="9"/>
  <c r="AE1073" i="9"/>
  <c r="AD1073" i="9"/>
  <c r="AV1071" i="9"/>
  <c r="AT1071" i="9"/>
  <c r="AW1071" i="9" s="1"/>
  <c r="AI1071" i="9"/>
  <c r="AJ1071" i="9" s="1"/>
  <c r="AV1066" i="9"/>
  <c r="AT1066" i="9"/>
  <c r="AW1066" i="9" s="1"/>
  <c r="AG1066" i="9"/>
  <c r="AI1066" i="9" s="1"/>
  <c r="AJ1066" i="9" s="1"/>
  <c r="AX1066" i="9" s="1"/>
  <c r="AV1063" i="9"/>
  <c r="AT1063" i="9"/>
  <c r="AW1063" i="9" s="1"/>
  <c r="AI1063" i="9"/>
  <c r="AJ1063" i="9" s="1"/>
  <c r="AV1061" i="9"/>
  <c r="AT1061" i="9"/>
  <c r="AW1061" i="9" s="1"/>
  <c r="AI1061" i="9"/>
  <c r="AJ1061" i="9" s="1"/>
  <c r="AX1061" i="9" s="1"/>
  <c r="AX1060" i="9"/>
  <c r="AV1060" i="9"/>
  <c r="AU1060" i="9"/>
  <c r="AT1060" i="9"/>
  <c r="AW1060" i="9" s="1"/>
  <c r="AX1059" i="9"/>
  <c r="AV1059" i="9"/>
  <c r="AU1059" i="9"/>
  <c r="AT1059" i="9"/>
  <c r="AW1059" i="9" s="1"/>
  <c r="AV1058" i="9"/>
  <c r="AT1058" i="9"/>
  <c r="AW1058" i="9" s="1"/>
  <c r="AI1058" i="9"/>
  <c r="AJ1058" i="9" s="1"/>
  <c r="AV1056" i="9"/>
  <c r="AT1056" i="9"/>
  <c r="AW1056" i="9" s="1"/>
  <c r="AI1056" i="9"/>
  <c r="AJ1056" i="9" s="1"/>
  <c r="AV1054" i="9"/>
  <c r="AT1054" i="9"/>
  <c r="AW1054" i="9" s="1"/>
  <c r="AI1054" i="9"/>
  <c r="AJ1054" i="9" s="1"/>
  <c r="AV1053" i="9"/>
  <c r="AT1053" i="9"/>
  <c r="AW1053" i="9" s="1"/>
  <c r="AG1053" i="9"/>
  <c r="AI1053" i="9" s="1"/>
  <c r="AJ1053" i="9" s="1"/>
  <c r="AV1051" i="9"/>
  <c r="AT1051" i="9"/>
  <c r="AW1051" i="9" s="1"/>
  <c r="AV1049" i="9"/>
  <c r="AT1049" i="9"/>
  <c r="AW1049" i="9" s="1"/>
  <c r="AI1049" i="9"/>
  <c r="AJ1049" i="9" s="1"/>
  <c r="AV1047" i="9"/>
  <c r="AT1047" i="9"/>
  <c r="AW1047" i="9" s="1"/>
  <c r="AG1047" i="9"/>
  <c r="AI1047" i="9" s="1"/>
  <c r="AJ1047" i="9" s="1"/>
  <c r="AX1047" i="9" s="1"/>
  <c r="AV1045" i="9"/>
  <c r="AT1045" i="9"/>
  <c r="AW1045" i="9" s="1"/>
  <c r="AG1045" i="9"/>
  <c r="AV1043" i="9"/>
  <c r="AT1043" i="9"/>
  <c r="AW1043" i="9" s="1"/>
  <c r="AX1041" i="9"/>
  <c r="AV1041" i="9"/>
  <c r="AU1041" i="9"/>
  <c r="AT1041" i="9"/>
  <c r="AW1041" i="9" s="1"/>
  <c r="AX1036" i="9"/>
  <c r="AV1036" i="9"/>
  <c r="AU1036" i="9"/>
  <c r="AT1036" i="9"/>
  <c r="AW1036" i="9" s="1"/>
  <c r="AX1034" i="9"/>
  <c r="AV1034" i="9"/>
  <c r="AU1034" i="9"/>
  <c r="AT1034" i="9"/>
  <c r="AW1034" i="9" s="1"/>
  <c r="AS1025" i="9"/>
  <c r="AR1025" i="9"/>
  <c r="AQ1025" i="9"/>
  <c r="AP1025" i="9"/>
  <c r="AN1025" i="9"/>
  <c r="AM1025" i="9"/>
  <c r="AK1025" i="9"/>
  <c r="AF1025" i="9"/>
  <c r="AE1025" i="9"/>
  <c r="AD1025" i="9"/>
  <c r="AX1023" i="9"/>
  <c r="AV1023" i="9"/>
  <c r="AU1023" i="9"/>
  <c r="AT1023" i="9"/>
  <c r="AW1023" i="9" s="1"/>
  <c r="AV1019" i="9"/>
  <c r="AT1019" i="9"/>
  <c r="AW1019" i="9" s="1"/>
  <c r="AI1019" i="9"/>
  <c r="AJ1019" i="9" s="1"/>
  <c r="AV1018" i="9"/>
  <c r="AT1018" i="9"/>
  <c r="AW1018" i="9" s="1"/>
  <c r="AI1018" i="9"/>
  <c r="AJ1018" i="9" s="1"/>
  <c r="AX1017" i="9"/>
  <c r="AV1017" i="9"/>
  <c r="AU1017" i="9"/>
  <c r="AT1017" i="9"/>
  <c r="AW1017" i="9" s="1"/>
  <c r="AV1012" i="9"/>
  <c r="AT1012" i="9"/>
  <c r="AW1012" i="9" s="1"/>
  <c r="AI1012" i="9"/>
  <c r="AJ1012" i="9" s="1"/>
  <c r="AU1012" i="9" s="1"/>
  <c r="AV1008" i="9"/>
  <c r="AT1008" i="9"/>
  <c r="AW1008" i="9" s="1"/>
  <c r="AI1008" i="9"/>
  <c r="AJ1008" i="9" s="1"/>
  <c r="AX1002" i="9"/>
  <c r="AV1002" i="9"/>
  <c r="AU1002" i="9"/>
  <c r="AT1002" i="9"/>
  <c r="AW1002" i="9" s="1"/>
  <c r="AV989" i="9"/>
  <c r="AT989" i="9"/>
  <c r="AW989" i="9" s="1"/>
  <c r="AI989" i="9"/>
  <c r="AJ989" i="9" s="1"/>
  <c r="AU989" i="9" s="1"/>
  <c r="AX988" i="9"/>
  <c r="AV988" i="9"/>
  <c r="AU988" i="9"/>
  <c r="AT988" i="9"/>
  <c r="AW988" i="9" s="1"/>
  <c r="AV979" i="9"/>
  <c r="AT979" i="9"/>
  <c r="AW979" i="9" s="1"/>
  <c r="AI979" i="9"/>
  <c r="AJ979" i="9" s="1"/>
  <c r="AU979" i="9" s="1"/>
  <c r="AX978" i="9"/>
  <c r="AV978" i="9"/>
  <c r="AU978" i="9"/>
  <c r="AT978" i="9"/>
  <c r="AW978" i="9" s="1"/>
  <c r="AX977" i="9"/>
  <c r="AV977" i="9"/>
  <c r="AU977" i="9"/>
  <c r="AT977" i="9"/>
  <c r="AW977" i="9" s="1"/>
  <c r="AV973" i="9"/>
  <c r="AT973" i="9"/>
  <c r="AW973" i="9" s="1"/>
  <c r="AI973" i="9"/>
  <c r="AJ973" i="9" s="1"/>
  <c r="AU973" i="9" s="1"/>
  <c r="AX972" i="9"/>
  <c r="AV972" i="9"/>
  <c r="AU972" i="9"/>
  <c r="AT972" i="9"/>
  <c r="AW972" i="9" s="1"/>
  <c r="AX968" i="9"/>
  <c r="AV968" i="9"/>
  <c r="AU968" i="9"/>
  <c r="AT968" i="9"/>
  <c r="AW968" i="9" s="1"/>
  <c r="AV960" i="9"/>
  <c r="AT960" i="9"/>
  <c r="AW960" i="9" s="1"/>
  <c r="AI960" i="9"/>
  <c r="AJ960" i="9" s="1"/>
  <c r="AV959" i="9"/>
  <c r="AT959" i="9"/>
  <c r="AW959" i="9" s="1"/>
  <c r="AI959" i="9"/>
  <c r="AJ959" i="9" s="1"/>
  <c r="AU959" i="9" s="1"/>
  <c r="AV955" i="9"/>
  <c r="AT955" i="9"/>
  <c r="AW955" i="9" s="1"/>
  <c r="AI955" i="9"/>
  <c r="AJ955" i="9" s="1"/>
  <c r="AV954" i="9"/>
  <c r="AT954" i="9"/>
  <c r="AW954" i="9" s="1"/>
  <c r="AI954" i="9"/>
  <c r="AJ954" i="9" s="1"/>
  <c r="AV953" i="9"/>
  <c r="AT953" i="9"/>
  <c r="AW953" i="9" s="1"/>
  <c r="AI953" i="9"/>
  <c r="AJ953" i="9" s="1"/>
  <c r="AV952" i="9"/>
  <c r="AT952" i="9"/>
  <c r="AW952" i="9" s="1"/>
  <c r="AI952" i="9"/>
  <c r="AJ952" i="9" s="1"/>
  <c r="AX952" i="9" s="1"/>
  <c r="AV951" i="9"/>
  <c r="AT951" i="9"/>
  <c r="AW951" i="9" s="1"/>
  <c r="AH951" i="9"/>
  <c r="AV949" i="9"/>
  <c r="AT949" i="9"/>
  <c r="AW949" i="9" s="1"/>
  <c r="AI949" i="9"/>
  <c r="AJ949" i="9" s="1"/>
  <c r="AX949" i="9" s="1"/>
  <c r="AX948" i="9"/>
  <c r="AV948" i="9"/>
  <c r="AU948" i="9"/>
  <c r="AT948" i="9"/>
  <c r="AW948" i="9" s="1"/>
  <c r="AV946" i="9"/>
  <c r="AT946" i="9"/>
  <c r="AW946" i="9" s="1"/>
  <c r="AI946" i="9"/>
  <c r="AJ946" i="9" s="1"/>
  <c r="AV944" i="9"/>
  <c r="AT944" i="9"/>
  <c r="AW944" i="9" s="1"/>
  <c r="AI944" i="9"/>
  <c r="AJ944" i="9" s="1"/>
  <c r="AX944" i="9" s="1"/>
  <c r="AV942" i="9"/>
  <c r="AT942" i="9"/>
  <c r="AW942" i="9" s="1"/>
  <c r="AI942" i="9"/>
  <c r="AJ942" i="9" s="1"/>
  <c r="AX939" i="9"/>
  <c r="AV939" i="9"/>
  <c r="AU939" i="9"/>
  <c r="AT939" i="9"/>
  <c r="AW939" i="9" s="1"/>
  <c r="AV938" i="9"/>
  <c r="AT938" i="9"/>
  <c r="AW938" i="9" s="1"/>
  <c r="AI938" i="9"/>
  <c r="AJ938" i="9" s="1"/>
  <c r="AV936" i="9"/>
  <c r="AT936" i="9"/>
  <c r="AW936" i="9" s="1"/>
  <c r="AI936" i="9"/>
  <c r="AJ936" i="9" s="1"/>
  <c r="AX930" i="9"/>
  <c r="AV930" i="9"/>
  <c r="AU930" i="9"/>
  <c r="AT930" i="9"/>
  <c r="AW930" i="9" s="1"/>
  <c r="AV922" i="9"/>
  <c r="AT922" i="9"/>
  <c r="AW922" i="9" s="1"/>
  <c r="AI922" i="9"/>
  <c r="AJ922" i="9" s="1"/>
  <c r="AV915" i="9"/>
  <c r="AT915" i="9"/>
  <c r="AW915" i="9" s="1"/>
  <c r="AI915" i="9"/>
  <c r="AJ915" i="9" s="1"/>
  <c r="AU915" i="9" s="1"/>
  <c r="AV910" i="9"/>
  <c r="AT910" i="9"/>
  <c r="AW910" i="9" s="1"/>
  <c r="AG910" i="9"/>
  <c r="AI910" i="9" s="1"/>
  <c r="AJ910" i="9" s="1"/>
  <c r="AV905" i="9"/>
  <c r="AT905" i="9"/>
  <c r="AW905" i="9" s="1"/>
  <c r="AG905" i="9"/>
  <c r="AI905" i="9" s="1"/>
  <c r="AJ905" i="9" s="1"/>
  <c r="AV903" i="9"/>
  <c r="AT903" i="9"/>
  <c r="AW903" i="9" s="1"/>
  <c r="AG903" i="9"/>
  <c r="AI903" i="9" s="1"/>
  <c r="AJ903" i="9" s="1"/>
  <c r="AV893" i="9"/>
  <c r="AT893" i="9"/>
  <c r="AW893" i="9" s="1"/>
  <c r="AI893" i="9"/>
  <c r="AJ893" i="9" s="1"/>
  <c r="AV887" i="9"/>
  <c r="AT887" i="9"/>
  <c r="AW887" i="9" s="1"/>
  <c r="AI887" i="9"/>
  <c r="AJ887" i="9" s="1"/>
  <c r="AU887" i="9" s="1"/>
  <c r="AV886" i="9"/>
  <c r="AT886" i="9"/>
  <c r="AW886" i="9" s="1"/>
  <c r="AH886" i="9"/>
  <c r="AI886" i="9" s="1"/>
  <c r="AJ886" i="9" s="1"/>
  <c r="AX878" i="9"/>
  <c r="AV878" i="9"/>
  <c r="AU878" i="9"/>
  <c r="AT878" i="9"/>
  <c r="AW878" i="9" s="1"/>
  <c r="AV876" i="9"/>
  <c r="AT876" i="9"/>
  <c r="AW876" i="9" s="1"/>
  <c r="AO876" i="9"/>
  <c r="AO1025" i="9" s="1"/>
  <c r="AI876" i="9"/>
  <c r="AJ876" i="9" s="1"/>
  <c r="AT875" i="9"/>
  <c r="AV874" i="9"/>
  <c r="AT874" i="9"/>
  <c r="AW874" i="9" s="1"/>
  <c r="AI874" i="9"/>
  <c r="AJ874" i="9" s="1"/>
  <c r="AV873" i="9"/>
  <c r="AT873" i="9"/>
  <c r="AW873" i="9" s="1"/>
  <c r="AH873" i="9"/>
  <c r="AG873" i="9"/>
  <c r="AV870" i="9"/>
  <c r="AT870" i="9"/>
  <c r="AW870" i="9" s="1"/>
  <c r="AI870" i="9"/>
  <c r="AJ870" i="9" s="1"/>
  <c r="AV868" i="9"/>
  <c r="AT868" i="9"/>
  <c r="AW868" i="9" s="1"/>
  <c r="AI868" i="9"/>
  <c r="AJ868" i="9" s="1"/>
  <c r="AU868" i="9" s="1"/>
  <c r="AV866" i="9"/>
  <c r="AT866" i="9"/>
  <c r="AW866" i="9" s="1"/>
  <c r="AI866" i="9"/>
  <c r="AJ866" i="9" s="1"/>
  <c r="AV864" i="9"/>
  <c r="AT864" i="9"/>
  <c r="AW864" i="9" s="1"/>
  <c r="AH864" i="9"/>
  <c r="AI864" i="9" s="1"/>
  <c r="AJ864" i="9" s="1"/>
  <c r="AV862" i="9"/>
  <c r="AT862" i="9"/>
  <c r="AW862" i="9" s="1"/>
  <c r="AI862" i="9"/>
  <c r="AJ862" i="9" s="1"/>
  <c r="AX860" i="9"/>
  <c r="AV860" i="9"/>
  <c r="AU860" i="9"/>
  <c r="AT860" i="9"/>
  <c r="AW860" i="9" s="1"/>
  <c r="AX858" i="9"/>
  <c r="AV858" i="9"/>
  <c r="AU858" i="9"/>
  <c r="AT858" i="9"/>
  <c r="AW858" i="9" s="1"/>
  <c r="AV856" i="9"/>
  <c r="AT856" i="9"/>
  <c r="AW856" i="9" s="1"/>
  <c r="AI856" i="9"/>
  <c r="AJ856" i="9" s="1"/>
  <c r="AV854" i="9"/>
  <c r="AT854" i="9"/>
  <c r="AW854" i="9" s="1"/>
  <c r="AI854" i="9"/>
  <c r="AJ854" i="9" s="1"/>
  <c r="AV850" i="9"/>
  <c r="AT850" i="9"/>
  <c r="AW850" i="9" s="1"/>
  <c r="AI850" i="9"/>
  <c r="AJ850" i="9" s="1"/>
  <c r="AV849" i="9"/>
  <c r="AT849" i="9"/>
  <c r="AW849" i="9" s="1"/>
  <c r="AI849" i="9"/>
  <c r="AJ849" i="9" s="1"/>
  <c r="AX847" i="9"/>
  <c r="AV847" i="9"/>
  <c r="AU847" i="9"/>
  <c r="AT847" i="9"/>
  <c r="AW847" i="9" s="1"/>
  <c r="AX845" i="9"/>
  <c r="AV845" i="9"/>
  <c r="AU845" i="9"/>
  <c r="AT845" i="9"/>
  <c r="AW845" i="9" s="1"/>
  <c r="AV842" i="9"/>
  <c r="AT842" i="9"/>
  <c r="AW842" i="9" s="1"/>
  <c r="AI842" i="9"/>
  <c r="AJ842" i="9" s="1"/>
  <c r="AV837" i="9"/>
  <c r="AT837" i="9"/>
  <c r="AW837" i="9" s="1"/>
  <c r="AI837" i="9"/>
  <c r="AJ837" i="9" s="1"/>
  <c r="AV835" i="9"/>
  <c r="AT835" i="9"/>
  <c r="AW835" i="9" s="1"/>
  <c r="AI835" i="9"/>
  <c r="AJ835" i="9" s="1"/>
  <c r="AV833" i="9"/>
  <c r="AT833" i="9"/>
  <c r="AW833" i="9" s="1"/>
  <c r="AI833" i="9"/>
  <c r="AJ833" i="9" s="1"/>
  <c r="AX833" i="9" s="1"/>
  <c r="AV831" i="9"/>
  <c r="AT831" i="9"/>
  <c r="AW831" i="9" s="1"/>
  <c r="AI831" i="9"/>
  <c r="AJ831" i="9" s="1"/>
  <c r="AV829" i="9"/>
  <c r="AT829" i="9"/>
  <c r="AW829" i="9" s="1"/>
  <c r="AI829" i="9"/>
  <c r="AJ829" i="9" s="1"/>
  <c r="AV827" i="9"/>
  <c r="AT827" i="9"/>
  <c r="AW827" i="9" s="1"/>
  <c r="AI827" i="9"/>
  <c r="AJ827" i="9" s="1"/>
  <c r="AV826" i="9"/>
  <c r="AT826" i="9"/>
  <c r="AW826" i="9" s="1"/>
  <c r="AI826" i="9"/>
  <c r="AJ826" i="9" s="1"/>
  <c r="AX821" i="9"/>
  <c r="AV821" i="9"/>
  <c r="AU821" i="9"/>
  <c r="AT821" i="9"/>
  <c r="AW821" i="9" s="1"/>
  <c r="AL821" i="9"/>
  <c r="AV815" i="9"/>
  <c r="AT815" i="9"/>
  <c r="AW815" i="9" s="1"/>
  <c r="AG815" i="9"/>
  <c r="AV813" i="9"/>
  <c r="AT813" i="9"/>
  <c r="AW813" i="9" s="1"/>
  <c r="AI813" i="9"/>
  <c r="AJ813" i="9" s="1"/>
  <c r="AX811" i="9"/>
  <c r="AV811" i="9"/>
  <c r="AU811" i="9"/>
  <c r="AT811" i="9"/>
  <c r="AW811" i="9" s="1"/>
  <c r="AS801" i="9"/>
  <c r="AR801" i="9"/>
  <c r="AQ801" i="9"/>
  <c r="AP801" i="9"/>
  <c r="AO801" i="9"/>
  <c r="AN801" i="9"/>
  <c r="AM801" i="9"/>
  <c r="AL801" i="9"/>
  <c r="AK801" i="9"/>
  <c r="AF801" i="9"/>
  <c r="AE801" i="9"/>
  <c r="AD801" i="9"/>
  <c r="AV800" i="9"/>
  <c r="AT800" i="9"/>
  <c r="AW800" i="9" s="1"/>
  <c r="AI800" i="9"/>
  <c r="AJ800" i="9" s="1"/>
  <c r="AV795" i="9"/>
  <c r="AT795" i="9"/>
  <c r="AW795" i="9" s="1"/>
  <c r="AI795" i="9"/>
  <c r="AJ795" i="9" s="1"/>
  <c r="AV794" i="9"/>
  <c r="AT794" i="9"/>
  <c r="AW794" i="9" s="1"/>
  <c r="AG794" i="9"/>
  <c r="AI794" i="9" s="1"/>
  <c r="AJ794" i="9" s="1"/>
  <c r="AX792" i="9"/>
  <c r="AV792" i="9"/>
  <c r="AU792" i="9"/>
  <c r="AT792" i="9"/>
  <c r="AW792" i="9" s="1"/>
  <c r="AV790" i="9"/>
  <c r="AT790" i="9"/>
  <c r="AW790" i="9" s="1"/>
  <c r="AI790" i="9"/>
  <c r="AJ790" i="9" s="1"/>
  <c r="AX789" i="9"/>
  <c r="AV789" i="9"/>
  <c r="AU789" i="9"/>
  <c r="AT789" i="9"/>
  <c r="AW789" i="9" s="1"/>
  <c r="AV787" i="9"/>
  <c r="AT787" i="9"/>
  <c r="AW787" i="9" s="1"/>
  <c r="AI787" i="9"/>
  <c r="AJ787" i="9" s="1"/>
  <c r="AV786" i="9"/>
  <c r="AT786" i="9"/>
  <c r="AW786" i="9" s="1"/>
  <c r="AI786" i="9"/>
  <c r="AJ786" i="9" s="1"/>
  <c r="AV784" i="9"/>
  <c r="AT784" i="9"/>
  <c r="AW784" i="9" s="1"/>
  <c r="AI784" i="9"/>
  <c r="AJ784" i="9" s="1"/>
  <c r="AU784" i="9" s="1"/>
  <c r="AV782" i="9"/>
  <c r="AT782" i="9"/>
  <c r="AW782" i="9" s="1"/>
  <c r="AI782" i="9"/>
  <c r="AJ782" i="9" s="1"/>
  <c r="AX781" i="9"/>
  <c r="AV781" i="9"/>
  <c r="AU781" i="9"/>
  <c r="AT781" i="9"/>
  <c r="AW781" i="9" s="1"/>
  <c r="AV780" i="9"/>
  <c r="AT780" i="9"/>
  <c r="AW780" i="9" s="1"/>
  <c r="AG780" i="9"/>
  <c r="AI780" i="9" s="1"/>
  <c r="AJ780" i="9" s="1"/>
  <c r="AV778" i="9"/>
  <c r="AT778" i="9"/>
  <c r="AW778" i="9" s="1"/>
  <c r="AI778" i="9"/>
  <c r="AJ778" i="9" s="1"/>
  <c r="AX777" i="9"/>
  <c r="AV777" i="9"/>
  <c r="AU777" i="9"/>
  <c r="AT777" i="9"/>
  <c r="AW777" i="9" s="1"/>
  <c r="AV776" i="9"/>
  <c r="AT776" i="9"/>
  <c r="AW776" i="9" s="1"/>
  <c r="AI776" i="9"/>
  <c r="AJ776" i="9" s="1"/>
  <c r="AW774" i="9"/>
  <c r="AV774" i="9"/>
  <c r="AI774" i="9"/>
  <c r="AJ774" i="9" s="1"/>
  <c r="AW773" i="9"/>
  <c r="AV773" i="9"/>
  <c r="AI773" i="9"/>
  <c r="AJ773" i="9" s="1"/>
  <c r="AV772" i="9"/>
  <c r="AT772" i="9"/>
  <c r="AW772" i="9" s="1"/>
  <c r="AI772" i="9"/>
  <c r="AJ772" i="9" s="1"/>
  <c r="AX772" i="9" s="1"/>
  <c r="AV771" i="9"/>
  <c r="AT771" i="9"/>
  <c r="AW771" i="9" s="1"/>
  <c r="AI771" i="9"/>
  <c r="AJ771" i="9" s="1"/>
  <c r="AV770" i="9"/>
  <c r="AT770" i="9"/>
  <c r="AW770" i="9" s="1"/>
  <c r="AI770" i="9"/>
  <c r="AJ770" i="9" s="1"/>
  <c r="AV769" i="9"/>
  <c r="AT769" i="9"/>
  <c r="AW769" i="9" s="1"/>
  <c r="AI769" i="9"/>
  <c r="AJ769" i="9" s="1"/>
  <c r="AV768" i="9"/>
  <c r="AT768" i="9"/>
  <c r="AW768" i="9" s="1"/>
  <c r="AG768" i="9"/>
  <c r="AV766" i="9"/>
  <c r="AT766" i="9"/>
  <c r="AW766" i="9" s="1"/>
  <c r="AI766" i="9"/>
  <c r="AJ766" i="9" s="1"/>
  <c r="AX766" i="9" s="1"/>
  <c r="AX765" i="9"/>
  <c r="AV765" i="9"/>
  <c r="AU765" i="9"/>
  <c r="AT765" i="9"/>
  <c r="AW765" i="9" s="1"/>
  <c r="AV763" i="9"/>
  <c r="AT763" i="9"/>
  <c r="AW763" i="9" s="1"/>
  <c r="AI763" i="9"/>
  <c r="AJ763" i="9" s="1"/>
  <c r="AX763" i="9" s="1"/>
  <c r="AV762" i="9"/>
  <c r="AT762" i="9"/>
  <c r="AW762" i="9" s="1"/>
  <c r="AI762" i="9"/>
  <c r="AJ762" i="9" s="1"/>
  <c r="AV761" i="9"/>
  <c r="AT761" i="9"/>
  <c r="AW761" i="9" s="1"/>
  <c r="AI761" i="9"/>
  <c r="AJ761" i="9" s="1"/>
  <c r="AV760" i="9"/>
  <c r="AT760" i="9"/>
  <c r="AW760" i="9" s="1"/>
  <c r="AI760" i="9"/>
  <c r="AJ760" i="9" s="1"/>
  <c r="AV759" i="9"/>
  <c r="AT759" i="9"/>
  <c r="AW759" i="9" s="1"/>
  <c r="AH759" i="9"/>
  <c r="AX757" i="9"/>
  <c r="AV757" i="9"/>
  <c r="AU757" i="9"/>
  <c r="AT757" i="9"/>
  <c r="AW757" i="9" s="1"/>
  <c r="AX755" i="9"/>
  <c r="AV755" i="9"/>
  <c r="AU755" i="9"/>
  <c r="AT755" i="9"/>
  <c r="AW755" i="9" s="1"/>
  <c r="AX753" i="9"/>
  <c r="AV753" i="9"/>
  <c r="AU753" i="9"/>
  <c r="AT753" i="9"/>
  <c r="AW753" i="9" s="1"/>
  <c r="AV751" i="9"/>
  <c r="AT751" i="9"/>
  <c r="AW751" i="9" s="1"/>
  <c r="AI751" i="9"/>
  <c r="AJ751" i="9" s="1"/>
  <c r="AU751" i="9" s="1"/>
  <c r="AV749" i="9"/>
  <c r="AT749" i="9"/>
  <c r="AW749" i="9" s="1"/>
  <c r="AV743" i="9"/>
  <c r="AT743" i="9"/>
  <c r="AW743" i="9" s="1"/>
  <c r="AI743" i="9"/>
  <c r="AJ743" i="9" s="1"/>
  <c r="AV734" i="9"/>
  <c r="AT734" i="9"/>
  <c r="AW734" i="9" s="1"/>
  <c r="AI734" i="9"/>
  <c r="AJ734" i="9" s="1"/>
  <c r="AX733" i="9"/>
  <c r="AV733" i="9"/>
  <c r="AU733" i="9"/>
  <c r="AT733" i="9"/>
  <c r="AW733" i="9" s="1"/>
  <c r="AX732" i="9"/>
  <c r="AV732" i="9"/>
  <c r="AU732" i="9"/>
  <c r="AT732" i="9"/>
  <c r="AW732" i="9" s="1"/>
  <c r="AV731" i="9"/>
  <c r="AT731" i="9"/>
  <c r="AW731" i="9" s="1"/>
  <c r="AI731" i="9"/>
  <c r="AJ731" i="9" s="1"/>
  <c r="AV727" i="9"/>
  <c r="AT727" i="9"/>
  <c r="AW727" i="9" s="1"/>
  <c r="AI727" i="9"/>
  <c r="AJ727" i="9" s="1"/>
  <c r="AX725" i="9"/>
  <c r="AV725" i="9"/>
  <c r="AU725" i="9"/>
  <c r="AT725" i="9"/>
  <c r="AW725" i="9" s="1"/>
  <c r="AV723" i="9"/>
  <c r="AT723" i="9"/>
  <c r="AW723" i="9" s="1"/>
  <c r="AI723" i="9"/>
  <c r="AJ723" i="9" s="1"/>
  <c r="AV712" i="9"/>
  <c r="AT712" i="9"/>
  <c r="AW712" i="9" s="1"/>
  <c r="AI712" i="9"/>
  <c r="AS706" i="9"/>
  <c r="AQ706" i="9"/>
  <c r="AP706" i="9"/>
  <c r="AO706" i="9"/>
  <c r="AN706" i="9"/>
  <c r="AM706" i="9"/>
  <c r="AK706" i="9"/>
  <c r="AF706" i="9"/>
  <c r="AD706" i="9"/>
  <c r="AV704" i="9"/>
  <c r="AT704" i="9"/>
  <c r="AW704" i="9" s="1"/>
  <c r="AI704" i="9"/>
  <c r="AJ704" i="9" s="1"/>
  <c r="AX703" i="9"/>
  <c r="AV703" i="9"/>
  <c r="AU703" i="9"/>
  <c r="AT703" i="9"/>
  <c r="AW703" i="9" s="1"/>
  <c r="AX702" i="9"/>
  <c r="AV702" i="9"/>
  <c r="AU702" i="9"/>
  <c r="AT702" i="9"/>
  <c r="AW702" i="9" s="1"/>
  <c r="AX693" i="9"/>
  <c r="AV693" i="9"/>
  <c r="AU693" i="9"/>
  <c r="AT693" i="9"/>
  <c r="AW693" i="9" s="1"/>
  <c r="AX692" i="9"/>
  <c r="AV692" i="9"/>
  <c r="AU692" i="9"/>
  <c r="AT692" i="9"/>
  <c r="AW692" i="9" s="1"/>
  <c r="AX691" i="9"/>
  <c r="AV691" i="9"/>
  <c r="AU691" i="9"/>
  <c r="AT691" i="9"/>
  <c r="AW691" i="9" s="1"/>
  <c r="AX690" i="9"/>
  <c r="AV690" i="9"/>
  <c r="AU690" i="9"/>
  <c r="AT690" i="9"/>
  <c r="AW690" i="9" s="1"/>
  <c r="AX689" i="9"/>
  <c r="AV689" i="9"/>
  <c r="AU689" i="9"/>
  <c r="AT689" i="9"/>
  <c r="AW689" i="9" s="1"/>
  <c r="AV681" i="9"/>
  <c r="AT681" i="9"/>
  <c r="AW681" i="9" s="1"/>
  <c r="AI681" i="9"/>
  <c r="AJ681" i="9" s="1"/>
  <c r="AX681" i="9" s="1"/>
  <c r="AV678" i="9"/>
  <c r="AT678" i="9"/>
  <c r="AW678" i="9" s="1"/>
  <c r="AI678" i="9"/>
  <c r="AJ678" i="9" s="1"/>
  <c r="AV677" i="9"/>
  <c r="AT677" i="9"/>
  <c r="AW677" i="9" s="1"/>
  <c r="AG677" i="9"/>
  <c r="AI677" i="9" s="1"/>
  <c r="AJ677" i="9" s="1"/>
  <c r="AU677" i="9" s="1"/>
  <c r="AV675" i="9"/>
  <c r="AT675" i="9"/>
  <c r="AW675" i="9" s="1"/>
  <c r="AL675" i="9"/>
  <c r="AI675" i="9"/>
  <c r="AJ675" i="9" s="1"/>
  <c r="AX674" i="9"/>
  <c r="AV674" i="9"/>
  <c r="AU674" i="9"/>
  <c r="AT674" i="9"/>
  <c r="AW674" i="9" s="1"/>
  <c r="AV673" i="9"/>
  <c r="AT673" i="9"/>
  <c r="AW673" i="9" s="1"/>
  <c r="AG673" i="9"/>
  <c r="AI673" i="9" s="1"/>
  <c r="AJ673" i="9" s="1"/>
  <c r="AV671" i="9"/>
  <c r="AT671" i="9"/>
  <c r="AW671" i="9" s="1"/>
  <c r="AL671" i="9"/>
  <c r="AI671" i="9"/>
  <c r="AJ671" i="9" s="1"/>
  <c r="AV670" i="9"/>
  <c r="AT670" i="9"/>
  <c r="AW670" i="9" s="1"/>
  <c r="AL670" i="9"/>
  <c r="AH670" i="9"/>
  <c r="AI670" i="9" s="1"/>
  <c r="AJ670" i="9" s="1"/>
  <c r="AV668" i="9"/>
  <c r="AT668" i="9"/>
  <c r="AW668" i="9" s="1"/>
  <c r="AI668" i="9"/>
  <c r="AJ668" i="9" s="1"/>
  <c r="AV666" i="9"/>
  <c r="AT666" i="9"/>
  <c r="AW666" i="9" s="1"/>
  <c r="AI666" i="9"/>
  <c r="AJ666" i="9" s="1"/>
  <c r="AX665" i="9"/>
  <c r="AV665" i="9"/>
  <c r="AU665" i="9"/>
  <c r="AT665" i="9"/>
  <c r="AW665" i="9" s="1"/>
  <c r="AV662" i="9"/>
  <c r="AT662" i="9"/>
  <c r="AW662" i="9" s="1"/>
  <c r="AI662" i="9"/>
  <c r="AJ662" i="9" s="1"/>
  <c r="AU662" i="9" s="1"/>
  <c r="AV661" i="9"/>
  <c r="AT661" i="9"/>
  <c r="AW661" i="9" s="1"/>
  <c r="AI661" i="9"/>
  <c r="AJ661" i="9" s="1"/>
  <c r="AV660" i="9"/>
  <c r="AT660" i="9"/>
  <c r="AW660" i="9" s="1"/>
  <c r="AI660" i="9"/>
  <c r="AJ660" i="9" s="1"/>
  <c r="AX660" i="9" s="1"/>
  <c r="AV659" i="9"/>
  <c r="AT659" i="9"/>
  <c r="AW659" i="9" s="1"/>
  <c r="AI659" i="9"/>
  <c r="AJ659" i="9" s="1"/>
  <c r="AU659" i="9" s="1"/>
  <c r="AV658" i="9"/>
  <c r="AT658" i="9"/>
  <c r="AW658" i="9" s="1"/>
  <c r="AI658" i="9"/>
  <c r="AJ658" i="9" s="1"/>
  <c r="AV657" i="9"/>
  <c r="AT657" i="9"/>
  <c r="AW657" i="9" s="1"/>
  <c r="AI657" i="9"/>
  <c r="AJ657" i="9" s="1"/>
  <c r="AV656" i="9"/>
  <c r="AT656" i="9"/>
  <c r="AW656" i="9" s="1"/>
  <c r="AI656" i="9"/>
  <c r="AJ656" i="9" s="1"/>
  <c r="AX656" i="9" s="1"/>
  <c r="AV650" i="9"/>
  <c r="AT650" i="9"/>
  <c r="AW650" i="9" s="1"/>
  <c r="AI650" i="9"/>
  <c r="AJ650" i="9" s="1"/>
  <c r="AX650" i="9" s="1"/>
  <c r="AV649" i="9"/>
  <c r="AT649" i="9"/>
  <c r="AW649" i="9" s="1"/>
  <c r="AL649" i="9"/>
  <c r="AI649" i="9"/>
  <c r="AJ649" i="9" s="1"/>
  <c r="AU649" i="9" s="1"/>
  <c r="AV648" i="9"/>
  <c r="AT648" i="9"/>
  <c r="AW648" i="9" s="1"/>
  <c r="AI648" i="9"/>
  <c r="AJ648" i="9" s="1"/>
  <c r="AX647" i="9"/>
  <c r="AV647" i="9"/>
  <c r="AU647" i="9"/>
  <c r="AT647" i="9"/>
  <c r="AW647" i="9" s="1"/>
  <c r="AV646" i="9"/>
  <c r="AT646" i="9"/>
  <c r="AW646" i="9" s="1"/>
  <c r="AI646" i="9"/>
  <c r="AJ646" i="9" s="1"/>
  <c r="AV644" i="9"/>
  <c r="AT644" i="9"/>
  <c r="AW644" i="9" s="1"/>
  <c r="AI644" i="9"/>
  <c r="AJ644" i="9" s="1"/>
  <c r="AV643" i="9"/>
  <c r="AT643" i="9"/>
  <c r="AW643" i="9" s="1"/>
  <c r="AI643" i="9"/>
  <c r="AJ643" i="9" s="1"/>
  <c r="AV641" i="9"/>
  <c r="AT641" i="9"/>
  <c r="AW641" i="9" s="1"/>
  <c r="AG641" i="9"/>
  <c r="AI641" i="9" s="1"/>
  <c r="AJ641" i="9" s="1"/>
  <c r="AV639" i="9"/>
  <c r="AT639" i="9"/>
  <c r="AW639" i="9" s="1"/>
  <c r="AI639" i="9"/>
  <c r="AJ639" i="9" s="1"/>
  <c r="AX639" i="9" s="1"/>
  <c r="AV638" i="9"/>
  <c r="AT638" i="9"/>
  <c r="AW638" i="9" s="1"/>
  <c r="AG638" i="9"/>
  <c r="AI638" i="9" s="1"/>
  <c r="AJ638" i="9" s="1"/>
  <c r="AU638" i="9" s="1"/>
  <c r="AV636" i="9"/>
  <c r="AT636" i="9"/>
  <c r="AW636" i="9" s="1"/>
  <c r="AI636" i="9"/>
  <c r="AJ636" i="9" s="1"/>
  <c r="AU636" i="9" s="1"/>
  <c r="AV635" i="9"/>
  <c r="AT635" i="9"/>
  <c r="AW635" i="9" s="1"/>
  <c r="AI635" i="9"/>
  <c r="AJ635" i="9" s="1"/>
  <c r="AV634" i="9"/>
  <c r="AT634" i="9"/>
  <c r="AW634" i="9" s="1"/>
  <c r="AH634" i="9"/>
  <c r="AI634" i="9" s="1"/>
  <c r="AJ634" i="9" s="1"/>
  <c r="AV632" i="9"/>
  <c r="AT632" i="9"/>
  <c r="AW632" i="9" s="1"/>
  <c r="AG632" i="9"/>
  <c r="AI632" i="9" s="1"/>
  <c r="AJ632" i="9" s="1"/>
  <c r="AV630" i="9"/>
  <c r="AT630" i="9"/>
  <c r="AW630" i="9" s="1"/>
  <c r="AI630" i="9"/>
  <c r="AJ630" i="9" s="1"/>
  <c r="AU630" i="9" s="1"/>
  <c r="AV628" i="9"/>
  <c r="AT628" i="9"/>
  <c r="AW628" i="9" s="1"/>
  <c r="AR628" i="9"/>
  <c r="AR706" i="9" s="1"/>
  <c r="AI628" i="9"/>
  <c r="AJ628" i="9" s="1"/>
  <c r="AV626" i="9"/>
  <c r="AT626" i="9"/>
  <c r="AW626" i="9" s="1"/>
  <c r="AI626" i="9"/>
  <c r="AJ626" i="9" s="1"/>
  <c r="AU626" i="9" s="1"/>
  <c r="AV625" i="9"/>
  <c r="AT625" i="9"/>
  <c r="AW625" i="9" s="1"/>
  <c r="AI625" i="9"/>
  <c r="AJ625" i="9" s="1"/>
  <c r="AV623" i="9"/>
  <c r="AT623" i="9"/>
  <c r="AW623" i="9" s="1"/>
  <c r="AI623" i="9"/>
  <c r="AJ623" i="9" s="1"/>
  <c r="AV621" i="9"/>
  <c r="AT621" i="9"/>
  <c r="AW621" i="9" s="1"/>
  <c r="AI621" i="9"/>
  <c r="AJ621" i="9" s="1"/>
  <c r="AU621" i="9" s="1"/>
  <c r="AX618" i="9"/>
  <c r="AV618" i="9"/>
  <c r="AU618" i="9"/>
  <c r="AT618" i="9"/>
  <c r="AW618" i="9" s="1"/>
  <c r="AV615" i="9"/>
  <c r="AT615" i="9"/>
  <c r="AW615" i="9" s="1"/>
  <c r="AJ615" i="9"/>
  <c r="AU615" i="9" s="1"/>
  <c r="AV614" i="9"/>
  <c r="AT614" i="9"/>
  <c r="AW614" i="9" s="1"/>
  <c r="AI614" i="9"/>
  <c r="AJ614" i="9" s="1"/>
  <c r="AV613" i="9"/>
  <c r="AT613" i="9"/>
  <c r="AW613" i="9" s="1"/>
  <c r="AI613" i="9"/>
  <c r="AJ613" i="9" s="1"/>
  <c r="AV612" i="9"/>
  <c r="AT612" i="9"/>
  <c r="AW612" i="9" s="1"/>
  <c r="AI612" i="9"/>
  <c r="AJ612" i="9" s="1"/>
  <c r="AV611" i="9"/>
  <c r="AT611" i="9"/>
  <c r="AW611" i="9" s="1"/>
  <c r="AI611" i="9"/>
  <c r="AJ611" i="9" s="1"/>
  <c r="AV610" i="9"/>
  <c r="AT610" i="9"/>
  <c r="AW610" i="9" s="1"/>
  <c r="AH610" i="9"/>
  <c r="AI610" i="9" s="1"/>
  <c r="AJ610" i="9" s="1"/>
  <c r="AV607" i="9"/>
  <c r="AT607" i="9"/>
  <c r="AW607" i="9" s="1"/>
  <c r="AI607" i="9"/>
  <c r="AJ607" i="9" s="1"/>
  <c r="AV605" i="9"/>
  <c r="AT605" i="9"/>
  <c r="AW605" i="9" s="1"/>
  <c r="AG605" i="9"/>
  <c r="AI605" i="9" s="1"/>
  <c r="AJ605" i="9" s="1"/>
  <c r="AV603" i="9"/>
  <c r="AT603" i="9"/>
  <c r="AW603" i="9" s="1"/>
  <c r="AE603" i="9"/>
  <c r="AI603" i="9" s="1"/>
  <c r="AJ603" i="9" s="1"/>
  <c r="AV602" i="9"/>
  <c r="AT602" i="9"/>
  <c r="AW602" i="9" s="1"/>
  <c r="AI602" i="9"/>
  <c r="AJ602" i="9" s="1"/>
  <c r="AX600" i="9"/>
  <c r="AV600" i="9"/>
  <c r="AU600" i="9"/>
  <c r="AT600" i="9"/>
  <c r="AW600" i="9" s="1"/>
  <c r="AV599" i="9"/>
  <c r="AT599" i="9"/>
  <c r="AW599" i="9" s="1"/>
  <c r="AI599" i="9"/>
  <c r="AJ599" i="9" s="1"/>
  <c r="AV597" i="9"/>
  <c r="AT597" i="9"/>
  <c r="AW597" i="9" s="1"/>
  <c r="AI597" i="9"/>
  <c r="AJ597" i="9" s="1"/>
  <c r="AX597" i="9" s="1"/>
  <c r="AV595" i="9"/>
  <c r="AT595" i="9"/>
  <c r="AW595" i="9" s="1"/>
  <c r="AI595" i="9"/>
  <c r="AJ595" i="9" s="1"/>
  <c r="AU595" i="9" s="1"/>
  <c r="AV593" i="9"/>
  <c r="AT593" i="9"/>
  <c r="AW593" i="9" s="1"/>
  <c r="AI593" i="9"/>
  <c r="AJ593" i="9" s="1"/>
  <c r="AU593" i="9" s="1"/>
  <c r="AV592" i="9"/>
  <c r="AT592" i="9"/>
  <c r="AW592" i="9" s="1"/>
  <c r="AI592" i="9"/>
  <c r="AJ592" i="9" s="1"/>
  <c r="AV591" i="9"/>
  <c r="AT591" i="9"/>
  <c r="AW591" i="9" s="1"/>
  <c r="AI591" i="9"/>
  <c r="AJ591" i="9" s="1"/>
  <c r="AU591" i="9" s="1"/>
  <c r="AV590" i="9"/>
  <c r="AT590" i="9"/>
  <c r="AW590" i="9" s="1"/>
  <c r="AI590" i="9"/>
  <c r="AJ590" i="9" s="1"/>
  <c r="AV589" i="9"/>
  <c r="AT589" i="9"/>
  <c r="AW589" i="9" s="1"/>
  <c r="AI589" i="9"/>
  <c r="AJ589" i="9" s="1"/>
  <c r="AV588" i="9"/>
  <c r="AT588" i="9"/>
  <c r="AW588" i="9" s="1"/>
  <c r="AI588" i="9"/>
  <c r="AJ588" i="9" s="1"/>
  <c r="AX588" i="9" s="1"/>
  <c r="AV586" i="9"/>
  <c r="AT586" i="9"/>
  <c r="AW586" i="9" s="1"/>
  <c r="AI586" i="9"/>
  <c r="AJ586" i="9" s="1"/>
  <c r="AU586" i="9" s="1"/>
  <c r="AV584" i="9"/>
  <c r="AT584" i="9"/>
  <c r="AW584" i="9" s="1"/>
  <c r="AI584" i="9"/>
  <c r="AJ584" i="9" s="1"/>
  <c r="AU584" i="9" s="1"/>
  <c r="AV583" i="9"/>
  <c r="AT583" i="9"/>
  <c r="AW583" i="9" s="1"/>
  <c r="AI583" i="9"/>
  <c r="AJ583" i="9" s="1"/>
  <c r="AU583" i="9" s="1"/>
  <c r="AV582" i="9"/>
  <c r="AT582" i="9"/>
  <c r="AW582" i="9" s="1"/>
  <c r="AI582" i="9"/>
  <c r="AJ582" i="9" s="1"/>
  <c r="AU582" i="9" s="1"/>
  <c r="AV581" i="9"/>
  <c r="AT581" i="9"/>
  <c r="AW581" i="9" s="1"/>
  <c r="AI581" i="9"/>
  <c r="AJ581" i="9" s="1"/>
  <c r="AV579" i="9"/>
  <c r="AT579" i="9"/>
  <c r="AW579" i="9" s="1"/>
  <c r="AI579" i="9"/>
  <c r="AJ579" i="9" s="1"/>
  <c r="AV576" i="9"/>
  <c r="AT576" i="9"/>
  <c r="AW576" i="9" s="1"/>
  <c r="AI576" i="9"/>
  <c r="AJ576" i="9" s="1"/>
  <c r="AV575" i="9"/>
  <c r="AT575" i="9"/>
  <c r="AW575" i="9" s="1"/>
  <c r="AG575" i="9"/>
  <c r="AI575" i="9" s="1"/>
  <c r="AJ575" i="9" s="1"/>
  <c r="AV574" i="9"/>
  <c r="AT574" i="9"/>
  <c r="AW574" i="9" s="1"/>
  <c r="AI574" i="9"/>
  <c r="AJ574" i="9" s="1"/>
  <c r="AV572" i="9"/>
  <c r="AT572" i="9"/>
  <c r="AW572" i="9" s="1"/>
  <c r="AI572" i="9"/>
  <c r="AJ572" i="9" s="1"/>
  <c r="AV570" i="9"/>
  <c r="AT570" i="9"/>
  <c r="AW570" i="9" s="1"/>
  <c r="AI570" i="9"/>
  <c r="AJ570" i="9" s="1"/>
  <c r="AV568" i="9"/>
  <c r="AT568" i="9"/>
  <c r="AW568" i="9" s="1"/>
  <c r="AI568" i="9"/>
  <c r="AJ568" i="9" s="1"/>
  <c r="AV565" i="9"/>
  <c r="AT565" i="9"/>
  <c r="AW565" i="9" s="1"/>
  <c r="AI565" i="9"/>
  <c r="AJ565" i="9" s="1"/>
  <c r="AX565" i="9" s="1"/>
  <c r="AV563" i="9"/>
  <c r="AT563" i="9"/>
  <c r="AW563" i="9" s="1"/>
  <c r="AI563" i="9"/>
  <c r="AJ563" i="9" s="1"/>
  <c r="AX562" i="9"/>
  <c r="AV562" i="9"/>
  <c r="AU562" i="9"/>
  <c r="AT562" i="9"/>
  <c r="AW562" i="9" s="1"/>
  <c r="AX561" i="9"/>
  <c r="AV561" i="9"/>
  <c r="AU561" i="9"/>
  <c r="AT561" i="9"/>
  <c r="AW561" i="9" s="1"/>
  <c r="AV558" i="9"/>
  <c r="AT558" i="9"/>
  <c r="AW558" i="9" s="1"/>
  <c r="AI558" i="9"/>
  <c r="AJ558" i="9" s="1"/>
  <c r="AV557" i="9"/>
  <c r="AT557" i="9"/>
  <c r="AW557" i="9" s="1"/>
  <c r="AI557" i="9"/>
  <c r="AJ557" i="9" s="1"/>
  <c r="AV555" i="9"/>
  <c r="AT555" i="9"/>
  <c r="AW555" i="9" s="1"/>
  <c r="AI555" i="9"/>
  <c r="AJ555" i="9" s="1"/>
  <c r="AV554" i="9"/>
  <c r="AT554" i="9"/>
  <c r="AW554" i="9" s="1"/>
  <c r="AI554" i="9"/>
  <c r="AJ554" i="9" s="1"/>
  <c r="AU554" i="9" s="1"/>
  <c r="AX553" i="9"/>
  <c r="AV553" i="9"/>
  <c r="AU553" i="9"/>
  <c r="AT553" i="9"/>
  <c r="AW553" i="9" s="1"/>
  <c r="AV552" i="9"/>
  <c r="AT552" i="9"/>
  <c r="AW552" i="9" s="1"/>
  <c r="AI552" i="9"/>
  <c r="AJ552" i="9" s="1"/>
  <c r="AV550" i="9"/>
  <c r="AT550" i="9"/>
  <c r="AW550" i="9" s="1"/>
  <c r="AG550" i="9"/>
  <c r="AI550" i="9" s="1"/>
  <c r="AJ550" i="9" s="1"/>
  <c r="AU550" i="9" s="1"/>
  <c r="AV548" i="9"/>
  <c r="AT548" i="9"/>
  <c r="AW548" i="9" s="1"/>
  <c r="AE548" i="9"/>
  <c r="AV544" i="9"/>
  <c r="AT544" i="9"/>
  <c r="AW544" i="9" s="1"/>
  <c r="AI544" i="9"/>
  <c r="AJ544" i="9" s="1"/>
  <c r="AV541" i="9"/>
  <c r="AT541" i="9"/>
  <c r="AW541" i="9" s="1"/>
  <c r="AI541" i="9"/>
  <c r="AV540" i="9"/>
  <c r="AU540" i="9"/>
  <c r="AT540" i="9"/>
  <c r="AW540" i="9" s="1"/>
  <c r="AX536" i="9"/>
  <c r="AV536" i="9"/>
  <c r="AU536" i="9"/>
  <c r="AT536" i="9"/>
  <c r="AW536" i="9" s="1"/>
  <c r="AX534" i="9"/>
  <c r="AV534" i="9"/>
  <c r="AU534" i="9"/>
  <c r="AT534" i="9"/>
  <c r="AW534" i="9" s="1"/>
  <c r="AX531" i="9"/>
  <c r="AV531" i="9"/>
  <c r="AU531" i="9"/>
  <c r="AT531" i="9"/>
  <c r="AW531" i="9" s="1"/>
  <c r="AS522" i="9"/>
  <c r="AR522" i="9"/>
  <c r="AQ522" i="9"/>
  <c r="AP522" i="9"/>
  <c r="AO522" i="9"/>
  <c r="AN522" i="9"/>
  <c r="AM522" i="9"/>
  <c r="AL522" i="9"/>
  <c r="AK522" i="9"/>
  <c r="AF522" i="9"/>
  <c r="AE522" i="9"/>
  <c r="AD522" i="9"/>
  <c r="AV521" i="9"/>
  <c r="AT521" i="9"/>
  <c r="AW521" i="9" s="1"/>
  <c r="AI521" i="9"/>
  <c r="AJ521" i="9" s="1"/>
  <c r="AX521" i="9" s="1"/>
  <c r="AV515" i="9"/>
  <c r="AT515" i="9"/>
  <c r="AW515" i="9" s="1"/>
  <c r="AI515" i="9"/>
  <c r="AJ515" i="9" s="1"/>
  <c r="AU515" i="9" s="1"/>
  <c r="AV512" i="9"/>
  <c r="AT512" i="9"/>
  <c r="AW512" i="9" s="1"/>
  <c r="AJ512" i="9"/>
  <c r="AI512" i="9"/>
  <c r="AV510" i="9"/>
  <c r="AT510" i="9"/>
  <c r="AW510" i="9" s="1"/>
  <c r="AI510" i="9"/>
  <c r="AJ510" i="9" s="1"/>
  <c r="AX509" i="9"/>
  <c r="AV509" i="9"/>
  <c r="AU509" i="9"/>
  <c r="AT509" i="9"/>
  <c r="AW509" i="9" s="1"/>
  <c r="AX508" i="9"/>
  <c r="AV508" i="9"/>
  <c r="AU508" i="9"/>
  <c r="AT508" i="9"/>
  <c r="AW508" i="9" s="1"/>
  <c r="AV507" i="9"/>
  <c r="AT507" i="9"/>
  <c r="AW507" i="9" s="1"/>
  <c r="AI507" i="9"/>
  <c r="AJ507" i="9" s="1"/>
  <c r="AV499" i="9"/>
  <c r="AT499" i="9"/>
  <c r="AW499" i="9" s="1"/>
  <c r="AI499" i="9"/>
  <c r="AJ499" i="9" s="1"/>
  <c r="AV498" i="9"/>
  <c r="AT498" i="9"/>
  <c r="AW498" i="9" s="1"/>
  <c r="AI498" i="9"/>
  <c r="AJ498" i="9" s="1"/>
  <c r="AU498" i="9" s="1"/>
  <c r="AX492" i="9"/>
  <c r="AV492" i="9"/>
  <c r="AU492" i="9"/>
  <c r="AT492" i="9"/>
  <c r="AW492" i="9" s="1"/>
  <c r="AV491" i="9"/>
  <c r="AT491" i="9"/>
  <c r="AW491" i="9" s="1"/>
  <c r="AI491" i="9"/>
  <c r="AJ491" i="9" s="1"/>
  <c r="AV489" i="9"/>
  <c r="AT489" i="9"/>
  <c r="AW489" i="9" s="1"/>
  <c r="AI489" i="9"/>
  <c r="AJ489" i="9" s="1"/>
  <c r="AU489" i="9" s="1"/>
  <c r="AV488" i="9"/>
  <c r="AT488" i="9"/>
  <c r="AW488" i="9" s="1"/>
  <c r="AH488" i="9"/>
  <c r="AI488" i="9" s="1"/>
  <c r="AJ488" i="9" s="1"/>
  <c r="AX486" i="9"/>
  <c r="AV486" i="9"/>
  <c r="AU486" i="9"/>
  <c r="AT486" i="9"/>
  <c r="AW486" i="9" s="1"/>
  <c r="AV484" i="9"/>
  <c r="AT484" i="9"/>
  <c r="AW484" i="9" s="1"/>
  <c r="AI484" i="9"/>
  <c r="AJ484" i="9" s="1"/>
  <c r="AU484" i="9" s="1"/>
  <c r="AV483" i="9"/>
  <c r="AT483" i="9"/>
  <c r="AW483" i="9" s="1"/>
  <c r="AI483" i="9"/>
  <c r="AJ483" i="9" s="1"/>
  <c r="AX482" i="9"/>
  <c r="AV482" i="9"/>
  <c r="AU482" i="9"/>
  <c r="AT482" i="9"/>
  <c r="AW482" i="9" s="1"/>
  <c r="AV480" i="9"/>
  <c r="AT480" i="9"/>
  <c r="AW480" i="9" s="1"/>
  <c r="AH480" i="9"/>
  <c r="AI480" i="9" s="1"/>
  <c r="AJ480" i="9" s="1"/>
  <c r="AX479" i="9"/>
  <c r="AV479" i="9"/>
  <c r="AU479" i="9"/>
  <c r="AT479" i="9"/>
  <c r="AW479" i="9" s="1"/>
  <c r="AV477" i="9"/>
  <c r="AT477" i="9"/>
  <c r="AW477" i="9" s="1"/>
  <c r="AI477" i="9"/>
  <c r="AJ477" i="9" s="1"/>
  <c r="AU477" i="9" s="1"/>
  <c r="AV476" i="9"/>
  <c r="AT476" i="9"/>
  <c r="AW476" i="9" s="1"/>
  <c r="AI476" i="9"/>
  <c r="AJ476" i="9" s="1"/>
  <c r="AX476" i="9" s="1"/>
  <c r="AX475" i="9"/>
  <c r="AV475" i="9"/>
  <c r="AU475" i="9"/>
  <c r="AT475" i="9"/>
  <c r="AW475" i="9" s="1"/>
  <c r="AX473" i="9"/>
  <c r="AV473" i="9"/>
  <c r="AU473" i="9"/>
  <c r="AT473" i="9"/>
  <c r="AW473" i="9" s="1"/>
  <c r="AX472" i="9"/>
  <c r="AV472" i="9"/>
  <c r="AU472" i="9"/>
  <c r="AT472" i="9"/>
  <c r="AW472" i="9" s="1"/>
  <c r="AV470" i="9"/>
  <c r="AT470" i="9"/>
  <c r="AW470" i="9" s="1"/>
  <c r="AI470" i="9"/>
  <c r="AJ470" i="9" s="1"/>
  <c r="AU470" i="9" s="1"/>
  <c r="AV469" i="9"/>
  <c r="AT469" i="9"/>
  <c r="AW469" i="9" s="1"/>
  <c r="AI469" i="9"/>
  <c r="AJ469" i="9" s="1"/>
  <c r="AU469" i="9" s="1"/>
  <c r="AV465" i="9"/>
  <c r="AT465" i="9"/>
  <c r="AW465" i="9" s="1"/>
  <c r="AI465" i="9"/>
  <c r="AJ465" i="9" s="1"/>
  <c r="AU465" i="9" s="1"/>
  <c r="AX463" i="9"/>
  <c r="AV463" i="9"/>
  <c r="AU463" i="9"/>
  <c r="AT463" i="9"/>
  <c r="AW463" i="9" s="1"/>
  <c r="AX461" i="9"/>
  <c r="AV461" i="9"/>
  <c r="AU461" i="9"/>
  <c r="AT461" i="9"/>
  <c r="AW461" i="9" s="1"/>
  <c r="AV459" i="9"/>
  <c r="AT459" i="9"/>
  <c r="AW459" i="9" s="1"/>
  <c r="AI459" i="9"/>
  <c r="AJ459" i="9" s="1"/>
  <c r="AU459" i="9" s="1"/>
  <c r="AV456" i="9"/>
  <c r="AT456" i="9"/>
  <c r="AW456" i="9" s="1"/>
  <c r="AI456" i="9"/>
  <c r="AJ456" i="9" s="1"/>
  <c r="AV454" i="9"/>
  <c r="AT454" i="9"/>
  <c r="AW454" i="9" s="1"/>
  <c r="AI454" i="9"/>
  <c r="AJ454" i="9" s="1"/>
  <c r="AV453" i="9"/>
  <c r="AT453" i="9"/>
  <c r="AW453" i="9" s="1"/>
  <c r="AI453" i="9"/>
  <c r="AJ453" i="9" s="1"/>
  <c r="AV452" i="9"/>
  <c r="AT452" i="9"/>
  <c r="AW452" i="9" s="1"/>
  <c r="AI452" i="9"/>
  <c r="AJ452" i="9" s="1"/>
  <c r="AV451" i="9"/>
  <c r="AT451" i="9"/>
  <c r="AW451" i="9" s="1"/>
  <c r="AI451" i="9"/>
  <c r="AJ451" i="9" s="1"/>
  <c r="AV449" i="9"/>
  <c r="AT449" i="9"/>
  <c r="AW449" i="9" s="1"/>
  <c r="AI449" i="9"/>
  <c r="AJ449" i="9" s="1"/>
  <c r="AX445" i="9"/>
  <c r="AV445" i="9"/>
  <c r="AU445" i="9"/>
  <c r="AT445" i="9"/>
  <c r="AW445" i="9" s="1"/>
  <c r="AV441" i="9"/>
  <c r="AT441" i="9"/>
  <c r="AW441" i="9" s="1"/>
  <c r="AI441" i="9"/>
  <c r="AJ441" i="9" s="1"/>
  <c r="AX441" i="9" s="1"/>
  <c r="AV440" i="9"/>
  <c r="AT440" i="9"/>
  <c r="AW440" i="9" s="1"/>
  <c r="AI440" i="9"/>
  <c r="AJ440" i="9" s="1"/>
  <c r="AX440" i="9" s="1"/>
  <c r="AV439" i="9"/>
  <c r="AT439" i="9"/>
  <c r="AW439" i="9" s="1"/>
  <c r="AI439" i="9"/>
  <c r="AJ439" i="9" s="1"/>
  <c r="AU439" i="9" s="1"/>
  <c r="AV438" i="9"/>
  <c r="AT438" i="9"/>
  <c r="AW438" i="9" s="1"/>
  <c r="AI438" i="9"/>
  <c r="AJ438" i="9" s="1"/>
  <c r="AV437" i="9"/>
  <c r="AT437" i="9"/>
  <c r="AW437" i="9" s="1"/>
  <c r="AI437" i="9"/>
  <c r="AJ437" i="9" s="1"/>
  <c r="AV436" i="9"/>
  <c r="AT436" i="9"/>
  <c r="AW436" i="9" s="1"/>
  <c r="AI436" i="9"/>
  <c r="AJ436" i="9" s="1"/>
  <c r="AV435" i="9"/>
  <c r="AT435" i="9"/>
  <c r="AW435" i="9" s="1"/>
  <c r="AI435" i="9"/>
  <c r="AJ435" i="9" s="1"/>
  <c r="AU435" i="9" s="1"/>
  <c r="AV434" i="9"/>
  <c r="AT434" i="9"/>
  <c r="AW434" i="9" s="1"/>
  <c r="AI434" i="9"/>
  <c r="AJ434" i="9" s="1"/>
  <c r="AV432" i="9"/>
  <c r="AT432" i="9"/>
  <c r="AW432" i="9" s="1"/>
  <c r="AI432" i="9"/>
  <c r="AJ432" i="9" s="1"/>
  <c r="AX432" i="9" s="1"/>
  <c r="AV431" i="9"/>
  <c r="AT431" i="9"/>
  <c r="AW431" i="9" s="1"/>
  <c r="AI431" i="9"/>
  <c r="AJ431" i="9" s="1"/>
  <c r="AV430" i="9"/>
  <c r="AT430" i="9"/>
  <c r="AW430" i="9" s="1"/>
  <c r="AI430" i="9"/>
  <c r="AJ430" i="9" s="1"/>
  <c r="AV428" i="9"/>
  <c r="AT428" i="9"/>
  <c r="AW428" i="9" s="1"/>
  <c r="AI428" i="9"/>
  <c r="AJ428" i="9" s="1"/>
  <c r="AV423" i="9"/>
  <c r="AT423" i="9"/>
  <c r="AW423" i="9" s="1"/>
  <c r="AI423" i="9"/>
  <c r="AJ423" i="9" s="1"/>
  <c r="AV421" i="9"/>
  <c r="AT421" i="9"/>
  <c r="AW421" i="9" s="1"/>
  <c r="AI421" i="9"/>
  <c r="AJ421" i="9" s="1"/>
  <c r="AU421" i="9" s="1"/>
  <c r="AV417" i="9"/>
  <c r="AT417" i="9"/>
  <c r="AW417" i="9" s="1"/>
  <c r="AI417" i="9"/>
  <c r="AJ417" i="9" s="1"/>
  <c r="AV416" i="9"/>
  <c r="AT416" i="9"/>
  <c r="AW416" i="9" s="1"/>
  <c r="AI416" i="9"/>
  <c r="AJ416" i="9" s="1"/>
  <c r="AV414" i="9"/>
  <c r="AT414" i="9"/>
  <c r="AW414" i="9" s="1"/>
  <c r="AI414" i="9"/>
  <c r="AJ414" i="9" s="1"/>
  <c r="AX414" i="9" s="1"/>
  <c r="AV413" i="9"/>
  <c r="AT413" i="9"/>
  <c r="AW413" i="9" s="1"/>
  <c r="AI413" i="9"/>
  <c r="AJ413" i="9" s="1"/>
  <c r="AX413" i="9" s="1"/>
  <c r="AV412" i="9"/>
  <c r="AT412" i="9"/>
  <c r="AW412" i="9" s="1"/>
  <c r="AI412" i="9"/>
  <c r="AJ412" i="9" s="1"/>
  <c r="AV411" i="9"/>
  <c r="AT411" i="9"/>
  <c r="AW411" i="9" s="1"/>
  <c r="AI411" i="9"/>
  <c r="AJ411" i="9" s="1"/>
  <c r="AV410" i="9"/>
  <c r="AT410" i="9"/>
  <c r="AW410" i="9" s="1"/>
  <c r="AI410" i="9"/>
  <c r="AJ410" i="9" s="1"/>
  <c r="AV409" i="9"/>
  <c r="AT409" i="9"/>
  <c r="AW409" i="9" s="1"/>
  <c r="AI409" i="9"/>
  <c r="AJ409" i="9" s="1"/>
  <c r="AV404" i="9"/>
  <c r="AT404" i="9"/>
  <c r="AW404" i="9" s="1"/>
  <c r="AI404" i="9"/>
  <c r="AJ404" i="9" s="1"/>
  <c r="AU404" i="9" s="1"/>
  <c r="AV403" i="9"/>
  <c r="AT403" i="9"/>
  <c r="AW403" i="9" s="1"/>
  <c r="AG403" i="9"/>
  <c r="AG522" i="9" s="1"/>
  <c r="AX399" i="9"/>
  <c r="AV399" i="9"/>
  <c r="AU399" i="9"/>
  <c r="AT399" i="9"/>
  <c r="AW399" i="9" s="1"/>
  <c r="AX390" i="9"/>
  <c r="AV390" i="9"/>
  <c r="AU390" i="9"/>
  <c r="AT390" i="9"/>
  <c r="AW390" i="9" s="1"/>
  <c r="AX388" i="9"/>
  <c r="AV388" i="9"/>
  <c r="AU388" i="9"/>
  <c r="AT388" i="9"/>
  <c r="AW388" i="9" s="1"/>
  <c r="AX383" i="9"/>
  <c r="AV383" i="9"/>
  <c r="AU383" i="9"/>
  <c r="AT383" i="9"/>
  <c r="AW383" i="9" s="1"/>
  <c r="AX381" i="9"/>
  <c r="AV381" i="9"/>
  <c r="AU381" i="9"/>
  <c r="AT381" i="9"/>
  <c r="AW381" i="9" s="1"/>
  <c r="AX379" i="9"/>
  <c r="AV379" i="9"/>
  <c r="AU379" i="9"/>
  <c r="AT379" i="9"/>
  <c r="AW379" i="9" s="1"/>
  <c r="AX377" i="9"/>
  <c r="AV377" i="9"/>
  <c r="AU377" i="9"/>
  <c r="AT377" i="9"/>
  <c r="AW377" i="9" s="1"/>
  <c r="AX374" i="9"/>
  <c r="AV374" i="9"/>
  <c r="AU374" i="9"/>
  <c r="AT374" i="9"/>
  <c r="AW374" i="9" s="1"/>
  <c r="AX372" i="9"/>
  <c r="AV372" i="9"/>
  <c r="AU372" i="9"/>
  <c r="AT372" i="9"/>
  <c r="AW372" i="9" s="1"/>
  <c r="AX370" i="9"/>
  <c r="AV370" i="9"/>
  <c r="AU370" i="9"/>
  <c r="AT370" i="9"/>
  <c r="AW370" i="9" s="1"/>
  <c r="AX368" i="9"/>
  <c r="AV368" i="9"/>
  <c r="AU368" i="9"/>
  <c r="AT368" i="9"/>
  <c r="AW368" i="9" s="1"/>
  <c r="AX364" i="9"/>
  <c r="AV364" i="9"/>
  <c r="AU364" i="9"/>
  <c r="AT364" i="9"/>
  <c r="AW364" i="9" s="1"/>
  <c r="AX362" i="9"/>
  <c r="AV362" i="9"/>
  <c r="AU362" i="9"/>
  <c r="AT362" i="9"/>
  <c r="AW362" i="9" s="1"/>
  <c r="AX358" i="9"/>
  <c r="AV358" i="9"/>
  <c r="AU358" i="9"/>
  <c r="AT358" i="9"/>
  <c r="AW358" i="9" s="1"/>
  <c r="AX356" i="9"/>
  <c r="AV356" i="9"/>
  <c r="AU356" i="9"/>
  <c r="AT356" i="9"/>
  <c r="AW356" i="9" s="1"/>
  <c r="AX354" i="9"/>
  <c r="AV354" i="9"/>
  <c r="AU354" i="9"/>
  <c r="AT354" i="9"/>
  <c r="AW354" i="9" s="1"/>
  <c r="AX352" i="9"/>
  <c r="AV352" i="9"/>
  <c r="AU352" i="9"/>
  <c r="AT352" i="9"/>
  <c r="AW352" i="9" s="1"/>
  <c r="AX345" i="9"/>
  <c r="AV345" i="9"/>
  <c r="AU345" i="9"/>
  <c r="AT345" i="9"/>
  <c r="AW345" i="9" s="1"/>
  <c r="AX343" i="9"/>
  <c r="AV343" i="9"/>
  <c r="AU343" i="9"/>
  <c r="AT343" i="9"/>
  <c r="AW343" i="9" s="1"/>
  <c r="AX339" i="9"/>
  <c r="AV339" i="9"/>
  <c r="AU339" i="9"/>
  <c r="AT339" i="9"/>
  <c r="AW339" i="9" s="1"/>
  <c r="AX337" i="9"/>
  <c r="AV337" i="9"/>
  <c r="AU337" i="9"/>
  <c r="AT337" i="9"/>
  <c r="AW337" i="9" s="1"/>
  <c r="AX335" i="9"/>
  <c r="AV335" i="9"/>
  <c r="AU335" i="9"/>
  <c r="AT335" i="9"/>
  <c r="AW335" i="9" s="1"/>
  <c r="AX333" i="9"/>
  <c r="AV333" i="9"/>
  <c r="AU333" i="9"/>
  <c r="AT333" i="9"/>
  <c r="AW333" i="9" s="1"/>
  <c r="AX330" i="9"/>
  <c r="AV330" i="9"/>
  <c r="AU330" i="9"/>
  <c r="AT330" i="9"/>
  <c r="AW330" i="9" s="1"/>
  <c r="AX328" i="9"/>
  <c r="AV328" i="9"/>
  <c r="AU328" i="9"/>
  <c r="AT328" i="9"/>
  <c r="AW328" i="9" s="1"/>
  <c r="AX326" i="9"/>
  <c r="AV326" i="9"/>
  <c r="AU326" i="9"/>
  <c r="AT326" i="9"/>
  <c r="AW326" i="9" s="1"/>
  <c r="AX324" i="9"/>
  <c r="AV324" i="9"/>
  <c r="AU324" i="9"/>
  <c r="AT324" i="9"/>
  <c r="AW324" i="9" s="1"/>
  <c r="AV321" i="9"/>
  <c r="AT321" i="9"/>
  <c r="AW321" i="9" s="1"/>
  <c r="AI321" i="9"/>
  <c r="AJ321" i="9" s="1"/>
  <c r="AX321" i="9" s="1"/>
  <c r="AV319" i="9"/>
  <c r="AT319" i="9"/>
  <c r="AW319" i="9" s="1"/>
  <c r="AI319" i="9"/>
  <c r="AJ319" i="9" s="1"/>
  <c r="AV316" i="9"/>
  <c r="AT316" i="9"/>
  <c r="AW316" i="9" s="1"/>
  <c r="AI316" i="9"/>
  <c r="AJ316" i="9" s="1"/>
  <c r="AU316" i="9" s="1"/>
  <c r="AV314" i="9"/>
  <c r="AT314" i="9"/>
  <c r="AW314" i="9" s="1"/>
  <c r="AI314" i="9"/>
  <c r="AJ314" i="9" s="1"/>
  <c r="AV312" i="9"/>
  <c r="AT312" i="9"/>
  <c r="AW312" i="9" s="1"/>
  <c r="AI312" i="9"/>
  <c r="AJ312" i="9" s="1"/>
  <c r="AV310" i="9"/>
  <c r="AT310" i="9"/>
  <c r="AW310" i="9" s="1"/>
  <c r="AI310" i="9"/>
  <c r="AJ310" i="9" s="1"/>
  <c r="AX310" i="9" s="1"/>
  <c r="AV308" i="9"/>
  <c r="AT308" i="9"/>
  <c r="AW308" i="9" s="1"/>
  <c r="AI308" i="9"/>
  <c r="AJ308" i="9" s="1"/>
  <c r="AV306" i="9"/>
  <c r="AT306" i="9"/>
  <c r="AW306" i="9" s="1"/>
  <c r="AI306" i="9"/>
  <c r="AJ306" i="9" s="1"/>
  <c r="AV305" i="9"/>
  <c r="AT305" i="9"/>
  <c r="AW305" i="9" s="1"/>
  <c r="AI305" i="9"/>
  <c r="AJ305" i="9" s="1"/>
  <c r="AX305" i="9" s="1"/>
  <c r="AV304" i="9"/>
  <c r="AT304" i="9"/>
  <c r="AW304" i="9" s="1"/>
  <c r="AI304" i="9"/>
  <c r="AJ304" i="9" s="1"/>
  <c r="AX295" i="9"/>
  <c r="AV295" i="9"/>
  <c r="AU295" i="9"/>
  <c r="AT295" i="9"/>
  <c r="AW295" i="9" s="1"/>
  <c r="AX293" i="9"/>
  <c r="AV293" i="9"/>
  <c r="AU293" i="9"/>
  <c r="AT293" i="9"/>
  <c r="AW293" i="9" s="1"/>
  <c r="AX291" i="9"/>
  <c r="AV291" i="9"/>
  <c r="AU291" i="9"/>
  <c r="AT291" i="9"/>
  <c r="AW291" i="9" s="1"/>
  <c r="AX289" i="9"/>
  <c r="AV289" i="9"/>
  <c r="AU289" i="9"/>
  <c r="AT289" i="9"/>
  <c r="AW289" i="9" s="1"/>
  <c r="AX285" i="9"/>
  <c r="AV285" i="9"/>
  <c r="AU285" i="9"/>
  <c r="AT285" i="9"/>
  <c r="AW285" i="9" s="1"/>
  <c r="AT284" i="9"/>
  <c r="AX283" i="9"/>
  <c r="AV283" i="9"/>
  <c r="AU283" i="9"/>
  <c r="AT283" i="9"/>
  <c r="AW283" i="9" s="1"/>
  <c r="AT282" i="9"/>
  <c r="AX281" i="9"/>
  <c r="AV281" i="9"/>
  <c r="AU281" i="9"/>
  <c r="AT281" i="9"/>
  <c r="AW281" i="9" s="1"/>
  <c r="AT280" i="9"/>
  <c r="AX279" i="9"/>
  <c r="AV279" i="9"/>
  <c r="AU279" i="9"/>
  <c r="AT279" i="9"/>
  <c r="AW279" i="9" s="1"/>
  <c r="AT278" i="9"/>
  <c r="AX277" i="9"/>
  <c r="AV277" i="9"/>
  <c r="AU277" i="9"/>
  <c r="AT277" i="9"/>
  <c r="AW277" i="9" s="1"/>
  <c r="AT276" i="9"/>
  <c r="AX275" i="9"/>
  <c r="AV275" i="9"/>
  <c r="AU275" i="9"/>
  <c r="AT275" i="9"/>
  <c r="AW275" i="9" s="1"/>
  <c r="AX273" i="9"/>
  <c r="AV273" i="9"/>
  <c r="AU273" i="9"/>
  <c r="AT273" i="9"/>
  <c r="AW273" i="9" s="1"/>
  <c r="AX271" i="9"/>
  <c r="AV271" i="9"/>
  <c r="AU271" i="9"/>
  <c r="AT271" i="9"/>
  <c r="AW271" i="9" s="1"/>
  <c r="AX269" i="9"/>
  <c r="AV269" i="9"/>
  <c r="AU269" i="9"/>
  <c r="AT269" i="9"/>
  <c r="AW269" i="9" s="1"/>
  <c r="AX266" i="9"/>
  <c r="AV266" i="9"/>
  <c r="AU266" i="9"/>
  <c r="AT266" i="9"/>
  <c r="AW266" i="9" s="1"/>
  <c r="AX264" i="9"/>
  <c r="AV264" i="9"/>
  <c r="AU264" i="9"/>
  <c r="AT264" i="9"/>
  <c r="AW264" i="9" s="1"/>
  <c r="AX261" i="9"/>
  <c r="AV261" i="9"/>
  <c r="AU261" i="9"/>
  <c r="AT261" i="9"/>
  <c r="AW261" i="9" s="1"/>
  <c r="AV259" i="9"/>
  <c r="AT259" i="9"/>
  <c r="AW259" i="9" s="1"/>
  <c r="AI259" i="9"/>
  <c r="AJ259" i="9" s="1"/>
  <c r="AV256" i="9"/>
  <c r="AT256" i="9"/>
  <c r="AW256" i="9" s="1"/>
  <c r="AI256" i="9"/>
  <c r="AJ256" i="9" s="1"/>
  <c r="AU256" i="9" s="1"/>
  <c r="AV255" i="9"/>
  <c r="AT255" i="9"/>
  <c r="AW255" i="9" s="1"/>
  <c r="AI255" i="9"/>
  <c r="AJ255" i="9" s="1"/>
  <c r="AS244" i="9"/>
  <c r="AR244" i="9"/>
  <c r="AQ244" i="9"/>
  <c r="AP244" i="9"/>
  <c r="AN244" i="9"/>
  <c r="AM244" i="9"/>
  <c r="AK244" i="9"/>
  <c r="AH244" i="9"/>
  <c r="AF244" i="9"/>
  <c r="AE244" i="9"/>
  <c r="AD244" i="9"/>
  <c r="AV243" i="9"/>
  <c r="AT243" i="9"/>
  <c r="AW243" i="9" s="1"/>
  <c r="AI243" i="9"/>
  <c r="AJ243" i="9" s="1"/>
  <c r="AV239" i="9"/>
  <c r="AT239" i="9"/>
  <c r="AW239" i="9" s="1"/>
  <c r="AI239" i="9"/>
  <c r="AJ239" i="9" s="1"/>
  <c r="AU239" i="9" s="1"/>
  <c r="AV236" i="9"/>
  <c r="AT236" i="9"/>
  <c r="AW236" i="9" s="1"/>
  <c r="AI236" i="9"/>
  <c r="AJ236" i="9" s="1"/>
  <c r="AU236" i="9" s="1"/>
  <c r="AV233" i="9"/>
  <c r="AT233" i="9"/>
  <c r="AW233" i="9" s="1"/>
  <c r="AI233" i="9"/>
  <c r="AJ233" i="9" s="1"/>
  <c r="AV232" i="9"/>
  <c r="AT232" i="9"/>
  <c r="AW232" i="9" s="1"/>
  <c r="AI232" i="9"/>
  <c r="AJ232" i="9" s="1"/>
  <c r="AV230" i="9"/>
  <c r="AT230" i="9"/>
  <c r="AW230" i="9" s="1"/>
  <c r="AI230" i="9"/>
  <c r="AJ230" i="9" s="1"/>
  <c r="AV228" i="9"/>
  <c r="AT228" i="9"/>
  <c r="AW228" i="9" s="1"/>
  <c r="AI228" i="9"/>
  <c r="AJ228" i="9" s="1"/>
  <c r="AV226" i="9"/>
  <c r="AT226" i="9"/>
  <c r="AW226" i="9" s="1"/>
  <c r="AI226" i="9"/>
  <c r="AJ226" i="9" s="1"/>
  <c r="AU226" i="9" s="1"/>
  <c r="AV224" i="9"/>
  <c r="AT224" i="9"/>
  <c r="AW224" i="9" s="1"/>
  <c r="AI224" i="9"/>
  <c r="AJ224" i="9" s="1"/>
  <c r="AV222" i="9"/>
  <c r="AT222" i="9"/>
  <c r="AW222" i="9" s="1"/>
  <c r="AI222" i="9"/>
  <c r="AJ222" i="9" s="1"/>
  <c r="AV220" i="9"/>
  <c r="AT220" i="9"/>
  <c r="AW220" i="9" s="1"/>
  <c r="AI220" i="9"/>
  <c r="AJ220" i="9" s="1"/>
  <c r="AV219" i="9"/>
  <c r="AU219" i="9"/>
  <c r="AT219" i="9"/>
  <c r="AW219" i="9" s="1"/>
  <c r="AV218" i="9"/>
  <c r="AT218" i="9"/>
  <c r="AW218" i="9" s="1"/>
  <c r="AI218" i="9"/>
  <c r="AJ218" i="9" s="1"/>
  <c r="AX218" i="9" s="1"/>
  <c r="AV217" i="9"/>
  <c r="AT217" i="9"/>
  <c r="AW217" i="9" s="1"/>
  <c r="AI217" i="9"/>
  <c r="AJ217" i="9" s="1"/>
  <c r="AX217" i="9" s="1"/>
  <c r="AV215" i="9"/>
  <c r="AT215" i="9"/>
  <c r="AW215" i="9" s="1"/>
  <c r="AI215" i="9"/>
  <c r="AJ215" i="9" s="1"/>
  <c r="AV212" i="9"/>
  <c r="AT212" i="9"/>
  <c r="AW212" i="9" s="1"/>
  <c r="AG212" i="9"/>
  <c r="AI212" i="9" s="1"/>
  <c r="AJ212" i="9" s="1"/>
  <c r="AV207" i="9"/>
  <c r="AT207" i="9"/>
  <c r="AW207" i="9" s="1"/>
  <c r="AI207" i="9"/>
  <c r="AJ207" i="9" s="1"/>
  <c r="AV205" i="9"/>
  <c r="AT205" i="9"/>
  <c r="AW205" i="9" s="1"/>
  <c r="AI205" i="9"/>
  <c r="AJ205" i="9" s="1"/>
  <c r="AU205" i="9" s="1"/>
  <c r="AV204" i="9"/>
  <c r="AT204" i="9"/>
  <c r="AW204" i="9" s="1"/>
  <c r="AI204" i="9"/>
  <c r="AJ204" i="9" s="1"/>
  <c r="AV202" i="9"/>
  <c r="AT202" i="9"/>
  <c r="AW202" i="9" s="1"/>
  <c r="AI202" i="9"/>
  <c r="AJ202" i="9" s="1"/>
  <c r="AV200" i="9"/>
  <c r="AT200" i="9"/>
  <c r="AI200" i="9"/>
  <c r="AX189" i="9"/>
  <c r="AV189" i="9"/>
  <c r="AU189" i="9"/>
  <c r="AT189" i="9"/>
  <c r="AW189" i="9" s="1"/>
  <c r="AS188" i="9"/>
  <c r="AR188" i="9"/>
  <c r="AQ188" i="9"/>
  <c r="AP188" i="9"/>
  <c r="AO188" i="9"/>
  <c r="AN188" i="9"/>
  <c r="AM188" i="9"/>
  <c r="AL188" i="9"/>
  <c r="AK188" i="9"/>
  <c r="AJ188" i="9"/>
  <c r="AI188" i="9"/>
  <c r="AH188" i="9"/>
  <c r="AG188" i="9"/>
  <c r="AF188" i="9"/>
  <c r="AE188" i="9"/>
  <c r="AD188" i="9"/>
  <c r="AV187" i="9"/>
  <c r="AT187" i="9"/>
  <c r="AW187" i="9" s="1"/>
  <c r="AI187" i="9"/>
  <c r="AV186" i="9"/>
  <c r="AT186" i="9"/>
  <c r="AW186" i="9" s="1"/>
  <c r="AI186" i="9"/>
  <c r="AJ186" i="9" s="1"/>
  <c r="AU186" i="9" s="1"/>
  <c r="AX185" i="9"/>
  <c r="AV185" i="9"/>
  <c r="AU185" i="9"/>
  <c r="AT185" i="9"/>
  <c r="AW185" i="9" s="1"/>
  <c r="AX184" i="9"/>
  <c r="AV184" i="9"/>
  <c r="AU184" i="9"/>
  <c r="AT184" i="9"/>
  <c r="AW184" i="9" s="1"/>
  <c r="AX183" i="9"/>
  <c r="AV183" i="9"/>
  <c r="AU183" i="9"/>
  <c r="AT183" i="9"/>
  <c r="AW183" i="9" s="1"/>
  <c r="AX182" i="9"/>
  <c r="AV182" i="9"/>
  <c r="AU182" i="9"/>
  <c r="AT182" i="9"/>
  <c r="AS181" i="9"/>
  <c r="AR181" i="9"/>
  <c r="AQ181" i="9"/>
  <c r="AP181" i="9"/>
  <c r="AO181" i="9"/>
  <c r="AN181" i="9"/>
  <c r="AM181" i="9"/>
  <c r="AL181" i="9"/>
  <c r="AK181" i="9"/>
  <c r="AH181" i="9"/>
  <c r="AG181" i="9"/>
  <c r="AF181" i="9"/>
  <c r="AE181" i="9"/>
  <c r="AD181" i="9"/>
  <c r="AV179" i="9"/>
  <c r="AT179" i="9"/>
  <c r="AW179" i="9" s="1"/>
  <c r="AE179" i="9"/>
  <c r="AI179" i="9" s="1"/>
  <c r="AJ179" i="9" s="1"/>
  <c r="AX178" i="9"/>
  <c r="AV178" i="9"/>
  <c r="AV177" i="9" s="1"/>
  <c r="AV176" i="9" s="1"/>
  <c r="AV175" i="9" s="1"/>
  <c r="AU178" i="9"/>
  <c r="AU177" i="9" s="1"/>
  <c r="AU176" i="9" s="1"/>
  <c r="AU175" i="9" s="1"/>
  <c r="AT178" i="9"/>
  <c r="AS177" i="9"/>
  <c r="AS176" i="9" s="1"/>
  <c r="AS175" i="9" s="1"/>
  <c r="AR177" i="9"/>
  <c r="AR176" i="9" s="1"/>
  <c r="AR175" i="9" s="1"/>
  <c r="AQ177" i="9"/>
  <c r="AQ176" i="9" s="1"/>
  <c r="AQ175" i="9" s="1"/>
  <c r="AP177" i="9"/>
  <c r="AP176" i="9" s="1"/>
  <c r="AP175" i="9" s="1"/>
  <c r="AO177" i="9"/>
  <c r="AO176" i="9" s="1"/>
  <c r="AO175" i="9" s="1"/>
  <c r="AN177" i="9"/>
  <c r="AN176" i="9" s="1"/>
  <c r="AN175" i="9" s="1"/>
  <c r="AM177" i="9"/>
  <c r="AM176" i="9" s="1"/>
  <c r="AM175" i="9" s="1"/>
  <c r="AL177" i="9"/>
  <c r="AL176" i="9" s="1"/>
  <c r="AL175" i="9" s="1"/>
  <c r="AK177" i="9"/>
  <c r="AK176" i="9" s="1"/>
  <c r="AK175" i="9" s="1"/>
  <c r="AJ177" i="9"/>
  <c r="AJ176" i="9" s="1"/>
  <c r="AJ175" i="9" s="1"/>
  <c r="AD177" i="9"/>
  <c r="AD176" i="9" s="1"/>
  <c r="AD175" i="9" s="1"/>
  <c r="AX174" i="9"/>
  <c r="AV174" i="9"/>
  <c r="AU174" i="9"/>
  <c r="AT174" i="9"/>
  <c r="AW174" i="9" s="1"/>
  <c r="AS173" i="9"/>
  <c r="AS172" i="9" s="1"/>
  <c r="AR173" i="9"/>
  <c r="AR172" i="9" s="1"/>
  <c r="AR171" i="9" s="1"/>
  <c r="AR170" i="9" s="1"/>
  <c r="AQ173" i="9"/>
  <c r="AP173" i="9"/>
  <c r="AO173" i="9"/>
  <c r="AO172" i="9" s="1"/>
  <c r="AO171" i="9" s="1"/>
  <c r="AO170" i="9" s="1"/>
  <c r="AN173" i="9"/>
  <c r="AN172" i="9" s="1"/>
  <c r="AN171" i="9" s="1"/>
  <c r="AN170" i="9" s="1"/>
  <c r="AM173" i="9"/>
  <c r="AL173" i="9"/>
  <c r="AL172" i="9" s="1"/>
  <c r="AL171" i="9" s="1"/>
  <c r="AL170" i="9" s="1"/>
  <c r="AK173" i="9"/>
  <c r="AK172" i="9" s="1"/>
  <c r="AK171" i="9" s="1"/>
  <c r="AK170" i="9" s="1"/>
  <c r="AJ173" i="9"/>
  <c r="AJ172" i="9" s="1"/>
  <c r="AJ171" i="9" s="1"/>
  <c r="AJ170" i="9" s="1"/>
  <c r="AI173" i="9"/>
  <c r="AI172" i="9" s="1"/>
  <c r="AI171" i="9" s="1"/>
  <c r="AI170" i="9" s="1"/>
  <c r="AH173" i="9"/>
  <c r="AH172" i="9" s="1"/>
  <c r="AH171" i="9" s="1"/>
  <c r="AH170" i="9" s="1"/>
  <c r="AG173" i="9"/>
  <c r="AG172" i="9" s="1"/>
  <c r="AG171" i="9" s="1"/>
  <c r="AG170" i="9" s="1"/>
  <c r="AF173" i="9"/>
  <c r="AF172" i="9" s="1"/>
  <c r="AF171" i="9" s="1"/>
  <c r="AF170" i="9" s="1"/>
  <c r="AE173" i="9"/>
  <c r="AE172" i="9" s="1"/>
  <c r="AE171" i="9" s="1"/>
  <c r="AE170" i="9" s="1"/>
  <c r="AD173" i="9"/>
  <c r="AD172" i="9" s="1"/>
  <c r="AD171" i="9" s="1"/>
  <c r="AD170" i="9" s="1"/>
  <c r="AX169" i="9"/>
  <c r="AV169" i="9"/>
  <c r="AU169" i="9"/>
  <c r="AT169" i="9"/>
  <c r="AW169" i="9" s="1"/>
  <c r="AS168" i="9"/>
  <c r="AR168" i="9"/>
  <c r="AR167" i="9" s="1"/>
  <c r="AR166" i="9" s="1"/>
  <c r="AR165" i="9" s="1"/>
  <c r="AQ168" i="9"/>
  <c r="AQ167" i="9" s="1"/>
  <c r="AQ166" i="9" s="1"/>
  <c r="AP168" i="9"/>
  <c r="AP167" i="9" s="1"/>
  <c r="AP166" i="9" s="1"/>
  <c r="AO168" i="9"/>
  <c r="AO167" i="9" s="1"/>
  <c r="AO166" i="9" s="1"/>
  <c r="AO165" i="9" s="1"/>
  <c r="AN168" i="9"/>
  <c r="AN167" i="9" s="1"/>
  <c r="AN166" i="9" s="1"/>
  <c r="AN165" i="9" s="1"/>
  <c r="AM168" i="9"/>
  <c r="AL168" i="9"/>
  <c r="AL167" i="9" s="1"/>
  <c r="AL166" i="9" s="1"/>
  <c r="AL165" i="9" s="1"/>
  <c r="AK168" i="9"/>
  <c r="AK167" i="9" s="1"/>
  <c r="AK166" i="9" s="1"/>
  <c r="AK165" i="9" s="1"/>
  <c r="AJ168" i="9"/>
  <c r="AI168" i="9"/>
  <c r="AI167" i="9" s="1"/>
  <c r="AI166" i="9" s="1"/>
  <c r="AI165" i="9" s="1"/>
  <c r="AH168" i="9"/>
  <c r="AH167" i="9" s="1"/>
  <c r="AH166" i="9" s="1"/>
  <c r="AH165" i="9" s="1"/>
  <c r="AG168" i="9"/>
  <c r="AG167" i="9" s="1"/>
  <c r="AG166" i="9" s="1"/>
  <c r="AG165" i="9" s="1"/>
  <c r="AF168" i="9"/>
  <c r="AF167" i="9" s="1"/>
  <c r="AF166" i="9" s="1"/>
  <c r="AF165" i="9" s="1"/>
  <c r="AE168" i="9"/>
  <c r="AE167" i="9" s="1"/>
  <c r="AE166" i="9" s="1"/>
  <c r="AE165" i="9" s="1"/>
  <c r="AD168" i="9"/>
  <c r="AD167" i="9" s="1"/>
  <c r="AD166" i="9" s="1"/>
  <c r="AD165" i="9" s="1"/>
  <c r="AX162" i="9"/>
  <c r="AV162" i="9"/>
  <c r="AU162" i="9"/>
  <c r="AT162" i="9"/>
  <c r="AW162" i="9" s="1"/>
  <c r="AX161" i="9"/>
  <c r="AV161" i="9"/>
  <c r="AU161" i="9"/>
  <c r="AT161" i="9"/>
  <c r="AW161" i="9" s="1"/>
  <c r="AS160" i="9"/>
  <c r="AR160" i="9"/>
  <c r="AR159" i="9" s="1"/>
  <c r="AQ160" i="9"/>
  <c r="AP160" i="9"/>
  <c r="AP159" i="9" s="1"/>
  <c r="AO160" i="9"/>
  <c r="AO159" i="9" s="1"/>
  <c r="AN160" i="9"/>
  <c r="AN159" i="9" s="1"/>
  <c r="AM160" i="9"/>
  <c r="AM159" i="9" s="1"/>
  <c r="AL160" i="9"/>
  <c r="AL159" i="9" s="1"/>
  <c r="AK160" i="9"/>
  <c r="AK159" i="9" s="1"/>
  <c r="AJ160" i="9"/>
  <c r="AI160" i="9"/>
  <c r="AI159" i="9" s="1"/>
  <c r="AH160" i="9"/>
  <c r="AH159" i="9" s="1"/>
  <c r="AG160" i="9"/>
  <c r="AG159" i="9" s="1"/>
  <c r="AF160" i="9"/>
  <c r="AF159" i="9" s="1"/>
  <c r="AE160" i="9"/>
  <c r="AE159" i="9" s="1"/>
  <c r="AD160" i="9"/>
  <c r="AD159" i="9" s="1"/>
  <c r="AS159" i="9"/>
  <c r="AV158" i="9"/>
  <c r="AT158" i="9"/>
  <c r="AW158" i="9" s="1"/>
  <c r="AI158" i="9"/>
  <c r="AJ158" i="9" s="1"/>
  <c r="AU158" i="9" s="1"/>
  <c r="AX157" i="9"/>
  <c r="AV157" i="9"/>
  <c r="AU157" i="9"/>
  <c r="AT157" i="9"/>
  <c r="AW157" i="9" s="1"/>
  <c r="AX156" i="9"/>
  <c r="AV156" i="9"/>
  <c r="AU156" i="9"/>
  <c r="AT156" i="9"/>
  <c r="AW156" i="9" s="1"/>
  <c r="AS155" i="9"/>
  <c r="AS154" i="9" s="1"/>
  <c r="AR155" i="9"/>
  <c r="AR154" i="9" s="1"/>
  <c r="AQ155" i="9"/>
  <c r="AP155" i="9"/>
  <c r="AP154" i="9" s="1"/>
  <c r="AO155" i="9"/>
  <c r="AO154" i="9" s="1"/>
  <c r="AN155" i="9"/>
  <c r="AN154" i="9" s="1"/>
  <c r="AM155" i="9"/>
  <c r="AK155" i="9"/>
  <c r="AK154" i="9" s="1"/>
  <c r="AJ155" i="9"/>
  <c r="AI155" i="9"/>
  <c r="AH155" i="9"/>
  <c r="AH154" i="9" s="1"/>
  <c r="AG155" i="9"/>
  <c r="AG154" i="9" s="1"/>
  <c r="AF155" i="9"/>
  <c r="AF154" i="9" s="1"/>
  <c r="AE155" i="9"/>
  <c r="AE154" i="9" s="1"/>
  <c r="AD155" i="9"/>
  <c r="AD154" i="9" s="1"/>
  <c r="AV153" i="9"/>
  <c r="AT153" i="9"/>
  <c r="AW153" i="9" s="1"/>
  <c r="AI153" i="9"/>
  <c r="AJ153" i="9" s="1"/>
  <c r="AU153" i="9" s="1"/>
  <c r="AG153" i="9"/>
  <c r="AX152" i="9"/>
  <c r="AV152" i="9"/>
  <c r="AU152" i="9"/>
  <c r="AT152" i="9"/>
  <c r="AW152" i="9" s="1"/>
  <c r="AX151" i="9"/>
  <c r="AV151" i="9"/>
  <c r="AV150" i="9" s="1"/>
  <c r="AU151" i="9"/>
  <c r="AU150" i="9" s="1"/>
  <c r="AT151" i="9"/>
  <c r="AT150" i="9" s="1"/>
  <c r="AS150" i="9"/>
  <c r="AR150" i="9"/>
  <c r="AQ150" i="9"/>
  <c r="AP150" i="9"/>
  <c r="AO150" i="9"/>
  <c r="AN150" i="9"/>
  <c r="AM150" i="9"/>
  <c r="AL150" i="9"/>
  <c r="AK150" i="9"/>
  <c r="AJ150" i="9"/>
  <c r="AI150" i="9"/>
  <c r="AH150" i="9"/>
  <c r="AG150" i="9"/>
  <c r="AF150" i="9"/>
  <c r="AE150" i="9"/>
  <c r="AD150" i="9"/>
  <c r="AV148" i="9"/>
  <c r="AV143" i="9" s="1"/>
  <c r="AT148" i="9"/>
  <c r="AI148" i="9"/>
  <c r="AD143" i="9"/>
  <c r="AX142" i="9"/>
  <c r="AV142" i="9"/>
  <c r="AU142" i="9"/>
  <c r="AT142" i="9"/>
  <c r="AW142" i="9" s="1"/>
  <c r="AX141" i="9"/>
  <c r="AV141" i="9"/>
  <c r="AU141" i="9"/>
  <c r="AT141" i="9"/>
  <c r="AW141" i="9" s="1"/>
  <c r="AL140" i="9"/>
  <c r="AL139" i="9" s="1"/>
  <c r="AS140" i="9"/>
  <c r="AS139" i="9" s="1"/>
  <c r="AR140" i="9"/>
  <c r="AR139" i="9" s="1"/>
  <c r="AQ140" i="9"/>
  <c r="AP140" i="9"/>
  <c r="AO140" i="9"/>
  <c r="AO139" i="9" s="1"/>
  <c r="AN140" i="9"/>
  <c r="AN139" i="9" s="1"/>
  <c r="AM140" i="9"/>
  <c r="AK140" i="9"/>
  <c r="AK139" i="9" s="1"/>
  <c r="AJ140" i="9"/>
  <c r="AJ139" i="9" s="1"/>
  <c r="AI140" i="9"/>
  <c r="AI139" i="9" s="1"/>
  <c r="AH140" i="9"/>
  <c r="AH139" i="9" s="1"/>
  <c r="AG140" i="9"/>
  <c r="AG139" i="9" s="1"/>
  <c r="AF140" i="9"/>
  <c r="AF139" i="9" s="1"/>
  <c r="AE140" i="9"/>
  <c r="AE139" i="9" s="1"/>
  <c r="AD140" i="9"/>
  <c r="AD139" i="9" s="1"/>
  <c r="AX138" i="9"/>
  <c r="AV138" i="9"/>
  <c r="AU138" i="9"/>
  <c r="AT138" i="9"/>
  <c r="AW138" i="9" s="1"/>
  <c r="AV137" i="9"/>
  <c r="AT137" i="9"/>
  <c r="AW137" i="9" s="1"/>
  <c r="AI137" i="9"/>
  <c r="AJ137" i="9" s="1"/>
  <c r="AV136" i="9"/>
  <c r="AU136" i="9"/>
  <c r="AT136" i="9"/>
  <c r="AW136" i="9" s="1"/>
  <c r="AV135" i="9"/>
  <c r="AT135" i="9"/>
  <c r="AW135" i="9" s="1"/>
  <c r="AL134" i="9"/>
  <c r="AI135" i="9"/>
  <c r="AI134" i="9" s="1"/>
  <c r="AS134" i="9"/>
  <c r="AR134" i="9"/>
  <c r="AQ134" i="9"/>
  <c r="AP134" i="9"/>
  <c r="AO134" i="9"/>
  <c r="AN134" i="9"/>
  <c r="AM134" i="9"/>
  <c r="AK134" i="9"/>
  <c r="AH134" i="9"/>
  <c r="AG134" i="9"/>
  <c r="AF134" i="9"/>
  <c r="AE134" i="9"/>
  <c r="AD134" i="9"/>
  <c r="AX133" i="9"/>
  <c r="AV133" i="9"/>
  <c r="AU133" i="9"/>
  <c r="AT133" i="9"/>
  <c r="AW133" i="9" s="1"/>
  <c r="AX132" i="9"/>
  <c r="AV132" i="9"/>
  <c r="AU132" i="9"/>
  <c r="AT132" i="9"/>
  <c r="AW132" i="9" s="1"/>
  <c r="AS131" i="9"/>
  <c r="AR131" i="9"/>
  <c r="AQ131" i="9"/>
  <c r="AP131" i="9"/>
  <c r="AO131" i="9"/>
  <c r="AN131" i="9"/>
  <c r="AM131" i="9"/>
  <c r="AK131" i="9"/>
  <c r="AJ131" i="9"/>
  <c r="AI131" i="9"/>
  <c r="AH131" i="9"/>
  <c r="AG131" i="9"/>
  <c r="AF131" i="9"/>
  <c r="AE131" i="9"/>
  <c r="AD131" i="9"/>
  <c r="AV130" i="9"/>
  <c r="AT130" i="9"/>
  <c r="AW130" i="9" s="1"/>
  <c r="AI130" i="9"/>
  <c r="AJ130" i="9" s="1"/>
  <c r="AX129" i="9"/>
  <c r="AV129" i="9"/>
  <c r="AU129" i="9"/>
  <c r="AT129" i="9"/>
  <c r="AW129" i="9" s="1"/>
  <c r="AX128" i="9"/>
  <c r="AV128" i="9"/>
  <c r="AU128" i="9"/>
  <c r="AT128" i="9"/>
  <c r="AW128" i="9" s="1"/>
  <c r="AV127" i="9"/>
  <c r="AT127" i="9"/>
  <c r="AS126" i="9"/>
  <c r="AS125" i="9" s="1"/>
  <c r="AR126" i="9"/>
  <c r="AR125" i="9" s="1"/>
  <c r="AQ126" i="9"/>
  <c r="AQ125" i="9" s="1"/>
  <c r="AP126" i="9"/>
  <c r="AP125" i="9" s="1"/>
  <c r="AO126" i="9"/>
  <c r="AO125" i="9" s="1"/>
  <c r="AN126" i="9"/>
  <c r="AN125" i="9" s="1"/>
  <c r="AM126" i="9"/>
  <c r="AM125" i="9" s="1"/>
  <c r="AK126" i="9"/>
  <c r="AK125" i="9" s="1"/>
  <c r="AG126" i="9"/>
  <c r="AG125" i="9" s="1"/>
  <c r="AF126" i="9"/>
  <c r="AF125" i="9" s="1"/>
  <c r="AE126" i="9"/>
  <c r="AE125" i="9" s="1"/>
  <c r="AD126" i="9"/>
  <c r="AD125" i="9" s="1"/>
  <c r="AX122" i="9"/>
  <c r="AV122" i="9"/>
  <c r="AU122" i="9"/>
  <c r="AT122" i="9"/>
  <c r="AW122" i="9" s="1"/>
  <c r="AX121" i="9"/>
  <c r="AV121" i="9"/>
  <c r="AU121" i="9"/>
  <c r="AT121" i="9"/>
  <c r="AW121" i="9" s="1"/>
  <c r="AS120" i="9"/>
  <c r="AS119" i="9" s="1"/>
  <c r="AS118" i="9" s="1"/>
  <c r="AS117" i="9" s="1"/>
  <c r="AR120" i="9"/>
  <c r="AR119" i="9" s="1"/>
  <c r="AR118" i="9" s="1"/>
  <c r="AR117" i="9" s="1"/>
  <c r="AQ120" i="9"/>
  <c r="AQ119" i="9" s="1"/>
  <c r="AQ118" i="9" s="1"/>
  <c r="AP120" i="9"/>
  <c r="AP119" i="9" s="1"/>
  <c r="AP118" i="9" s="1"/>
  <c r="AP117" i="9" s="1"/>
  <c r="AO120" i="9"/>
  <c r="AO119" i="9" s="1"/>
  <c r="AO118" i="9" s="1"/>
  <c r="AO117" i="9" s="1"/>
  <c r="AN120" i="9"/>
  <c r="AN119" i="9" s="1"/>
  <c r="AN118" i="9" s="1"/>
  <c r="AN117" i="9" s="1"/>
  <c r="AM120" i="9"/>
  <c r="AK120" i="9"/>
  <c r="AK119" i="9" s="1"/>
  <c r="AK118" i="9" s="1"/>
  <c r="AK117" i="9" s="1"/>
  <c r="AJ120" i="9"/>
  <c r="AI120" i="9"/>
  <c r="AI119" i="9" s="1"/>
  <c r="AI118" i="9" s="1"/>
  <c r="AI117" i="9" s="1"/>
  <c r="AH120" i="9"/>
  <c r="AH119" i="9" s="1"/>
  <c r="AH118" i="9" s="1"/>
  <c r="AH117" i="9" s="1"/>
  <c r="AG120" i="9"/>
  <c r="AG119" i="9" s="1"/>
  <c r="AG118" i="9" s="1"/>
  <c r="AG117" i="9" s="1"/>
  <c r="AF120" i="9"/>
  <c r="AF119" i="9" s="1"/>
  <c r="AF118" i="9" s="1"/>
  <c r="AF117" i="9" s="1"/>
  <c r="AE120" i="9"/>
  <c r="AE119" i="9" s="1"/>
  <c r="AE118" i="9" s="1"/>
  <c r="AE117" i="9" s="1"/>
  <c r="AD120" i="9"/>
  <c r="AD119" i="9" s="1"/>
  <c r="AD118" i="9" s="1"/>
  <c r="AD117" i="9" s="1"/>
  <c r="AV116" i="9"/>
  <c r="AT116" i="9"/>
  <c r="AW116" i="9" s="1"/>
  <c r="AG116" i="9"/>
  <c r="AG104" i="9" s="1"/>
  <c r="AG103" i="9" s="1"/>
  <c r="AV115" i="9"/>
  <c r="AT115" i="9"/>
  <c r="AW115" i="9" s="1"/>
  <c r="AI115" i="9"/>
  <c r="AJ115" i="9" s="1"/>
  <c r="AU115" i="9" s="1"/>
  <c r="AX114" i="9"/>
  <c r="AV114" i="9"/>
  <c r="AU114" i="9"/>
  <c r="AT114" i="9"/>
  <c r="AW114" i="9" s="1"/>
  <c r="AX113" i="9"/>
  <c r="AV113" i="9"/>
  <c r="AU113" i="9"/>
  <c r="AT113" i="9"/>
  <c r="AW113" i="9" s="1"/>
  <c r="AV112" i="9"/>
  <c r="AT112" i="9"/>
  <c r="AW112" i="9" s="1"/>
  <c r="AI112" i="9"/>
  <c r="AJ112" i="9" s="1"/>
  <c r="AX112" i="9" s="1"/>
  <c r="AX111" i="9"/>
  <c r="AV111" i="9"/>
  <c r="AU111" i="9"/>
  <c r="AT111" i="9"/>
  <c r="AW111" i="9" s="1"/>
  <c r="AX110" i="9"/>
  <c r="AV110" i="9"/>
  <c r="AU110" i="9"/>
  <c r="AT110" i="9"/>
  <c r="AW110" i="9" s="1"/>
  <c r="AX109" i="9"/>
  <c r="AV109" i="9"/>
  <c r="AU109" i="9"/>
  <c r="AT109" i="9"/>
  <c r="AW109" i="9" s="1"/>
  <c r="AX108" i="9"/>
  <c r="AV108" i="9"/>
  <c r="AU108" i="9"/>
  <c r="AT108" i="9"/>
  <c r="AW108" i="9" s="1"/>
  <c r="AX107" i="9"/>
  <c r="AV107" i="9"/>
  <c r="AU107" i="9"/>
  <c r="AT107" i="9"/>
  <c r="AX106" i="9"/>
  <c r="AV106" i="9"/>
  <c r="AU106" i="9"/>
  <c r="AT106" i="9"/>
  <c r="AW106" i="9" s="1"/>
  <c r="AV105" i="9"/>
  <c r="AT105" i="9"/>
  <c r="AW105" i="9" s="1"/>
  <c r="AI105" i="9"/>
  <c r="AJ105" i="9" s="1"/>
  <c r="AS104" i="9"/>
  <c r="AS103" i="9" s="1"/>
  <c r="AR104" i="9"/>
  <c r="AR103" i="9" s="1"/>
  <c r="AQ104" i="9"/>
  <c r="AQ103" i="9" s="1"/>
  <c r="AP104" i="9"/>
  <c r="AP103" i="9" s="1"/>
  <c r="AO104" i="9"/>
  <c r="AO103" i="9" s="1"/>
  <c r="AN104" i="9"/>
  <c r="AN103" i="9" s="1"/>
  <c r="AM104" i="9"/>
  <c r="AM103" i="9" s="1"/>
  <c r="AK104" i="9"/>
  <c r="AK103" i="9" s="1"/>
  <c r="AH104" i="9"/>
  <c r="AH103" i="9" s="1"/>
  <c r="AF104" i="9"/>
  <c r="AF103" i="9" s="1"/>
  <c r="AE104" i="9"/>
  <c r="AE103" i="9" s="1"/>
  <c r="AD104" i="9"/>
  <c r="AD103" i="9" s="1"/>
  <c r="AX100" i="9"/>
  <c r="AV100" i="9"/>
  <c r="AU100" i="9"/>
  <c r="AT100" i="9"/>
  <c r="AW100" i="9" s="1"/>
  <c r="AX99" i="9"/>
  <c r="AV99" i="9"/>
  <c r="AU99" i="9"/>
  <c r="AT99" i="9"/>
  <c r="AW99" i="9" s="1"/>
  <c r="AV98" i="9"/>
  <c r="AT98" i="9"/>
  <c r="AW98" i="9" s="1"/>
  <c r="AV97" i="9"/>
  <c r="AT97" i="9"/>
  <c r="AW97" i="9" s="1"/>
  <c r="AI97" i="9"/>
  <c r="AJ97" i="9" s="1"/>
  <c r="AV96" i="9"/>
  <c r="AT96" i="9"/>
  <c r="AW96" i="9" s="1"/>
  <c r="AG96" i="9"/>
  <c r="AI96" i="9" s="1"/>
  <c r="AJ96" i="9" s="1"/>
  <c r="AV95" i="9"/>
  <c r="AT95" i="9"/>
  <c r="AW95" i="9" s="1"/>
  <c r="AH95" i="9"/>
  <c r="AI95" i="9" s="1"/>
  <c r="AS94" i="9"/>
  <c r="AR94" i="9"/>
  <c r="AQ94" i="9"/>
  <c r="AP94" i="9"/>
  <c r="AO94" i="9"/>
  <c r="AN94" i="9"/>
  <c r="AM94" i="9"/>
  <c r="AK94" i="9"/>
  <c r="AF94" i="9"/>
  <c r="AE94" i="9"/>
  <c r="AD94" i="9"/>
  <c r="AV93" i="9"/>
  <c r="AT93" i="9"/>
  <c r="AW93" i="9" s="1"/>
  <c r="AG93" i="9"/>
  <c r="AG88" i="9" s="1"/>
  <c r="AV92" i="9"/>
  <c r="AT92" i="9"/>
  <c r="AW92" i="9" s="1"/>
  <c r="AI92" i="9"/>
  <c r="AJ92" i="9" s="1"/>
  <c r="AU92" i="9" s="1"/>
  <c r="AV91" i="9"/>
  <c r="AT91" i="9"/>
  <c r="AW91" i="9" s="1"/>
  <c r="AI91" i="9"/>
  <c r="AX90" i="9"/>
  <c r="AV90" i="9"/>
  <c r="AU90" i="9"/>
  <c r="AT90" i="9"/>
  <c r="AV89" i="9"/>
  <c r="AT89" i="9"/>
  <c r="AW89" i="9" s="1"/>
  <c r="AI89" i="9"/>
  <c r="AJ89" i="9" s="1"/>
  <c r="AS88" i="9"/>
  <c r="AR88" i="9"/>
  <c r="AQ88" i="9"/>
  <c r="AP88" i="9"/>
  <c r="AO88" i="9"/>
  <c r="AN88" i="9"/>
  <c r="AN87" i="9" s="1"/>
  <c r="AN86" i="9" s="1"/>
  <c r="AM88" i="9"/>
  <c r="AK88" i="9"/>
  <c r="AH88" i="9"/>
  <c r="AF88" i="9"/>
  <c r="AF87" i="9" s="1"/>
  <c r="AF86" i="9" s="1"/>
  <c r="AE88" i="9"/>
  <c r="AD88" i="9"/>
  <c r="AX85" i="9"/>
  <c r="AV85" i="9"/>
  <c r="AU85" i="9"/>
  <c r="AT85" i="9"/>
  <c r="AW85" i="9" s="1"/>
  <c r="AV84" i="9"/>
  <c r="AT84" i="9"/>
  <c r="AW84" i="9" s="1"/>
  <c r="AI84" i="9"/>
  <c r="AJ84" i="9" s="1"/>
  <c r="AU84" i="9" s="1"/>
  <c r="AX83" i="9"/>
  <c r="AV83" i="9"/>
  <c r="AU83" i="9"/>
  <c r="AT83" i="9"/>
  <c r="AW83" i="9" s="1"/>
  <c r="AX82" i="9"/>
  <c r="AV82" i="9"/>
  <c r="AU82" i="9"/>
  <c r="AT82" i="9"/>
  <c r="AW82" i="9" s="1"/>
  <c r="AX81" i="9"/>
  <c r="AV81" i="9"/>
  <c r="AU81" i="9"/>
  <c r="AT81" i="9"/>
  <c r="AW81" i="9" s="1"/>
  <c r="AX80" i="9"/>
  <c r="AV80" i="9"/>
  <c r="AU80" i="9"/>
  <c r="AT80" i="9"/>
  <c r="AW80" i="9" s="1"/>
  <c r="AX79" i="9"/>
  <c r="AV79" i="9"/>
  <c r="AU79" i="9"/>
  <c r="AT79" i="9"/>
  <c r="AW79" i="9" s="1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X77" i="9"/>
  <c r="AV77" i="9"/>
  <c r="AU77" i="9"/>
  <c r="AT77" i="9"/>
  <c r="AW77" i="9" s="1"/>
  <c r="AV76" i="9"/>
  <c r="AT76" i="9"/>
  <c r="AW76" i="9" s="1"/>
  <c r="AI76" i="9"/>
  <c r="AJ76" i="9" s="1"/>
  <c r="AX76" i="9" s="1"/>
  <c r="AS75" i="9"/>
  <c r="AR75" i="9"/>
  <c r="AQ75" i="9"/>
  <c r="AP75" i="9"/>
  <c r="AO75" i="9"/>
  <c r="AN75" i="9"/>
  <c r="AM75" i="9"/>
  <c r="AL75" i="9"/>
  <c r="AK75" i="9"/>
  <c r="AH75" i="9"/>
  <c r="AG75" i="9"/>
  <c r="AF75" i="9"/>
  <c r="AE75" i="9"/>
  <c r="AD75" i="9"/>
  <c r="AX74" i="9"/>
  <c r="AV74" i="9"/>
  <c r="AU74" i="9"/>
  <c r="AT74" i="9"/>
  <c r="AW74" i="9" s="1"/>
  <c r="AX73" i="9"/>
  <c r="AV73" i="9"/>
  <c r="AU73" i="9"/>
  <c r="AT73" i="9"/>
  <c r="AW73" i="9" s="1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X69" i="9"/>
  <c r="AV69" i="9"/>
  <c r="AU69" i="9"/>
  <c r="AT69" i="9"/>
  <c r="AW69" i="9" s="1"/>
  <c r="AX68" i="9"/>
  <c r="AV68" i="9"/>
  <c r="AU68" i="9"/>
  <c r="AT68" i="9"/>
  <c r="AW68" i="9" s="1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X66" i="9"/>
  <c r="AV66" i="9"/>
  <c r="AU66" i="9"/>
  <c r="AT66" i="9"/>
  <c r="AW66" i="9" s="1"/>
  <c r="AX65" i="9"/>
  <c r="AV65" i="9"/>
  <c r="AU65" i="9"/>
  <c r="AT65" i="9"/>
  <c r="AW65" i="9" s="1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X63" i="9"/>
  <c r="AV63" i="9"/>
  <c r="AU63" i="9"/>
  <c r="AT63" i="9"/>
  <c r="AW63" i="9" s="1"/>
  <c r="AX62" i="9"/>
  <c r="AV62" i="9"/>
  <c r="AU62" i="9"/>
  <c r="AT62" i="9"/>
  <c r="AW62" i="9" s="1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X60" i="9"/>
  <c r="AV60" i="9"/>
  <c r="AU60" i="9"/>
  <c r="AT60" i="9"/>
  <c r="AW60" i="9" s="1"/>
  <c r="AX59" i="9"/>
  <c r="AV59" i="9"/>
  <c r="AU59" i="9"/>
  <c r="AT59" i="9"/>
  <c r="AW59" i="9" s="1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X57" i="9"/>
  <c r="AV57" i="9"/>
  <c r="AU57" i="9"/>
  <c r="AT57" i="9"/>
  <c r="AW57" i="9" s="1"/>
  <c r="AV56" i="9"/>
  <c r="AT56" i="9"/>
  <c r="AW56" i="9" s="1"/>
  <c r="AI56" i="9"/>
  <c r="AJ56" i="9" s="1"/>
  <c r="AS55" i="9"/>
  <c r="AR55" i="9"/>
  <c r="AQ55" i="9"/>
  <c r="AP55" i="9"/>
  <c r="AO55" i="9"/>
  <c r="AN55" i="9"/>
  <c r="AM55" i="9"/>
  <c r="AL55" i="9"/>
  <c r="AK55" i="9"/>
  <c r="AH55" i="9"/>
  <c r="AG55" i="9"/>
  <c r="AF55" i="9"/>
  <c r="AE55" i="9"/>
  <c r="AD55" i="9"/>
  <c r="AX54" i="9"/>
  <c r="AW54" i="9"/>
  <c r="AV54" i="9"/>
  <c r="AU54" i="9"/>
  <c r="AW53" i="9"/>
  <c r="AV53" i="9"/>
  <c r="AS52" i="9"/>
  <c r="AR52" i="9"/>
  <c r="AQ52" i="9"/>
  <c r="AP52" i="9"/>
  <c r="AO52" i="9"/>
  <c r="AN52" i="9"/>
  <c r="AM52" i="9"/>
  <c r="AL52" i="9"/>
  <c r="AK52" i="9"/>
  <c r="AG52" i="9"/>
  <c r="AF52" i="9"/>
  <c r="AE52" i="9"/>
  <c r="AD52" i="9"/>
  <c r="AX51" i="9"/>
  <c r="AV51" i="9"/>
  <c r="AU51" i="9"/>
  <c r="AT51" i="9"/>
  <c r="AW51" i="9" s="1"/>
  <c r="AX50" i="9"/>
  <c r="AV50" i="9"/>
  <c r="AU50" i="9"/>
  <c r="AT50" i="9"/>
  <c r="AW50" i="9" s="1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X48" i="9"/>
  <c r="AV48" i="9"/>
  <c r="AU48" i="9"/>
  <c r="AT48" i="9"/>
  <c r="AW48" i="9" s="1"/>
  <c r="AX47" i="9"/>
  <c r="AV47" i="9"/>
  <c r="AU47" i="9"/>
  <c r="AT47" i="9"/>
  <c r="AW47" i="9" s="1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X45" i="9"/>
  <c r="AV45" i="9"/>
  <c r="AU45" i="9"/>
  <c r="AT45" i="9"/>
  <c r="AW45" i="9" s="1"/>
  <c r="AV44" i="9"/>
  <c r="AT44" i="9"/>
  <c r="AW44" i="9" s="1"/>
  <c r="AI44" i="9"/>
  <c r="AJ44" i="9" s="1"/>
  <c r="AU44" i="9" s="1"/>
  <c r="AS43" i="9"/>
  <c r="AR43" i="9"/>
  <c r="AQ43" i="9"/>
  <c r="AT43" i="9" s="1"/>
  <c r="AP43" i="9"/>
  <c r="AO43" i="9"/>
  <c r="AN43" i="9"/>
  <c r="AM43" i="9"/>
  <c r="AL43" i="9"/>
  <c r="AK43" i="9"/>
  <c r="AH43" i="9"/>
  <c r="AG43" i="9"/>
  <c r="AF43" i="9"/>
  <c r="AE43" i="9"/>
  <c r="AD43" i="9"/>
  <c r="AX41" i="9"/>
  <c r="AV41" i="9"/>
  <c r="AU41" i="9"/>
  <c r="AT41" i="9"/>
  <c r="AW41" i="9" s="1"/>
  <c r="AS40" i="9"/>
  <c r="AR40" i="9"/>
  <c r="AR39" i="9" s="1"/>
  <c r="AQ40" i="9"/>
  <c r="AQ39" i="9" s="1"/>
  <c r="AP40" i="9"/>
  <c r="AP39" i="9" s="1"/>
  <c r="AO40" i="9"/>
  <c r="AO39" i="9" s="1"/>
  <c r="AN40" i="9"/>
  <c r="AN39" i="9" s="1"/>
  <c r="AM40" i="9"/>
  <c r="AL40" i="9"/>
  <c r="AL39" i="9" s="1"/>
  <c r="AK40" i="9"/>
  <c r="AK39" i="9" s="1"/>
  <c r="AJ40" i="9"/>
  <c r="AJ39" i="9" s="1"/>
  <c r="AI40" i="9"/>
  <c r="AI39" i="9" s="1"/>
  <c r="AH40" i="9"/>
  <c r="AH39" i="9" s="1"/>
  <c r="AG40" i="9"/>
  <c r="AG39" i="9" s="1"/>
  <c r="AF40" i="9"/>
  <c r="AF39" i="9" s="1"/>
  <c r="AE40" i="9"/>
  <c r="AE39" i="9" s="1"/>
  <c r="AD40" i="9"/>
  <c r="AD39" i="9" s="1"/>
  <c r="AV38" i="9"/>
  <c r="AU38" i="9"/>
  <c r="AT38" i="9"/>
  <c r="AW38" i="9" s="1"/>
  <c r="AR38" i="9"/>
  <c r="AO38" i="9"/>
  <c r="AL38" i="9"/>
  <c r="AV37" i="9"/>
  <c r="AT37" i="9"/>
  <c r="AW37" i="9" s="1"/>
  <c r="AI37" i="9"/>
  <c r="AJ37" i="9" s="1"/>
  <c r="AX36" i="9"/>
  <c r="AV36" i="9"/>
  <c r="AU36" i="9"/>
  <c r="AT36" i="9"/>
  <c r="AW36" i="9" s="1"/>
  <c r="AV35" i="9"/>
  <c r="AT35" i="9"/>
  <c r="AW35" i="9" s="1"/>
  <c r="AI35" i="9"/>
  <c r="AS34" i="9"/>
  <c r="AR34" i="9"/>
  <c r="AQ34" i="9"/>
  <c r="AP34" i="9"/>
  <c r="AO34" i="9"/>
  <c r="AN34" i="9"/>
  <c r="AM34" i="9"/>
  <c r="AL34" i="9"/>
  <c r="AK34" i="9"/>
  <c r="AH34" i="9"/>
  <c r="AG34" i="9"/>
  <c r="AF34" i="9"/>
  <c r="AE34" i="9"/>
  <c r="AD34" i="9"/>
  <c r="AX33" i="9"/>
  <c r="AV33" i="9"/>
  <c r="AU33" i="9"/>
  <c r="AT33" i="9"/>
  <c r="AW33" i="9" s="1"/>
  <c r="AX32" i="9"/>
  <c r="AV32" i="9"/>
  <c r="AU32" i="9"/>
  <c r="AT32" i="9"/>
  <c r="AW32" i="9" s="1"/>
  <c r="AS31" i="9"/>
  <c r="AR31" i="9"/>
  <c r="AQ31" i="9"/>
  <c r="AP31" i="9"/>
  <c r="AO31" i="9"/>
  <c r="AN31" i="9"/>
  <c r="AM31" i="9"/>
  <c r="AL31" i="9"/>
  <c r="AK31" i="9"/>
  <c r="AJ31" i="9"/>
  <c r="AI31" i="9"/>
  <c r="AH31" i="9"/>
  <c r="AH30" i="9" s="1"/>
  <c r="AG31" i="9"/>
  <c r="AF31" i="9"/>
  <c r="AF30" i="9" s="1"/>
  <c r="AE31" i="9"/>
  <c r="AD31" i="9"/>
  <c r="AX29" i="9"/>
  <c r="AV29" i="9"/>
  <c r="AU29" i="9"/>
  <c r="AT29" i="9"/>
  <c r="AW29" i="9" s="1"/>
  <c r="AX28" i="9"/>
  <c r="AV28" i="9"/>
  <c r="AU28" i="9"/>
  <c r="AT28" i="9"/>
  <c r="AW28" i="9" s="1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X26" i="9"/>
  <c r="AV26" i="9"/>
  <c r="AU26" i="9"/>
  <c r="AT26" i="9"/>
  <c r="AW26" i="9" s="1"/>
  <c r="AV25" i="9"/>
  <c r="AT25" i="9"/>
  <c r="AW25" i="9" s="1"/>
  <c r="AI25" i="9"/>
  <c r="AJ25" i="9" s="1"/>
  <c r="AU25" i="9" s="1"/>
  <c r="AS24" i="9"/>
  <c r="AR24" i="9"/>
  <c r="AQ24" i="9"/>
  <c r="AP24" i="9"/>
  <c r="AO24" i="9"/>
  <c r="AN24" i="9"/>
  <c r="AM24" i="9"/>
  <c r="AL24" i="9"/>
  <c r="AK24" i="9"/>
  <c r="AH24" i="9"/>
  <c r="AG24" i="9"/>
  <c r="AF24" i="9"/>
  <c r="AE24" i="9"/>
  <c r="AD24" i="9"/>
  <c r="AX23" i="9"/>
  <c r="AV23" i="9"/>
  <c r="AU23" i="9"/>
  <c r="AT23" i="9"/>
  <c r="AW23" i="9" s="1"/>
  <c r="AX22" i="9"/>
  <c r="AV22" i="9"/>
  <c r="AU22" i="9"/>
  <c r="AT22" i="9"/>
  <c r="AW22" i="9" s="1"/>
  <c r="AV21" i="9"/>
  <c r="AU21" i="9"/>
  <c r="AT21" i="9"/>
  <c r="AW21" i="9" s="1"/>
  <c r="AV20" i="9"/>
  <c r="AT20" i="9"/>
  <c r="AW20" i="9" s="1"/>
  <c r="AI20" i="9"/>
  <c r="AJ20" i="9" s="1"/>
  <c r="AU20" i="9" s="1"/>
  <c r="AX19" i="9"/>
  <c r="AV19" i="9"/>
  <c r="AU19" i="9"/>
  <c r="AT19" i="9"/>
  <c r="AW19" i="9" s="1"/>
  <c r="AV18" i="9"/>
  <c r="AT18" i="9"/>
  <c r="AW18" i="9" s="1"/>
  <c r="AI18" i="9"/>
  <c r="AJ18" i="9" s="1"/>
  <c r="AJ17" i="9" s="1"/>
  <c r="AS17" i="9"/>
  <c r="AR17" i="9"/>
  <c r="AQ17" i="9"/>
  <c r="AP17" i="9"/>
  <c r="AO17" i="9"/>
  <c r="AN17" i="9"/>
  <c r="AM17" i="9"/>
  <c r="AL17" i="9"/>
  <c r="AK17" i="9"/>
  <c r="AH17" i="9"/>
  <c r="AG17" i="9"/>
  <c r="AF17" i="9"/>
  <c r="AE17" i="9"/>
  <c r="AD17" i="9"/>
  <c r="AP12" i="10" l="1"/>
  <c r="AT13" i="10"/>
  <c r="AT12" i="10" s="1"/>
  <c r="AQ12" i="10"/>
  <c r="AQ11" i="10" s="1"/>
  <c r="AT11" i="10" s="1"/>
  <c r="AJ14" i="10"/>
  <c r="AX15" i="10"/>
  <c r="AJ148" i="9"/>
  <c r="AJ143" i="9" s="1"/>
  <c r="AI143" i="9"/>
  <c r="AW1242" i="9"/>
  <c r="AW1250" i="9" s="1"/>
  <c r="AT1250" i="9"/>
  <c r="AI1162" i="9"/>
  <c r="AV1250" i="9"/>
  <c r="AW1121" i="9"/>
  <c r="AW1162" i="9" s="1"/>
  <c r="AT1162" i="9"/>
  <c r="AV64" i="9"/>
  <c r="AV72" i="9"/>
  <c r="AV1162" i="9"/>
  <c r="AR87" i="9"/>
  <c r="AR86" i="9" s="1"/>
  <c r="AT1025" i="9"/>
  <c r="AW148" i="9"/>
  <c r="AW143" i="9" s="1"/>
  <c r="AT143" i="9"/>
  <c r="AQ87" i="9"/>
  <c r="AQ86" i="9" s="1"/>
  <c r="AT67" i="9"/>
  <c r="AW67" i="9" s="1"/>
  <c r="AT58" i="9"/>
  <c r="AW58" i="9" s="1"/>
  <c r="AV27" i="9"/>
  <c r="AD124" i="9"/>
  <c r="AD123" i="9" s="1"/>
  <c r="AV46" i="9"/>
  <c r="AV49" i="9"/>
  <c r="AT188" i="9"/>
  <c r="AD71" i="9"/>
  <c r="AD70" i="9" s="1"/>
  <c r="AM180" i="9"/>
  <c r="AT160" i="9"/>
  <c r="AW160" i="9" s="1"/>
  <c r="AT1180" i="9"/>
  <c r="AL71" i="9"/>
  <c r="AL70" i="9" s="1"/>
  <c r="AE706" i="9"/>
  <c r="AE191" i="9" s="1"/>
  <c r="AN30" i="9"/>
  <c r="AN16" i="9" s="1"/>
  <c r="AN15" i="9" s="1"/>
  <c r="AX150" i="9"/>
  <c r="AR149" i="9"/>
  <c r="AE124" i="9"/>
  <c r="AE123" i="9" s="1"/>
  <c r="AP30" i="9"/>
  <c r="AP16" i="9" s="1"/>
  <c r="AP15" i="9" s="1"/>
  <c r="AT49" i="9"/>
  <c r="AW49" i="9" s="1"/>
  <c r="AX58" i="9"/>
  <c r="AX61" i="9"/>
  <c r="AX67" i="9"/>
  <c r="AS30" i="9"/>
  <c r="AU441" i="9"/>
  <c r="AU72" i="9"/>
  <c r="AR71" i="9"/>
  <c r="AR70" i="9" s="1"/>
  <c r="AG94" i="9"/>
  <c r="AG87" i="9" s="1"/>
  <c r="AG86" i="9" s="1"/>
  <c r="AW1233" i="9"/>
  <c r="AM71" i="9"/>
  <c r="AM70" i="9" s="1"/>
  <c r="AM87" i="9"/>
  <c r="AM86" i="9" s="1"/>
  <c r="AT134" i="9"/>
  <c r="AW134" i="9" s="1"/>
  <c r="AT1233" i="9"/>
  <c r="AI17" i="9"/>
  <c r="AD87" i="9"/>
  <c r="AD86" i="9" s="1"/>
  <c r="AP87" i="9"/>
  <c r="AP86" i="9" s="1"/>
  <c r="AG124" i="9"/>
  <c r="AG123" i="9" s="1"/>
  <c r="AU131" i="9"/>
  <c r="AT1220" i="9"/>
  <c r="AE87" i="9"/>
  <c r="AE86" i="9" s="1"/>
  <c r="AE180" i="9"/>
  <c r="AE164" i="9" s="1"/>
  <c r="AE163" i="9" s="1"/>
  <c r="AI548" i="9"/>
  <c r="AJ548" i="9" s="1"/>
  <c r="AU548" i="9" s="1"/>
  <c r="AR30" i="9"/>
  <c r="AR16" i="9" s="1"/>
  <c r="AR15" i="9" s="1"/>
  <c r="AR42" i="9"/>
  <c r="AI75" i="9"/>
  <c r="AI71" i="9" s="1"/>
  <c r="AI70" i="9" s="1"/>
  <c r="AN124" i="9"/>
  <c r="AN123" i="9" s="1"/>
  <c r="AQ180" i="9"/>
  <c r="AI873" i="9"/>
  <c r="AJ873" i="9" s="1"/>
  <c r="AX873" i="9" s="1"/>
  <c r="AG71" i="9"/>
  <c r="AG70" i="9" s="1"/>
  <c r="AO71" i="9"/>
  <c r="AO70" i="9" s="1"/>
  <c r="AI93" i="9"/>
  <c r="AJ93" i="9" s="1"/>
  <c r="AX93" i="9" s="1"/>
  <c r="AN180" i="9"/>
  <c r="AN164" i="9" s="1"/>
  <c r="AN163" i="9" s="1"/>
  <c r="AV1110" i="9"/>
  <c r="AT55" i="9"/>
  <c r="AW55" i="9" s="1"/>
  <c r="AU61" i="9"/>
  <c r="AI116" i="9"/>
  <c r="AJ116" i="9" s="1"/>
  <c r="AF16" i="9"/>
  <c r="AF15" i="9" s="1"/>
  <c r="AM30" i="9"/>
  <c r="AM16" i="9" s="1"/>
  <c r="AT78" i="9"/>
  <c r="AW78" i="9" s="1"/>
  <c r="AF124" i="9"/>
  <c r="AF123" i="9" s="1"/>
  <c r="AQ159" i="9"/>
  <c r="AT159" i="9" s="1"/>
  <c r="AU160" i="9"/>
  <c r="AP180" i="9"/>
  <c r="AI403" i="9"/>
  <c r="AJ403" i="9" s="1"/>
  <c r="AT72" i="9"/>
  <c r="AW72" i="9" s="1"/>
  <c r="AT75" i="9"/>
  <c r="AW75" i="9" s="1"/>
  <c r="AX256" i="9"/>
  <c r="AX1324" i="9"/>
  <c r="AT24" i="9"/>
  <c r="AW24" i="9" s="1"/>
  <c r="AT27" i="9"/>
  <c r="AW27" i="9" s="1"/>
  <c r="AV78" i="9"/>
  <c r="AH94" i="9"/>
  <c r="AH87" i="9" s="1"/>
  <c r="AH86" i="9" s="1"/>
  <c r="AU140" i="9"/>
  <c r="AU139" i="9" s="1"/>
  <c r="AT155" i="9"/>
  <c r="AW155" i="9" s="1"/>
  <c r="AK30" i="9"/>
  <c r="AK16" i="9" s="1"/>
  <c r="AK15" i="9" s="1"/>
  <c r="AI24" i="9"/>
  <c r="AE71" i="9"/>
  <c r="AE70" i="9" s="1"/>
  <c r="AV75" i="9"/>
  <c r="AV160" i="9"/>
  <c r="AS191" i="9"/>
  <c r="AX202" i="9"/>
  <c r="AU202" i="9"/>
  <c r="AX1286" i="9"/>
  <c r="AU1286" i="9"/>
  <c r="AU955" i="9"/>
  <c r="AX955" i="9"/>
  <c r="AX97" i="9"/>
  <c r="AU97" i="9"/>
  <c r="AU1177" i="9"/>
  <c r="AX1177" i="9"/>
  <c r="AX1283" i="9"/>
  <c r="AU1283" i="9"/>
  <c r="AV31" i="9"/>
  <c r="AV34" i="9"/>
  <c r="AS71" i="9"/>
  <c r="AS70" i="9" s="1"/>
  <c r="AK71" i="9"/>
  <c r="AK70" i="9" s="1"/>
  <c r="AF102" i="9"/>
  <c r="AV134" i="9"/>
  <c r="AO149" i="9"/>
  <c r="AO180" i="9"/>
  <c r="AO164" i="9" s="1"/>
  <c r="AO163" i="9" s="1"/>
  <c r="AX186" i="9"/>
  <c r="AX626" i="9"/>
  <c r="AV1233" i="9"/>
  <c r="AQ154" i="9"/>
  <c r="AT154" i="9" s="1"/>
  <c r="AW154" i="9" s="1"/>
  <c r="AU310" i="9"/>
  <c r="AX887" i="9"/>
  <c r="AE30" i="9"/>
  <c r="AG180" i="9"/>
  <c r="AG164" i="9" s="1"/>
  <c r="AG163" i="9" s="1"/>
  <c r="AX421" i="9"/>
  <c r="AQ191" i="9"/>
  <c r="AX1287" i="9"/>
  <c r="AQ30" i="9"/>
  <c r="AQ16" i="9" s="1"/>
  <c r="AK180" i="9"/>
  <c r="AK164" i="9" s="1"/>
  <c r="AK163" i="9" s="1"/>
  <c r="AS180" i="9"/>
  <c r="AU1145" i="9"/>
  <c r="AX1312" i="9"/>
  <c r="AK124" i="9"/>
  <c r="AK123" i="9" s="1"/>
  <c r="AV67" i="9"/>
  <c r="AT131" i="9"/>
  <c r="AW131" i="9" s="1"/>
  <c r="AU476" i="9"/>
  <c r="AU521" i="9"/>
  <c r="AI1242" i="9"/>
  <c r="AI1250" i="9" s="1"/>
  <c r="AU31" i="9"/>
  <c r="AH71" i="9"/>
  <c r="AH70" i="9" s="1"/>
  <c r="AU78" i="9"/>
  <c r="AG149" i="9"/>
  <c r="AF180" i="9"/>
  <c r="AU1066" i="9"/>
  <c r="AU414" i="9"/>
  <c r="AX96" i="9"/>
  <c r="AU96" i="9"/>
  <c r="AJ1262" i="9"/>
  <c r="AU1262" i="9" s="1"/>
  <c r="AI1265" i="9"/>
  <c r="AV24" i="9"/>
  <c r="AD30" i="9"/>
  <c r="AD16" i="9" s="1"/>
  <c r="AD15" i="9" s="1"/>
  <c r="AI43" i="9"/>
  <c r="AH52" i="9"/>
  <c r="AH42" i="9" s="1"/>
  <c r="AI53" i="9"/>
  <c r="AJ53" i="9" s="1"/>
  <c r="AF42" i="9"/>
  <c r="AN42" i="9"/>
  <c r="AV125" i="9"/>
  <c r="AX228" i="9"/>
  <c r="AU228" i="9"/>
  <c r="AX552" i="9"/>
  <c r="AU552" i="9"/>
  <c r="AK191" i="9"/>
  <c r="AX140" i="9"/>
  <c r="AP139" i="9"/>
  <c r="AX139" i="9" s="1"/>
  <c r="AX491" i="9"/>
  <c r="AU491" i="9"/>
  <c r="AU1008" i="9"/>
  <c r="AX1008" i="9"/>
  <c r="AX1063" i="9"/>
  <c r="AU1063" i="9"/>
  <c r="AX1178" i="9"/>
  <c r="AU1178" i="9"/>
  <c r="AX1203" i="9"/>
  <c r="AU1203" i="9"/>
  <c r="AU1216" i="9"/>
  <c r="AX1216" i="9"/>
  <c r="AU308" i="9"/>
  <c r="AX308" i="9"/>
  <c r="AX453" i="9"/>
  <c r="AU453" i="9"/>
  <c r="AX554" i="9"/>
  <c r="AU1263" i="9"/>
  <c r="AX1263" i="9"/>
  <c r="AU668" i="9"/>
  <c r="AE16" i="9"/>
  <c r="AE15" i="9" s="1"/>
  <c r="AM42" i="9"/>
  <c r="AF149" i="9"/>
  <c r="AX179" i="9"/>
  <c r="AU179" i="9"/>
  <c r="AU212" i="9"/>
  <c r="AX212" i="9"/>
  <c r="AU829" i="9"/>
  <c r="AX829" i="9"/>
  <c r="AU1305" i="9"/>
  <c r="AX1305" i="9"/>
  <c r="AX319" i="9"/>
  <c r="AU319" i="9"/>
  <c r="AX31" i="9"/>
  <c r="AH16" i="9"/>
  <c r="AH15" i="9" s="1"/>
  <c r="AX27" i="9"/>
  <c r="AI55" i="9"/>
  <c r="AU64" i="9"/>
  <c r="AE149" i="9"/>
  <c r="AI154" i="9"/>
  <c r="AN149" i="9"/>
  <c r="AX515" i="9"/>
  <c r="AX786" i="9"/>
  <c r="AU786" i="9"/>
  <c r="AX1218" i="9"/>
  <c r="AU1218" i="9"/>
  <c r="AU116" i="9"/>
  <c r="AX116" i="9"/>
  <c r="AX675" i="9"/>
  <c r="AU675" i="9"/>
  <c r="AX678" i="9"/>
  <c r="AU678" i="9"/>
  <c r="AU731" i="9"/>
  <c r="AX731" i="9"/>
  <c r="AJ1242" i="9"/>
  <c r="AJ1250" i="9" s="1"/>
  <c r="AX1285" i="9"/>
  <c r="AU1285" i="9"/>
  <c r="AJ35" i="9"/>
  <c r="AX35" i="9" s="1"/>
  <c r="AI34" i="9"/>
  <c r="AI30" i="9" s="1"/>
  <c r="AX628" i="9"/>
  <c r="AU628" i="9"/>
  <c r="AT52" i="9"/>
  <c r="AW52" i="9" s="1"/>
  <c r="AQ42" i="9"/>
  <c r="AU27" i="9"/>
  <c r="AL30" i="9"/>
  <c r="AL16" i="9" s="1"/>
  <c r="AL15" i="9" s="1"/>
  <c r="AT34" i="9"/>
  <c r="AW34" i="9" s="1"/>
  <c r="AP42" i="9"/>
  <c r="AU56" i="9"/>
  <c r="AJ55" i="9"/>
  <c r="AX55" i="9" s="1"/>
  <c r="AI104" i="9"/>
  <c r="AI103" i="9" s="1"/>
  <c r="AI102" i="9" s="1"/>
  <c r="AX459" i="9"/>
  <c r="AX563" i="9"/>
  <c r="AU563" i="9"/>
  <c r="AU602" i="9"/>
  <c r="AX602" i="9"/>
  <c r="AX794" i="9"/>
  <c r="AU794" i="9"/>
  <c r="AX1108" i="9"/>
  <c r="AU1108" i="9"/>
  <c r="AU1202" i="9"/>
  <c r="AX1202" i="9"/>
  <c r="AX1307" i="9"/>
  <c r="AU1307" i="9"/>
  <c r="AO124" i="9"/>
  <c r="AO123" i="9" s="1"/>
  <c r="AK149" i="9"/>
  <c r="AX404" i="9"/>
  <c r="AX595" i="9"/>
  <c r="AR191" i="9"/>
  <c r="AV1073" i="9"/>
  <c r="AH1110" i="9"/>
  <c r="AX46" i="9"/>
  <c r="AX49" i="9"/>
  <c r="AT61" i="9"/>
  <c r="AW61" i="9" s="1"/>
  <c r="AX64" i="9"/>
  <c r="AN102" i="9"/>
  <c r="AX188" i="9"/>
  <c r="AM191" i="9"/>
  <c r="AH522" i="9"/>
  <c r="AH706" i="9"/>
  <c r="AX868" i="9"/>
  <c r="AI98" i="9"/>
  <c r="AJ98" i="9" s="1"/>
  <c r="AU98" i="9" s="1"/>
  <c r="AD102" i="9"/>
  <c r="AD101" i="9" s="1"/>
  <c r="AR102" i="9"/>
  <c r="AQ124" i="9"/>
  <c r="AQ123" i="9" s="1"/>
  <c r="AX131" i="9"/>
  <c r="AJ135" i="9"/>
  <c r="AN191" i="9"/>
  <c r="AU1319" i="9"/>
  <c r="AU588" i="9"/>
  <c r="AW1265" i="9"/>
  <c r="AK42" i="9"/>
  <c r="AV52" i="9"/>
  <c r="AV55" i="9"/>
  <c r="AV58" i="9"/>
  <c r="AT64" i="9"/>
  <c r="AW64" i="9" s="1"/>
  <c r="AX72" i="9"/>
  <c r="AP71" i="9"/>
  <c r="AX78" i="9"/>
  <c r="AS87" i="9"/>
  <c r="AO87" i="9"/>
  <c r="AO86" i="9" s="1"/>
  <c r="AS124" i="9"/>
  <c r="AS123" i="9" s="1"/>
  <c r="AX158" i="9"/>
  <c r="AS149" i="9"/>
  <c r="AH180" i="9"/>
  <c r="AH164" i="9" s="1"/>
  <c r="AH163" i="9" s="1"/>
  <c r="AR180" i="9"/>
  <c r="AR164" i="9" s="1"/>
  <c r="AR163" i="9" s="1"/>
  <c r="AU597" i="9"/>
  <c r="AU650" i="9"/>
  <c r="AU1131" i="9"/>
  <c r="AX1160" i="9"/>
  <c r="AI1180" i="9"/>
  <c r="AX1173" i="9"/>
  <c r="AU1344" i="9"/>
  <c r="AS16" i="9"/>
  <c r="AT31" i="9"/>
  <c r="AW31" i="9" s="1"/>
  <c r="AL42" i="9"/>
  <c r="AV61" i="9"/>
  <c r="AQ71" i="9"/>
  <c r="AQ70" i="9" s="1"/>
  <c r="AK87" i="9"/>
  <c r="AK86" i="9" s="1"/>
  <c r="AT1073" i="9"/>
  <c r="AT1265" i="9"/>
  <c r="AW1363" i="9"/>
  <c r="AT94" i="9"/>
  <c r="AE102" i="9"/>
  <c r="AM124" i="9"/>
  <c r="AM123" i="9" s="1"/>
  <c r="AV155" i="9"/>
  <c r="AL180" i="9"/>
  <c r="AL164" i="9" s="1"/>
  <c r="AL163" i="9" s="1"/>
  <c r="AV188" i="9"/>
  <c r="AU565" i="9"/>
  <c r="AU944" i="9"/>
  <c r="AX1012" i="9"/>
  <c r="AI1294" i="9"/>
  <c r="AJ1294" i="9" s="1"/>
  <c r="AT173" i="9"/>
  <c r="AW173" i="9" s="1"/>
  <c r="AX615" i="9"/>
  <c r="AU952" i="9"/>
  <c r="AX591" i="9"/>
  <c r="AU660" i="9"/>
  <c r="AU772" i="9"/>
  <c r="AU590" i="9"/>
  <c r="AX590" i="9"/>
  <c r="AU761" i="9"/>
  <c r="AX761" i="9"/>
  <c r="AT168" i="9"/>
  <c r="AW168" i="9" s="1"/>
  <c r="AX659" i="9"/>
  <c r="AV168" i="9"/>
  <c r="AT118" i="9"/>
  <c r="AW118" i="9" s="1"/>
  <c r="AW117" i="9" s="1"/>
  <c r="AV40" i="9"/>
  <c r="AV39" i="9" s="1"/>
  <c r="AL120" i="9"/>
  <c r="AL119" i="9" s="1"/>
  <c r="AL118" i="9" s="1"/>
  <c r="AL117" i="9" s="1"/>
  <c r="AS102" i="9"/>
  <c r="AT119" i="9"/>
  <c r="AW119" i="9" s="1"/>
  <c r="AW151" i="9"/>
  <c r="AW150" i="9" s="1"/>
  <c r="AF191" i="9"/>
  <c r="AU412" i="9"/>
  <c r="AX412" i="9"/>
  <c r="AX409" i="9"/>
  <c r="AU409" i="9"/>
  <c r="AV17" i="9"/>
  <c r="AT104" i="9"/>
  <c r="AT181" i="9"/>
  <c r="AX39" i="9"/>
  <c r="AQ172" i="9"/>
  <c r="AQ171" i="9" s="1"/>
  <c r="AQ170" i="9" s="1"/>
  <c r="AM39" i="9"/>
  <c r="AO244" i="9"/>
  <c r="AO191" i="9" s="1"/>
  <c r="AL155" i="9"/>
  <c r="AL154" i="9" s="1"/>
  <c r="AL149" i="9" s="1"/>
  <c r="AU432" i="9"/>
  <c r="AU168" i="9"/>
  <c r="AU173" i="9"/>
  <c r="AD191" i="9"/>
  <c r="AX232" i="9"/>
  <c r="AU232" i="9"/>
  <c r="AX431" i="9"/>
  <c r="AU431" i="9"/>
  <c r="AW94" i="9"/>
  <c r="AX304" i="9"/>
  <c r="AU304" i="9"/>
  <c r="AU417" i="9"/>
  <c r="AX417" i="9"/>
  <c r="AU430" i="9"/>
  <c r="AX430" i="9"/>
  <c r="AX436" i="9"/>
  <c r="AU436" i="9"/>
  <c r="AF164" i="9"/>
  <c r="AF163" i="9" s="1"/>
  <c r="AV94" i="9"/>
  <c r="AG102" i="9"/>
  <c r="AU217" i="9"/>
  <c r="AV522" i="9"/>
  <c r="AW17" i="9"/>
  <c r="AL126" i="9"/>
  <c r="AL125" i="9" s="1"/>
  <c r="AX40" i="9"/>
  <c r="AV88" i="9"/>
  <c r="AU413" i="9"/>
  <c r="AX498" i="9"/>
  <c r="AL88" i="9"/>
  <c r="AP102" i="9"/>
  <c r="AW107" i="9"/>
  <c r="AW104" i="9" s="1"/>
  <c r="AW103" i="9" s="1"/>
  <c r="AQ117" i="9"/>
  <c r="AT117" i="9" s="1"/>
  <c r="AM167" i="9"/>
  <c r="AM166" i="9" s="1"/>
  <c r="AM165" i="9" s="1"/>
  <c r="AW182" i="9"/>
  <c r="AW181" i="9" s="1"/>
  <c r="AX439" i="9"/>
  <c r="AL94" i="9"/>
  <c r="AV104" i="9"/>
  <c r="AV103" i="9" s="1"/>
  <c r="AX177" i="9"/>
  <c r="AS167" i="9"/>
  <c r="AS166" i="9" s="1"/>
  <c r="AS165" i="9" s="1"/>
  <c r="AL104" i="9"/>
  <c r="AL103" i="9" s="1"/>
  <c r="AL244" i="9"/>
  <c r="AH102" i="9"/>
  <c r="AL131" i="9"/>
  <c r="AM172" i="9"/>
  <c r="AM171" i="9" s="1"/>
  <c r="AM170" i="9" s="1"/>
  <c r="AU305" i="9"/>
  <c r="AX435" i="9"/>
  <c r="AU440" i="9"/>
  <c r="AU763" i="9"/>
  <c r="AU749" i="9"/>
  <c r="AX749" i="9"/>
  <c r="AU1054" i="9"/>
  <c r="AX1054" i="9"/>
  <c r="AH126" i="9"/>
  <c r="AH125" i="9" s="1"/>
  <c r="AH124" i="9" s="1"/>
  <c r="AH123" i="9" s="1"/>
  <c r="AX17" i="9"/>
  <c r="AX130" i="9"/>
  <c r="AU130" i="9"/>
  <c r="AT17" i="9"/>
  <c r="AE42" i="9"/>
  <c r="AJ104" i="9"/>
  <c r="AJ103" i="9" s="1"/>
  <c r="AX105" i="9"/>
  <c r="AU105" i="9"/>
  <c r="AJ119" i="9"/>
  <c r="AU120" i="9"/>
  <c r="AJ127" i="9"/>
  <c r="AI126" i="9"/>
  <c r="AI125" i="9" s="1"/>
  <c r="AI124" i="9" s="1"/>
  <c r="AI123" i="9" s="1"/>
  <c r="AU135" i="9"/>
  <c r="AX135" i="9"/>
  <c r="AJ134" i="9"/>
  <c r="AU134" i="9" s="1"/>
  <c r="AX148" i="9"/>
  <c r="AU148" i="9"/>
  <c r="AU143" i="9" s="1"/>
  <c r="AX143" i="9"/>
  <c r="AI149" i="9"/>
  <c r="AJ154" i="9"/>
  <c r="AX154" i="9" s="1"/>
  <c r="AU222" i="9"/>
  <c r="AX222" i="9"/>
  <c r="AJ43" i="9"/>
  <c r="AX43" i="9" s="1"/>
  <c r="AX44" i="9"/>
  <c r="AX575" i="9"/>
  <c r="AU575" i="9"/>
  <c r="AO102" i="9"/>
  <c r="AO101" i="9" s="1"/>
  <c r="AX137" i="9"/>
  <c r="AU137" i="9"/>
  <c r="AU76" i="9"/>
  <c r="AJ75" i="9"/>
  <c r="AU75" i="9" s="1"/>
  <c r="AT103" i="9"/>
  <c r="AD42" i="9"/>
  <c r="AS42" i="9"/>
  <c r="AT42" i="9" s="1"/>
  <c r="AT46" i="9"/>
  <c r="AW46" i="9" s="1"/>
  <c r="AX89" i="9"/>
  <c r="AU89" i="9"/>
  <c r="AG30" i="9"/>
  <c r="AG16" i="9" s="1"/>
  <c r="AG15" i="9" s="1"/>
  <c r="AO30" i="9"/>
  <c r="AO16" i="9" s="1"/>
  <c r="AO15" i="9" s="1"/>
  <c r="AX37" i="9"/>
  <c r="AU37" i="9"/>
  <c r="AG42" i="9"/>
  <c r="AO42" i="9"/>
  <c r="AX18" i="9"/>
  <c r="AU18" i="9"/>
  <c r="AU17" i="9" s="1"/>
  <c r="AX1210" i="9"/>
  <c r="AU1210" i="9"/>
  <c r="AX1056" i="9"/>
  <c r="AU1056" i="9"/>
  <c r="AX20" i="9"/>
  <c r="AJ24" i="9"/>
  <c r="AU24" i="9" s="1"/>
  <c r="AX25" i="9"/>
  <c r="AU53" i="9"/>
  <c r="AJ52" i="9"/>
  <c r="AU52" i="9" s="1"/>
  <c r="AX53" i="9"/>
  <c r="AJ95" i="9"/>
  <c r="AS39" i="9"/>
  <c r="AT40" i="9"/>
  <c r="AW40" i="9" s="1"/>
  <c r="AW39" i="9" s="1"/>
  <c r="AK102" i="9"/>
  <c r="AF71" i="9"/>
  <c r="AF70" i="9" s="1"/>
  <c r="AN71" i="9"/>
  <c r="AN70" i="9" s="1"/>
  <c r="AS86" i="9"/>
  <c r="AT86" i="9" s="1"/>
  <c r="AW90" i="9"/>
  <c r="AW88" i="9" s="1"/>
  <c r="AT88" i="9"/>
  <c r="AV159" i="9"/>
  <c r="AU49" i="9"/>
  <c r="AU58" i="9"/>
  <c r="AM139" i="9"/>
  <c r="AV140" i="9"/>
  <c r="AV139" i="9" s="1"/>
  <c r="AW522" i="9"/>
  <c r="AU723" i="9"/>
  <c r="AX723" i="9"/>
  <c r="AX727" i="9"/>
  <c r="AU727" i="9"/>
  <c r="AU743" i="9"/>
  <c r="AX743" i="9"/>
  <c r="AX954" i="9"/>
  <c r="AU954" i="9"/>
  <c r="AX1200" i="9"/>
  <c r="AU1200" i="9"/>
  <c r="AU1361" i="9"/>
  <c r="AX1361" i="9"/>
  <c r="AU40" i="9"/>
  <c r="AU39" i="9" s="1"/>
  <c r="AV43" i="9"/>
  <c r="AU46" i="9"/>
  <c r="AX56" i="9"/>
  <c r="AX84" i="9"/>
  <c r="AX115" i="9"/>
  <c r="AT120" i="9"/>
  <c r="AW120" i="9" s="1"/>
  <c r="AP124" i="9"/>
  <c r="AW127" i="9"/>
  <c r="AW126" i="9" s="1"/>
  <c r="AT126" i="9"/>
  <c r="AD149" i="9"/>
  <c r="AU155" i="9"/>
  <c r="AP165" i="9"/>
  <c r="AX312" i="9"/>
  <c r="AU312" i="9"/>
  <c r="AU452" i="9"/>
  <c r="AX452" i="9"/>
  <c r="AX454" i="9"/>
  <c r="AU454" i="9"/>
  <c r="AX488" i="9"/>
  <c r="AU488" i="9"/>
  <c r="AX570" i="9"/>
  <c r="AU570" i="9"/>
  <c r="AW43" i="9"/>
  <c r="AM119" i="9"/>
  <c r="AV120" i="9"/>
  <c r="AR124" i="9"/>
  <c r="AR123" i="9" s="1"/>
  <c r="AV126" i="9"/>
  <c r="AM154" i="9"/>
  <c r="AQ165" i="9"/>
  <c r="AP172" i="9"/>
  <c r="AX173" i="9"/>
  <c r="AX438" i="9"/>
  <c r="AU438" i="9"/>
  <c r="AX499" i="9"/>
  <c r="AU499" i="9"/>
  <c r="AX555" i="9"/>
  <c r="AU555" i="9"/>
  <c r="AX576" i="9"/>
  <c r="AU576" i="9"/>
  <c r="AU607" i="9"/>
  <c r="AT125" i="9"/>
  <c r="AW125" i="9" s="1"/>
  <c r="AX204" i="9"/>
  <c r="AU204" i="9"/>
  <c r="AU207" i="9"/>
  <c r="AX207" i="9"/>
  <c r="AX230" i="9"/>
  <c r="AU230" i="9"/>
  <c r="AX428" i="9"/>
  <c r="AU428" i="9"/>
  <c r="AX558" i="9"/>
  <c r="AU558" i="9"/>
  <c r="AU112" i="9"/>
  <c r="AT140" i="9"/>
  <c r="AW140" i="9" s="1"/>
  <c r="AW139" i="9" s="1"/>
  <c r="AQ139" i="9"/>
  <c r="AT139" i="9" s="1"/>
  <c r="AT244" i="9"/>
  <c r="AW200" i="9"/>
  <c r="AW244" i="9" s="1"/>
  <c r="AX411" i="9"/>
  <c r="AU411" i="9"/>
  <c r="AX451" i="9"/>
  <c r="AU451" i="9"/>
  <c r="AX599" i="9"/>
  <c r="AU599" i="9"/>
  <c r="AU67" i="9"/>
  <c r="AJ91" i="9"/>
  <c r="AX120" i="9"/>
  <c r="AV131" i="9"/>
  <c r="AH149" i="9"/>
  <c r="AP149" i="9"/>
  <c r="AS171" i="9"/>
  <c r="AS170" i="9" s="1"/>
  <c r="AW178" i="9"/>
  <c r="AW177" i="9" s="1"/>
  <c r="AW176" i="9" s="1"/>
  <c r="AW175" i="9" s="1"/>
  <c r="AT177" i="9"/>
  <c r="AT176" i="9" s="1"/>
  <c r="AT175" i="9" s="1"/>
  <c r="AI181" i="9"/>
  <c r="AI180" i="9" s="1"/>
  <c r="AI164" i="9" s="1"/>
  <c r="AI163" i="9" s="1"/>
  <c r="AJ187" i="9"/>
  <c r="AV244" i="9"/>
  <c r="AX314" i="9"/>
  <c r="AU314" i="9"/>
  <c r="AX507" i="9"/>
  <c r="AU507" i="9"/>
  <c r="AV706" i="9"/>
  <c r="AX572" i="9"/>
  <c r="AU572" i="9"/>
  <c r="AU581" i="9"/>
  <c r="AX581" i="9"/>
  <c r="AX176" i="9"/>
  <c r="AX259" i="9"/>
  <c r="AU259" i="9"/>
  <c r="AJ541" i="9"/>
  <c r="AX160" i="9"/>
  <c r="AX168" i="9"/>
  <c r="AV181" i="9"/>
  <c r="AX224" i="9"/>
  <c r="AU224" i="9"/>
  <c r="AX510" i="9"/>
  <c r="AU510" i="9"/>
  <c r="AT522" i="9"/>
  <c r="AX579" i="9"/>
  <c r="AU579" i="9"/>
  <c r="AX827" i="9"/>
  <c r="AU827" i="9"/>
  <c r="AU233" i="9"/>
  <c r="AX233" i="9"/>
  <c r="AU403" i="9"/>
  <c r="AX403" i="9"/>
  <c r="AU416" i="9"/>
  <c r="AX416" i="9"/>
  <c r="AU434" i="9"/>
  <c r="AX434" i="9"/>
  <c r="AX611" i="9"/>
  <c r="AU611" i="9"/>
  <c r="AU886" i="9"/>
  <c r="AX886" i="9"/>
  <c r="AI951" i="9"/>
  <c r="AJ951" i="9" s="1"/>
  <c r="AH1025" i="9"/>
  <c r="AX155" i="9"/>
  <c r="AX175" i="9"/>
  <c r="AU215" i="9"/>
  <c r="AX215" i="9"/>
  <c r="AX220" i="9"/>
  <c r="AU220" i="9"/>
  <c r="AX243" i="9"/>
  <c r="AU243" i="9"/>
  <c r="AX410" i="9"/>
  <c r="AU410" i="9"/>
  <c r="AX423" i="9"/>
  <c r="AU423" i="9"/>
  <c r="AX437" i="9"/>
  <c r="AU437" i="9"/>
  <c r="AX557" i="9"/>
  <c r="AU557" i="9"/>
  <c r="AX574" i="9"/>
  <c r="AU574" i="9"/>
  <c r="AV173" i="9"/>
  <c r="AU218" i="9"/>
  <c r="AX316" i="9"/>
  <c r="AU321" i="9"/>
  <c r="AL706" i="9"/>
  <c r="AX671" i="9"/>
  <c r="AU671" i="9"/>
  <c r="AW801" i="9"/>
  <c r="AU774" i="9"/>
  <c r="AU862" i="9"/>
  <c r="AX862" i="9"/>
  <c r="AI244" i="9"/>
  <c r="AI522" i="9"/>
  <c r="AU456" i="9"/>
  <c r="AX456" i="9"/>
  <c r="AX480" i="9"/>
  <c r="AU480" i="9"/>
  <c r="AX512" i="9"/>
  <c r="AU512" i="9"/>
  <c r="AP191" i="9"/>
  <c r="AW706" i="9"/>
  <c r="AX544" i="9"/>
  <c r="AU544" i="9"/>
  <c r="AX550" i="9"/>
  <c r="AX568" i="9"/>
  <c r="AU568" i="9"/>
  <c r="AX592" i="9"/>
  <c r="AU592" i="9"/>
  <c r="AX605" i="9"/>
  <c r="AU605" i="9"/>
  <c r="AU648" i="9"/>
  <c r="AX648" i="9"/>
  <c r="AU661" i="9"/>
  <c r="AX661" i="9"/>
  <c r="AX762" i="9"/>
  <c r="AU762" i="9"/>
  <c r="AI768" i="9"/>
  <c r="AJ768" i="9" s="1"/>
  <c r="AG801" i="9"/>
  <c r="AU770" i="9"/>
  <c r="AX770" i="9"/>
  <c r="AU787" i="9"/>
  <c r="AX787" i="9"/>
  <c r="AX790" i="9"/>
  <c r="AU790" i="9"/>
  <c r="AU795" i="9"/>
  <c r="AX795" i="9"/>
  <c r="AU856" i="9"/>
  <c r="AX856" i="9"/>
  <c r="AU866" i="9"/>
  <c r="AX866" i="9"/>
  <c r="AJ159" i="9"/>
  <c r="AU159" i="9" s="1"/>
  <c r="AJ167" i="9"/>
  <c r="AV180" i="9"/>
  <c r="AD180" i="9"/>
  <c r="AD164" i="9" s="1"/>
  <c r="AD163" i="9" s="1"/>
  <c r="AU188" i="9"/>
  <c r="AJ200" i="9"/>
  <c r="AU255" i="9"/>
  <c r="AJ522" i="9"/>
  <c r="AX522" i="9" s="1"/>
  <c r="AX255" i="9"/>
  <c r="AU306" i="9"/>
  <c r="AX306" i="9"/>
  <c r="AX449" i="9"/>
  <c r="AU449" i="9"/>
  <c r="AU483" i="9"/>
  <c r="AX483" i="9"/>
  <c r="AX484" i="9"/>
  <c r="AX489" i="9"/>
  <c r="AU589" i="9"/>
  <c r="AX589" i="9"/>
  <c r="AX612" i="9"/>
  <c r="AU612" i="9"/>
  <c r="AX635" i="9"/>
  <c r="AU635" i="9"/>
  <c r="AX636" i="9"/>
  <c r="AU658" i="9"/>
  <c r="AX658" i="9"/>
  <c r="AG244" i="9"/>
  <c r="AX644" i="9"/>
  <c r="AU644" i="9"/>
  <c r="AX670" i="9"/>
  <c r="AU670" i="9"/>
  <c r="AT706" i="9"/>
  <c r="AX831" i="9"/>
  <c r="AU831" i="9"/>
  <c r="AX870" i="9"/>
  <c r="AU870" i="9"/>
  <c r="AX893" i="9"/>
  <c r="AU893" i="9"/>
  <c r="AX905" i="9"/>
  <c r="AU905" i="9"/>
  <c r="AU1018" i="9"/>
  <c r="AX1018" i="9"/>
  <c r="AU1197" i="9"/>
  <c r="AJ1220" i="9"/>
  <c r="AX1220" i="9" s="1"/>
  <c r="AX1197" i="9"/>
  <c r="AX1354" i="9"/>
  <c r="AU1354" i="9"/>
  <c r="AW188" i="9"/>
  <c r="AX603" i="9"/>
  <c r="AU603" i="9"/>
  <c r="AU613" i="9"/>
  <c r="AX613" i="9"/>
  <c r="AU623" i="9"/>
  <c r="AX623" i="9"/>
  <c r="AX634" i="9"/>
  <c r="AU634" i="9"/>
  <c r="AX641" i="9"/>
  <c r="AU641" i="9"/>
  <c r="AX704" i="9"/>
  <c r="AU704" i="9"/>
  <c r="AJ712" i="9"/>
  <c r="AX769" i="9"/>
  <c r="AU769" i="9"/>
  <c r="AX776" i="9"/>
  <c r="AU776" i="9"/>
  <c r="AU780" i="9"/>
  <c r="AX780" i="9"/>
  <c r="AU782" i="9"/>
  <c r="AX826" i="9"/>
  <c r="AU826" i="9"/>
  <c r="AU835" i="9"/>
  <c r="AX835" i="9"/>
  <c r="AU849" i="9"/>
  <c r="AX849" i="9"/>
  <c r="AU854" i="9"/>
  <c r="AX854" i="9"/>
  <c r="AX874" i="9"/>
  <c r="AU874" i="9"/>
  <c r="AU938" i="9"/>
  <c r="AX938" i="9"/>
  <c r="AU1097" i="9"/>
  <c r="AX1097" i="9"/>
  <c r="AU1138" i="9"/>
  <c r="AX1138" i="9"/>
  <c r="AX1142" i="9"/>
  <c r="AU1142" i="9"/>
  <c r="AX1340" i="9"/>
  <c r="AU1340" i="9"/>
  <c r="AX610" i="9"/>
  <c r="AU610" i="9"/>
  <c r="AX657" i="9"/>
  <c r="AU657" i="9"/>
  <c r="AT801" i="9"/>
  <c r="AX734" i="9"/>
  <c r="AU734" i="9"/>
  <c r="AH801" i="9"/>
  <c r="AI759" i="9"/>
  <c r="AJ759" i="9" s="1"/>
  <c r="AX771" i="9"/>
  <c r="AU771" i="9"/>
  <c r="AU842" i="9"/>
  <c r="AX842" i="9"/>
  <c r="AX946" i="9"/>
  <c r="AU946" i="9"/>
  <c r="AX1058" i="9"/>
  <c r="AU1058" i="9"/>
  <c r="AX1134" i="9"/>
  <c r="AU1134" i="9"/>
  <c r="AU773" i="9"/>
  <c r="AX773" i="9"/>
  <c r="AU778" i="9"/>
  <c r="AX778" i="9"/>
  <c r="AU800" i="9"/>
  <c r="AX800" i="9"/>
  <c r="AU864" i="9"/>
  <c r="AX864" i="9"/>
  <c r="AU942" i="9"/>
  <c r="AX942" i="9"/>
  <c r="AU1049" i="9"/>
  <c r="AX1049" i="9"/>
  <c r="AX1279" i="9"/>
  <c r="AU1279" i="9"/>
  <c r="AX1292" i="9"/>
  <c r="AU1292" i="9"/>
  <c r="AX1316" i="9"/>
  <c r="AU1316" i="9"/>
  <c r="AX1326" i="9"/>
  <c r="AU1326" i="9"/>
  <c r="AG706" i="9"/>
  <c r="AX632" i="9"/>
  <c r="AU632" i="9"/>
  <c r="AX638" i="9"/>
  <c r="AX643" i="9"/>
  <c r="AU643" i="9"/>
  <c r="AX646" i="9"/>
  <c r="AU646" i="9"/>
  <c r="AX673" i="9"/>
  <c r="AU673" i="9"/>
  <c r="AX677" i="9"/>
  <c r="AV801" i="9"/>
  <c r="AU813" i="9"/>
  <c r="AL1025" i="9"/>
  <c r="AX903" i="9"/>
  <c r="AU903" i="9"/>
  <c r="AX910" i="9"/>
  <c r="AU910" i="9"/>
  <c r="AU922" i="9"/>
  <c r="AX922" i="9"/>
  <c r="AX1071" i="9"/>
  <c r="AU1071" i="9"/>
  <c r="AU614" i="9"/>
  <c r="AX614" i="9"/>
  <c r="AU625" i="9"/>
  <c r="AX625" i="9"/>
  <c r="AX666" i="9"/>
  <c r="AU666" i="9"/>
  <c r="AU681" i="9"/>
  <c r="AX760" i="9"/>
  <c r="AU760" i="9"/>
  <c r="AU833" i="9"/>
  <c r="AU837" i="9"/>
  <c r="AX837" i="9"/>
  <c r="AU850" i="9"/>
  <c r="AX876" i="9"/>
  <c r="AU876" i="9"/>
  <c r="AU936" i="9"/>
  <c r="AX936" i="9"/>
  <c r="AI1045" i="9"/>
  <c r="AJ1045" i="9" s="1"/>
  <c r="AG1073" i="9"/>
  <c r="AX1133" i="9"/>
  <c r="AU1133" i="9"/>
  <c r="AU639" i="9"/>
  <c r="AX662" i="9"/>
  <c r="AV1025" i="9"/>
  <c r="AI1043" i="9"/>
  <c r="AH1073" i="9"/>
  <c r="AU1051" i="9"/>
  <c r="AX1051" i="9"/>
  <c r="AU1172" i="9"/>
  <c r="AJ1180" i="9"/>
  <c r="AX1180" i="9" s="1"/>
  <c r="AX1172" i="9"/>
  <c r="AX1214" i="9"/>
  <c r="AU1214" i="9"/>
  <c r="AX1294" i="9"/>
  <c r="AU1294" i="9"/>
  <c r="AX1304" i="9"/>
  <c r="AU1304" i="9"/>
  <c r="AW1025" i="9"/>
  <c r="AG1025" i="9"/>
  <c r="AJ1082" i="9"/>
  <c r="AI1110" i="9"/>
  <c r="AU1127" i="9"/>
  <c r="AX1127" i="9"/>
  <c r="AX1129" i="9"/>
  <c r="AX1176" i="9"/>
  <c r="AU1176" i="9"/>
  <c r="AV1220" i="9"/>
  <c r="AX1276" i="9"/>
  <c r="AU1276" i="9"/>
  <c r="AI815" i="9"/>
  <c r="AJ815" i="9" s="1"/>
  <c r="AU1019" i="9"/>
  <c r="AX1019" i="9"/>
  <c r="AU1047" i="9"/>
  <c r="AU1061" i="9"/>
  <c r="AW1110" i="9"/>
  <c r="AX1123" i="9"/>
  <c r="AU1123" i="9"/>
  <c r="AV1180" i="9"/>
  <c r="AU1174" i="9"/>
  <c r="AW1220" i="9"/>
  <c r="AU1205" i="9"/>
  <c r="AX1205" i="9"/>
  <c r="AX1231" i="9"/>
  <c r="AU1231" i="9"/>
  <c r="AX1288" i="9"/>
  <c r="AU1288" i="9"/>
  <c r="AX1301" i="9"/>
  <c r="AU1301" i="9"/>
  <c r="AX1313" i="9"/>
  <c r="AU1313" i="9"/>
  <c r="AX1339" i="9"/>
  <c r="AU1339" i="9"/>
  <c r="AU1346" i="9"/>
  <c r="AX1346" i="9"/>
  <c r="AU656" i="9"/>
  <c r="AU766" i="9"/>
  <c r="AU949" i="9"/>
  <c r="AX953" i="9"/>
  <c r="AU953" i="9"/>
  <c r="AX1136" i="9"/>
  <c r="AW1180" i="9"/>
  <c r="AX1198" i="9"/>
  <c r="AU1198" i="9"/>
  <c r="AX1212" i="9"/>
  <c r="AU1212" i="9"/>
  <c r="AX1275" i="9"/>
  <c r="AU1275" i="9"/>
  <c r="AJ1363" i="9"/>
  <c r="AX1363" i="9" s="1"/>
  <c r="AU1284" i="9"/>
  <c r="AX1284" i="9"/>
  <c r="AX1293" i="9"/>
  <c r="AU1293" i="9"/>
  <c r="AX1315" i="9"/>
  <c r="AU1315" i="9"/>
  <c r="AX1325" i="9"/>
  <c r="AU1325" i="9"/>
  <c r="AX1342" i="9"/>
  <c r="AU1342" i="9"/>
  <c r="AX1355" i="9"/>
  <c r="AU1355" i="9"/>
  <c r="AX1201" i="9"/>
  <c r="AU1201" i="9"/>
  <c r="AL1363" i="9"/>
  <c r="AX1300" i="9"/>
  <c r="AU1300" i="9"/>
  <c r="AX1329" i="9"/>
  <c r="AU1329" i="9"/>
  <c r="AU960" i="9"/>
  <c r="AX960" i="9"/>
  <c r="AX989" i="9"/>
  <c r="AW1073" i="9"/>
  <c r="AU1083" i="9"/>
  <c r="AX1083" i="9"/>
  <c r="AX1122" i="9"/>
  <c r="AU1122" i="9"/>
  <c r="AX1175" i="9"/>
  <c r="AU1175" i="9"/>
  <c r="AT1363" i="9"/>
  <c r="AX1295" i="9"/>
  <c r="AU1295" i="9"/>
  <c r="AU1308" i="9"/>
  <c r="AX1308" i="9"/>
  <c r="AX1336" i="9"/>
  <c r="AU1360" i="9"/>
  <c r="AX973" i="9"/>
  <c r="AU1053" i="9"/>
  <c r="AX1053" i="9"/>
  <c r="AT1110" i="9"/>
  <c r="AX1208" i="9"/>
  <c r="AI1233" i="9"/>
  <c r="AV1265" i="9"/>
  <c r="AV1363" i="9"/>
  <c r="AX1314" i="9"/>
  <c r="AU1314" i="9"/>
  <c r="AU1320" i="9"/>
  <c r="AX1320" i="9"/>
  <c r="AU1331" i="9"/>
  <c r="AX1338" i="9"/>
  <c r="AU1338" i="9"/>
  <c r="AX1353" i="9"/>
  <c r="AI1363" i="9"/>
  <c r="AX1206" i="9"/>
  <c r="AI1220" i="9"/>
  <c r="AU1242" i="9"/>
  <c r="AU1250" i="9" s="1"/>
  <c r="AU1244" i="9"/>
  <c r="AU1280" i="9"/>
  <c r="AX1311" i="9"/>
  <c r="AX1323" i="9"/>
  <c r="AU1330" i="9"/>
  <c r="AX1335" i="9"/>
  <c r="AX1351" i="9"/>
  <c r="AJ1121" i="9"/>
  <c r="AJ1162" i="9" s="1"/>
  <c r="AJ1230" i="9"/>
  <c r="AU1298" i="9"/>
  <c r="AU1299" i="9"/>
  <c r="AX1332" i="9"/>
  <c r="AS6" i="7"/>
  <c r="AT6" i="7"/>
  <c r="AP6" i="7"/>
  <c r="AJ13" i="10" l="1"/>
  <c r="AX14" i="10"/>
  <c r="AP11" i="10"/>
  <c r="AX98" i="9"/>
  <c r="AU55" i="9"/>
  <c r="AT87" i="9"/>
  <c r="AN101" i="9"/>
  <c r="AR14" i="9"/>
  <c r="AR13" i="9" s="1"/>
  <c r="AV30" i="9"/>
  <c r="AI94" i="9"/>
  <c r="AI52" i="9"/>
  <c r="AI42" i="9" s="1"/>
  <c r="AU93" i="9"/>
  <c r="AT30" i="9"/>
  <c r="AW30" i="9" s="1"/>
  <c r="AW16" i="9" s="1"/>
  <c r="AW15" i="9" s="1"/>
  <c r="AI88" i="9"/>
  <c r="AI706" i="9"/>
  <c r="AX104" i="9"/>
  <c r="AG101" i="9"/>
  <c r="AU1265" i="9"/>
  <c r="AT149" i="9"/>
  <c r="AV71" i="9"/>
  <c r="AV70" i="9" s="1"/>
  <c r="AT123" i="9"/>
  <c r="AJ1265" i="9"/>
  <c r="AX1265" i="9" s="1"/>
  <c r="AU873" i="9"/>
  <c r="AX1262" i="9"/>
  <c r="AS15" i="9"/>
  <c r="AS14" i="9" s="1"/>
  <c r="AS13" i="9" s="1"/>
  <c r="AJ71" i="9"/>
  <c r="AX71" i="9" s="1"/>
  <c r="AS164" i="9"/>
  <c r="AS163" i="9" s="1"/>
  <c r="AT167" i="9"/>
  <c r="AW167" i="9" s="1"/>
  <c r="AP70" i="9"/>
  <c r="AP14" i="9" s="1"/>
  <c r="AE101" i="9"/>
  <c r="AI16" i="9"/>
  <c r="AI15" i="9" s="1"/>
  <c r="AX134" i="9"/>
  <c r="AQ149" i="9"/>
  <c r="AX75" i="9"/>
  <c r="AH14" i="9"/>
  <c r="AH13" i="9" s="1"/>
  <c r="AT180" i="9"/>
  <c r="AW180" i="9" s="1"/>
  <c r="AK14" i="9"/>
  <c r="AK13" i="9" s="1"/>
  <c r="AT124" i="9"/>
  <c r="AW124" i="9" s="1"/>
  <c r="AW123" i="9" s="1"/>
  <c r="AT191" i="9"/>
  <c r="AW87" i="9"/>
  <c r="AW86" i="9" s="1"/>
  <c r="AV42" i="9"/>
  <c r="AT166" i="9"/>
  <c r="AW166" i="9" s="1"/>
  <c r="AW165" i="9" s="1"/>
  <c r="AS101" i="9"/>
  <c r="AF101" i="9"/>
  <c r="AR101" i="9"/>
  <c r="AR12" i="9" s="1"/>
  <c r="AR11" i="9" s="1"/>
  <c r="AL14" i="9"/>
  <c r="AL13" i="9" s="1"/>
  <c r="AK101" i="9"/>
  <c r="AJ34" i="9"/>
  <c r="AU34" i="9" s="1"/>
  <c r="AT71" i="9"/>
  <c r="AT70" i="9" s="1"/>
  <c r="AV16" i="9"/>
  <c r="AV15" i="9" s="1"/>
  <c r="AQ102" i="9"/>
  <c r="AT102" i="9" s="1"/>
  <c r="AW102" i="9"/>
  <c r="AD14" i="9"/>
  <c r="AD13" i="9" s="1"/>
  <c r="AD12" i="9" s="1"/>
  <c r="AD11" i="9" s="1"/>
  <c r="AU35" i="9"/>
  <c r="AO14" i="9"/>
  <c r="AO13" i="9" s="1"/>
  <c r="AO12" i="9" s="1"/>
  <c r="AO11" i="9" s="1"/>
  <c r="AU1220" i="9"/>
  <c r="AG14" i="9"/>
  <c r="AG13" i="9" s="1"/>
  <c r="AG12" i="9" s="1"/>
  <c r="AX1242" i="9"/>
  <c r="AX1250" i="9"/>
  <c r="AV172" i="9"/>
  <c r="AU171" i="9"/>
  <c r="AU170" i="9" s="1"/>
  <c r="AE14" i="9"/>
  <c r="AE13" i="9" s="1"/>
  <c r="AN14" i="9"/>
  <c r="AN13" i="9" s="1"/>
  <c r="AN12" i="9" s="1"/>
  <c r="AN11" i="9" s="1"/>
  <c r="AT172" i="9"/>
  <c r="AW172" i="9" s="1"/>
  <c r="AM15" i="9"/>
  <c r="AM14" i="9" s="1"/>
  <c r="AM13" i="9" s="1"/>
  <c r="AL124" i="9"/>
  <c r="AL123" i="9" s="1"/>
  <c r="AF14" i="9"/>
  <c r="AF13" i="9" s="1"/>
  <c r="AF12" i="9" s="1"/>
  <c r="AF11" i="9" s="1"/>
  <c r="AI101" i="9"/>
  <c r="AH101" i="9"/>
  <c r="AL191" i="9"/>
  <c r="AL102" i="9"/>
  <c r="AM164" i="9"/>
  <c r="AM163" i="9" s="1"/>
  <c r="AV87" i="9"/>
  <c r="AV86" i="9" s="1"/>
  <c r="AV166" i="9"/>
  <c r="AV165" i="9" s="1"/>
  <c r="AL87" i="9"/>
  <c r="AL86" i="9" s="1"/>
  <c r="AV167" i="9"/>
  <c r="AU172" i="9"/>
  <c r="AH191" i="9"/>
  <c r="AX91" i="9"/>
  <c r="AU91" i="9"/>
  <c r="AU815" i="9"/>
  <c r="AX815" i="9"/>
  <c r="AU522" i="9"/>
  <c r="AU951" i="9"/>
  <c r="AX951" i="9"/>
  <c r="AX759" i="9"/>
  <c r="AU759" i="9"/>
  <c r="AI801" i="9"/>
  <c r="AU200" i="9"/>
  <c r="AU244" i="9" s="1"/>
  <c r="AJ244" i="9"/>
  <c r="AX200" i="9"/>
  <c r="AJ149" i="9"/>
  <c r="AX149" i="9" s="1"/>
  <c r="AU104" i="9"/>
  <c r="AU103" i="9" s="1"/>
  <c r="AT16" i="9"/>
  <c r="AQ15" i="9"/>
  <c r="AX1045" i="9"/>
  <c r="AU1045" i="9"/>
  <c r="AW191" i="9"/>
  <c r="AV124" i="9"/>
  <c r="AV123" i="9" s="1"/>
  <c r="AP123" i="9"/>
  <c r="AU95" i="9"/>
  <c r="AU94" i="9" s="1"/>
  <c r="AJ94" i="9"/>
  <c r="AX94" i="9" s="1"/>
  <c r="AX95" i="9"/>
  <c r="AU1363" i="9"/>
  <c r="AV154" i="9"/>
  <c r="AV149" i="9" s="1"/>
  <c r="AM149" i="9"/>
  <c r="AU119" i="9"/>
  <c r="AJ118" i="9"/>
  <c r="AX119" i="9"/>
  <c r="AU43" i="9"/>
  <c r="AU42" i="9" s="1"/>
  <c r="AJ42" i="9"/>
  <c r="AX42" i="9" s="1"/>
  <c r="AX24" i="9"/>
  <c r="AJ30" i="9"/>
  <c r="AJ16" i="9" s="1"/>
  <c r="AU1180" i="9"/>
  <c r="AV191" i="9"/>
  <c r="AT39" i="9"/>
  <c r="AX103" i="9"/>
  <c r="AX712" i="9"/>
  <c r="AJ801" i="9"/>
  <c r="AX801" i="9" s="1"/>
  <c r="AU712" i="9"/>
  <c r="AX1230" i="9"/>
  <c r="AX1233" i="9" s="1"/>
  <c r="AJ1233" i="9"/>
  <c r="AU1230" i="9"/>
  <c r="AU1233" i="9" s="1"/>
  <c r="AX1121" i="9"/>
  <c r="AX1162" i="9"/>
  <c r="AU1121" i="9"/>
  <c r="AU1162" i="9" s="1"/>
  <c r="AI1025" i="9"/>
  <c r="AX1082" i="9"/>
  <c r="AJ1110" i="9"/>
  <c r="AX1110" i="9" s="1"/>
  <c r="AU1082" i="9"/>
  <c r="AU1110" i="9" s="1"/>
  <c r="AG191" i="9"/>
  <c r="AX768" i="9"/>
  <c r="AU768" i="9"/>
  <c r="AT171" i="9"/>
  <c r="AT170" i="9" s="1"/>
  <c r="AU187" i="9"/>
  <c r="AU181" i="9" s="1"/>
  <c r="AX187" i="9"/>
  <c r="AJ181" i="9"/>
  <c r="AX172" i="9"/>
  <c r="AP171" i="9"/>
  <c r="AV119" i="9"/>
  <c r="AM118" i="9"/>
  <c r="AW159" i="9"/>
  <c r="AW149" i="9" s="1"/>
  <c r="AX52" i="9"/>
  <c r="AJ1043" i="9"/>
  <c r="AI1073" i="9"/>
  <c r="AJ706" i="9"/>
  <c r="AX706" i="9" s="1"/>
  <c r="AX541" i="9"/>
  <c r="AU541" i="9"/>
  <c r="AU706" i="9" s="1"/>
  <c r="AU167" i="9"/>
  <c r="AJ166" i="9"/>
  <c r="AT165" i="9"/>
  <c r="AQ164" i="9"/>
  <c r="AQ163" i="9" s="1"/>
  <c r="AX159" i="9"/>
  <c r="AJ88" i="9"/>
  <c r="AW42" i="9"/>
  <c r="AJ1025" i="9"/>
  <c r="AX1025" i="9" s="1"/>
  <c r="AX167" i="9"/>
  <c r="AU154" i="9"/>
  <c r="AU149" i="9" s="1"/>
  <c r="AU127" i="9"/>
  <c r="AU126" i="9" s="1"/>
  <c r="AX127" i="9"/>
  <c r="AJ126" i="9"/>
  <c r="AD6" i="7"/>
  <c r="AJ12" i="10" l="1"/>
  <c r="AX13" i="10"/>
  <c r="AI87" i="9"/>
  <c r="AI86" i="9" s="1"/>
  <c r="AU88" i="9"/>
  <c r="AE12" i="9"/>
  <c r="AE11" i="9" s="1"/>
  <c r="AJ70" i="9"/>
  <c r="AX70" i="9" s="1"/>
  <c r="AV14" i="9"/>
  <c r="AV13" i="9" s="1"/>
  <c r="AH12" i="9"/>
  <c r="AH11" i="9" s="1"/>
  <c r="AT163" i="9"/>
  <c r="AU71" i="9"/>
  <c r="AU70" i="9" s="1"/>
  <c r="AK12" i="9"/>
  <c r="AK11" i="9" s="1"/>
  <c r="AX34" i="9"/>
  <c r="AI14" i="9"/>
  <c r="AI13" i="9" s="1"/>
  <c r="AI12" i="9" s="1"/>
  <c r="AS12" i="9"/>
  <c r="AS11" i="9" s="1"/>
  <c r="AW101" i="9"/>
  <c r="AW71" i="9"/>
  <c r="AW70" i="9" s="1"/>
  <c r="AW14" i="9" s="1"/>
  <c r="AW13" i="9" s="1"/>
  <c r="AQ101" i="9"/>
  <c r="AT101" i="9" s="1"/>
  <c r="AL101" i="9"/>
  <c r="AL12" i="9" s="1"/>
  <c r="AL11" i="9" s="1"/>
  <c r="AU1025" i="9"/>
  <c r="AG11" i="9"/>
  <c r="AU87" i="9"/>
  <c r="AU86" i="9" s="1"/>
  <c r="AT164" i="9"/>
  <c r="AU801" i="9"/>
  <c r="AI191" i="9"/>
  <c r="AJ15" i="9"/>
  <c r="AX16" i="9"/>
  <c r="AU118" i="9"/>
  <c r="AU117" i="9" s="1"/>
  <c r="AU102" i="9" s="1"/>
  <c r="AJ117" i="9"/>
  <c r="AX118" i="9"/>
  <c r="AX244" i="9"/>
  <c r="AJ125" i="9"/>
  <c r="AX126" i="9"/>
  <c r="AQ14" i="9"/>
  <c r="AT15" i="9"/>
  <c r="AJ1073" i="9"/>
  <c r="AX1073" i="9" s="1"/>
  <c r="AX1043" i="9"/>
  <c r="AU1043" i="9"/>
  <c r="AU1073" i="9" s="1"/>
  <c r="AU166" i="9"/>
  <c r="AU165" i="9" s="1"/>
  <c r="AJ165" i="9"/>
  <c r="AX166" i="9"/>
  <c r="AJ180" i="9"/>
  <c r="AX181" i="9"/>
  <c r="AP101" i="9"/>
  <c r="AP13" i="9"/>
  <c r="AJ87" i="9"/>
  <c r="AX88" i="9"/>
  <c r="AM117" i="9"/>
  <c r="AM102" i="9" s="1"/>
  <c r="AM101" i="9" s="1"/>
  <c r="AM12" i="9" s="1"/>
  <c r="AM11" i="9" s="1"/>
  <c r="AV118" i="9"/>
  <c r="AV117" i="9" s="1"/>
  <c r="AV102" i="9" s="1"/>
  <c r="AV101" i="9" s="1"/>
  <c r="AX171" i="9"/>
  <c r="AW171" i="9"/>
  <c r="AW170" i="9" s="1"/>
  <c r="AW164" i="9" s="1"/>
  <c r="AW163" i="9" s="1"/>
  <c r="AP170" i="9"/>
  <c r="AV171" i="9"/>
  <c r="AV170" i="9" s="1"/>
  <c r="AV164" i="9" s="1"/>
  <c r="AV163" i="9" s="1"/>
  <c r="AU30" i="9"/>
  <c r="AU16" i="9" s="1"/>
  <c r="AU15" i="9" s="1"/>
  <c r="AX30" i="9"/>
  <c r="AO221" i="8"/>
  <c r="AO231" i="8"/>
  <c r="AO238" i="8"/>
  <c r="AO216" i="8"/>
  <c r="AO214" i="8"/>
  <c r="AL1258" i="8"/>
  <c r="AL1257" i="8"/>
  <c r="AL1256" i="8"/>
  <c r="AL1255" i="8"/>
  <c r="AL1242" i="8"/>
  <c r="AL1233" i="8"/>
  <c r="AL1232" i="8"/>
  <c r="AL827" i="8"/>
  <c r="AL825" i="8"/>
  <c r="AL808" i="8"/>
  <c r="AL794" i="8"/>
  <c r="AL798" i="8"/>
  <c r="AL917" i="8"/>
  <c r="AL939" i="8"/>
  <c r="AL938" i="8"/>
  <c r="AL978" i="8"/>
  <c r="AL985" i="8"/>
  <c r="AL984" i="8"/>
  <c r="AL983" i="8"/>
  <c r="AL567" i="8"/>
  <c r="AL563" i="8"/>
  <c r="AL561" i="8"/>
  <c r="AL559" i="8"/>
  <c r="AL555" i="8"/>
  <c r="AL551" i="8"/>
  <c r="AL549" i="8"/>
  <c r="AL537" i="8"/>
  <c r="AL530" i="8"/>
  <c r="AL526" i="8"/>
  <c r="AL585" i="8"/>
  <c r="AL591" i="8"/>
  <c r="AL590" i="8"/>
  <c r="AL599" i="8"/>
  <c r="AL598" i="8"/>
  <c r="AL632" i="8"/>
  <c r="AL631" i="8"/>
  <c r="AL637" i="8"/>
  <c r="AL636" i="8"/>
  <c r="AL635" i="8"/>
  <c r="AL634" i="8"/>
  <c r="AL653" i="8"/>
  <c r="AL659" i="8"/>
  <c r="AL658" i="8"/>
  <c r="AL663" i="8"/>
  <c r="AL662" i="8"/>
  <c r="AL661" i="8"/>
  <c r="AL678" i="8"/>
  <c r="AL692" i="8"/>
  <c r="AL221" i="8"/>
  <c r="AL219" i="8"/>
  <c r="AL217" i="8"/>
  <c r="AL216" i="8"/>
  <c r="AL214" i="8"/>
  <c r="AL206" i="8"/>
  <c r="AL157" i="8"/>
  <c r="AL156" i="8"/>
  <c r="AL155" i="8"/>
  <c r="AL152" i="8"/>
  <c r="AL141" i="8"/>
  <c r="AL138" i="8"/>
  <c r="AL137" i="8"/>
  <c r="AL136" i="8"/>
  <c r="AL135" i="8"/>
  <c r="AL133" i="8"/>
  <c r="AL132" i="8"/>
  <c r="AL130" i="8"/>
  <c r="AL129" i="8"/>
  <c r="AL128" i="8"/>
  <c r="AL127" i="8"/>
  <c r="AL122" i="8"/>
  <c r="AL121" i="8"/>
  <c r="AL116" i="8"/>
  <c r="AL115" i="8"/>
  <c r="AL114" i="8"/>
  <c r="AL113" i="8"/>
  <c r="AL112" i="8"/>
  <c r="AL111" i="8"/>
  <c r="AL110" i="8"/>
  <c r="AL109" i="8"/>
  <c r="AL108" i="8"/>
  <c r="AL107" i="8"/>
  <c r="AL106" i="8"/>
  <c r="AL105" i="8"/>
  <c r="AL100" i="8"/>
  <c r="AL99" i="8"/>
  <c r="AL98" i="8"/>
  <c r="AL97" i="8"/>
  <c r="AL96" i="8"/>
  <c r="AL95" i="8"/>
  <c r="AL93" i="8"/>
  <c r="AL92" i="8"/>
  <c r="AL91" i="8"/>
  <c r="AL90" i="8"/>
  <c r="AL89" i="8"/>
  <c r="AJ11" i="10" l="1"/>
  <c r="AX12" i="10"/>
  <c r="AV12" i="9"/>
  <c r="AU14" i="9"/>
  <c r="AU13" i="9" s="1"/>
  <c r="AW12" i="9"/>
  <c r="AW11" i="9" s="1"/>
  <c r="AG10" i="9"/>
  <c r="AU191" i="9"/>
  <c r="AI11" i="9"/>
  <c r="AV11" i="9"/>
  <c r="AJ191" i="9"/>
  <c r="AX191" i="9" s="1"/>
  <c r="AX117" i="9"/>
  <c r="AJ102" i="9"/>
  <c r="AJ86" i="9"/>
  <c r="AX86" i="9" s="1"/>
  <c r="AX87" i="9"/>
  <c r="AX180" i="9"/>
  <c r="AU180" i="9"/>
  <c r="AU164" i="9" s="1"/>
  <c r="AU163" i="9" s="1"/>
  <c r="AQ13" i="9"/>
  <c r="AT14" i="9"/>
  <c r="AX170" i="9"/>
  <c r="AP164" i="9"/>
  <c r="AJ164" i="9"/>
  <c r="AJ163" i="9" s="1"/>
  <c r="AX165" i="9"/>
  <c r="AP12" i="9"/>
  <c r="AU125" i="9"/>
  <c r="AJ124" i="9"/>
  <c r="AX125" i="9"/>
  <c r="AJ14" i="9"/>
  <c r="AX15" i="9"/>
  <c r="AG1039" i="8"/>
  <c r="AG991" i="8"/>
  <c r="AG774" i="8"/>
  <c r="AG694" i="8"/>
  <c r="AG517" i="8"/>
  <c r="AG243" i="8"/>
  <c r="AX1303" i="8"/>
  <c r="AV1303" i="8"/>
  <c r="AU1303" i="8"/>
  <c r="AT1303" i="8"/>
  <c r="AW1303" i="8" s="1"/>
  <c r="AI1303" i="8"/>
  <c r="AJ1303" i="8" s="1"/>
  <c r="AV1020" i="8"/>
  <c r="AT1020" i="8"/>
  <c r="AW1020" i="8" s="1"/>
  <c r="AV1015" i="8"/>
  <c r="AT1015" i="8"/>
  <c r="AW1015" i="8" s="1"/>
  <c r="AI1015" i="8"/>
  <c r="AJ1015" i="8" s="1"/>
  <c r="AX11" i="10" l="1"/>
  <c r="AU124" i="9"/>
  <c r="AU123" i="9" s="1"/>
  <c r="AU101" i="9" s="1"/>
  <c r="AU12" i="9" s="1"/>
  <c r="AU11" i="9" s="1"/>
  <c r="AJ123" i="9"/>
  <c r="AX123" i="9" s="1"/>
  <c r="AX124" i="9"/>
  <c r="AX164" i="9"/>
  <c r="AP163" i="9"/>
  <c r="AX163" i="9" s="1"/>
  <c r="AJ13" i="9"/>
  <c r="AX14" i="9"/>
  <c r="AJ101" i="9"/>
  <c r="AX101" i="9" s="1"/>
  <c r="AX102" i="9"/>
  <c r="AQ12" i="9"/>
  <c r="AQ11" i="9" s="1"/>
  <c r="AT11" i="9" s="1"/>
  <c r="AT13" i="9"/>
  <c r="AT12" i="9" s="1"/>
  <c r="AX1015" i="8"/>
  <c r="AU1015" i="8"/>
  <c r="AV912" i="8"/>
  <c r="AT912" i="8"/>
  <c r="AW912" i="8" s="1"/>
  <c r="AV910" i="8"/>
  <c r="AT910" i="8"/>
  <c r="AW910" i="8" s="1"/>
  <c r="AV908" i="8"/>
  <c r="AT908" i="8"/>
  <c r="AW908" i="8" s="1"/>
  <c r="AG869" i="8"/>
  <c r="AP11" i="9" l="1"/>
  <c r="AJ12" i="9"/>
  <c r="AX13" i="9"/>
  <c r="AT627" i="8"/>
  <c r="AW627" i="8" s="1"/>
  <c r="AV627" i="8"/>
  <c r="AV581" i="8"/>
  <c r="AT581" i="8"/>
  <c r="AW581" i="8" s="1"/>
  <c r="AV580" i="8"/>
  <c r="AT580" i="8"/>
  <c r="AW580" i="8" s="1"/>
  <c r="AV579" i="8"/>
  <c r="AT579" i="8"/>
  <c r="AW579" i="8" s="1"/>
  <c r="AV578" i="8"/>
  <c r="AT578" i="8"/>
  <c r="AW578" i="8" s="1"/>
  <c r="AV577" i="8"/>
  <c r="AT577" i="8"/>
  <c r="AW577" i="8" s="1"/>
  <c r="AI569" i="8"/>
  <c r="AJ569" i="8" s="1"/>
  <c r="AT479" i="8"/>
  <c r="AW479" i="8" s="1"/>
  <c r="AV479" i="8"/>
  <c r="AV465" i="8"/>
  <c r="AT465" i="8"/>
  <c r="AW465" i="8" s="1"/>
  <c r="AI255" i="8"/>
  <c r="AJ255" i="8" s="1"/>
  <c r="AI303" i="8"/>
  <c r="AJ303" i="8" s="1"/>
  <c r="AI453" i="8"/>
  <c r="AJ453" i="8" s="1"/>
  <c r="AG402" i="8"/>
  <c r="AI465" i="8"/>
  <c r="AJ465" i="8" s="1"/>
  <c r="AU465" i="8" s="1"/>
  <c r="AI479" i="8"/>
  <c r="AJ479" i="8" s="1"/>
  <c r="AX479" i="8" s="1"/>
  <c r="AI137" i="8"/>
  <c r="AJ137" i="8" s="1"/>
  <c r="AG96" i="8"/>
  <c r="AG116" i="8"/>
  <c r="AG104" i="8" s="1"/>
  <c r="AG103" i="8" s="1"/>
  <c r="AI112" i="8"/>
  <c r="AJ112" i="8" s="1"/>
  <c r="AI135" i="8"/>
  <c r="AJ135" i="8" s="1"/>
  <c r="AI486" i="8"/>
  <c r="AJ486" i="8" s="1"/>
  <c r="AH483" i="8"/>
  <c r="AI472" i="8"/>
  <c r="AJ472" i="8" s="1"/>
  <c r="AH475" i="8"/>
  <c r="AH53" i="8"/>
  <c r="AI92" i="8"/>
  <c r="AJ92" i="8" s="1"/>
  <c r="AH127" i="8"/>
  <c r="AI1020" i="8"/>
  <c r="AJ1020" i="8" s="1"/>
  <c r="AG1019" i="8"/>
  <c r="AI912" i="8"/>
  <c r="AJ912" i="8" s="1"/>
  <c r="AI910" i="8"/>
  <c r="AJ910" i="8" s="1"/>
  <c r="AI908" i="8"/>
  <c r="AJ908" i="8" s="1"/>
  <c r="AI105" i="8"/>
  <c r="AJ105" i="8" s="1"/>
  <c r="AI1017" i="8"/>
  <c r="AJ1017" i="8" s="1"/>
  <c r="AH915" i="8"/>
  <c r="AJ11" i="9" l="1"/>
  <c r="AX11" i="9" s="1"/>
  <c r="AX12" i="9"/>
  <c r="AU910" i="8"/>
  <c r="AX910" i="8"/>
  <c r="AX912" i="8"/>
  <c r="AU912" i="8"/>
  <c r="AX1020" i="8"/>
  <c r="AU1020" i="8"/>
  <c r="AU908" i="8"/>
  <c r="AX908" i="8"/>
  <c r="AU479" i="8"/>
  <c r="AG564" i="8"/>
  <c r="AG629" i="8"/>
  <c r="AI627" i="8"/>
  <c r="AJ627" i="8" s="1"/>
  <c r="AG541" i="8"/>
  <c r="AI581" i="8"/>
  <c r="AJ581" i="8" s="1"/>
  <c r="AU581" i="8" s="1"/>
  <c r="AI580" i="8"/>
  <c r="AJ580" i="8" s="1"/>
  <c r="AI579" i="8"/>
  <c r="AJ579" i="8" s="1"/>
  <c r="AI578" i="8"/>
  <c r="AJ578" i="8" s="1"/>
  <c r="AI577" i="8"/>
  <c r="AJ577" i="8" s="1"/>
  <c r="AG1029" i="8"/>
  <c r="AG1011" i="8"/>
  <c r="AG1032" i="8"/>
  <c r="AH623" i="8"/>
  <c r="AX579" i="8" l="1"/>
  <c r="AU579" i="8"/>
  <c r="AX627" i="8"/>
  <c r="AU627" i="8"/>
  <c r="AU580" i="8"/>
  <c r="AX580" i="8"/>
  <c r="AX577" i="8"/>
  <c r="AU577" i="8"/>
  <c r="AX578" i="8"/>
  <c r="AU578" i="8"/>
  <c r="AH1009" i="8"/>
  <c r="AS1320" i="8"/>
  <c r="AR1320" i="8"/>
  <c r="AQ1320" i="8"/>
  <c r="AP1320" i="8"/>
  <c r="AO1320" i="8"/>
  <c r="AN1320" i="8"/>
  <c r="AM1320" i="8"/>
  <c r="AK1320" i="8"/>
  <c r="AH1320" i="8"/>
  <c r="AG1320" i="8"/>
  <c r="AF1320" i="8"/>
  <c r="AD1320" i="8"/>
  <c r="AV1318" i="8"/>
  <c r="AT1318" i="8"/>
  <c r="AW1318" i="8" s="1"/>
  <c r="AI1318" i="8"/>
  <c r="AJ1318" i="8" s="1"/>
  <c r="AV1317" i="8"/>
  <c r="AT1317" i="8"/>
  <c r="AW1317" i="8" s="1"/>
  <c r="AI1317" i="8"/>
  <c r="AJ1317" i="8" s="1"/>
  <c r="AU1317" i="8" s="1"/>
  <c r="AV1314" i="8"/>
  <c r="AT1314" i="8"/>
  <c r="AW1314" i="8" s="1"/>
  <c r="AI1314" i="8"/>
  <c r="AJ1314" i="8" s="1"/>
  <c r="AV1312" i="8"/>
  <c r="AT1312" i="8"/>
  <c r="AW1312" i="8" s="1"/>
  <c r="AI1312" i="8"/>
  <c r="AJ1312" i="8" s="1"/>
  <c r="AX1312" i="8" s="1"/>
  <c r="AV1311" i="8"/>
  <c r="AT1311" i="8"/>
  <c r="AW1311" i="8" s="1"/>
  <c r="AI1311" i="8"/>
  <c r="AJ1311" i="8" s="1"/>
  <c r="AV1310" i="8"/>
  <c r="AT1310" i="8"/>
  <c r="AW1310" i="8" s="1"/>
  <c r="AI1310" i="8"/>
  <c r="AJ1310" i="8" s="1"/>
  <c r="AV1308" i="8"/>
  <c r="AT1308" i="8"/>
  <c r="AW1308" i="8" s="1"/>
  <c r="AI1308" i="8"/>
  <c r="AJ1308" i="8" s="1"/>
  <c r="AV1301" i="8"/>
  <c r="AT1301" i="8"/>
  <c r="AW1301" i="8" s="1"/>
  <c r="AI1301" i="8"/>
  <c r="AJ1301" i="8" s="1"/>
  <c r="AV1299" i="8"/>
  <c r="AT1299" i="8"/>
  <c r="AW1299" i="8" s="1"/>
  <c r="AI1299" i="8"/>
  <c r="AJ1299" i="8" s="1"/>
  <c r="AV1297" i="8"/>
  <c r="AT1297" i="8"/>
  <c r="AW1297" i="8" s="1"/>
  <c r="AI1297" i="8"/>
  <c r="AJ1297" i="8" s="1"/>
  <c r="AV1296" i="8"/>
  <c r="AT1296" i="8"/>
  <c r="AW1296" i="8" s="1"/>
  <c r="AI1296" i="8"/>
  <c r="AJ1296" i="8" s="1"/>
  <c r="AV1295" i="8"/>
  <c r="AT1295" i="8"/>
  <c r="AW1295" i="8" s="1"/>
  <c r="AI1295" i="8"/>
  <c r="AJ1295" i="8" s="1"/>
  <c r="AV1293" i="8"/>
  <c r="AT1293" i="8"/>
  <c r="AW1293" i="8" s="1"/>
  <c r="AI1293" i="8"/>
  <c r="AJ1293" i="8" s="1"/>
  <c r="AX1293" i="8" s="1"/>
  <c r="AV1292" i="8"/>
  <c r="AT1292" i="8"/>
  <c r="AW1292" i="8" s="1"/>
  <c r="AI1292" i="8"/>
  <c r="AJ1292" i="8" s="1"/>
  <c r="AV1289" i="8"/>
  <c r="AT1289" i="8"/>
  <c r="AW1289" i="8" s="1"/>
  <c r="AI1289" i="8"/>
  <c r="AJ1289" i="8" s="1"/>
  <c r="AV1288" i="8"/>
  <c r="AT1288" i="8"/>
  <c r="AW1288" i="8" s="1"/>
  <c r="AI1288" i="8"/>
  <c r="AJ1288" i="8" s="1"/>
  <c r="AV1287" i="8"/>
  <c r="AT1287" i="8"/>
  <c r="AW1287" i="8" s="1"/>
  <c r="AI1287" i="8"/>
  <c r="AJ1287" i="8" s="1"/>
  <c r="AV1286" i="8"/>
  <c r="AT1286" i="8"/>
  <c r="AW1286" i="8" s="1"/>
  <c r="AI1286" i="8"/>
  <c r="AJ1286" i="8" s="1"/>
  <c r="AU1286" i="8" s="1"/>
  <c r="AV1283" i="8"/>
  <c r="AT1283" i="8"/>
  <c r="AW1283" i="8" s="1"/>
  <c r="AI1283" i="8"/>
  <c r="AJ1283" i="8" s="1"/>
  <c r="AX1283" i="8" s="1"/>
  <c r="AV1282" i="8"/>
  <c r="AT1282" i="8"/>
  <c r="AW1282" i="8" s="1"/>
  <c r="AI1282" i="8"/>
  <c r="AJ1282" i="8" s="1"/>
  <c r="AV1281" i="8"/>
  <c r="AT1281" i="8"/>
  <c r="AW1281" i="8" s="1"/>
  <c r="AI1281" i="8"/>
  <c r="AJ1281" i="8" s="1"/>
  <c r="AX1281" i="8" s="1"/>
  <c r="AV1280" i="8"/>
  <c r="AT1280" i="8"/>
  <c r="AW1280" i="8" s="1"/>
  <c r="AI1280" i="8"/>
  <c r="AJ1280" i="8" s="1"/>
  <c r="AV1277" i="8"/>
  <c r="AT1277" i="8"/>
  <c r="AW1277" i="8" s="1"/>
  <c r="AI1277" i="8"/>
  <c r="AJ1277" i="8" s="1"/>
  <c r="AV1276" i="8"/>
  <c r="AT1276" i="8"/>
  <c r="AW1276" i="8" s="1"/>
  <c r="AI1276" i="8"/>
  <c r="AJ1276" i="8" s="1"/>
  <c r="AV1273" i="8"/>
  <c r="AT1273" i="8"/>
  <c r="AW1273" i="8" s="1"/>
  <c r="AI1273" i="8"/>
  <c r="AJ1273" i="8" s="1"/>
  <c r="AV1271" i="8"/>
  <c r="AT1271" i="8"/>
  <c r="AW1271" i="8" s="1"/>
  <c r="AI1271" i="8"/>
  <c r="AJ1271" i="8" s="1"/>
  <c r="AU1271" i="8" s="1"/>
  <c r="AV1272" i="8"/>
  <c r="AT1272" i="8"/>
  <c r="AW1272" i="8" s="1"/>
  <c r="AI1272" i="8"/>
  <c r="AJ1272" i="8" s="1"/>
  <c r="AX1272" i="8" s="1"/>
  <c r="AV1270" i="8"/>
  <c r="AT1270" i="8"/>
  <c r="AW1270" i="8" s="1"/>
  <c r="AI1270" i="8"/>
  <c r="AJ1270" i="8" s="1"/>
  <c r="AX1270" i="8" s="1"/>
  <c r="AV1269" i="8"/>
  <c r="AT1269" i="8"/>
  <c r="AW1269" i="8" s="1"/>
  <c r="AI1269" i="8"/>
  <c r="AJ1269" i="8" s="1"/>
  <c r="AX1269" i="8" s="1"/>
  <c r="AV1268" i="8"/>
  <c r="AT1268" i="8"/>
  <c r="AW1268" i="8" s="1"/>
  <c r="AI1268" i="8"/>
  <c r="AJ1268" i="8" s="1"/>
  <c r="AV1265" i="8"/>
  <c r="AT1265" i="8"/>
  <c r="AW1265" i="8" s="1"/>
  <c r="AI1265" i="8"/>
  <c r="AJ1265" i="8" s="1"/>
  <c r="AV1264" i="8"/>
  <c r="AT1264" i="8"/>
  <c r="AW1264" i="8" s="1"/>
  <c r="AI1264" i="8"/>
  <c r="AJ1264" i="8" s="1"/>
  <c r="AV1262" i="8"/>
  <c r="AT1262" i="8"/>
  <c r="AW1262" i="8" s="1"/>
  <c r="AI1262" i="8"/>
  <c r="AJ1262" i="8" s="1"/>
  <c r="AV1261" i="8"/>
  <c r="AT1261" i="8"/>
  <c r="AW1261" i="8" s="1"/>
  <c r="AI1261" i="8"/>
  <c r="AJ1261" i="8" s="1"/>
  <c r="AU1261" i="8" s="1"/>
  <c r="AV1258" i="8"/>
  <c r="AT1258" i="8"/>
  <c r="AW1258" i="8" s="1"/>
  <c r="AI1258" i="8"/>
  <c r="AJ1258" i="8" s="1"/>
  <c r="AX1258" i="8" s="1"/>
  <c r="AV1257" i="8"/>
  <c r="AT1257" i="8"/>
  <c r="AW1257" i="8" s="1"/>
  <c r="AE1257" i="8"/>
  <c r="AI1257" i="8" s="1"/>
  <c r="AJ1257" i="8" s="1"/>
  <c r="AV1256" i="8"/>
  <c r="AT1256" i="8"/>
  <c r="AW1256" i="8" s="1"/>
  <c r="AI1256" i="8"/>
  <c r="AJ1256" i="8" s="1"/>
  <c r="AX1256" i="8" s="1"/>
  <c r="AV1255" i="8"/>
  <c r="AT1255" i="8"/>
  <c r="AW1255" i="8" s="1"/>
  <c r="AI1255" i="8"/>
  <c r="AJ1255" i="8" s="1"/>
  <c r="AX1255" i="8" s="1"/>
  <c r="AV1252" i="8"/>
  <c r="AT1252" i="8"/>
  <c r="AW1252" i="8" s="1"/>
  <c r="AI1252" i="8"/>
  <c r="AJ1252" i="8" s="1"/>
  <c r="AV1251" i="8"/>
  <c r="AT1251" i="8"/>
  <c r="AW1251" i="8" s="1"/>
  <c r="AE1251" i="8"/>
  <c r="AI1251" i="8" s="1"/>
  <c r="AJ1251" i="8" s="1"/>
  <c r="AV1250" i="8"/>
  <c r="AT1250" i="8"/>
  <c r="AW1250" i="8" s="1"/>
  <c r="AI1250" i="8"/>
  <c r="AJ1250" i="8" s="1"/>
  <c r="AV1249" i="8"/>
  <c r="AT1249" i="8"/>
  <c r="AW1249" i="8" s="1"/>
  <c r="AI1249" i="8"/>
  <c r="AJ1249" i="8" s="1"/>
  <c r="AL1248" i="8"/>
  <c r="AL1320" i="8" s="1"/>
  <c r="AV1245" i="8"/>
  <c r="AT1245" i="8"/>
  <c r="AW1245" i="8" s="1"/>
  <c r="AI1245" i="8"/>
  <c r="AJ1245" i="8" s="1"/>
  <c r="AV1244" i="8"/>
  <c r="AT1244" i="8"/>
  <c r="AW1244" i="8" s="1"/>
  <c r="AI1244" i="8"/>
  <c r="AJ1244" i="8" s="1"/>
  <c r="AV1243" i="8"/>
  <c r="AT1243" i="8"/>
  <c r="AW1243" i="8" s="1"/>
  <c r="AI1243" i="8"/>
  <c r="AJ1243" i="8" s="1"/>
  <c r="AU1243" i="8" s="1"/>
  <c r="AV1242" i="8"/>
  <c r="AT1242" i="8"/>
  <c r="AW1242" i="8" s="1"/>
  <c r="AI1242" i="8"/>
  <c r="AJ1242" i="8" s="1"/>
  <c r="AX1242" i="8" s="1"/>
  <c r="AV1241" i="8"/>
  <c r="AT1241" i="8"/>
  <c r="AW1241" i="8" s="1"/>
  <c r="AI1241" i="8"/>
  <c r="AJ1241" i="8" s="1"/>
  <c r="AV1240" i="8"/>
  <c r="AT1240" i="8"/>
  <c r="AW1240" i="8" s="1"/>
  <c r="AI1240" i="8"/>
  <c r="AJ1240" i="8" s="1"/>
  <c r="AX1240" i="8" s="1"/>
  <c r="AV1237" i="8"/>
  <c r="AT1237" i="8"/>
  <c r="AW1237" i="8" s="1"/>
  <c r="AI1237" i="8"/>
  <c r="AJ1237" i="8" s="1"/>
  <c r="AV1236" i="8"/>
  <c r="AT1236" i="8"/>
  <c r="AW1236" i="8" s="1"/>
  <c r="AI1236" i="8"/>
  <c r="AJ1236" i="8" s="1"/>
  <c r="AV1233" i="8"/>
  <c r="AT1233" i="8"/>
  <c r="AW1233" i="8" s="1"/>
  <c r="AI1233" i="8"/>
  <c r="AV1232" i="8"/>
  <c r="AT1232" i="8"/>
  <c r="AW1232" i="8" s="1"/>
  <c r="AI1232" i="8"/>
  <c r="AJ1232" i="8" s="1"/>
  <c r="AS1222" i="8"/>
  <c r="AR1222" i="8"/>
  <c r="AQ1222" i="8"/>
  <c r="AP1222" i="8"/>
  <c r="AO1222" i="8"/>
  <c r="AN1222" i="8"/>
  <c r="AM1222" i="8"/>
  <c r="AL1222" i="8"/>
  <c r="AK1222" i="8"/>
  <c r="AH1222" i="8"/>
  <c r="AG1222" i="8"/>
  <c r="AF1222" i="8"/>
  <c r="AE1222" i="8"/>
  <c r="AD1222" i="8"/>
  <c r="AV1220" i="8"/>
  <c r="AT1220" i="8"/>
  <c r="AW1220" i="8" s="1"/>
  <c r="AI1220" i="8"/>
  <c r="AJ1220" i="8" s="1"/>
  <c r="AX1220" i="8" s="1"/>
  <c r="AV1219" i="8"/>
  <c r="AT1219" i="8"/>
  <c r="AW1219" i="8" s="1"/>
  <c r="AI1219" i="8"/>
  <c r="AX1216" i="8"/>
  <c r="AV1216" i="8"/>
  <c r="AU1216" i="8"/>
  <c r="AT1216" i="8"/>
  <c r="AW1216" i="8" s="1"/>
  <c r="AS1207" i="8"/>
  <c r="AR1207" i="8"/>
  <c r="AQ1207" i="8"/>
  <c r="AP1207" i="8"/>
  <c r="AN1207" i="8"/>
  <c r="AM1207" i="8"/>
  <c r="AK1207" i="8"/>
  <c r="AF1207" i="8"/>
  <c r="AE1207" i="8"/>
  <c r="AD1207" i="8"/>
  <c r="AX1205" i="8"/>
  <c r="AV1205" i="8"/>
  <c r="AU1205" i="8"/>
  <c r="AT1205" i="8"/>
  <c r="AW1205" i="8" s="1"/>
  <c r="AV1203" i="8"/>
  <c r="AT1203" i="8"/>
  <c r="AW1203" i="8" s="1"/>
  <c r="AO1207" i="8"/>
  <c r="AG1203" i="8"/>
  <c r="AI1203" i="8" s="1"/>
  <c r="AJ1203" i="8" s="1"/>
  <c r="AV1201" i="8"/>
  <c r="AT1201" i="8"/>
  <c r="AW1201" i="8" s="1"/>
  <c r="AH1201" i="8"/>
  <c r="AH1207" i="8" s="1"/>
  <c r="AG1201" i="8"/>
  <c r="AS1192" i="8"/>
  <c r="AR1192" i="8"/>
  <c r="AQ1192" i="8"/>
  <c r="AP1192" i="8"/>
  <c r="AO1192" i="8"/>
  <c r="AN1192" i="8"/>
  <c r="AM1192" i="8"/>
  <c r="AL1192" i="8"/>
  <c r="AK1192" i="8"/>
  <c r="AH1192" i="8"/>
  <c r="AG1192" i="8"/>
  <c r="AF1192" i="8"/>
  <c r="AE1192" i="8"/>
  <c r="AD1192" i="8"/>
  <c r="AV1190" i="8"/>
  <c r="AT1190" i="8"/>
  <c r="AW1190" i="8" s="1"/>
  <c r="AI1190" i="8"/>
  <c r="AJ1190" i="8" s="1"/>
  <c r="AV1189" i="8"/>
  <c r="AV1192" i="8" s="1"/>
  <c r="AT1189" i="8"/>
  <c r="AW1189" i="8" s="1"/>
  <c r="AI1189" i="8"/>
  <c r="AS1179" i="8"/>
  <c r="AR1179" i="8"/>
  <c r="AQ1179" i="8"/>
  <c r="AP1179" i="8"/>
  <c r="AO1179" i="8"/>
  <c r="AN1179" i="8"/>
  <c r="AM1179" i="8"/>
  <c r="AL1179" i="8"/>
  <c r="AK1179" i="8"/>
  <c r="AH1179" i="8"/>
  <c r="AG1179" i="8"/>
  <c r="AF1179" i="8"/>
  <c r="AE1179" i="8"/>
  <c r="AD1179" i="8"/>
  <c r="AV1177" i="8"/>
  <c r="AT1177" i="8"/>
  <c r="AW1177" i="8" s="1"/>
  <c r="AI1177" i="8"/>
  <c r="AJ1177" i="8" s="1"/>
  <c r="AV1175" i="8"/>
  <c r="AT1175" i="8"/>
  <c r="AW1175" i="8" s="1"/>
  <c r="AI1175" i="8"/>
  <c r="AJ1175" i="8" s="1"/>
  <c r="AV1173" i="8"/>
  <c r="AT1173" i="8"/>
  <c r="AW1173" i="8" s="1"/>
  <c r="AI1173" i="8"/>
  <c r="AJ1173" i="8" s="1"/>
  <c r="AV1171" i="8"/>
  <c r="AT1171" i="8"/>
  <c r="AW1171" i="8" s="1"/>
  <c r="AI1171" i="8"/>
  <c r="AJ1171" i="8" s="1"/>
  <c r="AV1169" i="8"/>
  <c r="AT1169" i="8"/>
  <c r="AW1169" i="8" s="1"/>
  <c r="AI1169" i="8"/>
  <c r="AJ1169" i="8" s="1"/>
  <c r="AV1167" i="8"/>
  <c r="AT1167" i="8"/>
  <c r="AW1167" i="8" s="1"/>
  <c r="AI1167" i="8"/>
  <c r="AJ1167" i="8" s="1"/>
  <c r="AU1167" i="8" s="1"/>
  <c r="AV1165" i="8"/>
  <c r="AT1165" i="8"/>
  <c r="AW1165" i="8" s="1"/>
  <c r="AI1165" i="8"/>
  <c r="AJ1165" i="8" s="1"/>
  <c r="AU1165" i="8" s="1"/>
  <c r="AV1164" i="8"/>
  <c r="AT1164" i="8"/>
  <c r="AW1164" i="8" s="1"/>
  <c r="AI1164" i="8"/>
  <c r="AJ1164" i="8" s="1"/>
  <c r="AU1164" i="8" s="1"/>
  <c r="AV1162" i="8"/>
  <c r="AT1162" i="8"/>
  <c r="AW1162" i="8" s="1"/>
  <c r="AI1162" i="8"/>
  <c r="AJ1162" i="8" s="1"/>
  <c r="AV1161" i="8"/>
  <c r="AT1161" i="8"/>
  <c r="AW1161" i="8" s="1"/>
  <c r="AI1161" i="8"/>
  <c r="AJ1161" i="8" s="1"/>
  <c r="AX1161" i="8" s="1"/>
  <c r="AV1160" i="8"/>
  <c r="AT1160" i="8"/>
  <c r="AW1160" i="8" s="1"/>
  <c r="AI1160" i="8"/>
  <c r="AJ1160" i="8" s="1"/>
  <c r="AV1159" i="8"/>
  <c r="AT1159" i="8"/>
  <c r="AW1159" i="8" s="1"/>
  <c r="AI1159" i="8"/>
  <c r="AJ1159" i="8" s="1"/>
  <c r="AV1157" i="8"/>
  <c r="AT1157" i="8"/>
  <c r="AW1157" i="8" s="1"/>
  <c r="AI1157" i="8"/>
  <c r="AV1156" i="8"/>
  <c r="AT1156" i="8"/>
  <c r="AW1156" i="8" s="1"/>
  <c r="AI1156" i="8"/>
  <c r="AJ1156" i="8" s="1"/>
  <c r="AX1156" i="8" s="1"/>
  <c r="AX1153" i="8"/>
  <c r="AV1153" i="8"/>
  <c r="AU1153" i="8"/>
  <c r="AT1153" i="8"/>
  <c r="AW1153" i="8" s="1"/>
  <c r="AX1152" i="8"/>
  <c r="AV1152" i="8"/>
  <c r="AU1152" i="8"/>
  <c r="AT1152" i="8"/>
  <c r="AW1152" i="8" s="1"/>
  <c r="AX1151" i="8"/>
  <c r="AV1151" i="8"/>
  <c r="AU1151" i="8"/>
  <c r="AT1151" i="8"/>
  <c r="AW1151" i="8" s="1"/>
  <c r="AX1150" i="8"/>
  <c r="AV1150" i="8"/>
  <c r="AU1150" i="8"/>
  <c r="AT1150" i="8"/>
  <c r="AW1150" i="8" s="1"/>
  <c r="AX1149" i="8"/>
  <c r="AV1149" i="8"/>
  <c r="AU1149" i="8"/>
  <c r="AT1149" i="8"/>
  <c r="AW1149" i="8" s="1"/>
  <c r="AS1139" i="8"/>
  <c r="AR1139" i="8"/>
  <c r="AQ1139" i="8"/>
  <c r="AP1139" i="8"/>
  <c r="AO1139" i="8"/>
  <c r="AN1139" i="8"/>
  <c r="AM1139" i="8"/>
  <c r="AL1139" i="8"/>
  <c r="AK1139" i="8"/>
  <c r="AH1139" i="8"/>
  <c r="AG1139" i="8"/>
  <c r="AF1139" i="8"/>
  <c r="AE1139" i="8"/>
  <c r="AD1139" i="8"/>
  <c r="AV1137" i="8"/>
  <c r="AT1137" i="8"/>
  <c r="AW1137" i="8" s="1"/>
  <c r="AI1137" i="8"/>
  <c r="AJ1137" i="8" s="1"/>
  <c r="AV1136" i="8"/>
  <c r="AT1136" i="8"/>
  <c r="AW1136" i="8" s="1"/>
  <c r="AI1136" i="8"/>
  <c r="AJ1136" i="8" s="1"/>
  <c r="AV1135" i="8"/>
  <c r="AT1135" i="8"/>
  <c r="AW1135" i="8" s="1"/>
  <c r="AI1135" i="8"/>
  <c r="AJ1135" i="8" s="1"/>
  <c r="AV1134" i="8"/>
  <c r="AT1134" i="8"/>
  <c r="AW1134" i="8" s="1"/>
  <c r="AI1134" i="8"/>
  <c r="AV1133" i="8"/>
  <c r="AT1133" i="8"/>
  <c r="AW1133" i="8" s="1"/>
  <c r="AI1133" i="8"/>
  <c r="AJ1133" i="8" s="1"/>
  <c r="AV1132" i="8"/>
  <c r="AT1132" i="8"/>
  <c r="AW1132" i="8" s="1"/>
  <c r="AI1132" i="8"/>
  <c r="AJ1132" i="8" s="1"/>
  <c r="AU1132" i="8" s="1"/>
  <c r="AV1131" i="8"/>
  <c r="AT1131" i="8"/>
  <c r="AW1131" i="8" s="1"/>
  <c r="AI1131" i="8"/>
  <c r="AJ1131" i="8" s="1"/>
  <c r="AX1131" i="8" s="1"/>
  <c r="AT1130" i="8"/>
  <c r="AS1121" i="8"/>
  <c r="AR1121" i="8"/>
  <c r="AQ1121" i="8"/>
  <c r="AP1121" i="8"/>
  <c r="AO1121" i="8"/>
  <c r="AN1121" i="8"/>
  <c r="AM1121" i="8"/>
  <c r="AL1121" i="8"/>
  <c r="AK1121" i="8"/>
  <c r="AH1121" i="8"/>
  <c r="AG1121" i="8"/>
  <c r="AF1121" i="8"/>
  <c r="AE1121" i="8"/>
  <c r="AD1121" i="8"/>
  <c r="AV1119" i="8"/>
  <c r="AT1119" i="8"/>
  <c r="AW1119" i="8" s="1"/>
  <c r="AI1119" i="8"/>
  <c r="AJ1119" i="8" s="1"/>
  <c r="AX1119" i="8" s="1"/>
  <c r="AX1114" i="8"/>
  <c r="AV1114" i="8"/>
  <c r="AU1114" i="8"/>
  <c r="AT1114" i="8"/>
  <c r="AW1114" i="8" s="1"/>
  <c r="AX1113" i="8"/>
  <c r="AV1113" i="8"/>
  <c r="AU1113" i="8"/>
  <c r="AT1113" i="8"/>
  <c r="AW1113" i="8" s="1"/>
  <c r="AV1104" i="8"/>
  <c r="AT1104" i="8"/>
  <c r="AW1104" i="8" s="1"/>
  <c r="AI1104" i="8"/>
  <c r="AJ1104" i="8" s="1"/>
  <c r="AX1103" i="8"/>
  <c r="AV1103" i="8"/>
  <c r="AU1103" i="8"/>
  <c r="AT1103" i="8"/>
  <c r="AW1103" i="8" s="1"/>
  <c r="AV1101" i="8"/>
  <c r="AT1101" i="8"/>
  <c r="AW1101" i="8" s="1"/>
  <c r="AI1101" i="8"/>
  <c r="AJ1101" i="8" s="1"/>
  <c r="AV1099" i="8"/>
  <c r="AT1099" i="8"/>
  <c r="AW1099" i="8" s="1"/>
  <c r="AI1099" i="8"/>
  <c r="AJ1099" i="8" s="1"/>
  <c r="AU1099" i="8" s="1"/>
  <c r="AW1097" i="8"/>
  <c r="AV1097" i="8"/>
  <c r="AI1097" i="8"/>
  <c r="AJ1097" i="8" s="1"/>
  <c r="AX1097" i="8" s="1"/>
  <c r="AV1095" i="8"/>
  <c r="AT1095" i="8"/>
  <c r="AW1095" i="8" s="1"/>
  <c r="AI1095" i="8"/>
  <c r="AJ1095" i="8" s="1"/>
  <c r="AX1095" i="8" s="1"/>
  <c r="AV1093" i="8"/>
  <c r="AT1093" i="8"/>
  <c r="AW1093" i="8" s="1"/>
  <c r="AI1093" i="8"/>
  <c r="AJ1093" i="8" s="1"/>
  <c r="AV1092" i="8"/>
  <c r="AT1092" i="8"/>
  <c r="AW1092" i="8" s="1"/>
  <c r="AI1092" i="8"/>
  <c r="AJ1092" i="8" s="1"/>
  <c r="AV1090" i="8"/>
  <c r="AT1090" i="8"/>
  <c r="AW1090" i="8" s="1"/>
  <c r="AI1090" i="8"/>
  <c r="AJ1090" i="8" s="1"/>
  <c r="AW1088" i="8"/>
  <c r="AV1088" i="8"/>
  <c r="AI1088" i="8"/>
  <c r="AJ1088" i="8" s="1"/>
  <c r="AU1088" i="8" s="1"/>
  <c r="AV1086" i="8"/>
  <c r="AT1086" i="8"/>
  <c r="AW1086" i="8" s="1"/>
  <c r="AI1086" i="8"/>
  <c r="AJ1086" i="8" s="1"/>
  <c r="AX1086" i="8" s="1"/>
  <c r="AV1084" i="8"/>
  <c r="AT1084" i="8"/>
  <c r="AW1084" i="8" s="1"/>
  <c r="AI1084" i="8"/>
  <c r="AJ1084" i="8" s="1"/>
  <c r="AU1084" i="8" s="1"/>
  <c r="AV1082" i="8"/>
  <c r="AT1082" i="8"/>
  <c r="AW1082" i="8" s="1"/>
  <c r="AI1082" i="8"/>
  <c r="AJ1082" i="8" s="1"/>
  <c r="AV1081" i="8"/>
  <c r="AT1081" i="8"/>
  <c r="AW1081" i="8" s="1"/>
  <c r="AI1081" i="8"/>
  <c r="AJ1081" i="8" s="1"/>
  <c r="AV1080" i="8"/>
  <c r="AT1080" i="8"/>
  <c r="AW1080" i="8" s="1"/>
  <c r="AI1080" i="8"/>
  <c r="AS1071" i="8"/>
  <c r="AR1071" i="8"/>
  <c r="AQ1071" i="8"/>
  <c r="AP1071" i="8"/>
  <c r="AO1071" i="8"/>
  <c r="AN1071" i="8"/>
  <c r="AM1071" i="8"/>
  <c r="AL1071" i="8"/>
  <c r="AK1071" i="8"/>
  <c r="AG1071" i="8"/>
  <c r="AF1071" i="8"/>
  <c r="AE1071" i="8"/>
  <c r="AD1071" i="8"/>
  <c r="AV1069" i="8"/>
  <c r="AT1069" i="8"/>
  <c r="AW1069" i="8" s="1"/>
  <c r="AI1069" i="8"/>
  <c r="AJ1069" i="8" s="1"/>
  <c r="AV1063" i="8"/>
  <c r="AT1063" i="8"/>
  <c r="AW1063" i="8" s="1"/>
  <c r="AI1063" i="8"/>
  <c r="AJ1063" i="8" s="1"/>
  <c r="AX1063" i="8" s="1"/>
  <c r="AX1062" i="8"/>
  <c r="AV1062" i="8"/>
  <c r="AU1062" i="8"/>
  <c r="AT1062" i="8"/>
  <c r="AW1062" i="8" s="1"/>
  <c r="AX1060" i="8"/>
  <c r="AV1060" i="8"/>
  <c r="AU1060" i="8"/>
  <c r="AT1060" i="8"/>
  <c r="AW1060" i="8" s="1"/>
  <c r="AX1056" i="8"/>
  <c r="AV1056" i="8"/>
  <c r="AU1056" i="8"/>
  <c r="AT1056" i="8"/>
  <c r="AW1056" i="8" s="1"/>
  <c r="AV1054" i="8"/>
  <c r="AT1054" i="8"/>
  <c r="AW1054" i="8" s="1"/>
  <c r="AI1054" i="8"/>
  <c r="AJ1054" i="8" s="1"/>
  <c r="AU1054" i="8" s="1"/>
  <c r="AV1053" i="8"/>
  <c r="AT1053" i="8"/>
  <c r="AW1053" i="8" s="1"/>
  <c r="AI1053" i="8"/>
  <c r="AJ1053" i="8" s="1"/>
  <c r="AU1053" i="8" s="1"/>
  <c r="AV1049" i="8"/>
  <c r="AT1049" i="8"/>
  <c r="AW1049" i="8" s="1"/>
  <c r="AI1049" i="8"/>
  <c r="AJ1049" i="8" s="1"/>
  <c r="AX1049" i="8" s="1"/>
  <c r="AV1048" i="8"/>
  <c r="AT1048" i="8"/>
  <c r="AH1048" i="8"/>
  <c r="AH1071" i="8" s="1"/>
  <c r="AS1039" i="8"/>
  <c r="AR1039" i="8"/>
  <c r="AQ1039" i="8"/>
  <c r="AP1039" i="8"/>
  <c r="AO1039" i="8"/>
  <c r="AN1039" i="8"/>
  <c r="AM1039" i="8"/>
  <c r="AL1039" i="8"/>
  <c r="AK1039" i="8"/>
  <c r="AF1039" i="8"/>
  <c r="AE1039" i="8"/>
  <c r="AD1039" i="8"/>
  <c r="AV1037" i="8"/>
  <c r="AT1037" i="8"/>
  <c r="AW1037" i="8" s="1"/>
  <c r="AI1037" i="8"/>
  <c r="AJ1037" i="8" s="1"/>
  <c r="AV1032" i="8"/>
  <c r="AT1032" i="8"/>
  <c r="AW1032" i="8" s="1"/>
  <c r="AI1032" i="8"/>
  <c r="AJ1032" i="8" s="1"/>
  <c r="AV1029" i="8"/>
  <c r="AT1029" i="8"/>
  <c r="AW1029" i="8" s="1"/>
  <c r="AI1029" i="8"/>
  <c r="AJ1029" i="8" s="1"/>
  <c r="AV1027" i="8"/>
  <c r="AT1027" i="8"/>
  <c r="AW1027" i="8" s="1"/>
  <c r="AI1027" i="8"/>
  <c r="AJ1027" i="8" s="1"/>
  <c r="AX1026" i="8"/>
  <c r="AV1026" i="8"/>
  <c r="AU1026" i="8"/>
  <c r="AT1026" i="8"/>
  <c r="AW1026" i="8" s="1"/>
  <c r="AX1025" i="8"/>
  <c r="AV1025" i="8"/>
  <c r="AU1025" i="8"/>
  <c r="AT1025" i="8"/>
  <c r="AW1025" i="8" s="1"/>
  <c r="AV1024" i="8"/>
  <c r="AT1024" i="8"/>
  <c r="AW1024" i="8" s="1"/>
  <c r="AI1024" i="8"/>
  <c r="AJ1024" i="8" s="1"/>
  <c r="AV1022" i="8"/>
  <c r="AT1022" i="8"/>
  <c r="AW1022" i="8" s="1"/>
  <c r="AI1022" i="8"/>
  <c r="AJ1022" i="8" s="1"/>
  <c r="AU1022" i="8" s="1"/>
  <c r="AV1019" i="8"/>
  <c r="AT1019" i="8"/>
  <c r="AW1019" i="8" s="1"/>
  <c r="AI1019" i="8"/>
  <c r="AJ1019" i="8" s="1"/>
  <c r="AX1019" i="8" s="1"/>
  <c r="AX1017" i="8"/>
  <c r="AV1017" i="8"/>
  <c r="AU1017" i="8"/>
  <c r="AT1017" i="8"/>
  <c r="AW1017" i="8" s="1"/>
  <c r="AV1013" i="8"/>
  <c r="AT1013" i="8"/>
  <c r="AW1013" i="8" s="1"/>
  <c r="AG1013" i="8"/>
  <c r="AV1011" i="8"/>
  <c r="AT1011" i="8"/>
  <c r="AW1011" i="8" s="1"/>
  <c r="AI1011" i="8"/>
  <c r="AJ1011" i="8" s="1"/>
  <c r="AV1009" i="8"/>
  <c r="AT1009" i="8"/>
  <c r="AW1009" i="8" s="1"/>
  <c r="AI1009" i="8"/>
  <c r="AH1039" i="8"/>
  <c r="AX1007" i="8"/>
  <c r="AV1007" i="8"/>
  <c r="AU1007" i="8"/>
  <c r="AT1007" i="8"/>
  <c r="AW1007" i="8" s="1"/>
  <c r="AX1002" i="8"/>
  <c r="AV1002" i="8"/>
  <c r="AU1002" i="8"/>
  <c r="AT1002" i="8"/>
  <c r="AW1002" i="8" s="1"/>
  <c r="AX1000" i="8"/>
  <c r="AV1000" i="8"/>
  <c r="AU1000" i="8"/>
  <c r="AT1000" i="8"/>
  <c r="AW1000" i="8" s="1"/>
  <c r="AS991" i="8"/>
  <c r="AR991" i="8"/>
  <c r="AQ991" i="8"/>
  <c r="AP991" i="8"/>
  <c r="AN991" i="8"/>
  <c r="AM991" i="8"/>
  <c r="AL991" i="8"/>
  <c r="AK991" i="8"/>
  <c r="AF991" i="8"/>
  <c r="AE991" i="8"/>
  <c r="AD991" i="8"/>
  <c r="AX989" i="8"/>
  <c r="AV989" i="8"/>
  <c r="AU989" i="8"/>
  <c r="AT989" i="8"/>
  <c r="AW989" i="8" s="1"/>
  <c r="AV985" i="8"/>
  <c r="AT985" i="8"/>
  <c r="AW985" i="8" s="1"/>
  <c r="AI985" i="8"/>
  <c r="AJ985" i="8" s="1"/>
  <c r="AV984" i="8"/>
  <c r="AT984" i="8"/>
  <c r="AW984" i="8" s="1"/>
  <c r="AI984" i="8"/>
  <c r="AJ984" i="8" s="1"/>
  <c r="AX983" i="8"/>
  <c r="AV983" i="8"/>
  <c r="AU983" i="8"/>
  <c r="AT983" i="8"/>
  <c r="AW983" i="8" s="1"/>
  <c r="AV978" i="8"/>
  <c r="AT978" i="8"/>
  <c r="AW978" i="8" s="1"/>
  <c r="AI978" i="8"/>
  <c r="AJ978" i="8" s="1"/>
  <c r="AV974" i="8"/>
  <c r="AT974" i="8"/>
  <c r="AW974" i="8" s="1"/>
  <c r="AI974" i="8"/>
  <c r="AJ974" i="8" s="1"/>
  <c r="AX968" i="8"/>
  <c r="AV968" i="8"/>
  <c r="AU968" i="8"/>
  <c r="AT968" i="8"/>
  <c r="AW968" i="8" s="1"/>
  <c r="AV955" i="8"/>
  <c r="AT955" i="8"/>
  <c r="AW955" i="8" s="1"/>
  <c r="AI955" i="8"/>
  <c r="AJ955" i="8" s="1"/>
  <c r="AX954" i="8"/>
  <c r="AV954" i="8"/>
  <c r="AU954" i="8"/>
  <c r="AT954" i="8"/>
  <c r="AW954" i="8" s="1"/>
  <c r="AV945" i="8"/>
  <c r="AT945" i="8"/>
  <c r="AW945" i="8" s="1"/>
  <c r="AI945" i="8"/>
  <c r="AJ945" i="8" s="1"/>
  <c r="AU945" i="8" s="1"/>
  <c r="AX944" i="8"/>
  <c r="AV944" i="8"/>
  <c r="AU944" i="8"/>
  <c r="AT944" i="8"/>
  <c r="AW944" i="8" s="1"/>
  <c r="AX943" i="8"/>
  <c r="AV943" i="8"/>
  <c r="AU943" i="8"/>
  <c r="AT943" i="8"/>
  <c r="AW943" i="8" s="1"/>
  <c r="AV939" i="8"/>
  <c r="AT939" i="8"/>
  <c r="AW939" i="8" s="1"/>
  <c r="AI939" i="8"/>
  <c r="AJ939" i="8" s="1"/>
  <c r="AX939" i="8" s="1"/>
  <c r="AX938" i="8"/>
  <c r="AV938" i="8"/>
  <c r="AU938" i="8"/>
  <c r="AT938" i="8"/>
  <c r="AW938" i="8" s="1"/>
  <c r="AX934" i="8"/>
  <c r="AV934" i="8"/>
  <c r="AU934" i="8"/>
  <c r="AT934" i="8"/>
  <c r="AW934" i="8" s="1"/>
  <c r="AV926" i="8"/>
  <c r="AT926" i="8"/>
  <c r="AW926" i="8" s="1"/>
  <c r="AI926" i="8"/>
  <c r="AJ926" i="8" s="1"/>
  <c r="AX926" i="8" s="1"/>
  <c r="AV925" i="8"/>
  <c r="AT925" i="8"/>
  <c r="AW925" i="8" s="1"/>
  <c r="AI925" i="8"/>
  <c r="AJ925" i="8" s="1"/>
  <c r="AU925" i="8" s="1"/>
  <c r="AV921" i="8"/>
  <c r="AT921" i="8"/>
  <c r="AW921" i="8" s="1"/>
  <c r="AI921" i="8"/>
  <c r="AJ921" i="8" s="1"/>
  <c r="AX921" i="8" s="1"/>
  <c r="AV920" i="8"/>
  <c r="AT920" i="8"/>
  <c r="AW920" i="8" s="1"/>
  <c r="AI920" i="8"/>
  <c r="AJ920" i="8" s="1"/>
  <c r="AV919" i="8"/>
  <c r="AT919" i="8"/>
  <c r="AW919" i="8" s="1"/>
  <c r="AI919" i="8"/>
  <c r="AJ919" i="8" s="1"/>
  <c r="AU919" i="8" s="1"/>
  <c r="AV918" i="8"/>
  <c r="AT918" i="8"/>
  <c r="AW918" i="8" s="1"/>
  <c r="AI918" i="8"/>
  <c r="AJ918" i="8" s="1"/>
  <c r="AX918" i="8" s="1"/>
  <c r="AV917" i="8"/>
  <c r="AT917" i="8"/>
  <c r="AW917" i="8" s="1"/>
  <c r="AH917" i="8"/>
  <c r="AI917" i="8" s="1"/>
  <c r="AJ917" i="8" s="1"/>
  <c r="AV915" i="8"/>
  <c r="AT915" i="8"/>
  <c r="AW915" i="8" s="1"/>
  <c r="AI915" i="8"/>
  <c r="AJ915" i="8" s="1"/>
  <c r="AX914" i="8"/>
  <c r="AV914" i="8"/>
  <c r="AU914" i="8"/>
  <c r="AT914" i="8"/>
  <c r="AW914" i="8" s="1"/>
  <c r="AX905" i="8"/>
  <c r="AV905" i="8"/>
  <c r="AU905" i="8"/>
  <c r="AT905" i="8"/>
  <c r="AW905" i="8" s="1"/>
  <c r="AV904" i="8"/>
  <c r="AT904" i="8"/>
  <c r="AW904" i="8" s="1"/>
  <c r="AI904" i="8"/>
  <c r="AJ904" i="8" s="1"/>
  <c r="AX904" i="8" s="1"/>
  <c r="AV902" i="8"/>
  <c r="AT902" i="8"/>
  <c r="AW902" i="8" s="1"/>
  <c r="AG902" i="8"/>
  <c r="AI902" i="8" s="1"/>
  <c r="AJ902" i="8" s="1"/>
  <c r="AX896" i="8"/>
  <c r="AV896" i="8"/>
  <c r="AU896" i="8"/>
  <c r="AT896" i="8"/>
  <c r="AW896" i="8" s="1"/>
  <c r="AV888" i="8"/>
  <c r="AT888" i="8"/>
  <c r="AW888" i="8" s="1"/>
  <c r="AI888" i="8"/>
  <c r="AJ888" i="8" s="1"/>
  <c r="AX888" i="8" s="1"/>
  <c r="AV881" i="8"/>
  <c r="AT881" i="8"/>
  <c r="AW881" i="8" s="1"/>
  <c r="AI881" i="8"/>
  <c r="AJ881" i="8" s="1"/>
  <c r="AU881" i="8" s="1"/>
  <c r="AV876" i="8"/>
  <c r="AT876" i="8"/>
  <c r="AW876" i="8" s="1"/>
  <c r="AG876" i="8"/>
  <c r="AI876" i="8" s="1"/>
  <c r="AJ876" i="8" s="1"/>
  <c r="AV871" i="8"/>
  <c r="AT871" i="8"/>
  <c r="AW871" i="8" s="1"/>
  <c r="AG871" i="8"/>
  <c r="AI871" i="8" s="1"/>
  <c r="AJ871" i="8" s="1"/>
  <c r="AV869" i="8"/>
  <c r="AT869" i="8"/>
  <c r="AW869" i="8" s="1"/>
  <c r="AI869" i="8"/>
  <c r="AJ869" i="8" s="1"/>
  <c r="AV859" i="8"/>
  <c r="AT859" i="8"/>
  <c r="AW859" i="8" s="1"/>
  <c r="AI859" i="8"/>
  <c r="AJ859" i="8" s="1"/>
  <c r="AX859" i="8" s="1"/>
  <c r="AV853" i="8"/>
  <c r="AT853" i="8"/>
  <c r="AW853" i="8" s="1"/>
  <c r="AI853" i="8"/>
  <c r="AJ853" i="8" s="1"/>
  <c r="AX853" i="8" s="1"/>
  <c r="AV852" i="8"/>
  <c r="AT852" i="8"/>
  <c r="AW852" i="8" s="1"/>
  <c r="AH852" i="8"/>
  <c r="AI852" i="8" s="1"/>
  <c r="AJ852" i="8" s="1"/>
  <c r="AX848" i="8"/>
  <c r="AV848" i="8"/>
  <c r="AU848" i="8"/>
  <c r="AT848" i="8"/>
  <c r="AW848" i="8" s="1"/>
  <c r="AV846" i="8"/>
  <c r="AT846" i="8"/>
  <c r="AW846" i="8" s="1"/>
  <c r="AO846" i="8"/>
  <c r="AO991" i="8" s="1"/>
  <c r="AI846" i="8"/>
  <c r="AJ846" i="8" s="1"/>
  <c r="AX846" i="8" s="1"/>
  <c r="AT845" i="8"/>
  <c r="AV844" i="8"/>
  <c r="AT844" i="8"/>
  <c r="AW844" i="8" s="1"/>
  <c r="AI844" i="8"/>
  <c r="AJ844" i="8" s="1"/>
  <c r="AX844" i="8" s="1"/>
  <c r="AV843" i="8"/>
  <c r="AT843" i="8"/>
  <c r="AW843" i="8" s="1"/>
  <c r="AH843" i="8"/>
  <c r="AG843" i="8"/>
  <c r="AV840" i="8"/>
  <c r="AT840" i="8"/>
  <c r="AW840" i="8" s="1"/>
  <c r="AI840" i="8"/>
  <c r="AJ840" i="8" s="1"/>
  <c r="AX840" i="8" s="1"/>
  <c r="AV839" i="8"/>
  <c r="AT839" i="8"/>
  <c r="AW839" i="8" s="1"/>
  <c r="AI839" i="8"/>
  <c r="AJ839" i="8" s="1"/>
  <c r="AV837" i="8"/>
  <c r="AT837" i="8"/>
  <c r="AW837" i="8" s="1"/>
  <c r="AI837" i="8"/>
  <c r="AJ837" i="8" s="1"/>
  <c r="AV835" i="8"/>
  <c r="AT835" i="8"/>
  <c r="AW835" i="8" s="1"/>
  <c r="AH835" i="8"/>
  <c r="AV833" i="8"/>
  <c r="AT833" i="8"/>
  <c r="AW833" i="8" s="1"/>
  <c r="AI833" i="8"/>
  <c r="AJ833" i="8" s="1"/>
  <c r="AU833" i="8" s="1"/>
  <c r="AX831" i="8"/>
  <c r="AV831" i="8"/>
  <c r="AU831" i="8"/>
  <c r="AT831" i="8"/>
  <c r="AW831" i="8" s="1"/>
  <c r="AX829" i="8"/>
  <c r="AV829" i="8"/>
  <c r="AU829" i="8"/>
  <c r="AT829" i="8"/>
  <c r="AW829" i="8" s="1"/>
  <c r="AV827" i="8"/>
  <c r="AT827" i="8"/>
  <c r="AW827" i="8" s="1"/>
  <c r="AI827" i="8"/>
  <c r="AJ827" i="8" s="1"/>
  <c r="AV825" i="8"/>
  <c r="AT825" i="8"/>
  <c r="AW825" i="8" s="1"/>
  <c r="AI825" i="8"/>
  <c r="AJ825" i="8" s="1"/>
  <c r="AU825" i="8" s="1"/>
  <c r="AV821" i="8"/>
  <c r="AT821" i="8"/>
  <c r="AW821" i="8" s="1"/>
  <c r="AI821" i="8"/>
  <c r="AJ821" i="8" s="1"/>
  <c r="AU821" i="8" s="1"/>
  <c r="AV820" i="8"/>
  <c r="AT820" i="8"/>
  <c r="AW820" i="8" s="1"/>
  <c r="AI820" i="8"/>
  <c r="AJ820" i="8" s="1"/>
  <c r="AU820" i="8" s="1"/>
  <c r="AX818" i="8"/>
  <c r="AV818" i="8"/>
  <c r="AU818" i="8"/>
  <c r="AT818" i="8"/>
  <c r="AW818" i="8" s="1"/>
  <c r="AX816" i="8"/>
  <c r="AV816" i="8"/>
  <c r="AU816" i="8"/>
  <c r="AT816" i="8"/>
  <c r="AW816" i="8" s="1"/>
  <c r="AV813" i="8"/>
  <c r="AT813" i="8"/>
  <c r="AW813" i="8" s="1"/>
  <c r="AI813" i="8"/>
  <c r="AJ813" i="8" s="1"/>
  <c r="AU813" i="8" s="1"/>
  <c r="AV808" i="8"/>
  <c r="AT808" i="8"/>
  <c r="AW808" i="8" s="1"/>
  <c r="AI808" i="8"/>
  <c r="AJ808" i="8" s="1"/>
  <c r="AU808" i="8" s="1"/>
  <c r="AV806" i="8"/>
  <c r="AT806" i="8"/>
  <c r="AW806" i="8" s="1"/>
  <c r="AI806" i="8"/>
  <c r="AJ806" i="8" s="1"/>
  <c r="AX806" i="8" s="1"/>
  <c r="AV804" i="8"/>
  <c r="AT804" i="8"/>
  <c r="AW804" i="8" s="1"/>
  <c r="AI804" i="8"/>
  <c r="AJ804" i="8" s="1"/>
  <c r="AX804" i="8" s="1"/>
  <c r="AV802" i="8"/>
  <c r="AT802" i="8"/>
  <c r="AW802" i="8" s="1"/>
  <c r="AI802" i="8"/>
  <c r="AJ802" i="8" s="1"/>
  <c r="AX802" i="8" s="1"/>
  <c r="AV800" i="8"/>
  <c r="AT800" i="8"/>
  <c r="AW800" i="8" s="1"/>
  <c r="AI800" i="8"/>
  <c r="AJ800" i="8" s="1"/>
  <c r="AV798" i="8"/>
  <c r="AT798" i="8"/>
  <c r="AW798" i="8" s="1"/>
  <c r="AI798" i="8"/>
  <c r="AJ798" i="8" s="1"/>
  <c r="AV797" i="8"/>
  <c r="AT797" i="8"/>
  <c r="AW797" i="8" s="1"/>
  <c r="AI797" i="8"/>
  <c r="AJ797" i="8" s="1"/>
  <c r="AU797" i="8" s="1"/>
  <c r="AX794" i="8"/>
  <c r="AV794" i="8"/>
  <c r="AU794" i="8"/>
  <c r="AT794" i="8"/>
  <c r="AW794" i="8" s="1"/>
  <c r="AV788" i="8"/>
  <c r="AT788" i="8"/>
  <c r="AW788" i="8" s="1"/>
  <c r="AG788" i="8"/>
  <c r="AV786" i="8"/>
  <c r="AT786" i="8"/>
  <c r="AW786" i="8" s="1"/>
  <c r="AI786" i="8"/>
  <c r="AJ786" i="8" s="1"/>
  <c r="AU786" i="8" s="1"/>
  <c r="AX784" i="8"/>
  <c r="AV784" i="8"/>
  <c r="AU784" i="8"/>
  <c r="AT784" i="8"/>
  <c r="AW784" i="8" s="1"/>
  <c r="AS774" i="8"/>
  <c r="AR774" i="8"/>
  <c r="AQ774" i="8"/>
  <c r="AP774" i="8"/>
  <c r="AO774" i="8"/>
  <c r="AN774" i="8"/>
  <c r="AM774" i="8"/>
  <c r="AL774" i="8"/>
  <c r="AK774" i="8"/>
  <c r="AF774" i="8"/>
  <c r="AE774" i="8"/>
  <c r="AD774" i="8"/>
  <c r="AV773" i="8"/>
  <c r="AT773" i="8"/>
  <c r="AW773" i="8" s="1"/>
  <c r="AI773" i="8"/>
  <c r="AJ773" i="8" s="1"/>
  <c r="AX773" i="8" s="1"/>
  <c r="AV768" i="8"/>
  <c r="AT768" i="8"/>
  <c r="AW768" i="8" s="1"/>
  <c r="AI768" i="8"/>
  <c r="AJ768" i="8" s="1"/>
  <c r="AV767" i="8"/>
  <c r="AT767" i="8"/>
  <c r="AW767" i="8" s="1"/>
  <c r="AG767" i="8"/>
  <c r="AI767" i="8" s="1"/>
  <c r="AJ767" i="8" s="1"/>
  <c r="AX765" i="8"/>
  <c r="AV765" i="8"/>
  <c r="AU765" i="8"/>
  <c r="AT765" i="8"/>
  <c r="AW765" i="8" s="1"/>
  <c r="AV763" i="8"/>
  <c r="AT763" i="8"/>
  <c r="AW763" i="8" s="1"/>
  <c r="AI763" i="8"/>
  <c r="AJ763" i="8" s="1"/>
  <c r="AX762" i="8"/>
  <c r="AV762" i="8"/>
  <c r="AU762" i="8"/>
  <c r="AT762" i="8"/>
  <c r="AW762" i="8" s="1"/>
  <c r="AV760" i="8"/>
  <c r="AT760" i="8"/>
  <c r="AW760" i="8" s="1"/>
  <c r="AI760" i="8"/>
  <c r="AJ760" i="8" s="1"/>
  <c r="AX760" i="8" s="1"/>
  <c r="AV759" i="8"/>
  <c r="AT759" i="8"/>
  <c r="AW759" i="8" s="1"/>
  <c r="AI759" i="8"/>
  <c r="AJ759" i="8" s="1"/>
  <c r="AV757" i="8"/>
  <c r="AT757" i="8"/>
  <c r="AW757" i="8" s="1"/>
  <c r="AI757" i="8"/>
  <c r="AJ757" i="8" s="1"/>
  <c r="AU757" i="8" s="1"/>
  <c r="AV755" i="8"/>
  <c r="AT755" i="8"/>
  <c r="AW755" i="8" s="1"/>
  <c r="AI755" i="8"/>
  <c r="AJ755" i="8" s="1"/>
  <c r="AX755" i="8" s="1"/>
  <c r="AX754" i="8"/>
  <c r="AV754" i="8"/>
  <c r="AU754" i="8"/>
  <c r="AT754" i="8"/>
  <c r="AW754" i="8" s="1"/>
  <c r="AV753" i="8"/>
  <c r="AT753" i="8"/>
  <c r="AW753" i="8" s="1"/>
  <c r="AG753" i="8"/>
  <c r="AI753" i="8" s="1"/>
  <c r="AJ753" i="8" s="1"/>
  <c r="AV751" i="8"/>
  <c r="AT751" i="8"/>
  <c r="AW751" i="8" s="1"/>
  <c r="AI751" i="8"/>
  <c r="AJ751" i="8" s="1"/>
  <c r="AX750" i="8"/>
  <c r="AV750" i="8"/>
  <c r="AU750" i="8"/>
  <c r="AT750" i="8"/>
  <c r="AW750" i="8" s="1"/>
  <c r="AV749" i="8"/>
  <c r="AT749" i="8"/>
  <c r="AW749" i="8" s="1"/>
  <c r="AI749" i="8"/>
  <c r="AJ749" i="8" s="1"/>
  <c r="AX749" i="8" s="1"/>
  <c r="AW747" i="8"/>
  <c r="AV747" i="8"/>
  <c r="AI747" i="8"/>
  <c r="AJ747" i="8" s="1"/>
  <c r="AU747" i="8" s="1"/>
  <c r="AW746" i="8"/>
  <c r="AV746" i="8"/>
  <c r="AI746" i="8"/>
  <c r="AJ746" i="8" s="1"/>
  <c r="AV745" i="8"/>
  <c r="AT745" i="8"/>
  <c r="AW745" i="8" s="1"/>
  <c r="AI745" i="8"/>
  <c r="AJ745" i="8" s="1"/>
  <c r="AV744" i="8"/>
  <c r="AT744" i="8"/>
  <c r="AW744" i="8" s="1"/>
  <c r="AI744" i="8"/>
  <c r="AJ744" i="8" s="1"/>
  <c r="AV743" i="8"/>
  <c r="AT743" i="8"/>
  <c r="AW743" i="8" s="1"/>
  <c r="AI743" i="8"/>
  <c r="AJ743" i="8" s="1"/>
  <c r="AU743" i="8" s="1"/>
  <c r="AV742" i="8"/>
  <c r="AT742" i="8"/>
  <c r="AW742" i="8" s="1"/>
  <c r="AI742" i="8"/>
  <c r="AJ742" i="8" s="1"/>
  <c r="AU742" i="8" s="1"/>
  <c r="AV741" i="8"/>
  <c r="AT741" i="8"/>
  <c r="AW741" i="8" s="1"/>
  <c r="AG741" i="8"/>
  <c r="AI741" i="8" s="1"/>
  <c r="AJ741" i="8" s="1"/>
  <c r="AU741" i="8" s="1"/>
  <c r="AV739" i="8"/>
  <c r="AT739" i="8"/>
  <c r="AW739" i="8" s="1"/>
  <c r="AI739" i="8"/>
  <c r="AJ739" i="8" s="1"/>
  <c r="AX738" i="8"/>
  <c r="AV738" i="8"/>
  <c r="AU738" i="8"/>
  <c r="AT738" i="8"/>
  <c r="AW738" i="8" s="1"/>
  <c r="AV736" i="8"/>
  <c r="AT736" i="8"/>
  <c r="AW736" i="8" s="1"/>
  <c r="AI736" i="8"/>
  <c r="AJ736" i="8" s="1"/>
  <c r="AV735" i="8"/>
  <c r="AT735" i="8"/>
  <c r="AW735" i="8" s="1"/>
  <c r="AI735" i="8"/>
  <c r="AV734" i="8"/>
  <c r="AT734" i="8"/>
  <c r="AW734" i="8" s="1"/>
  <c r="AI734" i="8"/>
  <c r="AJ734" i="8" s="1"/>
  <c r="AX734" i="8" s="1"/>
  <c r="AV733" i="8"/>
  <c r="AT733" i="8"/>
  <c r="AW733" i="8" s="1"/>
  <c r="AI733" i="8"/>
  <c r="AJ733" i="8" s="1"/>
  <c r="AU733" i="8" s="1"/>
  <c r="AV732" i="8"/>
  <c r="AT732" i="8"/>
  <c r="AW732" i="8" s="1"/>
  <c r="AH732" i="8"/>
  <c r="AI732" i="8" s="1"/>
  <c r="AJ732" i="8" s="1"/>
  <c r="AX730" i="8"/>
  <c r="AV730" i="8"/>
  <c r="AU730" i="8"/>
  <c r="AT730" i="8"/>
  <c r="AW730" i="8" s="1"/>
  <c r="AX728" i="8"/>
  <c r="AV728" i="8"/>
  <c r="AU728" i="8"/>
  <c r="AT728" i="8"/>
  <c r="AW728" i="8" s="1"/>
  <c r="AX726" i="8"/>
  <c r="AV726" i="8"/>
  <c r="AU726" i="8"/>
  <c r="AT726" i="8"/>
  <c r="AW726" i="8" s="1"/>
  <c r="AV724" i="8"/>
  <c r="AT724" i="8"/>
  <c r="AW724" i="8" s="1"/>
  <c r="AI724" i="8"/>
  <c r="AJ724" i="8" s="1"/>
  <c r="AU724" i="8" s="1"/>
  <c r="AX722" i="8"/>
  <c r="AV722" i="8"/>
  <c r="AU722" i="8"/>
  <c r="AT722" i="8"/>
  <c r="AW722" i="8" s="1"/>
  <c r="AV719" i="8"/>
  <c r="AT719" i="8"/>
  <c r="AW719" i="8" s="1"/>
  <c r="AI719" i="8"/>
  <c r="AJ719" i="8" s="1"/>
  <c r="AX719" i="8" s="1"/>
  <c r="AV716" i="8"/>
  <c r="AT716" i="8"/>
  <c r="AW716" i="8" s="1"/>
  <c r="AI716" i="8"/>
  <c r="AJ716" i="8" s="1"/>
  <c r="AU716" i="8" s="1"/>
  <c r="AX715" i="8"/>
  <c r="AV715" i="8"/>
  <c r="AU715" i="8"/>
  <c r="AT715" i="8"/>
  <c r="AW715" i="8" s="1"/>
  <c r="AX714" i="8"/>
  <c r="AV714" i="8"/>
  <c r="AU714" i="8"/>
  <c r="AT714" i="8"/>
  <c r="AW714" i="8" s="1"/>
  <c r="AV713" i="8"/>
  <c r="AT713" i="8"/>
  <c r="AW713" i="8" s="1"/>
  <c r="AI713" i="8"/>
  <c r="AJ713" i="8" s="1"/>
  <c r="AU713" i="8" s="1"/>
  <c r="AV709" i="8"/>
  <c r="AT709" i="8"/>
  <c r="AW709" i="8" s="1"/>
  <c r="AI709" i="8"/>
  <c r="AJ709" i="8" s="1"/>
  <c r="AU709" i="8" s="1"/>
  <c r="AX707" i="8"/>
  <c r="AV707" i="8"/>
  <c r="AU707" i="8"/>
  <c r="AT707" i="8"/>
  <c r="AW707" i="8" s="1"/>
  <c r="AV705" i="8"/>
  <c r="AT705" i="8"/>
  <c r="AW705" i="8" s="1"/>
  <c r="AI705" i="8"/>
  <c r="AJ705" i="8" s="1"/>
  <c r="AV700" i="8"/>
  <c r="AT700" i="8"/>
  <c r="AW700" i="8" s="1"/>
  <c r="AI700" i="8"/>
  <c r="AJ700" i="8" s="1"/>
  <c r="AS694" i="8"/>
  <c r="AQ694" i="8"/>
  <c r="AP694" i="8"/>
  <c r="AO694" i="8"/>
  <c r="AN694" i="8"/>
  <c r="AM694" i="8"/>
  <c r="AK694" i="8"/>
  <c r="AF694" i="8"/>
  <c r="AD694" i="8"/>
  <c r="AV692" i="8"/>
  <c r="AT692" i="8"/>
  <c r="AW692" i="8" s="1"/>
  <c r="AI692" i="8"/>
  <c r="AJ692" i="8" s="1"/>
  <c r="AX691" i="8"/>
  <c r="AV691" i="8"/>
  <c r="AU691" i="8"/>
  <c r="AT691" i="8"/>
  <c r="AW691" i="8" s="1"/>
  <c r="AX690" i="8"/>
  <c r="AV690" i="8"/>
  <c r="AU690" i="8"/>
  <c r="AT690" i="8"/>
  <c r="AW690" i="8" s="1"/>
  <c r="AX681" i="8"/>
  <c r="AV681" i="8"/>
  <c r="AU681" i="8"/>
  <c r="AT681" i="8"/>
  <c r="AW681" i="8" s="1"/>
  <c r="AX680" i="8"/>
  <c r="AV680" i="8"/>
  <c r="AU680" i="8"/>
  <c r="AT680" i="8"/>
  <c r="AW680" i="8" s="1"/>
  <c r="AX679" i="8"/>
  <c r="AV679" i="8"/>
  <c r="AU679" i="8"/>
  <c r="AT679" i="8"/>
  <c r="AW679" i="8" s="1"/>
  <c r="AX678" i="8"/>
  <c r="AV678" i="8"/>
  <c r="AU678" i="8"/>
  <c r="AT678" i="8"/>
  <c r="AW678" i="8" s="1"/>
  <c r="AX677" i="8"/>
  <c r="AV677" i="8"/>
  <c r="AU677" i="8"/>
  <c r="AT677" i="8"/>
  <c r="AW677" i="8" s="1"/>
  <c r="AV669" i="8"/>
  <c r="AT669" i="8"/>
  <c r="AW669" i="8" s="1"/>
  <c r="AI669" i="8"/>
  <c r="AJ669" i="8" s="1"/>
  <c r="AV666" i="8"/>
  <c r="AT666" i="8"/>
  <c r="AW666" i="8" s="1"/>
  <c r="AI666" i="8"/>
  <c r="AJ666" i="8" s="1"/>
  <c r="AV665" i="8"/>
  <c r="AT665" i="8"/>
  <c r="AW665" i="8" s="1"/>
  <c r="AG665" i="8"/>
  <c r="AI665" i="8" s="1"/>
  <c r="AJ665" i="8" s="1"/>
  <c r="AV663" i="8"/>
  <c r="AT663" i="8"/>
  <c r="AW663" i="8" s="1"/>
  <c r="AI663" i="8"/>
  <c r="AJ663" i="8" s="1"/>
  <c r="AU663" i="8" s="1"/>
  <c r="AX662" i="8"/>
  <c r="AV662" i="8"/>
  <c r="AU662" i="8"/>
  <c r="AT662" i="8"/>
  <c r="AW662" i="8" s="1"/>
  <c r="AV661" i="8"/>
  <c r="AT661" i="8"/>
  <c r="AW661" i="8" s="1"/>
  <c r="AG661" i="8"/>
  <c r="AI661" i="8" s="1"/>
  <c r="AJ661" i="8" s="1"/>
  <c r="AV659" i="8"/>
  <c r="AT659" i="8"/>
  <c r="AW659" i="8" s="1"/>
  <c r="AI659" i="8"/>
  <c r="AJ659" i="8" s="1"/>
  <c r="AV658" i="8"/>
  <c r="AT658" i="8"/>
  <c r="AW658" i="8" s="1"/>
  <c r="AH658" i="8"/>
  <c r="AI658" i="8" s="1"/>
  <c r="AJ658" i="8" s="1"/>
  <c r="AV656" i="8"/>
  <c r="AT656" i="8"/>
  <c r="AW656" i="8" s="1"/>
  <c r="AI656" i="8"/>
  <c r="AJ656" i="8" s="1"/>
  <c r="AW654" i="8"/>
  <c r="AV654" i="8"/>
  <c r="AT654" i="8"/>
  <c r="AI654" i="8"/>
  <c r="AJ654" i="8" s="1"/>
  <c r="AU654" i="8" s="1"/>
  <c r="AX653" i="8"/>
  <c r="AV653" i="8"/>
  <c r="AU653" i="8"/>
  <c r="AT653" i="8"/>
  <c r="AW653" i="8" s="1"/>
  <c r="AV650" i="8"/>
  <c r="AT650" i="8"/>
  <c r="AW650" i="8" s="1"/>
  <c r="AI650" i="8"/>
  <c r="AJ650" i="8" s="1"/>
  <c r="AX650" i="8" s="1"/>
  <c r="AV649" i="8"/>
  <c r="AT649" i="8"/>
  <c r="AW649" i="8" s="1"/>
  <c r="AI649" i="8"/>
  <c r="AJ649" i="8" s="1"/>
  <c r="AU649" i="8" s="1"/>
  <c r="AV648" i="8"/>
  <c r="AT648" i="8"/>
  <c r="AW648" i="8" s="1"/>
  <c r="AI648" i="8"/>
  <c r="AJ648" i="8" s="1"/>
  <c r="AV647" i="8"/>
  <c r="AT647" i="8"/>
  <c r="AW647" i="8" s="1"/>
  <c r="AI647" i="8"/>
  <c r="AJ647" i="8" s="1"/>
  <c r="AV646" i="8"/>
  <c r="AT646" i="8"/>
  <c r="AW646" i="8" s="1"/>
  <c r="AI646" i="8"/>
  <c r="AJ646" i="8" s="1"/>
  <c r="AX646" i="8" s="1"/>
  <c r="AV645" i="8"/>
  <c r="AT645" i="8"/>
  <c r="AW645" i="8" s="1"/>
  <c r="AI645" i="8"/>
  <c r="AJ645" i="8" s="1"/>
  <c r="AU645" i="8" s="1"/>
  <c r="AV644" i="8"/>
  <c r="AT644" i="8"/>
  <c r="AW644" i="8" s="1"/>
  <c r="AI644" i="8"/>
  <c r="AJ644" i="8" s="1"/>
  <c r="AU644" i="8" s="1"/>
  <c r="AV638" i="8"/>
  <c r="AT638" i="8"/>
  <c r="AW638" i="8" s="1"/>
  <c r="AI638" i="8"/>
  <c r="AJ638" i="8" s="1"/>
  <c r="AV637" i="8"/>
  <c r="AT637" i="8"/>
  <c r="AW637" i="8" s="1"/>
  <c r="AI637" i="8"/>
  <c r="AJ637" i="8" s="1"/>
  <c r="AU637" i="8" s="1"/>
  <c r="AV636" i="8"/>
  <c r="AT636" i="8"/>
  <c r="AW636" i="8" s="1"/>
  <c r="AI636" i="8"/>
  <c r="AJ636" i="8" s="1"/>
  <c r="AX635" i="8"/>
  <c r="AV635" i="8"/>
  <c r="AU635" i="8"/>
  <c r="AT635" i="8"/>
  <c r="AW635" i="8" s="1"/>
  <c r="AV634" i="8"/>
  <c r="AT634" i="8"/>
  <c r="AW634" i="8" s="1"/>
  <c r="AI634" i="8"/>
  <c r="AJ634" i="8" s="1"/>
  <c r="AV632" i="8"/>
  <c r="AT632" i="8"/>
  <c r="AW632" i="8" s="1"/>
  <c r="AI632" i="8"/>
  <c r="AJ632" i="8" s="1"/>
  <c r="AV631" i="8"/>
  <c r="AT631" i="8"/>
  <c r="AW631" i="8" s="1"/>
  <c r="AI631" i="8"/>
  <c r="AJ631" i="8" s="1"/>
  <c r="AV629" i="8"/>
  <c r="AT629" i="8"/>
  <c r="AW629" i="8" s="1"/>
  <c r="AI629" i="8"/>
  <c r="AJ629" i="8" s="1"/>
  <c r="AV626" i="8"/>
  <c r="AT626" i="8"/>
  <c r="AW626" i="8" s="1"/>
  <c r="AG626" i="8"/>
  <c r="AI626" i="8" s="1"/>
  <c r="AJ626" i="8" s="1"/>
  <c r="AV624" i="8"/>
  <c r="AT624" i="8"/>
  <c r="AW624" i="8" s="1"/>
  <c r="AI624" i="8"/>
  <c r="AJ624" i="8" s="1"/>
  <c r="AV623" i="8"/>
  <c r="AT623" i="8"/>
  <c r="AW623" i="8" s="1"/>
  <c r="AI623" i="8"/>
  <c r="AJ623" i="8" s="1"/>
  <c r="AV622" i="8"/>
  <c r="AT622" i="8"/>
  <c r="AW622" i="8" s="1"/>
  <c r="AH622" i="8"/>
  <c r="AI622" i="8" s="1"/>
  <c r="AJ622" i="8" s="1"/>
  <c r="AU622" i="8" s="1"/>
  <c r="AV620" i="8"/>
  <c r="AT620" i="8"/>
  <c r="AW620" i="8" s="1"/>
  <c r="AI620" i="8"/>
  <c r="AJ620" i="8" s="1"/>
  <c r="AG620" i="8"/>
  <c r="AV618" i="8"/>
  <c r="AT618" i="8"/>
  <c r="AW618" i="8" s="1"/>
  <c r="AI618" i="8"/>
  <c r="AJ618" i="8" s="1"/>
  <c r="AU618" i="8" s="1"/>
  <c r="AV616" i="8"/>
  <c r="AT616" i="8"/>
  <c r="AW616" i="8" s="1"/>
  <c r="AR616" i="8"/>
  <c r="AI616" i="8"/>
  <c r="AJ616" i="8" s="1"/>
  <c r="AV614" i="8"/>
  <c r="AT614" i="8"/>
  <c r="AW614" i="8" s="1"/>
  <c r="AI614" i="8"/>
  <c r="AJ614" i="8" s="1"/>
  <c r="AV613" i="8"/>
  <c r="AT613" i="8"/>
  <c r="AW613" i="8" s="1"/>
  <c r="AI613" i="8"/>
  <c r="AJ613" i="8" s="1"/>
  <c r="AU613" i="8" s="1"/>
  <c r="AV611" i="8"/>
  <c r="AT611" i="8"/>
  <c r="AW611" i="8" s="1"/>
  <c r="AI611" i="8"/>
  <c r="AJ611" i="8" s="1"/>
  <c r="AX611" i="8" s="1"/>
  <c r="AV609" i="8"/>
  <c r="AT609" i="8"/>
  <c r="AW609" i="8" s="1"/>
  <c r="AI609" i="8"/>
  <c r="AJ609" i="8" s="1"/>
  <c r="AU609" i="8" s="1"/>
  <c r="AX606" i="8"/>
  <c r="AV606" i="8"/>
  <c r="AU606" i="8"/>
  <c r="AT606" i="8"/>
  <c r="AW606" i="8" s="1"/>
  <c r="AV603" i="8"/>
  <c r="AT603" i="8"/>
  <c r="AW603" i="8" s="1"/>
  <c r="AI603" i="8"/>
  <c r="AJ603" i="8" s="1"/>
  <c r="AV602" i="8"/>
  <c r="AT602" i="8"/>
  <c r="AW602" i="8" s="1"/>
  <c r="AI602" i="8"/>
  <c r="AJ602" i="8" s="1"/>
  <c r="AV601" i="8"/>
  <c r="AT601" i="8"/>
  <c r="AW601" i="8" s="1"/>
  <c r="AI601" i="8"/>
  <c r="AJ601" i="8" s="1"/>
  <c r="AX601" i="8" s="1"/>
  <c r="AV600" i="8"/>
  <c r="AT600" i="8"/>
  <c r="AW600" i="8" s="1"/>
  <c r="AI600" i="8"/>
  <c r="AJ600" i="8" s="1"/>
  <c r="AV599" i="8"/>
  <c r="AT599" i="8"/>
  <c r="AW599" i="8" s="1"/>
  <c r="AI599" i="8"/>
  <c r="AJ599" i="8" s="1"/>
  <c r="AX599" i="8" s="1"/>
  <c r="AV598" i="8"/>
  <c r="AT598" i="8"/>
  <c r="AW598" i="8" s="1"/>
  <c r="AH598" i="8"/>
  <c r="AI598" i="8" s="1"/>
  <c r="AJ598" i="8" s="1"/>
  <c r="AV595" i="8"/>
  <c r="AT595" i="8"/>
  <c r="AW595" i="8" s="1"/>
  <c r="AI595" i="8"/>
  <c r="AJ595" i="8" s="1"/>
  <c r="AX595" i="8" s="1"/>
  <c r="AV593" i="8"/>
  <c r="AT593" i="8"/>
  <c r="AW593" i="8" s="1"/>
  <c r="AG593" i="8"/>
  <c r="AV591" i="8"/>
  <c r="AT591" i="8"/>
  <c r="AW591" i="8" s="1"/>
  <c r="AE591" i="8"/>
  <c r="AI591" i="8" s="1"/>
  <c r="AJ591" i="8" s="1"/>
  <c r="AX591" i="8" s="1"/>
  <c r="AV590" i="8"/>
  <c r="AT590" i="8"/>
  <c r="AW590" i="8" s="1"/>
  <c r="AI590" i="8"/>
  <c r="AJ590" i="8" s="1"/>
  <c r="AX590" i="8" s="1"/>
  <c r="AX588" i="8"/>
  <c r="AV588" i="8"/>
  <c r="AU588" i="8"/>
  <c r="AT588" i="8"/>
  <c r="AW588" i="8" s="1"/>
  <c r="AV587" i="8"/>
  <c r="AT587" i="8"/>
  <c r="AW587" i="8" s="1"/>
  <c r="AI587" i="8"/>
  <c r="AJ587" i="8" s="1"/>
  <c r="AV585" i="8"/>
  <c r="AT585" i="8"/>
  <c r="AW585" i="8" s="1"/>
  <c r="AI585" i="8"/>
  <c r="AJ585" i="8" s="1"/>
  <c r="AV583" i="8"/>
  <c r="AT583" i="8"/>
  <c r="AW583" i="8" s="1"/>
  <c r="AI583" i="8"/>
  <c r="AJ583" i="8" s="1"/>
  <c r="AV576" i="8"/>
  <c r="AT576" i="8"/>
  <c r="AW576" i="8" s="1"/>
  <c r="AI576" i="8"/>
  <c r="AJ576" i="8" s="1"/>
  <c r="AU576" i="8" s="1"/>
  <c r="AV574" i="8"/>
  <c r="AT574" i="8"/>
  <c r="AW574" i="8" s="1"/>
  <c r="AI574" i="8"/>
  <c r="AJ574" i="8" s="1"/>
  <c r="AU574" i="8" s="1"/>
  <c r="AV572" i="8"/>
  <c r="AT572" i="8"/>
  <c r="AW572" i="8" s="1"/>
  <c r="AI572" i="8"/>
  <c r="AJ572" i="8" s="1"/>
  <c r="AV571" i="8"/>
  <c r="AT571" i="8"/>
  <c r="AW571" i="8" s="1"/>
  <c r="AI571" i="8"/>
  <c r="AJ571" i="8" s="1"/>
  <c r="AV570" i="8"/>
  <c r="AT570" i="8"/>
  <c r="AW570" i="8" s="1"/>
  <c r="AI570" i="8"/>
  <c r="AJ570" i="8" s="1"/>
  <c r="AX569" i="8"/>
  <c r="AV569" i="8"/>
  <c r="AU569" i="8"/>
  <c r="AT569" i="8"/>
  <c r="AW569" i="8" s="1"/>
  <c r="AV567" i="8"/>
  <c r="AT567" i="8"/>
  <c r="AW567" i="8" s="1"/>
  <c r="AI567" i="8"/>
  <c r="AJ567" i="8" s="1"/>
  <c r="AU567" i="8" s="1"/>
  <c r="AV565" i="8"/>
  <c r="AT565" i="8"/>
  <c r="AW565" i="8" s="1"/>
  <c r="AI565" i="8"/>
  <c r="AJ565" i="8" s="1"/>
  <c r="AX565" i="8" s="1"/>
  <c r="AV564" i="8"/>
  <c r="AT564" i="8"/>
  <c r="AW564" i="8" s="1"/>
  <c r="AI564" i="8"/>
  <c r="AJ564" i="8" s="1"/>
  <c r="AX564" i="8" s="1"/>
  <c r="AV563" i="8"/>
  <c r="AT563" i="8"/>
  <c r="AW563" i="8" s="1"/>
  <c r="AI563" i="8"/>
  <c r="AJ563" i="8" s="1"/>
  <c r="AV561" i="8"/>
  <c r="AT561" i="8"/>
  <c r="AW561" i="8" s="1"/>
  <c r="AI561" i="8"/>
  <c r="AJ561" i="8" s="1"/>
  <c r="AV559" i="8"/>
  <c r="AT559" i="8"/>
  <c r="AW559" i="8" s="1"/>
  <c r="AI559" i="8"/>
  <c r="AJ559" i="8" s="1"/>
  <c r="AU559" i="8" s="1"/>
  <c r="AV557" i="8"/>
  <c r="AT557" i="8"/>
  <c r="AW557" i="8" s="1"/>
  <c r="AI557" i="8"/>
  <c r="AJ557" i="8" s="1"/>
  <c r="AX557" i="8" s="1"/>
  <c r="AV555" i="8"/>
  <c r="AT555" i="8"/>
  <c r="AW555" i="8" s="1"/>
  <c r="AI555" i="8"/>
  <c r="AJ555" i="8" s="1"/>
  <c r="AU555" i="8" s="1"/>
  <c r="AV553" i="8"/>
  <c r="AT553" i="8"/>
  <c r="AW553" i="8" s="1"/>
  <c r="AI553" i="8"/>
  <c r="AJ553" i="8" s="1"/>
  <c r="AX552" i="8"/>
  <c r="AV552" i="8"/>
  <c r="AU552" i="8"/>
  <c r="AT552" i="8"/>
  <c r="AW552" i="8" s="1"/>
  <c r="AX551" i="8"/>
  <c r="AV551" i="8"/>
  <c r="AU551" i="8"/>
  <c r="AT551" i="8"/>
  <c r="AW551" i="8" s="1"/>
  <c r="AV549" i="8"/>
  <c r="AT549" i="8"/>
  <c r="AW549" i="8" s="1"/>
  <c r="AI549" i="8"/>
  <c r="AJ549" i="8" s="1"/>
  <c r="AU549" i="8" s="1"/>
  <c r="AV548" i="8"/>
  <c r="AT548" i="8"/>
  <c r="AW548" i="8" s="1"/>
  <c r="AI548" i="8"/>
  <c r="AJ548" i="8" s="1"/>
  <c r="AU548" i="8" s="1"/>
  <c r="AV546" i="8"/>
  <c r="AT546" i="8"/>
  <c r="AW546" i="8" s="1"/>
  <c r="AI546" i="8"/>
  <c r="AJ546" i="8" s="1"/>
  <c r="AX546" i="8" s="1"/>
  <c r="AV545" i="8"/>
  <c r="AT545" i="8"/>
  <c r="AW545" i="8" s="1"/>
  <c r="AI545" i="8"/>
  <c r="AJ545" i="8" s="1"/>
  <c r="AX545" i="8" s="1"/>
  <c r="AX544" i="8"/>
  <c r="AV544" i="8"/>
  <c r="AU544" i="8"/>
  <c r="AT544" i="8"/>
  <c r="AW544" i="8" s="1"/>
  <c r="AV543" i="8"/>
  <c r="AT543" i="8"/>
  <c r="AW543" i="8" s="1"/>
  <c r="AI543" i="8"/>
  <c r="AJ543" i="8" s="1"/>
  <c r="AV541" i="8"/>
  <c r="AT541" i="8"/>
  <c r="AW541" i="8" s="1"/>
  <c r="AI541" i="8"/>
  <c r="AJ541" i="8" s="1"/>
  <c r="AV539" i="8"/>
  <c r="AT539" i="8"/>
  <c r="AW539" i="8" s="1"/>
  <c r="AE539" i="8"/>
  <c r="AV537" i="8"/>
  <c r="AT537" i="8"/>
  <c r="AW537" i="8" s="1"/>
  <c r="AI537" i="8"/>
  <c r="AJ537" i="8" s="1"/>
  <c r="AV535" i="8"/>
  <c r="AT535" i="8"/>
  <c r="AW535" i="8" s="1"/>
  <c r="AI535" i="8"/>
  <c r="AJ535" i="8" s="1"/>
  <c r="AX535" i="8" s="1"/>
  <c r="AX534" i="8"/>
  <c r="AV534" i="8"/>
  <c r="AU534" i="8"/>
  <c r="AT534" i="8"/>
  <c r="AW534" i="8" s="1"/>
  <c r="AX530" i="8"/>
  <c r="AV530" i="8"/>
  <c r="AU530" i="8"/>
  <c r="AT530" i="8"/>
  <c r="AW530" i="8" s="1"/>
  <c r="AX528" i="8"/>
  <c r="AV528" i="8"/>
  <c r="AU528" i="8"/>
  <c r="AT528" i="8"/>
  <c r="AW528" i="8" s="1"/>
  <c r="AX526" i="8"/>
  <c r="AV526" i="8"/>
  <c r="AU526" i="8"/>
  <c r="AT526" i="8"/>
  <c r="AW526" i="8" s="1"/>
  <c r="AS517" i="8"/>
  <c r="AR517" i="8"/>
  <c r="AQ517" i="8"/>
  <c r="AP517" i="8"/>
  <c r="AO517" i="8"/>
  <c r="AN517" i="8"/>
  <c r="AM517" i="8"/>
  <c r="AL517" i="8"/>
  <c r="AK517" i="8"/>
  <c r="AH517" i="8"/>
  <c r="AF517" i="8"/>
  <c r="AE517" i="8"/>
  <c r="AD517" i="8"/>
  <c r="AV516" i="8"/>
  <c r="AT516" i="8"/>
  <c r="AW516" i="8" s="1"/>
  <c r="AI516" i="8"/>
  <c r="AJ516" i="8" s="1"/>
  <c r="AX516" i="8" s="1"/>
  <c r="AV510" i="8"/>
  <c r="AT510" i="8"/>
  <c r="AW510" i="8" s="1"/>
  <c r="AI510" i="8"/>
  <c r="AJ510" i="8" s="1"/>
  <c r="AU510" i="8" s="1"/>
  <c r="AV507" i="8"/>
  <c r="AT507" i="8"/>
  <c r="AW507" i="8" s="1"/>
  <c r="AI507" i="8"/>
  <c r="AJ507" i="8" s="1"/>
  <c r="AV505" i="8"/>
  <c r="AT505" i="8"/>
  <c r="AW505" i="8" s="1"/>
  <c r="AI505" i="8"/>
  <c r="AJ505" i="8" s="1"/>
  <c r="AX504" i="8"/>
  <c r="AV504" i="8"/>
  <c r="AU504" i="8"/>
  <c r="AT504" i="8"/>
  <c r="AW504" i="8" s="1"/>
  <c r="AX503" i="8"/>
  <c r="AV503" i="8"/>
  <c r="AU503" i="8"/>
  <c r="AT503" i="8"/>
  <c r="AW503" i="8" s="1"/>
  <c r="AV502" i="8"/>
  <c r="AT502" i="8"/>
  <c r="AW502" i="8" s="1"/>
  <c r="AI502" i="8"/>
  <c r="AJ502" i="8" s="1"/>
  <c r="AV494" i="8"/>
  <c r="AT494" i="8"/>
  <c r="AW494" i="8" s="1"/>
  <c r="AI494" i="8"/>
  <c r="AJ494" i="8" s="1"/>
  <c r="AV493" i="8"/>
  <c r="AT493" i="8"/>
  <c r="AW493" i="8" s="1"/>
  <c r="AI493" i="8"/>
  <c r="AJ493" i="8" s="1"/>
  <c r="AX493" i="8" s="1"/>
  <c r="AX487" i="8"/>
  <c r="AV487" i="8"/>
  <c r="AU487" i="8"/>
  <c r="AT487" i="8"/>
  <c r="AW487" i="8" s="1"/>
  <c r="AX486" i="8"/>
  <c r="AV486" i="8"/>
  <c r="AU486" i="8"/>
  <c r="AT486" i="8"/>
  <c r="AW486" i="8" s="1"/>
  <c r="AV484" i="8"/>
  <c r="AT484" i="8"/>
  <c r="AW484" i="8" s="1"/>
  <c r="AI484" i="8"/>
  <c r="AJ484" i="8" s="1"/>
  <c r="AV483" i="8"/>
  <c r="AT483" i="8"/>
  <c r="AW483" i="8" s="1"/>
  <c r="AI483" i="8"/>
  <c r="AJ483" i="8" s="1"/>
  <c r="AX483" i="8" s="1"/>
  <c r="AX481" i="8"/>
  <c r="AV481" i="8"/>
  <c r="AU481" i="8"/>
  <c r="AT481" i="8"/>
  <c r="AW481" i="8" s="1"/>
  <c r="AV478" i="8"/>
  <c r="AT478" i="8"/>
  <c r="AW478" i="8" s="1"/>
  <c r="AI478" i="8"/>
  <c r="AJ478" i="8" s="1"/>
  <c r="AX478" i="8" s="1"/>
  <c r="AX477" i="8"/>
  <c r="AV477" i="8"/>
  <c r="AU477" i="8"/>
  <c r="AT477" i="8"/>
  <c r="AW477" i="8" s="1"/>
  <c r="AV475" i="8"/>
  <c r="AT475" i="8"/>
  <c r="AW475" i="8" s="1"/>
  <c r="AI475" i="8"/>
  <c r="AJ475" i="8" s="1"/>
  <c r="AX474" i="8"/>
  <c r="AV474" i="8"/>
  <c r="AU474" i="8"/>
  <c r="AT474" i="8"/>
  <c r="AW474" i="8" s="1"/>
  <c r="AV472" i="8"/>
  <c r="AT472" i="8"/>
  <c r="AW472" i="8" s="1"/>
  <c r="AV471" i="8"/>
  <c r="AT471" i="8"/>
  <c r="AW471" i="8" s="1"/>
  <c r="AI471" i="8"/>
  <c r="AJ471" i="8" s="1"/>
  <c r="AX470" i="8"/>
  <c r="AV470" i="8"/>
  <c r="AU470" i="8"/>
  <c r="AT470" i="8"/>
  <c r="AW470" i="8" s="1"/>
  <c r="AX468" i="8"/>
  <c r="AV468" i="8"/>
  <c r="AU468" i="8"/>
  <c r="AT468" i="8"/>
  <c r="AW468" i="8" s="1"/>
  <c r="AX467" i="8"/>
  <c r="AV467" i="8"/>
  <c r="AU467" i="8"/>
  <c r="AT467" i="8"/>
  <c r="AW467" i="8" s="1"/>
  <c r="AV464" i="8"/>
  <c r="AT464" i="8"/>
  <c r="AW464" i="8" s="1"/>
  <c r="AI464" i="8"/>
  <c r="AJ464" i="8" s="1"/>
  <c r="AU464" i="8" s="1"/>
  <c r="AV462" i="8"/>
  <c r="AT462" i="8"/>
  <c r="AW462" i="8" s="1"/>
  <c r="AI462" i="8"/>
  <c r="AJ462" i="8" s="1"/>
  <c r="AU462" i="8" s="1"/>
  <c r="AX460" i="8"/>
  <c r="AV460" i="8"/>
  <c r="AU460" i="8"/>
  <c r="AT460" i="8"/>
  <c r="AW460" i="8" s="1"/>
  <c r="AX458" i="8"/>
  <c r="AV458" i="8"/>
  <c r="AU458" i="8"/>
  <c r="AT458" i="8"/>
  <c r="AW458" i="8" s="1"/>
  <c r="AV456" i="8"/>
  <c r="AT456" i="8"/>
  <c r="AW456" i="8" s="1"/>
  <c r="AI456" i="8"/>
  <c r="AJ456" i="8" s="1"/>
  <c r="AX453" i="8"/>
  <c r="AV453" i="8"/>
  <c r="AU453" i="8"/>
  <c r="AT453" i="8"/>
  <c r="AW453" i="8" s="1"/>
  <c r="AV451" i="8"/>
  <c r="AT451" i="8"/>
  <c r="AW451" i="8" s="1"/>
  <c r="AI451" i="8"/>
  <c r="AJ451" i="8" s="1"/>
  <c r="AV450" i="8"/>
  <c r="AT450" i="8"/>
  <c r="AW450" i="8" s="1"/>
  <c r="AI450" i="8"/>
  <c r="AJ450" i="8" s="1"/>
  <c r="AV449" i="8"/>
  <c r="AT449" i="8"/>
  <c r="AW449" i="8" s="1"/>
  <c r="AI449" i="8"/>
  <c r="AJ449" i="8" s="1"/>
  <c r="AU449" i="8" s="1"/>
  <c r="AV448" i="8"/>
  <c r="AT448" i="8"/>
  <c r="AW448" i="8" s="1"/>
  <c r="AI448" i="8"/>
  <c r="AJ448" i="8" s="1"/>
  <c r="AX448" i="8" s="1"/>
  <c r="AV446" i="8"/>
  <c r="AT446" i="8"/>
  <c r="AW446" i="8" s="1"/>
  <c r="AI446" i="8"/>
  <c r="AJ446" i="8" s="1"/>
  <c r="AX442" i="8"/>
  <c r="AV442" i="8"/>
  <c r="AU442" i="8"/>
  <c r="AT442" i="8"/>
  <c r="AW442" i="8" s="1"/>
  <c r="AV438" i="8"/>
  <c r="AT438" i="8"/>
  <c r="AW438" i="8" s="1"/>
  <c r="AI438" i="8"/>
  <c r="AJ438" i="8" s="1"/>
  <c r="AU438" i="8" s="1"/>
  <c r="AV437" i="8"/>
  <c r="AT437" i="8"/>
  <c r="AW437" i="8" s="1"/>
  <c r="AI437" i="8"/>
  <c r="AJ437" i="8" s="1"/>
  <c r="AV436" i="8"/>
  <c r="AT436" i="8"/>
  <c r="AW436" i="8" s="1"/>
  <c r="AI436" i="8"/>
  <c r="AJ436" i="8" s="1"/>
  <c r="AU436" i="8" s="1"/>
  <c r="AV435" i="8"/>
  <c r="AT435" i="8"/>
  <c r="AW435" i="8" s="1"/>
  <c r="AI435" i="8"/>
  <c r="AJ435" i="8" s="1"/>
  <c r="AV434" i="8"/>
  <c r="AT434" i="8"/>
  <c r="AW434" i="8" s="1"/>
  <c r="AI434" i="8"/>
  <c r="AJ434" i="8" s="1"/>
  <c r="AV433" i="8"/>
  <c r="AT433" i="8"/>
  <c r="AW433" i="8" s="1"/>
  <c r="AI433" i="8"/>
  <c r="AJ433" i="8" s="1"/>
  <c r="AV432" i="8"/>
  <c r="AT432" i="8"/>
  <c r="AW432" i="8" s="1"/>
  <c r="AI432" i="8"/>
  <c r="AJ432" i="8" s="1"/>
  <c r="AU432" i="8" s="1"/>
  <c r="AV431" i="8"/>
  <c r="AT431" i="8"/>
  <c r="AW431" i="8" s="1"/>
  <c r="AI431" i="8"/>
  <c r="AJ431" i="8" s="1"/>
  <c r="AX431" i="8" s="1"/>
  <c r="AV429" i="8"/>
  <c r="AT429" i="8"/>
  <c r="AW429" i="8" s="1"/>
  <c r="AI429" i="8"/>
  <c r="AJ429" i="8" s="1"/>
  <c r="AV428" i="8"/>
  <c r="AT428" i="8"/>
  <c r="AW428" i="8" s="1"/>
  <c r="AI428" i="8"/>
  <c r="AJ428" i="8" s="1"/>
  <c r="AX428" i="8" s="1"/>
  <c r="AV427" i="8"/>
  <c r="AT427" i="8"/>
  <c r="AW427" i="8" s="1"/>
  <c r="AI427" i="8"/>
  <c r="AJ427" i="8" s="1"/>
  <c r="AU427" i="8" s="1"/>
  <c r="AV425" i="8"/>
  <c r="AT425" i="8"/>
  <c r="AW425" i="8" s="1"/>
  <c r="AI425" i="8"/>
  <c r="AJ425" i="8" s="1"/>
  <c r="AX425" i="8" s="1"/>
  <c r="AV420" i="8"/>
  <c r="AT420" i="8"/>
  <c r="AW420" i="8" s="1"/>
  <c r="AI420" i="8"/>
  <c r="AJ420" i="8" s="1"/>
  <c r="AV418" i="8"/>
  <c r="AT418" i="8"/>
  <c r="AW418" i="8" s="1"/>
  <c r="AI418" i="8"/>
  <c r="AJ418" i="8" s="1"/>
  <c r="AV416" i="8"/>
  <c r="AT416" i="8"/>
  <c r="AW416" i="8" s="1"/>
  <c r="AI416" i="8"/>
  <c r="AJ416" i="8" s="1"/>
  <c r="AU416" i="8" s="1"/>
  <c r="AV415" i="8"/>
  <c r="AT415" i="8"/>
  <c r="AW415" i="8" s="1"/>
  <c r="AI415" i="8"/>
  <c r="AJ415" i="8" s="1"/>
  <c r="AX415" i="8" s="1"/>
  <c r="AV413" i="8"/>
  <c r="AT413" i="8"/>
  <c r="AW413" i="8" s="1"/>
  <c r="AI413" i="8"/>
  <c r="AJ413" i="8" s="1"/>
  <c r="AU413" i="8" s="1"/>
  <c r="AV412" i="8"/>
  <c r="AT412" i="8"/>
  <c r="AW412" i="8" s="1"/>
  <c r="AI412" i="8"/>
  <c r="AJ412" i="8" s="1"/>
  <c r="AX412" i="8" s="1"/>
  <c r="AV411" i="8"/>
  <c r="AT411" i="8"/>
  <c r="AW411" i="8" s="1"/>
  <c r="AI411" i="8"/>
  <c r="AJ411" i="8" s="1"/>
  <c r="AU411" i="8" s="1"/>
  <c r="AV410" i="8"/>
  <c r="AT410" i="8"/>
  <c r="AW410" i="8" s="1"/>
  <c r="AI410" i="8"/>
  <c r="AJ410" i="8" s="1"/>
  <c r="AV409" i="8"/>
  <c r="AT409" i="8"/>
  <c r="AW409" i="8" s="1"/>
  <c r="AI409" i="8"/>
  <c r="AJ409" i="8" s="1"/>
  <c r="AV408" i="8"/>
  <c r="AT408" i="8"/>
  <c r="AW408" i="8" s="1"/>
  <c r="AI408" i="8"/>
  <c r="AJ408" i="8" s="1"/>
  <c r="AV403" i="8"/>
  <c r="AT403" i="8"/>
  <c r="AW403" i="8" s="1"/>
  <c r="AI403" i="8"/>
  <c r="AJ403" i="8" s="1"/>
  <c r="AU403" i="8" s="1"/>
  <c r="AV402" i="8"/>
  <c r="AT402" i="8"/>
  <c r="AW402" i="8" s="1"/>
  <c r="AI402" i="8"/>
  <c r="AJ402" i="8" s="1"/>
  <c r="AX402" i="8" s="1"/>
  <c r="AX398" i="8"/>
  <c r="AV398" i="8"/>
  <c r="AU398" i="8"/>
  <c r="AT398" i="8"/>
  <c r="AW398" i="8" s="1"/>
  <c r="AX389" i="8"/>
  <c r="AV389" i="8"/>
  <c r="AU389" i="8"/>
  <c r="AT389" i="8"/>
  <c r="AW389" i="8" s="1"/>
  <c r="AX387" i="8"/>
  <c r="AV387" i="8"/>
  <c r="AU387" i="8"/>
  <c r="AT387" i="8"/>
  <c r="AW387" i="8" s="1"/>
  <c r="AX382" i="8"/>
  <c r="AV382" i="8"/>
  <c r="AU382" i="8"/>
  <c r="AT382" i="8"/>
  <c r="AW382" i="8" s="1"/>
  <c r="AX380" i="8"/>
  <c r="AV380" i="8"/>
  <c r="AU380" i="8"/>
  <c r="AT380" i="8"/>
  <c r="AW380" i="8" s="1"/>
  <c r="AX378" i="8"/>
  <c r="AV378" i="8"/>
  <c r="AU378" i="8"/>
  <c r="AT378" i="8"/>
  <c r="AW378" i="8" s="1"/>
  <c r="AX376" i="8"/>
  <c r="AV376" i="8"/>
  <c r="AU376" i="8"/>
  <c r="AT376" i="8"/>
  <c r="AW376" i="8" s="1"/>
  <c r="AX373" i="8"/>
  <c r="AV373" i="8"/>
  <c r="AU373" i="8"/>
  <c r="AT373" i="8"/>
  <c r="AW373" i="8" s="1"/>
  <c r="AX371" i="8"/>
  <c r="AV371" i="8"/>
  <c r="AU371" i="8"/>
  <c r="AT371" i="8"/>
  <c r="AW371" i="8" s="1"/>
  <c r="AX369" i="8"/>
  <c r="AV369" i="8"/>
  <c r="AU369" i="8"/>
  <c r="AT369" i="8"/>
  <c r="AW369" i="8" s="1"/>
  <c r="AX367" i="8"/>
  <c r="AV367" i="8"/>
  <c r="AU367" i="8"/>
  <c r="AT367" i="8"/>
  <c r="AW367" i="8" s="1"/>
  <c r="AX363" i="8"/>
  <c r="AV363" i="8"/>
  <c r="AU363" i="8"/>
  <c r="AT363" i="8"/>
  <c r="AW363" i="8" s="1"/>
  <c r="AX361" i="8"/>
  <c r="AV361" i="8"/>
  <c r="AU361" i="8"/>
  <c r="AT361" i="8"/>
  <c r="AW361" i="8" s="1"/>
  <c r="AX357" i="8"/>
  <c r="AV357" i="8"/>
  <c r="AU357" i="8"/>
  <c r="AT357" i="8"/>
  <c r="AW357" i="8" s="1"/>
  <c r="AX355" i="8"/>
  <c r="AV355" i="8"/>
  <c r="AU355" i="8"/>
  <c r="AT355" i="8"/>
  <c r="AW355" i="8" s="1"/>
  <c r="AX353" i="8"/>
  <c r="AV353" i="8"/>
  <c r="AU353" i="8"/>
  <c r="AT353" i="8"/>
  <c r="AW353" i="8" s="1"/>
  <c r="AX351" i="8"/>
  <c r="AV351" i="8"/>
  <c r="AU351" i="8"/>
  <c r="AT351" i="8"/>
  <c r="AW351" i="8" s="1"/>
  <c r="AX344" i="8"/>
  <c r="AV344" i="8"/>
  <c r="AU344" i="8"/>
  <c r="AT344" i="8"/>
  <c r="AW344" i="8" s="1"/>
  <c r="AX342" i="8"/>
  <c r="AV342" i="8"/>
  <c r="AU342" i="8"/>
  <c r="AT342" i="8"/>
  <c r="AW342" i="8" s="1"/>
  <c r="AX338" i="8"/>
  <c r="AV338" i="8"/>
  <c r="AU338" i="8"/>
  <c r="AT338" i="8"/>
  <c r="AW338" i="8" s="1"/>
  <c r="AX336" i="8"/>
  <c r="AV336" i="8"/>
  <c r="AU336" i="8"/>
  <c r="AT336" i="8"/>
  <c r="AW336" i="8" s="1"/>
  <c r="AX334" i="8"/>
  <c r="AV334" i="8"/>
  <c r="AU334" i="8"/>
  <c r="AT334" i="8"/>
  <c r="AW334" i="8" s="1"/>
  <c r="AX332" i="8"/>
  <c r="AV332" i="8"/>
  <c r="AU332" i="8"/>
  <c r="AT332" i="8"/>
  <c r="AW332" i="8" s="1"/>
  <c r="AX329" i="8"/>
  <c r="AV329" i="8"/>
  <c r="AU329" i="8"/>
  <c r="AT329" i="8"/>
  <c r="AW329" i="8" s="1"/>
  <c r="AX327" i="8"/>
  <c r="AV327" i="8"/>
  <c r="AU327" i="8"/>
  <c r="AT327" i="8"/>
  <c r="AW327" i="8" s="1"/>
  <c r="AX325" i="8"/>
  <c r="AV325" i="8"/>
  <c r="AU325" i="8"/>
  <c r="AT325" i="8"/>
  <c r="AW325" i="8" s="1"/>
  <c r="AX323" i="8"/>
  <c r="AV323" i="8"/>
  <c r="AU323" i="8"/>
  <c r="AT323" i="8"/>
  <c r="AW323" i="8" s="1"/>
  <c r="AV320" i="8"/>
  <c r="AT320" i="8"/>
  <c r="AW320" i="8" s="1"/>
  <c r="AJ320" i="8"/>
  <c r="AX320" i="8" s="1"/>
  <c r="AI320" i="8"/>
  <c r="AV318" i="8"/>
  <c r="AT318" i="8"/>
  <c r="AW318" i="8" s="1"/>
  <c r="AI318" i="8"/>
  <c r="AJ318" i="8" s="1"/>
  <c r="AU318" i="8" s="1"/>
  <c r="AV315" i="8"/>
  <c r="AT315" i="8"/>
  <c r="AW315" i="8" s="1"/>
  <c r="AI315" i="8"/>
  <c r="AJ315" i="8" s="1"/>
  <c r="AX315" i="8" s="1"/>
  <c r="AV313" i="8"/>
  <c r="AT313" i="8"/>
  <c r="AW313" i="8" s="1"/>
  <c r="AI313" i="8"/>
  <c r="AJ313" i="8" s="1"/>
  <c r="AV311" i="8"/>
  <c r="AT311" i="8"/>
  <c r="AW311" i="8" s="1"/>
  <c r="AI311" i="8"/>
  <c r="AJ311" i="8" s="1"/>
  <c r="AV309" i="8"/>
  <c r="AT309" i="8"/>
  <c r="AW309" i="8" s="1"/>
  <c r="AI309" i="8"/>
  <c r="AJ309" i="8" s="1"/>
  <c r="AU309" i="8" s="1"/>
  <c r="AV307" i="8"/>
  <c r="AT307" i="8"/>
  <c r="AW307" i="8" s="1"/>
  <c r="AI307" i="8"/>
  <c r="AJ307" i="8" s="1"/>
  <c r="AX307" i="8" s="1"/>
  <c r="AV305" i="8"/>
  <c r="AT305" i="8"/>
  <c r="AW305" i="8" s="1"/>
  <c r="AI305" i="8"/>
  <c r="AJ305" i="8" s="1"/>
  <c r="AU305" i="8" s="1"/>
  <c r="AV304" i="8"/>
  <c r="AT304" i="8"/>
  <c r="AW304" i="8" s="1"/>
  <c r="AI304" i="8"/>
  <c r="AJ304" i="8" s="1"/>
  <c r="AX304" i="8" s="1"/>
  <c r="AV303" i="8"/>
  <c r="AT303" i="8"/>
  <c r="AW303" i="8" s="1"/>
  <c r="AU303" i="8"/>
  <c r="AX294" i="8"/>
  <c r="AV294" i="8"/>
  <c r="AU294" i="8"/>
  <c r="AT294" i="8"/>
  <c r="AW294" i="8" s="1"/>
  <c r="AX292" i="8"/>
  <c r="AV292" i="8"/>
  <c r="AU292" i="8"/>
  <c r="AT292" i="8"/>
  <c r="AW292" i="8" s="1"/>
  <c r="AX290" i="8"/>
  <c r="AV290" i="8"/>
  <c r="AU290" i="8"/>
  <c r="AT290" i="8"/>
  <c r="AW290" i="8" s="1"/>
  <c r="AX288" i="8"/>
  <c r="AV288" i="8"/>
  <c r="AU288" i="8"/>
  <c r="AT288" i="8"/>
  <c r="AW288" i="8" s="1"/>
  <c r="AX284" i="8"/>
  <c r="AV284" i="8"/>
  <c r="AU284" i="8"/>
  <c r="AT284" i="8"/>
  <c r="AW284" i="8" s="1"/>
  <c r="AT283" i="8"/>
  <c r="AX282" i="8"/>
  <c r="AV282" i="8"/>
  <c r="AU282" i="8"/>
  <c r="AT282" i="8"/>
  <c r="AW282" i="8" s="1"/>
  <c r="AT281" i="8"/>
  <c r="AX280" i="8"/>
  <c r="AV280" i="8"/>
  <c r="AU280" i="8"/>
  <c r="AT280" i="8"/>
  <c r="AW280" i="8" s="1"/>
  <c r="AT279" i="8"/>
  <c r="AX278" i="8"/>
  <c r="AV278" i="8"/>
  <c r="AU278" i="8"/>
  <c r="AT278" i="8"/>
  <c r="AW278" i="8" s="1"/>
  <c r="AT277" i="8"/>
  <c r="AX276" i="8"/>
  <c r="AV276" i="8"/>
  <c r="AU276" i="8"/>
  <c r="AT276" i="8"/>
  <c r="AW276" i="8" s="1"/>
  <c r="AT275" i="8"/>
  <c r="AX274" i="8"/>
  <c r="AV274" i="8"/>
  <c r="AU274" i="8"/>
  <c r="AT274" i="8"/>
  <c r="AW274" i="8" s="1"/>
  <c r="AX272" i="8"/>
  <c r="AV272" i="8"/>
  <c r="AU272" i="8"/>
  <c r="AT272" i="8"/>
  <c r="AW272" i="8" s="1"/>
  <c r="AX270" i="8"/>
  <c r="AV270" i="8"/>
  <c r="AU270" i="8"/>
  <c r="AT270" i="8"/>
  <c r="AW270" i="8" s="1"/>
  <c r="AX268" i="8"/>
  <c r="AV268" i="8"/>
  <c r="AU268" i="8"/>
  <c r="AT268" i="8"/>
  <c r="AW268" i="8" s="1"/>
  <c r="AX265" i="8"/>
  <c r="AV265" i="8"/>
  <c r="AU265" i="8"/>
  <c r="AT265" i="8"/>
  <c r="AW265" i="8" s="1"/>
  <c r="AX263" i="8"/>
  <c r="AV263" i="8"/>
  <c r="AU263" i="8"/>
  <c r="AT263" i="8"/>
  <c r="AW263" i="8" s="1"/>
  <c r="AX260" i="8"/>
  <c r="AV260" i="8"/>
  <c r="AU260" i="8"/>
  <c r="AT260" i="8"/>
  <c r="AW260" i="8" s="1"/>
  <c r="AV258" i="8"/>
  <c r="AT258" i="8"/>
  <c r="AW258" i="8" s="1"/>
  <c r="AI258" i="8"/>
  <c r="AJ258" i="8" s="1"/>
  <c r="AU258" i="8" s="1"/>
  <c r="AV255" i="8"/>
  <c r="AT255" i="8"/>
  <c r="AW255" i="8" s="1"/>
  <c r="AX255" i="8"/>
  <c r="AV254" i="8"/>
  <c r="AT254" i="8"/>
  <c r="AW254" i="8" s="1"/>
  <c r="AI254" i="8"/>
  <c r="AJ254" i="8" s="1"/>
  <c r="AS243" i="8"/>
  <c r="AR243" i="8"/>
  <c r="AQ243" i="8"/>
  <c r="AP243" i="8"/>
  <c r="AO243" i="8"/>
  <c r="AN243" i="8"/>
  <c r="AM243" i="8"/>
  <c r="AL243" i="8"/>
  <c r="AK243" i="8"/>
  <c r="AH243" i="8"/>
  <c r="AF243" i="8"/>
  <c r="AE243" i="8"/>
  <c r="AD243" i="8"/>
  <c r="AV242" i="8"/>
  <c r="AT242" i="8"/>
  <c r="AW242" i="8" s="1"/>
  <c r="AI242" i="8"/>
  <c r="AJ242" i="8" s="1"/>
  <c r="AV238" i="8"/>
  <c r="AT238" i="8"/>
  <c r="AW238" i="8" s="1"/>
  <c r="AI238" i="8"/>
  <c r="AJ238" i="8" s="1"/>
  <c r="AU238" i="8" s="1"/>
  <c r="AV235" i="8"/>
  <c r="AT235" i="8"/>
  <c r="AW235" i="8" s="1"/>
  <c r="AI235" i="8"/>
  <c r="AJ235" i="8" s="1"/>
  <c r="AU235" i="8" s="1"/>
  <c r="AV232" i="8"/>
  <c r="AT232" i="8"/>
  <c r="AW232" i="8" s="1"/>
  <c r="AI232" i="8"/>
  <c r="AJ232" i="8" s="1"/>
  <c r="AV231" i="8"/>
  <c r="AT231" i="8"/>
  <c r="AW231" i="8" s="1"/>
  <c r="AI231" i="8"/>
  <c r="AJ231" i="8" s="1"/>
  <c r="AV229" i="8"/>
  <c r="AT229" i="8"/>
  <c r="AW229" i="8" s="1"/>
  <c r="AI229" i="8"/>
  <c r="AJ229" i="8" s="1"/>
  <c r="AV227" i="8"/>
  <c r="AT227" i="8"/>
  <c r="AW227" i="8" s="1"/>
  <c r="AI227" i="8"/>
  <c r="AJ227" i="8" s="1"/>
  <c r="AV225" i="8"/>
  <c r="AT225" i="8"/>
  <c r="AW225" i="8" s="1"/>
  <c r="AI225" i="8"/>
  <c r="AJ225" i="8" s="1"/>
  <c r="AU225" i="8" s="1"/>
  <c r="AV223" i="8"/>
  <c r="AT223" i="8"/>
  <c r="AW223" i="8" s="1"/>
  <c r="AI223" i="8"/>
  <c r="AJ223" i="8" s="1"/>
  <c r="AX223" i="8" s="1"/>
  <c r="AV221" i="8"/>
  <c r="AT221" i="8"/>
  <c r="AW221" i="8" s="1"/>
  <c r="AI221" i="8"/>
  <c r="AJ221" i="8" s="1"/>
  <c r="AX221" i="8" s="1"/>
  <c r="AV219" i="8"/>
  <c r="AT219" i="8"/>
  <c r="AW219" i="8" s="1"/>
  <c r="AI219" i="8"/>
  <c r="AJ219" i="8" s="1"/>
  <c r="AU219" i="8" s="1"/>
  <c r="AV218" i="8"/>
  <c r="AU218" i="8"/>
  <c r="AT218" i="8"/>
  <c r="AW218" i="8" s="1"/>
  <c r="AV217" i="8"/>
  <c r="AT217" i="8"/>
  <c r="AW217" i="8" s="1"/>
  <c r="AI217" i="8"/>
  <c r="AJ217" i="8" s="1"/>
  <c r="AV216" i="8"/>
  <c r="AT216" i="8"/>
  <c r="AW216" i="8" s="1"/>
  <c r="AI216" i="8"/>
  <c r="AJ216" i="8" s="1"/>
  <c r="AU216" i="8" s="1"/>
  <c r="AV214" i="8"/>
  <c r="AT214" i="8"/>
  <c r="AW214" i="8" s="1"/>
  <c r="AI214" i="8"/>
  <c r="AJ214" i="8" s="1"/>
  <c r="AV211" i="8"/>
  <c r="AT211" i="8"/>
  <c r="AW211" i="8" s="1"/>
  <c r="AG211" i="8"/>
  <c r="AV206" i="8"/>
  <c r="AT206" i="8"/>
  <c r="AW206" i="8" s="1"/>
  <c r="AI206" i="8"/>
  <c r="AJ206" i="8" s="1"/>
  <c r="AV204" i="8"/>
  <c r="AT204" i="8"/>
  <c r="AW204" i="8" s="1"/>
  <c r="AI204" i="8"/>
  <c r="AJ204" i="8" s="1"/>
  <c r="AU204" i="8" s="1"/>
  <c r="AV203" i="8"/>
  <c r="AT203" i="8"/>
  <c r="AW203" i="8" s="1"/>
  <c r="AI203" i="8"/>
  <c r="AJ203" i="8" s="1"/>
  <c r="AU203" i="8" s="1"/>
  <c r="AW201" i="8"/>
  <c r="AV201" i="8"/>
  <c r="AT201" i="8"/>
  <c r="AI201" i="8"/>
  <c r="AJ201" i="8" s="1"/>
  <c r="AU201" i="8" s="1"/>
  <c r="AV199" i="8"/>
  <c r="AT199" i="8"/>
  <c r="AW199" i="8" s="1"/>
  <c r="AI199" i="8"/>
  <c r="AJ199" i="8" s="1"/>
  <c r="AX188" i="8"/>
  <c r="AV188" i="8"/>
  <c r="AU188" i="8"/>
  <c r="AT188" i="8"/>
  <c r="AW188" i="8" s="1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V186" i="8"/>
  <c r="AT186" i="8"/>
  <c r="AW186" i="8" s="1"/>
  <c r="AI186" i="8"/>
  <c r="AJ186" i="8" s="1"/>
  <c r="AV185" i="8"/>
  <c r="AT185" i="8"/>
  <c r="AW185" i="8" s="1"/>
  <c r="AI185" i="8"/>
  <c r="AJ185" i="8" s="1"/>
  <c r="AX184" i="8"/>
  <c r="AV184" i="8"/>
  <c r="AU184" i="8"/>
  <c r="AT184" i="8"/>
  <c r="AW184" i="8" s="1"/>
  <c r="AX183" i="8"/>
  <c r="AV183" i="8"/>
  <c r="AU183" i="8"/>
  <c r="AT183" i="8"/>
  <c r="AW183" i="8" s="1"/>
  <c r="AX182" i="8"/>
  <c r="AV182" i="8"/>
  <c r="AU182" i="8"/>
  <c r="AT182" i="8"/>
  <c r="AW182" i="8" s="1"/>
  <c r="AX181" i="8"/>
  <c r="AV181" i="8"/>
  <c r="AU181" i="8"/>
  <c r="AT181" i="8"/>
  <c r="AS180" i="8"/>
  <c r="AR180" i="8"/>
  <c r="AQ180" i="8"/>
  <c r="AP180" i="8"/>
  <c r="AO180" i="8"/>
  <c r="AN180" i="8"/>
  <c r="AM180" i="8"/>
  <c r="AL180" i="8"/>
  <c r="AL179" i="8" s="1"/>
  <c r="AK180" i="8"/>
  <c r="AH180" i="8"/>
  <c r="AG180" i="8"/>
  <c r="AF180" i="8"/>
  <c r="AF179" i="8" s="1"/>
  <c r="AE180" i="8"/>
  <c r="AD180" i="8"/>
  <c r="AD179" i="8"/>
  <c r="AV178" i="8"/>
  <c r="AT178" i="8"/>
  <c r="AW178" i="8" s="1"/>
  <c r="AE178" i="8"/>
  <c r="AI178" i="8" s="1"/>
  <c r="AJ178" i="8" s="1"/>
  <c r="AX177" i="8"/>
  <c r="AV177" i="8"/>
  <c r="AV176" i="8" s="1"/>
  <c r="AV175" i="8" s="1"/>
  <c r="AV174" i="8" s="1"/>
  <c r="AU177" i="8"/>
  <c r="AU176" i="8" s="1"/>
  <c r="AU175" i="8" s="1"/>
  <c r="AU174" i="8" s="1"/>
  <c r="AT177" i="8"/>
  <c r="AW177" i="8" s="1"/>
  <c r="AW176" i="8" s="1"/>
  <c r="AW175" i="8" s="1"/>
  <c r="AW174" i="8" s="1"/>
  <c r="AS176" i="8"/>
  <c r="AS175" i="8" s="1"/>
  <c r="AS174" i="8" s="1"/>
  <c r="AR176" i="8"/>
  <c r="AR175" i="8" s="1"/>
  <c r="AR174" i="8" s="1"/>
  <c r="AQ176" i="8"/>
  <c r="AQ175" i="8" s="1"/>
  <c r="AQ174" i="8" s="1"/>
  <c r="AP176" i="8"/>
  <c r="AO176" i="8"/>
  <c r="AO175" i="8" s="1"/>
  <c r="AO174" i="8" s="1"/>
  <c r="AN176" i="8"/>
  <c r="AN175" i="8" s="1"/>
  <c r="AN174" i="8" s="1"/>
  <c r="AM176" i="8"/>
  <c r="AM175" i="8" s="1"/>
  <c r="AM174" i="8" s="1"/>
  <c r="AL176" i="8"/>
  <c r="AL175" i="8" s="1"/>
  <c r="AL174" i="8" s="1"/>
  <c r="AK176" i="8"/>
  <c r="AK175" i="8" s="1"/>
  <c r="AK174" i="8" s="1"/>
  <c r="AJ176" i="8"/>
  <c r="AJ175" i="8" s="1"/>
  <c r="AJ174" i="8" s="1"/>
  <c r="AD176" i="8"/>
  <c r="AD175" i="8" s="1"/>
  <c r="AD174" i="8" s="1"/>
  <c r="AX173" i="8"/>
  <c r="AV173" i="8"/>
  <c r="AU173" i="8"/>
  <c r="AT173" i="8"/>
  <c r="AW173" i="8" s="1"/>
  <c r="AS172" i="8"/>
  <c r="AS171" i="8" s="1"/>
  <c r="AS170" i="8" s="1"/>
  <c r="AS169" i="8" s="1"/>
  <c r="AR172" i="8"/>
  <c r="AR171" i="8" s="1"/>
  <c r="AR170" i="8" s="1"/>
  <c r="AR169" i="8" s="1"/>
  <c r="AQ172" i="8"/>
  <c r="AP172" i="8"/>
  <c r="AO172" i="8"/>
  <c r="AO171" i="8" s="1"/>
  <c r="AO170" i="8" s="1"/>
  <c r="AO169" i="8" s="1"/>
  <c r="AN172" i="8"/>
  <c r="AN171" i="8" s="1"/>
  <c r="AN170" i="8" s="1"/>
  <c r="AN169" i="8" s="1"/>
  <c r="AM172" i="8"/>
  <c r="AM171" i="8" s="1"/>
  <c r="AM170" i="8" s="1"/>
  <c r="AL172" i="8"/>
  <c r="AL171" i="8" s="1"/>
  <c r="AL170" i="8" s="1"/>
  <c r="AL169" i="8" s="1"/>
  <c r="AK172" i="8"/>
  <c r="AK171" i="8" s="1"/>
  <c r="AK170" i="8" s="1"/>
  <c r="AK169" i="8" s="1"/>
  <c r="AJ172" i="8"/>
  <c r="AJ171" i="8" s="1"/>
  <c r="AJ170" i="8" s="1"/>
  <c r="AI172" i="8"/>
  <c r="AI171" i="8" s="1"/>
  <c r="AI170" i="8" s="1"/>
  <c r="AI169" i="8" s="1"/>
  <c r="AH172" i="8"/>
  <c r="AH171" i="8" s="1"/>
  <c r="AH170" i="8" s="1"/>
  <c r="AH169" i="8" s="1"/>
  <c r="AG172" i="8"/>
  <c r="AG171" i="8" s="1"/>
  <c r="AG170" i="8" s="1"/>
  <c r="AG169" i="8" s="1"/>
  <c r="AF172" i="8"/>
  <c r="AF171" i="8" s="1"/>
  <c r="AF170" i="8" s="1"/>
  <c r="AF169" i="8" s="1"/>
  <c r="AE172" i="8"/>
  <c r="AE171" i="8" s="1"/>
  <c r="AE170" i="8" s="1"/>
  <c r="AE169" i="8" s="1"/>
  <c r="AD172" i="8"/>
  <c r="AD171" i="8" s="1"/>
  <c r="AD170" i="8" s="1"/>
  <c r="AD169" i="8" s="1"/>
  <c r="AX168" i="8"/>
  <c r="AV168" i="8"/>
  <c r="AU168" i="8"/>
  <c r="AT168" i="8"/>
  <c r="AW168" i="8" s="1"/>
  <c r="AS167" i="8"/>
  <c r="AS166" i="8" s="1"/>
  <c r="AS165" i="8" s="1"/>
  <c r="AS164" i="8" s="1"/>
  <c r="AR167" i="8"/>
  <c r="AR166" i="8" s="1"/>
  <c r="AR165" i="8" s="1"/>
  <c r="AR164" i="8" s="1"/>
  <c r="AQ167" i="8"/>
  <c r="AP167" i="8"/>
  <c r="AO167" i="8"/>
  <c r="AO166" i="8" s="1"/>
  <c r="AO165" i="8" s="1"/>
  <c r="AO164" i="8" s="1"/>
  <c r="AN167" i="8"/>
  <c r="AN166" i="8" s="1"/>
  <c r="AN165" i="8" s="1"/>
  <c r="AN164" i="8" s="1"/>
  <c r="AM167" i="8"/>
  <c r="AM166" i="8" s="1"/>
  <c r="AM165" i="8" s="1"/>
  <c r="AL167" i="8"/>
  <c r="AL166" i="8" s="1"/>
  <c r="AL165" i="8" s="1"/>
  <c r="AL164" i="8" s="1"/>
  <c r="AK167" i="8"/>
  <c r="AK166" i="8" s="1"/>
  <c r="AK165" i="8" s="1"/>
  <c r="AK164" i="8" s="1"/>
  <c r="AJ167" i="8"/>
  <c r="AJ166" i="8" s="1"/>
  <c r="AI167" i="8"/>
  <c r="AI166" i="8" s="1"/>
  <c r="AI165" i="8" s="1"/>
  <c r="AI164" i="8" s="1"/>
  <c r="AH167" i="8"/>
  <c r="AH166" i="8" s="1"/>
  <c r="AH165" i="8" s="1"/>
  <c r="AH164" i="8" s="1"/>
  <c r="AG167" i="8"/>
  <c r="AG166" i="8" s="1"/>
  <c r="AG165" i="8" s="1"/>
  <c r="AG164" i="8" s="1"/>
  <c r="AF167" i="8"/>
  <c r="AF166" i="8" s="1"/>
  <c r="AF165" i="8" s="1"/>
  <c r="AF164" i="8" s="1"/>
  <c r="AE167" i="8"/>
  <c r="AE166" i="8" s="1"/>
  <c r="AE165" i="8" s="1"/>
  <c r="AE164" i="8" s="1"/>
  <c r="AD167" i="8"/>
  <c r="AD166" i="8" s="1"/>
  <c r="AD165" i="8" s="1"/>
  <c r="AD164" i="8" s="1"/>
  <c r="AX161" i="8"/>
  <c r="AV161" i="8"/>
  <c r="AU161" i="8"/>
  <c r="AT161" i="8"/>
  <c r="AW161" i="8" s="1"/>
  <c r="AX160" i="8"/>
  <c r="AV160" i="8"/>
  <c r="AU160" i="8"/>
  <c r="AT160" i="8"/>
  <c r="AW160" i="8" s="1"/>
  <c r="AS159" i="8"/>
  <c r="AS158" i="8" s="1"/>
  <c r="AR159" i="8"/>
  <c r="AR158" i="8" s="1"/>
  <c r="AQ159" i="8"/>
  <c r="AP159" i="8"/>
  <c r="AO159" i="8"/>
  <c r="AO158" i="8" s="1"/>
  <c r="AN159" i="8"/>
  <c r="AN158" i="8" s="1"/>
  <c r="AM159" i="8"/>
  <c r="AM158" i="8" s="1"/>
  <c r="AL159" i="8"/>
  <c r="AL158" i="8" s="1"/>
  <c r="AK159" i="8"/>
  <c r="AK158" i="8" s="1"/>
  <c r="AJ159" i="8"/>
  <c r="AJ158" i="8" s="1"/>
  <c r="AI159" i="8"/>
  <c r="AI158" i="8" s="1"/>
  <c r="AH159" i="8"/>
  <c r="AH158" i="8" s="1"/>
  <c r="AG159" i="8"/>
  <c r="AG158" i="8" s="1"/>
  <c r="AF159" i="8"/>
  <c r="AF158" i="8" s="1"/>
  <c r="AE159" i="8"/>
  <c r="AE158" i="8" s="1"/>
  <c r="AD159" i="8"/>
  <c r="AD158" i="8" s="1"/>
  <c r="AV157" i="8"/>
  <c r="AT157" i="8"/>
  <c r="AW157" i="8" s="1"/>
  <c r="AI157" i="8"/>
  <c r="AJ157" i="8" s="1"/>
  <c r="AX156" i="8"/>
  <c r="AV156" i="8"/>
  <c r="AU156" i="8"/>
  <c r="AT156" i="8"/>
  <c r="AW156" i="8" s="1"/>
  <c r="AX155" i="8"/>
  <c r="AV155" i="8"/>
  <c r="AU155" i="8"/>
  <c r="AT155" i="8"/>
  <c r="AW155" i="8" s="1"/>
  <c r="AS154" i="8"/>
  <c r="AS153" i="8" s="1"/>
  <c r="AR154" i="8"/>
  <c r="AR153" i="8" s="1"/>
  <c r="AQ154" i="8"/>
  <c r="AQ153" i="8" s="1"/>
  <c r="AP154" i="8"/>
  <c r="AO154" i="8"/>
  <c r="AO153" i="8" s="1"/>
  <c r="AN154" i="8"/>
  <c r="AN153" i="8" s="1"/>
  <c r="AM154" i="8"/>
  <c r="AM153" i="8" s="1"/>
  <c r="AL154" i="8"/>
  <c r="AL153" i="8" s="1"/>
  <c r="AK154" i="8"/>
  <c r="AK153" i="8" s="1"/>
  <c r="AJ154" i="8"/>
  <c r="AI154" i="8"/>
  <c r="AH154" i="8"/>
  <c r="AH153" i="8" s="1"/>
  <c r="AG154" i="8"/>
  <c r="AG153" i="8" s="1"/>
  <c r="AF154" i="8"/>
  <c r="AF153" i="8" s="1"/>
  <c r="AE154" i="8"/>
  <c r="AD154" i="8"/>
  <c r="AD153" i="8" s="1"/>
  <c r="AE153" i="8"/>
  <c r="AV152" i="8"/>
  <c r="AT152" i="8"/>
  <c r="AW152" i="8" s="1"/>
  <c r="AG152" i="8"/>
  <c r="AI152" i="8" s="1"/>
  <c r="AJ152" i="8" s="1"/>
  <c r="AU152" i="8" s="1"/>
  <c r="AX151" i="8"/>
  <c r="AV151" i="8"/>
  <c r="AU151" i="8"/>
  <c r="AT151" i="8"/>
  <c r="AW151" i="8" s="1"/>
  <c r="AX150" i="8"/>
  <c r="AV150" i="8"/>
  <c r="AV149" i="8" s="1"/>
  <c r="AU150" i="8"/>
  <c r="AU149" i="8" s="1"/>
  <c r="AT150" i="8"/>
  <c r="AW150" i="8" s="1"/>
  <c r="AW149" i="8" s="1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V147" i="8"/>
  <c r="AV143" i="8" s="1"/>
  <c r="AT147" i="8"/>
  <c r="AW147" i="8" s="1"/>
  <c r="AW143" i="8" s="1"/>
  <c r="AI147" i="8"/>
  <c r="AJ147" i="8" s="1"/>
  <c r="AS143" i="8"/>
  <c r="AR143" i="8"/>
  <c r="AQ143" i="8"/>
  <c r="AP143" i="8"/>
  <c r="AO143" i="8"/>
  <c r="AN143" i="8"/>
  <c r="AM143" i="8"/>
  <c r="AL143" i="8"/>
  <c r="AK143" i="8"/>
  <c r="AH143" i="8"/>
  <c r="AG143" i="8"/>
  <c r="AF143" i="8"/>
  <c r="AE143" i="8"/>
  <c r="AD143" i="8"/>
  <c r="AX142" i="8"/>
  <c r="AV142" i="8"/>
  <c r="AU142" i="8"/>
  <c r="AT142" i="8"/>
  <c r="AW142" i="8" s="1"/>
  <c r="AX141" i="8"/>
  <c r="AV141" i="8"/>
  <c r="AU141" i="8"/>
  <c r="AT141" i="8"/>
  <c r="AW141" i="8" s="1"/>
  <c r="AS140" i="8"/>
  <c r="AS139" i="8" s="1"/>
  <c r="AR140" i="8"/>
  <c r="AR139" i="8" s="1"/>
  <c r="AQ140" i="8"/>
  <c r="AQ139" i="8" s="1"/>
  <c r="AP140" i="8"/>
  <c r="AO140" i="8"/>
  <c r="AO139" i="8" s="1"/>
  <c r="AN140" i="8"/>
  <c r="AN139" i="8" s="1"/>
  <c r="AM140" i="8"/>
  <c r="AM139" i="8" s="1"/>
  <c r="AL140" i="8"/>
  <c r="AL139" i="8" s="1"/>
  <c r="AK140" i="8"/>
  <c r="AK139" i="8" s="1"/>
  <c r="AJ140" i="8"/>
  <c r="AJ139" i="8" s="1"/>
  <c r="AI140" i="8"/>
  <c r="AI139" i="8" s="1"/>
  <c r="AH140" i="8"/>
  <c r="AH139" i="8" s="1"/>
  <c r="AG140" i="8"/>
  <c r="AG139" i="8" s="1"/>
  <c r="AF140" i="8"/>
  <c r="AF139" i="8" s="1"/>
  <c r="AE140" i="8"/>
  <c r="AE139" i="8" s="1"/>
  <c r="AD140" i="8"/>
  <c r="AD139" i="8" s="1"/>
  <c r="AX138" i="8"/>
  <c r="AV138" i="8"/>
  <c r="AU138" i="8"/>
  <c r="AT138" i="8"/>
  <c r="AW138" i="8" s="1"/>
  <c r="AX137" i="8"/>
  <c r="AV137" i="8"/>
  <c r="AU137" i="8"/>
  <c r="AT137" i="8"/>
  <c r="AW137" i="8" s="1"/>
  <c r="AV136" i="8"/>
  <c r="AU136" i="8"/>
  <c r="AT136" i="8"/>
  <c r="AW136" i="8" s="1"/>
  <c r="AX135" i="8"/>
  <c r="AV135" i="8"/>
  <c r="AU135" i="8"/>
  <c r="AT135" i="8"/>
  <c r="AW135" i="8" s="1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X133" i="8"/>
  <c r="AV133" i="8"/>
  <c r="AU133" i="8"/>
  <c r="AT133" i="8"/>
  <c r="AW133" i="8" s="1"/>
  <c r="AX132" i="8"/>
  <c r="AV132" i="8"/>
  <c r="AU132" i="8"/>
  <c r="AT132" i="8"/>
  <c r="AW132" i="8" s="1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V130" i="8"/>
  <c r="AT130" i="8"/>
  <c r="AW130" i="8" s="1"/>
  <c r="AI130" i="8"/>
  <c r="AJ130" i="8" s="1"/>
  <c r="AU130" i="8" s="1"/>
  <c r="AX129" i="8"/>
  <c r="AV129" i="8"/>
  <c r="AU129" i="8"/>
  <c r="AT129" i="8"/>
  <c r="AW129" i="8" s="1"/>
  <c r="AX128" i="8"/>
  <c r="AV128" i="8"/>
  <c r="AU128" i="8"/>
  <c r="AT128" i="8"/>
  <c r="AW128" i="8" s="1"/>
  <c r="AV127" i="8"/>
  <c r="AT127" i="8"/>
  <c r="AW127" i="8" s="1"/>
  <c r="AI127" i="8"/>
  <c r="AJ127" i="8" s="1"/>
  <c r="AS126" i="8"/>
  <c r="AS125" i="8" s="1"/>
  <c r="AR126" i="8"/>
  <c r="AQ126" i="8"/>
  <c r="AQ125" i="8" s="1"/>
  <c r="AP126" i="8"/>
  <c r="AP125" i="8" s="1"/>
  <c r="AO126" i="8"/>
  <c r="AO125" i="8" s="1"/>
  <c r="AN126" i="8"/>
  <c r="AN125" i="8" s="1"/>
  <c r="AM126" i="8"/>
  <c r="AM125" i="8" s="1"/>
  <c r="AL126" i="8"/>
  <c r="AL125" i="8" s="1"/>
  <c r="AK126" i="8"/>
  <c r="AK125" i="8" s="1"/>
  <c r="AH126" i="8"/>
  <c r="AH125" i="8" s="1"/>
  <c r="AG126" i="8"/>
  <c r="AG125" i="8" s="1"/>
  <c r="AF126" i="8"/>
  <c r="AF125" i="8" s="1"/>
  <c r="AE126" i="8"/>
  <c r="AE125" i="8" s="1"/>
  <c r="AD126" i="8"/>
  <c r="AD125" i="8" s="1"/>
  <c r="AD124" i="8" s="1"/>
  <c r="AD123" i="8" s="1"/>
  <c r="AR125" i="8"/>
  <c r="AX122" i="8"/>
  <c r="AV122" i="8"/>
  <c r="AU122" i="8"/>
  <c r="AT122" i="8"/>
  <c r="AW122" i="8" s="1"/>
  <c r="AX121" i="8"/>
  <c r="AV121" i="8"/>
  <c r="AU121" i="8"/>
  <c r="AT121" i="8"/>
  <c r="AW121" i="8" s="1"/>
  <c r="AS120" i="8"/>
  <c r="AR120" i="8"/>
  <c r="AR119" i="8" s="1"/>
  <c r="AR118" i="8" s="1"/>
  <c r="AR117" i="8" s="1"/>
  <c r="AQ120" i="8"/>
  <c r="AQ119" i="8" s="1"/>
  <c r="AQ118" i="8" s="1"/>
  <c r="AQ117" i="8" s="1"/>
  <c r="AP120" i="8"/>
  <c r="AP119" i="8" s="1"/>
  <c r="AP118" i="8" s="1"/>
  <c r="AO120" i="8"/>
  <c r="AO119" i="8" s="1"/>
  <c r="AO118" i="8" s="1"/>
  <c r="AO117" i="8" s="1"/>
  <c r="AN120" i="8"/>
  <c r="AN119" i="8" s="1"/>
  <c r="AN118" i="8" s="1"/>
  <c r="AN117" i="8" s="1"/>
  <c r="AM120" i="8"/>
  <c r="AM119" i="8" s="1"/>
  <c r="AL120" i="8"/>
  <c r="AL119" i="8" s="1"/>
  <c r="AL118" i="8" s="1"/>
  <c r="AL117" i="8" s="1"/>
  <c r="AK120" i="8"/>
  <c r="AK119" i="8" s="1"/>
  <c r="AK118" i="8" s="1"/>
  <c r="AK117" i="8" s="1"/>
  <c r="AJ120" i="8"/>
  <c r="AJ119" i="8" s="1"/>
  <c r="AI120" i="8"/>
  <c r="AI119" i="8" s="1"/>
  <c r="AI118" i="8" s="1"/>
  <c r="AI117" i="8" s="1"/>
  <c r="AH120" i="8"/>
  <c r="AH119" i="8" s="1"/>
  <c r="AH118" i="8" s="1"/>
  <c r="AH117" i="8" s="1"/>
  <c r="AG120" i="8"/>
  <c r="AG119" i="8" s="1"/>
  <c r="AG118" i="8" s="1"/>
  <c r="AG117" i="8" s="1"/>
  <c r="AF120" i="8"/>
  <c r="AF119" i="8" s="1"/>
  <c r="AF118" i="8" s="1"/>
  <c r="AF117" i="8" s="1"/>
  <c r="AE120" i="8"/>
  <c r="AE119" i="8" s="1"/>
  <c r="AE118" i="8" s="1"/>
  <c r="AE117" i="8" s="1"/>
  <c r="AD120" i="8"/>
  <c r="AD119" i="8" s="1"/>
  <c r="AD118" i="8" s="1"/>
  <c r="AD117" i="8" s="1"/>
  <c r="AV116" i="8"/>
  <c r="AT116" i="8"/>
  <c r="AW116" i="8" s="1"/>
  <c r="AI116" i="8"/>
  <c r="AJ116" i="8" s="1"/>
  <c r="AV115" i="8"/>
  <c r="AT115" i="8"/>
  <c r="AW115" i="8" s="1"/>
  <c r="AI115" i="8"/>
  <c r="AJ115" i="8" s="1"/>
  <c r="AX114" i="8"/>
  <c r="AV114" i="8"/>
  <c r="AU114" i="8"/>
  <c r="AT114" i="8"/>
  <c r="AW114" i="8" s="1"/>
  <c r="AX113" i="8"/>
  <c r="AV113" i="8"/>
  <c r="AU113" i="8"/>
  <c r="AT113" i="8"/>
  <c r="AW113" i="8" s="1"/>
  <c r="AX112" i="8"/>
  <c r="AV112" i="8"/>
  <c r="AU112" i="8"/>
  <c r="AT112" i="8"/>
  <c r="AW112" i="8" s="1"/>
  <c r="AX111" i="8"/>
  <c r="AV111" i="8"/>
  <c r="AU111" i="8"/>
  <c r="AT111" i="8"/>
  <c r="AW111" i="8" s="1"/>
  <c r="AX110" i="8"/>
  <c r="AV110" i="8"/>
  <c r="AU110" i="8"/>
  <c r="AT110" i="8"/>
  <c r="AW110" i="8" s="1"/>
  <c r="AX109" i="8"/>
  <c r="AV109" i="8"/>
  <c r="AU109" i="8"/>
  <c r="AT109" i="8"/>
  <c r="AW109" i="8" s="1"/>
  <c r="AX108" i="8"/>
  <c r="AV108" i="8"/>
  <c r="AU108" i="8"/>
  <c r="AT108" i="8"/>
  <c r="AW108" i="8" s="1"/>
  <c r="AX107" i="8"/>
  <c r="AV107" i="8"/>
  <c r="AU107" i="8"/>
  <c r="AT107" i="8"/>
  <c r="AW107" i="8" s="1"/>
  <c r="AX106" i="8"/>
  <c r="AV106" i="8"/>
  <c r="AU106" i="8"/>
  <c r="AT106" i="8"/>
  <c r="AW106" i="8" s="1"/>
  <c r="AX105" i="8"/>
  <c r="AV105" i="8"/>
  <c r="AU105" i="8"/>
  <c r="AT105" i="8"/>
  <c r="AW105" i="8" s="1"/>
  <c r="AS104" i="8"/>
  <c r="AS103" i="8" s="1"/>
  <c r="AR104" i="8"/>
  <c r="AR103" i="8" s="1"/>
  <c r="AQ104" i="8"/>
  <c r="AQ103" i="8" s="1"/>
  <c r="AP104" i="8"/>
  <c r="AP103" i="8" s="1"/>
  <c r="AO104" i="8"/>
  <c r="AO103" i="8" s="1"/>
  <c r="AN104" i="8"/>
  <c r="AN103" i="8" s="1"/>
  <c r="AM104" i="8"/>
  <c r="AM103" i="8" s="1"/>
  <c r="AL104" i="8"/>
  <c r="AL103" i="8" s="1"/>
  <c r="AK104" i="8"/>
  <c r="AK103" i="8" s="1"/>
  <c r="AH104" i="8"/>
  <c r="AH103" i="8" s="1"/>
  <c r="AF104" i="8"/>
  <c r="AF103" i="8" s="1"/>
  <c r="AE104" i="8"/>
  <c r="AE103" i="8" s="1"/>
  <c r="AD104" i="8"/>
  <c r="AD103" i="8" s="1"/>
  <c r="AX100" i="8"/>
  <c r="AV100" i="8"/>
  <c r="AU100" i="8"/>
  <c r="AT100" i="8"/>
  <c r="AW100" i="8" s="1"/>
  <c r="AX99" i="8"/>
  <c r="AV99" i="8"/>
  <c r="AU99" i="8"/>
  <c r="AT99" i="8"/>
  <c r="AW99" i="8" s="1"/>
  <c r="AV98" i="8"/>
  <c r="AT98" i="8"/>
  <c r="AW98" i="8" s="1"/>
  <c r="AH98" i="8"/>
  <c r="AG98" i="8"/>
  <c r="AG94" i="8" s="1"/>
  <c r="AV97" i="8"/>
  <c r="AT97" i="8"/>
  <c r="AW97" i="8" s="1"/>
  <c r="AI97" i="8"/>
  <c r="AJ97" i="8" s="1"/>
  <c r="AV96" i="8"/>
  <c r="AT96" i="8"/>
  <c r="AW96" i="8" s="1"/>
  <c r="AI96" i="8"/>
  <c r="AJ96" i="8" s="1"/>
  <c r="AV95" i="8"/>
  <c r="AT95" i="8"/>
  <c r="AW95" i="8" s="1"/>
  <c r="AH95" i="8"/>
  <c r="AI95" i="8" s="1"/>
  <c r="AS94" i="8"/>
  <c r="AR94" i="8"/>
  <c r="AQ94" i="8"/>
  <c r="AP94" i="8"/>
  <c r="AO94" i="8"/>
  <c r="AN94" i="8"/>
  <c r="AM94" i="8"/>
  <c r="AK94" i="8"/>
  <c r="AF94" i="8"/>
  <c r="AE94" i="8"/>
  <c r="AD94" i="8"/>
  <c r="AV93" i="8"/>
  <c r="AT93" i="8"/>
  <c r="AW93" i="8" s="1"/>
  <c r="AG93" i="8"/>
  <c r="AI93" i="8" s="1"/>
  <c r="AJ93" i="8" s="1"/>
  <c r="AV92" i="8"/>
  <c r="AT92" i="8"/>
  <c r="AW92" i="8" s="1"/>
  <c r="AV91" i="8"/>
  <c r="AT91" i="8"/>
  <c r="AW91" i="8" s="1"/>
  <c r="AI91" i="8"/>
  <c r="AX90" i="8"/>
  <c r="AV90" i="8"/>
  <c r="AU90" i="8"/>
  <c r="AT90" i="8"/>
  <c r="AV89" i="8"/>
  <c r="AT89" i="8"/>
  <c r="AW89" i="8" s="1"/>
  <c r="AI89" i="8"/>
  <c r="AJ89" i="8" s="1"/>
  <c r="AX89" i="8" s="1"/>
  <c r="AS88" i="8"/>
  <c r="AR88" i="8"/>
  <c r="AR87" i="8" s="1"/>
  <c r="AR86" i="8" s="1"/>
  <c r="AQ88" i="8"/>
  <c r="AP88" i="8"/>
  <c r="AO88" i="8"/>
  <c r="AN88" i="8"/>
  <c r="AM88" i="8"/>
  <c r="AL88" i="8"/>
  <c r="AK88" i="8"/>
  <c r="AH88" i="8"/>
  <c r="AF88" i="8"/>
  <c r="AE88" i="8"/>
  <c r="AE87" i="8" s="1"/>
  <c r="AE86" i="8" s="1"/>
  <c r="AD88" i="8"/>
  <c r="AD87" i="8" s="1"/>
  <c r="AD86" i="8" s="1"/>
  <c r="AX85" i="8"/>
  <c r="AV85" i="8"/>
  <c r="AU85" i="8"/>
  <c r="AT85" i="8"/>
  <c r="AW85" i="8" s="1"/>
  <c r="AV84" i="8"/>
  <c r="AT84" i="8"/>
  <c r="AW84" i="8" s="1"/>
  <c r="AI84" i="8"/>
  <c r="AJ84" i="8" s="1"/>
  <c r="AU84" i="8" s="1"/>
  <c r="AX83" i="8"/>
  <c r="AV83" i="8"/>
  <c r="AU83" i="8"/>
  <c r="AT83" i="8"/>
  <c r="AW83" i="8" s="1"/>
  <c r="AX82" i="8"/>
  <c r="AV82" i="8"/>
  <c r="AU82" i="8"/>
  <c r="AT82" i="8"/>
  <c r="AW82" i="8" s="1"/>
  <c r="AX81" i="8"/>
  <c r="AV81" i="8"/>
  <c r="AU81" i="8"/>
  <c r="AT81" i="8"/>
  <c r="AW81" i="8" s="1"/>
  <c r="AX80" i="8"/>
  <c r="AV80" i="8"/>
  <c r="AU80" i="8"/>
  <c r="AT80" i="8"/>
  <c r="AW80" i="8" s="1"/>
  <c r="AX79" i="8"/>
  <c r="AV79" i="8"/>
  <c r="AU79" i="8"/>
  <c r="AT79" i="8"/>
  <c r="AW79" i="8" s="1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X77" i="8"/>
  <c r="AV77" i="8"/>
  <c r="AU77" i="8"/>
  <c r="AT77" i="8"/>
  <c r="AW77" i="8" s="1"/>
  <c r="AV76" i="8"/>
  <c r="AT76" i="8"/>
  <c r="AW76" i="8" s="1"/>
  <c r="AI76" i="8"/>
  <c r="AJ76" i="8" s="1"/>
  <c r="AJ75" i="8" s="1"/>
  <c r="AS75" i="8"/>
  <c r="AR75" i="8"/>
  <c r="AQ75" i="8"/>
  <c r="AP75" i="8"/>
  <c r="AO75" i="8"/>
  <c r="AN75" i="8"/>
  <c r="AM75" i="8"/>
  <c r="AL75" i="8"/>
  <c r="AK75" i="8"/>
  <c r="AH75" i="8"/>
  <c r="AG75" i="8"/>
  <c r="AF75" i="8"/>
  <c r="AE75" i="8"/>
  <c r="AD75" i="8"/>
  <c r="AX74" i="8"/>
  <c r="AV74" i="8"/>
  <c r="AU74" i="8"/>
  <c r="AT74" i="8"/>
  <c r="AW74" i="8" s="1"/>
  <c r="AX73" i="8"/>
  <c r="AV73" i="8"/>
  <c r="AU73" i="8"/>
  <c r="AT73" i="8"/>
  <c r="AW73" i="8" s="1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X69" i="8"/>
  <c r="AV69" i="8"/>
  <c r="AU69" i="8"/>
  <c r="AT69" i="8"/>
  <c r="AW69" i="8" s="1"/>
  <c r="AX68" i="8"/>
  <c r="AV68" i="8"/>
  <c r="AU68" i="8"/>
  <c r="AT68" i="8"/>
  <c r="AW68" i="8" s="1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X66" i="8"/>
  <c r="AV66" i="8"/>
  <c r="AU66" i="8"/>
  <c r="AT66" i="8"/>
  <c r="AW66" i="8" s="1"/>
  <c r="AX65" i="8"/>
  <c r="AV65" i="8"/>
  <c r="AU65" i="8"/>
  <c r="AT65" i="8"/>
  <c r="AW65" i="8" s="1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X63" i="8"/>
  <c r="AV63" i="8"/>
  <c r="AU63" i="8"/>
  <c r="AT63" i="8"/>
  <c r="AW63" i="8" s="1"/>
  <c r="AX62" i="8"/>
  <c r="AV62" i="8"/>
  <c r="AU62" i="8"/>
  <c r="AT62" i="8"/>
  <c r="AW62" i="8" s="1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X60" i="8"/>
  <c r="AV60" i="8"/>
  <c r="AU60" i="8"/>
  <c r="AT60" i="8"/>
  <c r="AW60" i="8" s="1"/>
  <c r="AX59" i="8"/>
  <c r="AV59" i="8"/>
  <c r="AU59" i="8"/>
  <c r="AT59" i="8"/>
  <c r="AW59" i="8" s="1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X57" i="8"/>
  <c r="AV57" i="8"/>
  <c r="AU57" i="8"/>
  <c r="AT57" i="8"/>
  <c r="AW57" i="8" s="1"/>
  <c r="AV56" i="8"/>
  <c r="AT56" i="8"/>
  <c r="AW56" i="8" s="1"/>
  <c r="AI56" i="8"/>
  <c r="AJ56" i="8" s="1"/>
  <c r="AS55" i="8"/>
  <c r="AR55" i="8"/>
  <c r="AQ55" i="8"/>
  <c r="AP55" i="8"/>
  <c r="AO55" i="8"/>
  <c r="AN55" i="8"/>
  <c r="AM55" i="8"/>
  <c r="AL55" i="8"/>
  <c r="AK55" i="8"/>
  <c r="AH55" i="8"/>
  <c r="AG55" i="8"/>
  <c r="AF55" i="8"/>
  <c r="AE55" i="8"/>
  <c r="AD55" i="8"/>
  <c r="AX54" i="8"/>
  <c r="AV54" i="8"/>
  <c r="AU54" i="8"/>
  <c r="AW54" i="8"/>
  <c r="AV53" i="8"/>
  <c r="AW53" i="8"/>
  <c r="AI53" i="8"/>
  <c r="AJ53" i="8" s="1"/>
  <c r="AS52" i="8"/>
  <c r="AR52" i="8"/>
  <c r="AQ52" i="8"/>
  <c r="AT52" i="8" s="1"/>
  <c r="AP52" i="8"/>
  <c r="AO52" i="8"/>
  <c r="AN52" i="8"/>
  <c r="AM52" i="8"/>
  <c r="AL52" i="8"/>
  <c r="AK52" i="8"/>
  <c r="AH52" i="8"/>
  <c r="AG52" i="8"/>
  <c r="AF52" i="8"/>
  <c r="AE52" i="8"/>
  <c r="AD52" i="8"/>
  <c r="AX51" i="8"/>
  <c r="AV51" i="8"/>
  <c r="AU51" i="8"/>
  <c r="AT51" i="8"/>
  <c r="AW51" i="8" s="1"/>
  <c r="AX50" i="8"/>
  <c r="AV50" i="8"/>
  <c r="AU50" i="8"/>
  <c r="AT50" i="8"/>
  <c r="AW50" i="8" s="1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X48" i="8"/>
  <c r="AV48" i="8"/>
  <c r="AU48" i="8"/>
  <c r="AT48" i="8"/>
  <c r="AW48" i="8" s="1"/>
  <c r="AX47" i="8"/>
  <c r="AV47" i="8"/>
  <c r="AU47" i="8"/>
  <c r="AT47" i="8"/>
  <c r="AW47" i="8" s="1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X45" i="8"/>
  <c r="AV45" i="8"/>
  <c r="AU45" i="8"/>
  <c r="AT45" i="8"/>
  <c r="AW45" i="8" s="1"/>
  <c r="AV44" i="8"/>
  <c r="AT44" i="8"/>
  <c r="AW44" i="8" s="1"/>
  <c r="AI44" i="8"/>
  <c r="AJ44" i="8" s="1"/>
  <c r="AU44" i="8" s="1"/>
  <c r="AS43" i="8"/>
  <c r="AR43" i="8"/>
  <c r="AQ43" i="8"/>
  <c r="AP43" i="8"/>
  <c r="AO43" i="8"/>
  <c r="AN43" i="8"/>
  <c r="AM43" i="8"/>
  <c r="AL43" i="8"/>
  <c r="AK43" i="8"/>
  <c r="AH43" i="8"/>
  <c r="AG43" i="8"/>
  <c r="AF43" i="8"/>
  <c r="AE43" i="8"/>
  <c r="AD43" i="8"/>
  <c r="AD42" i="8" s="1"/>
  <c r="AX41" i="8"/>
  <c r="AV41" i="8"/>
  <c r="AU41" i="8"/>
  <c r="AT41" i="8"/>
  <c r="AW41" i="8" s="1"/>
  <c r="AS40" i="8"/>
  <c r="AS39" i="8" s="1"/>
  <c r="AR40" i="8"/>
  <c r="AR39" i="8" s="1"/>
  <c r="AQ40" i="8"/>
  <c r="AP40" i="8"/>
  <c r="AP39" i="8" s="1"/>
  <c r="AO40" i="8"/>
  <c r="AO39" i="8" s="1"/>
  <c r="AN40" i="8"/>
  <c r="AN39" i="8" s="1"/>
  <c r="AM40" i="8"/>
  <c r="AL40" i="8"/>
  <c r="AL39" i="8" s="1"/>
  <c r="AK40" i="8"/>
  <c r="AK39" i="8" s="1"/>
  <c r="AJ40" i="8"/>
  <c r="AI40" i="8"/>
  <c r="AI39" i="8" s="1"/>
  <c r="AH40" i="8"/>
  <c r="AH39" i="8" s="1"/>
  <c r="AG40" i="8"/>
  <c r="AG39" i="8" s="1"/>
  <c r="AF40" i="8"/>
  <c r="AF39" i="8" s="1"/>
  <c r="AE40" i="8"/>
  <c r="AE39" i="8" s="1"/>
  <c r="AD40" i="8"/>
  <c r="AD39" i="8"/>
  <c r="AV38" i="8"/>
  <c r="AU38" i="8"/>
  <c r="AT38" i="8"/>
  <c r="AW38" i="8" s="1"/>
  <c r="AR38" i="8"/>
  <c r="AO38" i="8"/>
  <c r="AL38" i="8"/>
  <c r="AV37" i="8"/>
  <c r="AT37" i="8"/>
  <c r="AW37" i="8" s="1"/>
  <c r="AI37" i="8"/>
  <c r="AJ37" i="8" s="1"/>
  <c r="AX36" i="8"/>
  <c r="AV36" i="8"/>
  <c r="AU36" i="8"/>
  <c r="AT36" i="8"/>
  <c r="AW36" i="8" s="1"/>
  <c r="AV35" i="8"/>
  <c r="AT35" i="8"/>
  <c r="AW35" i="8" s="1"/>
  <c r="AI35" i="8"/>
  <c r="AI34" i="8" s="1"/>
  <c r="AS34" i="8"/>
  <c r="AR34" i="8"/>
  <c r="AQ34" i="8"/>
  <c r="AP34" i="8"/>
  <c r="AO34" i="8"/>
  <c r="AN34" i="8"/>
  <c r="AM34" i="8"/>
  <c r="AL34" i="8"/>
  <c r="AK34" i="8"/>
  <c r="AH34" i="8"/>
  <c r="AG34" i="8"/>
  <c r="AF34" i="8"/>
  <c r="AE34" i="8"/>
  <c r="AD34" i="8"/>
  <c r="AX33" i="8"/>
  <c r="AV33" i="8"/>
  <c r="AU33" i="8"/>
  <c r="AT33" i="8"/>
  <c r="AW33" i="8" s="1"/>
  <c r="AX32" i="8"/>
  <c r="AV32" i="8"/>
  <c r="AU32" i="8"/>
  <c r="AT32" i="8"/>
  <c r="AW32" i="8" s="1"/>
  <c r="AS31" i="8"/>
  <c r="AR31" i="8"/>
  <c r="AQ31" i="8"/>
  <c r="AT31" i="8" s="1"/>
  <c r="AP31" i="8"/>
  <c r="AO31" i="8"/>
  <c r="AN31" i="8"/>
  <c r="AM31" i="8"/>
  <c r="AL31" i="8"/>
  <c r="AK31" i="8"/>
  <c r="AJ31" i="8"/>
  <c r="AI31" i="8"/>
  <c r="AH31" i="8"/>
  <c r="AH30" i="8" s="1"/>
  <c r="AG31" i="8"/>
  <c r="AG30" i="8" s="1"/>
  <c r="AF31" i="8"/>
  <c r="AF30" i="8" s="1"/>
  <c r="AE31" i="8"/>
  <c r="AE30" i="8" s="1"/>
  <c r="AD31" i="8"/>
  <c r="AD30" i="8" s="1"/>
  <c r="AX29" i="8"/>
  <c r="AV29" i="8"/>
  <c r="AU29" i="8"/>
  <c r="AT29" i="8"/>
  <c r="AW29" i="8" s="1"/>
  <c r="AX28" i="8"/>
  <c r="AV28" i="8"/>
  <c r="AU28" i="8"/>
  <c r="AT28" i="8"/>
  <c r="AW28" i="8" s="1"/>
  <c r="AS27" i="8"/>
  <c r="AR27" i="8"/>
  <c r="AQ27" i="8"/>
  <c r="AP27" i="8"/>
  <c r="AX27" i="8" s="1"/>
  <c r="AO27" i="8"/>
  <c r="AN27" i="8"/>
  <c r="AM27" i="8"/>
  <c r="AL27" i="8"/>
  <c r="AK27" i="8"/>
  <c r="AJ27" i="8"/>
  <c r="AI27" i="8"/>
  <c r="AH27" i="8"/>
  <c r="AG27" i="8"/>
  <c r="AF27" i="8"/>
  <c r="AE27" i="8"/>
  <c r="AD27" i="8"/>
  <c r="AX26" i="8"/>
  <c r="AV26" i="8"/>
  <c r="AU26" i="8"/>
  <c r="AT26" i="8"/>
  <c r="AW26" i="8" s="1"/>
  <c r="AV25" i="8"/>
  <c r="AT25" i="8"/>
  <c r="AW25" i="8" s="1"/>
  <c r="AI25" i="8"/>
  <c r="AJ25" i="8" s="1"/>
  <c r="AS24" i="8"/>
  <c r="AR24" i="8"/>
  <c r="AQ24" i="8"/>
  <c r="AP24" i="8"/>
  <c r="AO24" i="8"/>
  <c r="AN24" i="8"/>
  <c r="AM24" i="8"/>
  <c r="AL24" i="8"/>
  <c r="AK24" i="8"/>
  <c r="AH24" i="8"/>
  <c r="AG24" i="8"/>
  <c r="AF24" i="8"/>
  <c r="AE24" i="8"/>
  <c r="AD24" i="8"/>
  <c r="AX23" i="8"/>
  <c r="AV23" i="8"/>
  <c r="AU23" i="8"/>
  <c r="AT23" i="8"/>
  <c r="AW23" i="8" s="1"/>
  <c r="AX22" i="8"/>
  <c r="AV22" i="8"/>
  <c r="AU22" i="8"/>
  <c r="AT22" i="8"/>
  <c r="AW22" i="8" s="1"/>
  <c r="AV21" i="8"/>
  <c r="AU21" i="8"/>
  <c r="AT21" i="8"/>
  <c r="AW21" i="8" s="1"/>
  <c r="AV20" i="8"/>
  <c r="AT20" i="8"/>
  <c r="AW20" i="8" s="1"/>
  <c r="AI20" i="8"/>
  <c r="AJ20" i="8" s="1"/>
  <c r="AX20" i="8" s="1"/>
  <c r="AX19" i="8"/>
  <c r="AV19" i="8"/>
  <c r="AU19" i="8"/>
  <c r="AT19" i="8"/>
  <c r="AW19" i="8" s="1"/>
  <c r="AV18" i="8"/>
  <c r="AT18" i="8"/>
  <c r="AW18" i="8" s="1"/>
  <c r="AI18" i="8"/>
  <c r="AJ18" i="8" s="1"/>
  <c r="AX18" i="8" s="1"/>
  <c r="AS17" i="8"/>
  <c r="AR17" i="8"/>
  <c r="AQ17" i="8"/>
  <c r="AP17" i="8"/>
  <c r="AO17" i="8"/>
  <c r="AN17" i="8"/>
  <c r="AM17" i="8"/>
  <c r="AL17" i="8"/>
  <c r="AK17" i="8"/>
  <c r="AI17" i="8"/>
  <c r="AH17" i="8"/>
  <c r="AG17" i="8"/>
  <c r="AF17" i="8"/>
  <c r="AE17" i="8"/>
  <c r="AD17" i="8"/>
  <c r="AF71" i="8" l="1"/>
  <c r="AF70" i="8" s="1"/>
  <c r="AX833" i="8"/>
  <c r="AO30" i="8"/>
  <c r="AF124" i="8"/>
  <c r="AF123" i="8" s="1"/>
  <c r="AD102" i="8"/>
  <c r="AD101" i="8" s="1"/>
  <c r="AN124" i="8"/>
  <c r="AN123" i="8" s="1"/>
  <c r="AN71" i="8"/>
  <c r="AN70" i="8" s="1"/>
  <c r="AG71" i="8"/>
  <c r="AG70" i="8" s="1"/>
  <c r="AO71" i="8"/>
  <c r="AO70" i="8" s="1"/>
  <c r="AI75" i="8"/>
  <c r="AT187" i="8"/>
  <c r="AX72" i="8"/>
  <c r="AI1013" i="8"/>
  <c r="AJ1013" i="8" s="1"/>
  <c r="AI55" i="8"/>
  <c r="AG88" i="8"/>
  <c r="AX159" i="8"/>
  <c r="AN179" i="8"/>
  <c r="AH179" i="8"/>
  <c r="AV187" i="8"/>
  <c r="AT1179" i="8"/>
  <c r="AI71" i="8"/>
  <c r="AI70" i="8" s="1"/>
  <c r="AI98" i="8"/>
  <c r="AJ98" i="8" s="1"/>
  <c r="AU98" i="8" s="1"/>
  <c r="AK148" i="8"/>
  <c r="AS148" i="8"/>
  <c r="AE179" i="8"/>
  <c r="AU1220" i="8"/>
  <c r="AS87" i="8"/>
  <c r="AS86" i="8" s="1"/>
  <c r="AV131" i="8"/>
  <c r="AP30" i="8"/>
  <c r="AT46" i="8"/>
  <c r="AW46" i="8" s="1"/>
  <c r="AT49" i="8"/>
  <c r="AG179" i="8"/>
  <c r="AV1207" i="8"/>
  <c r="AV75" i="8"/>
  <c r="AX713" i="8"/>
  <c r="AU804" i="8"/>
  <c r="AI1222" i="8"/>
  <c r="AX140" i="8"/>
  <c r="AT1207" i="8"/>
  <c r="AO87" i="8"/>
  <c r="AO86" i="8" s="1"/>
  <c r="AX149" i="8"/>
  <c r="AT1222" i="8"/>
  <c r="AQ190" i="8"/>
  <c r="AN190" i="8"/>
  <c r="AM179" i="8"/>
  <c r="AV140" i="8"/>
  <c r="AV139" i="8" s="1"/>
  <c r="AK124" i="8"/>
  <c r="AK123" i="8" s="1"/>
  <c r="AT134" i="8"/>
  <c r="AL124" i="8"/>
  <c r="AL123" i="8" s="1"/>
  <c r="AR124" i="8"/>
  <c r="AR123" i="8" s="1"/>
  <c r="AU75" i="8"/>
  <c r="AT64" i="8"/>
  <c r="AW64" i="8" s="1"/>
  <c r="AT58" i="8"/>
  <c r="AW58" i="8" s="1"/>
  <c r="AU58" i="8"/>
  <c r="AV46" i="8"/>
  <c r="AN30" i="8"/>
  <c r="AV27" i="8"/>
  <c r="AT17" i="8"/>
  <c r="AE102" i="8"/>
  <c r="AU1232" i="8"/>
  <c r="AX1232" i="8"/>
  <c r="AR148" i="8"/>
  <c r="AD71" i="8"/>
  <c r="AD70" i="8" s="1"/>
  <c r="AS71" i="8"/>
  <c r="AS70" i="8" s="1"/>
  <c r="AP139" i="8"/>
  <c r="AX139" i="8" s="1"/>
  <c r="AM190" i="8"/>
  <c r="AT103" i="8"/>
  <c r="AR30" i="8"/>
  <c r="AR16" i="8" s="1"/>
  <c r="AR15" i="8" s="1"/>
  <c r="AP42" i="8"/>
  <c r="AE71" i="8"/>
  <c r="AE70" i="8" s="1"/>
  <c r="AM71" i="8"/>
  <c r="AM70" i="8" s="1"/>
  <c r="AT143" i="8"/>
  <c r="AU158" i="8"/>
  <c r="AX555" i="8"/>
  <c r="AX559" i="8"/>
  <c r="AX797" i="8"/>
  <c r="AX1088" i="8"/>
  <c r="AT1192" i="8"/>
  <c r="AJ1219" i="8"/>
  <c r="AV58" i="8"/>
  <c r="AV67" i="8"/>
  <c r="AK87" i="8"/>
  <c r="AK86" i="8" s="1"/>
  <c r="AE124" i="8"/>
  <c r="AE123" i="8" s="1"/>
  <c r="AO124" i="8"/>
  <c r="AO123" i="8" s="1"/>
  <c r="AG148" i="8"/>
  <c r="AI153" i="8"/>
  <c r="AI180" i="8"/>
  <c r="AX438" i="8"/>
  <c r="AU1119" i="8"/>
  <c r="AI1201" i="8"/>
  <c r="AK71" i="8"/>
  <c r="AK70" i="8" s="1"/>
  <c r="AE1320" i="8"/>
  <c r="AT34" i="8"/>
  <c r="AW34" i="8" s="1"/>
  <c r="AL71" i="8"/>
  <c r="AL70" i="8" s="1"/>
  <c r="AH991" i="8"/>
  <c r="AL30" i="8"/>
  <c r="AL16" i="8" s="1"/>
  <c r="AL15" i="8" s="1"/>
  <c r="AH42" i="8"/>
  <c r="AU46" i="8"/>
  <c r="AU49" i="8"/>
  <c r="AL42" i="8"/>
  <c r="AV55" i="8"/>
  <c r="AV78" i="8"/>
  <c r="AU131" i="8"/>
  <c r="AH148" i="8"/>
  <c r="AX510" i="8"/>
  <c r="AX821" i="8"/>
  <c r="AV1222" i="8"/>
  <c r="AP190" i="8"/>
  <c r="AD16" i="8"/>
  <c r="AD15" i="8" s="1"/>
  <c r="AD14" i="8" s="1"/>
  <c r="AD13" i="8" s="1"/>
  <c r="AT24" i="8"/>
  <c r="AW24" i="8" s="1"/>
  <c r="AI43" i="8"/>
  <c r="AT78" i="8"/>
  <c r="AW78" i="8" s="1"/>
  <c r="AM87" i="8"/>
  <c r="AM86" i="8" s="1"/>
  <c r="AX154" i="8"/>
  <c r="AU221" i="8"/>
  <c r="AT991" i="8"/>
  <c r="AT1039" i="8"/>
  <c r="AG1207" i="8"/>
  <c r="AE42" i="8"/>
  <c r="AK42" i="8"/>
  <c r="AS42" i="8"/>
  <c r="AX58" i="8"/>
  <c r="AX61" i="8"/>
  <c r="AX64" i="8"/>
  <c r="AT72" i="8"/>
  <c r="AT75" i="8"/>
  <c r="AW75" i="8" s="1"/>
  <c r="AU78" i="8"/>
  <c r="AL102" i="8"/>
  <c r="AL101" i="8" s="1"/>
  <c r="AH124" i="8"/>
  <c r="AH123" i="8" s="1"/>
  <c r="AT154" i="8"/>
  <c r="AW154" i="8" s="1"/>
  <c r="AU719" i="8"/>
  <c r="AI843" i="8"/>
  <c r="AJ843" i="8" s="1"/>
  <c r="AX843" i="8" s="1"/>
  <c r="AV1039" i="8"/>
  <c r="AG87" i="8"/>
  <c r="AG86" i="8" s="1"/>
  <c r="AX666" i="8"/>
  <c r="AU666" i="8"/>
  <c r="AX1257" i="8"/>
  <c r="AU1257" i="8"/>
  <c r="AD163" i="8"/>
  <c r="AD162" i="8" s="1"/>
  <c r="AX753" i="8"/>
  <c r="AU753" i="8"/>
  <c r="AX242" i="8"/>
  <c r="AU242" i="8"/>
  <c r="AU505" i="8"/>
  <c r="AX505" i="8"/>
  <c r="AX598" i="8"/>
  <c r="AU598" i="8"/>
  <c r="AU763" i="8"/>
  <c r="AX763" i="8"/>
  <c r="AX978" i="8"/>
  <c r="AU978" i="8"/>
  <c r="AX475" i="8"/>
  <c r="AU475" i="8"/>
  <c r="AX902" i="8"/>
  <c r="AU902" i="8"/>
  <c r="AU1287" i="8"/>
  <c r="AX1287" i="8"/>
  <c r="AU1299" i="8"/>
  <c r="AX1299" i="8"/>
  <c r="AX254" i="8"/>
  <c r="AU254" i="8"/>
  <c r="AU56" i="8"/>
  <c r="AX56" i="8"/>
  <c r="AJ55" i="8"/>
  <c r="AU206" i="8"/>
  <c r="AX206" i="8"/>
  <c r="AU178" i="8"/>
  <c r="AX178" i="8"/>
  <c r="AU665" i="8"/>
  <c r="AX665" i="8"/>
  <c r="AX1069" i="8"/>
  <c r="AU1069" i="8"/>
  <c r="AX186" i="8"/>
  <c r="AU186" i="8"/>
  <c r="AU484" i="8"/>
  <c r="AX484" i="8"/>
  <c r="AU614" i="8"/>
  <c r="AX614" i="8"/>
  <c r="AU739" i="8"/>
  <c r="AX739" i="8"/>
  <c r="AX751" i="8"/>
  <c r="AU751" i="8"/>
  <c r="AX768" i="8"/>
  <c r="AU768" i="8"/>
  <c r="AU852" i="8"/>
  <c r="AX852" i="8"/>
  <c r="AX1104" i="8"/>
  <c r="AU1104" i="8"/>
  <c r="AX1177" i="8"/>
  <c r="AU1177" i="8"/>
  <c r="AU1318" i="8"/>
  <c r="AX1318" i="8"/>
  <c r="AV34" i="8"/>
  <c r="AJ35" i="8"/>
  <c r="AU140" i="8"/>
  <c r="AU139" i="8" s="1"/>
  <c r="AK179" i="8"/>
  <c r="AS179" i="8"/>
  <c r="AS163" i="8" s="1"/>
  <c r="AS162" i="8" s="1"/>
  <c r="AR179" i="8"/>
  <c r="AI211" i="8"/>
  <c r="AJ211" i="8" s="1"/>
  <c r="AX258" i="8"/>
  <c r="AX549" i="8"/>
  <c r="AX622" i="8"/>
  <c r="AU646" i="8"/>
  <c r="AX654" i="8"/>
  <c r="AU749" i="8"/>
  <c r="AU755" i="8"/>
  <c r="AU921" i="8"/>
  <c r="AX1165" i="8"/>
  <c r="AW1207" i="8"/>
  <c r="AW1222" i="8"/>
  <c r="AG124" i="8"/>
  <c r="AG123" i="8" s="1"/>
  <c r="AU1256" i="8"/>
  <c r="AU1312" i="8"/>
  <c r="AM42" i="8"/>
  <c r="AU61" i="8"/>
  <c r="AU64" i="8"/>
  <c r="AX67" i="8"/>
  <c r="AV120" i="8"/>
  <c r="AF148" i="8"/>
  <c r="AN148" i="8"/>
  <c r="AP153" i="8"/>
  <c r="AU557" i="8"/>
  <c r="AX808" i="8"/>
  <c r="AI1048" i="8"/>
  <c r="AU89" i="8"/>
  <c r="AT67" i="8"/>
  <c r="AW67" i="8" s="1"/>
  <c r="AQ87" i="8"/>
  <c r="AT87" i="8" s="1"/>
  <c r="AT131" i="8"/>
  <c r="AW131" i="8" s="1"/>
  <c r="AO148" i="8"/>
  <c r="AX201" i="8"/>
  <c r="AU223" i="8"/>
  <c r="AK190" i="8"/>
  <c r="AS190" i="8"/>
  <c r="AU320" i="8"/>
  <c r="AU590" i="8"/>
  <c r="AU853" i="8"/>
  <c r="AU904" i="8"/>
  <c r="AX1022" i="8"/>
  <c r="AX1317" i="8"/>
  <c r="AE16" i="8"/>
  <c r="AV24" i="8"/>
  <c r="AI30" i="8"/>
  <c r="AW31" i="8"/>
  <c r="AH71" i="8"/>
  <c r="AH70" i="8" s="1"/>
  <c r="AX84" i="8"/>
  <c r="AI593" i="8"/>
  <c r="AJ593" i="8" s="1"/>
  <c r="AU593" i="8" s="1"/>
  <c r="AX820" i="8"/>
  <c r="AU888" i="8"/>
  <c r="AU939" i="8"/>
  <c r="AG16" i="8"/>
  <c r="AG15" i="8" s="1"/>
  <c r="AT27" i="8"/>
  <c r="AO42" i="8"/>
  <c r="AO102" i="8"/>
  <c r="AX120" i="8"/>
  <c r="AI143" i="8"/>
  <c r="AL148" i="8"/>
  <c r="AV243" i="8"/>
  <c r="AX403" i="8"/>
  <c r="AU483" i="8"/>
  <c r="AX709" i="8"/>
  <c r="AH774" i="8"/>
  <c r="AU1095" i="8"/>
  <c r="AT1139" i="8"/>
  <c r="AG42" i="8"/>
  <c r="AU72" i="8"/>
  <c r="AX75" i="8"/>
  <c r="AT139" i="8"/>
  <c r="AU154" i="8"/>
  <c r="AX309" i="8"/>
  <c r="AU599" i="8"/>
  <c r="AV1071" i="8"/>
  <c r="AV1179" i="8"/>
  <c r="AL1207" i="8"/>
  <c r="AV119" i="8"/>
  <c r="AH102" i="8"/>
  <c r="AU629" i="8"/>
  <c r="AX629" i="8"/>
  <c r="AX553" i="8"/>
  <c r="AU553" i="8"/>
  <c r="AU1029" i="8"/>
  <c r="AX1029" i="8"/>
  <c r="AX1244" i="8"/>
  <c r="AU1244" i="8"/>
  <c r="AX1162" i="8"/>
  <c r="AU1162" i="8"/>
  <c r="AX1137" i="8"/>
  <c r="AU1137" i="8"/>
  <c r="AX1241" i="8"/>
  <c r="AU1241" i="8"/>
  <c r="AU1273" i="8"/>
  <c r="AX1273" i="8"/>
  <c r="AX1295" i="8"/>
  <c r="AU1295" i="8"/>
  <c r="AX1282" i="8"/>
  <c r="AU1282" i="8"/>
  <c r="AU1262" i="8"/>
  <c r="AX1262" i="8"/>
  <c r="AU1161" i="8"/>
  <c r="AX1286" i="8"/>
  <c r="AU1269" i="8"/>
  <c r="AX1271" i="8"/>
  <c r="AU1283" i="8"/>
  <c r="AX741" i="8"/>
  <c r="AU918" i="8"/>
  <c r="AX1261" i="8"/>
  <c r="AT1071" i="8"/>
  <c r="AX1164" i="8"/>
  <c r="AX742" i="8"/>
  <c r="AX747" i="8"/>
  <c r="AU1240" i="8"/>
  <c r="AX1243" i="8"/>
  <c r="AU1270" i="8"/>
  <c r="AO190" i="8"/>
  <c r="AV180" i="8"/>
  <c r="AW27" i="8"/>
  <c r="AX167" i="8"/>
  <c r="AV40" i="8"/>
  <c r="AV39" i="8" s="1"/>
  <c r="AV17" i="8"/>
  <c r="AR102" i="8"/>
  <c r="AV94" i="8"/>
  <c r="AT176" i="8"/>
  <c r="AT175" i="8" s="1"/>
  <c r="AT174" i="8" s="1"/>
  <c r="AT88" i="8"/>
  <c r="AH163" i="8"/>
  <c r="AH162" i="8" s="1"/>
  <c r="AO16" i="8"/>
  <c r="AO15" i="8" s="1"/>
  <c r="AO14" i="8" s="1"/>
  <c r="AO13" i="8" s="1"/>
  <c r="AX305" i="8"/>
  <c r="AF190" i="8"/>
  <c r="AX410" i="8"/>
  <c r="AU410" i="8"/>
  <c r="AU494" i="8"/>
  <c r="AX494" i="8"/>
  <c r="AU638" i="8"/>
  <c r="AX638" i="8"/>
  <c r="AW774" i="8"/>
  <c r="AX746" i="8"/>
  <c r="AU746" i="8"/>
  <c r="AU603" i="8"/>
  <c r="AX603" i="8"/>
  <c r="AU636" i="8"/>
  <c r="AX636" i="8"/>
  <c r="AU166" i="8"/>
  <c r="AJ165" i="8"/>
  <c r="AU165" i="8" s="1"/>
  <c r="AU164" i="8" s="1"/>
  <c r="AU602" i="8"/>
  <c r="AX602" i="8"/>
  <c r="AU985" i="8"/>
  <c r="AX985" i="8"/>
  <c r="AK102" i="8"/>
  <c r="AK101" i="8" s="1"/>
  <c r="AX203" i="8"/>
  <c r="AX416" i="8"/>
  <c r="AM39" i="8"/>
  <c r="AL94" i="8"/>
  <c r="AL87" i="8" s="1"/>
  <c r="AL86" i="8" s="1"/>
  <c r="AV104" i="8"/>
  <c r="AV103" i="8" s="1"/>
  <c r="AT126" i="8"/>
  <c r="AX176" i="8"/>
  <c r="AU412" i="8"/>
  <c r="AU493" i="8"/>
  <c r="AV694" i="8"/>
  <c r="AX919" i="8"/>
  <c r="AW17" i="8"/>
  <c r="AV517" i="8"/>
  <c r="AU601" i="8"/>
  <c r="AX644" i="8"/>
  <c r="AV88" i="8"/>
  <c r="AQ102" i="8"/>
  <c r="AP175" i="8"/>
  <c r="AR694" i="8"/>
  <c r="AR190" i="8" s="1"/>
  <c r="AE15" i="8"/>
  <c r="AE14" i="8" s="1"/>
  <c r="AE13" i="8" s="1"/>
  <c r="AW49" i="8"/>
  <c r="AW94" i="8"/>
  <c r="AE163" i="8"/>
  <c r="AE162" i="8" s="1"/>
  <c r="AL163" i="8"/>
  <c r="AL162" i="8" s="1"/>
  <c r="AX216" i="8"/>
  <c r="AU304" i="8"/>
  <c r="AU428" i="8"/>
  <c r="AG102" i="8"/>
  <c r="AW126" i="8"/>
  <c r="AU565" i="8"/>
  <c r="AU572" i="8"/>
  <c r="AU571" i="8"/>
  <c r="AX1024" i="8"/>
  <c r="AU1024" i="8"/>
  <c r="AJ24" i="8"/>
  <c r="AU25" i="8"/>
  <c r="AX25" i="8"/>
  <c r="AU37" i="8"/>
  <c r="AX37" i="8"/>
  <c r="AV31" i="8"/>
  <c r="AM30" i="8"/>
  <c r="AJ17" i="8"/>
  <c r="AX17" i="8" s="1"/>
  <c r="AU40" i="8"/>
  <c r="AU39" i="8" s="1"/>
  <c r="AJ39" i="8"/>
  <c r="AX39" i="8" s="1"/>
  <c r="AP117" i="8"/>
  <c r="AP102" i="8" s="1"/>
  <c r="AQ30" i="8"/>
  <c r="AQ16" i="8" s="1"/>
  <c r="AV52" i="8"/>
  <c r="AW52" i="8"/>
  <c r="AU92" i="8"/>
  <c r="AJ126" i="8"/>
  <c r="AJ125" i="8" s="1"/>
  <c r="AX125" i="8" s="1"/>
  <c r="AX127" i="8"/>
  <c r="AU127" i="8"/>
  <c r="AU126" i="8" s="1"/>
  <c r="AU170" i="8"/>
  <c r="AU169" i="8" s="1"/>
  <c r="AJ169" i="8"/>
  <c r="AX214" i="8"/>
  <c r="AU214" i="8"/>
  <c r="AX648" i="8"/>
  <c r="AU648" i="8"/>
  <c r="AJ52" i="8"/>
  <c r="AU52" i="8" s="1"/>
  <c r="AX53" i="8"/>
  <c r="AX97" i="8"/>
  <c r="AU97" i="8"/>
  <c r="AM124" i="8"/>
  <c r="AV125" i="8"/>
  <c r="AT43" i="8"/>
  <c r="AW43" i="8" s="1"/>
  <c r="AU53" i="8"/>
  <c r="AU18" i="8"/>
  <c r="AU17" i="8" s="1"/>
  <c r="AI24" i="8"/>
  <c r="AX31" i="8"/>
  <c r="AJ43" i="8"/>
  <c r="AX43" i="8" s="1"/>
  <c r="AR42" i="8"/>
  <c r="AX44" i="8"/>
  <c r="AF42" i="8"/>
  <c r="AN42" i="8"/>
  <c r="AT61" i="8"/>
  <c r="AW61" i="8" s="1"/>
  <c r="AQ86" i="8"/>
  <c r="AJ104" i="8"/>
  <c r="AJ103" i="8" s="1"/>
  <c r="AX103" i="8" s="1"/>
  <c r="AX115" i="8"/>
  <c r="AU115" i="8"/>
  <c r="AT159" i="8"/>
  <c r="AW159" i="8" s="1"/>
  <c r="AQ158" i="8"/>
  <c r="AT158" i="8" s="1"/>
  <c r="AG163" i="8"/>
  <c r="AG162" i="8" s="1"/>
  <c r="AU31" i="8"/>
  <c r="AJ153" i="8"/>
  <c r="AD148" i="8"/>
  <c r="AF16" i="8"/>
  <c r="AF15" i="8" s="1"/>
  <c r="AN16" i="8"/>
  <c r="AN15" i="8" s="1"/>
  <c r="AU27" i="8"/>
  <c r="AX46" i="8"/>
  <c r="AV49" i="8"/>
  <c r="AX49" i="8"/>
  <c r="AT55" i="8"/>
  <c r="AW55" i="8" s="1"/>
  <c r="AV64" i="8"/>
  <c r="AU67" i="8"/>
  <c r="AQ71" i="8"/>
  <c r="AX96" i="8"/>
  <c r="AU96" i="8"/>
  <c r="AF102" i="8"/>
  <c r="AF101" i="8" s="1"/>
  <c r="AJ118" i="8"/>
  <c r="AU119" i="8"/>
  <c r="AT167" i="8"/>
  <c r="AW167" i="8" s="1"/>
  <c r="AQ166" i="8"/>
  <c r="AV72" i="8"/>
  <c r="AP71" i="8"/>
  <c r="AV71" i="8" s="1"/>
  <c r="AV70" i="8" s="1"/>
  <c r="AW72" i="8"/>
  <c r="AN87" i="8"/>
  <c r="AN86" i="8" s="1"/>
  <c r="AU20" i="8"/>
  <c r="AK30" i="8"/>
  <c r="AK16" i="8" s="1"/>
  <c r="AK15" i="8" s="1"/>
  <c r="AS30" i="8"/>
  <c r="AS16" i="8" s="1"/>
  <c r="AS15" i="8" s="1"/>
  <c r="AV43" i="8"/>
  <c r="AR71" i="8"/>
  <c r="AR70" i="8" s="1"/>
  <c r="AX76" i="8"/>
  <c r="AU76" i="8"/>
  <c r="AF87" i="8"/>
  <c r="AF86" i="8" s="1"/>
  <c r="AI88" i="8"/>
  <c r="AJ91" i="8"/>
  <c r="AW104" i="8"/>
  <c r="AW103" i="8" s="1"/>
  <c r="AX119" i="8"/>
  <c r="AT120" i="8"/>
  <c r="AW120" i="8" s="1"/>
  <c r="AS119" i="8"/>
  <c r="AJ143" i="8"/>
  <c r="AX143" i="8" s="1"/>
  <c r="AX147" i="8"/>
  <c r="AU147" i="8"/>
  <c r="AU143" i="8" s="1"/>
  <c r="AT40" i="8"/>
  <c r="AW40" i="8" s="1"/>
  <c r="AW39" i="8" s="1"/>
  <c r="AQ39" i="8"/>
  <c r="AT39" i="8" s="1"/>
  <c r="AI52" i="8"/>
  <c r="AH16" i="8"/>
  <c r="AH15" i="8" s="1"/>
  <c r="AP16" i="8"/>
  <c r="AV61" i="8"/>
  <c r="AX93" i="8"/>
  <c r="AU93" i="8"/>
  <c r="AJ95" i="8"/>
  <c r="AN102" i="8"/>
  <c r="AN101" i="8" s="1"/>
  <c r="AT125" i="8"/>
  <c r="AW125" i="8" s="1"/>
  <c r="AQ124" i="8"/>
  <c r="AP87" i="8"/>
  <c r="AW90" i="8"/>
  <c r="AW88" i="8" s="1"/>
  <c r="AT94" i="8"/>
  <c r="AM118" i="8"/>
  <c r="AN163" i="8"/>
  <c r="AN162" i="8" s="1"/>
  <c r="AU171" i="8"/>
  <c r="AX433" i="8"/>
  <c r="AU433" i="8"/>
  <c r="AX435" i="8"/>
  <c r="AU435" i="8"/>
  <c r="AX437" i="8"/>
  <c r="AU437" i="8"/>
  <c r="AX1280" i="8"/>
  <c r="AU1280" i="8"/>
  <c r="AX78" i="8"/>
  <c r="AT104" i="8"/>
  <c r="AV126" i="8"/>
  <c r="AX130" i="8"/>
  <c r="AW134" i="8"/>
  <c r="AP158" i="8"/>
  <c r="AP148" i="8" s="1"/>
  <c r="AP166" i="8"/>
  <c r="AU232" i="8"/>
  <c r="AX232" i="8"/>
  <c r="AX40" i="8"/>
  <c r="AU120" i="8"/>
  <c r="AS124" i="8"/>
  <c r="AS123" i="8" s="1"/>
  <c r="AT140" i="8"/>
  <c r="AW140" i="8" s="1"/>
  <c r="AW139" i="8" s="1"/>
  <c r="AM148" i="8"/>
  <c r="AF163" i="8"/>
  <c r="AF162" i="8" s="1"/>
  <c r="AT517" i="8"/>
  <c r="AU429" i="8"/>
  <c r="AX429" i="8"/>
  <c r="AH94" i="8"/>
  <c r="AH87" i="8" s="1"/>
  <c r="AH86" i="8" s="1"/>
  <c r="AK163" i="8"/>
  <c r="AK162" i="8" s="1"/>
  <c r="AM169" i="8"/>
  <c r="AX231" i="8"/>
  <c r="AU231" i="8"/>
  <c r="AX409" i="8"/>
  <c r="AU409" i="8"/>
  <c r="AU471" i="8"/>
  <c r="AX471" i="8"/>
  <c r="AU502" i="8"/>
  <c r="AX502" i="8"/>
  <c r="AX116" i="8"/>
  <c r="AU116" i="8"/>
  <c r="AP124" i="8"/>
  <c r="AI148" i="8"/>
  <c r="AX157" i="8"/>
  <c r="AU157" i="8"/>
  <c r="AU187" i="8"/>
  <c r="AX187" i="8"/>
  <c r="AX227" i="8"/>
  <c r="AU227" i="8"/>
  <c r="AU451" i="8"/>
  <c r="AX451" i="8"/>
  <c r="AQ42" i="8"/>
  <c r="AJ71" i="8"/>
  <c r="AI104" i="8"/>
  <c r="AI103" i="8" s="1"/>
  <c r="AI102" i="8" s="1"/>
  <c r="AI126" i="8"/>
  <c r="AI125" i="8" s="1"/>
  <c r="AI124" i="8" s="1"/>
  <c r="AI123" i="8" s="1"/>
  <c r="AX131" i="8"/>
  <c r="AV134" i="8"/>
  <c r="AX134" i="8"/>
  <c r="AT153" i="8"/>
  <c r="AW153" i="8" s="1"/>
  <c r="AV159" i="8"/>
  <c r="AV167" i="8"/>
  <c r="AX172" i="8"/>
  <c r="AP171" i="8"/>
  <c r="AX185" i="8"/>
  <c r="AU185" i="8"/>
  <c r="AW517" i="8"/>
  <c r="AX313" i="8"/>
  <c r="AU313" i="8"/>
  <c r="AE148" i="8"/>
  <c r="AR163" i="8"/>
  <c r="AR162" i="8" s="1"/>
  <c r="AM164" i="8"/>
  <c r="AQ171" i="8"/>
  <c r="AT172" i="8"/>
  <c r="AW172" i="8" s="1"/>
  <c r="AX537" i="8"/>
  <c r="AU537" i="8"/>
  <c r="AU570" i="8"/>
  <c r="AU616" i="8"/>
  <c r="AX616" i="8"/>
  <c r="AX669" i="8"/>
  <c r="AU669" i="8"/>
  <c r="AX705" i="8"/>
  <c r="AU705" i="8"/>
  <c r="AU1203" i="8"/>
  <c r="AX1203" i="8"/>
  <c r="AU134" i="8"/>
  <c r="AX199" i="8"/>
  <c r="AJ243" i="8"/>
  <c r="AX243" i="8" s="1"/>
  <c r="AU199" i="8"/>
  <c r="AT243" i="8"/>
  <c r="AX418" i="8"/>
  <c r="AU418" i="8"/>
  <c r="AX456" i="8"/>
  <c r="AU456" i="8"/>
  <c r="AX583" i="8"/>
  <c r="AU583" i="8"/>
  <c r="AX624" i="8"/>
  <c r="AU624" i="8"/>
  <c r="AV154" i="8"/>
  <c r="AP179" i="8"/>
  <c r="AX217" i="8"/>
  <c r="AU217" i="8"/>
  <c r="AU507" i="8"/>
  <c r="AX507" i="8"/>
  <c r="AW694" i="8"/>
  <c r="AX541" i="8"/>
  <c r="AU541" i="8"/>
  <c r="AX647" i="8"/>
  <c r="AU647" i="8"/>
  <c r="AX658" i="8"/>
  <c r="AU658" i="8"/>
  <c r="AU732" i="8"/>
  <c r="AX732" i="8"/>
  <c r="AX974" i="8"/>
  <c r="AU974" i="8"/>
  <c r="AO179" i="8"/>
  <c r="AO163" i="8" s="1"/>
  <c r="AO162" i="8" s="1"/>
  <c r="AW181" i="8"/>
  <c r="AW180" i="8" s="1"/>
  <c r="AT180" i="8"/>
  <c r="AW187" i="8"/>
  <c r="AI517" i="8"/>
  <c r="AX408" i="8"/>
  <c r="AU408" i="8"/>
  <c r="AU425" i="8"/>
  <c r="AX434" i="8"/>
  <c r="AU434" i="8"/>
  <c r="AU450" i="8"/>
  <c r="AX450" i="8"/>
  <c r="AX563" i="8"/>
  <c r="AU563" i="8"/>
  <c r="AX600" i="8"/>
  <c r="AU600" i="8"/>
  <c r="AX700" i="8"/>
  <c r="AU700" i="8"/>
  <c r="AU159" i="8"/>
  <c r="AU167" i="8"/>
  <c r="AV172" i="8"/>
  <c r="AU172" i="8"/>
  <c r="AW243" i="8"/>
  <c r="AD190" i="8"/>
  <c r="AX311" i="8"/>
  <c r="AU311" i="8"/>
  <c r="AU448" i="8"/>
  <c r="AX661" i="8"/>
  <c r="AU661" i="8"/>
  <c r="AX745" i="8"/>
  <c r="AU745" i="8"/>
  <c r="AX798" i="8"/>
  <c r="AU798" i="8"/>
  <c r="AT149" i="8"/>
  <c r="AQ179" i="8"/>
  <c r="AX219" i="8"/>
  <c r="AX229" i="8"/>
  <c r="AU229" i="8"/>
  <c r="AX413" i="8"/>
  <c r="AX420" i="8"/>
  <c r="AU420" i="8"/>
  <c r="AX432" i="8"/>
  <c r="AE694" i="8"/>
  <c r="AI539" i="8"/>
  <c r="AJ539" i="8" s="1"/>
  <c r="AU539" i="8" s="1"/>
  <c r="AU692" i="8"/>
  <c r="AX692" i="8"/>
  <c r="AX759" i="8"/>
  <c r="AU759" i="8"/>
  <c r="AI179" i="8"/>
  <c r="AI163" i="8" s="1"/>
  <c r="AI162" i="8" s="1"/>
  <c r="AU315" i="8"/>
  <c r="AX446" i="8"/>
  <c r="AU446" i="8"/>
  <c r="AX543" i="8"/>
  <c r="AU543" i="8"/>
  <c r="AI774" i="8"/>
  <c r="AJ735" i="8"/>
  <c r="AJ180" i="8"/>
  <c r="AJ179" i="8" s="1"/>
  <c r="AU546" i="8"/>
  <c r="AX576" i="8"/>
  <c r="AU611" i="8"/>
  <c r="AX613" i="8"/>
  <c r="AX649" i="8"/>
  <c r="AX663" i="8"/>
  <c r="AX733" i="8"/>
  <c r="AU760" i="8"/>
  <c r="AX813" i="8"/>
  <c r="AX839" i="8"/>
  <c r="AU839" i="8"/>
  <c r="AU844" i="8"/>
  <c r="AU955" i="8"/>
  <c r="AX955" i="8"/>
  <c r="AU1013" i="8"/>
  <c r="AX1013" i="8"/>
  <c r="AX1136" i="8"/>
  <c r="AU1136" i="8"/>
  <c r="AU1236" i="8"/>
  <c r="AX1236" i="8"/>
  <c r="AU1251" i="8"/>
  <c r="AX1251" i="8"/>
  <c r="AX303" i="8"/>
  <c r="AX318" i="8"/>
  <c r="AX411" i="8"/>
  <c r="AX427" i="8"/>
  <c r="AX436" i="8"/>
  <c r="AX449" i="8"/>
  <c r="AL694" i="8"/>
  <c r="AX548" i="8"/>
  <c r="AX561" i="8"/>
  <c r="AU561" i="8"/>
  <c r="AX587" i="8"/>
  <c r="AU587" i="8"/>
  <c r="AH694" i="8"/>
  <c r="AX623" i="8"/>
  <c r="AU623" i="8"/>
  <c r="AX656" i="8"/>
  <c r="AU656" i="8"/>
  <c r="AX716" i="8"/>
  <c r="AX743" i="8"/>
  <c r="AW991" i="8"/>
  <c r="AX825" i="8"/>
  <c r="AX917" i="8"/>
  <c r="AU917" i="8"/>
  <c r="AU1037" i="8"/>
  <c r="AX1037" i="8"/>
  <c r="AX1082" i="8"/>
  <c r="AU1082" i="8"/>
  <c r="AU1090" i="8"/>
  <c r="AX1090" i="8"/>
  <c r="AU1101" i="8"/>
  <c r="AX1101" i="8"/>
  <c r="AJ1134" i="8"/>
  <c r="AJ1139" i="8" s="1"/>
  <c r="AX1139" i="8" s="1"/>
  <c r="AI1139" i="8"/>
  <c r="AX567" i="8"/>
  <c r="AX645" i="8"/>
  <c r="AU1011" i="8"/>
  <c r="AX1011" i="8"/>
  <c r="AU1027" i="8"/>
  <c r="AX1027" i="8"/>
  <c r="AV1121" i="8"/>
  <c r="AW1121" i="8"/>
  <c r="AU255" i="8"/>
  <c r="AU307" i="8"/>
  <c r="AU402" i="8"/>
  <c r="AU415" i="8"/>
  <c r="AU431" i="8"/>
  <c r="AU472" i="8"/>
  <c r="AU478" i="8"/>
  <c r="AU516" i="8"/>
  <c r="AU535" i="8"/>
  <c r="AU545" i="8"/>
  <c r="AU591" i="8"/>
  <c r="AX634" i="8"/>
  <c r="AU634" i="8"/>
  <c r="AU650" i="8"/>
  <c r="AT774" i="8"/>
  <c r="AU734" i="8"/>
  <c r="AX744" i="8"/>
  <c r="AU744" i="8"/>
  <c r="AU802" i="8"/>
  <c r="AU806" i="8"/>
  <c r="AX827" i="8"/>
  <c r="AU827" i="8"/>
  <c r="AJ1157" i="8"/>
  <c r="AJ1179" i="8" s="1"/>
  <c r="AX1179" i="8" s="1"/>
  <c r="AI1179" i="8"/>
  <c r="AX1175" i="8"/>
  <c r="AU1175" i="8"/>
  <c r="AU1250" i="8"/>
  <c r="AX1250" i="8"/>
  <c r="AU1265" i="8"/>
  <c r="AX1265" i="8"/>
  <c r="AT694" i="8"/>
  <c r="AX585" i="8"/>
  <c r="AU585" i="8"/>
  <c r="AX620" i="8"/>
  <c r="AU620" i="8"/>
  <c r="AX626" i="8"/>
  <c r="AU626" i="8"/>
  <c r="AX659" i="8"/>
  <c r="AU659" i="8"/>
  <c r="AV774" i="8"/>
  <c r="AX767" i="8"/>
  <c r="AU767" i="8"/>
  <c r="AX837" i="8"/>
  <c r="AU837" i="8"/>
  <c r="AU1081" i="8"/>
  <c r="AX1081" i="8"/>
  <c r="AU1171" i="8"/>
  <c r="AX1171" i="8"/>
  <c r="AJ1233" i="8"/>
  <c r="AJ1320" i="8" s="1"/>
  <c r="AX1320" i="8" s="1"/>
  <c r="AI1320" i="8"/>
  <c r="AU1308" i="8"/>
  <c r="AX1308" i="8"/>
  <c r="AX1311" i="8"/>
  <c r="AU1311" i="8"/>
  <c r="AJ517" i="8"/>
  <c r="AX517" i="8" s="1"/>
  <c r="AX632" i="8"/>
  <c r="AU632" i="8"/>
  <c r="AX736" i="8"/>
  <c r="AU736" i="8"/>
  <c r="AX800" i="8"/>
  <c r="AU800" i="8"/>
  <c r="AX869" i="8"/>
  <c r="AU869" i="8"/>
  <c r="AU984" i="8"/>
  <c r="AX984" i="8"/>
  <c r="AU1297" i="8"/>
  <c r="AX1297" i="8"/>
  <c r="AU564" i="8"/>
  <c r="AU595" i="8"/>
  <c r="AX631" i="8"/>
  <c r="AU631" i="8"/>
  <c r="AU773" i="8"/>
  <c r="AI835" i="8"/>
  <c r="AJ835" i="8" s="1"/>
  <c r="AU840" i="8"/>
  <c r="AU846" i="8"/>
  <c r="AU876" i="8"/>
  <c r="AX876" i="8"/>
  <c r="AU1190" i="8"/>
  <c r="AX1190" i="8"/>
  <c r="AX1292" i="8"/>
  <c r="AU1292" i="8"/>
  <c r="AW1320" i="8"/>
  <c r="AU1276" i="8"/>
  <c r="AX1276" i="8"/>
  <c r="AU1288" i="8"/>
  <c r="AX1288" i="8"/>
  <c r="AU920" i="8"/>
  <c r="AX920" i="8"/>
  <c r="AX1093" i="8"/>
  <c r="AU1093" i="8"/>
  <c r="AX1160" i="8"/>
  <c r="AU1160" i="8"/>
  <c r="AU1245" i="8"/>
  <c r="AX1245" i="8"/>
  <c r="AU1264" i="8"/>
  <c r="AX1264" i="8"/>
  <c r="AU859" i="8"/>
  <c r="AU926" i="8"/>
  <c r="AV1139" i="8"/>
  <c r="AU1156" i="8"/>
  <c r="AX1219" i="8"/>
  <c r="AJ1222" i="8"/>
  <c r="AX1222" i="8" s="1"/>
  <c r="AU1219" i="8"/>
  <c r="AU1222" i="8" s="1"/>
  <c r="AU1255" i="8"/>
  <c r="AX1268" i="8"/>
  <c r="AU1268" i="8"/>
  <c r="AU1314" i="8"/>
  <c r="AV991" i="8"/>
  <c r="AU1131" i="8"/>
  <c r="AW1179" i="8"/>
  <c r="AI1192" i="8"/>
  <c r="AJ1189" i="8"/>
  <c r="AX1237" i="8"/>
  <c r="AU1237" i="8"/>
  <c r="AU871" i="8"/>
  <c r="AX871" i="8"/>
  <c r="AX915" i="8"/>
  <c r="AU915" i="8"/>
  <c r="AI1039" i="8"/>
  <c r="AJ1009" i="8"/>
  <c r="AU1092" i="8"/>
  <c r="AX1092" i="8"/>
  <c r="AX1132" i="8"/>
  <c r="AU1159" i="8"/>
  <c r="AX1159" i="8"/>
  <c r="AX1167" i="8"/>
  <c r="AU1277" i="8"/>
  <c r="AX1277" i="8"/>
  <c r="AU1289" i="8"/>
  <c r="AX1289" i="8"/>
  <c r="AU1301" i="8"/>
  <c r="AX1301" i="8"/>
  <c r="AI788" i="8"/>
  <c r="AJ788" i="8" s="1"/>
  <c r="AW1039" i="8"/>
  <c r="AU1032" i="8"/>
  <c r="AX1032" i="8"/>
  <c r="AI1121" i="8"/>
  <c r="AJ1080" i="8"/>
  <c r="AU1133" i="8"/>
  <c r="AX1133" i="8"/>
  <c r="AU1169" i="8"/>
  <c r="AX1169" i="8"/>
  <c r="AI1207" i="8"/>
  <c r="AU1249" i="8"/>
  <c r="AX1249" i="8"/>
  <c r="AX1252" i="8"/>
  <c r="AU1252" i="8"/>
  <c r="AX1296" i="8"/>
  <c r="AU1296" i="8"/>
  <c r="AU1063" i="8"/>
  <c r="AT1121" i="8"/>
  <c r="AW1139" i="8"/>
  <c r="AX1135" i="8"/>
  <c r="AU1135" i="8"/>
  <c r="AX1173" i="8"/>
  <c r="AU1173" i="8"/>
  <c r="AW1192" i="8"/>
  <c r="AV1320" i="8"/>
  <c r="AU1281" i="8"/>
  <c r="AU1293" i="8"/>
  <c r="AX1310" i="8"/>
  <c r="AU1310" i="8"/>
  <c r="AT1320" i="8"/>
  <c r="AU1019" i="8"/>
  <c r="AU1049" i="8"/>
  <c r="AU1086" i="8"/>
  <c r="AU1097" i="8"/>
  <c r="AJ1201" i="8"/>
  <c r="AU1242" i="8"/>
  <c r="AU1258" i="8"/>
  <c r="AU1272" i="8"/>
  <c r="AW1048" i="8"/>
  <c r="AW1071" i="8" s="1"/>
  <c r="AE1304" i="7"/>
  <c r="AD1304" i="7"/>
  <c r="AX52" i="8" l="1"/>
  <c r="AD12" i="8"/>
  <c r="AU843" i="8"/>
  <c r="AI16" i="8"/>
  <c r="AI15" i="8" s="1"/>
  <c r="AE190" i="8"/>
  <c r="AG101" i="8"/>
  <c r="AU179" i="8"/>
  <c r="AX98" i="8"/>
  <c r="AI94" i="8"/>
  <c r="AI42" i="8"/>
  <c r="AT190" i="8"/>
  <c r="AV30" i="8"/>
  <c r="AG14" i="8"/>
  <c r="AG13" i="8" s="1"/>
  <c r="AT86" i="8"/>
  <c r="AR101" i="8"/>
  <c r="AO101" i="8"/>
  <c r="AO12" i="8" s="1"/>
  <c r="AO11" i="8" s="1"/>
  <c r="AK14" i="8"/>
  <c r="AK13" i="8" s="1"/>
  <c r="AK12" i="8" s="1"/>
  <c r="AK11" i="8" s="1"/>
  <c r="AS14" i="8"/>
  <c r="AS13" i="8" s="1"/>
  <c r="AN14" i="8"/>
  <c r="AN13" i="8" s="1"/>
  <c r="AL14" i="8"/>
  <c r="AL13" i="8" s="1"/>
  <c r="AJ164" i="8"/>
  <c r="AI243" i="8"/>
  <c r="AX593" i="8"/>
  <c r="AH101" i="8"/>
  <c r="AX153" i="8"/>
  <c r="AT42" i="8"/>
  <c r="AX126" i="8"/>
  <c r="AH190" i="8"/>
  <c r="AF14" i="8"/>
  <c r="AF13" i="8" s="1"/>
  <c r="AF12" i="8" s="1"/>
  <c r="AF11" i="8" s="1"/>
  <c r="AH14" i="8"/>
  <c r="AH13" i="8" s="1"/>
  <c r="AJ991" i="8"/>
  <c r="AX991" i="8" s="1"/>
  <c r="AE101" i="8"/>
  <c r="AE12" i="8" s="1"/>
  <c r="AE11" i="8" s="1"/>
  <c r="AI87" i="8"/>
  <c r="AI86" i="8" s="1"/>
  <c r="AX104" i="8"/>
  <c r="AL190" i="8"/>
  <c r="AV153" i="8"/>
  <c r="AU180" i="8"/>
  <c r="AU55" i="8"/>
  <c r="AX55" i="8"/>
  <c r="AT179" i="8"/>
  <c r="AW179" i="8" s="1"/>
  <c r="AV87" i="8"/>
  <c r="AV86" i="8" s="1"/>
  <c r="AX35" i="8"/>
  <c r="AJ34" i="8"/>
  <c r="AU35" i="8"/>
  <c r="AI1071" i="8"/>
  <c r="AJ1048" i="8"/>
  <c r="AU211" i="8"/>
  <c r="AU243" i="8" s="1"/>
  <c r="AX211" i="8"/>
  <c r="AG190" i="8"/>
  <c r="AV16" i="8"/>
  <c r="AV15" i="8" s="1"/>
  <c r="AR14" i="8"/>
  <c r="AR13" i="8" s="1"/>
  <c r="AG12" i="8"/>
  <c r="AU104" i="8"/>
  <c r="AU103" i="8" s="1"/>
  <c r="AI101" i="8"/>
  <c r="AM163" i="8"/>
  <c r="AM162" i="8" s="1"/>
  <c r="AW87" i="8"/>
  <c r="AW86" i="8" s="1"/>
  <c r="AD11" i="8"/>
  <c r="AU517" i="8"/>
  <c r="AU694" i="8"/>
  <c r="AV190" i="8"/>
  <c r="AW42" i="8"/>
  <c r="AN12" i="8"/>
  <c r="AN11" i="8" s="1"/>
  <c r="AX175" i="8"/>
  <c r="AP174" i="8"/>
  <c r="AX174" i="8" s="1"/>
  <c r="AX158" i="8"/>
  <c r="AW158" i="8"/>
  <c r="AW148" i="8" s="1"/>
  <c r="AV158" i="8"/>
  <c r="AV179" i="8"/>
  <c r="AX179" i="8"/>
  <c r="AX180" i="8"/>
  <c r="AU118" i="8"/>
  <c r="AU117" i="8" s="1"/>
  <c r="AJ117" i="8"/>
  <c r="AJ102" i="8" s="1"/>
  <c r="AX102" i="8" s="1"/>
  <c r="AX118" i="8"/>
  <c r="AX735" i="8"/>
  <c r="AU735" i="8"/>
  <c r="AU774" i="8" s="1"/>
  <c r="AT148" i="8"/>
  <c r="AP170" i="8"/>
  <c r="AX171" i="8"/>
  <c r="AV171" i="8"/>
  <c r="AQ148" i="8"/>
  <c r="AQ15" i="8"/>
  <c r="AT16" i="8"/>
  <c r="AU43" i="8"/>
  <c r="AJ42" i="8"/>
  <c r="AX42" i="8" s="1"/>
  <c r="AS118" i="8"/>
  <c r="AT119" i="8"/>
  <c r="AW119" i="8" s="1"/>
  <c r="AX1201" i="8"/>
  <c r="AJ1207" i="8"/>
  <c r="AX1207" i="8" s="1"/>
  <c r="AU1201" i="8"/>
  <c r="AU1207" i="8" s="1"/>
  <c r="AU1080" i="8"/>
  <c r="AU1121" i="8" s="1"/>
  <c r="AJ1121" i="8"/>
  <c r="AX1121" i="8" s="1"/>
  <c r="AX1080" i="8"/>
  <c r="AU1134" i="8"/>
  <c r="AU1139" i="8" s="1"/>
  <c r="AX1134" i="8"/>
  <c r="AI694" i="8"/>
  <c r="AV118" i="8"/>
  <c r="AV117" i="8" s="1"/>
  <c r="AV102" i="8" s="1"/>
  <c r="AM117" i="8"/>
  <c r="AM102" i="8" s="1"/>
  <c r="AP70" i="8"/>
  <c r="AX71" i="8"/>
  <c r="AT171" i="8"/>
  <c r="AW171" i="8" s="1"/>
  <c r="AQ170" i="8"/>
  <c r="AU1233" i="8"/>
  <c r="AU1320" i="8" s="1"/>
  <c r="AX1233" i="8"/>
  <c r="AJ774" i="8"/>
  <c r="AX774" i="8" s="1"/>
  <c r="AJ163" i="8"/>
  <c r="AJ162" i="8" s="1"/>
  <c r="AJ94" i="8"/>
  <c r="AX94" i="8" s="1"/>
  <c r="AX95" i="8"/>
  <c r="AU95" i="8"/>
  <c r="AU94" i="8" s="1"/>
  <c r="AJ148" i="8"/>
  <c r="AX148" i="8" s="1"/>
  <c r="AU153" i="8"/>
  <c r="AU148" i="8" s="1"/>
  <c r="AX788" i="8"/>
  <c r="AU788" i="8"/>
  <c r="AL12" i="8"/>
  <c r="AI991" i="8"/>
  <c r="AU1157" i="8"/>
  <c r="AU1179" i="8" s="1"/>
  <c r="AX1157" i="8"/>
  <c r="AW190" i="8"/>
  <c r="AU71" i="8"/>
  <c r="AU70" i="8" s="1"/>
  <c r="AJ70" i="8"/>
  <c r="AP123" i="8"/>
  <c r="AP101" i="8" s="1"/>
  <c r="AU163" i="8"/>
  <c r="AU162" i="8" s="1"/>
  <c r="AJ88" i="8"/>
  <c r="AU91" i="8"/>
  <c r="AU88" i="8" s="1"/>
  <c r="AX91" i="8"/>
  <c r="AV42" i="8"/>
  <c r="AT166" i="8"/>
  <c r="AW166" i="8" s="1"/>
  <c r="AQ165" i="8"/>
  <c r="AT71" i="8"/>
  <c r="AT70" i="8" s="1"/>
  <c r="AQ70" i="8"/>
  <c r="AJ1192" i="8"/>
  <c r="AU1189" i="8"/>
  <c r="AU1192" i="8" s="1"/>
  <c r="AX1189" i="8"/>
  <c r="AX1192" i="8" s="1"/>
  <c r="AT124" i="8"/>
  <c r="AW124" i="8" s="1"/>
  <c r="AW123" i="8" s="1"/>
  <c r="AQ123" i="8"/>
  <c r="AJ1039" i="8"/>
  <c r="AX1039" i="8" s="1"/>
  <c r="AU1009" i="8"/>
  <c r="AU1039" i="8" s="1"/>
  <c r="AX1009" i="8"/>
  <c r="AU835" i="8"/>
  <c r="AX835" i="8"/>
  <c r="AJ694" i="8"/>
  <c r="AX694" i="8" s="1"/>
  <c r="AP165" i="8"/>
  <c r="AX166" i="8"/>
  <c r="AV166" i="8"/>
  <c r="AP86" i="8"/>
  <c r="AP15" i="8"/>
  <c r="AM123" i="8"/>
  <c r="AV124" i="8"/>
  <c r="AV123" i="8" s="1"/>
  <c r="AU125" i="8"/>
  <c r="AJ124" i="8"/>
  <c r="AX124" i="8" s="1"/>
  <c r="AT30" i="8"/>
  <c r="AW30" i="8" s="1"/>
  <c r="AW16" i="8" s="1"/>
  <c r="AW15" i="8" s="1"/>
  <c r="AM16" i="8"/>
  <c r="AM15" i="8" s="1"/>
  <c r="AM14" i="8" s="1"/>
  <c r="AM13" i="8" s="1"/>
  <c r="AU24" i="8"/>
  <c r="AX24" i="8"/>
  <c r="AR637" i="7"/>
  <c r="AR628" i="7"/>
  <c r="AR627" i="7"/>
  <c r="AR624" i="7"/>
  <c r="AR616" i="7"/>
  <c r="AR610" i="7"/>
  <c r="AR592" i="7"/>
  <c r="AO1188" i="7"/>
  <c r="AL1188" i="7"/>
  <c r="AL1186" i="7"/>
  <c r="AL627" i="7"/>
  <c r="AL625" i="7"/>
  <c r="AL624" i="7"/>
  <c r="AL593" i="7"/>
  <c r="AL592" i="7"/>
  <c r="AL587" i="7"/>
  <c r="AL582" i="7"/>
  <c r="AL581" i="7"/>
  <c r="AL628" i="7"/>
  <c r="AL535" i="7"/>
  <c r="AG862" i="7"/>
  <c r="AG895" i="7"/>
  <c r="AI966" i="7"/>
  <c r="AJ966" i="7" s="1"/>
  <c r="AV806" i="7"/>
  <c r="AT806" i="7"/>
  <c r="AW806" i="7" s="1"/>
  <c r="AT801" i="7"/>
  <c r="AW801" i="7" s="1"/>
  <c r="AV801" i="7"/>
  <c r="AV799" i="7"/>
  <c r="AT799" i="7"/>
  <c r="AW799" i="7" s="1"/>
  <c r="AV797" i="7"/>
  <c r="AT797" i="7"/>
  <c r="AW797" i="7" s="1"/>
  <c r="AV795" i="7"/>
  <c r="AT795" i="7"/>
  <c r="AW795" i="7" s="1"/>
  <c r="AV793" i="7"/>
  <c r="AT793" i="7"/>
  <c r="AW793" i="7" s="1"/>
  <c r="AV791" i="7"/>
  <c r="AT791" i="7"/>
  <c r="AW791" i="7" s="1"/>
  <c r="AV790" i="7"/>
  <c r="AT790" i="7"/>
  <c r="AW790" i="7" s="1"/>
  <c r="AV761" i="7"/>
  <c r="AT761" i="7"/>
  <c r="AW761" i="7" s="1"/>
  <c r="AI752" i="7"/>
  <c r="AJ752" i="7" s="1"/>
  <c r="AV750" i="7"/>
  <c r="AT750" i="7"/>
  <c r="AW750" i="7" s="1"/>
  <c r="AI14" i="8" l="1"/>
  <c r="AI13" i="8" s="1"/>
  <c r="AU42" i="8"/>
  <c r="AR12" i="8"/>
  <c r="AR11" i="8" s="1"/>
  <c r="AH12" i="8"/>
  <c r="AH11" i="8" s="1"/>
  <c r="AV14" i="8"/>
  <c r="AV13" i="8" s="1"/>
  <c r="AL11" i="8"/>
  <c r="AV148" i="8"/>
  <c r="AX1048" i="8"/>
  <c r="AU1048" i="8"/>
  <c r="AU1071" i="8" s="1"/>
  <c r="AJ1071" i="8"/>
  <c r="AX1071" i="8" s="1"/>
  <c r="AG11" i="8"/>
  <c r="AJ30" i="8"/>
  <c r="AX34" i="8"/>
  <c r="AU34" i="8"/>
  <c r="AV101" i="8"/>
  <c r="AV12" i="8" s="1"/>
  <c r="AU102" i="8"/>
  <c r="AI12" i="8"/>
  <c r="AX117" i="8"/>
  <c r="AI190" i="8"/>
  <c r="AT165" i="8"/>
  <c r="AW165" i="8" s="1"/>
  <c r="AW164" i="8" s="1"/>
  <c r="AQ164" i="8"/>
  <c r="AP14" i="8"/>
  <c r="AU991" i="8"/>
  <c r="AW71" i="8"/>
  <c r="AW70" i="8" s="1"/>
  <c r="AW14" i="8" s="1"/>
  <c r="AW13" i="8" s="1"/>
  <c r="AX170" i="8"/>
  <c r="AP169" i="8"/>
  <c r="AX169" i="8" s="1"/>
  <c r="AV170" i="8"/>
  <c r="AV169" i="8" s="1"/>
  <c r="AT123" i="8"/>
  <c r="AQ101" i="8"/>
  <c r="AU124" i="8"/>
  <c r="AU123" i="8" s="1"/>
  <c r="AJ123" i="8"/>
  <c r="AX123" i="8" s="1"/>
  <c r="AU87" i="8"/>
  <c r="AU86" i="8" s="1"/>
  <c r="AX165" i="8"/>
  <c r="AP164" i="8"/>
  <c r="AV165" i="8"/>
  <c r="AV164" i="8" s="1"/>
  <c r="AJ87" i="8"/>
  <c r="AX88" i="8"/>
  <c r="AX70" i="8"/>
  <c r="AS117" i="8"/>
  <c r="AT118" i="8"/>
  <c r="AW118" i="8" s="1"/>
  <c r="AW117" i="8" s="1"/>
  <c r="AW102" i="8" s="1"/>
  <c r="AW101" i="8" s="1"/>
  <c r="AT15" i="8"/>
  <c r="AQ14" i="8"/>
  <c r="AT170" i="8"/>
  <c r="AT169" i="8" s="1"/>
  <c r="AQ169" i="8"/>
  <c r="AM101" i="8"/>
  <c r="AM12" i="8" s="1"/>
  <c r="AM11" i="8" s="1"/>
  <c r="AV702" i="7"/>
  <c r="AT702" i="7"/>
  <c r="AW702" i="7" s="1"/>
  <c r="AJ101" i="8" l="1"/>
  <c r="AX101" i="8" s="1"/>
  <c r="AU190" i="8"/>
  <c r="AG10" i="8"/>
  <c r="AJ190" i="8"/>
  <c r="AX190" i="8" s="1"/>
  <c r="AU101" i="8"/>
  <c r="AI11" i="8"/>
  <c r="AX30" i="8"/>
  <c r="AU30" i="8"/>
  <c r="AU16" i="8" s="1"/>
  <c r="AU15" i="8" s="1"/>
  <c r="AU14" i="8" s="1"/>
  <c r="AU13" i="8" s="1"/>
  <c r="AU12" i="8" s="1"/>
  <c r="AJ16" i="8"/>
  <c r="AW12" i="8"/>
  <c r="AJ86" i="8"/>
  <c r="AX87" i="8"/>
  <c r="AW170" i="8"/>
  <c r="AW169" i="8" s="1"/>
  <c r="AW163" i="8" s="1"/>
  <c r="AW162" i="8" s="1"/>
  <c r="AQ13" i="8"/>
  <c r="AT14" i="8"/>
  <c r="AT164" i="8"/>
  <c r="AT163" i="8" s="1"/>
  <c r="AQ163" i="8"/>
  <c r="AQ162" i="8" s="1"/>
  <c r="AT162" i="8" s="1"/>
  <c r="AP13" i="8"/>
  <c r="AV163" i="8"/>
  <c r="AV162" i="8" s="1"/>
  <c r="AV11" i="8" s="1"/>
  <c r="AP163" i="8"/>
  <c r="AX164" i="8"/>
  <c r="AT117" i="8"/>
  <c r="AS102" i="8"/>
  <c r="AV659" i="7"/>
  <c r="AT659" i="7"/>
  <c r="AW659" i="7" s="1"/>
  <c r="AV622" i="7"/>
  <c r="AT622" i="7"/>
  <c r="AW622" i="7" s="1"/>
  <c r="AU11" i="8" l="1"/>
  <c r="AW11" i="8"/>
  <c r="AX16" i="8"/>
  <c r="AJ15" i="8"/>
  <c r="AS101" i="8"/>
  <c r="AT102" i="8"/>
  <c r="AT13" i="8"/>
  <c r="AQ12" i="8"/>
  <c r="AQ11" i="8" s="1"/>
  <c r="AP12" i="8"/>
  <c r="AX86" i="8"/>
  <c r="AP162" i="8"/>
  <c r="AX162" i="8" s="1"/>
  <c r="AX163" i="8"/>
  <c r="AV409" i="7"/>
  <c r="AT409" i="7"/>
  <c r="AW409" i="7" s="1"/>
  <c r="AJ14" i="8" l="1"/>
  <c r="AX15" i="8"/>
  <c r="AP11" i="8"/>
  <c r="AS12" i="8"/>
  <c r="AS11" i="8" s="1"/>
  <c r="AT11" i="8" s="1"/>
  <c r="AT101" i="8"/>
  <c r="AT12" i="8" s="1"/>
  <c r="AV238" i="7"/>
  <c r="AT238" i="7"/>
  <c r="AW238" i="7" s="1"/>
  <c r="AV232" i="7"/>
  <c r="AT232" i="7"/>
  <c r="AW232" i="7" s="1"/>
  <c r="AL100" i="7"/>
  <c r="AL99" i="7"/>
  <c r="AL98" i="7"/>
  <c r="AL97" i="7"/>
  <c r="AL96" i="7"/>
  <c r="AL95" i="7"/>
  <c r="AI438" i="7"/>
  <c r="AJ438" i="7" s="1"/>
  <c r="AI437" i="7"/>
  <c r="AJ437" i="7" s="1"/>
  <c r="AI436" i="7"/>
  <c r="AJ436" i="7" s="1"/>
  <c r="AI435" i="7"/>
  <c r="AJ435" i="7" s="1"/>
  <c r="AI434" i="7"/>
  <c r="AJ434" i="7" s="1"/>
  <c r="AI433" i="7"/>
  <c r="AJ433" i="7" s="1"/>
  <c r="AI432" i="7"/>
  <c r="AJ432" i="7" s="1"/>
  <c r="AI431" i="7"/>
  <c r="AJ431" i="7" s="1"/>
  <c r="AI429" i="7"/>
  <c r="AJ429" i="7" s="1"/>
  <c r="AI428" i="7"/>
  <c r="AJ428" i="7" s="1"/>
  <c r="AI427" i="7"/>
  <c r="AJ427" i="7" s="1"/>
  <c r="AI425" i="7"/>
  <c r="AJ425" i="7" s="1"/>
  <c r="AI420" i="7"/>
  <c r="AJ420" i="7" s="1"/>
  <c r="AI418" i="7"/>
  <c r="AJ418" i="7" s="1"/>
  <c r="AI416" i="7"/>
  <c r="AJ416" i="7" s="1"/>
  <c r="AI415" i="7"/>
  <c r="AJ415" i="7" s="1"/>
  <c r="AI413" i="7"/>
  <c r="AJ413" i="7" s="1"/>
  <c r="AI412" i="7"/>
  <c r="AJ412" i="7" s="1"/>
  <c r="AI411" i="7"/>
  <c r="AJ411" i="7" s="1"/>
  <c r="AI410" i="7"/>
  <c r="AJ410" i="7" s="1"/>
  <c r="AI409" i="7"/>
  <c r="AJ409" i="7" s="1"/>
  <c r="AI408" i="7"/>
  <c r="AJ408" i="7" s="1"/>
  <c r="AI402" i="7"/>
  <c r="AJ402" i="7" s="1"/>
  <c r="AI403" i="7"/>
  <c r="AJ403" i="7" s="1"/>
  <c r="AI320" i="7"/>
  <c r="AJ320" i="7" s="1"/>
  <c r="AI318" i="7"/>
  <c r="AJ318" i="7" s="1"/>
  <c r="AI315" i="7"/>
  <c r="AJ315" i="7" s="1"/>
  <c r="AI313" i="7"/>
  <c r="AJ313" i="7" s="1"/>
  <c r="AI311" i="7"/>
  <c r="AJ311" i="7" s="1"/>
  <c r="AI309" i="7"/>
  <c r="AJ309" i="7" s="1"/>
  <c r="AI307" i="7"/>
  <c r="AJ307" i="7" s="1"/>
  <c r="AI305" i="7"/>
  <c r="AJ305" i="7" s="1"/>
  <c r="AI304" i="7"/>
  <c r="AJ304" i="7" s="1"/>
  <c r="AI303" i="7"/>
  <c r="AJ303" i="7" s="1"/>
  <c r="AI242" i="7"/>
  <c r="AJ242" i="7" s="1"/>
  <c r="AI238" i="7"/>
  <c r="AJ238" i="7" s="1"/>
  <c r="AU238" i="7" s="1"/>
  <c r="AI235" i="7"/>
  <c r="AJ235" i="7" s="1"/>
  <c r="AI232" i="7"/>
  <c r="AJ232" i="7" s="1"/>
  <c r="AX232" i="7" s="1"/>
  <c r="AI231" i="7"/>
  <c r="AJ231" i="7" s="1"/>
  <c r="AI229" i="7"/>
  <c r="AJ229" i="7" s="1"/>
  <c r="AI227" i="7"/>
  <c r="AJ227" i="7" s="1"/>
  <c r="AI225" i="7"/>
  <c r="AJ225" i="7" s="1"/>
  <c r="AI223" i="7"/>
  <c r="AJ223" i="7" s="1"/>
  <c r="AI221" i="7"/>
  <c r="AJ221" i="7" s="1"/>
  <c r="AI219" i="7"/>
  <c r="AJ219" i="7" s="1"/>
  <c r="AI217" i="7"/>
  <c r="AJ217" i="7" s="1"/>
  <c r="AI216" i="7"/>
  <c r="AJ216" i="7" s="1"/>
  <c r="AI214" i="7"/>
  <c r="AJ214" i="7" s="1"/>
  <c r="AI206" i="7"/>
  <c r="AJ206" i="7" s="1"/>
  <c r="AI204" i="7"/>
  <c r="AJ204" i="7" s="1"/>
  <c r="AI203" i="7"/>
  <c r="AJ203" i="7" s="1"/>
  <c r="AI201" i="7"/>
  <c r="AJ201" i="7" s="1"/>
  <c r="AJ13" i="8" l="1"/>
  <c r="AX14" i="8"/>
  <c r="AX409" i="7"/>
  <c r="AU409" i="7"/>
  <c r="AU232" i="7"/>
  <c r="AI97" i="7"/>
  <c r="AJ97" i="7" s="1"/>
  <c r="AG96" i="7"/>
  <c r="AS88" i="7"/>
  <c r="AR88" i="7"/>
  <c r="AQ88" i="7"/>
  <c r="AP88" i="7"/>
  <c r="AO88" i="7"/>
  <c r="AN88" i="7"/>
  <c r="AM88" i="7"/>
  <c r="AL88" i="7"/>
  <c r="AK88" i="7"/>
  <c r="AH88" i="7"/>
  <c r="AF88" i="7"/>
  <c r="AE88" i="7"/>
  <c r="AD88" i="7"/>
  <c r="AV93" i="7"/>
  <c r="AT93" i="7"/>
  <c r="AW93" i="7" s="1"/>
  <c r="AV92" i="7"/>
  <c r="AT92" i="7"/>
  <c r="AW92" i="7" s="1"/>
  <c r="AI92" i="7"/>
  <c r="AJ92" i="7" s="1"/>
  <c r="AX92" i="7" s="1"/>
  <c r="AI89" i="7"/>
  <c r="AJ89" i="7" s="1"/>
  <c r="AX13" i="8" l="1"/>
  <c r="AJ12" i="8"/>
  <c r="AU92" i="7"/>
  <c r="AJ11" i="8" l="1"/>
  <c r="AX11" i="8" s="1"/>
  <c r="AX12" i="8"/>
  <c r="AI622" i="7"/>
  <c r="AJ622" i="7" s="1"/>
  <c r="AG1186" i="7"/>
  <c r="AG658" i="7"/>
  <c r="AI659" i="7"/>
  <c r="AJ659" i="7" s="1"/>
  <c r="AI750" i="7"/>
  <c r="AJ750" i="7" s="1"/>
  <c r="AU750" i="7" s="1"/>
  <c r="AI702" i="7"/>
  <c r="AJ702" i="7" s="1"/>
  <c r="AI761" i="7"/>
  <c r="AJ761" i="7" s="1"/>
  <c r="AG734" i="7"/>
  <c r="AI791" i="7"/>
  <c r="AJ791" i="7" s="1"/>
  <c r="AI801" i="7"/>
  <c r="AJ801" i="7" s="1"/>
  <c r="AX702" i="7" l="1"/>
  <c r="AU702" i="7"/>
  <c r="AX659" i="7"/>
  <c r="AU659" i="7"/>
  <c r="AX801" i="7"/>
  <c r="AU801" i="7"/>
  <c r="AX761" i="7"/>
  <c r="AU761" i="7"/>
  <c r="AX791" i="7"/>
  <c r="AU791" i="7"/>
  <c r="AX622" i="7"/>
  <c r="AU622" i="7"/>
  <c r="AI806" i="7"/>
  <c r="AJ806" i="7" s="1"/>
  <c r="AI799" i="7"/>
  <c r="AJ799" i="7" s="1"/>
  <c r="AI793" i="7"/>
  <c r="AJ793" i="7" s="1"/>
  <c r="AI797" i="7"/>
  <c r="AJ797" i="7" s="1"/>
  <c r="AI795" i="7"/>
  <c r="AJ795" i="7" s="1"/>
  <c r="AI790" i="7"/>
  <c r="AJ790" i="7" s="1"/>
  <c r="AG211" i="7"/>
  <c r="AI211" i="7" s="1"/>
  <c r="AJ211" i="7" s="1"/>
  <c r="AG93" i="7"/>
  <c r="AX793" i="7" l="1"/>
  <c r="AU793" i="7"/>
  <c r="AU790" i="7"/>
  <c r="AX790" i="7"/>
  <c r="AX795" i="7"/>
  <c r="AU795" i="7"/>
  <c r="AX799" i="7"/>
  <c r="AU799" i="7"/>
  <c r="AX797" i="7"/>
  <c r="AU797" i="7"/>
  <c r="AX806" i="7"/>
  <c r="AU806" i="7"/>
  <c r="AI93" i="7"/>
  <c r="AJ93" i="7" s="1"/>
  <c r="AG88" i="7"/>
  <c r="AI84" i="7"/>
  <c r="AJ84" i="7" s="1"/>
  <c r="AI20" i="7"/>
  <c r="AJ20" i="7" s="1"/>
  <c r="AX93" i="7" l="1"/>
  <c r="AU93" i="7"/>
  <c r="AI631" i="7"/>
  <c r="AJ631" i="7" s="1"/>
  <c r="AI649" i="7"/>
  <c r="AJ649" i="7" s="1"/>
  <c r="AI625" i="7"/>
  <c r="AJ625" i="7" s="1"/>
  <c r="AI717" i="7"/>
  <c r="AJ717" i="7" s="1"/>
  <c r="AH725" i="7"/>
  <c r="AI732" i="7"/>
  <c r="AJ732" i="7" s="1"/>
  <c r="AI199" i="7"/>
  <c r="AJ199" i="7" s="1"/>
  <c r="AI962" i="7"/>
  <c r="AJ962" i="7" s="1"/>
  <c r="AI826" i="7"/>
  <c r="AJ826" i="7" s="1"/>
  <c r="AH903" i="7" l="1"/>
  <c r="AI56" i="7"/>
  <c r="AJ56" i="7" s="1"/>
  <c r="AI53" i="7"/>
  <c r="AJ53" i="7" s="1"/>
  <c r="AI35" i="7"/>
  <c r="AJ35" i="7" s="1"/>
  <c r="AI25" i="7"/>
  <c r="AJ25" i="7" s="1"/>
  <c r="AI44" i="7"/>
  <c r="AJ44" i="7" s="1"/>
  <c r="AI37" i="7"/>
  <c r="AJ37" i="7" s="1"/>
  <c r="AI18" i="7"/>
  <c r="AJ18" i="7" s="1"/>
  <c r="AS1304" i="7" l="1"/>
  <c r="AR1304" i="7"/>
  <c r="AQ1304" i="7"/>
  <c r="AP1304" i="7"/>
  <c r="AN1304" i="7"/>
  <c r="AM1304" i="7"/>
  <c r="AK1304" i="7"/>
  <c r="AH1304" i="7"/>
  <c r="AG1304" i="7"/>
  <c r="AF1304" i="7"/>
  <c r="AV1298" i="7"/>
  <c r="AT1298" i="7"/>
  <c r="AW1298" i="7" s="1"/>
  <c r="AI1298" i="7"/>
  <c r="AJ1298" i="7" s="1"/>
  <c r="AV1230" i="7"/>
  <c r="AT1230" i="7"/>
  <c r="AW1230" i="7" s="1"/>
  <c r="AI1230" i="7"/>
  <c r="AJ1230" i="7" s="1"/>
  <c r="AV1229" i="7"/>
  <c r="AT1229" i="7"/>
  <c r="AW1229" i="7" s="1"/>
  <c r="AI1229" i="7"/>
  <c r="AJ1229" i="7" s="1"/>
  <c r="AV1228" i="7"/>
  <c r="AT1228" i="7"/>
  <c r="AW1228" i="7" s="1"/>
  <c r="AI1228" i="7"/>
  <c r="AJ1228" i="7" s="1"/>
  <c r="AV1227" i="7"/>
  <c r="AT1227" i="7"/>
  <c r="AW1227" i="7" s="1"/>
  <c r="AI1227" i="7"/>
  <c r="AJ1227" i="7" s="1"/>
  <c r="AV1226" i="7"/>
  <c r="AT1226" i="7"/>
  <c r="AW1226" i="7" s="1"/>
  <c r="AI1226" i="7"/>
  <c r="AJ1226" i="7" s="1"/>
  <c r="AV1225" i="7"/>
  <c r="AT1225" i="7"/>
  <c r="AW1225" i="7" s="1"/>
  <c r="AI1225" i="7"/>
  <c r="AJ1225" i="7" s="1"/>
  <c r="AU1225" i="7" s="1"/>
  <c r="AV1291" i="7"/>
  <c r="AT1291" i="7"/>
  <c r="AW1291" i="7" s="1"/>
  <c r="AI1291" i="7"/>
  <c r="AJ1291" i="7" s="1"/>
  <c r="AU1291" i="7" s="1"/>
  <c r="AV1286" i="7"/>
  <c r="AT1286" i="7"/>
  <c r="AW1286" i="7" s="1"/>
  <c r="AI1286" i="7"/>
  <c r="AJ1286" i="7" s="1"/>
  <c r="AV1284" i="7"/>
  <c r="AT1284" i="7"/>
  <c r="AW1284" i="7" s="1"/>
  <c r="AI1284" i="7"/>
  <c r="AJ1284" i="7" s="1"/>
  <c r="AX1284" i="7" s="1"/>
  <c r="AV1282" i="7"/>
  <c r="AT1282" i="7"/>
  <c r="AW1282" i="7" s="1"/>
  <c r="AI1282" i="7"/>
  <c r="AJ1282" i="7" s="1"/>
  <c r="AV1281" i="7"/>
  <c r="AT1281" i="7"/>
  <c r="AW1281" i="7" s="1"/>
  <c r="AI1281" i="7"/>
  <c r="AJ1281" i="7" s="1"/>
  <c r="AV1280" i="7"/>
  <c r="AT1280" i="7"/>
  <c r="AW1280" i="7" s="1"/>
  <c r="AI1280" i="7"/>
  <c r="AJ1280" i="7" s="1"/>
  <c r="AV1278" i="7"/>
  <c r="AT1278" i="7"/>
  <c r="AW1278" i="7" s="1"/>
  <c r="AI1278" i="7"/>
  <c r="AJ1278" i="7" s="1"/>
  <c r="AV1277" i="7"/>
  <c r="AT1277" i="7"/>
  <c r="AW1277" i="7" s="1"/>
  <c r="AI1277" i="7"/>
  <c r="AJ1277" i="7" s="1"/>
  <c r="AU1277" i="7" s="1"/>
  <c r="AV1274" i="7"/>
  <c r="AT1274" i="7"/>
  <c r="AW1274" i="7" s="1"/>
  <c r="AI1274" i="7"/>
  <c r="AJ1274" i="7" s="1"/>
  <c r="AU1274" i="7" s="1"/>
  <c r="AV1273" i="7"/>
  <c r="AT1273" i="7"/>
  <c r="AW1273" i="7" s="1"/>
  <c r="AI1273" i="7"/>
  <c r="AJ1273" i="7" s="1"/>
  <c r="AV1272" i="7"/>
  <c r="AT1272" i="7"/>
  <c r="AW1272" i="7" s="1"/>
  <c r="AI1272" i="7"/>
  <c r="AJ1272" i="7" s="1"/>
  <c r="AV1271" i="7"/>
  <c r="AT1271" i="7"/>
  <c r="AW1271" i="7" s="1"/>
  <c r="AI1271" i="7"/>
  <c r="AJ1271" i="7" s="1"/>
  <c r="AV1268" i="7"/>
  <c r="AT1268" i="7"/>
  <c r="AW1268" i="7" s="1"/>
  <c r="AI1268" i="7"/>
  <c r="AJ1268" i="7" s="1"/>
  <c r="AV1267" i="7"/>
  <c r="AT1267" i="7"/>
  <c r="AW1267" i="7" s="1"/>
  <c r="AI1267" i="7"/>
  <c r="AJ1267" i="7" s="1"/>
  <c r="AV1266" i="7"/>
  <c r="AT1266" i="7"/>
  <c r="AW1266" i="7" s="1"/>
  <c r="AI1266" i="7"/>
  <c r="AJ1266" i="7" s="1"/>
  <c r="AX1266" i="7" s="1"/>
  <c r="AV1265" i="7"/>
  <c r="AT1265" i="7"/>
  <c r="AW1265" i="7" s="1"/>
  <c r="AI1265" i="7"/>
  <c r="AJ1265" i="7" s="1"/>
  <c r="AV1262" i="7"/>
  <c r="AT1262" i="7"/>
  <c r="AW1262" i="7" s="1"/>
  <c r="AI1262" i="7"/>
  <c r="AJ1262" i="7" s="1"/>
  <c r="AU1262" i="7" s="1"/>
  <c r="AV1261" i="7"/>
  <c r="AT1261" i="7"/>
  <c r="AW1261" i="7" s="1"/>
  <c r="AI1261" i="7"/>
  <c r="AJ1261" i="7" s="1"/>
  <c r="AV1258" i="7"/>
  <c r="AT1258" i="7"/>
  <c r="AW1258" i="7" s="1"/>
  <c r="AI1258" i="7"/>
  <c r="AJ1258" i="7" s="1"/>
  <c r="AX1258" i="7" s="1"/>
  <c r="AV1257" i="7"/>
  <c r="AT1257" i="7"/>
  <c r="AW1257" i="7" s="1"/>
  <c r="AI1257" i="7"/>
  <c r="AJ1257" i="7" s="1"/>
  <c r="AU1257" i="7" s="1"/>
  <c r="AV1256" i="7"/>
  <c r="AT1256" i="7"/>
  <c r="AW1256" i="7" s="1"/>
  <c r="AI1256" i="7"/>
  <c r="AJ1256" i="7" s="1"/>
  <c r="AV1255" i="7"/>
  <c r="AT1255" i="7"/>
  <c r="AW1255" i="7" s="1"/>
  <c r="AI1255" i="7"/>
  <c r="AJ1255" i="7" s="1"/>
  <c r="AV1254" i="7"/>
  <c r="AT1254" i="7"/>
  <c r="AW1254" i="7" s="1"/>
  <c r="AI1254" i="7"/>
  <c r="AJ1254" i="7" s="1"/>
  <c r="AV1253" i="7"/>
  <c r="AT1253" i="7"/>
  <c r="AW1253" i="7" s="1"/>
  <c r="AI1253" i="7"/>
  <c r="AJ1253" i="7" s="1"/>
  <c r="AU1253" i="7" s="1"/>
  <c r="AV1250" i="7"/>
  <c r="AT1250" i="7"/>
  <c r="AW1250" i="7" s="1"/>
  <c r="AI1250" i="7"/>
  <c r="AJ1250" i="7" s="1"/>
  <c r="AU1250" i="7" s="1"/>
  <c r="AV1249" i="7"/>
  <c r="AT1249" i="7"/>
  <c r="AW1249" i="7" s="1"/>
  <c r="AI1249" i="7"/>
  <c r="AJ1249" i="7" s="1"/>
  <c r="AV1247" i="7"/>
  <c r="AT1247" i="7"/>
  <c r="AW1247" i="7" s="1"/>
  <c r="AI1247" i="7"/>
  <c r="AJ1247" i="7" s="1"/>
  <c r="AV1246" i="7"/>
  <c r="AT1246" i="7"/>
  <c r="AW1246" i="7" s="1"/>
  <c r="AI1246" i="7"/>
  <c r="AJ1246" i="7" s="1"/>
  <c r="AV1243" i="7"/>
  <c r="AT1243" i="7"/>
  <c r="AW1243" i="7" s="1"/>
  <c r="AI1243" i="7"/>
  <c r="AJ1243" i="7" s="1"/>
  <c r="AV1242" i="7"/>
  <c r="AT1242" i="7"/>
  <c r="AW1242" i="7" s="1"/>
  <c r="AE1242" i="7"/>
  <c r="AI1242" i="7" s="1"/>
  <c r="AJ1242" i="7" s="1"/>
  <c r="AV1302" i="7"/>
  <c r="AT1302" i="7"/>
  <c r="AW1302" i="7" s="1"/>
  <c r="AI1302" i="7"/>
  <c r="AJ1302" i="7" s="1"/>
  <c r="AV1301" i="7"/>
  <c r="AT1301" i="7"/>
  <c r="AW1301" i="7" s="1"/>
  <c r="AI1301" i="7"/>
  <c r="AJ1301" i="7" s="1"/>
  <c r="AV1241" i="7"/>
  <c r="AT1241" i="7"/>
  <c r="AW1241" i="7" s="1"/>
  <c r="AI1241" i="7"/>
  <c r="AJ1241" i="7" s="1"/>
  <c r="AU1241" i="7" s="1"/>
  <c r="AV1240" i="7"/>
  <c r="AT1240" i="7"/>
  <c r="AW1240" i="7" s="1"/>
  <c r="AI1240" i="7"/>
  <c r="AJ1240" i="7" s="1"/>
  <c r="AU1240" i="7" s="1"/>
  <c r="AV1237" i="7"/>
  <c r="AT1237" i="7"/>
  <c r="AW1237" i="7" s="1"/>
  <c r="AI1237" i="7"/>
  <c r="AJ1237" i="7" s="1"/>
  <c r="AV1236" i="7"/>
  <c r="AT1236" i="7"/>
  <c r="AW1236" i="7" s="1"/>
  <c r="AE1236" i="7"/>
  <c r="AI1236" i="7" s="1"/>
  <c r="AJ1236" i="7" s="1"/>
  <c r="AX1236" i="7" s="1"/>
  <c r="AV1235" i="7"/>
  <c r="AT1235" i="7"/>
  <c r="AW1235" i="7" s="1"/>
  <c r="AI1235" i="7"/>
  <c r="AJ1235" i="7" s="1"/>
  <c r="AV1234" i="7"/>
  <c r="AT1234" i="7"/>
  <c r="AW1234" i="7" s="1"/>
  <c r="AI1234" i="7"/>
  <c r="AJ1234" i="7" s="1"/>
  <c r="AL1233" i="7"/>
  <c r="AV1296" i="7"/>
  <c r="AT1296" i="7"/>
  <c r="AW1296" i="7" s="1"/>
  <c r="AI1296" i="7"/>
  <c r="AJ1296" i="7" s="1"/>
  <c r="AV1218" i="7"/>
  <c r="AT1218" i="7"/>
  <c r="AW1218" i="7" s="1"/>
  <c r="AI1218" i="7"/>
  <c r="AJ1218" i="7" s="1"/>
  <c r="AV1294" i="7"/>
  <c r="AT1294" i="7"/>
  <c r="AW1294" i="7" s="1"/>
  <c r="AI1294" i="7"/>
  <c r="AJ1294" i="7" s="1"/>
  <c r="AV1293" i="7"/>
  <c r="AT1293" i="7"/>
  <c r="AW1293" i="7" s="1"/>
  <c r="AI1293" i="7"/>
  <c r="AJ1293" i="7" s="1"/>
  <c r="AV1222" i="7"/>
  <c r="AT1222" i="7"/>
  <c r="AW1222" i="7" s="1"/>
  <c r="AI1222" i="7"/>
  <c r="AJ1222" i="7" s="1"/>
  <c r="AU1222" i="7" s="1"/>
  <c r="AV1221" i="7"/>
  <c r="AT1221" i="7"/>
  <c r="AW1221" i="7" s="1"/>
  <c r="AI1221" i="7"/>
  <c r="AJ1221" i="7" s="1"/>
  <c r="AU1221" i="7" s="1"/>
  <c r="AV1217" i="7"/>
  <c r="AT1217" i="7"/>
  <c r="AO1304" i="7"/>
  <c r="AI1217" i="7"/>
  <c r="AJ1217" i="7" s="1"/>
  <c r="AS1207" i="7"/>
  <c r="AR1207" i="7"/>
  <c r="AQ1207" i="7"/>
  <c r="AP1207" i="7"/>
  <c r="AO1207" i="7"/>
  <c r="AN1207" i="7"/>
  <c r="AM1207" i="7"/>
  <c r="AL1207" i="7"/>
  <c r="AK1207" i="7"/>
  <c r="AH1207" i="7"/>
  <c r="AG1207" i="7"/>
  <c r="AF1207" i="7"/>
  <c r="AE1207" i="7"/>
  <c r="AD1207" i="7"/>
  <c r="AV1205" i="7"/>
  <c r="AT1205" i="7"/>
  <c r="AW1205" i="7" s="1"/>
  <c r="AI1205" i="7"/>
  <c r="AJ1205" i="7" s="1"/>
  <c r="AV1204" i="7"/>
  <c r="AT1204" i="7"/>
  <c r="AW1204" i="7" s="1"/>
  <c r="AI1204" i="7"/>
  <c r="AX1201" i="7"/>
  <c r="AV1201" i="7"/>
  <c r="AU1201" i="7"/>
  <c r="AT1201" i="7"/>
  <c r="AW1201" i="7" s="1"/>
  <c r="AS1192" i="7"/>
  <c r="AR1192" i="7"/>
  <c r="AQ1192" i="7"/>
  <c r="AP1192" i="7"/>
  <c r="AO1192" i="7"/>
  <c r="AN1192" i="7"/>
  <c r="AM1192" i="7"/>
  <c r="AL1192" i="7"/>
  <c r="AK1192" i="7"/>
  <c r="AF1192" i="7"/>
  <c r="AE1192" i="7"/>
  <c r="AD1192" i="7"/>
  <c r="AX1190" i="7"/>
  <c r="AV1190" i="7"/>
  <c r="AU1190" i="7"/>
  <c r="AT1190" i="7"/>
  <c r="AW1190" i="7" s="1"/>
  <c r="AV1188" i="7"/>
  <c r="AT1188" i="7"/>
  <c r="AW1188" i="7" s="1"/>
  <c r="AG1188" i="7"/>
  <c r="AI1188" i="7" s="1"/>
  <c r="AJ1188" i="7" s="1"/>
  <c r="AV1186" i="7"/>
  <c r="AT1186" i="7"/>
  <c r="AW1186" i="7" s="1"/>
  <c r="AH1186" i="7"/>
  <c r="AS1177" i="7"/>
  <c r="AR1177" i="7"/>
  <c r="AQ1177" i="7"/>
  <c r="AP1177" i="7"/>
  <c r="AO1177" i="7"/>
  <c r="AN1177" i="7"/>
  <c r="AM1177" i="7"/>
  <c r="AL1177" i="7"/>
  <c r="AK1177" i="7"/>
  <c r="AH1177" i="7"/>
  <c r="AG1177" i="7"/>
  <c r="AF1177" i="7"/>
  <c r="AE1177" i="7"/>
  <c r="AD1177" i="7"/>
  <c r="AV1175" i="7"/>
  <c r="AT1175" i="7"/>
  <c r="AW1175" i="7" s="1"/>
  <c r="AI1175" i="7"/>
  <c r="AJ1175" i="7" s="1"/>
  <c r="AV1174" i="7"/>
  <c r="AT1174" i="7"/>
  <c r="AW1174" i="7" s="1"/>
  <c r="AI1174" i="7"/>
  <c r="AJ1174" i="7" s="1"/>
  <c r="AX1174" i="7" s="1"/>
  <c r="AS1164" i="7"/>
  <c r="AR1164" i="7"/>
  <c r="AQ1164" i="7"/>
  <c r="AP1164" i="7"/>
  <c r="AO1164" i="7"/>
  <c r="AN1164" i="7"/>
  <c r="AM1164" i="7"/>
  <c r="AL1164" i="7"/>
  <c r="AK1164" i="7"/>
  <c r="AH1164" i="7"/>
  <c r="AG1164" i="7"/>
  <c r="AF1164" i="7"/>
  <c r="AE1164" i="7"/>
  <c r="AD1164" i="7"/>
  <c r="AV1162" i="7"/>
  <c r="AT1162" i="7"/>
  <c r="AW1162" i="7" s="1"/>
  <c r="AI1162" i="7"/>
  <c r="AJ1162" i="7" s="1"/>
  <c r="AV1160" i="7"/>
  <c r="AT1160" i="7"/>
  <c r="AW1160" i="7" s="1"/>
  <c r="AI1160" i="7"/>
  <c r="AJ1160" i="7" s="1"/>
  <c r="AU1160" i="7" s="1"/>
  <c r="AV1158" i="7"/>
  <c r="AT1158" i="7"/>
  <c r="AW1158" i="7" s="1"/>
  <c r="AI1158" i="7"/>
  <c r="AJ1158" i="7" s="1"/>
  <c r="AU1158" i="7" s="1"/>
  <c r="AV1156" i="7"/>
  <c r="AT1156" i="7"/>
  <c r="AW1156" i="7" s="1"/>
  <c r="AI1156" i="7"/>
  <c r="AJ1156" i="7" s="1"/>
  <c r="AV1154" i="7"/>
  <c r="AT1154" i="7"/>
  <c r="AW1154" i="7" s="1"/>
  <c r="AI1154" i="7"/>
  <c r="AJ1154" i="7" s="1"/>
  <c r="AX1154" i="7" s="1"/>
  <c r="AV1152" i="7"/>
  <c r="AT1152" i="7"/>
  <c r="AW1152" i="7" s="1"/>
  <c r="AI1152" i="7"/>
  <c r="AJ1152" i="7" s="1"/>
  <c r="AV1150" i="7"/>
  <c r="AT1150" i="7"/>
  <c r="AW1150" i="7" s="1"/>
  <c r="AI1150" i="7"/>
  <c r="AJ1150" i="7" s="1"/>
  <c r="AV1149" i="7"/>
  <c r="AT1149" i="7"/>
  <c r="AW1149" i="7" s="1"/>
  <c r="AI1149" i="7"/>
  <c r="AJ1149" i="7" s="1"/>
  <c r="AV1147" i="7"/>
  <c r="AT1147" i="7"/>
  <c r="AW1147" i="7" s="1"/>
  <c r="AI1147" i="7"/>
  <c r="AJ1147" i="7" s="1"/>
  <c r="AV1146" i="7"/>
  <c r="AT1146" i="7"/>
  <c r="AW1146" i="7" s="1"/>
  <c r="AI1146" i="7"/>
  <c r="AJ1146" i="7" s="1"/>
  <c r="AU1146" i="7" s="1"/>
  <c r="AV1145" i="7"/>
  <c r="AT1145" i="7"/>
  <c r="AW1145" i="7" s="1"/>
  <c r="AI1145" i="7"/>
  <c r="AJ1145" i="7" s="1"/>
  <c r="AU1145" i="7" s="1"/>
  <c r="AV1144" i="7"/>
  <c r="AT1144" i="7"/>
  <c r="AW1144" i="7" s="1"/>
  <c r="AI1144" i="7"/>
  <c r="AJ1144" i="7" s="1"/>
  <c r="AV1142" i="7"/>
  <c r="AT1142" i="7"/>
  <c r="AW1142" i="7" s="1"/>
  <c r="AI1142" i="7"/>
  <c r="AJ1142" i="7" s="1"/>
  <c r="AX1142" i="7" s="1"/>
  <c r="AV1141" i="7"/>
  <c r="AT1141" i="7"/>
  <c r="AW1141" i="7" s="1"/>
  <c r="AI1141" i="7"/>
  <c r="AJ1141" i="7" s="1"/>
  <c r="AX1138" i="7"/>
  <c r="AV1138" i="7"/>
  <c r="AU1138" i="7"/>
  <c r="AT1138" i="7"/>
  <c r="AW1138" i="7" s="1"/>
  <c r="AX1137" i="7"/>
  <c r="AV1137" i="7"/>
  <c r="AU1137" i="7"/>
  <c r="AT1137" i="7"/>
  <c r="AW1137" i="7" s="1"/>
  <c r="AX1136" i="7"/>
  <c r="AV1136" i="7"/>
  <c r="AU1136" i="7"/>
  <c r="AT1136" i="7"/>
  <c r="AW1136" i="7" s="1"/>
  <c r="AX1135" i="7"/>
  <c r="AV1135" i="7"/>
  <c r="AU1135" i="7"/>
  <c r="AT1135" i="7"/>
  <c r="AW1135" i="7" s="1"/>
  <c r="AX1134" i="7"/>
  <c r="AV1134" i="7"/>
  <c r="AU1134" i="7"/>
  <c r="AT1134" i="7"/>
  <c r="AW1134" i="7" s="1"/>
  <c r="AS1124" i="7"/>
  <c r="AR1124" i="7"/>
  <c r="AQ1124" i="7"/>
  <c r="AP1124" i="7"/>
  <c r="AO1124" i="7"/>
  <c r="AN1124" i="7"/>
  <c r="AM1124" i="7"/>
  <c r="AL1124" i="7"/>
  <c r="AK1124" i="7"/>
  <c r="AH1124" i="7"/>
  <c r="AG1124" i="7"/>
  <c r="AF1124" i="7"/>
  <c r="AE1124" i="7"/>
  <c r="AD1124" i="7"/>
  <c r="AV1122" i="7"/>
  <c r="AT1122" i="7"/>
  <c r="AW1122" i="7" s="1"/>
  <c r="AI1122" i="7"/>
  <c r="AJ1122" i="7" s="1"/>
  <c r="AV1121" i="7"/>
  <c r="AT1121" i="7"/>
  <c r="AW1121" i="7" s="1"/>
  <c r="AI1121" i="7"/>
  <c r="AJ1121" i="7" s="1"/>
  <c r="AU1121" i="7" s="1"/>
  <c r="AV1120" i="7"/>
  <c r="AT1120" i="7"/>
  <c r="AW1120" i="7" s="1"/>
  <c r="AI1120" i="7"/>
  <c r="AJ1120" i="7" s="1"/>
  <c r="AU1120" i="7" s="1"/>
  <c r="AV1119" i="7"/>
  <c r="AT1119" i="7"/>
  <c r="AW1119" i="7" s="1"/>
  <c r="AI1119" i="7"/>
  <c r="AJ1119" i="7" s="1"/>
  <c r="AV1118" i="7"/>
  <c r="AT1118" i="7"/>
  <c r="AW1118" i="7" s="1"/>
  <c r="AI1118" i="7"/>
  <c r="AJ1118" i="7" s="1"/>
  <c r="AX1118" i="7" s="1"/>
  <c r="AV1117" i="7"/>
  <c r="AT1117" i="7"/>
  <c r="AW1117" i="7" s="1"/>
  <c r="AI1117" i="7"/>
  <c r="AJ1117" i="7" s="1"/>
  <c r="AV1116" i="7"/>
  <c r="AT1116" i="7"/>
  <c r="AW1116" i="7" s="1"/>
  <c r="AI1116" i="7"/>
  <c r="AJ1116" i="7" s="1"/>
  <c r="AT1115" i="7"/>
  <c r="AS1106" i="7"/>
  <c r="AR1106" i="7"/>
  <c r="AQ1106" i="7"/>
  <c r="AP1106" i="7"/>
  <c r="AO1106" i="7"/>
  <c r="AN1106" i="7"/>
  <c r="AM1106" i="7"/>
  <c r="AL1106" i="7"/>
  <c r="AK1106" i="7"/>
  <c r="AH1106" i="7"/>
  <c r="AG1106" i="7"/>
  <c r="AF1106" i="7"/>
  <c r="AE1106" i="7"/>
  <c r="AD1106" i="7"/>
  <c r="AV1104" i="7"/>
  <c r="AT1104" i="7"/>
  <c r="AW1104" i="7" s="1"/>
  <c r="AI1104" i="7"/>
  <c r="AJ1104" i="7" s="1"/>
  <c r="AU1104" i="7" s="1"/>
  <c r="AX1099" i="7"/>
  <c r="AV1099" i="7"/>
  <c r="AU1099" i="7"/>
  <c r="AT1099" i="7"/>
  <c r="AW1099" i="7" s="1"/>
  <c r="AX1098" i="7"/>
  <c r="AV1098" i="7"/>
  <c r="AU1098" i="7"/>
  <c r="AT1098" i="7"/>
  <c r="AW1098" i="7" s="1"/>
  <c r="AV1089" i="7"/>
  <c r="AT1089" i="7"/>
  <c r="AW1089" i="7" s="1"/>
  <c r="AI1089" i="7"/>
  <c r="AJ1089" i="7" s="1"/>
  <c r="AX1088" i="7"/>
  <c r="AV1088" i="7"/>
  <c r="AU1088" i="7"/>
  <c r="AT1088" i="7"/>
  <c r="AW1088" i="7" s="1"/>
  <c r="AV1086" i="7"/>
  <c r="AT1086" i="7"/>
  <c r="AW1086" i="7" s="1"/>
  <c r="AI1086" i="7"/>
  <c r="AJ1086" i="7" s="1"/>
  <c r="AX1086" i="7" s="1"/>
  <c r="AV1084" i="7"/>
  <c r="AT1084" i="7"/>
  <c r="AW1084" i="7" s="1"/>
  <c r="AI1084" i="7"/>
  <c r="AJ1084" i="7" s="1"/>
  <c r="AU1084" i="7" s="1"/>
  <c r="AW1082" i="7"/>
  <c r="AV1082" i="7"/>
  <c r="AI1082" i="7"/>
  <c r="AJ1082" i="7" s="1"/>
  <c r="AV1080" i="7"/>
  <c r="AT1080" i="7"/>
  <c r="AW1080" i="7" s="1"/>
  <c r="AI1080" i="7"/>
  <c r="AJ1080" i="7" s="1"/>
  <c r="AU1080" i="7" s="1"/>
  <c r="AV1078" i="7"/>
  <c r="AT1078" i="7"/>
  <c r="AW1078" i="7" s="1"/>
  <c r="AI1078" i="7"/>
  <c r="AJ1078" i="7" s="1"/>
  <c r="AU1078" i="7" s="1"/>
  <c r="AV1077" i="7"/>
  <c r="AT1077" i="7"/>
  <c r="AW1077" i="7" s="1"/>
  <c r="AI1077" i="7"/>
  <c r="AJ1077" i="7" s="1"/>
  <c r="AV1075" i="7"/>
  <c r="AT1075" i="7"/>
  <c r="AW1075" i="7" s="1"/>
  <c r="AI1075" i="7"/>
  <c r="AJ1075" i="7" s="1"/>
  <c r="AX1075" i="7" s="1"/>
  <c r="AW1073" i="7"/>
  <c r="AV1073" i="7"/>
  <c r="AI1073" i="7"/>
  <c r="AJ1073" i="7" s="1"/>
  <c r="AV1071" i="7"/>
  <c r="AT1071" i="7"/>
  <c r="AW1071" i="7" s="1"/>
  <c r="AI1071" i="7"/>
  <c r="AJ1071" i="7" s="1"/>
  <c r="AV1069" i="7"/>
  <c r="AT1069" i="7"/>
  <c r="AW1069" i="7" s="1"/>
  <c r="AI1069" i="7"/>
  <c r="AJ1069" i="7" s="1"/>
  <c r="AU1069" i="7" s="1"/>
  <c r="AV1067" i="7"/>
  <c r="AT1067" i="7"/>
  <c r="AW1067" i="7" s="1"/>
  <c r="AI1067" i="7"/>
  <c r="AJ1067" i="7" s="1"/>
  <c r="AU1067" i="7" s="1"/>
  <c r="AV1066" i="7"/>
  <c r="AT1066" i="7"/>
  <c r="AW1066" i="7" s="1"/>
  <c r="AI1066" i="7"/>
  <c r="AJ1066" i="7" s="1"/>
  <c r="AV1065" i="7"/>
  <c r="AT1065" i="7"/>
  <c r="AW1065" i="7" s="1"/>
  <c r="AI1065" i="7"/>
  <c r="AS1056" i="7"/>
  <c r="AR1056" i="7"/>
  <c r="AQ1056" i="7"/>
  <c r="AP1056" i="7"/>
  <c r="AO1056" i="7"/>
  <c r="AN1056" i="7"/>
  <c r="AM1056" i="7"/>
  <c r="AL1056" i="7"/>
  <c r="AK1056" i="7"/>
  <c r="AG1056" i="7"/>
  <c r="AF1056" i="7"/>
  <c r="AE1056" i="7"/>
  <c r="AD1056" i="7"/>
  <c r="AV1054" i="7"/>
  <c r="AT1054" i="7"/>
  <c r="AW1054" i="7" s="1"/>
  <c r="AI1054" i="7"/>
  <c r="AJ1054" i="7" s="1"/>
  <c r="AV1048" i="7"/>
  <c r="AT1048" i="7"/>
  <c r="AW1048" i="7" s="1"/>
  <c r="AI1048" i="7"/>
  <c r="AJ1048" i="7" s="1"/>
  <c r="AU1048" i="7" s="1"/>
  <c r="AX1047" i="7"/>
  <c r="AV1047" i="7"/>
  <c r="AU1047" i="7"/>
  <c r="AT1047" i="7"/>
  <c r="AW1047" i="7" s="1"/>
  <c r="AX1045" i="7"/>
  <c r="AV1045" i="7"/>
  <c r="AU1045" i="7"/>
  <c r="AT1045" i="7"/>
  <c r="AW1045" i="7" s="1"/>
  <c r="AX1041" i="7"/>
  <c r="AV1041" i="7"/>
  <c r="AU1041" i="7"/>
  <c r="AT1041" i="7"/>
  <c r="AW1041" i="7" s="1"/>
  <c r="AV1039" i="7"/>
  <c r="AT1039" i="7"/>
  <c r="AW1039" i="7" s="1"/>
  <c r="AI1039" i="7"/>
  <c r="AJ1039" i="7" s="1"/>
  <c r="AU1039" i="7" s="1"/>
  <c r="AV1038" i="7"/>
  <c r="AT1038" i="7"/>
  <c r="AW1038" i="7" s="1"/>
  <c r="AI1038" i="7"/>
  <c r="AJ1038" i="7" s="1"/>
  <c r="AU1038" i="7" s="1"/>
  <c r="AV1034" i="7"/>
  <c r="AT1034" i="7"/>
  <c r="AW1034" i="7" s="1"/>
  <c r="AI1034" i="7"/>
  <c r="AJ1034" i="7" s="1"/>
  <c r="AV1033" i="7"/>
  <c r="AT1033" i="7"/>
  <c r="AW1033" i="7" s="1"/>
  <c r="AH1033" i="7"/>
  <c r="AS1024" i="7"/>
  <c r="AR1024" i="7"/>
  <c r="AQ1024" i="7"/>
  <c r="AP1024" i="7"/>
  <c r="AO1024" i="7"/>
  <c r="AN1024" i="7"/>
  <c r="AM1024" i="7"/>
  <c r="AL1024" i="7"/>
  <c r="AK1024" i="7"/>
  <c r="AF1024" i="7"/>
  <c r="AE1024" i="7"/>
  <c r="AD1024" i="7"/>
  <c r="AV1022" i="7"/>
  <c r="AT1022" i="7"/>
  <c r="AW1022" i="7" s="1"/>
  <c r="AI1022" i="7"/>
  <c r="AJ1022" i="7" s="1"/>
  <c r="AV1017" i="7"/>
  <c r="AT1017" i="7"/>
  <c r="AW1017" i="7" s="1"/>
  <c r="AI1017" i="7"/>
  <c r="AJ1017" i="7" s="1"/>
  <c r="AX1017" i="7" s="1"/>
  <c r="AV1014" i="7"/>
  <c r="AT1014" i="7"/>
  <c r="AW1014" i="7" s="1"/>
  <c r="AI1014" i="7"/>
  <c r="AJ1014" i="7" s="1"/>
  <c r="AV1012" i="7"/>
  <c r="AT1012" i="7"/>
  <c r="AW1012" i="7" s="1"/>
  <c r="AI1012" i="7"/>
  <c r="AJ1012" i="7" s="1"/>
  <c r="AX1011" i="7"/>
  <c r="AV1011" i="7"/>
  <c r="AU1011" i="7"/>
  <c r="AT1011" i="7"/>
  <c r="AW1011" i="7" s="1"/>
  <c r="AX1010" i="7"/>
  <c r="AV1010" i="7"/>
  <c r="AU1010" i="7"/>
  <c r="AT1010" i="7"/>
  <c r="AW1010" i="7" s="1"/>
  <c r="AV1009" i="7"/>
  <c r="AT1009" i="7"/>
  <c r="AW1009" i="7" s="1"/>
  <c r="AI1009" i="7"/>
  <c r="AJ1009" i="7" s="1"/>
  <c r="AV1007" i="7"/>
  <c r="AT1007" i="7"/>
  <c r="AW1007" i="7" s="1"/>
  <c r="AI1007" i="7"/>
  <c r="AJ1007" i="7" s="1"/>
  <c r="AV1005" i="7"/>
  <c r="AT1005" i="7"/>
  <c r="AW1005" i="7" s="1"/>
  <c r="AI1005" i="7"/>
  <c r="AJ1005" i="7" s="1"/>
  <c r="AX1003" i="7"/>
  <c r="AV1003" i="7"/>
  <c r="AU1003" i="7"/>
  <c r="AT1003" i="7"/>
  <c r="AW1003" i="7" s="1"/>
  <c r="AV1001" i="7"/>
  <c r="AT1001" i="7"/>
  <c r="AW1001" i="7" s="1"/>
  <c r="AG1001" i="7"/>
  <c r="AG1024" i="7" s="1"/>
  <c r="AV999" i="7"/>
  <c r="AT999" i="7"/>
  <c r="AW999" i="7" s="1"/>
  <c r="AI999" i="7"/>
  <c r="AJ999" i="7" s="1"/>
  <c r="AV997" i="7"/>
  <c r="AT997" i="7"/>
  <c r="AW997" i="7" s="1"/>
  <c r="AH997" i="7"/>
  <c r="AH1024" i="7" s="1"/>
  <c r="AX995" i="7"/>
  <c r="AV995" i="7"/>
  <c r="AU995" i="7"/>
  <c r="AT995" i="7"/>
  <c r="AW995" i="7" s="1"/>
  <c r="AX990" i="7"/>
  <c r="AV990" i="7"/>
  <c r="AU990" i="7"/>
  <c r="AT990" i="7"/>
  <c r="AW990" i="7" s="1"/>
  <c r="AX988" i="7"/>
  <c r="AV988" i="7"/>
  <c r="AU988" i="7"/>
  <c r="AT988" i="7"/>
  <c r="AW988" i="7" s="1"/>
  <c r="AS979" i="7"/>
  <c r="AR979" i="7"/>
  <c r="AQ979" i="7"/>
  <c r="AP979" i="7"/>
  <c r="AN979" i="7"/>
  <c r="AM979" i="7"/>
  <c r="AK979" i="7"/>
  <c r="AF979" i="7"/>
  <c r="AE979" i="7"/>
  <c r="AD979" i="7"/>
  <c r="AX977" i="7"/>
  <c r="AV977" i="7"/>
  <c r="AU977" i="7"/>
  <c r="AT977" i="7"/>
  <c r="AW977" i="7" s="1"/>
  <c r="AV973" i="7"/>
  <c r="AT973" i="7"/>
  <c r="AW973" i="7" s="1"/>
  <c r="AI973" i="7"/>
  <c r="AJ973" i="7" s="1"/>
  <c r="AV972" i="7"/>
  <c r="AT972" i="7"/>
  <c r="AW972" i="7" s="1"/>
  <c r="AI972" i="7"/>
  <c r="AJ972" i="7" s="1"/>
  <c r="AX972" i="7" s="1"/>
  <c r="AX971" i="7"/>
  <c r="AV971" i="7"/>
  <c r="AU971" i="7"/>
  <c r="AT971" i="7"/>
  <c r="AW971" i="7" s="1"/>
  <c r="AX966" i="7"/>
  <c r="AV966" i="7"/>
  <c r="AU966" i="7"/>
  <c r="AT966" i="7"/>
  <c r="AW966" i="7" s="1"/>
  <c r="AX962" i="7"/>
  <c r="AV962" i="7"/>
  <c r="AU962" i="7"/>
  <c r="AT962" i="7"/>
  <c r="AW962" i="7" s="1"/>
  <c r="AX956" i="7"/>
  <c r="AV956" i="7"/>
  <c r="AU956" i="7"/>
  <c r="AT956" i="7"/>
  <c r="AW956" i="7" s="1"/>
  <c r="AV943" i="7"/>
  <c r="AT943" i="7"/>
  <c r="AW943" i="7" s="1"/>
  <c r="AI943" i="7"/>
  <c r="AJ943" i="7" s="1"/>
  <c r="AU943" i="7" s="1"/>
  <c r="AX942" i="7"/>
  <c r="AV942" i="7"/>
  <c r="AU942" i="7"/>
  <c r="AT942" i="7"/>
  <c r="AW942" i="7" s="1"/>
  <c r="AV933" i="7"/>
  <c r="AT933" i="7"/>
  <c r="AW933" i="7" s="1"/>
  <c r="AI933" i="7"/>
  <c r="AJ933" i="7" s="1"/>
  <c r="AU933" i="7" s="1"/>
  <c r="AX932" i="7"/>
  <c r="AV932" i="7"/>
  <c r="AU932" i="7"/>
  <c r="AT932" i="7"/>
  <c r="AW932" i="7" s="1"/>
  <c r="AX931" i="7"/>
  <c r="AV931" i="7"/>
  <c r="AU931" i="7"/>
  <c r="AT931" i="7"/>
  <c r="AW931" i="7" s="1"/>
  <c r="AV927" i="7"/>
  <c r="AT927" i="7"/>
  <c r="AW927" i="7" s="1"/>
  <c r="AI927" i="7"/>
  <c r="AJ927" i="7" s="1"/>
  <c r="AX926" i="7"/>
  <c r="AV926" i="7"/>
  <c r="AU926" i="7"/>
  <c r="AT926" i="7"/>
  <c r="AW926" i="7" s="1"/>
  <c r="AX922" i="7"/>
  <c r="AV922" i="7"/>
  <c r="AU922" i="7"/>
  <c r="AT922" i="7"/>
  <c r="AW922" i="7" s="1"/>
  <c r="AV914" i="7"/>
  <c r="AT914" i="7"/>
  <c r="AW914" i="7" s="1"/>
  <c r="AI914" i="7"/>
  <c r="AJ914" i="7" s="1"/>
  <c r="AV913" i="7"/>
  <c r="AT913" i="7"/>
  <c r="AW913" i="7" s="1"/>
  <c r="AI913" i="7"/>
  <c r="AJ913" i="7" s="1"/>
  <c r="AU913" i="7" s="1"/>
  <c r="AV909" i="7"/>
  <c r="AT909" i="7"/>
  <c r="AW909" i="7" s="1"/>
  <c r="AI909" i="7"/>
  <c r="AJ909" i="7" s="1"/>
  <c r="AV908" i="7"/>
  <c r="AT908" i="7"/>
  <c r="AW908" i="7" s="1"/>
  <c r="AI908" i="7"/>
  <c r="AJ908" i="7" s="1"/>
  <c r="AX908" i="7" s="1"/>
  <c r="AV907" i="7"/>
  <c r="AT907" i="7"/>
  <c r="AW907" i="7" s="1"/>
  <c r="AI907" i="7"/>
  <c r="AJ907" i="7" s="1"/>
  <c r="AU907" i="7" s="1"/>
  <c r="AV906" i="7"/>
  <c r="AT906" i="7"/>
  <c r="AW906" i="7" s="1"/>
  <c r="AI906" i="7"/>
  <c r="AJ906" i="7" s="1"/>
  <c r="AV905" i="7"/>
  <c r="AT905" i="7"/>
  <c r="AW905" i="7" s="1"/>
  <c r="AH905" i="7"/>
  <c r="AI905" i="7" s="1"/>
  <c r="AJ905" i="7" s="1"/>
  <c r="AX905" i="7" s="1"/>
  <c r="AV903" i="7"/>
  <c r="AT903" i="7"/>
  <c r="AW903" i="7" s="1"/>
  <c r="AI903" i="7"/>
  <c r="AJ903" i="7" s="1"/>
  <c r="AX903" i="7" s="1"/>
  <c r="AX902" i="7"/>
  <c r="AV902" i="7"/>
  <c r="AU902" i="7"/>
  <c r="AT902" i="7"/>
  <c r="AW902" i="7" s="1"/>
  <c r="AX898" i="7"/>
  <c r="AV898" i="7"/>
  <c r="AU898" i="7"/>
  <c r="AT898" i="7"/>
  <c r="AW898" i="7" s="1"/>
  <c r="AV897" i="7"/>
  <c r="AT897" i="7"/>
  <c r="AW897" i="7" s="1"/>
  <c r="AI897" i="7"/>
  <c r="AJ897" i="7" s="1"/>
  <c r="AV895" i="7"/>
  <c r="AT895" i="7"/>
  <c r="AW895" i="7" s="1"/>
  <c r="AI895" i="7"/>
  <c r="AJ895" i="7" s="1"/>
  <c r="AX895" i="7" s="1"/>
  <c r="AX889" i="7"/>
  <c r="AV889" i="7"/>
  <c r="AU889" i="7"/>
  <c r="AT889" i="7"/>
  <c r="AW889" i="7" s="1"/>
  <c r="AV881" i="7"/>
  <c r="AT881" i="7"/>
  <c r="AW881" i="7" s="1"/>
  <c r="AI881" i="7"/>
  <c r="AJ881" i="7" s="1"/>
  <c r="AV874" i="7"/>
  <c r="AT874" i="7"/>
  <c r="AW874" i="7" s="1"/>
  <c r="AI874" i="7"/>
  <c r="AJ874" i="7" s="1"/>
  <c r="AU874" i="7" s="1"/>
  <c r="AV869" i="7"/>
  <c r="AT869" i="7"/>
  <c r="AW869" i="7" s="1"/>
  <c r="AG869" i="7"/>
  <c r="AI869" i="7" s="1"/>
  <c r="AJ869" i="7" s="1"/>
  <c r="AV864" i="7"/>
  <c r="AT864" i="7"/>
  <c r="AW864" i="7" s="1"/>
  <c r="AG864" i="7"/>
  <c r="AI864" i="7" s="1"/>
  <c r="AJ864" i="7" s="1"/>
  <c r="AV862" i="7"/>
  <c r="AT862" i="7"/>
  <c r="AW862" i="7" s="1"/>
  <c r="AI862" i="7"/>
  <c r="AJ862" i="7" s="1"/>
  <c r="AV852" i="7"/>
  <c r="AT852" i="7"/>
  <c r="AW852" i="7" s="1"/>
  <c r="AI852" i="7"/>
  <c r="AJ852" i="7" s="1"/>
  <c r="AX852" i="7" s="1"/>
  <c r="AV846" i="7"/>
  <c r="AT846" i="7"/>
  <c r="AW846" i="7" s="1"/>
  <c r="AI846" i="7"/>
  <c r="AJ846" i="7" s="1"/>
  <c r="AX846" i="7" s="1"/>
  <c r="AV845" i="7"/>
  <c r="AT845" i="7"/>
  <c r="AW845" i="7" s="1"/>
  <c r="AH845" i="7"/>
  <c r="AI845" i="7" s="1"/>
  <c r="AJ845" i="7" s="1"/>
  <c r="AX841" i="7"/>
  <c r="AV841" i="7"/>
  <c r="AU841" i="7"/>
  <c r="AT841" i="7"/>
  <c r="AW841" i="7" s="1"/>
  <c r="AV839" i="7"/>
  <c r="AT839" i="7"/>
  <c r="AW839" i="7" s="1"/>
  <c r="AO839" i="7"/>
  <c r="AI839" i="7"/>
  <c r="AJ839" i="7" s="1"/>
  <c r="AX839" i="7" s="1"/>
  <c r="AT838" i="7"/>
  <c r="AV837" i="7"/>
  <c r="AT837" i="7"/>
  <c r="AW837" i="7" s="1"/>
  <c r="AI837" i="7"/>
  <c r="AJ837" i="7" s="1"/>
  <c r="AV836" i="7"/>
  <c r="AT836" i="7"/>
  <c r="AW836" i="7" s="1"/>
  <c r="AH836" i="7"/>
  <c r="AG836" i="7"/>
  <c r="AV833" i="7"/>
  <c r="AT833" i="7"/>
  <c r="AW833" i="7" s="1"/>
  <c r="AI833" i="7"/>
  <c r="AJ833" i="7" s="1"/>
  <c r="AV832" i="7"/>
  <c r="AT832" i="7"/>
  <c r="AW832" i="7" s="1"/>
  <c r="AI832" i="7"/>
  <c r="AJ832" i="7" s="1"/>
  <c r="AV830" i="7"/>
  <c r="AT830" i="7"/>
  <c r="AW830" i="7" s="1"/>
  <c r="AI830" i="7"/>
  <c r="AJ830" i="7" s="1"/>
  <c r="AV828" i="7"/>
  <c r="AT828" i="7"/>
  <c r="AW828" i="7" s="1"/>
  <c r="AH828" i="7"/>
  <c r="AX826" i="7"/>
  <c r="AV826" i="7"/>
  <c r="AU826" i="7"/>
  <c r="AT826" i="7"/>
  <c r="AW826" i="7" s="1"/>
  <c r="AX824" i="7"/>
  <c r="AV824" i="7"/>
  <c r="AU824" i="7"/>
  <c r="AT824" i="7"/>
  <c r="AW824" i="7" s="1"/>
  <c r="AX822" i="7"/>
  <c r="AV822" i="7"/>
  <c r="AU822" i="7"/>
  <c r="AT822" i="7"/>
  <c r="AW822" i="7" s="1"/>
  <c r="AL979" i="7"/>
  <c r="AV820" i="7"/>
  <c r="AT820" i="7"/>
  <c r="AW820" i="7" s="1"/>
  <c r="AI820" i="7"/>
  <c r="AJ820" i="7" s="1"/>
  <c r="AV818" i="7"/>
  <c r="AT818" i="7"/>
  <c r="AW818" i="7" s="1"/>
  <c r="AI818" i="7"/>
  <c r="AJ818" i="7" s="1"/>
  <c r="AX818" i="7" s="1"/>
  <c r="AV814" i="7"/>
  <c r="AT814" i="7"/>
  <c r="AW814" i="7" s="1"/>
  <c r="AI814" i="7"/>
  <c r="AJ814" i="7" s="1"/>
  <c r="AU814" i="7" s="1"/>
  <c r="AV813" i="7"/>
  <c r="AT813" i="7"/>
  <c r="AW813" i="7" s="1"/>
  <c r="AI813" i="7"/>
  <c r="AJ813" i="7" s="1"/>
  <c r="AX811" i="7"/>
  <c r="AV811" i="7"/>
  <c r="AU811" i="7"/>
  <c r="AT811" i="7"/>
  <c r="AW811" i="7" s="1"/>
  <c r="AX809" i="7"/>
  <c r="AV809" i="7"/>
  <c r="AU809" i="7"/>
  <c r="AT809" i="7"/>
  <c r="AW809" i="7" s="1"/>
  <c r="AX787" i="7"/>
  <c r="AV787" i="7"/>
  <c r="AU787" i="7"/>
  <c r="AT787" i="7"/>
  <c r="AW787" i="7" s="1"/>
  <c r="AV781" i="7"/>
  <c r="AT781" i="7"/>
  <c r="AW781" i="7" s="1"/>
  <c r="AG781" i="7"/>
  <c r="AV779" i="7"/>
  <c r="AT779" i="7"/>
  <c r="AW779" i="7" s="1"/>
  <c r="AI779" i="7"/>
  <c r="AJ779" i="7" s="1"/>
  <c r="AU779" i="7" s="1"/>
  <c r="AX777" i="7"/>
  <c r="AV777" i="7"/>
  <c r="AU777" i="7"/>
  <c r="AT777" i="7"/>
  <c r="AW777" i="7" s="1"/>
  <c r="AS767" i="7"/>
  <c r="AR767" i="7"/>
  <c r="AQ767" i="7"/>
  <c r="AP767" i="7"/>
  <c r="AN767" i="7"/>
  <c r="AM767" i="7"/>
  <c r="AL767" i="7"/>
  <c r="AK767" i="7"/>
  <c r="AH767" i="7"/>
  <c r="AF767" i="7"/>
  <c r="AE767" i="7"/>
  <c r="AD767" i="7"/>
  <c r="AV766" i="7"/>
  <c r="AT766" i="7"/>
  <c r="AW766" i="7" s="1"/>
  <c r="AI766" i="7"/>
  <c r="AJ766" i="7" s="1"/>
  <c r="AV760" i="7"/>
  <c r="AT760" i="7"/>
  <c r="AW760" i="7" s="1"/>
  <c r="AG760" i="7"/>
  <c r="AI760" i="7" s="1"/>
  <c r="AJ760" i="7" s="1"/>
  <c r="AX758" i="7"/>
  <c r="AV758" i="7"/>
  <c r="AU758" i="7"/>
  <c r="AT758" i="7"/>
  <c r="AW758" i="7" s="1"/>
  <c r="AV756" i="7"/>
  <c r="AT756" i="7"/>
  <c r="AW756" i="7" s="1"/>
  <c r="AI756" i="7"/>
  <c r="AJ756" i="7" s="1"/>
  <c r="AX756" i="7" s="1"/>
  <c r="AX755" i="7"/>
  <c r="AV755" i="7"/>
  <c r="AU755" i="7"/>
  <c r="AT755" i="7"/>
  <c r="AW755" i="7" s="1"/>
  <c r="AV753" i="7"/>
  <c r="AT753" i="7"/>
  <c r="AW753" i="7" s="1"/>
  <c r="AI753" i="7"/>
  <c r="AJ753" i="7" s="1"/>
  <c r="AU753" i="7" s="1"/>
  <c r="AX752" i="7"/>
  <c r="AV752" i="7"/>
  <c r="AU752" i="7"/>
  <c r="AT752" i="7"/>
  <c r="AW752" i="7" s="1"/>
  <c r="AV748" i="7"/>
  <c r="AT748" i="7"/>
  <c r="AW748" i="7" s="1"/>
  <c r="AI748" i="7"/>
  <c r="AJ748" i="7" s="1"/>
  <c r="AX748" i="7" s="1"/>
  <c r="AX747" i="7"/>
  <c r="AV747" i="7"/>
  <c r="AU747" i="7"/>
  <c r="AT747" i="7"/>
  <c r="AW747" i="7" s="1"/>
  <c r="AV746" i="7"/>
  <c r="AT746" i="7"/>
  <c r="AW746" i="7" s="1"/>
  <c r="AG746" i="7"/>
  <c r="AV744" i="7"/>
  <c r="AT744" i="7"/>
  <c r="AW744" i="7" s="1"/>
  <c r="AI744" i="7"/>
  <c r="AJ744" i="7" s="1"/>
  <c r="AX743" i="7"/>
  <c r="AV743" i="7"/>
  <c r="AU743" i="7"/>
  <c r="AT743" i="7"/>
  <c r="AW743" i="7" s="1"/>
  <c r="AV742" i="7"/>
  <c r="AT742" i="7"/>
  <c r="AW742" i="7" s="1"/>
  <c r="AI742" i="7"/>
  <c r="AJ742" i="7" s="1"/>
  <c r="AX742" i="7" s="1"/>
  <c r="AW740" i="7"/>
  <c r="AV740" i="7"/>
  <c r="AI740" i="7"/>
  <c r="AJ740" i="7" s="1"/>
  <c r="AW739" i="7"/>
  <c r="AV739" i="7"/>
  <c r="AI739" i="7"/>
  <c r="AJ739" i="7" s="1"/>
  <c r="AU739" i="7" s="1"/>
  <c r="AV738" i="7"/>
  <c r="AT738" i="7"/>
  <c r="AW738" i="7" s="1"/>
  <c r="AI738" i="7"/>
  <c r="AJ738" i="7" s="1"/>
  <c r="AX738" i="7" s="1"/>
  <c r="AV737" i="7"/>
  <c r="AT737" i="7"/>
  <c r="AW737" i="7" s="1"/>
  <c r="AI737" i="7"/>
  <c r="AJ737" i="7" s="1"/>
  <c r="AV736" i="7"/>
  <c r="AT736" i="7"/>
  <c r="AW736" i="7" s="1"/>
  <c r="AI736" i="7"/>
  <c r="AJ736" i="7" s="1"/>
  <c r="AV735" i="7"/>
  <c r="AT735" i="7"/>
  <c r="AW735" i="7" s="1"/>
  <c r="AI735" i="7"/>
  <c r="AJ735" i="7" s="1"/>
  <c r="AV734" i="7"/>
  <c r="AT734" i="7"/>
  <c r="AW734" i="7" s="1"/>
  <c r="AI734" i="7"/>
  <c r="AJ734" i="7" s="1"/>
  <c r="AU734" i="7" s="1"/>
  <c r="AX732" i="7"/>
  <c r="AV732" i="7"/>
  <c r="AU732" i="7"/>
  <c r="AT732" i="7"/>
  <c r="AW732" i="7" s="1"/>
  <c r="AX731" i="7"/>
  <c r="AV731" i="7"/>
  <c r="AU731" i="7"/>
  <c r="AT731" i="7"/>
  <c r="AW731" i="7" s="1"/>
  <c r="AV729" i="7"/>
  <c r="AT729" i="7"/>
  <c r="AW729" i="7" s="1"/>
  <c r="AI729" i="7"/>
  <c r="AJ729" i="7" s="1"/>
  <c r="AX729" i="7" s="1"/>
  <c r="AV728" i="7"/>
  <c r="AT728" i="7"/>
  <c r="AW728" i="7" s="1"/>
  <c r="AI728" i="7"/>
  <c r="AJ728" i="7" s="1"/>
  <c r="AU728" i="7" s="1"/>
  <c r="AV727" i="7"/>
  <c r="AT727" i="7"/>
  <c r="AW727" i="7" s="1"/>
  <c r="AI727" i="7"/>
  <c r="AJ727" i="7" s="1"/>
  <c r="AU727" i="7" s="1"/>
  <c r="AV726" i="7"/>
  <c r="AT726" i="7"/>
  <c r="AW726" i="7" s="1"/>
  <c r="AI726" i="7"/>
  <c r="AJ726" i="7" s="1"/>
  <c r="AV725" i="7"/>
  <c r="AT725" i="7"/>
  <c r="AW725" i="7" s="1"/>
  <c r="AI725" i="7"/>
  <c r="AJ725" i="7" s="1"/>
  <c r="AX723" i="7"/>
  <c r="AV723" i="7"/>
  <c r="AU723" i="7"/>
  <c r="AT723" i="7"/>
  <c r="AW723" i="7" s="1"/>
  <c r="AX721" i="7"/>
  <c r="AV721" i="7"/>
  <c r="AU721" i="7"/>
  <c r="AT721" i="7"/>
  <c r="AW721" i="7" s="1"/>
  <c r="AO767" i="7"/>
  <c r="AX719" i="7"/>
  <c r="AV719" i="7"/>
  <c r="AU719" i="7"/>
  <c r="AT719" i="7"/>
  <c r="AW719" i="7" s="1"/>
  <c r="AV717" i="7"/>
  <c r="AU717" i="7"/>
  <c r="AT717" i="7"/>
  <c r="AW717" i="7" s="1"/>
  <c r="AX715" i="7"/>
  <c r="AV715" i="7"/>
  <c r="AU715" i="7"/>
  <c r="AT715" i="7"/>
  <c r="AW715" i="7" s="1"/>
  <c r="AV712" i="7"/>
  <c r="AT712" i="7"/>
  <c r="AW712" i="7" s="1"/>
  <c r="AI712" i="7"/>
  <c r="AJ712" i="7" s="1"/>
  <c r="AV709" i="7"/>
  <c r="AT709" i="7"/>
  <c r="AW709" i="7" s="1"/>
  <c r="AI709" i="7"/>
  <c r="AJ709" i="7" s="1"/>
  <c r="AX709" i="7" s="1"/>
  <c r="AX708" i="7"/>
  <c r="AV708" i="7"/>
  <c r="AU708" i="7"/>
  <c r="AT708" i="7"/>
  <c r="AW708" i="7" s="1"/>
  <c r="AX707" i="7"/>
  <c r="AV707" i="7"/>
  <c r="AU707" i="7"/>
  <c r="AT707" i="7"/>
  <c r="AW707" i="7" s="1"/>
  <c r="AV706" i="7"/>
  <c r="AT706" i="7"/>
  <c r="AW706" i="7" s="1"/>
  <c r="AI706" i="7"/>
  <c r="AJ706" i="7" s="1"/>
  <c r="AX700" i="7"/>
  <c r="AV700" i="7"/>
  <c r="AU700" i="7"/>
  <c r="AT700" i="7"/>
  <c r="AW700" i="7" s="1"/>
  <c r="AV698" i="7"/>
  <c r="AT698" i="7"/>
  <c r="AW698" i="7" s="1"/>
  <c r="AI698" i="7"/>
  <c r="AJ698" i="7" s="1"/>
  <c r="AV693" i="7"/>
  <c r="AT693" i="7"/>
  <c r="AW693" i="7" s="1"/>
  <c r="AI693" i="7"/>
  <c r="AJ693" i="7" s="1"/>
  <c r="AS687" i="7"/>
  <c r="AR687" i="7"/>
  <c r="AQ687" i="7"/>
  <c r="AP687" i="7"/>
  <c r="AO687" i="7"/>
  <c r="AN687" i="7"/>
  <c r="AM687" i="7"/>
  <c r="AL687" i="7"/>
  <c r="AK687" i="7"/>
  <c r="AF687" i="7"/>
  <c r="AD687" i="7"/>
  <c r="AV685" i="7"/>
  <c r="AT685" i="7"/>
  <c r="AW685" i="7" s="1"/>
  <c r="AI685" i="7"/>
  <c r="AJ685" i="7" s="1"/>
  <c r="AX684" i="7"/>
  <c r="AV684" i="7"/>
  <c r="AU684" i="7"/>
  <c r="AT684" i="7"/>
  <c r="AW684" i="7" s="1"/>
  <c r="AX683" i="7"/>
  <c r="AV683" i="7"/>
  <c r="AU683" i="7"/>
  <c r="AT683" i="7"/>
  <c r="AW683" i="7" s="1"/>
  <c r="AX674" i="7"/>
  <c r="AV674" i="7"/>
  <c r="AU674" i="7"/>
  <c r="AT674" i="7"/>
  <c r="AW674" i="7" s="1"/>
  <c r="AX673" i="7"/>
  <c r="AV673" i="7"/>
  <c r="AU673" i="7"/>
  <c r="AT673" i="7"/>
  <c r="AW673" i="7" s="1"/>
  <c r="AX672" i="7"/>
  <c r="AV672" i="7"/>
  <c r="AU672" i="7"/>
  <c r="AT672" i="7"/>
  <c r="AW672" i="7" s="1"/>
  <c r="AX671" i="7"/>
  <c r="AV671" i="7"/>
  <c r="AU671" i="7"/>
  <c r="AT671" i="7"/>
  <c r="AW671" i="7" s="1"/>
  <c r="AX670" i="7"/>
  <c r="AV670" i="7"/>
  <c r="AU670" i="7"/>
  <c r="AT670" i="7"/>
  <c r="AW670" i="7" s="1"/>
  <c r="AV662" i="7"/>
  <c r="AT662" i="7"/>
  <c r="AW662" i="7" s="1"/>
  <c r="AI662" i="7"/>
  <c r="AJ662" i="7" s="1"/>
  <c r="AU662" i="7" s="1"/>
  <c r="AV658" i="7"/>
  <c r="AT658" i="7"/>
  <c r="AW658" i="7" s="1"/>
  <c r="AI658" i="7"/>
  <c r="AJ658" i="7" s="1"/>
  <c r="AV656" i="7"/>
  <c r="AT656" i="7"/>
  <c r="AW656" i="7" s="1"/>
  <c r="AI656" i="7"/>
  <c r="AJ656" i="7" s="1"/>
  <c r="AX655" i="7"/>
  <c r="AV655" i="7"/>
  <c r="AU655" i="7"/>
  <c r="AT655" i="7"/>
  <c r="AW655" i="7" s="1"/>
  <c r="AV654" i="7"/>
  <c r="AT654" i="7"/>
  <c r="AW654" i="7" s="1"/>
  <c r="AG654" i="7"/>
  <c r="AI654" i="7" s="1"/>
  <c r="AJ654" i="7" s="1"/>
  <c r="AV652" i="7"/>
  <c r="AT652" i="7"/>
  <c r="AW652" i="7" s="1"/>
  <c r="AI652" i="7"/>
  <c r="AJ652" i="7" s="1"/>
  <c r="AV651" i="7"/>
  <c r="AT651" i="7"/>
  <c r="AW651" i="7" s="1"/>
  <c r="AH651" i="7"/>
  <c r="AI651" i="7" s="1"/>
  <c r="AJ651" i="7" s="1"/>
  <c r="AV649" i="7"/>
  <c r="AT649" i="7"/>
  <c r="AW649" i="7" s="1"/>
  <c r="AU649" i="7"/>
  <c r="AV647" i="7"/>
  <c r="AT647" i="7"/>
  <c r="AW647" i="7" s="1"/>
  <c r="AI647" i="7"/>
  <c r="AJ647" i="7" s="1"/>
  <c r="AU647" i="7" s="1"/>
  <c r="AX646" i="7"/>
  <c r="AV646" i="7"/>
  <c r="AU646" i="7"/>
  <c r="AT646" i="7"/>
  <c r="AW646" i="7" s="1"/>
  <c r="AV643" i="7"/>
  <c r="AT643" i="7"/>
  <c r="AW643" i="7" s="1"/>
  <c r="AI643" i="7"/>
  <c r="AJ643" i="7" s="1"/>
  <c r="AV642" i="7"/>
  <c r="AT642" i="7"/>
  <c r="AW642" i="7" s="1"/>
  <c r="AI642" i="7"/>
  <c r="AJ642" i="7" s="1"/>
  <c r="AV641" i="7"/>
  <c r="AT641" i="7"/>
  <c r="AW641" i="7" s="1"/>
  <c r="AI641" i="7"/>
  <c r="AJ641" i="7" s="1"/>
  <c r="AX641" i="7" s="1"/>
  <c r="AV640" i="7"/>
  <c r="AT640" i="7"/>
  <c r="AW640" i="7" s="1"/>
  <c r="AI640" i="7"/>
  <c r="AJ640" i="7" s="1"/>
  <c r="AU640" i="7" s="1"/>
  <c r="AV639" i="7"/>
  <c r="AT639" i="7"/>
  <c r="AW639" i="7" s="1"/>
  <c r="AI639" i="7"/>
  <c r="AJ639" i="7" s="1"/>
  <c r="AU639" i="7" s="1"/>
  <c r="AV638" i="7"/>
  <c r="AT638" i="7"/>
  <c r="AW638" i="7" s="1"/>
  <c r="AI638" i="7"/>
  <c r="AJ638" i="7" s="1"/>
  <c r="AV637" i="7"/>
  <c r="AT637" i="7"/>
  <c r="AW637" i="7" s="1"/>
  <c r="AI637" i="7"/>
  <c r="AJ637" i="7" s="1"/>
  <c r="AX637" i="7" s="1"/>
  <c r="AV631" i="7"/>
  <c r="AT631" i="7"/>
  <c r="AW631" i="7" s="1"/>
  <c r="AV630" i="7"/>
  <c r="AT630" i="7"/>
  <c r="AW630" i="7" s="1"/>
  <c r="AI630" i="7"/>
  <c r="AJ630" i="7" s="1"/>
  <c r="AU630" i="7" s="1"/>
  <c r="AV629" i="7"/>
  <c r="AT629" i="7"/>
  <c r="AW629" i="7" s="1"/>
  <c r="AI629" i="7"/>
  <c r="AJ629" i="7" s="1"/>
  <c r="AX628" i="7"/>
  <c r="AV628" i="7"/>
  <c r="AU628" i="7"/>
  <c r="AT628" i="7"/>
  <c r="AW628" i="7" s="1"/>
  <c r="AV627" i="7"/>
  <c r="AT627" i="7"/>
  <c r="AW627" i="7" s="1"/>
  <c r="AI627" i="7"/>
  <c r="AJ627" i="7" s="1"/>
  <c r="AX625" i="7"/>
  <c r="AV625" i="7"/>
  <c r="AU625" i="7"/>
  <c r="AT625" i="7"/>
  <c r="AW625" i="7" s="1"/>
  <c r="AV624" i="7"/>
  <c r="AT624" i="7"/>
  <c r="AW624" i="7" s="1"/>
  <c r="AI624" i="7"/>
  <c r="AJ624" i="7" s="1"/>
  <c r="AV620" i="7"/>
  <c r="AT620" i="7"/>
  <c r="AW620" i="7" s="1"/>
  <c r="AG620" i="7"/>
  <c r="AI620" i="7" s="1"/>
  <c r="AJ620" i="7" s="1"/>
  <c r="AU620" i="7" s="1"/>
  <c r="AV618" i="7"/>
  <c r="AT618" i="7"/>
  <c r="AW618" i="7" s="1"/>
  <c r="AI618" i="7"/>
  <c r="AJ618" i="7" s="1"/>
  <c r="AU618" i="7" s="1"/>
  <c r="AV617" i="7"/>
  <c r="AT617" i="7"/>
  <c r="AW617" i="7" s="1"/>
  <c r="AI617" i="7"/>
  <c r="AJ617" i="7" s="1"/>
  <c r="AU617" i="7" s="1"/>
  <c r="AV616" i="7"/>
  <c r="AT616" i="7"/>
  <c r="AW616" i="7" s="1"/>
  <c r="AH616" i="7"/>
  <c r="AI616" i="7" s="1"/>
  <c r="AJ616" i="7" s="1"/>
  <c r="AV614" i="7"/>
  <c r="AT614" i="7"/>
  <c r="AW614" i="7" s="1"/>
  <c r="AG614" i="7"/>
  <c r="AI614" i="7" s="1"/>
  <c r="AJ614" i="7" s="1"/>
  <c r="AV612" i="7"/>
  <c r="AT612" i="7"/>
  <c r="AW612" i="7" s="1"/>
  <c r="AI612" i="7"/>
  <c r="AJ612" i="7" s="1"/>
  <c r="AU612" i="7" s="1"/>
  <c r="AV610" i="7"/>
  <c r="AT610" i="7"/>
  <c r="AW610" i="7" s="1"/>
  <c r="AI610" i="7"/>
  <c r="AJ610" i="7" s="1"/>
  <c r="AU610" i="7" s="1"/>
  <c r="AV608" i="7"/>
  <c r="AT608" i="7"/>
  <c r="AW608" i="7" s="1"/>
  <c r="AI608" i="7"/>
  <c r="AJ608" i="7" s="1"/>
  <c r="AV607" i="7"/>
  <c r="AT607" i="7"/>
  <c r="AW607" i="7" s="1"/>
  <c r="AI607" i="7"/>
  <c r="AJ607" i="7" s="1"/>
  <c r="AV605" i="7"/>
  <c r="AT605" i="7"/>
  <c r="AW605" i="7" s="1"/>
  <c r="AI605" i="7"/>
  <c r="AJ605" i="7" s="1"/>
  <c r="AV603" i="7"/>
  <c r="AT603" i="7"/>
  <c r="AW603" i="7" s="1"/>
  <c r="AI603" i="7"/>
  <c r="AJ603" i="7" s="1"/>
  <c r="AX600" i="7"/>
  <c r="AV600" i="7"/>
  <c r="AU600" i="7"/>
  <c r="AT600" i="7"/>
  <c r="AW600" i="7" s="1"/>
  <c r="AV597" i="7"/>
  <c r="AT597" i="7"/>
  <c r="AW597" i="7" s="1"/>
  <c r="AI597" i="7"/>
  <c r="AJ597" i="7" s="1"/>
  <c r="AU597" i="7" s="1"/>
  <c r="AV596" i="7"/>
  <c r="AT596" i="7"/>
  <c r="AW596" i="7" s="1"/>
  <c r="AI596" i="7"/>
  <c r="AJ596" i="7" s="1"/>
  <c r="AV595" i="7"/>
  <c r="AT595" i="7"/>
  <c r="AW595" i="7" s="1"/>
  <c r="AI595" i="7"/>
  <c r="AJ595" i="7" s="1"/>
  <c r="AX595" i="7" s="1"/>
  <c r="AV594" i="7"/>
  <c r="AT594" i="7"/>
  <c r="AW594" i="7" s="1"/>
  <c r="AI594" i="7"/>
  <c r="AJ594" i="7" s="1"/>
  <c r="AV593" i="7"/>
  <c r="AT593" i="7"/>
  <c r="AW593" i="7" s="1"/>
  <c r="AI593" i="7"/>
  <c r="AJ593" i="7" s="1"/>
  <c r="AV592" i="7"/>
  <c r="AT592" i="7"/>
  <c r="AW592" i="7" s="1"/>
  <c r="AH592" i="7"/>
  <c r="AV589" i="7"/>
  <c r="AT589" i="7"/>
  <c r="AW589" i="7" s="1"/>
  <c r="AI589" i="7"/>
  <c r="AJ589" i="7" s="1"/>
  <c r="AV587" i="7"/>
  <c r="AT587" i="7"/>
  <c r="AW587" i="7" s="1"/>
  <c r="AG587" i="7"/>
  <c r="AV585" i="7"/>
  <c r="AT585" i="7"/>
  <c r="AW585" i="7" s="1"/>
  <c r="AE585" i="7"/>
  <c r="AI585" i="7" s="1"/>
  <c r="AJ585" i="7" s="1"/>
  <c r="AV584" i="7"/>
  <c r="AT584" i="7"/>
  <c r="AW584" i="7" s="1"/>
  <c r="AI584" i="7"/>
  <c r="AJ584" i="7" s="1"/>
  <c r="AX582" i="7"/>
  <c r="AV582" i="7"/>
  <c r="AU582" i="7"/>
  <c r="AT582" i="7"/>
  <c r="AW582" i="7" s="1"/>
  <c r="AV581" i="7"/>
  <c r="AT581" i="7"/>
  <c r="AW581" i="7" s="1"/>
  <c r="AI581" i="7"/>
  <c r="AJ581" i="7" s="1"/>
  <c r="AV579" i="7"/>
  <c r="AT579" i="7"/>
  <c r="AW579" i="7" s="1"/>
  <c r="AI579" i="7"/>
  <c r="AJ579" i="7" s="1"/>
  <c r="AV577" i="7"/>
  <c r="AT577" i="7"/>
  <c r="AW577" i="7" s="1"/>
  <c r="AI577" i="7"/>
  <c r="AJ577" i="7" s="1"/>
  <c r="AV575" i="7"/>
  <c r="AT575" i="7"/>
  <c r="AW575" i="7" s="1"/>
  <c r="AI575" i="7"/>
  <c r="AJ575" i="7" s="1"/>
  <c r="AV574" i="7"/>
  <c r="AT574" i="7"/>
  <c r="AW574" i="7" s="1"/>
  <c r="AI574" i="7"/>
  <c r="AJ574" i="7" s="1"/>
  <c r="AV572" i="7"/>
  <c r="AT572" i="7"/>
  <c r="AW572" i="7" s="1"/>
  <c r="AI572" i="7"/>
  <c r="AJ572" i="7" s="1"/>
  <c r="AU572" i="7" s="1"/>
  <c r="AV570" i="7"/>
  <c r="AT570" i="7"/>
  <c r="AW570" i="7" s="1"/>
  <c r="AI570" i="7"/>
  <c r="AJ570" i="7" s="1"/>
  <c r="AV569" i="7"/>
  <c r="AT569" i="7"/>
  <c r="AW569" i="7" s="1"/>
  <c r="AI569" i="7"/>
  <c r="AJ569" i="7" s="1"/>
  <c r="AX569" i="7" s="1"/>
  <c r="AV568" i="7"/>
  <c r="AT568" i="7"/>
  <c r="AW568" i="7" s="1"/>
  <c r="AI568" i="7"/>
  <c r="AJ568" i="7" s="1"/>
  <c r="AX567" i="7"/>
  <c r="AV567" i="7"/>
  <c r="AU567" i="7"/>
  <c r="AT567" i="7"/>
  <c r="AW567" i="7" s="1"/>
  <c r="AV565" i="7"/>
  <c r="AT565" i="7"/>
  <c r="AW565" i="7" s="1"/>
  <c r="AI565" i="7"/>
  <c r="AJ565" i="7" s="1"/>
  <c r="AU565" i="7" s="1"/>
  <c r="AV563" i="7"/>
  <c r="AT563" i="7"/>
  <c r="AW563" i="7" s="1"/>
  <c r="AI563" i="7"/>
  <c r="AJ563" i="7" s="1"/>
  <c r="AU563" i="7" s="1"/>
  <c r="AV562" i="7"/>
  <c r="AT562" i="7"/>
  <c r="AW562" i="7" s="1"/>
  <c r="AI562" i="7"/>
  <c r="AJ562" i="7" s="1"/>
  <c r="AV561" i="7"/>
  <c r="AT561" i="7"/>
  <c r="AW561" i="7" s="1"/>
  <c r="AI561" i="7"/>
  <c r="AJ561" i="7" s="1"/>
  <c r="AV559" i="7"/>
  <c r="AT559" i="7"/>
  <c r="AW559" i="7" s="1"/>
  <c r="AI559" i="7"/>
  <c r="AJ559" i="7" s="1"/>
  <c r="AV557" i="7"/>
  <c r="AT557" i="7"/>
  <c r="AW557" i="7" s="1"/>
  <c r="AI557" i="7"/>
  <c r="AJ557" i="7" s="1"/>
  <c r="AV555" i="7"/>
  <c r="AT555" i="7"/>
  <c r="AW555" i="7" s="1"/>
  <c r="AI555" i="7"/>
  <c r="AJ555" i="7" s="1"/>
  <c r="AV553" i="7"/>
  <c r="AT553" i="7"/>
  <c r="AW553" i="7" s="1"/>
  <c r="AI553" i="7"/>
  <c r="AJ553" i="7" s="1"/>
  <c r="AX553" i="7" s="1"/>
  <c r="AV551" i="7"/>
  <c r="AT551" i="7"/>
  <c r="AW551" i="7" s="1"/>
  <c r="AI551" i="7"/>
  <c r="AJ551" i="7" s="1"/>
  <c r="AU551" i="7" s="1"/>
  <c r="AX550" i="7"/>
  <c r="AV550" i="7"/>
  <c r="AU550" i="7"/>
  <c r="AT550" i="7"/>
  <c r="AW550" i="7" s="1"/>
  <c r="AX549" i="7"/>
  <c r="AV549" i="7"/>
  <c r="AU549" i="7"/>
  <c r="AT549" i="7"/>
  <c r="AW549" i="7" s="1"/>
  <c r="AV547" i="7"/>
  <c r="AT547" i="7"/>
  <c r="AW547" i="7" s="1"/>
  <c r="AI547" i="7"/>
  <c r="AJ547" i="7" s="1"/>
  <c r="AV546" i="7"/>
  <c r="AT546" i="7"/>
  <c r="AW546" i="7" s="1"/>
  <c r="AI546" i="7"/>
  <c r="AJ546" i="7" s="1"/>
  <c r="AU546" i="7" s="1"/>
  <c r="AV544" i="7"/>
  <c r="AT544" i="7"/>
  <c r="AW544" i="7" s="1"/>
  <c r="AI544" i="7"/>
  <c r="AJ544" i="7" s="1"/>
  <c r="AU544" i="7" s="1"/>
  <c r="AV543" i="7"/>
  <c r="AT543" i="7"/>
  <c r="AW543" i="7" s="1"/>
  <c r="AI543" i="7"/>
  <c r="AJ543" i="7" s="1"/>
  <c r="AX542" i="7"/>
  <c r="AV542" i="7"/>
  <c r="AU542" i="7"/>
  <c r="AT542" i="7"/>
  <c r="AW542" i="7" s="1"/>
  <c r="AV541" i="7"/>
  <c r="AT541" i="7"/>
  <c r="AW541" i="7" s="1"/>
  <c r="AI541" i="7"/>
  <c r="AJ541" i="7" s="1"/>
  <c r="AV539" i="7"/>
  <c r="AT539" i="7"/>
  <c r="AW539" i="7" s="1"/>
  <c r="AI539" i="7"/>
  <c r="AJ539" i="7" s="1"/>
  <c r="AV537" i="7"/>
  <c r="AT537" i="7"/>
  <c r="AW537" i="7" s="1"/>
  <c r="AE537" i="7"/>
  <c r="AV535" i="7"/>
  <c r="AT535" i="7"/>
  <c r="AW535" i="7" s="1"/>
  <c r="AI535" i="7"/>
  <c r="AJ535" i="7" s="1"/>
  <c r="AV533" i="7"/>
  <c r="AT533" i="7"/>
  <c r="AW533" i="7" s="1"/>
  <c r="AI533" i="7"/>
  <c r="AX532" i="7"/>
  <c r="AV532" i="7"/>
  <c r="AU532" i="7"/>
  <c r="AT532" i="7"/>
  <c r="AW532" i="7" s="1"/>
  <c r="AX528" i="7"/>
  <c r="AV528" i="7"/>
  <c r="AU528" i="7"/>
  <c r="AT528" i="7"/>
  <c r="AW528" i="7" s="1"/>
  <c r="AX526" i="7"/>
  <c r="AV526" i="7"/>
  <c r="AU526" i="7"/>
  <c r="AT526" i="7"/>
  <c r="AW526" i="7" s="1"/>
  <c r="AX524" i="7"/>
  <c r="AV524" i="7"/>
  <c r="AU524" i="7"/>
  <c r="AT524" i="7"/>
  <c r="AS515" i="7"/>
  <c r="AR515" i="7"/>
  <c r="AQ515" i="7"/>
  <c r="AP515" i="7"/>
  <c r="AN515" i="7"/>
  <c r="AM515" i="7"/>
  <c r="AK515" i="7"/>
  <c r="AH515" i="7"/>
  <c r="AG515" i="7"/>
  <c r="AF515" i="7"/>
  <c r="AE515" i="7"/>
  <c r="AD515" i="7"/>
  <c r="AV514" i="7"/>
  <c r="AT514" i="7"/>
  <c r="AW514" i="7" s="1"/>
  <c r="AI514" i="7"/>
  <c r="AJ514" i="7" s="1"/>
  <c r="AV508" i="7"/>
  <c r="AT508" i="7"/>
  <c r="AW508" i="7" s="1"/>
  <c r="AI508" i="7"/>
  <c r="AJ508" i="7" s="1"/>
  <c r="AX508" i="7" s="1"/>
  <c r="AV505" i="7"/>
  <c r="AT505" i="7"/>
  <c r="AW505" i="7" s="1"/>
  <c r="AI505" i="7"/>
  <c r="AJ505" i="7" s="1"/>
  <c r="AV503" i="7"/>
  <c r="AT503" i="7"/>
  <c r="AW503" i="7" s="1"/>
  <c r="AI503" i="7"/>
  <c r="AJ503" i="7" s="1"/>
  <c r="AX502" i="7"/>
  <c r="AV502" i="7"/>
  <c r="AU502" i="7"/>
  <c r="AT502" i="7"/>
  <c r="AW502" i="7" s="1"/>
  <c r="AX501" i="7"/>
  <c r="AV501" i="7"/>
  <c r="AU501" i="7"/>
  <c r="AT501" i="7"/>
  <c r="AW501" i="7" s="1"/>
  <c r="AV500" i="7"/>
  <c r="AT500" i="7"/>
  <c r="AW500" i="7" s="1"/>
  <c r="AI500" i="7"/>
  <c r="AJ500" i="7" s="1"/>
  <c r="AV492" i="7"/>
  <c r="AT492" i="7"/>
  <c r="AW492" i="7" s="1"/>
  <c r="AI492" i="7"/>
  <c r="AJ492" i="7" s="1"/>
  <c r="AU492" i="7" s="1"/>
  <c r="AV491" i="7"/>
  <c r="AT491" i="7"/>
  <c r="AW491" i="7" s="1"/>
  <c r="AI491" i="7"/>
  <c r="AJ491" i="7" s="1"/>
  <c r="AX485" i="7"/>
  <c r="AV485" i="7"/>
  <c r="AU485" i="7"/>
  <c r="AT485" i="7"/>
  <c r="AW485" i="7" s="1"/>
  <c r="AX484" i="7"/>
  <c r="AV484" i="7"/>
  <c r="AU484" i="7"/>
  <c r="AT484" i="7"/>
  <c r="AW484" i="7" s="1"/>
  <c r="AV482" i="7"/>
  <c r="AT482" i="7"/>
  <c r="AW482" i="7" s="1"/>
  <c r="AI482" i="7"/>
  <c r="AJ482" i="7" s="1"/>
  <c r="AX482" i="7" s="1"/>
  <c r="AV481" i="7"/>
  <c r="AT481" i="7"/>
  <c r="AW481" i="7" s="1"/>
  <c r="AI481" i="7"/>
  <c r="AJ481" i="7" s="1"/>
  <c r="AX481" i="7" s="1"/>
  <c r="AX479" i="7"/>
  <c r="AV479" i="7"/>
  <c r="AU479" i="7"/>
  <c r="AT479" i="7"/>
  <c r="AW479" i="7" s="1"/>
  <c r="AV477" i="7"/>
  <c r="AT477" i="7"/>
  <c r="AW477" i="7" s="1"/>
  <c r="AI477" i="7"/>
  <c r="AJ477" i="7" s="1"/>
  <c r="AU477" i="7" s="1"/>
  <c r="AX476" i="7"/>
  <c r="AV476" i="7"/>
  <c r="AU476" i="7"/>
  <c r="AT476" i="7"/>
  <c r="AW476" i="7" s="1"/>
  <c r="AV474" i="7"/>
  <c r="AT474" i="7"/>
  <c r="AW474" i="7" s="1"/>
  <c r="AI474" i="7"/>
  <c r="AJ474" i="7" s="1"/>
  <c r="AX473" i="7"/>
  <c r="AV473" i="7"/>
  <c r="AU473" i="7"/>
  <c r="AT473" i="7"/>
  <c r="AW473" i="7" s="1"/>
  <c r="AV471" i="7"/>
  <c r="AT471" i="7"/>
  <c r="AW471" i="7" s="1"/>
  <c r="AI471" i="7"/>
  <c r="AJ471" i="7" s="1"/>
  <c r="AU471" i="7" s="1"/>
  <c r="AV470" i="7"/>
  <c r="AT470" i="7"/>
  <c r="AW470" i="7" s="1"/>
  <c r="AI470" i="7"/>
  <c r="AJ470" i="7" s="1"/>
  <c r="AX469" i="7"/>
  <c r="AV469" i="7"/>
  <c r="AU469" i="7"/>
  <c r="AT469" i="7"/>
  <c r="AW469" i="7" s="1"/>
  <c r="AX467" i="7"/>
  <c r="AV467" i="7"/>
  <c r="AU467" i="7"/>
  <c r="AT467" i="7"/>
  <c r="AW467" i="7" s="1"/>
  <c r="AX466" i="7"/>
  <c r="AV466" i="7"/>
  <c r="AU466" i="7"/>
  <c r="AT466" i="7"/>
  <c r="AW466" i="7" s="1"/>
  <c r="AV464" i="7"/>
  <c r="AT464" i="7"/>
  <c r="AW464" i="7" s="1"/>
  <c r="AI464" i="7"/>
  <c r="AJ464" i="7" s="1"/>
  <c r="AU464" i="7" s="1"/>
  <c r="AV462" i="7"/>
  <c r="AT462" i="7"/>
  <c r="AW462" i="7" s="1"/>
  <c r="AI462" i="7"/>
  <c r="AJ462" i="7" s="1"/>
  <c r="AU462" i="7" s="1"/>
  <c r="AX460" i="7"/>
  <c r="AV460" i="7"/>
  <c r="AU460" i="7"/>
  <c r="AT460" i="7"/>
  <c r="AW460" i="7" s="1"/>
  <c r="AX458" i="7"/>
  <c r="AV458" i="7"/>
  <c r="AU458" i="7"/>
  <c r="AT458" i="7"/>
  <c r="AW458" i="7" s="1"/>
  <c r="AV456" i="7"/>
  <c r="AT456" i="7"/>
  <c r="AW456" i="7" s="1"/>
  <c r="AI456" i="7"/>
  <c r="AJ456" i="7" s="1"/>
  <c r="AX453" i="7"/>
  <c r="AV453" i="7"/>
  <c r="AU453" i="7"/>
  <c r="AT453" i="7"/>
  <c r="AW453" i="7" s="1"/>
  <c r="AV451" i="7"/>
  <c r="AT451" i="7"/>
  <c r="AW451" i="7" s="1"/>
  <c r="AI451" i="7"/>
  <c r="AJ451" i="7" s="1"/>
  <c r="AV450" i="7"/>
  <c r="AT450" i="7"/>
  <c r="AW450" i="7" s="1"/>
  <c r="AI450" i="7"/>
  <c r="AJ450" i="7" s="1"/>
  <c r="AV449" i="7"/>
  <c r="AT449" i="7"/>
  <c r="AW449" i="7" s="1"/>
  <c r="AI449" i="7"/>
  <c r="AJ449" i="7" s="1"/>
  <c r="AU449" i="7" s="1"/>
  <c r="AV448" i="7"/>
  <c r="AT448" i="7"/>
  <c r="AW448" i="7" s="1"/>
  <c r="AI448" i="7"/>
  <c r="AJ448" i="7" s="1"/>
  <c r="AV446" i="7"/>
  <c r="AT446" i="7"/>
  <c r="AW446" i="7" s="1"/>
  <c r="AI446" i="7"/>
  <c r="AJ446" i="7" s="1"/>
  <c r="AX442" i="7"/>
  <c r="AV442" i="7"/>
  <c r="AU442" i="7"/>
  <c r="AT442" i="7"/>
  <c r="AW442" i="7" s="1"/>
  <c r="AV438" i="7"/>
  <c r="AT438" i="7"/>
  <c r="AW438" i="7" s="1"/>
  <c r="AV437" i="7"/>
  <c r="AT437" i="7"/>
  <c r="AW437" i="7" s="1"/>
  <c r="AV436" i="7"/>
  <c r="AT436" i="7"/>
  <c r="AW436" i="7" s="1"/>
  <c r="AX435" i="7"/>
  <c r="AV435" i="7"/>
  <c r="AU435" i="7"/>
  <c r="AT435" i="7"/>
  <c r="AW435" i="7" s="1"/>
  <c r="AX434" i="7"/>
  <c r="AV434" i="7"/>
  <c r="AU434" i="7"/>
  <c r="AT434" i="7"/>
  <c r="AW434" i="7" s="1"/>
  <c r="AX433" i="7"/>
  <c r="AV433" i="7"/>
  <c r="AU433" i="7"/>
  <c r="AT433" i="7"/>
  <c r="AW433" i="7" s="1"/>
  <c r="AX432" i="7"/>
  <c r="AV432" i="7"/>
  <c r="AU432" i="7"/>
  <c r="AT432" i="7"/>
  <c r="AW432" i="7" s="1"/>
  <c r="AX431" i="7"/>
  <c r="AV431" i="7"/>
  <c r="AU431" i="7"/>
  <c r="AT431" i="7"/>
  <c r="AW431" i="7" s="1"/>
  <c r="AX429" i="7"/>
  <c r="AV429" i="7"/>
  <c r="AU429" i="7"/>
  <c r="AT429" i="7"/>
  <c r="AW429" i="7" s="1"/>
  <c r="AX428" i="7"/>
  <c r="AV428" i="7"/>
  <c r="AU428" i="7"/>
  <c r="AT428" i="7"/>
  <c r="AW428" i="7" s="1"/>
  <c r="AX427" i="7"/>
  <c r="AV427" i="7"/>
  <c r="AU427" i="7"/>
  <c r="AT427" i="7"/>
  <c r="AW427" i="7" s="1"/>
  <c r="AX425" i="7"/>
  <c r="AV425" i="7"/>
  <c r="AU425" i="7"/>
  <c r="AT425" i="7"/>
  <c r="AW425" i="7" s="1"/>
  <c r="AX420" i="7"/>
  <c r="AV420" i="7"/>
  <c r="AU420" i="7"/>
  <c r="AT420" i="7"/>
  <c r="AW420" i="7" s="1"/>
  <c r="AX418" i="7"/>
  <c r="AV418" i="7"/>
  <c r="AU418" i="7"/>
  <c r="AT418" i="7"/>
  <c r="AW418" i="7" s="1"/>
  <c r="AV416" i="7"/>
  <c r="AT416" i="7"/>
  <c r="AW416" i="7" s="1"/>
  <c r="AX415" i="7"/>
  <c r="AV415" i="7"/>
  <c r="AU415" i="7"/>
  <c r="AT415" i="7"/>
  <c r="AW415" i="7" s="1"/>
  <c r="AV413" i="7"/>
  <c r="AT413" i="7"/>
  <c r="AW413" i="7" s="1"/>
  <c r="AV412" i="7"/>
  <c r="AT412" i="7"/>
  <c r="AW412" i="7" s="1"/>
  <c r="AV411" i="7"/>
  <c r="AT411" i="7"/>
  <c r="AW411" i="7" s="1"/>
  <c r="AX410" i="7"/>
  <c r="AV410" i="7"/>
  <c r="AU410" i="7"/>
  <c r="AT410" i="7"/>
  <c r="AW410" i="7" s="1"/>
  <c r="AX408" i="7"/>
  <c r="AV408" i="7"/>
  <c r="AU408" i="7"/>
  <c r="AT408" i="7"/>
  <c r="AW408" i="7" s="1"/>
  <c r="AV402" i="7"/>
  <c r="AT402" i="7"/>
  <c r="AW402" i="7" s="1"/>
  <c r="AX402" i="7"/>
  <c r="AX403" i="7"/>
  <c r="AV403" i="7"/>
  <c r="AU403" i="7"/>
  <c r="AT403" i="7"/>
  <c r="AW403" i="7" s="1"/>
  <c r="AX398" i="7"/>
  <c r="AV398" i="7"/>
  <c r="AU398" i="7"/>
  <c r="AT398" i="7"/>
  <c r="AW398" i="7" s="1"/>
  <c r="AX389" i="7"/>
  <c r="AV389" i="7"/>
  <c r="AU389" i="7"/>
  <c r="AT389" i="7"/>
  <c r="AW389" i="7" s="1"/>
  <c r="AX387" i="7"/>
  <c r="AV387" i="7"/>
  <c r="AU387" i="7"/>
  <c r="AT387" i="7"/>
  <c r="AW387" i="7" s="1"/>
  <c r="AX382" i="7"/>
  <c r="AV382" i="7"/>
  <c r="AU382" i="7"/>
  <c r="AT382" i="7"/>
  <c r="AW382" i="7" s="1"/>
  <c r="AX380" i="7"/>
  <c r="AV380" i="7"/>
  <c r="AU380" i="7"/>
  <c r="AT380" i="7"/>
  <c r="AW380" i="7" s="1"/>
  <c r="AX378" i="7"/>
  <c r="AV378" i="7"/>
  <c r="AU378" i="7"/>
  <c r="AT378" i="7"/>
  <c r="AW378" i="7" s="1"/>
  <c r="AX376" i="7"/>
  <c r="AV376" i="7"/>
  <c r="AU376" i="7"/>
  <c r="AT376" i="7"/>
  <c r="AW376" i="7" s="1"/>
  <c r="AX373" i="7"/>
  <c r="AV373" i="7"/>
  <c r="AU373" i="7"/>
  <c r="AT373" i="7"/>
  <c r="AW373" i="7" s="1"/>
  <c r="AX371" i="7"/>
  <c r="AV371" i="7"/>
  <c r="AU371" i="7"/>
  <c r="AT371" i="7"/>
  <c r="AW371" i="7" s="1"/>
  <c r="AX369" i="7"/>
  <c r="AV369" i="7"/>
  <c r="AU369" i="7"/>
  <c r="AT369" i="7"/>
  <c r="AW369" i="7" s="1"/>
  <c r="AX367" i="7"/>
  <c r="AV367" i="7"/>
  <c r="AU367" i="7"/>
  <c r="AT367" i="7"/>
  <c r="AW367" i="7" s="1"/>
  <c r="AX363" i="7"/>
  <c r="AV363" i="7"/>
  <c r="AU363" i="7"/>
  <c r="AT363" i="7"/>
  <c r="AW363" i="7" s="1"/>
  <c r="AX361" i="7"/>
  <c r="AV361" i="7"/>
  <c r="AU361" i="7"/>
  <c r="AT361" i="7"/>
  <c r="AW361" i="7" s="1"/>
  <c r="AX357" i="7"/>
  <c r="AV357" i="7"/>
  <c r="AU357" i="7"/>
  <c r="AT357" i="7"/>
  <c r="AW357" i="7" s="1"/>
  <c r="AX355" i="7"/>
  <c r="AV355" i="7"/>
  <c r="AU355" i="7"/>
  <c r="AT355" i="7"/>
  <c r="AW355" i="7" s="1"/>
  <c r="AX353" i="7"/>
  <c r="AV353" i="7"/>
  <c r="AU353" i="7"/>
  <c r="AT353" i="7"/>
  <c r="AW353" i="7" s="1"/>
  <c r="AX351" i="7"/>
  <c r="AV351" i="7"/>
  <c r="AU351" i="7"/>
  <c r="AT351" i="7"/>
  <c r="AW351" i="7" s="1"/>
  <c r="AX344" i="7"/>
  <c r="AV344" i="7"/>
  <c r="AU344" i="7"/>
  <c r="AT344" i="7"/>
  <c r="AW344" i="7" s="1"/>
  <c r="AX342" i="7"/>
  <c r="AV342" i="7"/>
  <c r="AU342" i="7"/>
  <c r="AT342" i="7"/>
  <c r="AW342" i="7" s="1"/>
  <c r="AX338" i="7"/>
  <c r="AV338" i="7"/>
  <c r="AU338" i="7"/>
  <c r="AT338" i="7"/>
  <c r="AW338" i="7" s="1"/>
  <c r="AX336" i="7"/>
  <c r="AV336" i="7"/>
  <c r="AU336" i="7"/>
  <c r="AT336" i="7"/>
  <c r="AW336" i="7" s="1"/>
  <c r="AX334" i="7"/>
  <c r="AV334" i="7"/>
  <c r="AU334" i="7"/>
  <c r="AT334" i="7"/>
  <c r="AW334" i="7" s="1"/>
  <c r="AX332" i="7"/>
  <c r="AV332" i="7"/>
  <c r="AU332" i="7"/>
  <c r="AT332" i="7"/>
  <c r="AW332" i="7" s="1"/>
  <c r="AX329" i="7"/>
  <c r="AV329" i="7"/>
  <c r="AU329" i="7"/>
  <c r="AT329" i="7"/>
  <c r="AW329" i="7" s="1"/>
  <c r="AX327" i="7"/>
  <c r="AV327" i="7"/>
  <c r="AU327" i="7"/>
  <c r="AT327" i="7"/>
  <c r="AW327" i="7" s="1"/>
  <c r="AX325" i="7"/>
  <c r="AV325" i="7"/>
  <c r="AU325" i="7"/>
  <c r="AT325" i="7"/>
  <c r="AW325" i="7" s="1"/>
  <c r="AX323" i="7"/>
  <c r="AV323" i="7"/>
  <c r="AU323" i="7"/>
  <c r="AT323" i="7"/>
  <c r="AW323" i="7" s="1"/>
  <c r="AX320" i="7"/>
  <c r="AV320" i="7"/>
  <c r="AU320" i="7"/>
  <c r="AT320" i="7"/>
  <c r="AW320" i="7" s="1"/>
  <c r="AX318" i="7"/>
  <c r="AV318" i="7"/>
  <c r="AU318" i="7"/>
  <c r="AT318" i="7"/>
  <c r="AW318" i="7" s="1"/>
  <c r="AX315" i="7"/>
  <c r="AV315" i="7"/>
  <c r="AU315" i="7"/>
  <c r="AT315" i="7"/>
  <c r="AW315" i="7" s="1"/>
  <c r="AX313" i="7"/>
  <c r="AV313" i="7"/>
  <c r="AU313" i="7"/>
  <c r="AT313" i="7"/>
  <c r="AW313" i="7" s="1"/>
  <c r="AV311" i="7"/>
  <c r="AT311" i="7"/>
  <c r="AW311" i="7" s="1"/>
  <c r="AX309" i="7"/>
  <c r="AV309" i="7"/>
  <c r="AU309" i="7"/>
  <c r="AT309" i="7"/>
  <c r="AW309" i="7" s="1"/>
  <c r="AX307" i="7"/>
  <c r="AV307" i="7"/>
  <c r="AU307" i="7"/>
  <c r="AT307" i="7"/>
  <c r="AW307" i="7" s="1"/>
  <c r="AV305" i="7"/>
  <c r="AT305" i="7"/>
  <c r="AW305" i="7" s="1"/>
  <c r="AV304" i="7"/>
  <c r="AT304" i="7"/>
  <c r="AW304" i="7" s="1"/>
  <c r="AX304" i="7"/>
  <c r="AV303" i="7"/>
  <c r="AT303" i="7"/>
  <c r="AW303" i="7" s="1"/>
  <c r="AX294" i="7"/>
  <c r="AV294" i="7"/>
  <c r="AU294" i="7"/>
  <c r="AT294" i="7"/>
  <c r="AW294" i="7" s="1"/>
  <c r="AX292" i="7"/>
  <c r="AV292" i="7"/>
  <c r="AU292" i="7"/>
  <c r="AT292" i="7"/>
  <c r="AW292" i="7" s="1"/>
  <c r="AX290" i="7"/>
  <c r="AV290" i="7"/>
  <c r="AU290" i="7"/>
  <c r="AT290" i="7"/>
  <c r="AW290" i="7" s="1"/>
  <c r="AX288" i="7"/>
  <c r="AV288" i="7"/>
  <c r="AU288" i="7"/>
  <c r="AT288" i="7"/>
  <c r="AW288" i="7" s="1"/>
  <c r="AX284" i="7"/>
  <c r="AV284" i="7"/>
  <c r="AU284" i="7"/>
  <c r="AT284" i="7"/>
  <c r="AW284" i="7" s="1"/>
  <c r="AT283" i="7"/>
  <c r="AX282" i="7"/>
  <c r="AV282" i="7"/>
  <c r="AU282" i="7"/>
  <c r="AT282" i="7"/>
  <c r="AW282" i="7" s="1"/>
  <c r="AT281" i="7"/>
  <c r="AX280" i="7"/>
  <c r="AV280" i="7"/>
  <c r="AU280" i="7"/>
  <c r="AT280" i="7"/>
  <c r="AW280" i="7" s="1"/>
  <c r="AT279" i="7"/>
  <c r="AX278" i="7"/>
  <c r="AV278" i="7"/>
  <c r="AU278" i="7"/>
  <c r="AT278" i="7"/>
  <c r="AW278" i="7" s="1"/>
  <c r="AT277" i="7"/>
  <c r="AX276" i="7"/>
  <c r="AV276" i="7"/>
  <c r="AU276" i="7"/>
  <c r="AT276" i="7"/>
  <c r="AW276" i="7" s="1"/>
  <c r="AT275" i="7"/>
  <c r="AX274" i="7"/>
  <c r="AV274" i="7"/>
  <c r="AU274" i="7"/>
  <c r="AT274" i="7"/>
  <c r="AW274" i="7" s="1"/>
  <c r="AX272" i="7"/>
  <c r="AV272" i="7"/>
  <c r="AU272" i="7"/>
  <c r="AT272" i="7"/>
  <c r="AW272" i="7" s="1"/>
  <c r="AX270" i="7"/>
  <c r="AV270" i="7"/>
  <c r="AU270" i="7"/>
  <c r="AT270" i="7"/>
  <c r="AW270" i="7" s="1"/>
  <c r="AX268" i="7"/>
  <c r="AV268" i="7"/>
  <c r="AU268" i="7"/>
  <c r="AT268" i="7"/>
  <c r="AW268" i="7" s="1"/>
  <c r="AX265" i="7"/>
  <c r="AV265" i="7"/>
  <c r="AU265" i="7"/>
  <c r="AT265" i="7"/>
  <c r="AW265" i="7" s="1"/>
  <c r="AX263" i="7"/>
  <c r="AV263" i="7"/>
  <c r="AU263" i="7"/>
  <c r="AT263" i="7"/>
  <c r="AW263" i="7" s="1"/>
  <c r="AX260" i="7"/>
  <c r="AV260" i="7"/>
  <c r="AU260" i="7"/>
  <c r="AT260" i="7"/>
  <c r="AW260" i="7" s="1"/>
  <c r="AV258" i="7"/>
  <c r="AT258" i="7"/>
  <c r="AW258" i="7" s="1"/>
  <c r="AI258" i="7"/>
  <c r="AJ258" i="7" s="1"/>
  <c r="AU258" i="7" s="1"/>
  <c r="AV255" i="7"/>
  <c r="AT255" i="7"/>
  <c r="AW255" i="7" s="1"/>
  <c r="AJ255" i="7"/>
  <c r="AU255" i="7" s="1"/>
  <c r="AV254" i="7"/>
  <c r="AT254" i="7"/>
  <c r="AW254" i="7" s="1"/>
  <c r="AI254" i="7"/>
  <c r="AJ254" i="7" s="1"/>
  <c r="AS243" i="7"/>
  <c r="AR243" i="7"/>
  <c r="AQ243" i="7"/>
  <c r="AP243" i="7"/>
  <c r="AO243" i="7"/>
  <c r="AN243" i="7"/>
  <c r="AM243" i="7"/>
  <c r="AL243" i="7"/>
  <c r="AK243" i="7"/>
  <c r="AH243" i="7"/>
  <c r="AG243" i="7"/>
  <c r="AF243" i="7"/>
  <c r="AE243" i="7"/>
  <c r="AD243" i="7"/>
  <c r="AV242" i="7"/>
  <c r="AT242" i="7"/>
  <c r="AW242" i="7" s="1"/>
  <c r="AV235" i="7"/>
  <c r="AU235" i="7"/>
  <c r="AT235" i="7"/>
  <c r="AW235" i="7" s="1"/>
  <c r="AX231" i="7"/>
  <c r="AV231" i="7"/>
  <c r="AU231" i="7"/>
  <c r="AT231" i="7"/>
  <c r="AW231" i="7" s="1"/>
  <c r="AX229" i="7"/>
  <c r="AV229" i="7"/>
  <c r="AU229" i="7"/>
  <c r="AT229" i="7"/>
  <c r="AW229" i="7" s="1"/>
  <c r="AX227" i="7"/>
  <c r="AV227" i="7"/>
  <c r="AU227" i="7"/>
  <c r="AT227" i="7"/>
  <c r="AW227" i="7" s="1"/>
  <c r="AV225" i="7"/>
  <c r="AT225" i="7"/>
  <c r="AW225" i="7" s="1"/>
  <c r="AU225" i="7"/>
  <c r="AX223" i="7"/>
  <c r="AV223" i="7"/>
  <c r="AU223" i="7"/>
  <c r="AT223" i="7"/>
  <c r="AW223" i="7" s="1"/>
  <c r="AX221" i="7"/>
  <c r="AV221" i="7"/>
  <c r="AU221" i="7"/>
  <c r="AT221" i="7"/>
  <c r="AW221" i="7" s="1"/>
  <c r="AV219" i="7"/>
  <c r="AT219" i="7"/>
  <c r="AW219" i="7" s="1"/>
  <c r="AV218" i="7"/>
  <c r="AU218" i="7"/>
  <c r="AT218" i="7"/>
  <c r="AW218" i="7" s="1"/>
  <c r="AV217" i="7"/>
  <c r="AT217" i="7"/>
  <c r="AW217" i="7" s="1"/>
  <c r="AV216" i="7"/>
  <c r="AT216" i="7"/>
  <c r="AW216" i="7" s="1"/>
  <c r="AX214" i="7"/>
  <c r="AV214" i="7"/>
  <c r="AT214" i="7"/>
  <c r="AW214" i="7" s="1"/>
  <c r="AU214" i="7"/>
  <c r="AX211" i="7"/>
  <c r="AV211" i="7"/>
  <c r="AU211" i="7"/>
  <c r="AT211" i="7"/>
  <c r="AW211" i="7" s="1"/>
  <c r="AX206" i="7"/>
  <c r="AV206" i="7"/>
  <c r="AU206" i="7"/>
  <c r="AT206" i="7"/>
  <c r="AW206" i="7" s="1"/>
  <c r="AV204" i="7"/>
  <c r="AT204" i="7"/>
  <c r="AW204" i="7" s="1"/>
  <c r="AU204" i="7"/>
  <c r="AX203" i="7"/>
  <c r="AV203" i="7"/>
  <c r="AU203" i="7"/>
  <c r="AT203" i="7"/>
  <c r="AW203" i="7" s="1"/>
  <c r="AV201" i="7"/>
  <c r="AT201" i="7"/>
  <c r="AW201" i="7" s="1"/>
  <c r="AX199" i="7"/>
  <c r="AV199" i="7"/>
  <c r="AU199" i="7"/>
  <c r="AT199" i="7"/>
  <c r="AW199" i="7" s="1"/>
  <c r="AX188" i="7"/>
  <c r="AV188" i="7"/>
  <c r="AU188" i="7"/>
  <c r="AT188" i="7"/>
  <c r="AW188" i="7" s="1"/>
  <c r="AS187" i="7"/>
  <c r="AR187" i="7"/>
  <c r="AQ187" i="7"/>
  <c r="AP187" i="7"/>
  <c r="AO187" i="7"/>
  <c r="AN187" i="7"/>
  <c r="AM187" i="7"/>
  <c r="AL187" i="7"/>
  <c r="AK187" i="7"/>
  <c r="AJ187" i="7"/>
  <c r="AI187" i="7"/>
  <c r="AH187" i="7"/>
  <c r="AG187" i="7"/>
  <c r="AF187" i="7"/>
  <c r="AE187" i="7"/>
  <c r="AD187" i="7"/>
  <c r="AV186" i="7"/>
  <c r="AT186" i="7"/>
  <c r="AW186" i="7" s="1"/>
  <c r="AI186" i="7"/>
  <c r="AJ186" i="7" s="1"/>
  <c r="AV185" i="7"/>
  <c r="AT185" i="7"/>
  <c r="AW185" i="7" s="1"/>
  <c r="AI185" i="7"/>
  <c r="AJ185" i="7" s="1"/>
  <c r="AX184" i="7"/>
  <c r="AV184" i="7"/>
  <c r="AU184" i="7"/>
  <c r="AT184" i="7"/>
  <c r="AW184" i="7" s="1"/>
  <c r="AX183" i="7"/>
  <c r="AV183" i="7"/>
  <c r="AU183" i="7"/>
  <c r="AT183" i="7"/>
  <c r="AW183" i="7" s="1"/>
  <c r="AX182" i="7"/>
  <c r="AV182" i="7"/>
  <c r="AU182" i="7"/>
  <c r="AT182" i="7"/>
  <c r="AW182" i="7" s="1"/>
  <c r="AX181" i="7"/>
  <c r="AV181" i="7"/>
  <c r="AU181" i="7"/>
  <c r="AT181" i="7"/>
  <c r="AS180" i="7"/>
  <c r="AR180" i="7"/>
  <c r="AQ180" i="7"/>
  <c r="AP180" i="7"/>
  <c r="AO180" i="7"/>
  <c r="AN180" i="7"/>
  <c r="AM180" i="7"/>
  <c r="AL180" i="7"/>
  <c r="AK180" i="7"/>
  <c r="AH180" i="7"/>
  <c r="AG180" i="7"/>
  <c r="AF180" i="7"/>
  <c r="AE180" i="7"/>
  <c r="AD180" i="7"/>
  <c r="AV178" i="7"/>
  <c r="AT178" i="7"/>
  <c r="AW178" i="7" s="1"/>
  <c r="AE178" i="7"/>
  <c r="AI178" i="7" s="1"/>
  <c r="AJ178" i="7" s="1"/>
  <c r="AX177" i="7"/>
  <c r="AV177" i="7"/>
  <c r="AV176" i="7" s="1"/>
  <c r="AV175" i="7" s="1"/>
  <c r="AV174" i="7" s="1"/>
  <c r="AU177" i="7"/>
  <c r="AU176" i="7" s="1"/>
  <c r="AU175" i="7" s="1"/>
  <c r="AU174" i="7" s="1"/>
  <c r="AT177" i="7"/>
  <c r="AW177" i="7" s="1"/>
  <c r="AW176" i="7" s="1"/>
  <c r="AW175" i="7" s="1"/>
  <c r="AW174" i="7" s="1"/>
  <c r="AS176" i="7"/>
  <c r="AS175" i="7" s="1"/>
  <c r="AS174" i="7" s="1"/>
  <c r="AR176" i="7"/>
  <c r="AR175" i="7" s="1"/>
  <c r="AR174" i="7" s="1"/>
  <c r="AQ176" i="7"/>
  <c r="AQ175" i="7" s="1"/>
  <c r="AQ174" i="7" s="1"/>
  <c r="AP176" i="7"/>
  <c r="AO176" i="7"/>
  <c r="AO175" i="7" s="1"/>
  <c r="AO174" i="7" s="1"/>
  <c r="AN176" i="7"/>
  <c r="AN175" i="7" s="1"/>
  <c r="AN174" i="7" s="1"/>
  <c r="AM176" i="7"/>
  <c r="AM175" i="7" s="1"/>
  <c r="AM174" i="7" s="1"/>
  <c r="AL176" i="7"/>
  <c r="AL175" i="7" s="1"/>
  <c r="AL174" i="7" s="1"/>
  <c r="AK176" i="7"/>
  <c r="AK175" i="7" s="1"/>
  <c r="AK174" i="7" s="1"/>
  <c r="AJ176" i="7"/>
  <c r="AJ175" i="7" s="1"/>
  <c r="AJ174" i="7" s="1"/>
  <c r="AD176" i="7"/>
  <c r="AD175" i="7" s="1"/>
  <c r="AD174" i="7" s="1"/>
  <c r="AX173" i="7"/>
  <c r="AV173" i="7"/>
  <c r="AU173" i="7"/>
  <c r="AT173" i="7"/>
  <c r="AW173" i="7" s="1"/>
  <c r="AS172" i="7"/>
  <c r="AS171" i="7" s="1"/>
  <c r="AS170" i="7" s="1"/>
  <c r="AS169" i="7" s="1"/>
  <c r="AR172" i="7"/>
  <c r="AR171" i="7" s="1"/>
  <c r="AR170" i="7" s="1"/>
  <c r="AR169" i="7" s="1"/>
  <c r="AQ172" i="7"/>
  <c r="AP172" i="7"/>
  <c r="AO172" i="7"/>
  <c r="AO171" i="7" s="1"/>
  <c r="AO170" i="7" s="1"/>
  <c r="AO169" i="7" s="1"/>
  <c r="AN172" i="7"/>
  <c r="AN171" i="7" s="1"/>
  <c r="AN170" i="7" s="1"/>
  <c r="AN169" i="7" s="1"/>
  <c r="AM172" i="7"/>
  <c r="AL172" i="7"/>
  <c r="AL171" i="7" s="1"/>
  <c r="AL170" i="7" s="1"/>
  <c r="AL169" i="7" s="1"/>
  <c r="AK172" i="7"/>
  <c r="AK171" i="7" s="1"/>
  <c r="AK170" i="7" s="1"/>
  <c r="AK169" i="7" s="1"/>
  <c r="AJ172" i="7"/>
  <c r="AJ171" i="7" s="1"/>
  <c r="AI172" i="7"/>
  <c r="AI171" i="7" s="1"/>
  <c r="AI170" i="7" s="1"/>
  <c r="AI169" i="7" s="1"/>
  <c r="AH172" i="7"/>
  <c r="AH171" i="7" s="1"/>
  <c r="AH170" i="7" s="1"/>
  <c r="AH169" i="7" s="1"/>
  <c r="AG172" i="7"/>
  <c r="AG171" i="7" s="1"/>
  <c r="AG170" i="7" s="1"/>
  <c r="AG169" i="7" s="1"/>
  <c r="AF172" i="7"/>
  <c r="AF171" i="7" s="1"/>
  <c r="AF170" i="7" s="1"/>
  <c r="AF169" i="7" s="1"/>
  <c r="AE172" i="7"/>
  <c r="AE171" i="7" s="1"/>
  <c r="AE170" i="7" s="1"/>
  <c r="AE169" i="7" s="1"/>
  <c r="AD172" i="7"/>
  <c r="AD171" i="7" s="1"/>
  <c r="AD170" i="7" s="1"/>
  <c r="AD169" i="7" s="1"/>
  <c r="AX168" i="7"/>
  <c r="AV168" i="7"/>
  <c r="AU168" i="7"/>
  <c r="AT168" i="7"/>
  <c r="AW168" i="7" s="1"/>
  <c r="AS167" i="7"/>
  <c r="AS166" i="7" s="1"/>
  <c r="AS165" i="7" s="1"/>
  <c r="AS164" i="7" s="1"/>
  <c r="AR167" i="7"/>
  <c r="AR166" i="7" s="1"/>
  <c r="AR165" i="7" s="1"/>
  <c r="AR164" i="7" s="1"/>
  <c r="AQ167" i="7"/>
  <c r="AQ166" i="7" s="1"/>
  <c r="AP167" i="7"/>
  <c r="AO167" i="7"/>
  <c r="AO166" i="7" s="1"/>
  <c r="AO165" i="7" s="1"/>
  <c r="AO164" i="7" s="1"/>
  <c r="AN167" i="7"/>
  <c r="AN166" i="7" s="1"/>
  <c r="AN165" i="7" s="1"/>
  <c r="AN164" i="7" s="1"/>
  <c r="AM167" i="7"/>
  <c r="AM166" i="7" s="1"/>
  <c r="AL167" i="7"/>
  <c r="AL166" i="7" s="1"/>
  <c r="AL165" i="7" s="1"/>
  <c r="AL164" i="7" s="1"/>
  <c r="AK167" i="7"/>
  <c r="AK166" i="7" s="1"/>
  <c r="AK165" i="7" s="1"/>
  <c r="AK164" i="7" s="1"/>
  <c r="AJ167" i="7"/>
  <c r="AI167" i="7"/>
  <c r="AI166" i="7" s="1"/>
  <c r="AI165" i="7" s="1"/>
  <c r="AI164" i="7" s="1"/>
  <c r="AH167" i="7"/>
  <c r="AH166" i="7" s="1"/>
  <c r="AH165" i="7" s="1"/>
  <c r="AH164" i="7" s="1"/>
  <c r="AG167" i="7"/>
  <c r="AG166" i="7" s="1"/>
  <c r="AG165" i="7" s="1"/>
  <c r="AG164" i="7" s="1"/>
  <c r="AF167" i="7"/>
  <c r="AF166" i="7" s="1"/>
  <c r="AF165" i="7" s="1"/>
  <c r="AF164" i="7" s="1"/>
  <c r="AE167" i="7"/>
  <c r="AE166" i="7" s="1"/>
  <c r="AE165" i="7" s="1"/>
  <c r="AE164" i="7" s="1"/>
  <c r="AD167" i="7"/>
  <c r="AD166" i="7" s="1"/>
  <c r="AD165" i="7" s="1"/>
  <c r="AD164" i="7" s="1"/>
  <c r="AX161" i="7"/>
  <c r="AV161" i="7"/>
  <c r="AU161" i="7"/>
  <c r="AT161" i="7"/>
  <c r="AW161" i="7" s="1"/>
  <c r="AX160" i="7"/>
  <c r="AV160" i="7"/>
  <c r="AU160" i="7"/>
  <c r="AT160" i="7"/>
  <c r="AW160" i="7" s="1"/>
  <c r="AS159" i="7"/>
  <c r="AS158" i="7" s="1"/>
  <c r="AR159" i="7"/>
  <c r="AR158" i="7" s="1"/>
  <c r="AQ159" i="7"/>
  <c r="AQ158" i="7" s="1"/>
  <c r="AP159" i="7"/>
  <c r="AO159" i="7"/>
  <c r="AO158" i="7" s="1"/>
  <c r="AN159" i="7"/>
  <c r="AN158" i="7" s="1"/>
  <c r="AM159" i="7"/>
  <c r="AM158" i="7" s="1"/>
  <c r="AL159" i="7"/>
  <c r="AL158" i="7" s="1"/>
  <c r="AK159" i="7"/>
  <c r="AK158" i="7" s="1"/>
  <c r="AJ159" i="7"/>
  <c r="AI159" i="7"/>
  <c r="AI158" i="7" s="1"/>
  <c r="AH159" i="7"/>
  <c r="AH158" i="7" s="1"/>
  <c r="AG159" i="7"/>
  <c r="AG158" i="7" s="1"/>
  <c r="AF159" i="7"/>
  <c r="AF158" i="7" s="1"/>
  <c r="AE159" i="7"/>
  <c r="AE158" i="7" s="1"/>
  <c r="AD159" i="7"/>
  <c r="AD158" i="7" s="1"/>
  <c r="AV157" i="7"/>
  <c r="AT157" i="7"/>
  <c r="AW157" i="7" s="1"/>
  <c r="AI157" i="7"/>
  <c r="AJ157" i="7" s="1"/>
  <c r="AU157" i="7" s="1"/>
  <c r="AX156" i="7"/>
  <c r="AV156" i="7"/>
  <c r="AU156" i="7"/>
  <c r="AT156" i="7"/>
  <c r="AW156" i="7" s="1"/>
  <c r="AX155" i="7"/>
  <c r="AV155" i="7"/>
  <c r="AU155" i="7"/>
  <c r="AT155" i="7"/>
  <c r="AW155" i="7" s="1"/>
  <c r="AS154" i="7"/>
  <c r="AR154" i="7"/>
  <c r="AR153" i="7" s="1"/>
  <c r="AQ154" i="7"/>
  <c r="AP154" i="7"/>
  <c r="AO154" i="7"/>
  <c r="AO153" i="7" s="1"/>
  <c r="AN154" i="7"/>
  <c r="AN153" i="7" s="1"/>
  <c r="AM154" i="7"/>
  <c r="AM153" i="7" s="1"/>
  <c r="AL154" i="7"/>
  <c r="AL153" i="7" s="1"/>
  <c r="AK154" i="7"/>
  <c r="AK153" i="7" s="1"/>
  <c r="AJ154" i="7"/>
  <c r="AI154" i="7"/>
  <c r="AH154" i="7"/>
  <c r="AH153" i="7" s="1"/>
  <c r="AG154" i="7"/>
  <c r="AG153" i="7" s="1"/>
  <c r="AF154" i="7"/>
  <c r="AF153" i="7" s="1"/>
  <c r="AE154" i="7"/>
  <c r="AE153" i="7" s="1"/>
  <c r="AD154" i="7"/>
  <c r="AD153" i="7" s="1"/>
  <c r="AS153" i="7"/>
  <c r="AV152" i="7"/>
  <c r="AT152" i="7"/>
  <c r="AW152" i="7" s="1"/>
  <c r="AG152" i="7"/>
  <c r="AX151" i="7"/>
  <c r="AV151" i="7"/>
  <c r="AU151" i="7"/>
  <c r="AT151" i="7"/>
  <c r="AW151" i="7" s="1"/>
  <c r="AX150" i="7"/>
  <c r="AV150" i="7"/>
  <c r="AV149" i="7" s="1"/>
  <c r="AU150" i="7"/>
  <c r="AU149" i="7" s="1"/>
  <c r="AT150" i="7"/>
  <c r="AW150" i="7" s="1"/>
  <c r="AW149" i="7" s="1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V147" i="7"/>
  <c r="AV143" i="7" s="1"/>
  <c r="AT147" i="7"/>
  <c r="AW147" i="7" s="1"/>
  <c r="AW143" i="7" s="1"/>
  <c r="AI147" i="7"/>
  <c r="AJ147" i="7" s="1"/>
  <c r="AX147" i="7" s="1"/>
  <c r="AS143" i="7"/>
  <c r="AR143" i="7"/>
  <c r="AQ143" i="7"/>
  <c r="AP143" i="7"/>
  <c r="AO143" i="7"/>
  <c r="AN143" i="7"/>
  <c r="AM143" i="7"/>
  <c r="AL143" i="7"/>
  <c r="AK143" i="7"/>
  <c r="AH143" i="7"/>
  <c r="AG143" i="7"/>
  <c r="AF143" i="7"/>
  <c r="AE143" i="7"/>
  <c r="AD143" i="7"/>
  <c r="AX142" i="7"/>
  <c r="AV142" i="7"/>
  <c r="AU142" i="7"/>
  <c r="AT142" i="7"/>
  <c r="AW142" i="7" s="1"/>
  <c r="AX141" i="7"/>
  <c r="AV141" i="7"/>
  <c r="AU141" i="7"/>
  <c r="AT141" i="7"/>
  <c r="AW141" i="7" s="1"/>
  <c r="AS140" i="7"/>
  <c r="AS139" i="7" s="1"/>
  <c r="AR140" i="7"/>
  <c r="AR139" i="7" s="1"/>
  <c r="AQ140" i="7"/>
  <c r="AP140" i="7"/>
  <c r="AP139" i="7" s="1"/>
  <c r="AO140" i="7"/>
  <c r="AO139" i="7" s="1"/>
  <c r="AN140" i="7"/>
  <c r="AN139" i="7" s="1"/>
  <c r="AM140" i="7"/>
  <c r="AM139" i="7" s="1"/>
  <c r="AL140" i="7"/>
  <c r="AL139" i="7" s="1"/>
  <c r="AK140" i="7"/>
  <c r="AK139" i="7" s="1"/>
  <c r="AJ140" i="7"/>
  <c r="AI140" i="7"/>
  <c r="AI139" i="7" s="1"/>
  <c r="AH140" i="7"/>
  <c r="AH139" i="7" s="1"/>
  <c r="AG140" i="7"/>
  <c r="AG139" i="7" s="1"/>
  <c r="AF140" i="7"/>
  <c r="AF139" i="7" s="1"/>
  <c r="AE140" i="7"/>
  <c r="AE139" i="7" s="1"/>
  <c r="AD140" i="7"/>
  <c r="AD139" i="7" s="1"/>
  <c r="AX138" i="7"/>
  <c r="AV138" i="7"/>
  <c r="AU138" i="7"/>
  <c r="AT138" i="7"/>
  <c r="AW138" i="7" s="1"/>
  <c r="AX137" i="7"/>
  <c r="AV137" i="7"/>
  <c r="AU137" i="7"/>
  <c r="AT137" i="7"/>
  <c r="AW137" i="7" s="1"/>
  <c r="AV136" i="7"/>
  <c r="AU136" i="7"/>
  <c r="AT136" i="7"/>
  <c r="AW136" i="7" s="1"/>
  <c r="AX135" i="7"/>
  <c r="AV135" i="7"/>
  <c r="AU135" i="7"/>
  <c r="AT135" i="7"/>
  <c r="AW135" i="7" s="1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X133" i="7"/>
  <c r="AV133" i="7"/>
  <c r="AU133" i="7"/>
  <c r="AT133" i="7"/>
  <c r="AW133" i="7" s="1"/>
  <c r="AX132" i="7"/>
  <c r="AV132" i="7"/>
  <c r="AU132" i="7"/>
  <c r="AT132" i="7"/>
  <c r="AW132" i="7" s="1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V130" i="7"/>
  <c r="AT130" i="7"/>
  <c r="AW130" i="7" s="1"/>
  <c r="AI130" i="7"/>
  <c r="AJ130" i="7" s="1"/>
  <c r="AX129" i="7"/>
  <c r="AV129" i="7"/>
  <c r="AU129" i="7"/>
  <c r="AT129" i="7"/>
  <c r="AW129" i="7" s="1"/>
  <c r="AX128" i="7"/>
  <c r="AV128" i="7"/>
  <c r="AU128" i="7"/>
  <c r="AT128" i="7"/>
  <c r="AW128" i="7" s="1"/>
  <c r="AV127" i="7"/>
  <c r="AT127" i="7"/>
  <c r="AW127" i="7" s="1"/>
  <c r="AI127" i="7"/>
  <c r="AJ127" i="7" s="1"/>
  <c r="AS126" i="7"/>
  <c r="AS125" i="7" s="1"/>
  <c r="AQ126" i="7"/>
  <c r="AQ125" i="7" s="1"/>
  <c r="AP126" i="7"/>
  <c r="AP125" i="7" s="1"/>
  <c r="AO126" i="7"/>
  <c r="AO125" i="7" s="1"/>
  <c r="AN126" i="7"/>
  <c r="AN125" i="7" s="1"/>
  <c r="AM126" i="7"/>
  <c r="AM125" i="7" s="1"/>
  <c r="AL126" i="7"/>
  <c r="AL125" i="7" s="1"/>
  <c r="AK126" i="7"/>
  <c r="AK125" i="7" s="1"/>
  <c r="AH126" i="7"/>
  <c r="AH125" i="7" s="1"/>
  <c r="AG126" i="7"/>
  <c r="AG125" i="7" s="1"/>
  <c r="AF126" i="7"/>
  <c r="AF125" i="7" s="1"/>
  <c r="AE126" i="7"/>
  <c r="AE125" i="7" s="1"/>
  <c r="AD126" i="7"/>
  <c r="AD125" i="7" s="1"/>
  <c r="AX122" i="7"/>
  <c r="AV122" i="7"/>
  <c r="AU122" i="7"/>
  <c r="AT122" i="7"/>
  <c r="AW122" i="7" s="1"/>
  <c r="AX121" i="7"/>
  <c r="AV121" i="7"/>
  <c r="AU121" i="7"/>
  <c r="AT121" i="7"/>
  <c r="AW121" i="7" s="1"/>
  <c r="AS120" i="7"/>
  <c r="AS119" i="7" s="1"/>
  <c r="AS118" i="7" s="1"/>
  <c r="AS117" i="7" s="1"/>
  <c r="AR120" i="7"/>
  <c r="AR119" i="7" s="1"/>
  <c r="AR118" i="7" s="1"/>
  <c r="AR117" i="7" s="1"/>
  <c r="AQ120" i="7"/>
  <c r="AP120" i="7"/>
  <c r="AP119" i="7" s="1"/>
  <c r="AO120" i="7"/>
  <c r="AO119" i="7" s="1"/>
  <c r="AO118" i="7" s="1"/>
  <c r="AO117" i="7" s="1"/>
  <c r="AN120" i="7"/>
  <c r="AN119" i="7" s="1"/>
  <c r="AN118" i="7" s="1"/>
  <c r="AN117" i="7" s="1"/>
  <c r="AM120" i="7"/>
  <c r="AM119" i="7" s="1"/>
  <c r="AM118" i="7" s="1"/>
  <c r="AL120" i="7"/>
  <c r="AL119" i="7" s="1"/>
  <c r="AL118" i="7" s="1"/>
  <c r="AL117" i="7" s="1"/>
  <c r="AK120" i="7"/>
  <c r="AK119" i="7" s="1"/>
  <c r="AK118" i="7" s="1"/>
  <c r="AK117" i="7" s="1"/>
  <c r="AJ120" i="7"/>
  <c r="AI120" i="7"/>
  <c r="AI119" i="7" s="1"/>
  <c r="AI118" i="7" s="1"/>
  <c r="AI117" i="7" s="1"/>
  <c r="AH120" i="7"/>
  <c r="AH119" i="7" s="1"/>
  <c r="AH118" i="7" s="1"/>
  <c r="AH117" i="7" s="1"/>
  <c r="AG120" i="7"/>
  <c r="AG119" i="7" s="1"/>
  <c r="AG118" i="7" s="1"/>
  <c r="AG117" i="7" s="1"/>
  <c r="AF120" i="7"/>
  <c r="AF119" i="7" s="1"/>
  <c r="AF118" i="7" s="1"/>
  <c r="AF117" i="7" s="1"/>
  <c r="AE120" i="7"/>
  <c r="AE119" i="7" s="1"/>
  <c r="AE118" i="7" s="1"/>
  <c r="AE117" i="7" s="1"/>
  <c r="AD120" i="7"/>
  <c r="AD119" i="7" s="1"/>
  <c r="AD118" i="7" s="1"/>
  <c r="AD117" i="7" s="1"/>
  <c r="AV116" i="7"/>
  <c r="AT116" i="7"/>
  <c r="AW116" i="7" s="1"/>
  <c r="AI116" i="7"/>
  <c r="AJ116" i="7" s="1"/>
  <c r="AV115" i="7"/>
  <c r="AT115" i="7"/>
  <c r="AW115" i="7" s="1"/>
  <c r="AI115" i="7"/>
  <c r="AX114" i="7"/>
  <c r="AV114" i="7"/>
  <c r="AU114" i="7"/>
  <c r="AT114" i="7"/>
  <c r="AW114" i="7" s="1"/>
  <c r="AX113" i="7"/>
  <c r="AV113" i="7"/>
  <c r="AU113" i="7"/>
  <c r="AT113" i="7"/>
  <c r="AW113" i="7" s="1"/>
  <c r="AX112" i="7"/>
  <c r="AV112" i="7"/>
  <c r="AU112" i="7"/>
  <c r="AT112" i="7"/>
  <c r="AW112" i="7" s="1"/>
  <c r="AX111" i="7"/>
  <c r="AV111" i="7"/>
  <c r="AU111" i="7"/>
  <c r="AT111" i="7"/>
  <c r="AW111" i="7" s="1"/>
  <c r="AX110" i="7"/>
  <c r="AV110" i="7"/>
  <c r="AU110" i="7"/>
  <c r="AT110" i="7"/>
  <c r="AW110" i="7" s="1"/>
  <c r="AX109" i="7"/>
  <c r="AV109" i="7"/>
  <c r="AU109" i="7"/>
  <c r="AT109" i="7"/>
  <c r="AW109" i="7" s="1"/>
  <c r="AX108" i="7"/>
  <c r="AV108" i="7"/>
  <c r="AU108" i="7"/>
  <c r="AT108" i="7"/>
  <c r="AW108" i="7" s="1"/>
  <c r="AX107" i="7"/>
  <c r="AV107" i="7"/>
  <c r="AU107" i="7"/>
  <c r="AT107" i="7"/>
  <c r="AW107" i="7" s="1"/>
  <c r="AX106" i="7"/>
  <c r="AV106" i="7"/>
  <c r="AU106" i="7"/>
  <c r="AT106" i="7"/>
  <c r="AW106" i="7" s="1"/>
  <c r="AX105" i="7"/>
  <c r="AV105" i="7"/>
  <c r="AU105" i="7"/>
  <c r="AT105" i="7"/>
  <c r="AS104" i="7"/>
  <c r="AS103" i="7" s="1"/>
  <c r="AQ104" i="7"/>
  <c r="AQ103" i="7" s="1"/>
  <c r="AP104" i="7"/>
  <c r="AP103" i="7" s="1"/>
  <c r="AN104" i="7"/>
  <c r="AN103" i="7" s="1"/>
  <c r="AM104" i="7"/>
  <c r="AM103" i="7" s="1"/>
  <c r="AL104" i="7"/>
  <c r="AL103" i="7" s="1"/>
  <c r="AK104" i="7"/>
  <c r="AK103" i="7" s="1"/>
  <c r="AH104" i="7"/>
  <c r="AH103" i="7" s="1"/>
  <c r="AG104" i="7"/>
  <c r="AG103" i="7" s="1"/>
  <c r="AF104" i="7"/>
  <c r="AF103" i="7" s="1"/>
  <c r="AE104" i="7"/>
  <c r="AE103" i="7" s="1"/>
  <c r="AD104" i="7"/>
  <c r="AD103" i="7" s="1"/>
  <c r="AX100" i="7"/>
  <c r="AV100" i="7"/>
  <c r="AU100" i="7"/>
  <c r="AT100" i="7"/>
  <c r="AW100" i="7" s="1"/>
  <c r="AX99" i="7"/>
  <c r="AV99" i="7"/>
  <c r="AU99" i="7"/>
  <c r="AT99" i="7"/>
  <c r="AW99" i="7" s="1"/>
  <c r="AV98" i="7"/>
  <c r="AT98" i="7"/>
  <c r="AW98" i="7" s="1"/>
  <c r="AH98" i="7"/>
  <c r="AG98" i="7"/>
  <c r="AG94" i="7" s="1"/>
  <c r="AG87" i="7" s="1"/>
  <c r="AV97" i="7"/>
  <c r="AT97" i="7"/>
  <c r="AW97" i="7" s="1"/>
  <c r="AU97" i="7"/>
  <c r="AV96" i="7"/>
  <c r="AT96" i="7"/>
  <c r="AW96" i="7" s="1"/>
  <c r="AI96" i="7"/>
  <c r="AJ96" i="7" s="1"/>
  <c r="AV95" i="7"/>
  <c r="AT95" i="7"/>
  <c r="AW95" i="7" s="1"/>
  <c r="AH95" i="7"/>
  <c r="AI95" i="7" s="1"/>
  <c r="AJ95" i="7" s="1"/>
  <c r="AS94" i="7"/>
  <c r="AQ94" i="7"/>
  <c r="AQ87" i="7" s="1"/>
  <c r="AP94" i="7"/>
  <c r="AP87" i="7" s="1"/>
  <c r="AP86" i="7" s="1"/>
  <c r="AN94" i="7"/>
  <c r="AN87" i="7" s="1"/>
  <c r="AN86" i="7" s="1"/>
  <c r="AM94" i="7"/>
  <c r="AM87" i="7" s="1"/>
  <c r="AM86" i="7" s="1"/>
  <c r="AL94" i="7"/>
  <c r="AK94" i="7"/>
  <c r="AF94" i="7"/>
  <c r="AE94" i="7"/>
  <c r="AD94" i="7"/>
  <c r="AD87" i="7" s="1"/>
  <c r="AD86" i="7" s="1"/>
  <c r="AV91" i="7"/>
  <c r="AT91" i="7"/>
  <c r="AW91" i="7" s="1"/>
  <c r="AI91" i="7"/>
  <c r="AI88" i="7" s="1"/>
  <c r="AX90" i="7"/>
  <c r="AV90" i="7"/>
  <c r="AU90" i="7"/>
  <c r="AT90" i="7"/>
  <c r="AW90" i="7" s="1"/>
  <c r="AX89" i="7"/>
  <c r="AV89" i="7"/>
  <c r="AU89" i="7"/>
  <c r="AT89" i="7"/>
  <c r="AX85" i="7"/>
  <c r="AV85" i="7"/>
  <c r="AU85" i="7"/>
  <c r="AT85" i="7"/>
  <c r="AW85" i="7" s="1"/>
  <c r="AX84" i="7"/>
  <c r="AV84" i="7"/>
  <c r="AU84" i="7"/>
  <c r="AT84" i="7"/>
  <c r="AW84" i="7" s="1"/>
  <c r="AX83" i="7"/>
  <c r="AV83" i="7"/>
  <c r="AU83" i="7"/>
  <c r="AT83" i="7"/>
  <c r="AW83" i="7" s="1"/>
  <c r="AX82" i="7"/>
  <c r="AV82" i="7"/>
  <c r="AU82" i="7"/>
  <c r="AT82" i="7"/>
  <c r="AW82" i="7" s="1"/>
  <c r="AX81" i="7"/>
  <c r="AV81" i="7"/>
  <c r="AU81" i="7"/>
  <c r="AT81" i="7"/>
  <c r="AW81" i="7" s="1"/>
  <c r="AX80" i="7"/>
  <c r="AV80" i="7"/>
  <c r="AU80" i="7"/>
  <c r="AT80" i="7"/>
  <c r="AW80" i="7" s="1"/>
  <c r="AX79" i="7"/>
  <c r="AV79" i="7"/>
  <c r="AU79" i="7"/>
  <c r="AT79" i="7"/>
  <c r="AW79" i="7" s="1"/>
  <c r="AS78" i="7"/>
  <c r="AR78" i="7"/>
  <c r="AQ78" i="7"/>
  <c r="AP78" i="7"/>
  <c r="AN78" i="7"/>
  <c r="AM78" i="7"/>
  <c r="AL78" i="7"/>
  <c r="AK78" i="7"/>
  <c r="AJ78" i="7"/>
  <c r="AI78" i="7"/>
  <c r="AH78" i="7"/>
  <c r="AG78" i="7"/>
  <c r="AF78" i="7"/>
  <c r="AE78" i="7"/>
  <c r="AD78" i="7"/>
  <c r="AX77" i="7"/>
  <c r="AV77" i="7"/>
  <c r="AU77" i="7"/>
  <c r="AT77" i="7"/>
  <c r="AW77" i="7" s="1"/>
  <c r="AV76" i="7"/>
  <c r="AT76" i="7"/>
  <c r="AW76" i="7" s="1"/>
  <c r="AI76" i="7"/>
  <c r="AJ76" i="7" s="1"/>
  <c r="AS75" i="7"/>
  <c r="AR75" i="7"/>
  <c r="AQ75" i="7"/>
  <c r="AP75" i="7"/>
  <c r="AN75" i="7"/>
  <c r="AM75" i="7"/>
  <c r="AL75" i="7"/>
  <c r="AK75" i="7"/>
  <c r="AH75" i="7"/>
  <c r="AG75" i="7"/>
  <c r="AF75" i="7"/>
  <c r="AE75" i="7"/>
  <c r="AD75" i="7"/>
  <c r="AX74" i="7"/>
  <c r="AV74" i="7"/>
  <c r="AU74" i="7"/>
  <c r="AT74" i="7"/>
  <c r="AW74" i="7" s="1"/>
  <c r="AX73" i="7"/>
  <c r="AV73" i="7"/>
  <c r="AU73" i="7"/>
  <c r="AT73" i="7"/>
  <c r="AW73" i="7" s="1"/>
  <c r="AO72" i="7"/>
  <c r="AS72" i="7"/>
  <c r="AR72" i="7"/>
  <c r="AQ72" i="7"/>
  <c r="AP72" i="7"/>
  <c r="AN72" i="7"/>
  <c r="AM72" i="7"/>
  <c r="AL72" i="7"/>
  <c r="AK72" i="7"/>
  <c r="AJ72" i="7"/>
  <c r="AI72" i="7"/>
  <c r="AH72" i="7"/>
  <c r="AG72" i="7"/>
  <c r="AF72" i="7"/>
  <c r="AE72" i="7"/>
  <c r="AD72" i="7"/>
  <c r="AX69" i="7"/>
  <c r="AV69" i="7"/>
  <c r="AU69" i="7"/>
  <c r="AT69" i="7"/>
  <c r="AW69" i="7" s="1"/>
  <c r="AX68" i="7"/>
  <c r="AV68" i="7"/>
  <c r="AU68" i="7"/>
  <c r="AT68" i="7"/>
  <c r="AW68" i="7" s="1"/>
  <c r="AS67" i="7"/>
  <c r="AQ67" i="7"/>
  <c r="AP67" i="7"/>
  <c r="AN67" i="7"/>
  <c r="AM67" i="7"/>
  <c r="AK67" i="7"/>
  <c r="AJ67" i="7"/>
  <c r="AI67" i="7"/>
  <c r="AH67" i="7"/>
  <c r="AG67" i="7"/>
  <c r="AF67" i="7"/>
  <c r="AE67" i="7"/>
  <c r="AD67" i="7"/>
  <c r="AX66" i="7"/>
  <c r="AV66" i="7"/>
  <c r="AU66" i="7"/>
  <c r="AT66" i="7"/>
  <c r="AW66" i="7" s="1"/>
  <c r="AX65" i="7"/>
  <c r="AV65" i="7"/>
  <c r="AU65" i="7"/>
  <c r="AT65" i="7"/>
  <c r="AW65" i="7" s="1"/>
  <c r="AS64" i="7"/>
  <c r="AQ64" i="7"/>
  <c r="AP64" i="7"/>
  <c r="AN64" i="7"/>
  <c r="AM64" i="7"/>
  <c r="AK64" i="7"/>
  <c r="AJ64" i="7"/>
  <c r="AI64" i="7"/>
  <c r="AH64" i="7"/>
  <c r="AG64" i="7"/>
  <c r="AF64" i="7"/>
  <c r="AE64" i="7"/>
  <c r="AD64" i="7"/>
  <c r="AX63" i="7"/>
  <c r="AV63" i="7"/>
  <c r="AU63" i="7"/>
  <c r="AT63" i="7"/>
  <c r="AW63" i="7" s="1"/>
  <c r="AX62" i="7"/>
  <c r="AV62" i="7"/>
  <c r="AU62" i="7"/>
  <c r="AT62" i="7"/>
  <c r="AW62" i="7" s="1"/>
  <c r="AS61" i="7"/>
  <c r="AQ61" i="7"/>
  <c r="AP61" i="7"/>
  <c r="AN61" i="7"/>
  <c r="AM61" i="7"/>
  <c r="AK61" i="7"/>
  <c r="AJ61" i="7"/>
  <c r="AI61" i="7"/>
  <c r="AH61" i="7"/>
  <c r="AG61" i="7"/>
  <c r="AF61" i="7"/>
  <c r="AE61" i="7"/>
  <c r="AD61" i="7"/>
  <c r="AX60" i="7"/>
  <c r="AV60" i="7"/>
  <c r="AU60" i="7"/>
  <c r="AT60" i="7"/>
  <c r="AW60" i="7" s="1"/>
  <c r="AX59" i="7"/>
  <c r="AV59" i="7"/>
  <c r="AU59" i="7"/>
  <c r="AT59" i="7"/>
  <c r="AW59" i="7" s="1"/>
  <c r="AS58" i="7"/>
  <c r="AQ58" i="7"/>
  <c r="AP58" i="7"/>
  <c r="AN58" i="7"/>
  <c r="AM58" i="7"/>
  <c r="AK58" i="7"/>
  <c r="AJ58" i="7"/>
  <c r="AI58" i="7"/>
  <c r="AH58" i="7"/>
  <c r="AG58" i="7"/>
  <c r="AF58" i="7"/>
  <c r="AE58" i="7"/>
  <c r="AD58" i="7"/>
  <c r="AX57" i="7"/>
  <c r="AV57" i="7"/>
  <c r="AU57" i="7"/>
  <c r="AT57" i="7"/>
  <c r="AW57" i="7" s="1"/>
  <c r="AX56" i="7"/>
  <c r="AV56" i="7"/>
  <c r="AU56" i="7"/>
  <c r="AT56" i="7"/>
  <c r="AW56" i="7" s="1"/>
  <c r="AS55" i="7"/>
  <c r="AQ55" i="7"/>
  <c r="AP55" i="7"/>
  <c r="AN55" i="7"/>
  <c r="AM55" i="7"/>
  <c r="AK55" i="7"/>
  <c r="AJ55" i="7"/>
  <c r="AI55" i="7"/>
  <c r="AH55" i="7"/>
  <c r="AG55" i="7"/>
  <c r="AF55" i="7"/>
  <c r="AE55" i="7"/>
  <c r="AD55" i="7"/>
  <c r="AX54" i="7"/>
  <c r="AV54" i="7"/>
  <c r="AU54" i="7"/>
  <c r="AT54" i="7"/>
  <c r="AW54" i="7" s="1"/>
  <c r="AX53" i="7"/>
  <c r="AV53" i="7"/>
  <c r="AU53" i="7"/>
  <c r="AT53" i="7"/>
  <c r="AW53" i="7" s="1"/>
  <c r="AS52" i="7"/>
  <c r="AQ52" i="7"/>
  <c r="AP52" i="7"/>
  <c r="AN52" i="7"/>
  <c r="AM52" i="7"/>
  <c r="AK52" i="7"/>
  <c r="AJ52" i="7"/>
  <c r="AI52" i="7"/>
  <c r="AH52" i="7"/>
  <c r="AG52" i="7"/>
  <c r="AF52" i="7"/>
  <c r="AE52" i="7"/>
  <c r="AD52" i="7"/>
  <c r="AX51" i="7"/>
  <c r="AV51" i="7"/>
  <c r="AU51" i="7"/>
  <c r="AT51" i="7"/>
  <c r="AW51" i="7" s="1"/>
  <c r="AX50" i="7"/>
  <c r="AV50" i="7"/>
  <c r="AU50" i="7"/>
  <c r="AT50" i="7"/>
  <c r="AW50" i="7" s="1"/>
  <c r="AS49" i="7"/>
  <c r="AQ49" i="7"/>
  <c r="AP49" i="7"/>
  <c r="AN49" i="7"/>
  <c r="AM49" i="7"/>
  <c r="AK49" i="7"/>
  <c r="AJ49" i="7"/>
  <c r="AI49" i="7"/>
  <c r="AH49" i="7"/>
  <c r="AG49" i="7"/>
  <c r="AF49" i="7"/>
  <c r="AE49" i="7"/>
  <c r="AD49" i="7"/>
  <c r="AX48" i="7"/>
  <c r="AV48" i="7"/>
  <c r="AU48" i="7"/>
  <c r="AT48" i="7"/>
  <c r="AW48" i="7" s="1"/>
  <c r="AX47" i="7"/>
  <c r="AV47" i="7"/>
  <c r="AU47" i="7"/>
  <c r="AT47" i="7"/>
  <c r="AW47" i="7" s="1"/>
  <c r="AS46" i="7"/>
  <c r="AQ46" i="7"/>
  <c r="AP46" i="7"/>
  <c r="AN46" i="7"/>
  <c r="AM46" i="7"/>
  <c r="AK46" i="7"/>
  <c r="AJ46" i="7"/>
  <c r="AI46" i="7"/>
  <c r="AH46" i="7"/>
  <c r="AG46" i="7"/>
  <c r="AF46" i="7"/>
  <c r="AE46" i="7"/>
  <c r="AD46" i="7"/>
  <c r="AX45" i="7"/>
  <c r="AV45" i="7"/>
  <c r="AU45" i="7"/>
  <c r="AT45" i="7"/>
  <c r="AW45" i="7" s="1"/>
  <c r="AX44" i="7"/>
  <c r="AV44" i="7"/>
  <c r="AU44" i="7"/>
  <c r="AT44" i="7"/>
  <c r="AW44" i="7" s="1"/>
  <c r="AS43" i="7"/>
  <c r="AQ43" i="7"/>
  <c r="AP43" i="7"/>
  <c r="AN43" i="7"/>
  <c r="AM43" i="7"/>
  <c r="AK43" i="7"/>
  <c r="AJ43" i="7"/>
  <c r="AI43" i="7"/>
  <c r="AH43" i="7"/>
  <c r="AG43" i="7"/>
  <c r="AF43" i="7"/>
  <c r="AE43" i="7"/>
  <c r="AD43" i="7"/>
  <c r="AX41" i="7"/>
  <c r="AV41" i="7"/>
  <c r="AU41" i="7"/>
  <c r="AT41" i="7"/>
  <c r="AW41" i="7" s="1"/>
  <c r="AS40" i="7"/>
  <c r="AS39" i="7" s="1"/>
  <c r="AR40" i="7"/>
  <c r="AR39" i="7" s="1"/>
  <c r="AQ40" i="7"/>
  <c r="AQ39" i="7" s="1"/>
  <c r="AP40" i="7"/>
  <c r="AO40" i="7"/>
  <c r="AO39" i="7" s="1"/>
  <c r="AN40" i="7"/>
  <c r="AN39" i="7" s="1"/>
  <c r="AM40" i="7"/>
  <c r="AL40" i="7"/>
  <c r="AL39" i="7" s="1"/>
  <c r="AK40" i="7"/>
  <c r="AK39" i="7" s="1"/>
  <c r="AJ40" i="7"/>
  <c r="AI40" i="7"/>
  <c r="AI39" i="7" s="1"/>
  <c r="AH40" i="7"/>
  <c r="AH39" i="7" s="1"/>
  <c r="AG40" i="7"/>
  <c r="AG39" i="7" s="1"/>
  <c r="AF40" i="7"/>
  <c r="AF39" i="7" s="1"/>
  <c r="AE40" i="7"/>
  <c r="AE39" i="7" s="1"/>
  <c r="AD40" i="7"/>
  <c r="AD39" i="7" s="1"/>
  <c r="AV38" i="7"/>
  <c r="AU38" i="7"/>
  <c r="AT38" i="7"/>
  <c r="AW38" i="7" s="1"/>
  <c r="AR38" i="7"/>
  <c r="AO38" i="7"/>
  <c r="AL38" i="7"/>
  <c r="AX37" i="7"/>
  <c r="AV37" i="7"/>
  <c r="AU37" i="7"/>
  <c r="AT37" i="7"/>
  <c r="AW37" i="7" s="1"/>
  <c r="AX36" i="7"/>
  <c r="AV36" i="7"/>
  <c r="AU36" i="7"/>
  <c r="AT36" i="7"/>
  <c r="AW36" i="7" s="1"/>
  <c r="AX35" i="7"/>
  <c r="AV35" i="7"/>
  <c r="AU35" i="7"/>
  <c r="AT35" i="7"/>
  <c r="AW35" i="7" s="1"/>
  <c r="AS34" i="7"/>
  <c r="AQ34" i="7"/>
  <c r="AP34" i="7"/>
  <c r="AN34" i="7"/>
  <c r="AM34" i="7"/>
  <c r="AK34" i="7"/>
  <c r="AJ34" i="7"/>
  <c r="AI34" i="7"/>
  <c r="AH34" i="7"/>
  <c r="AG34" i="7"/>
  <c r="AF34" i="7"/>
  <c r="AE34" i="7"/>
  <c r="AD34" i="7"/>
  <c r="AX33" i="7"/>
  <c r="AV33" i="7"/>
  <c r="AU33" i="7"/>
  <c r="AT33" i="7"/>
  <c r="AW33" i="7" s="1"/>
  <c r="AX32" i="7"/>
  <c r="AV32" i="7"/>
  <c r="AU32" i="7"/>
  <c r="AT32" i="7"/>
  <c r="AW32" i="7" s="1"/>
  <c r="AS31" i="7"/>
  <c r="AQ31" i="7"/>
  <c r="AP31" i="7"/>
  <c r="AN31" i="7"/>
  <c r="AM31" i="7"/>
  <c r="AK31" i="7"/>
  <c r="AJ31" i="7"/>
  <c r="AI31" i="7"/>
  <c r="AH31" i="7"/>
  <c r="AG31" i="7"/>
  <c r="AF31" i="7"/>
  <c r="AE31" i="7"/>
  <c r="AD31" i="7"/>
  <c r="AX29" i="7"/>
  <c r="AV29" i="7"/>
  <c r="AU29" i="7"/>
  <c r="AT29" i="7"/>
  <c r="AW29" i="7" s="1"/>
  <c r="AX28" i="7"/>
  <c r="AV28" i="7"/>
  <c r="AU28" i="7"/>
  <c r="AT28" i="7"/>
  <c r="AW28" i="7" s="1"/>
  <c r="AR27" i="7"/>
  <c r="AL27" i="7"/>
  <c r="AS27" i="7"/>
  <c r="AQ27" i="7"/>
  <c r="AP27" i="7"/>
  <c r="AN27" i="7"/>
  <c r="AM27" i="7"/>
  <c r="AK27" i="7"/>
  <c r="AJ27" i="7"/>
  <c r="AI27" i="7"/>
  <c r="AH27" i="7"/>
  <c r="AG27" i="7"/>
  <c r="AF27" i="7"/>
  <c r="AE27" i="7"/>
  <c r="AD27" i="7"/>
  <c r="AX26" i="7"/>
  <c r="AV26" i="7"/>
  <c r="AU26" i="7"/>
  <c r="AT26" i="7"/>
  <c r="AW26" i="7" s="1"/>
  <c r="AX25" i="7"/>
  <c r="AV25" i="7"/>
  <c r="AU25" i="7"/>
  <c r="AT25" i="7"/>
  <c r="AW25" i="7" s="1"/>
  <c r="AO24" i="7"/>
  <c r="AS24" i="7"/>
  <c r="AQ24" i="7"/>
  <c r="AP24" i="7"/>
  <c r="AN24" i="7"/>
  <c r="AM24" i="7"/>
  <c r="AK24" i="7"/>
  <c r="AJ24" i="7"/>
  <c r="AI24" i="7"/>
  <c r="AH24" i="7"/>
  <c r="AG24" i="7"/>
  <c r="AF24" i="7"/>
  <c r="AE24" i="7"/>
  <c r="AD24" i="7"/>
  <c r="AX23" i="7"/>
  <c r="AV23" i="7"/>
  <c r="AU23" i="7"/>
  <c r="AT23" i="7"/>
  <c r="AW23" i="7" s="1"/>
  <c r="AX22" i="7"/>
  <c r="AV22" i="7"/>
  <c r="AU22" i="7"/>
  <c r="AT22" i="7"/>
  <c r="AW22" i="7" s="1"/>
  <c r="AV21" i="7"/>
  <c r="AU21" i="7"/>
  <c r="AT21" i="7"/>
  <c r="AW21" i="7" s="1"/>
  <c r="AX20" i="7"/>
  <c r="AV20" i="7"/>
  <c r="AU20" i="7"/>
  <c r="AT20" i="7"/>
  <c r="AW20" i="7" s="1"/>
  <c r="AX19" i="7"/>
  <c r="AV19" i="7"/>
  <c r="AU19" i="7"/>
  <c r="AT19" i="7"/>
  <c r="AW19" i="7" s="1"/>
  <c r="AX18" i="7"/>
  <c r="AV18" i="7"/>
  <c r="AU18" i="7"/>
  <c r="AT18" i="7"/>
  <c r="AW18" i="7" s="1"/>
  <c r="AS17" i="7"/>
  <c r="AQ17" i="7"/>
  <c r="AP17" i="7"/>
  <c r="AN17" i="7"/>
  <c r="AM17" i="7"/>
  <c r="AK17" i="7"/>
  <c r="AJ17" i="7"/>
  <c r="AI17" i="7"/>
  <c r="AH17" i="7"/>
  <c r="AG17" i="7"/>
  <c r="AF17" i="7"/>
  <c r="AE17" i="7"/>
  <c r="AD17" i="7"/>
  <c r="AT120" i="7" l="1"/>
  <c r="AK179" i="7"/>
  <c r="AS179" i="7"/>
  <c r="AD124" i="7"/>
  <c r="AD123" i="7" s="1"/>
  <c r="AT27" i="7"/>
  <c r="AX134" i="7"/>
  <c r="AS163" i="7"/>
  <c r="AS162" i="7" s="1"/>
  <c r="AK163" i="7"/>
  <c r="AK162" i="7" s="1"/>
  <c r="AK30" i="7"/>
  <c r="AK16" i="7" s="1"/>
  <c r="AK15" i="7" s="1"/>
  <c r="AV24" i="7"/>
  <c r="AT67" i="7"/>
  <c r="AW67" i="7" s="1"/>
  <c r="AE687" i="7"/>
  <c r="AU72" i="7"/>
  <c r="AO124" i="7"/>
  <c r="AO123" i="7" s="1"/>
  <c r="AT49" i="7"/>
  <c r="AW49" i="7" s="1"/>
  <c r="AX64" i="7"/>
  <c r="AG124" i="7"/>
  <c r="AG123" i="7" s="1"/>
  <c r="AG767" i="7"/>
  <c r="AG30" i="7"/>
  <c r="AG16" i="7" s="1"/>
  <c r="AG15" i="7" s="1"/>
  <c r="AU34" i="7"/>
  <c r="AG42" i="7"/>
  <c r="AT52" i="7"/>
  <c r="AW52" i="7" s="1"/>
  <c r="AH687" i="7"/>
  <c r="AP30" i="7"/>
  <c r="AP16" i="7" s="1"/>
  <c r="AE124" i="7"/>
  <c r="AE123" i="7" s="1"/>
  <c r="AF30" i="7"/>
  <c r="AF16" i="7" s="1"/>
  <c r="AF15" i="7" s="1"/>
  <c r="AM124" i="7"/>
  <c r="AM123" i="7" s="1"/>
  <c r="AV34" i="7"/>
  <c r="AV46" i="7"/>
  <c r="AT1124" i="7"/>
  <c r="AT64" i="7"/>
  <c r="AW64" i="7" s="1"/>
  <c r="AU61" i="7"/>
  <c r="AD148" i="7"/>
  <c r="AN124" i="7"/>
  <c r="AN123" i="7" s="1"/>
  <c r="AU852" i="7"/>
  <c r="AT1177" i="7"/>
  <c r="AE71" i="7"/>
  <c r="AE70" i="7" s="1"/>
  <c r="AE102" i="7"/>
  <c r="AU131" i="7"/>
  <c r="AI143" i="7"/>
  <c r="AX154" i="7"/>
  <c r="AF179" i="7"/>
  <c r="AF163" i="7" s="1"/>
  <c r="AP179" i="7"/>
  <c r="AU187" i="7"/>
  <c r="AG71" i="7"/>
  <c r="AG70" i="7" s="1"/>
  <c r="AT78" i="7"/>
  <c r="AW78" i="7" s="1"/>
  <c r="AV88" i="7"/>
  <c r="AF124" i="7"/>
  <c r="AF123" i="7" s="1"/>
  <c r="AQ179" i="7"/>
  <c r="AT179" i="7" s="1"/>
  <c r="AT1164" i="7"/>
  <c r="AH179" i="7"/>
  <c r="AH163" i="7" s="1"/>
  <c r="AL179" i="7"/>
  <c r="AL163" i="7" s="1"/>
  <c r="AL162" i="7" s="1"/>
  <c r="AX67" i="7"/>
  <c r="AI75" i="7"/>
  <c r="AI71" i="7" s="1"/>
  <c r="AI70" i="7" s="1"/>
  <c r="AD71" i="7"/>
  <c r="AD70" i="7" s="1"/>
  <c r="AV187" i="7"/>
  <c r="AT979" i="7"/>
  <c r="AX561" i="7"/>
  <c r="AU561" i="7"/>
  <c r="AU451" i="7"/>
  <c r="AX451" i="7"/>
  <c r="AX539" i="7"/>
  <c r="AU539" i="7"/>
  <c r="AX1301" i="7"/>
  <c r="AU1301" i="7"/>
  <c r="AX1247" i="7"/>
  <c r="AU1247" i="7"/>
  <c r="AH42" i="7"/>
  <c r="AT58" i="7"/>
  <c r="AV78" i="7"/>
  <c r="AE148" i="7"/>
  <c r="AF148" i="7"/>
  <c r="AX907" i="7"/>
  <c r="AX157" i="7"/>
  <c r="AU895" i="7"/>
  <c r="AU27" i="7"/>
  <c r="AV52" i="7"/>
  <c r="AU58" i="7"/>
  <c r="AV72" i="7"/>
  <c r="AW120" i="7"/>
  <c r="AX1253" i="7"/>
  <c r="AD30" i="7"/>
  <c r="AD16" i="7" s="1"/>
  <c r="AD15" i="7" s="1"/>
  <c r="AV31" i="7"/>
  <c r="AV67" i="7"/>
  <c r="AU120" i="7"/>
  <c r="AH124" i="7"/>
  <c r="AH123" i="7" s="1"/>
  <c r="AM179" i="7"/>
  <c r="AX814" i="7"/>
  <c r="AX943" i="7"/>
  <c r="AW1124" i="7"/>
  <c r="AX1257" i="7"/>
  <c r="AV58" i="7"/>
  <c r="AU64" i="7"/>
  <c r="AT75" i="7"/>
  <c r="AW75" i="7" s="1"/>
  <c r="AV140" i="7"/>
  <c r="AV139" i="7" s="1"/>
  <c r="AT159" i="7"/>
  <c r="AW159" i="7" s="1"/>
  <c r="AX187" i="7"/>
  <c r="AX477" i="7"/>
  <c r="AU481" i="7"/>
  <c r="AI1207" i="7"/>
  <c r="AF42" i="7"/>
  <c r="AX43" i="7"/>
  <c r="AS148" i="7"/>
  <c r="AT158" i="7"/>
  <c r="AE179" i="7"/>
  <c r="AE163" i="7" s="1"/>
  <c r="AT187" i="7"/>
  <c r="AW187" i="7" s="1"/>
  <c r="AX471" i="7"/>
  <c r="AI836" i="7"/>
  <c r="AJ836" i="7" s="1"/>
  <c r="AX836" i="7" s="1"/>
  <c r="AT1024" i="7"/>
  <c r="AX1241" i="7"/>
  <c r="AL102" i="7"/>
  <c r="AW89" i="7"/>
  <c r="AW88" i="7" s="1"/>
  <c r="AT88" i="7"/>
  <c r="AV1192" i="7"/>
  <c r="AP190" i="7"/>
  <c r="AN148" i="7"/>
  <c r="AU154" i="7"/>
  <c r="AO148" i="7"/>
  <c r="AU140" i="7"/>
  <c r="AU139" i="7" s="1"/>
  <c r="AS124" i="7"/>
  <c r="AS123" i="7" s="1"/>
  <c r="AK124" i="7"/>
  <c r="AK123" i="7" s="1"/>
  <c r="AL124" i="7"/>
  <c r="AL123" i="7" s="1"/>
  <c r="AT131" i="7"/>
  <c r="AW131" i="7" s="1"/>
  <c r="AT103" i="7"/>
  <c r="AE87" i="7"/>
  <c r="AE86" i="7" s="1"/>
  <c r="AL87" i="7"/>
  <c r="AL86" i="7" s="1"/>
  <c r="AM71" i="7"/>
  <c r="AU78" i="7"/>
  <c r="AS71" i="7"/>
  <c r="AS70" i="7" s="1"/>
  <c r="AL71" i="7"/>
  <c r="AL70" i="7" s="1"/>
  <c r="AT55" i="7"/>
  <c r="AW55" i="7" s="1"/>
  <c r="AN42" i="7"/>
  <c r="AK42" i="7"/>
  <c r="AT46" i="7"/>
  <c r="AW46" i="7" s="1"/>
  <c r="AN30" i="7"/>
  <c r="AN16" i="7" s="1"/>
  <c r="AN15" i="7" s="1"/>
  <c r="AS30" i="7"/>
  <c r="AS16" i="7" s="1"/>
  <c r="AS15" i="7" s="1"/>
  <c r="AU31" i="7"/>
  <c r="AV27" i="7"/>
  <c r="AW27" i="7"/>
  <c r="AU553" i="7"/>
  <c r="AN190" i="7"/>
  <c r="AR190" i="7"/>
  <c r="AO27" i="7"/>
  <c r="AL34" i="7"/>
  <c r="AO52" i="7"/>
  <c r="AR17" i="7"/>
  <c r="AL31" i="7"/>
  <c r="AX914" i="7"/>
  <c r="AU914" i="7"/>
  <c r="AX216" i="7"/>
  <c r="AU216" i="7"/>
  <c r="AX547" i="7"/>
  <c r="AU547" i="7"/>
  <c r="AX574" i="7"/>
  <c r="AU574" i="7"/>
  <c r="AX656" i="7"/>
  <c r="AU656" i="7"/>
  <c r="AU833" i="7"/>
  <c r="AX833" i="7"/>
  <c r="AU1246" i="7"/>
  <c r="AX1246" i="7"/>
  <c r="AX837" i="7"/>
  <c r="AU837" i="7"/>
  <c r="AU303" i="7"/>
  <c r="AX303" i="7"/>
  <c r="AX744" i="7"/>
  <c r="AU744" i="7"/>
  <c r="AX1272" i="7"/>
  <c r="AU1272" i="7"/>
  <c r="AX862" i="7"/>
  <c r="AU862" i="7"/>
  <c r="AU505" i="7"/>
  <c r="AX505" i="7"/>
  <c r="AX760" i="7"/>
  <c r="AU760" i="7"/>
  <c r="AU897" i="7"/>
  <c r="AX897" i="7"/>
  <c r="AU927" i="7"/>
  <c r="AX927" i="7"/>
  <c r="AX1089" i="7"/>
  <c r="AU1089" i="7"/>
  <c r="AU1226" i="7"/>
  <c r="AX1226" i="7"/>
  <c r="AX685" i="7"/>
  <c r="AU685" i="7"/>
  <c r="AP124" i="7"/>
  <c r="AP123" i="7" s="1"/>
  <c r="AV125" i="7"/>
  <c r="AX584" i="7"/>
  <c r="AU584" i="7"/>
  <c r="AX607" i="7"/>
  <c r="AU607" i="7"/>
  <c r="AX627" i="7"/>
  <c r="AU627" i="7"/>
  <c r="AU813" i="7"/>
  <c r="AX813" i="7"/>
  <c r="AU1234" i="7"/>
  <c r="AX1234" i="7"/>
  <c r="AU76" i="7"/>
  <c r="AX76" i="7"/>
  <c r="AJ75" i="7"/>
  <c r="AJ71" i="7" s="1"/>
  <c r="AX581" i="7"/>
  <c r="AU581" i="7"/>
  <c r="AX624" i="7"/>
  <c r="AU624" i="7"/>
  <c r="AU450" i="7"/>
  <c r="AX450" i="7"/>
  <c r="AX652" i="7"/>
  <c r="AU652" i="7"/>
  <c r="AX693" i="7"/>
  <c r="AU693" i="7"/>
  <c r="AU766" i="7"/>
  <c r="AX766" i="7"/>
  <c r="AX1122" i="7"/>
  <c r="AU1122" i="7"/>
  <c r="AU1278" i="7"/>
  <c r="AX1278" i="7"/>
  <c r="AX1235" i="7"/>
  <c r="AU1235" i="7"/>
  <c r="AX1230" i="7"/>
  <c r="AU1230" i="7"/>
  <c r="AU24" i="7"/>
  <c r="AT34" i="7"/>
  <c r="AW34" i="7" s="1"/>
  <c r="AX46" i="7"/>
  <c r="AU49" i="7"/>
  <c r="AT72" i="7"/>
  <c r="AW72" i="7" s="1"/>
  <c r="AF87" i="7"/>
  <c r="AF86" i="7" s="1"/>
  <c r="AD102" i="7"/>
  <c r="AI104" i="7"/>
  <c r="AI103" i="7" s="1"/>
  <c r="AI102" i="7" s="1"/>
  <c r="AT140" i="7"/>
  <c r="AW140" i="7" s="1"/>
  <c r="AW139" i="7" s="1"/>
  <c r="AR148" i="7"/>
  <c r="AX255" i="7"/>
  <c r="AU482" i="7"/>
  <c r="AX753" i="7"/>
  <c r="AU1118" i="7"/>
  <c r="AU1142" i="7"/>
  <c r="AU1154" i="7"/>
  <c r="AW1192" i="7"/>
  <c r="AT1192" i="7"/>
  <c r="AU1258" i="7"/>
  <c r="AU1266" i="7"/>
  <c r="AI1304" i="7"/>
  <c r="AR71" i="7"/>
  <c r="AR70" i="7" s="1"/>
  <c r="AT94" i="7"/>
  <c r="AV120" i="7"/>
  <c r="AK148" i="7"/>
  <c r="AN179" i="7"/>
  <c r="AN163" i="7" s="1"/>
  <c r="AN162" i="7" s="1"/>
  <c r="AM190" i="7"/>
  <c r="AG979" i="7"/>
  <c r="AU972" i="7"/>
  <c r="AV1024" i="7"/>
  <c r="AX1225" i="7"/>
  <c r="AD42" i="7"/>
  <c r="AM42" i="7"/>
  <c r="AV61" i="7"/>
  <c r="AX78" i="7"/>
  <c r="AH94" i="7"/>
  <c r="AH87" i="7" s="1"/>
  <c r="AH86" i="7" s="1"/>
  <c r="AM148" i="7"/>
  <c r="AO179" i="7"/>
  <c r="AO163" i="7" s="1"/>
  <c r="AO162" i="7" s="1"/>
  <c r="AU839" i="7"/>
  <c r="AU1075" i="7"/>
  <c r="AV1207" i="7"/>
  <c r="AT1207" i="7"/>
  <c r="AT31" i="7"/>
  <c r="AW31" i="7" s="1"/>
  <c r="AE42" i="7"/>
  <c r="AV49" i="7"/>
  <c r="AT61" i="7"/>
  <c r="AW61" i="7" s="1"/>
  <c r="AP153" i="7"/>
  <c r="AV153" i="7" s="1"/>
  <c r="AU304" i="7"/>
  <c r="AI592" i="7"/>
  <c r="AJ592" i="7" s="1"/>
  <c r="AX592" i="7" s="1"/>
  <c r="AI1001" i="7"/>
  <c r="AJ1001" i="7" s="1"/>
  <c r="AU1001" i="7" s="1"/>
  <c r="AU1086" i="7"/>
  <c r="AU1174" i="7"/>
  <c r="AW1207" i="7"/>
  <c r="AU1284" i="7"/>
  <c r="AL148" i="7"/>
  <c r="AV64" i="7"/>
  <c r="AT134" i="7"/>
  <c r="AW134" i="7" s="1"/>
  <c r="AG179" i="7"/>
  <c r="AR179" i="7"/>
  <c r="AR163" i="7" s="1"/>
  <c r="AR162" i="7" s="1"/>
  <c r="AU508" i="7"/>
  <c r="AX551" i="7"/>
  <c r="AV1106" i="7"/>
  <c r="AX1104" i="7"/>
  <c r="AI1124" i="7"/>
  <c r="AT17" i="7"/>
  <c r="AT24" i="7"/>
  <c r="AW24" i="7" s="1"/>
  <c r="AX27" i="7"/>
  <c r="AI30" i="7"/>
  <c r="AI16" i="7" s="1"/>
  <c r="AI15" i="7" s="1"/>
  <c r="AE30" i="7"/>
  <c r="AE16" i="7" s="1"/>
  <c r="AE15" i="7" s="1"/>
  <c r="AT43" i="7"/>
  <c r="AW43" i="7" s="1"/>
  <c r="AX58" i="7"/>
  <c r="AX61" i="7"/>
  <c r="AV131" i="7"/>
  <c r="AX258" i="7"/>
  <c r="AX565" i="7"/>
  <c r="AV1056" i="7"/>
  <c r="AI1177" i="7"/>
  <c r="AX34" i="7"/>
  <c r="AS42" i="7"/>
  <c r="AU67" i="7"/>
  <c r="AX72" i="7"/>
  <c r="AK71" i="7"/>
  <c r="AK70" i="7" s="1"/>
  <c r="AV134" i="7"/>
  <c r="AD179" i="7"/>
  <c r="AD163" i="7" s="1"/>
  <c r="AD162" i="7" s="1"/>
  <c r="AK190" i="7"/>
  <c r="AS190" i="7"/>
  <c r="AX618" i="7"/>
  <c r="AG1192" i="7"/>
  <c r="AJ1204" i="7"/>
  <c r="AU1204" i="7" s="1"/>
  <c r="AL52" i="7"/>
  <c r="AO46" i="7"/>
  <c r="AR31" i="7"/>
  <c r="AO78" i="7"/>
  <c r="AR58" i="7"/>
  <c r="AO49" i="7"/>
  <c r="AO55" i="7"/>
  <c r="AL61" i="7"/>
  <c r="AR34" i="7"/>
  <c r="AO64" i="7"/>
  <c r="AL1304" i="7"/>
  <c r="AO75" i="7"/>
  <c r="AT149" i="7"/>
  <c r="AO31" i="7"/>
  <c r="AT39" i="7"/>
  <c r="AR61" i="7"/>
  <c r="AR126" i="7"/>
  <c r="AR125" i="7" s="1"/>
  <c r="AR124" i="7" s="1"/>
  <c r="AR123" i="7" s="1"/>
  <c r="AL24" i="7"/>
  <c r="AO43" i="7"/>
  <c r="AR49" i="7"/>
  <c r="AR55" i="7"/>
  <c r="AO61" i="7"/>
  <c r="AL67" i="7"/>
  <c r="AV767" i="7"/>
  <c r="AD190" i="7"/>
  <c r="AF190" i="7"/>
  <c r="AO17" i="7"/>
  <c r="AL58" i="7"/>
  <c r="AO58" i="7"/>
  <c r="AL64" i="7"/>
  <c r="AO94" i="7"/>
  <c r="AO87" i="7" s="1"/>
  <c r="AO86" i="7" s="1"/>
  <c r="AX492" i="7"/>
  <c r="AX739" i="7"/>
  <c r="AL49" i="7"/>
  <c r="AL55" i="7"/>
  <c r="AT167" i="7"/>
  <c r="AW167" i="7" s="1"/>
  <c r="AU595" i="7"/>
  <c r="AR94" i="7"/>
  <c r="AR87" i="7" s="1"/>
  <c r="AR86" i="7" s="1"/>
  <c r="AT172" i="7"/>
  <c r="AW172" i="7" s="1"/>
  <c r="AL17" i="7"/>
  <c r="AR67" i="7"/>
  <c r="AU448" i="7"/>
  <c r="AX448" i="7"/>
  <c r="AX735" i="7"/>
  <c r="AU735" i="7"/>
  <c r="AX412" i="7"/>
  <c r="AU412" i="7"/>
  <c r="AU740" i="7"/>
  <c r="AX740" i="7"/>
  <c r="AR24" i="7"/>
  <c r="AR43" i="7"/>
  <c r="AW515" i="7"/>
  <c r="AU569" i="7"/>
  <c r="AU641" i="7"/>
  <c r="AU172" i="7"/>
  <c r="AX176" i="7"/>
  <c r="AL46" i="7"/>
  <c r="AO67" i="7"/>
  <c r="AX734" i="7"/>
  <c r="AU738" i="7"/>
  <c r="AV17" i="7"/>
  <c r="AR52" i="7"/>
  <c r="AX449" i="7"/>
  <c r="AX640" i="7"/>
  <c r="AU17" i="7"/>
  <c r="AV40" i="7"/>
  <c r="AV39" i="7" s="1"/>
  <c r="AR64" i="7"/>
  <c r="AX172" i="7"/>
  <c r="AT176" i="7"/>
  <c r="AT175" i="7" s="1"/>
  <c r="AT174" i="7" s="1"/>
  <c r="AU637" i="7"/>
  <c r="AW17" i="7"/>
  <c r="AT40" i="7"/>
  <c r="AW40" i="7" s="1"/>
  <c r="AW39" i="7" s="1"/>
  <c r="AO515" i="7"/>
  <c r="AV94" i="7"/>
  <c r="AM39" i="7"/>
  <c r="AV180" i="7"/>
  <c r="AO34" i="7"/>
  <c r="AU40" i="7"/>
  <c r="AU39" i="7" s="1"/>
  <c r="AL43" i="7"/>
  <c r="AR46" i="7"/>
  <c r="AO104" i="7"/>
  <c r="AO103" i="7" s="1"/>
  <c r="AO102" i="7" s="1"/>
  <c r="AP175" i="7"/>
  <c r="AX175" i="7" s="1"/>
  <c r="AN102" i="7"/>
  <c r="AV104" i="7"/>
  <c r="AV103" i="7" s="1"/>
  <c r="AW126" i="7"/>
  <c r="AP171" i="7"/>
  <c r="AP170" i="7" s="1"/>
  <c r="AG86" i="7"/>
  <c r="AX97" i="7"/>
  <c r="AX629" i="7"/>
  <c r="AU629" i="7"/>
  <c r="AQ190" i="7"/>
  <c r="AX725" i="7"/>
  <c r="AU725" i="7"/>
  <c r="AI42" i="7"/>
  <c r="AU55" i="7"/>
  <c r="AX55" i="7"/>
  <c r="AX52" i="7"/>
  <c r="AH30" i="7"/>
  <c r="AH16" i="7" s="1"/>
  <c r="AX24" i="7"/>
  <c r="AJ42" i="7"/>
  <c r="AX17" i="7"/>
  <c r="AU46" i="7"/>
  <c r="AX49" i="7"/>
  <c r="AV55" i="7"/>
  <c r="AM117" i="7"/>
  <c r="AM102" i="7" s="1"/>
  <c r="AX127" i="7"/>
  <c r="AU127" i="7"/>
  <c r="AJ126" i="7"/>
  <c r="AJ125" i="7" s="1"/>
  <c r="AX125" i="7" s="1"/>
  <c r="AX149" i="7"/>
  <c r="AU186" i="7"/>
  <c r="AX186" i="7"/>
  <c r="AJ180" i="7"/>
  <c r="AJ179" i="7" s="1"/>
  <c r="AX96" i="7"/>
  <c r="AU96" i="7"/>
  <c r="AM30" i="7"/>
  <c r="AX31" i="7"/>
  <c r="AP42" i="7"/>
  <c r="AP166" i="7"/>
  <c r="AV166" i="7" s="1"/>
  <c r="AX167" i="7"/>
  <c r="AV167" i="7"/>
  <c r="AX411" i="7"/>
  <c r="AU411" i="7"/>
  <c r="AX436" i="7"/>
  <c r="AU436" i="7"/>
  <c r="AX438" i="7"/>
  <c r="AU438" i="7"/>
  <c r="AU446" i="7"/>
  <c r="AX446" i="7"/>
  <c r="AW105" i="7"/>
  <c r="AW104" i="7" s="1"/>
  <c r="AW103" i="7" s="1"/>
  <c r="AT104" i="7"/>
  <c r="AP118" i="7"/>
  <c r="AV119" i="7"/>
  <c r="AP39" i="7"/>
  <c r="AQ42" i="7"/>
  <c r="AU52" i="7"/>
  <c r="AX95" i="7"/>
  <c r="AU95" i="7"/>
  <c r="AR104" i="7"/>
  <c r="AR103" i="7" s="1"/>
  <c r="AR102" i="7" s="1"/>
  <c r="AX116" i="7"/>
  <c r="AU116" i="7"/>
  <c r="AV126" i="7"/>
  <c r="AU305" i="7"/>
  <c r="AX305" i="7"/>
  <c r="AF102" i="7"/>
  <c r="AT166" i="7"/>
  <c r="AQ165" i="7"/>
  <c r="AX217" i="7"/>
  <c r="AU217" i="7"/>
  <c r="AU219" i="7"/>
  <c r="AX219" i="7"/>
  <c r="AX40" i="7"/>
  <c r="AG148" i="7"/>
  <c r="AI152" i="7"/>
  <c r="AJ152" i="7" s="1"/>
  <c r="AU152" i="7" s="1"/>
  <c r="AU869" i="7"/>
  <c r="AX869" i="7"/>
  <c r="AU999" i="7"/>
  <c r="AX999" i="7"/>
  <c r="AU43" i="7"/>
  <c r="AJ39" i="7"/>
  <c r="AV43" i="7"/>
  <c r="AF71" i="7"/>
  <c r="AF70" i="7" s="1"/>
  <c r="AN71" i="7"/>
  <c r="AN70" i="7" s="1"/>
  <c r="AW94" i="7"/>
  <c r="AG102" i="7"/>
  <c r="AS102" i="7"/>
  <c r="AX178" i="7"/>
  <c r="AU178" i="7"/>
  <c r="AQ30" i="7"/>
  <c r="AW58" i="7"/>
  <c r="AS87" i="7"/>
  <c r="AS86" i="7" s="1"/>
  <c r="AH102" i="7"/>
  <c r="AT125" i="7"/>
  <c r="AW125" i="7" s="1"/>
  <c r="AQ124" i="7"/>
  <c r="AH148" i="7"/>
  <c r="AI153" i="7"/>
  <c r="AJ30" i="7"/>
  <c r="AM70" i="7"/>
  <c r="AH71" i="7"/>
  <c r="AH70" i="7" s="1"/>
  <c r="AP71" i="7"/>
  <c r="AV75" i="7"/>
  <c r="AQ86" i="7"/>
  <c r="AK87" i="7"/>
  <c r="AK86" i="7" s="1"/>
  <c r="AK102" i="7"/>
  <c r="AI126" i="7"/>
  <c r="AI125" i="7" s="1"/>
  <c r="AI124" i="7" s="1"/>
  <c r="AI123" i="7" s="1"/>
  <c r="AU130" i="7"/>
  <c r="AX130" i="7"/>
  <c r="AX131" i="7"/>
  <c r="AP158" i="7"/>
  <c r="AV158" i="7" s="1"/>
  <c r="AX159" i="7"/>
  <c r="AV159" i="7"/>
  <c r="AW243" i="7"/>
  <c r="AX120" i="7"/>
  <c r="AV154" i="7"/>
  <c r="AJ243" i="7"/>
  <c r="AU201" i="7"/>
  <c r="AU413" i="7"/>
  <c r="AX413" i="7"/>
  <c r="AX416" i="7"/>
  <c r="AU416" i="7"/>
  <c r="AU614" i="7"/>
  <c r="AX614" i="7"/>
  <c r="AX832" i="7"/>
  <c r="AU832" i="7"/>
  <c r="AU845" i="7"/>
  <c r="AX845" i="7"/>
  <c r="AU134" i="7"/>
  <c r="AX140" i="7"/>
  <c r="AU159" i="7"/>
  <c r="AJ158" i="7"/>
  <c r="AU158" i="7" s="1"/>
  <c r="AU167" i="7"/>
  <c r="AJ166" i="7"/>
  <c r="AW181" i="7"/>
  <c r="AW180" i="7" s="1"/>
  <c r="AT180" i="7"/>
  <c r="AX242" i="7"/>
  <c r="AU242" i="7"/>
  <c r="AX456" i="7"/>
  <c r="AU456" i="7"/>
  <c r="AU562" i="7"/>
  <c r="AX562" i="7"/>
  <c r="AJ91" i="7"/>
  <c r="AJ88" i="7" s="1"/>
  <c r="AI98" i="7"/>
  <c r="AJ98" i="7" s="1"/>
  <c r="AJ94" i="7" s="1"/>
  <c r="AX94" i="7" s="1"/>
  <c r="AT126" i="7"/>
  <c r="AJ143" i="7"/>
  <c r="AX143" i="7" s="1"/>
  <c r="AU147" i="7"/>
  <c r="AU143" i="7" s="1"/>
  <c r="AU185" i="7"/>
  <c r="AX185" i="7"/>
  <c r="AT243" i="7"/>
  <c r="AX201" i="7"/>
  <c r="AJ515" i="7"/>
  <c r="AX515" i="7" s="1"/>
  <c r="AU254" i="7"/>
  <c r="AX254" i="7"/>
  <c r="AU402" i="7"/>
  <c r="AX437" i="7"/>
  <c r="AU437" i="7"/>
  <c r="AJ115" i="7"/>
  <c r="AQ119" i="7"/>
  <c r="AT143" i="7"/>
  <c r="AT154" i="7"/>
  <c r="AW154" i="7" s="1"/>
  <c r="AQ153" i="7"/>
  <c r="AQ71" i="7"/>
  <c r="AJ119" i="7"/>
  <c r="AX119" i="7" s="1"/>
  <c r="AQ139" i="7"/>
  <c r="AT139" i="7" s="1"/>
  <c r="AM165" i="7"/>
  <c r="AV243" i="7"/>
  <c r="AX311" i="7"/>
  <c r="AU311" i="7"/>
  <c r="AU658" i="7"/>
  <c r="AX658" i="7"/>
  <c r="AJ139" i="7"/>
  <c r="AX139" i="7" s="1"/>
  <c r="AJ170" i="7"/>
  <c r="AM171" i="7"/>
  <c r="AV172" i="7"/>
  <c r="AI180" i="7"/>
  <c r="AI179" i="7" s="1"/>
  <c r="AI163" i="7" s="1"/>
  <c r="AX470" i="7"/>
  <c r="AU470" i="7"/>
  <c r="AU651" i="7"/>
  <c r="AX651" i="7"/>
  <c r="AQ171" i="7"/>
  <c r="AU491" i="7"/>
  <c r="AX491" i="7"/>
  <c r="AX541" i="7"/>
  <c r="AU541" i="7"/>
  <c r="AU543" i="7"/>
  <c r="AX543" i="7"/>
  <c r="AX605" i="7"/>
  <c r="AU605" i="7"/>
  <c r="AX642" i="7"/>
  <c r="AU642" i="7"/>
  <c r="AX698" i="7"/>
  <c r="AU698" i="7"/>
  <c r="AU706" i="7"/>
  <c r="AX706" i="7"/>
  <c r="AH979" i="7"/>
  <c r="AI828" i="7"/>
  <c r="AJ828" i="7" s="1"/>
  <c r="AX1082" i="7"/>
  <c r="AU1082" i="7"/>
  <c r="AI243" i="7"/>
  <c r="AU500" i="7"/>
  <c r="AX500" i="7"/>
  <c r="AU514" i="7"/>
  <c r="AX514" i="7"/>
  <c r="AI515" i="7"/>
  <c r="AU535" i="7"/>
  <c r="AX535" i="7"/>
  <c r="AX568" i="7"/>
  <c r="AU568" i="7"/>
  <c r="AX575" i="7"/>
  <c r="AU575" i="7"/>
  <c r="AX579" i="7"/>
  <c r="AU579" i="7"/>
  <c r="AX589" i="7"/>
  <c r="AU589" i="7"/>
  <c r="AX593" i="7"/>
  <c r="AU593" i="7"/>
  <c r="AU608" i="7"/>
  <c r="AX608" i="7"/>
  <c r="AX654" i="7"/>
  <c r="AU654" i="7"/>
  <c r="AU712" i="7"/>
  <c r="AX712" i="7"/>
  <c r="AX737" i="7"/>
  <c r="AU737" i="7"/>
  <c r="AX909" i="7"/>
  <c r="AU909" i="7"/>
  <c r="AX1071" i="7"/>
  <c r="AU1071" i="7"/>
  <c r="AX1302" i="7"/>
  <c r="AU1302" i="7"/>
  <c r="AX1243" i="7"/>
  <c r="AU1243" i="7"/>
  <c r="AU1261" i="7"/>
  <c r="AX1261" i="7"/>
  <c r="AU1265" i="7"/>
  <c r="AX1265" i="7"/>
  <c r="AT687" i="7"/>
  <c r="AW524" i="7"/>
  <c r="AW687" i="7" s="1"/>
  <c r="AX557" i="7"/>
  <c r="AU557" i="7"/>
  <c r="AU570" i="7"/>
  <c r="AX570" i="7"/>
  <c r="AU726" i="7"/>
  <c r="AX726" i="7"/>
  <c r="AO979" i="7"/>
  <c r="AI1106" i="7"/>
  <c r="AL515" i="7"/>
  <c r="AX503" i="7"/>
  <c r="AU503" i="7"/>
  <c r="AX585" i="7"/>
  <c r="AU585" i="7"/>
  <c r="AX830" i="7"/>
  <c r="AU830" i="7"/>
  <c r="AU864" i="7"/>
  <c r="AX864" i="7"/>
  <c r="AU1217" i="7"/>
  <c r="AX1217" i="7"/>
  <c r="AJ1304" i="7"/>
  <c r="AX1304" i="7" s="1"/>
  <c r="AT515" i="7"/>
  <c r="AV687" i="7"/>
  <c r="AJ533" i="7"/>
  <c r="AX546" i="7"/>
  <c r="AU603" i="7"/>
  <c r="AX631" i="7"/>
  <c r="AU631" i="7"/>
  <c r="AX643" i="7"/>
  <c r="AU643" i="7"/>
  <c r="AU906" i="7"/>
  <c r="AX906" i="7"/>
  <c r="AX577" i="7"/>
  <c r="AU577" i="7"/>
  <c r="AX594" i="7"/>
  <c r="AU594" i="7"/>
  <c r="AU616" i="7"/>
  <c r="AX616" i="7"/>
  <c r="AU638" i="7"/>
  <c r="AX638" i="7"/>
  <c r="AX649" i="7"/>
  <c r="AW767" i="7"/>
  <c r="AX736" i="7"/>
  <c r="AU736" i="7"/>
  <c r="AX1162" i="7"/>
  <c r="AU1162" i="7"/>
  <c r="AU1175" i="7"/>
  <c r="AX1175" i="7"/>
  <c r="AX1177" i="7" s="1"/>
  <c r="AV515" i="7"/>
  <c r="AX474" i="7"/>
  <c r="AU474" i="7"/>
  <c r="AX555" i="7"/>
  <c r="AU555" i="7"/>
  <c r="AX559" i="7"/>
  <c r="AU559" i="7"/>
  <c r="AG687" i="7"/>
  <c r="AI587" i="7"/>
  <c r="AJ587" i="7" s="1"/>
  <c r="AU596" i="7"/>
  <c r="AX596" i="7"/>
  <c r="AX620" i="7"/>
  <c r="AU709" i="7"/>
  <c r="AX728" i="7"/>
  <c r="AX820" i="7"/>
  <c r="AU820" i="7"/>
  <c r="AX881" i="7"/>
  <c r="AU881" i="7"/>
  <c r="AX544" i="7"/>
  <c r="AX563" i="7"/>
  <c r="AX597" i="7"/>
  <c r="AX610" i="7"/>
  <c r="AX617" i="7"/>
  <c r="AX639" i="7"/>
  <c r="AX647" i="7"/>
  <c r="AX662" i="7"/>
  <c r="AX727" i="7"/>
  <c r="AU973" i="7"/>
  <c r="AX973" i="7"/>
  <c r="AW1024" i="7"/>
  <c r="AX1007" i="7"/>
  <c r="AU1007" i="7"/>
  <c r="AX1034" i="7"/>
  <c r="AU1034" i="7"/>
  <c r="AT1106" i="7"/>
  <c r="AX1117" i="7"/>
  <c r="AU1117" i="7"/>
  <c r="AX1227" i="7"/>
  <c r="AU1227" i="7"/>
  <c r="AX1229" i="7"/>
  <c r="AU1229" i="7"/>
  <c r="AU1298" i="7"/>
  <c r="AX1298" i="7"/>
  <c r="AU1119" i="7"/>
  <c r="AX1119" i="7"/>
  <c r="AJ1164" i="7"/>
  <c r="AX1164" i="7" s="1"/>
  <c r="AX1141" i="7"/>
  <c r="AU1141" i="7"/>
  <c r="AH1192" i="7"/>
  <c r="AI1186" i="7"/>
  <c r="AX1294" i="7"/>
  <c r="AU1294" i="7"/>
  <c r="AX1254" i="7"/>
  <c r="AU1254" i="7"/>
  <c r="AX1256" i="7"/>
  <c r="AU1256" i="7"/>
  <c r="AX1281" i="7"/>
  <c r="AU1281" i="7"/>
  <c r="AI537" i="7"/>
  <c r="AJ537" i="7" s="1"/>
  <c r="AU537" i="7" s="1"/>
  <c r="AV979" i="7"/>
  <c r="AU905" i="7"/>
  <c r="AX1012" i="7"/>
  <c r="AU1012" i="7"/>
  <c r="AU1144" i="7"/>
  <c r="AX1144" i="7"/>
  <c r="AX1149" i="7"/>
  <c r="AU1149" i="7"/>
  <c r="AX1152" i="7"/>
  <c r="AU1152" i="7"/>
  <c r="AT1304" i="7"/>
  <c r="AX1296" i="7"/>
  <c r="AU1296" i="7"/>
  <c r="AU1236" i="7"/>
  <c r="AX1267" i="7"/>
  <c r="AU1267" i="7"/>
  <c r="AX1271" i="7"/>
  <c r="AU1271" i="7"/>
  <c r="AU1273" i="7"/>
  <c r="AX1273" i="7"/>
  <c r="AU729" i="7"/>
  <c r="AU742" i="7"/>
  <c r="AU748" i="7"/>
  <c r="AU756" i="7"/>
  <c r="AT767" i="7"/>
  <c r="AW979" i="7"/>
  <c r="AU818" i="7"/>
  <c r="AU846" i="7"/>
  <c r="AU903" i="7"/>
  <c r="AU908" i="7"/>
  <c r="AX1005" i="7"/>
  <c r="AU1005" i="7"/>
  <c r="AU1017" i="7"/>
  <c r="AX1073" i="7"/>
  <c r="AU1073" i="7"/>
  <c r="AU1077" i="7"/>
  <c r="AX1077" i="7"/>
  <c r="AU1156" i="7"/>
  <c r="AX1156" i="7"/>
  <c r="AV1304" i="7"/>
  <c r="AX1242" i="7"/>
  <c r="AU1242" i="7"/>
  <c r="AI746" i="7"/>
  <c r="AJ746" i="7" s="1"/>
  <c r="AJ767" i="7" s="1"/>
  <c r="AX767" i="7" s="1"/>
  <c r="AI781" i="7"/>
  <c r="AJ781" i="7" s="1"/>
  <c r="AX1009" i="7"/>
  <c r="AU1009" i="7"/>
  <c r="AU1066" i="7"/>
  <c r="AX1066" i="7"/>
  <c r="AJ1124" i="7"/>
  <c r="AX1124" i="7" s="1"/>
  <c r="AX1116" i="7"/>
  <c r="AU1116" i="7"/>
  <c r="AX1121" i="7"/>
  <c r="AV1164" i="7"/>
  <c r="AW1177" i="7"/>
  <c r="AX1222" i="7"/>
  <c r="AU1237" i="7"/>
  <c r="AX1237" i="7"/>
  <c r="AX1228" i="7"/>
  <c r="AU1228" i="7"/>
  <c r="AU1022" i="7"/>
  <c r="AX1022" i="7"/>
  <c r="AH1056" i="7"/>
  <c r="AI1033" i="7"/>
  <c r="AX1048" i="7"/>
  <c r="AW1106" i="7"/>
  <c r="AW1164" i="7"/>
  <c r="AX1146" i="7"/>
  <c r="AX1188" i="7"/>
  <c r="AU1188" i="7"/>
  <c r="AX1205" i="7"/>
  <c r="AU1205" i="7"/>
  <c r="AX1293" i="7"/>
  <c r="AU1293" i="7"/>
  <c r="AU1249" i="7"/>
  <c r="AX1249" i="7"/>
  <c r="AX1255" i="7"/>
  <c r="AU1255" i="7"/>
  <c r="AX1277" i="7"/>
  <c r="AX1280" i="7"/>
  <c r="AU1280" i="7"/>
  <c r="AX1282" i="7"/>
  <c r="AU1282" i="7"/>
  <c r="AU1286" i="7"/>
  <c r="AX1286" i="7"/>
  <c r="AX1014" i="7"/>
  <c r="AU1014" i="7"/>
  <c r="AW1056" i="7"/>
  <c r="AX1054" i="7"/>
  <c r="AU1054" i="7"/>
  <c r="AT1056" i="7"/>
  <c r="AX1080" i="7"/>
  <c r="AV1124" i="7"/>
  <c r="AX1147" i="7"/>
  <c r="AU1147" i="7"/>
  <c r="AX1150" i="7"/>
  <c r="AU1150" i="7"/>
  <c r="AX1160" i="7"/>
  <c r="AV1177" i="7"/>
  <c r="AX1218" i="7"/>
  <c r="AU1218" i="7"/>
  <c r="AX1268" i="7"/>
  <c r="AU1268" i="7"/>
  <c r="AX1067" i="7"/>
  <c r="AX1078" i="7"/>
  <c r="AX1120" i="7"/>
  <c r="AX1145" i="7"/>
  <c r="AX1158" i="7"/>
  <c r="AJ1177" i="7"/>
  <c r="AW1217" i="7"/>
  <c r="AW1304" i="7" s="1"/>
  <c r="AX1221" i="7"/>
  <c r="AX1240" i="7"/>
  <c r="AX1250" i="7"/>
  <c r="AX1262" i="7"/>
  <c r="AX1274" i="7"/>
  <c r="AX1291" i="7"/>
  <c r="AI997" i="7"/>
  <c r="AI1164" i="7"/>
  <c r="AJ1065" i="7"/>
  <c r="AJ161" i="6"/>
  <c r="AJ160" i="6" s="1"/>
  <c r="AJ11" i="6" s="1"/>
  <c r="AJ176" i="6"/>
  <c r="AE161" i="6"/>
  <c r="AI177" i="6"/>
  <c r="AJ177" i="6" s="1"/>
  <c r="AT177" i="6"/>
  <c r="AV177" i="6"/>
  <c r="AW177" i="6"/>
  <c r="AI178" i="6"/>
  <c r="AJ178" i="6"/>
  <c r="AU178" i="6" s="1"/>
  <c r="AT178" i="6"/>
  <c r="AW178" i="6" s="1"/>
  <c r="AV178" i="6"/>
  <c r="AE176" i="6"/>
  <c r="AU836" i="7" l="1"/>
  <c r="AD101" i="7"/>
  <c r="AE190" i="7"/>
  <c r="AX126" i="7"/>
  <c r="AG101" i="7"/>
  <c r="AH101" i="7"/>
  <c r="AU30" i="7"/>
  <c r="AU16" i="7" s="1"/>
  <c r="AU15" i="7" s="1"/>
  <c r="AI162" i="7"/>
  <c r="AO101" i="7"/>
  <c r="AL30" i="7"/>
  <c r="AL16" i="7" s="1"/>
  <c r="AL15" i="7" s="1"/>
  <c r="AG163" i="7"/>
  <c r="AG162" i="7" s="1"/>
  <c r="AJ979" i="7"/>
  <c r="AX979" i="7" s="1"/>
  <c r="AT42" i="7"/>
  <c r="AV87" i="7"/>
  <c r="AV86" i="7" s="1"/>
  <c r="AF162" i="7"/>
  <c r="AE162" i="7"/>
  <c r="AE101" i="7"/>
  <c r="AH162" i="7"/>
  <c r="AS101" i="7"/>
  <c r="AJ1207" i="7"/>
  <c r="AX1207" i="7" s="1"/>
  <c r="AU592" i="7"/>
  <c r="AX180" i="7"/>
  <c r="AF101" i="7"/>
  <c r="AW179" i="7"/>
  <c r="AG190" i="7"/>
  <c r="AD14" i="7"/>
  <c r="AD13" i="7" s="1"/>
  <c r="AD12" i="7" s="1"/>
  <c r="AD11" i="7" s="1"/>
  <c r="AV179" i="7"/>
  <c r="AU1177" i="7"/>
  <c r="AV124" i="7"/>
  <c r="AV123" i="7" s="1"/>
  <c r="AN101" i="7"/>
  <c r="AX1204" i="7"/>
  <c r="AK101" i="7"/>
  <c r="AT30" i="7"/>
  <c r="AW30" i="7" s="1"/>
  <c r="AW16" i="7" s="1"/>
  <c r="AW15" i="7" s="1"/>
  <c r="AH15" i="7"/>
  <c r="AH14" i="7" s="1"/>
  <c r="AH13" i="7" s="1"/>
  <c r="AL101" i="7"/>
  <c r="AX171" i="7"/>
  <c r="AX243" i="7"/>
  <c r="AI14" i="7"/>
  <c r="AI13" i="7" s="1"/>
  <c r="AK14" i="7"/>
  <c r="AK13" i="7" s="1"/>
  <c r="AT190" i="7"/>
  <c r="AG14" i="7"/>
  <c r="AG13" i="7" s="1"/>
  <c r="AE14" i="7"/>
  <c r="AE13" i="7" s="1"/>
  <c r="AF14" i="7"/>
  <c r="AF13" i="7" s="1"/>
  <c r="AL190" i="7"/>
  <c r="AO71" i="7"/>
  <c r="AO70" i="7" s="1"/>
  <c r="AR30" i="7"/>
  <c r="AR16" i="7" s="1"/>
  <c r="AR15" i="7" s="1"/>
  <c r="AN14" i="7"/>
  <c r="AN13" i="7" s="1"/>
  <c r="AO190" i="7"/>
  <c r="AV148" i="7"/>
  <c r="AU75" i="7"/>
  <c r="AX75" i="7"/>
  <c r="AU1164" i="7"/>
  <c r="AU1207" i="7"/>
  <c r="AT86" i="7"/>
  <c r="AT87" i="7"/>
  <c r="AQ16" i="7"/>
  <c r="AT16" i="7" s="1"/>
  <c r="AX1001" i="7"/>
  <c r="AI979" i="7"/>
  <c r="AI687" i="7"/>
  <c r="AI94" i="7"/>
  <c r="AI87" i="7" s="1"/>
  <c r="AI86" i="7" s="1"/>
  <c r="AU243" i="7"/>
  <c r="AS14" i="7"/>
  <c r="AS13" i="7" s="1"/>
  <c r="AP174" i="7"/>
  <c r="AX174" i="7" s="1"/>
  <c r="AO30" i="7"/>
  <c r="AO16" i="7" s="1"/>
  <c r="AO15" i="7" s="1"/>
  <c r="AL42" i="7"/>
  <c r="AO42" i="7"/>
  <c r="AR42" i="7"/>
  <c r="AU180" i="7"/>
  <c r="AW42" i="7"/>
  <c r="AU126" i="7"/>
  <c r="AU42" i="7"/>
  <c r="AH190" i="7"/>
  <c r="AX42" i="7"/>
  <c r="AV171" i="7"/>
  <c r="AM170" i="7"/>
  <c r="AM164" i="7"/>
  <c r="AU91" i="7"/>
  <c r="AU88" i="7" s="1"/>
  <c r="AX91" i="7"/>
  <c r="AJ1106" i="7"/>
  <c r="AX1106" i="7" s="1"/>
  <c r="AX1065" i="7"/>
  <c r="AU1065" i="7"/>
  <c r="AU1106" i="7" s="1"/>
  <c r="AU533" i="7"/>
  <c r="AJ687" i="7"/>
  <c r="AX687" i="7" s="1"/>
  <c r="AX533" i="7"/>
  <c r="AJ169" i="7"/>
  <c r="AP169" i="7"/>
  <c r="AX170" i="7"/>
  <c r="AW190" i="7"/>
  <c r="AI101" i="7"/>
  <c r="AT165" i="7"/>
  <c r="AQ164" i="7"/>
  <c r="AP117" i="7"/>
  <c r="AM16" i="7"/>
  <c r="AM15" i="7" s="1"/>
  <c r="AM14" i="7" s="1"/>
  <c r="AM13" i="7" s="1"/>
  <c r="AV30" i="7"/>
  <c r="AV16" i="7" s="1"/>
  <c r="AV15" i="7" s="1"/>
  <c r="AT153" i="7"/>
  <c r="AQ148" i="7"/>
  <c r="AX587" i="7"/>
  <c r="AU587" i="7"/>
  <c r="AU171" i="7"/>
  <c r="AR101" i="7"/>
  <c r="AU125" i="7"/>
  <c r="AJ124" i="7"/>
  <c r="AU166" i="7"/>
  <c r="AJ165" i="7"/>
  <c r="AX781" i="7"/>
  <c r="AU781" i="7"/>
  <c r="AV190" i="7"/>
  <c r="AQ70" i="7"/>
  <c r="AT71" i="7"/>
  <c r="AT70" i="7" s="1"/>
  <c r="AQ118" i="7"/>
  <c r="AT119" i="7"/>
  <c r="AW119" i="7" s="1"/>
  <c r="AI148" i="7"/>
  <c r="AJ153" i="7"/>
  <c r="AU179" i="7"/>
  <c r="AX179" i="7"/>
  <c r="AX30" i="7"/>
  <c r="AJ997" i="7"/>
  <c r="AI1024" i="7"/>
  <c r="AU515" i="7"/>
  <c r="AU1124" i="7"/>
  <c r="AX746" i="7"/>
  <c r="AU746" i="7"/>
  <c r="AU767" i="7" s="1"/>
  <c r="AJ70" i="7"/>
  <c r="AU71" i="7"/>
  <c r="AU70" i="7" s="1"/>
  <c r="AJ104" i="7"/>
  <c r="AX115" i="7"/>
  <c r="AU115" i="7"/>
  <c r="AU104" i="7" s="1"/>
  <c r="AU103" i="7" s="1"/>
  <c r="AX71" i="7"/>
  <c r="AP70" i="7"/>
  <c r="AX39" i="7"/>
  <c r="AV118" i="7"/>
  <c r="AV117" i="7" s="1"/>
  <c r="AV102" i="7" s="1"/>
  <c r="AV101" i="7" s="1"/>
  <c r="AP15" i="7"/>
  <c r="AJ16" i="7"/>
  <c r="AJ15" i="7" s="1"/>
  <c r="AI1192" i="7"/>
  <c r="AJ1186" i="7"/>
  <c r="AU119" i="7"/>
  <c r="AJ118" i="7"/>
  <c r="AX118" i="7" s="1"/>
  <c r="AI767" i="7"/>
  <c r="AV42" i="7"/>
  <c r="AM101" i="7"/>
  <c r="AI1056" i="7"/>
  <c r="AJ1033" i="7"/>
  <c r="AU1304" i="7"/>
  <c r="AX828" i="7"/>
  <c r="AU828" i="7"/>
  <c r="AT171" i="7"/>
  <c r="AW171" i="7" s="1"/>
  <c r="AQ170" i="7"/>
  <c r="AX98" i="7"/>
  <c r="AU98" i="7"/>
  <c r="AU94" i="7" s="1"/>
  <c r="AX158" i="7"/>
  <c r="AW158" i="7"/>
  <c r="AP148" i="7"/>
  <c r="AV71" i="7"/>
  <c r="AV70" i="7" s="1"/>
  <c r="AT124" i="7"/>
  <c r="AW124" i="7" s="1"/>
  <c r="AW123" i="7" s="1"/>
  <c r="AQ123" i="7"/>
  <c r="AT123" i="7" s="1"/>
  <c r="AW87" i="7"/>
  <c r="AW86" i="7" s="1"/>
  <c r="AX166" i="7"/>
  <c r="AP165" i="7"/>
  <c r="AW166" i="7"/>
  <c r="AU177" i="6"/>
  <c r="AX177" i="6"/>
  <c r="AX178" i="6"/>
  <c r="AG12" i="7" l="1"/>
  <c r="AF12" i="7"/>
  <c r="AF11" i="7" s="1"/>
  <c r="AH12" i="7"/>
  <c r="AE12" i="7"/>
  <c r="AE11" i="7" s="1"/>
  <c r="AG11" i="7"/>
  <c r="AK12" i="7"/>
  <c r="AK11" i="7" s="1"/>
  <c r="AS12" i="7"/>
  <c r="AS11" i="7" s="1"/>
  <c r="AN12" i="7"/>
  <c r="AN11" i="7" s="1"/>
  <c r="AQ15" i="7"/>
  <c r="AT15" i="7" s="1"/>
  <c r="AR14" i="7"/>
  <c r="AR13" i="7" s="1"/>
  <c r="AR12" i="7" s="1"/>
  <c r="AR11" i="7" s="1"/>
  <c r="AO14" i="7"/>
  <c r="AO13" i="7" s="1"/>
  <c r="AO12" i="7" s="1"/>
  <c r="AO11" i="7" s="1"/>
  <c r="AI190" i="7"/>
  <c r="AU687" i="7"/>
  <c r="AI12" i="7"/>
  <c r="AL14" i="7"/>
  <c r="AL13" i="7" s="1"/>
  <c r="AL12" i="7" s="1"/>
  <c r="AU14" i="7"/>
  <c r="AU13" i="7" s="1"/>
  <c r="AW71" i="7"/>
  <c r="AW70" i="7" s="1"/>
  <c r="AW14" i="7" s="1"/>
  <c r="AW13" i="7" s="1"/>
  <c r="AX169" i="7"/>
  <c r="AX70" i="7"/>
  <c r="AH11" i="7"/>
  <c r="AX16" i="7"/>
  <c r="AM169" i="7"/>
  <c r="AM163" i="7" s="1"/>
  <c r="AM162" i="7" s="1"/>
  <c r="AV170" i="7"/>
  <c r="AV169" i="7" s="1"/>
  <c r="AX15" i="7"/>
  <c r="AP14" i="7"/>
  <c r="AU165" i="7"/>
  <c r="AU164" i="7" s="1"/>
  <c r="AJ164" i="7"/>
  <c r="AJ163" i="7" s="1"/>
  <c r="AJ162" i="7" s="1"/>
  <c r="AU170" i="7"/>
  <c r="AU169" i="7" s="1"/>
  <c r="AJ103" i="7"/>
  <c r="AX104" i="7"/>
  <c r="AX997" i="7"/>
  <c r="AJ1024" i="7"/>
  <c r="AU997" i="7"/>
  <c r="AU1024" i="7" s="1"/>
  <c r="AT118" i="7"/>
  <c r="AW118" i="7" s="1"/>
  <c r="AW117" i="7" s="1"/>
  <c r="AW102" i="7" s="1"/>
  <c r="AW101" i="7" s="1"/>
  <c r="AQ117" i="7"/>
  <c r="AT164" i="7"/>
  <c r="AP164" i="7"/>
  <c r="AP163" i="7" s="1"/>
  <c r="AW165" i="7"/>
  <c r="AW164" i="7" s="1"/>
  <c r="AX165" i="7"/>
  <c r="AJ87" i="7"/>
  <c r="AX88" i="7"/>
  <c r="AX1033" i="7"/>
  <c r="AJ1056" i="7"/>
  <c r="AX1056" i="7" s="1"/>
  <c r="AU1033" i="7"/>
  <c r="AU1056" i="7" s="1"/>
  <c r="AW153" i="7"/>
  <c r="AW148" i="7" s="1"/>
  <c r="AT148" i="7"/>
  <c r="AV14" i="7"/>
  <c r="AV13" i="7" s="1"/>
  <c r="AV12" i="7" s="1"/>
  <c r="AU87" i="7"/>
  <c r="AU86" i="7" s="1"/>
  <c r="AU118" i="7"/>
  <c r="AU117" i="7" s="1"/>
  <c r="AU102" i="7" s="1"/>
  <c r="AJ117" i="7"/>
  <c r="AX117" i="7" s="1"/>
  <c r="AX1186" i="7"/>
  <c r="AU1186" i="7"/>
  <c r="AU1192" i="7" s="1"/>
  <c r="AJ1192" i="7"/>
  <c r="AX1192" i="7" s="1"/>
  <c r="AU124" i="7"/>
  <c r="AU123" i="7" s="1"/>
  <c r="AJ123" i="7"/>
  <c r="AX123" i="7" s="1"/>
  <c r="AX124" i="7"/>
  <c r="AM12" i="7"/>
  <c r="AV165" i="7"/>
  <c r="AV164" i="7" s="1"/>
  <c r="AT170" i="7"/>
  <c r="AQ169" i="7"/>
  <c r="AQ163" i="7" s="1"/>
  <c r="AJ14" i="7"/>
  <c r="AJ13" i="7" s="1"/>
  <c r="AU153" i="7"/>
  <c r="AU148" i="7" s="1"/>
  <c r="AX153" i="7"/>
  <c r="AJ148" i="7"/>
  <c r="AX148" i="7" s="1"/>
  <c r="AU979" i="7"/>
  <c r="AP102" i="7"/>
  <c r="AR127" i="6"/>
  <c r="AR126" i="6"/>
  <c r="AR114" i="6"/>
  <c r="AR113" i="6"/>
  <c r="AR112" i="6"/>
  <c r="AR111" i="6"/>
  <c r="AR110" i="6"/>
  <c r="AR109" i="6"/>
  <c r="AR108" i="6"/>
  <c r="AR107" i="6"/>
  <c r="AR106" i="6"/>
  <c r="AR105" i="6"/>
  <c r="AR104" i="6"/>
  <c r="AR103" i="6"/>
  <c r="AR98" i="6"/>
  <c r="AR97" i="6"/>
  <c r="AR96" i="6"/>
  <c r="AR95" i="6"/>
  <c r="AR94" i="6"/>
  <c r="AR93" i="6"/>
  <c r="AR69" i="6"/>
  <c r="AR68" i="6"/>
  <c r="AR66" i="6"/>
  <c r="AR65" i="6"/>
  <c r="AR63" i="6"/>
  <c r="AR62" i="6"/>
  <c r="AR60" i="6"/>
  <c r="AR59" i="6"/>
  <c r="AR57" i="6"/>
  <c r="AR56" i="6"/>
  <c r="AR54" i="6"/>
  <c r="AR53" i="6"/>
  <c r="AR51" i="6"/>
  <c r="AR50" i="6"/>
  <c r="AR48" i="6"/>
  <c r="AR47" i="6"/>
  <c r="AR45" i="6"/>
  <c r="AR44" i="6"/>
  <c r="AR38" i="6"/>
  <c r="AR37" i="6"/>
  <c r="AR36" i="6"/>
  <c r="AR35" i="6"/>
  <c r="AR33" i="6"/>
  <c r="AR32" i="6"/>
  <c r="AR28" i="6"/>
  <c r="AR26" i="6"/>
  <c r="AR25" i="6"/>
  <c r="AR20" i="6"/>
  <c r="AR19" i="6"/>
  <c r="AR18" i="6"/>
  <c r="AL496" i="6"/>
  <c r="AO497" i="6"/>
  <c r="AO496" i="6"/>
  <c r="AO495" i="6"/>
  <c r="AO95" i="6"/>
  <c r="AO103" i="6"/>
  <c r="AO114" i="6"/>
  <c r="AO113" i="6"/>
  <c r="AO112" i="6"/>
  <c r="AO111" i="6"/>
  <c r="AO110" i="6"/>
  <c r="AO109" i="6"/>
  <c r="AO108" i="6"/>
  <c r="AO107" i="6"/>
  <c r="AO106" i="6"/>
  <c r="AO105" i="6"/>
  <c r="AO104" i="6"/>
  <c r="AO96" i="6"/>
  <c r="AO98" i="6"/>
  <c r="AO97" i="6"/>
  <c r="AO94" i="6"/>
  <c r="AO90" i="6"/>
  <c r="AO85" i="6"/>
  <c r="AO84" i="6"/>
  <c r="AO83" i="6"/>
  <c r="AO82" i="6"/>
  <c r="AO81" i="6"/>
  <c r="AO80" i="6"/>
  <c r="AO79" i="6"/>
  <c r="AO77" i="6"/>
  <c r="AO76" i="6"/>
  <c r="AO73" i="6"/>
  <c r="AO69" i="6"/>
  <c r="AO68" i="6"/>
  <c r="AO66" i="6"/>
  <c r="AO65" i="6"/>
  <c r="AO63" i="6"/>
  <c r="AO62" i="6"/>
  <c r="AO60" i="6"/>
  <c r="AO59" i="6"/>
  <c r="AO57" i="6"/>
  <c r="AO56" i="6"/>
  <c r="AO54" i="6"/>
  <c r="AO53" i="6"/>
  <c r="AO51" i="6"/>
  <c r="AO50" i="6"/>
  <c r="AO48" i="6"/>
  <c r="AO47" i="6"/>
  <c r="AO45" i="6"/>
  <c r="AO44" i="6"/>
  <c r="AO38" i="6"/>
  <c r="AO37" i="6"/>
  <c r="AO36" i="6"/>
  <c r="AO35" i="6"/>
  <c r="AO33" i="6"/>
  <c r="AO32" i="6"/>
  <c r="AO29" i="6"/>
  <c r="AO28" i="6"/>
  <c r="AO25" i="6"/>
  <c r="AO23" i="6"/>
  <c r="AO20" i="6"/>
  <c r="AO19" i="6"/>
  <c r="AO18" i="6"/>
  <c r="AO1187" i="6"/>
  <c r="AL1187" i="6"/>
  <c r="AO793" i="6"/>
  <c r="AL793" i="6"/>
  <c r="AM510" i="6"/>
  <c r="AL317" i="6"/>
  <c r="AL315" i="6"/>
  <c r="AL312" i="6"/>
  <c r="AL310" i="6"/>
  <c r="AL308" i="6"/>
  <c r="AL306" i="6"/>
  <c r="AL304" i="6"/>
  <c r="AL300" i="6"/>
  <c r="AL291" i="6"/>
  <c r="AL289" i="6"/>
  <c r="AL285" i="6"/>
  <c r="AL281" i="6"/>
  <c r="AL279" i="6"/>
  <c r="AL277" i="6"/>
  <c r="AL275" i="6"/>
  <c r="AL273" i="6"/>
  <c r="AL271" i="6"/>
  <c r="AL269" i="6"/>
  <c r="AL267" i="6"/>
  <c r="AL265" i="6"/>
  <c r="AL262" i="6"/>
  <c r="AL260" i="6"/>
  <c r="AL257" i="6"/>
  <c r="AL255" i="6"/>
  <c r="AL251" i="6"/>
  <c r="AL479" i="6"/>
  <c r="AL477" i="6"/>
  <c r="AL476" i="6"/>
  <c r="AL400" i="6"/>
  <c r="AL399" i="6"/>
  <c r="AL384" i="6"/>
  <c r="AL448" i="6"/>
  <c r="AL495" i="6"/>
  <c r="AL459" i="6"/>
  <c r="AL453" i="6"/>
  <c r="AL446" i="6"/>
  <c r="AL445" i="6"/>
  <c r="AL444" i="6"/>
  <c r="AL443" i="6"/>
  <c r="AL423" i="6"/>
  <c r="AL420" i="6"/>
  <c r="AL379" i="6"/>
  <c r="AL377" i="6"/>
  <c r="AL375" i="6"/>
  <c r="AL373" i="6"/>
  <c r="AL370" i="6"/>
  <c r="AL368" i="6"/>
  <c r="AL366" i="6"/>
  <c r="AL364" i="6"/>
  <c r="AL360" i="6"/>
  <c r="AL358" i="6"/>
  <c r="AL354" i="6"/>
  <c r="AL352" i="6"/>
  <c r="AL350" i="6"/>
  <c r="AL348" i="6"/>
  <c r="AL339" i="6"/>
  <c r="AL335" i="6"/>
  <c r="AL333" i="6"/>
  <c r="AL331" i="6"/>
  <c r="AL329" i="6"/>
  <c r="AL326" i="6"/>
  <c r="AL324" i="6"/>
  <c r="AL322" i="6"/>
  <c r="AL320" i="6"/>
  <c r="AL252" i="6"/>
  <c r="AG582" i="6"/>
  <c r="AG615" i="6"/>
  <c r="AL69" i="6"/>
  <c r="AL68" i="6"/>
  <c r="AL66" i="6"/>
  <c r="AL65" i="6"/>
  <c r="AL63" i="6"/>
  <c r="AL62" i="6"/>
  <c r="AL60" i="6"/>
  <c r="AL59" i="6"/>
  <c r="AL57" i="6"/>
  <c r="AL56" i="6"/>
  <c r="AL54" i="6"/>
  <c r="AL53" i="6"/>
  <c r="AL51" i="6"/>
  <c r="AL50" i="6"/>
  <c r="AL48" i="6"/>
  <c r="AL47" i="6"/>
  <c r="AL45" i="6"/>
  <c r="AL44" i="6"/>
  <c r="AL38" i="6"/>
  <c r="AL37" i="6"/>
  <c r="AL36" i="6"/>
  <c r="AL35" i="6"/>
  <c r="AL33" i="6"/>
  <c r="AL32" i="6"/>
  <c r="AL28" i="6"/>
  <c r="AL26" i="6"/>
  <c r="AL25" i="6"/>
  <c r="AL23" i="6"/>
  <c r="AL20" i="6"/>
  <c r="AL19" i="6"/>
  <c r="AL18" i="6"/>
  <c r="AV528" i="6"/>
  <c r="AT528" i="6"/>
  <c r="AW528" i="6" s="1"/>
  <c r="AV1249" i="6"/>
  <c r="AT1249" i="6"/>
  <c r="AW1249" i="6" s="1"/>
  <c r="AV1258" i="6"/>
  <c r="AT1258" i="6"/>
  <c r="AW1258" i="6" s="1"/>
  <c r="AV1256" i="6"/>
  <c r="AT1256" i="6"/>
  <c r="AW1256" i="6" s="1"/>
  <c r="AV1244" i="6"/>
  <c r="AT1244" i="6"/>
  <c r="AW1244" i="6" s="1"/>
  <c r="AV1242" i="6"/>
  <c r="AT1242" i="6"/>
  <c r="AW1242" i="6" s="1"/>
  <c r="AV1238" i="6"/>
  <c r="AT1238" i="6"/>
  <c r="AW1238" i="6" s="1"/>
  <c r="AV1235" i="6"/>
  <c r="AT1235" i="6"/>
  <c r="AW1235" i="6" s="1"/>
  <c r="AV1234" i="6"/>
  <c r="AT1234" i="6"/>
  <c r="AW1234" i="6" s="1"/>
  <c r="AV1233" i="6"/>
  <c r="AT1233" i="6"/>
  <c r="AW1233" i="6" s="1"/>
  <c r="AV1230" i="6"/>
  <c r="AT1230" i="6"/>
  <c r="AW1230" i="6" s="1"/>
  <c r="AV1229" i="6"/>
  <c r="AT1229" i="6"/>
  <c r="AW1229" i="6" s="1"/>
  <c r="AV1228" i="6"/>
  <c r="AT1228" i="6"/>
  <c r="AW1228" i="6" s="1"/>
  <c r="AV1225" i="6"/>
  <c r="AT1225" i="6"/>
  <c r="AW1225" i="6" s="1"/>
  <c r="AT1222" i="6"/>
  <c r="AW1222" i="6" s="1"/>
  <c r="AV1222" i="6"/>
  <c r="AV1221" i="6"/>
  <c r="AT1221" i="6"/>
  <c r="AW1221" i="6" s="1"/>
  <c r="AV1220" i="6"/>
  <c r="AT1220" i="6"/>
  <c r="AW1220" i="6" s="1"/>
  <c r="AV1215" i="6"/>
  <c r="AT1215" i="6"/>
  <c r="AW1215" i="6" s="1"/>
  <c r="AV1212" i="6"/>
  <c r="AT1212" i="6"/>
  <c r="AW1212" i="6" s="1"/>
  <c r="AV1209" i="6"/>
  <c r="AT1209" i="6"/>
  <c r="AW1209" i="6" s="1"/>
  <c r="AV1208" i="6"/>
  <c r="AT1208" i="6"/>
  <c r="AW1208" i="6" s="1"/>
  <c r="AV1202" i="6"/>
  <c r="AT1202" i="6"/>
  <c r="AW1202" i="6" s="1"/>
  <c r="AV1201" i="6"/>
  <c r="AT1201" i="6"/>
  <c r="AW1201" i="6" s="1"/>
  <c r="AV1197" i="6"/>
  <c r="AT1197" i="6"/>
  <c r="AW1197" i="6" s="1"/>
  <c r="AI1258" i="6"/>
  <c r="AJ1258" i="6" s="1"/>
  <c r="AX1258" i="6" s="1"/>
  <c r="AI1256" i="6"/>
  <c r="AJ1256" i="6" s="1"/>
  <c r="AX1256" i="6" s="1"/>
  <c r="AI1255" i="6"/>
  <c r="AJ1255" i="6" s="1"/>
  <c r="AI1254" i="6"/>
  <c r="AJ1254" i="6" s="1"/>
  <c r="AI1253" i="6"/>
  <c r="AJ1253" i="6" s="1"/>
  <c r="AI1252" i="6"/>
  <c r="AJ1252" i="6" s="1"/>
  <c r="AI1251" i="6"/>
  <c r="AJ1251" i="6" s="1"/>
  <c r="AI1249" i="6"/>
  <c r="AJ1249" i="6" s="1"/>
  <c r="AU1249" i="6" s="1"/>
  <c r="AI1244" i="6"/>
  <c r="AJ1244" i="6" s="1"/>
  <c r="AX1244" i="6" s="1"/>
  <c r="AI1242" i="6"/>
  <c r="AJ1242" i="6" s="1"/>
  <c r="AX1242" i="6" s="1"/>
  <c r="AI1241" i="6"/>
  <c r="AJ1241" i="6" s="1"/>
  <c r="AI1240" i="6"/>
  <c r="AJ1240" i="6" s="1"/>
  <c r="AI1238" i="6"/>
  <c r="AJ1238" i="6" s="1"/>
  <c r="AU1238" i="6" s="1"/>
  <c r="AI1237" i="6"/>
  <c r="AJ1237" i="6" s="1"/>
  <c r="AI1234" i="6"/>
  <c r="AJ1234" i="6" s="1"/>
  <c r="AU1234" i="6" s="1"/>
  <c r="AI1235" i="6"/>
  <c r="AJ1235" i="6" s="1"/>
  <c r="AX1235" i="6" s="1"/>
  <c r="AI1233" i="6"/>
  <c r="AJ1233" i="6" s="1"/>
  <c r="AX1233" i="6" s="1"/>
  <c r="AI1232" i="6"/>
  <c r="AJ1232" i="6" s="1"/>
  <c r="AI1230" i="6"/>
  <c r="AJ1230" i="6" s="1"/>
  <c r="AX1230" i="6" s="1"/>
  <c r="AI1228" i="6"/>
  <c r="AJ1228" i="6" s="1"/>
  <c r="AU1228" i="6" s="1"/>
  <c r="AI1229" i="6"/>
  <c r="AJ1229" i="6" s="1"/>
  <c r="AX1229" i="6" s="1"/>
  <c r="AI1227" i="6"/>
  <c r="AJ1227" i="6" s="1"/>
  <c r="AI1225" i="6"/>
  <c r="AJ1225" i="6" s="1"/>
  <c r="AX1225" i="6" s="1"/>
  <c r="AI1224" i="6"/>
  <c r="AJ1224" i="6" s="1"/>
  <c r="AI1222" i="6"/>
  <c r="AJ1222" i="6" s="1"/>
  <c r="AX1222" i="6" s="1"/>
  <c r="AI1221" i="6"/>
  <c r="AJ1221" i="6" s="1"/>
  <c r="AX1221" i="6" s="1"/>
  <c r="AI1220" i="6"/>
  <c r="AJ1220" i="6" s="1"/>
  <c r="AX1220" i="6" s="1"/>
  <c r="AI1219" i="6"/>
  <c r="AJ1219" i="6" s="1"/>
  <c r="AI1218" i="6"/>
  <c r="AJ1218" i="6" s="1"/>
  <c r="AI1217" i="6"/>
  <c r="AJ1217" i="6" s="1"/>
  <c r="AI1215" i="6"/>
  <c r="AJ1215" i="6" s="1"/>
  <c r="AX1215" i="6" s="1"/>
  <c r="AI1214" i="6"/>
  <c r="AJ1214" i="6" s="1"/>
  <c r="AI1212" i="6"/>
  <c r="AJ1212" i="6" s="1"/>
  <c r="AX1212" i="6" s="1"/>
  <c r="AI1211" i="6"/>
  <c r="AJ1211" i="6" s="1"/>
  <c r="AI1209" i="6"/>
  <c r="AJ1209" i="6" s="1"/>
  <c r="AX1209" i="6" s="1"/>
  <c r="AI1207" i="6"/>
  <c r="AJ1207" i="6" s="1"/>
  <c r="AI1206" i="6"/>
  <c r="AJ1206" i="6" s="1"/>
  <c r="AI1205" i="6"/>
  <c r="AJ1205" i="6" s="1"/>
  <c r="AI1204" i="6"/>
  <c r="AJ1204" i="6" s="1"/>
  <c r="AI1202" i="6"/>
  <c r="AJ1202" i="6" s="1"/>
  <c r="AX1202" i="6" s="1"/>
  <c r="AI1200" i="6"/>
  <c r="AJ1200" i="6" s="1"/>
  <c r="AI1199" i="6"/>
  <c r="AJ1199" i="6" s="1"/>
  <c r="AI1197" i="6"/>
  <c r="AJ1197" i="6" s="1"/>
  <c r="AX1197" i="6" s="1"/>
  <c r="AI1196" i="6"/>
  <c r="AJ1196" i="6" s="1"/>
  <c r="AI1195" i="6"/>
  <c r="AJ1195" i="6" s="1"/>
  <c r="AI1194" i="6"/>
  <c r="AJ1194" i="6" s="1"/>
  <c r="AI1189" i="6"/>
  <c r="AJ1189" i="6" s="1"/>
  <c r="AV1176" i="6"/>
  <c r="AT1176" i="6"/>
  <c r="AW1176" i="6" s="1"/>
  <c r="AV1175" i="6"/>
  <c r="AT1175" i="6"/>
  <c r="AW1175" i="6" s="1"/>
  <c r="AI1176" i="6"/>
  <c r="AJ1176" i="6" s="1"/>
  <c r="AU1176" i="6" s="1"/>
  <c r="AI1175" i="6"/>
  <c r="AJ1175" i="6" s="1"/>
  <c r="AX1175" i="6" s="1"/>
  <c r="AI1146" i="6"/>
  <c r="AJ1146" i="6" s="1"/>
  <c r="AI1145" i="6"/>
  <c r="AJ1145" i="6" s="1"/>
  <c r="AI1121" i="6"/>
  <c r="AJ1121" i="6" s="1"/>
  <c r="AI1120" i="6"/>
  <c r="AJ1120" i="6" s="1"/>
  <c r="AV1133" i="6"/>
  <c r="AT1133" i="6"/>
  <c r="AW1133" i="6" s="1"/>
  <c r="AV1129" i="6"/>
  <c r="AT1129" i="6"/>
  <c r="AW1129" i="6" s="1"/>
  <c r="AV1131" i="6"/>
  <c r="AT1131" i="6"/>
  <c r="AW1131" i="6" s="1"/>
  <c r="AV1127" i="6"/>
  <c r="AT1127" i="6"/>
  <c r="AW1127" i="6" s="1"/>
  <c r="AV1125" i="6"/>
  <c r="AT1125" i="6"/>
  <c r="AW1125" i="6" s="1"/>
  <c r="AV1123" i="6"/>
  <c r="AT1123" i="6"/>
  <c r="AW1123" i="6" s="1"/>
  <c r="AV1121" i="6"/>
  <c r="AT1121" i="6"/>
  <c r="AW1121" i="6" s="1"/>
  <c r="AV1120" i="6"/>
  <c r="AT1120" i="6"/>
  <c r="AW1120" i="6" s="1"/>
  <c r="AV1118" i="6"/>
  <c r="AT1118" i="6"/>
  <c r="AW1118" i="6" s="1"/>
  <c r="AV1117" i="6"/>
  <c r="AT1117" i="6"/>
  <c r="AW1117" i="6" s="1"/>
  <c r="AV1116" i="6"/>
  <c r="AT1116" i="6"/>
  <c r="AW1116" i="6" s="1"/>
  <c r="AV1115" i="6"/>
  <c r="AT1115" i="6"/>
  <c r="AW1115" i="6" s="1"/>
  <c r="AV1113" i="6"/>
  <c r="AT1113" i="6"/>
  <c r="AW1113" i="6" s="1"/>
  <c r="AV1112" i="6"/>
  <c r="AT1112" i="6"/>
  <c r="AW1112" i="6" s="1"/>
  <c r="AI1133" i="6"/>
  <c r="AJ1133" i="6" s="1"/>
  <c r="AX1133" i="6" s="1"/>
  <c r="AI1131" i="6"/>
  <c r="AJ1131" i="6" s="1"/>
  <c r="AU1131" i="6" s="1"/>
  <c r="AI1129" i="6"/>
  <c r="AJ1129" i="6" s="1"/>
  <c r="AU1129" i="6" s="1"/>
  <c r="AI1127" i="6"/>
  <c r="AJ1127" i="6" s="1"/>
  <c r="AU1127" i="6" s="1"/>
  <c r="AI1125" i="6"/>
  <c r="AJ1125" i="6" s="1"/>
  <c r="AU1125" i="6" s="1"/>
  <c r="AI1123" i="6"/>
  <c r="AJ1123" i="6" s="1"/>
  <c r="AX1123" i="6" s="1"/>
  <c r="AI1118" i="6"/>
  <c r="AJ1118" i="6" s="1"/>
  <c r="AX1118" i="6" s="1"/>
  <c r="AI1117" i="6"/>
  <c r="AJ1117" i="6" s="1"/>
  <c r="AX1117" i="6" s="1"/>
  <c r="AI1116" i="6"/>
  <c r="AJ1116" i="6" s="1"/>
  <c r="AU1116" i="6" s="1"/>
  <c r="AI1115" i="6"/>
  <c r="AJ1115" i="6" s="1"/>
  <c r="AX1115" i="6" s="1"/>
  <c r="AI1113" i="6"/>
  <c r="AJ1113" i="6" s="1"/>
  <c r="AU1113" i="6" s="1"/>
  <c r="AI1112" i="6"/>
  <c r="AJ1112" i="6" s="1"/>
  <c r="AX1112" i="6" s="1"/>
  <c r="AV1093" i="6"/>
  <c r="AT1093" i="6"/>
  <c r="AW1093" i="6" s="1"/>
  <c r="AV1092" i="6"/>
  <c r="AT1092" i="6"/>
  <c r="AW1092" i="6" s="1"/>
  <c r="AV1091" i="6"/>
  <c r="AT1091" i="6"/>
  <c r="AW1091" i="6" s="1"/>
  <c r="AI1093" i="6"/>
  <c r="AJ1093" i="6" s="1"/>
  <c r="AX1093" i="6" s="1"/>
  <c r="AI1092" i="6"/>
  <c r="AJ1092" i="6" s="1"/>
  <c r="AU1092" i="6" s="1"/>
  <c r="AI1091" i="6"/>
  <c r="AJ1091" i="6" s="1"/>
  <c r="AI1090" i="6"/>
  <c r="AJ1090" i="6" s="1"/>
  <c r="AI1089" i="6"/>
  <c r="AJ1089" i="6" s="1"/>
  <c r="AI1088" i="6"/>
  <c r="AJ1088" i="6" s="1"/>
  <c r="AI1087" i="6"/>
  <c r="AJ1087" i="6" s="1"/>
  <c r="AV1049" i="6"/>
  <c r="AT1049" i="6"/>
  <c r="AW1049" i="6" s="1"/>
  <c r="AD1077" i="6"/>
  <c r="AV1075" i="6"/>
  <c r="AT1075" i="6"/>
  <c r="AW1075" i="6" s="1"/>
  <c r="AV1060" i="6"/>
  <c r="AT1060" i="6"/>
  <c r="AW1060" i="6" s="1"/>
  <c r="AW1053" i="6"/>
  <c r="AV1053" i="6"/>
  <c r="AI1049" i="6"/>
  <c r="AJ1049" i="6" s="1"/>
  <c r="AX1049" i="6" s="1"/>
  <c r="AW1044" i="6"/>
  <c r="AV1044" i="6"/>
  <c r="AV1038" i="6"/>
  <c r="AT1038" i="6"/>
  <c r="AW1038" i="6" s="1"/>
  <c r="AV1037" i="6"/>
  <c r="AT1037" i="6"/>
  <c r="AW1037" i="6" s="1"/>
  <c r="AV1036" i="6"/>
  <c r="AT1036" i="6"/>
  <c r="AW1036" i="6" s="1"/>
  <c r="AI1075" i="6"/>
  <c r="AJ1075" i="6" s="1"/>
  <c r="AX1075" i="6" s="1"/>
  <c r="AI1060" i="6"/>
  <c r="AJ1060" i="6" s="1"/>
  <c r="AU1060" i="6" s="1"/>
  <c r="AI1053" i="6"/>
  <c r="AJ1053" i="6" s="1"/>
  <c r="AX1053" i="6" s="1"/>
  <c r="AI1044" i="6"/>
  <c r="AJ1044" i="6" s="1"/>
  <c r="AX1044" i="6" s="1"/>
  <c r="AI1036" i="6"/>
  <c r="AJ1036" i="6" s="1"/>
  <c r="AX1036" i="6" s="1"/>
  <c r="AI1037" i="6"/>
  <c r="AJ1037" i="6" s="1"/>
  <c r="AU1037" i="6" s="1"/>
  <c r="AI1038" i="6"/>
  <c r="AJ1038" i="6" s="1"/>
  <c r="AU1038" i="6" s="1"/>
  <c r="AV1019" i="6"/>
  <c r="AT1019" i="6"/>
  <c r="AW1019" i="6" s="1"/>
  <c r="AL1027" i="6"/>
  <c r="AK1027" i="6"/>
  <c r="AS1027" i="6"/>
  <c r="AV1025" i="6"/>
  <c r="AT1025" i="6"/>
  <c r="AW1025" i="6" s="1"/>
  <c r="AV1010" i="6"/>
  <c r="AT1010" i="6"/>
  <c r="AW1010" i="6" s="1"/>
  <c r="AV1005" i="6"/>
  <c r="AT1005" i="6"/>
  <c r="AW1005" i="6" s="1"/>
  <c r="AI1025" i="6"/>
  <c r="AJ1025" i="6" s="1"/>
  <c r="AU1025" i="6" s="1"/>
  <c r="AI1019" i="6"/>
  <c r="AJ1019" i="6" s="1"/>
  <c r="AU1019" i="6" s="1"/>
  <c r="AI1010" i="6"/>
  <c r="AJ1010" i="6" s="1"/>
  <c r="AU1010" i="6" s="1"/>
  <c r="AI1005" i="6"/>
  <c r="AJ1005" i="6" s="1"/>
  <c r="AX1005" i="6" s="1"/>
  <c r="AV993" i="6"/>
  <c r="AT993" i="6"/>
  <c r="AW993" i="6" s="1"/>
  <c r="AI993" i="6"/>
  <c r="AJ993" i="6" s="1"/>
  <c r="AU993" i="6" s="1"/>
  <c r="AV988" i="6"/>
  <c r="AT988" i="6"/>
  <c r="AW988" i="6" s="1"/>
  <c r="AV983" i="6"/>
  <c r="AT983" i="6"/>
  <c r="AW983" i="6" s="1"/>
  <c r="AI983" i="6"/>
  <c r="AJ983" i="6" s="1"/>
  <c r="AX983" i="6" s="1"/>
  <c r="AV817" i="6"/>
  <c r="AT817" i="6"/>
  <c r="AW817" i="6" s="1"/>
  <c r="AV944" i="6"/>
  <c r="AT944" i="6"/>
  <c r="AW944" i="6" s="1"/>
  <c r="AV943" i="6"/>
  <c r="AT943" i="6"/>
  <c r="AW943" i="6" s="1"/>
  <c r="AV914" i="6"/>
  <c r="AT914" i="6"/>
  <c r="AW914" i="6" s="1"/>
  <c r="AV904" i="6"/>
  <c r="AT904" i="6"/>
  <c r="AW904" i="6" s="1"/>
  <c r="AV898" i="6"/>
  <c r="AT898" i="6"/>
  <c r="AW898" i="6" s="1"/>
  <c r="AV880" i="6"/>
  <c r="AT880" i="6"/>
  <c r="AW880" i="6" s="1"/>
  <c r="AV879" i="6"/>
  <c r="AT879" i="6"/>
  <c r="AW879" i="6" s="1"/>
  <c r="AV874" i="6"/>
  <c r="AT874" i="6"/>
  <c r="AW874" i="6" s="1"/>
  <c r="AV866" i="6"/>
  <c r="AT866" i="6"/>
  <c r="AW866" i="6" s="1"/>
  <c r="AV833" i="6"/>
  <c r="AT833" i="6"/>
  <c r="AW833" i="6" s="1"/>
  <c r="AV823" i="6"/>
  <c r="AT823" i="6"/>
  <c r="AW823" i="6" s="1"/>
  <c r="AI817" i="6"/>
  <c r="AJ817" i="6" s="1"/>
  <c r="AX817" i="6" s="1"/>
  <c r="AV808" i="6"/>
  <c r="AT808" i="6"/>
  <c r="AW808" i="6" s="1"/>
  <c r="AI808" i="6"/>
  <c r="AJ808" i="6" s="1"/>
  <c r="AX808" i="6" s="1"/>
  <c r="AV804" i="6"/>
  <c r="AT804" i="6"/>
  <c r="AW804" i="6" s="1"/>
  <c r="AV785" i="6"/>
  <c r="AT785" i="6"/>
  <c r="AW785" i="6" s="1"/>
  <c r="AI944" i="6"/>
  <c r="AJ944" i="6" s="1"/>
  <c r="AX944" i="6" s="1"/>
  <c r="AI943" i="6"/>
  <c r="AJ943" i="6" s="1"/>
  <c r="AX943" i="6" s="1"/>
  <c r="AI914" i="6"/>
  <c r="AJ914" i="6" s="1"/>
  <c r="AX914" i="6" s="1"/>
  <c r="AI885" i="6"/>
  <c r="AJ885" i="6" s="1"/>
  <c r="AI880" i="6"/>
  <c r="AJ880" i="6" s="1"/>
  <c r="AX880" i="6" s="1"/>
  <c r="AI879" i="6"/>
  <c r="AJ879" i="6" s="1"/>
  <c r="AX879" i="6" s="1"/>
  <c r="AI878" i="6"/>
  <c r="AJ878" i="6" s="1"/>
  <c r="AI877" i="6"/>
  <c r="AJ877" i="6" s="1"/>
  <c r="AI823" i="6"/>
  <c r="AJ823" i="6" s="1"/>
  <c r="AU823" i="6" s="1"/>
  <c r="AI810" i="6"/>
  <c r="AJ810" i="6" s="1"/>
  <c r="AI785" i="6"/>
  <c r="AJ785" i="6" s="1"/>
  <c r="AU785" i="6" s="1"/>
  <c r="AI630" i="6"/>
  <c r="AJ630" i="6" s="1"/>
  <c r="AV677" i="6"/>
  <c r="AT677" i="6"/>
  <c r="AW677" i="6" s="1"/>
  <c r="AV651" i="6"/>
  <c r="AT651" i="6"/>
  <c r="AW651" i="6" s="1"/>
  <c r="AV649" i="6"/>
  <c r="AT649" i="6"/>
  <c r="AW649" i="6" s="1"/>
  <c r="AV645" i="6"/>
  <c r="AT645" i="6"/>
  <c r="AW645" i="6" s="1"/>
  <c r="AV642" i="6"/>
  <c r="AT642" i="6"/>
  <c r="AW642" i="6" s="1"/>
  <c r="AV640" i="6"/>
  <c r="AT640" i="6"/>
  <c r="AW640" i="6" s="1"/>
  <c r="AV636" i="6"/>
  <c r="AT636" i="6"/>
  <c r="AW636" i="6" s="1"/>
  <c r="AV635" i="6"/>
  <c r="AT635" i="6"/>
  <c r="AW635" i="6" s="1"/>
  <c r="AV634" i="6"/>
  <c r="AT634" i="6"/>
  <c r="AW634" i="6" s="1"/>
  <c r="AV632" i="6"/>
  <c r="AT632" i="6"/>
  <c r="AW632" i="6" s="1"/>
  <c r="AV633" i="6"/>
  <c r="AT633" i="6"/>
  <c r="AW633" i="6" s="1"/>
  <c r="AV631" i="6"/>
  <c r="AT631" i="6"/>
  <c r="AW631" i="6" s="1"/>
  <c r="AV630" i="6"/>
  <c r="AT630" i="6"/>
  <c r="AW630" i="6" s="1"/>
  <c r="AV623" i="6"/>
  <c r="AT623" i="6"/>
  <c r="AW623" i="6" s="1"/>
  <c r="AV622" i="6"/>
  <c r="AT622" i="6"/>
  <c r="AW622" i="6" s="1"/>
  <c r="AV613" i="6"/>
  <c r="AT613" i="6"/>
  <c r="AW613" i="6" s="1"/>
  <c r="AV612" i="6"/>
  <c r="AT612" i="6"/>
  <c r="AW612" i="6" s="1"/>
  <c r="AV607" i="6"/>
  <c r="AT607" i="6"/>
  <c r="AW607" i="6" s="1"/>
  <c r="AV598" i="6"/>
  <c r="AT598" i="6"/>
  <c r="AW598" i="6" s="1"/>
  <c r="AV592" i="6"/>
  <c r="AT592" i="6"/>
  <c r="AW592" i="6" s="1"/>
  <c r="AV591" i="6"/>
  <c r="AT591" i="6"/>
  <c r="AW591" i="6" s="1"/>
  <c r="AV590" i="6"/>
  <c r="AT590" i="6"/>
  <c r="AW590" i="6" s="1"/>
  <c r="AV589" i="6"/>
  <c r="AT589" i="6"/>
  <c r="AW589" i="6" s="1"/>
  <c r="AI588" i="6"/>
  <c r="AJ588" i="6" s="1"/>
  <c r="AI584" i="6"/>
  <c r="AJ584" i="6" s="1"/>
  <c r="AI579" i="6"/>
  <c r="AJ579" i="6" s="1"/>
  <c r="AI576" i="6"/>
  <c r="AJ576" i="6" s="1"/>
  <c r="AV572" i="6"/>
  <c r="AT572" i="6"/>
  <c r="AW572" i="6" s="1"/>
  <c r="AV570" i="6"/>
  <c r="AT570" i="6"/>
  <c r="AW570" i="6" s="1"/>
  <c r="AV565" i="6"/>
  <c r="AT565" i="6"/>
  <c r="AW565" i="6" s="1"/>
  <c r="AV564" i="6"/>
  <c r="AT564" i="6"/>
  <c r="AW564" i="6" s="1"/>
  <c r="AV563" i="6"/>
  <c r="AT563" i="6"/>
  <c r="AW563" i="6" s="1"/>
  <c r="AV558" i="6"/>
  <c r="AT558" i="6"/>
  <c r="AW558" i="6" s="1"/>
  <c r="AV557" i="6"/>
  <c r="AT557" i="6"/>
  <c r="AW557" i="6" s="1"/>
  <c r="AV548" i="6"/>
  <c r="AT548" i="6"/>
  <c r="AW548" i="6" s="1"/>
  <c r="AV546" i="6"/>
  <c r="AT546" i="6"/>
  <c r="AW546" i="6" s="1"/>
  <c r="AX545" i="6"/>
  <c r="AV545" i="6"/>
  <c r="AU545" i="6"/>
  <c r="AT545" i="6"/>
  <c r="AW545" i="6" s="1"/>
  <c r="AI677" i="6"/>
  <c r="AJ677" i="6" s="1"/>
  <c r="AX677" i="6" s="1"/>
  <c r="AI651" i="6"/>
  <c r="AJ651" i="6" s="1"/>
  <c r="AX651" i="6" s="1"/>
  <c r="AI649" i="6"/>
  <c r="AJ649" i="6" s="1"/>
  <c r="AX649" i="6" s="1"/>
  <c r="AI645" i="6"/>
  <c r="AJ645" i="6" s="1"/>
  <c r="AX645" i="6" s="1"/>
  <c r="AI642" i="6"/>
  <c r="AJ642" i="6" s="1"/>
  <c r="AX642" i="6" s="1"/>
  <c r="AI640" i="6"/>
  <c r="AJ640" i="6" s="1"/>
  <c r="AX640" i="6" s="1"/>
  <c r="AI636" i="6"/>
  <c r="AJ636" i="6" s="1"/>
  <c r="AX636" i="6" s="1"/>
  <c r="AI635" i="6"/>
  <c r="AJ635" i="6" s="1"/>
  <c r="AX635" i="6" s="1"/>
  <c r="AI634" i="6"/>
  <c r="AJ634" i="6" s="1"/>
  <c r="AX634" i="6" s="1"/>
  <c r="AI632" i="6"/>
  <c r="AJ632" i="6" s="1"/>
  <c r="AX632" i="6" s="1"/>
  <c r="AI633" i="6"/>
  <c r="AJ633" i="6" s="1"/>
  <c r="AX633" i="6" s="1"/>
  <c r="AI631" i="6"/>
  <c r="AJ631" i="6" s="1"/>
  <c r="AU631" i="6" s="1"/>
  <c r="AI624" i="6"/>
  <c r="AJ624" i="6" s="1"/>
  <c r="AI623" i="6"/>
  <c r="AJ623" i="6" s="1"/>
  <c r="AU623" i="6" s="1"/>
  <c r="AI607" i="6"/>
  <c r="AJ607" i="6" s="1"/>
  <c r="AU607" i="6" s="1"/>
  <c r="AI598" i="6"/>
  <c r="AJ598" i="6" s="1"/>
  <c r="AX598" i="6" s="1"/>
  <c r="AI592" i="6"/>
  <c r="AJ592" i="6" s="1"/>
  <c r="AX592" i="6" s="1"/>
  <c r="AI591" i="6"/>
  <c r="AJ591" i="6" s="1"/>
  <c r="AU591" i="6" s="1"/>
  <c r="AI590" i="6"/>
  <c r="AJ590" i="6" s="1"/>
  <c r="AX590" i="6" s="1"/>
  <c r="AI589" i="6"/>
  <c r="AJ589" i="6" s="1"/>
  <c r="AX589" i="6" s="1"/>
  <c r="AI572" i="6"/>
  <c r="AJ572" i="6" s="1"/>
  <c r="AX572" i="6" s="1"/>
  <c r="AI570" i="6"/>
  <c r="AJ570" i="6" s="1"/>
  <c r="AU570" i="6" s="1"/>
  <c r="AI565" i="6"/>
  <c r="AJ565" i="6" s="1"/>
  <c r="AX565" i="6" s="1"/>
  <c r="AI564" i="6"/>
  <c r="AJ564" i="6" s="1"/>
  <c r="AU564" i="6" s="1"/>
  <c r="AI563" i="6"/>
  <c r="AJ563" i="6" s="1"/>
  <c r="AX563" i="6" s="1"/>
  <c r="AI558" i="6"/>
  <c r="AJ558" i="6" s="1"/>
  <c r="AU558" i="6" s="1"/>
  <c r="AI557" i="6"/>
  <c r="AJ557" i="6" s="1"/>
  <c r="AX557" i="6" s="1"/>
  <c r="AI548" i="6"/>
  <c r="AJ548" i="6" s="1"/>
  <c r="AX548" i="6" s="1"/>
  <c r="AI546" i="6"/>
  <c r="AJ546" i="6" s="1"/>
  <c r="AX546" i="6" s="1"/>
  <c r="AT539" i="6"/>
  <c r="AW539" i="6" s="1"/>
  <c r="AV539" i="6"/>
  <c r="AI539" i="6"/>
  <c r="AJ539" i="6" s="1"/>
  <c r="AU539" i="6" s="1"/>
  <c r="AV472" i="6"/>
  <c r="AT472" i="6"/>
  <c r="AW472" i="6" s="1"/>
  <c r="AV509" i="6"/>
  <c r="AT509" i="6"/>
  <c r="AW509" i="6" s="1"/>
  <c r="AV503" i="6"/>
  <c r="AT503" i="6"/>
  <c r="AW503" i="6" s="1"/>
  <c r="AV498" i="6"/>
  <c r="AT498" i="6"/>
  <c r="AW498" i="6" s="1"/>
  <c r="AV487" i="6"/>
  <c r="AT487" i="6"/>
  <c r="AW487" i="6" s="1"/>
  <c r="AV486" i="6"/>
  <c r="AT486" i="6"/>
  <c r="AW486" i="6" s="1"/>
  <c r="AV466" i="6"/>
  <c r="AT466" i="6"/>
  <c r="AW466" i="6" s="1"/>
  <c r="AV465" i="6"/>
  <c r="AT465" i="6"/>
  <c r="AW465" i="6" s="1"/>
  <c r="AV446" i="6"/>
  <c r="AT446" i="6"/>
  <c r="AW446" i="6" s="1"/>
  <c r="AV445" i="6"/>
  <c r="AT445" i="6"/>
  <c r="AW445" i="6" s="1"/>
  <c r="AV444" i="6"/>
  <c r="AT444" i="6"/>
  <c r="AW444" i="6" s="1"/>
  <c r="AV443" i="6"/>
  <c r="AT443" i="6"/>
  <c r="AW443" i="6" s="1"/>
  <c r="AV433" i="6"/>
  <c r="AT433" i="6"/>
  <c r="AW433" i="6" s="1"/>
  <c r="AV432" i="6"/>
  <c r="AT432" i="6"/>
  <c r="AW432" i="6" s="1"/>
  <c r="AV431" i="6"/>
  <c r="AT431" i="6"/>
  <c r="AW431" i="6" s="1"/>
  <c r="AV411" i="6"/>
  <c r="AT411" i="6"/>
  <c r="AW411" i="6" s="1"/>
  <c r="AI411" i="6"/>
  <c r="AJ411" i="6" s="1"/>
  <c r="AX411" i="6" s="1"/>
  <c r="AV408" i="6"/>
  <c r="AT408" i="6"/>
  <c r="AW408" i="6" s="1"/>
  <c r="AV407" i="6"/>
  <c r="AT407" i="6"/>
  <c r="AW407" i="6" s="1"/>
  <c r="AV406" i="6"/>
  <c r="AT406" i="6"/>
  <c r="AW406" i="6" s="1"/>
  <c r="AX341" i="6"/>
  <c r="AV341" i="6"/>
  <c r="AU341" i="6"/>
  <c r="AT341" i="6"/>
  <c r="AW341" i="6" s="1"/>
  <c r="AV302" i="6"/>
  <c r="AT302" i="6"/>
  <c r="AW302" i="6" s="1"/>
  <c r="AV301" i="6"/>
  <c r="AT301" i="6"/>
  <c r="AW301" i="6" s="1"/>
  <c r="AI498" i="6"/>
  <c r="AJ498" i="6" s="1"/>
  <c r="AX498" i="6" s="1"/>
  <c r="AI509" i="6"/>
  <c r="AJ509" i="6" s="1"/>
  <c r="AX509" i="6" s="1"/>
  <c r="AI503" i="6"/>
  <c r="AJ503" i="6" s="1"/>
  <c r="AU503" i="6" s="1"/>
  <c r="AI487" i="6"/>
  <c r="AJ487" i="6" s="1"/>
  <c r="AX487" i="6" s="1"/>
  <c r="AI486" i="6"/>
  <c r="AJ486" i="6" s="1"/>
  <c r="AU486" i="6" s="1"/>
  <c r="AI472" i="6"/>
  <c r="AJ472" i="6" s="1"/>
  <c r="AU472" i="6" s="1"/>
  <c r="AI466" i="6"/>
  <c r="AJ466" i="6" s="1"/>
  <c r="AX466" i="6" s="1"/>
  <c r="AI457" i="6"/>
  <c r="AJ457" i="6" s="1"/>
  <c r="AI446" i="6"/>
  <c r="AJ446" i="6" s="1"/>
  <c r="AX446" i="6" s="1"/>
  <c r="AI433" i="6"/>
  <c r="AJ433" i="6" s="1"/>
  <c r="AX433" i="6" s="1"/>
  <c r="AI431" i="6"/>
  <c r="AJ431" i="6" s="1"/>
  <c r="AX431" i="6" s="1"/>
  <c r="AI432" i="6"/>
  <c r="AJ432" i="6" s="1"/>
  <c r="AU432" i="6" s="1"/>
  <c r="AI408" i="6"/>
  <c r="AJ408" i="6" s="1"/>
  <c r="AX408" i="6" s="1"/>
  <c r="AI407" i="6"/>
  <c r="AJ407" i="6" s="1"/>
  <c r="AX407" i="6" s="1"/>
  <c r="AI406" i="6"/>
  <c r="AJ406" i="6" s="1"/>
  <c r="AU406" i="6" s="1"/>
  <c r="AI302" i="6"/>
  <c r="AJ302" i="6" s="1"/>
  <c r="AX302" i="6" s="1"/>
  <c r="AV186" i="6"/>
  <c r="AT186" i="6"/>
  <c r="AW186" i="6" s="1"/>
  <c r="AV185" i="6"/>
  <c r="AT185" i="6"/>
  <c r="AW185" i="6" s="1"/>
  <c r="AI185" i="6"/>
  <c r="AJ185" i="6" s="1"/>
  <c r="AX185" i="6" s="1"/>
  <c r="AI186" i="6"/>
  <c r="AJ186" i="6" s="1"/>
  <c r="AX186" i="6" s="1"/>
  <c r="AI176" i="6"/>
  <c r="AV145" i="6"/>
  <c r="AT145" i="6"/>
  <c r="AW145" i="6" s="1"/>
  <c r="AI145" i="6"/>
  <c r="AJ145" i="6" s="1"/>
  <c r="AX145" i="6" s="1"/>
  <c r="AV163" i="7" l="1"/>
  <c r="AG10" i="7"/>
  <c r="AQ14" i="7"/>
  <c r="AT14" i="7" s="1"/>
  <c r="AU163" i="7"/>
  <c r="AU162" i="7" s="1"/>
  <c r="AQ162" i="7"/>
  <c r="AT162" i="7" s="1"/>
  <c r="AL11" i="7"/>
  <c r="AI11" i="7"/>
  <c r="AV162" i="7"/>
  <c r="AV11" i="7" s="1"/>
  <c r="AU101" i="7"/>
  <c r="AU12" i="7" s="1"/>
  <c r="AW12" i="7"/>
  <c r="AU190" i="7"/>
  <c r="AJ102" i="7"/>
  <c r="AJ101" i="7" s="1"/>
  <c r="AX103" i="7"/>
  <c r="AP101" i="7"/>
  <c r="AT169" i="7"/>
  <c r="AT163" i="7" s="1"/>
  <c r="AW170" i="7"/>
  <c r="AW169" i="7" s="1"/>
  <c r="AT117" i="7"/>
  <c r="AQ102" i="7"/>
  <c r="AM11" i="7"/>
  <c r="AJ86" i="7"/>
  <c r="AX86" i="7" s="1"/>
  <c r="AX87" i="7"/>
  <c r="AX1024" i="7"/>
  <c r="AJ190" i="7"/>
  <c r="AX164" i="7"/>
  <c r="AP13" i="7"/>
  <c r="AX14" i="7"/>
  <c r="AL510" i="6"/>
  <c r="AX1238" i="6"/>
  <c r="AX1234" i="6"/>
  <c r="AU1258" i="6"/>
  <c r="AU1244" i="6"/>
  <c r="AX1249" i="6"/>
  <c r="AU1233" i="6"/>
  <c r="AU1235" i="6"/>
  <c r="AU1242" i="6"/>
  <c r="AU1256" i="6"/>
  <c r="AX1228" i="6"/>
  <c r="AU1230" i="6"/>
  <c r="AU1229" i="6"/>
  <c r="AU1212" i="6"/>
  <c r="AU1053" i="6"/>
  <c r="AX1129" i="6"/>
  <c r="AU1222" i="6"/>
  <c r="AU1075" i="6"/>
  <c r="AU1220" i="6"/>
  <c r="AU1197" i="6"/>
  <c r="AU1202" i="6"/>
  <c r="AU1209" i="6"/>
  <c r="AU1215" i="6"/>
  <c r="AU1221" i="6"/>
  <c r="AU1225" i="6"/>
  <c r="AX1037" i="6"/>
  <c r="AU1133" i="6"/>
  <c r="AX1038" i="6"/>
  <c r="AU1175" i="6"/>
  <c r="AU1049" i="6"/>
  <c r="AU1123" i="6"/>
  <c r="AX1060" i="6"/>
  <c r="AX1113" i="6"/>
  <c r="AU1118" i="6"/>
  <c r="AU1036" i="6"/>
  <c r="AX1092" i="6"/>
  <c r="AX1125" i="6"/>
  <c r="AX1131" i="6"/>
  <c r="AU1044" i="6"/>
  <c r="AX1127" i="6"/>
  <c r="AJ1148" i="6"/>
  <c r="AX1019" i="6"/>
  <c r="AX1176" i="6"/>
  <c r="AX1091" i="6"/>
  <c r="AU1091" i="6"/>
  <c r="AU1093" i="6"/>
  <c r="AU1112" i="6"/>
  <c r="AX1116" i="6"/>
  <c r="AU1115" i="6"/>
  <c r="AU1117" i="6"/>
  <c r="AU1120" i="6"/>
  <c r="AX1120" i="6"/>
  <c r="AU1121" i="6"/>
  <c r="AX1121" i="6"/>
  <c r="AU914" i="6"/>
  <c r="AX1025" i="6"/>
  <c r="AX993" i="6"/>
  <c r="AU944" i="6"/>
  <c r="AX823" i="6"/>
  <c r="AU943" i="6"/>
  <c r="AU983" i="6"/>
  <c r="AU808" i="6"/>
  <c r="AU1005" i="6"/>
  <c r="AU817" i="6"/>
  <c r="AX785" i="6"/>
  <c r="AU879" i="6"/>
  <c r="AU880" i="6"/>
  <c r="AU640" i="6"/>
  <c r="AX539" i="6"/>
  <c r="AU548" i="6"/>
  <c r="AU651" i="6"/>
  <c r="AU645" i="6"/>
  <c r="AX503" i="6"/>
  <c r="AU466" i="6"/>
  <c r="AX472" i="6"/>
  <c r="AX570" i="6"/>
  <c r="AX607" i="6"/>
  <c r="AU498" i="6"/>
  <c r="AU509" i="6"/>
  <c r="AU635" i="6"/>
  <c r="AU546" i="6"/>
  <c r="AU572" i="6"/>
  <c r="AU598" i="6"/>
  <c r="AU642" i="6"/>
  <c r="AU649" i="6"/>
  <c r="AU677" i="6"/>
  <c r="AU632" i="6"/>
  <c r="AX486" i="6"/>
  <c r="AX558" i="6"/>
  <c r="AX631" i="6"/>
  <c r="AU487" i="6"/>
  <c r="AU557" i="6"/>
  <c r="AX564" i="6"/>
  <c r="AU563" i="6"/>
  <c r="AU633" i="6"/>
  <c r="AU565" i="6"/>
  <c r="AU589" i="6"/>
  <c r="AU634" i="6"/>
  <c r="AU636" i="6"/>
  <c r="AX630" i="6"/>
  <c r="AU630" i="6"/>
  <c r="AU592" i="6"/>
  <c r="AX591" i="6"/>
  <c r="AU590" i="6"/>
  <c r="AX432" i="6"/>
  <c r="AU431" i="6"/>
  <c r="AU433" i="6"/>
  <c r="AU446" i="6"/>
  <c r="AU411" i="6"/>
  <c r="AU407" i="6"/>
  <c r="AX406" i="6"/>
  <c r="AU408" i="6"/>
  <c r="AU302" i="6"/>
  <c r="AU185" i="6"/>
  <c r="AU186" i="6"/>
  <c r="AU145" i="6"/>
  <c r="AV128" i="6"/>
  <c r="AT128" i="6"/>
  <c r="AW128" i="6" s="1"/>
  <c r="AI128" i="6"/>
  <c r="AJ128" i="6" s="1"/>
  <c r="AU128" i="6" s="1"/>
  <c r="AI113" i="6"/>
  <c r="AJ113" i="6" s="1"/>
  <c r="AI76" i="6"/>
  <c r="AJ76" i="6" s="1"/>
  <c r="AX624" i="6"/>
  <c r="AV624" i="6"/>
  <c r="AU624" i="6"/>
  <c r="AT624" i="6"/>
  <c r="AW624" i="6" s="1"/>
  <c r="AQ13" i="7" l="1"/>
  <c r="AW163" i="7"/>
  <c r="AW162" i="7" s="1"/>
  <c r="AW11" i="7" s="1"/>
  <c r="AX190" i="7"/>
  <c r="AX101" i="7"/>
  <c r="AX102" i="7"/>
  <c r="AJ12" i="7"/>
  <c r="AJ11" i="7" s="1"/>
  <c r="AT13" i="7"/>
  <c r="AP162" i="7"/>
  <c r="AX162" i="7" s="1"/>
  <c r="AX163" i="7"/>
  <c r="AT102" i="7"/>
  <c r="AQ101" i="7"/>
  <c r="AT101" i="7" s="1"/>
  <c r="AX13" i="7"/>
  <c r="AP12" i="7"/>
  <c r="AU11" i="7"/>
  <c r="AX128" i="6"/>
  <c r="AV754" i="6"/>
  <c r="AT754" i="6"/>
  <c r="AW754" i="6" s="1"/>
  <c r="AV744" i="6"/>
  <c r="AT744" i="6"/>
  <c r="AW744" i="6" s="1"/>
  <c r="AV741" i="6"/>
  <c r="AT741" i="6"/>
  <c r="AW741" i="6" s="1"/>
  <c r="AV738" i="6"/>
  <c r="AT738" i="6"/>
  <c r="AW738" i="6" s="1"/>
  <c r="AI754" i="6"/>
  <c r="AJ754" i="6" s="1"/>
  <c r="AX754" i="6" s="1"/>
  <c r="AI744" i="6"/>
  <c r="AJ744" i="6" s="1"/>
  <c r="AX744" i="6" s="1"/>
  <c r="AI741" i="6"/>
  <c r="AJ741" i="6" s="1"/>
  <c r="AX741" i="6" s="1"/>
  <c r="AI738" i="6"/>
  <c r="AJ738" i="6" s="1"/>
  <c r="AX738" i="6" s="1"/>
  <c r="AV734" i="6"/>
  <c r="AT734" i="6"/>
  <c r="AW734" i="6" s="1"/>
  <c r="AI734" i="6"/>
  <c r="AJ734" i="6" s="1"/>
  <c r="AX734" i="6" s="1"/>
  <c r="AV730" i="6"/>
  <c r="AW730" i="6"/>
  <c r="AV729" i="6"/>
  <c r="AW729" i="6"/>
  <c r="AV728" i="6"/>
  <c r="AT728" i="6"/>
  <c r="AW728" i="6" s="1"/>
  <c r="AI730" i="6"/>
  <c r="AJ730" i="6" s="1"/>
  <c r="AX730" i="6" s="1"/>
  <c r="AI729" i="6"/>
  <c r="AJ729" i="6" s="1"/>
  <c r="AX729" i="6" s="1"/>
  <c r="AI728" i="6"/>
  <c r="AJ728" i="6" s="1"/>
  <c r="AX728" i="6" s="1"/>
  <c r="AI727" i="6"/>
  <c r="AJ727" i="6" s="1"/>
  <c r="AI726" i="6"/>
  <c r="AJ726" i="6" s="1"/>
  <c r="AI725" i="6"/>
  <c r="AJ725" i="6" s="1"/>
  <c r="AI724" i="6"/>
  <c r="AJ724" i="6" s="1"/>
  <c r="AX722" i="6"/>
  <c r="AV722" i="6"/>
  <c r="AU722" i="6"/>
  <c r="AT722" i="6"/>
  <c r="AW722" i="6" s="1"/>
  <c r="AV719" i="6"/>
  <c r="AT719" i="6"/>
  <c r="AW719" i="6" s="1"/>
  <c r="AV718" i="6"/>
  <c r="AT718" i="6"/>
  <c r="AW718" i="6" s="1"/>
  <c r="AV717" i="6"/>
  <c r="AT717" i="6"/>
  <c r="AW717" i="6" s="1"/>
  <c r="AV716" i="6"/>
  <c r="AT716" i="6"/>
  <c r="AW716" i="6" s="1"/>
  <c r="AI719" i="6"/>
  <c r="AJ719" i="6" s="1"/>
  <c r="AX719" i="6" s="1"/>
  <c r="AI718" i="6"/>
  <c r="AJ718" i="6" s="1"/>
  <c r="AX718" i="6" s="1"/>
  <c r="AI717" i="6"/>
  <c r="AJ717" i="6" s="1"/>
  <c r="AX717" i="6" s="1"/>
  <c r="AI716" i="6"/>
  <c r="AJ716" i="6" s="1"/>
  <c r="AX716" i="6" s="1"/>
  <c r="AV702" i="6"/>
  <c r="AT702" i="6"/>
  <c r="AW702" i="6" s="1"/>
  <c r="AV699" i="6"/>
  <c r="AT699" i="6"/>
  <c r="AW699" i="6" s="1"/>
  <c r="AI699" i="6"/>
  <c r="AJ699" i="6" s="1"/>
  <c r="AX699" i="6" s="1"/>
  <c r="AV685" i="6"/>
  <c r="AT685" i="6"/>
  <c r="AW685" i="6" s="1"/>
  <c r="AV217" i="6"/>
  <c r="AT217" i="6"/>
  <c r="AW217" i="6" s="1"/>
  <c r="AI216" i="6"/>
  <c r="AJ216" i="6" s="1"/>
  <c r="AV204" i="6"/>
  <c r="AT204" i="6"/>
  <c r="AW204" i="6" s="1"/>
  <c r="AI204" i="6"/>
  <c r="AJ204" i="6" s="1"/>
  <c r="AU204" i="6" s="1"/>
  <c r="AI217" i="6"/>
  <c r="AJ217" i="6" s="1"/>
  <c r="AX217" i="6" s="1"/>
  <c r="AV239" i="6"/>
  <c r="AT239" i="6"/>
  <c r="AW239" i="6" s="1"/>
  <c r="AV219" i="6"/>
  <c r="AT219" i="6"/>
  <c r="AW219" i="6" s="1"/>
  <c r="AV218" i="6"/>
  <c r="AU218" i="6"/>
  <c r="AT218" i="6"/>
  <c r="AW218" i="6" s="1"/>
  <c r="AV201" i="6"/>
  <c r="AT201" i="6"/>
  <c r="AW201" i="6" s="1"/>
  <c r="AI239" i="6"/>
  <c r="AJ239" i="6" s="1"/>
  <c r="AX239" i="6" s="1"/>
  <c r="AI201" i="6"/>
  <c r="AJ201" i="6" s="1"/>
  <c r="AU201" i="6" s="1"/>
  <c r="AP11" i="7" l="1"/>
  <c r="AX11" i="7" s="1"/>
  <c r="AX12" i="7"/>
  <c r="AT12" i="7"/>
  <c r="AQ12" i="7"/>
  <c r="AQ11" i="7" s="1"/>
  <c r="AT11" i="7" s="1"/>
  <c r="AU734" i="6"/>
  <c r="AU729" i="6"/>
  <c r="AU239" i="6"/>
  <c r="AU716" i="6"/>
  <c r="AU744" i="6"/>
  <c r="AX201" i="6"/>
  <c r="AU718" i="6"/>
  <c r="AU738" i="6"/>
  <c r="AU217" i="6"/>
  <c r="AU699" i="6"/>
  <c r="AU717" i="6"/>
  <c r="AU728" i="6"/>
  <c r="AU730" i="6"/>
  <c r="AU719" i="6"/>
  <c r="AU741" i="6"/>
  <c r="AU754" i="6"/>
  <c r="AE580" i="6"/>
  <c r="AE532" i="6"/>
  <c r="AI528" i="6"/>
  <c r="AJ528" i="6" s="1"/>
  <c r="AU528" i="6" l="1"/>
  <c r="AX528" i="6"/>
  <c r="AI978" i="6"/>
  <c r="AJ978" i="6" s="1"/>
  <c r="AI985" i="6"/>
  <c r="AJ985" i="6" s="1"/>
  <c r="AI988" i="6"/>
  <c r="AJ988" i="6" s="1"/>
  <c r="AG972" i="6"/>
  <c r="AI833" i="6"/>
  <c r="AJ833" i="6" s="1"/>
  <c r="AI866" i="6"/>
  <c r="AJ866" i="6" s="1"/>
  <c r="AI898" i="6"/>
  <c r="AJ898" i="6" s="1"/>
  <c r="AG807" i="6"/>
  <c r="AI804" i="6"/>
  <c r="AJ804" i="6" s="1"/>
  <c r="AH968" i="6"/>
  <c r="AI874" i="6"/>
  <c r="AJ874" i="6" s="1"/>
  <c r="AI904" i="6"/>
  <c r="AJ904" i="6" s="1"/>
  <c r="AU904" i="6" s="1"/>
  <c r="AH816" i="6"/>
  <c r="AI784" i="6"/>
  <c r="AJ784" i="6" s="1"/>
  <c r="AS755" i="6"/>
  <c r="AR755" i="6"/>
  <c r="AQ755" i="6"/>
  <c r="AP755" i="6"/>
  <c r="AN755" i="6"/>
  <c r="AM755" i="6"/>
  <c r="AK755" i="6"/>
  <c r="AH755" i="6"/>
  <c r="AF755" i="6"/>
  <c r="AE755" i="6"/>
  <c r="AD755" i="6"/>
  <c r="AI685" i="6"/>
  <c r="AJ685" i="6" s="1"/>
  <c r="AI613" i="6"/>
  <c r="AJ613" i="6" s="1"/>
  <c r="AI622" i="6"/>
  <c r="AJ622" i="6" s="1"/>
  <c r="AG736" i="6"/>
  <c r="AG748" i="6"/>
  <c r="AI702" i="6"/>
  <c r="AJ702" i="6" s="1"/>
  <c r="AI219" i="6"/>
  <c r="AJ219" i="6" s="1"/>
  <c r="AG1159" i="6"/>
  <c r="AG150" i="6"/>
  <c r="AH611" i="6"/>
  <c r="AI612" i="6"/>
  <c r="AJ612" i="6" s="1"/>
  <c r="AI1009" i="6"/>
  <c r="AJ1009" i="6" s="1"/>
  <c r="AH1157" i="6"/>
  <c r="AU898" i="6" l="1"/>
  <c r="AX898" i="6"/>
  <c r="AU988" i="6"/>
  <c r="AX988" i="6"/>
  <c r="AU866" i="6"/>
  <c r="AX866" i="6"/>
  <c r="AX833" i="6"/>
  <c r="AU833" i="6"/>
  <c r="AX874" i="6"/>
  <c r="AU874" i="6"/>
  <c r="AX804" i="6"/>
  <c r="AU804" i="6"/>
  <c r="AU613" i="6"/>
  <c r="AX613" i="6"/>
  <c r="AX612" i="6"/>
  <c r="AU612" i="6"/>
  <c r="AU622" i="6"/>
  <c r="AX622" i="6"/>
  <c r="AG755" i="6"/>
  <c r="AX702" i="6"/>
  <c r="AU702" i="6"/>
  <c r="AX219" i="6"/>
  <c r="AU219" i="6"/>
  <c r="AU685" i="6"/>
  <c r="AX685" i="6"/>
  <c r="AS1260" i="6"/>
  <c r="AR1260" i="6"/>
  <c r="AQ1260" i="6"/>
  <c r="AP1260" i="6"/>
  <c r="AO1260" i="6"/>
  <c r="AN1260" i="6"/>
  <c r="AM1260" i="6"/>
  <c r="AK1260" i="6"/>
  <c r="AH1260" i="6"/>
  <c r="AG1260" i="6"/>
  <c r="AF1260" i="6"/>
  <c r="AD1260" i="6"/>
  <c r="AE1201" i="6"/>
  <c r="AI1201" i="6" s="1"/>
  <c r="AJ1201" i="6" s="1"/>
  <c r="AE1208" i="6"/>
  <c r="AI1208" i="6" s="1"/>
  <c r="AJ1208" i="6" s="1"/>
  <c r="AU1208" i="6" l="1"/>
  <c r="AX1208" i="6"/>
  <c r="AU1201" i="6"/>
  <c r="AX1201" i="6"/>
  <c r="AE1260" i="6"/>
  <c r="AE995" i="6"/>
  <c r="AE950" i="6"/>
  <c r="AD1135" i="6" l="1"/>
  <c r="AE1095" i="6"/>
  <c r="AD1095" i="6"/>
  <c r="AS1077" i="6"/>
  <c r="AR1077" i="6"/>
  <c r="AQ1077" i="6"/>
  <c r="AP1077" i="6"/>
  <c r="AO1077" i="6"/>
  <c r="AN1077" i="6"/>
  <c r="AM1077" i="6"/>
  <c r="AL1077" i="6"/>
  <c r="AK1077" i="6"/>
  <c r="AH1077" i="6"/>
  <c r="AG1077" i="6"/>
  <c r="AF1077" i="6"/>
  <c r="AE1077" i="6"/>
  <c r="AE1027" i="6" l="1"/>
  <c r="AR1027" i="6"/>
  <c r="AQ1027" i="6"/>
  <c r="AP1027" i="6"/>
  <c r="AO1027" i="6"/>
  <c r="AN1027" i="6"/>
  <c r="AM1027" i="6"/>
  <c r="AG1027" i="6"/>
  <c r="AF1027" i="6"/>
  <c r="AD1027" i="6"/>
  <c r="AD995" i="6"/>
  <c r="AS679" i="6" l="1"/>
  <c r="AR679" i="6"/>
  <c r="AQ679" i="6"/>
  <c r="AP679" i="6"/>
  <c r="AN679" i="6"/>
  <c r="AM679" i="6"/>
  <c r="AK679" i="6"/>
  <c r="AF679" i="6"/>
  <c r="AE679" i="6"/>
  <c r="AD679" i="6"/>
  <c r="AS510" i="6" l="1"/>
  <c r="AR510" i="6"/>
  <c r="AQ510" i="6"/>
  <c r="AP510" i="6"/>
  <c r="AO510" i="6"/>
  <c r="AN510" i="6"/>
  <c r="AK510" i="6"/>
  <c r="AH510" i="6"/>
  <c r="AG510" i="6"/>
  <c r="AF510" i="6"/>
  <c r="AE510" i="6"/>
  <c r="AD510" i="6"/>
  <c r="AS240" i="6"/>
  <c r="AR240" i="6"/>
  <c r="AQ240" i="6"/>
  <c r="AP240" i="6"/>
  <c r="AN240" i="6"/>
  <c r="AM240" i="6"/>
  <c r="AK240" i="6"/>
  <c r="AH240" i="6"/>
  <c r="AG240" i="6"/>
  <c r="AF240" i="6"/>
  <c r="AE240" i="6"/>
  <c r="AD240" i="6"/>
  <c r="AS180" i="6"/>
  <c r="AR180" i="6"/>
  <c r="AQ180" i="6"/>
  <c r="AP180" i="6"/>
  <c r="AO180" i="6"/>
  <c r="AN180" i="6"/>
  <c r="AM180" i="6"/>
  <c r="AL180" i="6"/>
  <c r="AK180" i="6"/>
  <c r="AJ180" i="6"/>
  <c r="AI180" i="6"/>
  <c r="AH180" i="6"/>
  <c r="AG180" i="6"/>
  <c r="AF180" i="6"/>
  <c r="AE180" i="6"/>
  <c r="AD180" i="6"/>
  <c r="AW141" i="6"/>
  <c r="AV141" i="6"/>
  <c r="AU141" i="6"/>
  <c r="AT141" i="6"/>
  <c r="AS141" i="6"/>
  <c r="AR141" i="6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X141" i="6" l="1"/>
  <c r="AS124" i="6"/>
  <c r="AQ124" i="6"/>
  <c r="AP124" i="6"/>
  <c r="AO124" i="6"/>
  <c r="AN124" i="6"/>
  <c r="AM124" i="6"/>
  <c r="AL124" i="6"/>
  <c r="AK124" i="6"/>
  <c r="AH124" i="6"/>
  <c r="AG124" i="6"/>
  <c r="AF124" i="6"/>
  <c r="AE124" i="6"/>
  <c r="AE123" i="6" s="1"/>
  <c r="AD124" i="6"/>
  <c r="AX1255" i="6" l="1"/>
  <c r="AV1255" i="6"/>
  <c r="AU1255" i="6"/>
  <c r="AT1255" i="6"/>
  <c r="AW1255" i="6" s="1"/>
  <c r="AX1254" i="6"/>
  <c r="AV1254" i="6"/>
  <c r="AU1254" i="6"/>
  <c r="AT1254" i="6"/>
  <c r="AW1254" i="6" s="1"/>
  <c r="AX1253" i="6"/>
  <c r="AV1253" i="6"/>
  <c r="AU1253" i="6"/>
  <c r="AT1253" i="6"/>
  <c r="AW1253" i="6" s="1"/>
  <c r="AX1252" i="6"/>
  <c r="AV1252" i="6"/>
  <c r="AU1252" i="6"/>
  <c r="AT1252" i="6"/>
  <c r="AW1252" i="6" s="1"/>
  <c r="AX1251" i="6"/>
  <c r="AV1251" i="6"/>
  <c r="AU1251" i="6"/>
  <c r="AT1251" i="6"/>
  <c r="AW1251" i="6" s="1"/>
  <c r="AV1246" i="6"/>
  <c r="AT1246" i="6"/>
  <c r="AW1246" i="6" s="1"/>
  <c r="AI1246" i="6"/>
  <c r="AJ1246" i="6" s="1"/>
  <c r="AX1241" i="6"/>
  <c r="AV1241" i="6"/>
  <c r="AU1241" i="6"/>
  <c r="AT1241" i="6"/>
  <c r="AW1241" i="6" s="1"/>
  <c r="AX1240" i="6"/>
  <c r="AV1240" i="6"/>
  <c r="AU1240" i="6"/>
  <c r="AT1240" i="6"/>
  <c r="AW1240" i="6" s="1"/>
  <c r="AX1237" i="6"/>
  <c r="AV1237" i="6"/>
  <c r="AU1237" i="6"/>
  <c r="AT1237" i="6"/>
  <c r="AW1237" i="6" s="1"/>
  <c r="AX1232" i="6"/>
  <c r="AV1232" i="6"/>
  <c r="AU1232" i="6"/>
  <c r="AT1232" i="6"/>
  <c r="AW1232" i="6" s="1"/>
  <c r="AX1227" i="6"/>
  <c r="AV1227" i="6"/>
  <c r="AU1227" i="6"/>
  <c r="AT1227" i="6"/>
  <c r="AW1227" i="6" s="1"/>
  <c r="AX1224" i="6"/>
  <c r="AV1224" i="6"/>
  <c r="AU1224" i="6"/>
  <c r="AT1224" i="6"/>
  <c r="AW1224" i="6" s="1"/>
  <c r="AX1219" i="6"/>
  <c r="AV1219" i="6"/>
  <c r="AU1219" i="6"/>
  <c r="AT1219" i="6"/>
  <c r="AW1219" i="6" s="1"/>
  <c r="AX1218" i="6"/>
  <c r="AV1218" i="6"/>
  <c r="AU1218" i="6"/>
  <c r="AT1218" i="6"/>
  <c r="AW1218" i="6" s="1"/>
  <c r="AV1217" i="6"/>
  <c r="AT1217" i="6"/>
  <c r="AW1217" i="6" s="1"/>
  <c r="AX1214" i="6"/>
  <c r="AV1214" i="6"/>
  <c r="AU1214" i="6"/>
  <c r="AT1214" i="6"/>
  <c r="AW1214" i="6" s="1"/>
  <c r="AX1211" i="6"/>
  <c r="AV1211" i="6"/>
  <c r="AU1211" i="6"/>
  <c r="AT1211" i="6"/>
  <c r="AW1211" i="6" s="1"/>
  <c r="AX1207" i="6"/>
  <c r="AV1207" i="6"/>
  <c r="AU1207" i="6"/>
  <c r="AT1207" i="6"/>
  <c r="AW1207" i="6" s="1"/>
  <c r="AX1206" i="6"/>
  <c r="AV1206" i="6"/>
  <c r="AU1206" i="6"/>
  <c r="AT1206" i="6"/>
  <c r="AW1206" i="6" s="1"/>
  <c r="AX1205" i="6"/>
  <c r="AV1205" i="6"/>
  <c r="AU1205" i="6"/>
  <c r="AT1205" i="6"/>
  <c r="AW1205" i="6" s="1"/>
  <c r="AX1204" i="6"/>
  <c r="AV1204" i="6"/>
  <c r="AU1204" i="6"/>
  <c r="AT1204" i="6"/>
  <c r="AW1204" i="6" s="1"/>
  <c r="AX1200" i="6"/>
  <c r="AV1200" i="6"/>
  <c r="AU1200" i="6"/>
  <c r="AT1200" i="6"/>
  <c r="AW1200" i="6" s="1"/>
  <c r="AX1199" i="6"/>
  <c r="AV1199" i="6"/>
  <c r="AU1199" i="6"/>
  <c r="AT1199" i="6"/>
  <c r="AW1199" i="6" s="1"/>
  <c r="AL1198" i="6"/>
  <c r="AX1196" i="6"/>
  <c r="AV1196" i="6"/>
  <c r="AU1196" i="6"/>
  <c r="AT1196" i="6"/>
  <c r="AW1196" i="6" s="1"/>
  <c r="AX1195" i="6"/>
  <c r="AV1195" i="6"/>
  <c r="AU1195" i="6"/>
  <c r="AT1195" i="6"/>
  <c r="AW1195" i="6" s="1"/>
  <c r="AX1194" i="6"/>
  <c r="AV1194" i="6"/>
  <c r="AU1194" i="6"/>
  <c r="AT1194" i="6"/>
  <c r="AW1194" i="6" s="1"/>
  <c r="AV1190" i="6"/>
  <c r="AT1190" i="6"/>
  <c r="AW1190" i="6" s="1"/>
  <c r="AI1190" i="6"/>
  <c r="AJ1190" i="6" s="1"/>
  <c r="AX1189" i="6"/>
  <c r="AV1189" i="6"/>
  <c r="AU1189" i="6"/>
  <c r="AT1189" i="6"/>
  <c r="AW1189" i="6" s="1"/>
  <c r="AV1187" i="6"/>
  <c r="AT1187" i="6"/>
  <c r="AI1187" i="6"/>
  <c r="AS1178" i="6"/>
  <c r="AR1178" i="6"/>
  <c r="AQ1178" i="6"/>
  <c r="AP1178" i="6"/>
  <c r="AO1178" i="6"/>
  <c r="AN1178" i="6"/>
  <c r="AM1178" i="6"/>
  <c r="AL1178" i="6"/>
  <c r="AK1178" i="6"/>
  <c r="AJ1178" i="6"/>
  <c r="AI1178" i="6"/>
  <c r="AH1178" i="6"/>
  <c r="AG1178" i="6"/>
  <c r="AF1178" i="6"/>
  <c r="AE1178" i="6"/>
  <c r="AD1178" i="6"/>
  <c r="AX1172" i="6"/>
  <c r="AV1172" i="6"/>
  <c r="AV1178" i="6" s="1"/>
  <c r="AU1172" i="6"/>
  <c r="AT1172" i="6"/>
  <c r="AW1172" i="6" s="1"/>
  <c r="AW1178" i="6" s="1"/>
  <c r="AS1163" i="6"/>
  <c r="AR1163" i="6"/>
  <c r="AQ1163" i="6"/>
  <c r="AP1163" i="6"/>
  <c r="AO1163" i="6"/>
  <c r="AN1163" i="6"/>
  <c r="AM1163" i="6"/>
  <c r="AL1163" i="6"/>
  <c r="AK1163" i="6"/>
  <c r="AH1163" i="6"/>
  <c r="AG1163" i="6"/>
  <c r="AF1163" i="6"/>
  <c r="AE1163" i="6"/>
  <c r="AD1163" i="6"/>
  <c r="AX1161" i="6"/>
  <c r="AV1161" i="6"/>
  <c r="AU1161" i="6"/>
  <c r="AT1161" i="6"/>
  <c r="AW1161" i="6" s="1"/>
  <c r="AV1159" i="6"/>
  <c r="AT1159" i="6"/>
  <c r="AW1159" i="6" s="1"/>
  <c r="AI1159" i="6"/>
  <c r="AJ1159" i="6" s="1"/>
  <c r="AV1157" i="6"/>
  <c r="AT1157" i="6"/>
  <c r="AW1157" i="6" s="1"/>
  <c r="AI1157" i="6"/>
  <c r="AJ1157" i="6" s="1"/>
  <c r="AU1157" i="6" s="1"/>
  <c r="AS1148" i="6"/>
  <c r="AR1148" i="6"/>
  <c r="AQ1148" i="6"/>
  <c r="AP1148" i="6"/>
  <c r="AO1148" i="6"/>
  <c r="AN1148" i="6"/>
  <c r="AM1148" i="6"/>
  <c r="AL1148" i="6"/>
  <c r="AK1148" i="6"/>
  <c r="AI1148" i="6"/>
  <c r="AH1148" i="6"/>
  <c r="AG1148" i="6"/>
  <c r="AF1148" i="6"/>
  <c r="AE1148" i="6"/>
  <c r="AD1148" i="6"/>
  <c r="AX1146" i="6"/>
  <c r="AV1146" i="6"/>
  <c r="AU1146" i="6"/>
  <c r="AT1146" i="6"/>
  <c r="AW1146" i="6" s="1"/>
  <c r="AX1145" i="6"/>
  <c r="AV1145" i="6"/>
  <c r="AU1145" i="6"/>
  <c r="AT1145" i="6"/>
  <c r="AW1145" i="6" s="1"/>
  <c r="AS1135" i="6"/>
  <c r="AR1135" i="6"/>
  <c r="AQ1135" i="6"/>
  <c r="AP1135" i="6"/>
  <c r="AO1135" i="6"/>
  <c r="AN1135" i="6"/>
  <c r="AM1135" i="6"/>
  <c r="AL1135" i="6"/>
  <c r="AK1135" i="6"/>
  <c r="AJ1135" i="6"/>
  <c r="AI1135" i="6"/>
  <c r="AH1135" i="6"/>
  <c r="AG1135" i="6"/>
  <c r="AF1135" i="6"/>
  <c r="AE1135" i="6"/>
  <c r="AX1109" i="6"/>
  <c r="AV1109" i="6"/>
  <c r="AU1109" i="6"/>
  <c r="AT1109" i="6"/>
  <c r="AW1109" i="6" s="1"/>
  <c r="AX1108" i="6"/>
  <c r="AV1108" i="6"/>
  <c r="AU1108" i="6"/>
  <c r="AT1108" i="6"/>
  <c r="AW1108" i="6" s="1"/>
  <c r="AX1107" i="6"/>
  <c r="AV1107" i="6"/>
  <c r="AU1107" i="6"/>
  <c r="AT1107" i="6"/>
  <c r="AW1107" i="6" s="1"/>
  <c r="AX1106" i="6"/>
  <c r="AV1106" i="6"/>
  <c r="AU1106" i="6"/>
  <c r="AT1106" i="6"/>
  <c r="AW1106" i="6" s="1"/>
  <c r="AX1105" i="6"/>
  <c r="AV1105" i="6"/>
  <c r="AU1105" i="6"/>
  <c r="AT1105" i="6"/>
  <c r="AW1105" i="6" s="1"/>
  <c r="AS1095" i="6"/>
  <c r="AR1095" i="6"/>
  <c r="AQ1095" i="6"/>
  <c r="AP1095" i="6"/>
  <c r="AO1095" i="6"/>
  <c r="AN1095" i="6"/>
  <c r="AM1095" i="6"/>
  <c r="AL1095" i="6"/>
  <c r="AK1095" i="6"/>
  <c r="AJ1095" i="6"/>
  <c r="AI1095" i="6"/>
  <c r="AH1095" i="6"/>
  <c r="AG1095" i="6"/>
  <c r="AF1095" i="6"/>
  <c r="AX1090" i="6"/>
  <c r="AV1090" i="6"/>
  <c r="AU1090" i="6"/>
  <c r="AT1090" i="6"/>
  <c r="AW1090" i="6" s="1"/>
  <c r="AX1089" i="6"/>
  <c r="AV1089" i="6"/>
  <c r="AU1089" i="6"/>
  <c r="AT1089" i="6"/>
  <c r="AW1089" i="6" s="1"/>
  <c r="AX1088" i="6"/>
  <c r="AV1088" i="6"/>
  <c r="AU1088" i="6"/>
  <c r="AT1088" i="6"/>
  <c r="AW1088" i="6" s="1"/>
  <c r="AX1087" i="6"/>
  <c r="AV1087" i="6"/>
  <c r="AU1087" i="6"/>
  <c r="AT1087" i="6"/>
  <c r="AW1087" i="6" s="1"/>
  <c r="AT1086" i="6"/>
  <c r="AX1070" i="6"/>
  <c r="AV1070" i="6"/>
  <c r="AU1070" i="6"/>
  <c r="AT1070" i="6"/>
  <c r="AW1070" i="6" s="1"/>
  <c r="AX1069" i="6"/>
  <c r="AV1069" i="6"/>
  <c r="AU1069" i="6"/>
  <c r="AT1069" i="6"/>
  <c r="AW1069" i="6" s="1"/>
  <c r="AX1059" i="6"/>
  <c r="AV1059" i="6"/>
  <c r="AU1059" i="6"/>
  <c r="AT1059" i="6"/>
  <c r="AW1059" i="6" s="1"/>
  <c r="AV1057" i="6"/>
  <c r="AT1057" i="6"/>
  <c r="AW1057" i="6" s="1"/>
  <c r="AI1057" i="6"/>
  <c r="AJ1057" i="6" s="1"/>
  <c r="AU1057" i="6" s="1"/>
  <c r="AV1055" i="6"/>
  <c r="AT1055" i="6"/>
  <c r="AW1055" i="6" s="1"/>
  <c r="AI1055" i="6"/>
  <c r="AJ1055" i="6" s="1"/>
  <c r="AU1055" i="6" s="1"/>
  <c r="AV1051" i="6"/>
  <c r="AT1051" i="6"/>
  <c r="AW1051" i="6" s="1"/>
  <c r="AI1051" i="6"/>
  <c r="AJ1051" i="6" s="1"/>
  <c r="AX1051" i="6" s="1"/>
  <c r="AV1048" i="6"/>
  <c r="AT1048" i="6"/>
  <c r="AW1048" i="6" s="1"/>
  <c r="AI1048" i="6"/>
  <c r="AJ1048" i="6" s="1"/>
  <c r="AV1046" i="6"/>
  <c r="AT1046" i="6"/>
  <c r="AW1046" i="6" s="1"/>
  <c r="AI1046" i="6"/>
  <c r="AJ1046" i="6" s="1"/>
  <c r="AV1042" i="6"/>
  <c r="AT1042" i="6"/>
  <c r="AW1042" i="6" s="1"/>
  <c r="AI1042" i="6"/>
  <c r="AJ1042" i="6" s="1"/>
  <c r="AV1040" i="6"/>
  <c r="AT1040" i="6"/>
  <c r="AI1040" i="6"/>
  <c r="AX1018" i="6"/>
  <c r="AV1018" i="6"/>
  <c r="AU1018" i="6"/>
  <c r="AT1018" i="6"/>
  <c r="AW1018" i="6" s="1"/>
  <c r="AX1016" i="6"/>
  <c r="AV1016" i="6"/>
  <c r="AU1016" i="6"/>
  <c r="AT1016" i="6"/>
  <c r="AW1016" i="6" s="1"/>
  <c r="AX1012" i="6"/>
  <c r="AV1012" i="6"/>
  <c r="AU1012" i="6"/>
  <c r="AT1012" i="6"/>
  <c r="AW1012" i="6" s="1"/>
  <c r="AV1009" i="6"/>
  <c r="AU1009" i="6"/>
  <c r="AT1009" i="6"/>
  <c r="AW1009" i="6" s="1"/>
  <c r="AV1004" i="6"/>
  <c r="AT1004" i="6"/>
  <c r="AH1004" i="6"/>
  <c r="AH1027" i="6" s="1"/>
  <c r="AS995" i="6"/>
  <c r="AR995" i="6"/>
  <c r="AQ995" i="6"/>
  <c r="AP995" i="6"/>
  <c r="AO995" i="6"/>
  <c r="AN995" i="6"/>
  <c r="AM995" i="6"/>
  <c r="AL995" i="6"/>
  <c r="AK995" i="6"/>
  <c r="AH995" i="6"/>
  <c r="AG995" i="6"/>
  <c r="AF995" i="6"/>
  <c r="AX985" i="6"/>
  <c r="AV985" i="6"/>
  <c r="AU985" i="6"/>
  <c r="AT985" i="6"/>
  <c r="AW985" i="6" s="1"/>
  <c r="AX982" i="6"/>
  <c r="AV982" i="6"/>
  <c r="AU982" i="6"/>
  <c r="AT982" i="6"/>
  <c r="AW982" i="6" s="1"/>
  <c r="AX981" i="6"/>
  <c r="AV981" i="6"/>
  <c r="AU981" i="6"/>
  <c r="AT981" i="6"/>
  <c r="AW981" i="6" s="1"/>
  <c r="AV980" i="6"/>
  <c r="AT980" i="6"/>
  <c r="AW980" i="6" s="1"/>
  <c r="AI980" i="6"/>
  <c r="AJ980" i="6" s="1"/>
  <c r="AX980" i="6" s="1"/>
  <c r="AX978" i="6"/>
  <c r="AV978" i="6"/>
  <c r="AU978" i="6"/>
  <c r="AT978" i="6"/>
  <c r="AW978" i="6" s="1"/>
  <c r="AV976" i="6"/>
  <c r="AT976" i="6"/>
  <c r="AW976" i="6" s="1"/>
  <c r="AI976" i="6"/>
  <c r="AJ976" i="6" s="1"/>
  <c r="AX974" i="6"/>
  <c r="AV974" i="6"/>
  <c r="AU974" i="6"/>
  <c r="AT974" i="6"/>
  <c r="AW974" i="6" s="1"/>
  <c r="AV972" i="6"/>
  <c r="AT972" i="6"/>
  <c r="AW972" i="6" s="1"/>
  <c r="AI972" i="6"/>
  <c r="AJ972" i="6" s="1"/>
  <c r="AX972" i="6" s="1"/>
  <c r="AV970" i="6"/>
  <c r="AT970" i="6"/>
  <c r="AW970" i="6" s="1"/>
  <c r="AI970" i="6"/>
  <c r="AJ970" i="6" s="1"/>
  <c r="AV968" i="6"/>
  <c r="AT968" i="6"/>
  <c r="AW968" i="6" s="1"/>
  <c r="AI968" i="6"/>
  <c r="AX966" i="6"/>
  <c r="AV966" i="6"/>
  <c r="AU966" i="6"/>
  <c r="AT966" i="6"/>
  <c r="AW966" i="6" s="1"/>
  <c r="AX961" i="6"/>
  <c r="AV961" i="6"/>
  <c r="AU961" i="6"/>
  <c r="AT961" i="6"/>
  <c r="AW961" i="6" s="1"/>
  <c r="AX959" i="6"/>
  <c r="AV959" i="6"/>
  <c r="AU959" i="6"/>
  <c r="AT959" i="6"/>
  <c r="AW959" i="6" s="1"/>
  <c r="AS950" i="6"/>
  <c r="AR950" i="6"/>
  <c r="AQ950" i="6"/>
  <c r="AP950" i="6"/>
  <c r="AN950" i="6"/>
  <c r="AM950" i="6"/>
  <c r="AK950" i="6"/>
  <c r="AF950" i="6"/>
  <c r="AD950" i="6"/>
  <c r="AX948" i="6"/>
  <c r="AV948" i="6"/>
  <c r="AU948" i="6"/>
  <c r="AT948" i="6"/>
  <c r="AW948" i="6" s="1"/>
  <c r="AX942" i="6"/>
  <c r="AV942" i="6"/>
  <c r="AU942" i="6"/>
  <c r="AT942" i="6"/>
  <c r="AW942" i="6" s="1"/>
  <c r="AX937" i="6"/>
  <c r="AV937" i="6"/>
  <c r="AU937" i="6"/>
  <c r="AT937" i="6"/>
  <c r="AW937" i="6" s="1"/>
  <c r="AX933" i="6"/>
  <c r="AV933" i="6"/>
  <c r="AU933" i="6"/>
  <c r="AT933" i="6"/>
  <c r="AW933" i="6" s="1"/>
  <c r="AX927" i="6"/>
  <c r="AV927" i="6"/>
  <c r="AU927" i="6"/>
  <c r="AT927" i="6"/>
  <c r="AW927" i="6" s="1"/>
  <c r="AX913" i="6"/>
  <c r="AV913" i="6"/>
  <c r="AU913" i="6"/>
  <c r="AT913" i="6"/>
  <c r="AW913" i="6" s="1"/>
  <c r="AX903" i="6"/>
  <c r="AV903" i="6"/>
  <c r="AU903" i="6"/>
  <c r="AT903" i="6"/>
  <c r="AW903" i="6" s="1"/>
  <c r="AX902" i="6"/>
  <c r="AV902" i="6"/>
  <c r="AU902" i="6"/>
  <c r="AT902" i="6"/>
  <c r="AW902" i="6" s="1"/>
  <c r="AX897" i="6"/>
  <c r="AV897" i="6"/>
  <c r="AU897" i="6"/>
  <c r="AT897" i="6"/>
  <c r="AW897" i="6" s="1"/>
  <c r="AX893" i="6"/>
  <c r="AV893" i="6"/>
  <c r="AU893" i="6"/>
  <c r="AT893" i="6"/>
  <c r="AW893" i="6" s="1"/>
  <c r="AX885" i="6"/>
  <c r="AV885" i="6"/>
  <c r="AU885" i="6"/>
  <c r="AT885" i="6"/>
  <c r="AW885" i="6" s="1"/>
  <c r="AV884" i="6"/>
  <c r="AT884" i="6"/>
  <c r="AW884" i="6" s="1"/>
  <c r="AI884" i="6"/>
  <c r="AJ884" i="6" s="1"/>
  <c r="AU884" i="6" s="1"/>
  <c r="AX878" i="6"/>
  <c r="AV878" i="6"/>
  <c r="AU878" i="6"/>
  <c r="AT878" i="6"/>
  <c r="AW878" i="6" s="1"/>
  <c r="AX877" i="6"/>
  <c r="AV877" i="6"/>
  <c r="AU877" i="6"/>
  <c r="AT877" i="6"/>
  <c r="AW877" i="6" s="1"/>
  <c r="AV876" i="6"/>
  <c r="AT876" i="6"/>
  <c r="AW876" i="6" s="1"/>
  <c r="AH876" i="6"/>
  <c r="AI876" i="6" s="1"/>
  <c r="AJ876" i="6" s="1"/>
  <c r="AX873" i="6"/>
  <c r="AV873" i="6"/>
  <c r="AU873" i="6"/>
  <c r="AT873" i="6"/>
  <c r="AW873" i="6" s="1"/>
  <c r="AX869" i="6"/>
  <c r="AV869" i="6"/>
  <c r="AU869" i="6"/>
  <c r="AT869" i="6"/>
  <c r="AW869" i="6" s="1"/>
  <c r="AV868" i="6"/>
  <c r="AT868" i="6"/>
  <c r="AW868" i="6" s="1"/>
  <c r="AI868" i="6"/>
  <c r="AJ868" i="6" s="1"/>
  <c r="AU868" i="6" s="1"/>
  <c r="AX860" i="6"/>
  <c r="AV860" i="6"/>
  <c r="AU860" i="6"/>
  <c r="AT860" i="6"/>
  <c r="AW860" i="6" s="1"/>
  <c r="AV852" i="6"/>
  <c r="AT852" i="6"/>
  <c r="AW852" i="6" s="1"/>
  <c r="AI852" i="6"/>
  <c r="AJ852" i="6" s="1"/>
  <c r="AV845" i="6"/>
  <c r="AT845" i="6"/>
  <c r="AW845" i="6" s="1"/>
  <c r="AI845" i="6"/>
  <c r="AJ845" i="6" s="1"/>
  <c r="AU845" i="6" s="1"/>
  <c r="AV840" i="6"/>
  <c r="AT840" i="6"/>
  <c r="AW840" i="6" s="1"/>
  <c r="AG840" i="6"/>
  <c r="AI840" i="6" s="1"/>
  <c r="AJ840" i="6" s="1"/>
  <c r="AU840" i="6" s="1"/>
  <c r="AV835" i="6"/>
  <c r="AT835" i="6"/>
  <c r="AW835" i="6" s="1"/>
  <c r="AG835" i="6"/>
  <c r="AI835" i="6" s="1"/>
  <c r="AJ835" i="6" s="1"/>
  <c r="AV816" i="6"/>
  <c r="AT816" i="6"/>
  <c r="AW816" i="6" s="1"/>
  <c r="AI816" i="6"/>
  <c r="AJ816" i="6" s="1"/>
  <c r="AX812" i="6"/>
  <c r="AV812" i="6"/>
  <c r="AU812" i="6"/>
  <c r="AT812" i="6"/>
  <c r="AW812" i="6" s="1"/>
  <c r="AX810" i="6"/>
  <c r="AV810" i="6"/>
  <c r="AU810" i="6"/>
  <c r="AT810" i="6"/>
  <c r="AW810" i="6" s="1"/>
  <c r="AO810" i="6"/>
  <c r="AT809" i="6"/>
  <c r="AV807" i="6"/>
  <c r="AT807" i="6"/>
  <c r="AW807" i="6" s="1"/>
  <c r="AH807" i="6"/>
  <c r="AI807" i="6" s="1"/>
  <c r="AJ807" i="6" s="1"/>
  <c r="AV803" i="6"/>
  <c r="AT803" i="6"/>
  <c r="AW803" i="6" s="1"/>
  <c r="AI803" i="6"/>
  <c r="AJ803" i="6" s="1"/>
  <c r="AV801" i="6"/>
  <c r="AT801" i="6"/>
  <c r="AW801" i="6" s="1"/>
  <c r="AI801" i="6"/>
  <c r="AJ801" i="6" s="1"/>
  <c r="AV799" i="6"/>
  <c r="AT799" i="6"/>
  <c r="AW799" i="6" s="1"/>
  <c r="AH799" i="6"/>
  <c r="AX797" i="6"/>
  <c r="AV797" i="6"/>
  <c r="AU797" i="6"/>
  <c r="AT797" i="6"/>
  <c r="AW797" i="6" s="1"/>
  <c r="AX795" i="6"/>
  <c r="AV795" i="6"/>
  <c r="AU795" i="6"/>
  <c r="AT795" i="6"/>
  <c r="AW795" i="6" s="1"/>
  <c r="AX793" i="6"/>
  <c r="AV793" i="6"/>
  <c r="AU793" i="6"/>
  <c r="AT793" i="6"/>
  <c r="AW793" i="6" s="1"/>
  <c r="AV791" i="6"/>
  <c r="AT791" i="6"/>
  <c r="AW791" i="6" s="1"/>
  <c r="AI791" i="6"/>
  <c r="AJ791" i="6" s="1"/>
  <c r="AX791" i="6" s="1"/>
  <c r="AV789" i="6"/>
  <c r="AT789" i="6"/>
  <c r="AW789" i="6" s="1"/>
  <c r="AI789" i="6"/>
  <c r="AJ789" i="6" s="1"/>
  <c r="AX789" i="6" s="1"/>
  <c r="AX784" i="6"/>
  <c r="AV784" i="6"/>
  <c r="AU784" i="6"/>
  <c r="AT784" i="6"/>
  <c r="AW784" i="6" s="1"/>
  <c r="AX782" i="6"/>
  <c r="AV782" i="6"/>
  <c r="AU782" i="6"/>
  <c r="AT782" i="6"/>
  <c r="AW782" i="6" s="1"/>
  <c r="AX780" i="6"/>
  <c r="AV780" i="6"/>
  <c r="AU780" i="6"/>
  <c r="AT780" i="6"/>
  <c r="AW780" i="6" s="1"/>
  <c r="AX775" i="6"/>
  <c r="AV775" i="6"/>
  <c r="AU775" i="6"/>
  <c r="AT775" i="6"/>
  <c r="AW775" i="6" s="1"/>
  <c r="AV769" i="6"/>
  <c r="AT769" i="6"/>
  <c r="AW769" i="6" s="1"/>
  <c r="AG769" i="6"/>
  <c r="AV767" i="6"/>
  <c r="AT767" i="6"/>
  <c r="AW767" i="6" s="1"/>
  <c r="AI767" i="6"/>
  <c r="AJ767" i="6" s="1"/>
  <c r="AX765" i="6"/>
  <c r="AV765" i="6"/>
  <c r="AU765" i="6"/>
  <c r="AT765" i="6"/>
  <c r="AW765" i="6" s="1"/>
  <c r="AV748" i="6"/>
  <c r="AT748" i="6"/>
  <c r="AW748" i="6" s="1"/>
  <c r="AI748" i="6"/>
  <c r="AJ748" i="6" s="1"/>
  <c r="AX748" i="6" s="1"/>
  <c r="AX746" i="6"/>
  <c r="AV746" i="6"/>
  <c r="AU746" i="6"/>
  <c r="AT746" i="6"/>
  <c r="AW746" i="6" s="1"/>
  <c r="AX743" i="6"/>
  <c r="AV743" i="6"/>
  <c r="AU743" i="6"/>
  <c r="AT743" i="6"/>
  <c r="AW743" i="6" s="1"/>
  <c r="AX740" i="6"/>
  <c r="AV740" i="6"/>
  <c r="AU740" i="6"/>
  <c r="AT740" i="6"/>
  <c r="AW740" i="6" s="1"/>
  <c r="AX737" i="6"/>
  <c r="AV737" i="6"/>
  <c r="AU737" i="6"/>
  <c r="AT737" i="6"/>
  <c r="AW737" i="6" s="1"/>
  <c r="AV736" i="6"/>
  <c r="AT736" i="6"/>
  <c r="AW736" i="6" s="1"/>
  <c r="AI736" i="6"/>
  <c r="AJ736" i="6" s="1"/>
  <c r="AX733" i="6"/>
  <c r="AV733" i="6"/>
  <c r="AU733" i="6"/>
  <c r="AT733" i="6"/>
  <c r="AW733" i="6" s="1"/>
  <c r="AV732" i="6"/>
  <c r="AT732" i="6"/>
  <c r="AW732" i="6" s="1"/>
  <c r="AI732" i="6"/>
  <c r="AJ732" i="6" s="1"/>
  <c r="AX727" i="6"/>
  <c r="AV727" i="6"/>
  <c r="AU727" i="6"/>
  <c r="AT727" i="6"/>
  <c r="AW727" i="6" s="1"/>
  <c r="AX726" i="6"/>
  <c r="AV726" i="6"/>
  <c r="AU726" i="6"/>
  <c r="AT726" i="6"/>
  <c r="AW726" i="6" s="1"/>
  <c r="AX725" i="6"/>
  <c r="AV725" i="6"/>
  <c r="AU725" i="6"/>
  <c r="AT725" i="6"/>
  <c r="AW725" i="6" s="1"/>
  <c r="AX724" i="6"/>
  <c r="AV724" i="6"/>
  <c r="AU724" i="6"/>
  <c r="AT724" i="6"/>
  <c r="AW724" i="6" s="1"/>
  <c r="AX721" i="6"/>
  <c r="AV721" i="6"/>
  <c r="AU721" i="6"/>
  <c r="AT721" i="6"/>
  <c r="AW721" i="6" s="1"/>
  <c r="AV715" i="6"/>
  <c r="AT715" i="6"/>
  <c r="AW715" i="6" s="1"/>
  <c r="AI715" i="6"/>
  <c r="AJ715" i="6" s="1"/>
  <c r="AX713" i="6"/>
  <c r="AV713" i="6"/>
  <c r="AU713" i="6"/>
  <c r="AT713" i="6"/>
  <c r="AW713" i="6" s="1"/>
  <c r="AX711" i="6"/>
  <c r="AV711" i="6"/>
  <c r="AU711" i="6"/>
  <c r="AT711" i="6"/>
  <c r="AW711" i="6" s="1"/>
  <c r="AO711" i="6"/>
  <c r="AX709" i="6"/>
  <c r="AV709" i="6"/>
  <c r="AU709" i="6"/>
  <c r="AT709" i="6"/>
  <c r="AW709" i="6" s="1"/>
  <c r="AX707" i="6"/>
  <c r="AV707" i="6"/>
  <c r="AU707" i="6"/>
  <c r="AT707" i="6"/>
  <c r="AW707" i="6" s="1"/>
  <c r="AX705" i="6"/>
  <c r="AV705" i="6"/>
  <c r="AU705" i="6"/>
  <c r="AT705" i="6"/>
  <c r="AW705" i="6" s="1"/>
  <c r="AX698" i="6"/>
  <c r="AV698" i="6"/>
  <c r="AU698" i="6"/>
  <c r="AT698" i="6"/>
  <c r="AW698" i="6" s="1"/>
  <c r="AX697" i="6"/>
  <c r="AV697" i="6"/>
  <c r="AU697" i="6"/>
  <c r="AT697" i="6"/>
  <c r="AW697" i="6" s="1"/>
  <c r="AV696" i="6"/>
  <c r="AT696" i="6"/>
  <c r="AW696" i="6" s="1"/>
  <c r="AI696" i="6"/>
  <c r="AJ696" i="6" s="1"/>
  <c r="AU696" i="6" s="1"/>
  <c r="AX692" i="6"/>
  <c r="AV692" i="6"/>
  <c r="AU692" i="6"/>
  <c r="AT692" i="6"/>
  <c r="AW692" i="6" s="1"/>
  <c r="AV690" i="6"/>
  <c r="AT690" i="6"/>
  <c r="AI690" i="6"/>
  <c r="AX676" i="6"/>
  <c r="AV676" i="6"/>
  <c r="AU676" i="6"/>
  <c r="AT676" i="6"/>
  <c r="AW676" i="6" s="1"/>
  <c r="AX675" i="6"/>
  <c r="AV675" i="6"/>
  <c r="AU675" i="6"/>
  <c r="AT675" i="6"/>
  <c r="AW675" i="6" s="1"/>
  <c r="AX666" i="6"/>
  <c r="AV666" i="6"/>
  <c r="AU666" i="6"/>
  <c r="AT666" i="6"/>
  <c r="AW666" i="6" s="1"/>
  <c r="AX665" i="6"/>
  <c r="AV665" i="6"/>
  <c r="AU665" i="6"/>
  <c r="AT665" i="6"/>
  <c r="AW665" i="6" s="1"/>
  <c r="AX664" i="6"/>
  <c r="AV664" i="6"/>
  <c r="AU664" i="6"/>
  <c r="AT664" i="6"/>
  <c r="AW664" i="6" s="1"/>
  <c r="AX663" i="6"/>
  <c r="AV663" i="6"/>
  <c r="AU663" i="6"/>
  <c r="AT663" i="6"/>
  <c r="AW663" i="6" s="1"/>
  <c r="AX662" i="6"/>
  <c r="AV662" i="6"/>
  <c r="AU662" i="6"/>
  <c r="AT662" i="6"/>
  <c r="AW662" i="6" s="1"/>
  <c r="AV654" i="6"/>
  <c r="AT654" i="6"/>
  <c r="AW654" i="6" s="1"/>
  <c r="AI654" i="6"/>
  <c r="AJ654" i="6" s="1"/>
  <c r="AX654" i="6" s="1"/>
  <c r="AX648" i="6"/>
  <c r="AV648" i="6"/>
  <c r="AU648" i="6"/>
  <c r="AT648" i="6"/>
  <c r="AW648" i="6" s="1"/>
  <c r="AV647" i="6"/>
  <c r="AT647" i="6"/>
  <c r="AW647" i="6" s="1"/>
  <c r="AG647" i="6"/>
  <c r="AI647" i="6" s="1"/>
  <c r="AJ647" i="6" s="1"/>
  <c r="AV644" i="6"/>
  <c r="AT644" i="6"/>
  <c r="AW644" i="6" s="1"/>
  <c r="AH644" i="6"/>
  <c r="AI644" i="6" s="1"/>
  <c r="AJ644" i="6" s="1"/>
  <c r="AX639" i="6"/>
  <c r="AV639" i="6"/>
  <c r="AU639" i="6"/>
  <c r="AT639" i="6"/>
  <c r="AW639" i="6" s="1"/>
  <c r="AX621" i="6"/>
  <c r="AV621" i="6"/>
  <c r="AU621" i="6"/>
  <c r="AT621" i="6"/>
  <c r="AW621" i="6" s="1"/>
  <c r="AV620" i="6"/>
  <c r="AT620" i="6"/>
  <c r="AW620" i="6" s="1"/>
  <c r="AI620" i="6"/>
  <c r="AJ620" i="6" s="1"/>
  <c r="AX618" i="6"/>
  <c r="AV618" i="6"/>
  <c r="AU618" i="6"/>
  <c r="AT618" i="6"/>
  <c r="AW618" i="6" s="1"/>
  <c r="AV617" i="6"/>
  <c r="AT617" i="6"/>
  <c r="AW617" i="6" s="1"/>
  <c r="AO679" i="6"/>
  <c r="AI617" i="6"/>
  <c r="AJ617" i="6" s="1"/>
  <c r="AX617" i="6" s="1"/>
  <c r="AV615" i="6"/>
  <c r="AT615" i="6"/>
  <c r="AW615" i="6" s="1"/>
  <c r="AI615" i="6"/>
  <c r="AJ615" i="6" s="1"/>
  <c r="AV611" i="6"/>
  <c r="AT611" i="6"/>
  <c r="AW611" i="6" s="1"/>
  <c r="AI611" i="6"/>
  <c r="AJ611" i="6" s="1"/>
  <c r="AT610" i="6"/>
  <c r="AV609" i="6"/>
  <c r="AT609" i="6"/>
  <c r="AW609" i="6" s="1"/>
  <c r="AG609" i="6"/>
  <c r="AT608" i="6"/>
  <c r="AV605" i="6"/>
  <c r="AT605" i="6"/>
  <c r="AW605" i="6" s="1"/>
  <c r="AI605" i="6"/>
  <c r="AJ605" i="6" s="1"/>
  <c r="AV603" i="6"/>
  <c r="AT603" i="6"/>
  <c r="AW603" i="6" s="1"/>
  <c r="AI603" i="6"/>
  <c r="AJ603" i="6" s="1"/>
  <c r="AV602" i="6"/>
  <c r="AT602" i="6"/>
  <c r="AW602" i="6" s="1"/>
  <c r="AI602" i="6"/>
  <c r="AJ602" i="6" s="1"/>
  <c r="AV600" i="6"/>
  <c r="AT600" i="6"/>
  <c r="AW600" i="6" s="1"/>
  <c r="AI600" i="6"/>
  <c r="AJ600" i="6" s="1"/>
  <c r="AX595" i="6"/>
  <c r="AV595" i="6"/>
  <c r="AU595" i="6"/>
  <c r="AT595" i="6"/>
  <c r="AW595" i="6" s="1"/>
  <c r="AX588" i="6"/>
  <c r="AV588" i="6"/>
  <c r="AU588" i="6"/>
  <c r="AT588" i="6"/>
  <c r="AW588" i="6" s="1"/>
  <c r="AV587" i="6"/>
  <c r="AT587" i="6"/>
  <c r="AW587" i="6" s="1"/>
  <c r="AH587" i="6"/>
  <c r="AX584" i="6"/>
  <c r="AV584" i="6"/>
  <c r="AU584" i="6"/>
  <c r="AT584" i="6"/>
  <c r="AW584" i="6" s="1"/>
  <c r="AV582" i="6"/>
  <c r="AT582" i="6"/>
  <c r="AW582" i="6" s="1"/>
  <c r="AI582" i="6"/>
  <c r="AJ582" i="6" s="1"/>
  <c r="AU582" i="6" s="1"/>
  <c r="AV580" i="6"/>
  <c r="AT580" i="6"/>
  <c r="AW580" i="6" s="1"/>
  <c r="AI580" i="6"/>
  <c r="AJ580" i="6" s="1"/>
  <c r="AX579" i="6"/>
  <c r="AV579" i="6"/>
  <c r="AU579" i="6"/>
  <c r="AT579" i="6"/>
  <c r="AW579" i="6" s="1"/>
  <c r="AX577" i="6"/>
  <c r="AV577" i="6"/>
  <c r="AU577" i="6"/>
  <c r="AT577" i="6"/>
  <c r="AW577" i="6" s="1"/>
  <c r="AX576" i="6"/>
  <c r="AV576" i="6"/>
  <c r="AU576" i="6"/>
  <c r="AT576" i="6"/>
  <c r="AW576" i="6" s="1"/>
  <c r="AV574" i="6"/>
  <c r="AT574" i="6"/>
  <c r="AW574" i="6" s="1"/>
  <c r="AI574" i="6"/>
  <c r="AJ574" i="6" s="1"/>
  <c r="AU574" i="6" s="1"/>
  <c r="AV569" i="6"/>
  <c r="AT569" i="6"/>
  <c r="AW569" i="6" s="1"/>
  <c r="AI569" i="6"/>
  <c r="AJ569" i="6" s="1"/>
  <c r="AX569" i="6" s="1"/>
  <c r="AV567" i="6"/>
  <c r="AT567" i="6"/>
  <c r="AW567" i="6" s="1"/>
  <c r="AI567" i="6"/>
  <c r="AJ567" i="6" s="1"/>
  <c r="AU567" i="6" s="1"/>
  <c r="AX562" i="6"/>
  <c r="AV562" i="6"/>
  <c r="AU562" i="6"/>
  <c r="AT562" i="6"/>
  <c r="AW562" i="6" s="1"/>
  <c r="AV560" i="6"/>
  <c r="AT560" i="6"/>
  <c r="AW560" i="6" s="1"/>
  <c r="AI560" i="6"/>
  <c r="AJ560" i="6" s="1"/>
  <c r="AV556" i="6"/>
  <c r="AT556" i="6"/>
  <c r="AW556" i="6" s="1"/>
  <c r="AI556" i="6"/>
  <c r="AJ556" i="6" s="1"/>
  <c r="AV554" i="6"/>
  <c r="AT554" i="6"/>
  <c r="AW554" i="6" s="1"/>
  <c r="AI554" i="6"/>
  <c r="AJ554" i="6" s="1"/>
  <c r="AU554" i="6" s="1"/>
  <c r="AV552" i="6"/>
  <c r="AT552" i="6"/>
  <c r="AW552" i="6" s="1"/>
  <c r="AI552" i="6"/>
  <c r="AJ552" i="6" s="1"/>
  <c r="AX552" i="6" s="1"/>
  <c r="AV550" i="6"/>
  <c r="AT550" i="6"/>
  <c r="AW550" i="6" s="1"/>
  <c r="AI550" i="6"/>
  <c r="AJ550" i="6" s="1"/>
  <c r="AX544" i="6"/>
  <c r="AV544" i="6"/>
  <c r="AU544" i="6"/>
  <c r="AT544" i="6"/>
  <c r="AW544" i="6" s="1"/>
  <c r="AV542" i="6"/>
  <c r="AT542" i="6"/>
  <c r="AW542" i="6" s="1"/>
  <c r="AI542" i="6"/>
  <c r="AJ542" i="6" s="1"/>
  <c r="AV541" i="6"/>
  <c r="AT541" i="6"/>
  <c r="AW541" i="6" s="1"/>
  <c r="AI541" i="6"/>
  <c r="AJ541" i="6" s="1"/>
  <c r="AX541" i="6" s="1"/>
  <c r="AV538" i="6"/>
  <c r="AT538" i="6"/>
  <c r="AW538" i="6" s="1"/>
  <c r="AI538" i="6"/>
  <c r="AJ538" i="6" s="1"/>
  <c r="AX537" i="6"/>
  <c r="AV537" i="6"/>
  <c r="AU537" i="6"/>
  <c r="AT537" i="6"/>
  <c r="AW537" i="6" s="1"/>
  <c r="AV536" i="6"/>
  <c r="AT536" i="6"/>
  <c r="AI536" i="6"/>
  <c r="AJ536" i="6" s="1"/>
  <c r="AV534" i="6"/>
  <c r="AT534" i="6"/>
  <c r="AW534" i="6" s="1"/>
  <c r="AI534" i="6"/>
  <c r="AJ534" i="6" s="1"/>
  <c r="AU534" i="6" s="1"/>
  <c r="AV532" i="6"/>
  <c r="AT532" i="6"/>
  <c r="AW532" i="6" s="1"/>
  <c r="AI532" i="6"/>
  <c r="AJ532" i="6" s="1"/>
  <c r="AU532" i="6" s="1"/>
  <c r="AV530" i="6"/>
  <c r="AT530" i="6"/>
  <c r="AW530" i="6" s="1"/>
  <c r="AI530" i="6"/>
  <c r="AX527" i="6"/>
  <c r="AV527" i="6"/>
  <c r="AU527" i="6"/>
  <c r="AT527" i="6"/>
  <c r="AW527" i="6" s="1"/>
  <c r="AX523" i="6"/>
  <c r="AV523" i="6"/>
  <c r="AU523" i="6"/>
  <c r="AT523" i="6"/>
  <c r="AW523" i="6" s="1"/>
  <c r="AX521" i="6"/>
  <c r="AV521" i="6"/>
  <c r="AU521" i="6"/>
  <c r="AT521" i="6"/>
  <c r="AW521" i="6" s="1"/>
  <c r="AX519" i="6"/>
  <c r="AV519" i="6"/>
  <c r="AU519" i="6"/>
  <c r="AT519" i="6"/>
  <c r="AW519" i="6" s="1"/>
  <c r="AV500" i="6"/>
  <c r="AT500" i="6"/>
  <c r="AW500" i="6" s="1"/>
  <c r="AI500" i="6"/>
  <c r="AJ500" i="6" s="1"/>
  <c r="AX497" i="6"/>
  <c r="AV497" i="6"/>
  <c r="AU497" i="6"/>
  <c r="AT497" i="6"/>
  <c r="AW497" i="6" s="1"/>
  <c r="AX496" i="6"/>
  <c r="AV496" i="6"/>
  <c r="AU496" i="6"/>
  <c r="AT496" i="6"/>
  <c r="AW496" i="6" s="1"/>
  <c r="AV495" i="6"/>
  <c r="AT495" i="6"/>
  <c r="AW495" i="6" s="1"/>
  <c r="AI495" i="6"/>
  <c r="AJ495" i="6" s="1"/>
  <c r="AX480" i="6"/>
  <c r="AV480" i="6"/>
  <c r="AU480" i="6"/>
  <c r="AT480" i="6"/>
  <c r="AW480" i="6" s="1"/>
  <c r="AX479" i="6"/>
  <c r="AV479" i="6"/>
  <c r="AU479" i="6"/>
  <c r="AT479" i="6"/>
  <c r="AW479" i="6" s="1"/>
  <c r="AV477" i="6"/>
  <c r="AT477" i="6"/>
  <c r="AW477" i="6" s="1"/>
  <c r="AI477" i="6"/>
  <c r="AJ477" i="6" s="1"/>
  <c r="AV476" i="6"/>
  <c r="AT476" i="6"/>
  <c r="AW476" i="6" s="1"/>
  <c r="AI476" i="6"/>
  <c r="AJ476" i="6" s="1"/>
  <c r="AU476" i="6" s="1"/>
  <c r="AX474" i="6"/>
  <c r="AV474" i="6"/>
  <c r="AU474" i="6"/>
  <c r="AT474" i="6"/>
  <c r="AW474" i="6" s="1"/>
  <c r="AX471" i="6"/>
  <c r="AV471" i="6"/>
  <c r="AU471" i="6"/>
  <c r="AT471" i="6"/>
  <c r="AW471" i="6" s="1"/>
  <c r="AV469" i="6"/>
  <c r="AT469" i="6"/>
  <c r="AW469" i="6" s="1"/>
  <c r="AI469" i="6"/>
  <c r="AJ469" i="6" s="1"/>
  <c r="AX468" i="6"/>
  <c r="AV468" i="6"/>
  <c r="AU468" i="6"/>
  <c r="AT468" i="6"/>
  <c r="AW468" i="6" s="1"/>
  <c r="AI465" i="6"/>
  <c r="AJ465" i="6" s="1"/>
  <c r="AX464" i="6"/>
  <c r="AV464" i="6"/>
  <c r="AU464" i="6"/>
  <c r="AT464" i="6"/>
  <c r="AW464" i="6" s="1"/>
  <c r="AX462" i="6"/>
  <c r="AV462" i="6"/>
  <c r="AU462" i="6"/>
  <c r="AT462" i="6"/>
  <c r="AW462" i="6" s="1"/>
  <c r="AX461" i="6"/>
  <c r="AV461" i="6"/>
  <c r="AU461" i="6"/>
  <c r="AT461" i="6"/>
  <c r="AW461" i="6" s="1"/>
  <c r="AV459" i="6"/>
  <c r="AT459" i="6"/>
  <c r="AW459" i="6" s="1"/>
  <c r="AI459" i="6"/>
  <c r="AJ459" i="6" s="1"/>
  <c r="AU459" i="6" s="1"/>
  <c r="AV457" i="6"/>
  <c r="AT457" i="6"/>
  <c r="AW457" i="6" s="1"/>
  <c r="AU457" i="6"/>
  <c r="AX455" i="6"/>
  <c r="AV455" i="6"/>
  <c r="AU455" i="6"/>
  <c r="AT455" i="6"/>
  <c r="AW455" i="6" s="1"/>
  <c r="AX453" i="6"/>
  <c r="AV453" i="6"/>
  <c r="AU453" i="6"/>
  <c r="AT453" i="6"/>
  <c r="AW453" i="6" s="1"/>
  <c r="AV451" i="6"/>
  <c r="AT451" i="6"/>
  <c r="AW451" i="6" s="1"/>
  <c r="AI451" i="6"/>
  <c r="AJ451" i="6" s="1"/>
  <c r="AX448" i="6"/>
  <c r="AV448" i="6"/>
  <c r="AU448" i="6"/>
  <c r="AT448" i="6"/>
  <c r="AW448" i="6" s="1"/>
  <c r="AI445" i="6"/>
  <c r="AJ445" i="6" s="1"/>
  <c r="AI444" i="6"/>
  <c r="AJ444" i="6" s="1"/>
  <c r="AI443" i="6"/>
  <c r="AV441" i="6"/>
  <c r="AT441" i="6"/>
  <c r="AW441" i="6" s="1"/>
  <c r="AI441" i="6"/>
  <c r="AJ441" i="6" s="1"/>
  <c r="AX437" i="6"/>
  <c r="AV437" i="6"/>
  <c r="AU437" i="6"/>
  <c r="AT437" i="6"/>
  <c r="AW437" i="6" s="1"/>
  <c r="AX430" i="6"/>
  <c r="AV430" i="6"/>
  <c r="AU430" i="6"/>
  <c r="AT430" i="6"/>
  <c r="AW430" i="6" s="1"/>
  <c r="AX429" i="6"/>
  <c r="AV429" i="6"/>
  <c r="AU429" i="6"/>
  <c r="AT429" i="6"/>
  <c r="AW429" i="6" s="1"/>
  <c r="AX428" i="6"/>
  <c r="AV428" i="6"/>
  <c r="AU428" i="6"/>
  <c r="AT428" i="6"/>
  <c r="AW428" i="6" s="1"/>
  <c r="AX427" i="6"/>
  <c r="AV427" i="6"/>
  <c r="AU427" i="6"/>
  <c r="AT427" i="6"/>
  <c r="AW427" i="6" s="1"/>
  <c r="AX426" i="6"/>
  <c r="AV426" i="6"/>
  <c r="AU426" i="6"/>
  <c r="AT426" i="6"/>
  <c r="AW426" i="6" s="1"/>
  <c r="AX424" i="6"/>
  <c r="AV424" i="6"/>
  <c r="AU424" i="6"/>
  <c r="AT424" i="6"/>
  <c r="AW424" i="6" s="1"/>
  <c r="AX423" i="6"/>
  <c r="AV423" i="6"/>
  <c r="AU423" i="6"/>
  <c r="AT423" i="6"/>
  <c r="AW423" i="6" s="1"/>
  <c r="AX422" i="6"/>
  <c r="AV422" i="6"/>
  <c r="AU422" i="6"/>
  <c r="AT422" i="6"/>
  <c r="AW422" i="6" s="1"/>
  <c r="AX420" i="6"/>
  <c r="AV420" i="6"/>
  <c r="AU420" i="6"/>
  <c r="AT420" i="6"/>
  <c r="AW420" i="6" s="1"/>
  <c r="AX415" i="6"/>
  <c r="AV415" i="6"/>
  <c r="AU415" i="6"/>
  <c r="AT415" i="6"/>
  <c r="AW415" i="6" s="1"/>
  <c r="AX413" i="6"/>
  <c r="AV413" i="6"/>
  <c r="AU413" i="6"/>
  <c r="AT413" i="6"/>
  <c r="AW413" i="6" s="1"/>
  <c r="AX410" i="6"/>
  <c r="AV410" i="6"/>
  <c r="AU410" i="6"/>
  <c r="AT410" i="6"/>
  <c r="AW410" i="6" s="1"/>
  <c r="AX405" i="6"/>
  <c r="AV405" i="6"/>
  <c r="AU405" i="6"/>
  <c r="AT405" i="6"/>
  <c r="AW405" i="6" s="1"/>
  <c r="AX404" i="6"/>
  <c r="AV404" i="6"/>
  <c r="AU404" i="6"/>
  <c r="AT404" i="6"/>
  <c r="AW404" i="6" s="1"/>
  <c r="AV400" i="6"/>
  <c r="AT400" i="6"/>
  <c r="AW400" i="6" s="1"/>
  <c r="AI400" i="6"/>
  <c r="AJ400" i="6" s="1"/>
  <c r="AX399" i="6"/>
  <c r="AV399" i="6"/>
  <c r="AU399" i="6"/>
  <c r="AT399" i="6"/>
  <c r="AW399" i="6" s="1"/>
  <c r="AX395" i="6"/>
  <c r="AV395" i="6"/>
  <c r="AU395" i="6"/>
  <c r="AT395" i="6"/>
  <c r="AW395" i="6" s="1"/>
  <c r="AX386" i="6"/>
  <c r="AV386" i="6"/>
  <c r="AU386" i="6"/>
  <c r="AT386" i="6"/>
  <c r="AW386" i="6" s="1"/>
  <c r="AX384" i="6"/>
  <c r="AV384" i="6"/>
  <c r="AU384" i="6"/>
  <c r="AT384" i="6"/>
  <c r="AW384" i="6" s="1"/>
  <c r="AX379" i="6"/>
  <c r="AV379" i="6"/>
  <c r="AU379" i="6"/>
  <c r="AT379" i="6"/>
  <c r="AW379" i="6" s="1"/>
  <c r="AX377" i="6"/>
  <c r="AV377" i="6"/>
  <c r="AU377" i="6"/>
  <c r="AT377" i="6"/>
  <c r="AW377" i="6" s="1"/>
  <c r="AX375" i="6"/>
  <c r="AV375" i="6"/>
  <c r="AU375" i="6"/>
  <c r="AT375" i="6"/>
  <c r="AW375" i="6" s="1"/>
  <c r="AX373" i="6"/>
  <c r="AV373" i="6"/>
  <c r="AU373" i="6"/>
  <c r="AT373" i="6"/>
  <c r="AW373" i="6" s="1"/>
  <c r="AX370" i="6"/>
  <c r="AV370" i="6"/>
  <c r="AU370" i="6"/>
  <c r="AT370" i="6"/>
  <c r="AW370" i="6" s="1"/>
  <c r="AX368" i="6"/>
  <c r="AV368" i="6"/>
  <c r="AU368" i="6"/>
  <c r="AT368" i="6"/>
  <c r="AW368" i="6" s="1"/>
  <c r="AX366" i="6"/>
  <c r="AV366" i="6"/>
  <c r="AU366" i="6"/>
  <c r="AT366" i="6"/>
  <c r="AW366" i="6" s="1"/>
  <c r="AX364" i="6"/>
  <c r="AV364" i="6"/>
  <c r="AU364" i="6"/>
  <c r="AT364" i="6"/>
  <c r="AW364" i="6" s="1"/>
  <c r="AX360" i="6"/>
  <c r="AV360" i="6"/>
  <c r="AU360" i="6"/>
  <c r="AT360" i="6"/>
  <c r="AW360" i="6" s="1"/>
  <c r="AX358" i="6"/>
  <c r="AV358" i="6"/>
  <c r="AU358" i="6"/>
  <c r="AT358" i="6"/>
  <c r="AW358" i="6" s="1"/>
  <c r="AX354" i="6"/>
  <c r="AV354" i="6"/>
  <c r="AU354" i="6"/>
  <c r="AT354" i="6"/>
  <c r="AW354" i="6" s="1"/>
  <c r="AX352" i="6"/>
  <c r="AV352" i="6"/>
  <c r="AU352" i="6"/>
  <c r="AT352" i="6"/>
  <c r="AW352" i="6" s="1"/>
  <c r="AX350" i="6"/>
  <c r="AV350" i="6"/>
  <c r="AU350" i="6"/>
  <c r="AT350" i="6"/>
  <c r="AW350" i="6" s="1"/>
  <c r="AX348" i="6"/>
  <c r="AV348" i="6"/>
  <c r="AU348" i="6"/>
  <c r="AT348" i="6"/>
  <c r="AW348" i="6" s="1"/>
  <c r="AX339" i="6"/>
  <c r="AV339" i="6"/>
  <c r="AU339" i="6"/>
  <c r="AT339" i="6"/>
  <c r="AW339" i="6" s="1"/>
  <c r="AX335" i="6"/>
  <c r="AV335" i="6"/>
  <c r="AU335" i="6"/>
  <c r="AT335" i="6"/>
  <c r="AW335" i="6" s="1"/>
  <c r="AX333" i="6"/>
  <c r="AV333" i="6"/>
  <c r="AU333" i="6"/>
  <c r="AT333" i="6"/>
  <c r="AW333" i="6" s="1"/>
  <c r="AX331" i="6"/>
  <c r="AV331" i="6"/>
  <c r="AU331" i="6"/>
  <c r="AT331" i="6"/>
  <c r="AW331" i="6" s="1"/>
  <c r="AX329" i="6"/>
  <c r="AV329" i="6"/>
  <c r="AU329" i="6"/>
  <c r="AT329" i="6"/>
  <c r="AW329" i="6" s="1"/>
  <c r="AX326" i="6"/>
  <c r="AV326" i="6"/>
  <c r="AU326" i="6"/>
  <c r="AT326" i="6"/>
  <c r="AW326" i="6" s="1"/>
  <c r="AX324" i="6"/>
  <c r="AV324" i="6"/>
  <c r="AU324" i="6"/>
  <c r="AT324" i="6"/>
  <c r="AW324" i="6" s="1"/>
  <c r="AX322" i="6"/>
  <c r="AV322" i="6"/>
  <c r="AU322" i="6"/>
  <c r="AT322" i="6"/>
  <c r="AW322" i="6" s="1"/>
  <c r="AX320" i="6"/>
  <c r="AV320" i="6"/>
  <c r="AU320" i="6"/>
  <c r="AT320" i="6"/>
  <c r="AW320" i="6" s="1"/>
  <c r="AX317" i="6"/>
  <c r="AV317" i="6"/>
  <c r="AU317" i="6"/>
  <c r="AT317" i="6"/>
  <c r="AW317" i="6" s="1"/>
  <c r="AX315" i="6"/>
  <c r="AV315" i="6"/>
  <c r="AU315" i="6"/>
  <c r="AT315" i="6"/>
  <c r="AW315" i="6" s="1"/>
  <c r="AX312" i="6"/>
  <c r="AV312" i="6"/>
  <c r="AU312" i="6"/>
  <c r="AT312" i="6"/>
  <c r="AW312" i="6" s="1"/>
  <c r="AX310" i="6"/>
  <c r="AV310" i="6"/>
  <c r="AU310" i="6"/>
  <c r="AT310" i="6"/>
  <c r="AW310" i="6" s="1"/>
  <c r="AV308" i="6"/>
  <c r="AT308" i="6"/>
  <c r="AW308" i="6" s="1"/>
  <c r="AI308" i="6"/>
  <c r="AJ308" i="6" s="1"/>
  <c r="AX306" i="6"/>
  <c r="AV306" i="6"/>
  <c r="AU306" i="6"/>
  <c r="AT306" i="6"/>
  <c r="AW306" i="6" s="1"/>
  <c r="AX304" i="6"/>
  <c r="AV304" i="6"/>
  <c r="AU304" i="6"/>
  <c r="AT304" i="6"/>
  <c r="AW304" i="6" s="1"/>
  <c r="AI301" i="6"/>
  <c r="AJ301" i="6" s="1"/>
  <c r="AV300" i="6"/>
  <c r="AT300" i="6"/>
  <c r="AW300" i="6" s="1"/>
  <c r="AI300" i="6"/>
  <c r="AJ300" i="6" s="1"/>
  <c r="AX291" i="6"/>
  <c r="AV291" i="6"/>
  <c r="AU291" i="6"/>
  <c r="AT291" i="6"/>
  <c r="AW291" i="6" s="1"/>
  <c r="AX289" i="6"/>
  <c r="AV289" i="6"/>
  <c r="AU289" i="6"/>
  <c r="AT289" i="6"/>
  <c r="AW289" i="6" s="1"/>
  <c r="AX287" i="6"/>
  <c r="AV287" i="6"/>
  <c r="AU287" i="6"/>
  <c r="AT287" i="6"/>
  <c r="AW287" i="6" s="1"/>
  <c r="AX285" i="6"/>
  <c r="AV285" i="6"/>
  <c r="AU285" i="6"/>
  <c r="AT285" i="6"/>
  <c r="AW285" i="6" s="1"/>
  <c r="AX281" i="6"/>
  <c r="AV281" i="6"/>
  <c r="AU281" i="6"/>
  <c r="AT281" i="6"/>
  <c r="AW281" i="6" s="1"/>
  <c r="AT280" i="6"/>
  <c r="AX279" i="6"/>
  <c r="AV279" i="6"/>
  <c r="AU279" i="6"/>
  <c r="AT279" i="6"/>
  <c r="AW279" i="6" s="1"/>
  <c r="AT278" i="6"/>
  <c r="AX277" i="6"/>
  <c r="AV277" i="6"/>
  <c r="AU277" i="6"/>
  <c r="AT277" i="6"/>
  <c r="AW277" i="6" s="1"/>
  <c r="AT276" i="6"/>
  <c r="AX275" i="6"/>
  <c r="AV275" i="6"/>
  <c r="AU275" i="6"/>
  <c r="AT275" i="6"/>
  <c r="AW275" i="6" s="1"/>
  <c r="AT274" i="6"/>
  <c r="AX273" i="6"/>
  <c r="AV273" i="6"/>
  <c r="AU273" i="6"/>
  <c r="AT273" i="6"/>
  <c r="AW273" i="6" s="1"/>
  <c r="AT272" i="6"/>
  <c r="AX271" i="6"/>
  <c r="AV271" i="6"/>
  <c r="AU271" i="6"/>
  <c r="AT271" i="6"/>
  <c r="AW271" i="6" s="1"/>
  <c r="AX269" i="6"/>
  <c r="AV269" i="6"/>
  <c r="AU269" i="6"/>
  <c r="AT269" i="6"/>
  <c r="AW269" i="6" s="1"/>
  <c r="AX267" i="6"/>
  <c r="AV267" i="6"/>
  <c r="AU267" i="6"/>
  <c r="AT267" i="6"/>
  <c r="AW267" i="6" s="1"/>
  <c r="AX265" i="6"/>
  <c r="AV265" i="6"/>
  <c r="AU265" i="6"/>
  <c r="AT265" i="6"/>
  <c r="AW265" i="6" s="1"/>
  <c r="AX262" i="6"/>
  <c r="AV262" i="6"/>
  <c r="AU262" i="6"/>
  <c r="AT262" i="6"/>
  <c r="AW262" i="6" s="1"/>
  <c r="AX260" i="6"/>
  <c r="AV260" i="6"/>
  <c r="AU260" i="6"/>
  <c r="AT260" i="6"/>
  <c r="AW260" i="6" s="1"/>
  <c r="AX257" i="6"/>
  <c r="AV257" i="6"/>
  <c r="AU257" i="6"/>
  <c r="AT257" i="6"/>
  <c r="AW257" i="6" s="1"/>
  <c r="AV255" i="6"/>
  <c r="AT255" i="6"/>
  <c r="AW255" i="6" s="1"/>
  <c r="AI255" i="6"/>
  <c r="AJ255" i="6" s="1"/>
  <c r="AU255" i="6" s="1"/>
  <c r="AV252" i="6"/>
  <c r="AT252" i="6"/>
  <c r="AW252" i="6" s="1"/>
  <c r="AJ252" i="6"/>
  <c r="AX252" i="6" s="1"/>
  <c r="AV251" i="6"/>
  <c r="AT251" i="6"/>
  <c r="AI251" i="6"/>
  <c r="AJ251" i="6" s="1"/>
  <c r="AX251" i="6" s="1"/>
  <c r="AX234" i="6"/>
  <c r="AV234" i="6"/>
  <c r="AU234" i="6"/>
  <c r="AT234" i="6"/>
  <c r="AW234" i="6" s="1"/>
  <c r="AX231" i="6"/>
  <c r="AV231" i="6"/>
  <c r="AU231" i="6"/>
  <c r="AT231" i="6"/>
  <c r="AW231" i="6" s="1"/>
  <c r="AX229" i="6"/>
  <c r="AV229" i="6"/>
  <c r="AU229" i="6"/>
  <c r="AT229" i="6"/>
  <c r="AW229" i="6" s="1"/>
  <c r="AX227" i="6"/>
  <c r="AV227" i="6"/>
  <c r="AU227" i="6"/>
  <c r="AT227" i="6"/>
  <c r="AW227" i="6" s="1"/>
  <c r="AV225" i="6"/>
  <c r="AT225" i="6"/>
  <c r="AW225" i="6" s="1"/>
  <c r="AI225" i="6"/>
  <c r="AJ225" i="6" s="1"/>
  <c r="AX223" i="6"/>
  <c r="AV223" i="6"/>
  <c r="AU223" i="6"/>
  <c r="AT223" i="6"/>
  <c r="AW223" i="6" s="1"/>
  <c r="AX221" i="6"/>
  <c r="AV221" i="6"/>
  <c r="AU221" i="6"/>
  <c r="AT221" i="6"/>
  <c r="AW221" i="6" s="1"/>
  <c r="AX216" i="6"/>
  <c r="AV216" i="6"/>
  <c r="AU216" i="6"/>
  <c r="AT216" i="6"/>
  <c r="AW216" i="6" s="1"/>
  <c r="AV214" i="6"/>
  <c r="AT214" i="6"/>
  <c r="AO240" i="6"/>
  <c r="AI214" i="6"/>
  <c r="AX211" i="6"/>
  <c r="AV211" i="6"/>
  <c r="AU211" i="6"/>
  <c r="AT211" i="6"/>
  <c r="AW211" i="6" s="1"/>
  <c r="AX206" i="6"/>
  <c r="AV206" i="6"/>
  <c r="AU206" i="6"/>
  <c r="AT206" i="6"/>
  <c r="AW206" i="6" s="1"/>
  <c r="AX203" i="6"/>
  <c r="AV203" i="6"/>
  <c r="AU203" i="6"/>
  <c r="AT203" i="6"/>
  <c r="AW203" i="6" s="1"/>
  <c r="AX199" i="6"/>
  <c r="AV199" i="6"/>
  <c r="AU199" i="6"/>
  <c r="AT199" i="6"/>
  <c r="AW199" i="6" s="1"/>
  <c r="AX188" i="6"/>
  <c r="AV188" i="6"/>
  <c r="AU188" i="6"/>
  <c r="AT188" i="6"/>
  <c r="AW188" i="6" s="1"/>
  <c r="AS187" i="6"/>
  <c r="AS179" i="6" s="1"/>
  <c r="AR187" i="6"/>
  <c r="AR179" i="6" s="1"/>
  <c r="AQ187" i="6"/>
  <c r="AP187" i="6"/>
  <c r="AP179" i="6" s="1"/>
  <c r="AO187" i="6"/>
  <c r="AO179" i="6" s="1"/>
  <c r="AN187" i="6"/>
  <c r="AN179" i="6" s="1"/>
  <c r="AM187" i="6"/>
  <c r="AL187" i="6"/>
  <c r="AL179" i="6" s="1"/>
  <c r="AK187" i="6"/>
  <c r="AK179" i="6" s="1"/>
  <c r="AJ187" i="6"/>
  <c r="AI187" i="6"/>
  <c r="AI179" i="6" s="1"/>
  <c r="AH187" i="6"/>
  <c r="AH179" i="6" s="1"/>
  <c r="AG187" i="6"/>
  <c r="AG179" i="6" s="1"/>
  <c r="AF187" i="6"/>
  <c r="AF179" i="6" s="1"/>
  <c r="AE187" i="6"/>
  <c r="AE179" i="6" s="1"/>
  <c r="AD187" i="6"/>
  <c r="AD179" i="6" s="1"/>
  <c r="AX184" i="6"/>
  <c r="AV184" i="6"/>
  <c r="AU184" i="6"/>
  <c r="AT184" i="6"/>
  <c r="AW184" i="6" s="1"/>
  <c r="AX183" i="6"/>
  <c r="AV183" i="6"/>
  <c r="AU183" i="6"/>
  <c r="AT183" i="6"/>
  <c r="AW183" i="6" s="1"/>
  <c r="AX182" i="6"/>
  <c r="AV182" i="6"/>
  <c r="AU182" i="6"/>
  <c r="AT182" i="6"/>
  <c r="AW182" i="6" s="1"/>
  <c r="AX181" i="6"/>
  <c r="AV181" i="6"/>
  <c r="AU181" i="6"/>
  <c r="AT181" i="6"/>
  <c r="AW181" i="6" s="1"/>
  <c r="AX176" i="6"/>
  <c r="AV176" i="6"/>
  <c r="AU176" i="6"/>
  <c r="AT176" i="6"/>
  <c r="AW176" i="6" s="1"/>
  <c r="AX175" i="6"/>
  <c r="AV175" i="6"/>
  <c r="AV174" i="6" s="1"/>
  <c r="AV173" i="6" s="1"/>
  <c r="AV172" i="6" s="1"/>
  <c r="AU175" i="6"/>
  <c r="AT175" i="6"/>
  <c r="AW175" i="6" s="1"/>
  <c r="AW174" i="6" s="1"/>
  <c r="AW173" i="6" s="1"/>
  <c r="AW172" i="6" s="1"/>
  <c r="AS174" i="6"/>
  <c r="AS173" i="6" s="1"/>
  <c r="AS172" i="6" s="1"/>
  <c r="AR174" i="6"/>
  <c r="AR173" i="6" s="1"/>
  <c r="AR172" i="6" s="1"/>
  <c r="AQ174" i="6"/>
  <c r="AQ173" i="6" s="1"/>
  <c r="AQ172" i="6" s="1"/>
  <c r="AP174" i="6"/>
  <c r="AP173" i="6" s="1"/>
  <c r="AP172" i="6" s="1"/>
  <c r="AO174" i="6"/>
  <c r="AO173" i="6" s="1"/>
  <c r="AO172" i="6" s="1"/>
  <c r="AN174" i="6"/>
  <c r="AN173" i="6" s="1"/>
  <c r="AN172" i="6" s="1"/>
  <c r="AM174" i="6"/>
  <c r="AL174" i="6"/>
  <c r="AL173" i="6" s="1"/>
  <c r="AL172" i="6" s="1"/>
  <c r="AK174" i="6"/>
  <c r="AK173" i="6" s="1"/>
  <c r="AK172" i="6" s="1"/>
  <c r="AJ174" i="6"/>
  <c r="AJ173" i="6" s="1"/>
  <c r="AJ172" i="6" s="1"/>
  <c r="AD174" i="6"/>
  <c r="AD173" i="6" s="1"/>
  <c r="AD172" i="6" s="1"/>
  <c r="AX171" i="6"/>
  <c r="AV171" i="6"/>
  <c r="AU171" i="6"/>
  <c r="AT171" i="6"/>
  <c r="AW171" i="6" s="1"/>
  <c r="AS170" i="6"/>
  <c r="AS169" i="6" s="1"/>
  <c r="AS168" i="6" s="1"/>
  <c r="AS167" i="6" s="1"/>
  <c r="AR170" i="6"/>
  <c r="AR169" i="6" s="1"/>
  <c r="AR168" i="6" s="1"/>
  <c r="AR167" i="6" s="1"/>
  <c r="AQ170" i="6"/>
  <c r="AP170" i="6"/>
  <c r="AP169" i="6" s="1"/>
  <c r="AO170" i="6"/>
  <c r="AO169" i="6" s="1"/>
  <c r="AO168" i="6" s="1"/>
  <c r="AO167" i="6" s="1"/>
  <c r="AN170" i="6"/>
  <c r="AN169" i="6" s="1"/>
  <c r="AN168" i="6" s="1"/>
  <c r="AN167" i="6" s="1"/>
  <c r="AM170" i="6"/>
  <c r="AL170" i="6"/>
  <c r="AL169" i="6" s="1"/>
  <c r="AL168" i="6" s="1"/>
  <c r="AL167" i="6" s="1"/>
  <c r="AK170" i="6"/>
  <c r="AK169" i="6" s="1"/>
  <c r="AK168" i="6" s="1"/>
  <c r="AK167" i="6" s="1"/>
  <c r="AJ170" i="6"/>
  <c r="AI170" i="6"/>
  <c r="AI169" i="6" s="1"/>
  <c r="AI168" i="6" s="1"/>
  <c r="AI167" i="6" s="1"/>
  <c r="AH170" i="6"/>
  <c r="AH169" i="6" s="1"/>
  <c r="AH168" i="6" s="1"/>
  <c r="AH167" i="6" s="1"/>
  <c r="AG170" i="6"/>
  <c r="AG169" i="6" s="1"/>
  <c r="AG168" i="6" s="1"/>
  <c r="AG167" i="6" s="1"/>
  <c r="AF170" i="6"/>
  <c r="AF169" i="6" s="1"/>
  <c r="AF168" i="6" s="1"/>
  <c r="AF167" i="6" s="1"/>
  <c r="AE170" i="6"/>
  <c r="AE169" i="6" s="1"/>
  <c r="AE168" i="6" s="1"/>
  <c r="AE167" i="6" s="1"/>
  <c r="AD170" i="6"/>
  <c r="AD169" i="6" s="1"/>
  <c r="AD168" i="6" s="1"/>
  <c r="AD167" i="6" s="1"/>
  <c r="AX166" i="6"/>
  <c r="AV166" i="6"/>
  <c r="AU166" i="6"/>
  <c r="AT166" i="6"/>
  <c r="AW166" i="6" s="1"/>
  <c r="AS165" i="6"/>
  <c r="AS164" i="6" s="1"/>
  <c r="AS163" i="6" s="1"/>
  <c r="AS162" i="6" s="1"/>
  <c r="AR165" i="6"/>
  <c r="AR164" i="6" s="1"/>
  <c r="AR163" i="6" s="1"/>
  <c r="AR162" i="6" s="1"/>
  <c r="AQ165" i="6"/>
  <c r="AP165" i="6"/>
  <c r="AP164" i="6" s="1"/>
  <c r="AO165" i="6"/>
  <c r="AO164" i="6" s="1"/>
  <c r="AO163" i="6" s="1"/>
  <c r="AO162" i="6" s="1"/>
  <c r="AN165" i="6"/>
  <c r="AN164" i="6" s="1"/>
  <c r="AN163" i="6" s="1"/>
  <c r="AN162" i="6" s="1"/>
  <c r="AM165" i="6"/>
  <c r="AL165" i="6"/>
  <c r="AL164" i="6" s="1"/>
  <c r="AL163" i="6" s="1"/>
  <c r="AL162" i="6" s="1"/>
  <c r="AK165" i="6"/>
  <c r="AK164" i="6" s="1"/>
  <c r="AK163" i="6" s="1"/>
  <c r="AK162" i="6" s="1"/>
  <c r="AJ165" i="6"/>
  <c r="AI165" i="6"/>
  <c r="AI164" i="6" s="1"/>
  <c r="AI163" i="6" s="1"/>
  <c r="AI162" i="6" s="1"/>
  <c r="AH165" i="6"/>
  <c r="AH164" i="6" s="1"/>
  <c r="AH163" i="6" s="1"/>
  <c r="AH162" i="6" s="1"/>
  <c r="AG165" i="6"/>
  <c r="AG164" i="6" s="1"/>
  <c r="AG163" i="6" s="1"/>
  <c r="AG162" i="6" s="1"/>
  <c r="AF165" i="6"/>
  <c r="AF164" i="6" s="1"/>
  <c r="AF163" i="6" s="1"/>
  <c r="AF162" i="6" s="1"/>
  <c r="AE165" i="6"/>
  <c r="AE164" i="6" s="1"/>
  <c r="AE163" i="6" s="1"/>
  <c r="AE162" i="6" s="1"/>
  <c r="AD165" i="6"/>
  <c r="AD164" i="6" s="1"/>
  <c r="AD163" i="6" s="1"/>
  <c r="AD162" i="6" s="1"/>
  <c r="AX159" i="6"/>
  <c r="AV159" i="6"/>
  <c r="AU159" i="6"/>
  <c r="AT159" i="6"/>
  <c r="AW159" i="6" s="1"/>
  <c r="AX158" i="6"/>
  <c r="AV158" i="6"/>
  <c r="AU158" i="6"/>
  <c r="AT158" i="6"/>
  <c r="AW158" i="6" s="1"/>
  <c r="AS157" i="6"/>
  <c r="AS156" i="6" s="1"/>
  <c r="AR157" i="6"/>
  <c r="AR156" i="6" s="1"/>
  <c r="AQ157" i="6"/>
  <c r="AP157" i="6"/>
  <c r="AP156" i="6" s="1"/>
  <c r="AO157" i="6"/>
  <c r="AO156" i="6" s="1"/>
  <c r="AN157" i="6"/>
  <c r="AN156" i="6" s="1"/>
  <c r="AM157" i="6"/>
  <c r="AM156" i="6" s="1"/>
  <c r="AL157" i="6"/>
  <c r="AL156" i="6" s="1"/>
  <c r="AK157" i="6"/>
  <c r="AK156" i="6" s="1"/>
  <c r="AJ157" i="6"/>
  <c r="AI157" i="6"/>
  <c r="AI156" i="6" s="1"/>
  <c r="AH157" i="6"/>
  <c r="AH156" i="6" s="1"/>
  <c r="AG157" i="6"/>
  <c r="AG156" i="6" s="1"/>
  <c r="AF157" i="6"/>
  <c r="AF156" i="6" s="1"/>
  <c r="AE157" i="6"/>
  <c r="AE156" i="6" s="1"/>
  <c r="AD157" i="6"/>
  <c r="AD156" i="6" s="1"/>
  <c r="AV155" i="6"/>
  <c r="AT155" i="6"/>
  <c r="AW155" i="6" s="1"/>
  <c r="AI155" i="6"/>
  <c r="AJ155" i="6" s="1"/>
  <c r="AX154" i="6"/>
  <c r="AV154" i="6"/>
  <c r="AU154" i="6"/>
  <c r="AT154" i="6"/>
  <c r="AW154" i="6" s="1"/>
  <c r="AX153" i="6"/>
  <c r="AV153" i="6"/>
  <c r="AU153" i="6"/>
  <c r="AT153" i="6"/>
  <c r="AW153" i="6" s="1"/>
  <c r="AS152" i="6"/>
  <c r="AS151" i="6" s="1"/>
  <c r="AR152" i="6"/>
  <c r="AR151" i="6" s="1"/>
  <c r="AQ152" i="6"/>
  <c r="AQ151" i="6" s="1"/>
  <c r="AP152" i="6"/>
  <c r="AP151" i="6" s="1"/>
  <c r="AO152" i="6"/>
  <c r="AO151" i="6" s="1"/>
  <c r="AN152" i="6"/>
  <c r="AN151" i="6" s="1"/>
  <c r="AM152" i="6"/>
  <c r="AL152" i="6"/>
  <c r="AL151" i="6" s="1"/>
  <c r="AK152" i="6"/>
  <c r="AK151" i="6" s="1"/>
  <c r="AJ152" i="6"/>
  <c r="AI152" i="6"/>
  <c r="AH152" i="6"/>
  <c r="AH151" i="6" s="1"/>
  <c r="AG152" i="6"/>
  <c r="AG151" i="6" s="1"/>
  <c r="AF152" i="6"/>
  <c r="AF151" i="6" s="1"/>
  <c r="AE152" i="6"/>
  <c r="AE151" i="6" s="1"/>
  <c r="AD152" i="6"/>
  <c r="AD151" i="6" s="1"/>
  <c r="AV150" i="6"/>
  <c r="AT150" i="6"/>
  <c r="AW150" i="6" s="1"/>
  <c r="AI150" i="6"/>
  <c r="AJ150" i="6" s="1"/>
  <c r="AU150" i="6" s="1"/>
  <c r="AX149" i="6"/>
  <c r="AV149" i="6"/>
  <c r="AU149" i="6"/>
  <c r="AT149" i="6"/>
  <c r="AW149" i="6" s="1"/>
  <c r="AX148" i="6"/>
  <c r="AV148" i="6"/>
  <c r="AV147" i="6" s="1"/>
  <c r="AU148" i="6"/>
  <c r="AT148" i="6"/>
  <c r="AT147" i="6" s="1"/>
  <c r="AS147" i="6"/>
  <c r="AR147" i="6"/>
  <c r="AQ147" i="6"/>
  <c r="AP147" i="6"/>
  <c r="AO147" i="6"/>
  <c r="AN147" i="6"/>
  <c r="AM147" i="6"/>
  <c r="AL147" i="6"/>
  <c r="AK147" i="6"/>
  <c r="AJ147" i="6"/>
  <c r="AI147" i="6"/>
  <c r="AH147" i="6"/>
  <c r="AG147" i="6"/>
  <c r="AF147" i="6"/>
  <c r="AE147" i="6"/>
  <c r="AD147" i="6"/>
  <c r="AX140" i="6"/>
  <c r="AV140" i="6"/>
  <c r="AU140" i="6"/>
  <c r="AT140" i="6"/>
  <c r="AW140" i="6" s="1"/>
  <c r="AX139" i="6"/>
  <c r="AV139" i="6"/>
  <c r="AU139" i="6"/>
  <c r="AT139" i="6"/>
  <c r="AW139" i="6" s="1"/>
  <c r="AS138" i="6"/>
  <c r="AS137" i="6" s="1"/>
  <c r="AR138" i="6"/>
  <c r="AR137" i="6" s="1"/>
  <c r="AQ138" i="6"/>
  <c r="AP138" i="6"/>
  <c r="AO138" i="6"/>
  <c r="AO137" i="6" s="1"/>
  <c r="AN138" i="6"/>
  <c r="AN137" i="6" s="1"/>
  <c r="AM138" i="6"/>
  <c r="AM137" i="6" s="1"/>
  <c r="AL138" i="6"/>
  <c r="AL137" i="6" s="1"/>
  <c r="AK138" i="6"/>
  <c r="AK137" i="6" s="1"/>
  <c r="AJ138" i="6"/>
  <c r="AI138" i="6"/>
  <c r="AI137" i="6" s="1"/>
  <c r="AH138" i="6"/>
  <c r="AH137" i="6" s="1"/>
  <c r="AG138" i="6"/>
  <c r="AG137" i="6" s="1"/>
  <c r="AF138" i="6"/>
  <c r="AF137" i="6" s="1"/>
  <c r="AE138" i="6"/>
  <c r="AE137" i="6" s="1"/>
  <c r="AD138" i="6"/>
  <c r="AD137" i="6" s="1"/>
  <c r="AX136" i="6"/>
  <c r="AV136" i="6"/>
  <c r="AU136" i="6"/>
  <c r="AT136" i="6"/>
  <c r="AW136" i="6" s="1"/>
  <c r="AX135" i="6"/>
  <c r="AV135" i="6"/>
  <c r="AU135" i="6"/>
  <c r="AT135" i="6"/>
  <c r="AW135" i="6" s="1"/>
  <c r="AV134" i="6"/>
  <c r="AU134" i="6"/>
  <c r="AT134" i="6"/>
  <c r="AW134" i="6" s="1"/>
  <c r="AX133" i="6"/>
  <c r="AV133" i="6"/>
  <c r="AU133" i="6"/>
  <c r="AT133" i="6"/>
  <c r="AW133" i="6" s="1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F132" i="6"/>
  <c r="AE132" i="6"/>
  <c r="AD132" i="6"/>
  <c r="AX131" i="6"/>
  <c r="AV131" i="6"/>
  <c r="AU131" i="6"/>
  <c r="AT131" i="6"/>
  <c r="AW131" i="6" s="1"/>
  <c r="AX130" i="6"/>
  <c r="AV130" i="6"/>
  <c r="AU130" i="6"/>
  <c r="AT130" i="6"/>
  <c r="AW130" i="6" s="1"/>
  <c r="AS129" i="6"/>
  <c r="AQ129" i="6"/>
  <c r="AP129" i="6"/>
  <c r="AO129" i="6"/>
  <c r="AN129" i="6"/>
  <c r="AM129" i="6"/>
  <c r="AL129" i="6"/>
  <c r="AK129" i="6"/>
  <c r="AJ129" i="6"/>
  <c r="AI129" i="6"/>
  <c r="AH129" i="6"/>
  <c r="AG129" i="6"/>
  <c r="AF129" i="6"/>
  <c r="AE129" i="6"/>
  <c r="AD129" i="6"/>
  <c r="AX127" i="6"/>
  <c r="AV127" i="6"/>
  <c r="AU127" i="6"/>
  <c r="AT127" i="6"/>
  <c r="AW127" i="6" s="1"/>
  <c r="AX126" i="6"/>
  <c r="AV126" i="6"/>
  <c r="AU126" i="6"/>
  <c r="AT126" i="6"/>
  <c r="AW126" i="6" s="1"/>
  <c r="AV125" i="6"/>
  <c r="AT125" i="6"/>
  <c r="AI125" i="6"/>
  <c r="AS123" i="6"/>
  <c r="AK123" i="6"/>
  <c r="AG123" i="6"/>
  <c r="AP123" i="6"/>
  <c r="AO123" i="6"/>
  <c r="AN123" i="6"/>
  <c r="AM123" i="6"/>
  <c r="AL123" i="6"/>
  <c r="AH123" i="6"/>
  <c r="AF123" i="6"/>
  <c r="AD123" i="6"/>
  <c r="AX120" i="6"/>
  <c r="AV120" i="6"/>
  <c r="AU120" i="6"/>
  <c r="AT120" i="6"/>
  <c r="AW120" i="6" s="1"/>
  <c r="AX119" i="6"/>
  <c r="AV119" i="6"/>
  <c r="AU119" i="6"/>
  <c r="AT119" i="6"/>
  <c r="AW119" i="6" s="1"/>
  <c r="AS118" i="6"/>
  <c r="AS117" i="6" s="1"/>
  <c r="AS116" i="6" s="1"/>
  <c r="AS115" i="6" s="1"/>
  <c r="AR118" i="6"/>
  <c r="AR117" i="6" s="1"/>
  <c r="AR116" i="6" s="1"/>
  <c r="AR115" i="6" s="1"/>
  <c r="AQ118" i="6"/>
  <c r="AP118" i="6"/>
  <c r="AP117" i="6" s="1"/>
  <c r="AO118" i="6"/>
  <c r="AO117" i="6" s="1"/>
  <c r="AO116" i="6" s="1"/>
  <c r="AO115" i="6" s="1"/>
  <c r="AN118" i="6"/>
  <c r="AN117" i="6" s="1"/>
  <c r="AN116" i="6" s="1"/>
  <c r="AN115" i="6" s="1"/>
  <c r="AM118" i="6"/>
  <c r="AM117" i="6" s="1"/>
  <c r="AM116" i="6" s="1"/>
  <c r="AL118" i="6"/>
  <c r="AL117" i="6" s="1"/>
  <c r="AL116" i="6" s="1"/>
  <c r="AL115" i="6" s="1"/>
  <c r="AK118" i="6"/>
  <c r="AK117" i="6" s="1"/>
  <c r="AK116" i="6" s="1"/>
  <c r="AK115" i="6" s="1"/>
  <c r="AJ118" i="6"/>
  <c r="AI118" i="6"/>
  <c r="AI117" i="6" s="1"/>
  <c r="AI116" i="6" s="1"/>
  <c r="AI115" i="6" s="1"/>
  <c r="AH118" i="6"/>
  <c r="AH117" i="6" s="1"/>
  <c r="AH116" i="6" s="1"/>
  <c r="AH115" i="6" s="1"/>
  <c r="AG118" i="6"/>
  <c r="AG117" i="6" s="1"/>
  <c r="AG116" i="6" s="1"/>
  <c r="AG115" i="6" s="1"/>
  <c r="AF118" i="6"/>
  <c r="AF117" i="6" s="1"/>
  <c r="AF116" i="6" s="1"/>
  <c r="AF115" i="6" s="1"/>
  <c r="AE118" i="6"/>
  <c r="AE117" i="6" s="1"/>
  <c r="AE116" i="6" s="1"/>
  <c r="AE115" i="6" s="1"/>
  <c r="AD118" i="6"/>
  <c r="AD117" i="6" s="1"/>
  <c r="AD116" i="6" s="1"/>
  <c r="AD115" i="6" s="1"/>
  <c r="AV114" i="6"/>
  <c r="AT114" i="6"/>
  <c r="AW114" i="6" s="1"/>
  <c r="AI114" i="6"/>
  <c r="AJ114" i="6" s="1"/>
  <c r="AX113" i="6"/>
  <c r="AV113" i="6"/>
  <c r="AU113" i="6"/>
  <c r="AT113" i="6"/>
  <c r="AW113" i="6" s="1"/>
  <c r="AX112" i="6"/>
  <c r="AV112" i="6"/>
  <c r="AU112" i="6"/>
  <c r="AT112" i="6"/>
  <c r="AW112" i="6" s="1"/>
  <c r="AX111" i="6"/>
  <c r="AV111" i="6"/>
  <c r="AU111" i="6"/>
  <c r="AT111" i="6"/>
  <c r="AW111" i="6" s="1"/>
  <c r="AX110" i="6"/>
  <c r="AV110" i="6"/>
  <c r="AU110" i="6"/>
  <c r="AT110" i="6"/>
  <c r="AW110" i="6" s="1"/>
  <c r="AX109" i="6"/>
  <c r="AV109" i="6"/>
  <c r="AU109" i="6"/>
  <c r="AT109" i="6"/>
  <c r="AW109" i="6" s="1"/>
  <c r="AX108" i="6"/>
  <c r="AV108" i="6"/>
  <c r="AU108" i="6"/>
  <c r="AT108" i="6"/>
  <c r="AW108" i="6" s="1"/>
  <c r="AX107" i="6"/>
  <c r="AV107" i="6"/>
  <c r="AU107" i="6"/>
  <c r="AT107" i="6"/>
  <c r="AW107" i="6" s="1"/>
  <c r="AX106" i="6"/>
  <c r="AV106" i="6"/>
  <c r="AU106" i="6"/>
  <c r="AT106" i="6"/>
  <c r="AW106" i="6" s="1"/>
  <c r="AX105" i="6"/>
  <c r="AV105" i="6"/>
  <c r="AU105" i="6"/>
  <c r="AT105" i="6"/>
  <c r="AW105" i="6" s="1"/>
  <c r="AX104" i="6"/>
  <c r="AV104" i="6"/>
  <c r="AU104" i="6"/>
  <c r="AT104" i="6"/>
  <c r="AW104" i="6" s="1"/>
  <c r="AX103" i="6"/>
  <c r="AV103" i="6"/>
  <c r="AU103" i="6"/>
  <c r="AT103" i="6"/>
  <c r="AS102" i="6"/>
  <c r="AS101" i="6" s="1"/>
  <c r="AQ102" i="6"/>
  <c r="AQ101" i="6" s="1"/>
  <c r="AP102" i="6"/>
  <c r="AO102" i="6"/>
  <c r="AO101" i="6" s="1"/>
  <c r="AN102" i="6"/>
  <c r="AN101" i="6" s="1"/>
  <c r="AM102" i="6"/>
  <c r="AM101" i="6" s="1"/>
  <c r="AL102" i="6"/>
  <c r="AL101" i="6" s="1"/>
  <c r="AK102" i="6"/>
  <c r="AK101" i="6" s="1"/>
  <c r="AH102" i="6"/>
  <c r="AH101" i="6" s="1"/>
  <c r="AG102" i="6"/>
  <c r="AG101" i="6" s="1"/>
  <c r="AF102" i="6"/>
  <c r="AF101" i="6" s="1"/>
  <c r="AE102" i="6"/>
  <c r="AE101" i="6" s="1"/>
  <c r="AD102" i="6"/>
  <c r="AD101" i="6" s="1"/>
  <c r="AX98" i="6"/>
  <c r="AV98" i="6"/>
  <c r="AU98" i="6"/>
  <c r="AT98" i="6"/>
  <c r="AW98" i="6" s="1"/>
  <c r="AX97" i="6"/>
  <c r="AV97" i="6"/>
  <c r="AU97" i="6"/>
  <c r="AT97" i="6"/>
  <c r="AW97" i="6" s="1"/>
  <c r="AV96" i="6"/>
  <c r="AT96" i="6"/>
  <c r="AW96" i="6" s="1"/>
  <c r="AH96" i="6"/>
  <c r="AG96" i="6"/>
  <c r="AG92" i="6" s="1"/>
  <c r="AV95" i="6"/>
  <c r="AT95" i="6"/>
  <c r="AW95" i="6" s="1"/>
  <c r="AI95" i="6"/>
  <c r="AJ95" i="6" s="1"/>
  <c r="AV94" i="6"/>
  <c r="AT94" i="6"/>
  <c r="AW94" i="6" s="1"/>
  <c r="AI94" i="6"/>
  <c r="AJ94" i="6" s="1"/>
  <c r="AV93" i="6"/>
  <c r="AT93" i="6"/>
  <c r="AW93" i="6" s="1"/>
  <c r="AH93" i="6"/>
  <c r="AI93" i="6" s="1"/>
  <c r="AJ93" i="6" s="1"/>
  <c r="AS92" i="6"/>
  <c r="AR92" i="6"/>
  <c r="AQ92" i="6"/>
  <c r="AP92" i="6"/>
  <c r="AO92" i="6"/>
  <c r="AN92" i="6"/>
  <c r="AM92" i="6"/>
  <c r="AK92" i="6"/>
  <c r="AF92" i="6"/>
  <c r="AE92" i="6"/>
  <c r="AD92" i="6"/>
  <c r="AV91" i="6"/>
  <c r="AT91" i="6"/>
  <c r="AW91" i="6" s="1"/>
  <c r="AI91" i="6"/>
  <c r="AI88" i="6" s="1"/>
  <c r="AX90" i="6"/>
  <c r="AV90" i="6"/>
  <c r="AU90" i="6"/>
  <c r="AT90" i="6"/>
  <c r="AW90" i="6" s="1"/>
  <c r="AL88" i="6"/>
  <c r="AX89" i="6"/>
  <c r="AV89" i="6"/>
  <c r="AU89" i="6"/>
  <c r="AT89" i="6"/>
  <c r="AW89" i="6" s="1"/>
  <c r="AS88" i="6"/>
  <c r="AR88" i="6"/>
  <c r="AQ88" i="6"/>
  <c r="AP88" i="6"/>
  <c r="AO88" i="6"/>
  <c r="AN88" i="6"/>
  <c r="AM88" i="6"/>
  <c r="AK88" i="6"/>
  <c r="AH88" i="6"/>
  <c r="AG88" i="6"/>
  <c r="AF88" i="6"/>
  <c r="AE88" i="6"/>
  <c r="AD88" i="6"/>
  <c r="AX85" i="6"/>
  <c r="AV85" i="6"/>
  <c r="AU85" i="6"/>
  <c r="AT85" i="6"/>
  <c r="AW85" i="6" s="1"/>
  <c r="AX84" i="6"/>
  <c r="AV84" i="6"/>
  <c r="AU84" i="6"/>
  <c r="AT84" i="6"/>
  <c r="AW84" i="6" s="1"/>
  <c r="AX83" i="6"/>
  <c r="AV83" i="6"/>
  <c r="AU83" i="6"/>
  <c r="AT83" i="6"/>
  <c r="AW83" i="6" s="1"/>
  <c r="AX82" i="6"/>
  <c r="AV82" i="6"/>
  <c r="AU82" i="6"/>
  <c r="AT82" i="6"/>
  <c r="AW82" i="6" s="1"/>
  <c r="AX81" i="6"/>
  <c r="AV81" i="6"/>
  <c r="AU81" i="6"/>
  <c r="AT81" i="6"/>
  <c r="AW81" i="6" s="1"/>
  <c r="AX80" i="6"/>
  <c r="AV80" i="6"/>
  <c r="AU80" i="6"/>
  <c r="AT80" i="6"/>
  <c r="AW80" i="6" s="1"/>
  <c r="AX79" i="6"/>
  <c r="AV79" i="6"/>
  <c r="AU79" i="6"/>
  <c r="AT79" i="6"/>
  <c r="AW79" i="6" s="1"/>
  <c r="AR78" i="6"/>
  <c r="AS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X77" i="6"/>
  <c r="AV77" i="6"/>
  <c r="AU77" i="6"/>
  <c r="AT77" i="6"/>
  <c r="AW77" i="6" s="1"/>
  <c r="AX76" i="6"/>
  <c r="AV76" i="6"/>
  <c r="AU76" i="6"/>
  <c r="AT76" i="6"/>
  <c r="AW76" i="6" s="1"/>
  <c r="AS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X74" i="6"/>
  <c r="AV74" i="6"/>
  <c r="AU74" i="6"/>
  <c r="AT74" i="6"/>
  <c r="AW74" i="6" s="1"/>
  <c r="AX73" i="6"/>
  <c r="AV73" i="6"/>
  <c r="AU73" i="6"/>
  <c r="AT73" i="6"/>
  <c r="AW73" i="6" s="1"/>
  <c r="AS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X69" i="6"/>
  <c r="AV69" i="6"/>
  <c r="AU69" i="6"/>
  <c r="AT69" i="6"/>
  <c r="AW69" i="6" s="1"/>
  <c r="AX68" i="6"/>
  <c r="AV68" i="6"/>
  <c r="AU68" i="6"/>
  <c r="AT68" i="6"/>
  <c r="AW68" i="6" s="1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X66" i="6"/>
  <c r="AV66" i="6"/>
  <c r="AU66" i="6"/>
  <c r="AT66" i="6"/>
  <c r="AW66" i="6" s="1"/>
  <c r="AX65" i="6"/>
  <c r="AV65" i="6"/>
  <c r="AU65" i="6"/>
  <c r="AT65" i="6"/>
  <c r="AW65" i="6" s="1"/>
  <c r="AO64" i="6"/>
  <c r="AS64" i="6"/>
  <c r="AQ64" i="6"/>
  <c r="AP64" i="6"/>
  <c r="AN64" i="6"/>
  <c r="AM64" i="6"/>
  <c r="AK64" i="6"/>
  <c r="AJ64" i="6"/>
  <c r="AI64" i="6"/>
  <c r="AH64" i="6"/>
  <c r="AG64" i="6"/>
  <c r="AF64" i="6"/>
  <c r="AE64" i="6"/>
  <c r="AD64" i="6"/>
  <c r="AX63" i="6"/>
  <c r="AV63" i="6"/>
  <c r="AU63" i="6"/>
  <c r="AT63" i="6"/>
  <c r="AW63" i="6" s="1"/>
  <c r="AX62" i="6"/>
  <c r="AV62" i="6"/>
  <c r="AU62" i="6"/>
  <c r="AT62" i="6"/>
  <c r="AW62" i="6" s="1"/>
  <c r="AR61" i="6"/>
  <c r="AS61" i="6"/>
  <c r="AQ61" i="6"/>
  <c r="AP61" i="6"/>
  <c r="AN61" i="6"/>
  <c r="AM61" i="6"/>
  <c r="AL61" i="6"/>
  <c r="AK61" i="6"/>
  <c r="AJ61" i="6"/>
  <c r="AI61" i="6"/>
  <c r="AH61" i="6"/>
  <c r="AG61" i="6"/>
  <c r="AF61" i="6"/>
  <c r="AE61" i="6"/>
  <c r="AD61" i="6"/>
  <c r="AX60" i="6"/>
  <c r="AV60" i="6"/>
  <c r="AU60" i="6"/>
  <c r="AT60" i="6"/>
  <c r="AW60" i="6" s="1"/>
  <c r="AX59" i="6"/>
  <c r="AV59" i="6"/>
  <c r="AU59" i="6"/>
  <c r="AT59" i="6"/>
  <c r="AW59" i="6" s="1"/>
  <c r="AS58" i="6"/>
  <c r="AQ58" i="6"/>
  <c r="AP58" i="6"/>
  <c r="AN58" i="6"/>
  <c r="AM58" i="6"/>
  <c r="AL58" i="6"/>
  <c r="AK58" i="6"/>
  <c r="AJ58" i="6"/>
  <c r="AI58" i="6"/>
  <c r="AH58" i="6"/>
  <c r="AG58" i="6"/>
  <c r="AF58" i="6"/>
  <c r="AE58" i="6"/>
  <c r="AD58" i="6"/>
  <c r="AX57" i="6"/>
  <c r="AV57" i="6"/>
  <c r="AU57" i="6"/>
  <c r="AT57" i="6"/>
  <c r="AW57" i="6" s="1"/>
  <c r="AX56" i="6"/>
  <c r="AV56" i="6"/>
  <c r="AU56" i="6"/>
  <c r="AT56" i="6"/>
  <c r="AW56" i="6" s="1"/>
  <c r="AS55" i="6"/>
  <c r="AQ55" i="6"/>
  <c r="AP55" i="6"/>
  <c r="AN55" i="6"/>
  <c r="AM55" i="6"/>
  <c r="AL55" i="6"/>
  <c r="AK55" i="6"/>
  <c r="AJ55" i="6"/>
  <c r="AI55" i="6"/>
  <c r="AH55" i="6"/>
  <c r="AG55" i="6"/>
  <c r="AF55" i="6"/>
  <c r="AE55" i="6"/>
  <c r="AD55" i="6"/>
  <c r="AX54" i="6"/>
  <c r="AV54" i="6"/>
  <c r="AU54" i="6"/>
  <c r="AT54" i="6"/>
  <c r="AW54" i="6" s="1"/>
  <c r="AX53" i="6"/>
  <c r="AV53" i="6"/>
  <c r="AU53" i="6"/>
  <c r="AT53" i="6"/>
  <c r="AW53" i="6" s="1"/>
  <c r="AS52" i="6"/>
  <c r="AQ52" i="6"/>
  <c r="AP52" i="6"/>
  <c r="AN52" i="6"/>
  <c r="AM52" i="6"/>
  <c r="AK52" i="6"/>
  <c r="AJ52" i="6"/>
  <c r="AI52" i="6"/>
  <c r="AH52" i="6"/>
  <c r="AG52" i="6"/>
  <c r="AF52" i="6"/>
  <c r="AE52" i="6"/>
  <c r="AD52" i="6"/>
  <c r="AX51" i="6"/>
  <c r="AV51" i="6"/>
  <c r="AU51" i="6"/>
  <c r="AT51" i="6"/>
  <c r="AW51" i="6" s="1"/>
  <c r="AX50" i="6"/>
  <c r="AV50" i="6"/>
  <c r="AU50" i="6"/>
  <c r="AT50" i="6"/>
  <c r="AW50" i="6" s="1"/>
  <c r="AS49" i="6"/>
  <c r="AQ49" i="6"/>
  <c r="AP49" i="6"/>
  <c r="AN49" i="6"/>
  <c r="AM49" i="6"/>
  <c r="AK49" i="6"/>
  <c r="AJ49" i="6"/>
  <c r="AI49" i="6"/>
  <c r="AH49" i="6"/>
  <c r="AG49" i="6"/>
  <c r="AF49" i="6"/>
  <c r="AE49" i="6"/>
  <c r="AD49" i="6"/>
  <c r="AX48" i="6"/>
  <c r="AV48" i="6"/>
  <c r="AU48" i="6"/>
  <c r="AT48" i="6"/>
  <c r="AW48" i="6" s="1"/>
  <c r="AX47" i="6"/>
  <c r="AV47" i="6"/>
  <c r="AU47" i="6"/>
  <c r="AT47" i="6"/>
  <c r="AW47" i="6" s="1"/>
  <c r="AS46" i="6"/>
  <c r="AQ46" i="6"/>
  <c r="AP46" i="6"/>
  <c r="AN46" i="6"/>
  <c r="AM46" i="6"/>
  <c r="AK46" i="6"/>
  <c r="AJ46" i="6"/>
  <c r="AI46" i="6"/>
  <c r="AH46" i="6"/>
  <c r="AG46" i="6"/>
  <c r="AF46" i="6"/>
  <c r="AE46" i="6"/>
  <c r="AD46" i="6"/>
  <c r="AX45" i="6"/>
  <c r="AV45" i="6"/>
  <c r="AU45" i="6"/>
  <c r="AT45" i="6"/>
  <c r="AW45" i="6" s="1"/>
  <c r="AX44" i="6"/>
  <c r="AV44" i="6"/>
  <c r="AU44" i="6"/>
  <c r="AT44" i="6"/>
  <c r="AW44" i="6" s="1"/>
  <c r="AS43" i="6"/>
  <c r="AQ43" i="6"/>
  <c r="AP43" i="6"/>
  <c r="AN43" i="6"/>
  <c r="AM43" i="6"/>
  <c r="AK43" i="6"/>
  <c r="AJ43" i="6"/>
  <c r="AI43" i="6"/>
  <c r="AH43" i="6"/>
  <c r="AG43" i="6"/>
  <c r="AF43" i="6"/>
  <c r="AE43" i="6"/>
  <c r="AD43" i="6"/>
  <c r="AX41" i="6"/>
  <c r="AV41" i="6"/>
  <c r="AU41" i="6"/>
  <c r="AT41" i="6"/>
  <c r="AW41" i="6" s="1"/>
  <c r="AS40" i="6"/>
  <c r="AS39" i="6" s="1"/>
  <c r="AR40" i="6"/>
  <c r="AR39" i="6" s="1"/>
  <c r="AQ40" i="6"/>
  <c r="AP40" i="6"/>
  <c r="AP39" i="6" s="1"/>
  <c r="AO40" i="6"/>
  <c r="AO39" i="6" s="1"/>
  <c r="AN40" i="6"/>
  <c r="AN39" i="6" s="1"/>
  <c r="AM40" i="6"/>
  <c r="AM39" i="6" s="1"/>
  <c r="AL40" i="6"/>
  <c r="AL39" i="6" s="1"/>
  <c r="AK40" i="6"/>
  <c r="AK39" i="6" s="1"/>
  <c r="AJ40" i="6"/>
  <c r="AI40" i="6"/>
  <c r="AI39" i="6" s="1"/>
  <c r="AH40" i="6"/>
  <c r="AH39" i="6" s="1"/>
  <c r="AG40" i="6"/>
  <c r="AG39" i="6" s="1"/>
  <c r="AF40" i="6"/>
  <c r="AF39" i="6" s="1"/>
  <c r="AE40" i="6"/>
  <c r="AE39" i="6" s="1"/>
  <c r="AD40" i="6"/>
  <c r="AD39" i="6" s="1"/>
  <c r="AV38" i="6"/>
  <c r="AU38" i="6"/>
  <c r="AT38" i="6"/>
  <c r="AW38" i="6" s="1"/>
  <c r="AX37" i="6"/>
  <c r="AV37" i="6"/>
  <c r="AU37" i="6"/>
  <c r="AT37" i="6"/>
  <c r="AW37" i="6" s="1"/>
  <c r="AX36" i="6"/>
  <c r="AV36" i="6"/>
  <c r="AU36" i="6"/>
  <c r="AT36" i="6"/>
  <c r="AW36" i="6" s="1"/>
  <c r="AX35" i="6"/>
  <c r="AV35" i="6"/>
  <c r="AU35" i="6"/>
  <c r="AT35" i="6"/>
  <c r="AW35" i="6" s="1"/>
  <c r="AS34" i="6"/>
  <c r="AQ34" i="6"/>
  <c r="AP34" i="6"/>
  <c r="AN34" i="6"/>
  <c r="AM34" i="6"/>
  <c r="AK34" i="6"/>
  <c r="AJ34" i="6"/>
  <c r="AI34" i="6"/>
  <c r="AH34" i="6"/>
  <c r="AG34" i="6"/>
  <c r="AF34" i="6"/>
  <c r="AE34" i="6"/>
  <c r="AD34" i="6"/>
  <c r="AX33" i="6"/>
  <c r="AV33" i="6"/>
  <c r="AU33" i="6"/>
  <c r="AT33" i="6"/>
  <c r="AW33" i="6" s="1"/>
  <c r="AX32" i="6"/>
  <c r="AV32" i="6"/>
  <c r="AU32" i="6"/>
  <c r="AT32" i="6"/>
  <c r="AW32" i="6" s="1"/>
  <c r="AS31" i="6"/>
  <c r="AQ31" i="6"/>
  <c r="AP31" i="6"/>
  <c r="AN31" i="6"/>
  <c r="AM31" i="6"/>
  <c r="AK31" i="6"/>
  <c r="AJ31" i="6"/>
  <c r="AI31" i="6"/>
  <c r="AH31" i="6"/>
  <c r="AG31" i="6"/>
  <c r="AF31" i="6"/>
  <c r="AE31" i="6"/>
  <c r="AD31" i="6"/>
  <c r="AX29" i="6"/>
  <c r="AV29" i="6"/>
  <c r="AU29" i="6"/>
  <c r="AT29" i="6"/>
  <c r="AW29" i="6" s="1"/>
  <c r="AX28" i="6"/>
  <c r="AV28" i="6"/>
  <c r="AU28" i="6"/>
  <c r="AT28" i="6"/>
  <c r="AW28" i="6" s="1"/>
  <c r="AS27" i="6"/>
  <c r="AQ27" i="6"/>
  <c r="AP27" i="6"/>
  <c r="AN27" i="6"/>
  <c r="AM27" i="6"/>
  <c r="AK27" i="6"/>
  <c r="AJ27" i="6"/>
  <c r="AI27" i="6"/>
  <c r="AH27" i="6"/>
  <c r="AG27" i="6"/>
  <c r="AF27" i="6"/>
  <c r="AE27" i="6"/>
  <c r="AD27" i="6"/>
  <c r="AX26" i="6"/>
  <c r="AV26" i="6"/>
  <c r="AU26" i="6"/>
  <c r="AT26" i="6"/>
  <c r="AW26" i="6" s="1"/>
  <c r="AX25" i="6"/>
  <c r="AV25" i="6"/>
  <c r="AU25" i="6"/>
  <c r="AT25" i="6"/>
  <c r="AW25" i="6" s="1"/>
  <c r="AS24" i="6"/>
  <c r="AQ24" i="6"/>
  <c r="AP24" i="6"/>
  <c r="AN24" i="6"/>
  <c r="AM24" i="6"/>
  <c r="AK24" i="6"/>
  <c r="AJ24" i="6"/>
  <c r="AI24" i="6"/>
  <c r="AH24" i="6"/>
  <c r="AG24" i="6"/>
  <c r="AF24" i="6"/>
  <c r="AE24" i="6"/>
  <c r="AD24" i="6"/>
  <c r="AX23" i="6"/>
  <c r="AV23" i="6"/>
  <c r="AU23" i="6"/>
  <c r="AT23" i="6"/>
  <c r="AW23" i="6" s="1"/>
  <c r="AX22" i="6"/>
  <c r="AV22" i="6"/>
  <c r="AU22" i="6"/>
  <c r="AT22" i="6"/>
  <c r="AW22" i="6" s="1"/>
  <c r="AV21" i="6"/>
  <c r="AU21" i="6"/>
  <c r="AT21" i="6"/>
  <c r="AW21" i="6" s="1"/>
  <c r="AX20" i="6"/>
  <c r="AV20" i="6"/>
  <c r="AU20" i="6"/>
  <c r="AT20" i="6"/>
  <c r="AW20" i="6" s="1"/>
  <c r="AX19" i="6"/>
  <c r="AV19" i="6"/>
  <c r="AU19" i="6"/>
  <c r="AT19" i="6"/>
  <c r="AW19" i="6" s="1"/>
  <c r="AX18" i="6"/>
  <c r="AV18" i="6"/>
  <c r="AU18" i="6"/>
  <c r="AT18" i="6"/>
  <c r="AW18" i="6" s="1"/>
  <c r="AS17" i="6"/>
  <c r="AQ17" i="6"/>
  <c r="AP17" i="6"/>
  <c r="AN17" i="6"/>
  <c r="AM17" i="6"/>
  <c r="AK17" i="6"/>
  <c r="AJ17" i="6"/>
  <c r="AI17" i="6"/>
  <c r="AH17" i="6"/>
  <c r="AG17" i="6"/>
  <c r="AF17" i="6"/>
  <c r="AE17" i="6"/>
  <c r="AD17" i="6"/>
  <c r="AU174" i="6" l="1"/>
  <c r="AU147" i="6"/>
  <c r="AU1178" i="6"/>
  <c r="AJ117" i="6"/>
  <c r="AJ116" i="6" s="1"/>
  <c r="AM173" i="6"/>
  <c r="AJ156" i="6"/>
  <c r="AJ164" i="6"/>
  <c r="AJ169" i="6"/>
  <c r="AX169" i="6" s="1"/>
  <c r="AU1095" i="6"/>
  <c r="AT1095" i="6"/>
  <c r="AX465" i="6"/>
  <c r="AU465" i="6"/>
  <c r="AI30" i="6"/>
  <c r="AI16" i="6" s="1"/>
  <c r="AI15" i="6" s="1"/>
  <c r="AH679" i="6"/>
  <c r="AT1135" i="6"/>
  <c r="AX444" i="6"/>
  <c r="AU444" i="6"/>
  <c r="AX445" i="6"/>
  <c r="AU445" i="6"/>
  <c r="AX301" i="6"/>
  <c r="AU301" i="6"/>
  <c r="AD87" i="6"/>
  <c r="AD86" i="6" s="1"/>
  <c r="AD161" i="6"/>
  <c r="AD160" i="6" s="1"/>
  <c r="AR87" i="6"/>
  <c r="AR86" i="6" s="1"/>
  <c r="AE87" i="6"/>
  <c r="AE86" i="6" s="1"/>
  <c r="AT950" i="6"/>
  <c r="AV43" i="6"/>
  <c r="AH30" i="6"/>
  <c r="AH16" i="6" s="1"/>
  <c r="AH15" i="6" s="1"/>
  <c r="AI102" i="6"/>
  <c r="AI101" i="6" s="1"/>
  <c r="AI100" i="6" s="1"/>
  <c r="AQ87" i="6"/>
  <c r="AQ86" i="6" s="1"/>
  <c r="AO87" i="6"/>
  <c r="AO86" i="6" s="1"/>
  <c r="AK30" i="6"/>
  <c r="AK16" i="6" s="1"/>
  <c r="AK15" i="6" s="1"/>
  <c r="AJ690" i="6"/>
  <c r="AJ755" i="6" s="1"/>
  <c r="AX755" i="6" s="1"/>
  <c r="AI755" i="6"/>
  <c r="AO122" i="6"/>
  <c r="AO121" i="6" s="1"/>
  <c r="AF122" i="6"/>
  <c r="AF121" i="6" s="1"/>
  <c r="AQ30" i="6"/>
  <c r="AQ16" i="6" s="1"/>
  <c r="AE122" i="6"/>
  <c r="AE121" i="6" s="1"/>
  <c r="AO755" i="6"/>
  <c r="AL755" i="6"/>
  <c r="AW690" i="6"/>
  <c r="AW755" i="6" s="1"/>
  <c r="AT755" i="6"/>
  <c r="AV755" i="6"/>
  <c r="AS87" i="6"/>
  <c r="AS86" i="6" s="1"/>
  <c r="AN71" i="6"/>
  <c r="AN70" i="6" s="1"/>
  <c r="AF87" i="6"/>
  <c r="AF86" i="6" s="1"/>
  <c r="AM87" i="6"/>
  <c r="AM86" i="6" s="1"/>
  <c r="AT58" i="6"/>
  <c r="AW58" i="6" s="1"/>
  <c r="AV156" i="6"/>
  <c r="AJ1187" i="6"/>
  <c r="AJ1260" i="6" s="1"/>
  <c r="AX1260" i="6" s="1"/>
  <c r="AI1260" i="6"/>
  <c r="AW1187" i="6"/>
  <c r="AW1260" i="6" s="1"/>
  <c r="AT1260" i="6"/>
  <c r="AE30" i="6"/>
  <c r="AE16" i="6" s="1"/>
  <c r="AE15" i="6" s="1"/>
  <c r="AK190" i="6"/>
  <c r="AV1260" i="6"/>
  <c r="AL1260" i="6"/>
  <c r="AV1095" i="6"/>
  <c r="AM190" i="6"/>
  <c r="AS190" i="6"/>
  <c r="AU1148" i="6"/>
  <c r="AX1148" i="6"/>
  <c r="AI1077" i="6"/>
  <c r="AV1077" i="6"/>
  <c r="AW1040" i="6"/>
  <c r="AW1077" i="6" s="1"/>
  <c r="AT1077" i="6"/>
  <c r="AI240" i="6"/>
  <c r="AD30" i="6"/>
  <c r="AD16" i="6" s="1"/>
  <c r="AD15" i="6" s="1"/>
  <c r="AI42" i="6"/>
  <c r="AL43" i="6"/>
  <c r="AV1027" i="6"/>
  <c r="AJ30" i="6"/>
  <c r="AF71" i="6"/>
  <c r="AF70" i="6" s="1"/>
  <c r="AS30" i="6"/>
  <c r="AS16" i="6" s="1"/>
  <c r="AQ42" i="6"/>
  <c r="AG122" i="6"/>
  <c r="AG121" i="6" s="1"/>
  <c r="AW1004" i="6"/>
  <c r="AW1027" i="6" s="1"/>
  <c r="AT1027" i="6"/>
  <c r="AE100" i="6"/>
  <c r="AT55" i="6"/>
  <c r="AW55" i="6" s="1"/>
  <c r="AN87" i="6"/>
  <c r="AN86" i="6" s="1"/>
  <c r="AK122" i="6"/>
  <c r="AK121" i="6" s="1"/>
  <c r="AU187" i="6"/>
  <c r="AP87" i="6"/>
  <c r="AP86" i="6" s="1"/>
  <c r="AL122" i="6"/>
  <c r="AL121" i="6" s="1"/>
  <c r="AL679" i="6"/>
  <c r="AI609" i="6"/>
  <c r="AJ609" i="6" s="1"/>
  <c r="AU609" i="6" s="1"/>
  <c r="AG679" i="6"/>
  <c r="AI71" i="6"/>
  <c r="AI70" i="6" s="1"/>
  <c r="AV24" i="6"/>
  <c r="AS42" i="6"/>
  <c r="AS71" i="6"/>
  <c r="AS70" i="6" s="1"/>
  <c r="AT75" i="6"/>
  <c r="AW75" i="6" s="1"/>
  <c r="AN122" i="6"/>
  <c r="AN121" i="6" s="1"/>
  <c r="AT46" i="6"/>
  <c r="AW46" i="6" s="1"/>
  <c r="AD71" i="6"/>
  <c r="AD70" i="6" s="1"/>
  <c r="AL71" i="6"/>
  <c r="AL70" i="6" s="1"/>
  <c r="AK87" i="6"/>
  <c r="AK86" i="6" s="1"/>
  <c r="AD122" i="6"/>
  <c r="AD121" i="6" s="1"/>
  <c r="AW536" i="6"/>
  <c r="AW679" i="6" s="1"/>
  <c r="AT679" i="6"/>
  <c r="AV679" i="6"/>
  <c r="AL27" i="6"/>
  <c r="AT187" i="6"/>
  <c r="AW187" i="6" s="1"/>
  <c r="AU72" i="6"/>
  <c r="AV55" i="6"/>
  <c r="AT67" i="6"/>
  <c r="AW67" i="6" s="1"/>
  <c r="AT995" i="6"/>
  <c r="AU17" i="6"/>
  <c r="AR46" i="6"/>
  <c r="AR75" i="6"/>
  <c r="AV510" i="6"/>
  <c r="AW251" i="6"/>
  <c r="AW510" i="6" s="1"/>
  <c r="AT510" i="6"/>
  <c r="AJ443" i="6"/>
  <c r="AI510" i="6"/>
  <c r="AH146" i="6"/>
  <c r="AT24" i="6"/>
  <c r="AW24" i="6" s="1"/>
  <c r="AO146" i="6"/>
  <c r="AW1148" i="6"/>
  <c r="AU34" i="6"/>
  <c r="AX129" i="6"/>
  <c r="AX255" i="6"/>
  <c r="AT27" i="6"/>
  <c r="AW27" i="6" s="1"/>
  <c r="AV152" i="6"/>
  <c r="AU49" i="6"/>
  <c r="AI995" i="6"/>
  <c r="AT170" i="6"/>
  <c r="AW170" i="6" s="1"/>
  <c r="AL950" i="6"/>
  <c r="AR43" i="6"/>
  <c r="AX31" i="6"/>
  <c r="AR34" i="6"/>
  <c r="AG42" i="6"/>
  <c r="AX58" i="6"/>
  <c r="AU64" i="6"/>
  <c r="AU67" i="6"/>
  <c r="AE71" i="6"/>
  <c r="AE70" i="6" s="1"/>
  <c r="AM71" i="6"/>
  <c r="AM70" i="6" s="1"/>
  <c r="AU129" i="6"/>
  <c r="AG146" i="6"/>
  <c r="AX696" i="6"/>
  <c r="AW950" i="6"/>
  <c r="AM151" i="6"/>
  <c r="AM146" i="6" s="1"/>
  <c r="AS146" i="6"/>
  <c r="AX27" i="6"/>
  <c r="AX46" i="6"/>
  <c r="AX61" i="6"/>
  <c r="AF30" i="6"/>
  <c r="AF16" i="6" s="1"/>
  <c r="AF15" i="6" s="1"/>
  <c r="AX34" i="6"/>
  <c r="AU152" i="6"/>
  <c r="AV157" i="6"/>
  <c r="AU118" i="6"/>
  <c r="AN146" i="6"/>
  <c r="AT152" i="6"/>
  <c r="AW152" i="6" s="1"/>
  <c r="AP190" i="6"/>
  <c r="AX1135" i="6"/>
  <c r="AU1051" i="6"/>
  <c r="AV1163" i="6"/>
  <c r="AD100" i="6"/>
  <c r="AX132" i="6"/>
  <c r="AX147" i="6"/>
  <c r="AV240" i="6"/>
  <c r="AU541" i="6"/>
  <c r="AX1095" i="6"/>
  <c r="AR27" i="6"/>
  <c r="AL31" i="6"/>
  <c r="AL240" i="6"/>
  <c r="AW214" i="6"/>
  <c r="AW240" i="6" s="1"/>
  <c r="AT240" i="6"/>
  <c r="AK146" i="6"/>
  <c r="AU225" i="6"/>
  <c r="AX736" i="6"/>
  <c r="AU736" i="6"/>
  <c r="AX114" i="6"/>
  <c r="AU114" i="6"/>
  <c r="AJ102" i="6"/>
  <c r="AX550" i="6"/>
  <c r="AU550" i="6"/>
  <c r="AX605" i="6"/>
  <c r="AU605" i="6"/>
  <c r="AI151" i="6"/>
  <c r="AI146" i="6" s="1"/>
  <c r="AX620" i="6"/>
  <c r="AU620" i="6"/>
  <c r="AU816" i="6"/>
  <c r="AX816" i="6"/>
  <c r="AX24" i="6"/>
  <c r="AP30" i="6"/>
  <c r="AG30" i="6"/>
  <c r="AG16" i="6" s="1"/>
  <c r="AG15" i="6" s="1"/>
  <c r="AT34" i="6"/>
  <c r="AW34" i="6" s="1"/>
  <c r="AT43" i="6"/>
  <c r="AW43" i="6" s="1"/>
  <c r="AN42" i="6"/>
  <c r="AX52" i="6"/>
  <c r="AX72" i="6"/>
  <c r="AT132" i="6"/>
  <c r="AW132" i="6" s="1"/>
  <c r="AD146" i="6"/>
  <c r="AL146" i="6"/>
  <c r="AU252" i="6"/>
  <c r="AX840" i="6"/>
  <c r="AJ968" i="6"/>
  <c r="AU968" i="6" s="1"/>
  <c r="AT1148" i="6"/>
  <c r="AF42" i="6"/>
  <c r="AS122" i="6"/>
  <c r="AS121" i="6" s="1"/>
  <c r="AE146" i="6"/>
  <c r="AQ179" i="6"/>
  <c r="AT179" i="6" s="1"/>
  <c r="AW179" i="6" s="1"/>
  <c r="AJ530" i="6"/>
  <c r="AU1135" i="6"/>
  <c r="AU31" i="6"/>
  <c r="AR49" i="6"/>
  <c r="AT52" i="6"/>
  <c r="AW52" i="6" s="1"/>
  <c r="AU55" i="6"/>
  <c r="AT61" i="6"/>
  <c r="AW61" i="6" s="1"/>
  <c r="AX64" i="6"/>
  <c r="AH71" i="6"/>
  <c r="AH70" i="6" s="1"/>
  <c r="AT92" i="6"/>
  <c r="AP101" i="6"/>
  <c r="AI124" i="6"/>
  <c r="AI123" i="6" s="1"/>
  <c r="AI122" i="6" s="1"/>
  <c r="AI121" i="6" s="1"/>
  <c r="AQ190" i="6"/>
  <c r="AN190" i="6"/>
  <c r="AV1135" i="6"/>
  <c r="AV1148" i="6"/>
  <c r="AI1163" i="6"/>
  <c r="AO34" i="6"/>
  <c r="AD42" i="6"/>
  <c r="AR58" i="6"/>
  <c r="AT64" i="6"/>
  <c r="AW64" i="6" s="1"/>
  <c r="AK71" i="6"/>
  <c r="AK70" i="6" s="1"/>
  <c r="AG71" i="6"/>
  <c r="AG70" i="6" s="1"/>
  <c r="AO71" i="6"/>
  <c r="AO70" i="6" s="1"/>
  <c r="AT88" i="6"/>
  <c r="AG87" i="6"/>
  <c r="AG86" i="6" s="1"/>
  <c r="AV118" i="6"/>
  <c r="AX118" i="6"/>
  <c r="AM122" i="6"/>
  <c r="AM121" i="6" s="1"/>
  <c r="AJ125" i="6"/>
  <c r="AJ124" i="6" s="1"/>
  <c r="AX152" i="6"/>
  <c r="AD190" i="6"/>
  <c r="AU251" i="6"/>
  <c r="AU789" i="6"/>
  <c r="AW1135" i="6"/>
  <c r="AT1163" i="6"/>
  <c r="AU24" i="6"/>
  <c r="AX55" i="6"/>
  <c r="AU61" i="6"/>
  <c r="AV67" i="6"/>
  <c r="AU75" i="6"/>
  <c r="AV78" i="6"/>
  <c r="AV165" i="6"/>
  <c r="AE190" i="6"/>
  <c r="AX17" i="6"/>
  <c r="AV17" i="6"/>
  <c r="AX43" i="6"/>
  <c r="AL46" i="6"/>
  <c r="AV58" i="6"/>
  <c r="AV64" i="6"/>
  <c r="AX75" i="6"/>
  <c r="AT78" i="6"/>
  <c r="AW78" i="6" s="1"/>
  <c r="AL100" i="6"/>
  <c r="AP146" i="6"/>
  <c r="AR146" i="6"/>
  <c r="AF190" i="6"/>
  <c r="AR190" i="6"/>
  <c r="AI587" i="6"/>
  <c r="AJ587" i="6" s="1"/>
  <c r="AX587" i="6" s="1"/>
  <c r="AW1095" i="6"/>
  <c r="AX1178" i="6"/>
  <c r="AN30" i="6"/>
  <c r="AN16" i="6" s="1"/>
  <c r="AN15" i="6" s="1"/>
  <c r="AT49" i="6"/>
  <c r="AW49" i="6" s="1"/>
  <c r="AU78" i="6"/>
  <c r="AP122" i="6"/>
  <c r="AP121" i="6" s="1"/>
  <c r="AT129" i="6"/>
  <c r="AW129" i="6" s="1"/>
  <c r="AX187" i="6"/>
  <c r="AL64" i="6"/>
  <c r="AR129" i="6"/>
  <c r="AR161" i="6"/>
  <c r="AR160" i="6" s="1"/>
  <c r="AK161" i="6"/>
  <c r="AK160" i="6" s="1"/>
  <c r="AW180" i="6"/>
  <c r="AL49" i="6"/>
  <c r="AV170" i="6"/>
  <c r="AS161" i="6"/>
  <c r="AS160" i="6" s="1"/>
  <c r="AL34" i="6"/>
  <c r="AR72" i="6"/>
  <c r="AF161" i="6"/>
  <c r="AF160" i="6" s="1"/>
  <c r="AN161" i="6"/>
  <c r="AN160" i="6" s="1"/>
  <c r="AT180" i="6"/>
  <c r="AU180" i="6"/>
  <c r="AT174" i="6"/>
  <c r="AT173" i="6" s="1"/>
  <c r="AT172" i="6" s="1"/>
  <c r="AV180" i="6"/>
  <c r="AF100" i="6"/>
  <c r="AE160" i="6"/>
  <c r="AL17" i="6"/>
  <c r="AO46" i="6"/>
  <c r="AR52" i="6"/>
  <c r="AL161" i="6"/>
  <c r="AL160" i="6" s="1"/>
  <c r="AG161" i="6"/>
  <c r="AG160" i="6" s="1"/>
  <c r="AO161" i="6"/>
  <c r="AO160" i="6" s="1"/>
  <c r="AM164" i="6"/>
  <c r="AM163" i="6" s="1"/>
  <c r="AM162" i="6" s="1"/>
  <c r="AH161" i="6"/>
  <c r="AH160" i="6" s="1"/>
  <c r="AR55" i="6"/>
  <c r="AI161" i="6"/>
  <c r="AI160" i="6" s="1"/>
  <c r="AW148" i="6"/>
  <c r="AW147" i="6" s="1"/>
  <c r="AM169" i="6"/>
  <c r="AM168" i="6" s="1"/>
  <c r="AM167" i="6" s="1"/>
  <c r="AO27" i="6"/>
  <c r="AO49" i="6"/>
  <c r="AL52" i="6"/>
  <c r="AL24" i="6"/>
  <c r="AO31" i="6"/>
  <c r="AR24" i="6"/>
  <c r="AV88" i="6"/>
  <c r="AH100" i="6"/>
  <c r="AR124" i="6"/>
  <c r="AR123" i="6" s="1"/>
  <c r="AO58" i="6"/>
  <c r="AL92" i="6"/>
  <c r="AL87" i="6" s="1"/>
  <c r="AL86" i="6" s="1"/>
  <c r="AT124" i="6"/>
  <c r="AV124" i="6"/>
  <c r="AR17" i="6"/>
  <c r="AW17" i="6"/>
  <c r="AV92" i="6"/>
  <c r="AN100" i="6"/>
  <c r="AW125" i="6"/>
  <c r="AW124" i="6" s="1"/>
  <c r="AW88" i="6"/>
  <c r="AR64" i="6"/>
  <c r="AR102" i="6"/>
  <c r="AR101" i="6" s="1"/>
  <c r="AR100" i="6" s="1"/>
  <c r="AO55" i="6"/>
  <c r="AO17" i="6"/>
  <c r="AG100" i="6"/>
  <c r="AV102" i="6"/>
  <c r="AV101" i="6" s="1"/>
  <c r="AX40" i="6"/>
  <c r="AO52" i="6"/>
  <c r="AP42" i="6"/>
  <c r="AT17" i="6"/>
  <c r="AV34" i="6"/>
  <c r="AU40" i="6"/>
  <c r="AJ39" i="6"/>
  <c r="AH42" i="6"/>
  <c r="AO61" i="6"/>
  <c r="AV75" i="6"/>
  <c r="AW92" i="6"/>
  <c r="AX95" i="6"/>
  <c r="AU95" i="6"/>
  <c r="AT40" i="6"/>
  <c r="AW40" i="6" s="1"/>
  <c r="AW39" i="6" s="1"/>
  <c r="AQ39" i="6"/>
  <c r="AT39" i="6" s="1"/>
  <c r="AU27" i="6"/>
  <c r="AT31" i="6"/>
  <c r="AW31" i="6" s="1"/>
  <c r="AU43" i="6"/>
  <c r="AJ42" i="6"/>
  <c r="AV61" i="6"/>
  <c r="AX732" i="6"/>
  <c r="AU732" i="6"/>
  <c r="AV27" i="6"/>
  <c r="AK42" i="6"/>
  <c r="AE42" i="6"/>
  <c r="AM42" i="6"/>
  <c r="AV46" i="6"/>
  <c r="AU46" i="6"/>
  <c r="AX49" i="6"/>
  <c r="AT72" i="6"/>
  <c r="AW72" i="6" s="1"/>
  <c r="AQ71" i="6"/>
  <c r="AO100" i="6"/>
  <c r="AT101" i="6"/>
  <c r="AP71" i="6"/>
  <c r="AX94" i="6"/>
  <c r="AU94" i="6"/>
  <c r="AS100" i="6"/>
  <c r="AM30" i="6"/>
  <c r="AV31" i="6"/>
  <c r="AO43" i="6"/>
  <c r="AV49" i="6"/>
  <c r="AV52" i="6"/>
  <c r="AU52" i="6"/>
  <c r="AK100" i="6"/>
  <c r="AX93" i="6"/>
  <c r="AU93" i="6"/>
  <c r="AO24" i="6"/>
  <c r="AR31" i="6"/>
  <c r="AX67" i="6"/>
  <c r="AH92" i="6"/>
  <c r="AH87" i="6" s="1"/>
  <c r="AH86" i="6" s="1"/>
  <c r="AI96" i="6"/>
  <c r="AJ96" i="6" s="1"/>
  <c r="AT102" i="6"/>
  <c r="AW103" i="6"/>
  <c r="AW102" i="6" s="1"/>
  <c r="AW101" i="6" s="1"/>
  <c r="AV138" i="6"/>
  <c r="AV137" i="6" s="1"/>
  <c r="AP137" i="6"/>
  <c r="AX138" i="6"/>
  <c r="AX78" i="6"/>
  <c r="AM115" i="6"/>
  <c r="AM100" i="6" s="1"/>
  <c r="AT138" i="6"/>
  <c r="AW138" i="6" s="1"/>
  <c r="AW137" i="6" s="1"/>
  <c r="AQ137" i="6"/>
  <c r="AT137" i="6" s="1"/>
  <c r="AX155" i="6"/>
  <c r="AU155" i="6"/>
  <c r="AP163" i="6"/>
  <c r="AX164" i="6"/>
  <c r="AX173" i="6"/>
  <c r="AU58" i="6"/>
  <c r="AU138" i="6"/>
  <c r="AJ137" i="6"/>
  <c r="AT165" i="6"/>
  <c r="AW165" i="6" s="1"/>
  <c r="AQ164" i="6"/>
  <c r="AX615" i="6"/>
  <c r="AU615" i="6"/>
  <c r="AJ91" i="6"/>
  <c r="AV123" i="6"/>
  <c r="AQ123" i="6"/>
  <c r="AX1048" i="6"/>
  <c r="AU1048" i="6"/>
  <c r="AJ71" i="6"/>
  <c r="AP116" i="6"/>
  <c r="AV116" i="6" s="1"/>
  <c r="AV115" i="6" s="1"/>
  <c r="AH122" i="6"/>
  <c r="AH121" i="6" s="1"/>
  <c r="AV129" i="6"/>
  <c r="AV132" i="6"/>
  <c r="AF146" i="6"/>
  <c r="AT151" i="6"/>
  <c r="AW151" i="6" s="1"/>
  <c r="AX300" i="6"/>
  <c r="AU300" i="6"/>
  <c r="AX308" i="6"/>
  <c r="AU308" i="6"/>
  <c r="AU560" i="6"/>
  <c r="AX560" i="6"/>
  <c r="AV40" i="6"/>
  <c r="AV39" i="6" s="1"/>
  <c r="AV72" i="6"/>
  <c r="AT118" i="6"/>
  <c r="AW118" i="6" s="1"/>
  <c r="AQ117" i="6"/>
  <c r="AX156" i="6"/>
  <c r="AP168" i="6"/>
  <c r="AX172" i="6"/>
  <c r="AX174" i="6"/>
  <c r="AT157" i="6"/>
  <c r="AW157" i="6" s="1"/>
  <c r="AQ156" i="6"/>
  <c r="AM179" i="6"/>
  <c r="AV179" i="6" s="1"/>
  <c r="AV187" i="6"/>
  <c r="AX538" i="6"/>
  <c r="AU538" i="6"/>
  <c r="AX542" i="6"/>
  <c r="AU542" i="6"/>
  <c r="AV117" i="6"/>
  <c r="AX852" i="6"/>
  <c r="AU852" i="6"/>
  <c r="AX157" i="6"/>
  <c r="AX165" i="6"/>
  <c r="AX170" i="6"/>
  <c r="AX451" i="6"/>
  <c r="AU451" i="6"/>
  <c r="AX801" i="6"/>
  <c r="AU801" i="6"/>
  <c r="AI1004" i="6"/>
  <c r="AI1027" i="6" s="1"/>
  <c r="AX1042" i="6"/>
  <c r="AU1042" i="6"/>
  <c r="AU1190" i="6"/>
  <c r="AX1190" i="6"/>
  <c r="AU1246" i="6"/>
  <c r="AX1246" i="6"/>
  <c r="AX180" i="6"/>
  <c r="AX600" i="6"/>
  <c r="AU600" i="6"/>
  <c r="AX647" i="6"/>
  <c r="AU647" i="6"/>
  <c r="AU767" i="6"/>
  <c r="AO950" i="6"/>
  <c r="AX876" i="6"/>
  <c r="AU876" i="6"/>
  <c r="AX976" i="6"/>
  <c r="AU976" i="6"/>
  <c r="AJ214" i="6"/>
  <c r="AJ240" i="6" s="1"/>
  <c r="AU556" i="6"/>
  <c r="AX556" i="6"/>
  <c r="AX603" i="6"/>
  <c r="AU603" i="6"/>
  <c r="AX611" i="6"/>
  <c r="AU611" i="6"/>
  <c r="AU654" i="6"/>
  <c r="AX807" i="6"/>
  <c r="AU807" i="6"/>
  <c r="AU972" i="6"/>
  <c r="AU980" i="6"/>
  <c r="AW1163" i="6"/>
  <c r="AX469" i="6"/>
  <c r="AU469" i="6"/>
  <c r="AU552" i="6"/>
  <c r="AW995" i="6"/>
  <c r="AQ169" i="6"/>
  <c r="AX441" i="6"/>
  <c r="AU441" i="6"/>
  <c r="AX476" i="6"/>
  <c r="AX500" i="6"/>
  <c r="AU500" i="6"/>
  <c r="AU580" i="6"/>
  <c r="AX580" i="6"/>
  <c r="AX582" i="6"/>
  <c r="AX1046" i="6"/>
  <c r="AU1046" i="6"/>
  <c r="AU1159" i="6"/>
  <c r="AX1159" i="6"/>
  <c r="AU132" i="6"/>
  <c r="AU157" i="6"/>
  <c r="AU165" i="6"/>
  <c r="AU170" i="6"/>
  <c r="AX400" i="6"/>
  <c r="AU400" i="6"/>
  <c r="AX477" i="6"/>
  <c r="AU477" i="6"/>
  <c r="AU536" i="6"/>
  <c r="AX536" i="6"/>
  <c r="AX602" i="6"/>
  <c r="AU602" i="6"/>
  <c r="AU715" i="6"/>
  <c r="AX715" i="6"/>
  <c r="AG950" i="6"/>
  <c r="AI769" i="6"/>
  <c r="AH950" i="6"/>
  <c r="AI799" i="6"/>
  <c r="AJ799" i="6" s="1"/>
  <c r="AX803" i="6"/>
  <c r="AU803" i="6"/>
  <c r="AX835" i="6"/>
  <c r="AU835" i="6"/>
  <c r="AV995" i="6"/>
  <c r="AX970" i="6"/>
  <c r="AU970" i="6"/>
  <c r="AT1178" i="6"/>
  <c r="AX1217" i="6"/>
  <c r="AU1217" i="6"/>
  <c r="AJ179" i="6"/>
  <c r="AX495" i="6"/>
  <c r="AU495" i="6"/>
  <c r="AU569" i="6"/>
  <c r="AX644" i="6"/>
  <c r="AU644" i="6"/>
  <c r="AV950" i="6"/>
  <c r="AX1057" i="6"/>
  <c r="AU791" i="6"/>
  <c r="AX534" i="6"/>
  <c r="AX554" i="6"/>
  <c r="AX574" i="6"/>
  <c r="AX868" i="6"/>
  <c r="AX1157" i="6"/>
  <c r="AU617" i="6"/>
  <c r="AJ1040" i="6"/>
  <c r="AJ1077" i="6" s="1"/>
  <c r="AU748" i="6"/>
  <c r="AJ1163" i="6"/>
  <c r="AX419" i="5"/>
  <c r="AR135" i="5"/>
  <c r="AR134" i="5"/>
  <c r="AR130" i="5"/>
  <c r="AR129" i="5"/>
  <c r="AR127" i="5"/>
  <c r="AR126" i="5"/>
  <c r="AR125" i="5"/>
  <c r="AR113" i="5"/>
  <c r="AR112" i="5"/>
  <c r="AR111" i="5"/>
  <c r="AR110" i="5"/>
  <c r="AR109" i="5"/>
  <c r="AR108" i="5"/>
  <c r="AR107" i="5"/>
  <c r="AR106" i="5"/>
  <c r="AR105" i="5"/>
  <c r="AR104" i="5"/>
  <c r="AR103" i="5"/>
  <c r="AR33" i="5"/>
  <c r="AR32" i="5"/>
  <c r="AR29" i="5"/>
  <c r="AR28" i="5"/>
  <c r="AR26" i="5"/>
  <c r="AR25" i="5"/>
  <c r="AJ70" i="5"/>
  <c r="AR66" i="5"/>
  <c r="AR65" i="5"/>
  <c r="AR45" i="5"/>
  <c r="AR44" i="5"/>
  <c r="AR78" i="5"/>
  <c r="AJ78" i="5"/>
  <c r="AR85" i="5"/>
  <c r="AR84" i="5"/>
  <c r="AR79" i="5"/>
  <c r="AR77" i="5"/>
  <c r="AR76" i="5"/>
  <c r="AR74" i="5"/>
  <c r="AR73" i="5"/>
  <c r="AR62" i="5"/>
  <c r="AR60" i="5"/>
  <c r="AR59" i="5"/>
  <c r="AR57" i="5"/>
  <c r="AR56" i="5"/>
  <c r="AR54" i="5"/>
  <c r="AR53" i="5"/>
  <c r="AR51" i="5"/>
  <c r="AR50" i="5"/>
  <c r="AR48" i="5"/>
  <c r="AR47" i="5"/>
  <c r="AR36" i="5"/>
  <c r="AR35" i="5"/>
  <c r="AR23" i="5"/>
  <c r="AR20" i="5"/>
  <c r="AR19" i="5"/>
  <c r="AR18" i="5"/>
  <c r="AU137" i="6" l="1"/>
  <c r="AX117" i="6"/>
  <c r="AU117" i="6"/>
  <c r="AU102" i="6"/>
  <c r="AU1163" i="6"/>
  <c r="AU39" i="6"/>
  <c r="AU173" i="6"/>
  <c r="AX39" i="6"/>
  <c r="AJ101" i="6"/>
  <c r="AX101" i="6" s="1"/>
  <c r="AJ16" i="6"/>
  <c r="AX1163" i="6"/>
  <c r="AX179" i="6"/>
  <c r="AJ168" i="6"/>
  <c r="AU168" i="6" s="1"/>
  <c r="AU156" i="6"/>
  <c r="AM172" i="6"/>
  <c r="AX124" i="6"/>
  <c r="AJ163" i="6"/>
  <c r="AX163" i="6" s="1"/>
  <c r="AU690" i="6"/>
  <c r="AO99" i="6"/>
  <c r="AU587" i="6"/>
  <c r="AJ995" i="6"/>
  <c r="AJ510" i="6"/>
  <c r="AX510" i="6" s="1"/>
  <c r="AU443" i="6"/>
  <c r="AX443" i="6"/>
  <c r="AF99" i="6"/>
  <c r="AX690" i="6"/>
  <c r="AU125" i="6"/>
  <c r="AE99" i="6"/>
  <c r="AX125" i="6"/>
  <c r="AD99" i="6"/>
  <c r="AU1187" i="6"/>
  <c r="AG99" i="6"/>
  <c r="AX1187" i="6"/>
  <c r="AX968" i="6"/>
  <c r="AT42" i="6"/>
  <c r="AL99" i="6"/>
  <c r="AT86" i="6"/>
  <c r="AT87" i="6"/>
  <c r="AN14" i="6"/>
  <c r="AN13" i="6" s="1"/>
  <c r="AN99" i="6"/>
  <c r="AT190" i="6"/>
  <c r="AU755" i="6"/>
  <c r="AV151" i="6"/>
  <c r="AV146" i="6" s="1"/>
  <c r="AK99" i="6"/>
  <c r="AI14" i="6"/>
  <c r="AI13" i="6" s="1"/>
  <c r="AK14" i="6"/>
  <c r="AK13" i="6" s="1"/>
  <c r="AR71" i="6"/>
  <c r="AR70" i="6" s="1"/>
  <c r="AT30" i="6"/>
  <c r="AW30" i="6" s="1"/>
  <c r="AW16" i="6" s="1"/>
  <c r="AW15" i="6" s="1"/>
  <c r="AT16" i="6"/>
  <c r="AS15" i="6"/>
  <c r="AS14" i="6" s="1"/>
  <c r="AS13" i="6" s="1"/>
  <c r="AX609" i="6"/>
  <c r="AU169" i="6"/>
  <c r="AV169" i="6"/>
  <c r="AX30" i="6"/>
  <c r="AS99" i="6"/>
  <c r="AJ679" i="6"/>
  <c r="AX679" i="6" s="1"/>
  <c r="AP16" i="6"/>
  <c r="AP15" i="6" s="1"/>
  <c r="AG14" i="6"/>
  <c r="AG13" i="6" s="1"/>
  <c r="AI679" i="6"/>
  <c r="AL30" i="6"/>
  <c r="AL16" i="6" s="1"/>
  <c r="AL15" i="6" s="1"/>
  <c r="AJ151" i="6"/>
  <c r="AV168" i="6"/>
  <c r="AV167" i="6" s="1"/>
  <c r="AU164" i="6"/>
  <c r="AV164" i="6"/>
  <c r="AU530" i="6"/>
  <c r="AL42" i="6"/>
  <c r="AX530" i="6"/>
  <c r="AR30" i="6"/>
  <c r="AR16" i="6" s="1"/>
  <c r="AR15" i="6" s="1"/>
  <c r="AV122" i="6"/>
  <c r="AV121" i="6" s="1"/>
  <c r="AD14" i="6"/>
  <c r="AD13" i="6" s="1"/>
  <c r="AE14" i="6"/>
  <c r="AE13" i="6" s="1"/>
  <c r="AE12" i="6" s="1"/>
  <c r="AE11" i="6" s="1"/>
  <c r="AR122" i="6"/>
  <c r="AR121" i="6" s="1"/>
  <c r="AR99" i="6" s="1"/>
  <c r="AI99" i="6"/>
  <c r="AV100" i="6"/>
  <c r="AR42" i="6"/>
  <c r="AG190" i="6"/>
  <c r="AF14" i="6"/>
  <c r="AF13" i="6" s="1"/>
  <c r="AX102" i="6"/>
  <c r="AV190" i="6"/>
  <c r="AU995" i="6"/>
  <c r="AV30" i="6"/>
  <c r="AV16" i="6" s="1"/>
  <c r="AV15" i="6" s="1"/>
  <c r="AO30" i="6"/>
  <c r="AO16" i="6" s="1"/>
  <c r="AO15" i="6" s="1"/>
  <c r="AL190" i="6"/>
  <c r="AH14" i="6"/>
  <c r="AH13" i="6" s="1"/>
  <c r="AM161" i="6"/>
  <c r="AM160" i="6" s="1"/>
  <c r="AV87" i="6"/>
  <c r="AV86" i="6" s="1"/>
  <c r="AM99" i="6"/>
  <c r="AH99" i="6"/>
  <c r="AW87" i="6"/>
  <c r="AW86" i="6" s="1"/>
  <c r="AO42" i="6"/>
  <c r="AO190" i="6"/>
  <c r="AW42" i="6"/>
  <c r="AQ15" i="6"/>
  <c r="AV42" i="6"/>
  <c r="AX116" i="6"/>
  <c r="AP115" i="6"/>
  <c r="AP70" i="6"/>
  <c r="AX71" i="6"/>
  <c r="AV71" i="6"/>
  <c r="AV70" i="6" s="1"/>
  <c r="AU42" i="6"/>
  <c r="AX1077" i="6"/>
  <c r="AU1040" i="6"/>
  <c r="AJ769" i="6"/>
  <c r="AI950" i="6"/>
  <c r="AQ168" i="6"/>
  <c r="AT169" i="6"/>
  <c r="AW169" i="6" s="1"/>
  <c r="AT156" i="6"/>
  <c r="AW156" i="6" s="1"/>
  <c r="AW146" i="6" s="1"/>
  <c r="AQ146" i="6"/>
  <c r="AU116" i="6"/>
  <c r="AJ115" i="6"/>
  <c r="AQ122" i="6"/>
  <c r="AT123" i="6"/>
  <c r="AW123" i="6" s="1"/>
  <c r="AU30" i="6"/>
  <c r="AJ1004" i="6"/>
  <c r="AJ1027" i="6" s="1"/>
  <c r="AU71" i="6"/>
  <c r="AJ70" i="6"/>
  <c r="AU96" i="6"/>
  <c r="AX96" i="6"/>
  <c r="AM16" i="6"/>
  <c r="AM15" i="6" s="1"/>
  <c r="AM14" i="6" s="1"/>
  <c r="AM13" i="6" s="1"/>
  <c r="AP162" i="6"/>
  <c r="AX42" i="6"/>
  <c r="AU179" i="6"/>
  <c r="AH190" i="6"/>
  <c r="AQ116" i="6"/>
  <c r="AT117" i="6"/>
  <c r="AW117" i="6" s="1"/>
  <c r="AQ163" i="6"/>
  <c r="AT164" i="6"/>
  <c r="AW164" i="6" s="1"/>
  <c r="AJ92" i="6"/>
  <c r="AX92" i="6" s="1"/>
  <c r="AU91" i="6"/>
  <c r="AJ88" i="6"/>
  <c r="AX91" i="6"/>
  <c r="AT71" i="6"/>
  <c r="AT70" i="6" s="1"/>
  <c r="AQ70" i="6"/>
  <c r="AU214" i="6"/>
  <c r="AX214" i="6"/>
  <c r="AV163" i="6"/>
  <c r="AV162" i="6" s="1"/>
  <c r="AI92" i="6"/>
  <c r="AI87" i="6" s="1"/>
  <c r="AI86" i="6" s="1"/>
  <c r="AX799" i="6"/>
  <c r="AU799" i="6"/>
  <c r="AX168" i="6"/>
  <c r="AP167" i="6"/>
  <c r="AJ123" i="6"/>
  <c r="AW190" i="6"/>
  <c r="AX137" i="6"/>
  <c r="AO751" i="5"/>
  <c r="AO752" i="5"/>
  <c r="AO750" i="5"/>
  <c r="AO748" i="5"/>
  <c r="AO728" i="5"/>
  <c r="AO716" i="5"/>
  <c r="AO700" i="5"/>
  <c r="AO696" i="5"/>
  <c r="AO694" i="5"/>
  <c r="AO692" i="5"/>
  <c r="AO682" i="5"/>
  <c r="AO680" i="5"/>
  <c r="AO678" i="5"/>
  <c r="AO629" i="5"/>
  <c r="AO627" i="5"/>
  <c r="AO625" i="5"/>
  <c r="AO624" i="5"/>
  <c r="AO622" i="5"/>
  <c r="AO619" i="5"/>
  <c r="AO615" i="5"/>
  <c r="AO609" i="5"/>
  <c r="AO33" i="5"/>
  <c r="AO32" i="5"/>
  <c r="AO29" i="5"/>
  <c r="AO28" i="5"/>
  <c r="AO65" i="5"/>
  <c r="AO63" i="5"/>
  <c r="AO62" i="5"/>
  <c r="AO60" i="5"/>
  <c r="AO59" i="5"/>
  <c r="AO57" i="5"/>
  <c r="AO56" i="5"/>
  <c r="AO54" i="5"/>
  <c r="AO53" i="5"/>
  <c r="AO51" i="5"/>
  <c r="AO50" i="5"/>
  <c r="AO48" i="5"/>
  <c r="AO47" i="5"/>
  <c r="AO45" i="5"/>
  <c r="AO44" i="5"/>
  <c r="AO36" i="5"/>
  <c r="AO35" i="5"/>
  <c r="AO26" i="5"/>
  <c r="AO25" i="5"/>
  <c r="AO23" i="5"/>
  <c r="AO22" i="5"/>
  <c r="AO21" i="5"/>
  <c r="AO20" i="5"/>
  <c r="AO19" i="5"/>
  <c r="AO18" i="5"/>
  <c r="AU167" i="6" l="1"/>
  <c r="AU510" i="6"/>
  <c r="AU70" i="6"/>
  <c r="AU172" i="6"/>
  <c r="AU92" i="6"/>
  <c r="AU163" i="6"/>
  <c r="AU16" i="6"/>
  <c r="AU679" i="6"/>
  <c r="AU124" i="6"/>
  <c r="AU1077" i="6"/>
  <c r="AU115" i="6"/>
  <c r="AU101" i="6"/>
  <c r="AU88" i="6"/>
  <c r="AU240" i="6"/>
  <c r="AU1260" i="6"/>
  <c r="AJ100" i="6"/>
  <c r="AJ15" i="6"/>
  <c r="AX15" i="6" s="1"/>
  <c r="AJ162" i="6"/>
  <c r="AJ167" i="6"/>
  <c r="AX151" i="6"/>
  <c r="AX995" i="6"/>
  <c r="AD12" i="6"/>
  <c r="AD11" i="6" s="1"/>
  <c r="AF12" i="6"/>
  <c r="AF11" i="6" s="1"/>
  <c r="AJ146" i="6"/>
  <c r="AG12" i="6"/>
  <c r="AG11" i="6" s="1"/>
  <c r="AU151" i="6"/>
  <c r="AN12" i="6"/>
  <c r="AN11" i="6" s="1"/>
  <c r="AX16" i="6"/>
  <c r="AK12" i="6"/>
  <c r="AK11" i="6" s="1"/>
  <c r="AI12" i="6"/>
  <c r="AT15" i="6"/>
  <c r="AL14" i="6"/>
  <c r="AL13" i="6" s="1"/>
  <c r="AL12" i="6" s="1"/>
  <c r="AS12" i="6"/>
  <c r="AS11" i="6" s="1"/>
  <c r="AH12" i="6"/>
  <c r="AH11" i="6" s="1"/>
  <c r="AV99" i="6"/>
  <c r="AR14" i="6"/>
  <c r="AR13" i="6" s="1"/>
  <c r="AR12" i="6" s="1"/>
  <c r="AQ14" i="6"/>
  <c r="AQ13" i="6" s="1"/>
  <c r="AI190" i="6"/>
  <c r="AP161" i="6"/>
  <c r="AT146" i="6"/>
  <c r="AV161" i="6"/>
  <c r="AV160" i="6" s="1"/>
  <c r="AM12" i="6"/>
  <c r="AM11" i="6" s="1"/>
  <c r="AO14" i="6"/>
  <c r="AO13" i="6" s="1"/>
  <c r="AJ87" i="6"/>
  <c r="AX88" i="6"/>
  <c r="AT116" i="6"/>
  <c r="AW116" i="6" s="1"/>
  <c r="AW115" i="6" s="1"/>
  <c r="AW100" i="6" s="1"/>
  <c r="AQ115" i="6"/>
  <c r="AX115" i="6"/>
  <c r="AP100" i="6"/>
  <c r="AV14" i="6"/>
  <c r="AV13" i="6" s="1"/>
  <c r="AX240" i="6"/>
  <c r="AQ167" i="6"/>
  <c r="AT168" i="6"/>
  <c r="AW71" i="6"/>
  <c r="AW70" i="6" s="1"/>
  <c r="AW14" i="6" s="1"/>
  <c r="AW13" i="6" s="1"/>
  <c r="AP14" i="6"/>
  <c r="AT122" i="6"/>
  <c r="AW122" i="6" s="1"/>
  <c r="AW121" i="6" s="1"/>
  <c r="AQ121" i="6"/>
  <c r="AT121" i="6" s="1"/>
  <c r="AX769" i="6"/>
  <c r="AU769" i="6"/>
  <c r="AJ950" i="6"/>
  <c r="AX950" i="6" s="1"/>
  <c r="AX70" i="6"/>
  <c r="AU123" i="6"/>
  <c r="AJ122" i="6"/>
  <c r="AX123" i="6"/>
  <c r="AT163" i="6"/>
  <c r="AW163" i="6" s="1"/>
  <c r="AW162" i="6" s="1"/>
  <c r="AQ162" i="6"/>
  <c r="AX1004" i="6"/>
  <c r="AU1004" i="6"/>
  <c r="AX1027" i="6"/>
  <c r="AO31" i="5"/>
  <c r="AL1019" i="5"/>
  <c r="AL1017" i="5"/>
  <c r="AL1016" i="5"/>
  <c r="AL1015" i="5"/>
  <c r="AL1007" i="5"/>
  <c r="AL1006" i="5"/>
  <c r="AL1004" i="5"/>
  <c r="AL1003" i="5"/>
  <c r="AL1002" i="5"/>
  <c r="AL1001" i="5"/>
  <c r="AL1000" i="5"/>
  <c r="AL992" i="5"/>
  <c r="AW168" i="6" l="1"/>
  <c r="AW167" i="6" s="1"/>
  <c r="AT167" i="6"/>
  <c r="AR11" i="6"/>
  <c r="AL11" i="6"/>
  <c r="AU1027" i="6"/>
  <c r="AU100" i="6"/>
  <c r="AU15" i="6"/>
  <c r="AU146" i="6"/>
  <c r="AU162" i="6"/>
  <c r="AU950" i="6"/>
  <c r="AJ14" i="6"/>
  <c r="AJ13" i="6" s="1"/>
  <c r="AU87" i="6"/>
  <c r="AX146" i="6"/>
  <c r="AX161" i="6"/>
  <c r="AX162" i="6"/>
  <c r="AX167" i="6"/>
  <c r="AI11" i="6"/>
  <c r="AG10" i="6"/>
  <c r="AT14" i="6"/>
  <c r="AQ161" i="6"/>
  <c r="AW161" i="6"/>
  <c r="AW160" i="6" s="1"/>
  <c r="AV12" i="6"/>
  <c r="AV11" i="6" s="1"/>
  <c r="AO12" i="6"/>
  <c r="AW99" i="6"/>
  <c r="AW12" i="6" s="1"/>
  <c r="AT115" i="6"/>
  <c r="AQ100" i="6"/>
  <c r="AJ86" i="6"/>
  <c r="AX87" i="6"/>
  <c r="AP13" i="6"/>
  <c r="AT162" i="6"/>
  <c r="AT161" i="6" s="1"/>
  <c r="AJ190" i="6"/>
  <c r="AT13" i="6"/>
  <c r="AU122" i="6"/>
  <c r="AJ121" i="6"/>
  <c r="AX122" i="6"/>
  <c r="AP160" i="6"/>
  <c r="AX100" i="6"/>
  <c r="AP99" i="6"/>
  <c r="AL752" i="5"/>
  <c r="AL751" i="5"/>
  <c r="AL750" i="5"/>
  <c r="AL682" i="5"/>
  <c r="AL716" i="5"/>
  <c r="AL711" i="5"/>
  <c r="AL692" i="5"/>
  <c r="AL680" i="5"/>
  <c r="AL678" i="5"/>
  <c r="AL663" i="5"/>
  <c r="AL632" i="5"/>
  <c r="AL627" i="5"/>
  <c r="AL625" i="5"/>
  <c r="AL624" i="5"/>
  <c r="AL617" i="5"/>
  <c r="AL605" i="5"/>
  <c r="AL604" i="5"/>
  <c r="AL633" i="5"/>
  <c r="AL619" i="5"/>
  <c r="AL603" i="5"/>
  <c r="AO551" i="5"/>
  <c r="AL551" i="5"/>
  <c r="AL555" i="5"/>
  <c r="AL554" i="5"/>
  <c r="AL558" i="5"/>
  <c r="AL574" i="5"/>
  <c r="AO11" i="6" l="1"/>
  <c r="AX14" i="6"/>
  <c r="AU86" i="6"/>
  <c r="AU190" i="6"/>
  <c r="AU121" i="6"/>
  <c r="AU14" i="6"/>
  <c r="AU161" i="6"/>
  <c r="AX190" i="6"/>
  <c r="AP12" i="6"/>
  <c r="AW11" i="6"/>
  <c r="AX121" i="6"/>
  <c r="AJ99" i="6"/>
  <c r="AX86" i="6"/>
  <c r="AT100" i="6"/>
  <c r="AQ99" i="6"/>
  <c r="AQ12" i="6" s="1"/>
  <c r="AX13" i="6"/>
  <c r="AQ160" i="6"/>
  <c r="AT160" i="6" s="1"/>
  <c r="AL531" i="5"/>
  <c r="AL508" i="5"/>
  <c r="AU99" i="6" l="1"/>
  <c r="AU13" i="6"/>
  <c r="AU160" i="6"/>
  <c r="AJ12" i="6"/>
  <c r="AX12" i="6" s="1"/>
  <c r="AX160" i="6"/>
  <c r="AX99" i="6"/>
  <c r="AT99" i="6"/>
  <c r="AT12" i="6" s="1"/>
  <c r="AP11" i="6"/>
  <c r="AO202" i="5"/>
  <c r="AL202" i="5"/>
  <c r="AL216" i="5"/>
  <c r="AL206" i="5"/>
  <c r="AL204" i="5"/>
  <c r="AL66" i="5"/>
  <c r="AL65" i="5"/>
  <c r="AL98" i="5"/>
  <c r="AL97" i="5"/>
  <c r="AL96" i="5"/>
  <c r="AL95" i="5"/>
  <c r="AL94" i="5"/>
  <c r="AL93" i="5"/>
  <c r="AL90" i="5"/>
  <c r="AL54" i="5"/>
  <c r="AL53" i="5"/>
  <c r="AL51" i="5"/>
  <c r="AL50" i="5"/>
  <c r="AL48" i="5"/>
  <c r="AL47" i="5"/>
  <c r="AL45" i="5"/>
  <c r="AL44" i="5"/>
  <c r="AL38" i="5"/>
  <c r="AL37" i="5"/>
  <c r="AL36" i="5"/>
  <c r="AL35" i="5"/>
  <c r="AL33" i="5"/>
  <c r="AL32" i="5"/>
  <c r="AL29" i="5"/>
  <c r="AL28" i="5"/>
  <c r="AL26" i="5"/>
  <c r="AL25" i="5"/>
  <c r="AL23" i="5"/>
  <c r="AL20" i="5"/>
  <c r="AL19" i="5"/>
  <c r="AL18" i="5"/>
  <c r="AI125" i="5"/>
  <c r="AJ125" i="5" s="1"/>
  <c r="AX114" i="5"/>
  <c r="AV114" i="5"/>
  <c r="AU114" i="5"/>
  <c r="AT114" i="5"/>
  <c r="AW114" i="5" s="1"/>
  <c r="AG657" i="5"/>
  <c r="AH686" i="5"/>
  <c r="AI678" i="5"/>
  <c r="AJ678" i="5" s="1"/>
  <c r="AU524" i="5"/>
  <c r="AU12" i="6" l="1"/>
  <c r="AQ11" i="6"/>
  <c r="AT11" i="6" s="1"/>
  <c r="AT453" i="5"/>
  <c r="AW453" i="5" s="1"/>
  <c r="AV453" i="5"/>
  <c r="AU453" i="5"/>
  <c r="AX11" i="6" l="1"/>
  <c r="AU11" i="6"/>
  <c r="AV433" i="5"/>
  <c r="AU433" i="5"/>
  <c r="AT433" i="5"/>
  <c r="AW433" i="5" s="1"/>
  <c r="AV419" i="5"/>
  <c r="AU419" i="5"/>
  <c r="AT419" i="5"/>
  <c r="AW419" i="5" s="1"/>
  <c r="AX968" i="5" l="1"/>
  <c r="AV968" i="5"/>
  <c r="AU968" i="5"/>
  <c r="AT968" i="5"/>
  <c r="AW968" i="5" s="1"/>
  <c r="AI968" i="5"/>
  <c r="AJ968" i="5" s="1"/>
  <c r="AI202" i="5"/>
  <c r="AJ202" i="5" s="1"/>
  <c r="AI210" i="5"/>
  <c r="AJ210" i="5" s="1"/>
  <c r="AG562" i="5" l="1"/>
  <c r="AI676" i="5"/>
  <c r="AJ676" i="5" s="1"/>
  <c r="AI433" i="5"/>
  <c r="AJ433" i="5" s="1"/>
  <c r="AI419" i="5"/>
  <c r="AJ419" i="5" s="1"/>
  <c r="AH531" i="5"/>
  <c r="AH560" i="5"/>
  <c r="AH750" i="5"/>
  <c r="AH692" i="5"/>
  <c r="AS102" i="5" l="1"/>
  <c r="AR102" i="5"/>
  <c r="AQ102" i="5"/>
  <c r="AP102" i="5"/>
  <c r="AO102" i="5"/>
  <c r="AN102" i="5"/>
  <c r="AM102" i="5"/>
  <c r="AL102" i="5"/>
  <c r="AK102" i="5"/>
  <c r="AH102" i="5"/>
  <c r="AG102" i="5"/>
  <c r="AG101" i="5"/>
  <c r="AI966" i="5"/>
  <c r="AJ966" i="5" s="1"/>
  <c r="AI899" i="5"/>
  <c r="AJ899" i="5" s="1"/>
  <c r="AI114" i="5"/>
  <c r="AJ114" i="5" s="1"/>
  <c r="AJ102" i="5" s="1"/>
  <c r="AH864" i="5"/>
  <c r="AI102" i="5" l="1"/>
  <c r="AS1038" i="5"/>
  <c r="AR1038" i="5"/>
  <c r="AQ1038" i="5"/>
  <c r="AT1038" i="5" s="1"/>
  <c r="AP1038" i="5"/>
  <c r="AO1038" i="5"/>
  <c r="AN1038" i="5"/>
  <c r="AM1038" i="5"/>
  <c r="AK1038" i="5"/>
  <c r="AH1038" i="5"/>
  <c r="AG1038" i="5"/>
  <c r="AF1038" i="5"/>
  <c r="AE1038" i="5"/>
  <c r="AD1038" i="5"/>
  <c r="AX1036" i="5"/>
  <c r="AV1036" i="5"/>
  <c r="AU1036" i="5"/>
  <c r="AT1036" i="5"/>
  <c r="AW1036" i="5" s="1"/>
  <c r="AX1035" i="5"/>
  <c r="AV1035" i="5"/>
  <c r="AU1035" i="5"/>
  <c r="AT1035" i="5"/>
  <c r="AW1035" i="5" s="1"/>
  <c r="AX1034" i="5"/>
  <c r="AV1034" i="5"/>
  <c r="AU1034" i="5"/>
  <c r="AT1034" i="5"/>
  <c r="AW1034" i="5" s="1"/>
  <c r="AX1033" i="5"/>
  <c r="AV1033" i="5"/>
  <c r="AU1033" i="5"/>
  <c r="AT1033" i="5"/>
  <c r="AW1033" i="5" s="1"/>
  <c r="AX1032" i="5"/>
  <c r="AV1032" i="5"/>
  <c r="AU1032" i="5"/>
  <c r="AT1032" i="5"/>
  <c r="AW1032" i="5" s="1"/>
  <c r="AV1030" i="5"/>
  <c r="AT1030" i="5"/>
  <c r="AW1030" i="5" s="1"/>
  <c r="AI1030" i="5"/>
  <c r="AJ1030" i="5" s="1"/>
  <c r="AU1030" i="5" s="1"/>
  <c r="AX1028" i="5"/>
  <c r="AV1028" i="5"/>
  <c r="AU1028" i="5"/>
  <c r="AT1028" i="5"/>
  <c r="AW1028" i="5" s="1"/>
  <c r="AX1027" i="5"/>
  <c r="AV1027" i="5"/>
  <c r="AU1027" i="5"/>
  <c r="AT1027" i="5"/>
  <c r="AW1027" i="5" s="1"/>
  <c r="AX1025" i="5"/>
  <c r="AV1025" i="5"/>
  <c r="AU1025" i="5"/>
  <c r="AT1025" i="5"/>
  <c r="AW1025" i="5" s="1"/>
  <c r="AX1023" i="5"/>
  <c r="AV1023" i="5"/>
  <c r="AU1023" i="5"/>
  <c r="AT1023" i="5"/>
  <c r="AW1023" i="5" s="1"/>
  <c r="AX1021" i="5"/>
  <c r="AV1021" i="5"/>
  <c r="AU1021" i="5"/>
  <c r="AT1021" i="5"/>
  <c r="AW1021" i="5" s="1"/>
  <c r="AX1019" i="5"/>
  <c r="AV1019" i="5"/>
  <c r="AU1019" i="5"/>
  <c r="AT1019" i="5"/>
  <c r="AW1019" i="5" s="1"/>
  <c r="AX1017" i="5"/>
  <c r="AV1017" i="5"/>
  <c r="AU1017" i="5"/>
  <c r="AT1017" i="5"/>
  <c r="AW1017" i="5" s="1"/>
  <c r="AX1016" i="5"/>
  <c r="AV1016" i="5"/>
  <c r="AU1016" i="5"/>
  <c r="AT1016" i="5"/>
  <c r="AW1016" i="5" s="1"/>
  <c r="AV1015" i="5"/>
  <c r="AT1015" i="5"/>
  <c r="AW1015" i="5" s="1"/>
  <c r="AI1015" i="5"/>
  <c r="AJ1015" i="5" s="1"/>
  <c r="AX1013" i="5"/>
  <c r="AV1013" i="5"/>
  <c r="AU1013" i="5"/>
  <c r="AT1013" i="5"/>
  <c r="AW1013" i="5" s="1"/>
  <c r="AX1011" i="5"/>
  <c r="AV1011" i="5"/>
  <c r="AU1011" i="5"/>
  <c r="AT1011" i="5"/>
  <c r="AW1011" i="5" s="1"/>
  <c r="AX1009" i="5"/>
  <c r="AV1009" i="5"/>
  <c r="AU1009" i="5"/>
  <c r="AT1009" i="5"/>
  <c r="AW1009" i="5" s="1"/>
  <c r="AX1008" i="5"/>
  <c r="AV1008" i="5"/>
  <c r="AU1008" i="5"/>
  <c r="AT1008" i="5"/>
  <c r="AW1008" i="5" s="1"/>
  <c r="AX1007" i="5"/>
  <c r="AV1007" i="5"/>
  <c r="AU1007" i="5"/>
  <c r="AT1007" i="5"/>
  <c r="AW1007" i="5" s="1"/>
  <c r="AX1006" i="5"/>
  <c r="AV1006" i="5"/>
  <c r="AU1006" i="5"/>
  <c r="AT1006" i="5"/>
  <c r="AW1006" i="5" s="1"/>
  <c r="AX1004" i="5"/>
  <c r="AV1004" i="5"/>
  <c r="AU1004" i="5"/>
  <c r="AT1004" i="5"/>
  <c r="AW1004" i="5" s="1"/>
  <c r="AX1003" i="5"/>
  <c r="AV1003" i="5"/>
  <c r="AU1003" i="5"/>
  <c r="AT1003" i="5"/>
  <c r="AW1003" i="5" s="1"/>
  <c r="AX1001" i="5"/>
  <c r="AV1001" i="5"/>
  <c r="AU1001" i="5"/>
  <c r="AT1001" i="5"/>
  <c r="AW1001" i="5" s="1"/>
  <c r="AX1000" i="5"/>
  <c r="AV1000" i="5"/>
  <c r="AU1000" i="5"/>
  <c r="AT1000" i="5"/>
  <c r="AW1000" i="5" s="1"/>
  <c r="AX999" i="5"/>
  <c r="AV999" i="5"/>
  <c r="AU999" i="5"/>
  <c r="AT999" i="5"/>
  <c r="AW999" i="5" s="1"/>
  <c r="AV995" i="5"/>
  <c r="AT995" i="5"/>
  <c r="AW995" i="5" s="1"/>
  <c r="AI995" i="5"/>
  <c r="AJ995" i="5" s="1"/>
  <c r="AX994" i="5"/>
  <c r="AV994" i="5"/>
  <c r="AU994" i="5"/>
  <c r="AT994" i="5"/>
  <c r="AW994" i="5" s="1"/>
  <c r="AV992" i="5"/>
  <c r="AT992" i="5"/>
  <c r="AW992" i="5" s="1"/>
  <c r="AL1038" i="5"/>
  <c r="AI992" i="5"/>
  <c r="AJ992" i="5" s="1"/>
  <c r="AX992" i="5" s="1"/>
  <c r="AS983" i="5"/>
  <c r="AR983" i="5"/>
  <c r="AQ983" i="5"/>
  <c r="AT983" i="5" s="1"/>
  <c r="AP983" i="5"/>
  <c r="AO983" i="5"/>
  <c r="AN983" i="5"/>
  <c r="AM983" i="5"/>
  <c r="AL983" i="5"/>
  <c r="AK983" i="5"/>
  <c r="AJ983" i="5"/>
  <c r="AI983" i="5"/>
  <c r="AH983" i="5"/>
  <c r="AG983" i="5"/>
  <c r="AF983" i="5"/>
  <c r="AE983" i="5"/>
  <c r="AD983" i="5"/>
  <c r="AX981" i="5"/>
  <c r="AV981" i="5"/>
  <c r="AV983" i="5" s="1"/>
  <c r="AU981" i="5"/>
  <c r="AU983" i="5" s="1"/>
  <c r="AT981" i="5"/>
  <c r="AW981" i="5" s="1"/>
  <c r="AW983" i="5" s="1"/>
  <c r="AS972" i="5"/>
  <c r="AR972" i="5"/>
  <c r="AQ972" i="5"/>
  <c r="AP972" i="5"/>
  <c r="AO972" i="5"/>
  <c r="AN972" i="5"/>
  <c r="AM972" i="5"/>
  <c r="AL972" i="5"/>
  <c r="AK972" i="5"/>
  <c r="AJ972" i="5"/>
  <c r="AI972" i="5"/>
  <c r="AH972" i="5"/>
  <c r="AG972" i="5"/>
  <c r="AF972" i="5"/>
  <c r="AE972" i="5"/>
  <c r="AD972" i="5"/>
  <c r="AX970" i="5"/>
  <c r="AV970" i="5"/>
  <c r="AU970" i="5"/>
  <c r="AT970" i="5"/>
  <c r="AW970" i="5" s="1"/>
  <c r="AX966" i="5"/>
  <c r="AV966" i="5"/>
  <c r="AV972" i="5" s="1"/>
  <c r="AU966" i="5"/>
  <c r="AT966" i="5"/>
  <c r="AW966" i="5" s="1"/>
  <c r="AS957" i="5"/>
  <c r="AR957" i="5"/>
  <c r="AQ957" i="5"/>
  <c r="AP957" i="5"/>
  <c r="AO957" i="5"/>
  <c r="AN957" i="5"/>
  <c r="AM957" i="5"/>
  <c r="AL957" i="5"/>
  <c r="AK957" i="5"/>
  <c r="AJ957" i="5"/>
  <c r="AI957" i="5"/>
  <c r="AH957" i="5"/>
  <c r="AG957" i="5"/>
  <c r="AF957" i="5"/>
  <c r="AE957" i="5"/>
  <c r="AD957" i="5"/>
  <c r="AX955" i="5"/>
  <c r="AV955" i="5"/>
  <c r="AU955" i="5"/>
  <c r="AT955" i="5"/>
  <c r="AW955" i="5" s="1"/>
  <c r="AX954" i="5"/>
  <c r="AV954" i="5"/>
  <c r="AU954" i="5"/>
  <c r="AT954" i="5"/>
  <c r="AW954" i="5" s="1"/>
  <c r="AS944" i="5"/>
  <c r="AR944" i="5"/>
  <c r="AQ944" i="5"/>
  <c r="AT944" i="5" s="1"/>
  <c r="AP944" i="5"/>
  <c r="AX944" i="5" s="1"/>
  <c r="AO944" i="5"/>
  <c r="AN944" i="5"/>
  <c r="AM944" i="5"/>
  <c r="AL944" i="5"/>
  <c r="AK944" i="5"/>
  <c r="AJ944" i="5"/>
  <c r="AI944" i="5"/>
  <c r="AH944" i="5"/>
  <c r="AG944" i="5"/>
  <c r="AF944" i="5"/>
  <c r="AE944" i="5"/>
  <c r="AD944" i="5"/>
  <c r="AX942" i="5"/>
  <c r="AV942" i="5"/>
  <c r="AU942" i="5"/>
  <c r="AT942" i="5"/>
  <c r="AW942" i="5" s="1"/>
  <c r="AX941" i="5"/>
  <c r="AV941" i="5"/>
  <c r="AU941" i="5"/>
  <c r="AT941" i="5"/>
  <c r="AW941" i="5" s="1"/>
  <c r="AX940" i="5"/>
  <c r="AV940" i="5"/>
  <c r="AU940" i="5"/>
  <c r="AT940" i="5"/>
  <c r="AW940" i="5" s="1"/>
  <c r="AX939" i="5"/>
  <c r="AV939" i="5"/>
  <c r="AU939" i="5"/>
  <c r="AT939" i="5"/>
  <c r="AW939" i="5" s="1"/>
  <c r="AX938" i="5"/>
  <c r="AV938" i="5"/>
  <c r="AU938" i="5"/>
  <c r="AT938" i="5"/>
  <c r="AW938" i="5" s="1"/>
  <c r="AS928" i="5"/>
  <c r="AR928" i="5"/>
  <c r="AQ928" i="5"/>
  <c r="AP928" i="5"/>
  <c r="AX928" i="5" s="1"/>
  <c r="AO928" i="5"/>
  <c r="AN928" i="5"/>
  <c r="AM928" i="5"/>
  <c r="AL928" i="5"/>
  <c r="AK928" i="5"/>
  <c r="AJ928" i="5"/>
  <c r="AI928" i="5"/>
  <c r="AH928" i="5"/>
  <c r="AG928" i="5"/>
  <c r="AF928" i="5"/>
  <c r="AE928" i="5"/>
  <c r="AD928" i="5"/>
  <c r="AX926" i="5"/>
  <c r="AV926" i="5"/>
  <c r="AU926" i="5"/>
  <c r="AT926" i="5"/>
  <c r="AW926" i="5" s="1"/>
  <c r="AX925" i="5"/>
  <c r="AV925" i="5"/>
  <c r="AU925" i="5"/>
  <c r="AT925" i="5"/>
  <c r="AW925" i="5" s="1"/>
  <c r="AX924" i="5"/>
  <c r="AV924" i="5"/>
  <c r="AU924" i="5"/>
  <c r="AT924" i="5"/>
  <c r="AW924" i="5" s="1"/>
  <c r="AX923" i="5"/>
  <c r="AV923" i="5"/>
  <c r="AV928" i="5" s="1"/>
  <c r="AU923" i="5"/>
  <c r="AT923" i="5"/>
  <c r="AW923" i="5" s="1"/>
  <c r="AT922" i="5"/>
  <c r="AS913" i="5"/>
  <c r="AR913" i="5"/>
  <c r="AQ913" i="5"/>
  <c r="AT913" i="5" s="1"/>
  <c r="AP913" i="5"/>
  <c r="AO913" i="5"/>
  <c r="AN913" i="5"/>
  <c r="AM913" i="5"/>
  <c r="AL913" i="5"/>
  <c r="AK913" i="5"/>
  <c r="AH913" i="5"/>
  <c r="AG913" i="5"/>
  <c r="AF913" i="5"/>
  <c r="AE913" i="5"/>
  <c r="AD913" i="5"/>
  <c r="AX911" i="5"/>
  <c r="AV911" i="5"/>
  <c r="AU911" i="5"/>
  <c r="AT911" i="5"/>
  <c r="AW911" i="5" s="1"/>
  <c r="AX910" i="5"/>
  <c r="AV910" i="5"/>
  <c r="AU910" i="5"/>
  <c r="AT910" i="5"/>
  <c r="AW910" i="5" s="1"/>
  <c r="AX901" i="5"/>
  <c r="AV901" i="5"/>
  <c r="AU901" i="5"/>
  <c r="AT901" i="5"/>
  <c r="AW901" i="5" s="1"/>
  <c r="AX899" i="5"/>
  <c r="AV899" i="5"/>
  <c r="AU899" i="5"/>
  <c r="AT899" i="5"/>
  <c r="AW899" i="5" s="1"/>
  <c r="AV897" i="5"/>
  <c r="AT897" i="5"/>
  <c r="AW897" i="5" s="1"/>
  <c r="AI897" i="5"/>
  <c r="AJ897" i="5" s="1"/>
  <c r="AU897" i="5" s="1"/>
  <c r="AW895" i="5"/>
  <c r="AV895" i="5"/>
  <c r="AT895" i="5"/>
  <c r="AJ895" i="5"/>
  <c r="AU895" i="5" s="1"/>
  <c r="AI895" i="5"/>
  <c r="AV893" i="5"/>
  <c r="AT893" i="5"/>
  <c r="AW893" i="5" s="1"/>
  <c r="AI893" i="5"/>
  <c r="AJ893" i="5" s="1"/>
  <c r="AV891" i="5"/>
  <c r="AT891" i="5"/>
  <c r="AW891" i="5" s="1"/>
  <c r="AI891" i="5"/>
  <c r="AJ891" i="5" s="1"/>
  <c r="AX891" i="5" s="1"/>
  <c r="AV889" i="5"/>
  <c r="AT889" i="5"/>
  <c r="AW889" i="5" s="1"/>
  <c r="AI889" i="5"/>
  <c r="AJ889" i="5" s="1"/>
  <c r="AV887" i="5"/>
  <c r="AT887" i="5"/>
  <c r="AW887" i="5" s="1"/>
  <c r="AI887" i="5"/>
  <c r="AS878" i="5"/>
  <c r="AR878" i="5"/>
  <c r="AQ878" i="5"/>
  <c r="AP878" i="5"/>
  <c r="AO878" i="5"/>
  <c r="AN878" i="5"/>
  <c r="AM878" i="5"/>
  <c r="AL878" i="5"/>
  <c r="AK878" i="5"/>
  <c r="AG878" i="5"/>
  <c r="AF878" i="5"/>
  <c r="AE878" i="5"/>
  <c r="AD878" i="5"/>
  <c r="AX876" i="5"/>
  <c r="AV876" i="5"/>
  <c r="AU876" i="5"/>
  <c r="AT876" i="5"/>
  <c r="AW876" i="5" s="1"/>
  <c r="AX874" i="5"/>
  <c r="AV874" i="5"/>
  <c r="AU874" i="5"/>
  <c r="AT874" i="5"/>
  <c r="AW874" i="5" s="1"/>
  <c r="AX870" i="5"/>
  <c r="AV870" i="5"/>
  <c r="AU870" i="5"/>
  <c r="AT870" i="5"/>
  <c r="AW870" i="5" s="1"/>
  <c r="AX868" i="5"/>
  <c r="AV868" i="5"/>
  <c r="AU868" i="5"/>
  <c r="AT868" i="5"/>
  <c r="AW868" i="5" s="1"/>
  <c r="AT865" i="5"/>
  <c r="AV864" i="5"/>
  <c r="AV878" i="5" s="1"/>
  <c r="AT864" i="5"/>
  <c r="AW864" i="5" s="1"/>
  <c r="AH878" i="5"/>
  <c r="AS855" i="5"/>
  <c r="AR855" i="5"/>
  <c r="AQ855" i="5"/>
  <c r="AP855" i="5"/>
  <c r="AO855" i="5"/>
  <c r="AN855" i="5"/>
  <c r="AM855" i="5"/>
  <c r="AL855" i="5"/>
  <c r="AK855" i="5"/>
  <c r="AH855" i="5"/>
  <c r="AG855" i="5"/>
  <c r="AF855" i="5"/>
  <c r="AE855" i="5"/>
  <c r="AD855" i="5"/>
  <c r="AX853" i="5"/>
  <c r="AV853" i="5"/>
  <c r="AU853" i="5"/>
  <c r="AT853" i="5"/>
  <c r="AW853" i="5" s="1"/>
  <c r="AX851" i="5"/>
  <c r="AV851" i="5"/>
  <c r="AU851" i="5"/>
  <c r="AT851" i="5"/>
  <c r="AW851" i="5" s="1"/>
  <c r="AX850" i="5"/>
  <c r="AV850" i="5"/>
  <c r="AU850" i="5"/>
  <c r="AT850" i="5"/>
  <c r="AW850" i="5" s="1"/>
  <c r="AV849" i="5"/>
  <c r="AT849" i="5"/>
  <c r="AW849" i="5" s="1"/>
  <c r="AJ849" i="5"/>
  <c r="AU849" i="5" s="1"/>
  <c r="AI849" i="5"/>
  <c r="AX847" i="5"/>
  <c r="AV847" i="5"/>
  <c r="AU847" i="5"/>
  <c r="AT847" i="5"/>
  <c r="AW847" i="5" s="1"/>
  <c r="AV845" i="5"/>
  <c r="AT845" i="5"/>
  <c r="AW845" i="5" s="1"/>
  <c r="AI845" i="5"/>
  <c r="AJ845" i="5" s="1"/>
  <c r="AX843" i="5"/>
  <c r="AV843" i="5"/>
  <c r="AU843" i="5"/>
  <c r="AT843" i="5"/>
  <c r="AW843" i="5" s="1"/>
  <c r="AV841" i="5"/>
  <c r="AT841" i="5"/>
  <c r="AW841" i="5" s="1"/>
  <c r="AJ841" i="5"/>
  <c r="AU841" i="5" s="1"/>
  <c r="AI841" i="5"/>
  <c r="AV839" i="5"/>
  <c r="AT839" i="5"/>
  <c r="AW839" i="5" s="1"/>
  <c r="AI839" i="5"/>
  <c r="AJ839" i="5" s="1"/>
  <c r="AV837" i="5"/>
  <c r="AT837" i="5"/>
  <c r="AW837" i="5" s="1"/>
  <c r="AI837" i="5"/>
  <c r="AI855" i="5" s="1"/>
  <c r="AX835" i="5"/>
  <c r="AV835" i="5"/>
  <c r="AU835" i="5"/>
  <c r="AT835" i="5"/>
  <c r="AW835" i="5" s="1"/>
  <c r="AX830" i="5"/>
  <c r="AV830" i="5"/>
  <c r="AU830" i="5"/>
  <c r="AT830" i="5"/>
  <c r="AW830" i="5" s="1"/>
  <c r="AX828" i="5"/>
  <c r="AV828" i="5"/>
  <c r="AU828" i="5"/>
  <c r="AT828" i="5"/>
  <c r="AW828" i="5" s="1"/>
  <c r="AS819" i="5"/>
  <c r="AR819" i="5"/>
  <c r="AQ819" i="5"/>
  <c r="AP819" i="5"/>
  <c r="AO819" i="5"/>
  <c r="AN819" i="5"/>
  <c r="AM819" i="5"/>
  <c r="AK819" i="5"/>
  <c r="AH819" i="5"/>
  <c r="AF819" i="5"/>
  <c r="AE819" i="5"/>
  <c r="AD819" i="5"/>
  <c r="AX817" i="5"/>
  <c r="AV817" i="5"/>
  <c r="AU817" i="5"/>
  <c r="AT817" i="5"/>
  <c r="AW817" i="5" s="1"/>
  <c r="AX813" i="5"/>
  <c r="AV813" i="5"/>
  <c r="AU813" i="5"/>
  <c r="AT813" i="5"/>
  <c r="AW813" i="5" s="1"/>
  <c r="AX808" i="5"/>
  <c r="AW808" i="5"/>
  <c r="AV808" i="5"/>
  <c r="AU808" i="5"/>
  <c r="AT808" i="5"/>
  <c r="AX804" i="5"/>
  <c r="AV804" i="5"/>
  <c r="AU804" i="5"/>
  <c r="AT804" i="5"/>
  <c r="AW804" i="5" s="1"/>
  <c r="AX798" i="5"/>
  <c r="AW798" i="5"/>
  <c r="AV798" i="5"/>
  <c r="AU798" i="5"/>
  <c r="AT798" i="5"/>
  <c r="AX785" i="5"/>
  <c r="AV785" i="5"/>
  <c r="AU785" i="5"/>
  <c r="AT785" i="5"/>
  <c r="AW785" i="5" s="1"/>
  <c r="AX776" i="5"/>
  <c r="AV776" i="5"/>
  <c r="AU776" i="5"/>
  <c r="AT776" i="5"/>
  <c r="AW776" i="5" s="1"/>
  <c r="AX775" i="5"/>
  <c r="AV775" i="5"/>
  <c r="AU775" i="5"/>
  <c r="AT775" i="5"/>
  <c r="AW775" i="5" s="1"/>
  <c r="AX771" i="5"/>
  <c r="AV771" i="5"/>
  <c r="AU771" i="5"/>
  <c r="AT771" i="5"/>
  <c r="AW771" i="5" s="1"/>
  <c r="AX765" i="5"/>
  <c r="AV765" i="5"/>
  <c r="AU765" i="5"/>
  <c r="AT765" i="5"/>
  <c r="AW765" i="5" s="1"/>
  <c r="AX757" i="5"/>
  <c r="AV757" i="5"/>
  <c r="AU757" i="5"/>
  <c r="AT757" i="5"/>
  <c r="AW757" i="5" s="1"/>
  <c r="AV756" i="5"/>
  <c r="AT756" i="5"/>
  <c r="AW756" i="5" s="1"/>
  <c r="AI756" i="5"/>
  <c r="AJ756" i="5" s="1"/>
  <c r="AU756" i="5" s="1"/>
  <c r="AX752" i="5"/>
  <c r="AV752" i="5"/>
  <c r="AU752" i="5"/>
  <c r="AT752" i="5"/>
  <c r="AW752" i="5" s="1"/>
  <c r="AX751" i="5"/>
  <c r="AV751" i="5"/>
  <c r="AU751" i="5"/>
  <c r="AT751" i="5"/>
  <c r="AW751" i="5" s="1"/>
  <c r="AV750" i="5"/>
  <c r="AT750" i="5"/>
  <c r="AW750" i="5" s="1"/>
  <c r="AI750" i="5"/>
  <c r="AJ750" i="5" s="1"/>
  <c r="AX748" i="5"/>
  <c r="AV748" i="5"/>
  <c r="AU748" i="5"/>
  <c r="AT748" i="5"/>
  <c r="AW748" i="5" s="1"/>
  <c r="AX744" i="5"/>
  <c r="AV744" i="5"/>
  <c r="AU744" i="5"/>
  <c r="AT744" i="5"/>
  <c r="AW744" i="5" s="1"/>
  <c r="AV743" i="5"/>
  <c r="AT743" i="5"/>
  <c r="AW743" i="5" s="1"/>
  <c r="AI743" i="5"/>
  <c r="AJ743" i="5" s="1"/>
  <c r="AU743" i="5" s="1"/>
  <c r="AX736" i="5"/>
  <c r="AW736" i="5"/>
  <c r="AV736" i="5"/>
  <c r="AU736" i="5"/>
  <c r="AT736" i="5"/>
  <c r="AV728" i="5"/>
  <c r="AT728" i="5"/>
  <c r="AW728" i="5" s="1"/>
  <c r="AJ728" i="5"/>
  <c r="AX728" i="5" s="1"/>
  <c r="AI728" i="5"/>
  <c r="AW721" i="5"/>
  <c r="AV721" i="5"/>
  <c r="AT721" i="5"/>
  <c r="AI721" i="5"/>
  <c r="AJ721" i="5" s="1"/>
  <c r="AU721" i="5" s="1"/>
  <c r="AV716" i="5"/>
  <c r="AT716" i="5"/>
  <c r="AW716" i="5" s="1"/>
  <c r="AG716" i="5"/>
  <c r="AI716" i="5" s="1"/>
  <c r="AJ716" i="5" s="1"/>
  <c r="AV711" i="5"/>
  <c r="AT711" i="5"/>
  <c r="AW711" i="5" s="1"/>
  <c r="AG711" i="5"/>
  <c r="AG819" i="5" s="1"/>
  <c r="AV700" i="5"/>
  <c r="AT700" i="5"/>
  <c r="AW700" i="5" s="1"/>
  <c r="AI700" i="5"/>
  <c r="AJ700" i="5" s="1"/>
  <c r="AX696" i="5"/>
  <c r="AV696" i="5"/>
  <c r="AU696" i="5"/>
  <c r="AT696" i="5"/>
  <c r="AW696" i="5" s="1"/>
  <c r="AL696" i="5"/>
  <c r="AX694" i="5"/>
  <c r="AV694" i="5"/>
  <c r="AU694" i="5"/>
  <c r="AT694" i="5"/>
  <c r="AW694" i="5" s="1"/>
  <c r="AT693" i="5"/>
  <c r="AV692" i="5"/>
  <c r="AT692" i="5"/>
  <c r="AW692" i="5" s="1"/>
  <c r="AI692" i="5"/>
  <c r="AJ692" i="5" s="1"/>
  <c r="AU692" i="5" s="1"/>
  <c r="AV690" i="5"/>
  <c r="AT690" i="5"/>
  <c r="AW690" i="5" s="1"/>
  <c r="AI690" i="5"/>
  <c r="AJ690" i="5" s="1"/>
  <c r="AV688" i="5"/>
  <c r="AT688" i="5"/>
  <c r="AW688" i="5" s="1"/>
  <c r="AI688" i="5"/>
  <c r="AJ688" i="5" s="1"/>
  <c r="AX688" i="5" s="1"/>
  <c r="AV686" i="5"/>
  <c r="AT686" i="5"/>
  <c r="AW686" i="5" s="1"/>
  <c r="AI686" i="5"/>
  <c r="AJ686" i="5" s="1"/>
  <c r="AX684" i="5"/>
  <c r="AV684" i="5"/>
  <c r="AU684" i="5"/>
  <c r="AT684" i="5"/>
  <c r="AW684" i="5" s="1"/>
  <c r="AX682" i="5"/>
  <c r="AW682" i="5"/>
  <c r="AV682" i="5"/>
  <c r="AU682" i="5"/>
  <c r="AT682" i="5"/>
  <c r="AX680" i="5"/>
  <c r="AV680" i="5"/>
  <c r="AU680" i="5"/>
  <c r="AT680" i="5"/>
  <c r="AW680" i="5" s="1"/>
  <c r="AX678" i="5"/>
  <c r="AV678" i="5"/>
  <c r="AU678" i="5"/>
  <c r="AT678" i="5"/>
  <c r="AW678" i="5" s="1"/>
  <c r="AX676" i="5"/>
  <c r="AV676" i="5"/>
  <c r="AU676" i="5"/>
  <c r="AT676" i="5"/>
  <c r="AW676" i="5" s="1"/>
  <c r="AX672" i="5"/>
  <c r="AW672" i="5"/>
  <c r="AV672" i="5"/>
  <c r="AU672" i="5"/>
  <c r="AT672" i="5"/>
  <c r="AX670" i="5"/>
  <c r="AV670" i="5"/>
  <c r="AU670" i="5"/>
  <c r="AT670" i="5"/>
  <c r="AW670" i="5" s="1"/>
  <c r="AX668" i="5"/>
  <c r="AV668" i="5"/>
  <c r="AU668" i="5"/>
  <c r="AT668" i="5"/>
  <c r="AW668" i="5" s="1"/>
  <c r="AX663" i="5"/>
  <c r="AV663" i="5"/>
  <c r="AU663" i="5"/>
  <c r="AT663" i="5"/>
  <c r="AW663" i="5" s="1"/>
  <c r="AW657" i="5"/>
  <c r="AV657" i="5"/>
  <c r="AT657" i="5"/>
  <c r="AI657" i="5"/>
  <c r="AJ657" i="5" s="1"/>
  <c r="AV655" i="5"/>
  <c r="AT655" i="5"/>
  <c r="AW655" i="5" s="1"/>
  <c r="AI655" i="5"/>
  <c r="AJ655" i="5" s="1"/>
  <c r="AX653" i="5"/>
  <c r="AV653" i="5"/>
  <c r="AU653" i="5"/>
  <c r="AT653" i="5"/>
  <c r="AW653" i="5" s="1"/>
  <c r="AS643" i="5"/>
  <c r="AR643" i="5"/>
  <c r="AQ643" i="5"/>
  <c r="AP643" i="5"/>
  <c r="AO643" i="5"/>
  <c r="AN643" i="5"/>
  <c r="AM643" i="5"/>
  <c r="AL643" i="5"/>
  <c r="AK643" i="5"/>
  <c r="AH643" i="5"/>
  <c r="AG643" i="5"/>
  <c r="AF643" i="5"/>
  <c r="AE643" i="5"/>
  <c r="AD643" i="5"/>
  <c r="AV641" i="5"/>
  <c r="AT641" i="5"/>
  <c r="AW641" i="5" s="1"/>
  <c r="AI641" i="5"/>
  <c r="AJ641" i="5" s="1"/>
  <c r="AX641" i="5" s="1"/>
  <c r="AX639" i="5"/>
  <c r="AV639" i="5"/>
  <c r="AU639" i="5"/>
  <c r="AT639" i="5"/>
  <c r="AW639" i="5" s="1"/>
  <c r="AX637" i="5"/>
  <c r="AV637" i="5"/>
  <c r="AU637" i="5"/>
  <c r="AT637" i="5"/>
  <c r="AW637" i="5" s="1"/>
  <c r="AX635" i="5"/>
  <c r="AV635" i="5"/>
  <c r="AU635" i="5"/>
  <c r="AT635" i="5"/>
  <c r="AW635" i="5" s="1"/>
  <c r="AX633" i="5"/>
  <c r="AV633" i="5"/>
  <c r="AU633" i="5"/>
  <c r="AT633" i="5"/>
  <c r="AW633" i="5" s="1"/>
  <c r="AV632" i="5"/>
  <c r="AT632" i="5"/>
  <c r="AW632" i="5" s="1"/>
  <c r="AI632" i="5"/>
  <c r="AJ632" i="5" s="1"/>
  <c r="AU632" i="5" s="1"/>
  <c r="AX630" i="5"/>
  <c r="AV630" i="5"/>
  <c r="AU630" i="5"/>
  <c r="AT630" i="5"/>
  <c r="AW630" i="5" s="1"/>
  <c r="AV629" i="5"/>
  <c r="AT629" i="5"/>
  <c r="AW629" i="5" s="1"/>
  <c r="AI629" i="5"/>
  <c r="AJ629" i="5" s="1"/>
  <c r="AX627" i="5"/>
  <c r="AV627" i="5"/>
  <c r="AU627" i="5"/>
  <c r="AT627" i="5"/>
  <c r="AW627" i="5" s="1"/>
  <c r="AX626" i="5"/>
  <c r="AV626" i="5"/>
  <c r="AU626" i="5"/>
  <c r="AT626" i="5"/>
  <c r="AW626" i="5" s="1"/>
  <c r="AX625" i="5"/>
  <c r="AV625" i="5"/>
  <c r="AU625" i="5"/>
  <c r="AT625" i="5"/>
  <c r="AW625" i="5" s="1"/>
  <c r="AX624" i="5"/>
  <c r="AV624" i="5"/>
  <c r="AU624" i="5"/>
  <c r="AT624" i="5"/>
  <c r="AW624" i="5" s="1"/>
  <c r="AX622" i="5"/>
  <c r="AV622" i="5"/>
  <c r="AU622" i="5"/>
  <c r="AT622" i="5"/>
  <c r="AW622" i="5" s="1"/>
  <c r="AX620" i="5"/>
  <c r="AV620" i="5"/>
  <c r="AU620" i="5"/>
  <c r="AT620" i="5"/>
  <c r="AW620" i="5" s="1"/>
  <c r="AV619" i="5"/>
  <c r="AT619" i="5"/>
  <c r="AW619" i="5" s="1"/>
  <c r="AI619" i="5"/>
  <c r="AJ619" i="5" s="1"/>
  <c r="AX617" i="5"/>
  <c r="AV617" i="5"/>
  <c r="AU617" i="5"/>
  <c r="AT617" i="5"/>
  <c r="AW617" i="5" s="1"/>
  <c r="AX615" i="5"/>
  <c r="AV615" i="5"/>
  <c r="AU615" i="5"/>
  <c r="AT615" i="5"/>
  <c r="AW615" i="5" s="1"/>
  <c r="AX613" i="5"/>
  <c r="AW613" i="5"/>
  <c r="AV613" i="5"/>
  <c r="AU613" i="5"/>
  <c r="AT613" i="5"/>
  <c r="AX611" i="5"/>
  <c r="AV611" i="5"/>
  <c r="AU611" i="5"/>
  <c r="AT611" i="5"/>
  <c r="AW611" i="5" s="1"/>
  <c r="AX609" i="5"/>
  <c r="AV609" i="5"/>
  <c r="AU609" i="5"/>
  <c r="AT609" i="5"/>
  <c r="AW609" i="5" s="1"/>
  <c r="AX605" i="5"/>
  <c r="AV605" i="5"/>
  <c r="AU605" i="5"/>
  <c r="AT605" i="5"/>
  <c r="AW605" i="5" s="1"/>
  <c r="AX604" i="5"/>
  <c r="AV604" i="5"/>
  <c r="AU604" i="5"/>
  <c r="AT604" i="5"/>
  <c r="AW604" i="5" s="1"/>
  <c r="AV603" i="5"/>
  <c r="AT603" i="5"/>
  <c r="AW603" i="5" s="1"/>
  <c r="AI603" i="5"/>
  <c r="AJ603" i="5" s="1"/>
  <c r="AX599" i="5"/>
  <c r="AV599" i="5"/>
  <c r="AU599" i="5"/>
  <c r="AT599" i="5"/>
  <c r="AW599" i="5" s="1"/>
  <c r="AV597" i="5"/>
  <c r="AT597" i="5"/>
  <c r="AW597" i="5" s="1"/>
  <c r="AI597" i="5"/>
  <c r="AI643" i="5" s="1"/>
  <c r="AS589" i="5"/>
  <c r="AR589" i="5"/>
  <c r="AQ589" i="5"/>
  <c r="AP589" i="5"/>
  <c r="AO589" i="5"/>
  <c r="AN589" i="5"/>
  <c r="AM589" i="5"/>
  <c r="AK589" i="5"/>
  <c r="AF589" i="5"/>
  <c r="AE589" i="5"/>
  <c r="AD589" i="5"/>
  <c r="AX587" i="5"/>
  <c r="AV587" i="5"/>
  <c r="AU587" i="5"/>
  <c r="AT587" i="5"/>
  <c r="AW587" i="5" s="1"/>
  <c r="AX586" i="5"/>
  <c r="AV586" i="5"/>
  <c r="AU586" i="5"/>
  <c r="AT586" i="5"/>
  <c r="AW586" i="5" s="1"/>
  <c r="AX577" i="5"/>
  <c r="AV577" i="5"/>
  <c r="AU577" i="5"/>
  <c r="AT577" i="5"/>
  <c r="AW577" i="5" s="1"/>
  <c r="AX576" i="5"/>
  <c r="AW576" i="5"/>
  <c r="AV576" i="5"/>
  <c r="AU576" i="5"/>
  <c r="AT576" i="5"/>
  <c r="AX575" i="5"/>
  <c r="AV575" i="5"/>
  <c r="AU575" i="5"/>
  <c r="AT575" i="5"/>
  <c r="AW575" i="5" s="1"/>
  <c r="AX574" i="5"/>
  <c r="AV574" i="5"/>
  <c r="AU574" i="5"/>
  <c r="AT574" i="5"/>
  <c r="AW574" i="5" s="1"/>
  <c r="AX573" i="5"/>
  <c r="AV573" i="5"/>
  <c r="AU573" i="5"/>
  <c r="AT573" i="5"/>
  <c r="AW573" i="5" s="1"/>
  <c r="AW565" i="5"/>
  <c r="AV565" i="5"/>
  <c r="AT565" i="5"/>
  <c r="AI565" i="5"/>
  <c r="AJ565" i="5" s="1"/>
  <c r="AX563" i="5"/>
  <c r="AV563" i="5"/>
  <c r="AU563" i="5"/>
  <c r="AT563" i="5"/>
  <c r="AW563" i="5" s="1"/>
  <c r="AV562" i="5"/>
  <c r="AT562" i="5"/>
  <c r="AW562" i="5" s="1"/>
  <c r="AI562" i="5"/>
  <c r="AJ562" i="5" s="1"/>
  <c r="AV560" i="5"/>
  <c r="AT560" i="5"/>
  <c r="AW560" i="5" s="1"/>
  <c r="AI560" i="5"/>
  <c r="AJ560" i="5" s="1"/>
  <c r="AX558" i="5"/>
  <c r="AV558" i="5"/>
  <c r="AU558" i="5"/>
  <c r="AT558" i="5"/>
  <c r="AW558" i="5" s="1"/>
  <c r="AX555" i="5"/>
  <c r="AV555" i="5"/>
  <c r="AU555" i="5"/>
  <c r="AT555" i="5"/>
  <c r="AW555" i="5" s="1"/>
  <c r="AV554" i="5"/>
  <c r="AT554" i="5"/>
  <c r="AW554" i="5" s="1"/>
  <c r="AI554" i="5"/>
  <c r="AJ554" i="5" s="1"/>
  <c r="AX552" i="5"/>
  <c r="AV552" i="5"/>
  <c r="AU552" i="5"/>
  <c r="AT552" i="5"/>
  <c r="AW552" i="5" s="1"/>
  <c r="AX551" i="5"/>
  <c r="AV551" i="5"/>
  <c r="AT551" i="5"/>
  <c r="AW551" i="5" s="1"/>
  <c r="AI551" i="5"/>
  <c r="AJ551" i="5" s="1"/>
  <c r="AU551" i="5" s="1"/>
  <c r="AV549" i="5"/>
  <c r="AT549" i="5"/>
  <c r="AW549" i="5" s="1"/>
  <c r="AI549" i="5"/>
  <c r="AJ549" i="5" s="1"/>
  <c r="AU549" i="5" s="1"/>
  <c r="AV547" i="5"/>
  <c r="AT547" i="5"/>
  <c r="AW547" i="5" s="1"/>
  <c r="AH547" i="5"/>
  <c r="AH589" i="5" s="1"/>
  <c r="AT546" i="5"/>
  <c r="AV545" i="5"/>
  <c r="AT545" i="5"/>
  <c r="AW545" i="5" s="1"/>
  <c r="AG545" i="5"/>
  <c r="AT544" i="5"/>
  <c r="AV543" i="5"/>
  <c r="AT543" i="5"/>
  <c r="AW543" i="5" s="1"/>
  <c r="AJ543" i="5"/>
  <c r="AI543" i="5"/>
  <c r="AV541" i="5"/>
  <c r="AT541" i="5"/>
  <c r="AW541" i="5" s="1"/>
  <c r="AI541" i="5"/>
  <c r="AJ541" i="5" s="1"/>
  <c r="AV540" i="5"/>
  <c r="AT540" i="5"/>
  <c r="AW540" i="5" s="1"/>
  <c r="AI540" i="5"/>
  <c r="AJ540" i="5" s="1"/>
  <c r="AV538" i="5"/>
  <c r="AT538" i="5"/>
  <c r="AW538" i="5" s="1"/>
  <c r="AI538" i="5"/>
  <c r="AJ538" i="5" s="1"/>
  <c r="AX535" i="5"/>
  <c r="AV535" i="5"/>
  <c r="AU535" i="5"/>
  <c r="AT535" i="5"/>
  <c r="AW535" i="5" s="1"/>
  <c r="AX532" i="5"/>
  <c r="AV532" i="5"/>
  <c r="AU532" i="5"/>
  <c r="AT532" i="5"/>
  <c r="AW532" i="5" s="1"/>
  <c r="AV531" i="5"/>
  <c r="AT531" i="5"/>
  <c r="AW531" i="5" s="1"/>
  <c r="AI531" i="5"/>
  <c r="AJ531" i="5" s="1"/>
  <c r="AX528" i="5"/>
  <c r="AV528" i="5"/>
  <c r="AU528" i="5"/>
  <c r="AT528" i="5"/>
  <c r="AW528" i="5" s="1"/>
  <c r="AX526" i="5"/>
  <c r="AV526" i="5"/>
  <c r="AT526" i="5"/>
  <c r="AW526" i="5" s="1"/>
  <c r="AI526" i="5"/>
  <c r="AJ526" i="5" s="1"/>
  <c r="AU526" i="5" s="1"/>
  <c r="AV524" i="5"/>
  <c r="AT524" i="5"/>
  <c r="AW524" i="5" s="1"/>
  <c r="AJ524" i="5"/>
  <c r="AI524" i="5"/>
  <c r="AX523" i="5"/>
  <c r="AW523" i="5"/>
  <c r="AV523" i="5"/>
  <c r="AU523" i="5"/>
  <c r="AT523" i="5"/>
  <c r="AL523" i="5"/>
  <c r="AX521" i="5"/>
  <c r="AV521" i="5"/>
  <c r="AU521" i="5"/>
  <c r="AT521" i="5"/>
  <c r="AW521" i="5" s="1"/>
  <c r="AX520" i="5"/>
  <c r="AV520" i="5"/>
  <c r="AU520" i="5"/>
  <c r="AT520" i="5"/>
  <c r="AW520" i="5" s="1"/>
  <c r="AW518" i="5"/>
  <c r="AV518" i="5"/>
  <c r="AT518" i="5"/>
  <c r="AI518" i="5"/>
  <c r="AJ518" i="5" s="1"/>
  <c r="AV516" i="5"/>
  <c r="AT516" i="5"/>
  <c r="AW516" i="5" s="1"/>
  <c r="AI516" i="5"/>
  <c r="AJ516" i="5" s="1"/>
  <c r="AX516" i="5" s="1"/>
  <c r="AW514" i="5"/>
  <c r="AV514" i="5"/>
  <c r="AT514" i="5"/>
  <c r="AJ514" i="5"/>
  <c r="AU514" i="5" s="1"/>
  <c r="AI514" i="5"/>
  <c r="AX512" i="5"/>
  <c r="AV512" i="5"/>
  <c r="AU512" i="5"/>
  <c r="AT512" i="5"/>
  <c r="AW512" i="5" s="1"/>
  <c r="AV510" i="5"/>
  <c r="AT510" i="5"/>
  <c r="AW510" i="5" s="1"/>
  <c r="AI510" i="5"/>
  <c r="AJ510" i="5" s="1"/>
  <c r="AU510" i="5" s="1"/>
  <c r="AW508" i="5"/>
  <c r="AV508" i="5"/>
  <c r="AT508" i="5"/>
  <c r="AI508" i="5"/>
  <c r="AJ508" i="5" s="1"/>
  <c r="AV506" i="5"/>
  <c r="AT506" i="5"/>
  <c r="AW506" i="5" s="1"/>
  <c r="AI506" i="5"/>
  <c r="AJ506" i="5" s="1"/>
  <c r="AV504" i="5"/>
  <c r="AT504" i="5"/>
  <c r="AW504" i="5" s="1"/>
  <c r="AI504" i="5"/>
  <c r="AJ504" i="5" s="1"/>
  <c r="AV502" i="5"/>
  <c r="AT502" i="5"/>
  <c r="AW502" i="5" s="1"/>
  <c r="AI502" i="5"/>
  <c r="AJ502" i="5" s="1"/>
  <c r="AX500" i="5"/>
  <c r="AV500" i="5"/>
  <c r="AU500" i="5"/>
  <c r="AT500" i="5"/>
  <c r="AW500" i="5" s="1"/>
  <c r="AX499" i="5"/>
  <c r="AV499" i="5"/>
  <c r="AU499" i="5"/>
  <c r="AT499" i="5"/>
  <c r="AW499" i="5" s="1"/>
  <c r="AV497" i="5"/>
  <c r="AT497" i="5"/>
  <c r="AW497" i="5" s="1"/>
  <c r="AI497" i="5"/>
  <c r="AJ497" i="5" s="1"/>
  <c r="AV496" i="5"/>
  <c r="AT496" i="5"/>
  <c r="AW496" i="5" s="1"/>
  <c r="AI496" i="5"/>
  <c r="AJ496" i="5" s="1"/>
  <c r="AV494" i="5"/>
  <c r="AT494" i="5"/>
  <c r="AW494" i="5" s="1"/>
  <c r="AI494" i="5"/>
  <c r="AJ494" i="5" s="1"/>
  <c r="AX493" i="5"/>
  <c r="AV493" i="5"/>
  <c r="AU493" i="5"/>
  <c r="AT493" i="5"/>
  <c r="AW493" i="5" s="1"/>
  <c r="AV492" i="5"/>
  <c r="AT492" i="5"/>
  <c r="AW492" i="5" s="1"/>
  <c r="AI492" i="5"/>
  <c r="AJ492" i="5" s="1"/>
  <c r="AV490" i="5"/>
  <c r="AT490" i="5"/>
  <c r="AW490" i="5" s="1"/>
  <c r="AI490" i="5"/>
  <c r="AJ490" i="5" s="1"/>
  <c r="AW488" i="5"/>
  <c r="AV488" i="5"/>
  <c r="AT488" i="5"/>
  <c r="AI488" i="5"/>
  <c r="AJ488" i="5" s="1"/>
  <c r="AU488" i="5" s="1"/>
  <c r="AV486" i="5"/>
  <c r="AT486" i="5"/>
  <c r="AW486" i="5" s="1"/>
  <c r="AI486" i="5"/>
  <c r="AX484" i="5"/>
  <c r="AV484" i="5"/>
  <c r="AU484" i="5"/>
  <c r="AT484" i="5"/>
  <c r="AW484" i="5" s="1"/>
  <c r="AX480" i="5"/>
  <c r="AV480" i="5"/>
  <c r="AU480" i="5"/>
  <c r="AT480" i="5"/>
  <c r="AW480" i="5" s="1"/>
  <c r="AX478" i="5"/>
  <c r="AV478" i="5"/>
  <c r="AU478" i="5"/>
  <c r="AT478" i="5"/>
  <c r="AW478" i="5" s="1"/>
  <c r="AX476" i="5"/>
  <c r="AV476" i="5"/>
  <c r="AU476" i="5"/>
  <c r="AT476" i="5"/>
  <c r="AW476" i="5" s="1"/>
  <c r="AS467" i="5"/>
  <c r="AR467" i="5"/>
  <c r="AQ467" i="5"/>
  <c r="AP467" i="5"/>
  <c r="AN467" i="5"/>
  <c r="AM467" i="5"/>
  <c r="AK467" i="5"/>
  <c r="AH467" i="5"/>
  <c r="AG467" i="5"/>
  <c r="AF467" i="5"/>
  <c r="AE467" i="5"/>
  <c r="AE180" i="5" s="1"/>
  <c r="AD467" i="5"/>
  <c r="AV465" i="5"/>
  <c r="AT465" i="5"/>
  <c r="AW465" i="5" s="1"/>
  <c r="AI465" i="5"/>
  <c r="AJ465" i="5" s="1"/>
  <c r="AX463" i="5"/>
  <c r="AV463" i="5"/>
  <c r="AU463" i="5"/>
  <c r="AT463" i="5"/>
  <c r="AW463" i="5" s="1"/>
  <c r="AX462" i="5"/>
  <c r="AV462" i="5"/>
  <c r="AU462" i="5"/>
  <c r="AT462" i="5"/>
  <c r="AW462" i="5" s="1"/>
  <c r="AV461" i="5"/>
  <c r="AT461" i="5"/>
  <c r="AW461" i="5" s="1"/>
  <c r="AO467" i="5"/>
  <c r="AI461" i="5"/>
  <c r="AJ461" i="5" s="1"/>
  <c r="AX452" i="5"/>
  <c r="AV452" i="5"/>
  <c r="AU452" i="5"/>
  <c r="AT452" i="5"/>
  <c r="AW452" i="5" s="1"/>
  <c r="AX451" i="5"/>
  <c r="AV451" i="5"/>
  <c r="AU451" i="5"/>
  <c r="AT451" i="5"/>
  <c r="AW451" i="5" s="1"/>
  <c r="AV449" i="5"/>
  <c r="AT449" i="5"/>
  <c r="AW449" i="5" s="1"/>
  <c r="AI449" i="5"/>
  <c r="AJ449" i="5" s="1"/>
  <c r="AV448" i="5"/>
  <c r="AT448" i="5"/>
  <c r="AW448" i="5" s="1"/>
  <c r="AI448" i="5"/>
  <c r="AJ448" i="5" s="1"/>
  <c r="AX446" i="5"/>
  <c r="AV446" i="5"/>
  <c r="AU446" i="5"/>
  <c r="AT446" i="5"/>
  <c r="AW446" i="5" s="1"/>
  <c r="AX444" i="5"/>
  <c r="AV444" i="5"/>
  <c r="AU444" i="5"/>
  <c r="AT444" i="5"/>
  <c r="AW444" i="5" s="1"/>
  <c r="AV442" i="5"/>
  <c r="AT442" i="5"/>
  <c r="AW442" i="5" s="1"/>
  <c r="AI442" i="5"/>
  <c r="AJ442" i="5" s="1"/>
  <c r="AX441" i="5"/>
  <c r="AV441" i="5"/>
  <c r="AU441" i="5"/>
  <c r="AT441" i="5"/>
  <c r="AW441" i="5" s="1"/>
  <c r="AV439" i="5"/>
  <c r="AT439" i="5"/>
  <c r="AW439" i="5" s="1"/>
  <c r="AI439" i="5"/>
  <c r="AJ439" i="5" s="1"/>
  <c r="AX438" i="5"/>
  <c r="AV438" i="5"/>
  <c r="AU438" i="5"/>
  <c r="AT438" i="5"/>
  <c r="AW438" i="5" s="1"/>
  <c r="AX436" i="5"/>
  <c r="AV436" i="5"/>
  <c r="AU436" i="5"/>
  <c r="AT436" i="5"/>
  <c r="AW436" i="5" s="1"/>
  <c r="AX435" i="5"/>
  <c r="AV435" i="5"/>
  <c r="AU435" i="5"/>
  <c r="AT435" i="5"/>
  <c r="AW435" i="5" s="1"/>
  <c r="AV431" i="5"/>
  <c r="AT431" i="5"/>
  <c r="AW431" i="5" s="1"/>
  <c r="AI431" i="5"/>
  <c r="AJ431" i="5" s="1"/>
  <c r="AX429" i="5"/>
  <c r="AV429" i="5"/>
  <c r="AU429" i="5"/>
  <c r="AT429" i="5"/>
  <c r="AW429" i="5" s="1"/>
  <c r="AX427" i="5"/>
  <c r="AV427" i="5"/>
  <c r="AU427" i="5"/>
  <c r="AT427" i="5"/>
  <c r="AW427" i="5" s="1"/>
  <c r="AV424" i="5"/>
  <c r="AT424" i="5"/>
  <c r="AW424" i="5" s="1"/>
  <c r="AI424" i="5"/>
  <c r="AJ424" i="5" s="1"/>
  <c r="AX421" i="5"/>
  <c r="AV421" i="5"/>
  <c r="AU421" i="5"/>
  <c r="AT421" i="5"/>
  <c r="AW421" i="5" s="1"/>
  <c r="AV418" i="5"/>
  <c r="AT418" i="5"/>
  <c r="AW418" i="5" s="1"/>
  <c r="AI418" i="5"/>
  <c r="AJ418" i="5" s="1"/>
  <c r="AV417" i="5"/>
  <c r="AT417" i="5"/>
  <c r="AW417" i="5" s="1"/>
  <c r="AI417" i="5"/>
  <c r="AJ417" i="5" s="1"/>
  <c r="AV415" i="5"/>
  <c r="AT415" i="5"/>
  <c r="AW415" i="5" s="1"/>
  <c r="AI415" i="5"/>
  <c r="AJ415" i="5" s="1"/>
  <c r="AX411" i="5"/>
  <c r="AW411" i="5"/>
  <c r="AV411" i="5"/>
  <c r="AU411" i="5"/>
  <c r="AT411" i="5"/>
  <c r="AX407" i="5"/>
  <c r="AV407" i="5"/>
  <c r="AU407" i="5"/>
  <c r="AT407" i="5"/>
  <c r="AW407" i="5" s="1"/>
  <c r="AX406" i="5"/>
  <c r="AV406" i="5"/>
  <c r="AU406" i="5"/>
  <c r="AT406" i="5"/>
  <c r="AW406" i="5" s="1"/>
  <c r="AX405" i="5"/>
  <c r="AV405" i="5"/>
  <c r="AU405" i="5"/>
  <c r="AT405" i="5"/>
  <c r="AW405" i="5" s="1"/>
  <c r="AX404" i="5"/>
  <c r="AV404" i="5"/>
  <c r="AU404" i="5"/>
  <c r="AT404" i="5"/>
  <c r="AW404" i="5" s="1"/>
  <c r="AX403" i="5"/>
  <c r="AV403" i="5"/>
  <c r="AU403" i="5"/>
  <c r="AT403" i="5"/>
  <c r="AW403" i="5" s="1"/>
  <c r="AX401" i="5"/>
  <c r="AV401" i="5"/>
  <c r="AU401" i="5"/>
  <c r="AT401" i="5"/>
  <c r="AW401" i="5" s="1"/>
  <c r="AX400" i="5"/>
  <c r="AV400" i="5"/>
  <c r="AU400" i="5"/>
  <c r="AT400" i="5"/>
  <c r="AW400" i="5" s="1"/>
  <c r="AX399" i="5"/>
  <c r="AV399" i="5"/>
  <c r="AU399" i="5"/>
  <c r="AT399" i="5"/>
  <c r="AW399" i="5" s="1"/>
  <c r="AX397" i="5"/>
  <c r="AV397" i="5"/>
  <c r="AU397" i="5"/>
  <c r="AT397" i="5"/>
  <c r="AW397" i="5" s="1"/>
  <c r="AX392" i="5"/>
  <c r="AV392" i="5"/>
  <c r="AU392" i="5"/>
  <c r="AT392" i="5"/>
  <c r="AW392" i="5" s="1"/>
  <c r="AX390" i="5"/>
  <c r="AV390" i="5"/>
  <c r="AU390" i="5"/>
  <c r="AT390" i="5"/>
  <c r="AW390" i="5" s="1"/>
  <c r="AX388" i="5"/>
  <c r="AV388" i="5"/>
  <c r="AU388" i="5"/>
  <c r="AT388" i="5"/>
  <c r="AW388" i="5" s="1"/>
  <c r="AX386" i="5"/>
  <c r="AV386" i="5"/>
  <c r="AU386" i="5"/>
  <c r="AT386" i="5"/>
  <c r="AW386" i="5" s="1"/>
  <c r="AX385" i="5"/>
  <c r="AV385" i="5"/>
  <c r="AU385" i="5"/>
  <c r="AT385" i="5"/>
  <c r="AW385" i="5" s="1"/>
  <c r="AV381" i="5"/>
  <c r="AT381" i="5"/>
  <c r="AW381" i="5" s="1"/>
  <c r="AI381" i="5"/>
  <c r="AJ381" i="5" s="1"/>
  <c r="AU381" i="5" s="1"/>
  <c r="AX380" i="5"/>
  <c r="AV380" i="5"/>
  <c r="AU380" i="5"/>
  <c r="AT380" i="5"/>
  <c r="AW380" i="5" s="1"/>
  <c r="AX376" i="5"/>
  <c r="AV376" i="5"/>
  <c r="AU376" i="5"/>
  <c r="AT376" i="5"/>
  <c r="AW376" i="5" s="1"/>
  <c r="AX367" i="5"/>
  <c r="AV367" i="5"/>
  <c r="AU367" i="5"/>
  <c r="AT367" i="5"/>
  <c r="AW367" i="5" s="1"/>
  <c r="AX365" i="5"/>
  <c r="AV365" i="5"/>
  <c r="AU365" i="5"/>
  <c r="AT365" i="5"/>
  <c r="AW365" i="5" s="1"/>
  <c r="AX360" i="5"/>
  <c r="AV360" i="5"/>
  <c r="AU360" i="5"/>
  <c r="AT360" i="5"/>
  <c r="AW360" i="5" s="1"/>
  <c r="AX358" i="5"/>
  <c r="AV358" i="5"/>
  <c r="AU358" i="5"/>
  <c r="AT358" i="5"/>
  <c r="AW358" i="5" s="1"/>
  <c r="AX356" i="5"/>
  <c r="AW356" i="5"/>
  <c r="AV356" i="5"/>
  <c r="AU356" i="5"/>
  <c r="AT356" i="5"/>
  <c r="AX354" i="5"/>
  <c r="AV354" i="5"/>
  <c r="AU354" i="5"/>
  <c r="AT354" i="5"/>
  <c r="AW354" i="5" s="1"/>
  <c r="AX351" i="5"/>
  <c r="AV351" i="5"/>
  <c r="AU351" i="5"/>
  <c r="AT351" i="5"/>
  <c r="AW351" i="5" s="1"/>
  <c r="AX349" i="5"/>
  <c r="AV349" i="5"/>
  <c r="AU349" i="5"/>
  <c r="AT349" i="5"/>
  <c r="AW349" i="5" s="1"/>
  <c r="AX347" i="5"/>
  <c r="AV347" i="5"/>
  <c r="AU347" i="5"/>
  <c r="AT347" i="5"/>
  <c r="AW347" i="5" s="1"/>
  <c r="AX345" i="5"/>
  <c r="AV345" i="5"/>
  <c r="AU345" i="5"/>
  <c r="AT345" i="5"/>
  <c r="AW345" i="5" s="1"/>
  <c r="AX341" i="5"/>
  <c r="AV341" i="5"/>
  <c r="AU341" i="5"/>
  <c r="AT341" i="5"/>
  <c r="AW341" i="5" s="1"/>
  <c r="AX339" i="5"/>
  <c r="AV339" i="5"/>
  <c r="AU339" i="5"/>
  <c r="AT339" i="5"/>
  <c r="AW339" i="5" s="1"/>
  <c r="AX335" i="5"/>
  <c r="AV335" i="5"/>
  <c r="AU335" i="5"/>
  <c r="AT335" i="5"/>
  <c r="AW335" i="5" s="1"/>
  <c r="AX333" i="5"/>
  <c r="AV333" i="5"/>
  <c r="AU333" i="5"/>
  <c r="AT333" i="5"/>
  <c r="AW333" i="5" s="1"/>
  <c r="AX331" i="5"/>
  <c r="AV331" i="5"/>
  <c r="AU331" i="5"/>
  <c r="AT331" i="5"/>
  <c r="AW331" i="5" s="1"/>
  <c r="AX329" i="5"/>
  <c r="AV329" i="5"/>
  <c r="AU329" i="5"/>
  <c r="AT329" i="5"/>
  <c r="AW329" i="5" s="1"/>
  <c r="AX321" i="5"/>
  <c r="AV321" i="5"/>
  <c r="AU321" i="5"/>
  <c r="AT321" i="5"/>
  <c r="AW321" i="5" s="1"/>
  <c r="AX319" i="5"/>
  <c r="AW319" i="5"/>
  <c r="AV319" i="5"/>
  <c r="AU319" i="5"/>
  <c r="AT319" i="5"/>
  <c r="AX315" i="5"/>
  <c r="AV315" i="5"/>
  <c r="AU315" i="5"/>
  <c r="AT315" i="5"/>
  <c r="AW315" i="5" s="1"/>
  <c r="AX313" i="5"/>
  <c r="AV313" i="5"/>
  <c r="AU313" i="5"/>
  <c r="AT313" i="5"/>
  <c r="AW313" i="5" s="1"/>
  <c r="AX311" i="5"/>
  <c r="AV311" i="5"/>
  <c r="AU311" i="5"/>
  <c r="AT311" i="5"/>
  <c r="AW311" i="5" s="1"/>
  <c r="AX309" i="5"/>
  <c r="AV309" i="5"/>
  <c r="AU309" i="5"/>
  <c r="AT309" i="5"/>
  <c r="AW309" i="5" s="1"/>
  <c r="AX306" i="5"/>
  <c r="AV306" i="5"/>
  <c r="AU306" i="5"/>
  <c r="AT306" i="5"/>
  <c r="AW306" i="5" s="1"/>
  <c r="AX304" i="5"/>
  <c r="AV304" i="5"/>
  <c r="AU304" i="5"/>
  <c r="AT304" i="5"/>
  <c r="AW304" i="5" s="1"/>
  <c r="AX302" i="5"/>
  <c r="AV302" i="5"/>
  <c r="AU302" i="5"/>
  <c r="AT302" i="5"/>
  <c r="AW302" i="5" s="1"/>
  <c r="AX300" i="5"/>
  <c r="AV300" i="5"/>
  <c r="AU300" i="5"/>
  <c r="AT300" i="5"/>
  <c r="AW300" i="5" s="1"/>
  <c r="AX297" i="5"/>
  <c r="AW297" i="5"/>
  <c r="AV297" i="5"/>
  <c r="AU297" i="5"/>
  <c r="AT297" i="5"/>
  <c r="AX295" i="5"/>
  <c r="AV295" i="5"/>
  <c r="AU295" i="5"/>
  <c r="AT295" i="5"/>
  <c r="AW295" i="5" s="1"/>
  <c r="AX292" i="5"/>
  <c r="AV292" i="5"/>
  <c r="AU292" i="5"/>
  <c r="AT292" i="5"/>
  <c r="AW292" i="5" s="1"/>
  <c r="AX290" i="5"/>
  <c r="AV290" i="5"/>
  <c r="AU290" i="5"/>
  <c r="AT290" i="5"/>
  <c r="AW290" i="5" s="1"/>
  <c r="AV288" i="5"/>
  <c r="AT288" i="5"/>
  <c r="AW288" i="5" s="1"/>
  <c r="AJ288" i="5"/>
  <c r="AX288" i="5" s="1"/>
  <c r="AI288" i="5"/>
  <c r="AX286" i="5"/>
  <c r="AV286" i="5"/>
  <c r="AU286" i="5"/>
  <c r="AT286" i="5"/>
  <c r="AW286" i="5" s="1"/>
  <c r="AX284" i="5"/>
  <c r="AV284" i="5"/>
  <c r="AU284" i="5"/>
  <c r="AT284" i="5"/>
  <c r="AW284" i="5" s="1"/>
  <c r="AV282" i="5"/>
  <c r="AT282" i="5"/>
  <c r="AW282" i="5" s="1"/>
  <c r="AI282" i="5"/>
  <c r="AJ282" i="5" s="1"/>
  <c r="AV281" i="5"/>
  <c r="AT281" i="5"/>
  <c r="AW281" i="5" s="1"/>
  <c r="AI281" i="5"/>
  <c r="AJ281" i="5" s="1"/>
  <c r="AX281" i="5" s="1"/>
  <c r="AX272" i="5"/>
  <c r="AV272" i="5"/>
  <c r="AU272" i="5"/>
  <c r="AT272" i="5"/>
  <c r="AW272" i="5" s="1"/>
  <c r="AX270" i="5"/>
  <c r="AV270" i="5"/>
  <c r="AU270" i="5"/>
  <c r="AT270" i="5"/>
  <c r="AW270" i="5" s="1"/>
  <c r="AX268" i="5"/>
  <c r="AV268" i="5"/>
  <c r="AU268" i="5"/>
  <c r="AT268" i="5"/>
  <c r="AW268" i="5" s="1"/>
  <c r="AX266" i="5"/>
  <c r="AV266" i="5"/>
  <c r="AU266" i="5"/>
  <c r="AT266" i="5"/>
  <c r="AW266" i="5" s="1"/>
  <c r="AX262" i="5"/>
  <c r="AV262" i="5"/>
  <c r="AU262" i="5"/>
  <c r="AT262" i="5"/>
  <c r="AW262" i="5" s="1"/>
  <c r="AT261" i="5"/>
  <c r="AX260" i="5"/>
  <c r="AV260" i="5"/>
  <c r="AU260" i="5"/>
  <c r="AT260" i="5"/>
  <c r="AW260" i="5" s="1"/>
  <c r="AT259" i="5"/>
  <c r="AX258" i="5"/>
  <c r="AV258" i="5"/>
  <c r="AU258" i="5"/>
  <c r="AT258" i="5"/>
  <c r="AW258" i="5" s="1"/>
  <c r="AT257" i="5"/>
  <c r="AX256" i="5"/>
  <c r="AV256" i="5"/>
  <c r="AU256" i="5"/>
  <c r="AT256" i="5"/>
  <c r="AW256" i="5" s="1"/>
  <c r="AT255" i="5"/>
  <c r="AX254" i="5"/>
  <c r="AV254" i="5"/>
  <c r="AU254" i="5"/>
  <c r="AT254" i="5"/>
  <c r="AW254" i="5" s="1"/>
  <c r="AT253" i="5"/>
  <c r="AX252" i="5"/>
  <c r="AV252" i="5"/>
  <c r="AU252" i="5"/>
  <c r="AT252" i="5"/>
  <c r="AW252" i="5" s="1"/>
  <c r="AX250" i="5"/>
  <c r="AV250" i="5"/>
  <c r="AU250" i="5"/>
  <c r="AT250" i="5"/>
  <c r="AW250" i="5" s="1"/>
  <c r="AX248" i="5"/>
  <c r="AV248" i="5"/>
  <c r="AU248" i="5"/>
  <c r="AT248" i="5"/>
  <c r="AW248" i="5" s="1"/>
  <c r="AX246" i="5"/>
  <c r="AV246" i="5"/>
  <c r="AU246" i="5"/>
  <c r="AT246" i="5"/>
  <c r="AW246" i="5" s="1"/>
  <c r="AX243" i="5"/>
  <c r="AV243" i="5"/>
  <c r="AU243" i="5"/>
  <c r="AT243" i="5"/>
  <c r="AW243" i="5" s="1"/>
  <c r="AX241" i="5"/>
  <c r="AV241" i="5"/>
  <c r="AU241" i="5"/>
  <c r="AT241" i="5"/>
  <c r="AW241" i="5" s="1"/>
  <c r="AX238" i="5"/>
  <c r="AV238" i="5"/>
  <c r="AU238" i="5"/>
  <c r="AT238" i="5"/>
  <c r="AW238" i="5" s="1"/>
  <c r="AV236" i="5"/>
  <c r="AT236" i="5"/>
  <c r="AW236" i="5" s="1"/>
  <c r="AI236" i="5"/>
  <c r="AJ236" i="5" s="1"/>
  <c r="AV233" i="5"/>
  <c r="AT233" i="5"/>
  <c r="AW233" i="5" s="1"/>
  <c r="AJ233" i="5"/>
  <c r="AV232" i="5"/>
  <c r="AT232" i="5"/>
  <c r="AW232" i="5" s="1"/>
  <c r="AI232" i="5"/>
  <c r="AJ232" i="5" s="1"/>
  <c r="AX232" i="5" s="1"/>
  <c r="AS221" i="5"/>
  <c r="AR221" i="5"/>
  <c r="AQ221" i="5"/>
  <c r="AP221" i="5"/>
  <c r="AO221" i="5"/>
  <c r="AN221" i="5"/>
  <c r="AM221" i="5"/>
  <c r="AK221" i="5"/>
  <c r="AH221" i="5"/>
  <c r="AG221" i="5"/>
  <c r="AF221" i="5"/>
  <c r="AE221" i="5"/>
  <c r="AD221" i="5"/>
  <c r="AX219" i="5"/>
  <c r="AV219" i="5"/>
  <c r="AU219" i="5"/>
  <c r="AT219" i="5"/>
  <c r="AW219" i="5" s="1"/>
  <c r="AX216" i="5"/>
  <c r="AV216" i="5"/>
  <c r="AU216" i="5"/>
  <c r="AT216" i="5"/>
  <c r="AW216" i="5" s="1"/>
  <c r="AX214" i="5"/>
  <c r="AV214" i="5"/>
  <c r="AU214" i="5"/>
  <c r="AT214" i="5"/>
  <c r="AW214" i="5" s="1"/>
  <c r="AX212" i="5"/>
  <c r="AV212" i="5"/>
  <c r="AU212" i="5"/>
  <c r="AT212" i="5"/>
  <c r="AW212" i="5" s="1"/>
  <c r="AV210" i="5"/>
  <c r="AT210" i="5"/>
  <c r="AW210" i="5" s="1"/>
  <c r="AX208" i="5"/>
  <c r="AV208" i="5"/>
  <c r="AU208" i="5"/>
  <c r="AT208" i="5"/>
  <c r="AW208" i="5" s="1"/>
  <c r="AX206" i="5"/>
  <c r="AV206" i="5"/>
  <c r="AU206" i="5"/>
  <c r="AT206" i="5"/>
  <c r="AW206" i="5" s="1"/>
  <c r="AX204" i="5"/>
  <c r="AV204" i="5"/>
  <c r="AU204" i="5"/>
  <c r="AT204" i="5"/>
  <c r="AW204" i="5" s="1"/>
  <c r="AX202" i="5"/>
  <c r="AV202" i="5"/>
  <c r="AU202" i="5"/>
  <c r="AT202" i="5"/>
  <c r="AW202" i="5" s="1"/>
  <c r="AX199" i="5"/>
  <c r="AV199" i="5"/>
  <c r="AU199" i="5"/>
  <c r="AT199" i="5"/>
  <c r="AW199" i="5" s="1"/>
  <c r="AX194" i="5"/>
  <c r="AV194" i="5"/>
  <c r="AU194" i="5"/>
  <c r="AT194" i="5"/>
  <c r="AW194" i="5" s="1"/>
  <c r="AX192" i="5"/>
  <c r="AV192" i="5"/>
  <c r="AU192" i="5"/>
  <c r="AT192" i="5"/>
  <c r="AW192" i="5" s="1"/>
  <c r="AX189" i="5"/>
  <c r="AV189" i="5"/>
  <c r="AU189" i="5"/>
  <c r="AT189" i="5"/>
  <c r="AW189" i="5" s="1"/>
  <c r="AX178" i="5"/>
  <c r="AV178" i="5"/>
  <c r="AU178" i="5"/>
  <c r="AT178" i="5"/>
  <c r="AW178" i="5" s="1"/>
  <c r="AS177" i="5"/>
  <c r="AR177" i="5"/>
  <c r="AQ177" i="5"/>
  <c r="AT177" i="5" s="1"/>
  <c r="AP177" i="5"/>
  <c r="AX177" i="5" s="1"/>
  <c r="AO177" i="5"/>
  <c r="AN177" i="5"/>
  <c r="AM177" i="5"/>
  <c r="AL177" i="5"/>
  <c r="AK177" i="5"/>
  <c r="AJ177" i="5"/>
  <c r="AI177" i="5"/>
  <c r="AH177" i="5"/>
  <c r="AG177" i="5"/>
  <c r="AF177" i="5"/>
  <c r="AE177" i="5"/>
  <c r="AD177" i="5"/>
  <c r="AX176" i="5"/>
  <c r="AV176" i="5"/>
  <c r="AU176" i="5"/>
  <c r="AT176" i="5"/>
  <c r="AW176" i="5" s="1"/>
  <c r="AX175" i="5"/>
  <c r="AV175" i="5"/>
  <c r="AU175" i="5"/>
  <c r="AT175" i="5"/>
  <c r="AW175" i="5" s="1"/>
  <c r="AX174" i="5"/>
  <c r="AV174" i="5"/>
  <c r="AU174" i="5"/>
  <c r="AT174" i="5"/>
  <c r="AW174" i="5" s="1"/>
  <c r="AX173" i="5"/>
  <c r="AV173" i="5"/>
  <c r="AU173" i="5"/>
  <c r="AT173" i="5"/>
  <c r="AW173" i="5" s="1"/>
  <c r="AS172" i="5"/>
  <c r="AS171" i="5" s="1"/>
  <c r="AR172" i="5"/>
  <c r="AQ172" i="5"/>
  <c r="AT172" i="5" s="1"/>
  <c r="AP172" i="5"/>
  <c r="AX172" i="5" s="1"/>
  <c r="AO172" i="5"/>
  <c r="AO171" i="5" s="1"/>
  <c r="AN172" i="5"/>
  <c r="AM172" i="5"/>
  <c r="AL172" i="5"/>
  <c r="AL171" i="5" s="1"/>
  <c r="AK172" i="5"/>
  <c r="AK171" i="5" s="1"/>
  <c r="AJ172" i="5"/>
  <c r="AI172" i="5"/>
  <c r="AI171" i="5" s="1"/>
  <c r="AH172" i="5"/>
  <c r="AH171" i="5" s="1"/>
  <c r="AG172" i="5"/>
  <c r="AG171" i="5" s="1"/>
  <c r="AF172" i="5"/>
  <c r="AE172" i="5"/>
  <c r="AE171" i="5" s="1"/>
  <c r="AD172" i="5"/>
  <c r="AR171" i="5"/>
  <c r="AJ171" i="5"/>
  <c r="AD171" i="5"/>
  <c r="AX170" i="5"/>
  <c r="AV170" i="5"/>
  <c r="AU170" i="5"/>
  <c r="AT170" i="5"/>
  <c r="AW170" i="5" s="1"/>
  <c r="AX169" i="5"/>
  <c r="AV169" i="5"/>
  <c r="AV168" i="5" s="1"/>
  <c r="AV167" i="5" s="1"/>
  <c r="AV166" i="5" s="1"/>
  <c r="AU169" i="5"/>
  <c r="AU168" i="5" s="1"/>
  <c r="AU167" i="5" s="1"/>
  <c r="AU166" i="5" s="1"/>
  <c r="AT169" i="5"/>
  <c r="AW169" i="5" s="1"/>
  <c r="AW168" i="5" s="1"/>
  <c r="AW167" i="5" s="1"/>
  <c r="AW166" i="5" s="1"/>
  <c r="AS168" i="5"/>
  <c r="AS167" i="5" s="1"/>
  <c r="AS166" i="5" s="1"/>
  <c r="AR168" i="5"/>
  <c r="AR167" i="5" s="1"/>
  <c r="AR166" i="5" s="1"/>
  <c r="AQ168" i="5"/>
  <c r="AQ167" i="5" s="1"/>
  <c r="AQ166" i="5" s="1"/>
  <c r="AP168" i="5"/>
  <c r="AP167" i="5" s="1"/>
  <c r="AO168" i="5"/>
  <c r="AO167" i="5" s="1"/>
  <c r="AO166" i="5" s="1"/>
  <c r="AN168" i="5"/>
  <c r="AN167" i="5" s="1"/>
  <c r="AN166" i="5" s="1"/>
  <c r="AM168" i="5"/>
  <c r="AM167" i="5" s="1"/>
  <c r="AM166" i="5" s="1"/>
  <c r="AL168" i="5"/>
  <c r="AL167" i="5" s="1"/>
  <c r="AL166" i="5" s="1"/>
  <c r="AK168" i="5"/>
  <c r="AK167" i="5" s="1"/>
  <c r="AK166" i="5" s="1"/>
  <c r="AJ168" i="5"/>
  <c r="AJ167" i="5" s="1"/>
  <c r="AJ166" i="5" s="1"/>
  <c r="AD168" i="5"/>
  <c r="AD167" i="5"/>
  <c r="AD166" i="5" s="1"/>
  <c r="AX165" i="5"/>
  <c r="AV165" i="5"/>
  <c r="AU165" i="5"/>
  <c r="AT165" i="5"/>
  <c r="AW165" i="5" s="1"/>
  <c r="AS164" i="5"/>
  <c r="AR164" i="5"/>
  <c r="AQ164" i="5"/>
  <c r="AP164" i="5"/>
  <c r="AO164" i="5"/>
  <c r="AO163" i="5" s="1"/>
  <c r="AO162" i="5" s="1"/>
  <c r="AO161" i="5" s="1"/>
  <c r="AN164" i="5"/>
  <c r="AN163" i="5" s="1"/>
  <c r="AN162" i="5" s="1"/>
  <c r="AN161" i="5" s="1"/>
  <c r="AM164" i="5"/>
  <c r="AM163" i="5" s="1"/>
  <c r="AL164" i="5"/>
  <c r="AL163" i="5" s="1"/>
  <c r="AL162" i="5" s="1"/>
  <c r="AL161" i="5" s="1"/>
  <c r="AK164" i="5"/>
  <c r="AK163" i="5" s="1"/>
  <c r="AK162" i="5" s="1"/>
  <c r="AK161" i="5" s="1"/>
  <c r="AJ164" i="5"/>
  <c r="AJ163" i="5" s="1"/>
  <c r="AI164" i="5"/>
  <c r="AI163" i="5" s="1"/>
  <c r="AI162" i="5" s="1"/>
  <c r="AI161" i="5" s="1"/>
  <c r="AH164" i="5"/>
  <c r="AH163" i="5" s="1"/>
  <c r="AH162" i="5" s="1"/>
  <c r="AH161" i="5" s="1"/>
  <c r="AG164" i="5"/>
  <c r="AG163" i="5" s="1"/>
  <c r="AG162" i="5" s="1"/>
  <c r="AG161" i="5" s="1"/>
  <c r="AF164" i="5"/>
  <c r="AF163" i="5" s="1"/>
  <c r="AF162" i="5" s="1"/>
  <c r="AF161" i="5" s="1"/>
  <c r="AE164" i="5"/>
  <c r="AE163" i="5" s="1"/>
  <c r="AE162" i="5" s="1"/>
  <c r="AE161" i="5" s="1"/>
  <c r="AD164" i="5"/>
  <c r="AD163" i="5" s="1"/>
  <c r="AD162" i="5" s="1"/>
  <c r="AD161" i="5" s="1"/>
  <c r="AS163" i="5"/>
  <c r="AR163" i="5"/>
  <c r="AR162" i="5" s="1"/>
  <c r="AR161" i="5" s="1"/>
  <c r="AQ163" i="5"/>
  <c r="AQ162" i="5" s="1"/>
  <c r="AX160" i="5"/>
  <c r="AV160" i="5"/>
  <c r="AU160" i="5"/>
  <c r="AT160" i="5"/>
  <c r="AW160" i="5" s="1"/>
  <c r="AS159" i="5"/>
  <c r="AS158" i="5" s="1"/>
  <c r="AS157" i="5" s="1"/>
  <c r="AS156" i="5" s="1"/>
  <c r="AR159" i="5"/>
  <c r="AR158" i="5" s="1"/>
  <c r="AR157" i="5" s="1"/>
  <c r="AR156" i="5" s="1"/>
  <c r="AQ159" i="5"/>
  <c r="AQ158" i="5" s="1"/>
  <c r="AQ157" i="5" s="1"/>
  <c r="AP159" i="5"/>
  <c r="AP158" i="5" s="1"/>
  <c r="AP157" i="5" s="1"/>
  <c r="AO159" i="5"/>
  <c r="AO158" i="5" s="1"/>
  <c r="AO157" i="5" s="1"/>
  <c r="AO156" i="5" s="1"/>
  <c r="AN159" i="5"/>
  <c r="AN158" i="5" s="1"/>
  <c r="AN157" i="5" s="1"/>
  <c r="AN156" i="5" s="1"/>
  <c r="AM159" i="5"/>
  <c r="AM158" i="5" s="1"/>
  <c r="AL159" i="5"/>
  <c r="AL158" i="5" s="1"/>
  <c r="AL157" i="5" s="1"/>
  <c r="AL156" i="5" s="1"/>
  <c r="AK159" i="5"/>
  <c r="AK158" i="5" s="1"/>
  <c r="AK157" i="5" s="1"/>
  <c r="AK156" i="5" s="1"/>
  <c r="AJ159" i="5"/>
  <c r="AI159" i="5"/>
  <c r="AI158" i="5" s="1"/>
  <c r="AI157" i="5" s="1"/>
  <c r="AI156" i="5" s="1"/>
  <c r="AH159" i="5"/>
  <c r="AH158" i="5" s="1"/>
  <c r="AH157" i="5" s="1"/>
  <c r="AH156" i="5" s="1"/>
  <c r="AG159" i="5"/>
  <c r="AG158" i="5" s="1"/>
  <c r="AG157" i="5" s="1"/>
  <c r="AG156" i="5" s="1"/>
  <c r="AF159" i="5"/>
  <c r="AF158" i="5" s="1"/>
  <c r="AF157" i="5" s="1"/>
  <c r="AF156" i="5" s="1"/>
  <c r="AE159" i="5"/>
  <c r="AE158" i="5" s="1"/>
  <c r="AE157" i="5" s="1"/>
  <c r="AE156" i="5" s="1"/>
  <c r="AD159" i="5"/>
  <c r="AD158" i="5" s="1"/>
  <c r="AD157" i="5" s="1"/>
  <c r="AD156" i="5" s="1"/>
  <c r="AX153" i="5"/>
  <c r="AV153" i="5"/>
  <c r="AU153" i="5"/>
  <c r="AT153" i="5"/>
  <c r="AW153" i="5" s="1"/>
  <c r="AX152" i="5"/>
  <c r="AV152" i="5"/>
  <c r="AU152" i="5"/>
  <c r="AT152" i="5"/>
  <c r="AW152" i="5" s="1"/>
  <c r="AS151" i="5"/>
  <c r="AS150" i="5" s="1"/>
  <c r="AR151" i="5"/>
  <c r="AR150" i="5" s="1"/>
  <c r="AQ151" i="5"/>
  <c r="AP151" i="5"/>
  <c r="AX151" i="5" s="1"/>
  <c r="AO151" i="5"/>
  <c r="AO150" i="5" s="1"/>
  <c r="AN151" i="5"/>
  <c r="AN150" i="5" s="1"/>
  <c r="AM151" i="5"/>
  <c r="AL151" i="5"/>
  <c r="AK151" i="5"/>
  <c r="AK150" i="5" s="1"/>
  <c r="AJ151" i="5"/>
  <c r="AU151" i="5" s="1"/>
  <c r="AI151" i="5"/>
  <c r="AH151" i="5"/>
  <c r="AH150" i="5" s="1"/>
  <c r="AG151" i="5"/>
  <c r="AG150" i="5" s="1"/>
  <c r="AF151" i="5"/>
  <c r="AF150" i="5" s="1"/>
  <c r="AE151" i="5"/>
  <c r="AD151" i="5"/>
  <c r="AQ150" i="5"/>
  <c r="AT150" i="5" s="1"/>
  <c r="AM150" i="5"/>
  <c r="AL150" i="5"/>
  <c r="AI150" i="5"/>
  <c r="AE150" i="5"/>
  <c r="AD150" i="5"/>
  <c r="AV149" i="5"/>
  <c r="AT149" i="5"/>
  <c r="AW149" i="5" s="1"/>
  <c r="AI149" i="5"/>
  <c r="AJ149" i="5" s="1"/>
  <c r="AX148" i="5"/>
  <c r="AV148" i="5"/>
  <c r="AU148" i="5"/>
  <c r="AT148" i="5"/>
  <c r="AW148" i="5" s="1"/>
  <c r="AX147" i="5"/>
  <c r="AV147" i="5"/>
  <c r="AU147" i="5"/>
  <c r="AT147" i="5"/>
  <c r="AW147" i="5" s="1"/>
  <c r="AS146" i="5"/>
  <c r="AR146" i="5"/>
  <c r="AR145" i="5" s="1"/>
  <c r="AQ146" i="5"/>
  <c r="AP146" i="5"/>
  <c r="AX146" i="5" s="1"/>
  <c r="AO146" i="5"/>
  <c r="AO145" i="5" s="1"/>
  <c r="AN146" i="5"/>
  <c r="AN145" i="5" s="1"/>
  <c r="AM146" i="5"/>
  <c r="AM145" i="5" s="1"/>
  <c r="AV145" i="5" s="1"/>
  <c r="AL146" i="5"/>
  <c r="AL145" i="5" s="1"/>
  <c r="AK146" i="5"/>
  <c r="AJ146" i="5"/>
  <c r="AI146" i="5"/>
  <c r="AH146" i="5"/>
  <c r="AG146" i="5"/>
  <c r="AF146" i="5"/>
  <c r="AF145" i="5" s="1"/>
  <c r="AE146" i="5"/>
  <c r="AE145" i="5" s="1"/>
  <c r="AD146" i="5"/>
  <c r="AS145" i="5"/>
  <c r="AP145" i="5"/>
  <c r="AK145" i="5"/>
  <c r="AH145" i="5"/>
  <c r="AG145" i="5"/>
  <c r="AD145" i="5"/>
  <c r="AV144" i="5"/>
  <c r="AT144" i="5"/>
  <c r="AW144" i="5" s="1"/>
  <c r="AI144" i="5"/>
  <c r="AJ144" i="5" s="1"/>
  <c r="AU144" i="5" s="1"/>
  <c r="AX143" i="5"/>
  <c r="AV143" i="5"/>
  <c r="AU143" i="5"/>
  <c r="AT143" i="5"/>
  <c r="AW143" i="5" s="1"/>
  <c r="AX142" i="5"/>
  <c r="AV142" i="5"/>
  <c r="AV141" i="5" s="1"/>
  <c r="AU142" i="5"/>
  <c r="AU141" i="5" s="1"/>
  <c r="AT142" i="5"/>
  <c r="AW142" i="5" s="1"/>
  <c r="AW141" i="5" s="1"/>
  <c r="AS141" i="5"/>
  <c r="AS140" i="5" s="1"/>
  <c r="AR141" i="5"/>
  <c r="AQ141" i="5"/>
  <c r="AP141" i="5"/>
  <c r="AX141" i="5" s="1"/>
  <c r="AO141" i="5"/>
  <c r="AN141" i="5"/>
  <c r="AM141" i="5"/>
  <c r="AL141" i="5"/>
  <c r="AK141" i="5"/>
  <c r="AJ141" i="5"/>
  <c r="AI141" i="5"/>
  <c r="AH141" i="5"/>
  <c r="AG141" i="5"/>
  <c r="AF141" i="5"/>
  <c r="AE141" i="5"/>
  <c r="AE140" i="5" s="1"/>
  <c r="AD141" i="5"/>
  <c r="AM140" i="5"/>
  <c r="AX139" i="5"/>
  <c r="AV139" i="5"/>
  <c r="AU139" i="5"/>
  <c r="AT139" i="5"/>
  <c r="AW139" i="5" s="1"/>
  <c r="AX138" i="5"/>
  <c r="AV138" i="5"/>
  <c r="AU138" i="5"/>
  <c r="AT138" i="5"/>
  <c r="AW138" i="5" s="1"/>
  <c r="AS137" i="5"/>
  <c r="AS136" i="5" s="1"/>
  <c r="AR137" i="5"/>
  <c r="AR136" i="5" s="1"/>
  <c r="AQ137" i="5"/>
  <c r="AT137" i="5" s="1"/>
  <c r="AP137" i="5"/>
  <c r="AX137" i="5" s="1"/>
  <c r="AO137" i="5"/>
  <c r="AN137" i="5"/>
  <c r="AN136" i="5" s="1"/>
  <c r="AM137" i="5"/>
  <c r="AM136" i="5" s="1"/>
  <c r="AL137" i="5"/>
  <c r="AL136" i="5" s="1"/>
  <c r="AK137" i="5"/>
  <c r="AK136" i="5" s="1"/>
  <c r="AJ137" i="5"/>
  <c r="AI137" i="5"/>
  <c r="AI136" i="5" s="1"/>
  <c r="AH137" i="5"/>
  <c r="AH136" i="5" s="1"/>
  <c r="AG137" i="5"/>
  <c r="AG136" i="5" s="1"/>
  <c r="AF137" i="5"/>
  <c r="AF136" i="5" s="1"/>
  <c r="AE137" i="5"/>
  <c r="AD137" i="5"/>
  <c r="AD136" i="5" s="1"/>
  <c r="AO136" i="5"/>
  <c r="AJ136" i="5"/>
  <c r="AE136" i="5"/>
  <c r="AX135" i="5"/>
  <c r="AV135" i="5"/>
  <c r="AU135" i="5"/>
  <c r="AT135" i="5"/>
  <c r="AW135" i="5" s="1"/>
  <c r="AX134" i="5"/>
  <c r="AV134" i="5"/>
  <c r="AU134" i="5"/>
  <c r="AT134" i="5"/>
  <c r="AW134" i="5" s="1"/>
  <c r="AV133" i="5"/>
  <c r="AU133" i="5"/>
  <c r="AT133" i="5"/>
  <c r="AW133" i="5" s="1"/>
  <c r="AX132" i="5"/>
  <c r="AV132" i="5"/>
  <c r="AU132" i="5"/>
  <c r="AT132" i="5"/>
  <c r="AW132" i="5" s="1"/>
  <c r="AS131" i="5"/>
  <c r="AR131" i="5"/>
  <c r="AQ131" i="5"/>
  <c r="AP131" i="5"/>
  <c r="AO131" i="5"/>
  <c r="AN131" i="5"/>
  <c r="AM131" i="5"/>
  <c r="AV131" i="5" s="1"/>
  <c r="AL131" i="5"/>
  <c r="AK131" i="5"/>
  <c r="AJ131" i="5"/>
  <c r="AI131" i="5"/>
  <c r="AH131" i="5"/>
  <c r="AG131" i="5"/>
  <c r="AF131" i="5"/>
  <c r="AE131" i="5"/>
  <c r="AD131" i="5"/>
  <c r="AX130" i="5"/>
  <c r="AV130" i="5"/>
  <c r="AU130" i="5"/>
  <c r="AT130" i="5"/>
  <c r="AW130" i="5" s="1"/>
  <c r="AX129" i="5"/>
  <c r="AV129" i="5"/>
  <c r="AU129" i="5"/>
  <c r="AT129" i="5"/>
  <c r="AW129" i="5" s="1"/>
  <c r="AS128" i="5"/>
  <c r="AR128" i="5"/>
  <c r="AQ128" i="5"/>
  <c r="AT128" i="5" s="1"/>
  <c r="AP128" i="5"/>
  <c r="AX128" i="5" s="1"/>
  <c r="AO128" i="5"/>
  <c r="AN128" i="5"/>
  <c r="AM128" i="5"/>
  <c r="AL128" i="5"/>
  <c r="AK128" i="5"/>
  <c r="AJ128" i="5"/>
  <c r="AI128" i="5"/>
  <c r="AH128" i="5"/>
  <c r="AG128" i="5"/>
  <c r="AF128" i="5"/>
  <c r="AE128" i="5"/>
  <c r="AD128" i="5"/>
  <c r="AX127" i="5"/>
  <c r="AV127" i="5"/>
  <c r="AU127" i="5"/>
  <c r="AT127" i="5"/>
  <c r="AW127" i="5" s="1"/>
  <c r="AX126" i="5"/>
  <c r="AV126" i="5"/>
  <c r="AU126" i="5"/>
  <c r="AT126" i="5"/>
  <c r="AW126" i="5" s="1"/>
  <c r="AX125" i="5"/>
  <c r="AV125" i="5"/>
  <c r="AU125" i="5"/>
  <c r="AT125" i="5"/>
  <c r="AW125" i="5" s="1"/>
  <c r="AS124" i="5"/>
  <c r="AS123" i="5" s="1"/>
  <c r="AS122" i="5" s="1"/>
  <c r="AS121" i="5" s="1"/>
  <c r="AR124" i="5"/>
  <c r="AR123" i="5" s="1"/>
  <c r="AQ124" i="5"/>
  <c r="AT124" i="5" s="1"/>
  <c r="AP124" i="5"/>
  <c r="AO124" i="5"/>
  <c r="AO123" i="5" s="1"/>
  <c r="AO122" i="5" s="1"/>
  <c r="AO121" i="5" s="1"/>
  <c r="AN124" i="5"/>
  <c r="AM124" i="5"/>
  <c r="AL124" i="5"/>
  <c r="AL123" i="5" s="1"/>
  <c r="AK124" i="5"/>
  <c r="AK123" i="5" s="1"/>
  <c r="AK122" i="5" s="1"/>
  <c r="AK121" i="5" s="1"/>
  <c r="AJ124" i="5"/>
  <c r="AJ123" i="5" s="1"/>
  <c r="AJ122" i="5" s="1"/>
  <c r="AI124" i="5"/>
  <c r="AH124" i="5"/>
  <c r="AH123" i="5" s="1"/>
  <c r="AH122" i="5" s="1"/>
  <c r="AH121" i="5" s="1"/>
  <c r="AG124" i="5"/>
  <c r="AG123" i="5" s="1"/>
  <c r="AG122" i="5" s="1"/>
  <c r="AG121" i="5" s="1"/>
  <c r="AF124" i="5"/>
  <c r="AE124" i="5"/>
  <c r="AD124" i="5"/>
  <c r="AD123" i="5" s="1"/>
  <c r="AQ123" i="5"/>
  <c r="AN123" i="5"/>
  <c r="AN122" i="5" s="1"/>
  <c r="AN121" i="5" s="1"/>
  <c r="AM123" i="5"/>
  <c r="AI123" i="5"/>
  <c r="AF123" i="5"/>
  <c r="AF122" i="5" s="1"/>
  <c r="AF121" i="5" s="1"/>
  <c r="AE123" i="5"/>
  <c r="AE122" i="5" s="1"/>
  <c r="AE121" i="5" s="1"/>
  <c r="AX120" i="5"/>
  <c r="AV120" i="5"/>
  <c r="AU120" i="5"/>
  <c r="AT120" i="5"/>
  <c r="AW120" i="5" s="1"/>
  <c r="AX119" i="5"/>
  <c r="AV119" i="5"/>
  <c r="AU119" i="5"/>
  <c r="AT119" i="5"/>
  <c r="AW119" i="5" s="1"/>
  <c r="AS118" i="5"/>
  <c r="AR118" i="5"/>
  <c r="AR117" i="5" s="1"/>
  <c r="AR116" i="5" s="1"/>
  <c r="AR115" i="5" s="1"/>
  <c r="AQ118" i="5"/>
  <c r="AT118" i="5" s="1"/>
  <c r="AW118" i="5" s="1"/>
  <c r="AP118" i="5"/>
  <c r="AO118" i="5"/>
  <c r="AO117" i="5" s="1"/>
  <c r="AO116" i="5" s="1"/>
  <c r="AO115" i="5" s="1"/>
  <c r="AN118" i="5"/>
  <c r="AN117" i="5" s="1"/>
  <c r="AN116" i="5" s="1"/>
  <c r="AN115" i="5" s="1"/>
  <c r="AM118" i="5"/>
  <c r="AV118" i="5" s="1"/>
  <c r="AL118" i="5"/>
  <c r="AL117" i="5" s="1"/>
  <c r="AL116" i="5" s="1"/>
  <c r="AL115" i="5" s="1"/>
  <c r="AK118" i="5"/>
  <c r="AJ118" i="5"/>
  <c r="AI118" i="5"/>
  <c r="AI117" i="5" s="1"/>
  <c r="AI116" i="5" s="1"/>
  <c r="AI115" i="5" s="1"/>
  <c r="AH118" i="5"/>
  <c r="AH117" i="5" s="1"/>
  <c r="AH116" i="5" s="1"/>
  <c r="AH115" i="5" s="1"/>
  <c r="AG118" i="5"/>
  <c r="AF118" i="5"/>
  <c r="AF117" i="5" s="1"/>
  <c r="AF116" i="5" s="1"/>
  <c r="AF115" i="5" s="1"/>
  <c r="AE118" i="5"/>
  <c r="AD118" i="5"/>
  <c r="AD117" i="5" s="1"/>
  <c r="AD116" i="5" s="1"/>
  <c r="AD115" i="5" s="1"/>
  <c r="AS117" i="5"/>
  <c r="AS116" i="5" s="1"/>
  <c r="AS115" i="5" s="1"/>
  <c r="AP117" i="5"/>
  <c r="AP116" i="5" s="1"/>
  <c r="AM117" i="5"/>
  <c r="AM116" i="5" s="1"/>
  <c r="AM115" i="5" s="1"/>
  <c r="AK117" i="5"/>
  <c r="AK116" i="5" s="1"/>
  <c r="AK115" i="5" s="1"/>
  <c r="AG117" i="5"/>
  <c r="AG116" i="5" s="1"/>
  <c r="AG115" i="5" s="1"/>
  <c r="AG100" i="5" s="1"/>
  <c r="AE117" i="5"/>
  <c r="AE116" i="5" s="1"/>
  <c r="AE115" i="5" s="1"/>
  <c r="AX113" i="5"/>
  <c r="AV113" i="5"/>
  <c r="AU113" i="5"/>
  <c r="AT113" i="5"/>
  <c r="AW113" i="5" s="1"/>
  <c r="AX112" i="5"/>
  <c r="AV112" i="5"/>
  <c r="AU112" i="5"/>
  <c r="AT112" i="5"/>
  <c r="AW112" i="5" s="1"/>
  <c r="AX111" i="5"/>
  <c r="AV111" i="5"/>
  <c r="AU111" i="5"/>
  <c r="AT111" i="5"/>
  <c r="AW111" i="5" s="1"/>
  <c r="AX110" i="5"/>
  <c r="AV110" i="5"/>
  <c r="AU110" i="5"/>
  <c r="AT110" i="5"/>
  <c r="AW110" i="5" s="1"/>
  <c r="AX109" i="5"/>
  <c r="AV109" i="5"/>
  <c r="AU109" i="5"/>
  <c r="AT109" i="5"/>
  <c r="AW109" i="5" s="1"/>
  <c r="AX108" i="5"/>
  <c r="AV108" i="5"/>
  <c r="AU108" i="5"/>
  <c r="AT108" i="5"/>
  <c r="AW108" i="5" s="1"/>
  <c r="AX107" i="5"/>
  <c r="AV107" i="5"/>
  <c r="AU107" i="5"/>
  <c r="AT107" i="5"/>
  <c r="AW107" i="5" s="1"/>
  <c r="AX106" i="5"/>
  <c r="AV106" i="5"/>
  <c r="AU106" i="5"/>
  <c r="AT106" i="5"/>
  <c r="AW106" i="5" s="1"/>
  <c r="AX105" i="5"/>
  <c r="AV105" i="5"/>
  <c r="AU105" i="5"/>
  <c r="AT105" i="5"/>
  <c r="AW105" i="5" s="1"/>
  <c r="AX104" i="5"/>
  <c r="AV104" i="5"/>
  <c r="AU104" i="5"/>
  <c r="AT104" i="5"/>
  <c r="AW104" i="5" s="1"/>
  <c r="AX103" i="5"/>
  <c r="AV103" i="5"/>
  <c r="AU103" i="5"/>
  <c r="AT103" i="5"/>
  <c r="AX102" i="5"/>
  <c r="AL101" i="5"/>
  <c r="AI101" i="5"/>
  <c r="AF102" i="5"/>
  <c r="AF101" i="5" s="1"/>
  <c r="AE102" i="5"/>
  <c r="AE101" i="5" s="1"/>
  <c r="AD102" i="5"/>
  <c r="AD101" i="5" s="1"/>
  <c r="AS101" i="5"/>
  <c r="AR101" i="5"/>
  <c r="AP101" i="5"/>
  <c r="AO101" i="5"/>
  <c r="AN101" i="5"/>
  <c r="AK101" i="5"/>
  <c r="AJ101" i="5"/>
  <c r="AH101" i="5"/>
  <c r="AX98" i="5"/>
  <c r="AV98" i="5"/>
  <c r="AU98" i="5"/>
  <c r="AT98" i="5"/>
  <c r="AW98" i="5" s="1"/>
  <c r="AX97" i="5"/>
  <c r="AV97" i="5"/>
  <c r="AU97" i="5"/>
  <c r="AT97" i="5"/>
  <c r="AW97" i="5" s="1"/>
  <c r="AV96" i="5"/>
  <c r="AT96" i="5"/>
  <c r="AW96" i="5" s="1"/>
  <c r="AH96" i="5"/>
  <c r="AG96" i="5"/>
  <c r="AI96" i="5" s="1"/>
  <c r="AJ96" i="5" s="1"/>
  <c r="AV95" i="5"/>
  <c r="AT95" i="5"/>
  <c r="AW95" i="5" s="1"/>
  <c r="AI95" i="5"/>
  <c r="AJ95" i="5" s="1"/>
  <c r="AV94" i="5"/>
  <c r="AT94" i="5"/>
  <c r="AW94" i="5" s="1"/>
  <c r="AI94" i="5"/>
  <c r="AJ94" i="5" s="1"/>
  <c r="AV93" i="5"/>
  <c r="AT93" i="5"/>
  <c r="AW93" i="5" s="1"/>
  <c r="AH93" i="5"/>
  <c r="AI93" i="5" s="1"/>
  <c r="AS92" i="5"/>
  <c r="AR92" i="5"/>
  <c r="AQ92" i="5"/>
  <c r="AT92" i="5" s="1"/>
  <c r="AP92" i="5"/>
  <c r="AO92" i="5"/>
  <c r="AN92" i="5"/>
  <c r="AM92" i="5"/>
  <c r="AM87" i="5" s="1"/>
  <c r="AM86" i="5" s="1"/>
  <c r="AK92" i="5"/>
  <c r="AG92" i="5"/>
  <c r="AF92" i="5"/>
  <c r="AE92" i="5"/>
  <c r="AD92" i="5"/>
  <c r="AV91" i="5"/>
  <c r="AT91" i="5"/>
  <c r="AW91" i="5" s="1"/>
  <c r="AI91" i="5"/>
  <c r="AJ91" i="5" s="1"/>
  <c r="AX90" i="5"/>
  <c r="AV90" i="5"/>
  <c r="AU90" i="5"/>
  <c r="AT90" i="5"/>
  <c r="AW90" i="5" s="1"/>
  <c r="AL88" i="5"/>
  <c r="AX89" i="5"/>
  <c r="AV89" i="5"/>
  <c r="AU89" i="5"/>
  <c r="AT89" i="5"/>
  <c r="AW89" i="5" s="1"/>
  <c r="AS88" i="5"/>
  <c r="AS87" i="5" s="1"/>
  <c r="AR88" i="5"/>
  <c r="AQ88" i="5"/>
  <c r="AP88" i="5"/>
  <c r="AO88" i="5"/>
  <c r="AO87" i="5" s="1"/>
  <c r="AO86" i="5" s="1"/>
  <c r="AN88" i="5"/>
  <c r="AM88" i="5"/>
  <c r="AK88" i="5"/>
  <c r="AK87" i="5" s="1"/>
  <c r="AK86" i="5" s="1"/>
  <c r="AH88" i="5"/>
  <c r="AG88" i="5"/>
  <c r="AF88" i="5"/>
  <c r="AE88" i="5"/>
  <c r="AD88" i="5"/>
  <c r="AD87" i="5" s="1"/>
  <c r="AD86" i="5" s="1"/>
  <c r="AQ87" i="5"/>
  <c r="AQ86" i="5" s="1"/>
  <c r="AF87" i="5"/>
  <c r="AF86" i="5" s="1"/>
  <c r="AE87" i="5"/>
  <c r="AE86" i="5" s="1"/>
  <c r="AX85" i="5"/>
  <c r="AV85" i="5"/>
  <c r="AU85" i="5"/>
  <c r="AT85" i="5"/>
  <c r="AW85" i="5" s="1"/>
  <c r="AX84" i="5"/>
  <c r="AV84" i="5"/>
  <c r="AU84" i="5"/>
  <c r="AT84" i="5"/>
  <c r="AW84" i="5" s="1"/>
  <c r="AX83" i="5"/>
  <c r="AV83" i="5"/>
  <c r="AU83" i="5"/>
  <c r="AT83" i="5"/>
  <c r="AW83" i="5" s="1"/>
  <c r="AX82" i="5"/>
  <c r="AV82" i="5"/>
  <c r="AU82" i="5"/>
  <c r="AT82" i="5"/>
  <c r="AW82" i="5" s="1"/>
  <c r="AX81" i="5"/>
  <c r="AV81" i="5"/>
  <c r="AU81" i="5"/>
  <c r="AT81" i="5"/>
  <c r="AW81" i="5" s="1"/>
  <c r="AX80" i="5"/>
  <c r="AV80" i="5"/>
  <c r="AU80" i="5"/>
  <c r="AT80" i="5"/>
  <c r="AW80" i="5" s="1"/>
  <c r="AX79" i="5"/>
  <c r="AV79" i="5"/>
  <c r="AU79" i="5"/>
  <c r="AT79" i="5"/>
  <c r="AW79" i="5" s="1"/>
  <c r="AT78" i="5"/>
  <c r="AW78" i="5" s="1"/>
  <c r="AS78" i="5"/>
  <c r="AQ78" i="5"/>
  <c r="AP78" i="5"/>
  <c r="AO78" i="5"/>
  <c r="AN78" i="5"/>
  <c r="AM78" i="5"/>
  <c r="AV78" i="5" s="1"/>
  <c r="AL78" i="5"/>
  <c r="AK78" i="5"/>
  <c r="AI78" i="5"/>
  <c r="AH78" i="5"/>
  <c r="AG78" i="5"/>
  <c r="AF78" i="5"/>
  <c r="AE78" i="5"/>
  <c r="AD78" i="5"/>
  <c r="AD71" i="5" s="1"/>
  <c r="AD70" i="5" s="1"/>
  <c r="AX77" i="5"/>
  <c r="AV77" i="5"/>
  <c r="AU77" i="5"/>
  <c r="AT77" i="5"/>
  <c r="AW77" i="5" s="1"/>
  <c r="AX76" i="5"/>
  <c r="AV76" i="5"/>
  <c r="AU76" i="5"/>
  <c r="AT76" i="5"/>
  <c r="AW76" i="5" s="1"/>
  <c r="AS75" i="5"/>
  <c r="AR75" i="5"/>
  <c r="AQ75" i="5"/>
  <c r="AP75" i="5"/>
  <c r="AX75" i="5" s="1"/>
  <c r="AO75" i="5"/>
  <c r="AN75" i="5"/>
  <c r="AM75" i="5"/>
  <c r="AL75" i="5"/>
  <c r="AK75" i="5"/>
  <c r="AJ75" i="5"/>
  <c r="AI75" i="5"/>
  <c r="AH75" i="5"/>
  <c r="AG75" i="5"/>
  <c r="AF75" i="5"/>
  <c r="AE75" i="5"/>
  <c r="AD75" i="5"/>
  <c r="AX74" i="5"/>
  <c r="AV74" i="5"/>
  <c r="AU74" i="5"/>
  <c r="AT74" i="5"/>
  <c r="AW74" i="5" s="1"/>
  <c r="AX73" i="5"/>
  <c r="AV73" i="5"/>
  <c r="AU73" i="5"/>
  <c r="AT73" i="5"/>
  <c r="AW73" i="5" s="1"/>
  <c r="AS72" i="5"/>
  <c r="AR72" i="5"/>
  <c r="AR71" i="5" s="1"/>
  <c r="AR70" i="5" s="1"/>
  <c r="AQ72" i="5"/>
  <c r="AP72" i="5"/>
  <c r="AP71" i="5" s="1"/>
  <c r="AO72" i="5"/>
  <c r="AN72" i="5"/>
  <c r="AN71" i="5" s="1"/>
  <c r="AN70" i="5" s="1"/>
  <c r="AM72" i="5"/>
  <c r="AM71" i="5" s="1"/>
  <c r="AL72" i="5"/>
  <c r="AK72" i="5"/>
  <c r="AJ72" i="5"/>
  <c r="AI72" i="5"/>
  <c r="AI71" i="5" s="1"/>
  <c r="AI70" i="5" s="1"/>
  <c r="AH72" i="5"/>
  <c r="AH71" i="5" s="1"/>
  <c r="AH70" i="5" s="1"/>
  <c r="AG72" i="5"/>
  <c r="AF72" i="5"/>
  <c r="AF71" i="5" s="1"/>
  <c r="AF70" i="5" s="1"/>
  <c r="AE72" i="5"/>
  <c r="AE71" i="5" s="1"/>
  <c r="AE70" i="5" s="1"/>
  <c r="AD72" i="5"/>
  <c r="AX69" i="5"/>
  <c r="AV69" i="5"/>
  <c r="AU69" i="5"/>
  <c r="AT69" i="5"/>
  <c r="AW69" i="5" s="1"/>
  <c r="AX68" i="5"/>
  <c r="AV68" i="5"/>
  <c r="AU68" i="5"/>
  <c r="AT68" i="5"/>
  <c r="AW68" i="5" s="1"/>
  <c r="AS67" i="5"/>
  <c r="AR67" i="5"/>
  <c r="AQ67" i="5"/>
  <c r="AT67" i="5" s="1"/>
  <c r="AP67" i="5"/>
  <c r="AX67" i="5" s="1"/>
  <c r="AO67" i="5"/>
  <c r="AN67" i="5"/>
  <c r="AM67" i="5"/>
  <c r="AL67" i="5"/>
  <c r="AK67" i="5"/>
  <c r="AJ67" i="5"/>
  <c r="AI67" i="5"/>
  <c r="AH67" i="5"/>
  <c r="AG67" i="5"/>
  <c r="AF67" i="5"/>
  <c r="AE67" i="5"/>
  <c r="AD67" i="5"/>
  <c r="AX66" i="5"/>
  <c r="AV66" i="5"/>
  <c r="AU66" i="5"/>
  <c r="AT66" i="5"/>
  <c r="AW66" i="5" s="1"/>
  <c r="AX65" i="5"/>
  <c r="AV65" i="5"/>
  <c r="AU65" i="5"/>
  <c r="AT65" i="5"/>
  <c r="AW65" i="5" s="1"/>
  <c r="AS64" i="5"/>
  <c r="AR64" i="5"/>
  <c r="AQ64" i="5"/>
  <c r="AT64" i="5" s="1"/>
  <c r="AP64" i="5"/>
  <c r="AX64" i="5" s="1"/>
  <c r="AO64" i="5"/>
  <c r="AN64" i="5"/>
  <c r="AM64" i="5"/>
  <c r="AL64" i="5"/>
  <c r="AK64" i="5"/>
  <c r="AJ64" i="5"/>
  <c r="AI64" i="5"/>
  <c r="AH64" i="5"/>
  <c r="AG64" i="5"/>
  <c r="AF64" i="5"/>
  <c r="AE64" i="5"/>
  <c r="AD64" i="5"/>
  <c r="AX63" i="5"/>
  <c r="AV63" i="5"/>
  <c r="AU63" i="5"/>
  <c r="AT63" i="5"/>
  <c r="AW63" i="5" s="1"/>
  <c r="AX62" i="5"/>
  <c r="AV62" i="5"/>
  <c r="AU62" i="5"/>
  <c r="AT62" i="5"/>
  <c r="AW62" i="5" s="1"/>
  <c r="AS61" i="5"/>
  <c r="AR61" i="5"/>
  <c r="AQ61" i="5"/>
  <c r="AT61" i="5" s="1"/>
  <c r="AP61" i="5"/>
  <c r="AO61" i="5"/>
  <c r="AN61" i="5"/>
  <c r="AM61" i="5"/>
  <c r="AV61" i="5" s="1"/>
  <c r="AL61" i="5"/>
  <c r="AK61" i="5"/>
  <c r="AJ61" i="5"/>
  <c r="AI61" i="5"/>
  <c r="AH61" i="5"/>
  <c r="AG61" i="5"/>
  <c r="AF61" i="5"/>
  <c r="AE61" i="5"/>
  <c r="AD61" i="5"/>
  <c r="AX60" i="5"/>
  <c r="AV60" i="5"/>
  <c r="AU60" i="5"/>
  <c r="AT60" i="5"/>
  <c r="AW60" i="5" s="1"/>
  <c r="AX59" i="5"/>
  <c r="AV59" i="5"/>
  <c r="AU59" i="5"/>
  <c r="AT59" i="5"/>
  <c r="AW59" i="5" s="1"/>
  <c r="AS58" i="5"/>
  <c r="AR58" i="5"/>
  <c r="AQ58" i="5"/>
  <c r="AP58" i="5"/>
  <c r="AO58" i="5"/>
  <c r="AN58" i="5"/>
  <c r="AM58" i="5"/>
  <c r="AV58" i="5" s="1"/>
  <c r="AL58" i="5"/>
  <c r="AK58" i="5"/>
  <c r="AJ58" i="5"/>
  <c r="AI58" i="5"/>
  <c r="AH58" i="5"/>
  <c r="AG58" i="5"/>
  <c r="AF58" i="5"/>
  <c r="AE58" i="5"/>
  <c r="AD58" i="5"/>
  <c r="AX57" i="5"/>
  <c r="AV57" i="5"/>
  <c r="AU57" i="5"/>
  <c r="AT57" i="5"/>
  <c r="AW57" i="5" s="1"/>
  <c r="AX56" i="5"/>
  <c r="AV56" i="5"/>
  <c r="AU56" i="5"/>
  <c r="AT56" i="5"/>
  <c r="AW56" i="5" s="1"/>
  <c r="AS55" i="5"/>
  <c r="AT55" i="5" s="1"/>
  <c r="AR55" i="5"/>
  <c r="AQ55" i="5"/>
  <c r="AP55" i="5"/>
  <c r="AX55" i="5" s="1"/>
  <c r="AO55" i="5"/>
  <c r="AN55" i="5"/>
  <c r="AM55" i="5"/>
  <c r="AV55" i="5" s="1"/>
  <c r="AL55" i="5"/>
  <c r="AK55" i="5"/>
  <c r="AJ55" i="5"/>
  <c r="AI55" i="5"/>
  <c r="AH55" i="5"/>
  <c r="AG55" i="5"/>
  <c r="AF55" i="5"/>
  <c r="AE55" i="5"/>
  <c r="AD55" i="5"/>
  <c r="AX54" i="5"/>
  <c r="AV54" i="5"/>
  <c r="AU54" i="5"/>
  <c r="AT54" i="5"/>
  <c r="AW54" i="5" s="1"/>
  <c r="AX53" i="5"/>
  <c r="AV53" i="5"/>
  <c r="AU53" i="5"/>
  <c r="AT53" i="5"/>
  <c r="AW53" i="5" s="1"/>
  <c r="AS52" i="5"/>
  <c r="AR52" i="5"/>
  <c r="AQ52" i="5"/>
  <c r="AT52" i="5" s="1"/>
  <c r="AP52" i="5"/>
  <c r="AX52" i="5" s="1"/>
  <c r="AO52" i="5"/>
  <c r="AN52" i="5"/>
  <c r="AM52" i="5"/>
  <c r="AV52" i="5" s="1"/>
  <c r="AL52" i="5"/>
  <c r="AK52" i="5"/>
  <c r="AJ52" i="5"/>
  <c r="AI52" i="5"/>
  <c r="AH52" i="5"/>
  <c r="AG52" i="5"/>
  <c r="AF52" i="5"/>
  <c r="AE52" i="5"/>
  <c r="AD52" i="5"/>
  <c r="AX51" i="5"/>
  <c r="AV51" i="5"/>
  <c r="AU51" i="5"/>
  <c r="AT51" i="5"/>
  <c r="AW51" i="5" s="1"/>
  <c r="AX50" i="5"/>
  <c r="AV50" i="5"/>
  <c r="AU50" i="5"/>
  <c r="AT50" i="5"/>
  <c r="AW50" i="5" s="1"/>
  <c r="AS49" i="5"/>
  <c r="AR49" i="5"/>
  <c r="AQ49" i="5"/>
  <c r="AT49" i="5" s="1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X48" i="5"/>
  <c r="AV48" i="5"/>
  <c r="AU48" i="5"/>
  <c r="AT48" i="5"/>
  <c r="AW48" i="5" s="1"/>
  <c r="AX47" i="5"/>
  <c r="AV47" i="5"/>
  <c r="AU47" i="5"/>
  <c r="AT47" i="5"/>
  <c r="AW47" i="5" s="1"/>
  <c r="AS46" i="5"/>
  <c r="AR46" i="5"/>
  <c r="AQ46" i="5"/>
  <c r="AT46" i="5" s="1"/>
  <c r="AW46" i="5" s="1"/>
  <c r="AP46" i="5"/>
  <c r="AO46" i="5"/>
  <c r="AN46" i="5"/>
  <c r="AM46" i="5"/>
  <c r="AV46" i="5" s="1"/>
  <c r="AL46" i="5"/>
  <c r="AK46" i="5"/>
  <c r="AJ46" i="5"/>
  <c r="AI46" i="5"/>
  <c r="AH46" i="5"/>
  <c r="AG46" i="5"/>
  <c r="AF46" i="5"/>
  <c r="AE46" i="5"/>
  <c r="AD46" i="5"/>
  <c r="AD42" i="5" s="1"/>
  <c r="AX45" i="5"/>
  <c r="AV45" i="5"/>
  <c r="AU45" i="5"/>
  <c r="AT45" i="5"/>
  <c r="AW45" i="5" s="1"/>
  <c r="AX44" i="5"/>
  <c r="AV44" i="5"/>
  <c r="AU44" i="5"/>
  <c r="AT44" i="5"/>
  <c r="AW44" i="5" s="1"/>
  <c r="AS43" i="5"/>
  <c r="AS42" i="5" s="1"/>
  <c r="AR43" i="5"/>
  <c r="AQ43" i="5"/>
  <c r="AP43" i="5"/>
  <c r="AO43" i="5"/>
  <c r="AN43" i="5"/>
  <c r="AM43" i="5"/>
  <c r="AL43" i="5"/>
  <c r="AK43" i="5"/>
  <c r="AK42" i="5" s="1"/>
  <c r="AJ43" i="5"/>
  <c r="AI43" i="5"/>
  <c r="AH43" i="5"/>
  <c r="AG43" i="5"/>
  <c r="AF43" i="5"/>
  <c r="AE43" i="5"/>
  <c r="AD43" i="5"/>
  <c r="AX41" i="5"/>
  <c r="AV41" i="5"/>
  <c r="AU41" i="5"/>
  <c r="AT41" i="5"/>
  <c r="AW41" i="5" s="1"/>
  <c r="AS40" i="5"/>
  <c r="AR40" i="5"/>
  <c r="AR39" i="5" s="1"/>
  <c r="AQ40" i="5"/>
  <c r="AP40" i="5"/>
  <c r="AP39" i="5" s="1"/>
  <c r="AO40" i="5"/>
  <c r="AO39" i="5" s="1"/>
  <c r="AN40" i="5"/>
  <c r="AN39" i="5" s="1"/>
  <c r="AM40" i="5"/>
  <c r="AM39" i="5" s="1"/>
  <c r="AL40" i="5"/>
  <c r="AL39" i="5" s="1"/>
  <c r="AK40" i="5"/>
  <c r="AK39" i="5" s="1"/>
  <c r="AJ40" i="5"/>
  <c r="AJ39" i="5" s="1"/>
  <c r="AI40" i="5"/>
  <c r="AI39" i="5" s="1"/>
  <c r="AH40" i="5"/>
  <c r="AH39" i="5" s="1"/>
  <c r="AG40" i="5"/>
  <c r="AG39" i="5" s="1"/>
  <c r="AF40" i="5"/>
  <c r="AF39" i="5" s="1"/>
  <c r="AE40" i="5"/>
  <c r="AE39" i="5" s="1"/>
  <c r="AD40" i="5"/>
  <c r="AS39" i="5"/>
  <c r="AD39" i="5"/>
  <c r="AV38" i="5"/>
  <c r="AU38" i="5"/>
  <c r="AT38" i="5"/>
  <c r="AW38" i="5" s="1"/>
  <c r="AX37" i="5"/>
  <c r="AV37" i="5"/>
  <c r="AU37" i="5"/>
  <c r="AT37" i="5"/>
  <c r="AW37" i="5" s="1"/>
  <c r="AX36" i="5"/>
  <c r="AV36" i="5"/>
  <c r="AU36" i="5"/>
  <c r="AT36" i="5"/>
  <c r="AW36" i="5" s="1"/>
  <c r="AX35" i="5"/>
  <c r="AV35" i="5"/>
  <c r="AU35" i="5"/>
  <c r="AT35" i="5"/>
  <c r="AW35" i="5" s="1"/>
  <c r="AS34" i="5"/>
  <c r="AR34" i="5"/>
  <c r="AQ34" i="5"/>
  <c r="AP34" i="5"/>
  <c r="AX34" i="5" s="1"/>
  <c r="AO34" i="5"/>
  <c r="AN34" i="5"/>
  <c r="AM34" i="5"/>
  <c r="AV34" i="5" s="1"/>
  <c r="AL34" i="5"/>
  <c r="AK34" i="5"/>
  <c r="AJ34" i="5"/>
  <c r="AI34" i="5"/>
  <c r="AH34" i="5"/>
  <c r="AG34" i="5"/>
  <c r="AF34" i="5"/>
  <c r="AE34" i="5"/>
  <c r="AD34" i="5"/>
  <c r="AD30" i="5" s="1"/>
  <c r="AD16" i="5" s="1"/>
  <c r="AD15" i="5" s="1"/>
  <c r="AD14" i="5" s="1"/>
  <c r="AD13" i="5" s="1"/>
  <c r="AX33" i="5"/>
  <c r="AV33" i="5"/>
  <c r="AU33" i="5"/>
  <c r="AT33" i="5"/>
  <c r="AW33" i="5" s="1"/>
  <c r="AX32" i="5"/>
  <c r="AV32" i="5"/>
  <c r="AU32" i="5"/>
  <c r="AT32" i="5"/>
  <c r="AW32" i="5" s="1"/>
  <c r="AS31" i="5"/>
  <c r="AR31" i="5"/>
  <c r="AQ31" i="5"/>
  <c r="AT31" i="5" s="1"/>
  <c r="AP31" i="5"/>
  <c r="AX31" i="5" s="1"/>
  <c r="AN31" i="5"/>
  <c r="AM31" i="5"/>
  <c r="AM30" i="5" s="1"/>
  <c r="AL31" i="5"/>
  <c r="AK31" i="5"/>
  <c r="AJ31" i="5"/>
  <c r="AI31" i="5"/>
  <c r="AI30" i="5" s="1"/>
  <c r="AH31" i="5"/>
  <c r="AH30" i="5" s="1"/>
  <c r="AG31" i="5"/>
  <c r="AF31" i="5"/>
  <c r="AE31" i="5"/>
  <c r="AE30" i="5" s="1"/>
  <c r="AD31" i="5"/>
  <c r="AS30" i="5"/>
  <c r="AK30" i="5"/>
  <c r="AF30" i="5"/>
  <c r="AX29" i="5"/>
  <c r="AV29" i="5"/>
  <c r="AU29" i="5"/>
  <c r="AT29" i="5"/>
  <c r="AW29" i="5" s="1"/>
  <c r="AX28" i="5"/>
  <c r="AV28" i="5"/>
  <c r="AU28" i="5"/>
  <c r="AT28" i="5"/>
  <c r="AW28" i="5" s="1"/>
  <c r="AS27" i="5"/>
  <c r="AR27" i="5"/>
  <c r="AQ27" i="5"/>
  <c r="AT27" i="5" s="1"/>
  <c r="AP27" i="5"/>
  <c r="AX27" i="5" s="1"/>
  <c r="AO27" i="5"/>
  <c r="AN27" i="5"/>
  <c r="AM27" i="5"/>
  <c r="AL27" i="5"/>
  <c r="AK27" i="5"/>
  <c r="AJ27" i="5"/>
  <c r="AI27" i="5"/>
  <c r="AH27" i="5"/>
  <c r="AG27" i="5"/>
  <c r="AF27" i="5"/>
  <c r="AE27" i="5"/>
  <c r="AE16" i="5" s="1"/>
  <c r="AD27" i="5"/>
  <c r="AX26" i="5"/>
  <c r="AV26" i="5"/>
  <c r="AU26" i="5"/>
  <c r="AT26" i="5"/>
  <c r="AW26" i="5" s="1"/>
  <c r="AX25" i="5"/>
  <c r="AV25" i="5"/>
  <c r="AU25" i="5"/>
  <c r="AT25" i="5"/>
  <c r="AW25" i="5" s="1"/>
  <c r="AS24" i="5"/>
  <c r="AR24" i="5"/>
  <c r="AQ24" i="5"/>
  <c r="AP24" i="5"/>
  <c r="AX24" i="5" s="1"/>
  <c r="AO24" i="5"/>
  <c r="AN24" i="5"/>
  <c r="AM24" i="5"/>
  <c r="AK24" i="5"/>
  <c r="AJ24" i="5"/>
  <c r="AU24" i="5" s="1"/>
  <c r="AI24" i="5"/>
  <c r="AH24" i="5"/>
  <c r="AG24" i="5"/>
  <c r="AF24" i="5"/>
  <c r="AE24" i="5"/>
  <c r="AD24" i="5"/>
  <c r="AX23" i="5"/>
  <c r="AV23" i="5"/>
  <c r="AU23" i="5"/>
  <c r="AT23" i="5"/>
  <c r="AW23" i="5" s="1"/>
  <c r="AX22" i="5"/>
  <c r="AV22" i="5"/>
  <c r="AU22" i="5"/>
  <c r="AT22" i="5"/>
  <c r="AW22" i="5" s="1"/>
  <c r="AV21" i="5"/>
  <c r="AU21" i="5"/>
  <c r="AT21" i="5"/>
  <c r="AW21" i="5" s="1"/>
  <c r="AX20" i="5"/>
  <c r="AV20" i="5"/>
  <c r="AU20" i="5"/>
  <c r="AT20" i="5"/>
  <c r="AW20" i="5" s="1"/>
  <c r="AX19" i="5"/>
  <c r="AV19" i="5"/>
  <c r="AU19" i="5"/>
  <c r="AT19" i="5"/>
  <c r="AW19" i="5" s="1"/>
  <c r="AX18" i="5"/>
  <c r="AV18" i="5"/>
  <c r="AU18" i="5"/>
  <c r="AT18" i="5"/>
  <c r="AW18" i="5" s="1"/>
  <c r="AS17" i="5"/>
  <c r="AS16" i="5" s="1"/>
  <c r="AQ17" i="5"/>
  <c r="AP17" i="5"/>
  <c r="AO17" i="5"/>
  <c r="AN17" i="5"/>
  <c r="AM17" i="5"/>
  <c r="AK17" i="5"/>
  <c r="AJ17" i="5"/>
  <c r="AI17" i="5"/>
  <c r="AH17" i="5"/>
  <c r="AH16" i="5" s="1"/>
  <c r="AG17" i="5"/>
  <c r="AF17" i="5"/>
  <c r="AF16" i="5" s="1"/>
  <c r="AF15" i="5" s="1"/>
  <c r="AE17" i="5"/>
  <c r="AD17" i="5"/>
  <c r="AR122" i="5" l="1"/>
  <c r="AR121" i="5" s="1"/>
  <c r="AR30" i="5"/>
  <c r="AW172" i="5"/>
  <c r="AK140" i="5"/>
  <c r="AT131" i="5"/>
  <c r="AV124" i="5"/>
  <c r="AP87" i="5"/>
  <c r="AP86" i="5" s="1"/>
  <c r="AR87" i="5"/>
  <c r="AR86" i="5" s="1"/>
  <c r="AT88" i="5"/>
  <c r="AU78" i="5"/>
  <c r="AV75" i="5"/>
  <c r="AL71" i="5"/>
  <c r="AL70" i="5" s="1"/>
  <c r="AS71" i="5"/>
  <c r="AS70" i="5" s="1"/>
  <c r="AU67" i="5"/>
  <c r="AU55" i="5"/>
  <c r="AW52" i="5"/>
  <c r="AV49" i="5"/>
  <c r="AU46" i="5"/>
  <c r="AL42" i="5"/>
  <c r="AV43" i="5"/>
  <c r="AU34" i="5"/>
  <c r="AT34" i="5"/>
  <c r="AN30" i="5"/>
  <c r="AL30" i="5"/>
  <c r="AM16" i="5"/>
  <c r="AT855" i="5"/>
  <c r="AT819" i="5"/>
  <c r="AT643" i="5"/>
  <c r="AT589" i="5"/>
  <c r="AG155" i="5"/>
  <c r="AG154" i="5" s="1"/>
  <c r="AT163" i="5"/>
  <c r="AT164" i="5"/>
  <c r="AX497" i="5"/>
  <c r="AU497" i="5"/>
  <c r="AX619" i="5"/>
  <c r="AU619" i="5"/>
  <c r="AX96" i="5"/>
  <c r="AU96" i="5"/>
  <c r="AU504" i="5"/>
  <c r="AX504" i="5"/>
  <c r="AX17" i="5"/>
  <c r="AT24" i="5"/>
  <c r="AW24" i="5" s="1"/>
  <c r="AU52" i="5"/>
  <c r="AX58" i="5"/>
  <c r="AX61" i="5"/>
  <c r="AH92" i="5"/>
  <c r="AX131" i="5"/>
  <c r="AP150" i="5"/>
  <c r="AV150" i="5" s="1"/>
  <c r="AV140" i="5" s="1"/>
  <c r="AU281" i="5"/>
  <c r="AX549" i="5"/>
  <c r="AJ597" i="5"/>
  <c r="AU597" i="5" s="1"/>
  <c r="AI711" i="5"/>
  <c r="AJ711" i="5" s="1"/>
  <c r="AN87" i="5"/>
  <c r="AN86" i="5" s="1"/>
  <c r="AD100" i="5"/>
  <c r="AU288" i="5"/>
  <c r="AU728" i="5"/>
  <c r="AG30" i="5"/>
  <c r="AG16" i="5" s="1"/>
  <c r="AO30" i="5"/>
  <c r="AO16" i="5" s="1"/>
  <c r="AO15" i="5" s="1"/>
  <c r="AF42" i="5"/>
  <c r="AN42" i="5"/>
  <c r="AW55" i="5"/>
  <c r="AW67" i="5"/>
  <c r="AU516" i="5"/>
  <c r="AT928" i="5"/>
  <c r="AT957" i="5"/>
  <c r="AT972" i="5"/>
  <c r="AV24" i="5"/>
  <c r="AW27" i="5"/>
  <c r="AI16" i="5"/>
  <c r="AI15" i="5" s="1"/>
  <c r="AI14" i="5" s="1"/>
  <c r="AI13" i="5" s="1"/>
  <c r="AI12" i="5" s="1"/>
  <c r="AG42" i="5"/>
  <c r="AO42" i="5"/>
  <c r="AE42" i="5"/>
  <c r="AT58" i="5"/>
  <c r="AX118" i="5"/>
  <c r="AV128" i="5"/>
  <c r="AQ136" i="5"/>
  <c r="AT136" i="5" s="1"/>
  <c r="AG140" i="5"/>
  <c r="AO140" i="5"/>
  <c r="AT146" i="5"/>
  <c r="AU159" i="5"/>
  <c r="AV172" i="5"/>
  <c r="AU177" i="5"/>
  <c r="AV177" i="5"/>
  <c r="AU688" i="5"/>
  <c r="AS180" i="5"/>
  <c r="AK71" i="5"/>
  <c r="AK70" i="5" s="1"/>
  <c r="AK16" i="5"/>
  <c r="AK15" i="5" s="1"/>
  <c r="AP30" i="5"/>
  <c r="AP16" i="5" s="1"/>
  <c r="AP15" i="5" s="1"/>
  <c r="AU31" i="5"/>
  <c r="AX43" i="5"/>
  <c r="AG71" i="5"/>
  <c r="AG70" i="5" s="1"/>
  <c r="AO71" i="5"/>
  <c r="AO70" i="5" s="1"/>
  <c r="AD122" i="5"/>
  <c r="AD121" i="5" s="1"/>
  <c r="AL122" i="5"/>
  <c r="AL121" i="5" s="1"/>
  <c r="AH140" i="5"/>
  <c r="AU146" i="5"/>
  <c r="AV151" i="5"/>
  <c r="AF171" i="5"/>
  <c r="AN171" i="5"/>
  <c r="AT221" i="5"/>
  <c r="AW819" i="5"/>
  <c r="AW957" i="5"/>
  <c r="AV17" i="5"/>
  <c r="AI42" i="5"/>
  <c r="AT43" i="5"/>
  <c r="AW43" i="5" s="1"/>
  <c r="AX46" i="5"/>
  <c r="AV67" i="5"/>
  <c r="AT72" i="5"/>
  <c r="AW72" i="5" s="1"/>
  <c r="AT75" i="5"/>
  <c r="AW75" i="5" s="1"/>
  <c r="AX78" i="5"/>
  <c r="AH87" i="5"/>
  <c r="AH86" i="5" s="1"/>
  <c r="AI122" i="5"/>
  <c r="AI121" i="5" s="1"/>
  <c r="AX124" i="5"/>
  <c r="AP171" i="5"/>
  <c r="AX171" i="5" s="1"/>
  <c r="AU928" i="5"/>
  <c r="AU957" i="5"/>
  <c r="AI1038" i="5"/>
  <c r="AG99" i="5"/>
  <c r="AN16" i="5"/>
  <c r="AN15" i="5" s="1"/>
  <c r="AV31" i="5"/>
  <c r="AW34" i="5"/>
  <c r="AU43" i="5"/>
  <c r="AR42" i="5"/>
  <c r="AH42" i="5"/>
  <c r="AU64" i="5"/>
  <c r="AJ71" i="5"/>
  <c r="AU75" i="5"/>
  <c r="AI88" i="5"/>
  <c r="AV146" i="5"/>
  <c r="AE155" i="5"/>
  <c r="AE154" i="5" s="1"/>
  <c r="AQ171" i="5"/>
  <c r="AT171" i="5" s="1"/>
  <c r="AD180" i="5"/>
  <c r="AF180" i="5"/>
  <c r="AU972" i="5"/>
  <c r="AX983" i="5"/>
  <c r="AL100" i="5"/>
  <c r="AL99" i="5" s="1"/>
  <c r="AL24" i="5"/>
  <c r="AL155" i="5"/>
  <c r="AL154" i="5" s="1"/>
  <c r="AF100" i="5"/>
  <c r="AF99" i="5" s="1"/>
  <c r="AN100" i="5"/>
  <c r="AN99" i="5" s="1"/>
  <c r="AV159" i="5"/>
  <c r="AX164" i="5"/>
  <c r="AV92" i="5"/>
  <c r="AE15" i="5"/>
  <c r="AM15" i="5"/>
  <c r="AX167" i="5"/>
  <c r="AV117" i="5"/>
  <c r="AV88" i="5"/>
  <c r="AV87" i="5" s="1"/>
  <c r="AV86" i="5" s="1"/>
  <c r="AR100" i="5"/>
  <c r="AR99" i="5" s="1"/>
  <c r="AH155" i="5"/>
  <c r="AH154" i="5" s="1"/>
  <c r="AI155" i="5"/>
  <c r="AI154" i="5" s="1"/>
  <c r="AS15" i="5"/>
  <c r="AS14" i="5" s="1"/>
  <c r="AS13" i="5" s="1"/>
  <c r="AV158" i="5"/>
  <c r="AU531" i="5"/>
  <c r="AX531" i="5"/>
  <c r="AU418" i="5"/>
  <c r="AX418" i="5"/>
  <c r="AF155" i="5"/>
  <c r="AF154" i="5" s="1"/>
  <c r="AT141" i="5"/>
  <c r="AN155" i="5"/>
  <c r="AN154" i="5" s="1"/>
  <c r="AO155" i="5"/>
  <c r="AO154" i="5" s="1"/>
  <c r="AP166" i="5"/>
  <c r="AX166" i="5" s="1"/>
  <c r="AV643" i="5"/>
  <c r="AL17" i="5"/>
  <c r="AV116" i="5"/>
  <c r="AV115" i="5" s="1"/>
  <c r="AX159" i="5"/>
  <c r="AW928" i="5"/>
  <c r="AW88" i="5"/>
  <c r="AW103" i="5"/>
  <c r="AW102" i="5" s="1"/>
  <c r="AW101" i="5" s="1"/>
  <c r="AT102" i="5"/>
  <c r="AK155" i="5"/>
  <c r="AK154" i="5" s="1"/>
  <c r="AV164" i="5"/>
  <c r="AU944" i="5"/>
  <c r="AU17" i="5"/>
  <c r="AL92" i="5"/>
  <c r="AL87" i="5" s="1"/>
  <c r="AL86" i="5" s="1"/>
  <c r="AU102" i="5"/>
  <c r="AU101" i="5" s="1"/>
  <c r="AW221" i="5"/>
  <c r="AI467" i="5"/>
  <c r="AV944" i="5"/>
  <c r="AX39" i="5"/>
  <c r="AM157" i="5"/>
  <c r="AM156" i="5" s="1"/>
  <c r="AE100" i="5"/>
  <c r="AE99" i="5" s="1"/>
  <c r="AV102" i="5"/>
  <c r="AV101" i="5" s="1"/>
  <c r="AX168" i="5"/>
  <c r="AV913" i="5"/>
  <c r="AX957" i="5"/>
  <c r="AR180" i="5"/>
  <c r="AO180" i="5"/>
  <c r="AN180" i="5"/>
  <c r="AW1038" i="5"/>
  <c r="AM180" i="5"/>
  <c r="AK100" i="5"/>
  <c r="AK99" i="5" s="1"/>
  <c r="AX101" i="5"/>
  <c r="AO100" i="5"/>
  <c r="AO99" i="5" s="1"/>
  <c r="AS100" i="5"/>
  <c r="AS99" i="5" s="1"/>
  <c r="AH100" i="5"/>
  <c r="AH99" i="5" s="1"/>
  <c r="AX972" i="5"/>
  <c r="AG87" i="5"/>
  <c r="AG86" i="5" s="1"/>
  <c r="AT40" i="5"/>
  <c r="AW40" i="5" s="1"/>
  <c r="AW39" i="5" s="1"/>
  <c r="AR17" i="5"/>
  <c r="AR16" i="5" s="1"/>
  <c r="AR15" i="5" s="1"/>
  <c r="AL819" i="5"/>
  <c r="AG15" i="5"/>
  <c r="AL221" i="5"/>
  <c r="AL467" i="5"/>
  <c r="AU71" i="5"/>
  <c r="AU70" i="5" s="1"/>
  <c r="AE14" i="5"/>
  <c r="AE13" i="5" s="1"/>
  <c r="AE12" i="5" s="1"/>
  <c r="AE11" i="5" s="1"/>
  <c r="AF14" i="5"/>
  <c r="AF13" i="5" s="1"/>
  <c r="AW17" i="5"/>
  <c r="AW49" i="5"/>
  <c r="AM70" i="5"/>
  <c r="AV71" i="5"/>
  <c r="AV70" i="5" s="1"/>
  <c r="AH15" i="5"/>
  <c r="AX71" i="5"/>
  <c r="AP70" i="5"/>
  <c r="AS86" i="5"/>
  <c r="AT86" i="5" s="1"/>
  <c r="AT87" i="5"/>
  <c r="AX603" i="5"/>
  <c r="AU603" i="5"/>
  <c r="AV27" i="5"/>
  <c r="AV40" i="5"/>
  <c r="AV39" i="5" s="1"/>
  <c r="AU61" i="5"/>
  <c r="AV64" i="5"/>
  <c r="AV72" i="5"/>
  <c r="AX91" i="5"/>
  <c r="AJ88" i="5"/>
  <c r="AW92" i="5"/>
  <c r="AI100" i="5"/>
  <c r="AI99" i="5" s="1"/>
  <c r="AQ101" i="5"/>
  <c r="AP115" i="5"/>
  <c r="AU163" i="5"/>
  <c r="AJ162" i="5"/>
  <c r="AU72" i="5"/>
  <c r="AJ121" i="5"/>
  <c r="AT158" i="5"/>
  <c r="AW158" i="5" s="1"/>
  <c r="AX995" i="5"/>
  <c r="AU995" i="5"/>
  <c r="AT17" i="5"/>
  <c r="AM42" i="5"/>
  <c r="AU58" i="5"/>
  <c r="AW64" i="5"/>
  <c r="AX94" i="5"/>
  <c r="AU94" i="5"/>
  <c r="AM122" i="5"/>
  <c r="AV137" i="5"/>
  <c r="AV136" i="5" s="1"/>
  <c r="AD140" i="5"/>
  <c r="AL140" i="5"/>
  <c r="AX506" i="5"/>
  <c r="AU506" i="5"/>
  <c r="AQ180" i="5"/>
  <c r="AT878" i="5"/>
  <c r="AU27" i="5"/>
  <c r="AU40" i="5"/>
  <c r="AU39" i="5" s="1"/>
  <c r="AX49" i="5"/>
  <c r="AQ30" i="5"/>
  <c r="AX40" i="5"/>
  <c r="AW61" i="5"/>
  <c r="AX72" i="5"/>
  <c r="AU91" i="5"/>
  <c r="AU88" i="5" s="1"/>
  <c r="AR140" i="5"/>
  <c r="AV589" i="5"/>
  <c r="AX490" i="5"/>
  <c r="AU490" i="5"/>
  <c r="AJ30" i="5"/>
  <c r="AU30" i="5" s="1"/>
  <c r="AW58" i="5"/>
  <c r="AW124" i="5"/>
  <c r="AP123" i="5"/>
  <c r="AV123" i="5" s="1"/>
  <c r="AW128" i="5"/>
  <c r="AU131" i="5"/>
  <c r="AU415" i="5"/>
  <c r="AX415" i="5"/>
  <c r="AU431" i="5"/>
  <c r="AU442" i="5"/>
  <c r="AX442" i="5"/>
  <c r="AU449" i="5"/>
  <c r="AX449" i="5"/>
  <c r="AQ161" i="5"/>
  <c r="AP42" i="5"/>
  <c r="AU49" i="5"/>
  <c r="AJ93" i="5"/>
  <c r="AI92" i="5"/>
  <c r="AI87" i="5" s="1"/>
  <c r="AI86" i="5" s="1"/>
  <c r="AM101" i="5"/>
  <c r="AM100" i="5" s="1"/>
  <c r="AT123" i="5"/>
  <c r="AQ122" i="5"/>
  <c r="AW137" i="5"/>
  <c r="AW136" i="5" s="1"/>
  <c r="AP136" i="5"/>
  <c r="AX136" i="5" s="1"/>
  <c r="AU690" i="5"/>
  <c r="AX690" i="5"/>
  <c r="AD155" i="5"/>
  <c r="AD154" i="5" s="1"/>
  <c r="AW31" i="5"/>
  <c r="AQ42" i="5"/>
  <c r="AT42" i="5" s="1"/>
  <c r="AU118" i="5"/>
  <c r="AJ117" i="5"/>
  <c r="AI145" i="5"/>
  <c r="AX149" i="5"/>
  <c r="AU149" i="5"/>
  <c r="AP156" i="5"/>
  <c r="AM162" i="5"/>
  <c r="AQ39" i="5"/>
  <c r="AT39" i="5" s="1"/>
  <c r="AJ42" i="5"/>
  <c r="AQ71" i="5"/>
  <c r="AX95" i="5"/>
  <c r="AU95" i="5"/>
  <c r="AU123" i="5"/>
  <c r="AF140" i="5"/>
  <c r="AN140" i="5"/>
  <c r="AT157" i="5"/>
  <c r="AW157" i="5" s="1"/>
  <c r="AW156" i="5" s="1"/>
  <c r="AQ156" i="5"/>
  <c r="AR155" i="5"/>
  <c r="AR154" i="5" s="1"/>
  <c r="AU128" i="5"/>
  <c r="AX439" i="5"/>
  <c r="AU439" i="5"/>
  <c r="AX496" i="5"/>
  <c r="AU496" i="5"/>
  <c r="AW643" i="5"/>
  <c r="AX716" i="5"/>
  <c r="AU716" i="5"/>
  <c r="AU839" i="5"/>
  <c r="AX839" i="5"/>
  <c r="AW878" i="5"/>
  <c r="AV1038" i="5"/>
  <c r="AW131" i="5"/>
  <c r="AQ145" i="5"/>
  <c r="AS162" i="5"/>
  <c r="AS161" i="5" s="1"/>
  <c r="AS155" i="5" s="1"/>
  <c r="AS154" i="5" s="1"/>
  <c r="AX541" i="5"/>
  <c r="AU541" i="5"/>
  <c r="AI819" i="5"/>
  <c r="AV855" i="5"/>
  <c r="AT467" i="5"/>
  <c r="AX236" i="5"/>
  <c r="AU236" i="5"/>
  <c r="AU282" i="5"/>
  <c r="AX282" i="5"/>
  <c r="AU417" i="5"/>
  <c r="AX417" i="5"/>
  <c r="AX424" i="5"/>
  <c r="AU424" i="5"/>
  <c r="AU518" i="5"/>
  <c r="AX518" i="5"/>
  <c r="AX538" i="5"/>
  <c r="AU538" i="5"/>
  <c r="AX560" i="5"/>
  <c r="AU560" i="5"/>
  <c r="AU641" i="5"/>
  <c r="AJ819" i="5"/>
  <c r="AX819" i="5" s="1"/>
  <c r="AI913" i="5"/>
  <c r="AJ887" i="5"/>
  <c r="AU891" i="5"/>
  <c r="AU1015" i="5"/>
  <c r="AX1015" i="5"/>
  <c r="AW164" i="5"/>
  <c r="AP163" i="5"/>
  <c r="AI221" i="5"/>
  <c r="AP180" i="5"/>
  <c r="AV467" i="5"/>
  <c r="AU492" i="5"/>
  <c r="AX492" i="5"/>
  <c r="AX494" i="5"/>
  <c r="AU494" i="5"/>
  <c r="AU508" i="5"/>
  <c r="AX508" i="5"/>
  <c r="AX629" i="5"/>
  <c r="AU629" i="5"/>
  <c r="AX711" i="5"/>
  <c r="AU711" i="5"/>
  <c r="AK180" i="5"/>
  <c r="AW913" i="5"/>
  <c r="AW944" i="5"/>
  <c r="AU124" i="5"/>
  <c r="AU137" i="5"/>
  <c r="AU136" i="5" s="1"/>
  <c r="AW146" i="5"/>
  <c r="AT151" i="5"/>
  <c r="AW151" i="5" s="1"/>
  <c r="AV157" i="5"/>
  <c r="AV156" i="5" s="1"/>
  <c r="AT159" i="5"/>
  <c r="AW159" i="5" s="1"/>
  <c r="AW467" i="5"/>
  <c r="AX381" i="5"/>
  <c r="AU448" i="5"/>
  <c r="AX448" i="5"/>
  <c r="AX461" i="5"/>
  <c r="AU461" i="5"/>
  <c r="AX465" i="5"/>
  <c r="AU465" i="5"/>
  <c r="AW589" i="5"/>
  <c r="AG589" i="5"/>
  <c r="AG180" i="5" s="1"/>
  <c r="AI545" i="5"/>
  <c r="AJ545" i="5" s="1"/>
  <c r="AX750" i="5"/>
  <c r="AU750" i="5"/>
  <c r="AW855" i="5"/>
  <c r="AU893" i="5"/>
  <c r="AX893" i="5"/>
  <c r="AV957" i="5"/>
  <c r="AQ117" i="5"/>
  <c r="AJ150" i="5"/>
  <c r="AU150" i="5" s="1"/>
  <c r="AJ158" i="5"/>
  <c r="AX158" i="5" s="1"/>
  <c r="AU164" i="5"/>
  <c r="AX233" i="5"/>
  <c r="AU233" i="5"/>
  <c r="AX502" i="5"/>
  <c r="AU502" i="5"/>
  <c r="AX540" i="5"/>
  <c r="AU540" i="5"/>
  <c r="AX554" i="5"/>
  <c r="AU554" i="5"/>
  <c r="AX562" i="5"/>
  <c r="AU562" i="5"/>
  <c r="AU565" i="5"/>
  <c r="AX565" i="5"/>
  <c r="AU657" i="5"/>
  <c r="AX657" i="5"/>
  <c r="AX700" i="5"/>
  <c r="AU700" i="5"/>
  <c r="AX845" i="5"/>
  <c r="AU845" i="5"/>
  <c r="AX889" i="5"/>
  <c r="AU889" i="5"/>
  <c r="AW972" i="5"/>
  <c r="AU992" i="5"/>
  <c r="AJ1038" i="5"/>
  <c r="AX1038" i="5" s="1"/>
  <c r="AV221" i="5"/>
  <c r="AH180" i="5"/>
  <c r="AI589" i="5"/>
  <c r="AJ486" i="5"/>
  <c r="AL589" i="5"/>
  <c r="AX543" i="5"/>
  <c r="AU543" i="5"/>
  <c r="AX632" i="5"/>
  <c r="AV819" i="5"/>
  <c r="AX686" i="5"/>
  <c r="AU686" i="5"/>
  <c r="AT168" i="5"/>
  <c r="AT167" i="5" s="1"/>
  <c r="AT166" i="5" s="1"/>
  <c r="AM171" i="5"/>
  <c r="AW177" i="5"/>
  <c r="AX510" i="5"/>
  <c r="AX524" i="5"/>
  <c r="AX597" i="5"/>
  <c r="AU655" i="5"/>
  <c r="AX743" i="5"/>
  <c r="AX841" i="5"/>
  <c r="AX849" i="5"/>
  <c r="AX895" i="5"/>
  <c r="AX1030" i="5"/>
  <c r="AI547" i="5"/>
  <c r="AJ547" i="5" s="1"/>
  <c r="AJ643" i="5"/>
  <c r="AX643" i="5" s="1"/>
  <c r="AX692" i="5"/>
  <c r="AU232" i="5"/>
  <c r="AJ467" i="5"/>
  <c r="AX467" i="5" s="1"/>
  <c r="AU172" i="5"/>
  <c r="AJ837" i="5"/>
  <c r="AI864" i="5"/>
  <c r="AV171" i="5" l="1"/>
  <c r="AW171" i="5"/>
  <c r="AV100" i="5"/>
  <c r="AV42" i="5"/>
  <c r="AN14" i="5"/>
  <c r="AN13" i="5" s="1"/>
  <c r="AR14" i="5"/>
  <c r="AR13" i="5" s="1"/>
  <c r="AR12" i="5" s="1"/>
  <c r="AO14" i="5"/>
  <c r="AO13" i="5" s="1"/>
  <c r="AO12" i="5" s="1"/>
  <c r="AP14" i="5"/>
  <c r="AM14" i="5"/>
  <c r="AM13" i="5" s="1"/>
  <c r="AT180" i="5"/>
  <c r="AL16" i="5"/>
  <c r="AL15" i="5" s="1"/>
  <c r="AL14" i="5" s="1"/>
  <c r="AL13" i="5" s="1"/>
  <c r="AL12" i="5" s="1"/>
  <c r="AF12" i="5"/>
  <c r="AF11" i="5" s="1"/>
  <c r="AH14" i="5"/>
  <c r="AH13" i="5" s="1"/>
  <c r="AH12" i="5" s="1"/>
  <c r="AD99" i="5"/>
  <c r="AD12" i="5"/>
  <c r="AD11" i="5" s="1"/>
  <c r="AU171" i="5"/>
  <c r="AU1038" i="5"/>
  <c r="AW87" i="5"/>
  <c r="AW86" i="5" s="1"/>
  <c r="AU643" i="5"/>
  <c r="AV30" i="5"/>
  <c r="AV16" i="5" s="1"/>
  <c r="AV15" i="5" s="1"/>
  <c r="AV14" i="5" s="1"/>
  <c r="AV13" i="5" s="1"/>
  <c r="AP140" i="5"/>
  <c r="AG14" i="5"/>
  <c r="AG13" i="5" s="1"/>
  <c r="AG12" i="5" s="1"/>
  <c r="AK14" i="5"/>
  <c r="AK13" i="5" s="1"/>
  <c r="AK12" i="5" s="1"/>
  <c r="AK11" i="5" s="1"/>
  <c r="AW150" i="5"/>
  <c r="AU819" i="5"/>
  <c r="AL180" i="5"/>
  <c r="AW180" i="5"/>
  <c r="AG11" i="5"/>
  <c r="AU16" i="5"/>
  <c r="AU15" i="5" s="1"/>
  <c r="AU42" i="5"/>
  <c r="AW42" i="5"/>
  <c r="AP13" i="5"/>
  <c r="AU117" i="5"/>
  <c r="AJ116" i="5"/>
  <c r="AJ92" i="5"/>
  <c r="AX92" i="5" s="1"/>
  <c r="AX93" i="5"/>
  <c r="AU93" i="5"/>
  <c r="AU92" i="5" s="1"/>
  <c r="AU87" i="5" s="1"/>
  <c r="AU86" i="5" s="1"/>
  <c r="AJ161" i="5"/>
  <c r="AU162" i="5"/>
  <c r="AU161" i="5" s="1"/>
  <c r="AX88" i="5"/>
  <c r="AU467" i="5"/>
  <c r="AT156" i="5"/>
  <c r="AQ155" i="5"/>
  <c r="AM121" i="5"/>
  <c r="AS12" i="5"/>
  <c r="AS11" i="5" s="1"/>
  <c r="AX163" i="5"/>
  <c r="AW163" i="5"/>
  <c r="AP162" i="5"/>
  <c r="AV162" i="5" s="1"/>
  <c r="AV161" i="5" s="1"/>
  <c r="AV155" i="5" s="1"/>
  <c r="AV154" i="5" s="1"/>
  <c r="AT145" i="5"/>
  <c r="AQ140" i="5"/>
  <c r="AX486" i="5"/>
  <c r="AJ589" i="5"/>
  <c r="AX589" i="5" s="1"/>
  <c r="AU486" i="5"/>
  <c r="AU158" i="5"/>
  <c r="AJ157" i="5"/>
  <c r="AT71" i="5"/>
  <c r="AQ70" i="5"/>
  <c r="AP122" i="5"/>
  <c r="AV122" i="5" s="1"/>
  <c r="AV121" i="5" s="1"/>
  <c r="AV99" i="5" s="1"/>
  <c r="AX123" i="5"/>
  <c r="AW123" i="5"/>
  <c r="AT30" i="5"/>
  <c r="AW30" i="5" s="1"/>
  <c r="AW16" i="5" s="1"/>
  <c r="AW15" i="5" s="1"/>
  <c r="AQ16" i="5"/>
  <c r="AP100" i="5"/>
  <c r="AJ16" i="5"/>
  <c r="AX545" i="5"/>
  <c r="AU545" i="5"/>
  <c r="AX150" i="5"/>
  <c r="AT122" i="5"/>
  <c r="AQ121" i="5"/>
  <c r="AT121" i="5" s="1"/>
  <c r="AX42" i="5"/>
  <c r="AH11" i="5"/>
  <c r="AX30" i="5"/>
  <c r="AT117" i="5"/>
  <c r="AW117" i="5" s="1"/>
  <c r="AQ116" i="5"/>
  <c r="AT162" i="5"/>
  <c r="AX117" i="5"/>
  <c r="AT101" i="5"/>
  <c r="AU547" i="5"/>
  <c r="AX547" i="5"/>
  <c r="AV180" i="5"/>
  <c r="AX210" i="5"/>
  <c r="AU210" i="5"/>
  <c r="AU221" i="5" s="1"/>
  <c r="AJ221" i="5"/>
  <c r="AU887" i="5"/>
  <c r="AU913" i="5" s="1"/>
  <c r="AJ913" i="5"/>
  <c r="AX913" i="5" s="1"/>
  <c r="AM161" i="5"/>
  <c r="AM155" i="5" s="1"/>
  <c r="AM154" i="5" s="1"/>
  <c r="AJ145" i="5"/>
  <c r="AI140" i="5"/>
  <c r="AU122" i="5"/>
  <c r="AU121" i="5" s="1"/>
  <c r="AX70" i="5"/>
  <c r="AJ864" i="5"/>
  <c r="AI878" i="5"/>
  <c r="AI180" i="5" s="1"/>
  <c r="AI11" i="5" s="1"/>
  <c r="AJ855" i="5"/>
  <c r="AX855" i="5" s="1"/>
  <c r="AX837" i="5"/>
  <c r="AU837" i="5"/>
  <c r="AU855" i="5" s="1"/>
  <c r="AV163" i="5"/>
  <c r="AM99" i="5"/>
  <c r="AM12" i="5" s="1"/>
  <c r="AN12" i="5"/>
  <c r="AN11" i="5" s="1"/>
  <c r="AR11" i="5" l="1"/>
  <c r="AO11" i="5"/>
  <c r="AL11" i="5"/>
  <c r="AG10" i="5"/>
  <c r="AU14" i="5"/>
  <c r="AU13" i="5" s="1"/>
  <c r="AM11" i="5"/>
  <c r="AX122" i="5"/>
  <c r="AW122" i="5"/>
  <c r="AW121" i="5" s="1"/>
  <c r="AP121" i="5"/>
  <c r="AX121" i="5" s="1"/>
  <c r="AJ15" i="5"/>
  <c r="AX16" i="5"/>
  <c r="AT155" i="5"/>
  <c r="AQ154" i="5"/>
  <c r="AT154" i="5" s="1"/>
  <c r="AW145" i="5"/>
  <c r="AW140" i="5" s="1"/>
  <c r="AT140" i="5"/>
  <c r="AT70" i="5"/>
  <c r="AW71" i="5"/>
  <c r="AW70" i="5" s="1"/>
  <c r="AW14" i="5" s="1"/>
  <c r="AW13" i="5" s="1"/>
  <c r="AV12" i="5"/>
  <c r="AV11" i="5" s="1"/>
  <c r="AT16" i="5"/>
  <c r="AQ15" i="5"/>
  <c r="AU157" i="5"/>
  <c r="AU156" i="5" s="1"/>
  <c r="AU155" i="5" s="1"/>
  <c r="AU154" i="5" s="1"/>
  <c r="AJ156" i="5"/>
  <c r="AX157" i="5"/>
  <c r="AU116" i="5"/>
  <c r="AU115" i="5" s="1"/>
  <c r="AU100" i="5" s="1"/>
  <c r="AU99" i="5" s="1"/>
  <c r="AJ115" i="5"/>
  <c r="AX116" i="5"/>
  <c r="AX221" i="5"/>
  <c r="AX162" i="5"/>
  <c r="AW162" i="5"/>
  <c r="AW161" i="5" s="1"/>
  <c r="AW155" i="5" s="1"/>
  <c r="AW154" i="5" s="1"/>
  <c r="AP161" i="5"/>
  <c r="AU145" i="5"/>
  <c r="AU140" i="5" s="1"/>
  <c r="AJ140" i="5"/>
  <c r="AX140" i="5" s="1"/>
  <c r="AX145" i="5"/>
  <c r="AX864" i="5"/>
  <c r="AU864" i="5"/>
  <c r="AU878" i="5" s="1"/>
  <c r="AJ878" i="5"/>
  <c r="AX878" i="5" s="1"/>
  <c r="AT116" i="5"/>
  <c r="AW116" i="5" s="1"/>
  <c r="AW115" i="5" s="1"/>
  <c r="AW100" i="5" s="1"/>
  <c r="AQ115" i="5"/>
  <c r="AU589" i="5"/>
  <c r="AJ87" i="5"/>
  <c r="AU12" i="5" l="1"/>
  <c r="AP99" i="5"/>
  <c r="AW99" i="5"/>
  <c r="AW12" i="5" s="1"/>
  <c r="AW11" i="5" s="1"/>
  <c r="AU180" i="5"/>
  <c r="AU11" i="5" s="1"/>
  <c r="AT115" i="5"/>
  <c r="AQ100" i="5"/>
  <c r="AJ14" i="5"/>
  <c r="AX15" i="5"/>
  <c r="AX161" i="5"/>
  <c r="AP155" i="5"/>
  <c r="AJ100" i="5"/>
  <c r="AX115" i="5"/>
  <c r="AJ155" i="5"/>
  <c r="AJ154" i="5" s="1"/>
  <c r="AX156" i="5"/>
  <c r="AJ86" i="5"/>
  <c r="AX86" i="5" s="1"/>
  <c r="AX87" i="5"/>
  <c r="AJ180" i="5"/>
  <c r="AX180" i="5" s="1"/>
  <c r="AT15" i="5"/>
  <c r="AQ14" i="5"/>
  <c r="AP12" i="5"/>
  <c r="AT100" i="5" l="1"/>
  <c r="AQ99" i="5"/>
  <c r="AT99" i="5" s="1"/>
  <c r="AX155" i="5"/>
  <c r="AP154" i="5"/>
  <c r="AX154" i="5" s="1"/>
  <c r="AJ13" i="5"/>
  <c r="AX14" i="5"/>
  <c r="AP11" i="5"/>
  <c r="AJ99" i="5"/>
  <c r="AX99" i="5" s="1"/>
  <c r="AX100" i="5"/>
  <c r="AT14" i="5"/>
  <c r="AQ13" i="5"/>
  <c r="AT13" i="5" l="1"/>
  <c r="AQ12" i="5"/>
  <c r="AJ12" i="5"/>
  <c r="AX13" i="5"/>
  <c r="AT12" i="5" l="1"/>
  <c r="AQ11" i="5"/>
  <c r="AT11" i="5" s="1"/>
  <c r="AJ11" i="5"/>
  <c r="AX11" i="5" s="1"/>
  <c r="AX12" i="5"/>
  <c r="AR23" i="4" l="1"/>
  <c r="AR20" i="4"/>
  <c r="AR19" i="4"/>
  <c r="AR18" i="4"/>
  <c r="AO456" i="4"/>
  <c r="AL985" i="4"/>
  <c r="AL671" i="4"/>
  <c r="AL808" i="4"/>
  <c r="AL766" i="4"/>
  <c r="AL747" i="4"/>
  <c r="AL746" i="4"/>
  <c r="AL745" i="4"/>
  <c r="AL743" i="4"/>
  <c r="AL723" i="4"/>
  <c r="AL711" i="4"/>
  <c r="AL695" i="4"/>
  <c r="AL691" i="4"/>
  <c r="AL687" i="4"/>
  <c r="AL681" i="4"/>
  <c r="AL679" i="4"/>
  <c r="AL677" i="4"/>
  <c r="AL675" i="4"/>
  <c r="AL673" i="4"/>
  <c r="AL547" i="4"/>
  <c r="AL546" i="4"/>
  <c r="AL542" i="4"/>
  <c r="AL538" i="4"/>
  <c r="AL535" i="4"/>
  <c r="AL527" i="4"/>
  <c r="AL526" i="4"/>
  <c r="AL456" i="4"/>
  <c r="AL328" i="4"/>
  <c r="AL305" i="4"/>
  <c r="AL303" i="4"/>
  <c r="AL301" i="4"/>
  <c r="AL299" i="4"/>
  <c r="AL291" i="4"/>
  <c r="AL280" i="4"/>
  <c r="AL245" i="4"/>
  <c r="AL232" i="4"/>
  <c r="AL419" i="4"/>
  <c r="AL425" i="4"/>
  <c r="AL458" i="4"/>
  <c r="AL215" i="4"/>
  <c r="AL205" i="4"/>
  <c r="AL201" i="4"/>
  <c r="AL193" i="4"/>
  <c r="AL98" i="4"/>
  <c r="AL97" i="4"/>
  <c r="AL96" i="4"/>
  <c r="AL95" i="4"/>
  <c r="AL94" i="4"/>
  <c r="AL93" i="4"/>
  <c r="AL90" i="4"/>
  <c r="AL23" i="4"/>
  <c r="AL26" i="4"/>
  <c r="AL25" i="4"/>
  <c r="AL20" i="4"/>
  <c r="AL19" i="4"/>
  <c r="AL18" i="4"/>
  <c r="AL462" i="4" l="1"/>
  <c r="AX840" i="4"/>
  <c r="AV840" i="4"/>
  <c r="AU840" i="4"/>
  <c r="AT840" i="4"/>
  <c r="AW840" i="4" s="1"/>
  <c r="AX836" i="4"/>
  <c r="AV836" i="4"/>
  <c r="AU836" i="4"/>
  <c r="AT836" i="4"/>
  <c r="AW836" i="4" s="1"/>
  <c r="AX503" i="4"/>
  <c r="AV503" i="4"/>
  <c r="AU503" i="4"/>
  <c r="AT503" i="4"/>
  <c r="AW503" i="4" s="1"/>
  <c r="AX505" i="4"/>
  <c r="AW505" i="4"/>
  <c r="AV505" i="4"/>
  <c r="AU505" i="4"/>
  <c r="AT505" i="4"/>
  <c r="AU584" i="4"/>
  <c r="AX560" i="4"/>
  <c r="AV560" i="4"/>
  <c r="AU560" i="4"/>
  <c r="AT560" i="4"/>
  <c r="AW560" i="4" s="1"/>
  <c r="AX536" i="4"/>
  <c r="AV536" i="4"/>
  <c r="AU536" i="4"/>
  <c r="AT536" i="4"/>
  <c r="AW536" i="4" s="1"/>
  <c r="AX519" i="4"/>
  <c r="AV519" i="4"/>
  <c r="AU519" i="4"/>
  <c r="AT519" i="4"/>
  <c r="AW519" i="4" s="1"/>
  <c r="AU485" i="4"/>
  <c r="AV483" i="4"/>
  <c r="AU483" i="4"/>
  <c r="AT483" i="4"/>
  <c r="AW483" i="4" s="1"/>
  <c r="AX481" i="4"/>
  <c r="AV481" i="4"/>
  <c r="AU481" i="4"/>
  <c r="AT481" i="4"/>
  <c r="AW481" i="4" s="1"/>
  <c r="AU471" i="4"/>
  <c r="AI519" i="4"/>
  <c r="AJ519" i="4" s="1"/>
  <c r="AX435" i="4" l="1"/>
  <c r="AV435" i="4"/>
  <c r="AU435" i="4"/>
  <c r="AT435" i="4"/>
  <c r="AW435" i="4" s="1"/>
  <c r="AI435" i="4"/>
  <c r="AJ435" i="4" s="1"/>
  <c r="AX460" i="4" l="1"/>
  <c r="AV460" i="4"/>
  <c r="AU460" i="4"/>
  <c r="AT460" i="4"/>
  <c r="AW460" i="4" s="1"/>
  <c r="AX422" i="4"/>
  <c r="AV422" i="4"/>
  <c r="AU422" i="4"/>
  <c r="AT422" i="4"/>
  <c r="AW422" i="4" s="1"/>
  <c r="AI287" i="4"/>
  <c r="AJ287" i="4" s="1"/>
  <c r="AI280" i="4" l="1"/>
  <c r="AX281" i="4"/>
  <c r="AV281" i="4"/>
  <c r="AU281" i="4"/>
  <c r="AT281" i="4"/>
  <c r="AW281" i="4" s="1"/>
  <c r="AI281" i="4"/>
  <c r="AJ281" i="4" s="1"/>
  <c r="AI235" i="4"/>
  <c r="AJ235" i="4" s="1"/>
  <c r="AI231" i="4"/>
  <c r="AJ231" i="4" s="1"/>
  <c r="AT209" i="4"/>
  <c r="AW209" i="4" s="1"/>
  <c r="AV209" i="4"/>
  <c r="AJ140" i="4"/>
  <c r="AI536" i="4"/>
  <c r="AJ536" i="4" s="1"/>
  <c r="AI481" i="4"/>
  <c r="AJ481" i="4" s="1"/>
  <c r="AI840" i="4"/>
  <c r="AJ840" i="4" s="1"/>
  <c r="AI836" i="4"/>
  <c r="AJ836" i="4" s="1"/>
  <c r="AI148" i="4"/>
  <c r="AJ148" i="4" s="1"/>
  <c r="AG96" i="4"/>
  <c r="AI487" i="4"/>
  <c r="AJ487" i="4" s="1"/>
  <c r="AI483" i="4"/>
  <c r="AJ483" i="4" s="1"/>
  <c r="AH93" i="4"/>
  <c r="AH96" i="4"/>
  <c r="AI91" i="4" l="1"/>
  <c r="AJ91" i="4" s="1"/>
  <c r="AI143" i="4"/>
  <c r="AJ143" i="4" s="1"/>
  <c r="AG540" i="4"/>
  <c r="AI503" i="4"/>
  <c r="AJ503" i="4" s="1"/>
  <c r="AI491" i="4"/>
  <c r="AJ491" i="4" s="1"/>
  <c r="AI505" i="4"/>
  <c r="AJ505" i="4" s="1"/>
  <c r="AI560" i="4"/>
  <c r="AJ560" i="4" s="1"/>
  <c r="AI422" i="4"/>
  <c r="AJ422" i="4" s="1"/>
  <c r="AI417" i="4"/>
  <c r="AJ417" i="4" s="1"/>
  <c r="AI416" i="4"/>
  <c r="AJ416" i="4" s="1"/>
  <c r="AI414" i="4"/>
  <c r="AJ414" i="4" s="1"/>
  <c r="AJ280" i="4"/>
  <c r="AI429" i="4"/>
  <c r="AJ429" i="4" s="1"/>
  <c r="AI444" i="4"/>
  <c r="AJ444" i="4" s="1"/>
  <c r="AI438" i="4"/>
  <c r="AJ438" i="4" s="1"/>
  <c r="AJ232" i="4"/>
  <c r="AI445" i="4"/>
  <c r="AJ445" i="4" s="1"/>
  <c r="AH542" i="4"/>
  <c r="AH555" i="4"/>
  <c r="AI95" i="4"/>
  <c r="AJ95" i="4" s="1"/>
  <c r="AD462" i="4" l="1"/>
  <c r="AS462" i="4"/>
  <c r="AQ462" i="4"/>
  <c r="AP462" i="4"/>
  <c r="AO462" i="4"/>
  <c r="AN462" i="4"/>
  <c r="AM462" i="4"/>
  <c r="AK462" i="4"/>
  <c r="AH462" i="4"/>
  <c r="AG462" i="4"/>
  <c r="AF462" i="4"/>
  <c r="AE462" i="4"/>
  <c r="AI460" i="4"/>
  <c r="AJ460" i="4" s="1"/>
  <c r="AI456" i="4"/>
  <c r="AJ456" i="4" s="1"/>
  <c r="AI209" i="4" l="1"/>
  <c r="AJ209" i="4" s="1"/>
  <c r="AH859" i="4"/>
  <c r="AX209" i="4" l="1"/>
  <c r="AU209" i="4"/>
  <c r="AR1031" i="4"/>
  <c r="AQ1031" i="4"/>
  <c r="AN1031" i="4"/>
  <c r="AK1031" i="4"/>
  <c r="AH1031" i="4"/>
  <c r="AG1031" i="4"/>
  <c r="AF1031" i="4"/>
  <c r="AE1031" i="4"/>
  <c r="AD1031" i="4"/>
  <c r="AX1029" i="4"/>
  <c r="AV1029" i="4"/>
  <c r="AU1029" i="4"/>
  <c r="AT1029" i="4"/>
  <c r="AW1029" i="4" s="1"/>
  <c r="AU1028" i="4"/>
  <c r="AT1028" i="4"/>
  <c r="AX1028" i="4"/>
  <c r="AX1027" i="4"/>
  <c r="AV1027" i="4"/>
  <c r="AU1027" i="4"/>
  <c r="AT1027" i="4"/>
  <c r="AW1027" i="4" s="1"/>
  <c r="AU1026" i="4"/>
  <c r="AT1026" i="4"/>
  <c r="AU1025" i="4"/>
  <c r="AV1023" i="4"/>
  <c r="AT1023" i="4"/>
  <c r="AW1023" i="4" s="1"/>
  <c r="AI1023" i="4"/>
  <c r="AJ1023" i="4" s="1"/>
  <c r="AX1021" i="4"/>
  <c r="AV1021" i="4"/>
  <c r="AU1021" i="4"/>
  <c r="AT1021" i="4"/>
  <c r="AW1021" i="4" s="1"/>
  <c r="AX1020" i="4"/>
  <c r="AV1020" i="4"/>
  <c r="AU1020" i="4"/>
  <c r="AT1020" i="4"/>
  <c r="AW1020" i="4" s="1"/>
  <c r="AX1018" i="4"/>
  <c r="AV1018" i="4"/>
  <c r="AU1018" i="4"/>
  <c r="AT1018" i="4"/>
  <c r="AW1018" i="4" s="1"/>
  <c r="AX1016" i="4"/>
  <c r="AW1016" i="4"/>
  <c r="AV1016" i="4"/>
  <c r="AU1016" i="4"/>
  <c r="AT1016" i="4"/>
  <c r="AX1014" i="4"/>
  <c r="AV1014" i="4"/>
  <c r="AU1014" i="4"/>
  <c r="AT1014" i="4"/>
  <c r="AW1014" i="4" s="1"/>
  <c r="AX1012" i="4"/>
  <c r="AV1012" i="4"/>
  <c r="AU1012" i="4"/>
  <c r="AT1012" i="4"/>
  <c r="AW1012" i="4" s="1"/>
  <c r="AX1010" i="4"/>
  <c r="AV1010" i="4"/>
  <c r="AU1010" i="4"/>
  <c r="AT1010" i="4"/>
  <c r="AW1010" i="4" s="1"/>
  <c r="AX1009" i="4"/>
  <c r="AV1009" i="4"/>
  <c r="AU1009" i="4"/>
  <c r="AT1009" i="4"/>
  <c r="AW1009" i="4" s="1"/>
  <c r="AV1008" i="4"/>
  <c r="AT1008" i="4"/>
  <c r="AW1008" i="4" s="1"/>
  <c r="AI1008" i="4"/>
  <c r="AJ1008" i="4" s="1"/>
  <c r="AX1006" i="4"/>
  <c r="AV1006" i="4"/>
  <c r="AU1006" i="4"/>
  <c r="AT1006" i="4"/>
  <c r="AW1006" i="4" s="1"/>
  <c r="AX1004" i="4"/>
  <c r="AV1004" i="4"/>
  <c r="AU1004" i="4"/>
  <c r="AT1004" i="4"/>
  <c r="AW1004" i="4" s="1"/>
  <c r="AT1002" i="4"/>
  <c r="AX1002" i="4"/>
  <c r="AL1031" i="4"/>
  <c r="AX1001" i="4"/>
  <c r="AV1001" i="4"/>
  <c r="AU1001" i="4"/>
  <c r="AT1001" i="4"/>
  <c r="AW1001" i="4" s="1"/>
  <c r="AX1000" i="4"/>
  <c r="AV1000" i="4"/>
  <c r="AU1000" i="4"/>
  <c r="AT1000" i="4"/>
  <c r="AW1000" i="4" s="1"/>
  <c r="AX999" i="4"/>
  <c r="AV999" i="4"/>
  <c r="AU999" i="4"/>
  <c r="AT999" i="4"/>
  <c r="AW999" i="4" s="1"/>
  <c r="AT997" i="4"/>
  <c r="AU997" i="4"/>
  <c r="AX996" i="4"/>
  <c r="AV996" i="4"/>
  <c r="AU996" i="4"/>
  <c r="AT996" i="4"/>
  <c r="AW996" i="4" s="1"/>
  <c r="AX994" i="4"/>
  <c r="AT994" i="4"/>
  <c r="AU994" i="4"/>
  <c r="AX993" i="4"/>
  <c r="AV993" i="4"/>
  <c r="AU993" i="4"/>
  <c r="AT993" i="4"/>
  <c r="AW993" i="4" s="1"/>
  <c r="AX992" i="4"/>
  <c r="AV992" i="4"/>
  <c r="AU992" i="4"/>
  <c r="AT992" i="4"/>
  <c r="AW992" i="4" s="1"/>
  <c r="AV988" i="4"/>
  <c r="AT988" i="4"/>
  <c r="AW988" i="4" s="1"/>
  <c r="AI988" i="4"/>
  <c r="AJ988" i="4" s="1"/>
  <c r="AX988" i="4" s="1"/>
  <c r="AX987" i="4"/>
  <c r="AV987" i="4"/>
  <c r="AU987" i="4"/>
  <c r="AT987" i="4"/>
  <c r="AW987" i="4" s="1"/>
  <c r="AV985" i="4"/>
  <c r="AT985" i="4"/>
  <c r="AW985" i="4" s="1"/>
  <c r="AI985" i="4"/>
  <c r="AJ985" i="4" s="1"/>
  <c r="AS976" i="4"/>
  <c r="AR976" i="4"/>
  <c r="AQ976" i="4"/>
  <c r="AP976" i="4"/>
  <c r="AO976" i="4"/>
  <c r="AN976" i="4"/>
  <c r="AM976" i="4"/>
  <c r="AL976" i="4"/>
  <c r="AK976" i="4"/>
  <c r="AJ976" i="4"/>
  <c r="AI976" i="4"/>
  <c r="AH976" i="4"/>
  <c r="AG976" i="4"/>
  <c r="AF976" i="4"/>
  <c r="AE976" i="4"/>
  <c r="AD976" i="4"/>
  <c r="AX974" i="4"/>
  <c r="AV974" i="4"/>
  <c r="AV976" i="4" s="1"/>
  <c r="AU974" i="4"/>
  <c r="AU976" i="4" s="1"/>
  <c r="AT974" i="4"/>
  <c r="AW974" i="4" s="1"/>
  <c r="AW976" i="4" s="1"/>
  <c r="AS965" i="4"/>
  <c r="AR965" i="4"/>
  <c r="AQ965" i="4"/>
  <c r="AP965" i="4"/>
  <c r="AO965" i="4"/>
  <c r="AN965" i="4"/>
  <c r="AM965" i="4"/>
  <c r="AL965" i="4"/>
  <c r="AK965" i="4"/>
  <c r="AJ965" i="4"/>
  <c r="AI965" i="4"/>
  <c r="AH965" i="4"/>
  <c r="AG965" i="4"/>
  <c r="AF965" i="4"/>
  <c r="AE965" i="4"/>
  <c r="AD965" i="4"/>
  <c r="AX963" i="4"/>
  <c r="AV963" i="4"/>
  <c r="AU963" i="4"/>
  <c r="AT963" i="4"/>
  <c r="AW963" i="4" s="1"/>
  <c r="AX961" i="4"/>
  <c r="AV961" i="4"/>
  <c r="AU961" i="4"/>
  <c r="AT961" i="4"/>
  <c r="AW961" i="4" s="1"/>
  <c r="AS952" i="4"/>
  <c r="AR952" i="4"/>
  <c r="AQ952" i="4"/>
  <c r="AT952" i="4" s="1"/>
  <c r="AP952" i="4"/>
  <c r="AO952" i="4"/>
  <c r="AN952" i="4"/>
  <c r="AM952" i="4"/>
  <c r="AL952" i="4"/>
  <c r="AK952" i="4"/>
  <c r="AJ952" i="4"/>
  <c r="AI952" i="4"/>
  <c r="AH952" i="4"/>
  <c r="AG952" i="4"/>
  <c r="AF952" i="4"/>
  <c r="AE952" i="4"/>
  <c r="AD952" i="4"/>
  <c r="AX950" i="4"/>
  <c r="AV950" i="4"/>
  <c r="AU950" i="4"/>
  <c r="AT950" i="4"/>
  <c r="AW950" i="4" s="1"/>
  <c r="AX949" i="4"/>
  <c r="AV949" i="4"/>
  <c r="AU949" i="4"/>
  <c r="AT949" i="4"/>
  <c r="AW949" i="4" s="1"/>
  <c r="AS939" i="4"/>
  <c r="AR939" i="4"/>
  <c r="AQ939" i="4"/>
  <c r="AP939" i="4"/>
  <c r="AO939" i="4"/>
  <c r="AN939" i="4"/>
  <c r="AM939" i="4"/>
  <c r="AL939" i="4"/>
  <c r="AK939" i="4"/>
  <c r="AJ939" i="4"/>
  <c r="AI939" i="4"/>
  <c r="AH939" i="4"/>
  <c r="AG939" i="4"/>
  <c r="AF939" i="4"/>
  <c r="AE939" i="4"/>
  <c r="AD939" i="4"/>
  <c r="AX937" i="4"/>
  <c r="AV937" i="4"/>
  <c r="AU937" i="4"/>
  <c r="AT937" i="4"/>
  <c r="AW937" i="4" s="1"/>
  <c r="AX936" i="4"/>
  <c r="AV936" i="4"/>
  <c r="AU936" i="4"/>
  <c r="AT936" i="4"/>
  <c r="AW936" i="4" s="1"/>
  <c r="AX935" i="4"/>
  <c r="AV935" i="4"/>
  <c r="AU935" i="4"/>
  <c r="AT935" i="4"/>
  <c r="AW935" i="4" s="1"/>
  <c r="AX934" i="4"/>
  <c r="AV934" i="4"/>
  <c r="AU934" i="4"/>
  <c r="AT934" i="4"/>
  <c r="AW934" i="4" s="1"/>
  <c r="AX933" i="4"/>
  <c r="AV933" i="4"/>
  <c r="AU933" i="4"/>
  <c r="AT933" i="4"/>
  <c r="AW933" i="4" s="1"/>
  <c r="AS923" i="4"/>
  <c r="AR923" i="4"/>
  <c r="AQ923" i="4"/>
  <c r="AP923" i="4"/>
  <c r="AO923" i="4"/>
  <c r="AN923" i="4"/>
  <c r="AM923" i="4"/>
  <c r="AL923" i="4"/>
  <c r="AK923" i="4"/>
  <c r="AJ923" i="4"/>
  <c r="AI923" i="4"/>
  <c r="AH923" i="4"/>
  <c r="AG923" i="4"/>
  <c r="AF923" i="4"/>
  <c r="AE923" i="4"/>
  <c r="AD923" i="4"/>
  <c r="AX921" i="4"/>
  <c r="AV921" i="4"/>
  <c r="AU921" i="4"/>
  <c r="AT921" i="4"/>
  <c r="AW921" i="4" s="1"/>
  <c r="AX920" i="4"/>
  <c r="AV920" i="4"/>
  <c r="AU920" i="4"/>
  <c r="AT920" i="4"/>
  <c r="AW920" i="4" s="1"/>
  <c r="AX919" i="4"/>
  <c r="AV919" i="4"/>
  <c r="AU919" i="4"/>
  <c r="AT919" i="4"/>
  <c r="AW919" i="4" s="1"/>
  <c r="AX918" i="4"/>
  <c r="AV918" i="4"/>
  <c r="AU918" i="4"/>
  <c r="AT918" i="4"/>
  <c r="AW918" i="4" s="1"/>
  <c r="AT917" i="4"/>
  <c r="AS908" i="4"/>
  <c r="AR908" i="4"/>
  <c r="AQ908" i="4"/>
  <c r="AP908" i="4"/>
  <c r="AO908" i="4"/>
  <c r="AN908" i="4"/>
  <c r="AM908" i="4"/>
  <c r="AL908" i="4"/>
  <c r="AK908" i="4"/>
  <c r="AH908" i="4"/>
  <c r="AG908" i="4"/>
  <c r="AF908" i="4"/>
  <c r="AE908" i="4"/>
  <c r="AD908" i="4"/>
  <c r="AX906" i="4"/>
  <c r="AV906" i="4"/>
  <c r="AU906" i="4"/>
  <c r="AT906" i="4"/>
  <c r="AW906" i="4" s="1"/>
  <c r="AX905" i="4"/>
  <c r="AV905" i="4"/>
  <c r="AU905" i="4"/>
  <c r="AT905" i="4"/>
  <c r="AW905" i="4" s="1"/>
  <c r="AX896" i="4"/>
  <c r="AV896" i="4"/>
  <c r="AU896" i="4"/>
  <c r="AT896" i="4"/>
  <c r="AW896" i="4" s="1"/>
  <c r="AX894" i="4"/>
  <c r="AV894" i="4"/>
  <c r="AU894" i="4"/>
  <c r="AT894" i="4"/>
  <c r="AW894" i="4" s="1"/>
  <c r="AV892" i="4"/>
  <c r="AT892" i="4"/>
  <c r="AW892" i="4" s="1"/>
  <c r="AI892" i="4"/>
  <c r="AJ892" i="4" s="1"/>
  <c r="AU892" i="4" s="1"/>
  <c r="AV890" i="4"/>
  <c r="AT890" i="4"/>
  <c r="AW890" i="4" s="1"/>
  <c r="AI890" i="4"/>
  <c r="AJ890" i="4" s="1"/>
  <c r="AV888" i="4"/>
  <c r="AT888" i="4"/>
  <c r="AW888" i="4" s="1"/>
  <c r="AI888" i="4"/>
  <c r="AJ888" i="4" s="1"/>
  <c r="AX888" i="4" s="1"/>
  <c r="AV886" i="4"/>
  <c r="AT886" i="4"/>
  <c r="AW886" i="4" s="1"/>
  <c r="AI886" i="4"/>
  <c r="AJ886" i="4" s="1"/>
  <c r="AU886" i="4" s="1"/>
  <c r="AV884" i="4"/>
  <c r="AT884" i="4"/>
  <c r="AW884" i="4" s="1"/>
  <c r="AI884" i="4"/>
  <c r="AJ884" i="4" s="1"/>
  <c r="AV882" i="4"/>
  <c r="AT882" i="4"/>
  <c r="AW882" i="4" s="1"/>
  <c r="AI882" i="4"/>
  <c r="AS873" i="4"/>
  <c r="AR873" i="4"/>
  <c r="AQ873" i="4"/>
  <c r="AP873" i="4"/>
  <c r="AO873" i="4"/>
  <c r="AN873" i="4"/>
  <c r="AM873" i="4"/>
  <c r="AK873" i="4"/>
  <c r="AH873" i="4"/>
  <c r="AG873" i="4"/>
  <c r="AF873" i="4"/>
  <c r="AE873" i="4"/>
  <c r="AD873" i="4"/>
  <c r="AX871" i="4"/>
  <c r="AV871" i="4"/>
  <c r="AU871" i="4"/>
  <c r="AT871" i="4"/>
  <c r="AW871" i="4" s="1"/>
  <c r="AX869" i="4"/>
  <c r="AV869" i="4"/>
  <c r="AU869" i="4"/>
  <c r="AT869" i="4"/>
  <c r="AW869" i="4" s="1"/>
  <c r="AX865" i="4"/>
  <c r="AV865" i="4"/>
  <c r="AU865" i="4"/>
  <c r="AT865" i="4"/>
  <c r="AW865" i="4" s="1"/>
  <c r="AX863" i="4"/>
  <c r="AV863" i="4"/>
  <c r="AU863" i="4"/>
  <c r="AT863" i="4"/>
  <c r="AW863" i="4" s="1"/>
  <c r="AT860" i="4"/>
  <c r="AV859" i="4"/>
  <c r="AT859" i="4"/>
  <c r="AW859" i="4" s="1"/>
  <c r="AI859" i="4"/>
  <c r="AI873" i="4" s="1"/>
  <c r="AS850" i="4"/>
  <c r="AR850" i="4"/>
  <c r="AQ850" i="4"/>
  <c r="AT850" i="4" s="1"/>
  <c r="AP850" i="4"/>
  <c r="AO850" i="4"/>
  <c r="AN850" i="4"/>
  <c r="AM850" i="4"/>
  <c r="AK850" i="4"/>
  <c r="AH850" i="4"/>
  <c r="AG850" i="4"/>
  <c r="AF850" i="4"/>
  <c r="AE850" i="4"/>
  <c r="AD850" i="4"/>
  <c r="AX848" i="4"/>
  <c r="AV848" i="4"/>
  <c r="AU848" i="4"/>
  <c r="AT848" i="4"/>
  <c r="AW848" i="4" s="1"/>
  <c r="AX846" i="4"/>
  <c r="AV846" i="4"/>
  <c r="AU846" i="4"/>
  <c r="AT846" i="4"/>
  <c r="AW846" i="4" s="1"/>
  <c r="AX845" i="4"/>
  <c r="AV845" i="4"/>
  <c r="AU845" i="4"/>
  <c r="AT845" i="4"/>
  <c r="AW845" i="4" s="1"/>
  <c r="AV844" i="4"/>
  <c r="AT844" i="4"/>
  <c r="AW844" i="4" s="1"/>
  <c r="AI844" i="4"/>
  <c r="AJ844" i="4" s="1"/>
  <c r="AX842" i="4"/>
  <c r="AV842" i="4"/>
  <c r="AU842" i="4"/>
  <c r="AT842" i="4"/>
  <c r="AW842" i="4" s="1"/>
  <c r="AX838" i="4"/>
  <c r="AV838" i="4"/>
  <c r="AU838" i="4"/>
  <c r="AT838" i="4"/>
  <c r="AW838" i="4" s="1"/>
  <c r="AV834" i="4"/>
  <c r="AT834" i="4"/>
  <c r="AW834" i="4" s="1"/>
  <c r="AI834" i="4"/>
  <c r="AJ834" i="4" s="1"/>
  <c r="AV832" i="4"/>
  <c r="AT832" i="4"/>
  <c r="AW832" i="4" s="1"/>
  <c r="AI832" i="4"/>
  <c r="AX830" i="4"/>
  <c r="AV830" i="4"/>
  <c r="AU830" i="4"/>
  <c r="AT830" i="4"/>
  <c r="AW830" i="4" s="1"/>
  <c r="AX825" i="4"/>
  <c r="AV825" i="4"/>
  <c r="AU825" i="4"/>
  <c r="AT825" i="4"/>
  <c r="AW825" i="4" s="1"/>
  <c r="AX823" i="4"/>
  <c r="AV823" i="4"/>
  <c r="AU823" i="4"/>
  <c r="AT823" i="4"/>
  <c r="AW823" i="4" s="1"/>
  <c r="AS814" i="4"/>
  <c r="AR814" i="4"/>
  <c r="AQ814" i="4"/>
  <c r="AP814" i="4"/>
  <c r="AO814" i="4"/>
  <c r="AN814" i="4"/>
  <c r="AM814" i="4"/>
  <c r="AK814" i="4"/>
  <c r="AH814" i="4"/>
  <c r="AF814" i="4"/>
  <c r="AE814" i="4"/>
  <c r="AD814" i="4"/>
  <c r="AX812" i="4"/>
  <c r="AV812" i="4"/>
  <c r="AU812" i="4"/>
  <c r="AT812" i="4"/>
  <c r="AW812" i="4" s="1"/>
  <c r="AX808" i="4"/>
  <c r="AW808" i="4"/>
  <c r="AV808" i="4"/>
  <c r="AU808" i="4"/>
  <c r="AT808" i="4"/>
  <c r="AX803" i="4"/>
  <c r="AV803" i="4"/>
  <c r="AU803" i="4"/>
  <c r="AT803" i="4"/>
  <c r="AW803" i="4" s="1"/>
  <c r="AX799" i="4"/>
  <c r="AV799" i="4"/>
  <c r="AU799" i="4"/>
  <c r="AT799" i="4"/>
  <c r="AW799" i="4" s="1"/>
  <c r="AX793" i="4"/>
  <c r="AV793" i="4"/>
  <c r="AU793" i="4"/>
  <c r="AT793" i="4"/>
  <c r="AW793" i="4" s="1"/>
  <c r="AX780" i="4"/>
  <c r="AV780" i="4"/>
  <c r="AU780" i="4"/>
  <c r="AT780" i="4"/>
  <c r="AW780" i="4" s="1"/>
  <c r="AL780" i="4"/>
  <c r="AX771" i="4"/>
  <c r="AV771" i="4"/>
  <c r="AU771" i="4"/>
  <c r="AT771" i="4"/>
  <c r="AW771" i="4" s="1"/>
  <c r="AX770" i="4"/>
  <c r="AV770" i="4"/>
  <c r="AU770" i="4"/>
  <c r="AT770" i="4"/>
  <c r="AW770" i="4" s="1"/>
  <c r="AX766" i="4"/>
  <c r="AV766" i="4"/>
  <c r="AU766" i="4"/>
  <c r="AT766" i="4"/>
  <c r="AW766" i="4" s="1"/>
  <c r="AX760" i="4"/>
  <c r="AV760" i="4"/>
  <c r="AU760" i="4"/>
  <c r="AT760" i="4"/>
  <c r="AW760" i="4" s="1"/>
  <c r="AX752" i="4"/>
  <c r="AV752" i="4"/>
  <c r="AU752" i="4"/>
  <c r="AT752" i="4"/>
  <c r="AW752" i="4" s="1"/>
  <c r="AV751" i="4"/>
  <c r="AT751" i="4"/>
  <c r="AW751" i="4" s="1"/>
  <c r="AI751" i="4"/>
  <c r="AJ751" i="4" s="1"/>
  <c r="AU751" i="4" s="1"/>
  <c r="AX747" i="4"/>
  <c r="AV747" i="4"/>
  <c r="AU747" i="4"/>
  <c r="AT747" i="4"/>
  <c r="AW747" i="4" s="1"/>
  <c r="AX746" i="4"/>
  <c r="AV746" i="4"/>
  <c r="AU746" i="4"/>
  <c r="AT746" i="4"/>
  <c r="AW746" i="4" s="1"/>
  <c r="AV745" i="4"/>
  <c r="AT745" i="4"/>
  <c r="AW745" i="4" s="1"/>
  <c r="AI745" i="4"/>
  <c r="AJ745" i="4" s="1"/>
  <c r="AX743" i="4"/>
  <c r="AV743" i="4"/>
  <c r="AU743" i="4"/>
  <c r="AT743" i="4"/>
  <c r="AW743" i="4" s="1"/>
  <c r="AX739" i="4"/>
  <c r="AV739" i="4"/>
  <c r="AU739" i="4"/>
  <c r="AT739" i="4"/>
  <c r="AW739" i="4" s="1"/>
  <c r="AV738" i="4"/>
  <c r="AT738" i="4"/>
  <c r="AW738" i="4" s="1"/>
  <c r="AI738" i="4"/>
  <c r="AJ738" i="4" s="1"/>
  <c r="AX731" i="4"/>
  <c r="AV731" i="4"/>
  <c r="AU731" i="4"/>
  <c r="AT731" i="4"/>
  <c r="AW731" i="4" s="1"/>
  <c r="AV723" i="4"/>
  <c r="AT723" i="4"/>
  <c r="AW723" i="4" s="1"/>
  <c r="AI723" i="4"/>
  <c r="AJ723" i="4" s="1"/>
  <c r="AV716" i="4"/>
  <c r="AT716" i="4"/>
  <c r="AW716" i="4" s="1"/>
  <c r="AI716" i="4"/>
  <c r="AJ716" i="4" s="1"/>
  <c r="AU716" i="4" s="1"/>
  <c r="AV711" i="4"/>
  <c r="AT711" i="4"/>
  <c r="AW711" i="4" s="1"/>
  <c r="AG711" i="4"/>
  <c r="AI711" i="4" s="1"/>
  <c r="AJ711" i="4" s="1"/>
  <c r="AV706" i="4"/>
  <c r="AT706" i="4"/>
  <c r="AW706" i="4" s="1"/>
  <c r="AG706" i="4"/>
  <c r="AI706" i="4" s="1"/>
  <c r="AJ706" i="4" s="1"/>
  <c r="AV695" i="4"/>
  <c r="AT695" i="4"/>
  <c r="AW695" i="4" s="1"/>
  <c r="AI695" i="4"/>
  <c r="AJ695" i="4" s="1"/>
  <c r="AX695" i="4" s="1"/>
  <c r="AX691" i="4"/>
  <c r="AV691" i="4"/>
  <c r="AU691" i="4"/>
  <c r="AT691" i="4"/>
  <c r="AW691" i="4" s="1"/>
  <c r="AX689" i="4"/>
  <c r="AV689" i="4"/>
  <c r="AU689" i="4"/>
  <c r="AT689" i="4"/>
  <c r="AW689" i="4" s="1"/>
  <c r="AT688" i="4"/>
  <c r="AV687" i="4"/>
  <c r="AT687" i="4"/>
  <c r="AW687" i="4" s="1"/>
  <c r="AI687" i="4"/>
  <c r="AJ687" i="4" s="1"/>
  <c r="AV685" i="4"/>
  <c r="AT685" i="4"/>
  <c r="AW685" i="4" s="1"/>
  <c r="AI685" i="4"/>
  <c r="AJ685" i="4" s="1"/>
  <c r="AX685" i="4" s="1"/>
  <c r="AV683" i="4"/>
  <c r="AT683" i="4"/>
  <c r="AW683" i="4" s="1"/>
  <c r="AI683" i="4"/>
  <c r="AJ683" i="4" s="1"/>
  <c r="AU683" i="4" s="1"/>
  <c r="AV681" i="4"/>
  <c r="AT681" i="4"/>
  <c r="AW681" i="4" s="1"/>
  <c r="AI681" i="4"/>
  <c r="AJ681" i="4" s="1"/>
  <c r="AX679" i="4"/>
  <c r="AV679" i="4"/>
  <c r="AU679" i="4"/>
  <c r="AT679" i="4"/>
  <c r="AW679" i="4" s="1"/>
  <c r="AX677" i="4"/>
  <c r="AV677" i="4"/>
  <c r="AU677" i="4"/>
  <c r="AT677" i="4"/>
  <c r="AW677" i="4" s="1"/>
  <c r="AX675" i="4"/>
  <c r="AV675" i="4"/>
  <c r="AU675" i="4"/>
  <c r="AT675" i="4"/>
  <c r="AW675" i="4" s="1"/>
  <c r="AX673" i="4"/>
  <c r="AV673" i="4"/>
  <c r="AU673" i="4"/>
  <c r="AT673" i="4"/>
  <c r="AW673" i="4" s="1"/>
  <c r="AX671" i="4"/>
  <c r="AV671" i="4"/>
  <c r="AU671" i="4"/>
  <c r="AT671" i="4"/>
  <c r="AW671" i="4" s="1"/>
  <c r="AX667" i="4"/>
  <c r="AV667" i="4"/>
  <c r="AU667" i="4"/>
  <c r="AT667" i="4"/>
  <c r="AW667" i="4" s="1"/>
  <c r="AX665" i="4"/>
  <c r="AV665" i="4"/>
  <c r="AU665" i="4"/>
  <c r="AT665" i="4"/>
  <c r="AW665" i="4" s="1"/>
  <c r="AX663" i="4"/>
  <c r="AV663" i="4"/>
  <c r="AU663" i="4"/>
  <c r="AT663" i="4"/>
  <c r="AW663" i="4" s="1"/>
  <c r="AX658" i="4"/>
  <c r="AV658" i="4"/>
  <c r="AU658" i="4"/>
  <c r="AT658" i="4"/>
  <c r="AW658" i="4" s="1"/>
  <c r="AV652" i="4"/>
  <c r="AT652" i="4"/>
  <c r="AW652" i="4" s="1"/>
  <c r="AI652" i="4"/>
  <c r="AJ652" i="4" s="1"/>
  <c r="AU652" i="4" s="1"/>
  <c r="AV650" i="4"/>
  <c r="AT650" i="4"/>
  <c r="AW650" i="4" s="1"/>
  <c r="AI650" i="4"/>
  <c r="AJ650" i="4" s="1"/>
  <c r="AX648" i="4"/>
  <c r="AV648" i="4"/>
  <c r="AU648" i="4"/>
  <c r="AT648" i="4"/>
  <c r="AW648" i="4" s="1"/>
  <c r="AS638" i="4"/>
  <c r="AR638" i="4"/>
  <c r="AQ638" i="4"/>
  <c r="AP638" i="4"/>
  <c r="AO638" i="4"/>
  <c r="AN638" i="4"/>
  <c r="AM638" i="4"/>
  <c r="AK638" i="4"/>
  <c r="AH638" i="4"/>
  <c r="AG638" i="4"/>
  <c r="AF638" i="4"/>
  <c r="AE638" i="4"/>
  <c r="AD638" i="4"/>
  <c r="AV636" i="4"/>
  <c r="AT636" i="4"/>
  <c r="AW636" i="4" s="1"/>
  <c r="AI636" i="4"/>
  <c r="AJ636" i="4" s="1"/>
  <c r="AX634" i="4"/>
  <c r="AV634" i="4"/>
  <c r="AU634" i="4"/>
  <c r="AT634" i="4"/>
  <c r="AW634" i="4" s="1"/>
  <c r="AX632" i="4"/>
  <c r="AV632" i="4"/>
  <c r="AU632" i="4"/>
  <c r="AT632" i="4"/>
  <c r="AW632" i="4" s="1"/>
  <c r="AX630" i="4"/>
  <c r="AV630" i="4"/>
  <c r="AU630" i="4"/>
  <c r="AT630" i="4"/>
  <c r="AW630" i="4" s="1"/>
  <c r="AX628" i="4"/>
  <c r="AV628" i="4"/>
  <c r="AU628" i="4"/>
  <c r="AT628" i="4"/>
  <c r="AW628" i="4" s="1"/>
  <c r="AV627" i="4"/>
  <c r="AT627" i="4"/>
  <c r="AW627" i="4" s="1"/>
  <c r="AI627" i="4"/>
  <c r="AJ627" i="4" s="1"/>
  <c r="AX625" i="4"/>
  <c r="AV625" i="4"/>
  <c r="AU625" i="4"/>
  <c r="AT625" i="4"/>
  <c r="AW625" i="4" s="1"/>
  <c r="AV624" i="4"/>
  <c r="AT624" i="4"/>
  <c r="AW624" i="4" s="1"/>
  <c r="AI624" i="4"/>
  <c r="AJ624" i="4" s="1"/>
  <c r="AX622" i="4"/>
  <c r="AV622" i="4"/>
  <c r="AU622" i="4"/>
  <c r="AT622" i="4"/>
  <c r="AW622" i="4" s="1"/>
  <c r="AX621" i="4"/>
  <c r="AV621" i="4"/>
  <c r="AU621" i="4"/>
  <c r="AT621" i="4"/>
  <c r="AW621" i="4" s="1"/>
  <c r="AX620" i="4"/>
  <c r="AV620" i="4"/>
  <c r="AU620" i="4"/>
  <c r="AT620" i="4"/>
  <c r="AW620" i="4" s="1"/>
  <c r="AX619" i="4"/>
  <c r="AV619" i="4"/>
  <c r="AU619" i="4"/>
  <c r="AT619" i="4"/>
  <c r="AW619" i="4" s="1"/>
  <c r="AX617" i="4"/>
  <c r="AV617" i="4"/>
  <c r="AU617" i="4"/>
  <c r="AT617" i="4"/>
  <c r="AW617" i="4" s="1"/>
  <c r="AX615" i="4"/>
  <c r="AV615" i="4"/>
  <c r="AU615" i="4"/>
  <c r="AT615" i="4"/>
  <c r="AW615" i="4" s="1"/>
  <c r="AV614" i="4"/>
  <c r="AT614" i="4"/>
  <c r="AW614" i="4" s="1"/>
  <c r="AI614" i="4"/>
  <c r="AJ614" i="4" s="1"/>
  <c r="AX614" i="4" s="1"/>
  <c r="AX612" i="4"/>
  <c r="AV612" i="4"/>
  <c r="AU612" i="4"/>
  <c r="AT612" i="4"/>
  <c r="AW612" i="4" s="1"/>
  <c r="AX610" i="4"/>
  <c r="AV610" i="4"/>
  <c r="AU610" i="4"/>
  <c r="AT610" i="4"/>
  <c r="AW610" i="4" s="1"/>
  <c r="AX608" i="4"/>
  <c r="AV608" i="4"/>
  <c r="AU608" i="4"/>
  <c r="AT608" i="4"/>
  <c r="AW608" i="4" s="1"/>
  <c r="AX606" i="4"/>
  <c r="AV606" i="4"/>
  <c r="AU606" i="4"/>
  <c r="AT606" i="4"/>
  <c r="AW606" i="4" s="1"/>
  <c r="AX604" i="4"/>
  <c r="AV604" i="4"/>
  <c r="AU604" i="4"/>
  <c r="AT604" i="4"/>
  <c r="AW604" i="4" s="1"/>
  <c r="AX600" i="4"/>
  <c r="AV600" i="4"/>
  <c r="AU600" i="4"/>
  <c r="AT600" i="4"/>
  <c r="AW600" i="4" s="1"/>
  <c r="AX599" i="4"/>
  <c r="AV599" i="4"/>
  <c r="AU599" i="4"/>
  <c r="AT599" i="4"/>
  <c r="AW599" i="4" s="1"/>
  <c r="AV598" i="4"/>
  <c r="AT598" i="4"/>
  <c r="AW598" i="4" s="1"/>
  <c r="AI598" i="4"/>
  <c r="AJ598" i="4" s="1"/>
  <c r="AX594" i="4"/>
  <c r="AV594" i="4"/>
  <c r="AU594" i="4"/>
  <c r="AT594" i="4"/>
  <c r="AW594" i="4" s="1"/>
  <c r="AV592" i="4"/>
  <c r="AT592" i="4"/>
  <c r="AW592" i="4" s="1"/>
  <c r="AI592" i="4"/>
  <c r="AS584" i="4"/>
  <c r="AR584" i="4"/>
  <c r="AQ584" i="4"/>
  <c r="AP584" i="4"/>
  <c r="AO584" i="4"/>
  <c r="AN584" i="4"/>
  <c r="AM584" i="4"/>
  <c r="AK584" i="4"/>
  <c r="AH584" i="4"/>
  <c r="AG584" i="4"/>
  <c r="AF584" i="4"/>
  <c r="AE584" i="4"/>
  <c r="AD584" i="4"/>
  <c r="AX582" i="4"/>
  <c r="AV582" i="4"/>
  <c r="AU582" i="4"/>
  <c r="AT582" i="4"/>
  <c r="AW582" i="4" s="1"/>
  <c r="AX581" i="4"/>
  <c r="AV581" i="4"/>
  <c r="AU581" i="4"/>
  <c r="AT581" i="4"/>
  <c r="AW581" i="4" s="1"/>
  <c r="AX572" i="4"/>
  <c r="AV572" i="4"/>
  <c r="AU572" i="4"/>
  <c r="AT572" i="4"/>
  <c r="AW572" i="4" s="1"/>
  <c r="AX571" i="4"/>
  <c r="AV571" i="4"/>
  <c r="AU571" i="4"/>
  <c r="AT571" i="4"/>
  <c r="AW571" i="4" s="1"/>
  <c r="AX570" i="4"/>
  <c r="AV570" i="4"/>
  <c r="AU570" i="4"/>
  <c r="AT570" i="4"/>
  <c r="AW570" i="4" s="1"/>
  <c r="AX569" i="4"/>
  <c r="AV569" i="4"/>
  <c r="AU569" i="4"/>
  <c r="AT569" i="4"/>
  <c r="AW569" i="4" s="1"/>
  <c r="AX568" i="4"/>
  <c r="AV568" i="4"/>
  <c r="AU568" i="4"/>
  <c r="AT568" i="4"/>
  <c r="AW568" i="4" s="1"/>
  <c r="AX558" i="4"/>
  <c r="AV558" i="4"/>
  <c r="AU558" i="4"/>
  <c r="AT558" i="4"/>
  <c r="AW558" i="4" s="1"/>
  <c r="AV557" i="4"/>
  <c r="AT557" i="4"/>
  <c r="AW557" i="4" s="1"/>
  <c r="AI557" i="4"/>
  <c r="AJ557" i="4" s="1"/>
  <c r="AV555" i="4"/>
  <c r="AT555" i="4"/>
  <c r="AW555" i="4" s="1"/>
  <c r="AI555" i="4"/>
  <c r="AJ555" i="4" s="1"/>
  <c r="AX555" i="4" s="1"/>
  <c r="AX553" i="4"/>
  <c r="AV553" i="4"/>
  <c r="AU553" i="4"/>
  <c r="AT553" i="4"/>
  <c r="AW553" i="4" s="1"/>
  <c r="AX550" i="4"/>
  <c r="AV550" i="4"/>
  <c r="AU550" i="4"/>
  <c r="AT550" i="4"/>
  <c r="AW550" i="4" s="1"/>
  <c r="AV549" i="4"/>
  <c r="AT549" i="4"/>
  <c r="AW549" i="4" s="1"/>
  <c r="AI549" i="4"/>
  <c r="AJ549" i="4" s="1"/>
  <c r="AX547" i="4"/>
  <c r="AV547" i="4"/>
  <c r="AU547" i="4"/>
  <c r="AT547" i="4"/>
  <c r="AW547" i="4" s="1"/>
  <c r="AV546" i="4"/>
  <c r="AT546" i="4"/>
  <c r="AW546" i="4" s="1"/>
  <c r="AI546" i="4"/>
  <c r="AJ546" i="4" s="1"/>
  <c r="AV544" i="4"/>
  <c r="AT544" i="4"/>
  <c r="AW544" i="4" s="1"/>
  <c r="AI544" i="4"/>
  <c r="AJ544" i="4" s="1"/>
  <c r="AX544" i="4" s="1"/>
  <c r="AV542" i="4"/>
  <c r="AT542" i="4"/>
  <c r="AW542" i="4" s="1"/>
  <c r="AI542" i="4"/>
  <c r="AJ542" i="4" s="1"/>
  <c r="AU542" i="4" s="1"/>
  <c r="AT541" i="4"/>
  <c r="AV540" i="4"/>
  <c r="AT540" i="4"/>
  <c r="AW540" i="4" s="1"/>
  <c r="AI540" i="4"/>
  <c r="AJ540" i="4" s="1"/>
  <c r="AU540" i="4" s="1"/>
  <c r="AT539" i="4"/>
  <c r="AV538" i="4"/>
  <c r="AT538" i="4"/>
  <c r="AW538" i="4" s="1"/>
  <c r="AI538" i="4"/>
  <c r="AJ538" i="4" s="1"/>
  <c r="AU538" i="4" s="1"/>
  <c r="AV535" i="4"/>
  <c r="AT535" i="4"/>
  <c r="AW535" i="4" s="1"/>
  <c r="AI535" i="4"/>
  <c r="AJ535" i="4" s="1"/>
  <c r="AV533" i="4"/>
  <c r="AT533" i="4"/>
  <c r="AW533" i="4" s="1"/>
  <c r="AI533" i="4"/>
  <c r="AJ533" i="4" s="1"/>
  <c r="AX530" i="4"/>
  <c r="AV530" i="4"/>
  <c r="AU530" i="4"/>
  <c r="AT530" i="4"/>
  <c r="AW530" i="4" s="1"/>
  <c r="AX527" i="4"/>
  <c r="AV527" i="4"/>
  <c r="AU527" i="4"/>
  <c r="AT527" i="4"/>
  <c r="AW527" i="4" s="1"/>
  <c r="AV526" i="4"/>
  <c r="AT526" i="4"/>
  <c r="AW526" i="4" s="1"/>
  <c r="AI526" i="4"/>
  <c r="AJ526" i="4" s="1"/>
  <c r="AX523" i="4"/>
  <c r="AV523" i="4"/>
  <c r="AU523" i="4"/>
  <c r="AT523" i="4"/>
  <c r="AW523" i="4" s="1"/>
  <c r="AV521" i="4"/>
  <c r="AT521" i="4"/>
  <c r="AW521" i="4" s="1"/>
  <c r="AI521" i="4"/>
  <c r="AJ521" i="4" s="1"/>
  <c r="AX518" i="4"/>
  <c r="AV518" i="4"/>
  <c r="AU518" i="4"/>
  <c r="AT518" i="4"/>
  <c r="AW518" i="4" s="1"/>
  <c r="AL518" i="4"/>
  <c r="AX516" i="4"/>
  <c r="AV516" i="4"/>
  <c r="AU516" i="4"/>
  <c r="AT516" i="4"/>
  <c r="AW516" i="4" s="1"/>
  <c r="AX515" i="4"/>
  <c r="AV515" i="4"/>
  <c r="AU515" i="4"/>
  <c r="AT515" i="4"/>
  <c r="AW515" i="4" s="1"/>
  <c r="AV513" i="4"/>
  <c r="AT513" i="4"/>
  <c r="AW513" i="4" s="1"/>
  <c r="AI513" i="4"/>
  <c r="AJ513" i="4" s="1"/>
  <c r="AV511" i="4"/>
  <c r="AT511" i="4"/>
  <c r="AW511" i="4" s="1"/>
  <c r="AI511" i="4"/>
  <c r="AJ511" i="4" s="1"/>
  <c r="AX511" i="4" s="1"/>
  <c r="AV509" i="4"/>
  <c r="AT509" i="4"/>
  <c r="AW509" i="4" s="1"/>
  <c r="AI509" i="4"/>
  <c r="AJ509" i="4" s="1"/>
  <c r="AU509" i="4" s="1"/>
  <c r="AX507" i="4"/>
  <c r="AV507" i="4"/>
  <c r="AU507" i="4"/>
  <c r="AT507" i="4"/>
  <c r="AW507" i="4" s="1"/>
  <c r="AV501" i="4"/>
  <c r="AT501" i="4"/>
  <c r="AW501" i="4" s="1"/>
  <c r="AI501" i="4"/>
  <c r="AJ501" i="4" s="1"/>
  <c r="AV499" i="4"/>
  <c r="AT499" i="4"/>
  <c r="AW499" i="4" s="1"/>
  <c r="AI499" i="4"/>
  <c r="AJ499" i="4" s="1"/>
  <c r="AV497" i="4"/>
  <c r="AT497" i="4"/>
  <c r="AW497" i="4" s="1"/>
  <c r="AI497" i="4"/>
  <c r="AJ497" i="4" s="1"/>
  <c r="AX497" i="4" s="1"/>
  <c r="AX495" i="4"/>
  <c r="AV495" i="4"/>
  <c r="AU495" i="4"/>
  <c r="AT495" i="4"/>
  <c r="AW495" i="4" s="1"/>
  <c r="AX494" i="4"/>
  <c r="AV494" i="4"/>
  <c r="AU494" i="4"/>
  <c r="AT494" i="4"/>
  <c r="AW494" i="4" s="1"/>
  <c r="AV492" i="4"/>
  <c r="AT492" i="4"/>
  <c r="AW492" i="4" s="1"/>
  <c r="AI492" i="4"/>
  <c r="AJ492" i="4" s="1"/>
  <c r="AX491" i="4"/>
  <c r="AV491" i="4"/>
  <c r="AU491" i="4"/>
  <c r="AT491" i="4"/>
  <c r="AW491" i="4" s="1"/>
  <c r="AV489" i="4"/>
  <c r="AT489" i="4"/>
  <c r="AW489" i="4" s="1"/>
  <c r="AI489" i="4"/>
  <c r="AJ489" i="4" s="1"/>
  <c r="AX488" i="4"/>
  <c r="AV488" i="4"/>
  <c r="AU488" i="4"/>
  <c r="AT488" i="4"/>
  <c r="AW488" i="4" s="1"/>
  <c r="AX487" i="4"/>
  <c r="AV487" i="4"/>
  <c r="AU487" i="4"/>
  <c r="AT487" i="4"/>
  <c r="AW487" i="4" s="1"/>
  <c r="AV485" i="4"/>
  <c r="AT485" i="4"/>
  <c r="AW485" i="4" s="1"/>
  <c r="AI485" i="4"/>
  <c r="AX479" i="4"/>
  <c r="AV479" i="4"/>
  <c r="AU479" i="4"/>
  <c r="AT479" i="4"/>
  <c r="AW479" i="4" s="1"/>
  <c r="AX475" i="4"/>
  <c r="AV475" i="4"/>
  <c r="AU475" i="4"/>
  <c r="AT475" i="4"/>
  <c r="AW475" i="4" s="1"/>
  <c r="AX473" i="4"/>
  <c r="AV473" i="4"/>
  <c r="AU473" i="4"/>
  <c r="AT473" i="4"/>
  <c r="AW473" i="4" s="1"/>
  <c r="AX471" i="4"/>
  <c r="AV471" i="4"/>
  <c r="AT471" i="4"/>
  <c r="AW471" i="4" s="1"/>
  <c r="AX458" i="4"/>
  <c r="AV458" i="4"/>
  <c r="AU458" i="4"/>
  <c r="AT458" i="4"/>
  <c r="AW458" i="4" s="1"/>
  <c r="AX457" i="4"/>
  <c r="AV457" i="4"/>
  <c r="AU457" i="4"/>
  <c r="AT457" i="4"/>
  <c r="AW457" i="4" s="1"/>
  <c r="AX456" i="4"/>
  <c r="AV456" i="4"/>
  <c r="AU456" i="4"/>
  <c r="AT456" i="4"/>
  <c r="AW456" i="4" s="1"/>
  <c r="AX448" i="4"/>
  <c r="AV448" i="4"/>
  <c r="AU448" i="4"/>
  <c r="AT448" i="4"/>
  <c r="AW448" i="4" s="1"/>
  <c r="AX447" i="4"/>
  <c r="AV447" i="4"/>
  <c r="AU447" i="4"/>
  <c r="AT447" i="4"/>
  <c r="AW447" i="4" s="1"/>
  <c r="AX445" i="4"/>
  <c r="AV445" i="4"/>
  <c r="AU445" i="4"/>
  <c r="AT445" i="4"/>
  <c r="AW445" i="4" s="1"/>
  <c r="AX444" i="4"/>
  <c r="AV444" i="4"/>
  <c r="AU444" i="4"/>
  <c r="AT444" i="4"/>
  <c r="AW444" i="4" s="1"/>
  <c r="AX442" i="4"/>
  <c r="AV442" i="4"/>
  <c r="AU442" i="4"/>
  <c r="AT442" i="4"/>
  <c r="AW442" i="4" s="1"/>
  <c r="AX440" i="4"/>
  <c r="AV440" i="4"/>
  <c r="AU440" i="4"/>
  <c r="AT440" i="4"/>
  <c r="AW440" i="4" s="1"/>
  <c r="AX438" i="4"/>
  <c r="AV438" i="4"/>
  <c r="AU438" i="4"/>
  <c r="AT438" i="4"/>
  <c r="AW438" i="4" s="1"/>
  <c r="AX437" i="4"/>
  <c r="AV437" i="4"/>
  <c r="AU437" i="4"/>
  <c r="AT437" i="4"/>
  <c r="AW437" i="4" s="1"/>
  <c r="AX434" i="4"/>
  <c r="AV434" i="4"/>
  <c r="AU434" i="4"/>
  <c r="AT434" i="4"/>
  <c r="AW434" i="4" s="1"/>
  <c r="AX432" i="4"/>
  <c r="AV432" i="4"/>
  <c r="AU432" i="4"/>
  <c r="AT432" i="4"/>
  <c r="AW432" i="4" s="1"/>
  <c r="AX431" i="4"/>
  <c r="AV431" i="4"/>
  <c r="AU431" i="4"/>
  <c r="AT431" i="4"/>
  <c r="AW431" i="4" s="1"/>
  <c r="AX429" i="4"/>
  <c r="AV429" i="4"/>
  <c r="AU429" i="4"/>
  <c r="AT429" i="4"/>
  <c r="AW429" i="4" s="1"/>
  <c r="AX427" i="4"/>
  <c r="AV427" i="4"/>
  <c r="AU427" i="4"/>
  <c r="AT427" i="4"/>
  <c r="AW427" i="4" s="1"/>
  <c r="AX425" i="4"/>
  <c r="AV425" i="4"/>
  <c r="AU425" i="4"/>
  <c r="AT425" i="4"/>
  <c r="AW425" i="4" s="1"/>
  <c r="AX419" i="4"/>
  <c r="AV419" i="4"/>
  <c r="AU419" i="4"/>
  <c r="AT419" i="4"/>
  <c r="AW419" i="4" s="1"/>
  <c r="AX417" i="4"/>
  <c r="AV417" i="4"/>
  <c r="AU417" i="4"/>
  <c r="AT417" i="4"/>
  <c r="AW417" i="4" s="1"/>
  <c r="AX416" i="4"/>
  <c r="AV416" i="4"/>
  <c r="AU416" i="4"/>
  <c r="AT416" i="4"/>
  <c r="AW416" i="4" s="1"/>
  <c r="AX414" i="4"/>
  <c r="AV414" i="4"/>
  <c r="AU414" i="4"/>
  <c r="AT414" i="4"/>
  <c r="AW414" i="4" s="1"/>
  <c r="AX410" i="4"/>
  <c r="AV410" i="4"/>
  <c r="AU410" i="4"/>
  <c r="AT410" i="4"/>
  <c r="AW410" i="4" s="1"/>
  <c r="AX406" i="4"/>
  <c r="AV406" i="4"/>
  <c r="AU406" i="4"/>
  <c r="AT406" i="4"/>
  <c r="AW406" i="4" s="1"/>
  <c r="AX405" i="4"/>
  <c r="AV405" i="4"/>
  <c r="AU405" i="4"/>
  <c r="AT405" i="4"/>
  <c r="AW405" i="4" s="1"/>
  <c r="AX404" i="4"/>
  <c r="AV404" i="4"/>
  <c r="AU404" i="4"/>
  <c r="AT404" i="4"/>
  <c r="AW404" i="4" s="1"/>
  <c r="AX403" i="4"/>
  <c r="AV403" i="4"/>
  <c r="AU403" i="4"/>
  <c r="AT403" i="4"/>
  <c r="AW403" i="4" s="1"/>
  <c r="AX402" i="4"/>
  <c r="AV402" i="4"/>
  <c r="AU402" i="4"/>
  <c r="AT402" i="4"/>
  <c r="AW402" i="4" s="1"/>
  <c r="AX400" i="4"/>
  <c r="AV400" i="4"/>
  <c r="AU400" i="4"/>
  <c r="AT400" i="4"/>
  <c r="AW400" i="4" s="1"/>
  <c r="AX399" i="4"/>
  <c r="AV399" i="4"/>
  <c r="AU399" i="4"/>
  <c r="AT399" i="4"/>
  <c r="AW399" i="4" s="1"/>
  <c r="AX398" i="4"/>
  <c r="AV398" i="4"/>
  <c r="AU398" i="4"/>
  <c r="AT398" i="4"/>
  <c r="AW398" i="4" s="1"/>
  <c r="AX396" i="4"/>
  <c r="AV396" i="4"/>
  <c r="AU396" i="4"/>
  <c r="AT396" i="4"/>
  <c r="AW396" i="4" s="1"/>
  <c r="AX391" i="4"/>
  <c r="AV391" i="4"/>
  <c r="AU391" i="4"/>
  <c r="AT391" i="4"/>
  <c r="AW391" i="4" s="1"/>
  <c r="AX389" i="4"/>
  <c r="AV389" i="4"/>
  <c r="AU389" i="4"/>
  <c r="AT389" i="4"/>
  <c r="AW389" i="4" s="1"/>
  <c r="AX387" i="4"/>
  <c r="AV387" i="4"/>
  <c r="AU387" i="4"/>
  <c r="AT387" i="4"/>
  <c r="AW387" i="4" s="1"/>
  <c r="AX385" i="4"/>
  <c r="AV385" i="4"/>
  <c r="AU385" i="4"/>
  <c r="AT385" i="4"/>
  <c r="AW385" i="4" s="1"/>
  <c r="AX384" i="4"/>
  <c r="AV384" i="4"/>
  <c r="AU384" i="4"/>
  <c r="AT384" i="4"/>
  <c r="AW384" i="4" s="1"/>
  <c r="AV380" i="4"/>
  <c r="AT380" i="4"/>
  <c r="AW380" i="4" s="1"/>
  <c r="AI380" i="4"/>
  <c r="AX379" i="4"/>
  <c r="AV379" i="4"/>
  <c r="AU379" i="4"/>
  <c r="AT379" i="4"/>
  <c r="AW379" i="4" s="1"/>
  <c r="AX375" i="4"/>
  <c r="AV375" i="4"/>
  <c r="AU375" i="4"/>
  <c r="AT375" i="4"/>
  <c r="AW375" i="4" s="1"/>
  <c r="AX366" i="4"/>
  <c r="AV366" i="4"/>
  <c r="AU366" i="4"/>
  <c r="AT366" i="4"/>
  <c r="AW366" i="4" s="1"/>
  <c r="AX364" i="4"/>
  <c r="AV364" i="4"/>
  <c r="AU364" i="4"/>
  <c r="AT364" i="4"/>
  <c r="AW364" i="4" s="1"/>
  <c r="AX359" i="4"/>
  <c r="AV359" i="4"/>
  <c r="AU359" i="4"/>
  <c r="AT359" i="4"/>
  <c r="AW359" i="4" s="1"/>
  <c r="AX357" i="4"/>
  <c r="AV357" i="4"/>
  <c r="AU357" i="4"/>
  <c r="AT357" i="4"/>
  <c r="AW357" i="4" s="1"/>
  <c r="AX355" i="4"/>
  <c r="AV355" i="4"/>
  <c r="AU355" i="4"/>
  <c r="AT355" i="4"/>
  <c r="AW355" i="4" s="1"/>
  <c r="AX353" i="4"/>
  <c r="AV353" i="4"/>
  <c r="AU353" i="4"/>
  <c r="AT353" i="4"/>
  <c r="AW353" i="4" s="1"/>
  <c r="AX350" i="4"/>
  <c r="AV350" i="4"/>
  <c r="AU350" i="4"/>
  <c r="AT350" i="4"/>
  <c r="AW350" i="4" s="1"/>
  <c r="AX348" i="4"/>
  <c r="AV348" i="4"/>
  <c r="AU348" i="4"/>
  <c r="AT348" i="4"/>
  <c r="AW348" i="4" s="1"/>
  <c r="AX346" i="4"/>
  <c r="AV346" i="4"/>
  <c r="AU346" i="4"/>
  <c r="AT346" i="4"/>
  <c r="AW346" i="4" s="1"/>
  <c r="AX344" i="4"/>
  <c r="AV344" i="4"/>
  <c r="AU344" i="4"/>
  <c r="AT344" i="4"/>
  <c r="AW344" i="4" s="1"/>
  <c r="AX340" i="4"/>
  <c r="AV340" i="4"/>
  <c r="AU340" i="4"/>
  <c r="AT340" i="4"/>
  <c r="AW340" i="4" s="1"/>
  <c r="AX338" i="4"/>
  <c r="AV338" i="4"/>
  <c r="AU338" i="4"/>
  <c r="AT338" i="4"/>
  <c r="AW338" i="4" s="1"/>
  <c r="AX334" i="4"/>
  <c r="AV334" i="4"/>
  <c r="AU334" i="4"/>
  <c r="AT334" i="4"/>
  <c r="AW334" i="4" s="1"/>
  <c r="AX332" i="4"/>
  <c r="AV332" i="4"/>
  <c r="AU332" i="4"/>
  <c r="AT332" i="4"/>
  <c r="AW332" i="4" s="1"/>
  <c r="AX330" i="4"/>
  <c r="AV330" i="4"/>
  <c r="AU330" i="4"/>
  <c r="AT330" i="4"/>
  <c r="AW330" i="4" s="1"/>
  <c r="AX328" i="4"/>
  <c r="AV328" i="4"/>
  <c r="AU328" i="4"/>
  <c r="AT328" i="4"/>
  <c r="AW328" i="4" s="1"/>
  <c r="AX320" i="4"/>
  <c r="AV320" i="4"/>
  <c r="AU320" i="4"/>
  <c r="AT320" i="4"/>
  <c r="AW320" i="4" s="1"/>
  <c r="AX318" i="4"/>
  <c r="AV318" i="4"/>
  <c r="AU318" i="4"/>
  <c r="AT318" i="4"/>
  <c r="AW318" i="4" s="1"/>
  <c r="AX314" i="4"/>
  <c r="AV314" i="4"/>
  <c r="AU314" i="4"/>
  <c r="AT314" i="4"/>
  <c r="AW314" i="4" s="1"/>
  <c r="AX312" i="4"/>
  <c r="AV312" i="4"/>
  <c r="AU312" i="4"/>
  <c r="AT312" i="4"/>
  <c r="AW312" i="4" s="1"/>
  <c r="AX310" i="4"/>
  <c r="AV310" i="4"/>
  <c r="AU310" i="4"/>
  <c r="AT310" i="4"/>
  <c r="AW310" i="4" s="1"/>
  <c r="AX308" i="4"/>
  <c r="AV308" i="4"/>
  <c r="AU308" i="4"/>
  <c r="AT308" i="4"/>
  <c r="AW308" i="4" s="1"/>
  <c r="AX305" i="4"/>
  <c r="AV305" i="4"/>
  <c r="AU305" i="4"/>
  <c r="AT305" i="4"/>
  <c r="AW305" i="4" s="1"/>
  <c r="AX303" i="4"/>
  <c r="AV303" i="4"/>
  <c r="AU303" i="4"/>
  <c r="AT303" i="4"/>
  <c r="AW303" i="4" s="1"/>
  <c r="AX301" i="4"/>
  <c r="AV301" i="4"/>
  <c r="AU301" i="4"/>
  <c r="AT301" i="4"/>
  <c r="AW301" i="4" s="1"/>
  <c r="AX299" i="4"/>
  <c r="AV299" i="4"/>
  <c r="AU299" i="4"/>
  <c r="AT299" i="4"/>
  <c r="AW299" i="4" s="1"/>
  <c r="AX296" i="4"/>
  <c r="AV296" i="4"/>
  <c r="AU296" i="4"/>
  <c r="AT296" i="4"/>
  <c r="AW296" i="4" s="1"/>
  <c r="AX294" i="4"/>
  <c r="AV294" i="4"/>
  <c r="AU294" i="4"/>
  <c r="AT294" i="4"/>
  <c r="AW294" i="4" s="1"/>
  <c r="AX291" i="4"/>
  <c r="AV291" i="4"/>
  <c r="AU291" i="4"/>
  <c r="AT291" i="4"/>
  <c r="AW291" i="4" s="1"/>
  <c r="AX289" i="4"/>
  <c r="AV289" i="4"/>
  <c r="AU289" i="4"/>
  <c r="AT289" i="4"/>
  <c r="AW289" i="4" s="1"/>
  <c r="AX287" i="4"/>
  <c r="AW287" i="4"/>
  <c r="AV287" i="4"/>
  <c r="AU287" i="4"/>
  <c r="AT287" i="4"/>
  <c r="AX285" i="4"/>
  <c r="AV285" i="4"/>
  <c r="AU285" i="4"/>
  <c r="AT285" i="4"/>
  <c r="AW285" i="4" s="1"/>
  <c r="AX283" i="4"/>
  <c r="AV283" i="4"/>
  <c r="AU283" i="4"/>
  <c r="AT283" i="4"/>
  <c r="AW283" i="4" s="1"/>
  <c r="AX280" i="4"/>
  <c r="AW280" i="4"/>
  <c r="AV280" i="4"/>
  <c r="AU280" i="4"/>
  <c r="AT280" i="4"/>
  <c r="AX271" i="4"/>
  <c r="AV271" i="4"/>
  <c r="AU271" i="4"/>
  <c r="AT271" i="4"/>
  <c r="AW271" i="4" s="1"/>
  <c r="AX269" i="4"/>
  <c r="AV269" i="4"/>
  <c r="AU269" i="4"/>
  <c r="AT269" i="4"/>
  <c r="AW269" i="4" s="1"/>
  <c r="AX267" i="4"/>
  <c r="AV267" i="4"/>
  <c r="AU267" i="4"/>
  <c r="AT267" i="4"/>
  <c r="AW267" i="4" s="1"/>
  <c r="AX265" i="4"/>
  <c r="AV265" i="4"/>
  <c r="AU265" i="4"/>
  <c r="AT265" i="4"/>
  <c r="AW265" i="4" s="1"/>
  <c r="AX261" i="4"/>
  <c r="AV261" i="4"/>
  <c r="AU261" i="4"/>
  <c r="AT261" i="4"/>
  <c r="AW261" i="4" s="1"/>
  <c r="AT260" i="4"/>
  <c r="AX259" i="4"/>
  <c r="AV259" i="4"/>
  <c r="AU259" i="4"/>
  <c r="AT259" i="4"/>
  <c r="AW259" i="4" s="1"/>
  <c r="AT258" i="4"/>
  <c r="AX257" i="4"/>
  <c r="AV257" i="4"/>
  <c r="AU257" i="4"/>
  <c r="AT257" i="4"/>
  <c r="AW257" i="4" s="1"/>
  <c r="AT256" i="4"/>
  <c r="AX255" i="4"/>
  <c r="AV255" i="4"/>
  <c r="AU255" i="4"/>
  <c r="AT255" i="4"/>
  <c r="AW255" i="4" s="1"/>
  <c r="AT254" i="4"/>
  <c r="AX253" i="4"/>
  <c r="AV253" i="4"/>
  <c r="AU253" i="4"/>
  <c r="AT253" i="4"/>
  <c r="AW253" i="4" s="1"/>
  <c r="AT252" i="4"/>
  <c r="AX251" i="4"/>
  <c r="AV251" i="4"/>
  <c r="AU251" i="4"/>
  <c r="AT251" i="4"/>
  <c r="AW251" i="4" s="1"/>
  <c r="AX249" i="4"/>
  <c r="AW249" i="4"/>
  <c r="AV249" i="4"/>
  <c r="AU249" i="4"/>
  <c r="AT249" i="4"/>
  <c r="AX247" i="4"/>
  <c r="AV247" i="4"/>
  <c r="AU247" i="4"/>
  <c r="AT247" i="4"/>
  <c r="AW247" i="4" s="1"/>
  <c r="AX245" i="4"/>
  <c r="AV245" i="4"/>
  <c r="AU245" i="4"/>
  <c r="AT245" i="4"/>
  <c r="AW245" i="4" s="1"/>
  <c r="AX242" i="4"/>
  <c r="AV242" i="4"/>
  <c r="AU242" i="4"/>
  <c r="AT242" i="4"/>
  <c r="AW242" i="4" s="1"/>
  <c r="AX240" i="4"/>
  <c r="AV240" i="4"/>
  <c r="AU240" i="4"/>
  <c r="AT240" i="4"/>
  <c r="AW240" i="4" s="1"/>
  <c r="AX237" i="4"/>
  <c r="AV237" i="4"/>
  <c r="AU237" i="4"/>
  <c r="AT237" i="4"/>
  <c r="AW237" i="4" s="1"/>
  <c r="AX235" i="4"/>
  <c r="AV235" i="4"/>
  <c r="AU235" i="4"/>
  <c r="AT235" i="4"/>
  <c r="AW235" i="4" s="1"/>
  <c r="AX232" i="4"/>
  <c r="AV232" i="4"/>
  <c r="AU232" i="4"/>
  <c r="AT232" i="4"/>
  <c r="AW232" i="4" s="1"/>
  <c r="AX231" i="4"/>
  <c r="AV231" i="4"/>
  <c r="AU231" i="4"/>
  <c r="AT231" i="4"/>
  <c r="AS220" i="4"/>
  <c r="AR220" i="4"/>
  <c r="AQ220" i="4"/>
  <c r="AP220" i="4"/>
  <c r="AN220" i="4"/>
  <c r="AM220" i="4"/>
  <c r="AK220" i="4"/>
  <c r="AJ220" i="4"/>
  <c r="AI220" i="4"/>
  <c r="AH220" i="4"/>
  <c r="AG220" i="4"/>
  <c r="AF220" i="4"/>
  <c r="AE220" i="4"/>
  <c r="AD220" i="4"/>
  <c r="AX218" i="4"/>
  <c r="AV218" i="4"/>
  <c r="AU218" i="4"/>
  <c r="AT218" i="4"/>
  <c r="AW218" i="4" s="1"/>
  <c r="AX215" i="4"/>
  <c r="AV215" i="4"/>
  <c r="AU215" i="4"/>
  <c r="AT215" i="4"/>
  <c r="AW215" i="4" s="1"/>
  <c r="AX213" i="4"/>
  <c r="AV213" i="4"/>
  <c r="AU213" i="4"/>
  <c r="AT213" i="4"/>
  <c r="AW213" i="4" s="1"/>
  <c r="AX211" i="4"/>
  <c r="AV211" i="4"/>
  <c r="AU211" i="4"/>
  <c r="AT211" i="4"/>
  <c r="AW211" i="4" s="1"/>
  <c r="AX207" i="4"/>
  <c r="AV207" i="4"/>
  <c r="AU207" i="4"/>
  <c r="AT207" i="4"/>
  <c r="AW207" i="4" s="1"/>
  <c r="AX205" i="4"/>
  <c r="AV205" i="4"/>
  <c r="AU205" i="4"/>
  <c r="AT205" i="4"/>
  <c r="AW205" i="4" s="1"/>
  <c r="AX203" i="4"/>
  <c r="AV203" i="4"/>
  <c r="AU203" i="4"/>
  <c r="AT203" i="4"/>
  <c r="AW203" i="4" s="1"/>
  <c r="AX201" i="4"/>
  <c r="AV201" i="4"/>
  <c r="AU201" i="4"/>
  <c r="AT201" i="4"/>
  <c r="AW201" i="4" s="1"/>
  <c r="AO220" i="4"/>
  <c r="AX198" i="4"/>
  <c r="AV198" i="4"/>
  <c r="AU198" i="4"/>
  <c r="AT198" i="4"/>
  <c r="AW198" i="4" s="1"/>
  <c r="AX193" i="4"/>
  <c r="AV193" i="4"/>
  <c r="AU193" i="4"/>
  <c r="AT193" i="4"/>
  <c r="AW193" i="4" s="1"/>
  <c r="AX191" i="4"/>
  <c r="AV191" i="4"/>
  <c r="AU191" i="4"/>
  <c r="AT191" i="4"/>
  <c r="AW191" i="4" s="1"/>
  <c r="AX188" i="4"/>
  <c r="AV188" i="4"/>
  <c r="AU188" i="4"/>
  <c r="AT188" i="4"/>
  <c r="AW188" i="4" s="1"/>
  <c r="AX177" i="4"/>
  <c r="AV177" i="4"/>
  <c r="AU177" i="4"/>
  <c r="AT177" i="4"/>
  <c r="AW177" i="4" s="1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X175" i="4"/>
  <c r="AV175" i="4"/>
  <c r="AU175" i="4"/>
  <c r="AT175" i="4"/>
  <c r="AW175" i="4" s="1"/>
  <c r="AX174" i="4"/>
  <c r="AV174" i="4"/>
  <c r="AU174" i="4"/>
  <c r="AT174" i="4"/>
  <c r="AW174" i="4" s="1"/>
  <c r="AX173" i="4"/>
  <c r="AV173" i="4"/>
  <c r="AU173" i="4"/>
  <c r="AT173" i="4"/>
  <c r="AW173" i="4" s="1"/>
  <c r="AX172" i="4"/>
  <c r="AV172" i="4"/>
  <c r="AU172" i="4"/>
  <c r="AT172" i="4"/>
  <c r="AW172" i="4" s="1"/>
  <c r="AS171" i="4"/>
  <c r="AS170" i="4" s="1"/>
  <c r="AR171" i="4"/>
  <c r="AQ171" i="4"/>
  <c r="AQ170" i="4" s="1"/>
  <c r="AP171" i="4"/>
  <c r="AP170" i="4" s="1"/>
  <c r="AO171" i="4"/>
  <c r="AN171" i="4"/>
  <c r="AN170" i="4" s="1"/>
  <c r="AM171" i="4"/>
  <c r="AL171" i="4"/>
  <c r="AL170" i="4" s="1"/>
  <c r="AK171" i="4"/>
  <c r="AK170" i="4" s="1"/>
  <c r="AJ171" i="4"/>
  <c r="AI171" i="4"/>
  <c r="AI170" i="4" s="1"/>
  <c r="AH171" i="4"/>
  <c r="AH170" i="4" s="1"/>
  <c r="AG171" i="4"/>
  <c r="AF171" i="4"/>
  <c r="AF170" i="4" s="1"/>
  <c r="AE171" i="4"/>
  <c r="AD171" i="4"/>
  <c r="AD170" i="4" s="1"/>
  <c r="AE170" i="4"/>
  <c r="AX169" i="4"/>
  <c r="AV169" i="4"/>
  <c r="AU169" i="4"/>
  <c r="AT169" i="4"/>
  <c r="AW169" i="4" s="1"/>
  <c r="AX168" i="4"/>
  <c r="AV168" i="4"/>
  <c r="AV167" i="4" s="1"/>
  <c r="AV166" i="4" s="1"/>
  <c r="AV165" i="4" s="1"/>
  <c r="AU168" i="4"/>
  <c r="AU167" i="4" s="1"/>
  <c r="AU166" i="4" s="1"/>
  <c r="AU165" i="4" s="1"/>
  <c r="AT168" i="4"/>
  <c r="AS167" i="4"/>
  <c r="AS166" i="4" s="1"/>
  <c r="AS165" i="4" s="1"/>
  <c r="AR167" i="4"/>
  <c r="AR166" i="4" s="1"/>
  <c r="AR165" i="4" s="1"/>
  <c r="AQ167" i="4"/>
  <c r="AQ166" i="4" s="1"/>
  <c r="AQ165" i="4" s="1"/>
  <c r="AP167" i="4"/>
  <c r="AO167" i="4"/>
  <c r="AO166" i="4" s="1"/>
  <c r="AO165" i="4" s="1"/>
  <c r="AN167" i="4"/>
  <c r="AN166" i="4" s="1"/>
  <c r="AN165" i="4" s="1"/>
  <c r="AM167" i="4"/>
  <c r="AM166" i="4" s="1"/>
  <c r="AM165" i="4" s="1"/>
  <c r="AL167" i="4"/>
  <c r="AL166" i="4" s="1"/>
  <c r="AL165" i="4" s="1"/>
  <c r="AK167" i="4"/>
  <c r="AK166" i="4" s="1"/>
  <c r="AK165" i="4" s="1"/>
  <c r="AJ167" i="4"/>
  <c r="AJ166" i="4" s="1"/>
  <c r="AJ165" i="4" s="1"/>
  <c r="AD167" i="4"/>
  <c r="AD166" i="4" s="1"/>
  <c r="AD165" i="4" s="1"/>
  <c r="AX164" i="4"/>
  <c r="AV164" i="4"/>
  <c r="AU164" i="4"/>
  <c r="AT164" i="4"/>
  <c r="AW164" i="4" s="1"/>
  <c r="AS163" i="4"/>
  <c r="AR163" i="4"/>
  <c r="AR162" i="4" s="1"/>
  <c r="AR161" i="4" s="1"/>
  <c r="AR160" i="4" s="1"/>
  <c r="AQ163" i="4"/>
  <c r="AQ162" i="4" s="1"/>
  <c r="AP163" i="4"/>
  <c r="AO163" i="4"/>
  <c r="AO162" i="4" s="1"/>
  <c r="AO161" i="4" s="1"/>
  <c r="AO160" i="4" s="1"/>
  <c r="AN163" i="4"/>
  <c r="AN162" i="4" s="1"/>
  <c r="AN161" i="4" s="1"/>
  <c r="AN160" i="4" s="1"/>
  <c r="AM163" i="4"/>
  <c r="AM162" i="4" s="1"/>
  <c r="AM161" i="4" s="1"/>
  <c r="AM160" i="4" s="1"/>
  <c r="AL163" i="4"/>
  <c r="AL162" i="4" s="1"/>
  <c r="AL161" i="4" s="1"/>
  <c r="AL160" i="4" s="1"/>
  <c r="AK163" i="4"/>
  <c r="AK162" i="4" s="1"/>
  <c r="AK161" i="4" s="1"/>
  <c r="AK160" i="4" s="1"/>
  <c r="AJ163" i="4"/>
  <c r="AJ162" i="4" s="1"/>
  <c r="AI163" i="4"/>
  <c r="AI162" i="4" s="1"/>
  <c r="AI161" i="4" s="1"/>
  <c r="AI160" i="4" s="1"/>
  <c r="AH163" i="4"/>
  <c r="AH162" i="4" s="1"/>
  <c r="AH161" i="4" s="1"/>
  <c r="AH160" i="4" s="1"/>
  <c r="AG163" i="4"/>
  <c r="AG162" i="4" s="1"/>
  <c r="AG161" i="4" s="1"/>
  <c r="AG160" i="4" s="1"/>
  <c r="AF163" i="4"/>
  <c r="AF162" i="4" s="1"/>
  <c r="AF161" i="4" s="1"/>
  <c r="AF160" i="4" s="1"/>
  <c r="AE163" i="4"/>
  <c r="AE162" i="4" s="1"/>
  <c r="AE161" i="4" s="1"/>
  <c r="AE160" i="4" s="1"/>
  <c r="AD163" i="4"/>
  <c r="AD162" i="4" s="1"/>
  <c r="AD161" i="4" s="1"/>
  <c r="AD160" i="4" s="1"/>
  <c r="AS162" i="4"/>
  <c r="AS161" i="4" s="1"/>
  <c r="AS160" i="4" s="1"/>
  <c r="AX159" i="4"/>
  <c r="AV159" i="4"/>
  <c r="AU159" i="4"/>
  <c r="AT159" i="4"/>
  <c r="AW159" i="4" s="1"/>
  <c r="AS158" i="4"/>
  <c r="AS157" i="4" s="1"/>
  <c r="AS156" i="4" s="1"/>
  <c r="AS155" i="4" s="1"/>
  <c r="AR158" i="4"/>
  <c r="AR157" i="4" s="1"/>
  <c r="AR156" i="4" s="1"/>
  <c r="AR155" i="4" s="1"/>
  <c r="AQ158" i="4"/>
  <c r="AQ157" i="4" s="1"/>
  <c r="AQ156" i="4" s="1"/>
  <c r="AP158" i="4"/>
  <c r="AP157" i="4" s="1"/>
  <c r="AO158" i="4"/>
  <c r="AO157" i="4" s="1"/>
  <c r="AO156" i="4" s="1"/>
  <c r="AO155" i="4" s="1"/>
  <c r="AN158" i="4"/>
  <c r="AN157" i="4" s="1"/>
  <c r="AN156" i="4" s="1"/>
  <c r="AN155" i="4" s="1"/>
  <c r="AM158" i="4"/>
  <c r="AM157" i="4" s="1"/>
  <c r="AL158" i="4"/>
  <c r="AL157" i="4" s="1"/>
  <c r="AL156" i="4" s="1"/>
  <c r="AL155" i="4" s="1"/>
  <c r="AK158" i="4"/>
  <c r="AK157" i="4" s="1"/>
  <c r="AK156" i="4" s="1"/>
  <c r="AK155" i="4" s="1"/>
  <c r="AJ158" i="4"/>
  <c r="AI158" i="4"/>
  <c r="AI157" i="4" s="1"/>
  <c r="AI156" i="4" s="1"/>
  <c r="AI155" i="4" s="1"/>
  <c r="AH158" i="4"/>
  <c r="AH157" i="4" s="1"/>
  <c r="AH156" i="4" s="1"/>
  <c r="AH155" i="4" s="1"/>
  <c r="AG158" i="4"/>
  <c r="AG157" i="4" s="1"/>
  <c r="AG156" i="4" s="1"/>
  <c r="AG155" i="4" s="1"/>
  <c r="AF158" i="4"/>
  <c r="AF157" i="4" s="1"/>
  <c r="AF156" i="4" s="1"/>
  <c r="AF155" i="4" s="1"/>
  <c r="AE158" i="4"/>
  <c r="AE157" i="4" s="1"/>
  <c r="AE156" i="4" s="1"/>
  <c r="AE155" i="4" s="1"/>
  <c r="AD158" i="4"/>
  <c r="AD157" i="4" s="1"/>
  <c r="AD156" i="4" s="1"/>
  <c r="AD155" i="4" s="1"/>
  <c r="AX152" i="4"/>
  <c r="AV152" i="4"/>
  <c r="AU152" i="4"/>
  <c r="AT152" i="4"/>
  <c r="AW152" i="4" s="1"/>
  <c r="AX151" i="4"/>
  <c r="AV151" i="4"/>
  <c r="AU151" i="4"/>
  <c r="AT151" i="4"/>
  <c r="AW151" i="4" s="1"/>
  <c r="AS150" i="4"/>
  <c r="AS149" i="4" s="1"/>
  <c r="AR150" i="4"/>
  <c r="AR149" i="4" s="1"/>
  <c r="AQ150" i="4"/>
  <c r="AQ149" i="4" s="1"/>
  <c r="AP150" i="4"/>
  <c r="AO150" i="4"/>
  <c r="AO149" i="4" s="1"/>
  <c r="AN150" i="4"/>
  <c r="AN149" i="4" s="1"/>
  <c r="AM150" i="4"/>
  <c r="AM149" i="4" s="1"/>
  <c r="AL150" i="4"/>
  <c r="AL149" i="4" s="1"/>
  <c r="AK150" i="4"/>
  <c r="AK149" i="4" s="1"/>
  <c r="AJ150" i="4"/>
  <c r="AI150" i="4"/>
  <c r="AH150" i="4"/>
  <c r="AH149" i="4" s="1"/>
  <c r="AG150" i="4"/>
  <c r="AG149" i="4" s="1"/>
  <c r="AF150" i="4"/>
  <c r="AF149" i="4" s="1"/>
  <c r="AE150" i="4"/>
  <c r="AE149" i="4" s="1"/>
  <c r="AD150" i="4"/>
  <c r="AD149" i="4" s="1"/>
  <c r="AI149" i="4"/>
  <c r="AX148" i="4"/>
  <c r="AV148" i="4"/>
  <c r="AU148" i="4"/>
  <c r="AT148" i="4"/>
  <c r="AW148" i="4" s="1"/>
  <c r="AX147" i="4"/>
  <c r="AV147" i="4"/>
  <c r="AU147" i="4"/>
  <c r="AT147" i="4"/>
  <c r="AW147" i="4" s="1"/>
  <c r="AX146" i="4"/>
  <c r="AV146" i="4"/>
  <c r="AU146" i="4"/>
  <c r="AT146" i="4"/>
  <c r="AW146" i="4" s="1"/>
  <c r="AS145" i="4"/>
  <c r="AS144" i="4" s="1"/>
  <c r="AR145" i="4"/>
  <c r="AQ145" i="4"/>
  <c r="AP145" i="4"/>
  <c r="AO145" i="4"/>
  <c r="AO144" i="4" s="1"/>
  <c r="AN145" i="4"/>
  <c r="AN144" i="4" s="1"/>
  <c r="AM145" i="4"/>
  <c r="AM144" i="4" s="1"/>
  <c r="AL145" i="4"/>
  <c r="AL144" i="4" s="1"/>
  <c r="AK145" i="4"/>
  <c r="AK144" i="4" s="1"/>
  <c r="AJ145" i="4"/>
  <c r="AI145" i="4"/>
  <c r="AH145" i="4"/>
  <c r="AH144" i="4" s="1"/>
  <c r="AH139" i="4" s="1"/>
  <c r="AG145" i="4"/>
  <c r="AG144" i="4" s="1"/>
  <c r="AF145" i="4"/>
  <c r="AF144" i="4" s="1"/>
  <c r="AE145" i="4"/>
  <c r="AE144" i="4" s="1"/>
  <c r="AD145" i="4"/>
  <c r="AD144" i="4" s="1"/>
  <c r="AR144" i="4"/>
  <c r="AR139" i="4" s="1"/>
  <c r="AV143" i="4"/>
  <c r="AU143" i="4"/>
  <c r="AT143" i="4"/>
  <c r="AW143" i="4" s="1"/>
  <c r="AX142" i="4"/>
  <c r="AV142" i="4"/>
  <c r="AU142" i="4"/>
  <c r="AT142" i="4"/>
  <c r="AW142" i="4" s="1"/>
  <c r="AX141" i="4"/>
  <c r="AV141" i="4"/>
  <c r="AV140" i="4" s="1"/>
  <c r="AU141" i="4"/>
  <c r="AU140" i="4" s="1"/>
  <c r="AT141" i="4"/>
  <c r="AS140" i="4"/>
  <c r="AR140" i="4"/>
  <c r="AQ140" i="4"/>
  <c r="AP140" i="4"/>
  <c r="AO140" i="4"/>
  <c r="AN140" i="4"/>
  <c r="AM140" i="4"/>
  <c r="AL140" i="4"/>
  <c r="AK140" i="4"/>
  <c r="AI140" i="4"/>
  <c r="AH140" i="4"/>
  <c r="AG140" i="4"/>
  <c r="AF140" i="4"/>
  <c r="AE140" i="4"/>
  <c r="AD140" i="4"/>
  <c r="AX138" i="4"/>
  <c r="AV138" i="4"/>
  <c r="AU138" i="4"/>
  <c r="AT138" i="4"/>
  <c r="AW138" i="4" s="1"/>
  <c r="AX137" i="4"/>
  <c r="AV137" i="4"/>
  <c r="AU137" i="4"/>
  <c r="AT137" i="4"/>
  <c r="AW137" i="4" s="1"/>
  <c r="AO136" i="4"/>
  <c r="AO135" i="4" s="1"/>
  <c r="AL136" i="4"/>
  <c r="AL135" i="4" s="1"/>
  <c r="AS136" i="4"/>
  <c r="AS135" i="4" s="1"/>
  <c r="AR136" i="4"/>
  <c r="AR135" i="4" s="1"/>
  <c r="AQ136" i="4"/>
  <c r="AP136" i="4"/>
  <c r="AP135" i="4" s="1"/>
  <c r="AN136" i="4"/>
  <c r="AN135" i="4" s="1"/>
  <c r="AM136" i="4"/>
  <c r="AK136" i="4"/>
  <c r="AK135" i="4" s="1"/>
  <c r="AJ136" i="4"/>
  <c r="AI136" i="4"/>
  <c r="AI135" i="4" s="1"/>
  <c r="AH136" i="4"/>
  <c r="AH135" i="4" s="1"/>
  <c r="AG136" i="4"/>
  <c r="AG135" i="4" s="1"/>
  <c r="AF136" i="4"/>
  <c r="AF135" i="4" s="1"/>
  <c r="AE136" i="4"/>
  <c r="AE135" i="4" s="1"/>
  <c r="AD136" i="4"/>
  <c r="AD135" i="4" s="1"/>
  <c r="AX134" i="4"/>
  <c r="AV134" i="4"/>
  <c r="AU134" i="4"/>
  <c r="AT134" i="4"/>
  <c r="AW134" i="4" s="1"/>
  <c r="AX133" i="4"/>
  <c r="AV133" i="4"/>
  <c r="AU133" i="4"/>
  <c r="AT133" i="4"/>
  <c r="AW133" i="4" s="1"/>
  <c r="AV132" i="4"/>
  <c r="AU132" i="4"/>
  <c r="AT132" i="4"/>
  <c r="AW132" i="4" s="1"/>
  <c r="AX131" i="4"/>
  <c r="AV131" i="4"/>
  <c r="AU131" i="4"/>
  <c r="AT131" i="4"/>
  <c r="AW131" i="4" s="1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X129" i="4"/>
  <c r="AV129" i="4"/>
  <c r="AU129" i="4"/>
  <c r="AT129" i="4"/>
  <c r="AW129" i="4" s="1"/>
  <c r="AX128" i="4"/>
  <c r="AV128" i="4"/>
  <c r="AU128" i="4"/>
  <c r="AT128" i="4"/>
  <c r="AW128" i="4" s="1"/>
  <c r="AS127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X126" i="4"/>
  <c r="AV126" i="4"/>
  <c r="AU126" i="4"/>
  <c r="AT126" i="4"/>
  <c r="AW126" i="4" s="1"/>
  <c r="AX125" i="4"/>
  <c r="AV125" i="4"/>
  <c r="AU125" i="4"/>
  <c r="AT125" i="4"/>
  <c r="AW125" i="4" s="1"/>
  <c r="AX124" i="4"/>
  <c r="AV124" i="4"/>
  <c r="AU124" i="4"/>
  <c r="AT124" i="4"/>
  <c r="AW124" i="4" s="1"/>
  <c r="AS123" i="4"/>
  <c r="AS122" i="4" s="1"/>
  <c r="AR123" i="4"/>
  <c r="AR122" i="4" s="1"/>
  <c r="AQ123" i="4"/>
  <c r="AP123" i="4"/>
  <c r="AO123" i="4"/>
  <c r="AO122" i="4" s="1"/>
  <c r="AN123" i="4"/>
  <c r="AM123" i="4"/>
  <c r="AL123" i="4"/>
  <c r="AL122" i="4" s="1"/>
  <c r="AK123" i="4"/>
  <c r="AK122" i="4" s="1"/>
  <c r="AJ123" i="4"/>
  <c r="AI123" i="4"/>
  <c r="AI122" i="4" s="1"/>
  <c r="AH123" i="4"/>
  <c r="AH122" i="4" s="1"/>
  <c r="AG123" i="4"/>
  <c r="AG122" i="4" s="1"/>
  <c r="AF123" i="4"/>
  <c r="AF122" i="4" s="1"/>
  <c r="AE123" i="4"/>
  <c r="AD123" i="4"/>
  <c r="AD122" i="4" s="1"/>
  <c r="AN122" i="4"/>
  <c r="AM122" i="4"/>
  <c r="AE122" i="4"/>
  <c r="AX119" i="4"/>
  <c r="AV119" i="4"/>
  <c r="AU119" i="4"/>
  <c r="AT119" i="4"/>
  <c r="AW119" i="4" s="1"/>
  <c r="AX118" i="4"/>
  <c r="AV118" i="4"/>
  <c r="AU118" i="4"/>
  <c r="AT118" i="4"/>
  <c r="AW118" i="4" s="1"/>
  <c r="AS117" i="4"/>
  <c r="AR117" i="4"/>
  <c r="AR116" i="4" s="1"/>
  <c r="AR115" i="4" s="1"/>
  <c r="AR114" i="4" s="1"/>
  <c r="AQ117" i="4"/>
  <c r="AP117" i="4"/>
  <c r="AP116" i="4" s="1"/>
  <c r="AP115" i="4" s="1"/>
  <c r="AO117" i="4"/>
  <c r="AO116" i="4" s="1"/>
  <c r="AO115" i="4" s="1"/>
  <c r="AO114" i="4" s="1"/>
  <c r="AN117" i="4"/>
  <c r="AN116" i="4" s="1"/>
  <c r="AN115" i="4" s="1"/>
  <c r="AN114" i="4" s="1"/>
  <c r="AM117" i="4"/>
  <c r="AL117" i="4"/>
  <c r="AL116" i="4" s="1"/>
  <c r="AL115" i="4" s="1"/>
  <c r="AL114" i="4" s="1"/>
  <c r="AK117" i="4"/>
  <c r="AK116" i="4" s="1"/>
  <c r="AK115" i="4" s="1"/>
  <c r="AK114" i="4" s="1"/>
  <c r="AJ117" i="4"/>
  <c r="AJ116" i="4" s="1"/>
  <c r="AI117" i="4"/>
  <c r="AI116" i="4" s="1"/>
  <c r="AI115" i="4" s="1"/>
  <c r="AI114" i="4" s="1"/>
  <c r="AH117" i="4"/>
  <c r="AH116" i="4" s="1"/>
  <c r="AH115" i="4" s="1"/>
  <c r="AH114" i="4" s="1"/>
  <c r="AG117" i="4"/>
  <c r="AG116" i="4" s="1"/>
  <c r="AG115" i="4" s="1"/>
  <c r="AG114" i="4" s="1"/>
  <c r="AF117" i="4"/>
  <c r="AF116" i="4" s="1"/>
  <c r="AF115" i="4" s="1"/>
  <c r="AF114" i="4" s="1"/>
  <c r="AE117" i="4"/>
  <c r="AE116" i="4" s="1"/>
  <c r="AE115" i="4" s="1"/>
  <c r="AE114" i="4" s="1"/>
  <c r="AD117" i="4"/>
  <c r="AD116" i="4" s="1"/>
  <c r="AD115" i="4" s="1"/>
  <c r="AD114" i="4" s="1"/>
  <c r="AS116" i="4"/>
  <c r="AS115" i="4" s="1"/>
  <c r="AS114" i="4" s="1"/>
  <c r="AX113" i="4"/>
  <c r="AV113" i="4"/>
  <c r="AU113" i="4"/>
  <c r="AT113" i="4"/>
  <c r="AW113" i="4" s="1"/>
  <c r="AX112" i="4"/>
  <c r="AV112" i="4"/>
  <c r="AU112" i="4"/>
  <c r="AT112" i="4"/>
  <c r="AW112" i="4" s="1"/>
  <c r="AX111" i="4"/>
  <c r="AV111" i="4"/>
  <c r="AU111" i="4"/>
  <c r="AT111" i="4"/>
  <c r="AW111" i="4" s="1"/>
  <c r="AX110" i="4"/>
  <c r="AV110" i="4"/>
  <c r="AU110" i="4"/>
  <c r="AT110" i="4"/>
  <c r="AW110" i="4" s="1"/>
  <c r="AX109" i="4"/>
  <c r="AV109" i="4"/>
  <c r="AU109" i="4"/>
  <c r="AT109" i="4"/>
  <c r="AW109" i="4" s="1"/>
  <c r="AX108" i="4"/>
  <c r="AV108" i="4"/>
  <c r="AU108" i="4"/>
  <c r="AT108" i="4"/>
  <c r="AW108" i="4" s="1"/>
  <c r="AX107" i="4"/>
  <c r="AV107" i="4"/>
  <c r="AU107" i="4"/>
  <c r="AT107" i="4"/>
  <c r="AW107" i="4" s="1"/>
  <c r="AX106" i="4"/>
  <c r="AV106" i="4"/>
  <c r="AU106" i="4"/>
  <c r="AT106" i="4"/>
  <c r="AW106" i="4" s="1"/>
  <c r="AX105" i="4"/>
  <c r="AV105" i="4"/>
  <c r="AU105" i="4"/>
  <c r="AT105" i="4"/>
  <c r="AW105" i="4" s="1"/>
  <c r="AX104" i="4"/>
  <c r="AV104" i="4"/>
  <c r="AU104" i="4"/>
  <c r="AT104" i="4"/>
  <c r="AW104" i="4" s="1"/>
  <c r="AX103" i="4"/>
  <c r="AV103" i="4"/>
  <c r="AU103" i="4"/>
  <c r="AT103" i="4"/>
  <c r="AW103" i="4" s="1"/>
  <c r="AS102" i="4"/>
  <c r="AS101" i="4" s="1"/>
  <c r="AR102" i="4"/>
  <c r="AR101" i="4" s="1"/>
  <c r="AQ102" i="4"/>
  <c r="AQ101" i="4" s="1"/>
  <c r="AP102" i="4"/>
  <c r="AP101" i="4" s="1"/>
  <c r="AO102" i="4"/>
  <c r="AO101" i="4" s="1"/>
  <c r="AN102" i="4"/>
  <c r="AN101" i="4" s="1"/>
  <c r="AM102" i="4"/>
  <c r="AM101" i="4" s="1"/>
  <c r="AK102" i="4"/>
  <c r="AK101" i="4" s="1"/>
  <c r="AJ102" i="4"/>
  <c r="AI102" i="4"/>
  <c r="AI101" i="4" s="1"/>
  <c r="AH102" i="4"/>
  <c r="AH101" i="4" s="1"/>
  <c r="AG102" i="4"/>
  <c r="AG101" i="4" s="1"/>
  <c r="AF102" i="4"/>
  <c r="AF101" i="4" s="1"/>
  <c r="AE102" i="4"/>
  <c r="AE101" i="4" s="1"/>
  <c r="AD102" i="4"/>
  <c r="AD101" i="4" s="1"/>
  <c r="AX98" i="4"/>
  <c r="AV98" i="4"/>
  <c r="AU98" i="4"/>
  <c r="AT98" i="4"/>
  <c r="AW98" i="4" s="1"/>
  <c r="AX97" i="4"/>
  <c r="AV97" i="4"/>
  <c r="AU97" i="4"/>
  <c r="AT97" i="4"/>
  <c r="AW97" i="4" s="1"/>
  <c r="AV96" i="4"/>
  <c r="AT96" i="4"/>
  <c r="AW96" i="4" s="1"/>
  <c r="AI96" i="4"/>
  <c r="AJ96" i="4" s="1"/>
  <c r="AX95" i="4"/>
  <c r="AV95" i="4"/>
  <c r="AU95" i="4"/>
  <c r="AT95" i="4"/>
  <c r="AW95" i="4" s="1"/>
  <c r="AV94" i="4"/>
  <c r="AT94" i="4"/>
  <c r="AW94" i="4" s="1"/>
  <c r="AI94" i="4"/>
  <c r="AJ94" i="4" s="1"/>
  <c r="AX94" i="4" s="1"/>
  <c r="AV93" i="4"/>
  <c r="AT93" i="4"/>
  <c r="AW93" i="4" s="1"/>
  <c r="AI93" i="4"/>
  <c r="AJ93" i="4" s="1"/>
  <c r="AX93" i="4" s="1"/>
  <c r="AS92" i="4"/>
  <c r="AR92" i="4"/>
  <c r="AQ92" i="4"/>
  <c r="AP92" i="4"/>
  <c r="AN92" i="4"/>
  <c r="AM92" i="4"/>
  <c r="AK92" i="4"/>
  <c r="AH92" i="4"/>
  <c r="AG92" i="4"/>
  <c r="AF92" i="4"/>
  <c r="AE92" i="4"/>
  <c r="AD92" i="4"/>
  <c r="AX91" i="4"/>
  <c r="AV91" i="4"/>
  <c r="AU91" i="4"/>
  <c r="AT91" i="4"/>
  <c r="AW91" i="4" s="1"/>
  <c r="AX90" i="4"/>
  <c r="AV90" i="4"/>
  <c r="AU90" i="4"/>
  <c r="AT90" i="4"/>
  <c r="AW90" i="4" s="1"/>
  <c r="AO88" i="4"/>
  <c r="AL88" i="4"/>
  <c r="AX89" i="4"/>
  <c r="AV89" i="4"/>
  <c r="AU89" i="4"/>
  <c r="AT89" i="4"/>
  <c r="AW89" i="4" s="1"/>
  <c r="AS88" i="4"/>
  <c r="AR88" i="4"/>
  <c r="AQ88" i="4"/>
  <c r="AP88" i="4"/>
  <c r="AP87" i="4" s="1"/>
  <c r="AP86" i="4" s="1"/>
  <c r="AN88" i="4"/>
  <c r="AM88" i="4"/>
  <c r="AK88" i="4"/>
  <c r="AJ88" i="4"/>
  <c r="AI88" i="4"/>
  <c r="AH88" i="4"/>
  <c r="AG88" i="4"/>
  <c r="AF88" i="4"/>
  <c r="AE88" i="4"/>
  <c r="AD88" i="4"/>
  <c r="AD87" i="4" s="1"/>
  <c r="AD86" i="4" s="1"/>
  <c r="AX85" i="4"/>
  <c r="AV85" i="4"/>
  <c r="AU85" i="4"/>
  <c r="AT85" i="4"/>
  <c r="AW85" i="4" s="1"/>
  <c r="AX84" i="4"/>
  <c r="AV84" i="4"/>
  <c r="AU84" i="4"/>
  <c r="AT84" i="4"/>
  <c r="AW84" i="4" s="1"/>
  <c r="AX83" i="4"/>
  <c r="AV83" i="4"/>
  <c r="AU83" i="4"/>
  <c r="AT83" i="4"/>
  <c r="AW83" i="4" s="1"/>
  <c r="AX82" i="4"/>
  <c r="AV82" i="4"/>
  <c r="AU82" i="4"/>
  <c r="AT82" i="4"/>
  <c r="AW82" i="4" s="1"/>
  <c r="AX81" i="4"/>
  <c r="AV81" i="4"/>
  <c r="AU81" i="4"/>
  <c r="AT81" i="4"/>
  <c r="AW81" i="4" s="1"/>
  <c r="AX80" i="4"/>
  <c r="AV80" i="4"/>
  <c r="AU80" i="4"/>
  <c r="AT80" i="4"/>
  <c r="AW80" i="4" s="1"/>
  <c r="AX79" i="4"/>
  <c r="AV79" i="4"/>
  <c r="AU79" i="4"/>
  <c r="AT79" i="4"/>
  <c r="AW79" i="4" s="1"/>
  <c r="AS78" i="4"/>
  <c r="AR78" i="4"/>
  <c r="AQ78" i="4"/>
  <c r="AP78" i="4"/>
  <c r="AX78" i="4" s="1"/>
  <c r="AO78" i="4"/>
  <c r="AN78" i="4"/>
  <c r="AM78" i="4"/>
  <c r="AL78" i="4"/>
  <c r="AK78" i="4"/>
  <c r="AJ78" i="4"/>
  <c r="AI78" i="4"/>
  <c r="AH78" i="4"/>
  <c r="AG78" i="4"/>
  <c r="AF78" i="4"/>
  <c r="AE78" i="4"/>
  <c r="AD78" i="4"/>
  <c r="AX77" i="4"/>
  <c r="AV77" i="4"/>
  <c r="AU77" i="4"/>
  <c r="AT77" i="4"/>
  <c r="AW77" i="4" s="1"/>
  <c r="AX76" i="4"/>
  <c r="AV76" i="4"/>
  <c r="AU76" i="4"/>
  <c r="AT76" i="4"/>
  <c r="AW76" i="4" s="1"/>
  <c r="AS75" i="4"/>
  <c r="AR75" i="4"/>
  <c r="AQ75" i="4"/>
  <c r="AP75" i="4"/>
  <c r="AX75" i="4" s="1"/>
  <c r="AO75" i="4"/>
  <c r="AN75" i="4"/>
  <c r="AM75" i="4"/>
  <c r="AL75" i="4"/>
  <c r="AK75" i="4"/>
  <c r="AJ75" i="4"/>
  <c r="AI75" i="4"/>
  <c r="AH75" i="4"/>
  <c r="AG75" i="4"/>
  <c r="AF75" i="4"/>
  <c r="AE75" i="4"/>
  <c r="AD75" i="4"/>
  <c r="AX74" i="4"/>
  <c r="AV74" i="4"/>
  <c r="AU74" i="4"/>
  <c r="AT74" i="4"/>
  <c r="AW74" i="4" s="1"/>
  <c r="AX73" i="4"/>
  <c r="AV73" i="4"/>
  <c r="AU73" i="4"/>
  <c r="AT73" i="4"/>
  <c r="AW73" i="4" s="1"/>
  <c r="AS72" i="4"/>
  <c r="AR72" i="4"/>
  <c r="AR71" i="4" s="1"/>
  <c r="AR70" i="4" s="1"/>
  <c r="AQ72" i="4"/>
  <c r="AQ71" i="4" s="1"/>
  <c r="AP72" i="4"/>
  <c r="AP71" i="4" s="1"/>
  <c r="AP70" i="4" s="1"/>
  <c r="AO72" i="4"/>
  <c r="AN72" i="4"/>
  <c r="AM72" i="4"/>
  <c r="AL72" i="4"/>
  <c r="AK72" i="4"/>
  <c r="AK71" i="4" s="1"/>
  <c r="AK70" i="4" s="1"/>
  <c r="AJ72" i="4"/>
  <c r="AI72" i="4"/>
  <c r="AI71" i="4" s="1"/>
  <c r="AI70" i="4" s="1"/>
  <c r="AH72" i="4"/>
  <c r="AH71" i="4" s="1"/>
  <c r="AH70" i="4" s="1"/>
  <c r="AG72" i="4"/>
  <c r="AF72" i="4"/>
  <c r="AE72" i="4"/>
  <c r="AD72" i="4"/>
  <c r="AD71" i="4" s="1"/>
  <c r="AD70" i="4" s="1"/>
  <c r="AS71" i="4"/>
  <c r="AS70" i="4" s="1"/>
  <c r="AX69" i="4"/>
  <c r="AV69" i="4"/>
  <c r="AU69" i="4"/>
  <c r="AT69" i="4"/>
  <c r="AW69" i="4" s="1"/>
  <c r="AX68" i="4"/>
  <c r="AV68" i="4"/>
  <c r="AU68" i="4"/>
  <c r="AT68" i="4"/>
  <c r="AW68" i="4" s="1"/>
  <c r="AS67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X66" i="4"/>
  <c r="AV66" i="4"/>
  <c r="AU66" i="4"/>
  <c r="AT66" i="4"/>
  <c r="AW66" i="4" s="1"/>
  <c r="AX65" i="4"/>
  <c r="AV65" i="4"/>
  <c r="AU65" i="4"/>
  <c r="AT65" i="4"/>
  <c r="AW65" i="4" s="1"/>
  <c r="AS64" i="4"/>
  <c r="AR64" i="4"/>
  <c r="AQ64" i="4"/>
  <c r="AP64" i="4"/>
  <c r="AO64" i="4"/>
  <c r="AN64" i="4"/>
  <c r="AM64" i="4"/>
  <c r="AL64" i="4"/>
  <c r="AK64" i="4"/>
  <c r="AJ64" i="4"/>
  <c r="AU64" i="4" s="1"/>
  <c r="AI64" i="4"/>
  <c r="AH64" i="4"/>
  <c r="AG64" i="4"/>
  <c r="AF64" i="4"/>
  <c r="AE64" i="4"/>
  <c r="AD64" i="4"/>
  <c r="AX63" i="4"/>
  <c r="AV63" i="4"/>
  <c r="AU63" i="4"/>
  <c r="AT63" i="4"/>
  <c r="AW63" i="4" s="1"/>
  <c r="AX62" i="4"/>
  <c r="AV62" i="4"/>
  <c r="AU62" i="4"/>
  <c r="AT62" i="4"/>
  <c r="AW62" i="4" s="1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X60" i="4"/>
  <c r="AV60" i="4"/>
  <c r="AU60" i="4"/>
  <c r="AT60" i="4"/>
  <c r="AW60" i="4" s="1"/>
  <c r="AX59" i="4"/>
  <c r="AV59" i="4"/>
  <c r="AU59" i="4"/>
  <c r="AT59" i="4"/>
  <c r="AW59" i="4" s="1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X57" i="4"/>
  <c r="AV57" i="4"/>
  <c r="AU57" i="4"/>
  <c r="AT57" i="4"/>
  <c r="AW57" i="4" s="1"/>
  <c r="AX56" i="4"/>
  <c r="AV56" i="4"/>
  <c r="AU56" i="4"/>
  <c r="AT56" i="4"/>
  <c r="AW56" i="4" s="1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X54" i="4"/>
  <c r="AV54" i="4"/>
  <c r="AU54" i="4"/>
  <c r="AT54" i="4"/>
  <c r="AW54" i="4" s="1"/>
  <c r="AX53" i="4"/>
  <c r="AV53" i="4"/>
  <c r="AU53" i="4"/>
  <c r="AT53" i="4"/>
  <c r="AW53" i="4" s="1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X51" i="4"/>
  <c r="AV51" i="4"/>
  <c r="AU51" i="4"/>
  <c r="AT51" i="4"/>
  <c r="AW51" i="4" s="1"/>
  <c r="AX50" i="4"/>
  <c r="AV50" i="4"/>
  <c r="AU50" i="4"/>
  <c r="AT50" i="4"/>
  <c r="AW50" i="4" s="1"/>
  <c r="AS49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X48" i="4"/>
  <c r="AV48" i="4"/>
  <c r="AU48" i="4"/>
  <c r="AT48" i="4"/>
  <c r="AW48" i="4" s="1"/>
  <c r="AX47" i="4"/>
  <c r="AV47" i="4"/>
  <c r="AU47" i="4"/>
  <c r="AT47" i="4"/>
  <c r="AW47" i="4" s="1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X45" i="4"/>
  <c r="AV45" i="4"/>
  <c r="AU45" i="4"/>
  <c r="AT45" i="4"/>
  <c r="AW45" i="4" s="1"/>
  <c r="AX44" i="4"/>
  <c r="AV44" i="4"/>
  <c r="AU44" i="4"/>
  <c r="AT44" i="4"/>
  <c r="AW44" i="4" s="1"/>
  <c r="AS43" i="4"/>
  <c r="AR43" i="4"/>
  <c r="AQ43" i="4"/>
  <c r="AP43" i="4"/>
  <c r="AO43" i="4"/>
  <c r="AN43" i="4"/>
  <c r="AN42" i="4" s="1"/>
  <c r="AM43" i="4"/>
  <c r="AL43" i="4"/>
  <c r="AK43" i="4"/>
  <c r="AJ43" i="4"/>
  <c r="AI43" i="4"/>
  <c r="AH43" i="4"/>
  <c r="AG43" i="4"/>
  <c r="AF43" i="4"/>
  <c r="AE43" i="4"/>
  <c r="AD43" i="4"/>
  <c r="AX41" i="4"/>
  <c r="AV41" i="4"/>
  <c r="AU41" i="4"/>
  <c r="AT41" i="4"/>
  <c r="AW41" i="4" s="1"/>
  <c r="AS40" i="4"/>
  <c r="AS39" i="4" s="1"/>
  <c r="AR40" i="4"/>
  <c r="AR39" i="4" s="1"/>
  <c r="AQ40" i="4"/>
  <c r="AQ39" i="4" s="1"/>
  <c r="AP40" i="4"/>
  <c r="AP39" i="4" s="1"/>
  <c r="AO40" i="4"/>
  <c r="AO39" i="4" s="1"/>
  <c r="AN40" i="4"/>
  <c r="AN39" i="4" s="1"/>
  <c r="AM40" i="4"/>
  <c r="AL40" i="4"/>
  <c r="AL39" i="4" s="1"/>
  <c r="AK40" i="4"/>
  <c r="AK39" i="4" s="1"/>
  <c r="AJ40" i="4"/>
  <c r="AI40" i="4"/>
  <c r="AI39" i="4" s="1"/>
  <c r="AH40" i="4"/>
  <c r="AH39" i="4" s="1"/>
  <c r="AG40" i="4"/>
  <c r="AG39" i="4" s="1"/>
  <c r="AF40" i="4"/>
  <c r="AF39" i="4" s="1"/>
  <c r="AE40" i="4"/>
  <c r="AE39" i="4" s="1"/>
  <c r="AD40" i="4"/>
  <c r="AD39" i="4" s="1"/>
  <c r="AV38" i="4"/>
  <c r="AU38" i="4"/>
  <c r="AT38" i="4"/>
  <c r="AW38" i="4" s="1"/>
  <c r="AX37" i="4"/>
  <c r="AV37" i="4"/>
  <c r="AU37" i="4"/>
  <c r="AT37" i="4"/>
  <c r="AW37" i="4" s="1"/>
  <c r="AX36" i="4"/>
  <c r="AV36" i="4"/>
  <c r="AU36" i="4"/>
  <c r="AT36" i="4"/>
  <c r="AW36" i="4" s="1"/>
  <c r="AX35" i="4"/>
  <c r="AV35" i="4"/>
  <c r="AU35" i="4"/>
  <c r="AT35" i="4"/>
  <c r="AW35" i="4" s="1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X33" i="4"/>
  <c r="AV33" i="4"/>
  <c r="AU33" i="4"/>
  <c r="AT33" i="4"/>
  <c r="AW33" i="4" s="1"/>
  <c r="AX32" i="4"/>
  <c r="AV32" i="4"/>
  <c r="AU32" i="4"/>
  <c r="AT32" i="4"/>
  <c r="AW32" i="4" s="1"/>
  <c r="AS31" i="4"/>
  <c r="AS30" i="4" s="1"/>
  <c r="AR31" i="4"/>
  <c r="AQ31" i="4"/>
  <c r="AP31" i="4"/>
  <c r="AP30" i="4" s="1"/>
  <c r="AO31" i="4"/>
  <c r="AO30" i="4" s="1"/>
  <c r="AN31" i="4"/>
  <c r="AN30" i="4" s="1"/>
  <c r="AM31" i="4"/>
  <c r="AL31" i="4"/>
  <c r="AK31" i="4"/>
  <c r="AK30" i="4" s="1"/>
  <c r="AJ31" i="4"/>
  <c r="AI31" i="4"/>
  <c r="AH31" i="4"/>
  <c r="AG31" i="4"/>
  <c r="AG30" i="4" s="1"/>
  <c r="AF31" i="4"/>
  <c r="AF30" i="4" s="1"/>
  <c r="AE31" i="4"/>
  <c r="AE30" i="4" s="1"/>
  <c r="AD31" i="4"/>
  <c r="AD30" i="4" s="1"/>
  <c r="AX29" i="4"/>
  <c r="AV29" i="4"/>
  <c r="AU29" i="4"/>
  <c r="AT29" i="4"/>
  <c r="AW29" i="4" s="1"/>
  <c r="AX28" i="4"/>
  <c r="AV28" i="4"/>
  <c r="AU28" i="4"/>
  <c r="AT28" i="4"/>
  <c r="AW28" i="4" s="1"/>
  <c r="AS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X26" i="4"/>
  <c r="AV26" i="4"/>
  <c r="AU26" i="4"/>
  <c r="AT26" i="4"/>
  <c r="AW26" i="4" s="1"/>
  <c r="AX25" i="4"/>
  <c r="AV25" i="4"/>
  <c r="AU25" i="4"/>
  <c r="AT25" i="4"/>
  <c r="AW25" i="4" s="1"/>
  <c r="AR24" i="4"/>
  <c r="AS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X23" i="4"/>
  <c r="AV23" i="4"/>
  <c r="AU23" i="4"/>
  <c r="AT23" i="4"/>
  <c r="AW23" i="4" s="1"/>
  <c r="AX22" i="4"/>
  <c r="AV22" i="4"/>
  <c r="AU22" i="4"/>
  <c r="AT22" i="4"/>
  <c r="AW22" i="4" s="1"/>
  <c r="AR22" i="4"/>
  <c r="AV21" i="4"/>
  <c r="AU21" i="4"/>
  <c r="AT21" i="4"/>
  <c r="AW21" i="4" s="1"/>
  <c r="AR21" i="4"/>
  <c r="AX20" i="4"/>
  <c r="AV20" i="4"/>
  <c r="AU20" i="4"/>
  <c r="AT20" i="4"/>
  <c r="AW20" i="4" s="1"/>
  <c r="AX19" i="4"/>
  <c r="AV19" i="4"/>
  <c r="AU19" i="4"/>
  <c r="AT19" i="4"/>
  <c r="AW19" i="4" s="1"/>
  <c r="AX18" i="4"/>
  <c r="AV18" i="4"/>
  <c r="AU18" i="4"/>
  <c r="AT18" i="4"/>
  <c r="AW18" i="4" s="1"/>
  <c r="AS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F16" i="4" s="1"/>
  <c r="AE17" i="4"/>
  <c r="AD17" i="4"/>
  <c r="AT17" i="4" l="1"/>
  <c r="AT117" i="4"/>
  <c r="AN139" i="4"/>
  <c r="AT584" i="4"/>
  <c r="AT814" i="4"/>
  <c r="AX27" i="4"/>
  <c r="AV49" i="4"/>
  <c r="AV64" i="4"/>
  <c r="AQ116" i="4"/>
  <c r="AT116" i="4" s="1"/>
  <c r="AW116" i="4" s="1"/>
  <c r="AF121" i="4"/>
  <c r="AF120" i="4" s="1"/>
  <c r="AG139" i="4"/>
  <c r="AO139" i="4"/>
  <c r="AV952" i="4"/>
  <c r="AV965" i="4"/>
  <c r="AR30" i="4"/>
  <c r="AI121" i="4"/>
  <c r="AI120" i="4" s="1"/>
  <c r="AE87" i="4"/>
  <c r="AE86" i="4" s="1"/>
  <c r="AT58" i="4"/>
  <c r="AU72" i="4"/>
  <c r="AF87" i="4"/>
  <c r="AF86" i="4" s="1"/>
  <c r="AL121" i="4"/>
  <c r="AL120" i="4" s="1"/>
  <c r="AM139" i="4"/>
  <c r="AX540" i="4"/>
  <c r="AS139" i="4"/>
  <c r="AL139" i="4"/>
  <c r="AT149" i="4"/>
  <c r="AM121" i="4"/>
  <c r="AU127" i="4"/>
  <c r="AI144" i="4"/>
  <c r="AK87" i="4"/>
  <c r="AK86" i="4" s="1"/>
  <c r="AM30" i="4"/>
  <c r="AV30" i="4" s="1"/>
  <c r="AG87" i="4"/>
  <c r="AG86" i="4" s="1"/>
  <c r="AV1028" i="4"/>
  <c r="AU78" i="4"/>
  <c r="AU102" i="4"/>
  <c r="AU101" i="4" s="1"/>
  <c r="AJ380" i="4"/>
  <c r="AJ462" i="4" s="1"/>
  <c r="AI462" i="4"/>
  <c r="AT64" i="4"/>
  <c r="AW64" i="4" s="1"/>
  <c r="AG121" i="4"/>
  <c r="AG120" i="4" s="1"/>
  <c r="AO121" i="4"/>
  <c r="AO120" i="4" s="1"/>
  <c r="AX965" i="4"/>
  <c r="AX34" i="4"/>
  <c r="AT72" i="4"/>
  <c r="AW72" i="4" s="1"/>
  <c r="AT75" i="4"/>
  <c r="AW75" i="4" s="1"/>
  <c r="AT71" i="4"/>
  <c r="AW71" i="4" s="1"/>
  <c r="AW70" i="4" s="1"/>
  <c r="AI92" i="4"/>
  <c r="AT939" i="4"/>
  <c r="AV994" i="4"/>
  <c r="AW231" i="4"/>
  <c r="AW462" i="4" s="1"/>
  <c r="AT462" i="4"/>
  <c r="AV462" i="4"/>
  <c r="AR462" i="4"/>
  <c r="AR179" i="4" s="1"/>
  <c r="AT34" i="4"/>
  <c r="AW34" i="4" s="1"/>
  <c r="AT130" i="4"/>
  <c r="AW130" i="4" s="1"/>
  <c r="AX31" i="4"/>
  <c r="AS121" i="4"/>
  <c r="AS120" i="4" s="1"/>
  <c r="AE16" i="4"/>
  <c r="AT24" i="4"/>
  <c r="AW24" i="4" s="1"/>
  <c r="AS87" i="4"/>
  <c r="AS86" i="4" s="1"/>
  <c r="AX145" i="4"/>
  <c r="AI850" i="4"/>
  <c r="AT965" i="4"/>
  <c r="AS1031" i="4"/>
  <c r="AT1031" i="4" s="1"/>
  <c r="AU27" i="4"/>
  <c r="AX43" i="4"/>
  <c r="AN87" i="4"/>
  <c r="AN86" i="4" s="1"/>
  <c r="AV127" i="4"/>
  <c r="AT150" i="4"/>
  <c r="AW150" i="4" s="1"/>
  <c r="AV1002" i="4"/>
  <c r="AV136" i="4"/>
  <c r="AV135" i="4" s="1"/>
  <c r="AT170" i="4"/>
  <c r="AW170" i="4" s="1"/>
  <c r="AQ42" i="4"/>
  <c r="AT67" i="4"/>
  <c r="AW67" i="4" s="1"/>
  <c r="AU171" i="4"/>
  <c r="AV220" i="4"/>
  <c r="AX976" i="4"/>
  <c r="AW994" i="4"/>
  <c r="AV88" i="4"/>
  <c r="AW17" i="4"/>
  <c r="AV40" i="4"/>
  <c r="AV39" i="4" s="1"/>
  <c r="AK100" i="4"/>
  <c r="AX723" i="4"/>
  <c r="AU723" i="4"/>
  <c r="AD42" i="4"/>
  <c r="AL42" i="4"/>
  <c r="AU61" i="4"/>
  <c r="AX88" i="4"/>
  <c r="AT127" i="4"/>
  <c r="AW127" i="4" s="1"/>
  <c r="AT163" i="4"/>
  <c r="AW163" i="4" s="1"/>
  <c r="AI908" i="4"/>
  <c r="AV939" i="4"/>
  <c r="AT27" i="4"/>
  <c r="AW27" i="4" s="1"/>
  <c r="AV58" i="4"/>
  <c r="AT88" i="4"/>
  <c r="AR121" i="4"/>
  <c r="AR120" i="4" s="1"/>
  <c r="AG16" i="4"/>
  <c r="AL30" i="4"/>
  <c r="AL16" i="4" s="1"/>
  <c r="AL15" i="4" s="1"/>
  <c r="AT102" i="4"/>
  <c r="AW102" i="4" s="1"/>
  <c r="AW101" i="4" s="1"/>
  <c r="AV117" i="4"/>
  <c r="AK121" i="4"/>
  <c r="AK120" i="4" s="1"/>
  <c r="AX136" i="4"/>
  <c r="AT638" i="4"/>
  <c r="AI42" i="4"/>
  <c r="AV52" i="4"/>
  <c r="AV102" i="4"/>
  <c r="AV101" i="4" s="1"/>
  <c r="AU117" i="4"/>
  <c r="AT176" i="4"/>
  <c r="AW176" i="4" s="1"/>
  <c r="AT923" i="4"/>
  <c r="AV24" i="4"/>
  <c r="AV72" i="4"/>
  <c r="AV78" i="4"/>
  <c r="AI154" i="4"/>
  <c r="AI153" i="4" s="1"/>
  <c r="AU952" i="4"/>
  <c r="AO16" i="4"/>
  <c r="AK42" i="4"/>
  <c r="AS42" i="4"/>
  <c r="AT42" i="4" s="1"/>
  <c r="AU49" i="4"/>
  <c r="AU52" i="4"/>
  <c r="AT92" i="4"/>
  <c r="AE100" i="4"/>
  <c r="AX130" i="4"/>
  <c r="AT873" i="4"/>
  <c r="AN179" i="4"/>
  <c r="AT52" i="4"/>
  <c r="AW52" i="4" s="1"/>
  <c r="AU58" i="4"/>
  <c r="AX67" i="4"/>
  <c r="AF139" i="4"/>
  <c r="AU965" i="4"/>
  <c r="AF179" i="4"/>
  <c r="AQ155" i="4"/>
  <c r="AT155" i="4" s="1"/>
  <c r="AT156" i="4"/>
  <c r="AG15" i="4"/>
  <c r="AF15" i="4"/>
  <c r="AR27" i="4"/>
  <c r="AT40" i="4"/>
  <c r="AW40" i="4" s="1"/>
  <c r="AW39" i="4" s="1"/>
  <c r="AL220" i="4"/>
  <c r="AW88" i="4"/>
  <c r="AV92" i="4"/>
  <c r="AH100" i="4"/>
  <c r="AE15" i="4"/>
  <c r="AU17" i="4"/>
  <c r="AM39" i="4"/>
  <c r="AX40" i="4"/>
  <c r="AV17" i="4"/>
  <c r="AO15" i="4"/>
  <c r="AU40" i="4"/>
  <c r="AU39" i="4" s="1"/>
  <c r="AH179" i="4"/>
  <c r="AH87" i="4"/>
  <c r="AH86" i="4" s="1"/>
  <c r="AI87" i="4"/>
  <c r="AI86" i="4" s="1"/>
  <c r="AL873" i="4"/>
  <c r="AR17" i="4"/>
  <c r="AX526" i="4"/>
  <c r="AU526" i="4"/>
  <c r="AX96" i="4"/>
  <c r="AU96" i="4"/>
  <c r="AL154" i="4"/>
  <c r="AL153" i="4" s="1"/>
  <c r="AX681" i="4"/>
  <c r="AU681" i="4"/>
  <c r="AU834" i="4"/>
  <c r="AX834" i="4"/>
  <c r="AX985" i="4"/>
  <c r="AU985" i="4"/>
  <c r="AX489" i="4"/>
  <c r="AU489" i="4"/>
  <c r="AX535" i="4"/>
  <c r="AU535" i="4"/>
  <c r="AX844" i="4"/>
  <c r="AU844" i="4"/>
  <c r="AN154" i="4"/>
  <c r="AN153" i="4" s="1"/>
  <c r="AX17" i="4"/>
  <c r="AX24" i="4"/>
  <c r="AT39" i="4"/>
  <c r="AE42" i="4"/>
  <c r="AQ87" i="4"/>
  <c r="AT87" i="4" s="1"/>
  <c r="AD100" i="4"/>
  <c r="AE121" i="4"/>
  <c r="AE120" i="4" s="1"/>
  <c r="AU145" i="4"/>
  <c r="AE179" i="4"/>
  <c r="AG814" i="4"/>
  <c r="AG179" i="4" s="1"/>
  <c r="AJ832" i="4"/>
  <c r="AJ850" i="4" s="1"/>
  <c r="AX850" i="4" s="1"/>
  <c r="AW952" i="4"/>
  <c r="AG42" i="4"/>
  <c r="AO42" i="4"/>
  <c r="AQ70" i="4"/>
  <c r="AL71" i="4"/>
  <c r="AL70" i="4" s="1"/>
  <c r="AU88" i="4"/>
  <c r="AL102" i="4"/>
  <c r="AL101" i="4" s="1"/>
  <c r="AL100" i="4" s="1"/>
  <c r="AL99" i="4" s="1"/>
  <c r="AF100" i="4"/>
  <c r="AF99" i="4" s="1"/>
  <c r="AN100" i="4"/>
  <c r="AM135" i="4"/>
  <c r="AX220" i="4"/>
  <c r="AL850" i="4"/>
  <c r="AT908" i="4"/>
  <c r="AX939" i="4"/>
  <c r="AX952" i="4"/>
  <c r="AT976" i="4"/>
  <c r="AI1031" i="4"/>
  <c r="AU24" i="4"/>
  <c r="AV31" i="4"/>
  <c r="AM42" i="4"/>
  <c r="AR42" i="4"/>
  <c r="AV61" i="4"/>
  <c r="AM87" i="4"/>
  <c r="AM86" i="4" s="1"/>
  <c r="AU93" i="4"/>
  <c r="AU94" i="4"/>
  <c r="AO92" i="4"/>
  <c r="AO87" i="4" s="1"/>
  <c r="AO86" i="4" s="1"/>
  <c r="AR170" i="4"/>
  <c r="AR154" i="4" s="1"/>
  <c r="AR153" i="4" s="1"/>
  <c r="AX538" i="4"/>
  <c r="AX652" i="4"/>
  <c r="AX683" i="4"/>
  <c r="AW850" i="4"/>
  <c r="AX923" i="4"/>
  <c r="AU1002" i="4"/>
  <c r="AD179" i="4"/>
  <c r="AH30" i="4"/>
  <c r="AH16" i="4" s="1"/>
  <c r="AH15" i="4" s="1"/>
  <c r="AT43" i="4"/>
  <c r="AW43" i="4" s="1"/>
  <c r="AT55" i="4"/>
  <c r="AW55" i="4" s="1"/>
  <c r="AF42" i="4"/>
  <c r="AR87" i="4"/>
  <c r="AR86" i="4" s="1"/>
  <c r="AG100" i="4"/>
  <c r="AX102" i="4"/>
  <c r="AU136" i="4"/>
  <c r="AU135" i="4" s="1"/>
  <c r="AU163" i="4"/>
  <c r="AG170" i="4"/>
  <c r="AG154" i="4" s="1"/>
  <c r="AG153" i="4" s="1"/>
  <c r="AO170" i="4"/>
  <c r="AO154" i="4" s="1"/>
  <c r="AO153" i="4" s="1"/>
  <c r="AW814" i="4"/>
  <c r="AL92" i="4"/>
  <c r="AL87" i="4" s="1"/>
  <c r="AL86" i="4" s="1"/>
  <c r="AI30" i="4"/>
  <c r="AI16" i="4" s="1"/>
  <c r="AI15" i="4" s="1"/>
  <c r="AI14" i="4" s="1"/>
  <c r="AI13" i="4" s="1"/>
  <c r="AG71" i="4"/>
  <c r="AG70" i="4" s="1"/>
  <c r="AO71" i="4"/>
  <c r="AO70" i="4" s="1"/>
  <c r="AT78" i="4"/>
  <c r="AW78" i="4" s="1"/>
  <c r="AD121" i="4"/>
  <c r="AD120" i="4" s="1"/>
  <c r="AU130" i="4"/>
  <c r="AK154" i="4"/>
  <c r="AK153" i="4" s="1"/>
  <c r="AS154" i="4"/>
  <c r="AS153" i="4" s="1"/>
  <c r="AX171" i="4"/>
  <c r="AI638" i="4"/>
  <c r="AU695" i="4"/>
  <c r="AV850" i="4"/>
  <c r="AV908" i="4"/>
  <c r="AU923" i="4"/>
  <c r="AU939" i="4"/>
  <c r="AK16" i="4"/>
  <c r="AK15" i="4" s="1"/>
  <c r="AS16" i="4"/>
  <c r="AS15" i="4" s="1"/>
  <c r="AX46" i="4"/>
  <c r="AX49" i="4"/>
  <c r="AX64" i="4"/>
  <c r="AX72" i="4"/>
  <c r="AE71" i="4"/>
  <c r="AE70" i="4" s="1"/>
  <c r="AD154" i="4"/>
  <c r="AD153" i="4" s="1"/>
  <c r="AT158" i="4"/>
  <c r="AW158" i="4" s="1"/>
  <c r="AT171" i="4"/>
  <c r="AW171" i="4" s="1"/>
  <c r="AU614" i="4"/>
  <c r="AT1025" i="4"/>
  <c r="AW1025" i="4" s="1"/>
  <c r="AN16" i="4"/>
  <c r="AN15" i="4" s="1"/>
  <c r="AV27" i="4"/>
  <c r="AT46" i="4"/>
  <c r="AW46" i="4" s="1"/>
  <c r="AT49" i="4"/>
  <c r="AW49" i="4" s="1"/>
  <c r="AT61" i="4"/>
  <c r="AW61" i="4" s="1"/>
  <c r="AR100" i="4"/>
  <c r="AH121" i="4"/>
  <c r="AH120" i="4" s="1"/>
  <c r="AX140" i="4"/>
  <c r="AP144" i="4"/>
  <c r="AV158" i="4"/>
  <c r="AV638" i="4"/>
  <c r="AV873" i="4"/>
  <c r="AW923" i="4"/>
  <c r="AT31" i="4"/>
  <c r="AW31" i="4" s="1"/>
  <c r="AH42" i="4"/>
  <c r="AP42" i="4"/>
  <c r="AX61" i="4"/>
  <c r="AF71" i="4"/>
  <c r="AF70" i="4" s="1"/>
  <c r="AN71" i="4"/>
  <c r="AN70" i="4" s="1"/>
  <c r="AW92" i="4"/>
  <c r="AT162" i="4"/>
  <c r="AQ161" i="4"/>
  <c r="AP16" i="4"/>
  <c r="AS100" i="4"/>
  <c r="AT101" i="4"/>
  <c r="AQ30" i="4"/>
  <c r="AU46" i="4"/>
  <c r="AX52" i="4"/>
  <c r="AM71" i="4"/>
  <c r="AV75" i="4"/>
  <c r="AU75" i="4"/>
  <c r="AX1026" i="4"/>
  <c r="AW1026" i="4"/>
  <c r="AV1026" i="4"/>
  <c r="AM120" i="4"/>
  <c r="AP114" i="4"/>
  <c r="AP149" i="4"/>
  <c r="AV149" i="4" s="1"/>
  <c r="AX150" i="4"/>
  <c r="AM156" i="4"/>
  <c r="AV157" i="4"/>
  <c r="AT167" i="4"/>
  <c r="AT166" i="4" s="1"/>
  <c r="AT165" i="4" s="1"/>
  <c r="AW168" i="4"/>
  <c r="AW167" i="4" s="1"/>
  <c r="AW166" i="4" s="1"/>
  <c r="AW165" i="4" s="1"/>
  <c r="AJ42" i="4"/>
  <c r="AV67" i="4"/>
  <c r="AX58" i="4"/>
  <c r="AI100" i="4"/>
  <c r="AI99" i="4" s="1"/>
  <c r="AE139" i="4"/>
  <c r="AH154" i="4"/>
  <c r="AH153" i="4" s="1"/>
  <c r="AV46" i="4"/>
  <c r="AU67" i="4"/>
  <c r="AD16" i="4"/>
  <c r="AD15" i="4" s="1"/>
  <c r="AD14" i="4" s="1"/>
  <c r="AD13" i="4" s="1"/>
  <c r="AV34" i="4"/>
  <c r="AU34" i="4"/>
  <c r="AV43" i="4"/>
  <c r="AU43" i="4"/>
  <c r="AV55" i="4"/>
  <c r="AX55" i="4"/>
  <c r="AO100" i="4"/>
  <c r="AF154" i="4"/>
  <c r="AF153" i="4" s="1"/>
  <c r="AU31" i="4"/>
  <c r="AJ30" i="4"/>
  <c r="AJ39" i="4"/>
  <c r="AX39" i="4" s="1"/>
  <c r="AJ71" i="4"/>
  <c r="AJ92" i="4"/>
  <c r="AJ101" i="4"/>
  <c r="AW117" i="4"/>
  <c r="AT136" i="4"/>
  <c r="AW136" i="4" s="1"/>
  <c r="AW135" i="4" s="1"/>
  <c r="AQ135" i="4"/>
  <c r="AT135" i="4" s="1"/>
  <c r="AV145" i="4"/>
  <c r="AX158" i="4"/>
  <c r="AU162" i="4"/>
  <c r="AJ161" i="4"/>
  <c r="AP166" i="4"/>
  <c r="AX167" i="4"/>
  <c r="AW220" i="4"/>
  <c r="AX116" i="4"/>
  <c r="AX117" i="4"/>
  <c r="AT123" i="4"/>
  <c r="AW123" i="4" s="1"/>
  <c r="AQ122" i="4"/>
  <c r="AX127" i="4"/>
  <c r="AU150" i="4"/>
  <c r="AJ149" i="4"/>
  <c r="AU149" i="4" s="1"/>
  <c r="AU123" i="4"/>
  <c r="AJ122" i="4"/>
  <c r="AE154" i="4"/>
  <c r="AE153" i="4" s="1"/>
  <c r="AP156" i="4"/>
  <c r="AT220" i="4"/>
  <c r="AQ179" i="4"/>
  <c r="AU55" i="4"/>
  <c r="AJ115" i="4"/>
  <c r="AX115" i="4" s="1"/>
  <c r="AN121" i="4"/>
  <c r="AN120" i="4" s="1"/>
  <c r="AV130" i="4"/>
  <c r="AK139" i="4"/>
  <c r="AT157" i="4"/>
  <c r="AW157" i="4" s="1"/>
  <c r="AV163" i="4"/>
  <c r="AU650" i="4"/>
  <c r="AJ814" i="4"/>
  <c r="AX814" i="4" s="1"/>
  <c r="AW58" i="4"/>
  <c r="AV123" i="4"/>
  <c r="AD139" i="4"/>
  <c r="AT145" i="4"/>
  <c r="AW145" i="4" s="1"/>
  <c r="AQ144" i="4"/>
  <c r="AV150" i="4"/>
  <c r="AU158" i="4"/>
  <c r="AJ157" i="4"/>
  <c r="AX157" i="4" s="1"/>
  <c r="AV171" i="4"/>
  <c r="AM170" i="4"/>
  <c r="AV170" i="4" s="1"/>
  <c r="AX176" i="4"/>
  <c r="AV176" i="4"/>
  <c r="AX598" i="4"/>
  <c r="AU598" i="4"/>
  <c r="AM116" i="4"/>
  <c r="AU116" i="4" s="1"/>
  <c r="AP122" i="4"/>
  <c r="AX123" i="4"/>
  <c r="AW141" i="4"/>
  <c r="AW140" i="4" s="1"/>
  <c r="AT140" i="4"/>
  <c r="AP162" i="4"/>
  <c r="AX163" i="4"/>
  <c r="AU176" i="4"/>
  <c r="AJ170" i="4"/>
  <c r="AX170" i="4" s="1"/>
  <c r="AX499" i="4"/>
  <c r="AU499" i="4"/>
  <c r="AU533" i="4"/>
  <c r="AX533" i="4"/>
  <c r="AX380" i="4"/>
  <c r="AU380" i="4"/>
  <c r="AU462" i="4" s="1"/>
  <c r="AX521" i="4"/>
  <c r="AU521" i="4"/>
  <c r="AW638" i="4"/>
  <c r="AX711" i="4"/>
  <c r="AU711" i="4"/>
  <c r="AX1023" i="4"/>
  <c r="AU1023" i="4"/>
  <c r="AX557" i="4"/>
  <c r="AU557" i="4"/>
  <c r="AX624" i="4"/>
  <c r="AU624" i="4"/>
  <c r="AX890" i="4"/>
  <c r="AU890" i="4"/>
  <c r="AX501" i="4"/>
  <c r="AU501" i="4"/>
  <c r="AX546" i="4"/>
  <c r="AU546" i="4"/>
  <c r="AU627" i="4"/>
  <c r="AX627" i="4"/>
  <c r="AL814" i="4"/>
  <c r="AX706" i="4"/>
  <c r="AU706" i="4"/>
  <c r="AU745" i="4"/>
  <c r="AX745" i="4"/>
  <c r="AW873" i="4"/>
  <c r="AX1025" i="4"/>
  <c r="AV1025" i="4"/>
  <c r="AV584" i="4"/>
  <c r="AL638" i="4"/>
  <c r="AV814" i="4"/>
  <c r="AX687" i="4"/>
  <c r="AU687" i="4"/>
  <c r="AW908" i="4"/>
  <c r="AW965" i="4"/>
  <c r="AP1031" i="4"/>
  <c r="AJ135" i="4"/>
  <c r="AX135" i="4" s="1"/>
  <c r="AU220" i="4"/>
  <c r="AK179" i="4"/>
  <c r="AW584" i="4"/>
  <c r="AI584" i="4"/>
  <c r="AX492" i="4"/>
  <c r="AU492" i="4"/>
  <c r="AX542" i="4"/>
  <c r="AX738" i="4"/>
  <c r="AU738" i="4"/>
  <c r="AU884" i="4"/>
  <c r="AX884" i="4"/>
  <c r="AX886" i="4"/>
  <c r="AV923" i="4"/>
  <c r="AU988" i="4"/>
  <c r="AJ1031" i="4"/>
  <c r="AV997" i="4"/>
  <c r="AL584" i="4"/>
  <c r="AX513" i="4"/>
  <c r="AU513" i="4"/>
  <c r="AX549" i="4"/>
  <c r="AU549" i="4"/>
  <c r="AU636" i="4"/>
  <c r="AX636" i="4"/>
  <c r="AW939" i="4"/>
  <c r="AX997" i="4"/>
  <c r="AW997" i="4"/>
  <c r="AX1008" i="4"/>
  <c r="AU1008" i="4"/>
  <c r="AI814" i="4"/>
  <c r="AJ485" i="4"/>
  <c r="AJ859" i="4"/>
  <c r="AW1002" i="4"/>
  <c r="AW1028" i="4"/>
  <c r="AU497" i="4"/>
  <c r="AU511" i="4"/>
  <c r="AU544" i="4"/>
  <c r="AU555" i="4"/>
  <c r="AU685" i="4"/>
  <c r="AU888" i="4"/>
  <c r="AM1031" i="4"/>
  <c r="AM179" i="4" s="1"/>
  <c r="AJ592" i="4"/>
  <c r="AJ882" i="4"/>
  <c r="U1006" i="3"/>
  <c r="T1006" i="3"/>
  <c r="Q1006" i="3"/>
  <c r="N1006" i="3"/>
  <c r="K1006" i="3"/>
  <c r="J1006" i="3"/>
  <c r="I1006" i="3"/>
  <c r="H1006" i="3"/>
  <c r="G1006" i="3"/>
  <c r="AA1004" i="3"/>
  <c r="Z1004" i="3"/>
  <c r="Y1004" i="3"/>
  <c r="X1004" i="3"/>
  <c r="W1004" i="3"/>
  <c r="R1004" i="3"/>
  <c r="X1003" i="3"/>
  <c r="W1003" i="3"/>
  <c r="Z1003" i="3" s="1"/>
  <c r="V1003" i="3"/>
  <c r="S1003" i="3"/>
  <c r="AA1003" i="3" s="1"/>
  <c r="R1003" i="3"/>
  <c r="AA1002" i="3"/>
  <c r="Y1002" i="3"/>
  <c r="X1002" i="3"/>
  <c r="W1002" i="3"/>
  <c r="Z1002" i="3" s="1"/>
  <c r="R1002" i="3"/>
  <c r="X1001" i="3"/>
  <c r="V1001" i="3"/>
  <c r="W1001" i="3" s="1"/>
  <c r="S1001" i="3"/>
  <c r="X1000" i="3"/>
  <c r="V1000" i="3"/>
  <c r="S1000" i="3"/>
  <c r="Z998" i="3"/>
  <c r="Y998" i="3"/>
  <c r="W998" i="3"/>
  <c r="L998" i="3"/>
  <c r="M998" i="3" s="1"/>
  <c r="AA996" i="3"/>
  <c r="Y996" i="3"/>
  <c r="X996" i="3"/>
  <c r="W996" i="3"/>
  <c r="Z996" i="3" s="1"/>
  <c r="AA995" i="3"/>
  <c r="Z995" i="3"/>
  <c r="Y995" i="3"/>
  <c r="X995" i="3"/>
  <c r="W995" i="3"/>
  <c r="AA993" i="3"/>
  <c r="Y993" i="3"/>
  <c r="X993" i="3"/>
  <c r="W993" i="3"/>
  <c r="Z993" i="3" s="1"/>
  <c r="AA991" i="3"/>
  <c r="Z991" i="3"/>
  <c r="Y991" i="3"/>
  <c r="X991" i="3"/>
  <c r="W991" i="3"/>
  <c r="R991" i="3"/>
  <c r="AA989" i="3"/>
  <c r="Z989" i="3"/>
  <c r="Y989" i="3"/>
  <c r="X989" i="3"/>
  <c r="W989" i="3"/>
  <c r="R989" i="3"/>
  <c r="AA987" i="3"/>
  <c r="Y987" i="3"/>
  <c r="X987" i="3"/>
  <c r="W987" i="3"/>
  <c r="Z987" i="3" s="1"/>
  <c r="AA985" i="3"/>
  <c r="Y985" i="3"/>
  <c r="X985" i="3"/>
  <c r="W985" i="3"/>
  <c r="Z985" i="3" s="1"/>
  <c r="AA984" i="3"/>
  <c r="Z984" i="3"/>
  <c r="Y984" i="3"/>
  <c r="X984" i="3"/>
  <c r="W984" i="3"/>
  <c r="Y983" i="3"/>
  <c r="W983" i="3"/>
  <c r="Z983" i="3" s="1"/>
  <c r="M983" i="3"/>
  <c r="L983" i="3"/>
  <c r="AA981" i="3"/>
  <c r="Z981" i="3"/>
  <c r="Y981" i="3"/>
  <c r="X981" i="3"/>
  <c r="W981" i="3"/>
  <c r="AA979" i="3"/>
  <c r="Z979" i="3"/>
  <c r="Y979" i="3"/>
  <c r="X979" i="3"/>
  <c r="W979" i="3"/>
  <c r="X977" i="3"/>
  <c r="W977" i="3"/>
  <c r="Z977" i="3" s="1"/>
  <c r="S977" i="3"/>
  <c r="AA977" i="3" s="1"/>
  <c r="P977" i="3"/>
  <c r="Y977" i="3" s="1"/>
  <c r="O977" i="3"/>
  <c r="O1006" i="3" s="1"/>
  <c r="AA976" i="3"/>
  <c r="Y976" i="3"/>
  <c r="X976" i="3"/>
  <c r="W976" i="3"/>
  <c r="Z976" i="3" s="1"/>
  <c r="AA975" i="3"/>
  <c r="Y975" i="3"/>
  <c r="X975" i="3"/>
  <c r="W975" i="3"/>
  <c r="Z975" i="3" s="1"/>
  <c r="AA974" i="3"/>
  <c r="Z974" i="3"/>
  <c r="Y974" i="3"/>
  <c r="X974" i="3"/>
  <c r="W974" i="3"/>
  <c r="W972" i="3"/>
  <c r="S972" i="3"/>
  <c r="P972" i="3"/>
  <c r="AA971" i="3"/>
  <c r="Z971" i="3"/>
  <c r="Y971" i="3"/>
  <c r="X971" i="3"/>
  <c r="W971" i="3"/>
  <c r="AA969" i="3"/>
  <c r="Z969" i="3"/>
  <c r="W969" i="3"/>
  <c r="S969" i="3"/>
  <c r="S1006" i="3" s="1"/>
  <c r="P969" i="3"/>
  <c r="Y969" i="3" s="1"/>
  <c r="AA968" i="3"/>
  <c r="Z968" i="3"/>
  <c r="Y968" i="3"/>
  <c r="X968" i="3"/>
  <c r="W968" i="3"/>
  <c r="AA967" i="3"/>
  <c r="Y967" i="3"/>
  <c r="X967" i="3"/>
  <c r="W967" i="3"/>
  <c r="Z967" i="3" s="1"/>
  <c r="AA963" i="3"/>
  <c r="Z963" i="3"/>
  <c r="Y963" i="3"/>
  <c r="X963" i="3"/>
  <c r="W963" i="3"/>
  <c r="M963" i="3"/>
  <c r="L963" i="3"/>
  <c r="AA962" i="3"/>
  <c r="Z962" i="3"/>
  <c r="Y962" i="3"/>
  <c r="X962" i="3"/>
  <c r="W962" i="3"/>
  <c r="Y960" i="3"/>
  <c r="X960" i="3"/>
  <c r="W960" i="3"/>
  <c r="Z960" i="3" s="1"/>
  <c r="M960" i="3"/>
  <c r="AA960" i="3" s="1"/>
  <c r="L960" i="3"/>
  <c r="Y951" i="3"/>
  <c r="V951" i="3"/>
  <c r="W951" i="3" s="1"/>
  <c r="U951" i="3"/>
  <c r="T951" i="3"/>
  <c r="S951" i="3"/>
  <c r="AA951" i="3" s="1"/>
  <c r="R951" i="3"/>
  <c r="Q951" i="3"/>
  <c r="P951" i="3"/>
  <c r="O951" i="3"/>
  <c r="N951" i="3"/>
  <c r="M951" i="3"/>
  <c r="L951" i="3"/>
  <c r="K951" i="3"/>
  <c r="J951" i="3"/>
  <c r="I951" i="3"/>
  <c r="H951" i="3"/>
  <c r="G951" i="3"/>
  <c r="AA949" i="3"/>
  <c r="Z949" i="3"/>
  <c r="Z951" i="3" s="1"/>
  <c r="Y949" i="3"/>
  <c r="X949" i="3"/>
  <c r="X951" i="3" s="1"/>
  <c r="W949" i="3"/>
  <c r="Y940" i="3"/>
  <c r="X940" i="3"/>
  <c r="W940" i="3"/>
  <c r="V940" i="3"/>
  <c r="U940" i="3"/>
  <c r="T940" i="3"/>
  <c r="S940" i="3"/>
  <c r="AA940" i="3" s="1"/>
  <c r="R940" i="3"/>
  <c r="Q940" i="3"/>
  <c r="P940" i="3"/>
  <c r="O940" i="3"/>
  <c r="N940" i="3"/>
  <c r="M940" i="3"/>
  <c r="L940" i="3"/>
  <c r="K940" i="3"/>
  <c r="J940" i="3"/>
  <c r="I940" i="3"/>
  <c r="H940" i="3"/>
  <c r="G940" i="3"/>
  <c r="AA938" i="3"/>
  <c r="Z938" i="3"/>
  <c r="Y938" i="3"/>
  <c r="X938" i="3"/>
  <c r="W938" i="3"/>
  <c r="AA936" i="3"/>
  <c r="Z936" i="3"/>
  <c r="Z940" i="3" s="1"/>
  <c r="Y936" i="3"/>
  <c r="X936" i="3"/>
  <c r="W936" i="3"/>
  <c r="X927" i="3"/>
  <c r="W927" i="3"/>
  <c r="V927" i="3"/>
  <c r="U927" i="3"/>
  <c r="T927" i="3"/>
  <c r="S927" i="3"/>
  <c r="R927" i="3"/>
  <c r="Q927" i="3"/>
  <c r="P927" i="3"/>
  <c r="O927" i="3"/>
  <c r="N927" i="3"/>
  <c r="M927" i="3"/>
  <c r="L927" i="3"/>
  <c r="K927" i="3"/>
  <c r="J927" i="3"/>
  <c r="I927" i="3"/>
  <c r="H927" i="3"/>
  <c r="G927" i="3"/>
  <c r="AA925" i="3"/>
  <c r="Y925" i="3"/>
  <c r="X925" i="3"/>
  <c r="W925" i="3"/>
  <c r="Z925" i="3" s="1"/>
  <c r="AA924" i="3"/>
  <c r="AA927" i="3" s="1"/>
  <c r="Z924" i="3"/>
  <c r="Z927" i="3" s="1"/>
  <c r="Y924" i="3"/>
  <c r="Y927" i="3" s="1"/>
  <c r="X924" i="3"/>
  <c r="W924" i="3"/>
  <c r="W914" i="3"/>
  <c r="V914" i="3"/>
  <c r="U914" i="3"/>
  <c r="T914" i="3"/>
  <c r="S914" i="3"/>
  <c r="AA914" i="3" s="1"/>
  <c r="R914" i="3"/>
  <c r="Q914" i="3"/>
  <c r="P914" i="3"/>
  <c r="O914" i="3"/>
  <c r="N914" i="3"/>
  <c r="M914" i="3"/>
  <c r="L914" i="3"/>
  <c r="K914" i="3"/>
  <c r="J914" i="3"/>
  <c r="I914" i="3"/>
  <c r="H914" i="3"/>
  <c r="G914" i="3"/>
  <c r="AA912" i="3"/>
  <c r="Z912" i="3"/>
  <c r="Y912" i="3"/>
  <c r="X912" i="3"/>
  <c r="W912" i="3"/>
  <c r="AA911" i="3"/>
  <c r="Y911" i="3"/>
  <c r="X911" i="3"/>
  <c r="W911" i="3"/>
  <c r="Z911" i="3" s="1"/>
  <c r="AA910" i="3"/>
  <c r="Z910" i="3"/>
  <c r="Y910" i="3"/>
  <c r="X910" i="3"/>
  <c r="W910" i="3"/>
  <c r="AA909" i="3"/>
  <c r="Z909" i="3"/>
  <c r="Y909" i="3"/>
  <c r="X909" i="3"/>
  <c r="W909" i="3"/>
  <c r="AA908" i="3"/>
  <c r="Y908" i="3"/>
  <c r="Y914" i="3" s="1"/>
  <c r="X908" i="3"/>
  <c r="W908" i="3"/>
  <c r="Z908" i="3" s="1"/>
  <c r="V898" i="3"/>
  <c r="U898" i="3"/>
  <c r="T898" i="3"/>
  <c r="W898" i="3" s="1"/>
  <c r="S898" i="3"/>
  <c r="AA898" i="3" s="1"/>
  <c r="R898" i="3"/>
  <c r="Q898" i="3"/>
  <c r="P898" i="3"/>
  <c r="O898" i="3"/>
  <c r="N898" i="3"/>
  <c r="M898" i="3"/>
  <c r="L898" i="3"/>
  <c r="K898" i="3"/>
  <c r="J898" i="3"/>
  <c r="I898" i="3"/>
  <c r="H898" i="3"/>
  <c r="G898" i="3"/>
  <c r="AA896" i="3"/>
  <c r="Z896" i="3"/>
  <c r="Y896" i="3"/>
  <c r="X896" i="3"/>
  <c r="W896" i="3"/>
  <c r="AA895" i="3"/>
  <c r="Y895" i="3"/>
  <c r="X895" i="3"/>
  <c r="W895" i="3"/>
  <c r="Z895" i="3" s="1"/>
  <c r="AA894" i="3"/>
  <c r="Z894" i="3"/>
  <c r="Y894" i="3"/>
  <c r="X894" i="3"/>
  <c r="W894" i="3"/>
  <c r="AA893" i="3"/>
  <c r="Y893" i="3"/>
  <c r="X893" i="3"/>
  <c r="X898" i="3" s="1"/>
  <c r="W893" i="3"/>
  <c r="Z893" i="3" s="1"/>
  <c r="W892" i="3"/>
  <c r="W883" i="3"/>
  <c r="V883" i="3"/>
  <c r="U883" i="3"/>
  <c r="T883" i="3"/>
  <c r="S883" i="3"/>
  <c r="R883" i="3"/>
  <c r="Q883" i="3"/>
  <c r="P883" i="3"/>
  <c r="O883" i="3"/>
  <c r="N883" i="3"/>
  <c r="K883" i="3"/>
  <c r="J883" i="3"/>
  <c r="I883" i="3"/>
  <c r="H883" i="3"/>
  <c r="G883" i="3"/>
  <c r="AA881" i="3"/>
  <c r="Y881" i="3"/>
  <c r="X881" i="3"/>
  <c r="W881" i="3"/>
  <c r="Z881" i="3" s="1"/>
  <c r="AA880" i="3"/>
  <c r="Z880" i="3"/>
  <c r="Y880" i="3"/>
  <c r="X880" i="3"/>
  <c r="W880" i="3"/>
  <c r="AA871" i="3"/>
  <c r="Z871" i="3"/>
  <c r="Y871" i="3"/>
  <c r="X871" i="3"/>
  <c r="W871" i="3"/>
  <c r="AA869" i="3"/>
  <c r="Z869" i="3"/>
  <c r="Y869" i="3"/>
  <c r="X869" i="3"/>
  <c r="W869" i="3"/>
  <c r="Y867" i="3"/>
  <c r="W867" i="3"/>
  <c r="Z867" i="3" s="1"/>
  <c r="M867" i="3"/>
  <c r="X867" i="3" s="1"/>
  <c r="L867" i="3"/>
  <c r="Z865" i="3"/>
  <c r="Y865" i="3"/>
  <c r="W865" i="3"/>
  <c r="L865" i="3"/>
  <c r="M865" i="3" s="1"/>
  <c r="Y863" i="3"/>
  <c r="W863" i="3"/>
  <c r="Z863" i="3" s="1"/>
  <c r="L863" i="3"/>
  <c r="M863" i="3" s="1"/>
  <c r="AA861" i="3"/>
  <c r="Y861" i="3"/>
  <c r="W861" i="3"/>
  <c r="Z861" i="3" s="1"/>
  <c r="M861" i="3"/>
  <c r="X861" i="3" s="1"/>
  <c r="L861" i="3"/>
  <c r="Z859" i="3"/>
  <c r="Y859" i="3"/>
  <c r="W859" i="3"/>
  <c r="L859" i="3"/>
  <c r="M859" i="3" s="1"/>
  <c r="X859" i="3" s="1"/>
  <c r="Z857" i="3"/>
  <c r="Y857" i="3"/>
  <c r="W857" i="3"/>
  <c r="L857" i="3"/>
  <c r="W848" i="3"/>
  <c r="V848" i="3"/>
  <c r="U848" i="3"/>
  <c r="T848" i="3"/>
  <c r="S848" i="3"/>
  <c r="R848" i="3"/>
  <c r="Q848" i="3"/>
  <c r="P848" i="3"/>
  <c r="N848" i="3"/>
  <c r="K848" i="3"/>
  <c r="J848" i="3"/>
  <c r="I848" i="3"/>
  <c r="H848" i="3"/>
  <c r="G848" i="3"/>
  <c r="AA846" i="3"/>
  <c r="Y846" i="3"/>
  <c r="X846" i="3"/>
  <c r="W846" i="3"/>
  <c r="Z846" i="3" s="1"/>
  <c r="O846" i="3"/>
  <c r="AA844" i="3"/>
  <c r="Z844" i="3"/>
  <c r="Y844" i="3"/>
  <c r="X844" i="3"/>
  <c r="W844" i="3"/>
  <c r="AA840" i="3"/>
  <c r="Y840" i="3"/>
  <c r="X840" i="3"/>
  <c r="W840" i="3"/>
  <c r="Z840" i="3" s="1"/>
  <c r="AA838" i="3"/>
  <c r="Y838" i="3"/>
  <c r="X838" i="3"/>
  <c r="W838" i="3"/>
  <c r="Z838" i="3" s="1"/>
  <c r="W835" i="3"/>
  <c r="Z834" i="3"/>
  <c r="Y834" i="3"/>
  <c r="Y848" i="3" s="1"/>
  <c r="W834" i="3"/>
  <c r="O834" i="3"/>
  <c r="L834" i="3"/>
  <c r="L848" i="3" s="1"/>
  <c r="V825" i="3"/>
  <c r="U825" i="3"/>
  <c r="T825" i="3"/>
  <c r="W825" i="3" s="1"/>
  <c r="S825" i="3"/>
  <c r="R825" i="3"/>
  <c r="Q825" i="3"/>
  <c r="P825" i="3"/>
  <c r="N825" i="3"/>
  <c r="K825" i="3"/>
  <c r="J825" i="3"/>
  <c r="I825" i="3"/>
  <c r="H825" i="3"/>
  <c r="G825" i="3"/>
  <c r="AA823" i="3"/>
  <c r="Y823" i="3"/>
  <c r="X823" i="3"/>
  <c r="W823" i="3"/>
  <c r="Z823" i="3" s="1"/>
  <c r="O823" i="3"/>
  <c r="AA821" i="3"/>
  <c r="Y821" i="3"/>
  <c r="X821" i="3"/>
  <c r="W821" i="3"/>
  <c r="Z821" i="3" s="1"/>
  <c r="AA820" i="3"/>
  <c r="Z820" i="3"/>
  <c r="Y820" i="3"/>
  <c r="X820" i="3"/>
  <c r="W820" i="3"/>
  <c r="O820" i="3"/>
  <c r="Y819" i="3"/>
  <c r="W819" i="3"/>
  <c r="Z819" i="3" s="1"/>
  <c r="O819" i="3"/>
  <c r="L819" i="3"/>
  <c r="M819" i="3" s="1"/>
  <c r="AA817" i="3"/>
  <c r="Y817" i="3"/>
  <c r="X817" i="3"/>
  <c r="W817" i="3"/>
  <c r="Z817" i="3" s="1"/>
  <c r="O817" i="3"/>
  <c r="AA815" i="3"/>
  <c r="Y815" i="3"/>
  <c r="X815" i="3"/>
  <c r="W815" i="3"/>
  <c r="Z815" i="3" s="1"/>
  <c r="AA813" i="3"/>
  <c r="Y813" i="3"/>
  <c r="W813" i="3"/>
  <c r="Z813" i="3" s="1"/>
  <c r="O813" i="3"/>
  <c r="L813" i="3"/>
  <c r="M813" i="3" s="1"/>
  <c r="X813" i="3" s="1"/>
  <c r="Y811" i="3"/>
  <c r="W811" i="3"/>
  <c r="Z811" i="3" s="1"/>
  <c r="O811" i="3"/>
  <c r="L811" i="3"/>
  <c r="AA809" i="3"/>
  <c r="Y809" i="3"/>
  <c r="X809" i="3"/>
  <c r="W809" i="3"/>
  <c r="Z809" i="3" s="1"/>
  <c r="AA804" i="3"/>
  <c r="Y804" i="3"/>
  <c r="X804" i="3"/>
  <c r="W804" i="3"/>
  <c r="Z804" i="3" s="1"/>
  <c r="AA802" i="3"/>
  <c r="Y802" i="3"/>
  <c r="X802" i="3"/>
  <c r="W802" i="3"/>
  <c r="Z802" i="3" s="1"/>
  <c r="V793" i="3"/>
  <c r="U793" i="3"/>
  <c r="T793" i="3"/>
  <c r="W793" i="3" s="1"/>
  <c r="S793" i="3"/>
  <c r="R793" i="3"/>
  <c r="Q793" i="3"/>
  <c r="P793" i="3"/>
  <c r="N793" i="3"/>
  <c r="K793" i="3"/>
  <c r="J793" i="3"/>
  <c r="I793" i="3"/>
  <c r="H793" i="3"/>
  <c r="G793" i="3"/>
  <c r="AA791" i="3"/>
  <c r="Y791" i="3"/>
  <c r="X791" i="3"/>
  <c r="W791" i="3"/>
  <c r="Z791" i="3" s="1"/>
  <c r="AA787" i="3"/>
  <c r="Z787" i="3"/>
  <c r="Y787" i="3"/>
  <c r="X787" i="3"/>
  <c r="W787" i="3"/>
  <c r="O787" i="3"/>
  <c r="AA782" i="3"/>
  <c r="Z782" i="3"/>
  <c r="Y782" i="3"/>
  <c r="X782" i="3"/>
  <c r="W782" i="3"/>
  <c r="AA778" i="3"/>
  <c r="Y778" i="3"/>
  <c r="X778" i="3"/>
  <c r="W778" i="3"/>
  <c r="Z778" i="3" s="1"/>
  <c r="AA772" i="3"/>
  <c r="Z772" i="3"/>
  <c r="Y772" i="3"/>
  <c r="X772" i="3"/>
  <c r="W772" i="3"/>
  <c r="AA759" i="3"/>
  <c r="Z759" i="3"/>
  <c r="Y759" i="3"/>
  <c r="X759" i="3"/>
  <c r="W759" i="3"/>
  <c r="O759" i="3"/>
  <c r="AA750" i="3"/>
  <c r="Y750" i="3"/>
  <c r="X750" i="3"/>
  <c r="W750" i="3"/>
  <c r="Z750" i="3" s="1"/>
  <c r="AA749" i="3"/>
  <c r="Z749" i="3"/>
  <c r="Y749" i="3"/>
  <c r="X749" i="3"/>
  <c r="W749" i="3"/>
  <c r="AA745" i="3"/>
  <c r="Z745" i="3"/>
  <c r="Y745" i="3"/>
  <c r="X745" i="3"/>
  <c r="W745" i="3"/>
  <c r="AA739" i="3"/>
  <c r="Y739" i="3"/>
  <c r="X739" i="3"/>
  <c r="W739" i="3"/>
  <c r="Z739" i="3" s="1"/>
  <c r="AA731" i="3"/>
  <c r="Y731" i="3"/>
  <c r="X731" i="3"/>
  <c r="W731" i="3"/>
  <c r="Z731" i="3" s="1"/>
  <c r="Y730" i="3"/>
  <c r="W730" i="3"/>
  <c r="Z730" i="3" s="1"/>
  <c r="L730" i="3"/>
  <c r="M730" i="3" s="1"/>
  <c r="X730" i="3" s="1"/>
  <c r="AA726" i="3"/>
  <c r="Y726" i="3"/>
  <c r="X726" i="3"/>
  <c r="W726" i="3"/>
  <c r="Z726" i="3" s="1"/>
  <c r="O726" i="3"/>
  <c r="AA725" i="3"/>
  <c r="Z725" i="3"/>
  <c r="Y725" i="3"/>
  <c r="X725" i="3"/>
  <c r="W725" i="3"/>
  <c r="O725" i="3"/>
  <c r="AA724" i="3"/>
  <c r="Z724" i="3"/>
  <c r="Y724" i="3"/>
  <c r="W724" i="3"/>
  <c r="O724" i="3"/>
  <c r="L724" i="3"/>
  <c r="M724" i="3" s="1"/>
  <c r="X724" i="3" s="1"/>
  <c r="AA722" i="3"/>
  <c r="Z722" i="3"/>
  <c r="Y722" i="3"/>
  <c r="X722" i="3"/>
  <c r="W722" i="3"/>
  <c r="O722" i="3"/>
  <c r="AA718" i="3"/>
  <c r="Y718" i="3"/>
  <c r="X718" i="3"/>
  <c r="W718" i="3"/>
  <c r="Z718" i="3" s="1"/>
  <c r="Y717" i="3"/>
  <c r="W717" i="3"/>
  <c r="Z717" i="3" s="1"/>
  <c r="L717" i="3"/>
  <c r="M717" i="3" s="1"/>
  <c r="AA710" i="3"/>
  <c r="Z710" i="3"/>
  <c r="Y710" i="3"/>
  <c r="X710" i="3"/>
  <c r="W710" i="3"/>
  <c r="Z702" i="3"/>
  <c r="Y702" i="3"/>
  <c r="W702" i="3"/>
  <c r="O702" i="3"/>
  <c r="M702" i="3"/>
  <c r="X702" i="3" s="1"/>
  <c r="L702" i="3"/>
  <c r="Y695" i="3"/>
  <c r="X695" i="3"/>
  <c r="W695" i="3"/>
  <c r="Z695" i="3" s="1"/>
  <c r="M695" i="3"/>
  <c r="L695" i="3"/>
  <c r="Y690" i="3"/>
  <c r="W690" i="3"/>
  <c r="Z690" i="3" s="1"/>
  <c r="L690" i="3"/>
  <c r="M690" i="3" s="1"/>
  <c r="AA690" i="3" s="1"/>
  <c r="J690" i="3"/>
  <c r="Y685" i="3"/>
  <c r="W685" i="3"/>
  <c r="Z685" i="3" s="1"/>
  <c r="O685" i="3"/>
  <c r="J685" i="3"/>
  <c r="L685" i="3" s="1"/>
  <c r="M685" i="3" s="1"/>
  <c r="AA685" i="3" s="1"/>
  <c r="Y674" i="3"/>
  <c r="X674" i="3"/>
  <c r="W674" i="3"/>
  <c r="Z674" i="3" s="1"/>
  <c r="O674" i="3"/>
  <c r="L674" i="3"/>
  <c r="M674" i="3" s="1"/>
  <c r="AA674" i="3" s="1"/>
  <c r="AA670" i="3"/>
  <c r="Y670" i="3"/>
  <c r="X670" i="3"/>
  <c r="W670" i="3"/>
  <c r="Z670" i="3" s="1"/>
  <c r="O670" i="3"/>
  <c r="AA668" i="3"/>
  <c r="Y668" i="3"/>
  <c r="X668" i="3"/>
  <c r="W668" i="3"/>
  <c r="Z668" i="3" s="1"/>
  <c r="W667" i="3"/>
  <c r="Z666" i="3"/>
  <c r="Y666" i="3"/>
  <c r="W666" i="3"/>
  <c r="O666" i="3"/>
  <c r="L666" i="3"/>
  <c r="M666" i="3" s="1"/>
  <c r="Z664" i="3"/>
  <c r="Y664" i="3"/>
  <c r="W664" i="3"/>
  <c r="L664" i="3"/>
  <c r="M664" i="3" s="1"/>
  <c r="AA662" i="3"/>
  <c r="Y662" i="3"/>
  <c r="W662" i="3"/>
  <c r="Z662" i="3" s="1"/>
  <c r="L662" i="3"/>
  <c r="M662" i="3" s="1"/>
  <c r="X662" i="3" s="1"/>
  <c r="AA660" i="3"/>
  <c r="Z660" i="3"/>
  <c r="Y660" i="3"/>
  <c r="X660" i="3"/>
  <c r="W660" i="3"/>
  <c r="M660" i="3"/>
  <c r="L660" i="3"/>
  <c r="AA658" i="3"/>
  <c r="Z658" i="3"/>
  <c r="Y658" i="3"/>
  <c r="X658" i="3"/>
  <c r="W658" i="3"/>
  <c r="AA656" i="3"/>
  <c r="Y656" i="3"/>
  <c r="X656" i="3"/>
  <c r="W656" i="3"/>
  <c r="Z656" i="3" s="1"/>
  <c r="O656" i="3"/>
  <c r="AA654" i="3"/>
  <c r="Z654" i="3"/>
  <c r="Y654" i="3"/>
  <c r="X654" i="3"/>
  <c r="W654" i="3"/>
  <c r="AA652" i="3"/>
  <c r="Z652" i="3"/>
  <c r="Y652" i="3"/>
  <c r="X652" i="3"/>
  <c r="W652" i="3"/>
  <c r="O652" i="3"/>
  <c r="AA650" i="3"/>
  <c r="Y650" i="3"/>
  <c r="X650" i="3"/>
  <c r="W650" i="3"/>
  <c r="Z650" i="3" s="1"/>
  <c r="O650" i="3"/>
  <c r="AA646" i="3"/>
  <c r="Y646" i="3"/>
  <c r="X646" i="3"/>
  <c r="W646" i="3"/>
  <c r="Z646" i="3" s="1"/>
  <c r="AA644" i="3"/>
  <c r="Z644" i="3"/>
  <c r="Y644" i="3"/>
  <c r="X644" i="3"/>
  <c r="W644" i="3"/>
  <c r="O644" i="3"/>
  <c r="AA642" i="3"/>
  <c r="Y642" i="3"/>
  <c r="X642" i="3"/>
  <c r="W642" i="3"/>
  <c r="Z642" i="3" s="1"/>
  <c r="AA637" i="3"/>
  <c r="Y637" i="3"/>
  <c r="X637" i="3"/>
  <c r="W637" i="3"/>
  <c r="Z637" i="3" s="1"/>
  <c r="Y631" i="3"/>
  <c r="W631" i="3"/>
  <c r="Z631" i="3" s="1"/>
  <c r="L631" i="3"/>
  <c r="M631" i="3" s="1"/>
  <c r="X631" i="3" s="1"/>
  <c r="Z629" i="3"/>
  <c r="Y629" i="3"/>
  <c r="W629" i="3"/>
  <c r="L629" i="3"/>
  <c r="M629" i="3" s="1"/>
  <c r="AA627" i="3"/>
  <c r="Y627" i="3"/>
  <c r="Y793" i="3" s="1"/>
  <c r="X627" i="3"/>
  <c r="W627" i="3"/>
  <c r="Z627" i="3" s="1"/>
  <c r="V617" i="3"/>
  <c r="U617" i="3"/>
  <c r="T617" i="3"/>
  <c r="S617" i="3"/>
  <c r="R617" i="3"/>
  <c r="Q617" i="3"/>
  <c r="P617" i="3"/>
  <c r="N617" i="3"/>
  <c r="K617" i="3"/>
  <c r="J617" i="3"/>
  <c r="I617" i="3"/>
  <c r="H617" i="3"/>
  <c r="G617" i="3"/>
  <c r="Z615" i="3"/>
  <c r="Y615" i="3"/>
  <c r="W615" i="3"/>
  <c r="O615" i="3"/>
  <c r="L615" i="3"/>
  <c r="M615" i="3" s="1"/>
  <c r="AA613" i="3"/>
  <c r="Z613" i="3"/>
  <c r="Y613" i="3"/>
  <c r="X613" i="3"/>
  <c r="W613" i="3"/>
  <c r="O613" i="3"/>
  <c r="AA611" i="3"/>
  <c r="Y611" i="3"/>
  <c r="X611" i="3"/>
  <c r="W611" i="3"/>
  <c r="Z611" i="3" s="1"/>
  <c r="O611" i="3"/>
  <c r="AA609" i="3"/>
  <c r="Y609" i="3"/>
  <c r="X609" i="3"/>
  <c r="W609" i="3"/>
  <c r="Z609" i="3" s="1"/>
  <c r="O609" i="3"/>
  <c r="AA607" i="3"/>
  <c r="Z607" i="3"/>
  <c r="Y607" i="3"/>
  <c r="X607" i="3"/>
  <c r="W607" i="3"/>
  <c r="Z606" i="3"/>
  <c r="Y606" i="3"/>
  <c r="W606" i="3"/>
  <c r="O606" i="3"/>
  <c r="L606" i="3"/>
  <c r="M606" i="3" s="1"/>
  <c r="AA604" i="3"/>
  <c r="Z604" i="3"/>
  <c r="Y604" i="3"/>
  <c r="X604" i="3"/>
  <c r="W604" i="3"/>
  <c r="Y603" i="3"/>
  <c r="W603" i="3"/>
  <c r="Z603" i="3" s="1"/>
  <c r="O603" i="3"/>
  <c r="L603" i="3"/>
  <c r="M603" i="3" s="1"/>
  <c r="AA601" i="3"/>
  <c r="Y601" i="3"/>
  <c r="X601" i="3"/>
  <c r="W601" i="3"/>
  <c r="Z601" i="3" s="1"/>
  <c r="O601" i="3"/>
  <c r="AA600" i="3"/>
  <c r="Z600" i="3"/>
  <c r="Y600" i="3"/>
  <c r="X600" i="3"/>
  <c r="W600" i="3"/>
  <c r="AA599" i="3"/>
  <c r="Z599" i="3"/>
  <c r="Y599" i="3"/>
  <c r="X599" i="3"/>
  <c r="W599" i="3"/>
  <c r="O599" i="3"/>
  <c r="AA598" i="3"/>
  <c r="Y598" i="3"/>
  <c r="X598" i="3"/>
  <c r="W598" i="3"/>
  <c r="Z598" i="3" s="1"/>
  <c r="O598" i="3"/>
  <c r="AA596" i="3"/>
  <c r="Y596" i="3"/>
  <c r="X596" i="3"/>
  <c r="W596" i="3"/>
  <c r="Z596" i="3" s="1"/>
  <c r="O596" i="3"/>
  <c r="AA594" i="3"/>
  <c r="Y594" i="3"/>
  <c r="X594" i="3"/>
  <c r="W594" i="3"/>
  <c r="Z594" i="3" s="1"/>
  <c r="Y593" i="3"/>
  <c r="W593" i="3"/>
  <c r="Z593" i="3" s="1"/>
  <c r="O593" i="3"/>
  <c r="L593" i="3"/>
  <c r="M593" i="3" s="1"/>
  <c r="AA593" i="3" s="1"/>
  <c r="AA591" i="3"/>
  <c r="Y591" i="3"/>
  <c r="X591" i="3"/>
  <c r="W591" i="3"/>
  <c r="Z591" i="3" s="1"/>
  <c r="AA589" i="3"/>
  <c r="Z589" i="3"/>
  <c r="Y589" i="3"/>
  <c r="X589" i="3"/>
  <c r="W589" i="3"/>
  <c r="O589" i="3"/>
  <c r="AA587" i="3"/>
  <c r="Y587" i="3"/>
  <c r="X587" i="3"/>
  <c r="W587" i="3"/>
  <c r="Z587" i="3" s="1"/>
  <c r="AA585" i="3"/>
  <c r="Y585" i="3"/>
  <c r="X585" i="3"/>
  <c r="W585" i="3"/>
  <c r="Z585" i="3" s="1"/>
  <c r="AA583" i="3"/>
  <c r="Z583" i="3"/>
  <c r="Y583" i="3"/>
  <c r="X583" i="3"/>
  <c r="W583" i="3"/>
  <c r="O583" i="3"/>
  <c r="AA579" i="3"/>
  <c r="Y579" i="3"/>
  <c r="X579" i="3"/>
  <c r="W579" i="3"/>
  <c r="Z579" i="3" s="1"/>
  <c r="AA578" i="3"/>
  <c r="Y578" i="3"/>
  <c r="X578" i="3"/>
  <c r="W578" i="3"/>
  <c r="Z578" i="3" s="1"/>
  <c r="Z577" i="3"/>
  <c r="Y577" i="3"/>
  <c r="W577" i="3"/>
  <c r="M577" i="3"/>
  <c r="L577" i="3"/>
  <c r="AA573" i="3"/>
  <c r="Z573" i="3"/>
  <c r="Y573" i="3"/>
  <c r="X573" i="3"/>
  <c r="W573" i="3"/>
  <c r="Z571" i="3"/>
  <c r="Y571" i="3"/>
  <c r="W571" i="3"/>
  <c r="L571" i="3"/>
  <c r="L617" i="3" s="1"/>
  <c r="V563" i="3"/>
  <c r="U563" i="3"/>
  <c r="T563" i="3"/>
  <c r="W563" i="3" s="1"/>
  <c r="S563" i="3"/>
  <c r="R563" i="3"/>
  <c r="Q563" i="3"/>
  <c r="P563" i="3"/>
  <c r="N563" i="3"/>
  <c r="K563" i="3"/>
  <c r="J563" i="3"/>
  <c r="I563" i="3"/>
  <c r="H563" i="3"/>
  <c r="G563" i="3"/>
  <c r="AA561" i="3"/>
  <c r="Y561" i="3"/>
  <c r="X561" i="3"/>
  <c r="W561" i="3"/>
  <c r="Z561" i="3" s="1"/>
  <c r="AA560" i="3"/>
  <c r="Z560" i="3"/>
  <c r="Y560" i="3"/>
  <c r="X560" i="3"/>
  <c r="W560" i="3"/>
  <c r="AA551" i="3"/>
  <c r="Y551" i="3"/>
  <c r="X551" i="3"/>
  <c r="W551" i="3"/>
  <c r="Z551" i="3" s="1"/>
  <c r="AA550" i="3"/>
  <c r="Z550" i="3"/>
  <c r="Y550" i="3"/>
  <c r="X550" i="3"/>
  <c r="W550" i="3"/>
  <c r="AA549" i="3"/>
  <c r="Z549" i="3"/>
  <c r="Y549" i="3"/>
  <c r="X549" i="3"/>
  <c r="W549" i="3"/>
  <c r="AA548" i="3"/>
  <c r="Y548" i="3"/>
  <c r="X548" i="3"/>
  <c r="W548" i="3"/>
  <c r="Z548" i="3" s="1"/>
  <c r="AA547" i="3"/>
  <c r="Y547" i="3"/>
  <c r="X547" i="3"/>
  <c r="W547" i="3"/>
  <c r="Z547" i="3" s="1"/>
  <c r="AA539" i="3"/>
  <c r="Z539" i="3"/>
  <c r="Y539" i="3"/>
  <c r="X539" i="3"/>
  <c r="W539" i="3"/>
  <c r="Y538" i="3"/>
  <c r="W538" i="3"/>
  <c r="Z538" i="3" s="1"/>
  <c r="M538" i="3"/>
  <c r="L538" i="3"/>
  <c r="Z536" i="3"/>
  <c r="Y536" i="3"/>
  <c r="W536" i="3"/>
  <c r="L536" i="3"/>
  <c r="M536" i="3" s="1"/>
  <c r="AA534" i="3"/>
  <c r="Y534" i="3"/>
  <c r="X534" i="3"/>
  <c r="W534" i="3"/>
  <c r="Z534" i="3" s="1"/>
  <c r="AA531" i="3"/>
  <c r="Z531" i="3"/>
  <c r="Y531" i="3"/>
  <c r="X531" i="3"/>
  <c r="W531" i="3"/>
  <c r="O531" i="3"/>
  <c r="Y530" i="3"/>
  <c r="W530" i="3"/>
  <c r="Z530" i="3" s="1"/>
  <c r="O530" i="3"/>
  <c r="L530" i="3"/>
  <c r="M530" i="3" s="1"/>
  <c r="AA528" i="3"/>
  <c r="Y528" i="3"/>
  <c r="X528" i="3"/>
  <c r="W528" i="3"/>
  <c r="Z528" i="3" s="1"/>
  <c r="O528" i="3"/>
  <c r="Z527" i="3"/>
  <c r="Y527" i="3"/>
  <c r="W527" i="3"/>
  <c r="O527" i="3"/>
  <c r="L527" i="3"/>
  <c r="M527" i="3" s="1"/>
  <c r="Z525" i="3"/>
  <c r="Y525" i="3"/>
  <c r="W525" i="3"/>
  <c r="L525" i="3"/>
  <c r="M525" i="3" s="1"/>
  <c r="Y523" i="3"/>
  <c r="W523" i="3"/>
  <c r="Z523" i="3" s="1"/>
  <c r="L523" i="3"/>
  <c r="M523" i="3" s="1"/>
  <c r="W522" i="3"/>
  <c r="AA521" i="3"/>
  <c r="Y521" i="3"/>
  <c r="W521" i="3"/>
  <c r="Z521" i="3" s="1"/>
  <c r="L521" i="3"/>
  <c r="M521" i="3" s="1"/>
  <c r="X521" i="3" s="1"/>
  <c r="W520" i="3"/>
  <c r="Y519" i="3"/>
  <c r="W519" i="3"/>
  <c r="Z519" i="3" s="1"/>
  <c r="L519" i="3"/>
  <c r="M519" i="3" s="1"/>
  <c r="Z517" i="3"/>
  <c r="Y517" i="3"/>
  <c r="W517" i="3"/>
  <c r="L517" i="3"/>
  <c r="M517" i="3" s="1"/>
  <c r="X517" i="3" s="1"/>
  <c r="Z515" i="3"/>
  <c r="Y515" i="3"/>
  <c r="W515" i="3"/>
  <c r="L515" i="3"/>
  <c r="M515" i="3" s="1"/>
  <c r="AA512" i="3"/>
  <c r="Z512" i="3"/>
  <c r="Y512" i="3"/>
  <c r="X512" i="3"/>
  <c r="W512" i="3"/>
  <c r="AA509" i="3"/>
  <c r="Y509" i="3"/>
  <c r="X509" i="3"/>
  <c r="W509" i="3"/>
  <c r="Z509" i="3" s="1"/>
  <c r="AA508" i="3"/>
  <c r="Z508" i="3"/>
  <c r="Y508" i="3"/>
  <c r="W508" i="3"/>
  <c r="L508" i="3"/>
  <c r="M508" i="3" s="1"/>
  <c r="X508" i="3" s="1"/>
  <c r="AA505" i="3"/>
  <c r="Z505" i="3"/>
  <c r="Y505" i="3"/>
  <c r="X505" i="3"/>
  <c r="W505" i="3"/>
  <c r="Y503" i="3"/>
  <c r="W503" i="3"/>
  <c r="Z503" i="3" s="1"/>
  <c r="M503" i="3"/>
  <c r="L503" i="3"/>
  <c r="AA501" i="3"/>
  <c r="Y501" i="3"/>
  <c r="X501" i="3"/>
  <c r="W501" i="3"/>
  <c r="Z501" i="3" s="1"/>
  <c r="O501" i="3"/>
  <c r="AA499" i="3"/>
  <c r="Y499" i="3"/>
  <c r="X499" i="3"/>
  <c r="W499" i="3"/>
  <c r="Z499" i="3" s="1"/>
  <c r="AA498" i="3"/>
  <c r="Z498" i="3"/>
  <c r="Y498" i="3"/>
  <c r="X498" i="3"/>
  <c r="W498" i="3"/>
  <c r="Y496" i="3"/>
  <c r="W496" i="3"/>
  <c r="Z496" i="3" s="1"/>
  <c r="L496" i="3"/>
  <c r="M496" i="3" s="1"/>
  <c r="Z494" i="3"/>
  <c r="Y494" i="3"/>
  <c r="W494" i="3"/>
  <c r="L494" i="3"/>
  <c r="M494" i="3" s="1"/>
  <c r="Z492" i="3"/>
  <c r="Y492" i="3"/>
  <c r="W492" i="3"/>
  <c r="L492" i="3"/>
  <c r="M492" i="3" s="1"/>
  <c r="X492" i="3" s="1"/>
  <c r="AA490" i="3"/>
  <c r="Z490" i="3"/>
  <c r="Y490" i="3"/>
  <c r="X490" i="3"/>
  <c r="W490" i="3"/>
  <c r="Y488" i="3"/>
  <c r="W488" i="3"/>
  <c r="Z488" i="3" s="1"/>
  <c r="M488" i="3"/>
  <c r="L488" i="3"/>
  <c r="Y486" i="3"/>
  <c r="W486" i="3"/>
  <c r="Z486" i="3" s="1"/>
  <c r="M486" i="3"/>
  <c r="L486" i="3"/>
  <c r="Y484" i="3"/>
  <c r="W484" i="3"/>
  <c r="Z484" i="3" s="1"/>
  <c r="L484" i="3"/>
  <c r="M484" i="3" s="1"/>
  <c r="AA482" i="3"/>
  <c r="Y482" i="3"/>
  <c r="X482" i="3"/>
  <c r="W482" i="3"/>
  <c r="Z482" i="3" s="1"/>
  <c r="AA481" i="3"/>
  <c r="Z481" i="3"/>
  <c r="Y481" i="3"/>
  <c r="X481" i="3"/>
  <c r="W481" i="3"/>
  <c r="Y479" i="3"/>
  <c r="W479" i="3"/>
  <c r="Z479" i="3" s="1"/>
  <c r="O479" i="3"/>
  <c r="M479" i="3"/>
  <c r="L479" i="3"/>
  <c r="AA478" i="3"/>
  <c r="Y478" i="3"/>
  <c r="X478" i="3"/>
  <c r="W478" i="3"/>
  <c r="Z478" i="3" s="1"/>
  <c r="AA476" i="3"/>
  <c r="Z476" i="3"/>
  <c r="Y476" i="3"/>
  <c r="W476" i="3"/>
  <c r="L476" i="3"/>
  <c r="M476" i="3" s="1"/>
  <c r="X476" i="3" s="1"/>
  <c r="AA475" i="3"/>
  <c r="Z475" i="3"/>
  <c r="Y475" i="3"/>
  <c r="X475" i="3"/>
  <c r="W475" i="3"/>
  <c r="AA474" i="3"/>
  <c r="Y474" i="3"/>
  <c r="X474" i="3"/>
  <c r="W474" i="3"/>
  <c r="Z474" i="3" s="1"/>
  <c r="AA472" i="3"/>
  <c r="Z472" i="3"/>
  <c r="Y472" i="3"/>
  <c r="W472" i="3"/>
  <c r="M472" i="3"/>
  <c r="L472" i="3"/>
  <c r="W471" i="3"/>
  <c r="AA470" i="3"/>
  <c r="Z470" i="3"/>
  <c r="Y470" i="3"/>
  <c r="X470" i="3"/>
  <c r="W470" i="3"/>
  <c r="AA466" i="3"/>
  <c r="Z466" i="3"/>
  <c r="Y466" i="3"/>
  <c r="X466" i="3"/>
  <c r="W466" i="3"/>
  <c r="AA464" i="3"/>
  <c r="Y464" i="3"/>
  <c r="X464" i="3"/>
  <c r="W464" i="3"/>
  <c r="Z464" i="3" s="1"/>
  <c r="AA462" i="3"/>
  <c r="Z462" i="3"/>
  <c r="Y462" i="3"/>
  <c r="X462" i="3"/>
  <c r="W462" i="3"/>
  <c r="W453" i="3"/>
  <c r="V453" i="3"/>
  <c r="T453" i="3"/>
  <c r="S453" i="3"/>
  <c r="R453" i="3"/>
  <c r="Q453" i="3"/>
  <c r="P453" i="3"/>
  <c r="N453" i="3"/>
  <c r="K453" i="3"/>
  <c r="J453" i="3"/>
  <c r="I453" i="3"/>
  <c r="H453" i="3"/>
  <c r="G453" i="3"/>
  <c r="AA452" i="3"/>
  <c r="Y452" i="3"/>
  <c r="X452" i="3"/>
  <c r="W452" i="3"/>
  <c r="Z452" i="3" s="1"/>
  <c r="AA451" i="3"/>
  <c r="Z451" i="3"/>
  <c r="Y451" i="3"/>
  <c r="X451" i="3"/>
  <c r="W451" i="3"/>
  <c r="AA450" i="3"/>
  <c r="Y450" i="3"/>
  <c r="X450" i="3"/>
  <c r="W450" i="3"/>
  <c r="Z450" i="3" s="1"/>
  <c r="AA442" i="3"/>
  <c r="Y442" i="3"/>
  <c r="X442" i="3"/>
  <c r="W442" i="3"/>
  <c r="Z442" i="3" s="1"/>
  <c r="AA441" i="3"/>
  <c r="Z441" i="3"/>
  <c r="Y441" i="3"/>
  <c r="X441" i="3"/>
  <c r="W441" i="3"/>
  <c r="AA439" i="3"/>
  <c r="Y439" i="3"/>
  <c r="X439" i="3"/>
  <c r="W439" i="3"/>
  <c r="Z439" i="3" s="1"/>
  <c r="O439" i="3"/>
  <c r="AA438" i="3"/>
  <c r="Y438" i="3"/>
  <c r="X438" i="3"/>
  <c r="W438" i="3"/>
  <c r="Z438" i="3" s="1"/>
  <c r="O438" i="3"/>
  <c r="AA436" i="3"/>
  <c r="Z436" i="3"/>
  <c r="Y436" i="3"/>
  <c r="X436" i="3"/>
  <c r="W436" i="3"/>
  <c r="AA433" i="3"/>
  <c r="Y433" i="3"/>
  <c r="X433" i="3"/>
  <c r="W433" i="3"/>
  <c r="Z433" i="3" s="1"/>
  <c r="AA431" i="3"/>
  <c r="Y431" i="3"/>
  <c r="X431" i="3"/>
  <c r="W431" i="3"/>
  <c r="Z431" i="3" s="1"/>
  <c r="O431" i="3"/>
  <c r="AA430" i="3"/>
  <c r="Z430" i="3"/>
  <c r="Y430" i="3"/>
  <c r="X430" i="3"/>
  <c r="W430" i="3"/>
  <c r="O430" i="3"/>
  <c r="AA428" i="3"/>
  <c r="Y428" i="3"/>
  <c r="X428" i="3"/>
  <c r="W428" i="3"/>
  <c r="Z428" i="3" s="1"/>
  <c r="AA426" i="3"/>
  <c r="Y426" i="3"/>
  <c r="X426" i="3"/>
  <c r="W426" i="3"/>
  <c r="Z426" i="3" s="1"/>
  <c r="AA425" i="3"/>
  <c r="Z425" i="3"/>
  <c r="Y425" i="3"/>
  <c r="X425" i="3"/>
  <c r="W425" i="3"/>
  <c r="AA423" i="3"/>
  <c r="Y423" i="3"/>
  <c r="X423" i="3"/>
  <c r="W423" i="3"/>
  <c r="Z423" i="3" s="1"/>
  <c r="AA421" i="3"/>
  <c r="Y421" i="3"/>
  <c r="X421" i="3"/>
  <c r="W421" i="3"/>
  <c r="Z421" i="3" s="1"/>
  <c r="AA419" i="3"/>
  <c r="Z419" i="3"/>
  <c r="Y419" i="3"/>
  <c r="X419" i="3"/>
  <c r="W419" i="3"/>
  <c r="O419" i="3"/>
  <c r="AA415" i="3"/>
  <c r="Y415" i="3"/>
  <c r="X415" i="3"/>
  <c r="W415" i="3"/>
  <c r="Z415" i="3" s="1"/>
  <c r="O415" i="3"/>
  <c r="AA413" i="3"/>
  <c r="Y413" i="3"/>
  <c r="X413" i="3"/>
  <c r="W413" i="3"/>
  <c r="Z413" i="3" s="1"/>
  <c r="AA412" i="3"/>
  <c r="Z412" i="3"/>
  <c r="Y412" i="3"/>
  <c r="X412" i="3"/>
  <c r="W412" i="3"/>
  <c r="AA410" i="3"/>
  <c r="Y410" i="3"/>
  <c r="X410" i="3"/>
  <c r="W410" i="3"/>
  <c r="Z410" i="3" s="1"/>
  <c r="AA406" i="3"/>
  <c r="Y406" i="3"/>
  <c r="X406" i="3"/>
  <c r="W406" i="3"/>
  <c r="Z406" i="3" s="1"/>
  <c r="AA402" i="3"/>
  <c r="Z402" i="3"/>
  <c r="Y402" i="3"/>
  <c r="X402" i="3"/>
  <c r="W402" i="3"/>
  <c r="AA401" i="3"/>
  <c r="Y401" i="3"/>
  <c r="X401" i="3"/>
  <c r="W401" i="3"/>
  <c r="Z401" i="3" s="1"/>
  <c r="AA400" i="3"/>
  <c r="Z400" i="3"/>
  <c r="Y400" i="3"/>
  <c r="X400" i="3"/>
  <c r="W400" i="3"/>
  <c r="AA399" i="3"/>
  <c r="Y399" i="3"/>
  <c r="X399" i="3"/>
  <c r="W399" i="3"/>
  <c r="Z399" i="3" s="1"/>
  <c r="AA398" i="3"/>
  <c r="Y398" i="3"/>
  <c r="X398" i="3"/>
  <c r="W398" i="3"/>
  <c r="Z398" i="3" s="1"/>
  <c r="AA396" i="3"/>
  <c r="Z396" i="3"/>
  <c r="Y396" i="3"/>
  <c r="X396" i="3"/>
  <c r="W396" i="3"/>
  <c r="AA395" i="3"/>
  <c r="Y395" i="3"/>
  <c r="X395" i="3"/>
  <c r="W395" i="3"/>
  <c r="Z395" i="3" s="1"/>
  <c r="U395" i="3"/>
  <c r="AA394" i="3"/>
  <c r="Y394" i="3"/>
  <c r="X394" i="3"/>
  <c r="W394" i="3"/>
  <c r="Z394" i="3" s="1"/>
  <c r="AA392" i="3"/>
  <c r="Z392" i="3"/>
  <c r="Y392" i="3"/>
  <c r="X392" i="3"/>
  <c r="W392" i="3"/>
  <c r="AA387" i="3"/>
  <c r="Y387" i="3"/>
  <c r="X387" i="3"/>
  <c r="W387" i="3"/>
  <c r="Z387" i="3" s="1"/>
  <c r="AA385" i="3"/>
  <c r="Y385" i="3"/>
  <c r="X385" i="3"/>
  <c r="W385" i="3"/>
  <c r="Z385" i="3" s="1"/>
  <c r="AA383" i="3"/>
  <c r="Z383" i="3"/>
  <c r="Y383" i="3"/>
  <c r="X383" i="3"/>
  <c r="W383" i="3"/>
  <c r="AA381" i="3"/>
  <c r="Y381" i="3"/>
  <c r="X381" i="3"/>
  <c r="W381" i="3"/>
  <c r="Z381" i="3" s="1"/>
  <c r="AA380" i="3"/>
  <c r="Z380" i="3"/>
  <c r="Y380" i="3"/>
  <c r="X380" i="3"/>
  <c r="W380" i="3"/>
  <c r="Y376" i="3"/>
  <c r="W376" i="3"/>
  <c r="Z376" i="3" s="1"/>
  <c r="L376" i="3"/>
  <c r="M376" i="3" s="1"/>
  <c r="AA375" i="3"/>
  <c r="Y375" i="3"/>
  <c r="X375" i="3"/>
  <c r="W375" i="3"/>
  <c r="Z375" i="3" s="1"/>
  <c r="O375" i="3"/>
  <c r="AA371" i="3"/>
  <c r="Y371" i="3"/>
  <c r="X371" i="3"/>
  <c r="W371" i="3"/>
  <c r="Z371" i="3" s="1"/>
  <c r="AA362" i="3"/>
  <c r="Z362" i="3"/>
  <c r="Y362" i="3"/>
  <c r="X362" i="3"/>
  <c r="W362" i="3"/>
  <c r="AA360" i="3"/>
  <c r="Y360" i="3"/>
  <c r="X360" i="3"/>
  <c r="W360" i="3"/>
  <c r="Z360" i="3" s="1"/>
  <c r="U360" i="3"/>
  <c r="AA355" i="3"/>
  <c r="Y355" i="3"/>
  <c r="X355" i="3"/>
  <c r="W355" i="3"/>
  <c r="Z355" i="3" s="1"/>
  <c r="AA353" i="3"/>
  <c r="Z353" i="3"/>
  <c r="Y353" i="3"/>
  <c r="X353" i="3"/>
  <c r="W353" i="3"/>
  <c r="AA351" i="3"/>
  <c r="Y351" i="3"/>
  <c r="X351" i="3"/>
  <c r="W351" i="3"/>
  <c r="Z351" i="3" s="1"/>
  <c r="AA349" i="3"/>
  <c r="Z349" i="3"/>
  <c r="Y349" i="3"/>
  <c r="X349" i="3"/>
  <c r="W349" i="3"/>
  <c r="AA346" i="3"/>
  <c r="Z346" i="3"/>
  <c r="Y346" i="3"/>
  <c r="X346" i="3"/>
  <c r="W346" i="3"/>
  <c r="U346" i="3"/>
  <c r="AA344" i="3"/>
  <c r="Y344" i="3"/>
  <c r="X344" i="3"/>
  <c r="W344" i="3"/>
  <c r="Z344" i="3" s="1"/>
  <c r="AA342" i="3"/>
  <c r="Z342" i="3"/>
  <c r="Y342" i="3"/>
  <c r="X342" i="3"/>
  <c r="W342" i="3"/>
  <c r="U342" i="3"/>
  <c r="AA340" i="3"/>
  <c r="Z340" i="3"/>
  <c r="Y340" i="3"/>
  <c r="X340" i="3"/>
  <c r="W340" i="3"/>
  <c r="U340" i="3"/>
  <c r="AA336" i="3"/>
  <c r="Y336" i="3"/>
  <c r="X336" i="3"/>
  <c r="W336" i="3"/>
  <c r="Z336" i="3" s="1"/>
  <c r="AA334" i="3"/>
  <c r="Y334" i="3"/>
  <c r="X334" i="3"/>
  <c r="W334" i="3"/>
  <c r="Z334" i="3" s="1"/>
  <c r="AA330" i="3"/>
  <c r="Z330" i="3"/>
  <c r="Y330" i="3"/>
  <c r="X330" i="3"/>
  <c r="W330" i="3"/>
  <c r="U330" i="3"/>
  <c r="AA328" i="3"/>
  <c r="Y328" i="3"/>
  <c r="X328" i="3"/>
  <c r="W328" i="3"/>
  <c r="Z328" i="3" s="1"/>
  <c r="U328" i="3"/>
  <c r="AA326" i="3"/>
  <c r="Y326" i="3"/>
  <c r="X326" i="3"/>
  <c r="W326" i="3"/>
  <c r="Z326" i="3" s="1"/>
  <c r="U326" i="3"/>
  <c r="AA324" i="3"/>
  <c r="Y324" i="3"/>
  <c r="X324" i="3"/>
  <c r="W324" i="3"/>
  <c r="Z324" i="3" s="1"/>
  <c r="U324" i="3"/>
  <c r="AA316" i="3"/>
  <c r="Z316" i="3"/>
  <c r="Y316" i="3"/>
  <c r="X316" i="3"/>
  <c r="W316" i="3"/>
  <c r="AA314" i="3"/>
  <c r="Y314" i="3"/>
  <c r="X314" i="3"/>
  <c r="W314" i="3"/>
  <c r="Z314" i="3" s="1"/>
  <c r="U314" i="3"/>
  <c r="AA310" i="3"/>
  <c r="Y310" i="3"/>
  <c r="X310" i="3"/>
  <c r="W310" i="3"/>
  <c r="Z310" i="3" s="1"/>
  <c r="AA308" i="3"/>
  <c r="Z308" i="3"/>
  <c r="Y308" i="3"/>
  <c r="X308" i="3"/>
  <c r="W308" i="3"/>
  <c r="AA306" i="3"/>
  <c r="Y306" i="3"/>
  <c r="X306" i="3"/>
  <c r="W306" i="3"/>
  <c r="Z306" i="3" s="1"/>
  <c r="AA304" i="3"/>
  <c r="Z304" i="3"/>
  <c r="Y304" i="3"/>
  <c r="X304" i="3"/>
  <c r="W304" i="3"/>
  <c r="AA301" i="3"/>
  <c r="Z301" i="3"/>
  <c r="Y301" i="3"/>
  <c r="X301" i="3"/>
  <c r="W301" i="3"/>
  <c r="U301" i="3"/>
  <c r="AA299" i="3"/>
  <c r="Y299" i="3"/>
  <c r="X299" i="3"/>
  <c r="W299" i="3"/>
  <c r="Z299" i="3" s="1"/>
  <c r="U299" i="3"/>
  <c r="AA297" i="3"/>
  <c r="Y297" i="3"/>
  <c r="X297" i="3"/>
  <c r="W297" i="3"/>
  <c r="Z297" i="3" s="1"/>
  <c r="AA295" i="3"/>
  <c r="Z295" i="3"/>
  <c r="Y295" i="3"/>
  <c r="X295" i="3"/>
  <c r="W295" i="3"/>
  <c r="U295" i="3"/>
  <c r="AA292" i="3"/>
  <c r="Y292" i="3"/>
  <c r="X292" i="3"/>
  <c r="W292" i="3"/>
  <c r="Z292" i="3" s="1"/>
  <c r="AA290" i="3"/>
  <c r="Y290" i="3"/>
  <c r="X290" i="3"/>
  <c r="W290" i="3"/>
  <c r="Z290" i="3" s="1"/>
  <c r="U290" i="3"/>
  <c r="AA287" i="3"/>
  <c r="Z287" i="3"/>
  <c r="Y287" i="3"/>
  <c r="X287" i="3"/>
  <c r="W287" i="3"/>
  <c r="U287" i="3"/>
  <c r="AA285" i="3"/>
  <c r="Z285" i="3"/>
  <c r="Y285" i="3"/>
  <c r="X285" i="3"/>
  <c r="W285" i="3"/>
  <c r="U285" i="3"/>
  <c r="AA283" i="3"/>
  <c r="Y283" i="3"/>
  <c r="X283" i="3"/>
  <c r="W283" i="3"/>
  <c r="Z283" i="3" s="1"/>
  <c r="U283" i="3"/>
  <c r="AA281" i="3"/>
  <c r="Y281" i="3"/>
  <c r="X281" i="3"/>
  <c r="W281" i="3"/>
  <c r="Z281" i="3" s="1"/>
  <c r="U281" i="3"/>
  <c r="AA279" i="3"/>
  <c r="Z279" i="3"/>
  <c r="Y279" i="3"/>
  <c r="X279" i="3"/>
  <c r="W279" i="3"/>
  <c r="U279" i="3"/>
  <c r="AA277" i="3"/>
  <c r="Z277" i="3"/>
  <c r="Y277" i="3"/>
  <c r="X277" i="3"/>
  <c r="W277" i="3"/>
  <c r="U277" i="3"/>
  <c r="AA268" i="3"/>
  <c r="Y268" i="3"/>
  <c r="X268" i="3"/>
  <c r="W268" i="3"/>
  <c r="Z268" i="3" s="1"/>
  <c r="U268" i="3"/>
  <c r="AA266" i="3"/>
  <c r="Y266" i="3"/>
  <c r="X266" i="3"/>
  <c r="W266" i="3"/>
  <c r="Z266" i="3" s="1"/>
  <c r="U266" i="3"/>
  <c r="AA264" i="3"/>
  <c r="Z264" i="3"/>
  <c r="Y264" i="3"/>
  <c r="X264" i="3"/>
  <c r="W264" i="3"/>
  <c r="AA262" i="3"/>
  <c r="Y262" i="3"/>
  <c r="X262" i="3"/>
  <c r="W262" i="3"/>
  <c r="Z262" i="3" s="1"/>
  <c r="U262" i="3"/>
  <c r="AA258" i="3"/>
  <c r="Y258" i="3"/>
  <c r="X258" i="3"/>
  <c r="W258" i="3"/>
  <c r="Z258" i="3" s="1"/>
  <c r="W257" i="3"/>
  <c r="AA256" i="3"/>
  <c r="Z256" i="3"/>
  <c r="Y256" i="3"/>
  <c r="X256" i="3"/>
  <c r="W256" i="3"/>
  <c r="W255" i="3"/>
  <c r="AA254" i="3"/>
  <c r="Z254" i="3"/>
  <c r="Y254" i="3"/>
  <c r="X254" i="3"/>
  <c r="W254" i="3"/>
  <c r="W253" i="3"/>
  <c r="AA252" i="3"/>
  <c r="Y252" i="3"/>
  <c r="X252" i="3"/>
  <c r="W252" i="3"/>
  <c r="Z252" i="3" s="1"/>
  <c r="W251" i="3"/>
  <c r="AA250" i="3"/>
  <c r="Y250" i="3"/>
  <c r="X250" i="3"/>
  <c r="W250" i="3"/>
  <c r="Z250" i="3" s="1"/>
  <c r="W249" i="3"/>
  <c r="AA248" i="3"/>
  <c r="Z248" i="3"/>
  <c r="Y248" i="3"/>
  <c r="X248" i="3"/>
  <c r="W248" i="3"/>
  <c r="AA246" i="3"/>
  <c r="Z246" i="3"/>
  <c r="Y246" i="3"/>
  <c r="X246" i="3"/>
  <c r="W246" i="3"/>
  <c r="U246" i="3"/>
  <c r="AA244" i="3"/>
  <c r="Y244" i="3"/>
  <c r="X244" i="3"/>
  <c r="W244" i="3"/>
  <c r="Z244" i="3" s="1"/>
  <c r="U244" i="3"/>
  <c r="AA242" i="3"/>
  <c r="Y242" i="3"/>
  <c r="X242" i="3"/>
  <c r="W242" i="3"/>
  <c r="Z242" i="3" s="1"/>
  <c r="U242" i="3"/>
  <c r="AA239" i="3"/>
  <c r="Z239" i="3"/>
  <c r="Y239" i="3"/>
  <c r="X239" i="3"/>
  <c r="W239" i="3"/>
  <c r="U239" i="3"/>
  <c r="AA237" i="3"/>
  <c r="Z237" i="3"/>
  <c r="Y237" i="3"/>
  <c r="X237" i="3"/>
  <c r="W237" i="3"/>
  <c r="AA234" i="3"/>
  <c r="Y234" i="3"/>
  <c r="X234" i="3"/>
  <c r="W234" i="3"/>
  <c r="Z234" i="3" s="1"/>
  <c r="U234" i="3"/>
  <c r="AA232" i="3"/>
  <c r="Y232" i="3"/>
  <c r="X232" i="3"/>
  <c r="W232" i="3"/>
  <c r="Z232" i="3" s="1"/>
  <c r="U232" i="3"/>
  <c r="AA230" i="3"/>
  <c r="Z230" i="3"/>
  <c r="Y230" i="3"/>
  <c r="X230" i="3"/>
  <c r="W230" i="3"/>
  <c r="U230" i="3"/>
  <c r="AA229" i="3"/>
  <c r="Y229" i="3"/>
  <c r="X229" i="3"/>
  <c r="W229" i="3"/>
  <c r="Z229" i="3" s="1"/>
  <c r="V218" i="3"/>
  <c r="U218" i="3"/>
  <c r="T218" i="3"/>
  <c r="S218" i="3"/>
  <c r="AA218" i="3" s="1"/>
  <c r="Q218" i="3"/>
  <c r="P218" i="3"/>
  <c r="N218" i="3"/>
  <c r="M218" i="3"/>
  <c r="L218" i="3"/>
  <c r="K218" i="3"/>
  <c r="J218" i="3"/>
  <c r="I218" i="3"/>
  <c r="H218" i="3"/>
  <c r="G218" i="3"/>
  <c r="G179" i="3" s="1"/>
  <c r="AA216" i="3"/>
  <c r="Z216" i="3"/>
  <c r="Y216" i="3"/>
  <c r="X216" i="3"/>
  <c r="W216" i="3"/>
  <c r="AA213" i="3"/>
  <c r="Y213" i="3"/>
  <c r="X213" i="3"/>
  <c r="W213" i="3"/>
  <c r="Z213" i="3" s="1"/>
  <c r="O213" i="3"/>
  <c r="AA211" i="3"/>
  <c r="Y211" i="3"/>
  <c r="X211" i="3"/>
  <c r="W211" i="3"/>
  <c r="Z211" i="3" s="1"/>
  <c r="AA209" i="3"/>
  <c r="Z209" i="3"/>
  <c r="Y209" i="3"/>
  <c r="X209" i="3"/>
  <c r="W209" i="3"/>
  <c r="AA207" i="3"/>
  <c r="Y207" i="3"/>
  <c r="X207" i="3"/>
  <c r="W207" i="3"/>
  <c r="Z207" i="3" s="1"/>
  <c r="AA205" i="3"/>
  <c r="Z205" i="3"/>
  <c r="Y205" i="3"/>
  <c r="X205" i="3"/>
  <c r="W205" i="3"/>
  <c r="O205" i="3"/>
  <c r="AA203" i="3"/>
  <c r="Z203" i="3"/>
  <c r="Y203" i="3"/>
  <c r="X203" i="3"/>
  <c r="W203" i="3"/>
  <c r="AA201" i="3"/>
  <c r="Y201" i="3"/>
  <c r="X201" i="3"/>
  <c r="W201" i="3"/>
  <c r="Z201" i="3" s="1"/>
  <c r="R201" i="3"/>
  <c r="R218" i="3" s="1"/>
  <c r="O201" i="3"/>
  <c r="AA198" i="3"/>
  <c r="Y198" i="3"/>
  <c r="X198" i="3"/>
  <c r="W198" i="3"/>
  <c r="Z198" i="3" s="1"/>
  <c r="AA193" i="3"/>
  <c r="Z193" i="3"/>
  <c r="Y193" i="3"/>
  <c r="X193" i="3"/>
  <c r="W193" i="3"/>
  <c r="AA191" i="3"/>
  <c r="Y191" i="3"/>
  <c r="X191" i="3"/>
  <c r="W191" i="3"/>
  <c r="Z191" i="3" s="1"/>
  <c r="AA188" i="3"/>
  <c r="Y188" i="3"/>
  <c r="X188" i="3"/>
  <c r="X218" i="3" s="1"/>
  <c r="W188" i="3"/>
  <c r="Z188" i="3" s="1"/>
  <c r="Q179" i="3"/>
  <c r="J179" i="3"/>
  <c r="I179" i="3"/>
  <c r="AA177" i="3"/>
  <c r="Y177" i="3"/>
  <c r="X177" i="3"/>
  <c r="W177" i="3"/>
  <c r="Z177" i="3" s="1"/>
  <c r="V176" i="3"/>
  <c r="U176" i="3"/>
  <c r="T176" i="3"/>
  <c r="W176" i="3" s="1"/>
  <c r="S176" i="3"/>
  <c r="R176" i="3"/>
  <c r="Q176" i="3"/>
  <c r="P176" i="3"/>
  <c r="O176" i="3"/>
  <c r="N176" i="3"/>
  <c r="M176" i="3"/>
  <c r="X176" i="3" s="1"/>
  <c r="L176" i="3"/>
  <c r="K176" i="3"/>
  <c r="K170" i="3" s="1"/>
  <c r="J176" i="3"/>
  <c r="I176" i="3"/>
  <c r="H176" i="3"/>
  <c r="G176" i="3"/>
  <c r="AA175" i="3"/>
  <c r="Z175" i="3"/>
  <c r="Y175" i="3"/>
  <c r="X175" i="3"/>
  <c r="W175" i="3"/>
  <c r="AA174" i="3"/>
  <c r="Y174" i="3"/>
  <c r="X174" i="3"/>
  <c r="W174" i="3"/>
  <c r="Z174" i="3" s="1"/>
  <c r="AA173" i="3"/>
  <c r="Z173" i="3"/>
  <c r="Y173" i="3"/>
  <c r="X173" i="3"/>
  <c r="W173" i="3"/>
  <c r="AA172" i="3"/>
  <c r="Z172" i="3"/>
  <c r="Y172" i="3"/>
  <c r="X172" i="3"/>
  <c r="W172" i="3"/>
  <c r="W171" i="3"/>
  <c r="V171" i="3"/>
  <c r="V170" i="3" s="1"/>
  <c r="U171" i="3"/>
  <c r="U170" i="3" s="1"/>
  <c r="T171" i="3"/>
  <c r="T170" i="3" s="1"/>
  <c r="W170" i="3" s="1"/>
  <c r="S171" i="3"/>
  <c r="R171" i="3"/>
  <c r="Q171" i="3"/>
  <c r="P171" i="3"/>
  <c r="Y171" i="3" s="1"/>
  <c r="O171" i="3"/>
  <c r="O170" i="3" s="1"/>
  <c r="N171" i="3"/>
  <c r="N170" i="3" s="1"/>
  <c r="M171" i="3"/>
  <c r="L171" i="3"/>
  <c r="L170" i="3" s="1"/>
  <c r="K171" i="3"/>
  <c r="J171" i="3"/>
  <c r="I171" i="3"/>
  <c r="H171" i="3"/>
  <c r="G171" i="3"/>
  <c r="G170" i="3" s="1"/>
  <c r="R170" i="3"/>
  <c r="Q170" i="3"/>
  <c r="P170" i="3"/>
  <c r="J170" i="3"/>
  <c r="I170" i="3"/>
  <c r="H170" i="3"/>
  <c r="AA169" i="3"/>
  <c r="Y169" i="3"/>
  <c r="X169" i="3"/>
  <c r="W169" i="3"/>
  <c r="Z169" i="3" s="1"/>
  <c r="AA168" i="3"/>
  <c r="Z168" i="3"/>
  <c r="Y168" i="3"/>
  <c r="X168" i="3"/>
  <c r="W168" i="3"/>
  <c r="Z167" i="3"/>
  <c r="Z166" i="3" s="1"/>
  <c r="Z165" i="3" s="1"/>
  <c r="Y167" i="3"/>
  <c r="X167" i="3"/>
  <c r="W167" i="3"/>
  <c r="V167" i="3"/>
  <c r="U167" i="3"/>
  <c r="T167" i="3"/>
  <c r="S167" i="3"/>
  <c r="AA167" i="3" s="1"/>
  <c r="R167" i="3"/>
  <c r="R166" i="3" s="1"/>
  <c r="R165" i="3" s="1"/>
  <c r="Q167" i="3"/>
  <c r="P167" i="3"/>
  <c r="O167" i="3"/>
  <c r="N167" i="3"/>
  <c r="M167" i="3"/>
  <c r="G167" i="3"/>
  <c r="Y166" i="3"/>
  <c r="X166" i="3"/>
  <c r="W166" i="3"/>
  <c r="V166" i="3"/>
  <c r="U166" i="3"/>
  <c r="T166" i="3"/>
  <c r="S166" i="3"/>
  <c r="AA166" i="3" s="1"/>
  <c r="Q166" i="3"/>
  <c r="P166" i="3"/>
  <c r="O166" i="3"/>
  <c r="N166" i="3"/>
  <c r="M166" i="3"/>
  <c r="G166" i="3"/>
  <c r="Y165" i="3"/>
  <c r="X165" i="3"/>
  <c r="W165" i="3"/>
  <c r="V165" i="3"/>
  <c r="U165" i="3"/>
  <c r="T165" i="3"/>
  <c r="S165" i="3"/>
  <c r="AA165" i="3" s="1"/>
  <c r="Q165" i="3"/>
  <c r="P165" i="3"/>
  <c r="O165" i="3"/>
  <c r="N165" i="3"/>
  <c r="M165" i="3"/>
  <c r="G165" i="3"/>
  <c r="AA164" i="3"/>
  <c r="Z164" i="3"/>
  <c r="Y164" i="3"/>
  <c r="X164" i="3"/>
  <c r="W164" i="3"/>
  <c r="V163" i="3"/>
  <c r="V162" i="3" s="1"/>
  <c r="V161" i="3" s="1"/>
  <c r="U163" i="3"/>
  <c r="U162" i="3" s="1"/>
  <c r="U161" i="3" s="1"/>
  <c r="U160" i="3" s="1"/>
  <c r="T163" i="3"/>
  <c r="S163" i="3"/>
  <c r="R163" i="3"/>
  <c r="Q163" i="3"/>
  <c r="P163" i="3"/>
  <c r="Y163" i="3" s="1"/>
  <c r="O163" i="3"/>
  <c r="O162" i="3" s="1"/>
  <c r="N163" i="3"/>
  <c r="N162" i="3" s="1"/>
  <c r="N161" i="3" s="1"/>
  <c r="N160" i="3" s="1"/>
  <c r="N154" i="3" s="1"/>
  <c r="N153" i="3" s="1"/>
  <c r="M163" i="3"/>
  <c r="X163" i="3" s="1"/>
  <c r="L163" i="3"/>
  <c r="L162" i="3" s="1"/>
  <c r="K163" i="3"/>
  <c r="J163" i="3"/>
  <c r="I163" i="3"/>
  <c r="H163" i="3"/>
  <c r="H162" i="3" s="1"/>
  <c r="H161" i="3" s="1"/>
  <c r="H160" i="3" s="1"/>
  <c r="G163" i="3"/>
  <c r="S162" i="3"/>
  <c r="R162" i="3"/>
  <c r="Q162" i="3"/>
  <c r="Q161" i="3" s="1"/>
  <c r="Q160" i="3" s="1"/>
  <c r="P162" i="3"/>
  <c r="M162" i="3"/>
  <c r="K162" i="3"/>
  <c r="K161" i="3" s="1"/>
  <c r="J162" i="3"/>
  <c r="J161" i="3" s="1"/>
  <c r="J160" i="3" s="1"/>
  <c r="I162" i="3"/>
  <c r="I161" i="3" s="1"/>
  <c r="I160" i="3" s="1"/>
  <c r="I154" i="3" s="1"/>
  <c r="I153" i="3" s="1"/>
  <c r="G162" i="3"/>
  <c r="R161" i="3"/>
  <c r="R160" i="3" s="1"/>
  <c r="O161" i="3"/>
  <c r="O160" i="3" s="1"/>
  <c r="L161" i="3"/>
  <c r="L160" i="3" s="1"/>
  <c r="G161" i="3"/>
  <c r="G160" i="3" s="1"/>
  <c r="V160" i="3"/>
  <c r="K160" i="3"/>
  <c r="AA159" i="3"/>
  <c r="Y159" i="3"/>
  <c r="X159" i="3"/>
  <c r="W159" i="3"/>
  <c r="Z159" i="3" s="1"/>
  <c r="Z158" i="3"/>
  <c r="V158" i="3"/>
  <c r="V157" i="3" s="1"/>
  <c r="V156" i="3" s="1"/>
  <c r="V155" i="3" s="1"/>
  <c r="U158" i="3"/>
  <c r="U157" i="3" s="1"/>
  <c r="U156" i="3" s="1"/>
  <c r="U155" i="3" s="1"/>
  <c r="U154" i="3" s="1"/>
  <c r="U153" i="3" s="1"/>
  <c r="T158" i="3"/>
  <c r="W158" i="3" s="1"/>
  <c r="S158" i="3"/>
  <c r="R158" i="3"/>
  <c r="R157" i="3" s="1"/>
  <c r="R156" i="3" s="1"/>
  <c r="R155" i="3" s="1"/>
  <c r="Q158" i="3"/>
  <c r="P158" i="3"/>
  <c r="O158" i="3"/>
  <c r="N158" i="3"/>
  <c r="N157" i="3" s="1"/>
  <c r="N156" i="3" s="1"/>
  <c r="N155" i="3" s="1"/>
  <c r="M158" i="3"/>
  <c r="X158" i="3" s="1"/>
  <c r="L158" i="3"/>
  <c r="L157" i="3" s="1"/>
  <c r="K158" i="3"/>
  <c r="J158" i="3"/>
  <c r="J157" i="3" s="1"/>
  <c r="J156" i="3" s="1"/>
  <c r="J155" i="3" s="1"/>
  <c r="J154" i="3" s="1"/>
  <c r="J153" i="3" s="1"/>
  <c r="I158" i="3"/>
  <c r="H158" i="3"/>
  <c r="H157" i="3" s="1"/>
  <c r="H156" i="3" s="1"/>
  <c r="H155" i="3" s="1"/>
  <c r="H154" i="3" s="1"/>
  <c r="H153" i="3" s="1"/>
  <c r="G158" i="3"/>
  <c r="S157" i="3"/>
  <c r="Q157" i="3"/>
  <c r="Q156" i="3" s="1"/>
  <c r="Q155" i="3" s="1"/>
  <c r="Q154" i="3" s="1"/>
  <c r="Q153" i="3" s="1"/>
  <c r="O157" i="3"/>
  <c r="O156" i="3" s="1"/>
  <c r="O155" i="3" s="1"/>
  <c r="O154" i="3" s="1"/>
  <c r="O153" i="3" s="1"/>
  <c r="K157" i="3"/>
  <c r="K156" i="3" s="1"/>
  <c r="K155" i="3" s="1"/>
  <c r="I157" i="3"/>
  <c r="I156" i="3" s="1"/>
  <c r="G157" i="3"/>
  <c r="L156" i="3"/>
  <c r="G156" i="3"/>
  <c r="L155" i="3"/>
  <c r="I155" i="3"/>
  <c r="G155" i="3"/>
  <c r="V154" i="3"/>
  <c r="L154" i="3"/>
  <c r="L153" i="3" s="1"/>
  <c r="V153" i="3"/>
  <c r="AA152" i="3"/>
  <c r="Z152" i="3"/>
  <c r="Y152" i="3"/>
  <c r="X152" i="3"/>
  <c r="W152" i="3"/>
  <c r="AA151" i="3"/>
  <c r="Y151" i="3"/>
  <c r="X151" i="3"/>
  <c r="W151" i="3"/>
  <c r="Z151" i="3" s="1"/>
  <c r="Z150" i="3"/>
  <c r="X150" i="3"/>
  <c r="V150" i="3"/>
  <c r="V149" i="3" s="1"/>
  <c r="U150" i="3"/>
  <c r="T150" i="3"/>
  <c r="W150" i="3" s="1"/>
  <c r="S150" i="3"/>
  <c r="AA150" i="3" s="1"/>
  <c r="R150" i="3"/>
  <c r="Q150" i="3"/>
  <c r="P150" i="3"/>
  <c r="O150" i="3"/>
  <c r="N150" i="3"/>
  <c r="N149" i="3" s="1"/>
  <c r="M150" i="3"/>
  <c r="L150" i="3"/>
  <c r="L149" i="3" s="1"/>
  <c r="L139" i="3" s="1"/>
  <c r="K150" i="3"/>
  <c r="J150" i="3"/>
  <c r="J149" i="3" s="1"/>
  <c r="J139" i="3" s="1"/>
  <c r="I150" i="3"/>
  <c r="H150" i="3"/>
  <c r="H149" i="3" s="1"/>
  <c r="G150" i="3"/>
  <c r="U149" i="3"/>
  <c r="S149" i="3"/>
  <c r="R149" i="3"/>
  <c r="R139" i="3" s="1"/>
  <c r="Q149" i="3"/>
  <c r="O149" i="3"/>
  <c r="M149" i="3"/>
  <c r="K149" i="3"/>
  <c r="I149" i="3"/>
  <c r="G149" i="3"/>
  <c r="AA148" i="3"/>
  <c r="Y148" i="3"/>
  <c r="X148" i="3"/>
  <c r="W148" i="3"/>
  <c r="Z148" i="3" s="1"/>
  <c r="AA147" i="3"/>
  <c r="Y147" i="3"/>
  <c r="X147" i="3"/>
  <c r="W147" i="3"/>
  <c r="Z147" i="3" s="1"/>
  <c r="AA146" i="3"/>
  <c r="Z146" i="3"/>
  <c r="Y146" i="3"/>
  <c r="X146" i="3"/>
  <c r="W146" i="3"/>
  <c r="V145" i="3"/>
  <c r="W145" i="3" s="1"/>
  <c r="U145" i="3"/>
  <c r="U144" i="3" s="1"/>
  <c r="T145" i="3"/>
  <c r="S145" i="3"/>
  <c r="S144" i="3" s="1"/>
  <c r="R145" i="3"/>
  <c r="Q145" i="3"/>
  <c r="Q144" i="3" s="1"/>
  <c r="P145" i="3"/>
  <c r="O145" i="3"/>
  <c r="O144" i="3" s="1"/>
  <c r="N145" i="3"/>
  <c r="M145" i="3"/>
  <c r="X145" i="3" s="1"/>
  <c r="L145" i="3"/>
  <c r="K145" i="3"/>
  <c r="K144" i="3" s="1"/>
  <c r="K139" i="3" s="1"/>
  <c r="J145" i="3"/>
  <c r="I145" i="3"/>
  <c r="I144" i="3" s="1"/>
  <c r="H145" i="3"/>
  <c r="G145" i="3"/>
  <c r="G144" i="3" s="1"/>
  <c r="V144" i="3"/>
  <c r="T144" i="3"/>
  <c r="W144" i="3" s="1"/>
  <c r="R144" i="3"/>
  <c r="P144" i="3"/>
  <c r="N144" i="3"/>
  <c r="L144" i="3"/>
  <c r="J144" i="3"/>
  <c r="H144" i="3"/>
  <c r="Z143" i="3"/>
  <c r="Y143" i="3"/>
  <c r="X143" i="3"/>
  <c r="W143" i="3"/>
  <c r="AA142" i="3"/>
  <c r="Y142" i="3"/>
  <c r="X142" i="3"/>
  <c r="W142" i="3"/>
  <c r="Z142" i="3" s="1"/>
  <c r="AA141" i="3"/>
  <c r="Z141" i="3"/>
  <c r="Z140" i="3" s="1"/>
  <c r="Y141" i="3"/>
  <c r="X141" i="3"/>
  <c r="X140" i="3" s="1"/>
  <c r="W141" i="3"/>
  <c r="Y140" i="3"/>
  <c r="W140" i="3"/>
  <c r="V140" i="3"/>
  <c r="V139" i="3" s="1"/>
  <c r="U140" i="3"/>
  <c r="T140" i="3"/>
  <c r="S140" i="3"/>
  <c r="AA140" i="3" s="1"/>
  <c r="R140" i="3"/>
  <c r="Q140" i="3"/>
  <c r="Q139" i="3" s="1"/>
  <c r="P140" i="3"/>
  <c r="O140" i="3"/>
  <c r="O139" i="3" s="1"/>
  <c r="N140" i="3"/>
  <c r="N139" i="3" s="1"/>
  <c r="M140" i="3"/>
  <c r="L140" i="3"/>
  <c r="K140" i="3"/>
  <c r="J140" i="3"/>
  <c r="I140" i="3"/>
  <c r="I139" i="3" s="1"/>
  <c r="H140" i="3"/>
  <c r="G140" i="3"/>
  <c r="G139" i="3" s="1"/>
  <c r="H139" i="3"/>
  <c r="AA138" i="3"/>
  <c r="Y138" i="3"/>
  <c r="X138" i="3"/>
  <c r="W138" i="3"/>
  <c r="Z138" i="3" s="1"/>
  <c r="AA137" i="3"/>
  <c r="Z137" i="3"/>
  <c r="Y137" i="3"/>
  <c r="X137" i="3"/>
  <c r="W137" i="3"/>
  <c r="R137" i="3"/>
  <c r="R136" i="3" s="1"/>
  <c r="R135" i="3" s="1"/>
  <c r="O137" i="3"/>
  <c r="O136" i="3" s="1"/>
  <c r="O135" i="3" s="1"/>
  <c r="Y136" i="3"/>
  <c r="Y135" i="3" s="1"/>
  <c r="V136" i="3"/>
  <c r="U136" i="3"/>
  <c r="U135" i="3" s="1"/>
  <c r="T136" i="3"/>
  <c r="S136" i="3"/>
  <c r="S135" i="3" s="1"/>
  <c r="Q136" i="3"/>
  <c r="P136" i="3"/>
  <c r="N136" i="3"/>
  <c r="M136" i="3"/>
  <c r="X136" i="3" s="1"/>
  <c r="X135" i="3" s="1"/>
  <c r="L136" i="3"/>
  <c r="L135" i="3" s="1"/>
  <c r="K136" i="3"/>
  <c r="K135" i="3" s="1"/>
  <c r="J136" i="3"/>
  <c r="I136" i="3"/>
  <c r="H136" i="3"/>
  <c r="G136" i="3"/>
  <c r="G135" i="3" s="1"/>
  <c r="V135" i="3"/>
  <c r="Q135" i="3"/>
  <c r="P135" i="3"/>
  <c r="N135" i="3"/>
  <c r="J135" i="3"/>
  <c r="I135" i="3"/>
  <c r="H135" i="3"/>
  <c r="AA134" i="3"/>
  <c r="Y134" i="3"/>
  <c r="X134" i="3"/>
  <c r="W134" i="3"/>
  <c r="Z134" i="3" s="1"/>
  <c r="AA133" i="3"/>
  <c r="Z133" i="3"/>
  <c r="Y133" i="3"/>
  <c r="X133" i="3"/>
  <c r="W133" i="3"/>
  <c r="Z132" i="3"/>
  <c r="Y132" i="3"/>
  <c r="X132" i="3"/>
  <c r="W132" i="3"/>
  <c r="AA131" i="3"/>
  <c r="Y131" i="3"/>
  <c r="X131" i="3"/>
  <c r="W131" i="3"/>
  <c r="Z131" i="3" s="1"/>
  <c r="Y130" i="3"/>
  <c r="V130" i="3"/>
  <c r="U130" i="3"/>
  <c r="T130" i="3"/>
  <c r="S130" i="3"/>
  <c r="AA130" i="3" s="1"/>
  <c r="R130" i="3"/>
  <c r="Q130" i="3"/>
  <c r="P130" i="3"/>
  <c r="X130" i="3" s="1"/>
  <c r="O130" i="3"/>
  <c r="N130" i="3"/>
  <c r="N121" i="3" s="1"/>
  <c r="N120" i="3" s="1"/>
  <c r="M130" i="3"/>
  <c r="L130" i="3"/>
  <c r="K130" i="3"/>
  <c r="J130" i="3"/>
  <c r="I130" i="3"/>
  <c r="H130" i="3"/>
  <c r="G130" i="3"/>
  <c r="AA129" i="3"/>
  <c r="Y129" i="3"/>
  <c r="X129" i="3"/>
  <c r="W129" i="3"/>
  <c r="Z129" i="3" s="1"/>
  <c r="AA128" i="3"/>
  <c r="Z128" i="3"/>
  <c r="Y128" i="3"/>
  <c r="X128" i="3"/>
  <c r="W128" i="3"/>
  <c r="W127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AA126" i="3"/>
  <c r="Z126" i="3"/>
  <c r="Y126" i="3"/>
  <c r="X126" i="3"/>
  <c r="W126" i="3"/>
  <c r="AA125" i="3"/>
  <c r="Z125" i="3"/>
  <c r="Y125" i="3"/>
  <c r="X125" i="3"/>
  <c r="W125" i="3"/>
  <c r="AA124" i="3"/>
  <c r="Z124" i="3"/>
  <c r="Y124" i="3"/>
  <c r="X124" i="3"/>
  <c r="W124" i="3"/>
  <c r="Y123" i="3"/>
  <c r="V123" i="3"/>
  <c r="U123" i="3"/>
  <c r="U122" i="3" s="1"/>
  <c r="U121" i="3" s="1"/>
  <c r="U120" i="3" s="1"/>
  <c r="T123" i="3"/>
  <c r="W123" i="3" s="1"/>
  <c r="S123" i="3"/>
  <c r="S122" i="3" s="1"/>
  <c r="R123" i="3"/>
  <c r="Q123" i="3"/>
  <c r="Q122" i="3" s="1"/>
  <c r="Q121" i="3" s="1"/>
  <c r="Q120" i="3" s="1"/>
  <c r="P123" i="3"/>
  <c r="O123" i="3"/>
  <c r="O122" i="3" s="1"/>
  <c r="N123" i="3"/>
  <c r="M123" i="3"/>
  <c r="X123" i="3" s="1"/>
  <c r="L123" i="3"/>
  <c r="L122" i="3" s="1"/>
  <c r="L121" i="3" s="1"/>
  <c r="L120" i="3" s="1"/>
  <c r="K123" i="3"/>
  <c r="K122" i="3" s="1"/>
  <c r="J123" i="3"/>
  <c r="I123" i="3"/>
  <c r="H123" i="3"/>
  <c r="G123" i="3"/>
  <c r="G122" i="3" s="1"/>
  <c r="G121" i="3" s="1"/>
  <c r="G120" i="3" s="1"/>
  <c r="V122" i="3"/>
  <c r="V121" i="3" s="1"/>
  <c r="V120" i="3" s="1"/>
  <c r="T122" i="3"/>
  <c r="R122" i="3"/>
  <c r="R121" i="3" s="1"/>
  <c r="R120" i="3" s="1"/>
  <c r="P122" i="3"/>
  <c r="P121" i="3" s="1"/>
  <c r="N122" i="3"/>
  <c r="J122" i="3"/>
  <c r="J121" i="3" s="1"/>
  <c r="J120" i="3" s="1"/>
  <c r="I122" i="3"/>
  <c r="H122" i="3"/>
  <c r="H121" i="3" s="1"/>
  <c r="H120" i="3" s="1"/>
  <c r="O121" i="3"/>
  <c r="O120" i="3" s="1"/>
  <c r="K121" i="3"/>
  <c r="K120" i="3" s="1"/>
  <c r="I121" i="3"/>
  <c r="I120" i="3" s="1"/>
  <c r="P120" i="3"/>
  <c r="AA119" i="3"/>
  <c r="Y119" i="3"/>
  <c r="X119" i="3"/>
  <c r="W119" i="3"/>
  <c r="Z119" i="3" s="1"/>
  <c r="AA118" i="3"/>
  <c r="Z118" i="3"/>
  <c r="Y118" i="3"/>
  <c r="X118" i="3"/>
  <c r="W118" i="3"/>
  <c r="W117" i="3"/>
  <c r="Z117" i="3" s="1"/>
  <c r="V117" i="3"/>
  <c r="U117" i="3"/>
  <c r="U116" i="3" s="1"/>
  <c r="T117" i="3"/>
  <c r="S117" i="3"/>
  <c r="AA117" i="3" s="1"/>
  <c r="R117" i="3"/>
  <c r="Q117" i="3"/>
  <c r="Q116" i="3" s="1"/>
  <c r="Q115" i="3" s="1"/>
  <c r="Q114" i="3" s="1"/>
  <c r="P117" i="3"/>
  <c r="O117" i="3"/>
  <c r="O116" i="3" s="1"/>
  <c r="O115" i="3" s="1"/>
  <c r="O114" i="3" s="1"/>
  <c r="N117" i="3"/>
  <c r="M117" i="3"/>
  <c r="L117" i="3"/>
  <c r="K117" i="3"/>
  <c r="K116" i="3" s="1"/>
  <c r="K115" i="3" s="1"/>
  <c r="K114" i="3" s="1"/>
  <c r="K100" i="3" s="1"/>
  <c r="J117" i="3"/>
  <c r="I117" i="3"/>
  <c r="I116" i="3" s="1"/>
  <c r="H117" i="3"/>
  <c r="G117" i="3"/>
  <c r="G116" i="3" s="1"/>
  <c r="G115" i="3" s="1"/>
  <c r="G114" i="3" s="1"/>
  <c r="G100" i="3" s="1"/>
  <c r="G99" i="3" s="1"/>
  <c r="W116" i="3"/>
  <c r="V116" i="3"/>
  <c r="V115" i="3" s="1"/>
  <c r="V114" i="3" s="1"/>
  <c r="T116" i="3"/>
  <c r="R116" i="3"/>
  <c r="R115" i="3" s="1"/>
  <c r="P116" i="3"/>
  <c r="N116" i="3"/>
  <c r="N115" i="3" s="1"/>
  <c r="N114" i="3" s="1"/>
  <c r="L116" i="3"/>
  <c r="J116" i="3"/>
  <c r="J115" i="3" s="1"/>
  <c r="H116" i="3"/>
  <c r="H115" i="3" s="1"/>
  <c r="H114" i="3" s="1"/>
  <c r="U115" i="3"/>
  <c r="U114" i="3" s="1"/>
  <c r="T115" i="3"/>
  <c r="L115" i="3"/>
  <c r="I115" i="3"/>
  <c r="R114" i="3"/>
  <c r="L114" i="3"/>
  <c r="J114" i="3"/>
  <c r="I114" i="3"/>
  <c r="I100" i="3" s="1"/>
  <c r="I99" i="3" s="1"/>
  <c r="AA113" i="3"/>
  <c r="Y113" i="3"/>
  <c r="X113" i="3"/>
  <c r="W113" i="3"/>
  <c r="Z113" i="3" s="1"/>
  <c r="O113" i="3"/>
  <c r="AA112" i="3"/>
  <c r="Y112" i="3"/>
  <c r="X112" i="3"/>
  <c r="W112" i="3"/>
  <c r="Z112" i="3" s="1"/>
  <c r="O112" i="3"/>
  <c r="AA111" i="3"/>
  <c r="Y111" i="3"/>
  <c r="X111" i="3"/>
  <c r="W111" i="3"/>
  <c r="Z111" i="3" s="1"/>
  <c r="O111" i="3"/>
  <c r="AA110" i="3"/>
  <c r="Y110" i="3"/>
  <c r="X110" i="3"/>
  <c r="W110" i="3"/>
  <c r="Z110" i="3" s="1"/>
  <c r="O110" i="3"/>
  <c r="AA109" i="3"/>
  <c r="Y109" i="3"/>
  <c r="X109" i="3"/>
  <c r="W109" i="3"/>
  <c r="Z109" i="3" s="1"/>
  <c r="O109" i="3"/>
  <c r="AA108" i="3"/>
  <c r="Y108" i="3"/>
  <c r="X108" i="3"/>
  <c r="W108" i="3"/>
  <c r="Z108" i="3" s="1"/>
  <c r="O108" i="3"/>
  <c r="AA107" i="3"/>
  <c r="Y107" i="3"/>
  <c r="X107" i="3"/>
  <c r="W107" i="3"/>
  <c r="Z107" i="3" s="1"/>
  <c r="O107" i="3"/>
  <c r="AA106" i="3"/>
  <c r="Y106" i="3"/>
  <c r="X106" i="3"/>
  <c r="W106" i="3"/>
  <c r="Z106" i="3" s="1"/>
  <c r="O106" i="3"/>
  <c r="AA105" i="3"/>
  <c r="Y105" i="3"/>
  <c r="X105" i="3"/>
  <c r="W105" i="3"/>
  <c r="Z105" i="3" s="1"/>
  <c r="O105" i="3"/>
  <c r="AA104" i="3"/>
  <c r="Y104" i="3"/>
  <c r="X104" i="3"/>
  <c r="W104" i="3"/>
  <c r="Z104" i="3" s="1"/>
  <c r="O104" i="3"/>
  <c r="AA103" i="3"/>
  <c r="Z103" i="3"/>
  <c r="Y103" i="3"/>
  <c r="X103" i="3"/>
  <c r="W103" i="3"/>
  <c r="O103" i="3"/>
  <c r="W102" i="3"/>
  <c r="V102" i="3"/>
  <c r="U102" i="3"/>
  <c r="U101" i="3" s="1"/>
  <c r="U100" i="3" s="1"/>
  <c r="U99" i="3" s="1"/>
  <c r="T102" i="3"/>
  <c r="S102" i="3"/>
  <c r="R102" i="3"/>
  <c r="Q102" i="3"/>
  <c r="Q101" i="3" s="1"/>
  <c r="P102" i="3"/>
  <c r="Y102" i="3" s="1"/>
  <c r="Y101" i="3" s="1"/>
  <c r="N102" i="3"/>
  <c r="M102" i="3"/>
  <c r="L102" i="3"/>
  <c r="K102" i="3"/>
  <c r="K101" i="3" s="1"/>
  <c r="J102" i="3"/>
  <c r="I102" i="3"/>
  <c r="I101" i="3" s="1"/>
  <c r="H102" i="3"/>
  <c r="H101" i="3" s="1"/>
  <c r="H100" i="3" s="1"/>
  <c r="G102" i="3"/>
  <c r="G101" i="3" s="1"/>
  <c r="V101" i="3"/>
  <c r="V100" i="3" s="1"/>
  <c r="T101" i="3"/>
  <c r="R101" i="3"/>
  <c r="N101" i="3"/>
  <c r="L101" i="3"/>
  <c r="L100" i="3" s="1"/>
  <c r="J101" i="3"/>
  <c r="J100" i="3" s="1"/>
  <c r="J99" i="3" s="1"/>
  <c r="R100" i="3"/>
  <c r="AA98" i="3"/>
  <c r="Y98" i="3"/>
  <c r="X98" i="3"/>
  <c r="W98" i="3"/>
  <c r="Z98" i="3" s="1"/>
  <c r="R98" i="3"/>
  <c r="O98" i="3"/>
  <c r="AA97" i="3"/>
  <c r="Y97" i="3"/>
  <c r="X97" i="3"/>
  <c r="W97" i="3"/>
  <c r="Z97" i="3" s="1"/>
  <c r="R97" i="3"/>
  <c r="O97" i="3"/>
  <c r="Y96" i="3"/>
  <c r="W96" i="3"/>
  <c r="Z96" i="3" s="1"/>
  <c r="R96" i="3"/>
  <c r="O96" i="3"/>
  <c r="L96" i="3"/>
  <c r="M96" i="3" s="1"/>
  <c r="AA95" i="3"/>
  <c r="Y95" i="3"/>
  <c r="X95" i="3"/>
  <c r="W95" i="3"/>
  <c r="Z95" i="3" s="1"/>
  <c r="R95" i="3"/>
  <c r="O95" i="3"/>
  <c r="Y94" i="3"/>
  <c r="W94" i="3"/>
  <c r="Z94" i="3" s="1"/>
  <c r="R94" i="3"/>
  <c r="O94" i="3"/>
  <c r="L94" i="3"/>
  <c r="M94" i="3" s="1"/>
  <c r="Y93" i="3"/>
  <c r="X93" i="3"/>
  <c r="W93" i="3"/>
  <c r="Z93" i="3" s="1"/>
  <c r="Z92" i="3" s="1"/>
  <c r="R93" i="3"/>
  <c r="O93" i="3"/>
  <c r="M93" i="3"/>
  <c r="AA93" i="3" s="1"/>
  <c r="L93" i="3"/>
  <c r="Y92" i="3"/>
  <c r="W92" i="3"/>
  <c r="V92" i="3"/>
  <c r="U92" i="3"/>
  <c r="T92" i="3"/>
  <c r="S92" i="3"/>
  <c r="Q92" i="3"/>
  <c r="P92" i="3"/>
  <c r="P87" i="3" s="1"/>
  <c r="N92" i="3"/>
  <c r="K92" i="3"/>
  <c r="J92" i="3"/>
  <c r="I92" i="3"/>
  <c r="H92" i="3"/>
  <c r="H87" i="3" s="1"/>
  <c r="H86" i="3" s="1"/>
  <c r="G92" i="3"/>
  <c r="AA91" i="3"/>
  <c r="Z91" i="3"/>
  <c r="Y91" i="3"/>
  <c r="X91" i="3"/>
  <c r="W91" i="3"/>
  <c r="AA90" i="3"/>
  <c r="Z90" i="3"/>
  <c r="Y90" i="3"/>
  <c r="X90" i="3"/>
  <c r="W90" i="3"/>
  <c r="R90" i="3"/>
  <c r="R88" i="3" s="1"/>
  <c r="O90" i="3"/>
  <c r="AA89" i="3"/>
  <c r="Z89" i="3"/>
  <c r="Y89" i="3"/>
  <c r="X89" i="3"/>
  <c r="X88" i="3" s="1"/>
  <c r="W89" i="3"/>
  <c r="V88" i="3"/>
  <c r="U88" i="3"/>
  <c r="U87" i="3" s="1"/>
  <c r="U86" i="3" s="1"/>
  <c r="T88" i="3"/>
  <c r="S88" i="3"/>
  <c r="Q88" i="3"/>
  <c r="Q87" i="3" s="1"/>
  <c r="Q86" i="3" s="1"/>
  <c r="P88" i="3"/>
  <c r="O88" i="3"/>
  <c r="N88" i="3"/>
  <c r="N87" i="3" s="1"/>
  <c r="N86" i="3" s="1"/>
  <c r="M88" i="3"/>
  <c r="L88" i="3"/>
  <c r="K88" i="3"/>
  <c r="J88" i="3"/>
  <c r="I88" i="3"/>
  <c r="I87" i="3" s="1"/>
  <c r="I86" i="3" s="1"/>
  <c r="H88" i="3"/>
  <c r="G88" i="3"/>
  <c r="T87" i="3"/>
  <c r="S87" i="3"/>
  <c r="S86" i="3" s="1"/>
  <c r="K87" i="3"/>
  <c r="K86" i="3" s="1"/>
  <c r="J87" i="3"/>
  <c r="J86" i="3" s="1"/>
  <c r="P86" i="3"/>
  <c r="AA85" i="3"/>
  <c r="Z85" i="3"/>
  <c r="Y85" i="3"/>
  <c r="X85" i="3"/>
  <c r="W85" i="3"/>
  <c r="AA84" i="3"/>
  <c r="Z84" i="3"/>
  <c r="Y84" i="3"/>
  <c r="X84" i="3"/>
  <c r="W84" i="3"/>
  <c r="AA83" i="3"/>
  <c r="Y83" i="3"/>
  <c r="X83" i="3"/>
  <c r="W83" i="3"/>
  <c r="Z83" i="3" s="1"/>
  <c r="AA82" i="3"/>
  <c r="Y82" i="3"/>
  <c r="X82" i="3"/>
  <c r="W82" i="3"/>
  <c r="Z82" i="3" s="1"/>
  <c r="AA81" i="3"/>
  <c r="Z81" i="3"/>
  <c r="Y81" i="3"/>
  <c r="X81" i="3"/>
  <c r="W81" i="3"/>
  <c r="AA80" i="3"/>
  <c r="Y80" i="3"/>
  <c r="X80" i="3"/>
  <c r="W80" i="3"/>
  <c r="Z80" i="3" s="1"/>
  <c r="AA79" i="3"/>
  <c r="Z79" i="3"/>
  <c r="Y79" i="3"/>
  <c r="X79" i="3"/>
  <c r="W79" i="3"/>
  <c r="W78" i="3"/>
  <c r="Z78" i="3" s="1"/>
  <c r="V78" i="3"/>
  <c r="U78" i="3"/>
  <c r="T78" i="3"/>
  <c r="S78" i="3"/>
  <c r="AA78" i="3" s="1"/>
  <c r="R78" i="3"/>
  <c r="Q78" i="3"/>
  <c r="P78" i="3"/>
  <c r="X78" i="3" s="1"/>
  <c r="O78" i="3"/>
  <c r="N78" i="3"/>
  <c r="M78" i="3"/>
  <c r="L78" i="3"/>
  <c r="K78" i="3"/>
  <c r="J78" i="3"/>
  <c r="I78" i="3"/>
  <c r="H78" i="3"/>
  <c r="G78" i="3"/>
  <c r="AA77" i="3"/>
  <c r="Z77" i="3"/>
  <c r="Y77" i="3"/>
  <c r="X77" i="3"/>
  <c r="W77" i="3"/>
  <c r="AA76" i="3"/>
  <c r="Z76" i="3"/>
  <c r="Y76" i="3"/>
  <c r="X76" i="3"/>
  <c r="W76" i="3"/>
  <c r="W75" i="3"/>
  <c r="V75" i="3"/>
  <c r="U75" i="3"/>
  <c r="T75" i="3"/>
  <c r="S75" i="3"/>
  <c r="AA75" i="3" s="1"/>
  <c r="R75" i="3"/>
  <c r="Q75" i="3"/>
  <c r="Q71" i="3" s="1"/>
  <c r="Q70" i="3" s="1"/>
  <c r="P75" i="3"/>
  <c r="X75" i="3" s="1"/>
  <c r="O75" i="3"/>
  <c r="N75" i="3"/>
  <c r="M75" i="3"/>
  <c r="L75" i="3"/>
  <c r="K75" i="3"/>
  <c r="J75" i="3"/>
  <c r="I75" i="3"/>
  <c r="I71" i="3" s="1"/>
  <c r="I70" i="3" s="1"/>
  <c r="H75" i="3"/>
  <c r="H71" i="3" s="1"/>
  <c r="H70" i="3" s="1"/>
  <c r="G75" i="3"/>
  <c r="AA74" i="3"/>
  <c r="Z74" i="3"/>
  <c r="Y74" i="3"/>
  <c r="X74" i="3"/>
  <c r="W74" i="3"/>
  <c r="AA73" i="3"/>
  <c r="Z73" i="3"/>
  <c r="Y73" i="3"/>
  <c r="X73" i="3"/>
  <c r="W73" i="3"/>
  <c r="V72" i="3"/>
  <c r="U72" i="3"/>
  <c r="U71" i="3" s="1"/>
  <c r="U70" i="3" s="1"/>
  <c r="T72" i="3"/>
  <c r="S72" i="3"/>
  <c r="AA72" i="3" s="1"/>
  <c r="R72" i="3"/>
  <c r="Q72" i="3"/>
  <c r="P72" i="3"/>
  <c r="Y72" i="3" s="1"/>
  <c r="O72" i="3"/>
  <c r="N72" i="3"/>
  <c r="N71" i="3" s="1"/>
  <c r="N70" i="3" s="1"/>
  <c r="M72" i="3"/>
  <c r="L72" i="3"/>
  <c r="K72" i="3"/>
  <c r="J72" i="3"/>
  <c r="I72" i="3"/>
  <c r="H72" i="3"/>
  <c r="G72" i="3"/>
  <c r="T71" i="3"/>
  <c r="S71" i="3"/>
  <c r="S70" i="3" s="1"/>
  <c r="R71" i="3"/>
  <c r="R70" i="3" s="1"/>
  <c r="L71" i="3"/>
  <c r="L70" i="3" s="1"/>
  <c r="K71" i="3"/>
  <c r="K70" i="3" s="1"/>
  <c r="J71" i="3"/>
  <c r="J70" i="3" s="1"/>
  <c r="AA69" i="3"/>
  <c r="Z69" i="3"/>
  <c r="Y69" i="3"/>
  <c r="X69" i="3"/>
  <c r="W69" i="3"/>
  <c r="AA68" i="3"/>
  <c r="Z68" i="3"/>
  <c r="Y68" i="3"/>
  <c r="X68" i="3"/>
  <c r="W68" i="3"/>
  <c r="V67" i="3"/>
  <c r="W67" i="3" s="1"/>
  <c r="U67" i="3"/>
  <c r="T67" i="3"/>
  <c r="S67" i="3"/>
  <c r="AA67" i="3" s="1"/>
  <c r="R67" i="3"/>
  <c r="Q67" i="3"/>
  <c r="P67" i="3"/>
  <c r="X67" i="3" s="1"/>
  <c r="O67" i="3"/>
  <c r="N67" i="3"/>
  <c r="M67" i="3"/>
  <c r="L67" i="3"/>
  <c r="K67" i="3"/>
  <c r="J67" i="3"/>
  <c r="I67" i="3"/>
  <c r="H67" i="3"/>
  <c r="G67" i="3"/>
  <c r="AA66" i="3"/>
  <c r="Z66" i="3"/>
  <c r="Y66" i="3"/>
  <c r="X66" i="3"/>
  <c r="W66" i="3"/>
  <c r="AA65" i="3"/>
  <c r="Z65" i="3"/>
  <c r="Y65" i="3"/>
  <c r="X65" i="3"/>
  <c r="W65" i="3"/>
  <c r="V64" i="3"/>
  <c r="W64" i="3" s="1"/>
  <c r="Z64" i="3" s="1"/>
  <c r="U64" i="3"/>
  <c r="U42" i="3" s="1"/>
  <c r="T64" i="3"/>
  <c r="S64" i="3"/>
  <c r="R64" i="3"/>
  <c r="Q64" i="3"/>
  <c r="P64" i="3"/>
  <c r="Y64" i="3" s="1"/>
  <c r="O64" i="3"/>
  <c r="N64" i="3"/>
  <c r="M64" i="3"/>
  <c r="X64" i="3" s="1"/>
  <c r="L64" i="3"/>
  <c r="K64" i="3"/>
  <c r="J64" i="3"/>
  <c r="I64" i="3"/>
  <c r="H64" i="3"/>
  <c r="G64" i="3"/>
  <c r="AA63" i="3"/>
  <c r="Z63" i="3"/>
  <c r="Y63" i="3"/>
  <c r="X63" i="3"/>
  <c r="W63" i="3"/>
  <c r="AA62" i="3"/>
  <c r="Y62" i="3"/>
  <c r="X62" i="3"/>
  <c r="W62" i="3"/>
  <c r="Z62" i="3" s="1"/>
  <c r="Y61" i="3"/>
  <c r="V61" i="3"/>
  <c r="U61" i="3"/>
  <c r="T61" i="3"/>
  <c r="W61" i="3" s="1"/>
  <c r="Z61" i="3" s="1"/>
  <c r="S61" i="3"/>
  <c r="AA61" i="3" s="1"/>
  <c r="R61" i="3"/>
  <c r="Q61" i="3"/>
  <c r="P61" i="3"/>
  <c r="O61" i="3"/>
  <c r="N61" i="3"/>
  <c r="M61" i="3"/>
  <c r="X61" i="3" s="1"/>
  <c r="L61" i="3"/>
  <c r="K61" i="3"/>
  <c r="J61" i="3"/>
  <c r="I61" i="3"/>
  <c r="H61" i="3"/>
  <c r="G61" i="3"/>
  <c r="AA60" i="3"/>
  <c r="Z60" i="3"/>
  <c r="Y60" i="3"/>
  <c r="X60" i="3"/>
  <c r="W60" i="3"/>
  <c r="AA59" i="3"/>
  <c r="Y59" i="3"/>
  <c r="X59" i="3"/>
  <c r="W59" i="3"/>
  <c r="Z59" i="3" s="1"/>
  <c r="V58" i="3"/>
  <c r="U58" i="3"/>
  <c r="T58" i="3"/>
  <c r="W58" i="3" s="1"/>
  <c r="S58" i="3"/>
  <c r="R58" i="3"/>
  <c r="Q58" i="3"/>
  <c r="P58" i="3"/>
  <c r="Y58" i="3" s="1"/>
  <c r="O58" i="3"/>
  <c r="N58" i="3"/>
  <c r="M58" i="3"/>
  <c r="X58" i="3" s="1"/>
  <c r="L58" i="3"/>
  <c r="K58" i="3"/>
  <c r="J58" i="3"/>
  <c r="I58" i="3"/>
  <c r="H58" i="3"/>
  <c r="G58" i="3"/>
  <c r="AA57" i="3"/>
  <c r="Z57" i="3"/>
  <c r="Y57" i="3"/>
  <c r="X57" i="3"/>
  <c r="W57" i="3"/>
  <c r="AA56" i="3"/>
  <c r="Y56" i="3"/>
  <c r="X56" i="3"/>
  <c r="W56" i="3"/>
  <c r="Z56" i="3" s="1"/>
  <c r="V55" i="3"/>
  <c r="U55" i="3"/>
  <c r="T55" i="3"/>
  <c r="W55" i="3" s="1"/>
  <c r="S55" i="3"/>
  <c r="Z55" i="3" s="1"/>
  <c r="R55" i="3"/>
  <c r="Q55" i="3"/>
  <c r="P55" i="3"/>
  <c r="O55" i="3"/>
  <c r="N55" i="3"/>
  <c r="M55" i="3"/>
  <c r="L55" i="3"/>
  <c r="K55" i="3"/>
  <c r="J55" i="3"/>
  <c r="I55" i="3"/>
  <c r="H55" i="3"/>
  <c r="G55" i="3"/>
  <c r="AA54" i="3"/>
  <c r="Y54" i="3"/>
  <c r="X54" i="3"/>
  <c r="W54" i="3"/>
  <c r="Z54" i="3" s="1"/>
  <c r="AA53" i="3"/>
  <c r="Z53" i="3"/>
  <c r="Y53" i="3"/>
  <c r="X53" i="3"/>
  <c r="W53" i="3"/>
  <c r="Y52" i="3"/>
  <c r="V52" i="3"/>
  <c r="W52" i="3" s="1"/>
  <c r="Z52" i="3" s="1"/>
  <c r="U52" i="3"/>
  <c r="T52" i="3"/>
  <c r="S52" i="3"/>
  <c r="AA52" i="3" s="1"/>
  <c r="R52" i="3"/>
  <c r="Q52" i="3"/>
  <c r="P52" i="3"/>
  <c r="X52" i="3" s="1"/>
  <c r="O52" i="3"/>
  <c r="N52" i="3"/>
  <c r="M52" i="3"/>
  <c r="L52" i="3"/>
  <c r="K52" i="3"/>
  <c r="J52" i="3"/>
  <c r="I52" i="3"/>
  <c r="H52" i="3"/>
  <c r="G52" i="3"/>
  <c r="AA51" i="3"/>
  <c r="Y51" i="3"/>
  <c r="X51" i="3"/>
  <c r="W51" i="3"/>
  <c r="Z51" i="3" s="1"/>
  <c r="AA50" i="3"/>
  <c r="Z50" i="3"/>
  <c r="Y50" i="3"/>
  <c r="X50" i="3"/>
  <c r="W50" i="3"/>
  <c r="V49" i="3"/>
  <c r="W49" i="3" s="1"/>
  <c r="Z49" i="3" s="1"/>
  <c r="U49" i="3"/>
  <c r="T49" i="3"/>
  <c r="S49" i="3"/>
  <c r="AA49" i="3" s="1"/>
  <c r="R49" i="3"/>
  <c r="Q49" i="3"/>
  <c r="P49" i="3"/>
  <c r="Y49" i="3" s="1"/>
  <c r="O49" i="3"/>
  <c r="N49" i="3"/>
  <c r="M49" i="3"/>
  <c r="L49" i="3"/>
  <c r="K49" i="3"/>
  <c r="J49" i="3"/>
  <c r="I49" i="3"/>
  <c r="H49" i="3"/>
  <c r="G49" i="3"/>
  <c r="AA48" i="3"/>
  <c r="Y48" i="3"/>
  <c r="X48" i="3"/>
  <c r="W48" i="3"/>
  <c r="Z48" i="3" s="1"/>
  <c r="AA47" i="3"/>
  <c r="Z47" i="3"/>
  <c r="Y47" i="3"/>
  <c r="X47" i="3"/>
  <c r="W47" i="3"/>
  <c r="X46" i="3"/>
  <c r="W46" i="3"/>
  <c r="Z46" i="3" s="1"/>
  <c r="V46" i="3"/>
  <c r="U46" i="3"/>
  <c r="T46" i="3"/>
  <c r="S46" i="3"/>
  <c r="AA46" i="3" s="1"/>
  <c r="R46" i="3"/>
  <c r="Q46" i="3"/>
  <c r="P46" i="3"/>
  <c r="Y46" i="3" s="1"/>
  <c r="O46" i="3"/>
  <c r="N46" i="3"/>
  <c r="M46" i="3"/>
  <c r="L46" i="3"/>
  <c r="K46" i="3"/>
  <c r="J46" i="3"/>
  <c r="I46" i="3"/>
  <c r="H46" i="3"/>
  <c r="G46" i="3"/>
  <c r="AA45" i="3"/>
  <c r="Z45" i="3"/>
  <c r="Y45" i="3"/>
  <c r="X45" i="3"/>
  <c r="W45" i="3"/>
  <c r="AA44" i="3"/>
  <c r="Z44" i="3"/>
  <c r="Y44" i="3"/>
  <c r="X44" i="3"/>
  <c r="W44" i="3"/>
  <c r="X43" i="3"/>
  <c r="W43" i="3"/>
  <c r="V43" i="3"/>
  <c r="U43" i="3"/>
  <c r="T43" i="3"/>
  <c r="S43" i="3"/>
  <c r="AA43" i="3" s="1"/>
  <c r="R43" i="3"/>
  <c r="Q43" i="3"/>
  <c r="P43" i="3"/>
  <c r="P42" i="3" s="1"/>
  <c r="O43" i="3"/>
  <c r="N43" i="3"/>
  <c r="M43" i="3"/>
  <c r="L43" i="3"/>
  <c r="K43" i="3"/>
  <c r="J43" i="3"/>
  <c r="I43" i="3"/>
  <c r="H43" i="3"/>
  <c r="H42" i="3" s="1"/>
  <c r="G43" i="3"/>
  <c r="T42" i="3"/>
  <c r="L42" i="3"/>
  <c r="K42" i="3"/>
  <c r="AA41" i="3"/>
  <c r="Z41" i="3"/>
  <c r="Y41" i="3"/>
  <c r="X41" i="3"/>
  <c r="W41" i="3"/>
  <c r="V40" i="3"/>
  <c r="V39" i="3" s="1"/>
  <c r="U40" i="3"/>
  <c r="U39" i="3" s="1"/>
  <c r="T40" i="3"/>
  <c r="S40" i="3"/>
  <c r="R40" i="3"/>
  <c r="Q40" i="3"/>
  <c r="P40" i="3"/>
  <c r="Y40" i="3" s="1"/>
  <c r="Y39" i="3" s="1"/>
  <c r="O40" i="3"/>
  <c r="O39" i="3" s="1"/>
  <c r="N40" i="3"/>
  <c r="N39" i="3" s="1"/>
  <c r="M40" i="3"/>
  <c r="L40" i="3"/>
  <c r="K40" i="3"/>
  <c r="J40" i="3"/>
  <c r="I40" i="3"/>
  <c r="H40" i="3"/>
  <c r="G40" i="3"/>
  <c r="G39" i="3" s="1"/>
  <c r="T39" i="3"/>
  <c r="S39" i="3"/>
  <c r="R39" i="3"/>
  <c r="Q39" i="3"/>
  <c r="P39" i="3"/>
  <c r="L39" i="3"/>
  <c r="K39" i="3"/>
  <c r="K15" i="3" s="1"/>
  <c r="K14" i="3" s="1"/>
  <c r="K13" i="3" s="1"/>
  <c r="J39" i="3"/>
  <c r="J15" i="3" s="1"/>
  <c r="I39" i="3"/>
  <c r="H39" i="3"/>
  <c r="Y38" i="3"/>
  <c r="X38" i="3"/>
  <c r="W38" i="3"/>
  <c r="Z38" i="3" s="1"/>
  <c r="AA37" i="3"/>
  <c r="Z37" i="3"/>
  <c r="Y37" i="3"/>
  <c r="X37" i="3"/>
  <c r="W37" i="3"/>
  <c r="AA36" i="3"/>
  <c r="Z36" i="3"/>
  <c r="Y36" i="3"/>
  <c r="X36" i="3"/>
  <c r="W36" i="3"/>
  <c r="AA35" i="3"/>
  <c r="Y35" i="3"/>
  <c r="X35" i="3"/>
  <c r="W35" i="3"/>
  <c r="Z35" i="3" s="1"/>
  <c r="AA34" i="3"/>
  <c r="V34" i="3"/>
  <c r="U34" i="3"/>
  <c r="T34" i="3"/>
  <c r="S34" i="3"/>
  <c r="R34" i="3"/>
  <c r="Q34" i="3"/>
  <c r="P34" i="3"/>
  <c r="Y34" i="3" s="1"/>
  <c r="O34" i="3"/>
  <c r="N34" i="3"/>
  <c r="M34" i="3"/>
  <c r="L34" i="3"/>
  <c r="L30" i="3" s="1"/>
  <c r="L16" i="3" s="1"/>
  <c r="L15" i="3" s="1"/>
  <c r="L14" i="3" s="1"/>
  <c r="L13" i="3" s="1"/>
  <c r="L12" i="3" s="1"/>
  <c r="K34" i="3"/>
  <c r="J34" i="3"/>
  <c r="I34" i="3"/>
  <c r="H34" i="3"/>
  <c r="G34" i="3"/>
  <c r="AA33" i="3"/>
  <c r="Y33" i="3"/>
  <c r="X33" i="3"/>
  <c r="W33" i="3"/>
  <c r="Z33" i="3" s="1"/>
  <c r="AA32" i="3"/>
  <c r="Z32" i="3"/>
  <c r="Y32" i="3"/>
  <c r="X32" i="3"/>
  <c r="W32" i="3"/>
  <c r="AA31" i="3"/>
  <c r="Z31" i="3"/>
  <c r="V31" i="3"/>
  <c r="W31" i="3" s="1"/>
  <c r="U31" i="3"/>
  <c r="T31" i="3"/>
  <c r="S31" i="3"/>
  <c r="S30" i="3" s="1"/>
  <c r="R31" i="3"/>
  <c r="R30" i="3" s="1"/>
  <c r="R16" i="3" s="1"/>
  <c r="R15" i="3" s="1"/>
  <c r="Q31" i="3"/>
  <c r="Q30" i="3" s="1"/>
  <c r="P31" i="3"/>
  <c r="X31" i="3" s="1"/>
  <c r="O31" i="3"/>
  <c r="N31" i="3"/>
  <c r="M31" i="3"/>
  <c r="L31" i="3"/>
  <c r="K31" i="3"/>
  <c r="K30" i="3" s="1"/>
  <c r="K16" i="3" s="1"/>
  <c r="J31" i="3"/>
  <c r="J30" i="3" s="1"/>
  <c r="J16" i="3" s="1"/>
  <c r="I31" i="3"/>
  <c r="I30" i="3" s="1"/>
  <c r="H31" i="3"/>
  <c r="G31" i="3"/>
  <c r="V30" i="3"/>
  <c r="V16" i="3" s="1"/>
  <c r="V15" i="3" s="1"/>
  <c r="U30" i="3"/>
  <c r="P30" i="3"/>
  <c r="Y30" i="3" s="1"/>
  <c r="O30" i="3"/>
  <c r="N30" i="3"/>
  <c r="N16" i="3" s="1"/>
  <c r="N15" i="3" s="1"/>
  <c r="M30" i="3"/>
  <c r="H30" i="3"/>
  <c r="G30" i="3"/>
  <c r="AA29" i="3"/>
  <c r="Z29" i="3"/>
  <c r="Y29" i="3"/>
  <c r="X29" i="3"/>
  <c r="W29" i="3"/>
  <c r="U29" i="3"/>
  <c r="AA28" i="3"/>
  <c r="Z28" i="3"/>
  <c r="Y28" i="3"/>
  <c r="X28" i="3"/>
  <c r="W28" i="3"/>
  <c r="U28" i="3"/>
  <c r="W27" i="3"/>
  <c r="Z27" i="3" s="1"/>
  <c r="V27" i="3"/>
  <c r="T27" i="3"/>
  <c r="S27" i="3"/>
  <c r="AA27" i="3" s="1"/>
  <c r="R27" i="3"/>
  <c r="Q27" i="3"/>
  <c r="P27" i="3"/>
  <c r="X27" i="3" s="1"/>
  <c r="O27" i="3"/>
  <c r="N27" i="3"/>
  <c r="M27" i="3"/>
  <c r="L27" i="3"/>
  <c r="K27" i="3"/>
  <c r="J27" i="3"/>
  <c r="I27" i="3"/>
  <c r="H27" i="3"/>
  <c r="G27" i="3"/>
  <c r="AA26" i="3"/>
  <c r="Z26" i="3"/>
  <c r="Y26" i="3"/>
  <c r="X26" i="3"/>
  <c r="W26" i="3"/>
  <c r="AA25" i="3"/>
  <c r="Z25" i="3"/>
  <c r="Y25" i="3"/>
  <c r="X25" i="3"/>
  <c r="W25" i="3"/>
  <c r="U25" i="3"/>
  <c r="U24" i="3" s="1"/>
  <c r="X24" i="3"/>
  <c r="W24" i="3"/>
  <c r="Z24" i="3" s="1"/>
  <c r="V24" i="3"/>
  <c r="T24" i="3"/>
  <c r="S24" i="3"/>
  <c r="AA24" i="3" s="1"/>
  <c r="R24" i="3"/>
  <c r="Q24" i="3"/>
  <c r="P24" i="3"/>
  <c r="Y24" i="3" s="1"/>
  <c r="O24" i="3"/>
  <c r="N24" i="3"/>
  <c r="M24" i="3"/>
  <c r="L24" i="3"/>
  <c r="K24" i="3"/>
  <c r="J24" i="3"/>
  <c r="I24" i="3"/>
  <c r="H24" i="3"/>
  <c r="G24" i="3"/>
  <c r="AA23" i="3"/>
  <c r="Z23" i="3"/>
  <c r="Y23" i="3"/>
  <c r="X23" i="3"/>
  <c r="W23" i="3"/>
  <c r="U23" i="3"/>
  <c r="AA22" i="3"/>
  <c r="Z22" i="3"/>
  <c r="Y22" i="3"/>
  <c r="X22" i="3"/>
  <c r="W22" i="3"/>
  <c r="U22" i="3"/>
  <c r="Y21" i="3"/>
  <c r="X21" i="3"/>
  <c r="W21" i="3"/>
  <c r="Z21" i="3" s="1"/>
  <c r="U21" i="3"/>
  <c r="AA20" i="3"/>
  <c r="Y20" i="3"/>
  <c r="X20" i="3"/>
  <c r="W20" i="3"/>
  <c r="Z20" i="3" s="1"/>
  <c r="U20" i="3"/>
  <c r="AA19" i="3"/>
  <c r="Z19" i="3"/>
  <c r="Y19" i="3"/>
  <c r="X19" i="3"/>
  <c r="W19" i="3"/>
  <c r="U19" i="3"/>
  <c r="AA18" i="3"/>
  <c r="Z18" i="3"/>
  <c r="Z17" i="3" s="1"/>
  <c r="Y18" i="3"/>
  <c r="X18" i="3"/>
  <c r="W18" i="3"/>
  <c r="U18" i="3"/>
  <c r="Y17" i="3"/>
  <c r="X17" i="3"/>
  <c r="W17" i="3"/>
  <c r="V17" i="3"/>
  <c r="T17" i="3"/>
  <c r="S17" i="3"/>
  <c r="AA17" i="3" s="1"/>
  <c r="R17" i="3"/>
  <c r="Q17" i="3"/>
  <c r="Q16" i="3" s="1"/>
  <c r="Q15" i="3" s="1"/>
  <c r="P17" i="3"/>
  <c r="P16" i="3" s="1"/>
  <c r="P15" i="3" s="1"/>
  <c r="O17" i="3"/>
  <c r="N17" i="3"/>
  <c r="M17" i="3"/>
  <c r="L17" i="3"/>
  <c r="K17" i="3"/>
  <c r="J17" i="3"/>
  <c r="I17" i="3"/>
  <c r="I16" i="3" s="1"/>
  <c r="H17" i="3"/>
  <c r="H16" i="3" s="1"/>
  <c r="H15" i="3" s="1"/>
  <c r="G17" i="3"/>
  <c r="M16" i="3"/>
  <c r="I15" i="3"/>
  <c r="AS179" i="4" l="1"/>
  <c r="AM16" i="4"/>
  <c r="AG99" i="4"/>
  <c r="AQ115" i="4"/>
  <c r="AS99" i="4"/>
  <c r="AT179" i="4"/>
  <c r="AT144" i="4"/>
  <c r="AT139" i="4" s="1"/>
  <c r="AQ139" i="4"/>
  <c r="AV144" i="4"/>
  <c r="AV139" i="4" s="1"/>
  <c r="AP139" i="4"/>
  <c r="AJ144" i="4"/>
  <c r="AI139" i="4"/>
  <c r="AQ86" i="4"/>
  <c r="AT86" i="4" s="1"/>
  <c r="AT70" i="4"/>
  <c r="AS14" i="4"/>
  <c r="AS13" i="4" s="1"/>
  <c r="AS12" i="4" s="1"/>
  <c r="AS11" i="4" s="1"/>
  <c r="AK14" i="4"/>
  <c r="AK13" i="4" s="1"/>
  <c r="AO99" i="4"/>
  <c r="AH14" i="4"/>
  <c r="AH13" i="4" s="1"/>
  <c r="AW87" i="4"/>
  <c r="AW86" i="4" s="1"/>
  <c r="AV87" i="4"/>
  <c r="AV86" i="4" s="1"/>
  <c r="AN99" i="4"/>
  <c r="AL14" i="4"/>
  <c r="AL13" i="4" s="1"/>
  <c r="AL12" i="4" s="1"/>
  <c r="AH99" i="4"/>
  <c r="AM15" i="4"/>
  <c r="AF14" i="4"/>
  <c r="AF13" i="4" s="1"/>
  <c r="AF12" i="4" s="1"/>
  <c r="AF11" i="4" s="1"/>
  <c r="AI12" i="4"/>
  <c r="AR16" i="4"/>
  <c r="AR15" i="4" s="1"/>
  <c r="AR14" i="4" s="1"/>
  <c r="AR13" i="4" s="1"/>
  <c r="AK99" i="4"/>
  <c r="AR99" i="4"/>
  <c r="AO1031" i="4"/>
  <c r="AO179" i="4" s="1"/>
  <c r="AD99" i="4"/>
  <c r="AD12" i="4" s="1"/>
  <c r="AD11" i="4" s="1"/>
  <c r="AU814" i="4"/>
  <c r="AV1031" i="4"/>
  <c r="AV179" i="4" s="1"/>
  <c r="AO14" i="4"/>
  <c r="AO13" i="4" s="1"/>
  <c r="AE99" i="4"/>
  <c r="AV16" i="4"/>
  <c r="AV15" i="4" s="1"/>
  <c r="AU92" i="4"/>
  <c r="AU87" i="4" s="1"/>
  <c r="AU86" i="4" s="1"/>
  <c r="AN14" i="4"/>
  <c r="AN13" i="4" s="1"/>
  <c r="O92" i="3"/>
  <c r="U27" i="3"/>
  <c r="AU1031" i="4"/>
  <c r="AW42" i="4"/>
  <c r="AG14" i="4"/>
  <c r="AG13" i="4" s="1"/>
  <c r="AG12" i="4" s="1"/>
  <c r="AG11" i="4" s="1"/>
  <c r="AI179" i="4"/>
  <c r="AW1031" i="4"/>
  <c r="AW179" i="4" s="1"/>
  <c r="AL179" i="4"/>
  <c r="AU832" i="4"/>
  <c r="AU850" i="4" s="1"/>
  <c r="AX832" i="4"/>
  <c r="AE14" i="4"/>
  <c r="AE13" i="4" s="1"/>
  <c r="AP165" i="4"/>
  <c r="AX165" i="4" s="1"/>
  <c r="AX166" i="4"/>
  <c r="AT115" i="4"/>
  <c r="AW115" i="4" s="1"/>
  <c r="AW114" i="4" s="1"/>
  <c r="AW100" i="4" s="1"/>
  <c r="AQ114" i="4"/>
  <c r="AM70" i="4"/>
  <c r="AV71" i="4"/>
  <c r="AV70" i="4" s="1"/>
  <c r="AW156" i="4"/>
  <c r="AW155" i="4" s="1"/>
  <c r="AP155" i="4"/>
  <c r="AU161" i="4"/>
  <c r="AU160" i="4" s="1"/>
  <c r="AJ160" i="4"/>
  <c r="AX101" i="4"/>
  <c r="AX149" i="4"/>
  <c r="AW149" i="4"/>
  <c r="AP15" i="4"/>
  <c r="AJ873" i="4"/>
  <c r="AX873" i="4" s="1"/>
  <c r="AU859" i="4"/>
  <c r="AU873" i="4" s="1"/>
  <c r="AX859" i="4"/>
  <c r="AX162" i="4"/>
  <c r="AW162" i="4"/>
  <c r="AP161" i="4"/>
  <c r="AX92" i="4"/>
  <c r="AJ87" i="4"/>
  <c r="AQ160" i="4"/>
  <c r="AQ154" i="4" s="1"/>
  <c r="AT161" i="4"/>
  <c r="AX1031" i="4"/>
  <c r="AP179" i="4"/>
  <c r="AU30" i="4"/>
  <c r="AU16" i="4" s="1"/>
  <c r="AU15" i="4" s="1"/>
  <c r="AX30" i="4"/>
  <c r="AU42" i="4"/>
  <c r="AP100" i="4"/>
  <c r="AQ16" i="4"/>
  <c r="AT30" i="4"/>
  <c r="AW30" i="4" s="1"/>
  <c r="AW16" i="4" s="1"/>
  <c r="AW15" i="4" s="1"/>
  <c r="AJ584" i="4"/>
  <c r="AX584" i="4" s="1"/>
  <c r="AX485" i="4"/>
  <c r="AP121" i="4"/>
  <c r="AX122" i="4"/>
  <c r="AJ114" i="4"/>
  <c r="AJ100" i="4" s="1"/>
  <c r="AU71" i="4"/>
  <c r="AU70" i="4" s="1"/>
  <c r="AJ70" i="4"/>
  <c r="AX70" i="4" s="1"/>
  <c r="AV42" i="4"/>
  <c r="AJ16" i="4"/>
  <c r="AJ15" i="4" s="1"/>
  <c r="AX462" i="4"/>
  <c r="AM115" i="4"/>
  <c r="AV116" i="4"/>
  <c r="AU122" i="4"/>
  <c r="AJ121" i="4"/>
  <c r="AQ121" i="4"/>
  <c r="AT122" i="4"/>
  <c r="AW122" i="4" s="1"/>
  <c r="AJ908" i="4"/>
  <c r="AX908" i="4" s="1"/>
  <c r="AU882" i="4"/>
  <c r="AU908" i="4" s="1"/>
  <c r="AX71" i="4"/>
  <c r="AM155" i="4"/>
  <c r="AM154" i="4" s="1"/>
  <c r="AM153" i="4" s="1"/>
  <c r="AV156" i="4"/>
  <c r="AV155" i="4" s="1"/>
  <c r="AX42" i="4"/>
  <c r="AU592" i="4"/>
  <c r="AU638" i="4" s="1"/>
  <c r="AX592" i="4"/>
  <c r="AJ638" i="4"/>
  <c r="AX638" i="4" s="1"/>
  <c r="AU170" i="4"/>
  <c r="AU157" i="4"/>
  <c r="AJ156" i="4"/>
  <c r="AV162" i="4"/>
  <c r="AV122" i="4"/>
  <c r="O848" i="3"/>
  <c r="R99" i="3"/>
  <c r="O563" i="3"/>
  <c r="O453" i="3"/>
  <c r="U453" i="3"/>
  <c r="U179" i="3" s="1"/>
  <c r="U17" i="3"/>
  <c r="O102" i="3"/>
  <c r="O101" i="3" s="1"/>
  <c r="O100" i="3" s="1"/>
  <c r="O99" i="3" s="1"/>
  <c r="O825" i="3"/>
  <c r="K179" i="3"/>
  <c r="Z144" i="3"/>
  <c r="S139" i="3"/>
  <c r="H14" i="3"/>
  <c r="H13" i="3" s="1"/>
  <c r="H12" i="3" s="1"/>
  <c r="H11" i="3" s="1"/>
  <c r="Q14" i="3"/>
  <c r="Q13" i="3" s="1"/>
  <c r="Q12" i="3" s="1"/>
  <c r="Q11" i="3" s="1"/>
  <c r="Y16" i="3"/>
  <c r="Y15" i="3" s="1"/>
  <c r="Y27" i="3"/>
  <c r="M87" i="3"/>
  <c r="V99" i="3"/>
  <c r="V1006" i="3"/>
  <c r="W1006" i="3" s="1"/>
  <c r="W1000" i="3"/>
  <c r="S16" i="3"/>
  <c r="AA30" i="3"/>
  <c r="S42" i="3"/>
  <c r="Z58" i="3"/>
  <c r="G87" i="3"/>
  <c r="G86" i="3" s="1"/>
  <c r="O87" i="3"/>
  <c r="O86" i="3" s="1"/>
  <c r="AA94" i="3"/>
  <c r="M92" i="3"/>
  <c r="X94" i="3"/>
  <c r="X40" i="3"/>
  <c r="X39" i="3" s="1"/>
  <c r="M39" i="3"/>
  <c r="AA39" i="3" s="1"/>
  <c r="M101" i="3"/>
  <c r="X102" i="3"/>
  <c r="X101" i="3" s="1"/>
  <c r="AA496" i="3"/>
  <c r="X496" i="3"/>
  <c r="X519" i="3"/>
  <c r="AA519" i="3"/>
  <c r="AA527" i="3"/>
  <c r="X527" i="3"/>
  <c r="X162" i="3"/>
  <c r="M161" i="3"/>
  <c r="AA162" i="3"/>
  <c r="P161" i="3"/>
  <c r="Y162" i="3"/>
  <c r="I42" i="3"/>
  <c r="Q42" i="3"/>
  <c r="Y55" i="3"/>
  <c r="AA55" i="3"/>
  <c r="W72" i="3"/>
  <c r="V71" i="3"/>
  <c r="V70" i="3" s="1"/>
  <c r="Y78" i="3"/>
  <c r="Y88" i="3"/>
  <c r="Y87" i="3" s="1"/>
  <c r="Y86" i="3" s="1"/>
  <c r="AA92" i="3"/>
  <c r="H99" i="3"/>
  <c r="Q100" i="3"/>
  <c r="Q99" i="3" s="1"/>
  <c r="K99" i="3"/>
  <c r="K12" i="3" s="1"/>
  <c r="K11" i="3" s="1"/>
  <c r="J10" i="3" s="1"/>
  <c r="AA122" i="3"/>
  <c r="S121" i="3"/>
  <c r="Y121" i="3" s="1"/>
  <c r="Y120" i="3" s="1"/>
  <c r="Y122" i="3"/>
  <c r="Z127" i="3"/>
  <c r="AA127" i="3"/>
  <c r="Z176" i="3"/>
  <c r="Y176" i="3"/>
  <c r="AA176" i="3"/>
  <c r="S170" i="3"/>
  <c r="R154" i="3"/>
  <c r="R153" i="3" s="1"/>
  <c r="W40" i="3"/>
  <c r="Z40" i="3" s="1"/>
  <c r="Z39" i="3" s="1"/>
  <c r="X72" i="3"/>
  <c r="M71" i="3"/>
  <c r="T114" i="3"/>
  <c r="W114" i="3" s="1"/>
  <c r="W115" i="3"/>
  <c r="Z145" i="3"/>
  <c r="AA145" i="3"/>
  <c r="Y145" i="3"/>
  <c r="X30" i="3"/>
  <c r="AA40" i="3"/>
  <c r="N42" i="3"/>
  <c r="N14" i="3" s="1"/>
  <c r="N13" i="3" s="1"/>
  <c r="N12" i="3" s="1"/>
  <c r="N11" i="3" s="1"/>
  <c r="V42" i="3"/>
  <c r="V14" i="3" s="1"/>
  <c r="V13" i="3" s="1"/>
  <c r="V12" i="3" s="1"/>
  <c r="V11" i="3" s="1"/>
  <c r="J42" i="3"/>
  <c r="J14" i="3" s="1"/>
  <c r="J13" i="3" s="1"/>
  <c r="J12" i="3" s="1"/>
  <c r="J11" i="3" s="1"/>
  <c r="R42" i="3"/>
  <c r="R14" i="3" s="1"/>
  <c r="R13" i="3" s="1"/>
  <c r="X49" i="3"/>
  <c r="X42" i="3" s="1"/>
  <c r="G71" i="3"/>
  <c r="G70" i="3" s="1"/>
  <c r="O71" i="3"/>
  <c r="O70" i="3" s="1"/>
  <c r="Z88" i="3"/>
  <c r="Z87" i="3" s="1"/>
  <c r="Z86" i="3" s="1"/>
  <c r="AA96" i="3"/>
  <c r="X96" i="3"/>
  <c r="L99" i="3"/>
  <c r="I14" i="3"/>
  <c r="I13" i="3" s="1"/>
  <c r="I12" i="3" s="1"/>
  <c r="I11" i="3" s="1"/>
  <c r="T30" i="3"/>
  <c r="W34" i="3"/>
  <c r="Z34" i="3" s="1"/>
  <c r="M42" i="3"/>
  <c r="W88" i="3"/>
  <c r="V87" i="3"/>
  <c r="V86" i="3" s="1"/>
  <c r="G16" i="3"/>
  <c r="G15" i="3" s="1"/>
  <c r="O16" i="3"/>
  <c r="O15" i="3" s="1"/>
  <c r="O14" i="3" s="1"/>
  <c r="O13" i="3" s="1"/>
  <c r="X16" i="3"/>
  <c r="X15" i="3" s="1"/>
  <c r="Y31" i="3"/>
  <c r="W39" i="3"/>
  <c r="G42" i="3"/>
  <c r="O42" i="3"/>
  <c r="AA58" i="3"/>
  <c r="AA64" i="3"/>
  <c r="AA88" i="3"/>
  <c r="R92" i="3"/>
  <c r="R87" i="3" s="1"/>
  <c r="R86" i="3" s="1"/>
  <c r="AA102" i="3"/>
  <c r="W122" i="3"/>
  <c r="Z122" i="3" s="1"/>
  <c r="T121" i="3"/>
  <c r="W136" i="3"/>
  <c r="T135" i="3"/>
  <c r="W135" i="3" s="1"/>
  <c r="P157" i="3"/>
  <c r="Y158" i="3"/>
  <c r="X523" i="3"/>
  <c r="AA523" i="3"/>
  <c r="AA717" i="3"/>
  <c r="X717" i="3"/>
  <c r="Y43" i="3"/>
  <c r="Y67" i="3"/>
  <c r="Y75" i="3"/>
  <c r="N100" i="3"/>
  <c r="N99" i="3" s="1"/>
  <c r="G154" i="3"/>
  <c r="G153" i="3" s="1"/>
  <c r="AA158" i="3"/>
  <c r="L563" i="3"/>
  <c r="Y563" i="3"/>
  <c r="X606" i="3"/>
  <c r="AA606" i="3"/>
  <c r="X629" i="3"/>
  <c r="M793" i="3"/>
  <c r="AA793" i="3" s="1"/>
  <c r="AA819" i="3"/>
  <c r="X819" i="3"/>
  <c r="R1001" i="3"/>
  <c r="AA1001" i="3"/>
  <c r="Z1001" i="3"/>
  <c r="Y1001" i="3"/>
  <c r="L1006" i="3"/>
  <c r="P149" i="3"/>
  <c r="Y149" i="3" s="1"/>
  <c r="Y150" i="3"/>
  <c r="AA664" i="3"/>
  <c r="X664" i="3"/>
  <c r="Z43" i="3"/>
  <c r="Z67" i="3"/>
  <c r="Z75" i="3"/>
  <c r="P101" i="3"/>
  <c r="S161" i="3"/>
  <c r="T162" i="3"/>
  <c r="W163" i="3"/>
  <c r="Y617" i="3"/>
  <c r="AA577" i="3"/>
  <c r="X577" i="3"/>
  <c r="AA865" i="3"/>
  <c r="X865" i="3"/>
  <c r="AA972" i="3"/>
  <c r="Z972" i="3"/>
  <c r="AA998" i="3"/>
  <c r="X998" i="3"/>
  <c r="T70" i="3"/>
  <c r="Z72" i="3"/>
  <c r="T86" i="3"/>
  <c r="W86" i="3" s="1"/>
  <c r="L92" i="3"/>
  <c r="L87" i="3" s="1"/>
  <c r="L86" i="3" s="1"/>
  <c r="Y117" i="3"/>
  <c r="S116" i="3"/>
  <c r="Y116" i="3" s="1"/>
  <c r="AA149" i="3"/>
  <c r="AA486" i="3"/>
  <c r="X486" i="3"/>
  <c r="AA494" i="3"/>
  <c r="X494" i="3"/>
  <c r="X615" i="3"/>
  <c r="AA615" i="3"/>
  <c r="Z825" i="3"/>
  <c r="P115" i="3"/>
  <c r="X34" i="3"/>
  <c r="X55" i="3"/>
  <c r="P71" i="3"/>
  <c r="W101" i="3"/>
  <c r="Z102" i="3"/>
  <c r="Z101" i="3" s="1"/>
  <c r="S101" i="3"/>
  <c r="Y127" i="3"/>
  <c r="X127" i="3"/>
  <c r="W130" i="3"/>
  <c r="Z130" i="3" s="1"/>
  <c r="Y144" i="3"/>
  <c r="Y139" i="3" s="1"/>
  <c r="K154" i="3"/>
  <c r="K153" i="3" s="1"/>
  <c r="Y453" i="3"/>
  <c r="AA538" i="3"/>
  <c r="X538" i="3"/>
  <c r="AA666" i="3"/>
  <c r="X666" i="3"/>
  <c r="X117" i="3"/>
  <c r="M116" i="3"/>
  <c r="U139" i="3"/>
  <c r="M157" i="3"/>
  <c r="AA157" i="3" s="1"/>
  <c r="Z793" i="3"/>
  <c r="Z883" i="3"/>
  <c r="M122" i="3"/>
  <c r="M135" i="3"/>
  <c r="AA135" i="3" s="1"/>
  <c r="S156" i="3"/>
  <c r="Y218" i="3"/>
  <c r="M563" i="3"/>
  <c r="AA563" i="3" s="1"/>
  <c r="AA479" i="3"/>
  <c r="X479" i="3"/>
  <c r="AA503" i="3"/>
  <c r="X503" i="3"/>
  <c r="Z617" i="3"/>
  <c r="AA631" i="3"/>
  <c r="Z848" i="3"/>
  <c r="Y883" i="3"/>
  <c r="Y1006" i="3"/>
  <c r="Y972" i="3"/>
  <c r="AA983" i="3"/>
  <c r="X983" i="3"/>
  <c r="Z123" i="3"/>
  <c r="Z136" i="3"/>
  <c r="Z135" i="3" s="1"/>
  <c r="O218" i="3"/>
  <c r="W218" i="3"/>
  <c r="T179" i="3"/>
  <c r="AA536" i="3"/>
  <c r="X536" i="3"/>
  <c r="W617" i="3"/>
  <c r="X690" i="3"/>
  <c r="M1006" i="3"/>
  <c r="AA1006" i="3" s="1"/>
  <c r="AA123" i="3"/>
  <c r="AA136" i="3"/>
  <c r="AA171" i="3"/>
  <c r="O617" i="3"/>
  <c r="Z898" i="3"/>
  <c r="V179" i="3"/>
  <c r="M453" i="3"/>
  <c r="AA376" i="3"/>
  <c r="AA530" i="3"/>
  <c r="X530" i="3"/>
  <c r="Y825" i="3"/>
  <c r="AA863" i="3"/>
  <c r="X863" i="3"/>
  <c r="X171" i="3"/>
  <c r="M170" i="3"/>
  <c r="X170" i="3" s="1"/>
  <c r="Z453" i="3"/>
  <c r="H179" i="3"/>
  <c r="AA484" i="3"/>
  <c r="X484" i="3"/>
  <c r="AA488" i="3"/>
  <c r="X488" i="3"/>
  <c r="AA525" i="3"/>
  <c r="X525" i="3"/>
  <c r="O793" i="3"/>
  <c r="X685" i="3"/>
  <c r="X793" i="3" s="1"/>
  <c r="L883" i="3"/>
  <c r="Y898" i="3"/>
  <c r="Z914" i="3"/>
  <c r="M144" i="3"/>
  <c r="X144" i="3" s="1"/>
  <c r="T149" i="3"/>
  <c r="T157" i="3"/>
  <c r="AA163" i="3"/>
  <c r="Z218" i="3"/>
  <c r="N179" i="3"/>
  <c r="X376" i="3"/>
  <c r="X453" i="3" s="1"/>
  <c r="AA453" i="3"/>
  <c r="Z563" i="3"/>
  <c r="X515" i="3"/>
  <c r="AA515" i="3"/>
  <c r="AA517" i="3"/>
  <c r="X593" i="3"/>
  <c r="AA603" i="3"/>
  <c r="X603" i="3"/>
  <c r="L825" i="3"/>
  <c r="M811" i="3"/>
  <c r="S179" i="3"/>
  <c r="AA859" i="3"/>
  <c r="X914" i="3"/>
  <c r="R1000" i="3"/>
  <c r="AA1000" i="3"/>
  <c r="Z1000" i="3"/>
  <c r="Z1006" i="3" s="1"/>
  <c r="Y1000" i="3"/>
  <c r="AA702" i="3"/>
  <c r="L793" i="3"/>
  <c r="X972" i="3"/>
  <c r="Y1003" i="3"/>
  <c r="M834" i="3"/>
  <c r="P1006" i="3"/>
  <c r="P179" i="3" s="1"/>
  <c r="Z163" i="3"/>
  <c r="L453" i="3"/>
  <c r="L179" i="3" s="1"/>
  <c r="L11" i="3" s="1"/>
  <c r="X472" i="3"/>
  <c r="X563" i="3" s="1"/>
  <c r="M571" i="3"/>
  <c r="Z171" i="3"/>
  <c r="M857" i="3"/>
  <c r="X969" i="3"/>
  <c r="X1006" i="3" s="1"/>
  <c r="U1000" i="1"/>
  <c r="T1000" i="1"/>
  <c r="S1000" i="1"/>
  <c r="V1000" i="1" s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Z998" i="1"/>
  <c r="Y998" i="1"/>
  <c r="X998" i="1"/>
  <c r="W998" i="1"/>
  <c r="V998" i="1"/>
  <c r="Z997" i="1"/>
  <c r="X997" i="1"/>
  <c r="W997" i="1"/>
  <c r="V997" i="1"/>
  <c r="Y997" i="1" s="1"/>
  <c r="Z996" i="1"/>
  <c r="Y996" i="1"/>
  <c r="X996" i="1"/>
  <c r="W996" i="1"/>
  <c r="V996" i="1"/>
  <c r="Z995" i="1"/>
  <c r="Y995" i="1"/>
  <c r="X995" i="1"/>
  <c r="W995" i="1"/>
  <c r="V995" i="1"/>
  <c r="Z994" i="1"/>
  <c r="Y994" i="1"/>
  <c r="X994" i="1"/>
  <c r="W994" i="1"/>
  <c r="V994" i="1"/>
  <c r="V993" i="1"/>
  <c r="Z992" i="1"/>
  <c r="Y992" i="1"/>
  <c r="X992" i="1"/>
  <c r="W992" i="1"/>
  <c r="V992" i="1"/>
  <c r="Z991" i="1"/>
  <c r="Y991" i="1"/>
  <c r="X991" i="1"/>
  <c r="W991" i="1"/>
  <c r="V991" i="1"/>
  <c r="V990" i="1"/>
  <c r="Z989" i="1"/>
  <c r="X989" i="1"/>
  <c r="W989" i="1"/>
  <c r="V989" i="1"/>
  <c r="Y989" i="1" s="1"/>
  <c r="Z987" i="1"/>
  <c r="Y987" i="1"/>
  <c r="X987" i="1"/>
  <c r="W987" i="1"/>
  <c r="V987" i="1"/>
  <c r="Z985" i="1"/>
  <c r="Y985" i="1"/>
  <c r="X985" i="1"/>
  <c r="W985" i="1"/>
  <c r="V985" i="1"/>
  <c r="Z983" i="1"/>
  <c r="Y983" i="1"/>
  <c r="X983" i="1"/>
  <c r="W983" i="1"/>
  <c r="V983" i="1"/>
  <c r="V982" i="1"/>
  <c r="Z981" i="1"/>
  <c r="Y981" i="1"/>
  <c r="X981" i="1"/>
  <c r="W981" i="1"/>
  <c r="V981" i="1"/>
  <c r="Z980" i="1"/>
  <c r="Y980" i="1"/>
  <c r="X980" i="1"/>
  <c r="W980" i="1"/>
  <c r="V980" i="1"/>
  <c r="Z979" i="1"/>
  <c r="Y979" i="1"/>
  <c r="X979" i="1"/>
  <c r="W979" i="1"/>
  <c r="V979" i="1"/>
  <c r="Z977" i="1"/>
  <c r="Y977" i="1"/>
  <c r="X977" i="1"/>
  <c r="W977" i="1"/>
  <c r="V977" i="1"/>
  <c r="Z975" i="1"/>
  <c r="X975" i="1"/>
  <c r="W975" i="1"/>
  <c r="V975" i="1"/>
  <c r="Y975" i="1" s="1"/>
  <c r="Z973" i="1"/>
  <c r="Y973" i="1"/>
  <c r="X973" i="1"/>
  <c r="W973" i="1"/>
  <c r="V973" i="1"/>
  <c r="Z972" i="1"/>
  <c r="Y972" i="1"/>
  <c r="X972" i="1"/>
  <c r="W972" i="1"/>
  <c r="V972" i="1"/>
  <c r="Z971" i="1"/>
  <c r="X971" i="1"/>
  <c r="W971" i="1"/>
  <c r="V971" i="1"/>
  <c r="Y971" i="1" s="1"/>
  <c r="Z970" i="1"/>
  <c r="Y970" i="1"/>
  <c r="X970" i="1"/>
  <c r="W970" i="1"/>
  <c r="V970" i="1"/>
  <c r="Z968" i="1"/>
  <c r="Y968" i="1"/>
  <c r="X968" i="1"/>
  <c r="W968" i="1"/>
  <c r="V968" i="1"/>
  <c r="Z967" i="1"/>
  <c r="Y967" i="1"/>
  <c r="X967" i="1"/>
  <c r="W967" i="1"/>
  <c r="V967" i="1"/>
  <c r="Z965" i="1"/>
  <c r="Y965" i="1"/>
  <c r="X965" i="1"/>
  <c r="W965" i="1"/>
  <c r="V965" i="1"/>
  <c r="Z964" i="1"/>
  <c r="X964" i="1"/>
  <c r="W964" i="1"/>
  <c r="V964" i="1"/>
  <c r="Y964" i="1" s="1"/>
  <c r="Z963" i="1"/>
  <c r="Y963" i="1"/>
  <c r="X963" i="1"/>
  <c r="W963" i="1"/>
  <c r="V963" i="1"/>
  <c r="Z959" i="1"/>
  <c r="Y959" i="1"/>
  <c r="X959" i="1"/>
  <c r="W959" i="1"/>
  <c r="V959" i="1"/>
  <c r="Z958" i="1"/>
  <c r="X958" i="1"/>
  <c r="W958" i="1"/>
  <c r="V958" i="1"/>
  <c r="Y958" i="1" s="1"/>
  <c r="Z956" i="1"/>
  <c r="Y956" i="1"/>
  <c r="X956" i="1"/>
  <c r="W956" i="1"/>
  <c r="W1000" i="1" s="1"/>
  <c r="V956" i="1"/>
  <c r="Y947" i="1"/>
  <c r="X947" i="1"/>
  <c r="W947" i="1"/>
  <c r="U947" i="1"/>
  <c r="T947" i="1"/>
  <c r="S947" i="1"/>
  <c r="V947" i="1" s="1"/>
  <c r="R947" i="1"/>
  <c r="Z947" i="1" s="1"/>
  <c r="Q947" i="1"/>
  <c r="P947" i="1"/>
  <c r="O947" i="1"/>
  <c r="N947" i="1"/>
  <c r="M947" i="1"/>
  <c r="L947" i="1"/>
  <c r="K947" i="1"/>
  <c r="J947" i="1"/>
  <c r="I947" i="1"/>
  <c r="H947" i="1"/>
  <c r="G947" i="1"/>
  <c r="F947" i="1"/>
  <c r="V946" i="1"/>
  <c r="Z945" i="1"/>
  <c r="V945" i="1"/>
  <c r="Y936" i="1"/>
  <c r="X936" i="1"/>
  <c r="W936" i="1"/>
  <c r="U936" i="1"/>
  <c r="T936" i="1"/>
  <c r="S936" i="1"/>
  <c r="V936" i="1" s="1"/>
  <c r="R936" i="1"/>
  <c r="Z936" i="1" s="1"/>
  <c r="Q936" i="1"/>
  <c r="P936" i="1"/>
  <c r="P179" i="1" s="1"/>
  <c r="O936" i="1"/>
  <c r="N936" i="1"/>
  <c r="M936" i="1"/>
  <c r="L936" i="1"/>
  <c r="K936" i="1"/>
  <c r="J936" i="1"/>
  <c r="I936" i="1"/>
  <c r="H936" i="1"/>
  <c r="H179" i="1" s="1"/>
  <c r="G936" i="1"/>
  <c r="F936" i="1"/>
  <c r="V935" i="1"/>
  <c r="Z934" i="1"/>
  <c r="V934" i="1"/>
  <c r="V933" i="1"/>
  <c r="Z932" i="1"/>
  <c r="V932" i="1"/>
  <c r="V931" i="1"/>
  <c r="Y923" i="1"/>
  <c r="X923" i="1"/>
  <c r="W923" i="1"/>
  <c r="U923" i="1"/>
  <c r="T923" i="1"/>
  <c r="T179" i="1" s="1"/>
  <c r="S923" i="1"/>
  <c r="V923" i="1" s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Z921" i="1"/>
  <c r="V921" i="1"/>
  <c r="Z920" i="1"/>
  <c r="Z923" i="1" s="1"/>
  <c r="V920" i="1"/>
  <c r="Y910" i="1"/>
  <c r="X910" i="1"/>
  <c r="W910" i="1"/>
  <c r="U910" i="1"/>
  <c r="V910" i="1" s="1"/>
  <c r="T910" i="1"/>
  <c r="S910" i="1"/>
  <c r="R910" i="1"/>
  <c r="Z910" i="1" s="1"/>
  <c r="Q910" i="1"/>
  <c r="P910" i="1"/>
  <c r="O910" i="1"/>
  <c r="N910" i="1"/>
  <c r="M910" i="1"/>
  <c r="L910" i="1"/>
  <c r="K910" i="1"/>
  <c r="J910" i="1"/>
  <c r="I910" i="1"/>
  <c r="H910" i="1"/>
  <c r="G910" i="1"/>
  <c r="F910" i="1"/>
  <c r="V908" i="1"/>
  <c r="V907" i="1"/>
  <c r="Z906" i="1"/>
  <c r="V906" i="1"/>
  <c r="Z905" i="1"/>
  <c r="V905" i="1"/>
  <c r="Z904" i="1"/>
  <c r="V904" i="1"/>
  <c r="Y894" i="1"/>
  <c r="X894" i="1"/>
  <c r="W894" i="1"/>
  <c r="V894" i="1"/>
  <c r="U894" i="1"/>
  <c r="T894" i="1"/>
  <c r="S894" i="1"/>
  <c r="R894" i="1"/>
  <c r="Z894" i="1" s="1"/>
  <c r="Q894" i="1"/>
  <c r="P894" i="1"/>
  <c r="O894" i="1"/>
  <c r="N894" i="1"/>
  <c r="M894" i="1"/>
  <c r="L894" i="1"/>
  <c r="K894" i="1"/>
  <c r="J894" i="1"/>
  <c r="I894" i="1"/>
  <c r="H894" i="1"/>
  <c r="G894" i="1"/>
  <c r="F894" i="1"/>
  <c r="V893" i="1"/>
  <c r="Z892" i="1"/>
  <c r="V892" i="1"/>
  <c r="Z891" i="1"/>
  <c r="V891" i="1"/>
  <c r="Z890" i="1"/>
  <c r="V890" i="1"/>
  <c r="Z889" i="1"/>
  <c r="V889" i="1"/>
  <c r="V888" i="1"/>
  <c r="Y879" i="1"/>
  <c r="X879" i="1"/>
  <c r="W879" i="1"/>
  <c r="U879" i="1"/>
  <c r="V879" i="1" s="1"/>
  <c r="T879" i="1"/>
  <c r="S879" i="1"/>
  <c r="R879" i="1"/>
  <c r="Z879" i="1" s="1"/>
  <c r="Q879" i="1"/>
  <c r="P879" i="1"/>
  <c r="O879" i="1"/>
  <c r="N879" i="1"/>
  <c r="M879" i="1"/>
  <c r="L879" i="1"/>
  <c r="K879" i="1"/>
  <c r="J879" i="1"/>
  <c r="I879" i="1"/>
  <c r="H879" i="1"/>
  <c r="G879" i="1"/>
  <c r="F879" i="1"/>
  <c r="Z877" i="1"/>
  <c r="V877" i="1"/>
  <c r="Z876" i="1"/>
  <c r="V876" i="1"/>
  <c r="Z867" i="1"/>
  <c r="V867" i="1"/>
  <c r="Z865" i="1"/>
  <c r="V865" i="1"/>
  <c r="Z863" i="1"/>
  <c r="V863" i="1"/>
  <c r="Z861" i="1"/>
  <c r="V861" i="1"/>
  <c r="Z859" i="1"/>
  <c r="V859" i="1"/>
  <c r="V857" i="1"/>
  <c r="V856" i="1"/>
  <c r="Z855" i="1"/>
  <c r="V855" i="1"/>
  <c r="V854" i="1"/>
  <c r="Z853" i="1"/>
  <c r="V853" i="1"/>
  <c r="V852" i="1"/>
  <c r="V851" i="1"/>
  <c r="Y844" i="1"/>
  <c r="X844" i="1"/>
  <c r="W844" i="1"/>
  <c r="U844" i="1"/>
  <c r="V844" i="1" s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V843" i="1"/>
  <c r="Z842" i="1"/>
  <c r="V842" i="1"/>
  <c r="V841" i="1"/>
  <c r="Z840" i="1"/>
  <c r="V840" i="1"/>
  <c r="V839" i="1"/>
  <c r="V838" i="1"/>
  <c r="V837" i="1"/>
  <c r="Z836" i="1"/>
  <c r="V836" i="1"/>
  <c r="V835" i="1"/>
  <c r="Z834" i="1"/>
  <c r="V834" i="1"/>
  <c r="V831" i="1"/>
  <c r="Z830" i="1"/>
  <c r="V830" i="1"/>
  <c r="Y821" i="1"/>
  <c r="X821" i="1"/>
  <c r="W821" i="1"/>
  <c r="U821" i="1"/>
  <c r="T821" i="1"/>
  <c r="S821" i="1"/>
  <c r="V821" i="1" s="1"/>
  <c r="R821" i="1"/>
  <c r="Z821" i="1" s="1"/>
  <c r="Q821" i="1"/>
  <c r="P821" i="1"/>
  <c r="O821" i="1"/>
  <c r="N821" i="1"/>
  <c r="M821" i="1"/>
  <c r="L821" i="1"/>
  <c r="K821" i="1"/>
  <c r="J821" i="1"/>
  <c r="I821" i="1"/>
  <c r="H821" i="1"/>
  <c r="G821" i="1"/>
  <c r="F821" i="1"/>
  <c r="V820" i="1"/>
  <c r="Z819" i="1"/>
  <c r="V819" i="1"/>
  <c r="V818" i="1"/>
  <c r="Z817" i="1"/>
  <c r="V817" i="1"/>
  <c r="Z816" i="1"/>
  <c r="V816" i="1"/>
  <c r="Z815" i="1"/>
  <c r="V815" i="1"/>
  <c r="Z813" i="1"/>
  <c r="V813" i="1"/>
  <c r="V811" i="1"/>
  <c r="Z809" i="1"/>
  <c r="V809" i="1"/>
  <c r="Z807" i="1"/>
  <c r="V807" i="1"/>
  <c r="Z805" i="1"/>
  <c r="V805" i="1"/>
  <c r="Z800" i="1"/>
  <c r="V800" i="1"/>
  <c r="V799" i="1"/>
  <c r="Z798" i="1"/>
  <c r="V798" i="1"/>
  <c r="Y789" i="1"/>
  <c r="X789" i="1"/>
  <c r="W789" i="1"/>
  <c r="U789" i="1"/>
  <c r="V789" i="1" s="1"/>
  <c r="T789" i="1"/>
  <c r="S789" i="1"/>
  <c r="R789" i="1"/>
  <c r="Z789" i="1" s="1"/>
  <c r="Q789" i="1"/>
  <c r="P789" i="1"/>
  <c r="O789" i="1"/>
  <c r="N789" i="1"/>
  <c r="M789" i="1"/>
  <c r="L789" i="1"/>
  <c r="K789" i="1"/>
  <c r="J789" i="1"/>
  <c r="I789" i="1"/>
  <c r="H789" i="1"/>
  <c r="G789" i="1"/>
  <c r="F789" i="1"/>
  <c r="Z787" i="1"/>
  <c r="V787" i="1"/>
  <c r="Z783" i="1"/>
  <c r="V783" i="1"/>
  <c r="Z778" i="1"/>
  <c r="V778" i="1"/>
  <c r="Z774" i="1"/>
  <c r="V774" i="1"/>
  <c r="Z768" i="1"/>
  <c r="V768" i="1"/>
  <c r="V756" i="1"/>
  <c r="Z755" i="1"/>
  <c r="V755" i="1"/>
  <c r="Z746" i="1"/>
  <c r="V746" i="1"/>
  <c r="Z745" i="1"/>
  <c r="V745" i="1"/>
  <c r="Z741" i="1"/>
  <c r="V741" i="1"/>
  <c r="Z735" i="1"/>
  <c r="V735" i="1"/>
  <c r="Z727" i="1"/>
  <c r="V727" i="1"/>
  <c r="Z726" i="1"/>
  <c r="V726" i="1"/>
  <c r="Z722" i="1"/>
  <c r="V722" i="1"/>
  <c r="Z721" i="1"/>
  <c r="V721" i="1"/>
  <c r="Z720" i="1"/>
  <c r="V720" i="1"/>
  <c r="Z718" i="1"/>
  <c r="V718" i="1"/>
  <c r="Z714" i="1"/>
  <c r="V714" i="1"/>
  <c r="Z713" i="1"/>
  <c r="V713" i="1"/>
  <c r="Z706" i="1"/>
  <c r="V706" i="1"/>
  <c r="Z698" i="1"/>
  <c r="V698" i="1"/>
  <c r="V692" i="1"/>
  <c r="Z691" i="1"/>
  <c r="V691" i="1"/>
  <c r="Z686" i="1"/>
  <c r="V686" i="1"/>
  <c r="Z681" i="1"/>
  <c r="V681" i="1"/>
  <c r="V672" i="1"/>
  <c r="Z670" i="1"/>
  <c r="V670" i="1"/>
  <c r="Z666" i="1"/>
  <c r="V666" i="1"/>
  <c r="V664" i="1"/>
  <c r="V663" i="1"/>
  <c r="Z662" i="1"/>
  <c r="V662" i="1"/>
  <c r="V661" i="1"/>
  <c r="Z660" i="1"/>
  <c r="V660" i="1"/>
  <c r="Z658" i="1"/>
  <c r="V658" i="1"/>
  <c r="Z656" i="1"/>
  <c r="V656" i="1"/>
  <c r="Z654" i="1"/>
  <c r="V654" i="1"/>
  <c r="V653" i="1"/>
  <c r="Z652" i="1"/>
  <c r="V652" i="1"/>
  <c r="Z650" i="1"/>
  <c r="V650" i="1"/>
  <c r="Z648" i="1"/>
  <c r="V648" i="1"/>
  <c r="Z646" i="1"/>
  <c r="V646" i="1"/>
  <c r="Z642" i="1"/>
  <c r="V642" i="1"/>
  <c r="Z640" i="1"/>
  <c r="V640" i="1"/>
  <c r="Z638" i="1"/>
  <c r="V638" i="1"/>
  <c r="Z633" i="1"/>
  <c r="V633" i="1"/>
  <c r="V632" i="1"/>
  <c r="Z627" i="1"/>
  <c r="V627" i="1"/>
  <c r="Z625" i="1"/>
  <c r="V625" i="1"/>
  <c r="V624" i="1"/>
  <c r="V623" i="1"/>
  <c r="Y615" i="1"/>
  <c r="X615" i="1"/>
  <c r="W615" i="1"/>
  <c r="V615" i="1"/>
  <c r="U615" i="1"/>
  <c r="T615" i="1"/>
  <c r="S615" i="1"/>
  <c r="R615" i="1"/>
  <c r="Z615" i="1" s="1"/>
  <c r="Q615" i="1"/>
  <c r="P615" i="1"/>
  <c r="O615" i="1"/>
  <c r="N615" i="1"/>
  <c r="M615" i="1"/>
  <c r="L615" i="1"/>
  <c r="K615" i="1"/>
  <c r="J615" i="1"/>
  <c r="I615" i="1"/>
  <c r="H615" i="1"/>
  <c r="G615" i="1"/>
  <c r="F615" i="1"/>
  <c r="V614" i="1"/>
  <c r="Z613" i="1"/>
  <c r="V613" i="1"/>
  <c r="Z611" i="1"/>
  <c r="V611" i="1"/>
  <c r="Z609" i="1"/>
  <c r="V609" i="1"/>
  <c r="V608" i="1"/>
  <c r="Z607" i="1"/>
  <c r="V607" i="1"/>
  <c r="V606" i="1"/>
  <c r="Z605" i="1"/>
  <c r="V605" i="1"/>
  <c r="Z604" i="1"/>
  <c r="V604" i="1"/>
  <c r="Z602" i="1"/>
  <c r="V602" i="1"/>
  <c r="Z601" i="1"/>
  <c r="V601" i="1"/>
  <c r="Z599" i="1"/>
  <c r="V599" i="1"/>
  <c r="Z598" i="1"/>
  <c r="V598" i="1"/>
  <c r="Z597" i="1"/>
  <c r="V597" i="1"/>
  <c r="Z596" i="1"/>
  <c r="V596" i="1"/>
  <c r="V595" i="1"/>
  <c r="Z594" i="1"/>
  <c r="V594" i="1"/>
  <c r="V593" i="1"/>
  <c r="Z592" i="1"/>
  <c r="V592" i="1"/>
  <c r="Z591" i="1"/>
  <c r="V591" i="1"/>
  <c r="Z589" i="1"/>
  <c r="V589" i="1"/>
  <c r="V588" i="1"/>
  <c r="Z587" i="1"/>
  <c r="V587" i="1"/>
  <c r="V586" i="1"/>
  <c r="Z585" i="1"/>
  <c r="V585" i="1"/>
  <c r="Z583" i="1"/>
  <c r="V583" i="1"/>
  <c r="Z581" i="1"/>
  <c r="V581" i="1"/>
  <c r="Z577" i="1"/>
  <c r="V577" i="1"/>
  <c r="Z576" i="1"/>
  <c r="V576" i="1"/>
  <c r="Z575" i="1"/>
  <c r="V575" i="1"/>
  <c r="Z571" i="1"/>
  <c r="V571" i="1"/>
  <c r="V570" i="1"/>
  <c r="Z569" i="1"/>
  <c r="V569" i="1"/>
  <c r="Y561" i="1"/>
  <c r="U561" i="1"/>
  <c r="V561" i="1" s="1"/>
  <c r="T561" i="1"/>
  <c r="S561" i="1"/>
  <c r="R561" i="1"/>
  <c r="Q561" i="1"/>
  <c r="P561" i="1"/>
  <c r="O561" i="1"/>
  <c r="N561" i="1"/>
  <c r="M561" i="1"/>
  <c r="J561" i="1"/>
  <c r="I561" i="1"/>
  <c r="H561" i="1"/>
  <c r="G561" i="1"/>
  <c r="F561" i="1"/>
  <c r="V560" i="1"/>
  <c r="Z559" i="1"/>
  <c r="V559" i="1"/>
  <c r="Z558" i="1"/>
  <c r="V558" i="1"/>
  <c r="Z549" i="1"/>
  <c r="V549" i="1"/>
  <c r="Z548" i="1"/>
  <c r="V548" i="1"/>
  <c r="Z547" i="1"/>
  <c r="V547" i="1"/>
  <c r="Z546" i="1"/>
  <c r="V546" i="1"/>
  <c r="Z545" i="1"/>
  <c r="V545" i="1"/>
  <c r="Z537" i="1"/>
  <c r="V537" i="1"/>
  <c r="Z536" i="1"/>
  <c r="V536" i="1"/>
  <c r="V535" i="1"/>
  <c r="Z534" i="1"/>
  <c r="V534" i="1"/>
  <c r="V533" i="1"/>
  <c r="Z532" i="1"/>
  <c r="V532" i="1"/>
  <c r="V531" i="1"/>
  <c r="V530" i="1"/>
  <c r="Z529" i="1"/>
  <c r="V529" i="1"/>
  <c r="Z528" i="1"/>
  <c r="V528" i="1"/>
  <c r="V527" i="1"/>
  <c r="Z526" i="1"/>
  <c r="V526" i="1"/>
  <c r="Z525" i="1"/>
  <c r="V525" i="1"/>
  <c r="V524" i="1"/>
  <c r="Z523" i="1"/>
  <c r="V523" i="1"/>
  <c r="V522" i="1"/>
  <c r="Z521" i="1"/>
  <c r="V521" i="1"/>
  <c r="V520" i="1"/>
  <c r="Z519" i="1"/>
  <c r="V519" i="1"/>
  <c r="V518" i="1"/>
  <c r="Z517" i="1"/>
  <c r="V517" i="1"/>
  <c r="V516" i="1"/>
  <c r="Z515" i="1"/>
  <c r="V515" i="1"/>
  <c r="V514" i="1"/>
  <c r="V513" i="1"/>
  <c r="Z512" i="1"/>
  <c r="V512" i="1"/>
  <c r="V511" i="1"/>
  <c r="V510" i="1"/>
  <c r="Z509" i="1"/>
  <c r="V509" i="1"/>
  <c r="Z508" i="1"/>
  <c r="V508" i="1"/>
  <c r="V507" i="1"/>
  <c r="V506" i="1"/>
  <c r="Z505" i="1"/>
  <c r="V505" i="1"/>
  <c r="V504" i="1"/>
  <c r="Z503" i="1"/>
  <c r="V503" i="1"/>
  <c r="V502" i="1"/>
  <c r="Z501" i="1"/>
  <c r="V501" i="1"/>
  <c r="V500" i="1"/>
  <c r="Z499" i="1"/>
  <c r="V499" i="1"/>
  <c r="Z498" i="1"/>
  <c r="V498" i="1"/>
  <c r="V497" i="1"/>
  <c r="Z496" i="1"/>
  <c r="V496" i="1"/>
  <c r="V495" i="1"/>
  <c r="Z494" i="1"/>
  <c r="V494" i="1"/>
  <c r="V493" i="1"/>
  <c r="V492" i="1"/>
  <c r="V491" i="1"/>
  <c r="Z490" i="1"/>
  <c r="V490" i="1"/>
  <c r="V489" i="1"/>
  <c r="Z488" i="1"/>
  <c r="V488" i="1"/>
  <c r="V487" i="1"/>
  <c r="Z486" i="1"/>
  <c r="V486" i="1"/>
  <c r="V485" i="1"/>
  <c r="X484" i="1"/>
  <c r="X561" i="1" s="1"/>
  <c r="V484" i="1"/>
  <c r="K484" i="1"/>
  <c r="V483" i="1"/>
  <c r="Z482" i="1"/>
  <c r="V482" i="1"/>
  <c r="Z481" i="1"/>
  <c r="V481" i="1"/>
  <c r="V480" i="1"/>
  <c r="Z479" i="1"/>
  <c r="V479" i="1"/>
  <c r="Z478" i="1"/>
  <c r="V478" i="1"/>
  <c r="V477" i="1"/>
  <c r="Z476" i="1"/>
  <c r="V476" i="1"/>
  <c r="Z475" i="1"/>
  <c r="V475" i="1"/>
  <c r="Z474" i="1"/>
  <c r="V474" i="1"/>
  <c r="V473" i="1"/>
  <c r="Z472" i="1"/>
  <c r="V472" i="1"/>
  <c r="V471" i="1"/>
  <c r="Z470" i="1"/>
  <c r="V470" i="1"/>
  <c r="Z466" i="1"/>
  <c r="V466" i="1"/>
  <c r="Z464" i="1"/>
  <c r="V464" i="1"/>
  <c r="V463" i="1"/>
  <c r="Z462" i="1"/>
  <c r="V462" i="1"/>
  <c r="Y453" i="1"/>
  <c r="X453" i="1"/>
  <c r="W453" i="1"/>
  <c r="U453" i="1"/>
  <c r="V453" i="1" s="1"/>
  <c r="T453" i="1"/>
  <c r="S453" i="1"/>
  <c r="R453" i="1"/>
  <c r="Z453" i="1" s="1"/>
  <c r="Q453" i="1"/>
  <c r="P453" i="1"/>
  <c r="O453" i="1"/>
  <c r="N453" i="1"/>
  <c r="M453" i="1"/>
  <c r="L453" i="1"/>
  <c r="K453" i="1"/>
  <c r="J453" i="1"/>
  <c r="I453" i="1"/>
  <c r="H453" i="1"/>
  <c r="G453" i="1"/>
  <c r="F453" i="1"/>
  <c r="Z452" i="1"/>
  <c r="V452" i="1"/>
  <c r="Z451" i="1"/>
  <c r="V451" i="1"/>
  <c r="Z450" i="1"/>
  <c r="V450" i="1"/>
  <c r="Z442" i="1"/>
  <c r="V442" i="1"/>
  <c r="Z441" i="1"/>
  <c r="V441" i="1"/>
  <c r="V440" i="1"/>
  <c r="Z439" i="1"/>
  <c r="V439" i="1"/>
  <c r="Z438" i="1"/>
  <c r="V438" i="1"/>
  <c r="V437" i="1"/>
  <c r="Z436" i="1"/>
  <c r="V436" i="1"/>
  <c r="V435" i="1"/>
  <c r="V434" i="1"/>
  <c r="Z433" i="1"/>
  <c r="V433" i="1"/>
  <c r="V432" i="1"/>
  <c r="Z431" i="1"/>
  <c r="V431" i="1"/>
  <c r="Z430" i="1"/>
  <c r="V430" i="1"/>
  <c r="V429" i="1"/>
  <c r="Z428" i="1"/>
  <c r="V428" i="1"/>
  <c r="V427" i="1"/>
  <c r="Z426" i="1"/>
  <c r="V426" i="1"/>
  <c r="Z425" i="1"/>
  <c r="V425" i="1"/>
  <c r="V424" i="1"/>
  <c r="Z423" i="1"/>
  <c r="V423" i="1"/>
  <c r="V422" i="1"/>
  <c r="Z421" i="1"/>
  <c r="V421" i="1"/>
  <c r="V420" i="1"/>
  <c r="Z419" i="1"/>
  <c r="V419" i="1"/>
  <c r="Z415" i="1"/>
  <c r="V415" i="1"/>
  <c r="V414" i="1"/>
  <c r="Z413" i="1"/>
  <c r="V413" i="1"/>
  <c r="Z412" i="1"/>
  <c r="V412" i="1"/>
  <c r="V411" i="1"/>
  <c r="Z410" i="1"/>
  <c r="V410" i="1"/>
  <c r="V407" i="1"/>
  <c r="Z406" i="1"/>
  <c r="V406" i="1"/>
  <c r="Z402" i="1"/>
  <c r="V402" i="1"/>
  <c r="Z401" i="1"/>
  <c r="V401" i="1"/>
  <c r="Z400" i="1"/>
  <c r="V400" i="1"/>
  <c r="Z399" i="1"/>
  <c r="V399" i="1"/>
  <c r="Z398" i="1"/>
  <c r="V398" i="1"/>
  <c r="Z396" i="1"/>
  <c r="V396" i="1"/>
  <c r="Z395" i="1"/>
  <c r="V395" i="1"/>
  <c r="Z394" i="1"/>
  <c r="V394" i="1"/>
  <c r="V393" i="1"/>
  <c r="Z392" i="1"/>
  <c r="V392" i="1"/>
  <c r="V391" i="1"/>
  <c r="V390" i="1"/>
  <c r="V389" i="1"/>
  <c r="V388" i="1"/>
  <c r="Z387" i="1"/>
  <c r="V387" i="1"/>
  <c r="V386" i="1"/>
  <c r="Z385" i="1"/>
  <c r="V385" i="1"/>
  <c r="V384" i="1"/>
  <c r="Z383" i="1"/>
  <c r="V383" i="1"/>
  <c r="V382" i="1"/>
  <c r="Z381" i="1"/>
  <c r="V381" i="1"/>
  <c r="Z380" i="1"/>
  <c r="V380" i="1"/>
  <c r="Z375" i="1"/>
  <c r="V375" i="1"/>
  <c r="Z371" i="1"/>
  <c r="V371" i="1"/>
  <c r="Z362" i="1"/>
  <c r="V362" i="1"/>
  <c r="V361" i="1"/>
  <c r="Z360" i="1"/>
  <c r="V360" i="1"/>
  <c r="Z355" i="1"/>
  <c r="V355" i="1"/>
  <c r="Z353" i="1"/>
  <c r="V353" i="1"/>
  <c r="Z351" i="1"/>
  <c r="V351" i="1"/>
  <c r="Z349" i="1"/>
  <c r="V349" i="1"/>
  <c r="V348" i="1"/>
  <c r="Z346" i="1"/>
  <c r="V346" i="1"/>
  <c r="V345" i="1"/>
  <c r="Z344" i="1"/>
  <c r="V344" i="1"/>
  <c r="V343" i="1"/>
  <c r="Z342" i="1"/>
  <c r="V342" i="1"/>
  <c r="V341" i="1"/>
  <c r="Z340" i="1"/>
  <c r="V340" i="1"/>
  <c r="Z336" i="1"/>
  <c r="V336" i="1"/>
  <c r="V335" i="1"/>
  <c r="Z334" i="1"/>
  <c r="V334" i="1"/>
  <c r="V331" i="1"/>
  <c r="Z330" i="1"/>
  <c r="V330" i="1"/>
  <c r="V329" i="1"/>
  <c r="Z328" i="1"/>
  <c r="V328" i="1"/>
  <c r="V327" i="1"/>
  <c r="Z326" i="1"/>
  <c r="V326" i="1"/>
  <c r="V325" i="1"/>
  <c r="Z324" i="1"/>
  <c r="V324" i="1"/>
  <c r="Z316" i="1"/>
  <c r="V316" i="1"/>
  <c r="V315" i="1"/>
  <c r="Z314" i="1"/>
  <c r="V314" i="1"/>
  <c r="Z310" i="1"/>
  <c r="V310" i="1"/>
  <c r="V309" i="1"/>
  <c r="Z308" i="1"/>
  <c r="V308" i="1"/>
  <c r="V307" i="1"/>
  <c r="Z306" i="1"/>
  <c r="V306" i="1"/>
  <c r="Z304" i="1"/>
  <c r="V304" i="1"/>
  <c r="Z301" i="1"/>
  <c r="V301" i="1"/>
  <c r="Z299" i="1"/>
  <c r="V299" i="1"/>
  <c r="Z297" i="1"/>
  <c r="V297" i="1"/>
  <c r="Z295" i="1"/>
  <c r="V295" i="1"/>
  <c r="Z292" i="1"/>
  <c r="V292" i="1"/>
  <c r="Z290" i="1"/>
  <c r="V290" i="1"/>
  <c r="Z287" i="1"/>
  <c r="V287" i="1"/>
  <c r="Z285" i="1"/>
  <c r="V285" i="1"/>
  <c r="Z283" i="1"/>
  <c r="V283" i="1"/>
  <c r="Z281" i="1"/>
  <c r="V281" i="1"/>
  <c r="Z279" i="1"/>
  <c r="V279" i="1"/>
  <c r="Z277" i="1"/>
  <c r="V277" i="1"/>
  <c r="Z268" i="1"/>
  <c r="V268" i="1"/>
  <c r="V267" i="1"/>
  <c r="Z266" i="1"/>
  <c r="V266" i="1"/>
  <c r="V265" i="1"/>
  <c r="Z264" i="1"/>
  <c r="V264" i="1"/>
  <c r="V263" i="1"/>
  <c r="Z262" i="1"/>
  <c r="V262" i="1"/>
  <c r="V261" i="1"/>
  <c r="V260" i="1"/>
  <c r="V259" i="1"/>
  <c r="Z258" i="1"/>
  <c r="V258" i="1"/>
  <c r="V257" i="1"/>
  <c r="Z256" i="1"/>
  <c r="V256" i="1"/>
  <c r="V255" i="1"/>
  <c r="Z254" i="1"/>
  <c r="V254" i="1"/>
  <c r="V253" i="1"/>
  <c r="Z252" i="1"/>
  <c r="V252" i="1"/>
  <c r="V251" i="1"/>
  <c r="Z250" i="1"/>
  <c r="V250" i="1"/>
  <c r="V249" i="1"/>
  <c r="Z248" i="1"/>
  <c r="V248" i="1"/>
  <c r="Z246" i="1"/>
  <c r="V246" i="1"/>
  <c r="Z244" i="1"/>
  <c r="V244" i="1"/>
  <c r="Z242" i="1"/>
  <c r="V242" i="1"/>
  <c r="Z239" i="1"/>
  <c r="V239" i="1"/>
  <c r="Z237" i="1"/>
  <c r="V237" i="1"/>
  <c r="Z234" i="1"/>
  <c r="V234" i="1"/>
  <c r="Z232" i="1"/>
  <c r="V232" i="1"/>
  <c r="Z230" i="1"/>
  <c r="V230" i="1"/>
  <c r="Z229" i="1"/>
  <c r="V229" i="1"/>
  <c r="Y218" i="1"/>
  <c r="X218" i="1"/>
  <c r="W218" i="1"/>
  <c r="U218" i="1"/>
  <c r="T218" i="1"/>
  <c r="S218" i="1"/>
  <c r="R218" i="1"/>
  <c r="Z218" i="1" s="1"/>
  <c r="Q218" i="1"/>
  <c r="P218" i="1"/>
  <c r="O218" i="1"/>
  <c r="N218" i="1"/>
  <c r="N179" i="1" s="1"/>
  <c r="M218" i="1"/>
  <c r="L218" i="1"/>
  <c r="K218" i="1"/>
  <c r="J218" i="1"/>
  <c r="I218" i="1"/>
  <c r="H218" i="1"/>
  <c r="G218" i="1"/>
  <c r="F218" i="1"/>
  <c r="F179" i="1" s="1"/>
  <c r="Z216" i="1"/>
  <c r="V216" i="1"/>
  <c r="Z213" i="1"/>
  <c r="V213" i="1"/>
  <c r="Z211" i="1"/>
  <c r="V211" i="1"/>
  <c r="V210" i="1"/>
  <c r="Z209" i="1"/>
  <c r="V209" i="1"/>
  <c r="V208" i="1"/>
  <c r="Z207" i="1"/>
  <c r="V207" i="1"/>
  <c r="Z205" i="1"/>
  <c r="V205" i="1"/>
  <c r="Z203" i="1"/>
  <c r="V203" i="1"/>
  <c r="Z201" i="1"/>
  <c r="V201" i="1"/>
  <c r="V200" i="1"/>
  <c r="Z198" i="1"/>
  <c r="V198" i="1"/>
  <c r="Z193" i="1"/>
  <c r="V193" i="1"/>
  <c r="Z191" i="1"/>
  <c r="V191" i="1"/>
  <c r="Z188" i="1"/>
  <c r="V188" i="1"/>
  <c r="S179" i="1"/>
  <c r="V178" i="1"/>
  <c r="Z177" i="1"/>
  <c r="V177" i="1"/>
  <c r="Y176" i="1"/>
  <c r="X176" i="1"/>
  <c r="W176" i="1"/>
  <c r="U176" i="1"/>
  <c r="T176" i="1"/>
  <c r="T170" i="1" s="1"/>
  <c r="S176" i="1"/>
  <c r="R176" i="1"/>
  <c r="Z176" i="1" s="1"/>
  <c r="Q176" i="1"/>
  <c r="P176" i="1"/>
  <c r="O176" i="1"/>
  <c r="N176" i="1"/>
  <c r="M176" i="1"/>
  <c r="L176" i="1"/>
  <c r="L170" i="1" s="1"/>
  <c r="K176" i="1"/>
  <c r="K170" i="1" s="1"/>
  <c r="J176" i="1"/>
  <c r="I176" i="1"/>
  <c r="H176" i="1"/>
  <c r="G176" i="1"/>
  <c r="F176" i="1"/>
  <c r="Z175" i="1"/>
  <c r="V175" i="1"/>
  <c r="Z174" i="1"/>
  <c r="V174" i="1"/>
  <c r="Z173" i="1"/>
  <c r="V173" i="1"/>
  <c r="Z172" i="1"/>
  <c r="V172" i="1"/>
  <c r="Y171" i="1"/>
  <c r="Y170" i="1" s="1"/>
  <c r="X171" i="1"/>
  <c r="W171" i="1"/>
  <c r="W170" i="1" s="1"/>
  <c r="U171" i="1"/>
  <c r="T171" i="1"/>
  <c r="S171" i="1"/>
  <c r="V171" i="1" s="1"/>
  <c r="R171" i="1"/>
  <c r="Z171" i="1" s="1"/>
  <c r="Q171" i="1"/>
  <c r="Q170" i="1" s="1"/>
  <c r="P171" i="1"/>
  <c r="O171" i="1"/>
  <c r="O170" i="1" s="1"/>
  <c r="N171" i="1"/>
  <c r="M171" i="1"/>
  <c r="M170" i="1" s="1"/>
  <c r="L171" i="1"/>
  <c r="K171" i="1"/>
  <c r="J171" i="1"/>
  <c r="I171" i="1"/>
  <c r="I170" i="1" s="1"/>
  <c r="H171" i="1"/>
  <c r="G171" i="1"/>
  <c r="G170" i="1" s="1"/>
  <c r="F171" i="1"/>
  <c r="U170" i="1"/>
  <c r="R170" i="1"/>
  <c r="Z170" i="1" s="1"/>
  <c r="N170" i="1"/>
  <c r="J170" i="1"/>
  <c r="F170" i="1"/>
  <c r="Z169" i="1"/>
  <c r="V169" i="1"/>
  <c r="Z168" i="1"/>
  <c r="V168" i="1"/>
  <c r="Z167" i="1"/>
  <c r="V167" i="1"/>
  <c r="F167" i="1"/>
  <c r="Z166" i="1"/>
  <c r="V166" i="1"/>
  <c r="F166" i="1"/>
  <c r="F165" i="1" s="1"/>
  <c r="Z165" i="1"/>
  <c r="V165" i="1"/>
  <c r="Z164" i="1"/>
  <c r="V164" i="1"/>
  <c r="Y163" i="1"/>
  <c r="Y162" i="1" s="1"/>
  <c r="Y161" i="1" s="1"/>
  <c r="X163" i="1"/>
  <c r="W163" i="1"/>
  <c r="V163" i="1"/>
  <c r="U163" i="1"/>
  <c r="T163" i="1"/>
  <c r="S163" i="1"/>
  <c r="R163" i="1"/>
  <c r="R162" i="1" s="1"/>
  <c r="Q163" i="1"/>
  <c r="Q162" i="1" s="1"/>
  <c r="Q161" i="1" s="1"/>
  <c r="Q160" i="1" s="1"/>
  <c r="P163" i="1"/>
  <c r="O163" i="1"/>
  <c r="N163" i="1"/>
  <c r="M163" i="1"/>
  <c r="L163" i="1"/>
  <c r="K163" i="1"/>
  <c r="J163" i="1"/>
  <c r="J162" i="1" s="1"/>
  <c r="J161" i="1" s="1"/>
  <c r="J160" i="1" s="1"/>
  <c r="I163" i="1"/>
  <c r="I162" i="1" s="1"/>
  <c r="I161" i="1" s="1"/>
  <c r="I160" i="1" s="1"/>
  <c r="H163" i="1"/>
  <c r="G163" i="1"/>
  <c r="F163" i="1"/>
  <c r="F162" i="1" s="1"/>
  <c r="F161" i="1" s="1"/>
  <c r="F160" i="1" s="1"/>
  <c r="X162" i="1"/>
  <c r="W162" i="1"/>
  <c r="W161" i="1" s="1"/>
  <c r="W160" i="1" s="1"/>
  <c r="W154" i="1" s="1"/>
  <c r="W153" i="1" s="1"/>
  <c r="U162" i="1"/>
  <c r="T162" i="1"/>
  <c r="S162" i="1"/>
  <c r="V162" i="1" s="1"/>
  <c r="P162" i="1"/>
  <c r="O162" i="1"/>
  <c r="O161" i="1" s="1"/>
  <c r="O160" i="1" s="1"/>
  <c r="O154" i="1" s="1"/>
  <c r="O153" i="1" s="1"/>
  <c r="N162" i="1"/>
  <c r="N161" i="1" s="1"/>
  <c r="N160" i="1" s="1"/>
  <c r="M162" i="1"/>
  <c r="L162" i="1"/>
  <c r="K162" i="1"/>
  <c r="H162" i="1"/>
  <c r="G162" i="1"/>
  <c r="G161" i="1" s="1"/>
  <c r="X161" i="1"/>
  <c r="U161" i="1"/>
  <c r="U160" i="1" s="1"/>
  <c r="T161" i="1"/>
  <c r="T160" i="1" s="1"/>
  <c r="P161" i="1"/>
  <c r="M161" i="1"/>
  <c r="M160" i="1" s="1"/>
  <c r="L161" i="1"/>
  <c r="K161" i="1"/>
  <c r="K160" i="1" s="1"/>
  <c r="H161" i="1"/>
  <c r="H160" i="1" s="1"/>
  <c r="Y160" i="1"/>
  <c r="X160" i="1"/>
  <c r="P160" i="1"/>
  <c r="L160" i="1"/>
  <c r="G160" i="1"/>
  <c r="Z159" i="1"/>
  <c r="V159" i="1"/>
  <c r="Y158" i="1"/>
  <c r="Y157" i="1" s="1"/>
  <c r="X158" i="1"/>
  <c r="W158" i="1"/>
  <c r="W157" i="1" s="1"/>
  <c r="W156" i="1" s="1"/>
  <c r="W155" i="1" s="1"/>
  <c r="U158" i="1"/>
  <c r="T158" i="1"/>
  <c r="S158" i="1"/>
  <c r="V158" i="1" s="1"/>
  <c r="R158" i="1"/>
  <c r="Z158" i="1" s="1"/>
  <c r="Q158" i="1"/>
  <c r="Q157" i="1" s="1"/>
  <c r="P158" i="1"/>
  <c r="O158" i="1"/>
  <c r="O157" i="1" s="1"/>
  <c r="O156" i="1" s="1"/>
  <c r="O155" i="1" s="1"/>
  <c r="N158" i="1"/>
  <c r="N157" i="1" s="1"/>
  <c r="N156" i="1" s="1"/>
  <c r="M158" i="1"/>
  <c r="L158" i="1"/>
  <c r="K158" i="1"/>
  <c r="K157" i="1" s="1"/>
  <c r="K156" i="1" s="1"/>
  <c r="K155" i="1" s="1"/>
  <c r="J158" i="1"/>
  <c r="I158" i="1"/>
  <c r="I157" i="1" s="1"/>
  <c r="H158" i="1"/>
  <c r="G158" i="1"/>
  <c r="G157" i="1" s="1"/>
  <c r="G156" i="1" s="1"/>
  <c r="G155" i="1" s="1"/>
  <c r="G154" i="1" s="1"/>
  <c r="G153" i="1" s="1"/>
  <c r="F158" i="1"/>
  <c r="F157" i="1" s="1"/>
  <c r="F156" i="1" s="1"/>
  <c r="F155" i="1" s="1"/>
  <c r="F154" i="1" s="1"/>
  <c r="F153" i="1" s="1"/>
  <c r="X157" i="1"/>
  <c r="X156" i="1" s="1"/>
  <c r="X155" i="1" s="1"/>
  <c r="U157" i="1"/>
  <c r="T157" i="1"/>
  <c r="T156" i="1" s="1"/>
  <c r="T155" i="1" s="1"/>
  <c r="T154" i="1" s="1"/>
  <c r="T153" i="1" s="1"/>
  <c r="R157" i="1"/>
  <c r="P157" i="1"/>
  <c r="M157" i="1"/>
  <c r="L157" i="1"/>
  <c r="L156" i="1" s="1"/>
  <c r="L155" i="1" s="1"/>
  <c r="L154" i="1" s="1"/>
  <c r="J157" i="1"/>
  <c r="H157" i="1"/>
  <c r="H156" i="1" s="1"/>
  <c r="H155" i="1" s="1"/>
  <c r="Y156" i="1"/>
  <c r="Y155" i="1" s="1"/>
  <c r="Y154" i="1" s="1"/>
  <c r="Y153" i="1" s="1"/>
  <c r="U156" i="1"/>
  <c r="R156" i="1"/>
  <c r="Z156" i="1" s="1"/>
  <c r="Q156" i="1"/>
  <c r="Q155" i="1" s="1"/>
  <c r="P156" i="1"/>
  <c r="P155" i="1" s="1"/>
  <c r="M156" i="1"/>
  <c r="J156" i="1"/>
  <c r="I156" i="1"/>
  <c r="I155" i="1" s="1"/>
  <c r="U155" i="1"/>
  <c r="R155" i="1"/>
  <c r="Z155" i="1" s="1"/>
  <c r="N155" i="1"/>
  <c r="M155" i="1"/>
  <c r="M154" i="1" s="1"/>
  <c r="M153" i="1" s="1"/>
  <c r="J155" i="1"/>
  <c r="J154" i="1" s="1"/>
  <c r="J153" i="1" s="1"/>
  <c r="K154" i="1"/>
  <c r="K153" i="1" s="1"/>
  <c r="L153" i="1"/>
  <c r="Z152" i="1"/>
  <c r="V152" i="1"/>
  <c r="Z151" i="1"/>
  <c r="V151" i="1"/>
  <c r="Y150" i="1"/>
  <c r="Y149" i="1" s="1"/>
  <c r="X150" i="1"/>
  <c r="X149" i="1" s="1"/>
  <c r="W150" i="1"/>
  <c r="U150" i="1"/>
  <c r="T150" i="1"/>
  <c r="S150" i="1"/>
  <c r="V150" i="1" s="1"/>
  <c r="R150" i="1"/>
  <c r="Z150" i="1" s="1"/>
  <c r="Q150" i="1"/>
  <c r="Q149" i="1" s="1"/>
  <c r="P150" i="1"/>
  <c r="P149" i="1" s="1"/>
  <c r="O150" i="1"/>
  <c r="N150" i="1"/>
  <c r="M150" i="1"/>
  <c r="M149" i="1" s="1"/>
  <c r="L150" i="1"/>
  <c r="K150" i="1"/>
  <c r="J150" i="1"/>
  <c r="I150" i="1"/>
  <c r="I149" i="1" s="1"/>
  <c r="H150" i="1"/>
  <c r="H149" i="1" s="1"/>
  <c r="G150" i="1"/>
  <c r="F150" i="1"/>
  <c r="W149" i="1"/>
  <c r="V149" i="1"/>
  <c r="U149" i="1"/>
  <c r="T149" i="1"/>
  <c r="S149" i="1"/>
  <c r="R149" i="1"/>
  <c r="Z149" i="1" s="1"/>
  <c r="O149" i="1"/>
  <c r="N149" i="1"/>
  <c r="L149" i="1"/>
  <c r="K149" i="1"/>
  <c r="J149" i="1"/>
  <c r="G149" i="1"/>
  <c r="F149" i="1"/>
  <c r="Z148" i="1"/>
  <c r="V148" i="1"/>
  <c r="Z147" i="1"/>
  <c r="V147" i="1"/>
  <c r="Z146" i="1"/>
  <c r="V146" i="1"/>
  <c r="Y145" i="1"/>
  <c r="Y144" i="1" s="1"/>
  <c r="X145" i="1"/>
  <c r="X144" i="1" s="1"/>
  <c r="W145" i="1"/>
  <c r="U145" i="1"/>
  <c r="T145" i="1"/>
  <c r="S145" i="1"/>
  <c r="V145" i="1" s="1"/>
  <c r="R145" i="1"/>
  <c r="Z145" i="1" s="1"/>
  <c r="Q145" i="1"/>
  <c r="Q144" i="1" s="1"/>
  <c r="P145" i="1"/>
  <c r="P144" i="1" s="1"/>
  <c r="O145" i="1"/>
  <c r="N145" i="1"/>
  <c r="M145" i="1"/>
  <c r="M144" i="1" s="1"/>
  <c r="L145" i="1"/>
  <c r="K145" i="1"/>
  <c r="J145" i="1"/>
  <c r="I145" i="1"/>
  <c r="I144" i="1" s="1"/>
  <c r="H145" i="1"/>
  <c r="H144" i="1" s="1"/>
  <c r="G145" i="1"/>
  <c r="F145" i="1"/>
  <c r="W144" i="1"/>
  <c r="V144" i="1"/>
  <c r="U144" i="1"/>
  <c r="T144" i="1"/>
  <c r="S144" i="1"/>
  <c r="R144" i="1"/>
  <c r="Z144" i="1" s="1"/>
  <c r="O144" i="1"/>
  <c r="N144" i="1"/>
  <c r="L144" i="1"/>
  <c r="K144" i="1"/>
  <c r="J144" i="1"/>
  <c r="G144" i="1"/>
  <c r="F144" i="1"/>
  <c r="F139" i="1" s="1"/>
  <c r="Z143" i="1"/>
  <c r="V143" i="1"/>
  <c r="Z142" i="1"/>
  <c r="V142" i="1"/>
  <c r="Z141" i="1"/>
  <c r="V141" i="1"/>
  <c r="Y140" i="1"/>
  <c r="Y139" i="1" s="1"/>
  <c r="X140" i="1"/>
  <c r="X139" i="1" s="1"/>
  <c r="W140" i="1"/>
  <c r="U140" i="1"/>
  <c r="T140" i="1"/>
  <c r="S140" i="1"/>
  <c r="V140" i="1" s="1"/>
  <c r="R140" i="1"/>
  <c r="Z140" i="1" s="1"/>
  <c r="Q140" i="1"/>
  <c r="Q139" i="1" s="1"/>
  <c r="P140" i="1"/>
  <c r="P139" i="1" s="1"/>
  <c r="O140" i="1"/>
  <c r="N140" i="1"/>
  <c r="M140" i="1"/>
  <c r="M139" i="1" s="1"/>
  <c r="L140" i="1"/>
  <c r="K140" i="1"/>
  <c r="J140" i="1"/>
  <c r="I140" i="1"/>
  <c r="I139" i="1" s="1"/>
  <c r="H140" i="1"/>
  <c r="H139" i="1" s="1"/>
  <c r="G140" i="1"/>
  <c r="F140" i="1"/>
  <c r="W139" i="1"/>
  <c r="V139" i="1"/>
  <c r="U139" i="1"/>
  <c r="T139" i="1"/>
  <c r="S139" i="1"/>
  <c r="O139" i="1"/>
  <c r="N139" i="1"/>
  <c r="L139" i="1"/>
  <c r="K139" i="1"/>
  <c r="J139" i="1"/>
  <c r="G139" i="1"/>
  <c r="Z138" i="1"/>
  <c r="V138" i="1"/>
  <c r="Z137" i="1"/>
  <c r="V137" i="1"/>
  <c r="Y136" i="1"/>
  <c r="X136" i="1"/>
  <c r="W136" i="1"/>
  <c r="W135" i="1" s="1"/>
  <c r="V136" i="1"/>
  <c r="U136" i="1"/>
  <c r="T136" i="1"/>
  <c r="S136" i="1"/>
  <c r="R136" i="1"/>
  <c r="Z136" i="1" s="1"/>
  <c r="Q136" i="1"/>
  <c r="P136" i="1"/>
  <c r="O136" i="1"/>
  <c r="O135" i="1" s="1"/>
  <c r="N136" i="1"/>
  <c r="N135" i="1" s="1"/>
  <c r="M136" i="1"/>
  <c r="L136" i="1"/>
  <c r="K136" i="1"/>
  <c r="J136" i="1"/>
  <c r="I136" i="1"/>
  <c r="H136" i="1"/>
  <c r="G136" i="1"/>
  <c r="G135" i="1" s="1"/>
  <c r="F136" i="1"/>
  <c r="F135" i="1" s="1"/>
  <c r="Y135" i="1"/>
  <c r="X135" i="1"/>
  <c r="U135" i="1"/>
  <c r="T135" i="1"/>
  <c r="S135" i="1"/>
  <c r="V135" i="1" s="1"/>
  <c r="R135" i="1"/>
  <c r="Z135" i="1" s="1"/>
  <c r="Q135" i="1"/>
  <c r="P135" i="1"/>
  <c r="M135" i="1"/>
  <c r="L135" i="1"/>
  <c r="K135" i="1"/>
  <c r="J135" i="1"/>
  <c r="I135" i="1"/>
  <c r="H135" i="1"/>
  <c r="Z134" i="1"/>
  <c r="V134" i="1"/>
  <c r="Z133" i="1"/>
  <c r="V133" i="1"/>
  <c r="V132" i="1"/>
  <c r="Z131" i="1"/>
  <c r="V131" i="1"/>
  <c r="Y130" i="1"/>
  <c r="X130" i="1"/>
  <c r="W130" i="1"/>
  <c r="W121" i="1" s="1"/>
  <c r="V130" i="1"/>
  <c r="U130" i="1"/>
  <c r="T130" i="1"/>
  <c r="S130" i="1"/>
  <c r="R130" i="1"/>
  <c r="Z130" i="1" s="1"/>
  <c r="Q130" i="1"/>
  <c r="P130" i="1"/>
  <c r="O130" i="1"/>
  <c r="O121" i="1" s="1"/>
  <c r="O120" i="1" s="1"/>
  <c r="N130" i="1"/>
  <c r="M130" i="1"/>
  <c r="L130" i="1"/>
  <c r="K130" i="1"/>
  <c r="J130" i="1"/>
  <c r="I130" i="1"/>
  <c r="H130" i="1"/>
  <c r="G130" i="1"/>
  <c r="G121" i="1" s="1"/>
  <c r="G120" i="1" s="1"/>
  <c r="F130" i="1"/>
  <c r="Z129" i="1"/>
  <c r="V129" i="1"/>
  <c r="Z128" i="1"/>
  <c r="V128" i="1"/>
  <c r="Y127" i="1"/>
  <c r="X127" i="1"/>
  <c r="W127" i="1"/>
  <c r="U127" i="1"/>
  <c r="U121" i="1" s="1"/>
  <c r="U120" i="1" s="1"/>
  <c r="T127" i="1"/>
  <c r="S127" i="1"/>
  <c r="R127" i="1"/>
  <c r="Z127" i="1" s="1"/>
  <c r="Q127" i="1"/>
  <c r="P127" i="1"/>
  <c r="O127" i="1"/>
  <c r="N127" i="1"/>
  <c r="M127" i="1"/>
  <c r="M121" i="1" s="1"/>
  <c r="M120" i="1" s="1"/>
  <c r="L127" i="1"/>
  <c r="K127" i="1"/>
  <c r="J127" i="1"/>
  <c r="I127" i="1"/>
  <c r="H127" i="1"/>
  <c r="G127" i="1"/>
  <c r="F127" i="1"/>
  <c r="Z126" i="1"/>
  <c r="V126" i="1"/>
  <c r="Z125" i="1"/>
  <c r="V125" i="1"/>
  <c r="Z124" i="1"/>
  <c r="V124" i="1"/>
  <c r="Y123" i="1"/>
  <c r="X123" i="1"/>
  <c r="X122" i="1" s="1"/>
  <c r="X121" i="1" s="1"/>
  <c r="X120" i="1" s="1"/>
  <c r="W123" i="1"/>
  <c r="U123" i="1"/>
  <c r="T123" i="1"/>
  <c r="T122" i="1" s="1"/>
  <c r="T121" i="1" s="1"/>
  <c r="T120" i="1" s="1"/>
  <c r="S123" i="1"/>
  <c r="R123" i="1"/>
  <c r="Z123" i="1" s="1"/>
  <c r="Q123" i="1"/>
  <c r="P123" i="1"/>
  <c r="O123" i="1"/>
  <c r="N123" i="1"/>
  <c r="N122" i="1" s="1"/>
  <c r="N121" i="1" s="1"/>
  <c r="N120" i="1" s="1"/>
  <c r="M123" i="1"/>
  <c r="L123" i="1"/>
  <c r="L122" i="1" s="1"/>
  <c r="L121" i="1" s="1"/>
  <c r="L120" i="1" s="1"/>
  <c r="K123" i="1"/>
  <c r="K122" i="1" s="1"/>
  <c r="K121" i="1" s="1"/>
  <c r="J123" i="1"/>
  <c r="I123" i="1"/>
  <c r="H123" i="1"/>
  <c r="H122" i="1" s="1"/>
  <c r="H121" i="1" s="1"/>
  <c r="H120" i="1" s="1"/>
  <c r="G123" i="1"/>
  <c r="F123" i="1"/>
  <c r="F122" i="1" s="1"/>
  <c r="F121" i="1" s="1"/>
  <c r="F120" i="1" s="1"/>
  <c r="Y122" i="1"/>
  <c r="W122" i="1"/>
  <c r="U122" i="1"/>
  <c r="R122" i="1"/>
  <c r="Z122" i="1" s="1"/>
  <c r="Q122" i="1"/>
  <c r="Q121" i="1" s="1"/>
  <c r="Q120" i="1" s="1"/>
  <c r="Q99" i="1" s="1"/>
  <c r="P122" i="1"/>
  <c r="P121" i="1" s="1"/>
  <c r="P120" i="1" s="1"/>
  <c r="O122" i="1"/>
  <c r="M122" i="1"/>
  <c r="J122" i="1"/>
  <c r="I122" i="1"/>
  <c r="I121" i="1" s="1"/>
  <c r="I120" i="1" s="1"/>
  <c r="G122" i="1"/>
  <c r="Z121" i="1"/>
  <c r="R121" i="1"/>
  <c r="J121" i="1"/>
  <c r="Z120" i="1"/>
  <c r="W120" i="1"/>
  <c r="R120" i="1"/>
  <c r="K120" i="1"/>
  <c r="J120" i="1"/>
  <c r="Z119" i="1"/>
  <c r="V119" i="1"/>
  <c r="Z118" i="1"/>
  <c r="V118" i="1"/>
  <c r="Y117" i="1"/>
  <c r="X117" i="1"/>
  <c r="W117" i="1"/>
  <c r="U117" i="1"/>
  <c r="T117" i="1"/>
  <c r="T116" i="1" s="1"/>
  <c r="T115" i="1" s="1"/>
  <c r="T114" i="1" s="1"/>
  <c r="S117" i="1"/>
  <c r="R117" i="1"/>
  <c r="Z117" i="1" s="1"/>
  <c r="Q117" i="1"/>
  <c r="P117" i="1"/>
  <c r="O117" i="1"/>
  <c r="N117" i="1"/>
  <c r="N116" i="1" s="1"/>
  <c r="M117" i="1"/>
  <c r="L117" i="1"/>
  <c r="L116" i="1" s="1"/>
  <c r="L115" i="1" s="1"/>
  <c r="L114" i="1" s="1"/>
  <c r="L100" i="1" s="1"/>
  <c r="K117" i="1"/>
  <c r="K116" i="1" s="1"/>
  <c r="K115" i="1" s="1"/>
  <c r="K114" i="1" s="1"/>
  <c r="J117" i="1"/>
  <c r="I117" i="1"/>
  <c r="H117" i="1"/>
  <c r="G117" i="1"/>
  <c r="F117" i="1"/>
  <c r="F116" i="1" s="1"/>
  <c r="Y116" i="1"/>
  <c r="Y115" i="1" s="1"/>
  <c r="Y114" i="1" s="1"/>
  <c r="X116" i="1"/>
  <c r="X115" i="1" s="1"/>
  <c r="X114" i="1" s="1"/>
  <c r="W116" i="1"/>
  <c r="U116" i="1"/>
  <c r="U115" i="1" s="1"/>
  <c r="U114" i="1" s="1"/>
  <c r="R116" i="1"/>
  <c r="Q116" i="1"/>
  <c r="Q115" i="1" s="1"/>
  <c r="Q114" i="1" s="1"/>
  <c r="P116" i="1"/>
  <c r="P115" i="1" s="1"/>
  <c r="P114" i="1" s="1"/>
  <c r="O116" i="1"/>
  <c r="M116" i="1"/>
  <c r="M115" i="1" s="1"/>
  <c r="M114" i="1" s="1"/>
  <c r="J116" i="1"/>
  <c r="I116" i="1"/>
  <c r="I115" i="1" s="1"/>
  <c r="I114" i="1" s="1"/>
  <c r="I100" i="1" s="1"/>
  <c r="I99" i="1" s="1"/>
  <c r="H116" i="1"/>
  <c r="H115" i="1" s="1"/>
  <c r="H114" i="1" s="1"/>
  <c r="H100" i="1" s="1"/>
  <c r="H99" i="1" s="1"/>
  <c r="G116" i="1"/>
  <c r="W115" i="1"/>
  <c r="R115" i="1"/>
  <c r="Z115" i="1" s="1"/>
  <c r="O115" i="1"/>
  <c r="N115" i="1"/>
  <c r="N114" i="1" s="1"/>
  <c r="J115" i="1"/>
  <c r="G115" i="1"/>
  <c r="F115" i="1"/>
  <c r="F114" i="1" s="1"/>
  <c r="W114" i="1"/>
  <c r="R114" i="1"/>
  <c r="Z114" i="1" s="1"/>
  <c r="O114" i="1"/>
  <c r="J114" i="1"/>
  <c r="G114" i="1"/>
  <c r="Z113" i="1"/>
  <c r="V113" i="1"/>
  <c r="Z112" i="1"/>
  <c r="V112" i="1"/>
  <c r="Z111" i="1"/>
  <c r="V111" i="1"/>
  <c r="Z110" i="1"/>
  <c r="V110" i="1"/>
  <c r="Z109" i="1"/>
  <c r="V109" i="1"/>
  <c r="Z108" i="1"/>
  <c r="V108" i="1"/>
  <c r="Z107" i="1"/>
  <c r="V107" i="1"/>
  <c r="Z106" i="1"/>
  <c r="V106" i="1"/>
  <c r="Z105" i="1"/>
  <c r="V105" i="1"/>
  <c r="Z104" i="1"/>
  <c r="V104" i="1"/>
  <c r="Z103" i="1"/>
  <c r="V103" i="1"/>
  <c r="Y102" i="1"/>
  <c r="X102" i="1"/>
  <c r="X101" i="1" s="1"/>
  <c r="W102" i="1"/>
  <c r="U102" i="1"/>
  <c r="U101" i="1" s="1"/>
  <c r="U100" i="1" s="1"/>
  <c r="T102" i="1"/>
  <c r="S102" i="1"/>
  <c r="R102" i="1"/>
  <c r="Z102" i="1" s="1"/>
  <c r="Q102" i="1"/>
  <c r="P102" i="1"/>
  <c r="P101" i="1" s="1"/>
  <c r="P100" i="1" s="1"/>
  <c r="P99" i="1" s="1"/>
  <c r="O102" i="1"/>
  <c r="N102" i="1"/>
  <c r="N101" i="1" s="1"/>
  <c r="N100" i="1" s="1"/>
  <c r="N99" i="1" s="1"/>
  <c r="M102" i="1"/>
  <c r="M101" i="1" s="1"/>
  <c r="M100" i="1" s="1"/>
  <c r="M99" i="1" s="1"/>
  <c r="L102" i="1"/>
  <c r="K102" i="1"/>
  <c r="J102" i="1"/>
  <c r="J101" i="1" s="1"/>
  <c r="J100" i="1" s="1"/>
  <c r="J99" i="1" s="1"/>
  <c r="I102" i="1"/>
  <c r="H102" i="1"/>
  <c r="H101" i="1" s="1"/>
  <c r="G102" i="1"/>
  <c r="F102" i="1"/>
  <c r="F101" i="1" s="1"/>
  <c r="F100" i="1" s="1"/>
  <c r="F99" i="1" s="1"/>
  <c r="Y101" i="1"/>
  <c r="W101" i="1"/>
  <c r="T101" i="1"/>
  <c r="S101" i="1"/>
  <c r="Q101" i="1"/>
  <c r="O101" i="1"/>
  <c r="O100" i="1" s="1"/>
  <c r="L101" i="1"/>
  <c r="K101" i="1"/>
  <c r="I101" i="1"/>
  <c r="G101" i="1"/>
  <c r="Y100" i="1"/>
  <c r="X100" i="1"/>
  <c r="W100" i="1"/>
  <c r="T100" i="1"/>
  <c r="T99" i="1" s="1"/>
  <c r="Q100" i="1"/>
  <c r="G100" i="1"/>
  <c r="G99" i="1" s="1"/>
  <c r="L99" i="1"/>
  <c r="Z98" i="1"/>
  <c r="V98" i="1"/>
  <c r="Z97" i="1"/>
  <c r="V97" i="1"/>
  <c r="Z96" i="1"/>
  <c r="V96" i="1"/>
  <c r="Z95" i="1"/>
  <c r="V95" i="1"/>
  <c r="Z94" i="1"/>
  <c r="V94" i="1"/>
  <c r="Z93" i="1"/>
  <c r="V93" i="1"/>
  <c r="Y92" i="1"/>
  <c r="X92" i="1"/>
  <c r="W92" i="1"/>
  <c r="U92" i="1"/>
  <c r="V92" i="1" s="1"/>
  <c r="T92" i="1"/>
  <c r="S92" i="1"/>
  <c r="R92" i="1"/>
  <c r="Z92" i="1" s="1"/>
  <c r="Q92" i="1"/>
  <c r="P92" i="1"/>
  <c r="O92" i="1"/>
  <c r="N92" i="1"/>
  <c r="M92" i="1"/>
  <c r="M87" i="1" s="1"/>
  <c r="M86" i="1" s="1"/>
  <c r="L92" i="1"/>
  <c r="K92" i="1"/>
  <c r="J92" i="1"/>
  <c r="I92" i="1"/>
  <c r="H92" i="1"/>
  <c r="G92" i="1"/>
  <c r="F92" i="1"/>
  <c r="Z91" i="1"/>
  <c r="V91" i="1"/>
  <c r="Z90" i="1"/>
  <c r="V90" i="1"/>
  <c r="Z89" i="1"/>
  <c r="V89" i="1"/>
  <c r="Y88" i="1"/>
  <c r="Y87" i="1" s="1"/>
  <c r="Y86" i="1" s="1"/>
  <c r="X88" i="1"/>
  <c r="X87" i="1" s="1"/>
  <c r="X86" i="1" s="1"/>
  <c r="W88" i="1"/>
  <c r="U88" i="1"/>
  <c r="T88" i="1"/>
  <c r="S88" i="1"/>
  <c r="V88" i="1" s="1"/>
  <c r="R88" i="1"/>
  <c r="Q88" i="1"/>
  <c r="Q87" i="1" s="1"/>
  <c r="Q86" i="1" s="1"/>
  <c r="P88" i="1"/>
  <c r="P87" i="1" s="1"/>
  <c r="P86" i="1" s="1"/>
  <c r="O88" i="1"/>
  <c r="N88" i="1"/>
  <c r="M88" i="1"/>
  <c r="L88" i="1"/>
  <c r="K88" i="1"/>
  <c r="K87" i="1" s="1"/>
  <c r="K86" i="1" s="1"/>
  <c r="J88" i="1"/>
  <c r="J87" i="1" s="1"/>
  <c r="J86" i="1" s="1"/>
  <c r="I88" i="1"/>
  <c r="I87" i="1" s="1"/>
  <c r="I86" i="1" s="1"/>
  <c r="H88" i="1"/>
  <c r="H87" i="1" s="1"/>
  <c r="H86" i="1" s="1"/>
  <c r="G88" i="1"/>
  <c r="F88" i="1"/>
  <c r="W87" i="1"/>
  <c r="W86" i="1" s="1"/>
  <c r="U87" i="1"/>
  <c r="U86" i="1" s="1"/>
  <c r="T87" i="1"/>
  <c r="O87" i="1"/>
  <c r="N87" i="1"/>
  <c r="N86" i="1" s="1"/>
  <c r="L87" i="1"/>
  <c r="G87" i="1"/>
  <c r="G86" i="1" s="1"/>
  <c r="F87" i="1"/>
  <c r="F86" i="1" s="1"/>
  <c r="T86" i="1"/>
  <c r="O86" i="1"/>
  <c r="L86" i="1"/>
  <c r="Z85" i="1"/>
  <c r="V85" i="1"/>
  <c r="Z84" i="1"/>
  <c r="V84" i="1"/>
  <c r="Z83" i="1"/>
  <c r="V83" i="1"/>
  <c r="Z82" i="1"/>
  <c r="V82" i="1"/>
  <c r="Z81" i="1"/>
  <c r="V81" i="1"/>
  <c r="Z80" i="1"/>
  <c r="V80" i="1"/>
  <c r="Z79" i="1"/>
  <c r="V79" i="1"/>
  <c r="Y78" i="1"/>
  <c r="X78" i="1"/>
  <c r="W78" i="1"/>
  <c r="U78" i="1"/>
  <c r="T78" i="1"/>
  <c r="S78" i="1"/>
  <c r="R78" i="1"/>
  <c r="Z78" i="1" s="1"/>
  <c r="Q78" i="1"/>
  <c r="P78" i="1"/>
  <c r="O78" i="1"/>
  <c r="N78" i="1"/>
  <c r="M78" i="1"/>
  <c r="M71" i="1" s="1"/>
  <c r="M70" i="1" s="1"/>
  <c r="L78" i="1"/>
  <c r="K78" i="1"/>
  <c r="J78" i="1"/>
  <c r="I78" i="1"/>
  <c r="H78" i="1"/>
  <c r="G78" i="1"/>
  <c r="F78" i="1"/>
  <c r="Z77" i="1"/>
  <c r="V77" i="1"/>
  <c r="Z76" i="1"/>
  <c r="V76" i="1"/>
  <c r="Y75" i="1"/>
  <c r="X75" i="1"/>
  <c r="W75" i="1"/>
  <c r="V75" i="1"/>
  <c r="U75" i="1"/>
  <c r="T75" i="1"/>
  <c r="S75" i="1"/>
  <c r="R75" i="1"/>
  <c r="Z75" i="1" s="1"/>
  <c r="Q75" i="1"/>
  <c r="P75" i="1"/>
  <c r="O75" i="1"/>
  <c r="N75" i="1"/>
  <c r="N71" i="1" s="1"/>
  <c r="N70" i="1" s="1"/>
  <c r="M75" i="1"/>
  <c r="L75" i="1"/>
  <c r="K75" i="1"/>
  <c r="J75" i="1"/>
  <c r="I75" i="1"/>
  <c r="H75" i="1"/>
  <c r="G75" i="1"/>
  <c r="F75" i="1"/>
  <c r="F71" i="1" s="1"/>
  <c r="Z74" i="1"/>
  <c r="V74" i="1"/>
  <c r="Z73" i="1"/>
  <c r="V73" i="1"/>
  <c r="Y72" i="1"/>
  <c r="X72" i="1"/>
  <c r="W72" i="1"/>
  <c r="W71" i="1" s="1"/>
  <c r="W70" i="1" s="1"/>
  <c r="U72" i="1"/>
  <c r="T72" i="1"/>
  <c r="T71" i="1" s="1"/>
  <c r="T70" i="1" s="1"/>
  <c r="S72" i="1"/>
  <c r="R72" i="1"/>
  <c r="Q72" i="1"/>
  <c r="Q71" i="1" s="1"/>
  <c r="Q70" i="1" s="1"/>
  <c r="P72" i="1"/>
  <c r="O72" i="1"/>
  <c r="N72" i="1"/>
  <c r="M72" i="1"/>
  <c r="L72" i="1"/>
  <c r="L71" i="1" s="1"/>
  <c r="L70" i="1" s="1"/>
  <c r="K72" i="1"/>
  <c r="K71" i="1" s="1"/>
  <c r="K70" i="1" s="1"/>
  <c r="J72" i="1"/>
  <c r="I72" i="1"/>
  <c r="I71" i="1" s="1"/>
  <c r="H72" i="1"/>
  <c r="H71" i="1" s="1"/>
  <c r="H70" i="1" s="1"/>
  <c r="G72" i="1"/>
  <c r="F72" i="1"/>
  <c r="Y71" i="1"/>
  <c r="Y70" i="1" s="1"/>
  <c r="X71" i="1"/>
  <c r="X70" i="1" s="1"/>
  <c r="P71" i="1"/>
  <c r="P70" i="1" s="1"/>
  <c r="I70" i="1"/>
  <c r="F70" i="1"/>
  <c r="Z69" i="1"/>
  <c r="V69" i="1"/>
  <c r="Z68" i="1"/>
  <c r="V68" i="1"/>
  <c r="Y67" i="1"/>
  <c r="X67" i="1"/>
  <c r="W67" i="1"/>
  <c r="V67" i="1"/>
  <c r="U67" i="1"/>
  <c r="T67" i="1"/>
  <c r="S67" i="1"/>
  <c r="R67" i="1"/>
  <c r="Z67" i="1" s="1"/>
  <c r="Q67" i="1"/>
  <c r="P67" i="1"/>
  <c r="O67" i="1"/>
  <c r="N67" i="1"/>
  <c r="M67" i="1"/>
  <c r="L67" i="1"/>
  <c r="K67" i="1"/>
  <c r="J67" i="1"/>
  <c r="I67" i="1"/>
  <c r="H67" i="1"/>
  <c r="G67" i="1"/>
  <c r="F67" i="1"/>
  <c r="Z66" i="1"/>
  <c r="V66" i="1"/>
  <c r="Z65" i="1"/>
  <c r="V65" i="1"/>
  <c r="Y64" i="1"/>
  <c r="X64" i="1"/>
  <c r="W64" i="1"/>
  <c r="U64" i="1"/>
  <c r="T64" i="1"/>
  <c r="S64" i="1"/>
  <c r="V64" i="1" s="1"/>
  <c r="R64" i="1"/>
  <c r="Z64" i="1" s="1"/>
  <c r="Q64" i="1"/>
  <c r="P64" i="1"/>
  <c r="O64" i="1"/>
  <c r="N64" i="1"/>
  <c r="M64" i="1"/>
  <c r="L64" i="1"/>
  <c r="K64" i="1"/>
  <c r="J64" i="1"/>
  <c r="I64" i="1"/>
  <c r="H64" i="1"/>
  <c r="G64" i="1"/>
  <c r="F64" i="1"/>
  <c r="Z63" i="1"/>
  <c r="V63" i="1"/>
  <c r="Z62" i="1"/>
  <c r="V62" i="1"/>
  <c r="Y61" i="1"/>
  <c r="X61" i="1"/>
  <c r="W61" i="1"/>
  <c r="V61" i="1"/>
  <c r="U61" i="1"/>
  <c r="T61" i="1"/>
  <c r="S61" i="1"/>
  <c r="R61" i="1"/>
  <c r="Z61" i="1" s="1"/>
  <c r="Q61" i="1"/>
  <c r="P61" i="1"/>
  <c r="O61" i="1"/>
  <c r="N61" i="1"/>
  <c r="M61" i="1"/>
  <c r="L61" i="1"/>
  <c r="K61" i="1"/>
  <c r="J61" i="1"/>
  <c r="I61" i="1"/>
  <c r="H61" i="1"/>
  <c r="G61" i="1"/>
  <c r="F61" i="1"/>
  <c r="Z60" i="1"/>
  <c r="V60" i="1"/>
  <c r="Z59" i="1"/>
  <c r="V59" i="1"/>
  <c r="Y58" i="1"/>
  <c r="X58" i="1"/>
  <c r="W58" i="1"/>
  <c r="V58" i="1"/>
  <c r="U58" i="1"/>
  <c r="T58" i="1"/>
  <c r="S58" i="1"/>
  <c r="R58" i="1"/>
  <c r="Z58" i="1" s="1"/>
  <c r="Q58" i="1"/>
  <c r="P58" i="1"/>
  <c r="O58" i="1"/>
  <c r="N58" i="1"/>
  <c r="M58" i="1"/>
  <c r="L58" i="1"/>
  <c r="K58" i="1"/>
  <c r="J58" i="1"/>
  <c r="I58" i="1"/>
  <c r="H58" i="1"/>
  <c r="G58" i="1"/>
  <c r="F58" i="1"/>
  <c r="Z57" i="1"/>
  <c r="V57" i="1"/>
  <c r="Z56" i="1"/>
  <c r="V56" i="1"/>
  <c r="Z55" i="1"/>
  <c r="Y55" i="1"/>
  <c r="X55" i="1"/>
  <c r="X42" i="1" s="1"/>
  <c r="W55" i="1"/>
  <c r="U55" i="1"/>
  <c r="T55" i="1"/>
  <c r="S55" i="1"/>
  <c r="V55" i="1" s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Z54" i="1"/>
  <c r="V54" i="1"/>
  <c r="Z53" i="1"/>
  <c r="V53" i="1"/>
  <c r="Z52" i="1"/>
  <c r="Y52" i="1"/>
  <c r="X52" i="1"/>
  <c r="W52" i="1"/>
  <c r="U52" i="1"/>
  <c r="T52" i="1"/>
  <c r="S52" i="1"/>
  <c r="V52" i="1" s="1"/>
  <c r="R52" i="1"/>
  <c r="Q52" i="1"/>
  <c r="P52" i="1"/>
  <c r="P42" i="1" s="1"/>
  <c r="O52" i="1"/>
  <c r="N52" i="1"/>
  <c r="M52" i="1"/>
  <c r="L52" i="1"/>
  <c r="K52" i="1"/>
  <c r="J52" i="1"/>
  <c r="I52" i="1"/>
  <c r="H52" i="1"/>
  <c r="G52" i="1"/>
  <c r="F52" i="1"/>
  <c r="Z51" i="1"/>
  <c r="V51" i="1"/>
  <c r="Z50" i="1"/>
  <c r="V50" i="1"/>
  <c r="Z49" i="1"/>
  <c r="Y49" i="1"/>
  <c r="X49" i="1"/>
  <c r="W49" i="1"/>
  <c r="U49" i="1"/>
  <c r="T49" i="1"/>
  <c r="S49" i="1"/>
  <c r="V49" i="1" s="1"/>
  <c r="R49" i="1"/>
  <c r="Q49" i="1"/>
  <c r="P49" i="1"/>
  <c r="O49" i="1"/>
  <c r="N49" i="1"/>
  <c r="M49" i="1"/>
  <c r="L49" i="1"/>
  <c r="K49" i="1"/>
  <c r="J49" i="1"/>
  <c r="I49" i="1"/>
  <c r="I42" i="1" s="1"/>
  <c r="H49" i="1"/>
  <c r="G49" i="1"/>
  <c r="F49" i="1"/>
  <c r="Z48" i="1"/>
  <c r="V48" i="1"/>
  <c r="Z47" i="1"/>
  <c r="V47" i="1"/>
  <c r="Z46" i="1"/>
  <c r="Y46" i="1"/>
  <c r="X46" i="1"/>
  <c r="W46" i="1"/>
  <c r="U46" i="1"/>
  <c r="T46" i="1"/>
  <c r="S46" i="1"/>
  <c r="V46" i="1" s="1"/>
  <c r="R46" i="1"/>
  <c r="R42" i="1" s="1"/>
  <c r="Q46" i="1"/>
  <c r="P46" i="1"/>
  <c r="O46" i="1"/>
  <c r="N46" i="1"/>
  <c r="M46" i="1"/>
  <c r="L46" i="1"/>
  <c r="K46" i="1"/>
  <c r="J46" i="1"/>
  <c r="J42" i="1" s="1"/>
  <c r="I46" i="1"/>
  <c r="H46" i="1"/>
  <c r="G46" i="1"/>
  <c r="F46" i="1"/>
  <c r="Z45" i="1"/>
  <c r="V45" i="1"/>
  <c r="Z44" i="1"/>
  <c r="V44" i="1"/>
  <c r="Y43" i="1"/>
  <c r="X43" i="1"/>
  <c r="W43" i="1"/>
  <c r="U43" i="1"/>
  <c r="U42" i="1" s="1"/>
  <c r="T43" i="1"/>
  <c r="T42" i="1" s="1"/>
  <c r="S43" i="1"/>
  <c r="R43" i="1"/>
  <c r="Q43" i="1"/>
  <c r="P43" i="1"/>
  <c r="O43" i="1"/>
  <c r="N43" i="1"/>
  <c r="M43" i="1"/>
  <c r="M42" i="1" s="1"/>
  <c r="L43" i="1"/>
  <c r="L42" i="1" s="1"/>
  <c r="K43" i="1"/>
  <c r="K42" i="1" s="1"/>
  <c r="J43" i="1"/>
  <c r="I43" i="1"/>
  <c r="H43" i="1"/>
  <c r="G43" i="1"/>
  <c r="F43" i="1"/>
  <c r="Y42" i="1"/>
  <c r="Q42" i="1"/>
  <c r="H42" i="1"/>
  <c r="Z41" i="1"/>
  <c r="V41" i="1"/>
  <c r="Y40" i="1"/>
  <c r="Y39" i="1" s="1"/>
  <c r="X40" i="1"/>
  <c r="X39" i="1" s="1"/>
  <c r="W40" i="1"/>
  <c r="W39" i="1" s="1"/>
  <c r="V40" i="1"/>
  <c r="U40" i="1"/>
  <c r="T40" i="1"/>
  <c r="S40" i="1"/>
  <c r="R40" i="1"/>
  <c r="R39" i="1" s="1"/>
  <c r="Q40" i="1"/>
  <c r="Q39" i="1" s="1"/>
  <c r="P40" i="1"/>
  <c r="P39" i="1" s="1"/>
  <c r="O40" i="1"/>
  <c r="O39" i="1" s="1"/>
  <c r="N40" i="1"/>
  <c r="N39" i="1" s="1"/>
  <c r="M40" i="1"/>
  <c r="L40" i="1"/>
  <c r="K40" i="1"/>
  <c r="J40" i="1"/>
  <c r="J39" i="1" s="1"/>
  <c r="I40" i="1"/>
  <c r="I39" i="1" s="1"/>
  <c r="H40" i="1"/>
  <c r="H39" i="1" s="1"/>
  <c r="G40" i="1"/>
  <c r="G39" i="1" s="1"/>
  <c r="F40" i="1"/>
  <c r="F39" i="1" s="1"/>
  <c r="U39" i="1"/>
  <c r="T39" i="1"/>
  <c r="S39" i="1"/>
  <c r="V39" i="1" s="1"/>
  <c r="M39" i="1"/>
  <c r="L39" i="1"/>
  <c r="L15" i="1" s="1"/>
  <c r="K39" i="1"/>
  <c r="V38" i="1"/>
  <c r="Z37" i="1"/>
  <c r="V37" i="1"/>
  <c r="Z36" i="1"/>
  <c r="V36" i="1"/>
  <c r="Z35" i="1"/>
  <c r="V35" i="1"/>
  <c r="Y34" i="1"/>
  <c r="X34" i="1"/>
  <c r="W34" i="1"/>
  <c r="U34" i="1"/>
  <c r="T34" i="1"/>
  <c r="S34" i="1"/>
  <c r="V34" i="1" s="1"/>
  <c r="R34" i="1"/>
  <c r="Z34" i="1" s="1"/>
  <c r="Q34" i="1"/>
  <c r="P34" i="1"/>
  <c r="O34" i="1"/>
  <c r="N34" i="1"/>
  <c r="M34" i="1"/>
  <c r="L34" i="1"/>
  <c r="K34" i="1"/>
  <c r="J34" i="1"/>
  <c r="I34" i="1"/>
  <c r="H34" i="1"/>
  <c r="G34" i="1"/>
  <c r="F34" i="1"/>
  <c r="Z33" i="1"/>
  <c r="V33" i="1"/>
  <c r="Z32" i="1"/>
  <c r="V32" i="1"/>
  <c r="Y31" i="1"/>
  <c r="Y30" i="1" s="1"/>
  <c r="X31" i="1"/>
  <c r="W31" i="1"/>
  <c r="U31" i="1"/>
  <c r="T31" i="1"/>
  <c r="T30" i="1" s="1"/>
  <c r="S31" i="1"/>
  <c r="R31" i="1"/>
  <c r="R30" i="1" s="1"/>
  <c r="Z30" i="1" s="1"/>
  <c r="Q31" i="1"/>
  <c r="Q30" i="1" s="1"/>
  <c r="P31" i="1"/>
  <c r="O31" i="1"/>
  <c r="N31" i="1"/>
  <c r="M31" i="1"/>
  <c r="L31" i="1"/>
  <c r="L30" i="1" s="1"/>
  <c r="K31" i="1"/>
  <c r="K30" i="1" s="1"/>
  <c r="J31" i="1"/>
  <c r="J30" i="1" s="1"/>
  <c r="I31" i="1"/>
  <c r="I30" i="1" s="1"/>
  <c r="H31" i="1"/>
  <c r="H30" i="1" s="1"/>
  <c r="H16" i="1" s="1"/>
  <c r="H15" i="1" s="1"/>
  <c r="H14" i="1" s="1"/>
  <c r="H13" i="1" s="1"/>
  <c r="H12" i="1" s="1"/>
  <c r="G31" i="1"/>
  <c r="F31" i="1"/>
  <c r="X30" i="1"/>
  <c r="W30" i="1"/>
  <c r="U30" i="1"/>
  <c r="U16" i="1" s="1"/>
  <c r="U15" i="1" s="1"/>
  <c r="P30" i="1"/>
  <c r="O30" i="1"/>
  <c r="O16" i="1" s="1"/>
  <c r="O15" i="1" s="1"/>
  <c r="N30" i="1"/>
  <c r="M30" i="1"/>
  <c r="G30" i="1"/>
  <c r="F30" i="1"/>
  <c r="Z29" i="1"/>
  <c r="V29" i="1"/>
  <c r="Z28" i="1"/>
  <c r="V28" i="1"/>
  <c r="Y27" i="1"/>
  <c r="X27" i="1"/>
  <c r="W27" i="1"/>
  <c r="V27" i="1"/>
  <c r="U27" i="1"/>
  <c r="T27" i="1"/>
  <c r="T16" i="1" s="1"/>
  <c r="T15" i="1" s="1"/>
  <c r="T14" i="1" s="1"/>
  <c r="T13" i="1" s="1"/>
  <c r="T12" i="1" s="1"/>
  <c r="T11" i="1" s="1"/>
  <c r="S27" i="1"/>
  <c r="R27" i="1"/>
  <c r="Z27" i="1" s="1"/>
  <c r="Q27" i="1"/>
  <c r="P27" i="1"/>
  <c r="O27" i="1"/>
  <c r="N27" i="1"/>
  <c r="N16" i="1" s="1"/>
  <c r="N15" i="1" s="1"/>
  <c r="M27" i="1"/>
  <c r="L27" i="1"/>
  <c r="L16" i="1" s="1"/>
  <c r="K27" i="1"/>
  <c r="J27" i="1"/>
  <c r="I27" i="1"/>
  <c r="H27" i="1"/>
  <c r="G27" i="1"/>
  <c r="F27" i="1"/>
  <c r="F16" i="1" s="1"/>
  <c r="F15" i="1" s="1"/>
  <c r="Z26" i="1"/>
  <c r="V26" i="1"/>
  <c r="Z25" i="1"/>
  <c r="V25" i="1"/>
  <c r="Z24" i="1"/>
  <c r="Y24" i="1"/>
  <c r="X24" i="1"/>
  <c r="W24" i="1"/>
  <c r="W16" i="1" s="1"/>
  <c r="W15" i="1" s="1"/>
  <c r="U24" i="1"/>
  <c r="T24" i="1"/>
  <c r="S24" i="1"/>
  <c r="V24" i="1" s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Z23" i="1"/>
  <c r="V23" i="1"/>
  <c r="Z22" i="1"/>
  <c r="V22" i="1"/>
  <c r="V21" i="1"/>
  <c r="Z20" i="1"/>
  <c r="V20" i="1"/>
  <c r="Z19" i="1"/>
  <c r="V19" i="1"/>
  <c r="Z18" i="1"/>
  <c r="V18" i="1"/>
  <c r="Z17" i="1"/>
  <c r="Y17" i="1"/>
  <c r="X17" i="1"/>
  <c r="W17" i="1"/>
  <c r="U17" i="1"/>
  <c r="T17" i="1"/>
  <c r="S17" i="1"/>
  <c r="R17" i="1"/>
  <c r="Q17" i="1"/>
  <c r="P17" i="1"/>
  <c r="P16" i="1" s="1"/>
  <c r="P15" i="1" s="1"/>
  <c r="P14" i="1" s="1"/>
  <c r="P13" i="1" s="1"/>
  <c r="P12" i="1" s="1"/>
  <c r="O17" i="1"/>
  <c r="N17" i="1"/>
  <c r="M17" i="1"/>
  <c r="L17" i="1"/>
  <c r="K17" i="1"/>
  <c r="J17" i="1"/>
  <c r="I17" i="1"/>
  <c r="H17" i="1"/>
  <c r="G17" i="1"/>
  <c r="F17" i="1"/>
  <c r="X16" i="1"/>
  <c r="X15" i="1" s="1"/>
  <c r="X14" i="1" s="1"/>
  <c r="X13" i="1" s="1"/>
  <c r="M16" i="1"/>
  <c r="G16" i="1"/>
  <c r="G15" i="1" s="1"/>
  <c r="M15" i="1"/>
  <c r="U16" i="3" l="1"/>
  <c r="U15" i="3" s="1"/>
  <c r="U14" i="3" s="1"/>
  <c r="U13" i="3" s="1"/>
  <c r="U12" i="3" s="1"/>
  <c r="U11" i="3" s="1"/>
  <c r="R1006" i="3"/>
  <c r="R179" i="3" s="1"/>
  <c r="AW144" i="4"/>
  <c r="AW139" i="4" s="1"/>
  <c r="AO12" i="4"/>
  <c r="AJ139" i="4"/>
  <c r="AU144" i="4"/>
  <c r="AU139" i="4" s="1"/>
  <c r="AX144" i="4"/>
  <c r="AH12" i="4"/>
  <c r="AH11" i="4" s="1"/>
  <c r="AG10" i="4" s="1"/>
  <c r="AK12" i="4"/>
  <c r="AK11" i="4" s="1"/>
  <c r="AR12" i="4"/>
  <c r="AR11" i="4" s="1"/>
  <c r="AN12" i="4"/>
  <c r="AN11" i="4" s="1"/>
  <c r="AO11" i="4"/>
  <c r="AM14" i="4"/>
  <c r="AM13" i="4" s="1"/>
  <c r="AI11" i="4"/>
  <c r="AE12" i="4"/>
  <c r="AE11" i="4" s="1"/>
  <c r="AL11" i="4"/>
  <c r="AV14" i="4"/>
  <c r="AV13" i="4" s="1"/>
  <c r="AW14" i="4"/>
  <c r="AW13" i="4" s="1"/>
  <c r="AX16" i="4"/>
  <c r="AU179" i="4"/>
  <c r="AU156" i="4"/>
  <c r="AU155" i="4" s="1"/>
  <c r="AU154" i="4" s="1"/>
  <c r="AU153" i="4" s="1"/>
  <c r="AJ155" i="4"/>
  <c r="AJ154" i="4" s="1"/>
  <c r="AJ153" i="4" s="1"/>
  <c r="AQ120" i="4"/>
  <c r="AT120" i="4" s="1"/>
  <c r="AT121" i="4"/>
  <c r="AW121" i="4" s="1"/>
  <c r="AW120" i="4" s="1"/>
  <c r="AW99" i="4" s="1"/>
  <c r="AU121" i="4"/>
  <c r="AU120" i="4" s="1"/>
  <c r="AJ120" i="4"/>
  <c r="AJ99" i="4" s="1"/>
  <c r="AU14" i="4"/>
  <c r="AU13" i="4" s="1"/>
  <c r="AX161" i="4"/>
  <c r="AW161" i="4"/>
  <c r="AW160" i="4" s="1"/>
  <c r="AW154" i="4" s="1"/>
  <c r="AW153" i="4" s="1"/>
  <c r="AP160" i="4"/>
  <c r="AX160" i="4" s="1"/>
  <c r="AV161" i="4"/>
  <c r="AV160" i="4" s="1"/>
  <c r="AV154" i="4" s="1"/>
  <c r="AV153" i="4" s="1"/>
  <c r="AX139" i="4"/>
  <c r="AQ100" i="4"/>
  <c r="AT114" i="4"/>
  <c r="AX156" i="4"/>
  <c r="AM114" i="4"/>
  <c r="AM100" i="4" s="1"/>
  <c r="AM99" i="4" s="1"/>
  <c r="AV115" i="4"/>
  <c r="AV114" i="4" s="1"/>
  <c r="AV100" i="4" s="1"/>
  <c r="AU115" i="4"/>
  <c r="AU114" i="4" s="1"/>
  <c r="AU100" i="4" s="1"/>
  <c r="AT16" i="4"/>
  <c r="AQ15" i="4"/>
  <c r="AJ179" i="4"/>
  <c r="AX179" i="4" s="1"/>
  <c r="AX100" i="4"/>
  <c r="AQ153" i="4"/>
  <c r="AT153" i="4" s="1"/>
  <c r="AT154" i="4"/>
  <c r="AX114" i="4"/>
  <c r="AJ86" i="4"/>
  <c r="AX86" i="4" s="1"/>
  <c r="AX87" i="4"/>
  <c r="AJ14" i="4"/>
  <c r="AJ13" i="4" s="1"/>
  <c r="AP120" i="4"/>
  <c r="AP99" i="4" s="1"/>
  <c r="AX121" i="4"/>
  <c r="AV121" i="4"/>
  <c r="AV120" i="4" s="1"/>
  <c r="AX15" i="4"/>
  <c r="AP14" i="4"/>
  <c r="R12" i="3"/>
  <c r="M848" i="3"/>
  <c r="AA848" i="3" s="1"/>
  <c r="X834" i="3"/>
  <c r="X848" i="3" s="1"/>
  <c r="AA834" i="3"/>
  <c r="P100" i="3"/>
  <c r="P99" i="3" s="1"/>
  <c r="W121" i="3"/>
  <c r="T120" i="3"/>
  <c r="W120" i="3" s="1"/>
  <c r="W42" i="3"/>
  <c r="AA16" i="3"/>
  <c r="S15" i="3"/>
  <c r="M883" i="3"/>
  <c r="AA883" i="3" s="1"/>
  <c r="X857" i="3"/>
  <c r="X883" i="3" s="1"/>
  <c r="O179" i="3"/>
  <c r="X149" i="3"/>
  <c r="X139" i="3" s="1"/>
  <c r="X571" i="3"/>
  <c r="X617" i="3" s="1"/>
  <c r="X179" i="3" s="1"/>
  <c r="AA571" i="3"/>
  <c r="M617" i="3"/>
  <c r="S155" i="3"/>
  <c r="AA156" i="3"/>
  <c r="M139" i="3"/>
  <c r="AA139" i="3" s="1"/>
  <c r="AA101" i="3"/>
  <c r="Z42" i="3"/>
  <c r="Y161" i="3"/>
  <c r="Y160" i="3" s="1"/>
  <c r="P160" i="3"/>
  <c r="W71" i="3"/>
  <c r="AA144" i="3"/>
  <c r="W157" i="3"/>
  <c r="Z157" i="3" s="1"/>
  <c r="T156" i="3"/>
  <c r="X116" i="3"/>
  <c r="M115" i="3"/>
  <c r="T16" i="3"/>
  <c r="W30" i="3"/>
  <c r="Z30" i="3" s="1"/>
  <c r="Z16" i="3" s="1"/>
  <c r="Z15" i="3" s="1"/>
  <c r="P139" i="3"/>
  <c r="M15" i="3"/>
  <c r="X157" i="3"/>
  <c r="M156" i="3"/>
  <c r="X811" i="3"/>
  <c r="X825" i="3" s="1"/>
  <c r="M825" i="3"/>
  <c r="AA825" i="3" s="1"/>
  <c r="AA811" i="3"/>
  <c r="T139" i="3"/>
  <c r="W149" i="3"/>
  <c r="X122" i="3"/>
  <c r="M121" i="3"/>
  <c r="T100" i="3"/>
  <c r="S115" i="3"/>
  <c r="AA116" i="3"/>
  <c r="Z116" i="3"/>
  <c r="W162" i="3"/>
  <c r="Z162" i="3" s="1"/>
  <c r="T161" i="3"/>
  <c r="Y42" i="3"/>
  <c r="Y14" i="3" s="1"/>
  <c r="Y13" i="3" s="1"/>
  <c r="Y12" i="3" s="1"/>
  <c r="P156" i="3"/>
  <c r="Y157" i="3"/>
  <c r="M160" i="3"/>
  <c r="X161" i="3"/>
  <c r="X160" i="3" s="1"/>
  <c r="AA42" i="3"/>
  <c r="M86" i="3"/>
  <c r="AA86" i="3" s="1"/>
  <c r="AA87" i="3"/>
  <c r="P114" i="3"/>
  <c r="Y115" i="3"/>
  <c r="Y114" i="3" s="1"/>
  <c r="Y100" i="3" s="1"/>
  <c r="Y99" i="3" s="1"/>
  <c r="AA161" i="3"/>
  <c r="S160" i="3"/>
  <c r="O12" i="3"/>
  <c r="Z121" i="3"/>
  <c r="Z120" i="3" s="1"/>
  <c r="S120" i="3"/>
  <c r="AA121" i="3"/>
  <c r="X92" i="3"/>
  <c r="X87" i="3" s="1"/>
  <c r="X86" i="3" s="1"/>
  <c r="Z179" i="3"/>
  <c r="Y179" i="3"/>
  <c r="X71" i="3"/>
  <c r="X70" i="3" s="1"/>
  <c r="X14" i="3" s="1"/>
  <c r="X13" i="3" s="1"/>
  <c r="M70" i="3"/>
  <c r="AA70" i="3" s="1"/>
  <c r="AA71" i="3"/>
  <c r="W87" i="3"/>
  <c r="W179" i="3"/>
  <c r="Y71" i="3"/>
  <c r="Y70" i="3" s="1"/>
  <c r="P70" i="3"/>
  <c r="P14" i="3" s="1"/>
  <c r="P13" i="3" s="1"/>
  <c r="G14" i="3"/>
  <c r="G13" i="3" s="1"/>
  <c r="G12" i="3" s="1"/>
  <c r="G11" i="3" s="1"/>
  <c r="AA170" i="3"/>
  <c r="Z170" i="3"/>
  <c r="Y170" i="3"/>
  <c r="L14" i="1"/>
  <c r="L13" i="1" s="1"/>
  <c r="L12" i="1" s="1"/>
  <c r="W14" i="1"/>
  <c r="W13" i="1" s="1"/>
  <c r="W12" i="1" s="1"/>
  <c r="X12" i="1"/>
  <c r="U99" i="1"/>
  <c r="W42" i="1"/>
  <c r="Z88" i="1"/>
  <c r="R87" i="1"/>
  <c r="K16" i="1"/>
  <c r="K15" i="1" s="1"/>
  <c r="K14" i="1" s="1"/>
  <c r="K13" i="1" s="1"/>
  <c r="K12" i="1" s="1"/>
  <c r="V17" i="1"/>
  <c r="S16" i="1"/>
  <c r="V43" i="1"/>
  <c r="S42" i="1"/>
  <c r="V42" i="1" s="1"/>
  <c r="U71" i="1"/>
  <c r="U70" i="1" s="1"/>
  <c r="U14" i="1" s="1"/>
  <c r="U13" i="1" s="1"/>
  <c r="U12" i="1" s="1"/>
  <c r="U11" i="1" s="1"/>
  <c r="V78" i="1"/>
  <c r="Z31" i="1"/>
  <c r="V31" i="1"/>
  <c r="S30" i="1"/>
  <c r="V30" i="1" s="1"/>
  <c r="N42" i="1"/>
  <c r="N14" i="1" s="1"/>
  <c r="N13" i="1" s="1"/>
  <c r="N12" i="1" s="1"/>
  <c r="N11" i="1" s="1"/>
  <c r="O99" i="1"/>
  <c r="V117" i="1"/>
  <c r="S116" i="1"/>
  <c r="R139" i="1"/>
  <c r="Z139" i="1" s="1"/>
  <c r="S157" i="1"/>
  <c r="Y16" i="1"/>
  <c r="Y15" i="1" s="1"/>
  <c r="Y14" i="1" s="1"/>
  <c r="Y13" i="1" s="1"/>
  <c r="Z39" i="1"/>
  <c r="O42" i="1"/>
  <c r="O14" i="1" s="1"/>
  <c r="O13" i="1" s="1"/>
  <c r="O12" i="1" s="1"/>
  <c r="O11" i="1" s="1"/>
  <c r="I16" i="1"/>
  <c r="I15" i="1" s="1"/>
  <c r="I14" i="1" s="1"/>
  <c r="I13" i="1" s="1"/>
  <c r="I12" i="1" s="1"/>
  <c r="Q16" i="1"/>
  <c r="Q15" i="1" s="1"/>
  <c r="Q14" i="1" s="1"/>
  <c r="Q13" i="1" s="1"/>
  <c r="Q12" i="1" s="1"/>
  <c r="Q11" i="1" s="1"/>
  <c r="Z42" i="1"/>
  <c r="I154" i="1"/>
  <c r="I153" i="1" s="1"/>
  <c r="H154" i="1"/>
  <c r="H153" i="1" s="1"/>
  <c r="H11" i="1" s="1"/>
  <c r="M14" i="1"/>
  <c r="M13" i="1" s="1"/>
  <c r="M12" i="1" s="1"/>
  <c r="F42" i="1"/>
  <c r="F14" i="1" s="1"/>
  <c r="F13" i="1" s="1"/>
  <c r="F12" i="1" s="1"/>
  <c r="F11" i="1" s="1"/>
  <c r="G42" i="1"/>
  <c r="V102" i="1"/>
  <c r="W99" i="1"/>
  <c r="J16" i="1"/>
  <c r="J15" i="1" s="1"/>
  <c r="R16" i="1"/>
  <c r="Z43" i="1"/>
  <c r="X154" i="1"/>
  <c r="X153" i="1" s="1"/>
  <c r="X1000" i="1"/>
  <c r="X179" i="1" s="1"/>
  <c r="N154" i="1"/>
  <c r="N153" i="1" s="1"/>
  <c r="Z40" i="1"/>
  <c r="G71" i="1"/>
  <c r="G70" i="1" s="1"/>
  <c r="O71" i="1"/>
  <c r="O70" i="1" s="1"/>
  <c r="R101" i="1"/>
  <c r="P154" i="1"/>
  <c r="P153" i="1" s="1"/>
  <c r="P11" i="1" s="1"/>
  <c r="I179" i="1"/>
  <c r="Q179" i="1"/>
  <c r="R179" i="1"/>
  <c r="X99" i="1"/>
  <c r="Y1000" i="1"/>
  <c r="Y179" i="1" s="1"/>
  <c r="V101" i="1"/>
  <c r="U154" i="1"/>
  <c r="U153" i="1" s="1"/>
  <c r="Q154" i="1"/>
  <c r="Q153" i="1" s="1"/>
  <c r="G179" i="1"/>
  <c r="O179" i="1"/>
  <c r="Z1000" i="1"/>
  <c r="S170" i="1"/>
  <c r="V170" i="1" s="1"/>
  <c r="V176" i="1"/>
  <c r="J179" i="1"/>
  <c r="Z844" i="1"/>
  <c r="V123" i="1"/>
  <c r="S122" i="1"/>
  <c r="J71" i="1"/>
  <c r="J70" i="1" s="1"/>
  <c r="R71" i="1"/>
  <c r="V127" i="1"/>
  <c r="R161" i="1"/>
  <c r="Z162" i="1"/>
  <c r="Z163" i="1"/>
  <c r="X170" i="1"/>
  <c r="V72" i="1"/>
  <c r="S71" i="1"/>
  <c r="K100" i="1"/>
  <c r="K99" i="1" s="1"/>
  <c r="Z116" i="1"/>
  <c r="Y121" i="1"/>
  <c r="Y120" i="1" s="1"/>
  <c r="Y99" i="1" s="1"/>
  <c r="Z157" i="1"/>
  <c r="S161" i="1"/>
  <c r="H170" i="1"/>
  <c r="P170" i="1"/>
  <c r="M179" i="1"/>
  <c r="V218" i="1"/>
  <c r="U179" i="1"/>
  <c r="V179" i="1" s="1"/>
  <c r="K561" i="1"/>
  <c r="K179" i="1" s="1"/>
  <c r="L484" i="1"/>
  <c r="Z72" i="1"/>
  <c r="S87" i="1"/>
  <c r="R11" i="3" l="1"/>
  <c r="AM12" i="4"/>
  <c r="AM11" i="4" s="1"/>
  <c r="AW12" i="4"/>
  <c r="AW11" i="4" s="1"/>
  <c r="AU99" i="4"/>
  <c r="AX120" i="4"/>
  <c r="AJ12" i="4"/>
  <c r="AJ11" i="4" s="1"/>
  <c r="AX99" i="4"/>
  <c r="AT15" i="4"/>
  <c r="AQ14" i="4"/>
  <c r="AQ99" i="4"/>
  <c r="AT99" i="4" s="1"/>
  <c r="AT100" i="4"/>
  <c r="AX14" i="4"/>
  <c r="AP13" i="4"/>
  <c r="AU12" i="4"/>
  <c r="AU11" i="4" s="1"/>
  <c r="AV99" i="4"/>
  <c r="AV12" i="4" s="1"/>
  <c r="AV11" i="4" s="1"/>
  <c r="AP154" i="4"/>
  <c r="AX155" i="4"/>
  <c r="O11" i="3"/>
  <c r="AA160" i="3"/>
  <c r="P12" i="3"/>
  <c r="S114" i="3"/>
  <c r="AA115" i="3"/>
  <c r="Z115" i="3"/>
  <c r="Z114" i="3" s="1"/>
  <c r="Z100" i="3" s="1"/>
  <c r="Z99" i="3" s="1"/>
  <c r="S154" i="3"/>
  <c r="W16" i="3"/>
  <c r="T15" i="3"/>
  <c r="T99" i="3"/>
  <c r="W99" i="3" s="1"/>
  <c r="W100" i="3"/>
  <c r="X156" i="3"/>
  <c r="X155" i="3" s="1"/>
  <c r="X154" i="3" s="1"/>
  <c r="X153" i="3" s="1"/>
  <c r="M155" i="3"/>
  <c r="M154" i="3" s="1"/>
  <c r="M153" i="3" s="1"/>
  <c r="X115" i="3"/>
  <c r="X114" i="3" s="1"/>
  <c r="X100" i="3" s="1"/>
  <c r="M114" i="3"/>
  <c r="M100" i="3" s="1"/>
  <c r="M179" i="3"/>
  <c r="AA179" i="3" s="1"/>
  <c r="AA617" i="3"/>
  <c r="S14" i="3"/>
  <c r="AA15" i="3"/>
  <c r="Y156" i="3"/>
  <c r="Y155" i="3" s="1"/>
  <c r="Y154" i="3" s="1"/>
  <c r="Y153" i="3" s="1"/>
  <c r="Y11" i="3" s="1"/>
  <c r="P155" i="3"/>
  <c r="P154" i="3" s="1"/>
  <c r="P153" i="3" s="1"/>
  <c r="X121" i="3"/>
  <c r="X120" i="3" s="1"/>
  <c r="M120" i="3"/>
  <c r="AA120" i="3"/>
  <c r="W156" i="3"/>
  <c r="Z156" i="3" s="1"/>
  <c r="Z155" i="3" s="1"/>
  <c r="Z154" i="3" s="1"/>
  <c r="Z153" i="3" s="1"/>
  <c r="T155" i="3"/>
  <c r="W70" i="3"/>
  <c r="Z71" i="3"/>
  <c r="Z70" i="3" s="1"/>
  <c r="Z14" i="3" s="1"/>
  <c r="Z13" i="3" s="1"/>
  <c r="Z12" i="3" s="1"/>
  <c r="Z11" i="3" s="1"/>
  <c r="T160" i="3"/>
  <c r="W161" i="3"/>
  <c r="Z161" i="3" s="1"/>
  <c r="Z160" i="3" s="1"/>
  <c r="Z149" i="3"/>
  <c r="Z139" i="3" s="1"/>
  <c r="W139" i="3"/>
  <c r="M14" i="3"/>
  <c r="M13" i="3" s="1"/>
  <c r="L561" i="1"/>
  <c r="Z484" i="1"/>
  <c r="W484" i="1"/>
  <c r="W561" i="1" s="1"/>
  <c r="W179" i="1" s="1"/>
  <c r="W11" i="1" s="1"/>
  <c r="Z161" i="1"/>
  <c r="R160" i="1"/>
  <c r="M11" i="1"/>
  <c r="Z71" i="1"/>
  <c r="R70" i="1"/>
  <c r="Z70" i="1" s="1"/>
  <c r="R100" i="1"/>
  <c r="Z101" i="1"/>
  <c r="Z16" i="1"/>
  <c r="R15" i="1"/>
  <c r="V157" i="1"/>
  <c r="S156" i="1"/>
  <c r="R86" i="1"/>
  <c r="Z86" i="1" s="1"/>
  <c r="Z87" i="1"/>
  <c r="X11" i="1"/>
  <c r="K11" i="1"/>
  <c r="V71" i="1"/>
  <c r="V70" i="1" s="1"/>
  <c r="S70" i="1"/>
  <c r="J14" i="1"/>
  <c r="J13" i="1" s="1"/>
  <c r="J12" i="1" s="1"/>
  <c r="J11" i="1" s="1"/>
  <c r="V116" i="1"/>
  <c r="S115" i="1"/>
  <c r="I11" i="1"/>
  <c r="S15" i="1"/>
  <c r="V16" i="1"/>
  <c r="Y12" i="1"/>
  <c r="Y11" i="1" s="1"/>
  <c r="S86" i="1"/>
  <c r="V86" i="1" s="1"/>
  <c r="V87" i="1"/>
  <c r="V122" i="1"/>
  <c r="S121" i="1"/>
  <c r="S160" i="1"/>
  <c r="V161" i="1"/>
  <c r="G14" i="1"/>
  <c r="G13" i="1" s="1"/>
  <c r="G12" i="1" s="1"/>
  <c r="G11" i="1" s="1"/>
  <c r="AP12" i="4" l="1"/>
  <c r="AX13" i="4"/>
  <c r="AT14" i="4"/>
  <c r="AQ13" i="4"/>
  <c r="AP153" i="4"/>
  <c r="AX153" i="4" s="1"/>
  <c r="AX154" i="4"/>
  <c r="AA14" i="3"/>
  <c r="S13" i="3"/>
  <c r="P11" i="3"/>
  <c r="T14" i="3"/>
  <c r="W15" i="3"/>
  <c r="T154" i="3"/>
  <c r="W155" i="3"/>
  <c r="AA114" i="3"/>
  <c r="S100" i="3"/>
  <c r="M99" i="3"/>
  <c r="AA155" i="3"/>
  <c r="M12" i="3"/>
  <c r="M11" i="3" s="1"/>
  <c r="X99" i="3"/>
  <c r="X12" i="3" s="1"/>
  <c r="X11" i="3" s="1"/>
  <c r="AA154" i="3"/>
  <c r="S153" i="3"/>
  <c r="AA153" i="3" s="1"/>
  <c r="V115" i="1"/>
  <c r="S114" i="1"/>
  <c r="V156" i="1"/>
  <c r="S155" i="1"/>
  <c r="Z15" i="1"/>
  <c r="R14" i="1"/>
  <c r="Z160" i="1"/>
  <c r="R154" i="1"/>
  <c r="V15" i="1"/>
  <c r="S14" i="1"/>
  <c r="R99" i="1"/>
  <c r="Z99" i="1" s="1"/>
  <c r="Z100" i="1"/>
  <c r="V121" i="1"/>
  <c r="S120" i="1"/>
  <c r="V120" i="1" s="1"/>
  <c r="L179" i="1"/>
  <c r="L11" i="1" s="1"/>
  <c r="Z561" i="1"/>
  <c r="AT13" i="4" l="1"/>
  <c r="AQ12" i="4"/>
  <c r="AX12" i="4"/>
  <c r="AP11" i="4"/>
  <c r="AX11" i="4" s="1"/>
  <c r="W154" i="3"/>
  <c r="T153" i="3"/>
  <c r="W153" i="3" s="1"/>
  <c r="W14" i="3"/>
  <c r="T13" i="3"/>
  <c r="AA13" i="3"/>
  <c r="S99" i="3"/>
  <c r="AA99" i="3" s="1"/>
  <c r="AA100" i="3"/>
  <c r="R153" i="1"/>
  <c r="Z153" i="1" s="1"/>
  <c r="Z154" i="1"/>
  <c r="R13" i="1"/>
  <c r="Z14" i="1"/>
  <c r="V155" i="1"/>
  <c r="S154" i="1"/>
  <c r="V114" i="1"/>
  <c r="S100" i="1"/>
  <c r="V14" i="1"/>
  <c r="S13" i="1"/>
  <c r="AT12" i="4" l="1"/>
  <c r="AQ11" i="4"/>
  <c r="AT11" i="4" s="1"/>
  <c r="S12" i="3"/>
  <c r="W13" i="3"/>
  <c r="T12" i="3"/>
  <c r="V100" i="1"/>
  <c r="S99" i="1"/>
  <c r="V99" i="1" s="1"/>
  <c r="V154" i="1"/>
  <c r="S153" i="1"/>
  <c r="V153" i="1" s="1"/>
  <c r="Z13" i="1"/>
  <c r="R12" i="1"/>
  <c r="S12" i="1"/>
  <c r="V13" i="1"/>
  <c r="W12" i="3" l="1"/>
  <c r="T11" i="3"/>
  <c r="W11" i="3" s="1"/>
  <c r="S11" i="3"/>
  <c r="AA11" i="3" s="1"/>
  <c r="AA12" i="3"/>
  <c r="R11" i="1"/>
  <c r="Z11" i="1" s="1"/>
  <c r="Z12" i="1"/>
  <c r="V12" i="1"/>
  <c r="S11" i="1"/>
  <c r="V1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Yolanda Baron Pedraza</author>
  </authors>
  <commentList>
    <comment ref="I472" authorId="0" shapeId="0" xr:uid="{2A615554-5578-452A-B3F8-5B355ADA05A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26 enero 26/21 $24,165,016
</t>
        </r>
      </text>
    </comment>
    <comment ref="J476" authorId="0" shapeId="0" xr:uid="{558A90B4-2608-4908-A9A3-43CC18D3374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 del 26/01/2021 $9,296,364,215
resolu 027/ enero 27/2021 $1,362,635,323</t>
        </r>
      </text>
    </comment>
    <comment ref="I479" authorId="0" shapeId="0" xr:uid="{4836B8BA-C6F3-4B56-863A-4691D363898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26/2021 $20,296,364,215
</t>
        </r>
      </text>
    </comment>
    <comment ref="I484" authorId="0" shapeId="0" xr:uid="{EB520151-7638-4CAB-ABCC-F8A1413A6DE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27/2021 $1,555,449,996
</t>
        </r>
      </text>
    </comment>
    <comment ref="I486" authorId="0" shapeId="0" xr:uid="{836B023F-D1D2-409B-B261-CE0DCC00676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26/2021 $95,000,000</t>
        </r>
      </text>
    </comment>
    <comment ref="I488" authorId="0" shapeId="0" xr:uid="{69CABABD-2C2A-40EF-B8C3-89D8505BE1F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27/2021 $1,331,864,802</t>
        </r>
      </text>
    </comment>
    <comment ref="J492" authorId="0" shapeId="0" xr:uid="{69E76A09-89C7-4D50-97AD-7FE55679BAB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26/2021 $11,000,000,000
reso 27 enero 27/2021 $5,500,000,000</t>
        </r>
      </text>
    </comment>
    <comment ref="I494" authorId="0" shapeId="0" xr:uid="{15D35BB7-3289-47E4-8A09-AECDA080C51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26/2021 $22,204,778</t>
        </r>
      </text>
    </comment>
    <comment ref="I496" authorId="0" shapeId="0" xr:uid="{0972537E-F1F8-44F2-A715-01C8FB59FFB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27/2021 $3,975,320,525
</t>
        </r>
      </text>
    </comment>
    <comment ref="I503" authorId="0" shapeId="0" xr:uid="{79684F24-6A7D-4E55-B059-50CF4A8BA41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26/2021 $60,325,921,15</t>
        </r>
      </text>
    </comment>
    <comment ref="I515" authorId="0" shapeId="0" xr:uid="{BD21428F-3B8D-42CE-8994-F7D4356524B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27 enero 27/2021 $503,000,000,00</t>
        </r>
      </text>
    </comment>
    <comment ref="I519" authorId="0" shapeId="0" xr:uid="{702F83AE-FFFC-4564-9496-7760506DA7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26/2021 $91,680,424</t>
        </r>
      </text>
    </comment>
    <comment ref="J521" authorId="0" shapeId="0" xr:uid="{FE648FAB-98CF-4112-B30F-2E2D86D35A6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26/2021 $329,895,811,15
resol 027 enero 27/21 $2,003,000,000</t>
        </r>
      </text>
    </comment>
    <comment ref="I523" authorId="0" shapeId="0" xr:uid="{98EB78FD-5262-43F6-8029-6E4C58BB231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26/2021 $36,519,672</t>
        </r>
      </text>
    </comment>
    <comment ref="I528" authorId="0" shapeId="0" xr:uid="{7C5ADB8B-3FB7-4378-B5D6-05BDC28CFFA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27/2021 $1,500,000,000</t>
        </r>
      </text>
    </comment>
    <comment ref="J627" authorId="0" shapeId="0" xr:uid="{6B1A9DE5-E245-47EF-A9EA-AEEA6B886A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26/21 $75000,000</t>
        </r>
      </text>
    </comment>
    <comment ref="I658" authorId="0" shapeId="0" xr:uid="{99EC0011-DE4A-4745-A5F1-226AA4DD81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eneroo 26/2021 $4,400,000</t>
        </r>
      </text>
    </comment>
    <comment ref="I660" authorId="0" shapeId="0" xr:uid="{BE2ACD4C-D6AE-4672-8FFD-DFBFB221DD5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26/2021 $88,500,000</t>
        </r>
      </text>
    </comment>
    <comment ref="J662" authorId="0" shapeId="0" xr:uid="{0DC9460A-DD03-4348-B5DF-1B2A77B5F93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26/2021 $900,000,00</t>
        </r>
      </text>
    </comment>
    <comment ref="J670" authorId="0" shapeId="0" xr:uid="{9AD7E1B2-7974-45FE-9B03-9EE8C3BAB25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026enero 26/2021 $17,000,000</t>
        </r>
      </text>
    </comment>
    <comment ref="J853" authorId="0" shapeId="0" xr:uid="{1C5BC3E7-1FEA-479F-8798-2317DD0302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01/26/2021</t>
        </r>
      </text>
    </comment>
    <comment ref="J857" authorId="0" shapeId="0" xr:uid="{0911F94D-ED60-4DE2-8D57-1F0AD6082DE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</t>
        </r>
      </text>
    </comment>
    <comment ref="I859" authorId="0" shapeId="0" xr:uid="{889F5ADE-6FC9-45CB-80B0-F8B5361FE6E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26/2021 $3,086,332,698</t>
        </r>
      </text>
    </comment>
    <comment ref="I861" authorId="0" shapeId="0" xr:uid="{11B40C68-7648-497F-A7B4-9D06DCB0D2D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26/2021 $501,500,000</t>
        </r>
      </text>
    </comment>
    <comment ref="J863" authorId="0" shapeId="0" xr:uid="{CB345627-F795-475F-9513-02FDC8DF841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</t>
        </r>
      </text>
    </comment>
    <comment ref="I865" authorId="0" shapeId="0" xr:uid="{C3E7DEF5-DC29-4CC1-824D-F9BC61B2670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26/2021 $221,000,000</t>
        </r>
      </text>
    </comment>
    <comment ref="I956" authorId="0" shapeId="0" xr:uid="{2CB841F1-5282-457E-8299-829EAC5AE55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026 enero 26/2021 $5,536,570,240</t>
        </r>
      </text>
    </comment>
    <comment ref="J959" authorId="0" shapeId="0" xr:uid="{B9A490A5-94F1-48B4-8B03-2FCE60BCB77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Yolanda Baron Pedraza</author>
  </authors>
  <commentList>
    <comment ref="AH18" authorId="0" shapeId="0" xr:uid="{6854DE13-4ECD-40C4-9CC3-60B41386C98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11356 JUNIO 18/2021 $100,000,000
RESOL 1359 AGOTO 2/2021</t>
        </r>
      </text>
    </comment>
    <comment ref="AH19" authorId="0" shapeId="0" xr:uid="{B6EDEDA6-3D42-4465-958A-6385752041A6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1812 oct 20/2021</t>
        </r>
      </text>
    </comment>
    <comment ref="AG20" authorId="0" shapeId="0" xr:uid="{AEA656B9-DE61-4CEE-8A7E-83A35D62DD1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H25" authorId="0" shapeId="0" xr:uid="{F6CF2D0C-0D8B-4B66-B1E5-628FAFBD961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18/2021 $140,000,000</t>
        </r>
      </text>
    </comment>
    <comment ref="AH35" authorId="0" shapeId="0" xr:uid="{87C33A38-EEEE-47DD-B8C4-88883E534A9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18/2021 $120,000,000</t>
        </r>
      </text>
    </comment>
    <comment ref="AG36" authorId="0" shapeId="0" xr:uid="{2D867AC8-7B20-4A1A-B9FE-E715AA4EAFA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H37" authorId="0" shapeId="0" xr:uid="{8DB47C1D-5766-4A1C-90E1-F8CEC64FDA3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18/2021 $72,000,000</t>
        </r>
      </text>
    </comment>
    <comment ref="AH44" authorId="0" shapeId="0" xr:uid="{B5FF7C46-17EF-467C-BC73-A70F6552571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18/2021 $70,000,000
RESOL 1359 AGOSTO 2/2021
res 1812 oct 20/201</t>
        </r>
      </text>
    </comment>
    <comment ref="AH45" authorId="0" shapeId="0" xr:uid="{E04356BA-81DD-47E5-B068-F73993AED98F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1812 oct 20/2021</t>
        </r>
      </text>
    </comment>
    <comment ref="AH47" authorId="0" shapeId="0" xr:uid="{BE1BAE97-9F1D-45E8-9534-D7E68F5B56A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1649 sept 28/2021</t>
        </r>
      </text>
    </comment>
    <comment ref="AH53" authorId="0" shapeId="0" xr:uid="{C28DAE1B-BB62-4482-8424-BDF7E30C543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1135JUNIO 18/2021 $79,000,000
RES 1265 JUL 14/2021RESOL 1359 AGOSTO 2/2021</t>
        </r>
      </text>
    </comment>
    <comment ref="AG54" authorId="0" shapeId="0" xr:uid="{E4E68011-4DA9-46FA-BA71-E3140DBFC44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H56" authorId="0" shapeId="0" xr:uid="{9F9659D6-5768-42A6-BECC-ABF852D553B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18/2021 $37,500,000</t>
        </r>
      </text>
    </comment>
    <comment ref="AH59" authorId="0" shapeId="0" xr:uid="{CD4867B4-F66A-484D-9C6E-6777DD25D35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1359 AGOSTO 2</t>
        </r>
      </text>
    </comment>
    <comment ref="AG60" authorId="0" shapeId="0" xr:uid="{516B1F3C-7A4F-40EB-8A51-FD455C1C87C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H62" authorId="0" shapeId="0" xr:uid="{AA33D6A5-CCB9-456E-B722-49334CB02164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1812 oct 20/2021</t>
        </r>
      </text>
    </comment>
    <comment ref="AG63" authorId="0" shapeId="0" xr:uid="{1D10B16C-BB04-4BF0-B6F6-A55581D130A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66" authorId="0" shapeId="0" xr:uid="{524BD7E8-C963-4731-8282-E3066DBA4A5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69" authorId="0" shapeId="0" xr:uid="{C5365D33-CC98-4DA7-9353-0F951D88896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74" authorId="0" shapeId="0" xr:uid="{FC619B77-EBD4-49AB-B06E-E0A2FE2BA4C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H76" authorId="0" shapeId="0" xr:uid="{10CD0538-AFB6-4A7E-9615-20440A0B047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del 12 mayoRESOL 1359 AGOSTO 2/2021</t>
        </r>
      </text>
    </comment>
    <comment ref="AG84" authorId="0" shapeId="0" xr:uid="{306B7852-FBA4-407A-BD43-B84E2D02A5F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18/2021 $72,000,000</t>
        </r>
      </text>
    </comment>
    <comment ref="AG89" authorId="0" shapeId="0" xr:uid="{1A9E9DE9-E808-4429-824B-4078D045B66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18/2021 $70,000,000</t>
        </r>
      </text>
    </comment>
    <comment ref="AG90" authorId="0" shapeId="0" xr:uid="{CB5BA829-A1E4-4D68-A718-B4B108954E4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SEPT</t>
        </r>
      </text>
    </comment>
    <comment ref="AG91" authorId="0" shapeId="0" xr:uid="{ACA93AC8-4A3B-447D-BEEB-2AD5E6C250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</t>
        </r>
      </text>
    </comment>
    <comment ref="AG92" authorId="0" shapeId="0" xr:uid="{A715DF8A-7C09-42C1-A662-EC44CFC592A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18/2021 $37,500,000</t>
        </r>
      </text>
    </comment>
    <comment ref="AH92" authorId="0" shapeId="0" xr:uid="{E491D3F0-381F-4072-8FF5-C9763038A60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JUK 14/2021 $37,500,000</t>
        </r>
      </text>
    </comment>
    <comment ref="AG93" authorId="0" shapeId="0" xr:uid="{CCDE9991-BD3A-45F7-8A01-CB2A90E8A9D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18/2021$260,000,000$79,000,000</t>
        </r>
      </text>
    </comment>
    <comment ref="AH93" authorId="0" shapeId="0" xr:uid="{EFD3B856-970B-4AF4-85CF-7915E974295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
RES SEPT </t>
        </r>
      </text>
    </comment>
    <comment ref="AH95" authorId="0" shapeId="0" xr:uid="{DC9EF426-8654-475C-B4CE-20489636802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12/2021 $90,000,000
res 201 marzo 4/2021
res 1812 oct 20/2021</t>
        </r>
      </text>
    </comment>
    <comment ref="AG96" authorId="0" shapeId="0" xr:uid="{9ED8414D-3246-4DAE-9A05-348514907F4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14/04/2021 $200,000,000
res 1135 jun 18/2021 $37,500,000
res 1265 jul 14/2021
RESO DE SEPT
</t>
        </r>
      </text>
    </comment>
    <comment ref="AH96" authorId="0" shapeId="0" xr:uid="{ED4EB3E2-81C7-46C0-9816-2369FE87285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12/2021 $490,000,000</t>
        </r>
      </text>
    </comment>
    <comment ref="AG97" authorId="0" shapeId="0" xr:uid="{00951B47-E711-4F40-A2B3-2BBCCD6E28F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2021</t>
        </r>
      </text>
    </comment>
    <comment ref="AH97" authorId="0" shapeId="0" xr:uid="{4E0A0EE3-F1C8-4761-9329-64C72322FDF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</t>
        </r>
      </text>
    </comment>
    <comment ref="AG98" authorId="0" shapeId="0" xr:uid="{12F773B4-E7D2-402D-AFF0-1234E1053FF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069 feb 12/2021 $1,580,000,000
resol 308 marzo 12/2021 $150,000,000
RES 511 MARZO 19/2021 $300,000,000
RES 0201 MARZO 4/2021 $34,200,000RESOL 1437 AGOSTO 18/2021
RESOL 1359 AGOSTO 2/2021</t>
        </r>
      </text>
    </comment>
    <comment ref="AH98" authorId="0" shapeId="0" xr:uid="{06EA5902-0020-4FCC-9E05-2237C6C484F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12/2021 $1,000,000,000
resol 308 marzo 12/2021 $450,000,000
resol 511 marzo 19/2021
res 201 4 marzo 2021
RESOL 1437 AGOSTO 18</t>
        </r>
      </text>
    </comment>
    <comment ref="AG99" authorId="0" shapeId="0" xr:uid="{02ABECF1-327B-46B5-8B68-F60F62DC388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1437 AGOSTO 18/2021</t>
        </r>
      </text>
    </comment>
    <comment ref="AG100" authorId="0" shapeId="0" xr:uid="{6B9B00EE-039E-4DCB-8A85-C07133A468B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1649 SEPT 28/2021 
RES 1812/ OCT 20</t>
        </r>
      </text>
    </comment>
    <comment ref="AG105" authorId="0" shapeId="0" xr:uid="{BD632C30-1ACB-466F-95C5-9B6259A4D5E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1/2021 $80,000,000</t>
        </r>
      </text>
    </comment>
    <comment ref="AG112" authorId="0" shapeId="0" xr:uid="{EA2DF25A-4F3F-4DA2-8C56-A925A68858F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E115" authorId="0" shapeId="0" xr:uid="{50811F37-5E5B-4026-BA2B-109F41E05E1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16" authorId="0" shapeId="0" xr:uid="{EEAEBF1F-A186-4011-AC84-73FF752D20A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14/04/2021 $700000,000,00
RES 1265 $JUL 14/2021 $1,040,000,000</t>
        </r>
      </text>
    </comment>
    <comment ref="AH127" authorId="0" shapeId="0" xr:uid="{C8238325-FECB-48C6-B9E8-E3DD118E14B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15 abril/2021 $900,000,000
RES 1209 JUL 1 DE 2021
RESOL 1265 JUL 14JULIO14/2021
RESOLUCION 1407 AGOSTO 13/2021 $365,556,246,72
RESOL 1437 AGOSTO 18</t>
        </r>
      </text>
    </comment>
    <comment ref="AE130" authorId="0" shapeId="0" xr:uid="{85483658-C287-4D49-A521-C9F99D2A44B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35" authorId="0" shapeId="0" xr:uid="{6930F02D-EFAD-449B-8518-32B8AABE07C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G137" authorId="0" shapeId="0" xr:uid="{27011756-154D-473F-B177-5A5B250F6D5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
</t>
        </r>
      </text>
    </comment>
    <comment ref="AG147" authorId="0" shapeId="0" xr:uid="{D6331231-ED85-4462-9B7F-41B680DDA50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
</t>
        </r>
      </text>
    </comment>
    <comment ref="AE148" authorId="0" shapeId="0" xr:uid="{9DDA47C9-E71A-4512-9B20-A22DA84FB29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53" authorId="0" shapeId="0" xr:uid="{FC6A55BF-1A8E-4462-8798-03469F8858D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
res 915 mayo 12 $12,000,000</t>
        </r>
      </text>
    </comment>
    <comment ref="AG158" authorId="0" shapeId="0" xr:uid="{17C4B5E1-D5AA-411B-B5CD-7D6C9C06923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4/2021RESOL 1359 AGOSTO 2/2021
RES 1812/OCT 2021</t>
        </r>
      </text>
    </comment>
    <comment ref="AH169" authorId="0" shapeId="0" xr:uid="{2BA05CFB-0288-41B4-87AD-32C1A47A43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
</t>
        </r>
      </text>
    </comment>
    <comment ref="AH174" authorId="0" shapeId="0" xr:uid="{4401EB4C-120B-4C00-8D2F-4B157A6B0AD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2021</t>
        </r>
      </text>
    </comment>
    <comment ref="AE179" authorId="0" shapeId="0" xr:uid="{A8801101-BA75-4DD3-93C0-599AA488168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E186" authorId="0" shapeId="0" xr:uid="{AF745DE7-26F6-463B-8DF7-9D194B2AB99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87" authorId="0" shapeId="0" xr:uid="{43A8FAF1-1E31-4B93-8DF5-DB1C82A521B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H200" authorId="0" shapeId="0" xr:uid="{F4447FD4-28FB-4FA2-8187-FBF5CEA657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18/2021 $40,000,000</t>
        </r>
      </text>
    </comment>
    <comment ref="AG202" authorId="0" shapeId="0" xr:uid="{DD37A873-FFDD-4BC2-85C1-F393083FDE6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205" authorId="0" shapeId="0" xr:uid="{C9133986-E698-4115-9C88-78E667411E8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205" authorId="0" shapeId="0" xr:uid="{BC26E1AF-90C2-4602-906D-D4268865623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12 de mayo 
</t>
        </r>
      </text>
    </comment>
    <comment ref="AG208" authorId="0" shapeId="0" xr:uid="{4FC193FA-9578-4EAC-A547-B2085F4730C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</t>
        </r>
      </text>
    </comment>
    <comment ref="AG212" authorId="0" shapeId="0" xr:uid="{19BDC132-4089-40E9-8F66-A965B79370E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18/2021 $60,000,000</t>
        </r>
      </text>
    </comment>
    <comment ref="AG213" authorId="0" shapeId="0" xr:uid="{C856E149-FCFF-4CD3-A34D-31C524C977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216" authorId="0" shapeId="0" xr:uid="{75890BCA-DA1C-4C39-885D-6CE666368FF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1653 OCT 1 DE 2021</t>
        </r>
      </text>
    </comment>
    <comment ref="AG217" authorId="0" shapeId="0" xr:uid="{F4C36FFA-D761-4E18-971B-6C617106F22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1653 OCT 1/2021</t>
        </r>
      </text>
    </comment>
    <comment ref="AG219" authorId="0" shapeId="0" xr:uid="{98197279-362A-4790-9899-46D97CEC856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814 abril 30/2021</t>
        </r>
      </text>
    </comment>
    <comment ref="AG221" authorId="0" shapeId="0" xr:uid="{4C50B191-09DB-43E3-B316-2B5B046341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H221" authorId="0" shapeId="0" xr:uid="{DD270894-8DF7-4C3A-BF44-59BCF79C3147}">
      <text>
        <r>
          <rPr>
            <b/>
            <sz val="9"/>
            <color indexed="81"/>
            <rFont val="Tahoma"/>
            <family val="2"/>
          </rPr>
          <t>Yolanda Baron Pedrresol 1653 oct 1/2021</t>
        </r>
      </text>
    </comment>
    <comment ref="AG222" authorId="0" shapeId="0" xr:uid="{7E214484-D608-4BA8-9EB8-6665E1FD87C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H222" authorId="0" shapeId="0" xr:uid="{DE732FD0-C2BF-4A3C-8A06-5FE99E28F601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1653 oct 1/2021</t>
        </r>
      </text>
    </comment>
    <comment ref="AG224" authorId="0" shapeId="0" xr:uid="{1B290001-F329-4C03-8F6A-0F2169727E1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15/2021
</t>
        </r>
      </text>
    </comment>
    <comment ref="AG225" authorId="0" shapeId="0" xr:uid="{0B0CD6AB-20FB-4785-8F81-2701E777CD7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1653 OCTU 1 DE 2021</t>
        </r>
      </text>
    </comment>
    <comment ref="AG231" authorId="0" shapeId="0" xr:uid="{5A321A05-F4A2-461B-BAB2-872001C34CB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12/2021 $200,000,000</t>
        </r>
      </text>
    </comment>
    <comment ref="AH231" authorId="0" shapeId="0" xr:uid="{BD7BCE1C-2E65-4DA8-A796-2E8F8F5558F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814 30 abril 2021 $200,000,000</t>
        </r>
      </text>
    </comment>
    <comment ref="AH233" authorId="0" shapeId="0" xr:uid="{CF1818A3-07FB-4A30-B878-73980F0DEE25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1812 oct 20</t>
        </r>
      </text>
    </comment>
    <comment ref="AH235" authorId="0" shapeId="0" xr:uid="{3AC9CC6C-2DF7-4BEF-9024-6A46C52882F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18/2021 $20,000,000
reso 1613 sept 17/2021</t>
        </r>
      </text>
    </comment>
    <comment ref="AG238" authorId="0" shapeId="0" xr:uid="{2C8F280B-FB48-40F1-93A7-7380C914256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18/2021 $200,000,000</t>
        </r>
      </text>
    </comment>
    <comment ref="AH238" authorId="0" shapeId="0" xr:uid="{C3F7FCE9-A8C0-488A-A546-B9D4A3A3E8AA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1812 oct 20/21</t>
        </r>
      </text>
    </comment>
    <comment ref="AG240" authorId="0" shapeId="0" xr:uid="{C8DBCEFF-7AC0-4B82-B8EB-6D2F9A73397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243" authorId="0" shapeId="0" xr:uid="{56FB66FB-22FD-4D72-8A3F-4616A0064A6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18/2021 $400,000,000</t>
        </r>
      </text>
    </comment>
    <comment ref="AG246" authorId="0" shapeId="0" xr:uid="{1DE8F8D9-64E5-49EA-B8A9-4DE17404F4A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18/2021$400,000,000</t>
        </r>
      </text>
    </comment>
    <comment ref="AE250" authorId="0" shapeId="0" xr:uid="{B3C189BC-4295-4D6D-8539-7C77F27F2EF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263" authorId="0" shapeId="0" xr:uid="{351C77B8-A3C1-428E-ACE5-8243BC1E8072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1812 oct 20/21</t>
        </r>
      </text>
    </comment>
    <comment ref="AG266" authorId="0" shapeId="0" xr:uid="{E984D00A-0381-4C08-BE90-B2EE1C9E5C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273" authorId="0" shapeId="0" xr:uid="{48EDF171-7E8C-4382-B77A-C9140DBCC36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280" authorId="0" shapeId="0" xr:uid="{50AA2E42-4A0E-441B-8052-BB1373DBE6C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282" authorId="0" shapeId="0" xr:uid="{5CDCD5DB-182C-465E-A142-377C5F4647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284" authorId="0" shapeId="0" xr:uid="{C771B582-94A6-4785-A669-23FF402F8E8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20/21</t>
        </r>
      </text>
    </comment>
    <comment ref="AG286" authorId="0" shapeId="0" xr:uid="{A6C7D212-B881-44AA-B493-6394FBCF701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288" authorId="0" shapeId="0" xr:uid="{5F4EA64D-4FEC-40A8-ABE3-D7084B8F533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290" authorId="0" shapeId="0" xr:uid="{8F79E9D0-35EF-4428-A041-F1768C8B860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292" authorId="0" shapeId="0" xr:uid="{EF0589DF-3B6D-4577-9F41-1E6854B8757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296" authorId="0" shapeId="0" xr:uid="{1915E9B3-29F5-444B-956B-5B627108B55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311" authorId="0" shapeId="0" xr:uid="{DDDEC931-8CFC-4094-A0DA-C81A61E5726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H311" authorId="0" shapeId="0" xr:uid="{3191B28D-0458-4357-984A-A3C4DB2D4BA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19/2021 $316,940,531,70
resol 1812 oct20/2021</t>
        </r>
      </text>
    </comment>
    <comment ref="AE313" authorId="0" shapeId="0" xr:uid="{11D3BC26-32D6-4D45-BC4B-D506F4A2758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315" authorId="0" shapeId="0" xr:uid="{0BC1C1AC-8264-4A71-9DAA-594C65067B3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1812 OCT 20</t>
        </r>
      </text>
    </comment>
    <comment ref="AG319" authorId="0" shapeId="0" xr:uid="{C6FB6DE0-9412-4AFA-AAE1-6D1F615111D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G323" authorId="0" shapeId="0" xr:uid="{5FEA7F45-307B-4753-857A-BA6D38798E2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333" authorId="0" shapeId="0" xr:uid="{7A5DD507-F8A7-4F62-BA4A-47E1900ADEF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RESL 1812 OCT 20</t>
        </r>
      </text>
    </comment>
    <comment ref="AG335" authorId="0" shapeId="0" xr:uid="{25C605F1-6319-4DBE-B6EF-9B1E5212FC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350" authorId="0" shapeId="0" xr:uid="{1D31E465-F543-43A7-8EA1-BF5C7F51D1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H375" authorId="0" shapeId="0" xr:uid="{6C0BB08A-0FE7-4357-85C9-E6FDB69E67F2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1812 oct 2021</t>
        </r>
      </text>
    </comment>
    <comment ref="AG377" authorId="0" shapeId="0" xr:uid="{A719DBC2-6FCD-4D61-9E65-4C8316C73C1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379" authorId="0" shapeId="0" xr:uid="{37968582-7871-4438-B5E2-D779475DDD4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395" authorId="0" shapeId="0" xr:uid="{7CFB7657-F616-4ACD-B600-D8F0F193132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RESL 1812 OCT 20</t>
        </r>
      </text>
    </comment>
    <comment ref="AG409" authorId="0" shapeId="0" xr:uid="{5D70AE8C-8626-44DC-A72F-80F95F98A6D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12/2021 $2,000,000,000RES 1265 JULI 14/2021</t>
        </r>
      </text>
    </comment>
    <comment ref="AE416" authorId="0" shapeId="0" xr:uid="{A237113A-7046-4DC4-BEEF-F1988480522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dec0120 sept 24/2021
</t>
        </r>
      </text>
    </comment>
    <comment ref="AG417" authorId="0" shapeId="0" xr:uid="{F538B32C-1EF3-4DA0-ADED-ACB2DFF4D29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
</t>
        </r>
      </text>
    </comment>
    <comment ref="AH417" authorId="0" shapeId="0" xr:uid="{61F8B1EA-B25B-4A1B-AE37-F119877CF23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13/52021 $95,676,637</t>
        </r>
      </text>
    </comment>
    <comment ref="AH418" authorId="0" shapeId="0" xr:uid="{76949335-DD18-42E1-ACA3-71F0C481429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 1407 agosto 13/2021 $1,040,144,569
</t>
        </r>
      </text>
    </comment>
    <comment ref="AE419" authorId="0" shapeId="0" xr:uid="{DC607211-286D-4FEF-86F1-E9B31B52A6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20" authorId="0" shapeId="0" xr:uid="{B05E5923-B1AE-4079-B685-D96F8C160F5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21" authorId="0" shapeId="0" xr:uid="{E89289CF-D4E8-481C-A4A0-AC9094FA37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MAYO27/2021</t>
        </r>
      </text>
    </comment>
    <comment ref="AG423" authorId="0" shapeId="0" xr:uid="{12611DD9-48A3-48C6-96C4-8185E03C4E1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425" authorId="0" shapeId="0" xr:uid="{DF85B56E-08B6-49EB-8417-1576A6023E9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</t>
        </r>
      </text>
    </comment>
    <comment ref="AE426" authorId="0" shapeId="0" xr:uid="{BC9DF340-9291-4245-BD4E-A75E0DE759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H431" authorId="0" shapeId="0" xr:uid="{20474A53-C75C-4A8A-B5F8-CE6AA540319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13/2021 $169,996,000
res 1407 agosto 13/2021$20,000,000</t>
        </r>
      </text>
    </comment>
    <comment ref="AH436" authorId="0" shapeId="0" xr:uid="{59BA78B0-563B-4110-9C74-5B8B20CB647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
/2021 $94,960,
977</t>
        </r>
      </text>
    </comment>
    <comment ref="AH440" authorId="0" shapeId="0" xr:uid="{DEEAA72E-AC69-4949-A1ED-9303588AA82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</t>
        </r>
      </text>
    </comment>
    <comment ref="AH442" authorId="0" shapeId="0" xr:uid="{026DECE3-6F35-4382-9DD6-896A251D487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14/2021$210,000,000
res 1812 oct 20/2021</t>
        </r>
      </text>
    </comment>
    <comment ref="AE444" authorId="0" shapeId="0" xr:uid="{8715C960-15C1-453B-864B-BD7F818894A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</t>
        </r>
      </text>
    </comment>
    <comment ref="AE447" authorId="0" shapeId="0" xr:uid="{1121E289-3D05-4189-A102-0B7BFD4FA47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48" authorId="0" shapeId="0" xr:uid="{458AD01D-50E0-42A6-A8B5-F37DE171167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49" authorId="0" shapeId="0" xr:uid="{208988C9-BF77-43C6-BA5D-E2611DEC385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H453" authorId="0" shapeId="0" xr:uid="{758C18AE-F8B2-4F52-9377-D2BDEA4C504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13 $736,198
</t>
        </r>
      </text>
    </comment>
    <comment ref="AG457" authorId="0" shapeId="0" xr:uid="{32610298-FFEE-45E2-B99D-0CD1DEDDDCD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19/2021 $27,102,938</t>
        </r>
      </text>
    </comment>
    <comment ref="AG459" authorId="0" shapeId="0" xr:uid="{286DB486-129D-4E46-97DA-50F805A11B1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1812 OCT 20</t>
        </r>
      </text>
    </comment>
    <comment ref="AG461" authorId="0" shapeId="0" xr:uid="{24171DF5-EE3C-41B4-86B7-870D74211D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22 ABRIL 2021 $417,383651,71</t>
        </r>
      </text>
    </comment>
    <comment ref="AE462" authorId="0" shapeId="0" xr:uid="{B1767604-7E09-4F6E-AB03-D2C9345468F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462" authorId="0" shapeId="0" xr:uid="{51618062-D109-4BDC-808C-5E5709F073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13/2021 $1,416,953,380
reso 1613 s ept 17/2021</t>
        </r>
      </text>
    </comment>
    <comment ref="AG464" authorId="0" shapeId="0" xr:uid="{9EE67033-E37B-4C6A-8338-EE29C0571A0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14/2021$210000000
</t>
        </r>
      </text>
    </comment>
    <comment ref="AG466" authorId="0" shapeId="0" xr:uid="{3673642B-5598-49AE-8A82-EC413954CE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468" authorId="0" shapeId="0" xr:uid="{EC5FBC32-ADB6-4392-B393-0108CECE1A5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511 MARZO 19/2021</t>
        </r>
      </text>
    </comment>
    <comment ref="AH474" authorId="0" shapeId="0" xr:uid="{FC539B07-5A5B-4EA3-9AEC-B8894E273AB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19/2021 $155,990,000</t>
        </r>
      </text>
    </comment>
    <comment ref="AE475" authorId="0" shapeId="0" xr:uid="{95474F2B-63CE-497A-8C7B-35BDCFBCB4C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
</t>
        </r>
      </text>
    </comment>
    <comment ref="AG475" authorId="0" shapeId="0" xr:uid="{1C0B208C-C015-4417-AC41-942280D509A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477" authorId="0" shapeId="0" xr:uid="{036E620D-391C-43A2-A122-3EED268E361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13/2021 $20,000,000</t>
        </r>
      </text>
    </comment>
    <comment ref="AH477" authorId="0" shapeId="0" xr:uid="{488B2F6E-9811-42A5-935A-B9D933705E8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sept17/2021</t>
        </r>
      </text>
    </comment>
    <comment ref="AE479" authorId="0" shapeId="0" xr:uid="{42050868-185C-4DFF-810B-69854BF26DF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</t>
        </r>
      </text>
    </comment>
    <comment ref="AG479" authorId="0" shapeId="0" xr:uid="{F772E702-7739-4A86-AA01-CF2EFC6DC2A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22/2021 $1227,570,664,14</t>
        </r>
      </text>
    </comment>
    <comment ref="AH479" authorId="0" shapeId="0" xr:uid="{6413300D-4F42-40E9-BD9C-21608A0A670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480" authorId="0" shapeId="0" xr:uid="{E5387DE9-0C1A-4BF3-949E-F765C473AA6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 1265 JUL 14/2021</t>
        </r>
      </text>
    </comment>
    <comment ref="AE486" authorId="0" shapeId="0" xr:uid="{639616EE-729B-4816-9714-9FBAD7CF1DD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033 MARZO 1/2021</t>
        </r>
      </text>
    </comment>
    <comment ref="AH486" authorId="0" shapeId="0" xr:uid="{C18BD62D-1632-4C2F-9B38-9AC8D08C03F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22/2021 $1,644,954,15,85</t>
        </r>
      </text>
    </comment>
    <comment ref="AE487" authorId="0" shapeId="0" xr:uid="{4665F9F6-09E1-4F26-9F09-86C85146DB9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H487" authorId="0" shapeId="0" xr:uid="{40391E4F-5D36-4BDD-84A1-C6AA038F2AF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14/2021 $60,900,682</t>
        </r>
      </text>
    </comment>
    <comment ref="AH490" authorId="0" shapeId="0" xr:uid="{B9598399-31A7-488B-99E0-AEB4C20B8A6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19/2021 $23,257,108
RES 1265 JUL 14/2021</t>
        </r>
      </text>
    </comment>
    <comment ref="AE493" authorId="0" shapeId="0" xr:uid="{C2841C99-362E-4E12-86E9-C1D96AB5A2F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494" authorId="0" shapeId="0" xr:uid="{954BBF27-3391-44EF-8F20-25C6288634A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rs 1265 jul 14/2021</t>
        </r>
      </text>
    </comment>
    <comment ref="AH496" authorId="0" shapeId="0" xr:uid="{4FE57998-20BE-4B26-B678-4EF17B067EC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498" authorId="0" shapeId="0" xr:uid="{DDA8074E-B439-4DFE-B1AF-D4B93C0F7B4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
</t>
        </r>
      </text>
    </comment>
    <comment ref="AG500" authorId="0" shapeId="0" xr:uid="{9F5E0E28-D806-4FE8-867B-98B0EF6B7E1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502" authorId="0" shapeId="0" xr:uid="{471CE04E-CA10-4085-8A12-7392C836354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H502" authorId="0" shapeId="0" xr:uid="{6B749872-E547-4960-BB80-3AD23DB3C65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19/2021 $3,845,830
RES 1265 JUL 14/2021</t>
        </r>
      </text>
    </comment>
    <comment ref="AH503" authorId="0" shapeId="0" xr:uid="{EEE6E9EB-2C54-498C-8E44-2C6DE8A0FB7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H505" authorId="0" shapeId="0" xr:uid="{404C0BCF-2506-4763-9E82-2090655FA82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G508" authorId="0" shapeId="0" xr:uid="{122F108B-9913-4C77-AD48-F769D361C44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
</t>
        </r>
      </text>
    </comment>
    <comment ref="AE514" authorId="0" shapeId="0" xr:uid="{59839FE0-EAF8-4010-B155-8438722B887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15" authorId="0" shapeId="0" xr:uid="{D19BBB98-DF62-494E-9B90-F9A46BBBC8D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23" authorId="0" shapeId="0" xr:uid="{E7473CBD-265D-4157-97A0-856DF4FEAAC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520 DEL 26 DE MARZO 2021 $1,5000,000,00</t>
        </r>
      </text>
    </comment>
    <comment ref="AE526" authorId="0" shapeId="0" xr:uid="{5F2091C4-4775-4811-8C07-3926D467FE2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G528" authorId="0" shapeId="0" xr:uid="{F14A8947-AAF8-4C05-973D-7F561467385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0520 DEL 26 MARZO 2021 $1,500,000,000</t>
        </r>
      </text>
    </comment>
    <comment ref="AH528" authorId="0" shapeId="0" xr:uid="{C6BB173E-7359-49B9-B121-3EA5F49B3E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E531" authorId="0" shapeId="0" xr:uid="{5E816044-5DF4-4F54-981E-B6F8528851F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37" authorId="0" shapeId="0" xr:uid="{E030AAA4-2648-4FBD-A7CA-19326A994FA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48" authorId="0" shapeId="0" xr:uid="{2750C2C4-0E7F-49EE-8F68-E257B826C57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H548" authorId="0" shapeId="0" xr:uid="{8AAE1892-C997-4823-A921-C55E997170A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11/2021 $1,500,000,000</t>
        </r>
      </text>
    </comment>
    <comment ref="AG551" authorId="0" shapeId="0" xr:uid="{1BB932F8-6658-47AF-973A-0412CD98FF6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agosto27/2021
</t>
        </r>
      </text>
    </comment>
    <comment ref="AH559" authorId="0" shapeId="0" xr:uid="{D1D4CDD9-9373-4922-842B-45CD3A081A0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resolucion 1407 agosto 13$530,557,116</t>
        </r>
      </text>
    </comment>
    <comment ref="AE560" authorId="0" shapeId="0" xr:uid="{1EFF0388-D1BE-4085-B363-774F773099B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068 MAYO 31/2021</t>
        </r>
      </text>
    </comment>
    <comment ref="AG563" authorId="0" shapeId="0" xr:uid="{3DB3D5C4-7340-4C89-BA55-43AF8801E5D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564" authorId="0" shapeId="0" xr:uid="{95FEAE8E-88F4-49A3-B091-8F95612D098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565" authorId="0" shapeId="0" xr:uid="{EE1D8DD4-F8FF-49A8-A429-D330BFA2298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E567" authorId="0" shapeId="0" xr:uid="{4EC2C48D-92D1-4CD1-84FC-2252B141263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
DEC 068 MAYO 31/2021</t>
        </r>
      </text>
    </comment>
    <comment ref="AH567" authorId="0" shapeId="0" xr:uid="{EA2ECF90-E276-47F3-88B0-DC6D7EDBB71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569" authorId="0" shapeId="0" xr:uid="{E3684CA3-1DB8-4E73-BA25-338BA221F40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26 enero 26/21 $24,165,016
res 1336 julio 28/2021</t>
        </r>
      </text>
    </comment>
    <comment ref="AH569" authorId="0" shapeId="0" xr:uid="{A6BF1476-0728-4BDC-A373-9B8F4E3697A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13/2021$200,000,000</t>
        </r>
      </text>
    </comment>
    <comment ref="AG571" authorId="0" shapeId="0" xr:uid="{40A88DA5-2793-4A18-93BA-345D2D5DD04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H571" authorId="0" shapeId="0" xr:uid="{8ED3BB97-28C1-4D8F-A449-42EED8DBF52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H573" authorId="0" shapeId="0" xr:uid="{004F2741-F07E-479D-9F4A-DDB5455BBA3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H575" authorId="0" shapeId="0" xr:uid="{083CEA53-3A93-45D1-A574-7E0286BAAF6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 del 26/01/2021 $9,296,364,215
resolu 027/ enero 27/2021 $1,362,635,323</t>
        </r>
      </text>
    </comment>
    <comment ref="AE576" authorId="0" shapeId="0" xr:uid="{72976A9D-E6BC-4A82-8A69-4A74C9F1F9C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78" authorId="0" shapeId="0" xr:uid="{8897F5E7-B6F5-435C-AF4C-6C02C9166E9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19/2021$15,401,381res 1407 agosto 13/2021
RES 1739/2021</t>
        </r>
      </text>
    </comment>
    <comment ref="AH578" authorId="0" shapeId="0" xr:uid="{A54075DF-8D13-432A-A802-DF8B7590028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28/2021 $547,969,140</t>
        </r>
      </text>
    </comment>
    <comment ref="AE579" authorId="0" shapeId="0" xr:uid="{C6907111-66C8-4E32-8338-1F30366FB82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</t>
        </r>
      </text>
    </comment>
    <comment ref="AE580" authorId="0" shapeId="0" xr:uid="{72C795BA-3AFD-4279-8E24-490D649A4E3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068 MAYO 21</t>
        </r>
      </text>
    </comment>
    <comment ref="AG580" authorId="0" shapeId="0" xr:uid="{F5605856-012C-4D67-99F0-63922CFD532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26/2021 $20,296,364,215
</t>
        </r>
      </text>
    </comment>
    <comment ref="AG581" authorId="0" shapeId="0" xr:uid="{9245268A-DB51-48C9-B12D-1278A638034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agpstp 13/2021</t>
        </r>
      </text>
    </comment>
    <comment ref="AE585" authorId="0" shapeId="0" xr:uid="{39283E01-BFDB-4D21-A530-0DFF15424E5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85" authorId="0" shapeId="0" xr:uid="{41632DE0-0FDF-4AA3-BCC9-AA2FB94E01A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G587" authorId="0" shapeId="0" xr:uid="{A4B0858E-7184-4F0D-802C-EEBCE7CE399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E588" authorId="0" shapeId="0" xr:uid="{BCFCCABA-A4A3-4624-9DFE-6C7E39F5ABD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88" authorId="0" shapeId="0" xr:uid="{486DB0B9-392F-4DAA-A8E6-30D8252CC3B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3/2021$8,000,000</t>
        </r>
      </text>
    </comment>
    <comment ref="AG589" authorId="0" shapeId="0" xr:uid="{29E83662-BB96-40FE-8B09-01413667CC2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591" authorId="0" shapeId="0" xr:uid="{3DCFDBB0-D436-4761-827C-CC53FCAC4A0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27/2021 $1,555,449,996
</t>
        </r>
      </text>
    </comment>
    <comment ref="AG593" authorId="0" shapeId="0" xr:uid="{07659E83-CB7C-4E86-966E-78DBF5295CE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26/2021 $95,000,000</t>
        </r>
      </text>
    </comment>
    <comment ref="AG595" authorId="0" shapeId="0" xr:uid="{FCED2F42-2F25-4039-8A0B-FFA6EDB5053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27/2021 $1,331,864,802</t>
        </r>
      </text>
    </comment>
    <comment ref="AG597" authorId="0" shapeId="0" xr:uid="{7A66BD91-8702-4298-8E56-1518D9CEFF0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H597" authorId="0" shapeId="0" xr:uid="{55C6F1D9-B5E1-4016-99F0-6CCF677C3D50}">
      <text>
        <r>
          <rPr>
            <b/>
            <sz val="9"/>
            <color indexed="81"/>
            <rFont val="Tahoma"/>
            <family val="2"/>
          </rPr>
          <t>Yolanda Baron Pedraza:res 915 mayo 12/2021</t>
        </r>
      </text>
    </comment>
    <comment ref="AE598" authorId="0" shapeId="0" xr:uid="{DCF89F3C-C7DC-45CD-BBE8-B2B2BBB0084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0053 abril 29/21</t>
        </r>
      </text>
    </comment>
    <comment ref="AG598" authorId="0" shapeId="0" xr:uid="{1EDB8A1B-2A36-4BC2-9699-C3648DD9C2C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3/2021 $50,000,000res 1336 jul 28/2021</t>
        </r>
      </text>
    </comment>
    <comment ref="AG599" authorId="0" shapeId="0" xr:uid="{EE7860DD-7909-4BF9-89BB-1503F1A3893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13/2021 $60,000,000</t>
        </r>
      </text>
    </comment>
    <comment ref="AE600" authorId="0" shapeId="0" xr:uid="{FC4D9C97-D2A6-4719-B5E8-D3F792F6E6D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00" authorId="0" shapeId="0" xr:uid="{D32AB97A-460F-4B57-ADAF-56982B8B29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jull 2 8/2021
res 1407 agosto 13</t>
        </r>
      </text>
    </comment>
    <comment ref="AG602" authorId="0" shapeId="0" xr:uid="{5199059C-C980-405F-B914-ED4C42ACE6E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19/2021 $610,000,000</t>
        </r>
      </text>
    </comment>
    <comment ref="AG604" authorId="0" shapeId="0" xr:uid="{827181BF-6836-4CAB-9D9D-245313C9585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H604" authorId="0" shapeId="0" xr:uid="{9E6ED206-1CC0-43CC-8944-E4DEAA2662F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G606" authorId="0" shapeId="0" xr:uid="{8F15EF63-C434-433D-9028-3C1A6554199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julio 28/2021</t>
        </r>
      </text>
    </comment>
    <comment ref="AH606" authorId="0" shapeId="0" xr:uid="{122EBBD7-C12A-4D6E-9589-8FA8E25B2F3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E607" authorId="0" shapeId="0" xr:uid="{F93585B0-BB87-4942-BB14-B264420BEF8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07" authorId="0" shapeId="0" xr:uid="{18F5F72A-70D1-49E3-82B8-A39D77FBAE8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28/2021 $451,451,337,30</t>
        </r>
      </text>
    </comment>
    <comment ref="AE608" authorId="0" shapeId="0" xr:uid="{CDDE79A0-4152-49F7-97A2-A08277B85BC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08" authorId="0" shapeId="0" xr:uid="{1C836CD2-EDCC-46BE-9E1C-54986B7C948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28/2021 $700,000,000</t>
        </r>
      </text>
    </comment>
    <comment ref="AE609" authorId="0" shapeId="0" xr:uid="{632054D7-4EA3-4CCC-9FDE-AB7A7AD2E6E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09" authorId="0" shapeId="0" xr:uid="{4C8DEBFF-DD31-4B72-B983-E4E124B5E82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28/2021 $1,040,743</t>
        </r>
      </text>
    </comment>
    <comment ref="AH611" authorId="0" shapeId="0" xr:uid="{7E775692-E912-488A-8790-B1EA4877E56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26/2021 $11,000,000,000
reso 27 enero 27/2021 $5,500,000,000</t>
        </r>
      </text>
    </comment>
    <comment ref="AG613" authorId="0" shapeId="0" xr:uid="{B71340E2-A4CE-4C4F-B2DF-26F16796E2F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26/2021 $22,204,778</t>
        </r>
      </text>
    </comment>
    <comment ref="AH613" authorId="0" shapeId="0" xr:uid="{523CCDED-19E6-4429-8677-A83D7A7CFD0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G614" authorId="0" shapeId="0" xr:uid="{B966979C-C1AE-440E-9EFF-FA5A4863905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G615" authorId="0" shapeId="0" xr:uid="{D3F17492-7114-47CD-B712-E17F2F8D194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H615" authorId="0" shapeId="0" xr:uid="{69554240-6DB1-4F3E-A37F-B5F0F9614B5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G616" authorId="0" shapeId="0" xr:uid="{344E66A4-F96C-47EA-8583-2F9766DF88D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G617" authorId="0" shapeId="0" xr:uid="{3872EE56-EE63-4FF1-9FB7-44EC68EFA7F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E618" authorId="0" shapeId="0" xr:uid="{BF6B1452-FA38-4F7D-ACA3-18349BF8B9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18" authorId="0" shapeId="0" xr:uid="{EBC91C94-3C03-41B9-A6AF-C59A40A2A9F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28/2021 $186,255,799,66</t>
        </r>
      </text>
    </comment>
    <comment ref="AE620" authorId="0" shapeId="0" xr:uid="{69042014-449B-4E00-9844-A5496AEC494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622" authorId="0" shapeId="0" xr:uid="{EC00B85C-C6DE-4339-88D1-19A255829D6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27/2021 $3,975,320,525
</t>
        </r>
      </text>
    </comment>
    <comment ref="AG624" authorId="0" shapeId="0" xr:uid="{AFE62F38-22FC-44C8-92B4-74CECEDDDC9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627" authorId="0" shapeId="0" xr:uid="{A403D0ED-CA3D-400A-BA60-72C04345584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 1739 OCT 11/2021</t>
        </r>
      </text>
    </comment>
    <comment ref="AE628" authorId="0" shapeId="0" xr:uid="{ED546200-9A6B-4E83-AA16-7F731F6E2A9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
dec 068 mayo 31/2021</t>
        </r>
      </text>
    </comment>
    <comment ref="AG630" authorId="0" shapeId="0" xr:uid="{3E78C031-1499-4B01-81D0-4E71629ECC5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</t>
        </r>
      </text>
    </comment>
    <comment ref="AA633" authorId="0" shapeId="0" xr:uid="{0C75DA99-1061-4124-9158-E54DB6CE6FF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verificar si e  501 0 201</t>
        </r>
      </text>
    </comment>
    <comment ref="AG633" authorId="0" shapeId="0" xr:uid="{F1A0768A-97E7-4459-BD71-BD4B7BC609A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26/2021 $60,325,921,15
resol 915 $40,465,552RES 1739 OCT 11</t>
        </r>
      </text>
    </comment>
    <comment ref="AG635" authorId="0" shapeId="0" xr:uid="{022757CC-08C6-458F-B05B-A6CC51CB712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H635" authorId="0" shapeId="0" xr:uid="{7BEA45D7-47E3-409A-B517-09AF7FF83FA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13/2021 $530,557,116</t>
        </r>
      </text>
    </comment>
    <comment ref="AG636" authorId="0" shapeId="0" xr:uid="{92A525B9-C5FA-4EB3-8558-DF7FD24E3B3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</t>
        </r>
      </text>
    </comment>
    <comment ref="AH639" authorId="0" shapeId="0" xr:uid="{F4AE41EB-15C9-485B-92CC-5021633A619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18/2021 $265,538,240
reso 773 abril 22/2021 $219,103,236,80</t>
        </r>
      </text>
    </comment>
    <comment ref="AE641" authorId="0" shapeId="0" xr:uid="{88F522DA-DF14-488A-90EF-221BB4C462E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E642" authorId="0" shapeId="0" xr:uid="{34B00978-9B8F-4DE0-B553-FA0979383E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644" authorId="0" shapeId="0" xr:uid="{D0B1F91F-5AB5-4AEE-AD2C-9845B63FEA7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644" authorId="0" shapeId="0" xr:uid="{02D87BCE-7426-43AC-A09B-CFAE7209635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agosto 27 resol 1490</t>
        </r>
      </text>
    </comment>
    <comment ref="AH644" authorId="0" shapeId="0" xr:uid="{F6A5CEDB-4A03-4531-A934-6E11BD6BCED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18/2021 $1,886,000,000</t>
        </r>
      </text>
    </comment>
    <comment ref="AE650" authorId="0" shapeId="0" xr:uid="{64562D0E-E96A-4E9A-A27B-8CD30D119B4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50" authorId="0" shapeId="0" xr:uid="{6846BC8E-814F-4A1B-8B23-6C78D8B08EE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3/2021 $40,000,000</t>
        </r>
      </text>
    </comment>
    <comment ref="AG652" authorId="0" shapeId="0" xr:uid="{080031CF-207C-4D10-8C63-976F8F8D2C3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27 enero 27/2021 $503,000,000,00</t>
        </r>
      </text>
    </comment>
    <comment ref="AH652" authorId="0" shapeId="0" xr:uid="{A3871326-C529-4F17-903D-F0800DAE96F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0915 mayo 12/2021</t>
        </r>
      </text>
    </comment>
    <comment ref="AH654" authorId="0" shapeId="0" xr:uid="{A491ECC8-9312-4447-A533-770A936D814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mayo12/2021</t>
        </r>
      </text>
    </comment>
    <comment ref="AG655" authorId="0" shapeId="0" xr:uid="{D09B2954-C12D-4BCE-BAA2-027E6C163F1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</t>
        </r>
      </text>
    </comment>
    <comment ref="AG657" authorId="0" shapeId="0" xr:uid="{4F8FF005-CD96-4F1E-A40A-72CCE97BE9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12/2021 $1,556,000,000,00</t>
        </r>
      </text>
    </comment>
    <comment ref="AE659" authorId="0" shapeId="0" xr:uid="{A2B0F5EC-7FA5-4E65-A35F-587857622EE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59" authorId="0" shapeId="0" xr:uid="{3A5E4556-A70F-4A25-8ACD-ABCBBE59C4B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3/2021 $40,000,000</t>
        </r>
      </text>
    </comment>
    <comment ref="AG661" authorId="0" shapeId="0" xr:uid="{A1766B51-7D49-4F8A-B1D5-A6EF76145E7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26/2021 $91,680,424
RESOL 511 MARZO 19/2021</t>
        </r>
      </text>
    </comment>
    <comment ref="AH661" authorId="0" shapeId="0" xr:uid="{ABAFD658-B665-443C-992D-4C66C1C56E9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0915 mayo 12</t>
        </r>
      </text>
    </comment>
    <comment ref="AG663" authorId="0" shapeId="0" xr:uid="{0C55BCDE-30F0-47A0-B5FD-8DFB5FA766D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664" authorId="0" shapeId="0" xr:uid="{D4ABDC2E-AF16-4C45-A753-D44E48ACD17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
</t>
        </r>
      </text>
    </comment>
    <comment ref="AH666" authorId="0" shapeId="0" xr:uid="{ABDBC553-D1B2-4822-87F7-5494BE29AD1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26/2021 $329,895,811,15
resol 027 enero 27/21 $2,003,000,000
resol 511 marzo 19/2021 $800,401,381
resol 915 mayo 12/2021 $119,719,609</t>
        </r>
      </text>
    </comment>
    <comment ref="AH667" authorId="0" shapeId="0" xr:uid="{8532BC09-6220-43AD-B200-94B7C41FC9E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 1336 jul 28/2021 $856,216,142,32
resolucion 1407 agosto 13/2021 $1,100,000,000</t>
        </r>
      </text>
    </comment>
    <comment ref="AG668" authorId="0" shapeId="0" xr:uid="{7AE06316-25C4-4A41-B825-E6A020E0ED0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H668" authorId="0" shapeId="0" xr:uid="{F2634C1E-1DD6-43F4-8C71-CC71636813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13/2021$290,000,000
res 1739 oct 11/2021</t>
        </r>
      </text>
    </comment>
    <comment ref="AG670" authorId="0" shapeId="0" xr:uid="{0336D8A1-4865-4273-9D81-D4C414B9592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26/2021 $36,519,672</t>
        </r>
      </text>
    </comment>
    <comment ref="AG671" authorId="0" shapeId="0" xr:uid="{C6145F6E-6C94-44CD-9A95-254DD15D5FE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28/2021 $25,000,000</t>
        </r>
      </text>
    </comment>
    <comment ref="AG673" authorId="0" shapeId="0" xr:uid="{08A063C0-AB6E-4A06-B400-0B0944DDA0B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
res 13360jul 28/2021 </t>
        </r>
      </text>
    </comment>
    <comment ref="AG674" authorId="0" shapeId="0" xr:uid="{D3DFE979-3902-4F43-89E8-A5A4CFF8A73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G676" authorId="0" shapeId="0" xr:uid="{DD4B9A45-06D7-4E42-97D9-0A01EDEE600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
</t>
        </r>
      </text>
    </comment>
    <comment ref="AG677" authorId="0" shapeId="0" xr:uid="{1455636E-E4F2-4992-9102-9AF15CEA546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G679" authorId="0" shapeId="0" xr:uid="{0A158F9B-7D18-4DF7-92A0-2976843F76E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18/2021 $265,538,240</t>
        </r>
      </text>
    </comment>
    <comment ref="AH680" authorId="0" shapeId="0" xr:uid="{A91563FD-FDDB-4807-AB10-B7CAD7ED1EC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18/2021 $53,364,831</t>
        </r>
      </text>
    </comment>
    <comment ref="AG682" authorId="0" shapeId="0" xr:uid="{9469A75B-8220-4A8A-98D4-C5733EB334D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27/2021 $1,500,000,000</t>
        </r>
      </text>
    </comment>
    <comment ref="AE684" authorId="0" shapeId="0" xr:uid="{20497B56-C8AA-4971-ABB5-8A2E326A990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684" authorId="0" shapeId="0" xr:uid="{578D71F0-1AF4-40F7-8B4D-F5F5D27884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12/2021RES 1407 AGOSTO 13/2021</t>
        </r>
      </text>
    </comment>
    <comment ref="AE685" authorId="0" shapeId="0" xr:uid="{1D38102D-8290-4140-8493-7BF9064A2CF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85" authorId="0" shapeId="0" xr:uid="{6D20AF62-D2D0-4B89-8B81-2930AC2F4F0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686" authorId="0" shapeId="0" xr:uid="{46A36B9C-F39D-4B25-B9F8-D08EB62FEAE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H686" authorId="0" shapeId="0" xr:uid="{458271AF-0AE2-444F-A37C-CAC275DD092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E692" authorId="0" shapeId="0" xr:uid="{9F18576B-4D68-49FE-8B43-A64AD05CA8F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95" authorId="0" shapeId="0" xr:uid="{BB76C32E-0B4D-4BCB-BB5D-0664A5D1744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</t>
        </r>
      </text>
    </comment>
    <comment ref="AE696" authorId="0" shapeId="0" xr:uid="{FE8C8380-6DF7-49E8-ADAD-F6AB6A75C76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98" authorId="0" shapeId="0" xr:uid="{A36A8E64-B70B-4146-8689-B6708B71E1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99" authorId="0" shapeId="0" xr:uid="{14D507C4-CCC1-42CB-B1EA-F2CC053BB4E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110 SEPT 1/2021</t>
        </r>
      </text>
    </comment>
    <comment ref="AE703" authorId="0" shapeId="0" xr:uid="{EE6C0D8F-DA07-4A44-913E-FD9A6EE2A0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705" authorId="0" shapeId="0" xr:uid="{C1EA3F55-B466-4554-9FAC-ACAC9154CA5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18/2021 $466,710,000
res 1490 agosto 27/2021</t>
        </r>
      </text>
    </comment>
    <comment ref="AH707" authorId="0" shapeId="0" xr:uid="{DC83D464-65D0-4AB7-9B49-28EDD6C80F8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18/2021 $4,680,084,481,80
resol 511 marzo 19/2021 $76,000,000
res 773 abril 22/2021 $907,367,029,20</t>
        </r>
      </text>
    </comment>
    <comment ref="AE708" authorId="0" shapeId="0" xr:uid="{7BCF3CA1-2270-412A-92EB-120C2608725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053/2021</t>
        </r>
      </text>
    </comment>
    <comment ref="AG708" authorId="0" shapeId="0" xr:uid="{3F3BD8EB-9591-41BE-B763-58645E99C5D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G710" authorId="0" shapeId="0" xr:uid="{F1C3FB4E-1380-44D7-985C-B747CFB8AC4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18/2021 $4,680,084,481,80
RES 773 ABRIL 22/2021 $1,126,470,266
</t>
        </r>
      </text>
    </comment>
    <comment ref="AE712" authorId="0" shapeId="0" xr:uid="{997CE7B7-978D-49EB-B162-1506CE5E25E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712" authorId="0" shapeId="0" xr:uid="{93DFF5B3-A5CC-4B2F-B983-CB2DFA91FE3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E714" authorId="0" shapeId="0" xr:uid="{4673DB92-6A27-4DAF-AA3F-055BBB2DF4F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053/ ABRIL 29/2021
</t>
        </r>
      </text>
    </comment>
    <comment ref="AG714" authorId="0" shapeId="0" xr:uid="{AE08CF02-7471-43E9-9B36-9DAD0B72F6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11355 JUN 18/2021 $1,886,000,000</t>
        </r>
      </text>
    </comment>
    <comment ref="AG718" authorId="0" shapeId="0" xr:uid="{7BB9C15B-245C-4101-9A9D-1DD7DBEB30E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
</t>
        </r>
      </text>
    </comment>
    <comment ref="AE727" authorId="0" shapeId="0" xr:uid="{3DB4616E-808C-4E6F-BDD2-97F4E7F805AE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decreto 0120 sept 24/2021</t>
        </r>
      </text>
    </comment>
    <comment ref="AE742" authorId="0" shapeId="0" xr:uid="{962B4D7A-96B6-4D68-BC69-311F865F2E1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750" authorId="0" shapeId="0" xr:uid="{917A76B5-8E94-4DDB-9C12-E0170C6A41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752" authorId="0" shapeId="0" xr:uid="{F7372779-005A-478E-B08A-BFBD4B4454C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754" authorId="0" shapeId="0" xr:uid="{3373CB58-987F-4415-822B-6D6D047548D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
</t>
        </r>
      </text>
    </comment>
    <comment ref="AH754" authorId="0" shapeId="0" xr:uid="{2E7C9045-81C9-4B80-AA23-9AD233DE5926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resl 1739 oct 11/2021</t>
        </r>
      </text>
    </comment>
    <comment ref="AG756" authorId="0" shapeId="0" xr:uid="{4262FE77-A6FA-4AE3-8A7A-AAB8D18FD58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758" authorId="0" shapeId="0" xr:uid="{B5EB090C-DD49-4C1F-ABDA-E6E38DC0E65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</t>
        </r>
      </text>
    </comment>
    <comment ref="AG763" authorId="0" shapeId="0" xr:uid="{5D3BD4D9-B76D-4E65-A051-9A463D4C5E2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12/2021 $250,000,000
rs 1739 oct 11/2021</t>
        </r>
      </text>
    </comment>
    <comment ref="AH763" authorId="0" shapeId="0" xr:uid="{8130A69A-4EF9-40B2-8E44-2742CEE1F35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 1613 sept 17/2021</t>
        </r>
      </text>
    </comment>
    <comment ref="AH765" authorId="0" shapeId="0" xr:uid="{096FC555-0715-4C58-A73B-AC7BE2D5588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13/2021</t>
        </r>
      </text>
    </comment>
    <comment ref="AG767" authorId="0" shapeId="0" xr:uid="{42C9F278-EFCF-4A9E-9388-56F687A460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18/2021$200,000,000</t>
        </r>
      </text>
    </comment>
    <comment ref="AH767" authorId="0" shapeId="0" xr:uid="{42E3171A-5384-4984-BF9F-B5985192D11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13/2021 $100,000,000</t>
        </r>
      </text>
    </comment>
    <comment ref="AG768" authorId="0" shapeId="0" xr:uid="{8206D326-46E8-440A-B0A6-091187FE69AA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1739 oct 11</t>
        </r>
      </text>
    </comment>
    <comment ref="AG772" authorId="0" shapeId="0" xr:uid="{82C19EC3-6E05-44C5-97FE-038FB840CF5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
res 1739 oct 11/2021</t>
        </r>
      </text>
    </comment>
    <comment ref="AE775" authorId="0" shapeId="0" xr:uid="{AD3EF01B-68CF-46BF-A857-E4EE5F8B0D6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775" authorId="0" shapeId="0" xr:uid="{DF6B3899-0969-41C3-887E-45DC7636723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13/2021 $166,521,000</t>
        </r>
      </text>
    </comment>
    <comment ref="AG776" authorId="0" shapeId="0" xr:uid="{6294D685-2CDB-4B85-BC90-E47898C5386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REES 1407 AGOSTO 13res 1739 oct 11/2021</t>
        </r>
      </text>
    </comment>
    <comment ref="AG777" authorId="0" shapeId="0" xr:uid="{95E227A8-9FF7-4D14-A80B-09A8910A6B5A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1739 oct 11/2021
</t>
        </r>
      </text>
    </comment>
    <comment ref="AG779" authorId="0" shapeId="0" xr:uid="{B1903617-EB56-4905-B44B-1F8571ACC79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1407 agosto 13/2021</t>
        </r>
      </text>
    </comment>
    <comment ref="AG780" authorId="0" shapeId="0" xr:uid="{6DF53803-1942-424B-A47F-6F77D87F803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</t>
        </r>
      </text>
    </comment>
    <comment ref="AG782" authorId="0" shapeId="0" xr:uid="{D746C585-9B97-4B13-A44D-595D8788B26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1407 agosto 19/2021</t>
        </r>
      </text>
    </comment>
    <comment ref="AG785" authorId="0" shapeId="0" xr:uid="{27EBCDB4-B2C1-482F-8097-F0B60C97417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788" authorId="0" shapeId="0" xr:uid="{54B75516-AFE7-4B19-943F-C327B341153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
</t>
        </r>
      </text>
    </comment>
    <comment ref="AG791" authorId="0" shapeId="0" xr:uid="{054CD86B-7EE7-4D34-8CAF-0AA075C051B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791" authorId="0" shapeId="0" xr:uid="{AC0D800F-A595-4BF4-816C-9BFA4CDAE08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13/2021 $60,000,000</t>
        </r>
      </text>
    </comment>
    <comment ref="AG793" authorId="0" shapeId="0" xr:uid="{B1A99655-BFC8-4847-9649-5DABFEE9D4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27</t>
        </r>
      </text>
    </comment>
    <comment ref="AH793" authorId="0" shapeId="0" xr:uid="{698EAF7A-C11F-4D24-9647-FF35C8A909AE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resol 1739 oct 11/2021</t>
        </r>
      </text>
    </comment>
    <comment ref="AG794" authorId="0" shapeId="0" xr:uid="{823C5F3E-F481-485C-B8A5-9D3AA37C4DD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794" authorId="0" shapeId="0" xr:uid="{028BB2F8-C199-4C7A-8310-65FCD76AA7C4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resol 1739 oct 11/2021</t>
        </r>
      </text>
    </comment>
    <comment ref="AH796" authorId="0" shapeId="0" xr:uid="{D8BC855D-2CFF-4EA4-A735-CCD531F70FB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18/2021 $229,000,000</t>
        </r>
      </text>
    </comment>
    <comment ref="AG804" authorId="0" shapeId="0" xr:uid="{7944D8A3-2E0E-404D-83AD-F6E70636DB7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12/2021 $932,000,000</t>
        </r>
      </text>
    </comment>
    <comment ref="AH804" authorId="0" shapeId="0" xr:uid="{66F9FF50-31F7-40F9-8BCD-FAC5CEE04AF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resoñl 1135 jun 18/2021 $60,000,000
resol 1739 oct 11/2021</t>
        </r>
      </text>
    </comment>
    <comment ref="AG807" authorId="0" shapeId="0" xr:uid="{BFB770A9-887D-4C5A-A881-52FEC1EFA649}">
      <text>
        <r>
          <rPr>
            <b/>
            <sz val="9"/>
            <color indexed="81"/>
            <rFont val="Tahoma"/>
            <family val="2"/>
          </rPr>
          <t>Yolanda Baron Pedraza:
RES1407 AGOSTO 13</t>
        </r>
      </text>
    </comment>
    <comment ref="AH807" authorId="0" shapeId="0" xr:uid="{BE778719-909D-4C4C-AFF9-A184FCA9F1C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13$5
,349,132
</t>
        </r>
      </text>
    </comment>
    <comment ref="AG808" authorId="0" shapeId="0" xr:uid="{4D46F80F-7448-4B8C-A053-ACDAD4D59CB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</t>
        </r>
      </text>
    </comment>
    <comment ref="AH808" authorId="0" shapeId="0" xr:uid="{95970A3B-C785-41A2-9245-5420E51E00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13/2021 $5,349,132</t>
        </r>
      </text>
    </comment>
    <comment ref="AH810" authorId="0" shapeId="0" xr:uid="{86C7F0F9-3A88-40F5-8DC3-353BC6300751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1739 oct 11/2021</t>
        </r>
      </text>
    </comment>
    <comment ref="AE811" authorId="0" shapeId="0" xr:uid="{339E75E5-D2A2-44FC-A13E-7C9D2E85EA3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11" authorId="0" shapeId="0" xr:uid="{BC8D62E0-0931-4226-A701-0983FFCB74A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18/2021 $145,000,000</t>
        </r>
      </text>
    </comment>
    <comment ref="AG813" authorId="0" shapeId="0" xr:uid="{226ABD8C-4AC7-4A79-A4A8-3231A8E211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 1135 JUN 18/2021 $60,000,000</t>
        </r>
      </text>
    </comment>
    <comment ref="AH813" authorId="0" shapeId="0" xr:uid="{DB85195B-B8B4-4E97-B982-57AEB184C566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1739 oct 11/2021</t>
        </r>
      </text>
    </comment>
    <comment ref="AE817" authorId="0" shapeId="0" xr:uid="{7BA36E4E-AF81-4EEF-B650-4DB404C599C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17" authorId="0" shapeId="0" xr:uid="{E6E4BC48-488E-436E-AC23-3117536117C9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1739 oct 11/2021</t>
        </r>
      </text>
    </comment>
    <comment ref="AE818" authorId="0" shapeId="0" xr:uid="{518B5335-8290-46B8-ABF3-4ECB0F38E1F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18" authorId="0" shapeId="0" xr:uid="{70083BB9-B3DB-4BD2-8A57-0083C077307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
resol 1739 oct 11/2021</t>
        </r>
      </text>
    </comment>
    <comment ref="AE819" authorId="0" shapeId="0" xr:uid="{7AFF9094-46EE-4DD7-A0E9-60AA2D54D79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19" authorId="0" shapeId="0" xr:uid="{6F1930A0-4A64-459A-8AC7-8A7DB2D0F6E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 13/2021 $300,000,000</t>
        </r>
      </text>
    </comment>
    <comment ref="AG821" authorId="0" shapeId="0" xr:uid="{384AEA63-DA49-42F7-A24A-140BBF0B16C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12/2021 $20,000,000</t>
        </r>
      </text>
    </comment>
    <comment ref="AH821" authorId="0" shapeId="0" xr:uid="{55DDFFD4-C52C-442C-8F11-72F812FA412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13/2021 $10,000,000resol 1739 oct 11/2021
</t>
        </r>
      </text>
    </comment>
    <comment ref="AE823" authorId="0" shapeId="0" xr:uid="{7CEB6739-7CB5-438B-BE15-B9171FFD6C3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825" authorId="0" shapeId="0" xr:uid="{492E8A8C-2D4A-4DB3-B6AE-B4732482A6F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
RES 915 MAYO 12/2021</t>
        </r>
      </text>
    </comment>
    <comment ref="AH825" authorId="0" shapeId="0" xr:uid="{8A603991-5FDC-44C4-9EF9-A20B766A96C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13/2021 $173,600,000
resol 1739 oct 11/2021</t>
        </r>
      </text>
    </comment>
    <comment ref="AE827" authorId="0" shapeId="0" xr:uid="{4DCC05E0-7378-4022-B6B5-6350FF5C2C3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27" authorId="0" shapeId="0" xr:uid="{F6C7AFAB-4EBD-4FAA-921D-D7F3A003E98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13/2021 $326,400,000</t>
        </r>
      </text>
    </comment>
    <comment ref="AH831" authorId="0" shapeId="0" xr:uid="{96269142-5AFD-44CC-9AA4-93BDE2F99EC1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resol 1739 oct 11/2021</t>
        </r>
      </text>
    </comment>
    <comment ref="AE832" authorId="0" shapeId="0" xr:uid="{1105ED53-DED8-4166-9D30-5053E604FDF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32" authorId="0" shapeId="0" xr:uid="{6404BB87-6562-495E-8F26-7F803DD52747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resl 1739 oct 11/2021</t>
        </r>
      </text>
    </comment>
    <comment ref="AE835" authorId="0" shapeId="0" xr:uid="{37D19C1D-E18C-4BB0-928A-23DF3BB74FA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835" authorId="0" shapeId="0" xr:uid="{AB90B140-FD51-4214-B174-5850A0BFFD6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18/2021$25,000,000</t>
        </r>
      </text>
    </comment>
    <comment ref="AG837" authorId="0" shapeId="0" xr:uid="{06D0830C-B0FB-4A25-BD78-8A00860E0D2F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1739 oct 11/2021</t>
        </r>
      </text>
    </comment>
    <comment ref="AG838" authorId="0" shapeId="0" xr:uid="{4FED0352-C86B-43DC-A1D4-507C6C4905A7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1739 oct 11/2021</t>
        </r>
      </text>
    </comment>
    <comment ref="AG840" authorId="0" shapeId="0" xr:uid="{3983E60E-F58E-42CA-8390-1C411292EF93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resol 1739 oct 11/2021</t>
        </r>
      </text>
    </comment>
    <comment ref="AH842" authorId="0" shapeId="0" xr:uid="{D23C57C2-2372-4F36-B4AC-4296AB6EBE6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844" authorId="0" shapeId="0" xr:uid="{C2E1DEDA-BBEB-4F29-9FB4-742E1810E4A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12/20221 $42,000,000
RESOL 915 MAYO 12/2021</t>
        </r>
      </text>
    </comment>
    <comment ref="AG845" authorId="0" shapeId="0" xr:uid="{1C8F7D8D-70FE-4A8C-94E0-7CC65B7439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18/2021 $120000000
</t>
        </r>
      </text>
    </comment>
    <comment ref="AH845" authorId="0" shapeId="0" xr:uid="{9F725719-9CDB-47C2-A1AC-58466FA2A41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E850" authorId="0" shapeId="0" xr:uid="{E81CD752-5CDE-455F-8A89-A656AF95F82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61" authorId="0" shapeId="0" xr:uid="{3E8E5E88-5C86-4B21-96EE-E18DBABA232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1990 OCT 28</t>
        </r>
      </text>
    </comment>
    <comment ref="AG862" authorId="0" shapeId="0" xr:uid="{5FED1D60-ED73-4F55-B5DD-E5B2F59C601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1990 OCT 2021</t>
        </r>
      </text>
    </comment>
    <comment ref="AH864" authorId="0" shapeId="0" xr:uid="{E6DAFCF5-5966-4918-B63A-AFDEB2E6F8B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26/21 $75000,000</t>
        </r>
      </text>
    </comment>
    <comment ref="AG866" authorId="0" shapeId="0" xr:uid="{22EE4BB2-C006-466E-80D2-21F730095B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
RES 773 ABRIL 22/21 $46,856,431,56</t>
        </r>
      </text>
    </comment>
    <comment ref="AG872" authorId="0" shapeId="0" xr:uid="{20F34D55-966D-45E0-865F-CD60DD736F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1990 OCT 28</t>
        </r>
      </text>
    </comment>
    <comment ref="AG874" authorId="0" shapeId="0" xr:uid="{B1AB1D8A-FD24-4BFB-AF8F-64FA3AD0F03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RRES 1613 SEPT 17/2021</t>
        </r>
      </text>
    </comment>
    <comment ref="AG876" authorId="0" shapeId="0" xr:uid="{6EF4D8C6-0C67-47A5-AF15-A7A5550BAF5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18/2021 $30,000,000</t>
        </r>
      </text>
    </comment>
    <comment ref="AH876" authorId="0" shapeId="0" xr:uid="{68BEBB20-0B7A-43B2-93EB-74BD9ADD0A5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879" authorId="0" shapeId="0" xr:uid="{AB85ABD5-6C95-4258-8015-8C484604033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G883" authorId="0" shapeId="0" xr:uid="{E2F28352-C01F-45BB-B915-402CF514DF4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</t>
        </r>
      </text>
    </comment>
    <comment ref="AH883" authorId="0" shapeId="0" xr:uid="{5A67D3C6-C475-4BC3-BDD3-C36E615BEB5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21/2021
res 1407 agosto 13/2021resol 1613 sept 17/2021</t>
        </r>
      </text>
    </comment>
    <comment ref="AH884" authorId="0" shapeId="0" xr:uid="{7AD83CEB-BAB8-4A80-9323-05178224CD7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13$40,000,000</t>
        </r>
      </text>
    </comment>
    <comment ref="AG888" authorId="0" shapeId="0" xr:uid="{7462A1EA-C7A1-4987-BAA0-8C221243664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22/2021 $118,300,000</t>
        </r>
      </text>
    </comment>
    <comment ref="AH888" authorId="0" shapeId="0" xr:uid="{75A8CB57-CB04-4F12-87C9-965E8CB7FBB5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1739 oct 11/2021</t>
        </r>
      </text>
    </comment>
    <comment ref="AG890" authorId="0" shapeId="0" xr:uid="{05E6212C-EAC6-4A72-AB5E-7BC0C1006EA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 773 ABRIL 22/2021 $140,000,000
RESOL 1613 SEPT 17/2021</t>
        </r>
      </text>
    </comment>
    <comment ref="AH890" authorId="0" shapeId="0" xr:uid="{CC29DF70-06C1-4739-B443-B2A1D77212E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1407 agosto 13/2021</t>
        </r>
      </text>
    </comment>
    <comment ref="AH892" authorId="0" shapeId="0" xr:uid="{8E554DD9-268F-4A8E-BF67-9163A42BD86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1990 OCT 28</t>
        </r>
      </text>
    </comment>
    <comment ref="AG896" authorId="0" shapeId="0" xr:uid="{C979FAFF-A62B-4546-B693-7697AD1DA1B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H896" authorId="0" shapeId="0" xr:uid="{5C15F971-97B9-4991-93F6-97ADB0DC2D1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18/2021 $30,000,000</t>
        </r>
      </text>
    </comment>
    <comment ref="AH898" authorId="0" shapeId="0" xr:uid="{11AFB705-5480-4528-BEEA-05BDEC221B8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
res 773 abril 22/21 $46,856,431,56</t>
        </r>
      </text>
    </comment>
    <comment ref="AG900" authorId="0" shapeId="0" xr:uid="{7B053824-F2BD-46F3-8EFE-E5763121B0A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eneroo 26/2021 $4,400,000</t>
        </r>
      </text>
    </comment>
    <comment ref="AG902" authorId="0" shapeId="0" xr:uid="{6D78CE43-2343-48A9-A4FD-DD19B2EB98A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26/2021 $88,500,000RESOL 1407 13 AGOSTO /2021</t>
        </r>
      </text>
    </comment>
    <comment ref="AH902" authorId="0" shapeId="0" xr:uid="{05414C54-5728-49A7-B815-FA57E839C2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22/2021 $20,700,000</t>
        </r>
      </text>
    </comment>
    <comment ref="AG903" authorId="0" shapeId="0" xr:uid="{5B0040B1-9FFE-42A2-8FC9-79176AE27B8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1407 agosto 2021
res 936 mayo 21/2021</t>
        </r>
      </text>
    </comment>
    <comment ref="AG904" authorId="0" shapeId="0" xr:uid="{98ED69F9-2B3A-4FFA-A900-19842E77048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13/2021 $40,000,000</t>
        </r>
      </text>
    </comment>
    <comment ref="AG906" authorId="0" shapeId="0" xr:uid="{A88913F6-AD76-4376-B09F-28058486DA9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908" authorId="0" shapeId="0" xr:uid="{901657A2-96AA-4469-9211-34599380B6B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
RES 936 MAYO 21
RES 1739 OCT 11</t>
        </r>
      </text>
    </comment>
    <comment ref="AH908" authorId="0" shapeId="0" xr:uid="{F451F669-276B-4CEF-9FB0-70AFAFA1841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26/2021 $900,000,00
res 773 abril 22/2021 $258,300,000</t>
        </r>
      </text>
    </comment>
    <comment ref="AE909" authorId="0" shapeId="0" xr:uid="{56AE3A84-EABC-45D3-96DB-6579751D91C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911" authorId="0" shapeId="0" xr:uid="{7B0E7918-9193-4B01-9033-D9B33ECA68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915" authorId="0" shapeId="0" xr:uid="{3D40910A-2147-4519-9500-70BEBB9069B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919" authorId="0" shapeId="0" xr:uid="{46B72834-C54A-47B5-B059-9E384A376C2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22/2021 $20,700,000</t>
        </r>
      </text>
    </comment>
    <comment ref="AH919" authorId="0" shapeId="0" xr:uid="{DD8302C7-B417-4EDF-896A-8C611EEEA5B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026enero 26/2021 $17,000,000
resol 936 mayo 21/2021</t>
        </r>
      </text>
    </comment>
    <comment ref="AE920" authorId="0" shapeId="0" xr:uid="{892939E8-7DD9-40C9-AA06-455356115BD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926" authorId="0" shapeId="0" xr:uid="{E5FD408B-20D3-49FE-B54D-5212D3CD8EC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936" authorId="0" shapeId="0" xr:uid="{0A587948-1006-4B1F-9D2A-7F9721344E8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
res 1135 $283,500,000
res 1209 jul 1/2021 $279,000,000</t>
        </r>
      </text>
    </comment>
    <comment ref="AJ936" authorId="0" shapeId="0" xr:uid="{37410EBD-F252-4F46-B1E5-F37AFDFD8F5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no lo tiene ruben</t>
        </r>
      </text>
    </comment>
    <comment ref="AG938" authorId="0" shapeId="0" xr:uid="{D1B08156-B51D-41A4-B8BF-8C4DF7D83F6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</t>
        </r>
      </text>
    </comment>
    <comment ref="AG940" authorId="0" shapeId="0" xr:uid="{C09096E0-E4F3-444D-B45A-BB28BBDFC1B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18/2021RES 1739 OCT 11/2021</t>
        </r>
      </text>
    </comment>
    <comment ref="AG941" authorId="0" shapeId="0" xr:uid="{46F94D6F-4BCF-45EE-B7DB-FE8EDDDE613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
</t>
        </r>
      </text>
    </comment>
    <comment ref="AG943" authorId="0" shapeId="0" xr:uid="{5B66BD64-CFDB-4F12-8A94-2DE95244201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RES1135 JUN 18/2021 $65,000,000</t>
        </r>
      </text>
    </comment>
    <comment ref="AG945" authorId="0" shapeId="0" xr:uid="{FA9B1D56-DC73-4991-9982-8B757AECEF5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
350,000,000
RES 1812 OCT 20</t>
        </r>
      </text>
    </comment>
    <comment ref="AG947" authorId="0" shapeId="0" xr:uid="{012A09BE-3F09-4A17-B27F-F8339D14E14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18/2021 $1,067,000,000</t>
        </r>
      </text>
    </comment>
    <comment ref="AG949" authorId="0" shapeId="0" xr:uid="{023E4526-332B-4159-90E6-03CD91AD446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18/2021 $148,000,000</t>
        </r>
      </text>
    </comment>
    <comment ref="AG952" authorId="0" shapeId="0" xr:uid="{CB8A07B2-241B-4B33-A352-75DBB40FB40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18/2021 $770,000,000
</t>
        </r>
      </text>
    </comment>
    <comment ref="AG953" authorId="0" shapeId="0" xr:uid="{91AAD4DE-A4E6-4AFC-A7F4-72F9CE16DFD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1990 OCT 28</t>
        </r>
      </text>
    </comment>
    <comment ref="AG954" authorId="0" shapeId="0" xr:uid="{5CF3A583-05A7-44FD-BC00-D051B68FEA4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julio 1/2021</t>
        </r>
      </text>
    </comment>
    <comment ref="AG960" authorId="0" shapeId="0" xr:uid="{06AA345F-FDFD-4F7D-AA43-4F842DB0994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18/2021 $24,729,623</t>
        </r>
      </text>
    </comment>
    <comment ref="AH965" authorId="0" shapeId="0" xr:uid="{D3B528E2-A61B-4171-9F8F-936BC272288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18/2021 $163,270,377
RESOL 1614 SEPT 17/2021</t>
        </r>
      </text>
    </comment>
    <comment ref="AG966" authorId="0" shapeId="0" xr:uid="{7BF6BD25-B788-4873-B206-2793583C73C5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1812 oct 20/2021</t>
        </r>
      </text>
    </comment>
    <comment ref="AG973" authorId="0" shapeId="0" xr:uid="{3FD0C027-AC54-4638-84A4-1A295E76A50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22/2021 $222,721,043
resol 1812 oct 20</t>
        </r>
      </text>
    </comment>
    <comment ref="AH973" authorId="0" shapeId="0" xr:uid="{B87488D8-2F07-4229-80BB-10DB3B85E9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r74,931,884</t>
        </r>
      </text>
    </comment>
    <comment ref="AG974" authorId="0" shapeId="0" xr:uid="{365F91C1-ECA2-4BCA-8DA9-651A659DA9A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1990 OCT 20</t>
        </r>
      </text>
    </comment>
    <comment ref="AH982" authorId="0" shapeId="0" xr:uid="{B1FA422C-6E37-4769-990B-8AD11B0D9FA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984" authorId="0" shapeId="0" xr:uid="{297FC898-40E4-4F95-BD51-49DCC2307D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</t>
        </r>
      </text>
    </comment>
    <comment ref="AG985" authorId="0" shapeId="0" xr:uid="{95B7BE87-36D2-4BDC-A775-344F43D4F46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G986" authorId="0" shapeId="0" xr:uid="{5C5C8AE2-FA24-4CDB-B363-5A5F0C23A9F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</t>
        </r>
      </text>
    </comment>
    <comment ref="AG987" authorId="0" shapeId="0" xr:uid="{40BC8BBE-6D28-4FDE-96C6-32A1AD0D4D4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</t>
        </r>
      </text>
    </comment>
    <comment ref="AG988" authorId="0" shapeId="0" xr:uid="{F3CB6337-8C3A-42B6-9F74-7206561C1A2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1739 OCT 11/2021</t>
        </r>
      </text>
    </comment>
    <comment ref="AG994" authorId="0" shapeId="0" xr:uid="{97A68AB6-C9B1-430F-936B-E262DBE3836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 21
res 1135 junio 18/2021 $170,000,000
RES 1407 AGOSTO 13/2021 $360,000,000
res 1490 agosto 27/2021
RES 1739 OCT 11
RES 1739/0CT/11
RES 1812 OCT 20
RES 1990 OCT 28</t>
        </r>
      </text>
    </comment>
    <comment ref="AG995" authorId="0" shapeId="0" xr:uid="{58B06E83-BE32-4D45-8646-7D8806331AB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1990 OCT 28</t>
        </r>
      </text>
    </comment>
    <comment ref="AG997" authorId="0" shapeId="0" xr:uid="{01628096-C06D-4D73-9D4F-2F121E25A34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H997" authorId="0" shapeId="0" xr:uid="{F0545103-9784-463E-8B73-91DC8818943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FEBR 18/2021 RES 143 $794,729,623</t>
        </r>
      </text>
    </comment>
    <comment ref="AG1000" authorId="0" shapeId="0" xr:uid="{80063ED0-771F-445C-91DC-BFC6F9359AF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
</t>
        </r>
      </text>
    </comment>
    <comment ref="AG1004" authorId="0" shapeId="0" xr:uid="{4B782778-D5F1-41CA-9791-727B0D31823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1614 SEPT 17/2021</t>
        </r>
      </text>
    </comment>
    <comment ref="AE1005" authorId="0" shapeId="0" xr:uid="{A6D41AEA-E20E-4AFB-A887-E6206CD2A6C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05" authorId="0" shapeId="0" xr:uid="{54FC1348-00DC-4B63-BAA3-470BB58A05D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12/2021
RES 1135 JUNIO 18/2021 $4,989,317,258
RESOL 1209 JUL 1/2021
resol 1407 agosto 13
res 1490 agosto 27/2021resol 1613 sept 17/2021
resol 1739 oct 11
res 1812 oct 20
RES 1990 OCT 28</t>
        </r>
      </text>
    </comment>
    <comment ref="AG1009" authorId="0" shapeId="0" xr:uid="{96C414AF-7042-4076-AD3E-F0408DB20B5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27/2021</t>
        </r>
      </text>
    </comment>
    <comment ref="AG1010" authorId="0" shapeId="0" xr:uid="{19ADFCA1-FD77-4529-B43A-4F1E2715D15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1990 OCT 28</t>
        </r>
      </text>
    </comment>
    <comment ref="AH1012" authorId="0" shapeId="0" xr:uid="{7A59DC5D-7325-419D-8415-B90C14F6B0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18/2021 $221,572,545
res 773 abril 22 de 2021 $222,721,043</t>
        </r>
      </text>
    </comment>
    <comment ref="AE1015" authorId="0" shapeId="0" xr:uid="{18D522EB-F243-4F26-AF7B-6D9B9D3FE89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15" authorId="0" shapeId="0" xr:uid="{F528BCD7-12EE-4EC0-9387-457BFD272AF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1/2021 $502,000,000
RES 1990 OCT 28</t>
        </r>
      </text>
    </comment>
    <comment ref="AE1016" authorId="0" shapeId="0" xr:uid="{EDF6554B-D23D-4EF4-829F-6930BD2864B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20" authorId="0" shapeId="0" xr:uid="{D4062558-7B60-4AAE-8A34-37C7117504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18/2021 $408,029,872,00</t>
        </r>
      </text>
    </comment>
    <comment ref="AG1023" authorId="0" shapeId="0" xr:uid="{36934354-3539-41DE-B013-49521F1B79F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G1035" authorId="0" shapeId="0" xr:uid="{A6C84A8B-05C6-478F-B77C-BDC5F2DA65B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</t>
        </r>
      </text>
    </comment>
    <comment ref="AE1041" authorId="0" shapeId="0" xr:uid="{18098573-2782-42C3-9C27-FC6372BC6F5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
</t>
        </r>
      </text>
    </comment>
    <comment ref="AH1041" authorId="0" shapeId="0" xr:uid="{6EED66AB-8145-47A2-976C-CB60D7CF8D2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21/2021</t>
        </r>
      </text>
    </comment>
    <comment ref="AE1051" authorId="0" shapeId="0" xr:uid="{96359B99-14B0-4D57-A7B2-54C5F9113E1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A1066" authorId="0" shapeId="0" xr:uid="{0A12D72E-0300-417B-A090-8A0A974CCE7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esta en fondo gestion del riesgo
</t>
        </r>
      </text>
    </comment>
    <comment ref="AG1066" authorId="0" shapeId="0" xr:uid="{E1852A7C-70E5-400E-88FD-8C77070ADA5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H1072" authorId="0" shapeId="0" xr:uid="{C3DCBCB3-A6BB-4EAB-8B87-D5A522B4658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18/2021 $557,151,874</t>
        </r>
      </text>
    </comment>
    <comment ref="AG1076" authorId="0" shapeId="0" xr:uid="{7BDA7AF9-4274-47D1-A452-529E51E27B5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E1082" authorId="0" shapeId="0" xr:uid="{6C80D154-C218-4D7A-83DF-9AD195CC68B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083" authorId="0" shapeId="0" xr:uid="{9DF43CEF-3A89-485F-91DA-6732FA19438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98" authorId="0" shapeId="0" xr:uid="{3469845E-492D-4BA9-B6A7-43C39645A1A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1102" authorId="0" shapeId="0" xr:uid="{11E0436D-327C-47D9-A47C-1786730D7CA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RESOLU 1613 SEPT 17/2021
</t>
        </r>
      </text>
    </comment>
    <comment ref="AH1107" authorId="0" shapeId="0" xr:uid="{8131BE17-71E7-4513-A6D0-8BC9FDB581C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se´t 17/2021</t>
        </r>
      </text>
    </comment>
    <comment ref="AG1109" authorId="0" shapeId="0" xr:uid="{D7AA93FF-8FD7-4315-A861-E9D077AFEC1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12/21$2,080,000,000</t>
        </r>
      </text>
    </comment>
    <comment ref="AH1109" authorId="0" shapeId="0" xr:uid="{7F405139-5938-4DA7-860E-7D40854E8A9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4/2021 $1,800,000,000,00res 936 mayo 21/2021
RES1336 JUL 28/2021 $210,000,000
res 1490 agosto 27/2021</t>
        </r>
      </text>
    </comment>
    <comment ref="AG1111" authorId="0" shapeId="0" xr:uid="{E552DF83-DD4F-4C9A-BC33-1F54ACED68B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12/2021 $2,580,000,000
resol 1336 jul 28/2021 $60,000,000</t>
        </r>
      </text>
    </comment>
    <comment ref="AH1111" authorId="0" shapeId="0" xr:uid="{6BF0AE69-663F-43B3-8239-1CE75FB61C5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1113" authorId="0" shapeId="0" xr:uid="{2A8B3DA9-C3FB-4DB7-8F8F-FC617EABA42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RESOL 936 MAYO 21/21</t>
        </r>
      </text>
    </comment>
    <comment ref="AG1115" authorId="0" shapeId="0" xr:uid="{AEDE57D8-D6DC-435C-B7CD-E1B67ACCCCE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28/2021 $100,000,000</t>
        </r>
      </text>
    </comment>
    <comment ref="AH1117" authorId="0" shapeId="0" xr:uid="{F86E17B8-C810-44B6-83B9-7BE6641265B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1/2021 $1,080,123,215 Y $2,000,000,000
res 1407 agosto 13/2021 $3,000,000,000</t>
        </r>
      </text>
    </comment>
    <comment ref="AG1119" authorId="0" shapeId="0" xr:uid="{1E7F5E35-5736-4486-8F23-0547DE8CF2E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RES 1209 JULIO 1/2021</t>
        </r>
      </text>
    </comment>
    <comment ref="AH1119" authorId="0" shapeId="0" xr:uid="{24512999-CE52-429E-B86D-48AF50693AB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13*/2021 $500,000,000</t>
        </r>
      </text>
    </comment>
    <comment ref="AG1120" authorId="0" shapeId="0" xr:uid="{1353190D-FD6A-4DEA-A41C-A050EDCDC6C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1/2021$2,000,000,000</t>
        </r>
      </text>
    </comment>
    <comment ref="AH1120" authorId="0" shapeId="0" xr:uid="{A5F49403-C856-4134-A881-B328D369DA4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13/2021 $500,000,000
</t>
        </r>
      </text>
    </comment>
    <comment ref="AG1122" authorId="0" shapeId="0" xr:uid="{A48FAD1B-3EDF-4DDF-AC77-2F8FF8E0492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21/21</t>
        </r>
      </text>
    </comment>
    <comment ref="AG1124" authorId="0" shapeId="0" xr:uid="{51B68585-43CF-49D8-8A67-0F8DB5A177C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1613 SEP 17/2021
</t>
        </r>
      </text>
    </comment>
    <comment ref="AG1126" authorId="0" shapeId="0" xr:uid="{3BBE150F-77D1-41BA-8C90-8A9E214E18A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12/2021 $140,000,000RESOL 1613 SEPT 17
RESOL 1613 SEPT 17/2021</t>
        </r>
      </text>
    </comment>
    <comment ref="AH1126" authorId="0" shapeId="0" xr:uid="{F079F237-D63E-4678-A9E9-A10A43AC9F4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E1129" authorId="0" shapeId="0" xr:uid="{E784D12D-F7C8-4AC5-876E-DF834DFCC9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131" authorId="0" shapeId="0" xr:uid="{9CE8154F-4DC4-412D-88A7-06A3572A6EB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
resol 1336 jul 28/2021 $50,000,000
res 1490 $60,000,000</t>
        </r>
      </text>
    </comment>
    <comment ref="AG1134" authorId="0" shapeId="0" xr:uid="{50EFE0AF-9271-462D-ACB2-50EDAD0A5C9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21resol 
1336 jul 28/2021 $100,000,000</t>
        </r>
      </text>
    </comment>
    <comment ref="AE1139" authorId="0" shapeId="0" xr:uid="{D7E8BF8B-956E-4028-BFFA-26A9603CB81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150" authorId="0" shapeId="0" xr:uid="{BC46B303-A3BB-4096-A9AC-BBECEB5E07D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12/2021 $10,000,000,000,00
resol 308 marzo 12/2021 $500,000,000
resolucion 737/ 15/04/2021 $431,000,000</t>
        </r>
      </text>
    </comment>
    <comment ref="AE1151" authorId="0" shapeId="0" xr:uid="{598E44F8-A7F9-468C-BC19-CBBEA424B7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151" authorId="0" shapeId="0" xr:uid="{EB2945E3-D49B-4E19-8BAB-DB697750CDC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18/2021 $200,000,000res 1407 agotos 13
RESOL 1359 AGOSTO 2/2021</t>
        </r>
      </text>
    </comment>
    <comment ref="AH1155" authorId="0" shapeId="0" xr:uid="{A8A31F47-5AEF-43EC-9E8B-E1F98557734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1156" authorId="0" shapeId="0" xr:uid="{27700E5F-E1F7-4E47-9F42-65CB3022A9B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156" authorId="0" shapeId="0" xr:uid="{3E328D31-057F-490E-9152-1012E38F8D8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1165" authorId="0" shapeId="0" xr:uid="{BF8778B3-2D3A-4535-BED2-E600BC2E43A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167" authorId="0" shapeId="0" xr:uid="{39D87F79-9E69-4B29-AB78-5C5DA1E6725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1169" authorId="0" shapeId="0" xr:uid="{984D35F9-13D7-4B49-800A-34D130767AE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G1170" authorId="0" shapeId="0" xr:uid="{E3906BD9-B4B3-4CE1-A9F0-33609282AF4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1359 AGOSTO 2/2021</t>
        </r>
      </text>
    </comment>
    <comment ref="AH1170" authorId="0" shapeId="0" xr:uid="{34C92CB2-D7C6-4F53-86CB-076794B46E6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E1176" authorId="0" shapeId="0" xr:uid="{55F1BCFE-5CBF-4032-BF8C-1DB2D245BD4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186" authorId="0" shapeId="0" xr:uid="{F6DD9BE9-AD8D-4669-AE54-D6D3C56AFAF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E1189" authorId="0" shapeId="0" xr:uid="{FC089C0A-2E54-4CFE-A2DA-67D18C13803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1190" authorId="0" shapeId="0" xr:uid="{7B6722F3-02B0-4F45-9B18-75CFCDFA2CF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91" authorId="0" shapeId="0" xr:uid="{252C89A9-5204-46EB-A107-2064AC25D42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193" authorId="0" shapeId="0" xr:uid="{25AACAB5-5C2C-45C5-968B-FF2E2742BCA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01/26/2021</t>
        </r>
      </text>
    </comment>
    <comment ref="AE1197" authorId="0" shapeId="0" xr:uid="{E34EB156-6CD6-4F9F-A2A9-B2F02F4B409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ABRIL29/2021</t>
        </r>
      </text>
    </comment>
    <comment ref="AG1199" authorId="0" shapeId="0" xr:uid="{BADCC958-86FF-40BA-8961-E384AA61377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18/2021 $204,500,000</t>
        </r>
      </text>
    </comment>
    <comment ref="AH1199" authorId="0" shapeId="0" xr:uid="{A3853BFA-7D41-43F9-B80B-62C64CF4A1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</t>
        </r>
      </text>
    </comment>
    <comment ref="AG1201" authorId="0" shapeId="0" xr:uid="{3FE680C5-4591-4335-A6FD-C0FC45CF9B7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26/2021 $3,086,332,698</t>
        </r>
      </text>
    </comment>
    <comment ref="AE1202" authorId="0" shapeId="0" xr:uid="{92D14CB1-9AA3-433D-98F5-E97D80126CF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204" authorId="0" shapeId="0" xr:uid="{98D3FCEE-F67F-4ACF-8DDF-FC788B31188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26/2021 $501,500,000</t>
        </r>
      </text>
    </comment>
    <comment ref="AH1204" authorId="0" shapeId="0" xr:uid="{55037053-64C5-4CBA-B0FD-3A2611555F9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18/2021 $204,500,000
res 1649 sept 28/2021 $800,000,000</t>
        </r>
      </text>
    </comment>
    <comment ref="AE1206" authorId="0" shapeId="0" xr:uid="{C2E78B9A-4B89-45FF-A41F-E617668ADD6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206" authorId="0" shapeId="0" xr:uid="{9E15F61A-139E-4FDB-8E4F-F41AEB2819F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1208" authorId="0" shapeId="0" xr:uid="{F1CAF5B7-001D-4975-B368-4E1B74D8DAE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</t>
        </r>
      </text>
    </comment>
    <comment ref="AG1210" authorId="0" shapeId="0" xr:uid="{47441377-7597-4AF7-A43C-BD77FE4C11D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26/2021 $221,000,000</t>
        </r>
      </text>
    </comment>
    <comment ref="AG1212" authorId="0" shapeId="0" xr:uid="{3B3AF7DF-39E4-4ED2-8D16-70E298B440F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1214" authorId="0" shapeId="0" xr:uid="{9E893311-3130-4857-839A-7851ACBE967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1613/2021 sept 17/2021</t>
        </r>
      </text>
    </comment>
    <comment ref="AE1215" authorId="0" shapeId="0" xr:uid="{58ECAFC9-CA98-4720-9FAD-0DDFE8EC40F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1217" authorId="0" shapeId="0" xr:uid="{70A67CE8-7501-4E6E-9C4C-A280FDDD25C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1649 SEPT 28/2021</t>
        </r>
      </text>
    </comment>
    <comment ref="AE1232" authorId="0" shapeId="0" xr:uid="{8F7E74B9-4B31-4C23-B57C-1D5B4552132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44" authorId="0" shapeId="0" xr:uid="{5FCBEBD8-30BD-4BFE-82FE-EC05C81A6F1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</t>
        </r>
      </text>
    </comment>
    <comment ref="AE1247" authorId="0" shapeId="0" xr:uid="{904A23DC-12A7-49D4-9D57-93D56C33240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48" authorId="0" shapeId="0" xr:uid="{0333C2A0-8EFC-427C-9472-B69500051E1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49" authorId="0" shapeId="0" xr:uid="{79B70A55-541C-4E1F-87A3-EA5CCADE523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250" authorId="0" shapeId="0" xr:uid="{350AAB9F-66FA-4C76-A098-00D21AFC76D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G1251" authorId="0" shapeId="0" xr:uid="{9E714743-8BEC-41DE-A740-AC7AC47FE31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</t>
        </r>
      </text>
    </comment>
    <comment ref="AE1264" authorId="0" shapeId="0" xr:uid="{4C2EFEB3-9057-4E56-A9D5-C5A81165191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</t>
        </r>
      </text>
    </comment>
    <comment ref="AE1270" authorId="0" shapeId="0" xr:uid="{917374F7-3F68-4683-B068-3BDA098CA54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A1273" authorId="0" shapeId="0" xr:uid="{311264EB-70BF-4111-B26C-7D86CCE81E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SE UBICO EN EL 3301122 EN CUIPO</t>
        </r>
      </text>
    </comment>
    <comment ref="AG1274" authorId="0" shapeId="0" xr:uid="{AD5C9E92-D15B-46FD-BEA7-840BCD36521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G1275" authorId="0" shapeId="0" xr:uid="{201A71D9-2002-467A-8BAB-AC5283503BF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14/2021</t>
        </r>
      </text>
    </comment>
    <comment ref="AE1276" authorId="0" shapeId="0" xr:uid="{4680A729-11D8-430A-9914-1EB72CDE93F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81" authorId="0" shapeId="0" xr:uid="{22FBD469-8CCD-46DA-9BDD-C4460022AD3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84" authorId="0" shapeId="0" xr:uid="{58466E0E-7D84-40D6-9AA7-EBA022F7F02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88" authorId="0" shapeId="0" xr:uid="{39E0A80C-FB1F-40E4-A25F-5F9DB5F2A2F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90" authorId="0" shapeId="0" xr:uid="{C75DE0B3-1697-44CB-9B0B-753CD3E82EC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94" authorId="0" shapeId="0" xr:uid="{9789EDCE-F2F3-4E71-A25C-8474AF69E60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1318" authorId="0" shapeId="0" xr:uid="{D248CC6F-D95A-4456-BDD5-4DBB44C379F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737 15/04/2021 $431,000,000
RES 1068 JUN 3/2021 $18,000,000</t>
        </r>
      </text>
    </comment>
    <comment ref="AH1318" authorId="0" shapeId="0" xr:uid="{C585D367-1F91-44A2-9DE3-A64C4B3C3CE7}">
      <text>
        <r>
          <rPr>
            <b/>
            <sz val="9"/>
            <color indexed="81"/>
            <rFont val="Tahoma"/>
            <family val="2"/>
          </rPr>
          <t>Yolanda Baron Pedraza
resol 915 mayo 12</t>
        </r>
      </text>
    </comment>
    <comment ref="AG1320" authorId="0" shapeId="0" xr:uid="{75F2D0DE-7AD5-448C-BB1C-EFF05AFDABA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763 21 ABRIL  $431,000,000
res 915 mayo 12/2021 $9,000,000
RES 1812 OCT 20</t>
        </r>
      </text>
    </comment>
    <comment ref="AH1320" authorId="0" shapeId="0" xr:uid="{3E7B4FB2-DD9C-419C-9131-A156CCBE885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</t>
        </r>
      </text>
    </comment>
    <comment ref="AH1322" authorId="0" shapeId="0" xr:uid="{E54C9BCB-8C31-436A-BF18-332C4C44B6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20/21</t>
        </r>
      </text>
    </comment>
    <comment ref="AG1324" authorId="0" shapeId="0" xr:uid="{E7019E21-5683-41C1-B604-53AB4EDB9C0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</t>
        </r>
      </text>
    </comment>
    <comment ref="AG1351" authorId="0" shapeId="0" xr:uid="{3FECB70F-5959-4601-AF99-4814A7C919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026 enero 26/2021 $5,536,570,240</t>
        </r>
      </text>
    </comment>
    <comment ref="AH1356" authorId="0" shapeId="0" xr:uid="{B4110A65-2FCB-4D9C-A76F-728515DD2C7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
</t>
        </r>
      </text>
    </comment>
    <comment ref="AE1359" authorId="0" shapeId="0" xr:uid="{24F05FE8-35CE-4F95-B40A-81E2F73473C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63" authorId="0" shapeId="0" xr:uid="{DA8D96FC-AD92-49B9-8CE4-4846B11CF0E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64" authorId="0" shapeId="0" xr:uid="{FEB7BE8B-FC6C-4EDE-B14B-B2073624A1C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MAYO7/2021</t>
        </r>
      </text>
    </comment>
    <comment ref="AE1370" authorId="0" shapeId="0" xr:uid="{86908619-7282-4BDC-9577-A8B7DBB45A2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71" authorId="0" shapeId="0" xr:uid="{A370CCA8-5983-497B-B53A-C95893347E4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058MAYO 7/2021</t>
        </r>
      </text>
    </comment>
    <comment ref="AE1375" authorId="0" shapeId="0" xr:uid="{179E6EB7-00BC-48E8-9E37-21F0173CE8E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76" authorId="0" shapeId="0" xr:uid="{E93AD526-9B98-4D2E-A78C-9D2D17C077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77" authorId="0" shapeId="0" xr:uid="{B1818B3C-C375-42B2-B545-92813E166CC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81" authorId="0" shapeId="0" xr:uid="{6ED92CAE-4096-4230-89FB-63E43694941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84" authorId="0" shapeId="0" xr:uid="{1C07AC8A-3CD2-40B9-9F8C-F777EC3DDA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G1387" authorId="0" shapeId="0" xr:uid="{60019A17-09F7-4605-A0F5-377FC4D0844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1387" authorId="0" shapeId="0" xr:uid="{7182F7AA-2F4A-45A4-BE3F-3F75B0C12DA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18/2021 $136,150,000
</t>
        </r>
      </text>
    </comment>
    <comment ref="AE1390" authorId="0" shapeId="0" xr:uid="{8966F373-AC58-441E-B47B-658881BE0D0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91" authorId="0" shapeId="0" xr:uid="{5DC74C97-CFEB-4A39-85B6-29CCE6EDCBD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 C 058 MAYO 7/2021</t>
        </r>
      </text>
    </comment>
    <comment ref="AE1392" authorId="0" shapeId="0" xr:uid="{3BBECA6F-64B6-4D5A-A2E1-E81FA6F8701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058 MAYO 7/2021</t>
        </r>
      </text>
    </comment>
    <comment ref="AE1396" authorId="0" shapeId="0" xr:uid="{FBB601AC-5E88-4ED4-BAC6-13CEAB69942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00" authorId="0" shapeId="0" xr:uid="{8259D9D2-48FD-44A2-A29E-CF577F43908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01" authorId="0" shapeId="0" xr:uid="{4304F047-C1B9-4E66-B3FB-3D57CDEA66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02" authorId="0" shapeId="0" xr:uid="{1F37A03F-680B-4695-AD3C-8927AF748E2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06" authorId="0" shapeId="0" xr:uid="{861DCF52-9F48-47D4-8128-3B02FE0E847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07" authorId="0" shapeId="0" xr:uid="{ADC7816F-0ACC-4E5E-8C31-E130A9EDCAB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MAYOO 7/2021</t>
        </r>
      </text>
    </comment>
    <comment ref="AE1408" authorId="0" shapeId="0" xr:uid="{2BB3188D-B5D4-4E32-93F4-89B9768793D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12" authorId="0" shapeId="0" xr:uid="{04C1DC19-2829-47BE-BAF4-645AF0B72ED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16" authorId="0" shapeId="0" xr:uid="{BCE3CF27-C49C-47AE-ACDA-C9C363C4A1C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18" authorId="0" shapeId="0" xr:uid="{0297CBA4-7D59-4FD2-93C0-32D67A688DE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G1420" authorId="0" shapeId="0" xr:uid="{84040BDE-54E4-4A6F-951E-EBD1C04151B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18/21 $136,150,000</t>
        </r>
      </text>
    </comment>
    <comment ref="AG1422" authorId="0" shapeId="0" xr:uid="{564257A3-05E8-41A6-8753-13FBBD3E3B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13360 jul 28/2021RES 1407 AGOSTO 13/2021</t>
        </r>
      </text>
    </comment>
    <comment ref="AG1425" authorId="0" shapeId="0" xr:uid="{C7569447-555F-4B28-ABE5-85BA830491E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E1430" authorId="0" shapeId="0" xr:uid="{A6C2FB94-C099-4945-8D7F-FF28A263DFD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430" authorId="0" shapeId="0" xr:uid="{DBCB2CDA-C1CA-456A-AD51-3AEB70A78E9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H1430" authorId="0" shapeId="0" xr:uid="{0110051D-2AD7-46A5-AAF8-089BB44599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 13/2021 $15,000
000</t>
        </r>
      </text>
    </comment>
    <comment ref="AE1434" authorId="0" shapeId="0" xr:uid="{0E77BF22-6DBD-4EDD-9A80-4C3F0A5A00A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36" authorId="0" shapeId="0" xr:uid="{3CF64DDC-2CFB-4B18-90F5-AC2BAF1179E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058MAYO 7/2021</t>
        </r>
      </text>
    </comment>
    <comment ref="AH1436" authorId="0" shapeId="0" xr:uid="{55E881E0-AAD6-421B-A641-924E6B63239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28/2021 $350,000,000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Yolanda Baron Pedraza</author>
  </authors>
  <commentList>
    <comment ref="AH18" authorId="0" shapeId="0" xr:uid="{9F86FF79-AAAC-4528-B47D-97D0AAE7B16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11356 JUNIO 18/2021 $100,000,000
RESOL 1359 AGOTO 2/2021</t>
        </r>
      </text>
    </comment>
    <comment ref="AH19" authorId="0" shapeId="0" xr:uid="{0EB9CEF3-6187-4D7B-BCE1-E3BF08E4D27E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1812 oct 20/2021</t>
        </r>
      </text>
    </comment>
    <comment ref="AG20" authorId="0" shapeId="0" xr:uid="{08C48176-DBE5-4F6B-80A8-2B741337078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H25" authorId="0" shapeId="0" xr:uid="{03E9FEF9-E3EF-4E21-8D34-054E14DB7C4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18/2021 $140,000,000</t>
        </r>
      </text>
    </comment>
    <comment ref="AH35" authorId="0" shapeId="0" xr:uid="{D0BF6D59-1FD7-4A5A-A369-61888A05E8A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18/2021 $120,000,000</t>
        </r>
      </text>
    </comment>
    <comment ref="AG36" authorId="0" shapeId="0" xr:uid="{D93BEFC4-B284-412C-B44F-BD128DB4F41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37" authorId="0" shapeId="0" xr:uid="{D71E90A7-366F-45BF-AF7F-F8A6530C34AA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2162 nov 17</t>
        </r>
      </text>
    </comment>
    <comment ref="AH37" authorId="0" shapeId="0" xr:uid="{C3519E0A-F6B3-49F2-8C59-383A141CC15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18/2021 $72,000,000
res 2162 nov 17/2021</t>
        </r>
      </text>
    </comment>
    <comment ref="AH44" authorId="0" shapeId="0" xr:uid="{7431C966-AA9F-4828-85FD-9913FBF4C33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18/2021 $70,000,000
RESOL 1359 AGOSTO 2/2021
res 1812 oct 20/201
res 2162 nov 17/2021</t>
        </r>
      </text>
    </comment>
    <comment ref="AH45" authorId="0" shapeId="0" xr:uid="{B882AACF-437C-4EF9-B584-299AEA011451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1812 oct 20/2021</t>
        </r>
      </text>
    </comment>
    <comment ref="AH47" authorId="0" shapeId="0" xr:uid="{0E2FED11-19BF-4EBD-98CA-65B4C2BC596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1649 sept 28/2021
res 2162 nov 17/2021</t>
        </r>
      </text>
    </comment>
    <comment ref="AH53" authorId="0" shapeId="0" xr:uid="{DE02C646-B4F1-4C80-9797-625AFB7ED1A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1135JUNIO 18/2021 $79,000,000
RES 1265 JUL 14/2021RESOL 1359 AGOSTO 2/2021res 2162 nov 17
</t>
        </r>
      </text>
    </comment>
    <comment ref="AG54" authorId="0" shapeId="0" xr:uid="{E5B09928-0D94-4B52-BEF6-38066E1F361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H56" authorId="0" shapeId="0" xr:uid="{067DC382-86D6-43F5-BBA1-345F8C3588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18/2021 $37,500,000
res 2162 nov 17/2021</t>
        </r>
      </text>
    </comment>
    <comment ref="AH59" authorId="0" shapeId="0" xr:uid="{51CC19A8-E77C-4780-B551-8181E45C8A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1359 AGOSTO 2</t>
        </r>
      </text>
    </comment>
    <comment ref="AG60" authorId="0" shapeId="0" xr:uid="{893D33DA-E7B0-49D2-A493-DD7BA7CCB8B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H62" authorId="0" shapeId="0" xr:uid="{25211275-ABB3-4622-9306-29769ADE58D5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1812 oct 20/2021</t>
        </r>
      </text>
    </comment>
    <comment ref="AG63" authorId="0" shapeId="0" xr:uid="{2FE52780-3B4F-445B-AFC7-4C215845F0A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H65" authorId="0" shapeId="0" xr:uid="{06F6A24F-2AC5-46FC-9E1D-3974E62EC6A3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2162 nov 17/2021</t>
        </r>
      </text>
    </comment>
    <comment ref="AG66" authorId="0" shapeId="0" xr:uid="{DC0E3D93-BEAF-4069-ABDC-01B099C30D9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H68" authorId="0" shapeId="0" xr:uid="{B185AFCF-C80A-4DCA-9834-B8D716BBF369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2162 nov 17/2021</t>
        </r>
      </text>
    </comment>
    <comment ref="AG69" authorId="0" shapeId="0" xr:uid="{09A828A5-C84D-4D1F-907C-134AAA54B37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74" authorId="0" shapeId="0" xr:uid="{E3579F60-BED5-4C9D-BE20-66FC5334C9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H76" authorId="0" shapeId="0" xr:uid="{39A1B38D-C184-4D2E-A281-1BF15ED29FB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del 12 mayoRESOL 1359 AGOSTO 2/2021</t>
        </r>
      </text>
    </comment>
    <comment ref="AG84" authorId="0" shapeId="0" xr:uid="{4EB42AFF-9970-4A3A-AA46-5340CA08859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18/2021 $72,000,000</t>
        </r>
      </text>
    </comment>
    <comment ref="AG89" authorId="0" shapeId="0" xr:uid="{7A27C0F8-81DC-4715-9970-22D916198D7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18/2021 $70,000,000</t>
        </r>
      </text>
    </comment>
    <comment ref="AH89" authorId="0" shapeId="0" xr:uid="{1F2378D4-20A9-430B-89A3-E1AAE9D96EEA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2162 nov 17/2021</t>
        </r>
      </text>
    </comment>
    <comment ref="AG90" authorId="0" shapeId="0" xr:uid="{A6F64579-D4CE-4F4F-848D-45C44E12408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SEPT</t>
        </r>
      </text>
    </comment>
    <comment ref="AG91" authorId="0" shapeId="0" xr:uid="{7F5B9BDC-B3CE-43F0-8B72-C4022FB3766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
RES 2162 NOV 17/2021</t>
        </r>
      </text>
    </comment>
    <comment ref="AG92" authorId="0" shapeId="0" xr:uid="{2018862E-E2F8-4D9F-A342-10D62241E85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18/2021 $37,500,000</t>
        </r>
      </text>
    </comment>
    <comment ref="AH92" authorId="0" shapeId="0" xr:uid="{5C3F6329-BD24-44F8-B5FF-EC1EE9B489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JUK 14/2021 $37,500,000</t>
        </r>
      </text>
    </comment>
    <comment ref="AG93" authorId="0" shapeId="0" xr:uid="{EC1EDFF8-C793-47ED-B793-8BDAF8AFBD4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18/2021$260,000,000$79,000,000</t>
        </r>
      </text>
    </comment>
    <comment ref="AH93" authorId="0" shapeId="0" xr:uid="{E5D2F6D7-5C8E-43AD-BFB5-873CF86420C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
RES SEPT </t>
        </r>
      </text>
    </comment>
    <comment ref="AH95" authorId="0" shapeId="0" xr:uid="{3DF029C6-C687-45E7-8D41-CC5FD5C928A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12/2021 $90,000,000
res 201 marzo 4/2021
res 1812 oct 20/2021</t>
        </r>
      </text>
    </comment>
    <comment ref="AG96" authorId="0" shapeId="0" xr:uid="{3A35965B-F99D-4B85-89EF-023A5D72E56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14/04/2021 $200,000,000
res 1135 jun 18/2021 $37,500,000
res 1265 jul 14/2021
RESO DE SEPT
RES 2377 NOV 25
RES 2162 NOV 17</t>
        </r>
      </text>
    </comment>
    <comment ref="AH96" authorId="0" shapeId="0" xr:uid="{AFF8657A-AA25-4E4B-9E8F-A39AD03E01D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12/2021 $490,000,000</t>
        </r>
      </text>
    </comment>
    <comment ref="AG97" authorId="0" shapeId="0" xr:uid="{036181C6-1F88-40C1-9F91-B49775B0230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2021</t>
        </r>
      </text>
    </comment>
    <comment ref="AH97" authorId="0" shapeId="0" xr:uid="{CDE4F1F0-4189-4FCA-9321-09268DCFECE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</t>
        </r>
      </text>
    </comment>
    <comment ref="AG98" authorId="0" shapeId="0" xr:uid="{03563D1E-1D13-4EAD-B76D-AB6D1F94C5F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069 feb 12/2021 $1,580,000,000
resol 308 marzo 12/2021 $150,000,000
RES 511 MARZO 19/2021 $300,000,000
RES 0201 MARZO 4/2021 $34,200,000RESOL 1437 AGOSTO 18/2021
RESOL 1359 AGOSTO 2/2021</t>
        </r>
      </text>
    </comment>
    <comment ref="AH98" authorId="0" shapeId="0" xr:uid="{34CEDC8C-07E1-4D2B-A347-FE310D3B9A1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12/2021 $1,000,000,000
resol 308 marzo 12/2021 $450,000,000
resol 511 marzo 19/2021
res 201 4 marzo 2021
RESOL 1437 AGOSTO 18</t>
        </r>
      </text>
    </comment>
    <comment ref="AG99" authorId="0" shapeId="0" xr:uid="{7915A166-599A-4E16-8BF4-D40EDD71FAB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1437 AGOSTO 18/2021</t>
        </r>
      </text>
    </comment>
    <comment ref="AH99" authorId="0" shapeId="0" xr:uid="{51A20BD8-3A4E-420B-AB8B-8FD6D8F7DE49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2162 nov 17/21</t>
        </r>
      </text>
    </comment>
    <comment ref="AG100" authorId="0" shapeId="0" xr:uid="{09A2F5F2-34B6-4F03-A4FA-E52058DE59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1649 SEPT 28/2021 
RES 1812/ OCT 20
RES 2162 NOV 17/21</t>
        </r>
      </text>
    </comment>
    <comment ref="AG105" authorId="0" shapeId="0" xr:uid="{2FACCA1B-6B89-4C65-ADE0-0F16BF45851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1/2021 $80,000,000</t>
        </r>
      </text>
    </comment>
    <comment ref="AE109" authorId="0" shapeId="0" xr:uid="{F679E338-1AB9-49B1-BBC9-3019E7EB68FD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dec 138 nov 3</t>
        </r>
      </text>
    </comment>
    <comment ref="AE110" authorId="0" shapeId="0" xr:uid="{D2BC245C-475C-4132-8B4C-FD6BAEE7FBF5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dec 138 nov 3 </t>
        </r>
      </text>
    </comment>
    <comment ref="AG112" authorId="0" shapeId="0" xr:uid="{719C3A68-A24A-4DA4-8BC1-D4DB89A38C2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
RES 2162 NOV 17/21</t>
        </r>
      </text>
    </comment>
    <comment ref="AE114" authorId="0" shapeId="0" xr:uid="{027F90A8-0296-4B29-90A1-6F1C45201407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decreto 138 nov 3 </t>
        </r>
      </text>
    </comment>
    <comment ref="AE115" authorId="0" shapeId="0" xr:uid="{E9A98280-946D-43C1-9AA5-72D69E22D33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E116" authorId="0" shapeId="0" xr:uid="{1305E2BF-B234-4025-BA7E-92217050CAAE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dec 0138 nov 3/2021</t>
        </r>
      </text>
    </comment>
    <comment ref="AG116" authorId="0" shapeId="0" xr:uid="{059B5A75-AD2D-4E26-B4B5-A4F7B28E87F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14/04/2021 $700000,000,00
RES 1265 $JUL 14/2021 $1,040,000,000
decreto 138 nov 3/2021</t>
        </r>
      </text>
    </comment>
    <comment ref="AH116" authorId="0" shapeId="0" xr:uid="{755C3385-1B14-44B4-A8AE-45D9FDBABA7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2377 NOV 25</t>
        </r>
      </text>
    </comment>
    <comment ref="AG117" authorId="0" shapeId="0" xr:uid="{84D5BAB0-C9C2-4971-AA17-BADA23E6041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2162 NOV 17/2021</t>
        </r>
      </text>
    </comment>
    <comment ref="AH128" authorId="0" shapeId="0" xr:uid="{CA990D86-2BEE-4AD4-B976-C2D4CEE21AA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15 abril/2021 $900,000,000
RES 1209 JUL 1 DE 2021
RESOL 1265 JUL 14JULIO14/2021
RESOLUCION 1407 AGOSTO 13/2021 $365,556,246,72
RESOL 1437 AGOSTO 18
resol 2162 nov 17/2021</t>
        </r>
      </text>
    </comment>
    <comment ref="AE131" authorId="0" shapeId="0" xr:uid="{6BD678D7-7961-4741-9AC5-45E910D9E36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36" authorId="0" shapeId="0" xr:uid="{F7B07C78-B99A-4691-A1F5-C1E25DFB871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G138" authorId="0" shapeId="0" xr:uid="{2E85AA8D-20C9-47F9-B18B-8CB213E6AC8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
</t>
        </r>
      </text>
    </comment>
    <comment ref="AG148" authorId="0" shapeId="0" xr:uid="{999835BF-B356-4C02-9562-392B642A5E7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
</t>
        </r>
      </text>
    </comment>
    <comment ref="AE149" authorId="0" shapeId="0" xr:uid="{D8B07E53-10D1-481B-B462-59073B01100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54" authorId="0" shapeId="0" xr:uid="{41EBE67D-28A9-44F8-BFB2-4D21671784C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
res 915 mayo 12 $12,000,000
RES 2162 NOV 17/21</t>
        </r>
      </text>
    </comment>
    <comment ref="AG159" authorId="0" shapeId="0" xr:uid="{AF462EFB-1A4F-4084-A644-FEE75986282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4/2021RESOL 1359 AGOSTO 2/2021
RES 1812/OCT 2021</t>
        </r>
      </text>
    </comment>
    <comment ref="AH170" authorId="0" shapeId="0" xr:uid="{B663D76A-CCF7-4C70-AF6D-C2FE7F384C4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
</t>
        </r>
      </text>
    </comment>
    <comment ref="AH175" authorId="0" shapeId="0" xr:uid="{9949A397-246F-4FA9-8D5F-AFC683B0B8A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2021</t>
        </r>
      </text>
    </comment>
    <comment ref="AE180" authorId="0" shapeId="0" xr:uid="{7F64D683-A514-4619-91F0-FD6FF26BB74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E187" authorId="0" shapeId="0" xr:uid="{D14DA4D5-F735-4F2B-B2D8-7A56C076D02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88" authorId="0" shapeId="0" xr:uid="{7E0DFAFF-FD22-41FA-8A8D-25E17DC4BA5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H201" authorId="0" shapeId="0" xr:uid="{713E097E-9B48-4C00-A46B-A552CB5F6C8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18/2021 $40,000,000</t>
        </r>
      </text>
    </comment>
    <comment ref="AG203" authorId="0" shapeId="0" xr:uid="{F6B53EA8-ACAD-4CF2-9A49-7B078F3E85D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206" authorId="0" shapeId="0" xr:uid="{5D6898BA-1EB3-44A3-8CE9-14C8AF734F5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206" authorId="0" shapeId="0" xr:uid="{88F99DB8-AA19-4E72-927C-99193814DBA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12 de mayo 
</t>
        </r>
      </text>
    </comment>
    <comment ref="AG209" authorId="0" shapeId="0" xr:uid="{A4DE016D-DD7F-4C64-9A36-559A780545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
RES 2377 NOV 25</t>
        </r>
      </text>
    </comment>
    <comment ref="AG213" authorId="0" shapeId="0" xr:uid="{2E6FF8E5-6FA1-479A-BF46-ACBEEF6D180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18/2021 $60,000,000</t>
        </r>
      </text>
    </comment>
    <comment ref="AG214" authorId="0" shapeId="0" xr:uid="{E28C400C-0FD6-4CAE-AFBE-359E1C820DB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217" authorId="0" shapeId="0" xr:uid="{5A13F58F-9B01-475F-9A14-7F2B8DC0BE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1653 OCT 1 DE 2021</t>
        </r>
      </text>
    </comment>
    <comment ref="AG218" authorId="0" shapeId="0" xr:uid="{143B1E47-A605-4629-B495-6CEC2750C9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1653 OCT 1/2021</t>
        </r>
      </text>
    </comment>
    <comment ref="AG220" authorId="0" shapeId="0" xr:uid="{476EFE65-B400-43E2-ADA5-B1CEAB76E37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814 abril 30/2021</t>
        </r>
      </text>
    </comment>
    <comment ref="AH220" authorId="0" shapeId="0" xr:uid="{7D58802E-1B18-4AFA-A049-49EF8ED02AF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2377 NOV 25</t>
        </r>
      </text>
    </comment>
    <comment ref="AG222" authorId="0" shapeId="0" xr:uid="{6FD23389-002B-4405-B430-C75C8D26EC8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H222" authorId="0" shapeId="0" xr:uid="{6D84DA6C-16D5-4F81-B748-A02C5470B5F9}">
      <text>
        <r>
          <rPr>
            <b/>
            <sz val="9"/>
            <color indexed="81"/>
            <rFont val="Tahoma"/>
            <family val="2"/>
          </rPr>
          <t>Yolanda Baron Pedrresol 1653 oct 1/2021</t>
        </r>
      </text>
    </comment>
    <comment ref="AG223" authorId="0" shapeId="0" xr:uid="{8FF037A7-893B-4911-BA26-33C999F388A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H223" authorId="0" shapeId="0" xr:uid="{AD396549-1A57-4BDD-BFC0-9C57E17A52B7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1653 oct 1/2021</t>
        </r>
      </text>
    </comment>
    <comment ref="AG225" authorId="0" shapeId="0" xr:uid="{F94CDA9B-5442-455D-ADE1-44133C93F31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15/2021
</t>
        </r>
      </text>
    </comment>
    <comment ref="AG226" authorId="0" shapeId="0" xr:uid="{7F1205C0-20B5-4801-81BC-7A7FC8DA894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1653 OCTU 1 DE 2021</t>
        </r>
      </text>
    </comment>
    <comment ref="AG232" authorId="0" shapeId="0" xr:uid="{7E89298C-8BCB-420F-AFF2-4BAEDDEADA2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12/2021 $200,000,000</t>
        </r>
      </text>
    </comment>
    <comment ref="AH232" authorId="0" shapeId="0" xr:uid="{DB0F74E5-349F-45AD-866D-1854672B973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814 30 abril 2021 $200,000,000</t>
        </r>
      </text>
    </comment>
    <comment ref="AH234" authorId="0" shapeId="0" xr:uid="{3758BDAB-9175-4270-859A-CB30444E6139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1812 oct 20</t>
        </r>
      </text>
    </comment>
    <comment ref="AH236" authorId="0" shapeId="0" xr:uid="{E08DA531-516F-4487-8F45-BB50BEB16C7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18/2021 $20,000,000
reso 1613 sept 17/2021</t>
        </r>
      </text>
    </comment>
    <comment ref="AG239" authorId="0" shapeId="0" xr:uid="{E936ADC8-9EB4-49F9-9B84-F19386EBC9F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18/2021 $200,000,000</t>
        </r>
      </text>
    </comment>
    <comment ref="AH239" authorId="0" shapeId="0" xr:uid="{F7FFF5CF-F76E-4EF6-8F48-6C54067EA868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1812 oct 20/21</t>
        </r>
      </text>
    </comment>
    <comment ref="AG241" authorId="0" shapeId="0" xr:uid="{979DAA88-AE48-441A-94AD-AB002B0B767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244" authorId="0" shapeId="0" xr:uid="{AB61BE67-9F06-4014-AFAD-BDA362F5433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18/2021 $400,000,000</t>
        </r>
      </text>
    </comment>
    <comment ref="AG247" authorId="0" shapeId="0" xr:uid="{14F9C711-D16E-4403-9222-45CE67835ED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18/2021$400,000,000</t>
        </r>
      </text>
    </comment>
    <comment ref="AE251" authorId="0" shapeId="0" xr:uid="{2D67EC5C-21E6-4218-8837-0829C05D55E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G264" authorId="0" shapeId="0" xr:uid="{A7000FA7-F45F-40CE-A798-402D46E5E482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2377 nov 25</t>
        </r>
      </text>
    </comment>
    <comment ref="AH264" authorId="0" shapeId="0" xr:uid="{0B41F013-5EDA-4B97-884D-2EEFA067F914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1812 oct 20/21</t>
        </r>
      </text>
    </comment>
    <comment ref="AG267" authorId="0" shapeId="0" xr:uid="{5D1EB916-BF57-4FD1-9EE4-63EB049BA0C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H272" authorId="0" shapeId="0" xr:uid="{651BEA18-5611-4BAD-81B3-8AC09A53C0B8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2377 nov 27/2021</t>
        </r>
      </text>
    </comment>
    <comment ref="AG274" authorId="0" shapeId="0" xr:uid="{8DC682C3-1741-4111-B580-D8F70B014EC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281" authorId="0" shapeId="0" xr:uid="{2ECEDA64-EB16-461A-B165-FC9C61E3CE1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283" authorId="0" shapeId="0" xr:uid="{974E29F7-4D4B-4166-AC6A-53E8A07827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285" authorId="0" shapeId="0" xr:uid="{3EB35FEC-7D66-4D14-87EE-24800674D5C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20/21</t>
        </r>
      </text>
    </comment>
    <comment ref="AG287" authorId="0" shapeId="0" xr:uid="{3FB84E6F-9677-4E71-B7D1-4D7A92D0B73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289" authorId="0" shapeId="0" xr:uid="{38408320-6BC2-49B7-B5E8-F576F22DE9E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291" authorId="0" shapeId="0" xr:uid="{B5C747A7-8B21-426D-8421-5559B1A9B67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293" authorId="0" shapeId="0" xr:uid="{765A8A13-0002-4F6B-96FE-D6E24536BCB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297" authorId="0" shapeId="0" xr:uid="{691C4473-BA9E-47E4-98BA-1B11CA8C932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301" authorId="0" shapeId="0" xr:uid="{547B46D8-DD21-4B10-AB83-774FC1F8E64D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2377 nov 25/2021</t>
        </r>
      </text>
    </comment>
    <comment ref="AH303" authorId="0" shapeId="0" xr:uid="{6893A8DB-AEEA-447D-B094-746E8B440B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2377 NOV 25/2021
</t>
        </r>
      </text>
    </comment>
    <comment ref="AG312" authorId="0" shapeId="0" xr:uid="{CE569592-B4DB-4872-9CB3-4915712DAD1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H312" authorId="0" shapeId="0" xr:uid="{4AE50FAA-97FC-4972-8B5F-4B33C6FFB08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19/2021 $316,940,531,70
resol 1812 oct20/2021
RES 2377 NOV 25</t>
        </r>
      </text>
    </comment>
    <comment ref="AE314" authorId="0" shapeId="0" xr:uid="{6F6B20A1-AC22-42FA-8993-6E3D29D558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316" authorId="0" shapeId="0" xr:uid="{EFEFD44A-E9B7-4104-B304-D5CE76834BA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1812 OCT 20
res 2377 nov 25</t>
        </r>
      </text>
    </comment>
    <comment ref="AG320" authorId="0" shapeId="0" xr:uid="{009B0E4C-56D3-478B-8731-FD2E211C340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G324" authorId="0" shapeId="0" xr:uid="{7CE215FC-0CB7-49A7-BEA2-81E219D187A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H327" authorId="0" shapeId="0" xr:uid="{C05A53DA-2ACB-44B1-91AE-726F91015E2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2377 NOV 25</t>
        </r>
      </text>
    </comment>
    <comment ref="AG332" authorId="0" shapeId="0" xr:uid="{3371C1D8-A321-459D-9331-0A46CA9798E8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2377 nov 25
</t>
        </r>
      </text>
    </comment>
    <comment ref="AG334" authorId="0" shapeId="0" xr:uid="{5914C239-F589-4FB8-8196-6B4E4B3A0AF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RESL 1812 OCT 20</t>
        </r>
      </text>
    </comment>
    <comment ref="AG336" authorId="0" shapeId="0" xr:uid="{8D820D88-7D00-478D-844D-BA2F433ADD1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
res 2377 nov 25</t>
        </r>
      </text>
    </comment>
    <comment ref="AG351" authorId="0" shapeId="0" xr:uid="{8104936C-5BE3-447B-AE8E-EF130A0409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
res 2377 nov 25/2021</t>
        </r>
      </text>
    </comment>
    <comment ref="AH360" authorId="0" shapeId="0" xr:uid="{E201AD54-51C5-426E-98A6-7C9841D165C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2377 NOV 25/2021 $69,341,819</t>
        </r>
      </text>
    </comment>
    <comment ref="AG362" authorId="0" shapeId="0" xr:uid="{A4531F07-372D-4CC7-A1E9-6DE71D19EF20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2377 nov 25</t>
        </r>
      </text>
    </comment>
    <comment ref="AG366" authorId="0" shapeId="0" xr:uid="{BA2C4DC9-B3B0-4F1D-B338-A0CA6B1CFC7E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2377 nov 25
</t>
        </r>
      </text>
    </comment>
    <comment ref="AH376" authorId="0" shapeId="0" xr:uid="{51B987CE-2BCE-480A-9F3F-CB1F82615EBF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1812 oct 2021</t>
        </r>
      </text>
    </comment>
    <comment ref="AG378" authorId="0" shapeId="0" xr:uid="{41BF8707-20BF-4F77-B24F-73C6DB240A0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380" authorId="0" shapeId="0" xr:uid="{1E5BFD18-58D5-4C0C-ACE8-4765E5351C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396" authorId="0" shapeId="0" xr:uid="{53B6BA5B-7D63-4345-8D6A-8DA97B7F1C6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RESL 1812 OCT 20</t>
        </r>
      </text>
    </comment>
    <comment ref="AG410" authorId="0" shapeId="0" xr:uid="{74E99183-A4FC-4137-AA0C-C9D0C38B218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12/2021 $2,000,000,000RES 1265 JULI 14/2021</t>
        </r>
      </text>
    </comment>
    <comment ref="AG416" authorId="0" shapeId="0" xr:uid="{1E86360D-9426-464E-9CA2-1C56F5B864F6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2162 NOV 17/2021</t>
        </r>
      </text>
    </comment>
    <comment ref="AE417" authorId="0" shapeId="0" xr:uid="{2B323BB9-374B-4383-B11B-9F901EF4DB5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dec0120 sept 24/2021
</t>
        </r>
      </text>
    </comment>
    <comment ref="AG418" authorId="0" shapeId="0" xr:uid="{85059078-F971-4804-88A1-4ABFBECAC45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
</t>
        </r>
      </text>
    </comment>
    <comment ref="AH418" authorId="0" shapeId="0" xr:uid="{F7525572-0465-499A-BEA5-967F40CE41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13/52021 $95,676,637</t>
        </r>
      </text>
    </comment>
    <comment ref="AE419" authorId="0" shapeId="0" xr:uid="{8C1D127B-6099-4808-824E-C6209F7D83F3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decreto 138 nov 3</t>
        </r>
      </text>
    </comment>
    <comment ref="AH419" authorId="0" shapeId="0" xr:uid="{656D599D-62A5-4926-8932-7082D21B203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 1407 agosto 13/2021 $1,040,144,569
</t>
        </r>
      </text>
    </comment>
    <comment ref="AG420" authorId="0" shapeId="0" xr:uid="{42F44F6A-6FEA-4789-9B54-9E668325C1A5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2162 NOV 17</t>
        </r>
      </text>
    </comment>
    <comment ref="AE421" authorId="0" shapeId="0" xr:uid="{AAA98503-0F48-49FD-8C2D-AC048417CF3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22" authorId="0" shapeId="0" xr:uid="{DF88718E-D421-45B2-941B-A0F7422C5D5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23" authorId="0" shapeId="0" xr:uid="{6AE3B8CF-7936-40B7-84DA-AB73591456C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MAYO27/2021</t>
        </r>
      </text>
    </comment>
    <comment ref="AG425" authorId="0" shapeId="0" xr:uid="{A07C400C-271A-4F24-A360-1EE2D6FCEFC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427" authorId="0" shapeId="0" xr:uid="{D93DAA3A-250A-4ECF-B33B-97B5309F57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</t>
        </r>
      </text>
    </comment>
    <comment ref="AE428" authorId="0" shapeId="0" xr:uid="{F504688A-457A-4CE2-8777-782946BC754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H433" authorId="0" shapeId="0" xr:uid="{5C9C7432-3FD4-4909-A305-8EAACFF6D50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13/2021 $169,996,000
res 1407 agosto 13/2021$20,000,000</t>
        </r>
      </text>
    </comment>
    <comment ref="AH438" authorId="0" shapeId="0" xr:uid="{03FDC8E1-D2B2-4368-A1AA-2FF34404137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
/2021 $94,960,
977</t>
        </r>
      </text>
    </comment>
    <comment ref="AH442" authorId="0" shapeId="0" xr:uid="{AE1D9FD8-D279-4879-8160-937AE82739F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</t>
        </r>
      </text>
    </comment>
    <comment ref="AH444" authorId="0" shapeId="0" xr:uid="{D6B17C86-FEB9-4A18-B47C-71E09181826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14/2021$210,000,000
res 1812 oct 20/2021</t>
        </r>
      </text>
    </comment>
    <comment ref="AE446" authorId="0" shapeId="0" xr:uid="{13D18931-C4FE-4B7D-BCD9-98E5ECF6FA8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</t>
        </r>
      </text>
    </comment>
    <comment ref="AE449" authorId="0" shapeId="0" xr:uid="{79A43EBA-4C56-42AB-A149-03D0A04607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50" authorId="0" shapeId="0" xr:uid="{44DD5199-4226-484F-83ED-032FB78D8F2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51" authorId="0" shapeId="0" xr:uid="{1A230C36-D12A-4B8D-8D65-CDBFA593E77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H455" authorId="0" shapeId="0" xr:uid="{B7016696-1C82-492A-A9FB-874046FE34D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13 $736,198
</t>
        </r>
      </text>
    </comment>
    <comment ref="AG459" authorId="0" shapeId="0" xr:uid="{CB5D20B9-4702-4A93-ADF0-99A950FE519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19/2021 $27,102,938</t>
        </r>
      </text>
    </comment>
    <comment ref="AG461" authorId="0" shapeId="0" xr:uid="{679B1C2F-7738-47AB-9306-E88D1E0C9D6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1812 OCT 20</t>
        </r>
      </text>
    </comment>
    <comment ref="AG463" authorId="0" shapeId="0" xr:uid="{912D4DCA-56AE-40D1-B996-819AACDC9CE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22 ABRIL 2021 $417,383651,71</t>
        </r>
      </text>
    </comment>
    <comment ref="AE464" authorId="0" shapeId="0" xr:uid="{7820F182-9E14-41E2-B8A7-31D4565781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464" authorId="0" shapeId="0" xr:uid="{C395650C-C7D9-44DC-BEE6-79E46B14279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13/2021 $1,416,953,380
reso 1613 s ept 17/2021
res 2162 nov 17</t>
        </r>
      </text>
    </comment>
    <comment ref="AG466" authorId="0" shapeId="0" xr:uid="{DBA0CEB5-330C-4EA7-8B2E-2CE8266C0A3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14/2021$210000000
</t>
        </r>
      </text>
    </comment>
    <comment ref="AG468" authorId="0" shapeId="0" xr:uid="{5344992F-3EEB-4E85-86A3-986DA10E3DA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470" authorId="0" shapeId="0" xr:uid="{AE791F51-6661-4F80-901A-AB7203DBCB5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511 MARZO 19/2021</t>
        </r>
      </text>
    </comment>
    <comment ref="AH476" authorId="0" shapeId="0" xr:uid="{99C36B76-8396-4680-A2B4-AF9BA8E3906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19/2021 $155,990,000</t>
        </r>
      </text>
    </comment>
    <comment ref="AE477" authorId="0" shapeId="0" xr:uid="{147B6958-90CF-4977-84B2-BC86D28040B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
</t>
        </r>
      </text>
    </comment>
    <comment ref="AG477" authorId="0" shapeId="0" xr:uid="{CEB74ACF-2606-44FD-B762-78946E3CC8B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479" authorId="0" shapeId="0" xr:uid="{8C5509B0-D8D7-4902-B5C4-19DC8FE8E30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13/2021 $20,000,000</t>
        </r>
      </text>
    </comment>
    <comment ref="AH479" authorId="0" shapeId="0" xr:uid="{34FFC04E-EC16-4A56-8889-F46633EBA7A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sept17/2021</t>
        </r>
      </text>
    </comment>
    <comment ref="AE481" authorId="0" shapeId="0" xr:uid="{38685B87-BD1E-45AD-AE2B-B0F0A379438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</t>
        </r>
      </text>
    </comment>
    <comment ref="AG481" authorId="0" shapeId="0" xr:uid="{C2490C05-28BB-47C8-A175-E33E17E3D7B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22/2021 $1227,570,664,14</t>
        </r>
      </text>
    </comment>
    <comment ref="AH481" authorId="0" shapeId="0" xr:uid="{FC9A42BB-7C7E-4585-AFAD-4226281D0A3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482" authorId="0" shapeId="0" xr:uid="{8B088CD7-DB2A-43CC-AA61-9BF6AAE0D89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 1265 JUL 14/2021</t>
        </r>
      </text>
    </comment>
    <comment ref="AE488" authorId="0" shapeId="0" xr:uid="{D62A8CB3-73F9-4610-AAEA-E478AF6CFF1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033 MARZO 1/2021</t>
        </r>
      </text>
    </comment>
    <comment ref="AH488" authorId="0" shapeId="0" xr:uid="{7F5611BE-8348-4E1E-9ADC-35FC4442ADB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22/2021 $1,644,954,15,85</t>
        </r>
      </text>
    </comment>
    <comment ref="AE489" authorId="0" shapeId="0" xr:uid="{B3E169D4-F113-45E9-9DEA-AC3A46722AE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H489" authorId="0" shapeId="0" xr:uid="{B80F442C-6F0F-461D-A92B-E81080A7E25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14/2021 $60,900,682</t>
        </r>
      </text>
    </comment>
    <comment ref="AH492" authorId="0" shapeId="0" xr:uid="{0769C705-A578-49EF-82F1-0D3ED09C746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19/2021 $23,257,108
RES 1265 JUL 14/2021</t>
        </r>
      </text>
    </comment>
    <comment ref="AE495" authorId="0" shapeId="0" xr:uid="{A07E81CF-E371-4BA6-849C-330D1FDF7DA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496" authorId="0" shapeId="0" xr:uid="{735B45BB-35B1-40EF-85E8-A67A5CBD47D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rs 1265 jul 14/2021</t>
        </r>
      </text>
    </comment>
    <comment ref="AH498" authorId="0" shapeId="0" xr:uid="{8FCF2451-443C-4015-A594-7D4769EC855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500" authorId="0" shapeId="0" xr:uid="{2B12FA90-E3E5-4443-AA31-7B490A60075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
res 2162 nov 17</t>
        </r>
      </text>
    </comment>
    <comment ref="AH500" authorId="0" shapeId="0" xr:uid="{485400E6-C66C-44B3-A803-20D194210FFA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2162 nov 17</t>
        </r>
      </text>
    </comment>
    <comment ref="AG502" authorId="0" shapeId="0" xr:uid="{F12E119F-3E01-43DC-9763-29B8E05F3E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502" authorId="0" shapeId="0" xr:uid="{AA8139D7-9C08-4085-B9D9-8FD3E1E1C1AA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2162 nov 17</t>
        </r>
      </text>
    </comment>
    <comment ref="AG504" authorId="0" shapeId="0" xr:uid="{68ED9349-099D-40D3-9A7F-094F671918F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H504" authorId="0" shapeId="0" xr:uid="{A0A956AE-9A9F-4339-BC54-2404933A8CB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19/2021 $3,845,830
RES 1265 JUL 14/2021</t>
        </r>
      </text>
    </comment>
    <comment ref="AH505" authorId="0" shapeId="0" xr:uid="{28EC9F8E-117E-49B8-A835-D25A366DFC1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H507" authorId="0" shapeId="0" xr:uid="{F10F8EA2-D90A-4560-BFA9-9D4A2F08960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G510" authorId="0" shapeId="0" xr:uid="{2C0A3DD4-351E-4153-AD7F-BEA9AA0C332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
</t>
        </r>
      </text>
    </comment>
    <comment ref="AE516" authorId="0" shapeId="0" xr:uid="{0A40E4B2-7C1D-4A76-8A4D-1D15805A12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17" authorId="0" shapeId="0" xr:uid="{A953E092-FFA2-4556-8EE0-B86991116D0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25" authorId="0" shapeId="0" xr:uid="{34E30137-2DFC-4FCE-89D4-78B2A1AD777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520 DEL 26 DE MARZO 2021 $1,5000,000,00</t>
        </r>
      </text>
    </comment>
    <comment ref="AE527" authorId="0" shapeId="0" xr:uid="{FFB2676B-0B06-45BD-B807-4F3517530756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dec 138 nov 3</t>
        </r>
      </text>
    </comment>
    <comment ref="AE528" authorId="0" shapeId="0" xr:uid="{B7CE575B-C13B-4B94-A537-127BA1D3E34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G530" authorId="0" shapeId="0" xr:uid="{B60C5033-3788-4C14-AF7D-5CC0EE4E022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0520 DEL 26 MARZO 2021 $1,500,000,000</t>
        </r>
      </text>
    </comment>
    <comment ref="AH530" authorId="0" shapeId="0" xr:uid="{BF4B4861-CA2F-4815-9C29-4A908F436CF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E533" authorId="0" shapeId="0" xr:uid="{5505AF5D-7B14-42AF-977E-DABB9D2CED9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39" authorId="0" shapeId="0" xr:uid="{AF539264-F309-4C20-992C-33C52962781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50" authorId="0" shapeId="0" xr:uid="{DC760599-8550-4354-9F99-BC60D35648E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H550" authorId="0" shapeId="0" xr:uid="{18CFD14E-8B89-48EC-A16C-D5C18C4C2E3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11/2021 $1,500,000,000</t>
        </r>
      </text>
    </comment>
    <comment ref="AG551" authorId="0" shapeId="0" xr:uid="{BC5B82B2-EDC6-4755-9AAC-EADA19887F5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2162 NOV 17</t>
        </r>
      </text>
    </comment>
    <comment ref="AG554" authorId="0" shapeId="0" xr:uid="{9C2E3AEE-B01F-4CF4-8E8B-80CB26C17DF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agosto27/2021
</t>
        </r>
      </text>
    </comment>
    <comment ref="AH562" authorId="0" shapeId="0" xr:uid="{255887F3-3F60-42D2-95BC-1C25A4160ED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resolucion 1407 agosto 13$530,557,116</t>
        </r>
      </text>
    </comment>
    <comment ref="AE563" authorId="0" shapeId="0" xr:uid="{7BA7A7FC-0BD6-4077-AF25-E1DBF2C2E88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068 MAYO 31/2021</t>
        </r>
      </text>
    </comment>
    <comment ref="AH563" authorId="0" shapeId="0" xr:uid="{FAAD6913-8183-4D02-9781-B2A598D86A08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2162 nov 17</t>
        </r>
      </text>
    </comment>
    <comment ref="AG566" authorId="0" shapeId="0" xr:uid="{AD5BC250-B8C5-4AC1-88EB-880E82B745D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
res 2162 nov 17/2021</t>
        </r>
      </text>
    </comment>
    <comment ref="AG567" authorId="0" shapeId="0" xr:uid="{67029111-7578-46C5-8B30-95D78092F8E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</t>
        </r>
      </text>
    </comment>
    <comment ref="AG568" authorId="0" shapeId="0" xr:uid="{ED66D064-7F72-4116-A134-81ED007F450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E570" authorId="0" shapeId="0" xr:uid="{FBAB6902-ECAA-4752-BDAA-11A8E3D2CAF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
DEC 068 MAYO 31/2021</t>
        </r>
      </text>
    </comment>
    <comment ref="AH570" authorId="0" shapeId="0" xr:uid="{E1ED565C-E980-4C74-A142-29BCF6F5A5E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res 2162 nov 17</t>
        </r>
      </text>
    </comment>
    <comment ref="AG572" authorId="0" shapeId="0" xr:uid="{6D127BCA-D893-4434-A6B2-47E99F10D99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26 enero 26/21 $24,165,016
res 1336 julio 28/2021</t>
        </r>
      </text>
    </comment>
    <comment ref="AH572" authorId="0" shapeId="0" xr:uid="{91F08C61-A352-4BF2-B3E3-A9CCE178D4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13/2021$200,000,000</t>
        </r>
      </text>
    </comment>
    <comment ref="AE573" authorId="0" shapeId="0" xr:uid="{F07ED4B6-413F-4AA3-8D7A-BBAB5B4F5276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DEC 138 NOV 3</t>
        </r>
      </text>
    </comment>
    <comment ref="AG575" authorId="0" shapeId="0" xr:uid="{776B4650-73C8-45CB-A703-D8C3476E122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H575" authorId="0" shapeId="0" xr:uid="{269ACE35-46AC-4654-8156-C95C5FF7EDF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H577" authorId="0" shapeId="0" xr:uid="{16D3A743-409B-42CA-8A53-CA941CD21AD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H579" authorId="0" shapeId="0" xr:uid="{39685BA9-72BF-43C7-8B1A-4E7D0775FA2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 del 26/01/2021 $9,296,364,215
resolu 027/ enero 27/2021 $1,362,635,323</t>
        </r>
      </text>
    </comment>
    <comment ref="AE580" authorId="0" shapeId="0" xr:uid="{7CCDF087-7998-4EF8-9132-B114BF4DDC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82" authorId="0" shapeId="0" xr:uid="{CD984803-10CD-4A15-AD2B-2C96E65C9AD3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dec 138 nov 3</t>
        </r>
      </text>
    </comment>
    <comment ref="AG582" authorId="0" shapeId="0" xr:uid="{950CBF29-46F0-445B-8CEA-9C2FBA62D9B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19/2021$15,401,381res 1407 agosto 13/2021
RES 1739/2021</t>
        </r>
      </text>
    </comment>
    <comment ref="AH582" authorId="0" shapeId="0" xr:uid="{58C9B0EB-8046-4111-9ADA-EE465A63ADA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28/2021 $547,969,140</t>
        </r>
      </text>
    </comment>
    <comment ref="AE583" authorId="0" shapeId="0" xr:uid="{D259908E-93E8-4AFB-BD7F-EC2962F5194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</t>
        </r>
      </text>
    </comment>
    <comment ref="AE584" authorId="0" shapeId="0" xr:uid="{7033DC48-1905-4B73-9400-4484B79DA75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068 MAYO 21</t>
        </r>
      </text>
    </comment>
    <comment ref="AG584" authorId="0" shapeId="0" xr:uid="{06C0BCAA-4A71-45D6-8CE9-12F75ABA6D2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26/2021 $20,296,364,215
</t>
        </r>
      </text>
    </comment>
    <comment ref="AH584" authorId="0" shapeId="0" xr:uid="{A7665C4E-01D5-4913-BD67-A2A1A36D2B3F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2162 nov 17</t>
        </r>
      </text>
    </comment>
    <comment ref="AG585" authorId="0" shapeId="0" xr:uid="{5CE9DA69-79BF-4FBF-8481-A7C6A803D9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agpstp 13/2021</t>
        </r>
      </text>
    </comment>
    <comment ref="AE589" authorId="0" shapeId="0" xr:uid="{EC844826-4AFC-4C67-BF8D-D23B1160E72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89" authorId="0" shapeId="0" xr:uid="{400E4D33-F66D-49DD-8319-6FA1170CCAB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G591" authorId="0" shapeId="0" xr:uid="{A2998DAD-C190-4ED0-B291-28A2FB89E93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E592" authorId="0" shapeId="0" xr:uid="{2E408580-CAB3-4AAD-8D01-1802C9E4170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92" authorId="0" shapeId="0" xr:uid="{5DA809D9-2073-4022-830A-F7EC558EC18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3/2021$8,000,000</t>
        </r>
      </text>
    </comment>
    <comment ref="AG593" authorId="0" shapeId="0" xr:uid="{2B1DF8B2-E27C-43FF-A4D7-9D51E226A78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595" authorId="0" shapeId="0" xr:uid="{1E1156C7-D0B3-4F5B-B9CF-5295734416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27/2021 $1,555,449,996
</t>
        </r>
      </text>
    </comment>
    <comment ref="AE597" authorId="0" shapeId="0" xr:uid="{53293E3F-B047-49DD-BF4C-CA7A5BDDFD40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dec 138 nov 3/2021</t>
        </r>
      </text>
    </comment>
    <comment ref="AG597" authorId="0" shapeId="0" xr:uid="{0681DDD3-24AF-42B3-B387-743A1AA4280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26/2021 $95,000,000</t>
        </r>
      </text>
    </comment>
    <comment ref="AG599" authorId="0" shapeId="0" xr:uid="{05753561-8C14-4EEC-8FE0-EA9C963E2E6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27/2021 $1,331,864,802</t>
        </r>
      </text>
    </comment>
    <comment ref="AG601" authorId="0" shapeId="0" xr:uid="{EEFE0B64-A71D-4026-A274-216D972C9F1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H601" authorId="0" shapeId="0" xr:uid="{3767BDE8-023F-4493-AD8A-45D74819E011}">
      <text>
        <r>
          <rPr>
            <b/>
            <sz val="9"/>
            <color indexed="81"/>
            <rFont val="Tahoma"/>
            <family val="2"/>
          </rPr>
          <t>Yolanda Baron Pedraza:res 915 mayo 12/2021</t>
        </r>
      </text>
    </comment>
    <comment ref="AE602" authorId="0" shapeId="0" xr:uid="{47ECA1AF-83C7-4592-8BAD-48C9E2B3EACD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DECRETO 138 NOV 3 </t>
        </r>
      </text>
    </comment>
    <comment ref="AE603" authorId="0" shapeId="0" xr:uid="{9333244B-1C06-4867-932A-0C414EFC3B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0053 abril 29/21</t>
        </r>
      </text>
    </comment>
    <comment ref="AG603" authorId="0" shapeId="0" xr:uid="{E159ED94-4203-4892-9D51-69AD2BF2657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3/2021 $50,000,000res 1336 jul 28/2021</t>
        </r>
      </text>
    </comment>
    <comment ref="AG604" authorId="0" shapeId="0" xr:uid="{2BC4E63D-DB2A-47E3-9AAF-64DD29A630E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13/2021 $60,000,000</t>
        </r>
      </text>
    </comment>
    <comment ref="AE605" authorId="0" shapeId="0" xr:uid="{17371177-8443-4058-8AD7-175202F1375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05" authorId="0" shapeId="0" xr:uid="{1FB152AD-F93E-4561-B0C8-9EFFBD5F468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jull 2 8/2021
res 1407 agosto 13</t>
        </r>
      </text>
    </comment>
    <comment ref="AG607" authorId="0" shapeId="0" xr:uid="{9F88E66E-86AD-48B2-BECC-0562C1B3175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19/2021 $610,000,000</t>
        </r>
      </text>
    </comment>
    <comment ref="AG609" authorId="0" shapeId="0" xr:uid="{4E369244-CEB8-4296-BD80-8CAB64B5F86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H609" authorId="0" shapeId="0" xr:uid="{2E84160E-6852-433B-9C61-8DCEEA32367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G611" authorId="0" shapeId="0" xr:uid="{6CF69150-4B26-474D-A721-2768D7CFF55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julio 28/2021</t>
        </r>
      </text>
    </comment>
    <comment ref="AH611" authorId="0" shapeId="0" xr:uid="{526AD96C-2379-46D9-B7C3-61761F68283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E612" authorId="0" shapeId="0" xr:uid="{C624DCF6-5FD1-4664-AAA5-1333862F245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12" authorId="0" shapeId="0" xr:uid="{5F5C8020-615D-43FF-AD1A-212547CCA1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28/2021 $451,451,337,30</t>
        </r>
      </text>
    </comment>
    <comment ref="AE613" authorId="0" shapeId="0" xr:uid="{73DA32EA-AAAF-4CE1-A860-C9F4C19AD2E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13" authorId="0" shapeId="0" xr:uid="{B4CB74D2-03C2-46D0-9978-45DC49DAD44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28/2021 $700,000,000</t>
        </r>
      </text>
    </comment>
    <comment ref="AE614" authorId="0" shapeId="0" xr:uid="{EF72C102-BD27-4FD2-9758-93C175F4485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14" authorId="0" shapeId="0" xr:uid="{160093C1-812A-4B19-B9D4-DF7CD43AAF4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28/2021 $1,040,743</t>
        </r>
      </text>
    </comment>
    <comment ref="AH616" authorId="0" shapeId="0" xr:uid="{D5B2BB0A-65FC-4940-BB95-08FD6A44E9A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26/2021 $11,000,000,000
reso 27 enero 27/2021 $5,500,000,000</t>
        </r>
      </text>
    </comment>
    <comment ref="AG618" authorId="0" shapeId="0" xr:uid="{769DD888-1305-432A-A9AB-2EDC6FC493C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26/2021 $22,204,778</t>
        </r>
      </text>
    </comment>
    <comment ref="AH618" authorId="0" shapeId="0" xr:uid="{665280D7-6619-4E89-A63B-99FDE72318B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G619" authorId="0" shapeId="0" xr:uid="{6DC4019A-284A-4D43-BB58-AE85B180484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G620" authorId="0" shapeId="0" xr:uid="{993C387A-C86F-4BDA-BB04-78956DAF4F8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H620" authorId="0" shapeId="0" xr:uid="{05DEDEEE-77C0-4D89-83FF-AC426C06A71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G621" authorId="0" shapeId="0" xr:uid="{3F94276B-0878-4575-BB92-23667F29F95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G622" authorId="0" shapeId="0" xr:uid="{C0991281-089E-4FC7-814D-DAA77AD1966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E623" authorId="0" shapeId="0" xr:uid="{A0CFECF2-6A91-41D6-892A-E1681BB67E6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23" authorId="0" shapeId="0" xr:uid="{05B45056-4BA1-4B9B-861C-51A58FC553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28/2021 $186,255,799,66</t>
        </r>
      </text>
    </comment>
    <comment ref="AE625" authorId="0" shapeId="0" xr:uid="{FB92471F-9078-404D-AFB7-4ECAFDDC829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627" authorId="0" shapeId="0" xr:uid="{1212D79F-E609-4FC4-B33D-296261CD2A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27/2021 $3,975,320,525
</t>
        </r>
      </text>
    </comment>
    <comment ref="AG629" authorId="0" shapeId="0" xr:uid="{44848B34-5BED-41A5-9E58-824054C873D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632" authorId="0" shapeId="0" xr:uid="{97CA4E6D-D139-4F82-AD7D-5A2F8971110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 1739 OCT 11/2021</t>
        </r>
      </text>
    </comment>
    <comment ref="AG633" authorId="0" shapeId="0" xr:uid="{08B9608C-2ABC-411A-A1D0-D5BF9F9B54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22162 NOV 17</t>
        </r>
      </text>
    </comment>
    <comment ref="AE634" authorId="0" shapeId="0" xr:uid="{CB718601-2CA6-4B6E-A660-99B03ABC3B1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
dec 068 mayo 31/2021</t>
        </r>
      </text>
    </comment>
    <comment ref="AH634" authorId="0" shapeId="0" xr:uid="{A03A4B21-93D6-4020-9BEA-4BFCFF27858C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2162 nov 17</t>
        </r>
      </text>
    </comment>
    <comment ref="AG636" authorId="0" shapeId="0" xr:uid="{00A68F9B-D69F-4A3A-BD05-FC0B1DC9F04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</t>
        </r>
      </text>
    </comment>
    <comment ref="AH636" authorId="0" shapeId="0" xr:uid="{9DA37A9B-83E2-4C3B-9804-6C5A7DB5027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2115 NOV 11
res 22162 nov 17</t>
        </r>
      </text>
    </comment>
    <comment ref="AG637" authorId="0" shapeId="0" xr:uid="{A8B1930C-B955-4498-A209-9C998600B2F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2162 NOV 17</t>
        </r>
      </text>
    </comment>
    <comment ref="AA639" authorId="0" shapeId="0" xr:uid="{38E9DDC5-F0D4-49D7-94E5-86F993E9910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verificar si e  501 0 201</t>
        </r>
      </text>
    </comment>
    <comment ref="AG639" authorId="0" shapeId="0" xr:uid="{E023CDEE-CC9B-4872-8CE6-105B21E3987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26/2021 $60,325,921,15
resol 915 $40,465,552RES 1739 OCT 11</t>
        </r>
      </text>
    </comment>
    <comment ref="AG641" authorId="0" shapeId="0" xr:uid="{4CBEC73C-2A07-4EA1-B923-4A4CB79A74E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H641" authorId="0" shapeId="0" xr:uid="{25E4BCFB-A4F2-4D43-988B-32C458F74C5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13/2021 $530,557,116</t>
        </r>
      </text>
    </comment>
    <comment ref="AG642" authorId="0" shapeId="0" xr:uid="{D049C341-FCCC-499E-904C-54B4C0D1AD5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2162 NOV 17
</t>
        </r>
      </text>
    </comment>
    <comment ref="AG643" authorId="0" shapeId="0" xr:uid="{1BD053F7-32CD-44E9-8135-440253F6DA0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</t>
        </r>
      </text>
    </comment>
    <comment ref="AH646" authorId="0" shapeId="0" xr:uid="{09A6C9B0-1674-401F-BC26-2BA1D674D9B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18/2021 $265,538,240
reso 773 abril 22/2021 $219,103,236,80</t>
        </r>
      </text>
    </comment>
    <comment ref="AE648" authorId="0" shapeId="0" xr:uid="{1C2232A3-BE6B-4569-9ACF-7BFB12D1830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E649" authorId="0" shapeId="0" xr:uid="{78F13E4F-F17B-4810-A5E1-46A626ABC28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651" authorId="0" shapeId="0" xr:uid="{286E042C-F609-475D-B2E2-1FFE29B1C4B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651" authorId="0" shapeId="0" xr:uid="{9A9982D6-086A-4715-8E64-8DF3E20EAB0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agosto 27 resol 1490</t>
        </r>
      </text>
    </comment>
    <comment ref="AH651" authorId="0" shapeId="0" xr:uid="{37469E44-4EE2-4E7A-884B-2AC23875D24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18/2021 $1,886,000,000</t>
        </r>
      </text>
    </comment>
    <comment ref="AE657" authorId="0" shapeId="0" xr:uid="{75C9536C-1E71-41F5-8497-F762F262F26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57" authorId="0" shapeId="0" xr:uid="{62741C61-5C6E-4730-BAF5-7B6EC0BBCB7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3/2021 $40,000,000</t>
        </r>
      </text>
    </comment>
    <comment ref="AG659" authorId="0" shapeId="0" xr:uid="{3509A3A8-D22E-43AE-8183-0D2C2986B9C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27 enero 27/2021 $503,000,000,00
resolu 2162 nov 17/2021</t>
        </r>
      </text>
    </comment>
    <comment ref="AH659" authorId="0" shapeId="0" xr:uid="{FFD1E0CD-D071-43CF-9062-465A7F90517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0915 mayo 12/2021</t>
        </r>
      </text>
    </comment>
    <comment ref="AH661" authorId="0" shapeId="0" xr:uid="{6084C53B-DE23-46F5-A01D-169B10A814C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mayo12/2021</t>
        </r>
      </text>
    </comment>
    <comment ref="AG662" authorId="0" shapeId="0" xr:uid="{5F299A49-2F0A-4EDE-B0C2-B1273EE251A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</t>
        </r>
      </text>
    </comment>
    <comment ref="AG664" authorId="0" shapeId="0" xr:uid="{5473945B-9561-4BF9-8BC1-0ED401B2B47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12/2021 $1,556,000,000,00</t>
        </r>
      </text>
    </comment>
    <comment ref="AE666" authorId="0" shapeId="0" xr:uid="{B822EE0C-3506-4B27-AC11-1268210068E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66" authorId="0" shapeId="0" xr:uid="{DE5537A1-971E-4DA7-A549-37E0E4FFB5F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3/2021 $40,000,000</t>
        </r>
      </text>
    </comment>
    <comment ref="AG668" authorId="0" shapeId="0" xr:uid="{A190D5B0-EF2B-4C82-9544-1EFC3403117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26/2021 $91,680,424
RESOL 511 MARZO 19/2021</t>
        </r>
      </text>
    </comment>
    <comment ref="AH668" authorId="0" shapeId="0" xr:uid="{B8D27635-A949-49D5-8ADD-D584EB7177E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0915 mayo 12</t>
        </r>
      </text>
    </comment>
    <comment ref="AG670" authorId="0" shapeId="0" xr:uid="{374C4E27-BF6C-40E0-8628-927B160EB21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671" authorId="0" shapeId="0" xr:uid="{D6F880D9-6E55-4335-8287-F595410ACF1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
</t>
        </r>
      </text>
    </comment>
    <comment ref="AH673" authorId="0" shapeId="0" xr:uid="{C6C6834E-0A35-4549-8E50-7D3A37ACB67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26/2021 $329,895,811,15
resol 027 enero 27/21 $2,003,000,000
resol 511 marzo 19/2021 $800,401,381
resol 915 mayo 12/2021 $119,719,609</t>
        </r>
      </text>
    </comment>
    <comment ref="AH674" authorId="0" shapeId="0" xr:uid="{B65837CC-FE94-4211-AEA5-21309C1099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 1336 jul 28/2021 $856,216,142,32
resolucion 1407 agosto 13/2021 $1,100,000,000</t>
        </r>
      </text>
    </comment>
    <comment ref="AG675" authorId="0" shapeId="0" xr:uid="{F700C10D-BF35-4EC3-A386-CF03490837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H675" authorId="0" shapeId="0" xr:uid="{5E3AA4C2-75BB-4768-ADFE-74E42A246BB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13/2021$290,000,000
res 1739 oct 11/2021</t>
        </r>
      </text>
    </comment>
    <comment ref="AG677" authorId="0" shapeId="0" xr:uid="{EA42F32D-D3FD-4C61-A2B1-8E3C3C6C21E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26/2021 $36,519,672</t>
        </r>
      </text>
    </comment>
    <comment ref="AG678" authorId="0" shapeId="0" xr:uid="{C2E1AE5A-092B-40D0-847A-35B6AAEC481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28/2021 $25,000,000</t>
        </r>
      </text>
    </comment>
    <comment ref="AG680" authorId="0" shapeId="0" xr:uid="{3D9BFEEE-859C-450C-A19D-2BDA5847A51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
res 13360jul 28/2021 </t>
        </r>
      </text>
    </comment>
    <comment ref="AG681" authorId="0" shapeId="0" xr:uid="{A4EE0296-9F26-404B-93D0-96FA46224FA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G683" authorId="0" shapeId="0" xr:uid="{30F2D5DF-0F7E-43A7-8708-CE2D0274098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2115 NOV 11/2021</t>
        </r>
      </text>
    </comment>
    <comment ref="AG685" authorId="0" shapeId="0" xr:uid="{FC6BE3F8-4010-4324-A6F5-3702FB55C16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
</t>
        </r>
      </text>
    </comment>
    <comment ref="AG686" authorId="0" shapeId="0" xr:uid="{A810A05F-6B27-4E3A-AC8D-96672F1C835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G688" authorId="0" shapeId="0" xr:uid="{25990DB3-5E52-4CCF-B01E-851F744D8C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18/2021 $265,538,240</t>
        </r>
      </text>
    </comment>
    <comment ref="AH689" authorId="0" shapeId="0" xr:uid="{647B23B0-C795-4824-9408-2014A43BFE6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18/2021 $53,364,831</t>
        </r>
      </text>
    </comment>
    <comment ref="AG691" authorId="0" shapeId="0" xr:uid="{8D344E8F-C884-432F-A53D-B9A32D4CAA4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27/2021 $1,500,000,000</t>
        </r>
      </text>
    </comment>
    <comment ref="AE693" authorId="0" shapeId="0" xr:uid="{521F2F97-141A-42B6-9B2C-0196D0A8083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693" authorId="0" shapeId="0" xr:uid="{F7BF1C2E-9B9F-494D-847A-AA0252A5861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12/2021RES 1407 AGOSTO 13/2021</t>
        </r>
      </text>
    </comment>
    <comment ref="AE694" authorId="0" shapeId="0" xr:uid="{73CB6AFA-12A7-4003-BE77-411ADCDBB85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94" authorId="0" shapeId="0" xr:uid="{7A5FE0AC-C5AD-4BE5-9715-EB57C174D87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695" authorId="0" shapeId="0" xr:uid="{339A64B7-8CB3-4523-9020-4F2347F69C0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H695" authorId="0" shapeId="0" xr:uid="{93AFD0F9-1DE6-4792-A59E-19EBA17B389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E701" authorId="0" shapeId="0" xr:uid="{69622735-3B45-491A-B80E-3C5A9E23A6A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704" authorId="0" shapeId="0" xr:uid="{CC71BB46-9C18-448D-AB99-1A9CBEBAD3C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</t>
        </r>
      </text>
    </comment>
    <comment ref="AE705" authorId="0" shapeId="0" xr:uid="{163D95A0-404F-4283-9898-8A63A3190FC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707" authorId="0" shapeId="0" xr:uid="{3E50B6EF-A808-4590-9ABE-D5AF403771E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708" authorId="0" shapeId="0" xr:uid="{B6581BDD-DA08-44F5-987F-39F54582B45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110 SEPT 1/2021</t>
        </r>
      </text>
    </comment>
    <comment ref="AE712" authorId="0" shapeId="0" xr:uid="{9ECE33AE-BA5D-4DE5-93A8-B1DCFCC1854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714" authorId="0" shapeId="0" xr:uid="{6A45D3DC-FF81-46FF-B5DF-32F3D501DCE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18/2021 $466,710,000
res 1490 agosto 27/2021</t>
        </r>
      </text>
    </comment>
    <comment ref="AH716" authorId="0" shapeId="0" xr:uid="{6F5E79DC-1964-4441-9E19-C3100A8C2D8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18/2021 $4,680,084,481,80
resol 511 marzo 19/2021 $76,000,000
res 773 abril 22/2021 $907,367,029,20</t>
        </r>
      </text>
    </comment>
    <comment ref="AE717" authorId="0" shapeId="0" xr:uid="{806C5ED7-8326-40BE-B745-085EF2EA93E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053/2021</t>
        </r>
      </text>
    </comment>
    <comment ref="AG717" authorId="0" shapeId="0" xr:uid="{121E68CD-8DFA-4255-8563-6F74A782E9D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G719" authorId="0" shapeId="0" xr:uid="{645B6ED6-6388-47F3-81F2-A7BD7077B59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18/2021 $4,680,084,481,80
RES 773 ABRIL 22/2021 $1,126,470,266
</t>
        </r>
      </text>
    </comment>
    <comment ref="AE721" authorId="0" shapeId="0" xr:uid="{1E95C4C8-3C99-4609-A72A-9C6DF2EA40C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721" authorId="0" shapeId="0" xr:uid="{0BECC5AF-7FC0-448A-AF42-CBBEE8DCABE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E723" authorId="0" shapeId="0" xr:uid="{6598BE64-48DE-45A8-99FB-6F346FDECC9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053/ ABRIL 29/2021
</t>
        </r>
      </text>
    </comment>
    <comment ref="AG723" authorId="0" shapeId="0" xr:uid="{9E79EC8C-80DE-455D-9290-89D2E47F813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11355 JUN 18/2021 $1,886,000,000</t>
        </r>
      </text>
    </comment>
    <comment ref="AG727" authorId="0" shapeId="0" xr:uid="{B3A836B5-72DE-41E6-A71F-6A6D7544483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
</t>
        </r>
      </text>
    </comment>
    <comment ref="AE736" authorId="0" shapeId="0" xr:uid="{E6A83CBC-D283-40FC-BF92-F27D94E8D0B2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decreto 0120 sept 24/2021</t>
        </r>
      </text>
    </comment>
    <comment ref="AE751" authorId="0" shapeId="0" xr:uid="{18C94406-69F7-41E6-B43F-5167D83DD5A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759" authorId="0" shapeId="0" xr:uid="{C237FD93-9B3F-4873-AD5D-014E0ABFA8E7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DEC 0138 NOV 3/2021</t>
        </r>
      </text>
    </comment>
    <comment ref="AG759" authorId="0" shapeId="0" xr:uid="{89C684F8-96CF-4B90-864E-D3061527C73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761" authorId="0" shapeId="0" xr:uid="{DCA8A757-B7DC-4F89-9D05-D1A06585C59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138 NOV 3/2021</t>
        </r>
      </text>
    </comment>
    <comment ref="AG763" authorId="0" shapeId="0" xr:uid="{8F7060F0-6C64-4483-B5A0-F538ED54CF5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765" authorId="0" shapeId="0" xr:uid="{416D469B-A474-4255-9575-157EA4C7244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
</t>
        </r>
      </text>
    </comment>
    <comment ref="AH765" authorId="0" shapeId="0" xr:uid="{28994761-C13B-4677-AB58-691A81E93CA0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resl 1739 oct 11/2021</t>
        </r>
      </text>
    </comment>
    <comment ref="AG767" authorId="0" shapeId="0" xr:uid="{9146DA96-BD86-4832-918C-0FCEBA67EA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769" authorId="0" shapeId="0" xr:uid="{73D41A73-0238-45FC-8E88-B9D8FD59344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</t>
        </r>
      </text>
    </comment>
    <comment ref="AG774" authorId="0" shapeId="0" xr:uid="{91F32EB7-05EB-4EDF-9916-B87121CD8B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12/2021 $250,000,000
rs 1739 oct 11/2021</t>
        </r>
      </text>
    </comment>
    <comment ref="AH774" authorId="0" shapeId="0" xr:uid="{65C3078C-3075-43B1-9961-6B9037DE189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 1613 sept 17/2021</t>
        </r>
      </text>
    </comment>
    <comment ref="AH776" authorId="0" shapeId="0" xr:uid="{461AF2EE-D089-4C0B-BC61-9C5728F50A9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13/2021</t>
        </r>
      </text>
    </comment>
    <comment ref="AG778" authorId="0" shapeId="0" xr:uid="{26D626B2-2C03-4253-A8DA-A150D2857B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18/2021$200,000,000</t>
        </r>
      </text>
    </comment>
    <comment ref="AH778" authorId="0" shapeId="0" xr:uid="{D1690D96-1263-4D10-A007-2838C011B14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13/2021 $100,000,000</t>
        </r>
      </text>
    </comment>
    <comment ref="AG779" authorId="0" shapeId="0" xr:uid="{DE4A8589-E151-4562-8259-D845AEEB6062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1739 oct 11</t>
        </r>
      </text>
    </comment>
    <comment ref="AG783" authorId="0" shapeId="0" xr:uid="{4895D5E9-289F-4047-AADD-F19216EC7DC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
res 1739 oct 11/2021</t>
        </r>
      </text>
    </comment>
    <comment ref="AE786" authorId="0" shapeId="0" xr:uid="{8667C4B6-AD08-458C-8FB7-7011F215969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786" authorId="0" shapeId="0" xr:uid="{548A5B17-BF4F-41C8-8E5F-754F411E08D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13/2021 $166,521,000</t>
        </r>
      </text>
    </comment>
    <comment ref="AG787" authorId="0" shapeId="0" xr:uid="{D8472BC4-EA72-4AD2-B10E-9FF8B79B998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REES 1407 AGOSTO 13res 1739 oct 11/2021</t>
        </r>
      </text>
    </comment>
    <comment ref="AG788" authorId="0" shapeId="0" xr:uid="{9A582410-9820-4D05-9B14-B75B60C5E42C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1739 oct 11/2021
</t>
        </r>
      </text>
    </comment>
    <comment ref="AG790" authorId="0" shapeId="0" xr:uid="{F76258B7-03AC-4D2B-B315-828F0A06CC4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1407 agosto 13/2021</t>
        </r>
      </text>
    </comment>
    <comment ref="AG791" authorId="0" shapeId="0" xr:uid="{5C1FF9BE-399B-4252-81FF-C5237D8B8C6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</t>
        </r>
      </text>
    </comment>
    <comment ref="AG793" authorId="0" shapeId="0" xr:uid="{1B9DC2AF-1A29-4868-B75A-A1CB300A2AC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1407 agosto 19/2021</t>
        </r>
      </text>
    </comment>
    <comment ref="AG796" authorId="0" shapeId="0" xr:uid="{5DE684C0-377F-4C00-86D8-401FC309E93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799" authorId="0" shapeId="0" xr:uid="{15DC9C42-92A4-46E0-8241-79852BE583B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
</t>
        </r>
      </text>
    </comment>
    <comment ref="AG802" authorId="0" shapeId="0" xr:uid="{677A5EB1-F193-44AB-909E-7B7F87B7200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802" authorId="0" shapeId="0" xr:uid="{6708288E-E8B3-44B8-9782-8C7E618FBFA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13/2021 $60,000,000</t>
        </r>
      </text>
    </comment>
    <comment ref="AG804" authorId="0" shapeId="0" xr:uid="{7A12366C-6959-4F7C-B85C-916B66494A0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27</t>
        </r>
      </text>
    </comment>
    <comment ref="AH804" authorId="0" shapeId="0" xr:uid="{384B44C1-5B87-461F-8804-597C4F9B1129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resol 1739 oct 11/2021</t>
        </r>
      </text>
    </comment>
    <comment ref="AG805" authorId="0" shapeId="0" xr:uid="{6959AEDB-9506-4962-934F-78154E79390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805" authorId="0" shapeId="0" xr:uid="{D16872C4-3F43-4E34-AC1F-B85D873511CC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resol 1739 oct 11/2021</t>
        </r>
      </text>
    </comment>
    <comment ref="AH807" authorId="0" shapeId="0" xr:uid="{C764C601-B646-49E5-BB77-7079D0ECA0A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18/2021 $229,000,000</t>
        </r>
      </text>
    </comment>
    <comment ref="AG815" authorId="0" shapeId="0" xr:uid="{2EA10F82-910B-4219-8D5B-AD88DF85B92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12/2021 $932,000,000</t>
        </r>
      </text>
    </comment>
    <comment ref="AH815" authorId="0" shapeId="0" xr:uid="{59316373-AA65-4B7D-806D-9663F556553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resoñl 1135 jun 18/2021 $60,000,000
resol 1739 oct 11/2021</t>
        </r>
      </text>
    </comment>
    <comment ref="AG818" authorId="0" shapeId="0" xr:uid="{5447E43B-FFA1-4A2E-B1ED-1F605CF3F80D}">
      <text>
        <r>
          <rPr>
            <b/>
            <sz val="9"/>
            <color indexed="81"/>
            <rFont val="Tahoma"/>
            <family val="2"/>
          </rPr>
          <t>Yolanda Baron Pedraza:
RES1407 AGOSTO 13</t>
        </r>
      </text>
    </comment>
    <comment ref="AH818" authorId="0" shapeId="0" xr:uid="{7F5BC7A4-9086-4FFE-9E1A-5BE45552FB9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13$5
,349,132
</t>
        </r>
      </text>
    </comment>
    <comment ref="AG819" authorId="0" shapeId="0" xr:uid="{97009FC7-4915-4B9D-9194-1551C8AB65B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</t>
        </r>
      </text>
    </comment>
    <comment ref="AH819" authorId="0" shapeId="0" xr:uid="{4CA91A8D-BF8E-448E-BD7C-42A9B748485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13/2021 $5,349,132</t>
        </r>
      </text>
    </comment>
    <comment ref="AH821" authorId="0" shapeId="0" xr:uid="{4A47401C-27DE-46D4-81E9-65FFF8EDE414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1739 oct 11/2021</t>
        </r>
      </text>
    </comment>
    <comment ref="AE822" authorId="0" shapeId="0" xr:uid="{F47D5606-333D-4D2C-9FBE-B21DB358106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22" authorId="0" shapeId="0" xr:uid="{0B3CCBF4-D399-4414-9EAA-D769DB8C5D5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18/2021 $145,000,000</t>
        </r>
      </text>
    </comment>
    <comment ref="AG824" authorId="0" shapeId="0" xr:uid="{FE9A6A77-2CA0-4ED6-97E9-7477750ED22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 1135 JUN 18/2021 $60,000,000</t>
        </r>
      </text>
    </comment>
    <comment ref="AH824" authorId="0" shapeId="0" xr:uid="{53BAF57D-0C67-4908-A810-1957BB1326AB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1739 oct 11/2021</t>
        </r>
      </text>
    </comment>
    <comment ref="AE828" authorId="0" shapeId="0" xr:uid="{D994F2F0-912B-48BB-8C8E-76BFF5FFE7D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28" authorId="0" shapeId="0" xr:uid="{AE08943E-E611-46B0-AFB8-002D8C0ED653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1739 oct 11/2021</t>
        </r>
      </text>
    </comment>
    <comment ref="AE829" authorId="0" shapeId="0" xr:uid="{1C8E0610-F9BE-4DB4-95FB-79A0F51DCE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29" authorId="0" shapeId="0" xr:uid="{486872E1-97E5-4150-82DF-2D7F36ED227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
resol 1739 oct 11/2021</t>
        </r>
      </text>
    </comment>
    <comment ref="AE830" authorId="0" shapeId="0" xr:uid="{8A93B3AC-E51C-4539-8960-9E7A4FBBE05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30" authorId="0" shapeId="0" xr:uid="{A487B0C6-C6A9-429B-B8FC-B38514FC7DE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 13/2021 $300,000,000</t>
        </r>
      </text>
    </comment>
    <comment ref="AG832" authorId="0" shapeId="0" xr:uid="{ED69BE86-24DD-4078-B766-A2B945F167A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12/2021 $20,000,000</t>
        </r>
      </text>
    </comment>
    <comment ref="AH832" authorId="0" shapeId="0" xr:uid="{5941B693-D184-4B94-9869-04A3D029B75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13/2021 $10,000,000resol 1739 oct 11/2021
</t>
        </r>
      </text>
    </comment>
    <comment ref="AE834" authorId="0" shapeId="0" xr:uid="{EAE1D178-AE54-4C22-8F31-F7EE8F7CD9F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836" authorId="0" shapeId="0" xr:uid="{B948196B-0F40-4BFC-B5BE-7908C7AA35D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
RES 915 MAYO 12/2021</t>
        </r>
      </text>
    </comment>
    <comment ref="AH836" authorId="0" shapeId="0" xr:uid="{DFDBD0F1-C275-4A25-BE1F-233B05DF032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13/2021 $173,600,000
resol 1739 oct 11/2021</t>
        </r>
      </text>
    </comment>
    <comment ref="AE838" authorId="0" shapeId="0" xr:uid="{FC96875B-B682-4EF1-BD83-D419556931B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38" authorId="0" shapeId="0" xr:uid="{A7E097E2-80E6-4B42-BDD5-67EBF2C1BE1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13/2021 $326,400,000</t>
        </r>
      </text>
    </comment>
    <comment ref="AH842" authorId="0" shapeId="0" xr:uid="{B0CBD44F-F03F-4A92-B257-654AEE2ADA0E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resol 1739 oct 11/2021</t>
        </r>
      </text>
    </comment>
    <comment ref="AE843" authorId="0" shapeId="0" xr:uid="{9A17621E-DCCD-424C-A9A5-6CA2B788F8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43" authorId="0" shapeId="0" xr:uid="{5B47F0C9-260B-4BA0-B930-33E5314FF358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resl 1739 oct 11/2021</t>
        </r>
      </text>
    </comment>
    <comment ref="AE846" authorId="0" shapeId="0" xr:uid="{E7E7F35B-C807-45A2-A272-F51BDA2E121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846" authorId="0" shapeId="0" xr:uid="{36FEEA43-257F-4B05-AEF9-4F05D4FD38F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18/2021$25,000,000</t>
        </r>
      </text>
    </comment>
    <comment ref="AG848" authorId="0" shapeId="0" xr:uid="{D980D46B-CF09-432C-89AD-89200D716340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1739 oct 11/2021</t>
        </r>
      </text>
    </comment>
    <comment ref="AG849" authorId="0" shapeId="0" xr:uid="{1ACCA7F8-F0C2-4902-BE5F-1478C19191C3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1739 oct 11/2021</t>
        </r>
      </text>
    </comment>
    <comment ref="AG851" authorId="0" shapeId="0" xr:uid="{669A419D-540C-4B7C-BF19-324EF164FD8B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resol 1739 oct 11/2021</t>
        </r>
      </text>
    </comment>
    <comment ref="AH853" authorId="0" shapeId="0" xr:uid="{D6A029AD-A7A4-4466-B45D-F13CAC4E46C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855" authorId="0" shapeId="0" xr:uid="{AC94B126-AD0D-425D-AB79-0FEAF2F1881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12/20221 $42,000,000
RESOL 915 MAYO 12/2021</t>
        </r>
      </text>
    </comment>
    <comment ref="AG856" authorId="0" shapeId="0" xr:uid="{C63A33F6-78FE-4998-9A12-30761EC5E38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18/2021 $120000000
</t>
        </r>
      </text>
    </comment>
    <comment ref="AH856" authorId="0" shapeId="0" xr:uid="{2AE7EF32-7CB3-4731-9D57-5AC1564FC96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E861" authorId="0" shapeId="0" xr:uid="{0A0B6FE4-FDBC-46A1-A44D-A1B9D3A829F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72" authorId="0" shapeId="0" xr:uid="{0B88B21B-B0B5-4829-B31C-1D35BB2310D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1990 OCT 28</t>
        </r>
      </text>
    </comment>
    <comment ref="AG873" authorId="0" shapeId="0" xr:uid="{6A92DD60-E96D-41C6-AC00-D19DE14565B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1990 OCT 2021</t>
        </r>
      </text>
    </comment>
    <comment ref="AH875" authorId="0" shapeId="0" xr:uid="{12545980-61DB-4595-9CF9-B6D3667AA34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26/21 $75000,000</t>
        </r>
      </text>
    </comment>
    <comment ref="AG877" authorId="0" shapeId="0" xr:uid="{9DBA5990-736F-4889-AC2E-C59504F47DB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
RES 773 ABRIL 22/21 $46,856,431,56</t>
        </r>
      </text>
    </comment>
    <comment ref="AG883" authorId="0" shapeId="0" xr:uid="{3A8D23EA-CE0E-4AE1-B28E-0537A35DF93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1990 OCT 28</t>
        </r>
      </text>
    </comment>
    <comment ref="AG885" authorId="0" shapeId="0" xr:uid="{1D910CC0-8EB5-460E-A7EE-3C51DB7EB05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RRES 1613 SEPT 17/2021</t>
        </r>
      </text>
    </comment>
    <comment ref="AG887" authorId="0" shapeId="0" xr:uid="{CF537629-9CA1-48C3-A70A-EFB0D1C8A97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18/2021 $30,000,000</t>
        </r>
      </text>
    </comment>
    <comment ref="AH887" authorId="0" shapeId="0" xr:uid="{52756BCE-F93B-4B97-92DE-46206B1700E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890" authorId="0" shapeId="0" xr:uid="{1E2674E5-4A7B-450A-8E9F-A308F5AC803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G894" authorId="0" shapeId="0" xr:uid="{0E776F8B-3CE5-4A85-8AB5-A22A088C1CB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</t>
        </r>
      </text>
    </comment>
    <comment ref="AH894" authorId="0" shapeId="0" xr:uid="{1702E9C8-F7CE-422B-BBB8-4C58549FFB1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21/2021
res 1407 agosto 13/2021resol 1613 sept 17/2021</t>
        </r>
      </text>
    </comment>
    <comment ref="AH895" authorId="0" shapeId="0" xr:uid="{CECC7619-A1BE-4981-BD61-E16B7F6108F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13$40,000,000</t>
        </r>
      </text>
    </comment>
    <comment ref="AG899" authorId="0" shapeId="0" xr:uid="{B863819E-0FB8-4C54-B90A-DB4400A231C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22/2021 $118,300,000</t>
        </r>
      </text>
    </comment>
    <comment ref="AH899" authorId="0" shapeId="0" xr:uid="{0B1C21E7-33D7-4B52-9E73-B2CAD3FEB4FF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1739 oct 11/2021</t>
        </r>
      </text>
    </comment>
    <comment ref="AG901" authorId="0" shapeId="0" xr:uid="{FE30C85A-0B72-404D-AB5E-430094F8608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 773 ABRIL 22/2021 $140,000,000
RESOL 1613 SEPT 17/2021</t>
        </r>
      </text>
    </comment>
    <comment ref="AH901" authorId="0" shapeId="0" xr:uid="{6FC15876-26AB-43D6-8ACF-FB5C3EA3CB0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1407 agosto 13/2021</t>
        </r>
      </text>
    </comment>
    <comment ref="AH903" authorId="0" shapeId="0" xr:uid="{6C3DA654-90F3-4EBE-8A23-9B6F006A3F5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1990 OCT 28</t>
        </r>
      </text>
    </comment>
    <comment ref="AG907" authorId="0" shapeId="0" xr:uid="{443361E6-31A4-41D2-82EE-0ED6A1CD807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H907" authorId="0" shapeId="0" xr:uid="{EEB7DE5B-AB1A-460C-AB28-9F9C7BA69B4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18/2021 $30,000,000</t>
        </r>
      </text>
    </comment>
    <comment ref="AH909" authorId="0" shapeId="0" xr:uid="{55848397-6EDF-456D-8212-BB7F44BEC45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
res 773 abril 22/21 $46,856,431,56</t>
        </r>
      </text>
    </comment>
    <comment ref="AG911" authorId="0" shapeId="0" xr:uid="{2EE06F44-D8BC-4168-BBD5-C06CF26FDB7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eneroo 26/2021 $4,400,000</t>
        </r>
      </text>
    </comment>
    <comment ref="AG913" authorId="0" shapeId="0" xr:uid="{2BA802D6-49A9-4261-B013-7177D99122A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26/2021 $88,500,000RESOL 1407 13 AGOSTO /2021</t>
        </r>
      </text>
    </comment>
    <comment ref="AH913" authorId="0" shapeId="0" xr:uid="{0CE709DC-7011-478B-9D10-D832736CAEB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22/2021 $20,700,000</t>
        </r>
      </text>
    </comment>
    <comment ref="AG914" authorId="0" shapeId="0" xr:uid="{1AEAC908-54C8-4933-9F6D-3F29AF6E881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1407 agosto 2021
res 936 mayo 21/2021</t>
        </r>
      </text>
    </comment>
    <comment ref="AG915" authorId="0" shapeId="0" xr:uid="{7ECFEDD3-3FA1-44D1-A465-98485B63337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13/2021 $40,000,000</t>
        </r>
      </text>
    </comment>
    <comment ref="AG917" authorId="0" shapeId="0" xr:uid="{F4CB7849-7B97-4B09-BF25-BF8F87457F5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919" authorId="0" shapeId="0" xr:uid="{6C0E7A1D-DBB0-474F-87BF-BD12A7EB5F8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
RES 936 MAYO 21
RES 1739 OCT 11</t>
        </r>
      </text>
    </comment>
    <comment ref="AH919" authorId="0" shapeId="0" xr:uid="{F3708190-89F0-4E22-B2E7-513456A9931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26/2021 $900,000,00
res 773 abril 22/2021 $258,300,000</t>
        </r>
      </text>
    </comment>
    <comment ref="AE920" authorId="0" shapeId="0" xr:uid="{81CAEEFB-CFB1-4B60-8F75-149A9D8F140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922" authorId="0" shapeId="0" xr:uid="{7A73C35D-A298-4D37-B904-B3B92B03B29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926" authorId="0" shapeId="0" xr:uid="{6DC0B5F9-A72E-42F3-B27B-3DC3EC0D544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930" authorId="0" shapeId="0" xr:uid="{ADF446B8-5C36-463A-94E7-ED5BF5B7151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22/2021 $20,700,000</t>
        </r>
      </text>
    </comment>
    <comment ref="AH930" authorId="0" shapeId="0" xr:uid="{70389DDA-07DA-46A9-89D5-D94017EE1D9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026enero 26/2021 $17,000,000
resol 936 mayo 21/2021</t>
        </r>
      </text>
    </comment>
    <comment ref="AE931" authorId="0" shapeId="0" xr:uid="{A7C92946-39FB-47C3-8359-4EA6A5AF10F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937" authorId="0" shapeId="0" xr:uid="{D31F1B35-8F83-4E04-B7CE-08A518B6E69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947" authorId="0" shapeId="0" xr:uid="{D9F80973-C6A6-48C7-B745-E25EF2CDF4F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
res 1135 $283,500,000
res 1209 jul 1/2021 $279,000,000</t>
        </r>
      </text>
    </comment>
    <comment ref="AJ947" authorId="0" shapeId="0" xr:uid="{C21FD505-0C8E-4328-B81E-52D68F4D7BA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no lo tiene ruben</t>
        </r>
      </text>
    </comment>
    <comment ref="AG949" authorId="0" shapeId="0" xr:uid="{8DBBC2F0-6099-4F48-8727-C554074DAC5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</t>
        </r>
      </text>
    </comment>
    <comment ref="AG951" authorId="0" shapeId="0" xr:uid="{E7D45D71-7CEF-4A24-98DD-7F635D10BD3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18/2021RES 1739 OCT 11/2021</t>
        </r>
      </text>
    </comment>
    <comment ref="AG952" authorId="0" shapeId="0" xr:uid="{7E3AE8AA-FCDE-4245-A0EF-B0CB7ADCDD7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
</t>
        </r>
      </text>
    </comment>
    <comment ref="AG954" authorId="0" shapeId="0" xr:uid="{FF206A3E-D692-4404-B695-B80C9214D6D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RES1135 JUN 18/2021 $65,000,000</t>
        </r>
      </text>
    </comment>
    <comment ref="AG956" authorId="0" shapeId="0" xr:uid="{85159F31-9E3D-4FA2-8C4F-6FA06748CDE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
350,000,000
RES 1812 OCT 20</t>
        </r>
      </text>
    </comment>
    <comment ref="AG958" authorId="0" shapeId="0" xr:uid="{92F7894A-29BF-4731-95FD-53F682D849C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18/2021 $1,067,000,000</t>
        </r>
      </text>
    </comment>
    <comment ref="AG960" authorId="0" shapeId="0" xr:uid="{A97090BE-DC49-48F2-95BC-D50C90A6EB3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18/2021 $148,000,000</t>
        </r>
      </text>
    </comment>
    <comment ref="AG963" authorId="0" shapeId="0" xr:uid="{BF93B012-1B4F-4169-9664-9F78CE561BA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18/2021 $770,000,000
</t>
        </r>
      </text>
    </comment>
    <comment ref="AG964" authorId="0" shapeId="0" xr:uid="{3E72EACE-9642-45A4-B321-1B39C4155BA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1990 OCT 28</t>
        </r>
      </text>
    </comment>
    <comment ref="AG965" authorId="0" shapeId="0" xr:uid="{3B474AAE-0664-4A4C-BAC8-03AED0F2136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julio 1/2021</t>
        </r>
      </text>
    </comment>
    <comment ref="AG971" authorId="0" shapeId="0" xr:uid="{696CB3E1-25F1-4862-9FFE-7FDEEB386A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18/2021 $24,729,623</t>
        </r>
      </text>
    </comment>
    <comment ref="AH976" authorId="0" shapeId="0" xr:uid="{2583FE56-6AD5-4979-88C9-D92BAA7DD4C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18/2021 $163,270,377
RESOL 1614 SEPT 17/2021</t>
        </r>
      </text>
    </comment>
    <comment ref="AG977" authorId="0" shapeId="0" xr:uid="{8FCE3201-56B8-4702-A64B-D73B265636E9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1812 oct 20/2021</t>
        </r>
      </text>
    </comment>
    <comment ref="AG984" authorId="0" shapeId="0" xr:uid="{81301DF5-007B-4F07-8F61-899A1869657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22/2021 $222,721,043
resol 1812 oct 20</t>
        </r>
      </text>
    </comment>
    <comment ref="AH984" authorId="0" shapeId="0" xr:uid="{E7E8190A-AB2F-432C-AF25-8F33F3D4ACA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r74,931,884</t>
        </r>
      </text>
    </comment>
    <comment ref="AG985" authorId="0" shapeId="0" xr:uid="{BDA9897C-FC31-44C5-9D69-384AA5D196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1990 OCT 20</t>
        </r>
      </text>
    </comment>
    <comment ref="AH993" authorId="0" shapeId="0" xr:uid="{D8CAACC6-0026-4ADB-8700-24EDEBE341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G995" authorId="0" shapeId="0" xr:uid="{9E204850-8456-409B-A7ED-DF13B97EF37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</t>
        </r>
      </text>
    </comment>
    <comment ref="AG996" authorId="0" shapeId="0" xr:uid="{47D23AFC-D9F5-49E0-90E9-4A9132D9ED5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11/2021</t>
        </r>
      </text>
    </comment>
    <comment ref="AG997" authorId="0" shapeId="0" xr:uid="{D9FC6EEF-985B-48F7-947F-00DBA2165C1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</t>
        </r>
      </text>
    </comment>
    <comment ref="AG998" authorId="0" shapeId="0" xr:uid="{75269325-17DC-4275-A70E-395316DBDAE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1739 OCT 11</t>
        </r>
      </text>
    </comment>
    <comment ref="AG999" authorId="0" shapeId="0" xr:uid="{6F0DFE2B-96DA-4AE7-9E18-AD370D481F7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1739 OCT 11/2021</t>
        </r>
      </text>
    </comment>
    <comment ref="AG1005" authorId="0" shapeId="0" xr:uid="{7ADBBEA0-B89F-4C2F-85C1-E3A31AF5952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 21
res 1135 junio 18/2021 $170,000,000
RES 1407 AGOSTO 13/2021 $360,000,000
res 1490 agosto 27/2021
RES 1739 OCT 11
RES 1739/0CT/11
RES 1812 OCT 20
RES 1990 OCT 28</t>
        </r>
      </text>
    </comment>
    <comment ref="AG1006" authorId="0" shapeId="0" xr:uid="{17740F36-19CC-467E-89E5-38AAFAC6ACC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1990 OCT 28</t>
        </r>
      </text>
    </comment>
    <comment ref="AG1008" authorId="0" shapeId="0" xr:uid="{2C0BE3F0-E57A-4975-98B7-BD274CE3F4A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</t>
        </r>
      </text>
    </comment>
    <comment ref="AH1008" authorId="0" shapeId="0" xr:uid="{FD6C0C35-FD5C-4A15-B746-564133869BA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FEBR 18/2021 RES 143 $794,729,623</t>
        </r>
      </text>
    </comment>
    <comment ref="AG1011" authorId="0" shapeId="0" xr:uid="{CE2FADDE-3841-4194-B999-E2E17A17B45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
</t>
        </r>
      </text>
    </comment>
    <comment ref="AG1015" authorId="0" shapeId="0" xr:uid="{8A3FECDB-0876-4FB7-88DF-F5DA6600B7B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1614 SEPT 17/2021</t>
        </r>
      </text>
    </comment>
    <comment ref="AE1016" authorId="0" shapeId="0" xr:uid="{329CF353-8651-429A-AC20-70BF8F72D7F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16" authorId="0" shapeId="0" xr:uid="{264A3AD8-B50F-445F-9BCC-A7346A1485D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12/2021
RES 1135 JUNIO 18/2021 $4,989,317,258
RESOL 1209 JUL 1/2021
resol 1407 agosto 13
res 1490 agosto 27/2021resol 1613 sept 17/2021
resol 1739 oct 11
res 1812 oct 20
RES 1990 OCT 28</t>
        </r>
      </text>
    </comment>
    <comment ref="AG1020" authorId="0" shapeId="0" xr:uid="{06FD8E97-364F-46ED-A091-ECB1B1CFBE5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27/2021</t>
        </r>
      </text>
    </comment>
    <comment ref="AG1021" authorId="0" shapeId="0" xr:uid="{84CB4FFD-03EC-4DBA-99C2-364D13DB17B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1990 OCT 28</t>
        </r>
      </text>
    </comment>
    <comment ref="AH1023" authorId="0" shapeId="0" xr:uid="{FD33F3A8-DAED-4250-AA62-A1F7FAFE1E5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18/2021 $221,572,545
res 773 abril 22 de 2021 $222,721,043</t>
        </r>
      </text>
    </comment>
    <comment ref="AE1026" authorId="0" shapeId="0" xr:uid="{8F0F23EE-4785-42AB-B545-EE7E4BBBB2A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26" authorId="0" shapeId="0" xr:uid="{07ADF153-37B3-4AD2-8082-353E62A6480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1/2021 $502,000,000
RES 1990 OCT 28</t>
        </r>
      </text>
    </comment>
    <comment ref="AE1027" authorId="0" shapeId="0" xr:uid="{2AD5CA71-CEE3-46FC-857F-951BCBE61CE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31" authorId="0" shapeId="0" xr:uid="{FFF67D2A-CF4E-4895-8F83-614EEBBAF19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18/2021 $408,029,872,00</t>
        </r>
      </text>
    </comment>
    <comment ref="AG1034" authorId="0" shapeId="0" xr:uid="{DDF86EBF-437A-4E25-89B6-13D9D3A95B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G1046" authorId="0" shapeId="0" xr:uid="{728650FF-B916-4D17-844A-F655F478ACA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</t>
        </r>
      </text>
    </comment>
    <comment ref="AE1052" authorId="0" shapeId="0" xr:uid="{1EDCFA78-CDC6-4E8D-8DA4-01A0795370A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
</t>
        </r>
      </text>
    </comment>
    <comment ref="AH1052" authorId="0" shapeId="0" xr:uid="{0183DDD8-1411-46A3-9C80-8C033187A8C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21/2021</t>
        </r>
      </text>
    </comment>
    <comment ref="AE1062" authorId="0" shapeId="0" xr:uid="{79980EB9-1444-4E3D-8A47-157B6B47FFB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A1077" authorId="0" shapeId="0" xr:uid="{40456B88-FB66-4969-9824-A99E1A5A1F2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esta en fondo gestion del riesgo
</t>
        </r>
      </text>
    </comment>
    <comment ref="AG1077" authorId="0" shapeId="0" xr:uid="{2DA337FD-7371-4741-B8B1-459FD9612A2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H1083" authorId="0" shapeId="0" xr:uid="{70B839A1-4839-4CB8-BC7D-9CDDFF4C3DA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18/2021 $557,151,874</t>
        </r>
      </text>
    </comment>
    <comment ref="AG1087" authorId="0" shapeId="0" xr:uid="{98235624-CE12-407E-82E4-641CB7FCB71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E1093" authorId="0" shapeId="0" xr:uid="{400F2212-C5DD-4243-AD9E-0AF58BF46A6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094" authorId="0" shapeId="0" xr:uid="{A81F1CC9-36FB-426E-B53B-4E27048CD28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109" authorId="0" shapeId="0" xr:uid="{0D3C27C0-D155-4B1D-BEC9-A45979CCA61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1113" authorId="0" shapeId="0" xr:uid="{426A45A6-B855-4C38-B49E-EC70FBA5C41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RESOLU 1613 SEPT 17/2021
</t>
        </r>
      </text>
    </comment>
    <comment ref="AH1118" authorId="0" shapeId="0" xr:uid="{F9CD7DC3-E438-4289-A767-2EE7333F84C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se´t 17/2021</t>
        </r>
      </text>
    </comment>
    <comment ref="AG1120" authorId="0" shapeId="0" xr:uid="{8058E362-2F35-4D5F-9F2B-4808D7E8E66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12/21$2,080,000,000</t>
        </r>
      </text>
    </comment>
    <comment ref="AH1120" authorId="0" shapeId="0" xr:uid="{EE297481-BB8A-4BA2-81CF-D8918B87E22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4/2021 $1,800,000,000,00res 936 mayo 21/2021
RES1336 JUL 28/2021 $210,000,000
res 1490 agosto 27/2021</t>
        </r>
      </text>
    </comment>
    <comment ref="AG1122" authorId="0" shapeId="0" xr:uid="{D573B337-8122-42C2-9E0C-86C93D76655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12/2021 $2,580,000,000
resol 1336 jul 28/2021 $60,000,000</t>
        </r>
      </text>
    </comment>
    <comment ref="AH1122" authorId="0" shapeId="0" xr:uid="{53C4DB14-2612-4F61-AC4B-E0FC0A73135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1124" authorId="0" shapeId="0" xr:uid="{982DE155-3650-4C43-91C5-110CAB0FF46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RESOL 936 MAYO 21/21</t>
        </r>
      </text>
    </comment>
    <comment ref="AG1126" authorId="0" shapeId="0" xr:uid="{797B333C-479C-42C9-B5FC-BEA1EE8B2CC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28/2021 $100,000,000</t>
        </r>
      </text>
    </comment>
    <comment ref="AH1128" authorId="0" shapeId="0" xr:uid="{FF165D4C-3DB1-4234-9DAF-226C67A5C77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1/2021 $1,080,123,215 Y $2,000,000,000
res 1407 agosto 13/2021 $3,000,000,000</t>
        </r>
      </text>
    </comment>
    <comment ref="AE1129" authorId="0" shapeId="0" xr:uid="{331DBD23-21C0-49B0-BDAD-8C7C06A0912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138 NOV 3</t>
        </r>
      </text>
    </comment>
    <comment ref="AG1131" authorId="0" shapeId="0" xr:uid="{F21D1139-C204-4931-B0C4-97B20E9B737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RES 1209 JULIO 1/2021</t>
        </r>
      </text>
    </comment>
    <comment ref="AH1131" authorId="0" shapeId="0" xr:uid="{24E97638-D823-4AC4-A9DA-C971A1FFF5D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13*/2021 $500,000,000</t>
        </r>
      </text>
    </comment>
    <comment ref="AG1132" authorId="0" shapeId="0" xr:uid="{A0F8B18D-E003-4F59-862A-5FB6F00C7FD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1/2021$2,000,000,000</t>
        </r>
      </text>
    </comment>
    <comment ref="AH1132" authorId="0" shapeId="0" xr:uid="{06F30964-344D-4FD7-941E-C7FFC005397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13/2021 $500,000,000
</t>
        </r>
      </text>
    </comment>
    <comment ref="AG1134" authorId="0" shapeId="0" xr:uid="{C7C7134C-453E-4711-AC42-085FB0412A3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21/21</t>
        </r>
      </text>
    </comment>
    <comment ref="AG1136" authorId="0" shapeId="0" xr:uid="{C85E9CF0-48FD-41E4-B0A9-919036F0AB3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1613 SEP 17/2021
</t>
        </r>
      </text>
    </comment>
    <comment ref="AG1138" authorId="0" shapeId="0" xr:uid="{533C03F1-ADF8-4D36-A881-0CE5A5DBA34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12/2021 $140,000,000RESOL 1613 SEPT 17
RESOL 1613 SEPT 17/2021</t>
        </r>
      </text>
    </comment>
    <comment ref="AH1138" authorId="0" shapeId="0" xr:uid="{578DA071-7EC9-420C-BA2E-E4E1287C7D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E1141" authorId="0" shapeId="0" xr:uid="{32ADF2E6-1C46-4354-BB83-791B175C61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143" authorId="0" shapeId="0" xr:uid="{EFE3F777-C942-4D53-A8F5-CC776EFF0A4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
resol 1336 jul 28/2021 $50,000,000
res 1490 $60,000,000</t>
        </r>
      </text>
    </comment>
    <comment ref="AG1146" authorId="0" shapeId="0" xr:uid="{BF67F9AC-721D-44DC-9031-6D0D7185BEC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21resol 
1336 jul 28/2021 $100,000,000</t>
        </r>
      </text>
    </comment>
    <comment ref="AE1151" authorId="0" shapeId="0" xr:uid="{8957E906-5AD4-4B3E-B2FC-849E010CBFB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162" authorId="0" shapeId="0" xr:uid="{7BF88AF7-F6F2-4234-B649-E85E23B1E5C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12/2021 $10,000,000,000,00
resol 308 marzo 12/2021 $500,000,000
resolucion 737/ 15/04/2021 $431,000,000</t>
        </r>
      </text>
    </comment>
    <comment ref="AE1163" authorId="0" shapeId="0" xr:uid="{31EBA7A6-B2BB-4BD2-A3FB-941AC7E5E63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163" authorId="0" shapeId="0" xr:uid="{00FCE50C-A8D8-4931-AF56-79F21E74251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18/2021 $200,000,000res 1407 agotos 13
RESOL 1359 AGOSTO 2/2021</t>
        </r>
      </text>
    </comment>
    <comment ref="AH1167" authorId="0" shapeId="0" xr:uid="{8A632029-2152-450D-BA68-A42F9B6239B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1168" authorId="0" shapeId="0" xr:uid="{1C907CDF-92E4-4833-AC97-B87D12D5EFE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168" authorId="0" shapeId="0" xr:uid="{F094DDA1-A249-408C-B436-115E82DA901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1177" authorId="0" shapeId="0" xr:uid="{90E1C1D3-BEE8-483E-83BD-7CF46B10972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179" authorId="0" shapeId="0" xr:uid="{9FD8E230-1CD6-403F-A13D-BC5E9D4A66C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E1181" authorId="0" shapeId="0" xr:uid="{13E87F0E-3659-4A35-A721-6A7D2E099A32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dec 0138 nov 3 de 2021</t>
        </r>
      </text>
    </comment>
    <comment ref="AG1181" authorId="0" shapeId="0" xr:uid="{7CB4AFDF-F5FB-489D-9608-E8A2E2C2721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H1181" authorId="0" shapeId="0" xr:uid="{D9A3CF5D-1FED-4028-8201-32880AD4EE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2377 NOV 25 DE 2021</t>
        </r>
      </text>
    </comment>
    <comment ref="AG1182" authorId="0" shapeId="0" xr:uid="{482F3FCB-86A3-41E4-A707-181FD2032C9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1359 AGOSTO 2/2021</t>
        </r>
      </text>
    </comment>
    <comment ref="AH1182" authorId="0" shapeId="0" xr:uid="{EFF62223-5BB5-4411-A8F5-9864D7FC879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E1188" authorId="0" shapeId="0" xr:uid="{EE57F6C3-8D97-44EB-B7B6-89F054CA71F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198" authorId="0" shapeId="0" xr:uid="{22F3BC37-9C6D-4E7D-A678-50DB37F69AC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H1198" authorId="0" shapeId="0" xr:uid="{5A22F032-76AE-4D78-8BBC-CB07FBE03DDD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2162 nov 17</t>
        </r>
      </text>
    </comment>
    <comment ref="AE1201" authorId="0" shapeId="0" xr:uid="{72D1D97B-EC80-4591-AE9C-39D157BA78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1202" authorId="0" shapeId="0" xr:uid="{217659DD-6970-4C47-9FDB-E20A173876B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03" authorId="0" shapeId="0" xr:uid="{1311DD55-4422-45AB-AD41-98A94D126C7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205" authorId="0" shapeId="0" xr:uid="{3FA8E6D6-7E7C-4735-8299-4AC1A5AB932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01/26/2021</t>
        </r>
      </text>
    </comment>
    <comment ref="AE1209" authorId="0" shapeId="0" xr:uid="{0B5E3A99-55C1-4018-AFF9-1DD4819B752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ABRIL29/2021</t>
        </r>
      </text>
    </comment>
    <comment ref="AG1211" authorId="0" shapeId="0" xr:uid="{6A47FBB9-092A-4309-A243-A9B4E073357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18/2021 $204,500,000</t>
        </r>
      </text>
    </comment>
    <comment ref="AH1211" authorId="0" shapeId="0" xr:uid="{25972F9F-673F-430A-A9CF-F3CFB03CC91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</t>
        </r>
      </text>
    </comment>
    <comment ref="AG1213" authorId="0" shapeId="0" xr:uid="{7CB80541-B022-47CF-9E59-D2E85AF6DB1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26/2021 $3,086,332,698</t>
        </r>
      </text>
    </comment>
    <comment ref="AE1214" authorId="0" shapeId="0" xr:uid="{FB60997D-2C11-48D5-A06C-2805A5F8CE2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216" authorId="0" shapeId="0" xr:uid="{168B5F18-893D-4F16-A983-7D48D5A58B5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26/2021 $501,500,000</t>
        </r>
      </text>
    </comment>
    <comment ref="AH1216" authorId="0" shapeId="0" xr:uid="{D459074B-5AE3-4299-9E57-83770EAA9B8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18/2021 $204,500,000
res 1649 sept 28/2021 $800,000,000</t>
        </r>
      </text>
    </comment>
    <comment ref="AE1218" authorId="0" shapeId="0" xr:uid="{F0ADAE99-C98C-4123-B440-A2E359F591F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218" authorId="0" shapeId="0" xr:uid="{9544E61F-D476-40CD-B7FE-DB6AA7041C1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E1220" authorId="0" shapeId="0" xr:uid="{D566BBE6-91B3-4981-92EE-FFF15C8AEFFB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dec 138 nov 3/2021</t>
        </r>
      </text>
    </comment>
    <comment ref="AH1220" authorId="0" shapeId="0" xr:uid="{4FA063AF-AB1B-47AC-BE8E-178DD7651AE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</t>
        </r>
      </text>
    </comment>
    <comment ref="AG1222" authorId="0" shapeId="0" xr:uid="{15317969-8B8D-4CEE-BC3D-F7FF0579BA6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26/2021 $221,000,000</t>
        </r>
      </text>
    </comment>
    <comment ref="AG1224" authorId="0" shapeId="0" xr:uid="{2E2EEA54-B425-4C89-B2BF-C04CDC8451A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1226" authorId="0" shapeId="0" xr:uid="{6447007D-7BE5-43D8-A3F8-9CC4AA41E2E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2162 NOV 17</t>
        </r>
      </text>
    </comment>
    <comment ref="AH1228" authorId="0" shapeId="0" xr:uid="{EFDF8FA6-8989-4092-AA45-35AD4992109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1613/2021 sept 17/2021</t>
        </r>
      </text>
    </comment>
    <comment ref="AE1229" authorId="0" shapeId="0" xr:uid="{FF48C19F-3714-4517-88A8-72C410488CF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1233" authorId="0" shapeId="0" xr:uid="{DF376743-B519-4DBC-9108-E515CE7DEBF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1649 SEPT 28/2021</t>
        </r>
      </text>
    </comment>
    <comment ref="AE1248" authorId="0" shapeId="0" xr:uid="{0376EF46-FC6D-4C83-9517-B71FDE83BCE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59" authorId="0" shapeId="0" xr:uid="{921AC65B-185C-4A48-9622-AFCB091AB02A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dec 0138 nov 3/2021</t>
        </r>
      </text>
    </comment>
    <comment ref="AE1260" authorId="0" shapeId="0" xr:uid="{57CB75AE-3FC3-4CA9-9C0D-ACB3E70A650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</t>
        </r>
      </text>
    </comment>
    <comment ref="AE1263" authorId="0" shapeId="0" xr:uid="{B484AFEF-01F9-496B-B19E-57A9ED78E86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64" authorId="0" shapeId="0" xr:uid="{3AB369C2-7C3B-419E-AA90-B52249BE47E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65" authorId="0" shapeId="0" xr:uid="{238C85DF-FE2F-4E1E-9F06-D99BF9D8576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266" authorId="0" shapeId="0" xr:uid="{E5DDF705-5BCB-40CC-9929-D247B5C5920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G1268" authorId="0" shapeId="0" xr:uid="{5476C973-32BC-41A0-A0C0-6B75F1DDBF6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2377 NOV 25</t>
        </r>
      </text>
    </comment>
    <comment ref="AG1269" authorId="0" shapeId="0" xr:uid="{81AEA36F-C060-46C5-B468-B1E26E88EF7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2377 NOV 25/2021</t>
        </r>
      </text>
    </comment>
    <comment ref="AG1270" authorId="0" shapeId="0" xr:uid="{E40E7539-5C48-4204-904B-F774564DFE5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</t>
        </r>
      </text>
    </comment>
    <comment ref="AE1283" authorId="0" shapeId="0" xr:uid="{6257C589-5443-49DE-A569-74440EBF1FC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</t>
        </r>
      </text>
    </comment>
    <comment ref="AE1289" authorId="0" shapeId="0" xr:uid="{EF6DBB0C-8A5C-4B60-895F-E491D3FB1AD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A1292" authorId="0" shapeId="0" xr:uid="{2CA49614-129A-449A-A88E-81B75507893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SE UBICO EN EL 3301122 EN CUIPO</t>
        </r>
      </text>
    </comment>
    <comment ref="AG1293" authorId="0" shapeId="0" xr:uid="{9D83615A-8A83-43BC-80F6-B33AFE27A0E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G1294" authorId="0" shapeId="0" xr:uid="{079940C9-6A0F-4BD1-931E-0649EF467A5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14/2021</t>
        </r>
      </text>
    </comment>
    <comment ref="AE1295" authorId="0" shapeId="0" xr:uid="{788EF286-1728-4D0B-987E-4288C22BB6D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300" authorId="0" shapeId="0" xr:uid="{C18C8DA4-2D4E-4304-84D4-5B38ACA54C5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303" authorId="0" shapeId="0" xr:uid="{0D2DA4A4-0D08-428E-BD1C-681A2443F9D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307" authorId="0" shapeId="0" xr:uid="{81D44230-02CF-45B3-B736-37ACEAF85C5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2377 NOV 25
</t>
        </r>
      </text>
    </comment>
    <comment ref="AG1309" authorId="0" shapeId="0" xr:uid="{F85D208E-43E2-4FBC-A97C-1DAAA6E826F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2377 NOV 25</t>
        </r>
      </text>
    </comment>
    <comment ref="AG1311" authorId="0" shapeId="0" xr:uid="{36FEF018-0AC7-4432-991A-59BCFBDD4C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2377 NOV 25</t>
        </r>
      </text>
    </comment>
    <comment ref="AE1313" authorId="0" shapeId="0" xr:uid="{EEDBE427-F556-4E5C-ABD7-31BBC69C039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315" authorId="0" shapeId="0" xr:uid="{89DEEEA3-151A-4F0A-A4EB-02A47C7FDBF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319" authorId="0" shapeId="0" xr:uid="{88481DF5-0B28-41D8-873C-ACDB6E5B5EE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1331" authorId="0" shapeId="0" xr:uid="{5B91155C-FDCF-48A7-A566-4ACAD77A188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2377 NOV 15 DE 2021</t>
        </r>
      </text>
    </comment>
    <comment ref="AG1345" authorId="0" shapeId="0" xr:uid="{F1131ACB-9EB3-4745-B9E4-E13C3F9C6C0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737 15/04/2021 $431,000,000
RES 1068 JUN 3/2021 $18,000,000</t>
        </r>
      </text>
    </comment>
    <comment ref="AH1345" authorId="0" shapeId="0" xr:uid="{9931EFDC-8869-4408-90A6-4DC7FCB72ED0}">
      <text>
        <r>
          <rPr>
            <b/>
            <sz val="9"/>
            <color indexed="81"/>
            <rFont val="Tahoma"/>
            <family val="2"/>
          </rPr>
          <t>Yolanda Baron Pedraza
resol 915 mayo 12</t>
        </r>
      </text>
    </comment>
    <comment ref="AG1347" authorId="0" shapeId="0" xr:uid="{0B6919A9-09F2-424A-96B0-C25ACBDA02B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763 21 ABRIL  $431,000,000
res 915 mayo 12/2021 $9,000,000
RES 1812 OCT 20</t>
        </r>
      </text>
    </comment>
    <comment ref="AH1347" authorId="0" shapeId="0" xr:uid="{71FF9FC6-E63D-4DEE-B690-C9C784B3A19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</t>
        </r>
      </text>
    </comment>
    <comment ref="AH1349" authorId="0" shapeId="0" xr:uid="{45B1BA18-1A2B-4D7A-A21D-F0A696650CC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1812 oct 20/21</t>
        </r>
      </text>
    </comment>
    <comment ref="AG1351" authorId="0" shapeId="0" xr:uid="{1F805441-B293-4A48-A3DC-5C10A12196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</t>
        </r>
      </text>
    </comment>
    <comment ref="AE1362" authorId="0" shapeId="0" xr:uid="{169B09C2-D8D0-43AB-9C99-53D58325DD91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dec 0138 nov 3/2021</t>
        </r>
      </text>
    </comment>
    <comment ref="AG1369" authorId="0" shapeId="0" xr:uid="{673371BC-C167-4CDC-926D-1DB5E92008D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2377 NOV 25/2021</t>
        </r>
      </text>
    </comment>
    <comment ref="AG1382" authorId="0" shapeId="0" xr:uid="{91DBAD1D-BF27-42C5-AA5C-C4389D86A0A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026 enero 26/2021 $5,536,570,240</t>
        </r>
      </text>
    </comment>
    <comment ref="AH1387" authorId="0" shapeId="0" xr:uid="{F44CDF71-A6FD-4314-8DCB-B02EC7A7A20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
</t>
        </r>
      </text>
    </comment>
    <comment ref="AE1390" authorId="0" shapeId="0" xr:uid="{2E279CC2-3A69-4D10-92B1-BBF02D6A3C2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94" authorId="0" shapeId="0" xr:uid="{E0FE5408-7A9B-4D7C-ACB3-5F5EF9AFC5E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
decreto 0138 nov 5/2021 $4,500,000,000</t>
        </r>
      </text>
    </comment>
    <comment ref="AE1395" authorId="0" shapeId="0" xr:uid="{D251630F-1B81-421A-82FD-6CC1E825EE1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MAYO7/2021</t>
        </r>
      </text>
    </comment>
    <comment ref="AE1401" authorId="0" shapeId="0" xr:uid="{9D9706F2-9063-4E93-93E4-00DEF147E11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02" authorId="0" shapeId="0" xr:uid="{5AC1CBEF-3EC9-4E54-BD7A-CAABF5D67C0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058MAYO 7/2021</t>
        </r>
      </text>
    </comment>
    <comment ref="AE1406" authorId="0" shapeId="0" xr:uid="{61109EBE-74AB-4CD1-9679-CCCC8652A38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07" authorId="0" shapeId="0" xr:uid="{A47BDB7D-CEBB-4235-9199-CE29E57AA02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08" authorId="0" shapeId="0" xr:uid="{D84A6497-9952-4E64-8A22-6561DE1D8EA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12" authorId="0" shapeId="0" xr:uid="{52B319F5-A32F-4D40-BAD7-E8A14123FC7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15" authorId="0" shapeId="0" xr:uid="{5B60C01C-8619-49EB-BA61-FDF63476FB6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G1418" authorId="0" shapeId="0" xr:uid="{D2B6D06D-1F0E-4CC7-A4B5-341B38D5D7C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1418" authorId="0" shapeId="0" xr:uid="{3A1CB07A-16C3-43B5-98FF-8D6C4B59F3C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18/2021 $136,150,000
</t>
        </r>
      </text>
    </comment>
    <comment ref="AE1421" authorId="0" shapeId="0" xr:uid="{0F0CE37B-F57F-4E70-8F35-D438316DD8A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22" authorId="0" shapeId="0" xr:uid="{1BE37C9B-B2DE-49B2-BA1D-FA25C853D69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 C 058 MAYO 7/2021</t>
        </r>
      </text>
    </comment>
    <comment ref="AE1423" authorId="0" shapeId="0" xr:uid="{E5E59402-3B2C-438A-ABF2-BE84D85FF8E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058 MAYO 7/2021</t>
        </r>
      </text>
    </comment>
    <comment ref="AE1427" authorId="0" shapeId="0" xr:uid="{589C5FE1-8928-41F2-88E0-A77A5455C1E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31" authorId="0" shapeId="0" xr:uid="{8751DF39-EE25-4780-B17B-298805F9943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32" authorId="0" shapeId="0" xr:uid="{83960DDD-09F5-4391-A9ED-2996FF473AE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33" authorId="0" shapeId="0" xr:uid="{CB216783-C22E-4974-950C-D45184355A7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37" authorId="0" shapeId="0" xr:uid="{D1B68DDF-7DDF-4617-B6BD-8F513DCABD8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38" authorId="0" shapeId="0" xr:uid="{223C8929-9DE0-4067-B63D-56703A7F4CF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MAYOO 7/2021</t>
        </r>
      </text>
    </comment>
    <comment ref="AE1439" authorId="0" shapeId="0" xr:uid="{0CFB685D-FE50-4635-9472-33456AC8C92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43" authorId="0" shapeId="0" xr:uid="{99A4B15B-F1E4-485B-8A02-BF5E85BD669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47" authorId="0" shapeId="0" xr:uid="{2316B967-F83A-49A2-9325-50CC3678FD2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49" authorId="0" shapeId="0" xr:uid="{5A01252F-40D9-4C2F-95DA-1423D970015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G1451" authorId="0" shapeId="0" xr:uid="{58E6C8BC-0C09-45EA-919F-0DABC51594E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18/21 $136,150,000</t>
        </r>
      </text>
    </comment>
    <comment ref="AG1453" authorId="0" shapeId="0" xr:uid="{7BE94DBC-7F88-4BF3-8C54-D27CEF0FF11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13360 jul 28/2021RES 1407 AGOSTO 13/2021</t>
        </r>
      </text>
    </comment>
    <comment ref="AH1453" authorId="0" shapeId="0" xr:uid="{270972F9-FB5A-4E99-8B4D-DDF2AD8F398D}">
      <text>
        <r>
          <rPr>
            <b/>
            <sz val="9"/>
            <color indexed="81"/>
            <rFont val="Tahoma"/>
            <charset val="1"/>
          </rPr>
          <t>Yolanda Baron Pedraza:</t>
        </r>
        <r>
          <rPr>
            <sz val="9"/>
            <color indexed="81"/>
            <rFont val="Tahoma"/>
            <charset val="1"/>
          </rPr>
          <t xml:space="preserve">
res 2162 nov 17</t>
        </r>
      </text>
    </comment>
    <comment ref="AG1455" authorId="0" shapeId="0" xr:uid="{0DDCD6CF-AAE2-445D-A6D7-ADF7A75DA57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2162  NOV 17</t>
        </r>
      </text>
    </comment>
    <comment ref="AG1457" authorId="0" shapeId="0" xr:uid="{B7B7A428-3B74-464A-B7E2-98CAF6AD339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E1462" authorId="0" shapeId="0" xr:uid="{51C5F15C-3974-459E-99C5-B923319749B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462" authorId="0" shapeId="0" xr:uid="{CE916C43-63E7-460C-B453-E7FC3ACD440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H1462" authorId="0" shapeId="0" xr:uid="{36F7764A-6419-4873-9EA6-2ED79F09914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 13/2021 $15,000
000</t>
        </r>
      </text>
    </comment>
    <comment ref="AE1466" authorId="0" shapeId="0" xr:uid="{6F078488-A772-4FEE-8A67-C1CFBD7251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68" authorId="0" shapeId="0" xr:uid="{4BAFDCFF-48D2-4571-B98B-6B40B5C1B34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058MAYO 7/2021</t>
        </r>
      </text>
    </comment>
    <comment ref="AH1468" authorId="0" shapeId="0" xr:uid="{4DA0BE6C-5C04-45A0-9500-D5B8D58A190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28/2021 $350,000,000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Yolanda Baron Pedraza</author>
  </authors>
  <commentList>
    <comment ref="K93" authorId="0" shapeId="0" xr:uid="{7CAFAFF7-74CF-4355-A215-B503F9CAB31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12/2021 $90,000,000</t>
        </r>
      </text>
    </comment>
    <comment ref="K94" authorId="0" shapeId="0" xr:uid="{F25D50E1-900D-4D0B-9B34-6EF95BBAF58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12/2021 $490,000,000</t>
        </r>
      </text>
    </comment>
    <comment ref="J96" authorId="0" shapeId="0" xr:uid="{3BEB4C8C-3A39-4B6A-A5F2-41909949769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069 feb 12/2021 $1,580,000,000</t>
        </r>
      </text>
    </comment>
    <comment ref="K96" authorId="0" shapeId="0" xr:uid="{2B6A6B81-3590-41FC-A7B0-E99072DCBCA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12/2021 $1,000,000,000</t>
        </r>
      </text>
    </comment>
    <comment ref="J376" authorId="0" shapeId="0" xr:uid="{1184AD53-7AF0-4E8C-A579-A84DC70D18D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12/2021 $2,000,000,000</t>
        </r>
      </text>
    </comment>
    <comment ref="J472" authorId="0" shapeId="0" xr:uid="{3F7A8FB3-817A-430C-A505-677C2109AB4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26 enero 26/21 $24,165,016
</t>
        </r>
      </text>
    </comment>
    <comment ref="K476" authorId="0" shapeId="0" xr:uid="{4DDB9481-44F0-43EF-ADEA-FFED0CB2FF6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 del 26/01/2021 $9,296,364,215
resolu 027/ enero 27/2021 $1,362,635,323</t>
        </r>
      </text>
    </comment>
    <comment ref="J479" authorId="0" shapeId="0" xr:uid="{9E6BD76B-490A-4459-AED9-F03754126EE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26/2021 $20,296,364,215
</t>
        </r>
      </text>
    </comment>
    <comment ref="J484" authorId="0" shapeId="0" xr:uid="{86B565B6-FD76-4C1D-A549-4854C480542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27/2021 $1,555,449,996
</t>
        </r>
      </text>
    </comment>
    <comment ref="J486" authorId="0" shapeId="0" xr:uid="{38B656CC-206A-469A-80AC-CA119B8DA15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26/2021 $95,000,000</t>
        </r>
      </text>
    </comment>
    <comment ref="J488" authorId="0" shapeId="0" xr:uid="{1C963E34-9C16-418D-ACF0-CAED1B6DF5A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27/2021 $1,331,864,802</t>
        </r>
      </text>
    </comment>
    <comment ref="K492" authorId="0" shapeId="0" xr:uid="{50A0674A-4F63-4233-AB08-1CA500A5CC9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26/2021 $11,000,000,000
reso 27 enero 27/2021 $5,500,000,000</t>
        </r>
      </text>
    </comment>
    <comment ref="J494" authorId="0" shapeId="0" xr:uid="{97F3DDA3-7F1A-4BC2-8723-2B6F34019D5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26/2021 $22,204,778</t>
        </r>
      </text>
    </comment>
    <comment ref="J496" authorId="0" shapeId="0" xr:uid="{92B2B89F-5154-4D6D-B0FC-296C2500877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27/2021 $3,975,320,525
</t>
        </r>
      </text>
    </comment>
    <comment ref="J503" authorId="0" shapeId="0" xr:uid="{BB9F1791-3E3E-43F5-A3CC-3E6E14C7B74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26/2021 $60,325,921,15</t>
        </r>
      </text>
    </comment>
    <comment ref="K508" authorId="0" shapeId="0" xr:uid="{F24EFBC6-81E3-4A19-A2FB-CD7374584BB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18/2021 $265,538,240</t>
        </r>
      </text>
    </comment>
    <comment ref="J515" authorId="0" shapeId="0" xr:uid="{187D07C7-BCF5-4F55-A79B-6F5D587E47D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27 enero 27/2021 $503,000,000,00</t>
        </r>
      </text>
    </comment>
    <comment ref="J519" authorId="0" shapeId="0" xr:uid="{AE4B185F-EBC1-4640-978B-0BD061DEBE3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12/2021 $1,556,000,000,00</t>
        </r>
      </text>
    </comment>
    <comment ref="J521" authorId="0" shapeId="0" xr:uid="{BAA5E68D-D962-4957-866C-984D1BB25EA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26/2021 $91,680,424</t>
        </r>
      </text>
    </comment>
    <comment ref="K523" authorId="0" shapeId="0" xr:uid="{DE1B37D9-0C93-45A6-9AB2-61E32193292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26/2021 $329,895,811,15
resol 027 enero 27/21 $2,003,000,000</t>
        </r>
      </text>
    </comment>
    <comment ref="J525" authorId="0" shapeId="0" xr:uid="{F53FFAD7-1BA0-42D1-B808-B5B0F926452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26/2021 $36,519,672</t>
        </r>
      </text>
    </comment>
    <comment ref="J527" authorId="0" shapeId="0" xr:uid="{86F6D7B5-F5C1-4F97-8E89-3C5E297D913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18/2021 $265,538,240</t>
        </r>
      </text>
    </comment>
    <comment ref="J530" authorId="0" shapeId="0" xr:uid="{DC30C3BA-2ADA-4245-85F7-9708ACD4A9B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27/2021 $1,500,000,000</t>
        </r>
      </text>
    </comment>
    <comment ref="K536" authorId="0" shapeId="0" xr:uid="{D5E1E08C-37C6-4305-807A-73DBBD0A1B6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18/2021 $4,680,084,481,80</t>
        </r>
      </text>
    </comment>
    <comment ref="J538" authorId="0" shapeId="0" xr:uid="{65A70ABA-285D-43FE-BAE7-833B299CBA7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18/2021 $4,680,084,481,80</t>
        </r>
      </text>
    </comment>
    <comment ref="J571" authorId="0" shapeId="0" xr:uid="{4418AE3B-6472-4A65-ACB9-4C3A1562A1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12/2021 $250,000,000</t>
        </r>
      </text>
    </comment>
    <comment ref="J577" authorId="0" shapeId="0" xr:uid="{4512CC5E-1B7E-406F-9759-2C91D4DC6D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</t>
        </r>
      </text>
    </comment>
    <comment ref="J593" authorId="0" shapeId="0" xr:uid="{77C7F9CA-1456-44CE-8D57-950490302B2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12/2021 $932,000,000</t>
        </r>
      </text>
    </comment>
    <comment ref="J603" authorId="0" shapeId="0" xr:uid="{D9B4A575-94C8-4929-A1C1-1FDF7EE8B16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12/2021 $20,000,000</t>
        </r>
      </text>
    </comment>
    <comment ref="J606" authorId="0" shapeId="0" xr:uid="{C5BBC4AB-0CBF-444F-A70E-8BF7B6F6472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</t>
        </r>
      </text>
    </comment>
    <comment ref="J615" authorId="0" shapeId="0" xr:uid="{265F1832-2EC3-4CA0-AD05-03395A3FFDD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12/20221 $42,000,000</t>
        </r>
      </text>
    </comment>
    <comment ref="K629" authorId="0" shapeId="0" xr:uid="{7B76EAAA-D8D9-421C-A063-4572F920010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26/21 $75000,000</t>
        </r>
      </text>
    </comment>
    <comment ref="J631" authorId="0" shapeId="0" xr:uid="{459FA862-B425-4CC3-B829-5943BA4912C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</t>
        </r>
      </text>
    </comment>
    <comment ref="K660" authorId="0" shapeId="0" xr:uid="{880E7B5F-DFB6-4931-BE51-3EE363227FC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</t>
        </r>
      </text>
    </comment>
    <comment ref="J662" authorId="0" shapeId="0" xr:uid="{DE123D82-38AE-470A-AEA2-BB3AA1B82D7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eneroo 26/2021 $4,400,000</t>
        </r>
      </text>
    </comment>
    <comment ref="J664" authorId="0" shapeId="0" xr:uid="{F72B115A-079A-4B18-B5B4-42DE4240CD6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26/2021 $88,500,000</t>
        </r>
      </text>
    </comment>
    <comment ref="K666" authorId="0" shapeId="0" xr:uid="{91966A62-51DB-4C65-8F8E-B5094C46017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26/2021 $900,000,00</t>
        </r>
      </text>
    </comment>
    <comment ref="K674" authorId="0" shapeId="0" xr:uid="{C777A566-F038-4F5F-937C-FC89662323B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026enero 26/2021 $17,000,000</t>
        </r>
      </text>
    </comment>
    <comment ref="J685" authorId="0" shapeId="0" xr:uid="{13316919-664A-489C-B04C-22F91BD6F2C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18/2021 $770,000,000
</t>
        </r>
      </text>
    </comment>
    <comment ref="J690" authorId="0" shapeId="0" xr:uid="{1BB86974-A38D-4822-9CC7-280AD0D61FC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18/2021 $24,729,623</t>
        </r>
      </text>
    </comment>
    <comment ref="K695" authorId="0" shapeId="0" xr:uid="{440C3407-101C-47BC-AC9E-BE1AA1B4EF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18/2021 $163,270,377</t>
        </r>
      </text>
    </comment>
    <comment ref="K702" authorId="0" shapeId="0" xr:uid="{D9B5FD8F-F0BD-4AE4-B9F3-27209147CD3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r74,931,884</t>
        </r>
      </text>
    </comment>
    <comment ref="K717" authorId="0" shapeId="0" xr:uid="{3FE22C1F-DF6C-4584-B415-A8D0A5AAE7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FEBR 18/2021 RES 143 $794,729,623</t>
        </r>
      </text>
    </comment>
    <comment ref="K724" authorId="0" shapeId="0" xr:uid="{B61B29AA-2B9E-4BE3-8C2D-3D75CC5F542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18/2021 $221,572,545
</t>
        </r>
      </text>
    </comment>
    <comment ref="K730" authorId="0" shapeId="0" xr:uid="{56724FD0-C8CF-4C82-BD27-9B89AC85FEC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18/2021 $408,029,872,00</t>
        </r>
      </text>
    </comment>
    <comment ref="J811" authorId="0" shapeId="0" xr:uid="{42B82C6D-A721-4E08-A57A-89F7EFBA5B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12/21$2,080,000,000</t>
        </r>
      </text>
    </comment>
    <comment ref="J813" authorId="0" shapeId="0" xr:uid="{DBC09608-C2FB-40C5-A37A-AA6503F9771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12/2021 $2,580,000,000</t>
        </r>
      </text>
    </comment>
    <comment ref="J819" authorId="0" shapeId="0" xr:uid="{BA366A95-A722-4C0A-A0D3-3517795AEEA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12/2021 $140,000,000</t>
        </r>
      </text>
    </comment>
    <comment ref="K834" authorId="0" shapeId="0" xr:uid="{0B997DBF-D16F-46A5-9AFC-4A2688FEF92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12/2021 $10,000,000,000,00</t>
        </r>
      </text>
    </comment>
    <comment ref="K857" authorId="0" shapeId="0" xr:uid="{9FC373FF-407A-4E4F-A614-5C8A23CF507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01/26/2021</t>
        </r>
      </text>
    </comment>
    <comment ref="J861" authorId="0" shapeId="0" xr:uid="{8F81D17A-EA93-4A3A-84C0-21B2D3957E5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18/2021 $204,500,000</t>
        </r>
      </text>
    </comment>
    <comment ref="K861" authorId="0" shapeId="0" xr:uid="{311BF27C-EE74-45E5-B498-0A4D345F54B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</t>
        </r>
      </text>
    </comment>
    <comment ref="J863" authorId="0" shapeId="0" xr:uid="{8AB076ED-B5CE-4E4B-ADEB-46B4FAE50D5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26/2021 $3,086,332,698</t>
        </r>
      </text>
    </comment>
    <comment ref="J865" authorId="0" shapeId="0" xr:uid="{B324DA76-FCB3-45C7-8A94-1F32642C676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26/2021 $501,500,000</t>
        </r>
      </text>
    </comment>
    <comment ref="K865" authorId="0" shapeId="0" xr:uid="{E6561402-C88A-4694-9081-053FD7773AB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18/2021 $204,500,000</t>
        </r>
      </text>
    </comment>
    <comment ref="K867" authorId="0" shapeId="0" xr:uid="{E3094E40-44ED-4D14-808F-FA61ACFA56A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</t>
        </r>
      </text>
    </comment>
    <comment ref="J869" authorId="0" shapeId="0" xr:uid="{098313C5-BD19-4499-A95B-C2B9AD49F0E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26/2021 $221,000,000</t>
        </r>
      </text>
    </comment>
    <comment ref="J960" authorId="0" shapeId="0" xr:uid="{5E983E7D-1D27-47C8-8FF4-FBE89F073D0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026 enero 26/2021 $5,536,570,240</t>
        </r>
      </text>
    </comment>
    <comment ref="K963" authorId="0" shapeId="0" xr:uid="{6C6C8E9E-BA78-40BD-9B33-3AFA643A324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
</t>
        </r>
      </text>
    </comment>
    <comment ref="K983" authorId="0" shapeId="0" xr:uid="{427D1F4E-C4B5-46C2-A472-DF98D1D1094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18/2021 $136,150,000
</t>
        </r>
      </text>
    </comment>
    <comment ref="J998" authorId="0" shapeId="0" xr:uid="{9F08B147-322C-4012-AAED-94D1CE770BB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18/21 $136,150,000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Yolanda Baron Pedraza</author>
  </authors>
  <commentList>
    <comment ref="AG91" authorId="0" shapeId="0" xr:uid="{95616807-295F-4F0D-B65D-874A7CB79E6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</t>
        </r>
      </text>
    </comment>
    <comment ref="AH93" authorId="0" shapeId="0" xr:uid="{C1329007-5FAD-4193-99B4-E1AF91F451B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12/2021 $90,000,000
res 201 marzo 4/2021</t>
        </r>
      </text>
    </comment>
    <comment ref="AH94" authorId="0" shapeId="0" xr:uid="{19D4CCB3-9DDD-4475-9112-A023D9A13F7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12/2021 $490,000,000</t>
        </r>
      </text>
    </comment>
    <comment ref="AH95" authorId="0" shapeId="0" xr:uid="{ED2FA74B-D900-495C-97EB-6723A8DC163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</t>
        </r>
      </text>
    </comment>
    <comment ref="AG96" authorId="0" shapeId="0" xr:uid="{40226447-53F8-48DE-B0AA-F1A659F1D70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069 feb 12/2021 $1,580,000,000
resol 308 marzo 12/2021 $150,000,000
RES 511 MARZO 19/2021 $300,000,000
RES 0201 MARZO 4/2021 $34,200,000</t>
        </r>
      </text>
    </comment>
    <comment ref="AH96" authorId="0" shapeId="0" xr:uid="{BC527348-39F7-4761-A356-A1525F99F04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12/2021 $1,000,000,000
resol 308 marzo 12/2021 $450,000,000
resol 511 marzo 19/2021
res 201 4 marzo 2021</t>
        </r>
      </text>
    </comment>
    <comment ref="AG143" authorId="0" shapeId="0" xr:uid="{4A12DBFA-042F-45AC-8188-03C9375202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</t>
        </r>
      </text>
    </comment>
    <comment ref="AG148" authorId="0" shapeId="0" xr:uid="{958A9F17-8D70-48F2-9AED-A5DCD1046C7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209" authorId="0" shapeId="0" xr:uid="{56D431E8-66BB-40B1-BC88-0CD6CB49AB5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12/2021 $200,000,000</t>
        </r>
      </text>
    </comment>
    <comment ref="AG280" authorId="0" shapeId="0" xr:uid="{AD9621AC-F581-44D1-B357-C7C0E546324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19/2021 $36,194,360</t>
        </r>
      </text>
    </comment>
    <comment ref="AH280" authorId="0" shapeId="0" xr:uid="{C124C079-7639-4F5E-95CB-FB0323EFF6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19/2021 $316,940,531,70</t>
        </r>
      </text>
    </comment>
    <comment ref="AG287" authorId="0" shapeId="0" xr:uid="{49474DFD-5F5A-4672-8BC0-16E0321BB62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G380" authorId="0" shapeId="0" xr:uid="{89E66ED7-C926-4697-8F07-BAF3EF1A9A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12/2021 $2,000,000,000</t>
        </r>
      </text>
    </comment>
    <comment ref="AG414" authorId="0" shapeId="0" xr:uid="{DBEFF7F6-5266-4189-92CD-631487080CE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19/2021 $27,102,938</t>
        </r>
      </text>
    </comment>
    <comment ref="AG422" authorId="0" shapeId="0" xr:uid="{CB2B7D02-F23F-44F4-B2B3-E133BAAED56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511 MARZO 19/2021</t>
        </r>
      </text>
    </comment>
    <comment ref="AH429" authorId="0" shapeId="0" xr:uid="{1A1757C0-0736-44FC-8DA5-D55156B8959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19/2021 $155,990,000</t>
        </r>
      </text>
    </comment>
    <comment ref="AE435" authorId="0" shapeId="0" xr:uid="{B359BC62-0EE9-4057-B71C-3A5BF204E0B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033 MARZO 1/2021</t>
        </r>
      </text>
    </comment>
    <comment ref="AH438" authorId="0" shapeId="0" xr:uid="{296D7126-25D1-4198-AFA1-AE3A7992042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19/2021 $23,257,108</t>
        </r>
      </text>
    </comment>
    <comment ref="AG444" authorId="0" shapeId="0" xr:uid="{D5A9F75E-C700-42EC-B693-88B598E0954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H444" authorId="0" shapeId="0" xr:uid="{DA19B17C-7236-4679-8CFC-EF70212CBC6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19/2021 $3,845,830</t>
        </r>
      </text>
    </comment>
    <comment ref="AH445" authorId="0" shapeId="0" xr:uid="{8FD2960F-8900-49EF-AB8A-61118114AAE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H456" authorId="0" shapeId="0" xr:uid="{8E1A20E8-E214-49F3-9A76-A54F37DF1DE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520 DEL 26 DE MARZO 2021 $1,5000,000,00</t>
        </r>
      </text>
    </comment>
    <comment ref="AG460" authorId="0" shapeId="0" xr:uid="{F2389A44-7D8F-4B4C-826D-5EA932E0D87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0520 DEL 26 MARZO 2021 $1,500,000,000</t>
        </r>
      </text>
    </comment>
    <comment ref="AG481" authorId="0" shapeId="0" xr:uid="{E7F65E40-F3B6-4C91-B042-7BFED1BE4A8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E483" authorId="0" shapeId="0" xr:uid="{4C30DFFC-DA98-4AC1-AA8B-73025251A36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</t>
        </r>
      </text>
    </comment>
    <comment ref="AH483" authorId="0" shapeId="0" xr:uid="{3B814DF6-60B6-45AE-914C-48F05C0DBDA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485" authorId="0" shapeId="0" xr:uid="{174C0EFB-326E-46DC-A4A3-595645BC3AF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26 enero 26/21 $24,165,016
</t>
        </r>
      </text>
    </comment>
    <comment ref="AH487" authorId="0" shapeId="0" xr:uid="{0A6E715C-3932-445F-A154-1299B15F9EC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H489" authorId="0" shapeId="0" xr:uid="{AC2EE8A0-59C9-49D7-9B73-8FFC0E7EBEB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 del 26/01/2021 $9,296,364,215
resolu 027/ enero 27/2021 $1,362,635,323</t>
        </r>
      </text>
    </comment>
    <comment ref="AG491" authorId="0" shapeId="0" xr:uid="{28A0AB8E-269B-4BDA-B2D6-B84E1B3ECBC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19/2021$15,401,381</t>
        </r>
      </text>
    </comment>
    <comment ref="AG492" authorId="0" shapeId="0" xr:uid="{B2A7241A-2DB2-4CAF-B993-4C7BF2A32F9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26/2021 $20,296,364,215
</t>
        </r>
      </text>
    </comment>
    <comment ref="AG497" authorId="0" shapeId="0" xr:uid="{45D01C26-D357-445D-A5B9-CCB75C8D592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27/2021 $1,555,449,996
</t>
        </r>
      </text>
    </comment>
    <comment ref="AG499" authorId="0" shapeId="0" xr:uid="{2C5E030C-52D9-4686-A3EB-9E4025ACB62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26/2021 $95,000,000</t>
        </r>
      </text>
    </comment>
    <comment ref="AG501" authorId="0" shapeId="0" xr:uid="{037A8645-2E63-47E8-85BB-E955141478C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27/2021 $1,331,864,802</t>
        </r>
      </text>
    </comment>
    <comment ref="AG503" authorId="0" shapeId="0" xr:uid="{3E847A6A-7FE1-4D66-9D55-B6FE12C30F7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G505" authorId="0" shapeId="0" xr:uid="{80B6C7B1-F79B-4594-BF74-D26DB56A6FF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19/2021 $610,000,000</t>
        </r>
      </text>
    </comment>
    <comment ref="AH509" authorId="0" shapeId="0" xr:uid="{5F9FC783-D2DC-40E8-934B-A5E16D5A973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26/2021 $11,000,000,000
reso 27 enero 27/2021 $5,500,000,000</t>
        </r>
      </text>
    </comment>
    <comment ref="AG511" authorId="0" shapeId="0" xr:uid="{A7ED7AA9-EFF5-41C8-9CAD-D6BF0A1B68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26/2021 $22,204,778</t>
        </r>
      </text>
    </comment>
    <comment ref="AG513" authorId="0" shapeId="0" xr:uid="{AFA1D74F-5875-40D1-913B-BA13F59CFF4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27/2021 $3,975,320,525
</t>
        </r>
      </text>
    </comment>
    <comment ref="AE519" authorId="0" shapeId="0" xr:uid="{2036A347-7C14-4C60-A884-9B81BE726B6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</t>
        </r>
      </text>
    </comment>
    <comment ref="AG521" authorId="0" shapeId="0" xr:uid="{9059C38F-9B7B-478A-AC36-0765B091DA8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26/2021 $60,325,921,15</t>
        </r>
      </text>
    </comment>
    <comment ref="AH526" authorId="0" shapeId="0" xr:uid="{5A6B222E-794F-4BB2-A573-1D943CA562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18/2021 $265,538,240</t>
        </r>
      </text>
    </comment>
    <comment ref="AG533" authorId="0" shapeId="0" xr:uid="{58F05511-B015-4ACE-8AE7-ECD6026F2F5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27 enero 27/2021 $503,000,000,00</t>
        </r>
      </text>
    </comment>
    <comment ref="AG536" authorId="0" shapeId="0" xr:uid="{4B7343BE-C6CA-4177-AE08-F6A928E0740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</t>
        </r>
      </text>
    </comment>
    <comment ref="AG538" authorId="0" shapeId="0" xr:uid="{7D1C19F1-0F12-4B83-B173-8C04C0C8B10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12/2021 $1,556,000,000,00</t>
        </r>
      </text>
    </comment>
    <comment ref="AG540" authorId="0" shapeId="0" xr:uid="{15CE83A7-087A-4207-BABE-50E7F8F80B2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26/2021 $91,680,424
RESOL 511 MARZO 19/2021</t>
        </r>
      </text>
    </comment>
    <comment ref="AH542" authorId="0" shapeId="0" xr:uid="{AFF88A46-3C39-483C-B657-FA4C7A0DABC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26/2021 $329,895,811,15
resol 027 enero 27/21 $2,003,000,000
resol 511 marzo 19/2021 $800,401,381</t>
        </r>
      </text>
    </comment>
    <comment ref="AG544" authorId="0" shapeId="0" xr:uid="{08E10C4B-AD43-4D4E-BFA0-DDAEC8D22E3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26/2021 $36,519,672</t>
        </r>
      </text>
    </comment>
    <comment ref="AG546" authorId="0" shapeId="0" xr:uid="{60D26DEC-A7EC-4E2F-9B45-E5BED3D246F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18/2021 $265,538,240</t>
        </r>
      </text>
    </comment>
    <comment ref="AG549" authorId="0" shapeId="0" xr:uid="{8E7FB7C9-8B4A-4517-84A6-63599CDBCD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27/2021 $1,500,000,000</t>
        </r>
      </text>
    </comment>
    <comment ref="AH555" authorId="0" shapeId="0" xr:uid="{69B2270B-A581-44CF-81FD-62C6D7019E4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18/2021 $4,680,084,481,80
resol 511 marzo 19/2021 $76,000,000</t>
        </r>
      </text>
    </comment>
    <comment ref="AG557" authorId="0" shapeId="0" xr:uid="{B58B1731-AB7F-4D6A-882E-4D6EA95EF6A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18/2021 $4,680,084,481,80</t>
        </r>
      </text>
    </comment>
    <comment ref="AG560" authorId="0" shapeId="0" xr:uid="{898F3304-AF13-49D6-826F-C40AF87AD81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
</t>
        </r>
      </text>
    </comment>
    <comment ref="AG592" authorId="0" shapeId="0" xr:uid="{876A443D-8C3D-4DF3-AD6A-D9DD92003FA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12/2021 $250,000,000</t>
        </r>
      </text>
    </comment>
    <comment ref="AG598" authorId="0" shapeId="0" xr:uid="{79A945C2-E9F9-4243-87C6-B07D3B545B7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</t>
        </r>
      </text>
    </comment>
    <comment ref="AG614" authorId="0" shapeId="0" xr:uid="{0998C076-0A79-418B-B7D3-8B127A30FA7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12/2021 $932,000,000</t>
        </r>
      </text>
    </comment>
    <comment ref="AG624" authorId="0" shapeId="0" xr:uid="{D1373BA1-23F8-4474-8D94-72ACB7E6573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12/2021 $20,000,000</t>
        </r>
      </text>
    </comment>
    <comment ref="AG627" authorId="0" shapeId="0" xr:uid="{0D29A741-9960-433F-A460-72758AD50F5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</t>
        </r>
      </text>
    </comment>
    <comment ref="AG636" authorId="0" shapeId="0" xr:uid="{B77A574C-9B1A-4EAA-89F4-3443EC2EF82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12/20221 $42,000,000</t>
        </r>
      </text>
    </comment>
    <comment ref="AH650" authorId="0" shapeId="0" xr:uid="{CCA491D4-ECE6-4687-9907-04DEC7AB65E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26/21 $75000,000</t>
        </r>
      </text>
    </comment>
    <comment ref="AG652" authorId="0" shapeId="0" xr:uid="{C4965738-511D-4DD4-8E0A-B96622876D0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</t>
        </r>
      </text>
    </comment>
    <comment ref="AH681" authorId="0" shapeId="0" xr:uid="{F35BBF21-10F0-43B0-82A5-7D615896EC6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</t>
        </r>
      </text>
    </comment>
    <comment ref="AG683" authorId="0" shapeId="0" xr:uid="{47853234-E516-4531-8313-06D6D58B272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eneroo 26/2021 $4,400,000</t>
        </r>
      </text>
    </comment>
    <comment ref="AG685" authorId="0" shapeId="0" xr:uid="{D485EF2A-20FD-4C0D-AD1C-D6859542544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26/2021 $88,500,000</t>
        </r>
      </text>
    </comment>
    <comment ref="AG687" authorId="0" shapeId="0" xr:uid="{6A25D799-E262-43C3-9F12-2C227ED05A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</t>
        </r>
      </text>
    </comment>
    <comment ref="AH687" authorId="0" shapeId="0" xr:uid="{B935E292-89DD-4A96-BD76-350F1E0358F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26/2021 $900,000,00</t>
        </r>
      </text>
    </comment>
    <comment ref="AH695" authorId="0" shapeId="0" xr:uid="{227CA6DD-15A4-459E-812A-C17BBAD8973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026enero 26/2021 $17,000,000</t>
        </r>
      </text>
    </comment>
    <comment ref="AG706" authorId="0" shapeId="0" xr:uid="{47693BBA-7215-44D6-A662-1C1AA36F4F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18/2021 $770,000,000
</t>
        </r>
      </text>
    </comment>
    <comment ref="AG711" authorId="0" shapeId="0" xr:uid="{A6401D12-F987-4965-A9B5-98D772351E9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18/2021 $24,729,623</t>
        </r>
      </text>
    </comment>
    <comment ref="AH716" authorId="0" shapeId="0" xr:uid="{C966B00C-98E5-43DB-8B96-9090F119B30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18/2021 $163,270,377</t>
        </r>
      </text>
    </comment>
    <comment ref="AH723" authorId="0" shapeId="0" xr:uid="{9D867861-5999-4A75-9AC0-6FA7B566839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r74,931,884</t>
        </r>
      </text>
    </comment>
    <comment ref="AH738" authorId="0" shapeId="0" xr:uid="{F0708D28-3988-4782-8DFD-34FCBBA260C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FEBR 18/2021 RES 143 $794,729,623</t>
        </r>
      </text>
    </comment>
    <comment ref="AH745" authorId="0" shapeId="0" xr:uid="{18B99FEA-A343-478B-A4B4-D180A4F69DA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18/2021 $221,572,545
</t>
        </r>
      </text>
    </comment>
    <comment ref="AH751" authorId="0" shapeId="0" xr:uid="{B012FD7C-7A77-4368-89AE-941B13676D3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18/2021 $408,029,872,00</t>
        </r>
      </text>
    </comment>
    <comment ref="AG832" authorId="0" shapeId="0" xr:uid="{D74904CC-6991-4A6A-91B3-7EBFAD95949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12/21$2,080,000,000</t>
        </r>
      </text>
    </comment>
    <comment ref="AH832" authorId="0" shapeId="0" xr:uid="{2EC4F440-5D15-465F-979E-D414AE1C803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4/2021 $1,800,000,000,00</t>
        </r>
      </text>
    </comment>
    <comment ref="AG834" authorId="0" shapeId="0" xr:uid="{5E11B1C5-42F1-4470-AD4B-AA79097D482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12/2021 $2,580,000,000</t>
        </r>
      </text>
    </comment>
    <comment ref="AH834" authorId="0" shapeId="0" xr:uid="{F2CE0425-55D1-42FD-B6E2-7C78BAC5AF9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836" authorId="0" shapeId="0" xr:uid="{2D6C5EEE-7A9A-4B37-86E9-782554ADFEC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</t>
        </r>
      </text>
    </comment>
    <comment ref="AG840" authorId="0" shapeId="0" xr:uid="{9EB0DD78-FE28-4A59-91C2-F4EE53A4621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844" authorId="0" shapeId="0" xr:uid="{6F045B5B-05E4-40D7-8226-72B9D9F1F9C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12/2021 $140,000,000</t>
        </r>
      </text>
    </comment>
    <comment ref="AH859" authorId="0" shapeId="0" xr:uid="{9ECFB8B8-871C-4F29-BE51-96D8F55ED07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12/2021 $10,000,000,000,00
resol 308 marzo 12/2021 $500,000,000</t>
        </r>
      </text>
    </comment>
    <comment ref="AH882" authorId="0" shapeId="0" xr:uid="{E224A920-4635-43B0-8985-BCB8C71324C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01/26/2021</t>
        </r>
      </text>
    </comment>
    <comment ref="AG886" authorId="0" shapeId="0" xr:uid="{66B4CC37-FD9A-4F11-AB0B-D6B293273C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18/2021 $204,500,000</t>
        </r>
      </text>
    </comment>
    <comment ref="AH886" authorId="0" shapeId="0" xr:uid="{5A377A94-1E15-4B01-8395-7B3E5989A10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</t>
        </r>
      </text>
    </comment>
    <comment ref="AG888" authorId="0" shapeId="0" xr:uid="{0738FF32-7B09-446D-8349-1FCFDBB29A6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26/2021 $3,086,332,698</t>
        </r>
      </text>
    </comment>
    <comment ref="AG890" authorId="0" shapeId="0" xr:uid="{07D125EC-8583-475E-ADFC-6864B3C4579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26/2021 $501,500,000</t>
        </r>
      </text>
    </comment>
    <comment ref="AH890" authorId="0" shapeId="0" xr:uid="{3E3240E0-147B-418B-9432-E456F487F8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18/2021 $204,500,000</t>
        </r>
      </text>
    </comment>
    <comment ref="AH892" authorId="0" shapeId="0" xr:uid="{DCD2999A-043F-48DF-957E-B9B7103F858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</t>
        </r>
      </text>
    </comment>
    <comment ref="AG894" authorId="0" shapeId="0" xr:uid="{116EBE9F-8801-40A0-8D09-B69A707AF30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26/2021 $221,000,000</t>
        </r>
      </text>
    </comment>
    <comment ref="AG985" authorId="0" shapeId="0" xr:uid="{7EBE80FD-2F86-426E-9DD0-0656F9A5AFE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026 enero 26/2021 $5,536,570,240</t>
        </r>
      </text>
    </comment>
    <comment ref="AH988" authorId="0" shapeId="0" xr:uid="{33B9A9B1-D874-431A-93EA-7DCB03C09DC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
</t>
        </r>
      </text>
    </comment>
    <comment ref="AH1008" authorId="0" shapeId="0" xr:uid="{D361B063-44EB-41BA-9024-5847731FC2E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18/2021 $136,150,000
</t>
        </r>
      </text>
    </comment>
    <comment ref="AG1023" authorId="0" shapeId="0" xr:uid="{7AD7DFAA-DF30-493D-9FE6-3C415DB91B6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18/21 $136,150,000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Yolanda Baron Pedraza</author>
  </authors>
  <commentList>
    <comment ref="AG91" authorId="0" shapeId="0" xr:uid="{296350FE-F4F1-48F6-8E34-3E9B89F68D4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</t>
        </r>
      </text>
    </comment>
    <comment ref="AH93" authorId="0" shapeId="0" xr:uid="{DBB7B565-628F-4E4D-84D7-45DA69F45A3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12/2021 $90,000,000
res 201 marzo 4/2021</t>
        </r>
      </text>
    </comment>
    <comment ref="AG94" authorId="0" shapeId="0" xr:uid="{145F2E2D-EBF5-4EE8-9280-46506F7A715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14/04/2021 $200,000,000</t>
        </r>
      </text>
    </comment>
    <comment ref="AH94" authorId="0" shapeId="0" xr:uid="{193D3522-4E8B-42F3-9A76-561919269C6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12/2021 $490,000,000</t>
        </r>
      </text>
    </comment>
    <comment ref="AH95" authorId="0" shapeId="0" xr:uid="{ADD38352-2E8D-4D0E-AF44-F91EBC280B0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</t>
        </r>
      </text>
    </comment>
    <comment ref="AG96" authorId="0" shapeId="0" xr:uid="{5C29D922-FDC7-4436-94FE-4A5D29A3056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069 feb 12/2021 $1,580,000,000
resol 308 marzo 12/2021 $150,000,000
RES 511 MARZO 19/2021 $300,000,000
RES 0201 MARZO 4/2021 $34,200,000</t>
        </r>
      </text>
    </comment>
    <comment ref="AH96" authorId="0" shapeId="0" xr:uid="{C57EF827-A731-467A-B0C3-C9914C59EAF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12/2021 $1,000,000,000
resol 308 marzo 12/2021 $450,000,000
resol 511 marzo 19/2021
res 201 4 marzo 2021</t>
        </r>
      </text>
    </comment>
    <comment ref="AG114" authorId="0" shapeId="0" xr:uid="{5E8E998F-3605-4590-87E1-7E3DA9100E5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14/04/2021 $700000,000,00</t>
        </r>
      </text>
    </comment>
    <comment ref="AH125" authorId="0" shapeId="0" xr:uid="{FAF673EA-9EBD-4712-8965-06790AA82FE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15 abril/2021 $900,000,000</t>
        </r>
      </text>
    </comment>
    <comment ref="AG144" authorId="0" shapeId="0" xr:uid="{68C60C6F-437D-4BE1-93F1-B3F3147E052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</t>
        </r>
      </text>
    </comment>
    <comment ref="AG149" authorId="0" shapeId="0" xr:uid="{E60663DC-68C1-42DE-9E27-287AF659AB5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202" authorId="0" shapeId="0" xr:uid="{8E39375E-B05E-4851-A18C-AC681D2DBE3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814 abril 30/2021</t>
        </r>
      </text>
    </comment>
    <comment ref="AG210" authorId="0" shapeId="0" xr:uid="{C4C3CCB0-077A-4F19-AF36-0F753804CCE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12/2021 $200,000,000</t>
        </r>
      </text>
    </comment>
    <comment ref="AH210" authorId="0" shapeId="0" xr:uid="{85087A4D-5709-49D5-990A-02D8A6D4032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814 30 abril 2021 $200,000,000</t>
        </r>
      </text>
    </comment>
    <comment ref="AG281" authorId="0" shapeId="0" xr:uid="{0815BDBA-B6B9-46CF-A5DA-CC7A7F25FB1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19/2021 $36,194,360</t>
        </r>
      </text>
    </comment>
    <comment ref="AH281" authorId="0" shapeId="0" xr:uid="{45CF16E5-EFFD-47F4-9595-6827C6FFA24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19/2021 $316,940,531,70</t>
        </r>
      </text>
    </comment>
    <comment ref="AG288" authorId="0" shapeId="0" xr:uid="{49DED348-8D32-4510-83FF-35FD716F26B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G381" authorId="0" shapeId="0" xr:uid="{89CF455A-C93B-4D3F-B300-BF4416C210A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12/2021 $2,000,000,000</t>
        </r>
      </text>
    </comment>
    <comment ref="AG415" authorId="0" shapeId="0" xr:uid="{CB06F3E3-96A2-4398-80D2-A44C0F16AD5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19/2021 $27,102,938</t>
        </r>
      </text>
    </comment>
    <comment ref="AG419" authorId="0" shapeId="0" xr:uid="{6D9A97BF-1F11-462C-8907-91A661977DF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22 ABRIL 2021 $417,383651,71</t>
        </r>
      </text>
    </comment>
    <comment ref="AG424" authorId="0" shapeId="0" xr:uid="{431D9C01-2BDE-44E3-A460-46A709C93CE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511 MARZO 19/2021</t>
        </r>
      </text>
    </comment>
    <comment ref="AH431" authorId="0" shapeId="0" xr:uid="{0BBDEE3C-FFAA-4B51-AC1C-353804A6884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19/2021 $155,990,000</t>
        </r>
      </text>
    </comment>
    <comment ref="AG433" authorId="0" shapeId="0" xr:uid="{E46A0BC5-FAA7-491D-A3B4-278F4D66770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22/2021 $1227,570,664,14</t>
        </r>
      </text>
    </comment>
    <comment ref="AE439" authorId="0" shapeId="0" xr:uid="{51FD8B03-A27D-4A29-8E8B-78D13DD5916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033 MARZO 1/2021</t>
        </r>
      </text>
    </comment>
    <comment ref="AH439" authorId="0" shapeId="0" xr:uid="{BE3D6EFF-CEDB-47CE-843E-04D679EE03D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22/2021 $1,644,954,15,85</t>
        </r>
      </text>
    </comment>
    <comment ref="AH442" authorId="0" shapeId="0" xr:uid="{32ED00BB-3732-4903-9D5C-D4C74F3C123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19/2021 $23,257,108</t>
        </r>
      </text>
    </comment>
    <comment ref="AG448" authorId="0" shapeId="0" xr:uid="{0C2AE978-D774-413E-8DB8-CCEE89AC072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H448" authorId="0" shapeId="0" xr:uid="{FD10F364-9EB5-47D8-8DAE-705D0C72BE9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19/2021 $3,845,830</t>
        </r>
      </text>
    </comment>
    <comment ref="AH449" authorId="0" shapeId="0" xr:uid="{9C76E901-8591-46C2-B66A-CA769712517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H461" authorId="0" shapeId="0" xr:uid="{6F1E9326-EFF5-4923-9E12-730266E6C27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520 DEL 26 DE MARZO 2021 $1,5000,000,00</t>
        </r>
      </text>
    </comment>
    <comment ref="AG465" authorId="0" shapeId="0" xr:uid="{F5A1AF4E-2A21-4CE6-A8E8-3D3B8201B8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0520 DEL 26 MARZO 2021 $1,500,000,000</t>
        </r>
      </text>
    </comment>
    <comment ref="AG486" authorId="0" shapeId="0" xr:uid="{5011F52F-ED52-47FA-BC64-D41519F04B5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E488" authorId="0" shapeId="0" xr:uid="{53CECCD1-415F-4604-AA02-EC81B13D75D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</t>
        </r>
      </text>
    </comment>
    <comment ref="AH488" authorId="0" shapeId="0" xr:uid="{5D9C7C11-105A-4AE7-8DBD-AF788C91ACC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490" authorId="0" shapeId="0" xr:uid="{23B7A83C-3346-4D2A-977D-88E191A3D6A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26 enero 26/21 $24,165,016
</t>
        </r>
      </text>
    </comment>
    <comment ref="AH492" authorId="0" shapeId="0" xr:uid="{DA6EA102-A909-4C71-AFF5-4CAFF9C2687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H494" authorId="0" shapeId="0" xr:uid="{BCB04802-2DA0-4573-A5AD-734E07F93A3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 del 26/01/2021 $9,296,364,215
resolu 027/ enero 27/2021 $1,362,635,323</t>
        </r>
      </text>
    </comment>
    <comment ref="AG496" authorId="0" shapeId="0" xr:uid="{0EE276D6-65CA-4BF0-AAA6-E2C1ECD02E9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19/2021$15,401,381</t>
        </r>
      </text>
    </comment>
    <comment ref="AG497" authorId="0" shapeId="0" xr:uid="{A69E893D-2A7F-4597-B0A2-BC0C5515A16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26/2021 $20,296,364,215
</t>
        </r>
      </text>
    </comment>
    <comment ref="AG502" authorId="0" shapeId="0" xr:uid="{FE545F0C-C60C-496D-BA05-82F74B6EB9F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27/2021 $1,555,449,996
</t>
        </r>
      </text>
    </comment>
    <comment ref="AG504" authorId="0" shapeId="0" xr:uid="{90CFC191-9516-40F1-B59C-C078F2A9646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26/2021 $95,000,000</t>
        </r>
      </text>
    </comment>
    <comment ref="AG506" authorId="0" shapeId="0" xr:uid="{6A789192-ED40-48CE-B6DD-46A52C78A0C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27/2021 $1,331,864,802</t>
        </r>
      </text>
    </comment>
    <comment ref="AG508" authorId="0" shapeId="0" xr:uid="{DB589676-F446-4137-B059-FEB7C9859A3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G510" authorId="0" shapeId="0" xr:uid="{47F7AE1E-84ED-4552-A2B1-9A7EB4C6B11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19/2021 $610,000,000</t>
        </r>
      </text>
    </comment>
    <comment ref="AH514" authorId="0" shapeId="0" xr:uid="{3482399D-76FA-4B02-81A6-6020266741D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26/2021 $11,000,000,000
reso 27 enero 27/2021 $5,500,000,000</t>
        </r>
      </text>
    </comment>
    <comment ref="AG516" authorId="0" shapeId="0" xr:uid="{FE9C7FD5-EBE8-4DFA-B99C-347E22D6F3C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26/2021 $22,204,778</t>
        </r>
      </text>
    </comment>
    <comment ref="AG518" authorId="0" shapeId="0" xr:uid="{86D38E9A-C121-4F92-9E1B-EFDFF9DAC6A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27/2021 $3,975,320,525
</t>
        </r>
      </text>
    </comment>
    <comment ref="AE524" authorId="0" shapeId="0" xr:uid="{A5582F0D-0E98-4E84-9A5B-C51CD7BB25E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</t>
        </r>
      </text>
    </comment>
    <comment ref="AG526" authorId="0" shapeId="0" xr:uid="{369C8430-37E6-4787-A82C-3294CED115F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26/2021 $60,325,921,15</t>
        </r>
      </text>
    </comment>
    <comment ref="AH531" authorId="0" shapeId="0" xr:uid="{620B559C-9A0C-4076-8512-E886D280746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18/2021 $265,538,240
reso 773 abril 22/2021 $219,103,236,80</t>
        </r>
      </text>
    </comment>
    <comment ref="AG538" authorId="0" shapeId="0" xr:uid="{8A58FAA2-5ABB-42D1-BDEF-B35F34FB583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27 enero 27/2021 $503,000,000,00</t>
        </r>
      </text>
    </comment>
    <comment ref="AG541" authorId="0" shapeId="0" xr:uid="{5A0DA14D-BFF5-4897-A355-0C1A8DEF4F9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</t>
        </r>
      </text>
    </comment>
    <comment ref="AG543" authorId="0" shapeId="0" xr:uid="{8542805B-FC05-4661-9E9D-21B63B77A50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12/2021 $1,556,000,000,00</t>
        </r>
      </text>
    </comment>
    <comment ref="AG545" authorId="0" shapeId="0" xr:uid="{03650567-10FC-423D-AC17-BDF44499A6E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26/2021 $91,680,424
RESOL 511 MARZO 19/2021</t>
        </r>
      </text>
    </comment>
    <comment ref="AH547" authorId="0" shapeId="0" xr:uid="{39A8A532-F76A-4391-8D47-A91E0A0A641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26/2021 $329,895,811,15
resol 027 enero 27/21 $2,003,000,000
resol 511 marzo 19/2021 $800,401,381</t>
        </r>
      </text>
    </comment>
    <comment ref="AG549" authorId="0" shapeId="0" xr:uid="{DB08D5CB-A0C5-4C91-8FC4-F2E5525FE37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26/2021 $36,519,672</t>
        </r>
      </text>
    </comment>
    <comment ref="AG551" authorId="0" shapeId="0" xr:uid="{CB6C6D1A-25B2-427D-B5D3-5FDC9AA4240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18/2021 $265,538,240</t>
        </r>
      </text>
    </comment>
    <comment ref="AG554" authorId="0" shapeId="0" xr:uid="{D7F76313-CC8B-4644-B9B4-857C3B5973F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27/2021 $1,500,000,000</t>
        </r>
      </text>
    </comment>
    <comment ref="AH560" authorId="0" shapeId="0" xr:uid="{26ED946A-1E1D-4F59-8A76-325B2D1B43A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18/2021 $4,680,084,481,80
resol 511 marzo 19/2021 $76,000,000
res 773 abril 22/2021 $907,367,029,20</t>
        </r>
      </text>
    </comment>
    <comment ref="AG562" authorId="0" shapeId="0" xr:uid="{CBBD73E8-4B44-4228-A736-F513873144A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18/2021 $4,680,084,481,80
RES 773 ABRIL 22/2021 $1,126,470,266
</t>
        </r>
      </text>
    </comment>
    <comment ref="AG565" authorId="0" shapeId="0" xr:uid="{BC27469B-A92B-46E9-8889-C0794B0A480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
</t>
        </r>
      </text>
    </comment>
    <comment ref="AG597" authorId="0" shapeId="0" xr:uid="{1F9D5F95-E285-4E4C-A653-AE285ECFF96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12/2021 $250,000,000</t>
        </r>
      </text>
    </comment>
    <comment ref="AG603" authorId="0" shapeId="0" xr:uid="{EF1EC513-3796-48E9-9FEA-6E5727BE4C7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</t>
        </r>
      </text>
    </comment>
    <comment ref="AG619" authorId="0" shapeId="0" xr:uid="{A8C2768D-C4EC-49B8-902E-384A5B80B0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12/2021 $932,000,000</t>
        </r>
      </text>
    </comment>
    <comment ref="AG629" authorId="0" shapeId="0" xr:uid="{83964488-DD96-4DB0-961D-1E00F7F9194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12/2021 $20,000,000</t>
        </r>
      </text>
    </comment>
    <comment ref="AG632" authorId="0" shapeId="0" xr:uid="{5D523A96-D58A-4420-86B1-4ABC87F2234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</t>
        </r>
      </text>
    </comment>
    <comment ref="AG641" authorId="0" shapeId="0" xr:uid="{873105A6-184F-4AA4-AF55-E529C8F60BC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12/20221 $42,000,000</t>
        </r>
      </text>
    </comment>
    <comment ref="AH655" authorId="0" shapeId="0" xr:uid="{14336638-DCF2-4E01-9848-C1311A118BB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26/21 $75000,000</t>
        </r>
      </text>
    </comment>
    <comment ref="AG657" authorId="0" shapeId="0" xr:uid="{AA275BAF-4F10-4C8A-BBA3-4584852D5A2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
RES 773 ABRIL 22/21 $46,856,431,56</t>
        </r>
      </text>
    </comment>
    <comment ref="AG676" authorId="0" shapeId="0" xr:uid="{06F7ED75-41BF-4711-9900-8A8A3F47B2A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22/2021 $118,300,000</t>
        </r>
      </text>
    </comment>
    <comment ref="AG678" authorId="0" shapeId="0" xr:uid="{2D890AE9-F1A5-4745-818B-24B481A4AC2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 773 ABRIL 22/2021 $140,000,000</t>
        </r>
      </text>
    </comment>
    <comment ref="AH686" authorId="0" shapeId="0" xr:uid="{34AEB510-819E-4087-A940-DDA2D0F6858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
res 773 abril 22/21 $46,856,431,56</t>
        </r>
      </text>
    </comment>
    <comment ref="AG688" authorId="0" shapeId="0" xr:uid="{0908BA35-2E56-47D9-8E05-1C62E998F8D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eneroo 26/2021 $4,400,000</t>
        </r>
      </text>
    </comment>
    <comment ref="AG690" authorId="0" shapeId="0" xr:uid="{3BC3B5E3-9E9A-4044-9629-5ADE0AE5A16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26/2021 $88,500,000</t>
        </r>
      </text>
    </comment>
    <comment ref="AH690" authorId="0" shapeId="0" xr:uid="{C8F29249-5EC2-4C4F-8295-47E4713AFF9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22/2021 $20,700,000</t>
        </r>
      </text>
    </comment>
    <comment ref="AG692" authorId="0" shapeId="0" xr:uid="{265AE55B-2817-48CB-A966-94D8A7902EC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</t>
        </r>
      </text>
    </comment>
    <comment ref="AH692" authorId="0" shapeId="0" xr:uid="{EE4E5E56-745A-47AB-9DE9-4DC76DF5616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26/2021 $900,000,00
res 773 abril 22/2021 $258,300,000</t>
        </r>
      </text>
    </comment>
    <comment ref="AG700" authorId="0" shapeId="0" xr:uid="{E8486DBE-4B05-4D59-8C5B-B9797A2C41C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22/2021 $20,700,000</t>
        </r>
      </text>
    </comment>
    <comment ref="AH700" authorId="0" shapeId="0" xr:uid="{F8C9404E-24C8-4B6F-9121-EE37441FC2B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026enero 26/2021 $17,000,000</t>
        </r>
      </text>
    </comment>
    <comment ref="AG711" authorId="0" shapeId="0" xr:uid="{B81781C7-0B20-4243-BF74-100CFB737B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18/2021 $770,000,000
</t>
        </r>
      </text>
    </comment>
    <comment ref="AG716" authorId="0" shapeId="0" xr:uid="{F61CD923-BFF9-47C3-B850-74AC335B69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18/2021 $24,729,623</t>
        </r>
      </text>
    </comment>
    <comment ref="AH721" authorId="0" shapeId="0" xr:uid="{62C5777B-7198-4EFB-BDF3-4EE78FDBF3C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18/2021 $163,270,377</t>
        </r>
      </text>
    </comment>
    <comment ref="AG728" authorId="0" shapeId="0" xr:uid="{4CB871BF-1A0B-44CA-86D1-9098FFE1D35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22/2021 $222,721,043</t>
        </r>
      </text>
    </comment>
    <comment ref="AH728" authorId="0" shapeId="0" xr:uid="{AE4FA5FE-5204-4EF2-9D67-E93A87CC443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r74,931,884</t>
        </r>
      </text>
    </comment>
    <comment ref="AH743" authorId="0" shapeId="0" xr:uid="{58EA752D-B96F-4ECE-A59D-4AE07E49476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FEBR 18/2021 RES 143 $794,729,623</t>
        </r>
      </text>
    </comment>
    <comment ref="AH750" authorId="0" shapeId="0" xr:uid="{A6D6570C-2C68-42A7-A8FC-66ECA8E29B1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18/2021 $221,572,545
res 773 abril 22 de 2021 $222,721,043</t>
        </r>
      </text>
    </comment>
    <comment ref="AH756" authorId="0" shapeId="0" xr:uid="{91DFA2FB-3CF6-45C3-9CEF-A2B0BB3269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18/2021 $408,029,872,00</t>
        </r>
      </text>
    </comment>
    <comment ref="AG837" authorId="0" shapeId="0" xr:uid="{86C33C7E-61C0-4265-BAD3-7EF733CB121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12/21$2,080,000,000</t>
        </r>
      </text>
    </comment>
    <comment ref="AH837" authorId="0" shapeId="0" xr:uid="{F9239D34-4EED-4358-A0D2-937B5C3F342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4/2021 $1,800,000,000,00</t>
        </r>
      </text>
    </comment>
    <comment ref="AG839" authorId="0" shapeId="0" xr:uid="{ABA6A6C2-7C17-4A32-843C-19759B7E4B0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12/2021 $2,580,000,000</t>
        </r>
      </text>
    </comment>
    <comment ref="AH839" authorId="0" shapeId="0" xr:uid="{D5A96042-83BB-49C7-910D-E026A69D7BA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841" authorId="0" shapeId="0" xr:uid="{AE8D61A7-752D-4B43-988B-D9029E1E6E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</t>
        </r>
      </text>
    </comment>
    <comment ref="AG845" authorId="0" shapeId="0" xr:uid="{97958B9F-61F7-41A2-9255-6BDB4D98B51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849" authorId="0" shapeId="0" xr:uid="{046A647E-3558-46A4-95CA-E9D6F4BDF99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12/2021 $140,000,000</t>
        </r>
      </text>
    </comment>
    <comment ref="AH864" authorId="0" shapeId="0" xr:uid="{B0006B9E-39DC-4441-906E-3CCF4AB119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12/2021 $10,000,000,000,00
resol 308 marzo 12/2021 $500,000,000
resolucion 737/ 15/04/2021 $431,000,000</t>
        </r>
      </text>
    </comment>
    <comment ref="AH887" authorId="0" shapeId="0" xr:uid="{E4A1B289-36F3-441A-9A8D-DA660B39010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01/26/2021</t>
        </r>
      </text>
    </comment>
    <comment ref="AG891" authorId="0" shapeId="0" xr:uid="{5BDD8596-AC7E-42D9-A81E-3C3E863C801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18/2021 $204,500,000</t>
        </r>
      </text>
    </comment>
    <comment ref="AH891" authorId="0" shapeId="0" xr:uid="{05CCA8FB-EB77-4124-88B1-A2123B39DEC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</t>
        </r>
      </text>
    </comment>
    <comment ref="AG893" authorId="0" shapeId="0" xr:uid="{DC290651-AACD-47F0-A7BB-BAFC92DC8A9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26/2021 $3,086,332,698</t>
        </r>
      </text>
    </comment>
    <comment ref="AG895" authorId="0" shapeId="0" xr:uid="{F6428E32-317E-4D07-A6E4-B8C44410A7B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26/2021 $501,500,000</t>
        </r>
      </text>
    </comment>
    <comment ref="AH895" authorId="0" shapeId="0" xr:uid="{4A4C19FA-905F-4932-834D-7B8B735D5DE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18/2021 $204,500,000</t>
        </r>
      </text>
    </comment>
    <comment ref="AH897" authorId="0" shapeId="0" xr:uid="{F8E14D3D-DE3C-452D-AAE7-6D15B3F144C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</t>
        </r>
      </text>
    </comment>
    <comment ref="AG899" authorId="0" shapeId="0" xr:uid="{02104FF9-D2FD-4F8B-9718-F990FB42786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26/2021 $221,000,000</t>
        </r>
      </text>
    </comment>
    <comment ref="AG966" authorId="0" shapeId="0" xr:uid="{EBDC5127-0946-4CF2-BAE6-F11A89E4448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737 15/04/2021 $431,000,000</t>
        </r>
      </text>
    </comment>
    <comment ref="AG968" authorId="0" shapeId="0" xr:uid="{0D301B0C-9DFD-43A7-AEB7-AA46891A1E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763 21 ABRIL  $431,000,000</t>
        </r>
      </text>
    </comment>
    <comment ref="AG992" authorId="0" shapeId="0" xr:uid="{6218F763-80CB-4954-854A-39CB7CEAB98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026 enero 26/2021 $5,536,570,240</t>
        </r>
      </text>
    </comment>
    <comment ref="AH995" authorId="0" shapeId="0" xr:uid="{F5883405-C5A4-4FCF-9757-42C01C2F8CE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
</t>
        </r>
      </text>
    </comment>
    <comment ref="AH1015" authorId="0" shapeId="0" xr:uid="{F81D6836-55C5-43D6-BBEA-8B3514DAC84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18/2021 $136,150,000
</t>
        </r>
      </text>
    </comment>
    <comment ref="AG1030" authorId="0" shapeId="0" xr:uid="{D98FA8D4-4F13-4C65-A70F-EB05DC2F864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18/21 $136,150,000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Yolanda Baron Pedraza</author>
  </authors>
  <commentList>
    <comment ref="AH76" authorId="0" shapeId="0" xr:uid="{2302A900-CD65-4989-A8E0-FCCC299D6FC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del 12 mayo</t>
        </r>
      </text>
    </comment>
    <comment ref="AG91" authorId="0" shapeId="0" xr:uid="{A42F31E3-82B8-458C-85EB-B51D5900D6D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</t>
        </r>
      </text>
    </comment>
    <comment ref="AH93" authorId="0" shapeId="0" xr:uid="{CBD0605F-602F-4CF3-B850-F427807CD2C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12/2021 $90,000,000
res 201 marzo 4/2021</t>
        </r>
      </text>
    </comment>
    <comment ref="AG94" authorId="0" shapeId="0" xr:uid="{3CCC9D2C-661E-4D6B-9E91-751E23D00DE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14/04/2021 $200,000,000</t>
        </r>
      </text>
    </comment>
    <comment ref="AH94" authorId="0" shapeId="0" xr:uid="{9484DA9A-1B0A-4817-B3D0-BD4BFDD1229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12/2021 $490,000,000</t>
        </r>
      </text>
    </comment>
    <comment ref="AH95" authorId="0" shapeId="0" xr:uid="{D35728D7-5AED-4B6B-B129-5B6C1816C4E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</t>
        </r>
      </text>
    </comment>
    <comment ref="AG96" authorId="0" shapeId="0" xr:uid="{60F44E4F-14E3-4922-84BE-B845B95D70C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069 feb 12/2021 $1,580,000,000
resol 308 marzo 12/2021 $150,000,000
RES 511 MARZO 19/2021 $300,000,000
RES 0201 MARZO 4/2021 $34,200,000</t>
        </r>
      </text>
    </comment>
    <comment ref="AH96" authorId="0" shapeId="0" xr:uid="{06F6EEF8-23C4-42D3-86C5-5941B2AE4F1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12/2021 $1,000,000,000
resol 308 marzo 12/2021 $450,000,000
resol 511 marzo 19/2021
res 201 4 marzo 2021</t>
        </r>
      </text>
    </comment>
    <comment ref="AE113" authorId="0" shapeId="0" xr:uid="{BA92FFCE-8681-4A22-ABAC-C95A799AA5B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14" authorId="0" shapeId="0" xr:uid="{EEC98250-2D3A-45FC-85DD-EF4D30692FA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14/04/2021 $700000,000,00</t>
        </r>
      </text>
    </comment>
    <comment ref="AH125" authorId="0" shapeId="0" xr:uid="{B01F429F-89E3-41CD-BE39-CCE3CAF0FFB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15 abril/2021 $900,000,000</t>
        </r>
      </text>
    </comment>
    <comment ref="AE128" authorId="0" shapeId="0" xr:uid="{E054E041-D422-41BE-8E66-855A646540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E145" authorId="0" shapeId="0" xr:uid="{D419CD62-4B63-4E7F-86CA-9A002C47A16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50" authorId="0" shapeId="0" xr:uid="{B1C80F44-4E09-4E98-B4F1-42C3B803DB6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
res 915 mayo 12 $12,000,000</t>
        </r>
      </text>
    </comment>
    <comment ref="AG155" authorId="0" shapeId="0" xr:uid="{DC0E4FDA-DB27-440E-AD20-49CEE43CD50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E176" authorId="0" shapeId="0" xr:uid="{23DCF696-8B53-4E2B-92EF-CCAB38DAF2B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E177" authorId="0" shapeId="0" xr:uid="{3408C087-096D-42F3-A0F8-0C078299AF7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decrto 053 abril 29/2021</t>
        </r>
      </text>
    </comment>
    <comment ref="AE178" authorId="0" shapeId="0" xr:uid="{5FD02DE7-9DBE-4A17-AF87-D6DAF2F632A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/2021</t>
        </r>
      </text>
    </comment>
    <comment ref="AE185" authorId="0" shapeId="0" xr:uid="{E2216DE6-4985-4CD6-B253-89FCFD6DB0C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86" authorId="0" shapeId="0" xr:uid="{9F3B941C-B228-4BDC-96E0-40A2C41C2A9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201" authorId="0" shapeId="0" xr:uid="{9B1797DC-1610-4DFB-80D4-7434AF2A853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204" authorId="0" shapeId="0" xr:uid="{1364A8C4-7BED-4418-861C-BBDBDF0D0EB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204" authorId="0" shapeId="0" xr:uid="{0D133B84-2AD3-40F5-92B6-B31E99940B4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12 de mayo </t>
        </r>
      </text>
    </comment>
    <comment ref="AG214" authorId="0" shapeId="0" xr:uid="{E827886E-FB46-4F1B-B840-E44D947CCC7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814 abril 30/2021</t>
        </r>
      </text>
    </comment>
    <comment ref="AG216" authorId="0" shapeId="0" xr:uid="{5130C740-8097-4D95-B7DF-FA8B9882D23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G217" authorId="0" shapeId="0" xr:uid="{496805BD-E125-4266-8866-F426941263B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219" authorId="0" shapeId="0" xr:uid="{92BA420B-851C-4A7B-8CFF-1120F5743E4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15/2021
</t>
        </r>
      </text>
    </comment>
    <comment ref="AG225" authorId="0" shapeId="0" xr:uid="{E1009187-17D4-47DB-B82A-0F92D28109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12/2021 $200,000,000</t>
        </r>
      </text>
    </comment>
    <comment ref="AH225" authorId="0" shapeId="0" xr:uid="{24E78DA6-4EAD-41FA-82DE-6FEDD8CABE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814 30 abril 2021 $200,000,000</t>
        </r>
      </text>
    </comment>
    <comment ref="AE239" authorId="0" shapeId="0" xr:uid="{C03E7435-EDB9-4480-915E-9F6C92715DA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G300" authorId="0" shapeId="0" xr:uid="{1CD47B90-F12D-4849-8EA6-51F19A865C6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19/2021 $36,194,360</t>
        </r>
      </text>
    </comment>
    <comment ref="AH300" authorId="0" shapeId="0" xr:uid="{A152EF79-D9E6-4E88-BB71-3A70F1F27AB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19/2021 $316,940,531,70</t>
        </r>
      </text>
    </comment>
    <comment ref="AE302" authorId="0" shapeId="0" xr:uid="{96845A9F-BE75-440B-B695-F0795632B60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308" authorId="0" shapeId="0" xr:uid="{769B93C3-1860-4A5B-9781-6F2894AC31E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G400" authorId="0" shapeId="0" xr:uid="{207CB217-3EF5-434B-BC9F-21C72E95CD2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12/2021 $2,000,000,000</t>
        </r>
      </text>
    </comment>
    <comment ref="AE406" authorId="0" shapeId="0" xr:uid="{1DF10DD3-3918-4BC9-A5FA-253CAA9FF58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07" authorId="0" shapeId="0" xr:uid="{02749123-F331-40A7-A909-A753A5217BB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08" authorId="0" shapeId="0" xr:uid="{6D56EA15-AA91-4998-9917-6A6FCFD33BB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MAYO27/2021</t>
        </r>
      </text>
    </comment>
    <comment ref="AE411" authorId="0" shapeId="0" xr:uid="{529B7AA0-9702-4718-9F1F-7F2FA0DE5AF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31" authorId="0" shapeId="0" xr:uid="{6990EB5C-EEDC-43A3-9315-066E15C1E2F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32" authorId="0" shapeId="0" xr:uid="{DC8F070D-A0C5-42E6-A29C-876B5BFE565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33" authorId="0" shapeId="0" xr:uid="{31212984-4610-4C1B-A07A-D468EAAB1A5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441" authorId="0" shapeId="0" xr:uid="{C7A16C2E-FC91-4B7D-9B24-69EA6B83B3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19/2021 $27,102,938</t>
        </r>
      </text>
    </comment>
    <comment ref="AG445" authorId="0" shapeId="0" xr:uid="{D96FE604-D335-48FC-8400-728C27B6A0F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22 ABRIL 2021 $417,383651,71</t>
        </r>
      </text>
    </comment>
    <comment ref="AE446" authorId="0" shapeId="0" xr:uid="{FC4FF86E-C7BF-49DB-A3AD-92C41FD0E80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G451" authorId="0" shapeId="0" xr:uid="{CFF3D4F8-9747-4A07-9F4E-489BEB1A68B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511 MARZO 19/2021</t>
        </r>
      </text>
    </comment>
    <comment ref="AH457" authorId="0" shapeId="0" xr:uid="{A30E64AB-7942-43A4-91E0-055349F0B6E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19/2021 $155,990,000</t>
        </r>
      </text>
    </comment>
    <comment ref="AG459" authorId="0" shapeId="0" xr:uid="{17B8D7DD-A036-42F3-B5F4-64E013B9221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22/2021 $1227,570,664,14</t>
        </r>
      </text>
    </comment>
    <comment ref="AE465" authorId="0" shapeId="0" xr:uid="{DF279AC5-D31E-46B0-9689-AA178830299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033 MARZO 1/2021</t>
        </r>
      </text>
    </comment>
    <comment ref="AH465" authorId="0" shapeId="0" xr:uid="{FF7E497F-4598-48D6-AEBF-27A9CEB4073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22/2021 $1,644,954,15,85</t>
        </r>
      </text>
    </comment>
    <comment ref="AE466" authorId="0" shapeId="0" xr:uid="{7935A8FF-F70A-4D28-A826-FB9EF3429A4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H469" authorId="0" shapeId="0" xr:uid="{9A57F8AC-1A9D-484D-9EB9-09C81FEF25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19/2021 $23,257,108</t>
        </r>
      </text>
    </comment>
    <comment ref="AE472" authorId="0" shapeId="0" xr:uid="{0C1620D6-6FA1-47A6-97C1-682DDBCD91F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476" authorId="0" shapeId="0" xr:uid="{11CA0741-25C0-4F5F-9438-06F4226BD34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H476" authorId="0" shapeId="0" xr:uid="{297016A5-225E-4679-9E5E-646D43A2572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19/2021 $3,845,830</t>
        </r>
      </text>
    </comment>
    <comment ref="AH477" authorId="0" shapeId="0" xr:uid="{AFDC2B0F-71B5-4590-8886-9CA1B53EBF2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E486" authorId="0" shapeId="0" xr:uid="{850A5F7D-AE86-433C-BFA8-125945E806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487" authorId="0" shapeId="0" xr:uid="{8E18E231-2218-4EE0-8EC9-FB6DFF5CFEA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495" authorId="0" shapeId="0" xr:uid="{C5C8E2D8-44E4-40E0-A962-283708466DC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520 DEL 26 DE MARZO 2021 $1,5000,000,00</t>
        </r>
      </text>
    </comment>
    <comment ref="AE498" authorId="0" shapeId="0" xr:uid="{C3754043-79FC-438E-91EF-9B1FDEF3C09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G500" authorId="0" shapeId="0" xr:uid="{909CA8FA-15A5-477B-9AF7-1EB26007FB4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0520 DEL 26 MARZO 2021 $1,500,000,000</t>
        </r>
      </text>
    </comment>
    <comment ref="AE503" authorId="0" shapeId="0" xr:uid="{A1D41D33-8DBC-4744-9E7E-DEEA2891D1F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09" authorId="0" shapeId="0" xr:uid="{DFBE8F4D-D330-4E44-A146-BAD12F9F9D1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28" authorId="0" shapeId="0" xr:uid="{44A7C922-FBCB-4060-A207-962A83DB28A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068 MAYO 31/2021</t>
        </r>
      </text>
    </comment>
    <comment ref="AG530" authorId="0" shapeId="0" xr:uid="{749F82F0-D7F0-44E2-8F4D-DB160CB8BDD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E532" authorId="0" shapeId="0" xr:uid="{F66C6F30-8E09-47A1-B369-163EA2B11C2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
DEC 068 MAYO 31/2021</t>
        </r>
      </text>
    </comment>
    <comment ref="AH532" authorId="0" shapeId="0" xr:uid="{0F3954EA-9D11-457F-8371-7DC6BD4BF5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534" authorId="0" shapeId="0" xr:uid="{6C7953D9-DFFD-423E-A656-016B9849DD6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26 enero 26/21 $24,165,016
</t>
        </r>
      </text>
    </comment>
    <comment ref="AH536" authorId="0" shapeId="0" xr:uid="{AC1E4BBA-AE4D-42DF-A708-0443991F098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H538" authorId="0" shapeId="0" xr:uid="{76F3DEC2-2503-42C5-AAE4-9EEAAD95B42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 del 26/01/2021 $9,296,364,215
resolu 027/ enero 27/2021 $1,362,635,323</t>
        </r>
      </text>
    </comment>
    <comment ref="AE539" authorId="0" shapeId="0" xr:uid="{42300AA7-6012-4434-B1B5-33452D64258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41" authorId="0" shapeId="0" xr:uid="{34CE91CA-A376-444E-A81B-034E022FDE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19/2021$15,401,381</t>
        </r>
      </text>
    </comment>
    <comment ref="AE542" authorId="0" shapeId="0" xr:uid="{131E35D9-2A4F-4AD9-AEAF-33EC9E38615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068 MAYO 21</t>
        </r>
      </text>
    </comment>
    <comment ref="AG542" authorId="0" shapeId="0" xr:uid="{67F9A51D-5CB4-4790-807A-0456DE4300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26/2021 $20,296,364,215
</t>
        </r>
      </text>
    </comment>
    <comment ref="AE546" authorId="0" shapeId="0" xr:uid="{19FE0460-EC29-4A3D-A3BC-D46831C7564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48" authorId="0" shapeId="0" xr:uid="{8E029FCA-F7A3-4CA9-B4A8-45860444AB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50" authorId="0" shapeId="0" xr:uid="{F3601227-5C7C-4C93-ABF4-E7CED883A00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27/2021 $1,555,449,996
</t>
        </r>
      </text>
    </comment>
    <comment ref="AG552" authorId="0" shapeId="0" xr:uid="{8DF3388F-8E49-4BC9-93BF-CF16669D11B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26/2021 $95,000,000</t>
        </r>
      </text>
    </comment>
    <comment ref="AG554" authorId="0" shapeId="0" xr:uid="{059C3E25-9778-432C-9079-31DBFE9A628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27/2021 $1,331,864,802</t>
        </r>
      </text>
    </comment>
    <comment ref="AG556" authorId="0" shapeId="0" xr:uid="{A6C5D267-35BD-4DF0-BFD0-B6E43CF6BFC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H556" authorId="0" shapeId="0" xr:uid="{4B8491BC-FC25-4841-845A-E45ABE7E9DE3}">
      <text>
        <r>
          <rPr>
            <b/>
            <sz val="9"/>
            <color indexed="81"/>
            <rFont val="Tahoma"/>
            <family val="2"/>
          </rPr>
          <t>Yolanda Baron Pedraza:res 915 mayo 12/2021</t>
        </r>
      </text>
    </comment>
    <comment ref="AE557" authorId="0" shapeId="0" xr:uid="{61086FCB-FBD3-466C-BC89-ADA2BFCF005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0053 abril 29/21</t>
        </r>
      </text>
    </comment>
    <comment ref="AE558" authorId="0" shapeId="0" xr:uid="{E4BF0EF6-DC63-48F6-B45B-0A0C5C067C6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60" authorId="0" shapeId="0" xr:uid="{5F967966-103E-4135-86B6-C145B3169C6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19/2021 $610,000,000</t>
        </r>
      </text>
    </comment>
    <comment ref="AE563" authorId="0" shapeId="0" xr:uid="{A84215D1-5FA4-4C60-B1BC-0FBB1382604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64" authorId="0" shapeId="0" xr:uid="{8EB390CF-950B-4774-A816-7B46B35B44E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65" authorId="0" shapeId="0" xr:uid="{678BE6FA-B9C4-45B9-803C-60629241D8E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67" authorId="0" shapeId="0" xr:uid="{F3B2BEA1-148E-4B37-AD57-A7D78DBBB7A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26/2021 $11,000,000,000
reso 27 enero 27/2021 $5,500,000,000</t>
        </r>
      </text>
    </comment>
    <comment ref="AG569" authorId="0" shapeId="0" xr:uid="{8C29F96D-0DC2-4E2D-B5A2-80654292B23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26/2021 $22,204,778</t>
        </r>
      </text>
    </comment>
    <comment ref="AE570" authorId="0" shapeId="0" xr:uid="{2884E91D-A87A-4772-B376-FA70436EF37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72" authorId="0" shapeId="0" xr:uid="{0A7202DA-9810-462C-84ED-692DD44F0CF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74" authorId="0" shapeId="0" xr:uid="{49B85F83-23A9-4E8C-A979-F98AAA57727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27/2021 $3,975,320,525
</t>
        </r>
      </text>
    </comment>
    <comment ref="AG576" authorId="0" shapeId="0" xr:uid="{D400F3EC-7291-43BD-8A18-C68A6D63126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579" authorId="0" shapeId="0" xr:uid="{49FC5067-B88F-4487-9BF9-83B2F534F9C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580" authorId="0" shapeId="0" xr:uid="{03CFF839-70DE-4424-9CCA-20CE52BDE3F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
dec 068 mayo 31/2021</t>
        </r>
      </text>
    </comment>
    <comment ref="AG582" authorId="0" shapeId="0" xr:uid="{DDF4F906-1665-4ED3-A5C5-F2F43E9C068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26/2021 $60,325,921,15
resol 915 $40,465,552</t>
        </r>
      </text>
    </comment>
    <comment ref="AH587" authorId="0" shapeId="0" xr:uid="{1C5A0985-802C-4874-B91D-ACA47E57A9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18/2021 $265,538,240
reso 773 abril 22/2021 $219,103,236,80</t>
        </r>
      </text>
    </comment>
    <comment ref="AE589" authorId="0" shapeId="0" xr:uid="{AE726292-F301-4594-AF76-E0B3B83E001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E590" authorId="0" shapeId="0" xr:uid="{97706BB9-D3BF-4E2A-BE2F-DCB68980F2A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592" authorId="0" shapeId="0" xr:uid="{16445610-3A41-4C9E-AB85-574A78D9FCE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598" authorId="0" shapeId="0" xr:uid="{7DB335DB-57F4-416F-8AF4-E9E72E1A62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G600" authorId="0" shapeId="0" xr:uid="{D8C77BBD-8C8B-4DDF-B854-F85480538FF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27 enero 27/2021 $503,000,000,00</t>
        </r>
      </text>
    </comment>
    <comment ref="AH600" authorId="0" shapeId="0" xr:uid="{86D3C462-F569-43D1-B208-68431648BED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0915 mayo 12/2021</t>
        </r>
      </text>
    </comment>
    <comment ref="AH602" authorId="0" shapeId="0" xr:uid="{7B25723C-D102-4B4C-A137-BD21D0C24B6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mayo12/2021</t>
        </r>
      </text>
    </comment>
    <comment ref="AG603" authorId="0" shapeId="0" xr:uid="{1821345A-59CD-459C-A1F9-C66BF51ED53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</t>
        </r>
      </text>
    </comment>
    <comment ref="AG605" authorId="0" shapeId="0" xr:uid="{F2A3D062-9229-4A5D-8A51-E80452F847A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12/2021 $1,556,000,000,00</t>
        </r>
      </text>
    </comment>
    <comment ref="AE607" authorId="0" shapeId="0" xr:uid="{5E0AA46B-4447-4FC3-B705-8C5545D7DD1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609" authorId="0" shapeId="0" xr:uid="{2AA0E384-7D24-4A95-878D-93605A93892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26/2021 $91,680,424
RESOL 511 MARZO 19/2021</t>
        </r>
      </text>
    </comment>
    <comment ref="AH609" authorId="0" shapeId="0" xr:uid="{C6030EA3-E61C-47B5-A0F7-7420F224760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0915 mayo 12</t>
        </r>
      </text>
    </comment>
    <comment ref="AH611" authorId="0" shapeId="0" xr:uid="{03A8D2DC-0F8B-46AD-8A6C-ACF390A7696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26/2021 $329,895,811,15
resol 027 enero 27/21 $2,003,000,000
resol 511 marzo 19/2021 $800,401,381
resol 915 mayo 12/2021 $119,719,609</t>
        </r>
      </text>
    </comment>
    <comment ref="AH612" authorId="0" shapeId="0" xr:uid="{4F52A51D-5CC6-46EC-AA6D-AC7C2A7C1BB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613" authorId="0" shapeId="0" xr:uid="{08BBCBE8-0521-4589-82A6-36786F9DBB0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615" authorId="0" shapeId="0" xr:uid="{7C055CD5-3C54-4F44-A6CC-20C8E6C26C5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26/2021 $36,519,672</t>
        </r>
      </text>
    </comment>
    <comment ref="AG617" authorId="0" shapeId="0" xr:uid="{88C6B8FF-B59C-4BD4-8F44-85F05628A5B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18/2021 $265,538,240</t>
        </r>
      </text>
    </comment>
    <comment ref="AG620" authorId="0" shapeId="0" xr:uid="{C7545DF8-E220-4EFF-B214-FEEAD1DBB40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27/2021 $1,500,000,000</t>
        </r>
      </text>
    </comment>
    <comment ref="AE622" authorId="0" shapeId="0" xr:uid="{231ED1CD-7094-463C-85D6-0CC20736AE9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622" authorId="0" shapeId="0" xr:uid="{FBD763CA-B691-4E72-8999-E640C7AAD83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623" authorId="0" shapeId="0" xr:uid="{549E4A93-DDD3-49F7-B803-1CDDB56A8E7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23" authorId="0" shapeId="0" xr:uid="{32E9FA74-AEA1-4763-9901-A443E637FCE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624" authorId="0" shapeId="0" xr:uid="{3D8E67C1-8367-4291-BD69-9A4790D4BA4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E630" authorId="0" shapeId="0" xr:uid="{226C60B4-39D2-42F3-BC87-EFF7AD8A489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33" authorId="0" shapeId="0" xr:uid="{4185ACF2-F529-4DF5-A424-6EA74EC97AC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</t>
        </r>
      </text>
    </comment>
    <comment ref="AE634" authorId="0" shapeId="0" xr:uid="{B35964EE-9F18-4BC2-8FDA-7DAFD9210A5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36" authorId="0" shapeId="0" xr:uid="{F37E29B9-8230-4A7F-82FD-A4FCAEE9BCB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40" authorId="0" shapeId="0" xr:uid="{A292A2CD-DC10-44CB-97FC-FE261314B4C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44" authorId="0" shapeId="0" xr:uid="{CC55C587-18BA-49D4-B8AB-4974FD5895B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18/2021 $4,680,084,481,80
resol 511 marzo 19/2021 $76,000,000
res 773 abril 22/2021 $907,367,029,20</t>
        </r>
      </text>
    </comment>
    <comment ref="AE645" authorId="0" shapeId="0" xr:uid="{44B9F99C-B2B1-4240-AB4A-D64A16A3906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053/2021</t>
        </r>
      </text>
    </comment>
    <comment ref="AG647" authorId="0" shapeId="0" xr:uid="{A7284B33-8764-43DC-9904-B8B2D780ECA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18/2021 $4,680,084,481,80
RES 773 ABRIL 22/2021 $1,126,470,266
</t>
        </r>
      </text>
    </comment>
    <comment ref="AE649" authorId="0" shapeId="0" xr:uid="{053BDCBA-C1F7-4389-BECF-FE21757B273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E651" authorId="0" shapeId="0" xr:uid="{19279F9E-1899-4948-AE5B-23F20381124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053/ ABRIL 29/2021
</t>
        </r>
      </text>
    </comment>
    <comment ref="AG654" authorId="0" shapeId="0" xr:uid="{0DD10A46-FD42-4E25-A0B5-4238C9D42F5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
</t>
        </r>
      </text>
    </comment>
    <comment ref="AE677" authorId="0" shapeId="0" xr:uid="{96D6531E-B889-427D-98EC-74F03351FAA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685" authorId="0" shapeId="0" xr:uid="{E4784E26-F20A-4346-BB3E-4D58620DF65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690" authorId="0" shapeId="0" xr:uid="{61970238-59BD-4802-8F67-579B1238E5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12/2021 $250,000,000</t>
        </r>
      </text>
    </comment>
    <comment ref="AH690" authorId="0" shapeId="0" xr:uid="{DC877FD2-8EA1-4B5F-B6EF-935B98F1ACA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696" authorId="0" shapeId="0" xr:uid="{EDD7AC03-60A9-4715-A3C9-7A627434C49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</t>
        </r>
      </text>
    </comment>
    <comment ref="AE699" authorId="0" shapeId="0" xr:uid="{139C3332-610B-4B0A-892C-D4C900E43A9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702" authorId="0" shapeId="0" xr:uid="{206D9614-D354-4712-82A9-F20DD36E994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715" authorId="0" shapeId="0" xr:uid="{090D999C-0404-4C6A-A4B9-14D2ED89D5D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12/2021 $932,000,000</t>
        </r>
      </text>
    </comment>
    <comment ref="AH715" authorId="0" shapeId="0" xr:uid="{7CDEBD58-322A-412D-A605-BCE3A7E40C7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722" authorId="0" shapeId="0" xr:uid="{2742700D-D006-4056-B176-0E069C68E0E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724" authorId="0" shapeId="0" xr:uid="{0768B0E7-975D-47AD-A5B0-96CA0CC3830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728" authorId="0" shapeId="0" xr:uid="{3E6F5A4F-2D04-467D-9777-D05BB78B036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729" authorId="0" shapeId="0" xr:uid="{61522BC2-C80C-4C34-98A7-6AEAFE6E331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730" authorId="0" shapeId="0" xr:uid="{29DE1D0B-ADA9-4822-8F79-39E061C56A0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732" authorId="0" shapeId="0" xr:uid="{E7264278-DC7F-4A01-B023-2A5853F1363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12/2021 $20,000,000</t>
        </r>
      </text>
    </comment>
    <comment ref="AE734" authorId="0" shapeId="0" xr:uid="{9CE47E0A-FF23-4A83-A6F7-CD18C5B0386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736" authorId="0" shapeId="0" xr:uid="{98E70D3A-AEA0-4953-B7DD-E30D4C21898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
RES 915 MAYO 12/2021</t>
        </r>
      </text>
    </comment>
    <comment ref="AE738" authorId="0" shapeId="0" xr:uid="{03B97891-9610-4E32-B3B2-7923C2E6F83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741" authorId="0" shapeId="0" xr:uid="{89242B0E-7E17-4061-B6FE-5B1D7531D69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744" authorId="0" shapeId="0" xr:uid="{73A34B74-45E7-4A02-9C56-7FB497BBD49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748" authorId="0" shapeId="0" xr:uid="{614DD7C9-F053-4F80-80A8-8011B864714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12/20221 $42,000,000
RESOL 915 MAYO 12/2021</t>
        </r>
      </text>
    </comment>
    <comment ref="AE754" authorId="0" shapeId="0" xr:uid="{2B7EDC53-5D43-49C9-83DE-849F65AF67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767" authorId="0" shapeId="0" xr:uid="{B4947666-D095-497F-AAD2-69CA06596DE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26/21 $75000,000</t>
        </r>
      </text>
    </comment>
    <comment ref="AG769" authorId="0" shapeId="0" xr:uid="{7902D7CF-C01A-4D08-ABF8-9CD8F9D64AE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
RES 773 ABRIL 22/21 $46,856,431,56</t>
        </r>
      </text>
    </comment>
    <comment ref="AH784" authorId="0" shapeId="0" xr:uid="{76FA02F5-2C1F-4495-B288-D6FBC02952B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21/2021</t>
        </r>
      </text>
    </comment>
    <comment ref="AG789" authorId="0" shapeId="0" xr:uid="{00ED464A-8490-42E7-9D6B-78792942752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22/2021 $118,300,000</t>
        </r>
      </text>
    </comment>
    <comment ref="AG791" authorId="0" shapeId="0" xr:uid="{1F0F85AF-F203-4878-AB14-5E5868457A5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 773 ABRIL 22/2021 $140,000,000</t>
        </r>
      </text>
    </comment>
    <comment ref="AH799" authorId="0" shapeId="0" xr:uid="{F5C87430-0EA0-4DC0-9337-EEC34A30D3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
res 773 abril 22/21 $46,856,431,56</t>
        </r>
      </text>
    </comment>
    <comment ref="AG801" authorId="0" shapeId="0" xr:uid="{1CC77A48-7486-4EE2-B878-C48032AC141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eneroo 26/2021 $4,400,000</t>
        </r>
      </text>
    </comment>
    <comment ref="AG803" authorId="0" shapeId="0" xr:uid="{5BEAEFD1-638A-4B46-8956-5B01DFC0F17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26/2021 $88,500,000</t>
        </r>
      </text>
    </comment>
    <comment ref="AH803" authorId="0" shapeId="0" xr:uid="{D98F8997-2B9F-4FFA-8E65-8B7A789D2F7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22/2021 $20,700,000</t>
        </r>
      </text>
    </comment>
    <comment ref="AG804" authorId="0" shapeId="0" xr:uid="{9B65457B-E957-4685-91F1-F90CAE85067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21/21
</t>
        </r>
      </text>
    </comment>
    <comment ref="AG807" authorId="0" shapeId="0" xr:uid="{159DC948-2948-45D9-85BB-82EEED5FACF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
RES 936 MAYO 21</t>
        </r>
      </text>
    </comment>
    <comment ref="AH807" authorId="0" shapeId="0" xr:uid="{F519EEF5-3E16-44BB-9798-7FDAF0D7743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26/2021 $900,000,00
res 773 abril 22/2021 $258,300,000</t>
        </r>
      </text>
    </comment>
    <comment ref="AE808" authorId="0" shapeId="0" xr:uid="{DBD08046-A241-4364-A08C-286DCEFF92C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816" authorId="0" shapeId="0" xr:uid="{AE42C550-51A2-4C2F-B3BB-22BFF11815B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22/2021 $20,700,000</t>
        </r>
      </text>
    </comment>
    <comment ref="AH816" authorId="0" shapeId="0" xr:uid="{BEAAA125-0E98-4050-875B-9F8048B1EB0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026enero 26/2021 $17,000,000
resol 936 mayo 21/2021</t>
        </r>
      </text>
    </comment>
    <comment ref="AE817" authorId="0" shapeId="0" xr:uid="{CBF2541C-EC9B-4CA9-ADD5-702CAAC63FE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823" authorId="0" shapeId="0" xr:uid="{C9265F9B-4C94-4446-B184-81CAF6A572B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833" authorId="0" shapeId="0" xr:uid="{670B11FE-73CE-4016-B497-B6E339DC5F6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</t>
        </r>
      </text>
    </comment>
    <comment ref="AG835" authorId="0" shapeId="0" xr:uid="{E3B3A2E3-D1F1-48DA-8D5E-BA7B16A0AE1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18/2021 $770,000,000
</t>
        </r>
      </text>
    </comment>
    <comment ref="AG840" authorId="0" shapeId="0" xr:uid="{6B0A27D4-3FAC-4D09-86BA-EB6D43210B1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18/2021 $24,729,623</t>
        </r>
      </text>
    </comment>
    <comment ref="AH845" authorId="0" shapeId="0" xr:uid="{3A215CE7-B9F8-4976-A207-3A761FB78F2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18/2021 $163,270,377</t>
        </r>
      </text>
    </comment>
    <comment ref="AG852" authorId="0" shapeId="0" xr:uid="{EA7E80AF-64D3-434A-B401-CDD1D9AFFAE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22/2021 $222,721,043</t>
        </r>
      </text>
    </comment>
    <comment ref="AH852" authorId="0" shapeId="0" xr:uid="{826DDC6A-27B0-43A9-9833-6B412172892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r74,931,884</t>
        </r>
      </text>
    </comment>
    <comment ref="AG866" authorId="0" shapeId="0" xr:uid="{8AEF8545-D9F1-4468-8025-6BD62AFB2F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 21</t>
        </r>
      </text>
    </comment>
    <comment ref="AH868" authorId="0" shapeId="0" xr:uid="{24CE5826-BF9E-4C5A-94B5-766F03493FD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FEBR 18/2021 RES 143 $794,729,623</t>
        </r>
      </text>
    </comment>
    <comment ref="AE874" authorId="0" shapeId="0" xr:uid="{084DFE09-B19E-45D2-819D-E4C41DAA96D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74" authorId="0" shapeId="0" xr:uid="{34D0B641-E396-42F7-841A-1692477039F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12/2021</t>
        </r>
      </text>
    </comment>
    <comment ref="AH876" authorId="0" shapeId="0" xr:uid="{9C163D2E-6CCE-47FE-AD3F-B242BA4E406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18/2021 $221,572,545
res 773 abril 22 de 2021 $222,721,043</t>
        </r>
      </text>
    </comment>
    <comment ref="AE879" authorId="0" shapeId="0" xr:uid="{6477A500-410D-4530-964A-687A1A1B1BA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880" authorId="0" shapeId="0" xr:uid="{F6DA2DC3-7115-4228-B76A-F85F1872E1E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84" authorId="0" shapeId="0" xr:uid="{AC8F460E-BF72-4BF5-BD4A-4A8ED80C94E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18/2021 $408,029,872,00</t>
        </r>
      </text>
    </comment>
    <comment ref="AG898" authorId="0" shapeId="0" xr:uid="{E8005184-1A79-4AE9-9A6E-4F3FF4D0FD5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</t>
        </r>
      </text>
    </comment>
    <comment ref="AE904" authorId="0" shapeId="0" xr:uid="{7C7D06DC-98DB-468C-A0DB-D1848F92E86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
</t>
        </r>
      </text>
    </comment>
    <comment ref="AH904" authorId="0" shapeId="0" xr:uid="{1729AED9-7014-4AD7-8EDE-010C0C7124D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21/2021</t>
        </r>
      </text>
    </comment>
    <comment ref="AE914" authorId="0" shapeId="0" xr:uid="{B45F57C5-5015-4B52-B1DE-0573326F991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943" authorId="0" shapeId="0" xr:uid="{68EA5EE9-0CC8-4D19-90C5-561F3BBF4A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944" authorId="0" shapeId="0" xr:uid="{3EE7040A-C957-4BD8-BCDE-7082BAF50B0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968" authorId="0" shapeId="0" xr:uid="{31835F1B-AE17-42B9-9303-3F6629C750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12/21$2,080,000,000</t>
        </r>
      </text>
    </comment>
    <comment ref="AH968" authorId="0" shapeId="0" xr:uid="{C872B0AF-8BE4-47DC-B644-7CF383526B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4/2021 $1,800,000,000,00res 936 mayo 21/2021</t>
        </r>
      </text>
    </comment>
    <comment ref="AG970" authorId="0" shapeId="0" xr:uid="{E534A07B-FD35-45FC-AED4-30C3657A1F2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12/2021 $2,580,000,000</t>
        </r>
      </text>
    </comment>
    <comment ref="AH970" authorId="0" shapeId="0" xr:uid="{465EB6A3-0863-4E4D-9F2D-EC39FFF0071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972" authorId="0" shapeId="0" xr:uid="{8DC48D66-191C-4843-A3BA-71B1C0ACC8D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RESOL 936 MAYO 21/21</t>
        </r>
      </text>
    </comment>
    <comment ref="AG976" authorId="0" shapeId="0" xr:uid="{041C7519-2A5A-4D12-B50D-E6CE6CC244D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978" authorId="0" shapeId="0" xr:uid="{7E6873C6-5E88-410D-9573-ACFE8F8A93D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21/21</t>
        </r>
      </text>
    </comment>
    <comment ref="AG980" authorId="0" shapeId="0" xr:uid="{2E382E26-8E37-4020-8824-C7C322A2F45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12/2021 $140,000,000</t>
        </r>
      </text>
    </comment>
    <comment ref="AE983" authorId="0" shapeId="0" xr:uid="{6D2EBD3B-2B08-4169-8BFA-928E2362BC7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985" authorId="0" shapeId="0" xr:uid="{4F667B9A-1E4C-4300-88A4-07AD29C3129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</t>
        </r>
      </text>
    </comment>
    <comment ref="AG988" authorId="0" shapeId="0" xr:uid="{5D68DF42-2A9A-42D7-99E2-215862D7AB9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</t>
        </r>
      </text>
    </comment>
    <comment ref="AE993" authorId="0" shapeId="0" xr:uid="{3F8E95F1-CBCF-4C18-B699-E6C86C67B58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04" authorId="0" shapeId="0" xr:uid="{8DAA0E0D-CC2B-475A-92FB-96FC6EEB048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12/2021 $10,000,000,000,00
resol 308 marzo 12/2021 $500,000,000
resolucion 737/ 15/04/2021 $431,000,000</t>
        </r>
      </text>
    </comment>
    <comment ref="AE1005" authorId="0" shapeId="0" xr:uid="{2785C375-8F6E-470C-8FF5-596B0BEAEB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09" authorId="0" shapeId="0" xr:uid="{0FBCF471-3112-4F07-84F7-F2A062354D6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1010" authorId="0" shapeId="0" xr:uid="{241C7509-1317-4740-BF99-64AA7E19D9F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10" authorId="0" shapeId="0" xr:uid="{1AEE9ED5-9C4D-4F0C-B715-888C1BA131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1019" authorId="0" shapeId="0" xr:uid="{2257DB76-A0EB-4078-9E4D-F5753E814C3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025" authorId="0" shapeId="0" xr:uid="{6F3337E7-3B30-41D4-B294-E16CFB6F885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036" authorId="0" shapeId="0" xr:uid="{3732B9D4-4A1F-4CB1-973D-0ECB2C2813F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1037" authorId="0" shapeId="0" xr:uid="{1ABC8124-84F9-423A-ADFA-D40EA0043DF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038" authorId="0" shapeId="0" xr:uid="{1764299F-CCD9-4878-AE32-6C04D249D99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40" authorId="0" shapeId="0" xr:uid="{ED0DD7E7-FF07-48F5-A19B-FD688FA49F4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01/26/2021</t>
        </r>
      </text>
    </comment>
    <comment ref="AE1044" authorId="0" shapeId="0" xr:uid="{9C95025D-1E22-47CE-A014-9D2905CE7D1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ABRIL29/2021</t>
        </r>
      </text>
    </comment>
    <comment ref="AG1046" authorId="0" shapeId="0" xr:uid="{629D0BB4-0231-46C3-A8CB-085901AAF52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18/2021 $204,500,000</t>
        </r>
      </text>
    </comment>
    <comment ref="AH1046" authorId="0" shapeId="0" xr:uid="{318875CA-C799-4C5B-A63A-E9F5CD613EF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</t>
        </r>
      </text>
    </comment>
    <comment ref="AG1048" authorId="0" shapeId="0" xr:uid="{6375E83C-58C5-45ED-B3E5-6FFE41CF179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26/2021 $3,086,332,698</t>
        </r>
      </text>
    </comment>
    <comment ref="AE1049" authorId="0" shapeId="0" xr:uid="{E056C793-3821-4583-88F3-38C5062CA7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051" authorId="0" shapeId="0" xr:uid="{96DF6ECF-5C39-4073-AE8E-12E90D55E7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26/2021 $501,500,000</t>
        </r>
      </text>
    </comment>
    <comment ref="AH1051" authorId="0" shapeId="0" xr:uid="{C89E0FD2-C753-491B-9AD4-F85408D25C4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18/2021 $204,500,000</t>
        </r>
      </text>
    </comment>
    <comment ref="AE1053" authorId="0" shapeId="0" xr:uid="{008A04C8-9DE0-49DC-AF6D-60BC9B00AF3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55" authorId="0" shapeId="0" xr:uid="{7A0DBC77-4FBD-4C8E-A22E-FC0FB93673C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</t>
        </r>
      </text>
    </comment>
    <comment ref="AG1057" authorId="0" shapeId="0" xr:uid="{58369AF8-E55B-4B1E-9091-39B53DAF721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26/2021 $221,000,000</t>
        </r>
      </text>
    </comment>
    <comment ref="AE1060" authorId="0" shapeId="0" xr:uid="{0BDB9F5F-CC97-4E73-93B1-149117B3E44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1075" authorId="0" shapeId="0" xr:uid="{3CE97636-6F45-4B12-85DB-B94875BA7F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091" authorId="0" shapeId="0" xr:uid="{06E45B7D-9B51-4F4C-9234-3BFA3BE50F7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092" authorId="0" shapeId="0" xr:uid="{34AAA701-7092-4C50-8986-A813406BCC2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093" authorId="0" shapeId="0" xr:uid="{C98C0710-9D2B-450A-A84E-C2710633B4A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12" authorId="0" shapeId="0" xr:uid="{A16D3D45-E567-4259-BBC2-8EAD522D7F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16" authorId="0" shapeId="0" xr:uid="{C0A77A0E-5D7F-448D-B8F1-E291C6A1EFE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20" authorId="0" shapeId="0" xr:uid="{11DC4154-BD97-4390-AAD9-47DBD048649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23" authorId="0" shapeId="0" xr:uid="{2D3321E1-4722-4A39-B530-B23248BE649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27" authorId="0" shapeId="0" xr:uid="{F6B0C205-18C9-417F-A272-A126B31D28E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29" authorId="0" shapeId="0" xr:uid="{AB971D47-D354-4DD0-9AB1-8CEE856120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33" authorId="0" shapeId="0" xr:uid="{91C7D257-4A95-4737-B0DA-4D3EAA7C56E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1157" authorId="0" shapeId="0" xr:uid="{3C3219BF-97CC-4FDF-9551-26E8B57987B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737 15/04/2021 $431,000,000</t>
        </r>
      </text>
    </comment>
    <comment ref="AH1157" authorId="0" shapeId="0" xr:uid="{42A51D29-43D5-4F37-B2DB-9A09E7AAC613}">
      <text>
        <r>
          <rPr>
            <b/>
            <sz val="9"/>
            <color indexed="81"/>
            <rFont val="Tahoma"/>
            <family val="2"/>
          </rPr>
          <t>Yolanda Baron Pedraza
resol 915 mayo 12</t>
        </r>
      </text>
    </comment>
    <comment ref="AG1159" authorId="0" shapeId="0" xr:uid="{1FD657FF-8B68-4D82-AA9E-51439801CC6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763 21 ABRIL  $431,000,000
res 915 mayo 12/2021 $9,000,000</t>
        </r>
      </text>
    </comment>
    <comment ref="AG1187" authorId="0" shapeId="0" xr:uid="{560101A9-4B15-4041-B707-F6DEEFB5867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026 enero 26/2021 $5,536,570,240</t>
        </r>
      </text>
    </comment>
    <comment ref="AH1190" authorId="0" shapeId="0" xr:uid="{4E258F2D-5E3E-449E-854C-B10271F4B21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
</t>
        </r>
      </text>
    </comment>
    <comment ref="AE1197" authorId="0" shapeId="0" xr:uid="{D947B660-F781-4AD0-82C1-38447F7153B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01" authorId="0" shapeId="0" xr:uid="{207553D0-7F39-4353-91CA-1AC8DCFE66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058MAYO 7/2021</t>
        </r>
      </text>
    </comment>
    <comment ref="AE1202" authorId="0" shapeId="0" xr:uid="{609B96C9-F3FD-4A52-81A5-2CEE859A2B9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05" authorId="0" shapeId="0" xr:uid="{4E3E08DC-6099-4061-BBC0-C0FDE8AAE06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08" authorId="0" shapeId="0" xr:uid="{850832CD-7D50-47C4-86EC-2FF1B8F1448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09" authorId="0" shapeId="0" xr:uid="{2A94B1FE-5387-4231-9BDA-AF57E25C9AA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12" authorId="0" shapeId="0" xr:uid="{1083C65A-1404-4283-A7DF-D1077EC7E7B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15" authorId="0" shapeId="0" xr:uid="{1D92E6F7-0EA8-46E4-9B00-F886F6C1340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H1217" authorId="0" shapeId="0" xr:uid="{4D683E06-A117-4973-8A0D-A6A19AF3C2C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18/2021 $136,150,000
</t>
        </r>
      </text>
    </comment>
    <comment ref="AE1220" authorId="0" shapeId="0" xr:uid="{983476B6-A8CB-42E7-BBA1-D4A85173944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 C 058 MAYO 7/2021</t>
        </r>
      </text>
    </comment>
    <comment ref="AE1221" authorId="0" shapeId="0" xr:uid="{6169C574-65AB-438C-A3AF-D0E37CE8D4D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22" authorId="0" shapeId="0" xr:uid="{B681F8DE-4801-49A0-8634-A0CF538B3B4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058 MAYO 7/2021</t>
        </r>
      </text>
    </comment>
    <comment ref="AE1225" authorId="0" shapeId="0" xr:uid="{60E6AEB9-C566-49CF-A442-8EBD03AEA72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28" authorId="0" shapeId="0" xr:uid="{FBC37420-6849-4003-B62B-758B4B2E2C7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29" authorId="0" shapeId="0" xr:uid="{FB2A0674-54E9-4821-837B-93A9B6DCB03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30" authorId="0" shapeId="0" xr:uid="{322027E0-BBAF-42AA-AF20-D3D223362FB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33" authorId="0" shapeId="0" xr:uid="{57482271-3A97-445B-B470-8059036227F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34" authorId="0" shapeId="0" xr:uid="{76C158A3-A6B3-48CC-8D84-017601A1FFE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MAYOO 7/2021</t>
        </r>
      </text>
    </comment>
    <comment ref="AE1235" authorId="0" shapeId="0" xr:uid="{2899075A-13DC-4629-BF5B-FF9AEED65A7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38" authorId="0" shapeId="0" xr:uid="{0F63FC33-7659-4310-B662-09A041A74EC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42" authorId="0" shapeId="0" xr:uid="{5C7BB58F-79BF-4839-9DDC-EFB812FFBC9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44" authorId="0" shapeId="0" xr:uid="{47717329-DD92-4ADE-9D67-00FBB201EAF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G1246" authorId="0" shapeId="0" xr:uid="{ADA94C43-0C2D-4BED-8FE8-2A752251343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18/21 $136,150,000</t>
        </r>
      </text>
    </comment>
    <comment ref="AE1249" authorId="0" shapeId="0" xr:uid="{2861E34A-FF33-4735-BA6F-4B26BF513BA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51" authorId="0" shapeId="0" xr:uid="{41FC6B1B-E948-479D-AD8B-CDE420F19AF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55" authorId="0" shapeId="0" xr:uid="{875D2C82-A550-4DF2-A3DD-6B258A91DBE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56" authorId="0" shapeId="0" xr:uid="{AFB80FF6-D896-44D9-8A01-8E36C48AB65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MAYO7/2021</t>
        </r>
      </text>
    </comment>
    <comment ref="AE1258" authorId="0" shapeId="0" xr:uid="{CB9FD9A2-593D-4496-9BBE-FAE7C30E62C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058MAYO 7/2021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Yolanda Baron Pedraza</author>
  </authors>
  <commentList>
    <comment ref="AH18" authorId="0" shapeId="0" xr:uid="{3D134718-01DD-4DEA-B31F-DDDC06D558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11356 JUNIO 18/2021 $100,000,000</t>
        </r>
      </text>
    </comment>
    <comment ref="AG20" authorId="0" shapeId="0" xr:uid="{297A88C6-7686-4683-94FF-227A6E41315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H25" authorId="0" shapeId="0" xr:uid="{7AC69E47-7C2E-4804-BBC7-0CDC3638C04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18/2021 $140,000,000</t>
        </r>
      </text>
    </comment>
    <comment ref="AH35" authorId="0" shapeId="0" xr:uid="{6BE8B07D-3511-4281-8A0E-0A8C017AA52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18/2021 $120,000,000</t>
        </r>
      </text>
    </comment>
    <comment ref="AH37" authorId="0" shapeId="0" xr:uid="{0791018D-44DD-4D51-B7AC-5C655478040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18/2021 $72,000,000</t>
        </r>
      </text>
    </comment>
    <comment ref="AH44" authorId="0" shapeId="0" xr:uid="{AEF090BC-F2F2-4E65-A88D-E1A3DE893D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18/2021 $70,000,000</t>
        </r>
      </text>
    </comment>
    <comment ref="AH53" authorId="0" shapeId="0" xr:uid="{E75C22C8-E486-4CA8-8A30-4430264AC9C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1135JUNIO 18/2021 $79,000,000</t>
        </r>
      </text>
    </comment>
    <comment ref="AH56" authorId="0" shapeId="0" xr:uid="{50968CAB-13FF-4F17-A3E0-5274C64E8E6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18/2021 $37,500,000</t>
        </r>
      </text>
    </comment>
    <comment ref="AH76" authorId="0" shapeId="0" xr:uid="{2B879C19-F273-4CD1-BAAF-0A4BC676898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del 12 mayo</t>
        </r>
      </text>
    </comment>
    <comment ref="AG84" authorId="0" shapeId="0" xr:uid="{5EFD4E38-960E-45CE-94F3-C6C7F108F88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18/2021 $72,000,000</t>
        </r>
      </text>
    </comment>
    <comment ref="AG89" authorId="0" shapeId="0" xr:uid="{162700A1-A69F-4030-86AA-2F033CD22A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18/2021 $70,000,000</t>
        </r>
      </text>
    </comment>
    <comment ref="AG91" authorId="0" shapeId="0" xr:uid="{86D58070-1962-468E-B6D0-65B8A380A74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</t>
        </r>
      </text>
    </comment>
    <comment ref="AG92" authorId="0" shapeId="0" xr:uid="{BCEE452F-4E3D-4160-8FEF-B4D4C5EF7A1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18/2021 $37,500,000</t>
        </r>
      </text>
    </comment>
    <comment ref="AG93" authorId="0" shapeId="0" xr:uid="{E1DB81BF-C93F-4233-8E1B-613737251E6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18/2021$260,000,000$79,000,000</t>
        </r>
      </text>
    </comment>
    <comment ref="AH95" authorId="0" shapeId="0" xr:uid="{065C90E6-7DB1-445F-A464-4100CB51B97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12/2021 $90,000,000
res 201 marzo 4/2021</t>
        </r>
      </text>
    </comment>
    <comment ref="AG96" authorId="0" shapeId="0" xr:uid="{A5421B17-A045-4677-A6CD-6296736DC3D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14/04/2021 $200,000,000
res 1135 jun 18/2021 $37,500,000</t>
        </r>
      </text>
    </comment>
    <comment ref="AH96" authorId="0" shapeId="0" xr:uid="{24475FBD-72AD-4B3C-A80E-675FA8AEEC4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12/2021 $490,000,000</t>
        </r>
      </text>
    </comment>
    <comment ref="AH97" authorId="0" shapeId="0" xr:uid="{B0FC0E22-3C93-47A0-A464-36145344972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</t>
        </r>
      </text>
    </comment>
    <comment ref="AG98" authorId="0" shapeId="0" xr:uid="{5A49D727-9D1F-42C8-9028-07D4BCE8104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069 feb 12/2021 $1,580,000,000
resol 308 marzo 12/2021 $150,000,000
RES 511 MARZO 19/2021 $300,000,000
RES 0201 MARZO 4/2021 $34,200,000</t>
        </r>
      </text>
    </comment>
    <comment ref="AH98" authorId="0" shapeId="0" xr:uid="{73E11291-E599-41B3-B232-9BBC887AE93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12/2021 $1,000,000,000
resol 308 marzo 12/2021 $450,000,000
resol 511 marzo 19/2021
res 201 4 marzo 2021</t>
        </r>
      </text>
    </comment>
    <comment ref="AE115" authorId="0" shapeId="0" xr:uid="{D303374F-141A-433A-9B8D-23A2FCECA23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16" authorId="0" shapeId="0" xr:uid="{AB2F3BA7-3CEC-4851-A0F7-51B07F55229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14/04/2021 $700000,000,00</t>
        </r>
      </text>
    </comment>
    <comment ref="AH127" authorId="0" shapeId="0" xr:uid="{F0B06793-F07F-4052-B1FE-8081C5AC56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15 abril/2021 $900,000,000</t>
        </r>
      </text>
    </comment>
    <comment ref="AE130" authorId="0" shapeId="0" xr:uid="{9B7B8263-A3CB-44D0-982E-B8A29E80EF3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E147" authorId="0" shapeId="0" xr:uid="{2A60706D-85C8-4432-8678-71DE29DD974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52" authorId="0" shapeId="0" xr:uid="{9E126A69-86FA-4A6E-B41B-57192B8D96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
res 915 mayo 12 $12,000,000</t>
        </r>
      </text>
    </comment>
    <comment ref="AG157" authorId="0" shapeId="0" xr:uid="{907AC62C-A634-4C3C-AD6F-F870362BC73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E178" authorId="0" shapeId="0" xr:uid="{7965F29C-EC50-4BEB-8C26-3FA59DC6C8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E185" authorId="0" shapeId="0" xr:uid="{9CD542A2-0793-4D2A-A6A2-F71C19021D8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86" authorId="0" shapeId="0" xr:uid="{854357F0-8850-487A-8B8F-D1588D8B074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H199" authorId="0" shapeId="0" xr:uid="{BA56FC1E-30DB-412A-BF18-9B4ED444902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18/2021 $40,000,000</t>
        </r>
      </text>
    </comment>
    <comment ref="AG201" authorId="0" shapeId="0" xr:uid="{DEB45E70-B75B-4FE1-B4DB-0799E53EC6E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204" authorId="0" shapeId="0" xr:uid="{B71B3C49-81C4-4A4E-9E18-95CF6FDF149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204" authorId="0" shapeId="0" xr:uid="{2CDFA7B2-C069-4486-A572-4572DAF33B5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12 de mayo </t>
        </r>
      </text>
    </comment>
    <comment ref="AG211" authorId="0" shapeId="0" xr:uid="{13B668AF-28D8-4C75-94AE-B88B4638F52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18/2021 $60,000,000</t>
        </r>
      </text>
    </comment>
    <comment ref="AG214" authorId="0" shapeId="0" xr:uid="{F577BAAB-D6CE-4890-AECE-77A3ABF32B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814 abril 30/2021</t>
        </r>
      </text>
    </comment>
    <comment ref="AG216" authorId="0" shapeId="0" xr:uid="{B7616C45-E8DB-44B3-BAEC-991AAB2E04E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G217" authorId="0" shapeId="0" xr:uid="{6A8D2284-13AD-4937-8789-400CFBA1DC7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219" authorId="0" shapeId="0" xr:uid="{18671CF0-D96A-42CE-9E9D-0B5F4AA81F7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15/2021
</t>
        </r>
      </text>
    </comment>
    <comment ref="AG225" authorId="0" shapeId="0" xr:uid="{895FD26B-541C-478E-B87B-AAC8D1F5E8A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12/2021 $200,000,000</t>
        </r>
      </text>
    </comment>
    <comment ref="AH225" authorId="0" shapeId="0" xr:uid="{226B1040-FE72-44D0-A1F3-0AD06A50B18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814 30 abril 2021 $200,000,000</t>
        </r>
      </text>
    </comment>
    <comment ref="AH229" authorId="0" shapeId="0" xr:uid="{4EAB3E41-FE34-427B-99BC-BA3E2CE1B7E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18/2021 $20,000,000</t>
        </r>
      </text>
    </comment>
    <comment ref="AG232" authorId="0" shapeId="0" xr:uid="{4741FB88-4F0C-4CDF-A19E-6033254BE0E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18/2021 $200,000,000</t>
        </r>
      </text>
    </comment>
    <comment ref="AH235" authorId="0" shapeId="0" xr:uid="{E4F3B69A-AAEC-494F-BE26-6C2F4A064C0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18/2021 $400,000,000</t>
        </r>
      </text>
    </comment>
    <comment ref="AG238" authorId="0" shapeId="0" xr:uid="{D8689BAE-5995-4909-B39B-F9493069694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18/2021$400,000,000</t>
        </r>
      </text>
    </comment>
    <comment ref="AE242" authorId="0" shapeId="0" xr:uid="{65A7C011-4189-4CE2-B7C2-B9E383111B9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G303" authorId="0" shapeId="0" xr:uid="{C8E7D845-5153-474C-9585-56AED480F00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19/2021 $36,194,360</t>
        </r>
      </text>
    </comment>
    <comment ref="AH303" authorId="0" shapeId="0" xr:uid="{892F67F7-FB29-4840-8523-073E60BDBBC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19/2021 $316,940,531,70</t>
        </r>
      </text>
    </comment>
    <comment ref="AE305" authorId="0" shapeId="0" xr:uid="{CC654A1D-9ED6-4C00-9038-690154198BD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311" authorId="0" shapeId="0" xr:uid="{4E0FEFD7-6FDD-4DEF-B461-3CEC4B562D4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G402" authorId="0" shapeId="0" xr:uid="{663EE7FB-6519-474C-B85C-D24DA39B465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12/2021 $2,000,000,000</t>
        </r>
      </text>
    </comment>
    <comment ref="AG409" authorId="0" shapeId="0" xr:uid="{36965055-FBFA-4D7A-99F1-9F0DDDE15C2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
</t>
        </r>
      </text>
    </comment>
    <comment ref="AE411" authorId="0" shapeId="0" xr:uid="{B886D312-34B1-46FB-9EFE-9D8E643BF56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12" authorId="0" shapeId="0" xr:uid="{FE49E884-964F-4A57-AAA6-2A6737C58CC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13" authorId="0" shapeId="0" xr:uid="{6003D46A-57A5-410B-BA92-4C24A61B12A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MAYO27/2021</t>
        </r>
      </text>
    </comment>
    <comment ref="AE416" authorId="0" shapeId="0" xr:uid="{1080C010-D0A9-4B6C-A08F-B99154D66AC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H429" authorId="0" shapeId="0" xr:uid="{0EF6F78A-24ED-4DE6-B319-4D62FD96E96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</t>
        </r>
      </text>
    </comment>
    <comment ref="AE436" authorId="0" shapeId="0" xr:uid="{C17FEFD6-6F6C-4868-A792-AAD22B29187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37" authorId="0" shapeId="0" xr:uid="{851E2CDD-2351-41F1-A0F8-61078FB4ABB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38" authorId="0" shapeId="0" xr:uid="{91418667-33FA-4039-8870-AF4736E043C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446" authorId="0" shapeId="0" xr:uid="{EC2E6FA3-4BAB-4EE8-B168-9AA7F445E20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19/2021 $27,102,938</t>
        </r>
      </text>
    </comment>
    <comment ref="AG450" authorId="0" shapeId="0" xr:uid="{CB526915-A714-438F-9062-FBC4645D263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22 ABRIL 2021 $417,383651,71</t>
        </r>
      </text>
    </comment>
    <comment ref="AE451" authorId="0" shapeId="0" xr:uid="{774DA30A-EFDC-40FC-8E1A-D4D7D721622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G456" authorId="0" shapeId="0" xr:uid="{43FC4688-85E9-42C1-AC28-1B862E25196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511 MARZO 19/2021</t>
        </r>
      </text>
    </comment>
    <comment ref="AH462" authorId="0" shapeId="0" xr:uid="{9A4AA423-F6EF-4E28-9142-A8BB129AAE1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19/2021 $155,990,000</t>
        </r>
      </text>
    </comment>
    <comment ref="AG464" authorId="0" shapeId="0" xr:uid="{69278D1F-1B88-4045-BDA5-413C2138ED6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22/2021 $1227,570,664,14</t>
        </r>
      </text>
    </comment>
    <comment ref="AE470" authorId="0" shapeId="0" xr:uid="{C0DA8D4D-51E8-4F29-B4AC-AD1A05D87A9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033 MARZO 1/2021</t>
        </r>
      </text>
    </comment>
    <comment ref="AH470" authorId="0" shapeId="0" xr:uid="{840D7093-1777-402B-AED6-BF35FAA8B4A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22/2021 $1,644,954,15,85</t>
        </r>
      </text>
    </comment>
    <comment ref="AE471" authorId="0" shapeId="0" xr:uid="{3F9FA71C-3FE7-4047-81C6-69E31CD9D39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H474" authorId="0" shapeId="0" xr:uid="{12C6E87F-4F11-4183-A48E-96D90F784F1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19/2021 $23,257,108</t>
        </r>
      </text>
    </comment>
    <comment ref="AE477" authorId="0" shapeId="0" xr:uid="{9FAF0CBB-6413-4EEE-98E0-2F4CD429307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481" authorId="0" shapeId="0" xr:uid="{2AE1AE8D-A33A-4EB8-9C96-0BA195DAAB5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H481" authorId="0" shapeId="0" xr:uid="{3A3B7C0E-C260-42CF-A968-CB22BCA840C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19/2021 $3,845,830</t>
        </r>
      </text>
    </comment>
    <comment ref="AH482" authorId="0" shapeId="0" xr:uid="{BA3A1D19-30B8-41D8-BDB5-9BF1E03B736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E491" authorId="0" shapeId="0" xr:uid="{8ED3DE97-3801-49C4-8390-FC3B4B2F36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492" authorId="0" shapeId="0" xr:uid="{04C78B8C-D6F1-4212-91A2-B88EC153007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00" authorId="0" shapeId="0" xr:uid="{56CEE3F1-D6EE-4BA9-9D04-B5F9E572B39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520 DEL 26 DE MARZO 2021 $1,5000,000,00</t>
        </r>
      </text>
    </comment>
    <comment ref="AE503" authorId="0" shapeId="0" xr:uid="{23F3CEBD-4238-4DC8-9CA3-930B44150C9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G505" authorId="0" shapeId="0" xr:uid="{2D59B3C1-22B3-41D3-B212-135D0A40545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0520 DEL 26 MARZO 2021 $1,500,000,000</t>
        </r>
      </text>
    </comment>
    <comment ref="AE508" authorId="0" shapeId="0" xr:uid="{8C949E67-9143-479E-AA35-E599060537B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14" authorId="0" shapeId="0" xr:uid="{1B5929BD-0858-4E07-9BBC-53958E41ED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33" authorId="0" shapeId="0" xr:uid="{5548EBE7-CF88-4B85-987F-F66B7E30DC8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068 MAYO 31/2021</t>
        </r>
      </text>
    </comment>
    <comment ref="AG535" authorId="0" shapeId="0" xr:uid="{8BA07E16-63F4-4B1E-836F-02D99BBE670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E537" authorId="0" shapeId="0" xr:uid="{C8A95D22-2545-4E5B-90D5-6F56D421A32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
DEC 068 MAYO 31/2021</t>
        </r>
      </text>
    </comment>
    <comment ref="AH537" authorId="0" shapeId="0" xr:uid="{E6EB8A6C-1789-4CE3-B6EF-78129E9C2F4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539" authorId="0" shapeId="0" xr:uid="{5D26E302-3DF0-432F-85AB-E3EA6D1E3CA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26 enero 26/21 $24,165,016
</t>
        </r>
      </text>
    </comment>
    <comment ref="AH541" authorId="0" shapeId="0" xr:uid="{6B7AABC8-060B-4798-9F10-927C23A3CF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H543" authorId="0" shapeId="0" xr:uid="{F2137184-EFA1-4BE4-8531-AAC2E4A7ECC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 del 26/01/2021 $9,296,364,215
resolu 027/ enero 27/2021 $1,362,635,323</t>
        </r>
      </text>
    </comment>
    <comment ref="AE544" authorId="0" shapeId="0" xr:uid="{89B1BED3-3CA3-455F-9895-E11B1443606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46" authorId="0" shapeId="0" xr:uid="{FB50716B-C8FC-46DF-BEBF-0B163E03F10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19/2021$15,401,381</t>
        </r>
      </text>
    </comment>
    <comment ref="AE547" authorId="0" shapeId="0" xr:uid="{8FC788B7-BD36-4491-BDF5-44D13D58AA0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068 MAYO 21</t>
        </r>
      </text>
    </comment>
    <comment ref="AG547" authorId="0" shapeId="0" xr:uid="{C018EC8A-33A6-4B8F-8CB9-B86BD95A066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26/2021 $20,296,364,215
</t>
        </r>
      </text>
    </comment>
    <comment ref="AE551" authorId="0" shapeId="0" xr:uid="{36F05318-4016-429C-87E3-7F081E0DA3D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53" authorId="0" shapeId="0" xr:uid="{DD220DDC-C90B-4948-90DE-554C3E3909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53" authorId="0" shapeId="0" xr:uid="{434EB39C-A633-4385-A613-EC65DBB802D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3/2021$8,000,000</t>
        </r>
      </text>
    </comment>
    <comment ref="AG555" authorId="0" shapeId="0" xr:uid="{AE574493-0CB4-4D34-BD55-4BDB2725950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27/2021 $1,555,449,996
</t>
        </r>
      </text>
    </comment>
    <comment ref="AG557" authorId="0" shapeId="0" xr:uid="{634A5742-25EC-49AB-8E82-7D075BB449F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26/2021 $95,000,000</t>
        </r>
      </text>
    </comment>
    <comment ref="AG559" authorId="0" shapeId="0" xr:uid="{7CA102AA-5F07-4720-A257-B2C7544692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27/2021 $1,331,864,802</t>
        </r>
      </text>
    </comment>
    <comment ref="AG561" authorId="0" shapeId="0" xr:uid="{648BB435-0AAC-4FEA-AC4C-A96588AAC3C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H561" authorId="0" shapeId="0" xr:uid="{DAC11521-89CD-4899-82F0-A01FA374E727}">
      <text>
        <r>
          <rPr>
            <b/>
            <sz val="9"/>
            <color indexed="81"/>
            <rFont val="Tahoma"/>
            <family val="2"/>
          </rPr>
          <t>Yolanda Baron Pedraza:res 915 mayo 12/2021</t>
        </r>
      </text>
    </comment>
    <comment ref="AE562" authorId="0" shapeId="0" xr:uid="{A647191A-567E-4E22-BCE2-85B0BB72823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0053 abril 29/21</t>
        </r>
      </text>
    </comment>
    <comment ref="AG562" authorId="0" shapeId="0" xr:uid="{3058C419-E922-473C-8F81-328517C55DD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3/2021 $50,000,000</t>
        </r>
      </text>
    </comment>
    <comment ref="AE563" authorId="0" shapeId="0" xr:uid="{0064EEC1-1DEB-4FE2-95B9-F48590CF500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65" authorId="0" shapeId="0" xr:uid="{A2F1286F-645F-43A4-AEF5-3790E55228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19/2021 $610,000,000</t>
        </r>
      </text>
    </comment>
    <comment ref="AE568" authorId="0" shapeId="0" xr:uid="{64530472-4097-4B50-9B17-85D639B163D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69" authorId="0" shapeId="0" xr:uid="{EF4BDE3D-3C86-4AC1-B85F-8B2496F899E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70" authorId="0" shapeId="0" xr:uid="{20C79D4B-DE95-4FCF-ABA5-8C1FD0D74AD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72" authorId="0" shapeId="0" xr:uid="{D60E53F8-44DE-48DE-911E-A396FC50B29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26/2021 $11,000,000,000
reso 27 enero 27/2021 $5,500,000,000</t>
        </r>
      </text>
    </comment>
    <comment ref="AG574" authorId="0" shapeId="0" xr:uid="{1A6323EE-F119-44C2-92CF-8933DA16973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26/2021 $22,204,778</t>
        </r>
      </text>
    </comment>
    <comment ref="AE575" authorId="0" shapeId="0" xr:uid="{A9B48925-99B8-4012-BC03-3FC13C82722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77" authorId="0" shapeId="0" xr:uid="{CD49F26A-0314-4B75-A4AF-ECB8B5B41A2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79" authorId="0" shapeId="0" xr:uid="{2DE5E0AD-4F86-423E-BD3A-7E95C383221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27/2021 $3,975,320,525
</t>
        </r>
      </text>
    </comment>
    <comment ref="AG581" authorId="0" shapeId="0" xr:uid="{47D6EA22-6E41-40EE-A206-B5DF98FDE48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584" authorId="0" shapeId="0" xr:uid="{34F716BD-B06E-4F1E-BCDE-D5A92EB1EE7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585" authorId="0" shapeId="0" xr:uid="{1A50C3B4-13DC-4D4A-A2C7-7F7C90F4A1B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
dec 068 mayo 31/2021</t>
        </r>
      </text>
    </comment>
    <comment ref="AG587" authorId="0" shapeId="0" xr:uid="{F9BB4D27-3059-42D9-8325-54074FCFB73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26/2021 $60,325,921,15
resol 915 $40,465,552</t>
        </r>
      </text>
    </comment>
    <comment ref="AH592" authorId="0" shapeId="0" xr:uid="{EDB83863-B53C-4831-962E-B7A1C68263B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18/2021 $265,538,240
reso 773 abril 22/2021 $219,103,236,80</t>
        </r>
      </text>
    </comment>
    <comment ref="AE594" authorId="0" shapeId="0" xr:uid="{31ED27FF-031C-4020-9E71-B7970A9F8D8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E595" authorId="0" shapeId="0" xr:uid="{DD323038-A645-4040-AD49-FC760426740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597" authorId="0" shapeId="0" xr:uid="{35568E23-4D38-424C-AF7F-0F1FBFC7A63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H597" authorId="0" shapeId="0" xr:uid="{55BCB6E7-C093-4C22-9BCB-D15BBFF04E5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18/2021 $1,886,000,000</t>
        </r>
      </text>
    </comment>
    <comment ref="AE603" authorId="0" shapeId="0" xr:uid="{720693A0-8E56-40F3-A621-055F82506F5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03" authorId="0" shapeId="0" xr:uid="{71AF55CE-4A22-4242-BC41-ECA433C2B4A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3/2021 $40,000,000</t>
        </r>
      </text>
    </comment>
    <comment ref="AG605" authorId="0" shapeId="0" xr:uid="{2F0E271E-740E-4524-871C-1F9B1FEED46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27 enero 27/2021 $503,000,000,00</t>
        </r>
      </text>
    </comment>
    <comment ref="AH605" authorId="0" shapeId="0" xr:uid="{2F937AB3-A1FD-40F5-8574-6C7A4B0D593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0915 mayo 12/2021</t>
        </r>
      </text>
    </comment>
    <comment ref="AH607" authorId="0" shapeId="0" xr:uid="{95DBC8BB-3630-4D46-8318-C6B901BA481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mayo12/2021</t>
        </r>
      </text>
    </comment>
    <comment ref="AG608" authorId="0" shapeId="0" xr:uid="{593B0316-21F0-4BE1-BFB9-C7D1AE79894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</t>
        </r>
      </text>
    </comment>
    <comment ref="AG610" authorId="0" shapeId="0" xr:uid="{933B48D0-4C19-443B-B959-1536388CAB4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12/2021 $1,556,000,000,00</t>
        </r>
      </text>
    </comment>
    <comment ref="AE612" authorId="0" shapeId="0" xr:uid="{BC35926A-FC45-4D9D-B06C-5E1CD8F119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12" authorId="0" shapeId="0" xr:uid="{D2771F9E-97FC-4F1D-B32C-5A4EBD566C3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3/2021 $40,000,000</t>
        </r>
      </text>
    </comment>
    <comment ref="AG614" authorId="0" shapeId="0" xr:uid="{2BC4F706-35C6-4C6E-A941-215D090D916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26/2021 $91,680,424
RESOL 511 MARZO 19/2021</t>
        </r>
      </text>
    </comment>
    <comment ref="AH614" authorId="0" shapeId="0" xr:uid="{E577E438-2A5C-4FD5-97E1-A84261D069E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0915 mayo 12</t>
        </r>
      </text>
    </comment>
    <comment ref="AH616" authorId="0" shapeId="0" xr:uid="{36A769E1-C327-43CA-951D-2A61ACF80A1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26/2021 $329,895,811,15
resol 027 enero 27/21 $2,003,000,000
resol 511 marzo 19/2021 $800,401,381
resol 915 mayo 12/2021 $119,719,609</t>
        </r>
      </text>
    </comment>
    <comment ref="AH617" authorId="0" shapeId="0" xr:uid="{E22F07E2-C73B-4421-B698-E287A1F43CF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618" authorId="0" shapeId="0" xr:uid="{BC1466F6-30D7-4EE8-ACEF-25FA07FF261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620" authorId="0" shapeId="0" xr:uid="{5E35828F-2114-44C8-91B7-68DE96102EC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26/2021 $36,519,672</t>
        </r>
      </text>
    </comment>
    <comment ref="AG622" authorId="0" shapeId="0" xr:uid="{076FA4D4-5E3D-4891-BF6C-1DFA2B6ED89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
</t>
        </r>
      </text>
    </comment>
    <comment ref="AG624" authorId="0" shapeId="0" xr:uid="{E7E9150E-F67C-4E01-9D23-94ABF0B302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18/2021 $265,538,240</t>
        </r>
      </text>
    </comment>
    <comment ref="AH625" authorId="0" shapeId="0" xr:uid="{209CF483-63AA-48C1-926A-B494BBA6BFE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18/2021 $53,364,831</t>
        </r>
      </text>
    </comment>
    <comment ref="AG627" authorId="0" shapeId="0" xr:uid="{8E65B7D6-1C47-4736-83B7-7688B039FDB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27/2021 $1,500,000,000</t>
        </r>
      </text>
    </comment>
    <comment ref="AE629" authorId="0" shapeId="0" xr:uid="{07F0F81B-F4C6-4400-8691-7A2B89BB87A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629" authorId="0" shapeId="0" xr:uid="{58895028-34D4-4E34-BAF9-72EC6AAA7C3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630" authorId="0" shapeId="0" xr:uid="{B41A9EB6-CB89-433C-9EF4-3DDDE77EB68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30" authorId="0" shapeId="0" xr:uid="{3166A6D7-322C-42E0-A9DB-04D9CC22982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631" authorId="0" shapeId="0" xr:uid="{3EDEB265-38C3-4672-8F6C-E75383E4679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E637" authorId="0" shapeId="0" xr:uid="{E210481D-D079-4F69-90C3-55F33A85F97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40" authorId="0" shapeId="0" xr:uid="{68294B28-0024-4C62-BFA6-A7013FACAB1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</t>
        </r>
      </text>
    </comment>
    <comment ref="AE641" authorId="0" shapeId="0" xr:uid="{679C3269-FDAC-4AA1-B798-5EBAD3A37CE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43" authorId="0" shapeId="0" xr:uid="{C106B224-4DE7-4EBC-8C23-17BD1B87E99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47" authorId="0" shapeId="0" xr:uid="{4A969872-5C6D-446D-901B-8033675898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49" authorId="0" shapeId="0" xr:uid="{683CC960-F22A-4DF1-84C6-6D59523EFBD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18/2021 $466,710,000</t>
        </r>
      </text>
    </comment>
    <comment ref="AH651" authorId="0" shapeId="0" xr:uid="{2DD93A8F-E9F8-4805-A97D-8FB256FED6C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18/2021 $4,680,084,481,80
resol 511 marzo 19/2021 $76,000,000
res 773 abril 22/2021 $907,367,029,20</t>
        </r>
      </text>
    </comment>
    <comment ref="AE652" authorId="0" shapeId="0" xr:uid="{A0B88E8C-7A0C-4168-9C73-7DCCBEB1C67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053/2021</t>
        </r>
      </text>
    </comment>
    <comment ref="AG654" authorId="0" shapeId="0" xr:uid="{DFF77EFC-747D-4D09-8B6A-04C2C8EFD97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18/2021 $4,680,084,481,80
RES 773 ABRIL 22/2021 $1,126,470,266
</t>
        </r>
      </text>
    </comment>
    <comment ref="AE656" authorId="0" shapeId="0" xr:uid="{213AAB7D-02C7-40E9-8D1A-F6C4232EB39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E658" authorId="0" shapeId="0" xr:uid="{5F5CEF11-C660-4C7D-A783-E4D99A91C7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053/ ABRIL 29/2021
</t>
        </r>
      </text>
    </comment>
    <comment ref="AG658" authorId="0" shapeId="0" xr:uid="{F109D976-BC0D-42EA-AE14-0A0F5A71C4B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11355 JUN 18/2021 $1,886,000,000</t>
        </r>
      </text>
    </comment>
    <comment ref="AG662" authorId="0" shapeId="0" xr:uid="{ADB31A0B-FAC3-4CE4-8AB0-F781E5C9D1F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
</t>
        </r>
      </text>
    </comment>
    <comment ref="AE685" authorId="0" shapeId="0" xr:uid="{477224FE-A731-435E-8387-2C66973B402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693" authorId="0" shapeId="0" xr:uid="{F204226D-7283-4358-97C8-9BB578524BC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698" authorId="0" shapeId="0" xr:uid="{EDCFE5CE-0BAD-4873-8A26-22D856D9563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12/2021 $250,000,000</t>
        </r>
      </text>
    </comment>
    <comment ref="AH698" authorId="0" shapeId="0" xr:uid="{BFB19AF3-792B-4B1C-8828-AF28CB9CB86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702" authorId="0" shapeId="0" xr:uid="{C3B4A299-84A6-422E-9B05-ACF68F3D007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18/2021$200,000,000</t>
        </r>
      </text>
    </comment>
    <comment ref="AG706" authorId="0" shapeId="0" xr:uid="{C8CC3489-2E04-477F-B6C2-95AA5D2C8A4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</t>
        </r>
      </text>
    </comment>
    <comment ref="AE709" authorId="0" shapeId="0" xr:uid="{CA7A3CF7-DBE6-4BF8-8C19-33FDFEC44DE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712" authorId="0" shapeId="0" xr:uid="{CAFBF579-565D-4DB5-BD2F-FD785EFB3B3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H717" authorId="0" shapeId="0" xr:uid="{9B4618BC-9977-45FC-855A-5DCB90C3DEA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18/2021 $229,000,000</t>
        </r>
      </text>
    </comment>
    <comment ref="AG725" authorId="0" shapeId="0" xr:uid="{925AD6A0-2B03-44E0-9B4B-21ECB0C3586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12/2021 $932,000,000</t>
        </r>
      </text>
    </comment>
    <comment ref="AH725" authorId="0" shapeId="0" xr:uid="{5C4459DC-2F2E-40E6-8A26-D5E464967D0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resoñl 1135 jun 18/2021 $60,000,000</t>
        </r>
      </text>
    </comment>
    <comment ref="AE732" authorId="0" shapeId="0" xr:uid="{FB0A587A-9B06-4735-A826-830215E83B0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732" authorId="0" shapeId="0" xr:uid="{38DF66F2-3D97-4A6F-A481-F30FD3654F6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18/2021 $145,000,000</t>
        </r>
      </text>
    </comment>
    <comment ref="AG734" authorId="0" shapeId="0" xr:uid="{97AF40A8-B85D-443A-9795-0FAAFD9F19A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 1135 JUN 18/2021 $60,000,000</t>
        </r>
      </text>
    </comment>
    <comment ref="AE738" authorId="0" shapeId="0" xr:uid="{5E5DDEC7-5623-4D28-83CC-9DD59BC039E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739" authorId="0" shapeId="0" xr:uid="{7E677C51-757B-4114-95E9-BF6826C4158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740" authorId="0" shapeId="0" xr:uid="{72EADEA4-C43E-4671-9815-7C4C6A686F8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742" authorId="0" shapeId="0" xr:uid="{C0DB9081-94F0-4266-8746-A158EF9D46C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12/2021 $20,000,000</t>
        </r>
      </text>
    </comment>
    <comment ref="AE744" authorId="0" shapeId="0" xr:uid="{C35F18AC-8A27-4BBC-81AC-29306EDC087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746" authorId="0" shapeId="0" xr:uid="{5537F6D9-A9DF-49D0-9319-75BBDC2D95B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
RES 915 MAYO 12/2021</t>
        </r>
      </text>
    </comment>
    <comment ref="AE748" authorId="0" shapeId="0" xr:uid="{D2CB12F5-121F-4BAE-A7FC-7D9BED07FCF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753" authorId="0" shapeId="0" xr:uid="{FC9DD948-A550-4D5E-8DAB-F9C93E18902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756" authorId="0" shapeId="0" xr:uid="{2FCE5586-8ACB-4061-840A-E95FCEC2902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756" authorId="0" shapeId="0" xr:uid="{A5BE164E-454B-440B-851C-118EF0EC9E5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18/2021$25,000,000</t>
        </r>
      </text>
    </comment>
    <comment ref="AG760" authorId="0" shapeId="0" xr:uid="{C4AA09E3-93F2-4767-B18B-B7E170CDA65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12/20221 $42,000,000
RESOL 915 MAYO 12/2021</t>
        </r>
      </text>
    </comment>
    <comment ref="AG761" authorId="0" shapeId="0" xr:uid="{0218CFFC-93F6-4567-BAC5-5FE8F1C7169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18/2021 $120000000
</t>
        </r>
      </text>
    </comment>
    <comment ref="AE766" authorId="0" shapeId="0" xr:uid="{7E2009A7-D94C-4DB2-94DA-3106062699E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779" authorId="0" shapeId="0" xr:uid="{737780CD-43B6-4BFA-970C-89A9F0EE99E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26/21 $75000,000</t>
        </r>
      </text>
    </comment>
    <comment ref="AG781" authorId="0" shapeId="0" xr:uid="{67B2FB18-20C0-4744-8209-1D5C669B6E3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
RES 773 ABRIL 22/21 $46,856,431,56</t>
        </r>
      </text>
    </comment>
    <comment ref="AG790" authorId="0" shapeId="0" xr:uid="{7D3C9CB8-777C-4B35-81AE-B541B597BBE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</t>
        </r>
      </text>
    </comment>
    <comment ref="AG791" authorId="0" shapeId="0" xr:uid="{3AC83C77-E736-4223-80CD-BB02CCB8F3F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
</t>
        </r>
      </text>
    </comment>
    <comment ref="AG793" authorId="0" shapeId="0" xr:uid="{7AFD30DE-2DA9-4D46-95CE-211B3040CF9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RES1135 JUN 18/2021 $65,000,000</t>
        </r>
      </text>
    </comment>
    <comment ref="AG795" authorId="0" shapeId="0" xr:uid="{6F522493-32E8-41AC-A489-05D054EA82B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
350,000,000</t>
        </r>
      </text>
    </comment>
    <comment ref="AG797" authorId="0" shapeId="0" xr:uid="{83241022-63F2-489A-A07D-95A09CCB386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18/2021 $1,067,000,000</t>
        </r>
      </text>
    </comment>
    <comment ref="AG799" authorId="0" shapeId="0" xr:uid="{416DA70C-0952-42ED-B1ED-39DF68EEF6C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18/2021 $148,000,000</t>
        </r>
      </text>
    </comment>
    <comment ref="AA801" authorId="0" shapeId="0" xr:uid="{A1718CB2-B4B6-48F2-89F5-2C5AB2C8752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esta en fondo gestion del riesgo
</t>
        </r>
      </text>
    </comment>
    <comment ref="AG801" authorId="0" shapeId="0" xr:uid="{2436D3B0-2166-4C4E-A644-93CDAF91966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G806" authorId="0" shapeId="0" xr:uid="{6A7FA097-F24B-4AB1-8C7F-303866C24DF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18/2021 $30,000,000</t>
        </r>
      </text>
    </comment>
    <comment ref="AH813" authorId="0" shapeId="0" xr:uid="{44676B3F-DDC4-4EE4-9F57-BE2511BB474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21/2021</t>
        </r>
      </text>
    </comment>
    <comment ref="AG818" authorId="0" shapeId="0" xr:uid="{147AF82F-12F7-48FC-A3C1-E25AE505C57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22/2021 $118,300,000</t>
        </r>
      </text>
    </comment>
    <comment ref="AG820" authorId="0" shapeId="0" xr:uid="{93DABBBF-CC50-463F-A4F7-2810C251255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 773 ABRIL 22/2021 $140,000,000</t>
        </r>
      </text>
    </comment>
    <comment ref="AH826" authorId="0" shapeId="0" xr:uid="{E7A93A87-6675-4CE4-ABFE-8413E41E894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18/2021 $30,000,000</t>
        </r>
      </text>
    </comment>
    <comment ref="AH828" authorId="0" shapeId="0" xr:uid="{A156C200-F640-4039-8D7D-A038942DFAE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
res 773 abril 22/21 $46,856,431,56</t>
        </r>
      </text>
    </comment>
    <comment ref="AG830" authorId="0" shapeId="0" xr:uid="{F34E2B13-A413-4D67-A8C2-525884341E0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eneroo 26/2021 $4,400,000</t>
        </r>
      </text>
    </comment>
    <comment ref="AG832" authorId="0" shapeId="0" xr:uid="{B24369AA-4E3B-4A4A-BEF1-6FA307A270A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26/2021 $88,500,000</t>
        </r>
      </text>
    </comment>
    <comment ref="AH832" authorId="0" shapeId="0" xr:uid="{B4E17EC9-10A8-4468-A5E5-00A918F8FB4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22/2021 $20,700,000</t>
        </r>
      </text>
    </comment>
    <comment ref="AG833" authorId="0" shapeId="0" xr:uid="{576D1877-45E4-45E0-B362-656407B6EF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21/21
</t>
        </r>
      </text>
    </comment>
    <comment ref="AG836" authorId="0" shapeId="0" xr:uid="{71D4F056-F17C-4D93-B08F-00DEA17A358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
RES 936 MAYO 21</t>
        </r>
      </text>
    </comment>
    <comment ref="AH836" authorId="0" shapeId="0" xr:uid="{C548BB1E-5952-496E-BD06-722536CEEF3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26/2021 $900,000,00
res 773 abril 22/2021 $258,300,000</t>
        </r>
      </text>
    </comment>
    <comment ref="AE837" authorId="0" shapeId="0" xr:uid="{90B48A3A-7D7D-41AA-9B8F-1FE7B340402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845" authorId="0" shapeId="0" xr:uid="{484DE054-2AAE-40E6-B261-76F3C4CB798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22/2021 $20,700,000</t>
        </r>
      </text>
    </comment>
    <comment ref="AH845" authorId="0" shapeId="0" xr:uid="{A034045B-15A0-4563-86E5-622E9BE6E6B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026enero 26/2021 $17,000,000
resol 936 mayo 21/2021</t>
        </r>
      </text>
    </comment>
    <comment ref="AE846" authorId="0" shapeId="0" xr:uid="{EA70BBFB-43B3-46B3-9340-7A119D6312F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852" authorId="0" shapeId="0" xr:uid="{BE41063C-2B40-4C83-B80E-991F57AC67C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862" authorId="0" shapeId="0" xr:uid="{261D9BE3-B07B-4370-BDD4-548234ECF94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
res 1135 $283,500,000</t>
        </r>
      </text>
    </comment>
    <comment ref="AJ862" authorId="0" shapeId="0" xr:uid="{A2F1E81D-7BE1-4185-B503-16FFA46DD6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no lo tiene ruben</t>
        </r>
      </text>
    </comment>
    <comment ref="AG864" authorId="0" shapeId="0" xr:uid="{86449758-D54E-414C-A0CD-942C7C8448A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18/2021 $770,000,000
</t>
        </r>
      </text>
    </comment>
    <comment ref="AG869" authorId="0" shapeId="0" xr:uid="{9C41BC45-290E-4F35-BA77-32FE9804B26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18/2021 $24,729,623</t>
        </r>
      </text>
    </comment>
    <comment ref="AH874" authorId="0" shapeId="0" xr:uid="{F9F209D1-6442-45D7-8D1F-7E9C2402D4D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18/2021 $163,270,377</t>
        </r>
      </text>
    </comment>
    <comment ref="AG881" authorId="0" shapeId="0" xr:uid="{622490E5-E144-4553-8C29-39E2A0795B0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22/2021 $222,721,043</t>
        </r>
      </text>
    </comment>
    <comment ref="AH881" authorId="0" shapeId="0" xr:uid="{A53C5B04-A969-4F92-8F54-5C8B1E73FB7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r74,931,884</t>
        </r>
      </text>
    </comment>
    <comment ref="AG895" authorId="0" shapeId="0" xr:uid="{CB15BF95-400C-41E9-BDB4-D5A5E701A11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 21
res 1135 junio 18/2021 $170,000,000</t>
        </r>
      </text>
    </comment>
    <comment ref="AH897" authorId="0" shapeId="0" xr:uid="{E543E1C4-62CD-4790-9108-52DE425F8C0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FEBR 18/2021 RES 143 $794,729,623</t>
        </r>
      </text>
    </comment>
    <comment ref="AE903" authorId="0" shapeId="0" xr:uid="{1FF6E6BF-5BF7-4BDC-80D0-59B6348A022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903" authorId="0" shapeId="0" xr:uid="{BD54ACE5-7CAC-4368-BD2D-D107A1380D0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12/2021
RES 1135 JUNIO 18/2021 $4,989,317,258</t>
        </r>
      </text>
    </comment>
    <comment ref="AH905" authorId="0" shapeId="0" xr:uid="{1B886118-D322-4E34-97F7-B513888C2D0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18/2021 $221,572,545
res 773 abril 22 de 2021 $222,721,043</t>
        </r>
      </text>
    </comment>
    <comment ref="AE908" authorId="0" shapeId="0" xr:uid="{7E164709-72A4-497F-84CE-4344BEF71AE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909" authorId="0" shapeId="0" xr:uid="{806DC3A0-D16A-45DB-B3A8-550C559B7D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913" authorId="0" shapeId="0" xr:uid="{D0223B8C-4100-41C4-9B4A-9D552E99560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18/2021 $408,029,872,00</t>
        </r>
      </text>
    </comment>
    <comment ref="AG927" authorId="0" shapeId="0" xr:uid="{C0039E0C-8C20-468A-A1CB-5AE4A0DACF7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</t>
        </r>
      </text>
    </comment>
    <comment ref="AE933" authorId="0" shapeId="0" xr:uid="{FCA9BDAC-FA94-4026-A7D1-DFDF5A7B4A9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
</t>
        </r>
      </text>
    </comment>
    <comment ref="AH933" authorId="0" shapeId="0" xr:uid="{DBBF9322-EE79-4B66-9407-7DFE3BDAA52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21/2021</t>
        </r>
      </text>
    </comment>
    <comment ref="AE943" authorId="0" shapeId="0" xr:uid="{1899EBD0-5DC9-45B8-B689-86E1CA6045E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962" authorId="0" shapeId="0" xr:uid="{F6DC2A6F-374A-4444-9488-2792CBE83CB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18/2021 $557,151,874</t>
        </r>
      </text>
    </comment>
    <comment ref="AG966" authorId="0" shapeId="0" xr:uid="{D7183AAE-D9FC-4F1A-8E6D-22EAAAADAF7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E972" authorId="0" shapeId="0" xr:uid="{47190FC7-17B9-497B-A647-237198362D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973" authorId="0" shapeId="0" xr:uid="{615E382D-47B3-4927-82B9-51D46B19FF4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997" authorId="0" shapeId="0" xr:uid="{EE0D4067-95D8-4C15-9070-2B17983B9FC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12/21$2,080,000,000</t>
        </r>
      </text>
    </comment>
    <comment ref="AH997" authorId="0" shapeId="0" xr:uid="{CBC68FD1-1482-49A9-BC53-28865877C38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4/2021 $1,800,000,000,00res 936 mayo 21/2021</t>
        </r>
      </text>
    </comment>
    <comment ref="AG999" authorId="0" shapeId="0" xr:uid="{1110D311-0190-4C77-95F4-D90230BE43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12/2021 $2,580,000,000</t>
        </r>
      </text>
    </comment>
    <comment ref="AH999" authorId="0" shapeId="0" xr:uid="{36FBF589-153C-4AF3-A0AB-C3588156B88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1001" authorId="0" shapeId="0" xr:uid="{83B97540-B7FC-4D5A-A377-20FAA9BC167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RESOL 936 MAYO 21/21</t>
        </r>
      </text>
    </comment>
    <comment ref="AG1005" authorId="0" shapeId="0" xr:uid="{5E5DF7C6-B0DC-4F55-A8BC-7744E0A91C4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1007" authorId="0" shapeId="0" xr:uid="{79553D9F-C5DA-4867-8A47-4F58CEC9721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21/21</t>
        </r>
      </text>
    </comment>
    <comment ref="AG1009" authorId="0" shapeId="0" xr:uid="{879392C5-2CB5-40EF-9DEB-7AF23F345FD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12/2021 $140,000,000</t>
        </r>
      </text>
    </comment>
    <comment ref="AE1012" authorId="0" shapeId="0" xr:uid="{0C80F090-36F9-47FC-856E-809C2DB45D1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014" authorId="0" shapeId="0" xr:uid="{1D23349E-34F5-492C-8D9C-7EA59719223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</t>
        </r>
      </text>
    </comment>
    <comment ref="AG1017" authorId="0" shapeId="0" xr:uid="{8E5E5EBA-B40B-4809-9AAF-65679E61B69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</t>
        </r>
      </text>
    </comment>
    <comment ref="AE1022" authorId="0" shapeId="0" xr:uid="{E92C2F9A-A104-4AF5-AF39-F7BBE0D31E2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33" authorId="0" shapeId="0" xr:uid="{C392DDFF-AAAE-4A29-8E90-AADB605146A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12/2021 $10,000,000,000,00
resol 308 marzo 12/2021 $500,000,000
resolucion 737/ 15/04/2021 $431,000,000</t>
        </r>
      </text>
    </comment>
    <comment ref="AE1034" authorId="0" shapeId="0" xr:uid="{C69555C5-6285-4157-9201-6B9DA00B90B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34" authorId="0" shapeId="0" xr:uid="{0CF0789E-957D-4AE7-A6AB-37117381BC9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18/2021 $200,000,000</t>
        </r>
      </text>
    </comment>
    <comment ref="AH1038" authorId="0" shapeId="0" xr:uid="{A1D9A5F0-BC60-4636-A696-72F828A2B39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1039" authorId="0" shapeId="0" xr:uid="{798F69FC-D3D9-433B-9D00-91532A54CA1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39" authorId="0" shapeId="0" xr:uid="{2ADFA9CE-E037-4011-B969-B05E11DC726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1048" authorId="0" shapeId="0" xr:uid="{28EF4A6C-48B7-4230-9064-B56E89382C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054" authorId="0" shapeId="0" xr:uid="{FA112BE5-D95B-4099-959F-8D5A2770FEC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065" authorId="0" shapeId="0" xr:uid="{34079D85-8299-4C04-8FE3-F8BA44D672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1066" authorId="0" shapeId="0" xr:uid="{907C4F9D-5DF2-4B28-8D17-9B383F1196E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067" authorId="0" shapeId="0" xr:uid="{9BCF7D79-41EC-4798-B394-DB3E564DAF8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69" authorId="0" shapeId="0" xr:uid="{C9F0CD20-4106-4D2D-898C-B2DA22EF54A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01/26/2021</t>
        </r>
      </text>
    </comment>
    <comment ref="AE1073" authorId="0" shapeId="0" xr:uid="{46B7FB55-595A-4A10-BA3A-3762501A0D5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ABRIL29/2021</t>
        </r>
      </text>
    </comment>
    <comment ref="AG1075" authorId="0" shapeId="0" xr:uid="{569873A7-6742-408A-B69E-F6EAD4DC598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18/2021 $204,500,000</t>
        </r>
      </text>
    </comment>
    <comment ref="AH1075" authorId="0" shapeId="0" xr:uid="{459F2267-B3C8-472A-BFD1-7CD6FFD9D09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</t>
        </r>
      </text>
    </comment>
    <comment ref="AG1077" authorId="0" shapeId="0" xr:uid="{76C151AA-A280-4388-BC20-AAFF8BB25E5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26/2021 $3,086,332,698</t>
        </r>
      </text>
    </comment>
    <comment ref="AE1078" authorId="0" shapeId="0" xr:uid="{0787F0FF-C6F7-4665-8C75-955D1E18401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080" authorId="0" shapeId="0" xr:uid="{232B0BBE-D53D-4E22-9F22-C30A6890FC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26/2021 $501,500,000</t>
        </r>
      </text>
    </comment>
    <comment ref="AH1080" authorId="0" shapeId="0" xr:uid="{E8060141-8713-40D9-8577-D6CF88E1FD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18/2021 $204,500,000</t>
        </r>
      </text>
    </comment>
    <comment ref="AE1082" authorId="0" shapeId="0" xr:uid="{FD90E7FB-29B1-4C61-9643-D62498DA0D9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84" authorId="0" shapeId="0" xr:uid="{8D118EE6-33CE-4AC6-8B65-493F0A7802E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</t>
        </r>
      </text>
    </comment>
    <comment ref="AG1086" authorId="0" shapeId="0" xr:uid="{CFC8C4AA-D702-495B-8DE4-E2AC0BD52AF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26/2021 $221,000,000</t>
        </r>
      </text>
    </comment>
    <comment ref="AE1089" authorId="0" shapeId="0" xr:uid="{F353BF70-8FC4-4177-BA71-F2B3B037CE1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1104" authorId="0" shapeId="0" xr:uid="{50D7E7F4-ED2A-4971-81E0-4A6D5D4A847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20" authorId="0" shapeId="0" xr:uid="{AFF920D9-CEA6-4A11-A7C4-C5AB2310217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21" authorId="0" shapeId="0" xr:uid="{E7489E7C-21C4-4253-A2DC-30E5E1DD222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22" authorId="0" shapeId="0" xr:uid="{DF400E76-931B-485F-BC32-5334F6CFF6D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41" authorId="0" shapeId="0" xr:uid="{FC9B95F4-F7E8-4DDD-AD05-17299AF51D5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45" authorId="0" shapeId="0" xr:uid="{1D67927E-2D1F-4012-B9FA-D98E2185504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49" authorId="0" shapeId="0" xr:uid="{80F74FD1-B15C-41B1-8398-F37973443CF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52" authorId="0" shapeId="0" xr:uid="{BA7A740F-CF00-46C5-ACAB-3D9F5F62A7C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56" authorId="0" shapeId="0" xr:uid="{ED676CDC-91D0-4D47-B137-E1896BBC131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58" authorId="0" shapeId="0" xr:uid="{D5E772FD-9F41-4EFA-8DA9-D5A1B0BAFC2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62" authorId="0" shapeId="0" xr:uid="{35CCB8A4-491B-4848-B0F3-1F062CE300E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1186" authorId="0" shapeId="0" xr:uid="{222DFB26-EEDE-487E-B5D3-329881AD87F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737 15/04/2021 $431,000,000
RES 1068 JUN 3/2021 $18,000,000</t>
        </r>
      </text>
    </comment>
    <comment ref="AH1186" authorId="0" shapeId="0" xr:uid="{2A837040-5F3B-42D0-86D5-3DD1E6C9884A}">
      <text>
        <r>
          <rPr>
            <b/>
            <sz val="9"/>
            <color indexed="81"/>
            <rFont val="Tahoma"/>
            <family val="2"/>
          </rPr>
          <t>Yolanda Baron Pedraza
resol 915 mayo 12</t>
        </r>
      </text>
    </comment>
    <comment ref="AG1188" authorId="0" shapeId="0" xr:uid="{44F848D5-B7A5-4FCF-A281-CEDE8159146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763 21 ABRIL  $431,000,000
res 915 mayo 12/2021 $9,000,000</t>
        </r>
      </text>
    </comment>
    <comment ref="AH1188" authorId="0" shapeId="0" xr:uid="{062DBA6F-1061-459D-83A6-4D8AC48FE4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</t>
        </r>
      </text>
    </comment>
    <comment ref="AG1217" authorId="0" shapeId="0" xr:uid="{DFF1A4B9-9349-4F1C-975B-1202FEAD154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026 enero 26/2021 $5,536,570,240</t>
        </r>
      </text>
    </comment>
    <comment ref="AH1222" authorId="0" shapeId="0" xr:uid="{506964A4-C03B-4E4F-9994-71A5817E58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
</t>
        </r>
      </text>
    </comment>
    <comment ref="AE1225" authorId="0" shapeId="0" xr:uid="{1365588F-9E2B-45E4-95CF-7C0799D05C9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29" authorId="0" shapeId="0" xr:uid="{8C4C4E78-79BF-40D0-8689-A72E2A7217A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30" authorId="0" shapeId="0" xr:uid="{7BC35291-F9AE-4798-8C97-080A0670A05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MAYO7/2021</t>
        </r>
      </text>
    </comment>
    <comment ref="AE1236" authorId="0" shapeId="0" xr:uid="{27FC897B-77E5-440E-9FFC-6A884676DA3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058MAYO 7/2021</t>
        </r>
      </text>
    </comment>
    <comment ref="AE1237" authorId="0" shapeId="0" xr:uid="{D89C0DF7-1F68-4516-BA9A-585D7468C53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41" authorId="0" shapeId="0" xr:uid="{D440BA01-186D-468D-A9A9-899786FAFB2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42" authorId="0" shapeId="0" xr:uid="{B81A6D20-64BD-4437-9185-8A0CBFFE2E7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43" authorId="0" shapeId="0" xr:uid="{A9BEFDDB-E40D-44B8-89A0-DFA56F75635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47" authorId="0" shapeId="0" xr:uid="{A23CCBC6-2070-4CDE-9188-55E5853E39F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50" authorId="0" shapeId="0" xr:uid="{FE99A1D0-A64A-4A24-917B-04A49031CFD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H1253" authorId="0" shapeId="0" xr:uid="{59A8EFF3-BE5A-4A79-B358-4717E11801B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18/2021 $136,150,000
</t>
        </r>
      </text>
    </comment>
    <comment ref="AE1256" authorId="0" shapeId="0" xr:uid="{E8B95840-4EA2-4CA4-9D9C-3A8267CC9DD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 C 058 MAYO 7/2021</t>
        </r>
      </text>
    </comment>
    <comment ref="AE1257" authorId="0" shapeId="0" xr:uid="{82B1C664-D03F-426B-B747-273ACDED77E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58" authorId="0" shapeId="0" xr:uid="{B64EF0FD-C419-4414-B60F-A0652979682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058 MAYO 7/2021</t>
        </r>
      </text>
    </comment>
    <comment ref="AE1262" authorId="0" shapeId="0" xr:uid="{731DE216-BE29-410E-9640-F6BC97B0D20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66" authorId="0" shapeId="0" xr:uid="{E99E6BCF-B22C-446D-8FC6-0C7804E8594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67" authorId="0" shapeId="0" xr:uid="{5943F3A8-D438-472B-9BB8-D0F7B0B2154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68" authorId="0" shapeId="0" xr:uid="{4CC69EC9-BB0B-47C8-8222-16AA22E941C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72" authorId="0" shapeId="0" xr:uid="{CFE40D7D-8EA8-4DD1-875D-BC02809E707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73" authorId="0" shapeId="0" xr:uid="{CA5F95C6-DD70-4A06-A309-4AA95FE17B9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MAYOO 7/2021</t>
        </r>
      </text>
    </comment>
    <comment ref="AE1274" authorId="0" shapeId="0" xr:uid="{B7BA816A-0EF6-4374-902A-4365E338577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78" authorId="0" shapeId="0" xr:uid="{48BDFF16-1B5B-406F-82BD-95F620FFBC1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82" authorId="0" shapeId="0" xr:uid="{4420777E-B4E1-4EE4-8B8D-9A92532663C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84" authorId="0" shapeId="0" xr:uid="{4DAC5688-9886-4D3F-BEB0-B6B7F6C5CAB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G1286" authorId="0" shapeId="0" xr:uid="{4EE83DF6-8FD2-4DAD-A119-6999EC243B1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18/21 $136,150,000</t>
        </r>
      </text>
    </comment>
    <comment ref="AE1291" authorId="0" shapeId="0" xr:uid="{A64D2E78-418E-40BD-8ED5-062B9DCE4AB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96" authorId="0" shapeId="0" xr:uid="{FA7E0BDD-7D99-4B73-BF05-ECE2E7C9947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98" authorId="0" shapeId="0" xr:uid="{4C894EAC-47F3-4825-839D-CC8CD53416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058MAYO 7/2021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Yolanda Baron Pedraza</author>
  </authors>
  <commentList>
    <comment ref="AH18" authorId="0" shapeId="0" xr:uid="{38BD648C-48C3-4325-87AB-67856CB6A53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11356 JUNIO 18/2021 $100,000,000</t>
        </r>
      </text>
    </comment>
    <comment ref="AG20" authorId="0" shapeId="0" xr:uid="{2282E794-CC23-4E82-BD9D-080E0C05EB6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H25" authorId="0" shapeId="0" xr:uid="{1F691DA1-FE75-4243-82FD-3E8828D659D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18/2021 $140,000,000</t>
        </r>
      </text>
    </comment>
    <comment ref="AH35" authorId="0" shapeId="0" xr:uid="{050B2D7C-D509-4BC9-9BEB-F699B2EED71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18/2021 $120,000,000</t>
        </r>
      </text>
    </comment>
    <comment ref="AH37" authorId="0" shapeId="0" xr:uid="{EC66CEFA-37FA-4CDD-9E45-52D821D9F3C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18/2021 $72,000,000</t>
        </r>
      </text>
    </comment>
    <comment ref="AH44" authorId="0" shapeId="0" xr:uid="{97C6EC16-A473-4183-85EA-63C3CAB7756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18/2021 $70,000,000</t>
        </r>
      </text>
    </comment>
    <comment ref="AH53" authorId="0" shapeId="0" xr:uid="{2045EC10-50D1-4B19-95D6-90F44A0D587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1135JUNIO 18/2021 $79,000,000
RES 1265 JUL 14/2021</t>
        </r>
      </text>
    </comment>
    <comment ref="AH56" authorId="0" shapeId="0" xr:uid="{91F1154C-41AC-4125-89BD-AA75760863F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18/2021 $37,500,000</t>
        </r>
      </text>
    </comment>
    <comment ref="AH76" authorId="0" shapeId="0" xr:uid="{A30E7522-79B5-4CAE-BBB0-72B2C84E45C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del 12 mayo</t>
        </r>
      </text>
    </comment>
    <comment ref="AG84" authorId="0" shapeId="0" xr:uid="{F4BE1A09-B72C-4EC2-996E-376809DBB70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18/2021 $72,000,000</t>
        </r>
      </text>
    </comment>
    <comment ref="AG89" authorId="0" shapeId="0" xr:uid="{9F62C05B-2335-4FC9-9C6D-656B6A7557F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18/2021 $70,000,000</t>
        </r>
      </text>
    </comment>
    <comment ref="AG91" authorId="0" shapeId="0" xr:uid="{28AB00A9-3751-4A0A-89D4-7FE5A8A62C0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</t>
        </r>
      </text>
    </comment>
    <comment ref="AG92" authorId="0" shapeId="0" xr:uid="{95B84BD7-8F8B-4256-ACC7-DEB8CC33DC2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18/2021 $37,500,000</t>
        </r>
      </text>
    </comment>
    <comment ref="AH92" authorId="0" shapeId="0" xr:uid="{DDD1537C-FD0C-418C-8ADB-6F70D638D67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JUK 14/2021 $37,500,000</t>
        </r>
      </text>
    </comment>
    <comment ref="AG93" authorId="0" shapeId="0" xr:uid="{35D9640E-7881-4214-8A50-DFE8162575B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18/2021$260,000,000$79,000,000</t>
        </r>
      </text>
    </comment>
    <comment ref="AH93" authorId="0" shapeId="0" xr:uid="{3FF98D3E-983C-4B5E-B330-0CF4D834D68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H95" authorId="0" shapeId="0" xr:uid="{34D41186-D925-4605-9037-C15F787DC8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12/2021 $90,000,000
res 201 marzo 4/2021</t>
        </r>
      </text>
    </comment>
    <comment ref="AG96" authorId="0" shapeId="0" xr:uid="{4D39D558-852B-4A56-AF16-DA03ABB21E0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14/04/2021 $200,000,000
res 1135 jun 18/2021 $37,500,000
res 1265 jul 14/2021</t>
        </r>
      </text>
    </comment>
    <comment ref="AH96" authorId="0" shapeId="0" xr:uid="{844A22A2-F84D-4BFB-924C-06E22177A04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12/2021 $490,000,000</t>
        </r>
      </text>
    </comment>
    <comment ref="AG97" authorId="0" shapeId="0" xr:uid="{5802599E-8E1B-49BF-909B-448672063F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2021</t>
        </r>
      </text>
    </comment>
    <comment ref="AH97" authorId="0" shapeId="0" xr:uid="{7FFC9D8D-7E92-46C5-95A4-2E48B0268D0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</t>
        </r>
      </text>
    </comment>
    <comment ref="AG98" authorId="0" shapeId="0" xr:uid="{6206A5FC-BDE4-4B2A-B260-E36EA26503B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069 feb 12/2021 $1,580,000,000
resol 308 marzo 12/2021 $150,000,000
RES 511 MARZO 19/2021 $300,000,000
RES 0201 MARZO 4/2021 $34,200,000</t>
        </r>
      </text>
    </comment>
    <comment ref="AH98" authorId="0" shapeId="0" xr:uid="{70507939-7C4A-45A9-ACC1-870C1B1B0F3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12/2021 $1,000,000,000
resol 308 marzo 12/2021 $450,000,000
resol 511 marzo 19/2021
res 201 4 marzo 2021</t>
        </r>
      </text>
    </comment>
    <comment ref="AG105" authorId="0" shapeId="0" xr:uid="{4BEC73FB-5C1B-4148-B296-316029D429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1/2021 $80,000,000</t>
        </r>
      </text>
    </comment>
    <comment ref="AG112" authorId="0" shapeId="0" xr:uid="{0003843E-CD50-4E27-950F-A512600D9E6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E115" authorId="0" shapeId="0" xr:uid="{DB8075A6-7DD6-4DAA-AABB-F6DBBE25E4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16" authorId="0" shapeId="0" xr:uid="{17C2B557-3DD6-4E50-9D40-8B381BC989E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14/04/2021 $700000,000,00
RES 1265 $JUL 14/2021 $1,040,000,000</t>
        </r>
      </text>
    </comment>
    <comment ref="AH127" authorId="0" shapeId="0" xr:uid="{ED671529-F6F6-4F1D-AB2C-1BBB75DAB4A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15 abril/2021 $900,000,000
RES 1209 JUL 1 DE 2021
RESOL 1265 JUL 14JULIO14/2021</t>
        </r>
      </text>
    </comment>
    <comment ref="AE130" authorId="0" shapeId="0" xr:uid="{BF92BAD6-5CAC-4B08-A9C0-DC8BC66ADA6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35" authorId="0" shapeId="0" xr:uid="{FE395791-EE53-49C2-ABC7-0FF97B1DBE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G137" authorId="0" shapeId="0" xr:uid="{40F57580-421B-4CDB-B571-0DDB1FF1D6C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
</t>
        </r>
      </text>
    </comment>
    <comment ref="AE147" authorId="0" shapeId="0" xr:uid="{2AB8B907-FFC0-430E-9DF5-218D75E0B09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52" authorId="0" shapeId="0" xr:uid="{F2870293-EE20-4C55-8E71-DCD0551C71E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
res 915 mayo 12 $12,000,000</t>
        </r>
      </text>
    </comment>
    <comment ref="AG157" authorId="0" shapeId="0" xr:uid="{4E5EBEF2-ADFF-412B-B506-3DDEBE49AF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E178" authorId="0" shapeId="0" xr:uid="{D72BB555-9DF4-4469-8254-54679F07878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E185" authorId="0" shapeId="0" xr:uid="{F37BFE22-FD79-421E-ADB4-6CEA293EF38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86" authorId="0" shapeId="0" xr:uid="{B80455D1-5A99-444E-A76F-8FA14FA421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H199" authorId="0" shapeId="0" xr:uid="{3EB45812-EFF3-451F-835E-80DEBF0CD78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18/2021 $40,000,000</t>
        </r>
      </text>
    </comment>
    <comment ref="AG201" authorId="0" shapeId="0" xr:uid="{75D301B6-2F42-4D3F-A417-10BB7718B70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204" authorId="0" shapeId="0" xr:uid="{D29521F0-7506-49B8-9023-1DCE84028AC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204" authorId="0" shapeId="0" xr:uid="{783418E5-0934-4D03-9BEC-DCDDA43DA33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12 de mayo </t>
        </r>
      </text>
    </comment>
    <comment ref="AG211" authorId="0" shapeId="0" xr:uid="{6301B690-5D13-4C13-8208-425DEE05E7B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18/2021 $60,000,000</t>
        </r>
      </text>
    </comment>
    <comment ref="AG214" authorId="0" shapeId="0" xr:uid="{593F0847-874C-40F1-AE74-34195ECADA5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814 abril 30/2021</t>
        </r>
      </text>
    </comment>
    <comment ref="AG216" authorId="0" shapeId="0" xr:uid="{784A1BF4-FD62-4792-BC24-622DD48A918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G217" authorId="0" shapeId="0" xr:uid="{135CAE11-83EE-4506-BAE1-B39A900C99B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219" authorId="0" shapeId="0" xr:uid="{8C1B704C-CB26-46CA-9FC6-0FF3DC33DE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15/2021
</t>
        </r>
      </text>
    </comment>
    <comment ref="AG225" authorId="0" shapeId="0" xr:uid="{942FA536-7E06-4E27-B24F-FD826CEBB74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12/2021 $200,000,000</t>
        </r>
      </text>
    </comment>
    <comment ref="AH225" authorId="0" shapeId="0" xr:uid="{CB51B7EA-DD65-46ED-AD50-EC257852D16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814 30 abril 2021 $200,000,000</t>
        </r>
      </text>
    </comment>
    <comment ref="AH229" authorId="0" shapeId="0" xr:uid="{8E876E5C-93C7-4F7D-AFC3-933DAEB6888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18/2021 $20,000,000</t>
        </r>
      </text>
    </comment>
    <comment ref="AG232" authorId="0" shapeId="0" xr:uid="{E799CEDC-BD44-4BEA-88BA-A61E9017AA4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18/2021 $200,000,000</t>
        </r>
      </text>
    </comment>
    <comment ref="AH235" authorId="0" shapeId="0" xr:uid="{66AD895A-1A5F-4828-BC0D-8D1BAA835E5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18/2021 $400,000,000</t>
        </r>
      </text>
    </comment>
    <comment ref="AG238" authorId="0" shapeId="0" xr:uid="{C40E745A-8C99-40C0-96D3-8112F76AE2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18/2021$400,000,000</t>
        </r>
      </text>
    </comment>
    <comment ref="AE242" authorId="0" shapeId="0" xr:uid="{1E71064D-2543-441A-AD2D-DDC0D0F2448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G303" authorId="0" shapeId="0" xr:uid="{17D034B8-9101-47E2-9D28-97C37C47875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H303" authorId="0" shapeId="0" xr:uid="{CAB61994-CA11-4133-89BE-3C1040B1AE2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19/2021 $316,940,531,70</t>
        </r>
      </text>
    </comment>
    <comment ref="AE305" authorId="0" shapeId="0" xr:uid="{603BDE76-B093-4D4F-9A43-A1AE2722E4C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311" authorId="0" shapeId="0" xr:uid="{39B23BD7-1538-4EAE-AFD4-B2C6D155B27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G402" authorId="0" shapeId="0" xr:uid="{0B02FE38-DBE1-4ECF-A3F8-95CC625C462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12/2021 $2,000,000,000RES 1265 JULI 14/2021</t>
        </r>
      </text>
    </comment>
    <comment ref="AG409" authorId="0" shapeId="0" xr:uid="{EF1BFA02-312C-40C6-A7DE-7148CEA8372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
</t>
        </r>
      </text>
    </comment>
    <comment ref="AE411" authorId="0" shapeId="0" xr:uid="{647BEC4C-D934-4CDD-811A-C72ADB1268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12" authorId="0" shapeId="0" xr:uid="{AA1E4B3E-0172-477E-903D-B11049832FD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13" authorId="0" shapeId="0" xr:uid="{96521667-8A77-4123-99A9-90619787D18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MAYO27/2021</t>
        </r>
      </text>
    </comment>
    <comment ref="AE416" authorId="0" shapeId="0" xr:uid="{517CB16F-45E4-4477-9037-BB3E4854A70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H429" authorId="0" shapeId="0" xr:uid="{AC1502D1-23F8-4253-AA26-F196A563CC3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</t>
        </r>
      </text>
    </comment>
    <comment ref="AH431" authorId="0" shapeId="0" xr:uid="{8F841FEA-0552-41F0-8216-162E4D6B1DB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14/2021$210,000,000</t>
        </r>
      </text>
    </comment>
    <comment ref="AE436" authorId="0" shapeId="0" xr:uid="{3EE8D024-8251-44C9-A771-A4907A8C69E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37" authorId="0" shapeId="0" xr:uid="{CE08FE01-DDF6-495E-BE78-6B7C39E0DB6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38" authorId="0" shapeId="0" xr:uid="{095CED35-3DE3-4825-9778-0375CC8276D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446" authorId="0" shapeId="0" xr:uid="{5303A2E9-7FAA-47AB-A6B4-CA43B09AAAA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19/2021 $27,102,938</t>
        </r>
      </text>
    </comment>
    <comment ref="AG450" authorId="0" shapeId="0" xr:uid="{002B61B1-FDFF-4DF2-8646-38E9DD09576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22 ABRIL 2021 $417,383651,71</t>
        </r>
      </text>
    </comment>
    <comment ref="AE451" authorId="0" shapeId="0" xr:uid="{F78D29E1-3C13-4A84-8175-DC1AB154BF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G453" authorId="0" shapeId="0" xr:uid="{A32B511C-7B40-474F-98C2-7A42AFB13C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14/2021$210000000
</t>
        </r>
      </text>
    </comment>
    <comment ref="AG456" authorId="0" shapeId="0" xr:uid="{98358147-6D0D-4781-80CD-08985244788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511 MARZO 19/2021</t>
        </r>
      </text>
    </comment>
    <comment ref="AH462" authorId="0" shapeId="0" xr:uid="{5D216AD9-EC79-42B8-AD97-5420188FF1F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19/2021 $155,990,000</t>
        </r>
      </text>
    </comment>
    <comment ref="AG464" authorId="0" shapeId="0" xr:uid="{51FDA35A-F488-45BD-BEFF-AA9E479EF61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22/2021 $1227,570,664,14</t>
        </r>
      </text>
    </comment>
    <comment ref="AG465" authorId="0" shapeId="0" xr:uid="{A75E0C1E-EBF6-4F1B-AB9D-F6216C2593D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 1265 JUL 14/2021</t>
        </r>
      </text>
    </comment>
    <comment ref="AE471" authorId="0" shapeId="0" xr:uid="{1095CB8A-1A58-4AF0-9D64-3009514F864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033 MARZO 1/2021</t>
        </r>
      </text>
    </comment>
    <comment ref="AH471" authorId="0" shapeId="0" xr:uid="{A5417EAA-77A4-4B1A-9B4D-4B7A14DEEE7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22/2021 $1,644,954,15,85</t>
        </r>
      </text>
    </comment>
    <comment ref="AE472" authorId="0" shapeId="0" xr:uid="{46EA70E8-5D19-46BE-AC80-9ACF803A9B0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H472" authorId="0" shapeId="0" xr:uid="{381BCCB8-044A-4A91-B8BF-EA80D4B943C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14/2021 $60,900,682</t>
        </r>
      </text>
    </comment>
    <comment ref="AH475" authorId="0" shapeId="0" xr:uid="{18F629DC-5D4B-4DC4-8EFE-30D21B1F08C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19/2021 $23,257,108
RES 1265 JUL 14/2021</t>
        </r>
      </text>
    </comment>
    <comment ref="AE478" authorId="0" shapeId="0" xr:uid="{7B346B97-31BE-4BE9-8CA4-8E1AEFA84CD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479" authorId="0" shapeId="0" xr:uid="{FFD53E2C-A079-4518-A23A-4CC339166E6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rs 1265 jul 14/2021</t>
        </r>
      </text>
    </comment>
    <comment ref="AG483" authorId="0" shapeId="0" xr:uid="{53A8E6FB-C3B9-450C-A5F9-9B4583C9BD4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H483" authorId="0" shapeId="0" xr:uid="{40911FDF-221F-419E-B55D-D25069C544C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19/2021 $3,845,830
RES 1265 JUL 14/2021</t>
        </r>
      </text>
    </comment>
    <comment ref="AH484" authorId="0" shapeId="0" xr:uid="{FEA4C58C-1DBA-4856-AECB-4AB5A90E2EE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H486" authorId="0" shapeId="0" xr:uid="{FF4AE1B4-BF9B-4218-B01E-B6A259E8A9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E493" authorId="0" shapeId="0" xr:uid="{855F59FF-351E-41F8-A41E-F6857846A67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494" authorId="0" shapeId="0" xr:uid="{84D6D65B-15C5-4DC8-9502-B6D861E6A96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02" authorId="0" shapeId="0" xr:uid="{BC8DBD95-EC53-4CA2-A208-256503D29DD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520 DEL 26 DE MARZO 2021 $1,5000,000,00</t>
        </r>
      </text>
    </comment>
    <comment ref="AE505" authorId="0" shapeId="0" xr:uid="{684FED2A-225C-463C-AD27-BD95D3361DF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G507" authorId="0" shapeId="0" xr:uid="{FC8AA169-37C9-4BD3-A670-3740FA9872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0520 DEL 26 MARZO 2021 $1,500,000,000</t>
        </r>
      </text>
    </comment>
    <comment ref="AE510" authorId="0" shapeId="0" xr:uid="{8D4C270D-C1C1-4667-BD87-E5D821688C0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16" authorId="0" shapeId="0" xr:uid="{561D1647-1588-4723-8DD2-1DE9C132F03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35" authorId="0" shapeId="0" xr:uid="{E440A5C8-A788-4F86-BFF4-E16AC739609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068 MAYO 31/2021</t>
        </r>
      </text>
    </comment>
    <comment ref="AG537" authorId="0" shapeId="0" xr:uid="{07DEE48B-67FA-4690-9943-3FD5F58BFEC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E539" authorId="0" shapeId="0" xr:uid="{DCAF9703-154C-419A-8B98-F1EB1188858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
DEC 068 MAYO 31/2021</t>
        </r>
      </text>
    </comment>
    <comment ref="AH539" authorId="0" shapeId="0" xr:uid="{E7BAA950-D60F-4707-8C09-AC99DB67BF9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541" authorId="0" shapeId="0" xr:uid="{F2CE92E1-D28B-49C0-B60A-6C1F3B32162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26 enero 26/21 $24,165,016
res 1336 julio 28/2021</t>
        </r>
      </text>
    </comment>
    <comment ref="AH543" authorId="0" shapeId="0" xr:uid="{F4ED6097-7B78-4346-BB3D-CB83E8FC309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H545" authorId="0" shapeId="0" xr:uid="{4CD68EBB-1989-47E4-B7D0-26C76737300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 del 26/01/2021 $9,296,364,215
resolu 027/ enero 27/2021 $1,362,635,323</t>
        </r>
      </text>
    </comment>
    <comment ref="AE546" authorId="0" shapeId="0" xr:uid="{86110C6F-1023-4196-A3BB-C3711358901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48" authorId="0" shapeId="0" xr:uid="{C8E2CA3F-20EA-42F5-B658-C42F095425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19/2021$15,401,381</t>
        </r>
      </text>
    </comment>
    <comment ref="AH548" authorId="0" shapeId="0" xr:uid="{6C46E909-87F0-4700-B22C-21C49FDA15B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28/2021 $547,969,140</t>
        </r>
      </text>
    </comment>
    <comment ref="AE549" authorId="0" shapeId="0" xr:uid="{7370B7A9-C2D8-489A-B208-854F9C55E24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068 MAYO 21</t>
        </r>
      </text>
    </comment>
    <comment ref="AG549" authorId="0" shapeId="0" xr:uid="{65C9AEA0-A7D7-4C9D-B510-47E66C52926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26/2021 $20,296,364,215
</t>
        </r>
      </text>
    </comment>
    <comment ref="AE553" authorId="0" shapeId="0" xr:uid="{E9EE32E0-53F0-4A80-A5B9-3737D59D895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53" authorId="0" shapeId="0" xr:uid="{4CCF39C7-1BAC-46BA-B32F-ECFA981313B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E555" authorId="0" shapeId="0" xr:uid="{86166C5F-A222-4D9F-94C9-7EE8382E964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55" authorId="0" shapeId="0" xr:uid="{E514064F-5653-4FA1-A0B9-9BD7C4E1DB8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3/2021$8,000,000</t>
        </r>
      </text>
    </comment>
    <comment ref="AG557" authorId="0" shapeId="0" xr:uid="{BC8D022E-0D9C-4C20-9FAE-5F9C9DD8769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27/2021 $1,555,449,996
</t>
        </r>
      </text>
    </comment>
    <comment ref="AG559" authorId="0" shapeId="0" xr:uid="{DFF37975-2EC5-4837-B754-A307B516695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26/2021 $95,000,000</t>
        </r>
      </text>
    </comment>
    <comment ref="AG561" authorId="0" shapeId="0" xr:uid="{62C654B2-7414-415C-A98E-6AE1D9974E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27/2021 $1,331,864,802</t>
        </r>
      </text>
    </comment>
    <comment ref="AG563" authorId="0" shapeId="0" xr:uid="{20CDE4E4-4788-4AB1-85B4-924AF3473A1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H563" authorId="0" shapeId="0" xr:uid="{1CDBE317-2BD8-46EA-A9B5-AB9D0506BC9A}">
      <text>
        <r>
          <rPr>
            <b/>
            <sz val="9"/>
            <color indexed="81"/>
            <rFont val="Tahoma"/>
            <family val="2"/>
          </rPr>
          <t>Yolanda Baron Pedraza:res 915 mayo 12/2021</t>
        </r>
      </text>
    </comment>
    <comment ref="AE564" authorId="0" shapeId="0" xr:uid="{E83E2E25-CCEE-4749-BBAD-9C7E93DBD6C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0053 abril 29/21</t>
        </r>
      </text>
    </comment>
    <comment ref="AG564" authorId="0" shapeId="0" xr:uid="{319592E3-1105-44C3-82A9-9DD14009BA3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3/2021 $50,000,000res 1336 jul 28/2021</t>
        </r>
      </text>
    </comment>
    <comment ref="AE565" authorId="0" shapeId="0" xr:uid="{6EB02127-DD21-4D58-8947-A84CF381D98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65" authorId="0" shapeId="0" xr:uid="{FB5A85D7-78D4-438A-80D7-C5C31CC3D16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jull 2 8/2021</t>
        </r>
      </text>
    </comment>
    <comment ref="AG567" authorId="0" shapeId="0" xr:uid="{180E9389-E4B6-447C-AE04-F2A61CB3E5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19/2021 $610,000,000</t>
        </r>
      </text>
    </comment>
    <comment ref="AG569" authorId="0" shapeId="0" xr:uid="{03A6B43D-BB97-4424-938B-7E1ABD28281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julio 28/2021</t>
        </r>
      </text>
    </comment>
    <comment ref="AE570" authorId="0" shapeId="0" xr:uid="{5154BDB8-0F40-4274-B392-F63EFC9DA4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70" authorId="0" shapeId="0" xr:uid="{4CD5F2C0-F06F-45F7-BDB1-8A9CDA8C28D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28/2021 $451,451,337,30</t>
        </r>
      </text>
    </comment>
    <comment ref="AE571" authorId="0" shapeId="0" xr:uid="{DBE6AD90-56C5-4CCD-9320-7DEB952DF25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71" authorId="0" shapeId="0" xr:uid="{1DEF34B9-D67D-4C75-8FAD-92B8B9D7C75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28/2021 $700,000,000</t>
        </r>
      </text>
    </comment>
    <comment ref="AE572" authorId="0" shapeId="0" xr:uid="{9BD8AAB0-0FE0-44EB-B28D-F348B08A179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72" authorId="0" shapeId="0" xr:uid="{DC1EA5DF-6695-4CED-8E2F-0D830144CC0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28/2021 $1,040,743</t>
        </r>
      </text>
    </comment>
    <comment ref="AH574" authorId="0" shapeId="0" xr:uid="{5BA4452D-BE72-4AFA-8301-17294E6EA16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26/2021 $11,000,000,000
reso 27 enero 27/2021 $5,500,000,000</t>
        </r>
      </text>
    </comment>
    <comment ref="AG576" authorId="0" shapeId="0" xr:uid="{210E16BA-D2F9-4E91-B8E8-4026BF7C6E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26/2021 $22,204,778</t>
        </r>
      </text>
    </comment>
    <comment ref="AG577" authorId="0" shapeId="0" xr:uid="{5F4652C9-03EE-42B5-938E-CC46296D757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G578" authorId="0" shapeId="0" xr:uid="{332E3DF3-C701-47E6-95CB-6BD7D42D669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G579" authorId="0" shapeId="0" xr:uid="{92D0E73E-4CDA-4358-A436-61ACF5B1C5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G580" authorId="0" shapeId="0" xr:uid="{09460548-183D-43E4-A94F-182700251DE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E581" authorId="0" shapeId="0" xr:uid="{D873D086-7A47-4087-93C4-5796F67BA7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81" authorId="0" shapeId="0" xr:uid="{3883E78B-417D-44DB-A150-24DE56275E8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28/2021 $186,255,799,66</t>
        </r>
      </text>
    </comment>
    <comment ref="AE583" authorId="0" shapeId="0" xr:uid="{E5277177-24F7-40E5-8338-6299BD932E2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85" authorId="0" shapeId="0" xr:uid="{8ACC8A3A-8525-48BC-AAF7-EB198871989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27/2021 $3,975,320,525
</t>
        </r>
      </text>
    </comment>
    <comment ref="AG587" authorId="0" shapeId="0" xr:uid="{EFAA85F8-2206-4934-B4A2-8272A7805F0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590" authorId="0" shapeId="0" xr:uid="{AA7E5673-B59E-484E-B7AB-E54F2F09CFF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591" authorId="0" shapeId="0" xr:uid="{7D5CDE54-54A2-4680-8C33-BEB74B9E45F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
dec 068 mayo 31/2021</t>
        </r>
      </text>
    </comment>
    <comment ref="AA593" authorId="0" shapeId="0" xr:uid="{A3FEABA4-508B-4620-AEB3-2E43AA6A32D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verificar si e  501 0 201</t>
        </r>
      </text>
    </comment>
    <comment ref="AG593" authorId="0" shapeId="0" xr:uid="{1CF565F9-52F0-408D-8F96-CE4D24FD88B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26/2021 $60,325,921,15
resol 915 $40,465,552</t>
        </r>
      </text>
    </comment>
    <comment ref="AH598" authorId="0" shapeId="0" xr:uid="{ED02F30C-D92B-4856-9493-15333A902D1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18/2021 $265,538,240
reso 773 abril 22/2021 $219,103,236,80</t>
        </r>
      </text>
    </comment>
    <comment ref="AE600" authorId="0" shapeId="0" xr:uid="{8D0A88FB-007B-45B9-B488-E7343115F34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E601" authorId="0" shapeId="0" xr:uid="{55EA38E0-60EB-43B2-B5CA-F80C7BF047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603" authorId="0" shapeId="0" xr:uid="{6863EA30-AC63-4AFF-9F6D-65D8B3A5C24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H603" authorId="0" shapeId="0" xr:uid="{246A3ABB-BD01-4DB1-88BC-9FEF166E2A5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18/2021 $1,886,000,000</t>
        </r>
      </text>
    </comment>
    <comment ref="AE609" authorId="0" shapeId="0" xr:uid="{C171C151-7970-4C8B-8ABC-59F2A35648A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09" authorId="0" shapeId="0" xr:uid="{078B1077-281C-4EC9-B693-49DA4B2FB7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3/2021 $40,000,000</t>
        </r>
      </text>
    </comment>
    <comment ref="AG611" authorId="0" shapeId="0" xr:uid="{447568CB-73A8-4EEC-A1A6-B10151A6F73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27 enero 27/2021 $503,000,000,00</t>
        </r>
      </text>
    </comment>
    <comment ref="AH611" authorId="0" shapeId="0" xr:uid="{AB1EC42B-5B75-477C-8FDC-5265C460230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0915 mayo 12/2021</t>
        </r>
      </text>
    </comment>
    <comment ref="AH613" authorId="0" shapeId="0" xr:uid="{18CE0B12-030C-41A8-BE39-E7DF16591C0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mayo12/2021</t>
        </r>
      </text>
    </comment>
    <comment ref="AG614" authorId="0" shapeId="0" xr:uid="{DB4AD225-246D-45E5-88F8-9112FFBEC64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</t>
        </r>
      </text>
    </comment>
    <comment ref="AG616" authorId="0" shapeId="0" xr:uid="{021AE763-D3A4-479B-9581-73752C12C8F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12/2021 $1,556,000,000,00</t>
        </r>
      </text>
    </comment>
    <comment ref="AE618" authorId="0" shapeId="0" xr:uid="{43306BE3-A6F4-413F-BC72-A249E1FCD24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18" authorId="0" shapeId="0" xr:uid="{8A3B9569-12DD-491A-B3E2-C9EC1C86237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3/2021 $40,000,000</t>
        </r>
      </text>
    </comment>
    <comment ref="AG620" authorId="0" shapeId="0" xr:uid="{D196802B-A7A2-4886-952F-3CAEFB58823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26/2021 $91,680,424
RESOL 511 MARZO 19/2021</t>
        </r>
      </text>
    </comment>
    <comment ref="AH620" authorId="0" shapeId="0" xr:uid="{0849B20C-3272-49CF-8B33-4FE3380C3AB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0915 mayo 12</t>
        </r>
      </text>
    </comment>
    <comment ref="AH622" authorId="0" shapeId="0" xr:uid="{3D221B7D-7A30-4725-A4E2-6BC33230076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26/2021 $329,895,811,15
resol 027 enero 27/21 $2,003,000,000
resol 511 marzo 19/2021 $800,401,381
resol 915 mayo 12/2021 $119,719,609</t>
        </r>
      </text>
    </comment>
    <comment ref="AH623" authorId="0" shapeId="0" xr:uid="{E5C25D8C-BC84-40D5-B993-47A8B21E890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 1336 jul 28/2021 $856,216,142,32</t>
        </r>
      </text>
    </comment>
    <comment ref="AG624" authorId="0" shapeId="0" xr:uid="{A469D9DA-882A-4E3C-943A-8DC2EB0B212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626" authorId="0" shapeId="0" xr:uid="{B6BD3C4D-45F8-40E7-AEBB-10665E790EC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26/2021 $36,519,672</t>
        </r>
      </text>
    </comment>
    <comment ref="AG627" authorId="0" shapeId="0" xr:uid="{883E5E97-915C-4E29-A04A-7E3874BB588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28/2021 $25,000,000</t>
        </r>
      </text>
    </comment>
    <comment ref="AG629" authorId="0" shapeId="0" xr:uid="{0B204ACB-D6EF-4166-95A5-66602F150B4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
res 13360jul 28/2021 </t>
        </r>
      </text>
    </comment>
    <comment ref="AG631" authorId="0" shapeId="0" xr:uid="{7D384C21-A2D7-4EC1-9EF3-EC479CDFFC7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18/2021 $265,538,240</t>
        </r>
      </text>
    </comment>
    <comment ref="AH632" authorId="0" shapeId="0" xr:uid="{E7B692F2-F392-43F5-B2DC-A38CAC875A9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18/2021 $53,364,831</t>
        </r>
      </text>
    </comment>
    <comment ref="AG634" authorId="0" shapeId="0" xr:uid="{7BF22D85-9ECD-49E1-8DB0-3A257FD5FF8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27/2021 $1,500,000,000</t>
        </r>
      </text>
    </comment>
    <comment ref="AE636" authorId="0" shapeId="0" xr:uid="{3C77EA83-30C5-4AD0-BFF7-28B6EA02642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636" authorId="0" shapeId="0" xr:uid="{E30B5B69-C48D-4C38-8500-2BC4E7B7C1C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637" authorId="0" shapeId="0" xr:uid="{E02416C8-1DE0-426A-B7F5-95265CAB42C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37" authorId="0" shapeId="0" xr:uid="{3912A7C8-0022-40DD-A7AC-4FDA624E022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638" authorId="0" shapeId="0" xr:uid="{06B4ADFD-A7E4-4F93-8DC7-F375E3EC727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E644" authorId="0" shapeId="0" xr:uid="{4EFDD542-2C29-49AC-9106-09219B54FC3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47" authorId="0" shapeId="0" xr:uid="{21E5099F-C8A3-4C7F-A259-676C87A1C3E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</t>
        </r>
      </text>
    </comment>
    <comment ref="AE648" authorId="0" shapeId="0" xr:uid="{AFD6FB2C-1A1C-46B7-9DD5-F163AC9C534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50" authorId="0" shapeId="0" xr:uid="{AC2B99C5-C0C8-4D6E-8B7D-EEF079D361F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54" authorId="0" shapeId="0" xr:uid="{DE0D87CB-6280-468C-AFDE-A9FD35C3E8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56" authorId="0" shapeId="0" xr:uid="{CCB87FD1-ECF8-4020-8E9D-903FEFFEA15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18/2021 $466,710,000</t>
        </r>
      </text>
    </comment>
    <comment ref="AH658" authorId="0" shapeId="0" xr:uid="{155FF691-4CE8-4635-B869-98355A6F388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18/2021 $4,680,084,481,80
resol 511 marzo 19/2021 $76,000,000
res 773 abril 22/2021 $907,367,029,20</t>
        </r>
      </text>
    </comment>
    <comment ref="AE659" authorId="0" shapeId="0" xr:uid="{ED334899-E6BE-4D4C-B22E-CE1EB6FB452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053/2021</t>
        </r>
      </text>
    </comment>
    <comment ref="AG661" authorId="0" shapeId="0" xr:uid="{DB87CC22-6902-4DAE-8D17-24C5874E5E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18/2021 $4,680,084,481,80
RES 773 ABRIL 22/2021 $1,126,470,266
</t>
        </r>
      </text>
    </comment>
    <comment ref="AE663" authorId="0" shapeId="0" xr:uid="{8CE0A55A-F671-4D8C-8EFA-8D16EE9B6C1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E665" authorId="0" shapeId="0" xr:uid="{7B02B50A-5F6D-428F-9542-B840560934B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053/ ABRIL 29/2021
</t>
        </r>
      </text>
    </comment>
    <comment ref="AG665" authorId="0" shapeId="0" xr:uid="{1DE86232-0E21-48B3-B8BF-7F8D49E5E36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11355 JUN 18/2021 $1,886,000,000</t>
        </r>
      </text>
    </comment>
    <comment ref="AG669" authorId="0" shapeId="0" xr:uid="{3A99CF69-37BC-4D57-86E1-0EB4B6AF39B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
</t>
        </r>
      </text>
    </comment>
    <comment ref="AE692" authorId="0" shapeId="0" xr:uid="{02DB636E-25BA-4A3E-A935-FD51DD2FD9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700" authorId="0" shapeId="0" xr:uid="{217E498E-C1B0-440F-B278-DED8BD2C6D6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705" authorId="0" shapeId="0" xr:uid="{73C40CA3-CBD3-4464-BDF0-572A4B7607E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12/2021 $250,000,000</t>
        </r>
      </text>
    </comment>
    <comment ref="AH705" authorId="0" shapeId="0" xr:uid="{64505138-1A09-4102-B663-B4DE6590126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709" authorId="0" shapeId="0" xr:uid="{2A4ADA97-3AED-44AD-9767-59D78F311CF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18/2021$200,000,000</t>
        </r>
      </text>
    </comment>
    <comment ref="AG713" authorId="0" shapeId="0" xr:uid="{7661CF01-2C92-4673-B538-7D801E641D1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</t>
        </r>
      </text>
    </comment>
    <comment ref="AE716" authorId="0" shapeId="0" xr:uid="{D0AC8082-4ECA-4F6D-8134-B62A2E28C0D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719" authorId="0" shapeId="0" xr:uid="{89D14864-408B-4995-B468-00C208BCB9F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H724" authorId="0" shapeId="0" xr:uid="{0751C8A1-9544-4E4F-8FB7-2DFA7824718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18/2021 $229,000,000</t>
        </r>
      </text>
    </comment>
    <comment ref="AG732" authorId="0" shapeId="0" xr:uid="{DC8E411E-20A7-4C1A-9846-5C85839FDA9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12/2021 $932,000,000</t>
        </r>
      </text>
    </comment>
    <comment ref="AH732" authorId="0" shapeId="0" xr:uid="{41D883E6-F4D5-4079-B37E-B23222BBA91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resoñl 1135 jun 18/2021 $60,000,000</t>
        </r>
      </text>
    </comment>
    <comment ref="AE739" authorId="0" shapeId="0" xr:uid="{5F3C4689-B751-4F93-97C5-035CBB1CEF7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739" authorId="0" shapeId="0" xr:uid="{8E4CBA43-16A0-4D12-AED6-CE78651938E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18/2021 $145,000,000</t>
        </r>
      </text>
    </comment>
    <comment ref="AG741" authorId="0" shapeId="0" xr:uid="{CBB29322-19A3-4B86-B71A-80880987034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 1135 JUN 18/2021 $60,000,000</t>
        </r>
      </text>
    </comment>
    <comment ref="AE745" authorId="0" shapeId="0" xr:uid="{2C58567E-6B51-472E-B9FB-0BDC3CF4DC2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746" authorId="0" shapeId="0" xr:uid="{94AB38E9-635E-49DD-B3B9-8EE150562ED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747" authorId="0" shapeId="0" xr:uid="{B34AB5DB-D7CE-4EB9-A84C-0FA35AD366A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749" authorId="0" shapeId="0" xr:uid="{8B359F62-FA06-4BB8-824B-2479353EC2B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12/2021 $20,000,000</t>
        </r>
      </text>
    </comment>
    <comment ref="AE751" authorId="0" shapeId="0" xr:uid="{53743966-B620-4991-8F18-0BAB0B83D15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753" authorId="0" shapeId="0" xr:uid="{9FFFF1FA-788A-4E74-9615-0FEB38B136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
RES 915 MAYO 12/2021</t>
        </r>
      </text>
    </comment>
    <comment ref="AE755" authorId="0" shapeId="0" xr:uid="{62EF0D80-9EA4-4A04-A41E-4CB3ACAC17A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760" authorId="0" shapeId="0" xr:uid="{526511BB-FD79-4F39-9DCF-EDE186BB1E8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763" authorId="0" shapeId="0" xr:uid="{2DE413E3-A157-4D0B-A515-7BEB87F51BC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763" authorId="0" shapeId="0" xr:uid="{56971B9E-8FE6-44B2-9CB4-5FBBEF27176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18/2021$25,000,000</t>
        </r>
      </text>
    </comment>
    <comment ref="AG767" authorId="0" shapeId="0" xr:uid="{0218D741-09B5-4B39-80A9-93A0958BC16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12/20221 $42,000,000
RESOL 915 MAYO 12/2021</t>
        </r>
      </text>
    </comment>
    <comment ref="AG768" authorId="0" shapeId="0" xr:uid="{69C25514-ACAF-4D93-8411-F4612FF5BCA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18/2021 $120000000
</t>
        </r>
      </text>
    </comment>
    <comment ref="AE773" authorId="0" shapeId="0" xr:uid="{8F25012D-E74A-4E39-87FF-3D808194000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786" authorId="0" shapeId="0" xr:uid="{8396B16B-CB45-4737-8E6C-B7D64B0794A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26/21 $75000,000</t>
        </r>
      </text>
    </comment>
    <comment ref="AG788" authorId="0" shapeId="0" xr:uid="{6831054B-3ED0-4730-AB20-40E9D54EDF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
RES 773 ABRIL 22/21 $46,856,431,56</t>
        </r>
      </text>
    </comment>
    <comment ref="AG797" authorId="0" shapeId="0" xr:uid="{44C62B4B-FB1A-4034-BD16-B3A19F71E79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</t>
        </r>
      </text>
    </comment>
    <comment ref="AG798" authorId="0" shapeId="0" xr:uid="{0585C261-57A1-4E6D-8FD6-21916880F35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
</t>
        </r>
      </text>
    </comment>
    <comment ref="AG800" authorId="0" shapeId="0" xr:uid="{8FB852E0-8CDC-498D-8A4C-E1ED104FC4B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RES1135 JUN 18/2021 $65,000,000</t>
        </r>
      </text>
    </comment>
    <comment ref="AG802" authorId="0" shapeId="0" xr:uid="{9C6C9DBE-2F18-460B-95B0-7F48E63E5C5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
350,000,000</t>
        </r>
      </text>
    </comment>
    <comment ref="AG804" authorId="0" shapeId="0" xr:uid="{45200D1E-61BE-422D-A052-C29189D0F22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18/2021 $1,067,000,000</t>
        </r>
      </text>
    </comment>
    <comment ref="AG806" authorId="0" shapeId="0" xr:uid="{8A79CF9F-8490-4F42-B140-DEF584A8163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18/2021 $148,000,000</t>
        </r>
      </text>
    </comment>
    <comment ref="AA808" authorId="0" shapeId="0" xr:uid="{79AF1C58-B44A-438C-8C7B-DB4C24E75F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esta en fondo gestion del riesgo
</t>
        </r>
      </text>
    </comment>
    <comment ref="AG808" authorId="0" shapeId="0" xr:uid="{CBB68213-BDE6-486B-8C4E-938BACBC2A9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G813" authorId="0" shapeId="0" xr:uid="{2698EA82-8C20-4C88-B175-43053C17D81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18/2021 $30,000,000</t>
        </r>
      </text>
    </comment>
    <comment ref="AH820" authorId="0" shapeId="0" xr:uid="{71853D49-F312-4957-9A27-13A92C8C8C7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21/2021</t>
        </r>
      </text>
    </comment>
    <comment ref="AG825" authorId="0" shapeId="0" xr:uid="{35FAA30D-3266-4C18-936F-90A137BB8B2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22/2021 $118,300,000</t>
        </r>
      </text>
    </comment>
    <comment ref="AG827" authorId="0" shapeId="0" xr:uid="{00E0F02E-A572-4362-9AAE-0F28B616CE6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 773 ABRIL 22/2021 $140,000,000</t>
        </r>
      </text>
    </comment>
    <comment ref="AH833" authorId="0" shapeId="0" xr:uid="{D9746B00-5D97-4013-8CE7-ED32EE35B54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18/2021 $30,000,000</t>
        </r>
      </text>
    </comment>
    <comment ref="AH835" authorId="0" shapeId="0" xr:uid="{28A89B71-8310-480C-B6D4-3E195E22DE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
res 773 abril 22/21 $46,856,431,56</t>
        </r>
      </text>
    </comment>
    <comment ref="AG837" authorId="0" shapeId="0" xr:uid="{2348763F-5208-4948-8726-1E047484B15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eneroo 26/2021 $4,400,000</t>
        </r>
      </text>
    </comment>
    <comment ref="AG839" authorId="0" shapeId="0" xr:uid="{D98E69A2-AAD0-4649-8EA2-99B73547464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26/2021 $88,500,000</t>
        </r>
      </text>
    </comment>
    <comment ref="AH839" authorId="0" shapeId="0" xr:uid="{027F04B4-0376-495B-9219-14C2C7BB166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22/2021 $20,700,000</t>
        </r>
      </text>
    </comment>
    <comment ref="AG840" authorId="0" shapeId="0" xr:uid="{9E537C7D-21F8-4490-B0EC-03A4287C06B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21/21
</t>
        </r>
      </text>
    </comment>
    <comment ref="AG843" authorId="0" shapeId="0" xr:uid="{65EF2B35-BD50-4186-9E7E-F84D17AA081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
RES 936 MAYO 21</t>
        </r>
      </text>
    </comment>
    <comment ref="AH843" authorId="0" shapeId="0" xr:uid="{BA868E13-36D1-4FB6-8293-F9C4ED69B41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26/2021 $900,000,00
res 773 abril 22/2021 $258,300,000</t>
        </r>
      </text>
    </comment>
    <comment ref="AE844" authorId="0" shapeId="0" xr:uid="{0D64870E-FEE7-4E03-9076-15CDA916FF5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852" authorId="0" shapeId="0" xr:uid="{84F1E3EC-C6EE-4162-ACED-1E7F8A1B333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22/2021 $20,700,000</t>
        </r>
      </text>
    </comment>
    <comment ref="AH852" authorId="0" shapeId="0" xr:uid="{36A72631-6EF8-49A7-8F74-BF8A3DE5E87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026enero 26/2021 $17,000,000
resol 936 mayo 21/2021</t>
        </r>
      </text>
    </comment>
    <comment ref="AE853" authorId="0" shapeId="0" xr:uid="{B21FB687-206A-4E50-B441-0E99E85CD99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859" authorId="0" shapeId="0" xr:uid="{298FF53B-6B4C-4133-ADD1-CD931CF2847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869" authorId="0" shapeId="0" xr:uid="{30A1B97E-E620-4963-8F91-DB3DB9924F2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
res 1135 $283,500,000
res 1209 jul 1/2021 $279,000,000</t>
        </r>
      </text>
    </comment>
    <comment ref="AJ869" authorId="0" shapeId="0" xr:uid="{A4EF99B8-ECBC-4141-86FE-E0B8B92C1B1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no lo tiene ruben</t>
        </r>
      </text>
    </comment>
    <comment ref="AG871" authorId="0" shapeId="0" xr:uid="{0AEFC587-502F-4D59-8CBC-8ED00E430E9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18/2021 $770,000,000
</t>
        </r>
      </text>
    </comment>
    <comment ref="AG876" authorId="0" shapeId="0" xr:uid="{E765210F-2484-4AB7-AB65-EC8BF9F078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18/2021 $24,729,623</t>
        </r>
      </text>
    </comment>
    <comment ref="AH881" authorId="0" shapeId="0" xr:uid="{A5A23FDE-2D22-4ED1-B64E-B42601517A5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18/2021 $163,270,377</t>
        </r>
      </text>
    </comment>
    <comment ref="AG888" authorId="0" shapeId="0" xr:uid="{96675EF6-0B8D-49CA-9464-14D047C217B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22/2021 $222,721,043</t>
        </r>
      </text>
    </comment>
    <comment ref="AH888" authorId="0" shapeId="0" xr:uid="{BF9E23AD-6F48-4D68-AE15-EC0298A069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r74,931,884</t>
        </r>
      </text>
    </comment>
    <comment ref="AG902" authorId="0" shapeId="0" xr:uid="{6D752D33-DB8A-4DA0-B43D-23287B1BF89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 21
res 1135 junio 18/2021 $170,000,000</t>
        </r>
      </text>
    </comment>
    <comment ref="AH904" authorId="0" shapeId="0" xr:uid="{9991683D-11E9-4FBF-B704-8091DB6D883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FEBR 18/2021 RES 143 $794,729,623</t>
        </r>
      </text>
    </comment>
    <comment ref="AG908" authorId="0" shapeId="0" xr:uid="{E60CC9CA-F450-452D-B907-25116162884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julio 1/2021</t>
        </r>
      </text>
    </comment>
    <comment ref="AG910" authorId="0" shapeId="0" xr:uid="{B966E0FE-7899-4252-BE48-7A24B08DE31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
</t>
        </r>
      </text>
    </comment>
    <comment ref="AE915" authorId="0" shapeId="0" xr:uid="{DED0C163-281B-4023-B992-1967D81DB8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915" authorId="0" shapeId="0" xr:uid="{188A8C04-360A-4420-A4EE-CB9049C6F22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12/2021
RES 1135 JUNIO 18/2021 $4,989,317,258
RESOL 1209 JUL 1/2021</t>
        </r>
      </text>
    </comment>
    <comment ref="AH917" authorId="0" shapeId="0" xr:uid="{DC1F2228-B74A-42F0-BC34-505AF9E279F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18/2021 $221,572,545
res 773 abril 22 de 2021 $222,721,043</t>
        </r>
      </text>
    </comment>
    <comment ref="AE920" authorId="0" shapeId="0" xr:uid="{9F80715A-5695-49B7-A8FB-832B212FEF5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920" authorId="0" shapeId="0" xr:uid="{986A88AE-EFBB-44B2-BE89-9749A41B3BE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1/2021 $502,000,000</t>
        </r>
      </text>
    </comment>
    <comment ref="AE921" authorId="0" shapeId="0" xr:uid="{A77C8971-FE03-489E-8135-5EC2D7C9D30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925" authorId="0" shapeId="0" xr:uid="{0D672B41-C781-45D3-88FC-FCD772C8E63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18/2021 $408,029,872,00</t>
        </r>
      </text>
    </comment>
    <comment ref="AG939" authorId="0" shapeId="0" xr:uid="{B94D12CE-557A-4721-848D-F0D320E2E6A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</t>
        </r>
      </text>
    </comment>
    <comment ref="AE945" authorId="0" shapeId="0" xr:uid="{4203CAB2-771D-49A6-9F8A-9869386E44F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
</t>
        </r>
      </text>
    </comment>
    <comment ref="AH945" authorId="0" shapeId="0" xr:uid="{F1D4792C-2BF9-406F-82E8-552248522AD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21/2021</t>
        </r>
      </text>
    </comment>
    <comment ref="AE955" authorId="0" shapeId="0" xr:uid="{2C5AC941-30E4-4228-AA55-95BCFFBC2CC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974" authorId="0" shapeId="0" xr:uid="{4E0837BC-E1F1-446A-83F1-EA6815A766E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18/2021 $557,151,874</t>
        </r>
      </text>
    </comment>
    <comment ref="AG978" authorId="0" shapeId="0" xr:uid="{4C4D1929-252C-4233-9D9F-32F81DA2027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E984" authorId="0" shapeId="0" xr:uid="{7BE946E5-6B82-4C46-A14D-01811A570BD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985" authorId="0" shapeId="0" xr:uid="{BBC4AC95-F17F-48F2-B329-84E3AA6C53E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009" authorId="0" shapeId="0" xr:uid="{0153900B-4113-45C6-9077-F457DE43E6C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12/21$2,080,000,000</t>
        </r>
      </text>
    </comment>
    <comment ref="AH1009" authorId="0" shapeId="0" xr:uid="{C8BDAE79-6D6A-4685-BEB6-8F6DAFC53EB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4/2021 $1,800,000,000,00res 936 mayo 21/2021
RES1336 JUL 28/2021 $210,000,000</t>
        </r>
      </text>
    </comment>
    <comment ref="AG1011" authorId="0" shapeId="0" xr:uid="{B7B66991-86C7-4C28-A524-61719E6B7FC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12/2021 $2,580,000,000
resol 1336 jul 28/2021 $60,000,000</t>
        </r>
      </text>
    </comment>
    <comment ref="AH1011" authorId="0" shapeId="0" xr:uid="{30350D88-84F4-4098-8BB2-67764243C0C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1013" authorId="0" shapeId="0" xr:uid="{EBE1CD2A-A076-451F-A94D-7478E0B8FD4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RESOL 936 MAYO 21/21</t>
        </r>
      </text>
    </comment>
    <comment ref="AG1015" authorId="0" shapeId="0" xr:uid="{36BE77CB-19D4-4FF2-AA65-08017D038B0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28/2021 $100,000,000</t>
        </r>
      </text>
    </comment>
    <comment ref="AH1017" authorId="0" shapeId="0" xr:uid="{77639011-5B72-44E1-8C37-1B5E592446B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1/2021 $1,080,123,215 Y $2,000,000,000</t>
        </r>
      </text>
    </comment>
    <comment ref="AG1019" authorId="0" shapeId="0" xr:uid="{0588032A-257C-46F2-93DB-6AD86F35BB7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RES 1209 JULIO 1/2021</t>
        </r>
      </text>
    </comment>
    <comment ref="AG1020" authorId="0" shapeId="0" xr:uid="{B50AAB41-AF15-4E01-8F0D-7A0394549B6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1/2021$2,000,000,000</t>
        </r>
      </text>
    </comment>
    <comment ref="AG1022" authorId="0" shapeId="0" xr:uid="{D9363214-0B02-4645-BA8F-272314067F1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21/21</t>
        </r>
      </text>
    </comment>
    <comment ref="AG1024" authorId="0" shapeId="0" xr:uid="{58D079F4-84EE-4238-A2E4-61CDCDDA8C8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12/2021 $140,000,000</t>
        </r>
      </text>
    </comment>
    <comment ref="AH1024" authorId="0" shapeId="0" xr:uid="{D65B84D5-E4EF-4D5C-A541-1F7EC6E041B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E1027" authorId="0" shapeId="0" xr:uid="{CAF07B31-CB7C-4042-B64A-7862A4C6412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029" authorId="0" shapeId="0" xr:uid="{20576EFB-568A-4275-B676-BF97BC93938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
resol 1336 jul 28/2021 $50,000,000</t>
        </r>
      </text>
    </comment>
    <comment ref="AG1032" authorId="0" shapeId="0" xr:uid="{4DD659E6-6124-446B-AE85-171641B2EA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21resol 
1336 jul 28/2021 $100,000,000</t>
        </r>
      </text>
    </comment>
    <comment ref="AE1037" authorId="0" shapeId="0" xr:uid="{E3ADB5C4-A67F-4F8A-8E5D-930A35B8A5C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48" authorId="0" shapeId="0" xr:uid="{DDC4D528-3A50-45ED-BB2C-A10AA4E4AD7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12/2021 $10,000,000,000,00
resol 308 marzo 12/2021 $500,000,000
resolucion 737/ 15/04/2021 $431,000,000</t>
        </r>
      </text>
    </comment>
    <comment ref="AE1049" authorId="0" shapeId="0" xr:uid="{D03E5D3D-2243-4941-9465-6B7A72DC1E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49" authorId="0" shapeId="0" xr:uid="{DB2770E0-7640-4257-82AB-8CBF7C537A2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18/2021 $200,000,000</t>
        </r>
      </text>
    </comment>
    <comment ref="AH1053" authorId="0" shapeId="0" xr:uid="{A5F3C3CD-0F84-4E61-BBA2-E78BA073036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1054" authorId="0" shapeId="0" xr:uid="{07AB9CE8-5A69-457D-8607-E953B928DA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54" authorId="0" shapeId="0" xr:uid="{49BB0C0B-7AEE-45F2-88E8-8488FA37C47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1063" authorId="0" shapeId="0" xr:uid="{3BE274F2-3681-45CE-9191-BB182DBB00C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069" authorId="0" shapeId="0" xr:uid="{E27911F3-235B-4025-9528-C4B422F0D2D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080" authorId="0" shapeId="0" xr:uid="{51E7A8CB-7C45-4AA3-9482-0437984AEA1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1081" authorId="0" shapeId="0" xr:uid="{AB55E5B8-7AA7-4796-945A-7C62CDB606D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082" authorId="0" shapeId="0" xr:uid="{A856A70A-7A18-4949-90FA-4E350787375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84" authorId="0" shapeId="0" xr:uid="{58487D90-EE34-44C4-B8CA-34E70EB6B2E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01/26/2021</t>
        </r>
      </text>
    </comment>
    <comment ref="AE1088" authorId="0" shapeId="0" xr:uid="{D8F7C3EB-8196-4811-90A4-9240B01575F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ABRIL29/2021</t>
        </r>
      </text>
    </comment>
    <comment ref="AG1090" authorId="0" shapeId="0" xr:uid="{AB3F513B-6C03-483F-8299-526F20B1C11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18/2021 $204,500,000</t>
        </r>
      </text>
    </comment>
    <comment ref="AH1090" authorId="0" shapeId="0" xr:uid="{BDA5FDC6-11A0-4ECB-B9A1-7A5F13A66E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</t>
        </r>
      </text>
    </comment>
    <comment ref="AG1092" authorId="0" shapeId="0" xr:uid="{002DA38E-4011-496A-B48D-EDEA5406BA9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26/2021 $3,086,332,698</t>
        </r>
      </text>
    </comment>
    <comment ref="AE1093" authorId="0" shapeId="0" xr:uid="{D5FD24C8-4450-439C-9224-CC4D49EA9D6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095" authorId="0" shapeId="0" xr:uid="{B60110E1-F4FE-4F23-97FB-AFA394003CF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26/2021 $501,500,000</t>
        </r>
      </text>
    </comment>
    <comment ref="AH1095" authorId="0" shapeId="0" xr:uid="{B703BEB5-9360-4889-8DB1-AA5C38EE158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18/2021 $204,500,000</t>
        </r>
      </text>
    </comment>
    <comment ref="AE1097" authorId="0" shapeId="0" xr:uid="{D60ABA90-0D38-49E2-8C8C-03FECE42063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99" authorId="0" shapeId="0" xr:uid="{36063099-9A16-42B2-93B9-C774DF23ABE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</t>
        </r>
      </text>
    </comment>
    <comment ref="AG1101" authorId="0" shapeId="0" xr:uid="{2364062C-4D32-480E-8C55-33E3EC7313F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26/2021 $221,000,000</t>
        </r>
      </text>
    </comment>
    <comment ref="AE1104" authorId="0" shapeId="0" xr:uid="{375C4898-E68E-4F6B-BD65-DC518C38380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1119" authorId="0" shapeId="0" xr:uid="{9DA58413-3545-41DB-AD9F-D9B4FFF2623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35" authorId="0" shapeId="0" xr:uid="{552A53AD-3274-4C53-8AAA-AD00C32070F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36" authorId="0" shapeId="0" xr:uid="{E53CC53F-35AC-4041-B18B-DE735183E1F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37" authorId="0" shapeId="0" xr:uid="{F5F689AC-F6C0-4AC4-AF2C-FCAE423C897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56" authorId="0" shapeId="0" xr:uid="{07B7F802-A140-44AD-B72B-2CCC3BADCBB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A1159" authorId="0" shapeId="0" xr:uid="{1DA88A10-5E01-4A16-8D34-5A806A655CE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SE UBICO EN EL 3301122 EN CUIPO</t>
        </r>
      </text>
    </comment>
    <comment ref="AE1160" authorId="0" shapeId="0" xr:uid="{1890CE70-5BF9-41FA-BAF3-52164F1414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64" authorId="0" shapeId="0" xr:uid="{8718D2CE-1D83-41C6-BD8B-8719F4BC7AE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67" authorId="0" shapeId="0" xr:uid="{58E75CCE-1908-46CF-857B-413A83583CE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71" authorId="0" shapeId="0" xr:uid="{A6E35710-1A9C-43F3-8629-E717A087B84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73" authorId="0" shapeId="0" xr:uid="{6D0932BE-73AA-4E23-B182-92FF6602D06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77" authorId="0" shapeId="0" xr:uid="{6A1E7DF6-F1FD-4FCE-99C9-4B1B88F420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1201" authorId="0" shapeId="0" xr:uid="{46F2C243-0280-4302-AB84-40A35C4620F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737 15/04/2021 $431,000,000
RES 1068 JUN 3/2021 $18,000,000</t>
        </r>
      </text>
    </comment>
    <comment ref="AH1201" authorId="0" shapeId="0" xr:uid="{2BA23EBB-3446-4086-BA02-86BE67AEDFE1}">
      <text>
        <r>
          <rPr>
            <b/>
            <sz val="9"/>
            <color indexed="81"/>
            <rFont val="Tahoma"/>
            <family val="2"/>
          </rPr>
          <t>Yolanda Baron Pedraza
resol 915 mayo 12</t>
        </r>
      </text>
    </comment>
    <comment ref="AG1203" authorId="0" shapeId="0" xr:uid="{3479EFDD-EDCE-47DB-A319-6BB4CC85401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763 21 ABRIL  $431,000,000
res 915 mayo 12/2021 $9,000,000</t>
        </r>
      </text>
    </comment>
    <comment ref="AH1203" authorId="0" shapeId="0" xr:uid="{FEFE6779-A2E0-4145-88DE-998F1A44CAD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</t>
        </r>
      </text>
    </comment>
    <comment ref="AG1232" authorId="0" shapeId="0" xr:uid="{AAE43C64-4297-45A0-A0A5-23E36C43F09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026 enero 26/2021 $5,536,570,240</t>
        </r>
      </text>
    </comment>
    <comment ref="AH1237" authorId="0" shapeId="0" xr:uid="{553F498B-EA2F-4291-A26A-38661E58525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
</t>
        </r>
      </text>
    </comment>
    <comment ref="AE1240" authorId="0" shapeId="0" xr:uid="{3D41612D-E209-413E-A035-B3F91301C47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44" authorId="0" shapeId="0" xr:uid="{46AC7C6C-EC07-4F81-8D4E-77C332BB4D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45" authorId="0" shapeId="0" xr:uid="{BC4880CA-8A6E-4D27-8A60-9481837A5B0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MAYO7/2021</t>
        </r>
      </text>
    </comment>
    <comment ref="AE1251" authorId="0" shapeId="0" xr:uid="{2B282E78-550C-4AF1-B108-5211844E4B4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058MAYO 7/2021</t>
        </r>
      </text>
    </comment>
    <comment ref="AE1252" authorId="0" shapeId="0" xr:uid="{48A7CE50-7EE9-45CA-89FB-8C7ACAA3405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56" authorId="0" shapeId="0" xr:uid="{E2EA43AC-BE1F-4839-854F-EB5C0F02C7C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57" authorId="0" shapeId="0" xr:uid="{9EB18CD6-98B7-44F5-92FB-A78FDD8247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58" authorId="0" shapeId="0" xr:uid="{C4689DCE-3EC5-4B28-A896-2060C014C69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62" authorId="0" shapeId="0" xr:uid="{08CFC8E9-DCE6-46CA-9DC9-F4A7E4B4158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65" authorId="0" shapeId="0" xr:uid="{698ED9E0-5088-43AB-A5D8-996EDF37B1D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H1268" authorId="0" shapeId="0" xr:uid="{FD4CF8F4-87C6-4F81-A613-3E1478A0F8F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18/2021 $136,150,000
</t>
        </r>
      </text>
    </comment>
    <comment ref="AE1271" authorId="0" shapeId="0" xr:uid="{5DF3D750-ABBE-4E63-81FD-BC24F824995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72" authorId="0" shapeId="0" xr:uid="{F9F661A0-39B7-4D82-A43A-23D14CE2494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 C 058 MAYO 7/2021</t>
        </r>
      </text>
    </comment>
    <comment ref="AE1273" authorId="0" shapeId="0" xr:uid="{7432262D-EB63-4526-8919-61DE9812818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058 MAYO 7/2021</t>
        </r>
      </text>
    </comment>
    <comment ref="AE1277" authorId="0" shapeId="0" xr:uid="{23E51070-2C4B-43F9-AD9C-0413C6B3E78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81" authorId="0" shapeId="0" xr:uid="{1DFF404C-C472-4A3F-8FF3-6EAA765A0E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82" authorId="0" shapeId="0" xr:uid="{138FFC3C-F0B5-4DAB-A120-8E99C3544F9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83" authorId="0" shapeId="0" xr:uid="{A55143E7-F64B-487D-B8CF-816F5D19DF2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87" authorId="0" shapeId="0" xr:uid="{4DB981E6-F017-4DFB-A316-B381A20C145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88" authorId="0" shapeId="0" xr:uid="{1B4772C9-2ABF-4652-9785-6FAEF97478F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MAYOO 7/2021</t>
        </r>
      </text>
    </comment>
    <comment ref="AE1289" authorId="0" shapeId="0" xr:uid="{2C178EA6-0470-4BE7-86DD-9255D789801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93" authorId="0" shapeId="0" xr:uid="{CF72656C-48B0-4302-8972-897C9FAEEA3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97" authorId="0" shapeId="0" xr:uid="{C3634087-A6E0-4BD0-86B4-429BC1BD6EC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99" authorId="0" shapeId="0" xr:uid="{936164D3-8ECF-4411-8427-FA306CC656B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G1301" authorId="0" shapeId="0" xr:uid="{0C12F5CD-9CA0-4043-83F8-A43266D217A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18/21 $136,150,000</t>
        </r>
      </text>
    </comment>
    <comment ref="AG1303" authorId="0" shapeId="0" xr:uid="{8220E30D-80E6-4C08-9BDB-EDB967AFB68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13360 jul 28/2021</t>
        </r>
      </text>
    </comment>
    <comment ref="AE1308" authorId="0" shapeId="0" xr:uid="{FBAEC499-5D39-4DDB-AC5E-51D22E132F8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308" authorId="0" shapeId="0" xr:uid="{1E0DF77F-A964-486C-AB42-50D24B69C37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E1312" authorId="0" shapeId="0" xr:uid="{D2E0BAB6-CEF3-4DF4-8454-7205736806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14" authorId="0" shapeId="0" xr:uid="{13DC9108-46D0-4DF6-B17D-6DE7661933D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058MAYO 7/2021</t>
        </r>
      </text>
    </comment>
    <comment ref="AH1314" authorId="0" shapeId="0" xr:uid="{F71CB934-F533-4B1F-86DE-EF2C1B6F34A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28/2021 $350,000,000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Yolanda Baron Pedraza</author>
  </authors>
  <commentList>
    <comment ref="AH18" authorId="0" shapeId="0" xr:uid="{D4A43C1B-5E1D-4D49-A33F-2815095723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11356 JUNIO 18/2021 $100,000,000
RESOL 1359 AGOTO 2/2021</t>
        </r>
      </text>
    </comment>
    <comment ref="AG20" authorId="0" shapeId="0" xr:uid="{6BF7A81D-CD81-4240-B4E1-4E6C4DD653F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H25" authorId="0" shapeId="0" xr:uid="{8B78AB8C-D534-4AE5-8BC7-6F0ACEE2440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18/2021 $140,000,000</t>
        </r>
      </text>
    </comment>
    <comment ref="AH35" authorId="0" shapeId="0" xr:uid="{EDDC9A85-2C35-45D8-A965-B914C6079B4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18/2021 $120,000,000</t>
        </r>
      </text>
    </comment>
    <comment ref="AH37" authorId="0" shapeId="0" xr:uid="{5FB7AC47-EC08-469C-A68A-6539DCA9051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18/2021 $72,000,000</t>
        </r>
      </text>
    </comment>
    <comment ref="AH44" authorId="0" shapeId="0" xr:uid="{3A0CFF71-6D59-4ED4-88E4-9780A5E36AB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18/2021 $70,000,000
RESOL 1359 AGOSTO 2/2021</t>
        </r>
      </text>
    </comment>
    <comment ref="AH53" authorId="0" shapeId="0" xr:uid="{CF69F894-B0C3-41AB-86C1-72D24F7DB49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1135JUNIO 18/2021 $79,000,000
RES 1265 JUL 14/2021RESOL 1359 AGOSTO 2/2021</t>
        </r>
      </text>
    </comment>
    <comment ref="AH56" authorId="0" shapeId="0" xr:uid="{DFEC4201-DA1C-4CB5-B408-CD2BC1D5879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18/2021 $37,500,000</t>
        </r>
      </text>
    </comment>
    <comment ref="AH59" authorId="0" shapeId="0" xr:uid="{7FCB8967-904B-4DEA-811E-28B45B45386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1359 AGOSTO 2</t>
        </r>
      </text>
    </comment>
    <comment ref="AH76" authorId="0" shapeId="0" xr:uid="{49B3FF8F-E1FB-4ACE-867C-7026D1BF9DD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del 12 mayoRESOL 1359 AGOSTO 2/2021</t>
        </r>
      </text>
    </comment>
    <comment ref="AG84" authorId="0" shapeId="0" xr:uid="{A6B0295F-B723-4764-A968-5BBD46287BA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18/2021 $72,000,000</t>
        </r>
      </text>
    </comment>
    <comment ref="AG89" authorId="0" shapeId="0" xr:uid="{F98A272A-217D-42EC-8006-3527173E76C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18/2021 $70,000,000</t>
        </r>
      </text>
    </comment>
    <comment ref="AG91" authorId="0" shapeId="0" xr:uid="{071D17D0-1483-45AA-938E-146E9FAB8CC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</t>
        </r>
      </text>
    </comment>
    <comment ref="AG92" authorId="0" shapeId="0" xr:uid="{FB226E5E-CB38-4F88-AF9A-F18DFF4A3BA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18/2021 $37,500,000</t>
        </r>
      </text>
    </comment>
    <comment ref="AH92" authorId="0" shapeId="0" xr:uid="{302DB0B9-EB02-4CC7-A691-FD2A50922E4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JUK 14/2021 $37,500,000</t>
        </r>
      </text>
    </comment>
    <comment ref="AG93" authorId="0" shapeId="0" xr:uid="{D4005918-26FF-4697-BE1D-6636DB5EFF3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18/2021$260,000,000$79,000,000</t>
        </r>
      </text>
    </comment>
    <comment ref="AH93" authorId="0" shapeId="0" xr:uid="{F95E5227-4CD4-4B07-AEF0-C60BA2FD755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H95" authorId="0" shapeId="0" xr:uid="{E4163084-7712-4DB3-8C50-E2D192B89B0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12/2021 $90,000,000
res 201 marzo 4/2021</t>
        </r>
      </text>
    </comment>
    <comment ref="AG96" authorId="0" shapeId="0" xr:uid="{FB0EF8A0-F657-41A8-8319-CE9376FC615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14/04/2021 $200,000,000
res 1135 jun 18/2021 $37,500,000
res 1265 jul 14/2021</t>
        </r>
      </text>
    </comment>
    <comment ref="AH96" authorId="0" shapeId="0" xr:uid="{5ED062FD-2191-4EBD-91FF-EF2281F5B0E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12/2021 $490,000,000</t>
        </r>
      </text>
    </comment>
    <comment ref="AG97" authorId="0" shapeId="0" xr:uid="{D5A852CA-07FE-4A57-AC25-0E5AC01E85F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2021</t>
        </r>
      </text>
    </comment>
    <comment ref="AH97" authorId="0" shapeId="0" xr:uid="{6FAEBC75-A23F-4038-9923-C5A2C25773D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</t>
        </r>
      </text>
    </comment>
    <comment ref="AG98" authorId="0" shapeId="0" xr:uid="{13A80399-E4D1-4EBB-922A-875805E8322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069 feb 12/2021 $1,580,000,000
resol 308 marzo 12/2021 $150,000,000
RES 511 MARZO 19/2021 $300,000,000
RES 0201 MARZO 4/2021 $34,200,000RESOL 1437 AGOSTO 18/2021
RESOL 1359 AGOSTO 2/2021</t>
        </r>
      </text>
    </comment>
    <comment ref="AH98" authorId="0" shapeId="0" xr:uid="{D45912C4-531B-4807-AA1E-571E2F8A933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12/2021 $1,000,000,000
resol 308 marzo 12/2021 $450,000,000
resol 511 marzo 19/2021
res 201 4 marzo 2021
RESOL 1437 AGOSTO 18</t>
        </r>
      </text>
    </comment>
    <comment ref="AG99" authorId="0" shapeId="0" xr:uid="{B829ADD7-49F7-47B8-89BC-C3EC36C341B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1437 AGOSTO 18/2021</t>
        </r>
      </text>
    </comment>
    <comment ref="AG105" authorId="0" shapeId="0" xr:uid="{AEAD2465-B2AD-4350-BE35-DF2B2A3234F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1/2021 $80,000,000</t>
        </r>
      </text>
    </comment>
    <comment ref="AG112" authorId="0" shapeId="0" xr:uid="{129882D6-31EE-4B9F-854C-357FF83E691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E115" authorId="0" shapeId="0" xr:uid="{B20F2E11-783F-4FB5-89A4-8EBF0DA1B85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16" authorId="0" shapeId="0" xr:uid="{D86988AC-956E-4544-877B-B12558686F8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14/04/2021 $700000,000,00
RES 1265 $JUL 14/2021 $1,040,000,000</t>
        </r>
      </text>
    </comment>
    <comment ref="AH127" authorId="0" shapeId="0" xr:uid="{077DB7B9-4D09-4617-8A6C-A3E9C8EAA54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15 abril/2021 $900,000,000
RES 1209 JUL 1 DE 2021
RESOL 1265 JUL 14JULIO14/2021
RESOLUCION 1407 AGOSTO 13/2021 $365,556,246,72
RESOL 1437 AGOSTO 18</t>
        </r>
      </text>
    </comment>
    <comment ref="AE130" authorId="0" shapeId="0" xr:uid="{D6BB9AAF-E8F5-4327-8126-F1E6739686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35" authorId="0" shapeId="0" xr:uid="{01158E32-BA7B-47DC-8F96-CACC311B9C8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G137" authorId="0" shapeId="0" xr:uid="{9E548BF7-89BD-474F-A5EC-BD99F2BCC79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
</t>
        </r>
      </text>
    </comment>
    <comment ref="AG147" authorId="0" shapeId="0" xr:uid="{D8BF45AE-8422-470E-893D-11D88B22294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
</t>
        </r>
      </text>
    </comment>
    <comment ref="AE148" authorId="0" shapeId="0" xr:uid="{96DCC98C-E755-4E05-90ED-DC586BE4333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53" authorId="0" shapeId="0" xr:uid="{2D5F1211-443C-4749-A8BF-885FE9C46F5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
res 915 mayo 12 $12,000,000</t>
        </r>
      </text>
    </comment>
    <comment ref="AG158" authorId="0" shapeId="0" xr:uid="{1C755D88-5FF0-489F-8620-ED0913BD784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4/2021RESOL 1359 AGOSTO 2/2021</t>
        </r>
      </text>
    </comment>
    <comment ref="AE179" authorId="0" shapeId="0" xr:uid="{557158ED-201A-4C05-B32C-563796CAF51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E186" authorId="0" shapeId="0" xr:uid="{E3421055-3964-48F8-A23C-D9658BB7298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87" authorId="0" shapeId="0" xr:uid="{749F0F75-9941-469A-9689-BD98B46A695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H200" authorId="0" shapeId="0" xr:uid="{79692B7E-D1D6-4476-95CD-0366F8E6DFC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18/2021 $40,000,000</t>
        </r>
      </text>
    </comment>
    <comment ref="AG202" authorId="0" shapeId="0" xr:uid="{9B0C0CEC-5B47-42C2-9CCC-874A67A90DA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205" authorId="0" shapeId="0" xr:uid="{ED9619F9-3B94-4569-9B00-224F61ED86C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205" authorId="0" shapeId="0" xr:uid="{9F953F31-B8BE-491E-8152-D7B798B474E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12 de mayo </t>
        </r>
      </text>
    </comment>
    <comment ref="AG212" authorId="0" shapeId="0" xr:uid="{4A056113-36CE-4313-92F0-0B4BEDFA652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18/2021 $60,000,000</t>
        </r>
      </text>
    </comment>
    <comment ref="AG215" authorId="0" shapeId="0" xr:uid="{4E141207-F3F4-4399-9735-CEA55743FBC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814 abril 30/2021</t>
        </r>
      </text>
    </comment>
    <comment ref="AG217" authorId="0" shapeId="0" xr:uid="{71BB3937-77AB-4F2C-A3C3-124DF7FFE83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G218" authorId="0" shapeId="0" xr:uid="{A1E553D0-5056-440C-BD6B-7FE35F5287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220" authorId="0" shapeId="0" xr:uid="{7F76F281-2C68-4403-AF4F-F79C493722A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15/2021
</t>
        </r>
      </text>
    </comment>
    <comment ref="AG226" authorId="0" shapeId="0" xr:uid="{47E5E33A-B277-434C-8AC3-B829848D91E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12/2021 $200,000,000</t>
        </r>
      </text>
    </comment>
    <comment ref="AH226" authorId="0" shapeId="0" xr:uid="{507949A8-F979-4FFF-B48E-72C0F5152DE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814 30 abril 2021 $200,000,000</t>
        </r>
      </text>
    </comment>
    <comment ref="AH230" authorId="0" shapeId="0" xr:uid="{FC71A045-FE52-448E-B646-AAB6444EEAB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18/2021 $20,000,000</t>
        </r>
      </text>
    </comment>
    <comment ref="AG233" authorId="0" shapeId="0" xr:uid="{AEB76C20-53A0-4352-A4C6-6EDA0857B1B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18/2021 $200,000,000</t>
        </r>
      </text>
    </comment>
    <comment ref="AH236" authorId="0" shapeId="0" xr:uid="{762AE4A1-A0EF-46FF-8AD3-54F3A20D22D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18/2021 $400,000,000</t>
        </r>
      </text>
    </comment>
    <comment ref="AG239" authorId="0" shapeId="0" xr:uid="{E5719AE8-18CD-439E-8BD8-25F47C963D9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18/2021$400,000,000</t>
        </r>
      </text>
    </comment>
    <comment ref="AE243" authorId="0" shapeId="0" xr:uid="{356C471C-73AE-4219-B98C-45621E9CF6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G304" authorId="0" shapeId="0" xr:uid="{AC249275-FEBB-4E35-95A8-2875664ACF6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H304" authorId="0" shapeId="0" xr:uid="{5861CF0D-3C7E-4476-9BC5-C1B4151E47D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19/2021 $316,940,531,70</t>
        </r>
      </text>
    </comment>
    <comment ref="AE306" authorId="0" shapeId="0" xr:uid="{6DB7311B-BF5A-4EF3-A580-3B7433C927C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312" authorId="0" shapeId="0" xr:uid="{4D324F63-AAE9-4832-8A01-D4D44D5EC2F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G403" authorId="0" shapeId="0" xr:uid="{86A914F6-ADC9-4957-BE30-05659B8F148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12/2021 $2,000,000,000RES 1265 JULI 14/2021</t>
        </r>
      </text>
    </comment>
    <comment ref="AG410" authorId="0" shapeId="0" xr:uid="{07BEC526-2FBC-4961-9657-EF5CC9D49E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
</t>
        </r>
      </text>
    </comment>
    <comment ref="AH410" authorId="0" shapeId="0" xr:uid="{322E89C3-A6EC-47AF-8ECB-1BC093B40D0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13/52021 $95,676,637</t>
        </r>
      </text>
    </comment>
    <comment ref="AH411" authorId="0" shapeId="0" xr:uid="{11DCE9F6-155E-49C4-9731-73FCF931F42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 1407 agosto 13/2021 $1,040,144,569
</t>
        </r>
      </text>
    </comment>
    <comment ref="AE412" authorId="0" shapeId="0" xr:uid="{42406630-A5A7-4D78-99F5-2DEEA2135B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13" authorId="0" shapeId="0" xr:uid="{01F3EBBE-CF3B-4D56-8111-2B71401A8ED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14" authorId="0" shapeId="0" xr:uid="{46298274-84DD-44B6-BF44-6AD2FB10C1E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MAYO27/2021</t>
        </r>
      </text>
    </comment>
    <comment ref="AE417" authorId="0" shapeId="0" xr:uid="{748B64EE-F73B-4727-A760-ADD812AA641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418" authorId="0" shapeId="0" xr:uid="{50A0B555-5B6D-4323-A00D-36F659513E5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</t>
        </r>
      </text>
    </comment>
    <comment ref="AG419" authorId="0" shapeId="0" xr:uid="{7C81856C-BF2C-4ABD-A92F-2132933EEC4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H423" authorId="0" shapeId="0" xr:uid="{99062AC4-25ED-4E86-B9C3-55FE2F7C4AA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13/2021 $169,996,000
res 1407 agosto 13/2021$20,000,000</t>
        </r>
      </text>
    </comment>
    <comment ref="AH428" authorId="0" shapeId="0" xr:uid="{44693666-38D0-4EBA-813F-8F4BACAA27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
/2021 $94,960,
977</t>
        </r>
      </text>
    </comment>
    <comment ref="AH432" authorId="0" shapeId="0" xr:uid="{B9488566-9F6C-4541-A454-475639BF3F9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</t>
        </r>
      </text>
    </comment>
    <comment ref="AH434" authorId="0" shapeId="0" xr:uid="{97B43CFE-5C07-4BAB-8C84-6FF2B21DB91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14/2021$210,000,000</t>
        </r>
      </text>
    </comment>
    <comment ref="AE439" authorId="0" shapeId="0" xr:uid="{6D6657DD-3A0D-4E85-BCA2-35C6891093B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40" authorId="0" shapeId="0" xr:uid="{BE88C631-8998-4463-BD6B-E8EFC606342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41" authorId="0" shapeId="0" xr:uid="{494220BB-F81A-4AA2-83DC-E3F4D676D1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H445" authorId="0" shapeId="0" xr:uid="{35CDC235-8487-4C0B-920B-6756FE19E7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13 $736,198
</t>
        </r>
      </text>
    </comment>
    <comment ref="AG449" authorId="0" shapeId="0" xr:uid="{9850C7D7-41E9-465F-9F21-D630D433F00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19/2021 $27,102,938</t>
        </r>
      </text>
    </comment>
    <comment ref="AG453" authorId="0" shapeId="0" xr:uid="{5622D900-C3A8-4888-A139-BD54C54820C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22 ABRIL 2021 $417,383651,71</t>
        </r>
      </text>
    </comment>
    <comment ref="AE454" authorId="0" shapeId="0" xr:uid="{69273AAC-904E-4A15-A30C-317877DEF5F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454" authorId="0" shapeId="0" xr:uid="{FD872B46-AD5C-4E5A-8ADB-F51BD9D1AB0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13/2021 $1,416,953,380</t>
        </r>
      </text>
    </comment>
    <comment ref="AG456" authorId="0" shapeId="0" xr:uid="{8C6D5C77-826B-401A-9A92-A203D1A72E5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14/2021$210000000
</t>
        </r>
      </text>
    </comment>
    <comment ref="AG459" authorId="0" shapeId="0" xr:uid="{4128AFD0-F78B-4A29-84C1-6CA08F33A65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511 MARZO 19/2021</t>
        </r>
      </text>
    </comment>
    <comment ref="AH465" authorId="0" shapeId="0" xr:uid="{6D5F9BBE-B524-4533-9FE0-935F4400617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19/2021 $155,990,000</t>
        </r>
      </text>
    </comment>
    <comment ref="AG467" authorId="0" shapeId="0" xr:uid="{EEB3CE97-3C60-4135-86E7-3FCD13E1B9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13/2021 $20,000,000</t>
        </r>
      </text>
    </comment>
    <comment ref="AG469" authorId="0" shapeId="0" xr:uid="{FA41DE24-2A01-45E6-83FD-2AB7F62813F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22/2021 $1227,570,664,14</t>
        </r>
      </text>
    </comment>
    <comment ref="AG470" authorId="0" shapeId="0" xr:uid="{3F903E3B-1940-4F65-8118-9CCDD0AAF0D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 1265 JUL 14/2021</t>
        </r>
      </text>
    </comment>
    <comment ref="AE476" authorId="0" shapeId="0" xr:uid="{BE892EE1-C997-4981-AF80-8CBFD69D326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033 MARZO 1/2021</t>
        </r>
      </text>
    </comment>
    <comment ref="AH476" authorId="0" shapeId="0" xr:uid="{D78C62A6-ACBC-49A4-A64E-4C931C79E69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22/2021 $1,644,954,15,85</t>
        </r>
      </text>
    </comment>
    <comment ref="AE477" authorId="0" shapeId="0" xr:uid="{75083E1C-A1F0-49ED-ADAC-876FA14D8BC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H477" authorId="0" shapeId="0" xr:uid="{DBFBECCC-6873-4099-B514-342B7985F4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14/2021 $60,900,682</t>
        </r>
      </text>
    </comment>
    <comment ref="AH480" authorId="0" shapeId="0" xr:uid="{09625499-991E-4723-9857-C41C59DB6D0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19/2021 $23,257,108
RES 1265 JUL 14/2021</t>
        </r>
      </text>
    </comment>
    <comment ref="AE483" authorId="0" shapeId="0" xr:uid="{560DF9C9-0135-4E82-B18C-56DD65A7650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484" authorId="0" shapeId="0" xr:uid="{2051365F-F51F-46C4-8BB3-0EDDE634672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rs 1265 jul 14/2021</t>
        </r>
      </text>
    </comment>
    <comment ref="AG488" authorId="0" shapeId="0" xr:uid="{E62B07B8-45CC-4C2B-9993-CFAB8A9BBA4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H488" authorId="0" shapeId="0" xr:uid="{470D2607-B881-4B65-8650-03B73064B5F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19/2021 $3,845,830
RES 1265 JUL 14/2021</t>
        </r>
      </text>
    </comment>
    <comment ref="AH489" authorId="0" shapeId="0" xr:uid="{E0CAB5D4-3508-48C0-9747-C61AB0C69C7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H491" authorId="0" shapeId="0" xr:uid="{EC66E0FB-B861-414D-A680-32AF5095907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E498" authorId="0" shapeId="0" xr:uid="{33DE24F9-9093-4475-AE76-21C92386E4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499" authorId="0" shapeId="0" xr:uid="{D94529FD-5F0D-4934-B191-521B639F010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07" authorId="0" shapeId="0" xr:uid="{3E165DEC-FF93-45BC-AAB7-75BCF9940F4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520 DEL 26 DE MARZO 2021 $1,5000,000,00</t>
        </r>
      </text>
    </comment>
    <comment ref="AE510" authorId="0" shapeId="0" xr:uid="{BC04BA5A-7F14-43A1-A273-8C0EFE6E67E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G512" authorId="0" shapeId="0" xr:uid="{7006EC8D-2E25-4208-8412-23C783D586F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0520 DEL 26 MARZO 2021 $1,500,000,000</t>
        </r>
      </text>
    </comment>
    <comment ref="AE515" authorId="0" shapeId="0" xr:uid="{A27E6896-ED6F-416F-BBF0-13A610DDF1F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21" authorId="0" shapeId="0" xr:uid="{3E12434D-28AD-47F7-B0CF-825F9F71578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32" authorId="0" shapeId="0" xr:uid="{03304AD6-33F3-413A-B27A-2D37519B0B3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agosto27/2021
</t>
        </r>
      </text>
    </comment>
    <comment ref="AH540" authorId="0" shapeId="0" xr:uid="{88C016C9-1DF8-45CC-A7AB-AD37A4F405F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resolucion 1407 agosto 13$530,557,116</t>
        </r>
      </text>
    </comment>
    <comment ref="AE541" authorId="0" shapeId="0" xr:uid="{308C93AD-0AD2-41D2-8E45-769A3DC5485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068 MAYO 31/2021</t>
        </r>
      </text>
    </comment>
    <comment ref="AG544" authorId="0" shapeId="0" xr:uid="{C829A867-B823-411A-96CD-0A94A32ABB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545" authorId="0" shapeId="0" xr:uid="{EA8F5734-A1B8-424D-A77E-67B1A9AB8E4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546" authorId="0" shapeId="0" xr:uid="{940B74C3-2985-4EA5-B7DC-2CC8D885377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E548" authorId="0" shapeId="0" xr:uid="{03B4A9E0-7A4D-45ED-A48B-7E690AE3454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
DEC 068 MAYO 31/2021</t>
        </r>
      </text>
    </comment>
    <comment ref="AH548" authorId="0" shapeId="0" xr:uid="{84E6F13F-13BB-4879-B3F5-714FAA73CBE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550" authorId="0" shapeId="0" xr:uid="{D3BE7EB8-09EE-476F-B6A3-EE50D19412D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26 enero 26/21 $24,165,016
res 1336 julio 28/2021</t>
        </r>
      </text>
    </comment>
    <comment ref="AH550" authorId="0" shapeId="0" xr:uid="{16A8B73E-39D5-4069-933E-275B1789E21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13/2021$200,000,000</t>
        </r>
      </text>
    </comment>
    <comment ref="AH552" authorId="0" shapeId="0" xr:uid="{4991638B-489A-42C4-ADB1-67CCE3B1F30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H554" authorId="0" shapeId="0" xr:uid="{00B12EDF-C52F-4BD7-B51E-EFA205168AC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 del 26/01/2021 $9,296,364,215
resolu 027/ enero 27/2021 $1,362,635,323</t>
        </r>
      </text>
    </comment>
    <comment ref="AE555" authorId="0" shapeId="0" xr:uid="{AB506B66-22C4-48F8-9A5D-8626E7AA3BB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57" authorId="0" shapeId="0" xr:uid="{B271C08F-07B4-4BE2-BC3D-B2B7C9FB431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19/2021$15,401,381res 1407 agosto 13/2021</t>
        </r>
      </text>
    </comment>
    <comment ref="AH557" authorId="0" shapeId="0" xr:uid="{CA93D61F-C26A-4306-98B1-B720A9173FC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28/2021 $547,969,140</t>
        </r>
      </text>
    </comment>
    <comment ref="AE558" authorId="0" shapeId="0" xr:uid="{F8FB1AEE-E7D2-4B66-A65F-18179B31C62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068 MAYO 21</t>
        </r>
      </text>
    </comment>
    <comment ref="AG558" authorId="0" shapeId="0" xr:uid="{DD346E9E-69CC-41D6-9ABD-97821C7EE18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26/2021 $20,296,364,215
</t>
        </r>
      </text>
    </comment>
    <comment ref="AG559" authorId="0" shapeId="0" xr:uid="{D458E76A-9837-402A-9668-B97480DE5A5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agpstp 13/2021</t>
        </r>
      </text>
    </comment>
    <comment ref="AE563" authorId="0" shapeId="0" xr:uid="{58FEE3D6-F95A-429C-BE55-2DB41D3571A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63" authorId="0" shapeId="0" xr:uid="{43067668-5C3C-4720-898B-095690B6A1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E565" authorId="0" shapeId="0" xr:uid="{BF0CBF39-84EC-484B-B154-E9E8EEFEB5F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65" authorId="0" shapeId="0" xr:uid="{6D2F0946-112B-4254-867C-304DA0C7ED0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3/2021$8,000,000</t>
        </r>
      </text>
    </comment>
    <comment ref="AG566" authorId="0" shapeId="0" xr:uid="{F368BAE8-6F62-4ACE-8D61-8E91C85F64B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568" authorId="0" shapeId="0" xr:uid="{E7C42881-4FBB-433D-B9D0-DD022E0CB3D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27/2021 $1,555,449,996
</t>
        </r>
      </text>
    </comment>
    <comment ref="AG570" authorId="0" shapeId="0" xr:uid="{32483284-6EAB-4514-A6D5-53A43C7817B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26/2021 $95,000,000</t>
        </r>
      </text>
    </comment>
    <comment ref="AG572" authorId="0" shapeId="0" xr:uid="{3C879928-B6ED-46A1-8263-90F3D665D8D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27/2021 $1,331,864,802</t>
        </r>
      </text>
    </comment>
    <comment ref="AG574" authorId="0" shapeId="0" xr:uid="{7A162AF2-CA0A-4659-A2D8-3DB5B1FA6E3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H574" authorId="0" shapeId="0" xr:uid="{28A84618-BC63-46E7-A7A8-BAABBCBB0DDA}">
      <text>
        <r>
          <rPr>
            <b/>
            <sz val="9"/>
            <color indexed="81"/>
            <rFont val="Tahoma"/>
            <family val="2"/>
          </rPr>
          <t>Yolanda Baron Pedraza:res 915 mayo 12/2021</t>
        </r>
      </text>
    </comment>
    <comment ref="AE575" authorId="0" shapeId="0" xr:uid="{2CBBF502-7EF8-4568-8A9A-4D8AC8253B9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0053 abril 29/21</t>
        </r>
      </text>
    </comment>
    <comment ref="AG575" authorId="0" shapeId="0" xr:uid="{735B0324-977A-4317-9015-091FB96AF2B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3/2021 $50,000,000res 1336 jul 28/2021</t>
        </r>
      </text>
    </comment>
    <comment ref="AE576" authorId="0" shapeId="0" xr:uid="{65D9EF35-EA48-44C1-B7DC-E4F8EC3714E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76" authorId="0" shapeId="0" xr:uid="{5885F018-C762-47FD-93F9-5521779613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jull 2 8/2021
res 1407 agosto 13</t>
        </r>
      </text>
    </comment>
    <comment ref="AG577" authorId="0" shapeId="0" xr:uid="{0D6CCF67-2D1D-4334-8F36-D0E3199305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13/2021 $60,000,000</t>
        </r>
      </text>
    </comment>
    <comment ref="AG579" authorId="0" shapeId="0" xr:uid="{676BE54B-52DF-46E1-93B3-D216A4188D3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19/2021 $610,000,000</t>
        </r>
      </text>
    </comment>
    <comment ref="AG581" authorId="0" shapeId="0" xr:uid="{8D7D699A-219C-439F-8614-E30D4265E57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julio 28/2021</t>
        </r>
      </text>
    </comment>
    <comment ref="AE582" authorId="0" shapeId="0" xr:uid="{101725F0-0210-47F9-90F6-86FDA2B0F39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82" authorId="0" shapeId="0" xr:uid="{C80B65E6-3711-44A5-B1DC-36A3E5B47F9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28/2021 $451,451,337,30</t>
        </r>
      </text>
    </comment>
    <comment ref="AE583" authorId="0" shapeId="0" xr:uid="{F37E48FF-E770-4026-84EF-38C67ED807D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83" authorId="0" shapeId="0" xr:uid="{12E448AF-0BAA-45E5-91DB-79ADFAB56C3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28/2021 $700,000,000</t>
        </r>
      </text>
    </comment>
    <comment ref="AE584" authorId="0" shapeId="0" xr:uid="{2CFA5382-6DF1-4C21-92A2-47BCC959C6D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84" authorId="0" shapeId="0" xr:uid="{78CCB6BF-35EF-41E3-9F33-BFA1216F76C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28/2021 $1,040,743</t>
        </r>
      </text>
    </comment>
    <comment ref="AH586" authorId="0" shapeId="0" xr:uid="{53D6C345-9C15-491E-824E-7275F985FD8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26/2021 $11,000,000,000
reso 27 enero 27/2021 $5,500,000,000</t>
        </r>
      </text>
    </comment>
    <comment ref="AG588" authorId="0" shapeId="0" xr:uid="{0CA24236-0BB0-4E86-BC1C-9CFEE570F6F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26/2021 $22,204,778</t>
        </r>
      </text>
    </comment>
    <comment ref="AG589" authorId="0" shapeId="0" xr:uid="{3F104854-4CE3-485F-AC8C-6D38712BA2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G590" authorId="0" shapeId="0" xr:uid="{79328D21-BD65-449C-9EEA-6373CD75CDC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G591" authorId="0" shapeId="0" xr:uid="{C8F521BF-9104-49E6-A637-8E89FD840E6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G592" authorId="0" shapeId="0" xr:uid="{AB97B18D-E799-4321-B126-8687C610D27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E593" authorId="0" shapeId="0" xr:uid="{F07AB15F-E34F-4357-BF87-84B629489FC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93" authorId="0" shapeId="0" xr:uid="{EEA29213-6341-4A69-B2C5-B6A9D22DACE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28/2021 $186,255,799,66</t>
        </r>
      </text>
    </comment>
    <comment ref="AE595" authorId="0" shapeId="0" xr:uid="{D69C6E99-9C9D-4A08-8FCD-E548BC984C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97" authorId="0" shapeId="0" xr:uid="{F12F5644-B1DB-4EF9-8BB2-B726879F67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27/2021 $3,975,320,525
</t>
        </r>
      </text>
    </comment>
    <comment ref="AG599" authorId="0" shapeId="0" xr:uid="{37B0FB0E-3A40-49E0-B592-80E9B0FB2AA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602" authorId="0" shapeId="0" xr:uid="{F5ABC9CA-5F5F-4630-9985-E3C36CABC6C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603" authorId="0" shapeId="0" xr:uid="{B3F5BE42-070B-4C02-9115-27E91C7178D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
dec 068 mayo 31/2021</t>
        </r>
      </text>
    </comment>
    <comment ref="AA605" authorId="0" shapeId="0" xr:uid="{AF132569-745D-4763-96D5-5AFDEE2013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verificar si e  501 0 201</t>
        </r>
      </text>
    </comment>
    <comment ref="AG605" authorId="0" shapeId="0" xr:uid="{BCB8001B-B75A-44BE-B190-161FE486053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26/2021 $60,325,921,15
resol 915 $40,465,552</t>
        </r>
      </text>
    </comment>
    <comment ref="AH607" authorId="0" shapeId="0" xr:uid="{5DE05F7A-BE5F-4573-9D84-80FAF2A27B1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13/2021 $530,557,116</t>
        </r>
      </text>
    </comment>
    <comment ref="AH610" authorId="0" shapeId="0" xr:uid="{5CFB72C7-C19B-4AE6-89FF-54059EF70E3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18/2021 $265,538,240
reso 773 abril 22/2021 $219,103,236,80</t>
        </r>
      </text>
    </comment>
    <comment ref="AE612" authorId="0" shapeId="0" xr:uid="{7A435184-CE28-4E6A-85F3-2E65FC7B336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E613" authorId="0" shapeId="0" xr:uid="{9D248FDB-8302-483F-93CE-C1E19E8B3D1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615" authorId="0" shapeId="0" xr:uid="{F5DD6614-8956-4F71-8057-25B5948EC74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615" authorId="0" shapeId="0" xr:uid="{047816CE-DC1A-444D-87D6-BEF8329F802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agosto 27 resol 1490</t>
        </r>
      </text>
    </comment>
    <comment ref="AH615" authorId="0" shapeId="0" xr:uid="{7B472466-9FF0-4793-9DBD-D0AD33441C8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18/2021 $1,886,000,000</t>
        </r>
      </text>
    </comment>
    <comment ref="AE621" authorId="0" shapeId="0" xr:uid="{7845EB75-87D0-4D0A-ACF6-03538977F78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21" authorId="0" shapeId="0" xr:uid="{93E2713D-B008-4B7D-A5A0-2D56EE08B5F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3/2021 $40,000,000</t>
        </r>
      </text>
    </comment>
    <comment ref="AG623" authorId="0" shapeId="0" xr:uid="{8E6D2103-E7C4-459E-B85E-0A38B50CFA5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27 enero 27/2021 $503,000,000,00</t>
        </r>
      </text>
    </comment>
    <comment ref="AH623" authorId="0" shapeId="0" xr:uid="{9CC96621-1481-41D1-8CEB-BAF5EAA2ACB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0915 mayo 12/2021</t>
        </r>
      </text>
    </comment>
    <comment ref="AH625" authorId="0" shapeId="0" xr:uid="{BCACB902-9CC3-44A6-83F0-6F2CE4C32F7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mayo12/2021</t>
        </r>
      </text>
    </comment>
    <comment ref="AG626" authorId="0" shapeId="0" xr:uid="{A3DBEFBA-BB2F-4175-9481-6CCECDC21CA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</t>
        </r>
      </text>
    </comment>
    <comment ref="AG628" authorId="0" shapeId="0" xr:uid="{2005A924-E245-4863-A93D-072DEB10BAF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12/2021 $1,556,000,000,00</t>
        </r>
      </text>
    </comment>
    <comment ref="AE630" authorId="0" shapeId="0" xr:uid="{DFE1C610-B07E-49F0-8B21-BAD97F5E72E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30" authorId="0" shapeId="0" xr:uid="{8EEDF40D-1029-437B-8D52-196168D87DF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3/2021 $40,000,000</t>
        </r>
      </text>
    </comment>
    <comment ref="AG632" authorId="0" shapeId="0" xr:uid="{1D607DB1-B653-407B-B1C1-CFE960D38F0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26/2021 $91,680,424
RESOL 511 MARZO 19/2021</t>
        </r>
      </text>
    </comment>
    <comment ref="AH632" authorId="0" shapeId="0" xr:uid="{3B8E2ED8-09B1-4DB3-A271-F1CCE734F48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0915 mayo 12</t>
        </r>
      </text>
    </comment>
    <comment ref="AH634" authorId="0" shapeId="0" xr:uid="{35DDA3B8-6FA4-436E-A330-0CA83D7CA94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26/2021 $329,895,811,15
resol 027 enero 27/21 $2,003,000,000
resol 511 marzo 19/2021 $800,401,381
resol 915 mayo 12/2021 $119,719,609</t>
        </r>
      </text>
    </comment>
    <comment ref="AH635" authorId="0" shapeId="0" xr:uid="{E7003CF6-72CE-4120-9F82-94A9921F79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 1336 jul 28/2021 $856,216,142,32
resolucion 1407 agosto 13/2021 $1,100,000,000</t>
        </r>
      </text>
    </comment>
    <comment ref="AG636" authorId="0" shapeId="0" xr:uid="{F0DCFCA2-F20E-49F2-8A70-EF1843B8335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H636" authorId="0" shapeId="0" xr:uid="{AE65E4DE-1C80-48BD-AACD-1A0C97F24E1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13/2021$290,000,000</t>
        </r>
      </text>
    </comment>
    <comment ref="AG638" authorId="0" shapeId="0" xr:uid="{BC0F0324-4E02-4A21-8B81-2C868CB6A33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26/2021 $36,519,672</t>
        </r>
      </text>
    </comment>
    <comment ref="AG639" authorId="0" shapeId="0" xr:uid="{99B2B403-23A2-4031-81E0-1F553073C7F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28/2021 $25,000,000</t>
        </r>
      </text>
    </comment>
    <comment ref="AG641" authorId="0" shapeId="0" xr:uid="{827C71DA-B3A2-4354-B3C3-AA8A0F0F094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
res 13360jul 28/2021 </t>
        </r>
      </text>
    </comment>
    <comment ref="AG643" authorId="0" shapeId="0" xr:uid="{7DECCDB3-6D44-4805-84E8-C33A64F3C69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18/2021 $265,538,240</t>
        </r>
      </text>
    </comment>
    <comment ref="AH644" authorId="0" shapeId="0" xr:uid="{56BB1E41-CAB4-4596-AA82-2154ACEBFFB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18/2021 $53,364,831</t>
        </r>
      </text>
    </comment>
    <comment ref="AG646" authorId="0" shapeId="0" xr:uid="{C537D525-87D1-4314-8FC1-12EDD7CBDBA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27/2021 $1,500,000,000</t>
        </r>
      </text>
    </comment>
    <comment ref="AE648" authorId="0" shapeId="0" xr:uid="{810D5C7F-9E6B-42DE-A715-A6B31EA0575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648" authorId="0" shapeId="0" xr:uid="{9281D38A-E554-4CA3-BCB7-12AADAD1DC6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12/2021RES 1407 AGOSTO 13/2021</t>
        </r>
      </text>
    </comment>
    <comment ref="AE649" authorId="0" shapeId="0" xr:uid="{36BBCA84-09A4-47C8-8583-1F558EDA859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49" authorId="0" shapeId="0" xr:uid="{E71178EB-7D79-47FB-9E32-648477D4A3F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650" authorId="0" shapeId="0" xr:uid="{73536423-0116-4258-91A6-F780C7BC2C7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H650" authorId="0" shapeId="0" xr:uid="{9F60AA31-7325-409D-9B5A-D4C986D2059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E656" authorId="0" shapeId="0" xr:uid="{696947B2-73ED-413D-B82D-0139EE143CC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59" authorId="0" shapeId="0" xr:uid="{1B97D165-431A-461F-A634-418D1FD43DE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</t>
        </r>
      </text>
    </comment>
    <comment ref="AE660" authorId="0" shapeId="0" xr:uid="{1E64CDFA-BC8B-4D37-92B8-5330FE657EB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62" authorId="0" shapeId="0" xr:uid="{4637D803-541F-41E2-8E22-36B3F4A4606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66" authorId="0" shapeId="0" xr:uid="{3C2E9E59-3AA6-4906-A7A2-913AF0D74BB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68" authorId="0" shapeId="0" xr:uid="{D7FE4D8D-A9EA-4102-AD74-07707C87C3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18/2021 $466,710,000
res 1490 agosto 27/2021</t>
        </r>
      </text>
    </comment>
    <comment ref="AH670" authorId="0" shapeId="0" xr:uid="{57EB2E0E-F4A3-469C-894F-67E7BCD2E3D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18/2021 $4,680,084,481,80
resol 511 marzo 19/2021 $76,000,000
res 773 abril 22/2021 $907,367,029,20</t>
        </r>
      </text>
    </comment>
    <comment ref="AE671" authorId="0" shapeId="0" xr:uid="{BCA6A39C-73B6-4EC3-9934-90A0358271E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053/2021</t>
        </r>
      </text>
    </comment>
    <comment ref="AG671" authorId="0" shapeId="0" xr:uid="{58B6C630-A2EF-41A5-8BEA-1DA0713C70A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G673" authorId="0" shapeId="0" xr:uid="{73E35A4B-C527-49AD-8C77-72D8DCCB89F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18/2021 $4,680,084,481,80
RES 773 ABRIL 22/2021 $1,126,470,266
</t>
        </r>
      </text>
    </comment>
    <comment ref="AE675" authorId="0" shapeId="0" xr:uid="{8A2AC712-3C9B-48BE-81AD-3E72605F7EF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75" authorId="0" shapeId="0" xr:uid="{3F62FB90-F149-4D3A-89DE-F3CD317E33D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E677" authorId="0" shapeId="0" xr:uid="{7D7BEF90-C2C8-497C-AE39-4BC95E360AF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053/ ABRIL 29/2021
</t>
        </r>
      </text>
    </comment>
    <comment ref="AG677" authorId="0" shapeId="0" xr:uid="{3F31BB14-8BF9-4B90-94E6-B8B3676240B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11355 JUN 18/2021 $1,886,000,000</t>
        </r>
      </text>
    </comment>
    <comment ref="AG681" authorId="0" shapeId="0" xr:uid="{051D60C6-1265-4AA6-BEB3-A9DC69C902B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
</t>
        </r>
      </text>
    </comment>
    <comment ref="AE704" authorId="0" shapeId="0" xr:uid="{F568080A-9C16-4317-8F94-CD4916E0A00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712" authorId="0" shapeId="0" xr:uid="{53B605B0-08AE-4762-9E7A-058B64F52F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714" authorId="0" shapeId="0" xr:uid="{8B1D91BF-6EAA-402E-AAB8-FA0B4A75624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716" authorId="0" shapeId="0" xr:uid="{B0496A6E-E5F4-419E-9275-DB3A62788B3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718" authorId="0" shapeId="0" xr:uid="{7C195519-0C63-4101-8DB4-BA6625D252A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</t>
        </r>
      </text>
    </comment>
    <comment ref="AG723" authorId="0" shapeId="0" xr:uid="{9508E1A0-9C1A-4D3A-97BA-BC6B4ED0331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12/2021 $250,000,000</t>
        </r>
      </text>
    </comment>
    <comment ref="AH723" authorId="0" shapeId="0" xr:uid="{CF38B5B2-2655-4F5A-B97B-4BFA530CA7E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727" authorId="0" shapeId="0" xr:uid="{4182DCCD-5CF3-4D28-B6B8-F56B4F4616B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18/2021$200,000,000</t>
        </r>
      </text>
    </comment>
    <comment ref="AH727" authorId="0" shapeId="0" xr:uid="{CB837E18-8B9C-4C49-B969-5A9841F5767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13/2021 $100,000,000</t>
        </r>
      </text>
    </comment>
    <comment ref="AG731" authorId="0" shapeId="0" xr:uid="{B98706F7-27B7-4278-B3B2-78ED0A00345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</t>
        </r>
      </text>
    </comment>
    <comment ref="AE734" authorId="0" shapeId="0" xr:uid="{C6EB6311-81D0-42F6-B67B-8E36EF4E145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734" authorId="0" shapeId="0" xr:uid="{1A8B7C54-F8BD-4E46-B683-621828A9F50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13/2021 $166,521,000</t>
        </r>
      </text>
    </comment>
    <comment ref="AG735" authorId="0" shapeId="0" xr:uid="{3EBEB71B-5C45-48E4-A32D-3C73A3AFCD0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REES 1407 AGOSTO 13</t>
        </r>
      </text>
    </comment>
    <comment ref="AG737" authorId="0" shapeId="0" xr:uid="{A685BED4-5357-41AF-A056-081D3FA4F35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1407 agosto 13/2021</t>
        </r>
      </text>
    </comment>
    <comment ref="AG738" authorId="0" shapeId="0" xr:uid="{AD36AB35-5844-4719-B053-93388C52F6F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</t>
        </r>
      </text>
    </comment>
    <comment ref="AG740" authorId="0" shapeId="0" xr:uid="{013336E0-9074-47C6-A833-045091417D6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1407 agosto 19/2021</t>
        </r>
      </text>
    </comment>
    <comment ref="AG743" authorId="0" shapeId="0" xr:uid="{12AF4859-CA22-4808-9A14-4419F7D39A8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746" authorId="0" shapeId="0" xr:uid="{F9CC3718-3D80-4B74-BA36-F10F1FE3CBA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
</t>
        </r>
      </text>
    </comment>
    <comment ref="AH749" authorId="0" shapeId="0" xr:uid="{55853A51-54BD-402F-9745-40DB726C47A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13/2021 $60,000,000</t>
        </r>
      </text>
    </comment>
    <comment ref="AH751" authorId="0" shapeId="0" xr:uid="{612A3E8A-8DC0-42C4-AC7B-3D468C762B8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18/2021 $229,000,000</t>
        </r>
      </text>
    </comment>
    <comment ref="AG759" authorId="0" shapeId="0" xr:uid="{AFFCD06C-6770-440C-9541-7F4AC42C434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12/2021 $932,000,000</t>
        </r>
      </text>
    </comment>
    <comment ref="AH759" authorId="0" shapeId="0" xr:uid="{24438E4F-C4E5-424A-8DEA-03B0523786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resoñl 1135 jun 18/2021 $60,000,000</t>
        </r>
      </text>
    </comment>
    <comment ref="AG762" authorId="0" shapeId="0" xr:uid="{E3AE7F8C-DD63-4E9D-818A-13618E89B292}">
      <text>
        <r>
          <rPr>
            <b/>
            <sz val="9"/>
            <color indexed="81"/>
            <rFont val="Tahoma"/>
            <family val="2"/>
          </rPr>
          <t>Yolanda Baron Pedraza:
RES1407 AGOSTO 13</t>
        </r>
      </text>
    </comment>
    <comment ref="AH762" authorId="0" shapeId="0" xr:uid="{A364DF5D-A2B5-4B13-80C0-C5BEEC1DA6A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13$5
,349,132
</t>
        </r>
      </text>
    </comment>
    <comment ref="AG763" authorId="0" shapeId="0" xr:uid="{7A2AD00F-D1EF-4814-AAAB-69DF7F2784D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</t>
        </r>
      </text>
    </comment>
    <comment ref="AH763" authorId="0" shapeId="0" xr:uid="{9ADD0237-AE1B-44C6-91C8-C8BF61FB2A8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13/2021 $5,349,132</t>
        </r>
      </text>
    </comment>
    <comment ref="AE766" authorId="0" shapeId="0" xr:uid="{AD87CAFD-DE43-4323-9794-DD9A14CEAA8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766" authorId="0" shapeId="0" xr:uid="{563CCC28-398C-457F-98EB-2EB73078AE9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18/2021 $145,000,000</t>
        </r>
      </text>
    </comment>
    <comment ref="AG768" authorId="0" shapeId="0" xr:uid="{5DC8FD69-5FE8-46F9-BA5A-8F85A289155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 1135 JUN 18/2021 $60,000,000</t>
        </r>
      </text>
    </comment>
    <comment ref="AE772" authorId="0" shapeId="0" xr:uid="{854A88D4-63AB-4744-A221-0BE3F1AEF7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773" authorId="0" shapeId="0" xr:uid="{FD14582A-F094-47D8-9177-9B1915ABC3A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773" authorId="0" shapeId="0" xr:uid="{96C432F9-0B22-4C59-836A-D64EB113B4E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</t>
        </r>
      </text>
    </comment>
    <comment ref="AE774" authorId="0" shapeId="0" xr:uid="{A34AC9D4-3E10-4500-9913-B6072A9A036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774" authorId="0" shapeId="0" xr:uid="{FD0DB3A7-83DE-4F02-A01C-7572CB45B6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 13/2021 $300,000,000</t>
        </r>
      </text>
    </comment>
    <comment ref="AG776" authorId="0" shapeId="0" xr:uid="{63BBF2B6-AD17-48D9-9D1B-27AF170FAD0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12/2021 $20,000,000</t>
        </r>
      </text>
    </comment>
    <comment ref="AH776" authorId="0" shapeId="0" xr:uid="{1E770921-96DB-4FD0-AA67-205A530696D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13/2021 $10,000,000</t>
        </r>
      </text>
    </comment>
    <comment ref="AE778" authorId="0" shapeId="0" xr:uid="{B3516650-2D59-404F-BF32-0387494F881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780" authorId="0" shapeId="0" xr:uid="{6A84D0D0-C1B9-4FFC-9809-1E0F487BCF0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
RES 915 MAYO 12/2021</t>
        </r>
      </text>
    </comment>
    <comment ref="AH780" authorId="0" shapeId="0" xr:uid="{E1E8BDCF-85C1-438B-8BFF-5C70E6D928A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13/2021 $173,600,000</t>
        </r>
      </text>
    </comment>
    <comment ref="AE782" authorId="0" shapeId="0" xr:uid="{AB854083-9893-4026-95D2-5049C8E7500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782" authorId="0" shapeId="0" xr:uid="{1ACF5AAD-092C-404C-9606-857E200CF39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13/2021 $326,400,000</t>
        </r>
      </text>
    </comment>
    <comment ref="AE787" authorId="0" shapeId="0" xr:uid="{5044BEFA-334A-40BF-9B10-02EF24E1B3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790" authorId="0" shapeId="0" xr:uid="{AB9C98EC-460C-4EEF-BEFF-16C7661EC07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790" authorId="0" shapeId="0" xr:uid="{A1E801DF-87A0-4EFC-85F0-B29FE3FBE30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18/2021$25,000,000</t>
        </r>
      </text>
    </comment>
    <comment ref="AG794" authorId="0" shapeId="0" xr:uid="{FB30D775-7CDD-4953-A3FE-18889C9DD5B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12/20221 $42,000,000
RESOL 915 MAYO 12/2021</t>
        </r>
      </text>
    </comment>
    <comment ref="AG795" authorId="0" shapeId="0" xr:uid="{01D83C15-6293-4749-8CDA-1E764AA152E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18/2021 $120000000
</t>
        </r>
      </text>
    </comment>
    <comment ref="AE800" authorId="0" shapeId="0" xr:uid="{2A0AF1B0-D61E-41D5-9D2D-5816DB9F1CA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13" authorId="0" shapeId="0" xr:uid="{6D81482F-5C10-4E09-A01E-6BA45D072C1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26/21 $75000,000</t>
        </r>
      </text>
    </comment>
    <comment ref="AG815" authorId="0" shapeId="0" xr:uid="{7AC05161-F9D8-4059-940E-16873D1ADD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
RES 773 ABRIL 22/21 $46,856,431,56</t>
        </r>
      </text>
    </comment>
    <comment ref="AG826" authorId="0" shapeId="0" xr:uid="{C0FC4B56-F27B-4E32-9C92-4F3DCE81651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</t>
        </r>
      </text>
    </comment>
    <comment ref="AG827" authorId="0" shapeId="0" xr:uid="{100D659E-24B7-4447-B886-D164CD7E37F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
</t>
        </r>
      </text>
    </comment>
    <comment ref="AG829" authorId="0" shapeId="0" xr:uid="{B65FBB71-8802-4908-802A-199E0D098B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RES1135 JUN 18/2021 $65,000,000</t>
        </r>
      </text>
    </comment>
    <comment ref="AG831" authorId="0" shapeId="0" xr:uid="{08CA8BBA-9156-4F98-A918-E0F55BD4D29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
350,000,000</t>
        </r>
      </text>
    </comment>
    <comment ref="AG833" authorId="0" shapeId="0" xr:uid="{AD26C1FD-9DCB-424C-AA0E-AECF91C6327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18/2021 $1,067,000,000</t>
        </r>
      </text>
    </comment>
    <comment ref="AG835" authorId="0" shapeId="0" xr:uid="{CA8D3E32-3BA4-4E2D-B33C-522F29ACB0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18/2021 $148,000,000</t>
        </r>
      </text>
    </comment>
    <comment ref="AA837" authorId="0" shapeId="0" xr:uid="{27CD3941-48FD-4355-A2C8-AB33DF92B73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esta en fondo gestion del riesgo
</t>
        </r>
      </text>
    </comment>
    <comment ref="AG837" authorId="0" shapeId="0" xr:uid="{39C5295F-E557-4585-9398-D63B6A05582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G842" authorId="0" shapeId="0" xr:uid="{A4AB289D-86FE-482B-8952-9C0306102AF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18/2021 $30,000,000</t>
        </r>
      </text>
    </comment>
    <comment ref="AH845" authorId="0" shapeId="0" xr:uid="{CB812B5A-2F59-42C0-B405-9FD2DF098FB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H849" authorId="0" shapeId="0" xr:uid="{A49B89FA-D8BE-4166-8C2F-9CCCEC6344F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21/2021
res 1407 agosto 13/2021</t>
        </r>
      </text>
    </comment>
    <comment ref="AH850" authorId="0" shapeId="0" xr:uid="{3CE60AB4-E538-4139-9972-611AA87F4C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13$40,000,000</t>
        </r>
      </text>
    </comment>
    <comment ref="AG854" authorId="0" shapeId="0" xr:uid="{1F3B62B7-662A-4F5B-8194-F27776C4897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22/2021 $118,300,000</t>
        </r>
      </text>
    </comment>
    <comment ref="AG856" authorId="0" shapeId="0" xr:uid="{97679DAD-BA6D-4DE6-A86E-6AD84D3E879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 773 ABRIL 22/2021 $140,000,000</t>
        </r>
      </text>
    </comment>
    <comment ref="AH856" authorId="0" shapeId="0" xr:uid="{071AF235-193C-4941-BC2A-3C863556A71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1407 agosto 13/2021</t>
        </r>
      </text>
    </comment>
    <comment ref="AG862" authorId="0" shapeId="0" xr:uid="{3C7E909C-622B-462F-BD10-6B211621789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H862" authorId="0" shapeId="0" xr:uid="{AF11D4BE-C383-43D0-82E9-29470185AC4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18/2021 $30,000,000</t>
        </r>
      </text>
    </comment>
    <comment ref="AH864" authorId="0" shapeId="0" xr:uid="{27B18833-06B9-4BC4-B047-7F170FCD461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
res 773 abril 22/21 $46,856,431,56</t>
        </r>
      </text>
    </comment>
    <comment ref="AG866" authorId="0" shapeId="0" xr:uid="{83564D2B-BD9C-4C5D-9426-81C692EED3B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eneroo 26/2021 $4,400,000</t>
        </r>
      </text>
    </comment>
    <comment ref="AG868" authorId="0" shapeId="0" xr:uid="{27E77EA9-596D-4CB0-8EF9-A2F710A36C1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26/2021 $88,500,000RESOL 1407 13 AGOSTO /2021</t>
        </r>
      </text>
    </comment>
    <comment ref="AH868" authorId="0" shapeId="0" xr:uid="{52E2811F-618A-468F-BEEE-1775D0B18C3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22/2021 $20,700,000</t>
        </r>
      </text>
    </comment>
    <comment ref="AG869" authorId="0" shapeId="0" xr:uid="{7E8D6136-376C-4424-8BB5-DC7BFCA7A97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1407 agosto 2021
res 936 mayo 21/2021</t>
        </r>
      </text>
    </comment>
    <comment ref="AG870" authorId="0" shapeId="0" xr:uid="{6D7EE8E4-192B-4341-96D6-0A138B970CD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13/2021 $40,000,000</t>
        </r>
      </text>
    </comment>
    <comment ref="AG873" authorId="0" shapeId="0" xr:uid="{561C6E99-9567-49FB-8E51-BDCED1E3604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
RES 936 MAYO 21</t>
        </r>
      </text>
    </comment>
    <comment ref="AH873" authorId="0" shapeId="0" xr:uid="{5EEE010D-B9F9-4819-B801-9AA0729043F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26/2021 $900,000,00
res 773 abril 22/2021 $258,300,000</t>
        </r>
      </text>
    </comment>
    <comment ref="AE874" authorId="0" shapeId="0" xr:uid="{A1F6DB6A-90CB-4F78-9388-C10F9AFD2C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880" authorId="0" shapeId="0" xr:uid="{431E02A8-2C2C-4BB1-B65A-0A660BF1C29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G882" authorId="0" shapeId="0" xr:uid="{76C8B662-03AB-49EE-ADE2-02E89FEE504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886" authorId="0" shapeId="0" xr:uid="{2B730092-8CC9-49CA-A5E9-4B326105AC5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22/2021 $20,700,000</t>
        </r>
      </text>
    </comment>
    <comment ref="AH886" authorId="0" shapeId="0" xr:uid="{DAC6C733-FA44-4725-B838-2E824D1144D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026enero 26/2021 $17,000,000
resol 936 mayo 21/2021</t>
        </r>
      </text>
    </comment>
    <comment ref="AE887" authorId="0" shapeId="0" xr:uid="{CE101042-F4F6-41CC-983B-0DCCE1D7582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893" authorId="0" shapeId="0" xr:uid="{43E4F9BA-F737-408A-989F-097FFC16C6B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903" authorId="0" shapeId="0" xr:uid="{CE1B1500-F432-4EE4-B9E2-8EC190FB274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
res 1135 $283,500,000
res 1209 jul 1/2021 $279,000,000</t>
        </r>
      </text>
    </comment>
    <comment ref="AJ903" authorId="0" shapeId="0" xr:uid="{CD7251A6-7649-4F8A-8CB3-F16C8FCA7BB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no lo tiene ruben</t>
        </r>
      </text>
    </comment>
    <comment ref="AG905" authorId="0" shapeId="0" xr:uid="{C0672264-B236-442C-8FA6-947A12ED123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18/2021 $770,000,000
</t>
        </r>
      </text>
    </comment>
    <comment ref="AG910" authorId="0" shapeId="0" xr:uid="{D2EB1951-AD56-46FC-A116-0DA5F19FAB5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18/2021 $24,729,623</t>
        </r>
      </text>
    </comment>
    <comment ref="AH915" authorId="0" shapeId="0" xr:uid="{2BB59FE8-1CDF-429C-A1C4-15C972E8301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18/2021 $163,270,377</t>
        </r>
      </text>
    </comment>
    <comment ref="AG922" authorId="0" shapeId="0" xr:uid="{118F19AF-01CF-4192-A1E1-39D026BB7BA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22/2021 $222,721,043</t>
        </r>
      </text>
    </comment>
    <comment ref="AH922" authorId="0" shapeId="0" xr:uid="{74A7CE7A-0B26-4638-AC90-0F46418F3F5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r74,931,884</t>
        </r>
      </text>
    </comment>
    <comment ref="AG936" authorId="0" shapeId="0" xr:uid="{3B39CE56-B50D-4F2D-AF02-9F73608DDB1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 21
res 1135 junio 18/2021 $170,000,000
RES 1407 AGOSTO 13/2021 $360,000,000
res 1490 agosto 27/2021</t>
        </r>
      </text>
    </comment>
    <comment ref="AH938" authorId="0" shapeId="0" xr:uid="{EFACCBB2-1C49-4C71-A81E-1D1CCC92CE9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FEBR 18/2021 RES 143 $794,729,623</t>
        </r>
      </text>
    </comment>
    <comment ref="AG942" authorId="0" shapeId="0" xr:uid="{510D11D7-ADF2-474A-AD04-0842241EABB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julio 1/2021</t>
        </r>
      </text>
    </comment>
    <comment ref="AG944" authorId="0" shapeId="0" xr:uid="{DAE8A13A-07C2-42A4-85B8-C96104643D2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
</t>
        </r>
      </text>
    </comment>
    <comment ref="AE949" authorId="0" shapeId="0" xr:uid="{69F94988-69E7-4AF5-A3C0-BEB919C1649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949" authorId="0" shapeId="0" xr:uid="{AE541909-8E43-4CAD-8A53-837E45D3D7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12/2021
RES 1135 JUNIO 18/2021 $4,989,317,258
RESOL 1209 JUL 1/2021
resol 1407 agosto 13
res 1490 agosto 27/2021</t>
        </r>
      </text>
    </comment>
    <comment ref="AH951" authorId="0" shapeId="0" xr:uid="{1F574A65-D5B6-4E64-BC46-E838096634A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18/2021 $221,572,545
res 773 abril 22 de 2021 $222,721,043</t>
        </r>
      </text>
    </comment>
    <comment ref="AE954" authorId="0" shapeId="0" xr:uid="{6792ABFC-5EB4-4321-A561-DC4DD50BB16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954" authorId="0" shapeId="0" xr:uid="{7AA68EB8-A75A-483D-89AB-D9A0C499963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1/2021 $502,000,000</t>
        </r>
      </text>
    </comment>
    <comment ref="AE955" authorId="0" shapeId="0" xr:uid="{641BF035-1A16-46A2-8D30-C7AA157284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959" authorId="0" shapeId="0" xr:uid="{0D748578-737B-4C50-BE46-FB866DCC00C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18/2021 $408,029,872,00</t>
        </r>
      </text>
    </comment>
    <comment ref="AG973" authorId="0" shapeId="0" xr:uid="{C13A2F9F-0A23-4B2F-B9DD-C464282F3FF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</t>
        </r>
      </text>
    </comment>
    <comment ref="AE979" authorId="0" shapeId="0" xr:uid="{59B74509-8BFE-4B43-BF20-7CE5AFC1A5A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
</t>
        </r>
      </text>
    </comment>
    <comment ref="AH979" authorId="0" shapeId="0" xr:uid="{C703A1D4-D68A-4659-879E-59C74D9D4FC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21/2021</t>
        </r>
      </text>
    </comment>
    <comment ref="AE989" authorId="0" shapeId="0" xr:uid="{A0856AAB-8C32-4EBD-8EDA-5A46097A662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08" authorId="0" shapeId="0" xr:uid="{37C415F0-3491-4C38-9228-5792D59CD40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18/2021 $557,151,874</t>
        </r>
      </text>
    </comment>
    <comment ref="AG1012" authorId="0" shapeId="0" xr:uid="{920AB20E-96D0-417D-B967-D219B1E9D8E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E1018" authorId="0" shapeId="0" xr:uid="{27DFBD0B-7D5F-4D18-9175-6D9F1A6DD48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019" authorId="0" shapeId="0" xr:uid="{60CC457D-5396-43F5-B38C-CEF781053AF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043" authorId="0" shapeId="0" xr:uid="{CEE9540F-8640-42C0-8565-EB2422CE186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12/21$2,080,000,000</t>
        </r>
      </text>
    </comment>
    <comment ref="AH1043" authorId="0" shapeId="0" xr:uid="{51EB3FAE-ADD4-49DC-A7BD-2391D8F7C31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4/2021 $1,800,000,000,00res 936 mayo 21/2021
RES1336 JUL 28/2021 $210,000,000
res 1490 agosto 27/2021</t>
        </r>
      </text>
    </comment>
    <comment ref="AG1045" authorId="0" shapeId="0" xr:uid="{1F60490D-4A04-43A4-BDFB-1D0ADF7D358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12/2021 $2,580,000,000
resol 1336 jul 28/2021 $60,000,000</t>
        </r>
      </text>
    </comment>
    <comment ref="AH1045" authorId="0" shapeId="0" xr:uid="{6373C72C-1228-42BE-B73E-FD338A658D4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1047" authorId="0" shapeId="0" xr:uid="{00EAC38F-1910-42A1-BE3D-4685EE096B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RESOL 936 MAYO 21/21</t>
        </r>
      </text>
    </comment>
    <comment ref="AG1049" authorId="0" shapeId="0" xr:uid="{7D5C3DC0-4B49-4642-855F-ADA5DCB63B7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28/2021 $100,000,000</t>
        </r>
      </text>
    </comment>
    <comment ref="AH1051" authorId="0" shapeId="0" xr:uid="{E644C346-7795-41FD-88F1-4A4BE982B6D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1/2021 $1,080,123,215 Y $2,000,000,000
res 1407 agosto 13/2021 $3,000,000,000</t>
        </r>
      </text>
    </comment>
    <comment ref="AG1053" authorId="0" shapeId="0" xr:uid="{176D7546-A89C-48E9-931D-16993FECA9E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RES 1209 JULIO 1/2021</t>
        </r>
      </text>
    </comment>
    <comment ref="AH1053" authorId="0" shapeId="0" xr:uid="{80EE9896-DC16-4F51-81B5-09CCDDA4558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13*/2021 $500,000,000</t>
        </r>
      </text>
    </comment>
    <comment ref="AG1054" authorId="0" shapeId="0" xr:uid="{18287E59-FFE2-4DD4-BFD2-397AE14DF16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1/2021$2,000,000,000</t>
        </r>
      </text>
    </comment>
    <comment ref="AH1054" authorId="0" shapeId="0" xr:uid="{31911B4D-06FE-49F7-B5FD-FBF7AB4E94F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13/2021 $500,000,000
</t>
        </r>
      </text>
    </comment>
    <comment ref="AG1056" authorId="0" shapeId="0" xr:uid="{CC4F9906-1AA4-4AD3-9DF8-FFD6F815B19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21/21</t>
        </r>
      </text>
    </comment>
    <comment ref="AG1058" authorId="0" shapeId="0" xr:uid="{06610FB6-22D6-4D6A-85D4-21516DEF3B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12/2021 $140,000,000</t>
        </r>
      </text>
    </comment>
    <comment ref="AH1058" authorId="0" shapeId="0" xr:uid="{DAC5AAB5-1845-4A28-B318-9BD02AF8EA8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E1061" authorId="0" shapeId="0" xr:uid="{35619865-64B9-418F-9DBB-193A9DDFDB7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063" authorId="0" shapeId="0" xr:uid="{81CE0D6F-873D-4A7A-9D97-4D267602064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
resol 1336 jul 28/2021 $50,000,000
res 1490 $60,000,000</t>
        </r>
      </text>
    </comment>
    <comment ref="AG1066" authorId="0" shapeId="0" xr:uid="{9C5FF1BB-1E81-4FC2-84E1-7A516505A4C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21resol 
1336 jul 28/2021 $100,000,000</t>
        </r>
      </text>
    </comment>
    <comment ref="AE1071" authorId="0" shapeId="0" xr:uid="{EF32085D-0ACA-4CE0-A3F1-EF431BB4DFC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82" authorId="0" shapeId="0" xr:uid="{C978572C-BF37-4B65-92D8-44A0606E9DE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12/2021 $10,000,000,000,00
resol 308 marzo 12/2021 $500,000,000
resolucion 737/ 15/04/2021 $431,000,000</t>
        </r>
      </text>
    </comment>
    <comment ref="AE1083" authorId="0" shapeId="0" xr:uid="{E2E9A80C-88DD-450E-8E8A-086CAC5AAA3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83" authorId="0" shapeId="0" xr:uid="{847977AE-F86A-41EB-A694-3178BF4F03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18/2021 $200,000,000res 1407 agotos 13
RESOL 1359 AGOSTO 2/2021</t>
        </r>
      </text>
    </comment>
    <comment ref="AH1087" authorId="0" shapeId="0" xr:uid="{EB4D21A0-E2CC-4905-985B-9354ACD3F25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1088" authorId="0" shapeId="0" xr:uid="{A95AF573-A45C-4A10-AD15-DDB8C262197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88" authorId="0" shapeId="0" xr:uid="{A8D67E5C-A1D0-4B7C-A427-9543B3F6A09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1097" authorId="0" shapeId="0" xr:uid="{2AC99692-88D7-4BB3-A877-BC766B35525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099" authorId="0" shapeId="0" xr:uid="{A32FEFA4-CCE3-4225-9A7B-BBD7B5A1C72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1101" authorId="0" shapeId="0" xr:uid="{C6312972-4153-45A6-A8D8-3CFEB59D7A1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1359 AGOSTO 2/2021</t>
        </r>
      </text>
    </comment>
    <comment ref="AE1108" authorId="0" shapeId="0" xr:uid="{638D35BB-49E2-4966-823B-E000F91E885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118" authorId="0" shapeId="0" xr:uid="{FCDB5F13-5FC5-434F-9BAF-0C3E24A1BCF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E1121" authorId="0" shapeId="0" xr:uid="{B70752A0-CC44-4254-A8CA-FC3FD1FF1CF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1122" authorId="0" shapeId="0" xr:uid="{95B5DD15-8CB5-4050-A7D4-D1E07E6D447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23" authorId="0" shapeId="0" xr:uid="{E3F97DB6-5188-4DEF-80D7-B165A9C7E88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125" authorId="0" shapeId="0" xr:uid="{46279036-624D-4667-804A-1C900915BD8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01/26/2021</t>
        </r>
      </text>
    </comment>
    <comment ref="AE1129" authorId="0" shapeId="0" xr:uid="{55DECDC6-B4E4-4E6E-9BD5-BE316DC2FB1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ABRIL29/2021</t>
        </r>
      </text>
    </comment>
    <comment ref="AG1131" authorId="0" shapeId="0" xr:uid="{51A23D78-4773-4B22-92AE-BA67581E936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18/2021 $204,500,000</t>
        </r>
      </text>
    </comment>
    <comment ref="AH1131" authorId="0" shapeId="0" xr:uid="{936DD500-7FA6-4671-BF92-BA1C1C9B01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</t>
        </r>
      </text>
    </comment>
    <comment ref="AG1133" authorId="0" shapeId="0" xr:uid="{28E4B8C9-E3E1-4709-A0CC-4CB6EAACFFB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26/2021 $3,086,332,698</t>
        </r>
      </text>
    </comment>
    <comment ref="AE1134" authorId="0" shapeId="0" xr:uid="{F428AE00-25F3-4303-9712-D0CE64D5D99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136" authorId="0" shapeId="0" xr:uid="{8B53DAD7-699D-4971-892F-E82C0BA2399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26/2021 $501,500,000</t>
        </r>
      </text>
    </comment>
    <comment ref="AH1136" authorId="0" shapeId="0" xr:uid="{3829B595-B782-4654-85AC-2E3ADA3600E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18/2021 $204,500,000</t>
        </r>
      </text>
    </comment>
    <comment ref="AE1138" authorId="0" shapeId="0" xr:uid="{A4DB953C-2212-420C-9834-03B99CD2A7C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140" authorId="0" shapeId="0" xr:uid="{B1C041EA-E934-443F-A0C1-AF9BFCF6897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</t>
        </r>
      </text>
    </comment>
    <comment ref="AG1142" authorId="0" shapeId="0" xr:uid="{B4DCCEAC-F4B9-4DA9-BF74-5F7966C6A15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26/2021 $221,000,000</t>
        </r>
      </text>
    </comment>
    <comment ref="AE1145" authorId="0" shapeId="0" xr:uid="{F816E8BF-9670-474E-BF86-99ECD41DC10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1160" authorId="0" shapeId="0" xr:uid="{D99EC37D-A5ED-4295-875A-75A45BA50D3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76" authorId="0" shapeId="0" xr:uid="{27E7F12B-5763-47BD-B20D-C3952CA4BD9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77" authorId="0" shapeId="0" xr:uid="{A7CFE248-BE8D-416D-A9F6-26BBAF687AE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78" authorId="0" shapeId="0" xr:uid="{35A939C1-5445-420B-B360-B500F33DDC9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97" authorId="0" shapeId="0" xr:uid="{0401F062-C145-4C93-9D3F-86D41231D89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A1200" authorId="0" shapeId="0" xr:uid="{79E4BBD1-5677-46BE-94BF-3D53C058238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SE UBICO EN EL 3301122 EN CUIPO</t>
        </r>
      </text>
    </comment>
    <comment ref="AE1201" authorId="0" shapeId="0" xr:uid="{A299AFF3-CB32-418C-B5B4-7AD11CB0204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05" authorId="0" shapeId="0" xr:uid="{A31FE70A-72A7-4C7A-917A-2DC6DF3D01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08" authorId="0" shapeId="0" xr:uid="{13D60A98-2AB6-4EF6-9DA1-823F27DBAB2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12" authorId="0" shapeId="0" xr:uid="{8EABCE2D-9BD8-4F6C-B3DB-39A973B9204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14" authorId="0" shapeId="0" xr:uid="{7B518EE5-6914-4B48-8897-34B66D26D33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18" authorId="0" shapeId="0" xr:uid="{048AB67E-DA06-4253-83D4-0C1797B7C3E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1242" authorId="0" shapeId="0" xr:uid="{301702A9-E1AC-4A18-B41A-19A3995DCD3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737 15/04/2021 $431,000,000
RES 1068 JUN 3/2021 $18,000,000</t>
        </r>
      </text>
    </comment>
    <comment ref="AH1242" authorId="0" shapeId="0" xr:uid="{2230EBE3-F174-4049-AB52-CD023D9B1466}">
      <text>
        <r>
          <rPr>
            <b/>
            <sz val="9"/>
            <color indexed="81"/>
            <rFont val="Tahoma"/>
            <family val="2"/>
          </rPr>
          <t>Yolanda Baron Pedraza
resol 915 mayo 12</t>
        </r>
      </text>
    </comment>
    <comment ref="AG1244" authorId="0" shapeId="0" xr:uid="{1FC23C22-B799-435B-BF4B-59FFB3AFDA3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763 21 ABRIL  $431,000,000
res 915 mayo 12/2021 $9,000,000</t>
        </r>
      </text>
    </comment>
    <comment ref="AH1244" authorId="0" shapeId="0" xr:uid="{E5F05F4B-D3D8-48E2-A9F5-C1677407BF6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</t>
        </r>
      </text>
    </comment>
    <comment ref="AG1248" authorId="0" shapeId="0" xr:uid="{63C2CE7B-1324-4CBA-A162-19D5158F3E5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</t>
        </r>
      </text>
    </comment>
    <comment ref="AG1275" authorId="0" shapeId="0" xr:uid="{ADF5ECF7-A60D-4A99-AC30-884286B0051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026 enero 26/2021 $5,536,570,240</t>
        </r>
      </text>
    </comment>
    <comment ref="AH1280" authorId="0" shapeId="0" xr:uid="{075F3807-35E8-4D24-AE18-3717A5FF41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
</t>
        </r>
      </text>
    </comment>
    <comment ref="AE1283" authorId="0" shapeId="0" xr:uid="{22C16C62-02C7-4B0D-837A-0B37A61720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87" authorId="0" shapeId="0" xr:uid="{9C747620-98E7-470C-8FB1-84B4B3F7612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88" authorId="0" shapeId="0" xr:uid="{6DFAE5D5-A7E6-4E1B-A716-B5F11D13DC7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MAYO7/2021</t>
        </r>
      </text>
    </comment>
    <comment ref="AE1294" authorId="0" shapeId="0" xr:uid="{EF7D2B78-6565-46DE-91D1-2AF17D0054C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058MAYO 7/2021</t>
        </r>
      </text>
    </comment>
    <comment ref="AE1295" authorId="0" shapeId="0" xr:uid="{0431F7BD-3F17-4048-8BDF-62845511524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299" authorId="0" shapeId="0" xr:uid="{F0D26B23-035A-405D-A8EF-A22E7DD4F79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00" authorId="0" shapeId="0" xr:uid="{67FDBB54-CB94-429C-927F-7B1774BBFC6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01" authorId="0" shapeId="0" xr:uid="{09D97A1A-6721-44DE-9059-94CA181B437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05" authorId="0" shapeId="0" xr:uid="{7CAC5871-5693-4D80-B1F1-08131ADB86A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08" authorId="0" shapeId="0" xr:uid="{13876FA5-E72B-41FA-BE70-1C580C2DBB4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H1311" authorId="0" shapeId="0" xr:uid="{2CC72CE7-1B0D-4E7E-B137-281226A770F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18/2021 $136,150,000
</t>
        </r>
      </text>
    </comment>
    <comment ref="AE1314" authorId="0" shapeId="0" xr:uid="{C1894C26-B9BC-497D-9E70-8EB81C882A4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15" authorId="0" shapeId="0" xr:uid="{5EF5A476-1E2B-421C-982F-F3778888DA5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 C 058 MAYO 7/2021</t>
        </r>
      </text>
    </comment>
    <comment ref="AE1316" authorId="0" shapeId="0" xr:uid="{81EDF78D-486C-421B-B9D3-4AA1E99DA6E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058 MAYO 7/2021</t>
        </r>
      </text>
    </comment>
    <comment ref="AE1320" authorId="0" shapeId="0" xr:uid="{DABBF7A2-53BD-4761-B6CB-9D38C01F9E0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24" authorId="0" shapeId="0" xr:uid="{B84180CD-8618-4F3F-A70E-FA049C30422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25" authorId="0" shapeId="0" xr:uid="{8EBCAD35-394E-4992-BBFA-40BB427AA13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26" authorId="0" shapeId="0" xr:uid="{55B9F429-3C31-465A-BA43-809F14251E1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30" authorId="0" shapeId="0" xr:uid="{60290C42-5750-419A-8E2D-AB8BE062894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31" authorId="0" shapeId="0" xr:uid="{6A54C236-68DB-471A-B0AB-089DAA1CCE9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MAYOO 7/2021</t>
        </r>
      </text>
    </comment>
    <comment ref="AE1332" authorId="0" shapeId="0" xr:uid="{86586891-B2BD-4AC1-9522-9A536FAA169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36" authorId="0" shapeId="0" xr:uid="{9A87ED0F-6EE2-4977-84D8-61E13D6E3F6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40" authorId="0" shapeId="0" xr:uid="{B868E61C-7393-4348-B661-363A7D1A431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42" authorId="0" shapeId="0" xr:uid="{6192CC39-2F64-4C04-A775-203D60AB473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G1344" authorId="0" shapeId="0" xr:uid="{C7E25AB5-0851-43E3-B28B-E497A8A08D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18/21 $136,150,000</t>
        </r>
      </text>
    </comment>
    <comment ref="AG1346" authorId="0" shapeId="0" xr:uid="{3F960889-AD41-4ADE-AE9B-B3DDB57481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13360 jul 28/2021RES 1407 AGOSTO 13/2021</t>
        </r>
      </text>
    </comment>
    <comment ref="AE1351" authorId="0" shapeId="0" xr:uid="{B1BFCCDD-EBEA-4FB1-8033-B078E555D51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351" authorId="0" shapeId="0" xr:uid="{AC4BF7B0-B21B-4752-9B6C-BF2EA30457A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H1351" authorId="0" shapeId="0" xr:uid="{DD70E9D8-B06C-4E28-BA66-5D796565D20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 13/2021 $15,000
000</t>
        </r>
      </text>
    </comment>
    <comment ref="AE1355" authorId="0" shapeId="0" xr:uid="{54584124-55E9-4A04-8F65-4EE06827E30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57" authorId="0" shapeId="0" xr:uid="{26D38B3F-FDFC-4320-A49B-9F9A68EDB30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058MAYO 7/2021</t>
        </r>
      </text>
    </comment>
    <comment ref="AH1357" authorId="0" shapeId="0" xr:uid="{548DABEF-5AB2-4C6A-B73D-4A400DD7B99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28/2021 $350,000,000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Yolanda Baron Pedraza</author>
  </authors>
  <commentList>
    <comment ref="AH18" authorId="0" shapeId="0" xr:uid="{03374678-7828-4A3B-B9AD-43B0EAACE7F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11356 JUNIO 18/2021 $100,000,000
RESOL 1359 AGOTO 2/2021</t>
        </r>
      </text>
    </comment>
    <comment ref="AG20" authorId="0" shapeId="0" xr:uid="{849C5A27-DC4B-43A0-A9F8-325F344393B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H25" authorId="0" shapeId="0" xr:uid="{85DC10C7-F134-4A2D-BF22-7BDFB9F537B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18/2021 $140,000,000</t>
        </r>
      </text>
    </comment>
    <comment ref="AH35" authorId="0" shapeId="0" xr:uid="{33CEC23B-BF7C-4964-95E0-3F91B580414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18/2021 $120,000,000</t>
        </r>
      </text>
    </comment>
    <comment ref="AH37" authorId="0" shapeId="0" xr:uid="{859C3AD3-3B09-4304-9A6B-031AC5BB704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18/2021 $72,000,000</t>
        </r>
      </text>
    </comment>
    <comment ref="AH44" authorId="0" shapeId="0" xr:uid="{641B5451-6E2E-4599-B24F-C512E8FBF4A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18/2021 $70,000,000
RESOL 1359 AGOSTO 2/2021</t>
        </r>
      </text>
    </comment>
    <comment ref="AH47" authorId="0" shapeId="0" xr:uid="{CE42D2E6-ABA9-43C4-A667-4C61072A063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1649 sept 28/2021</t>
        </r>
      </text>
    </comment>
    <comment ref="AH53" authorId="0" shapeId="0" xr:uid="{1B06D8E0-F01D-46B4-B741-A0179AE50CA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1135JUNIO 18/2021 $79,000,000
RES 1265 JUL 14/2021RESOL 1359 AGOSTO 2/2021</t>
        </r>
      </text>
    </comment>
    <comment ref="AH56" authorId="0" shapeId="0" xr:uid="{BE988E38-43D6-4486-890A-F8D8668DEBC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18/2021 $37,500,000</t>
        </r>
      </text>
    </comment>
    <comment ref="AH59" authorId="0" shapeId="0" xr:uid="{A6C2B4B9-5E31-4B75-8D5A-F263C39AB2B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1359 AGOSTO 2</t>
        </r>
      </text>
    </comment>
    <comment ref="AH76" authorId="0" shapeId="0" xr:uid="{5F4E5FFD-4726-435D-A26E-91CA6B02554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del 12 mayoRESOL 1359 AGOSTO 2/2021</t>
        </r>
      </text>
    </comment>
    <comment ref="AG84" authorId="0" shapeId="0" xr:uid="{C974A461-359A-4848-B52D-558E0E7CAE3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18/2021 $72,000,000</t>
        </r>
      </text>
    </comment>
    <comment ref="AG89" authorId="0" shapeId="0" xr:uid="{B5B9A8DA-89EF-448D-BB31-E4640F98EC8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18/2021 $70,000,000</t>
        </r>
      </text>
    </comment>
    <comment ref="AG90" authorId="0" shapeId="0" xr:uid="{8ED33529-9BBB-400B-BE2F-0020DEA5316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SEPT</t>
        </r>
      </text>
    </comment>
    <comment ref="AG91" authorId="0" shapeId="0" xr:uid="{CCB16552-052A-4861-AA20-5FCC4360AF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</t>
        </r>
      </text>
    </comment>
    <comment ref="AG92" authorId="0" shapeId="0" xr:uid="{46A02D6C-3CEF-4711-A0F6-81BF18C610C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18/2021 $37,500,000</t>
        </r>
      </text>
    </comment>
    <comment ref="AH92" authorId="0" shapeId="0" xr:uid="{396EE286-E927-4C18-9FF1-CDCAC1C1805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JUK 14/2021 $37,500,000</t>
        </r>
      </text>
    </comment>
    <comment ref="AG93" authorId="0" shapeId="0" xr:uid="{3AE05C9A-8D93-432A-8297-1E54AEB77A2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18/2021$260,000,000$79,000,000</t>
        </r>
      </text>
    </comment>
    <comment ref="AH93" authorId="0" shapeId="0" xr:uid="{EAECCB03-D034-416B-8515-283A48EC690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
RES SEPT </t>
        </r>
      </text>
    </comment>
    <comment ref="AH95" authorId="0" shapeId="0" xr:uid="{687E74BF-669F-4BA5-96F8-D1BF4F069C8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12/2021 $90,000,000
res 201 marzo 4/2021</t>
        </r>
      </text>
    </comment>
    <comment ref="AG96" authorId="0" shapeId="0" xr:uid="{AE9EBDDA-B574-49BD-881C-4F2D782F9A0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14/04/2021 $200,000,000
res 1135 jun 18/2021 $37,500,000
res 1265 jul 14/2021
RESO DE SEPT
</t>
        </r>
      </text>
    </comment>
    <comment ref="AH96" authorId="0" shapeId="0" xr:uid="{D97ACF33-D31B-41D9-8479-65804A04A6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12/2021 $490,000,000</t>
        </r>
      </text>
    </comment>
    <comment ref="AG97" authorId="0" shapeId="0" xr:uid="{74692917-1A13-405B-9236-8A45C13E4B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2021</t>
        </r>
      </text>
    </comment>
    <comment ref="AH97" authorId="0" shapeId="0" xr:uid="{78C0DC96-DE59-413E-8E30-001DF5DC7D5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</t>
        </r>
      </text>
    </comment>
    <comment ref="AG98" authorId="0" shapeId="0" xr:uid="{DADE1152-55B3-4491-A7BD-E62241C1313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069 feb 12/2021 $1,580,000,000
resol 308 marzo 12/2021 $150,000,000
RES 511 MARZO 19/2021 $300,000,000
RES 0201 MARZO 4/2021 $34,200,000RESOL 1437 AGOSTO 18/2021
RESOL 1359 AGOSTO 2/2021</t>
        </r>
      </text>
    </comment>
    <comment ref="AH98" authorId="0" shapeId="0" xr:uid="{5F911BDF-8834-4E0C-835C-791DBD049DE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de feb 12/2021 $1,000,000,000
resol 308 marzo 12/2021 $450,000,000
resol 511 marzo 19/2021
res 201 4 marzo 2021
RESOL 1437 AGOSTO 18</t>
        </r>
      </text>
    </comment>
    <comment ref="AG99" authorId="0" shapeId="0" xr:uid="{CAD11443-1084-4555-A6D8-1E39E1415B2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1437 AGOSTO 18/2021</t>
        </r>
      </text>
    </comment>
    <comment ref="AG100" authorId="0" shapeId="0" xr:uid="{AA59F0B0-D26A-47F2-BE8C-1E3AD2C0792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1649 SEPT 28/2021 </t>
        </r>
      </text>
    </comment>
    <comment ref="AG105" authorId="0" shapeId="0" xr:uid="{4D5C9269-66E5-4144-9635-567FC5A79DE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1/2021 $80,000,000</t>
        </r>
      </text>
    </comment>
    <comment ref="AG112" authorId="0" shapeId="0" xr:uid="{C27AF591-91B4-4063-AF23-200CFF70FB2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E115" authorId="0" shapeId="0" xr:uid="{AAC3E2B6-EF24-4366-849F-2FB2C810726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16" authorId="0" shapeId="0" xr:uid="{8C176715-8C25-4281-81CC-FB8686C76DE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14/04/2021 $700000,000,00
RES 1265 $JUL 14/2021 $1,040,000,000</t>
        </r>
      </text>
    </comment>
    <comment ref="AH127" authorId="0" shapeId="0" xr:uid="{2987C1C4-BAB2-406A-9D73-A7D6A0C63E7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737 15 abril/2021 $900,000,000
RES 1209 JUL 1 DE 2021
RESOL 1265 JUL 14JULIO14/2021
RESOLUCION 1407 AGOSTO 13/2021 $365,556,246,72
RESOL 1437 AGOSTO 18</t>
        </r>
      </text>
    </comment>
    <comment ref="AE130" authorId="0" shapeId="0" xr:uid="{3A1FE316-382C-4AD2-9643-B7B6195990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35" authorId="0" shapeId="0" xr:uid="{54CC2F47-2412-4A69-9558-B0B31630E99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G137" authorId="0" shapeId="0" xr:uid="{C9628F52-76A2-4D6D-81BE-767A62B3D1C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
</t>
        </r>
      </text>
    </comment>
    <comment ref="AG147" authorId="0" shapeId="0" xr:uid="{8D61CB19-C17F-479C-98CE-F561379871A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
</t>
        </r>
      </text>
    </comment>
    <comment ref="AE148" authorId="0" shapeId="0" xr:uid="{B6132B05-F5D2-4B46-8225-A86FB409185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G153" authorId="0" shapeId="0" xr:uid="{01E303E4-97BF-48E2-9C57-07EE2230F70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19/2021 $10,000,000
res 915 mayo 12 $12,000,000</t>
        </r>
      </text>
    </comment>
    <comment ref="AG158" authorId="0" shapeId="0" xr:uid="{710F5F86-B6AC-437A-A056-AECF0A202EA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4/2021RESOL 1359 AGOSTO 2/2021</t>
        </r>
      </text>
    </comment>
    <comment ref="AH169" authorId="0" shapeId="0" xr:uid="{12DAAE53-74AE-4406-AFB5-02B49968C95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
</t>
        </r>
      </text>
    </comment>
    <comment ref="AH174" authorId="0" shapeId="0" xr:uid="{DE23083D-8E71-417D-A645-AE3140EAEEE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2021</t>
        </r>
      </text>
    </comment>
    <comment ref="AE179" authorId="0" shapeId="0" xr:uid="{8398E058-7523-4A5B-8574-AC516E8FDCF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E186" authorId="0" shapeId="0" xr:uid="{702869F8-BAC1-463E-BD63-315B8B82243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87" authorId="0" shapeId="0" xr:uid="{6F6F63B3-F5BD-432E-B604-7F416EF7F2C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H200" authorId="0" shapeId="0" xr:uid="{56F144F2-4735-4648-A494-F36FF06B490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18/2021 $40,000,000</t>
        </r>
      </text>
    </comment>
    <comment ref="AG202" authorId="0" shapeId="0" xr:uid="{C58C0C86-5EC2-4AAE-8C38-7599832E437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205" authorId="0" shapeId="0" xr:uid="{26DBC0F5-8836-40CA-A878-A568F488C6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205" authorId="0" shapeId="0" xr:uid="{8D18E661-086C-4A06-9149-11C98B6B24D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12 de mayo </t>
        </r>
      </text>
    </comment>
    <comment ref="AG212" authorId="0" shapeId="0" xr:uid="{D1EFDCC1-3CA3-4951-8043-F2CF635EACD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18/2021 $60,000,000</t>
        </r>
      </text>
    </comment>
    <comment ref="AG215" authorId="0" shapeId="0" xr:uid="{B888861C-4DC3-4546-B3BB-C65C74C420F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814 abril 30/2021</t>
        </r>
      </text>
    </comment>
    <comment ref="AG217" authorId="0" shapeId="0" xr:uid="{4CBE95AD-9D46-4589-B864-1B4B77771F2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G218" authorId="0" shapeId="0" xr:uid="{84EFCD3F-2CFA-4AA6-8C74-B89514AF8A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220" authorId="0" shapeId="0" xr:uid="{BAFCA1B5-E250-445E-9AF6-85EF770503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15/2021
</t>
        </r>
      </text>
    </comment>
    <comment ref="AG226" authorId="0" shapeId="0" xr:uid="{01844296-493B-43EA-9C97-D3BB840D64C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12/2021 $200,000,000</t>
        </r>
      </text>
    </comment>
    <comment ref="AH226" authorId="0" shapeId="0" xr:uid="{D9482DBF-8809-48F1-A125-8792CEE86E7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814 30 abril 2021 $200,000,000</t>
        </r>
      </text>
    </comment>
    <comment ref="AH230" authorId="0" shapeId="0" xr:uid="{A0162FAD-5A66-49A1-BB55-6883DDB1CB2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18/2021 $20,000,000
reso 1613 sept 17/2021</t>
        </r>
      </text>
    </comment>
    <comment ref="AG233" authorId="0" shapeId="0" xr:uid="{0D0F4A77-566F-484E-BB7C-0541CFE839A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18/2021 $200,000,000</t>
        </r>
      </text>
    </comment>
    <comment ref="AG235" authorId="0" shapeId="0" xr:uid="{B4C6E20F-DE1A-438C-9A8B-620C67E2A47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238" authorId="0" shapeId="0" xr:uid="{947444A2-9945-41FF-8D9A-2FF5319CAC1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18/2021 $400,000,000</t>
        </r>
      </text>
    </comment>
    <comment ref="AG241" authorId="0" shapeId="0" xr:uid="{2B693FE8-421B-4B13-B7EE-2889DB1CAF4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18/2021$400,000,000</t>
        </r>
      </text>
    </comment>
    <comment ref="AE245" authorId="0" shapeId="0" xr:uid="{9F0042EA-6D07-4127-80E0-16C077A4C3A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G306" authorId="0" shapeId="0" xr:uid="{15EA9B8F-9567-4CA9-8CB9-BBF6AB535F5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H306" authorId="0" shapeId="0" xr:uid="{9A24A84C-CAF7-460C-BDFD-BA33C7D1791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19/2021 $316,940,531,70</t>
        </r>
      </text>
    </comment>
    <comment ref="AE308" authorId="0" shapeId="0" xr:uid="{B9531EE3-98FE-4CDA-8967-BD89822FD2D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314" authorId="0" shapeId="0" xr:uid="{9FEA77AF-F76E-48FC-B6EE-52DB371FBD0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G405" authorId="0" shapeId="0" xr:uid="{5918C713-3260-4060-AAFF-0D3CEF3A34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12/2021 $2,000,000,000RES 1265 JULI 14/2021</t>
        </r>
      </text>
    </comment>
    <comment ref="AE412" authorId="0" shapeId="0" xr:uid="{4B85456B-CAF7-4ACA-B2D1-68AF8C0001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dec0120 sept 24/2021
</t>
        </r>
      </text>
    </comment>
    <comment ref="AG413" authorId="0" shapeId="0" xr:uid="{8061110A-555C-47EA-B351-CCDAC219646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
</t>
        </r>
      </text>
    </comment>
    <comment ref="AH413" authorId="0" shapeId="0" xr:uid="{B34194BB-5AE4-4926-A396-4419AA381A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13/52021 $95,676,637</t>
        </r>
      </text>
    </comment>
    <comment ref="AH414" authorId="0" shapeId="0" xr:uid="{09CCC2F4-C181-4822-A17F-5FADA857F42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 1407 agosto 13/2021 $1,040,144,569
</t>
        </r>
      </text>
    </comment>
    <comment ref="AE415" authorId="0" shapeId="0" xr:uid="{E29530DE-C59A-4190-860D-9441B02128F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16" authorId="0" shapeId="0" xr:uid="{B3ABEF2E-7B29-4C70-B0C7-B1610E1E14D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17" authorId="0" shapeId="0" xr:uid="{CF27C50F-631A-459E-A63D-DD046945643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MAYO27/2021</t>
        </r>
      </text>
    </comment>
    <comment ref="AE420" authorId="0" shapeId="0" xr:uid="{A5ECC9BA-D337-4BD7-B660-5258EA93583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421" authorId="0" shapeId="0" xr:uid="{77FBE481-0EB0-41B7-846C-7E08C62FD7F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</t>
        </r>
      </text>
    </comment>
    <comment ref="AG422" authorId="0" shapeId="0" xr:uid="{A525D521-8BAA-4A78-A8AF-31973930A19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H426" authorId="0" shapeId="0" xr:uid="{8B758CEA-03B8-4EE1-9D0E-E8EADBB36F1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13/2021 $169,996,000
res 1407 agosto 13/2021$20,000,000</t>
        </r>
      </text>
    </comment>
    <comment ref="AH431" authorId="0" shapeId="0" xr:uid="{F5E3D3CC-5D7C-452C-AB96-C09C00BE300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
/2021 $94,960,
977</t>
        </r>
      </text>
    </comment>
    <comment ref="AH435" authorId="0" shapeId="0" xr:uid="{C3CF221A-DBD2-470C-8ED5-262E5B3B6BB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</t>
        </r>
      </text>
    </comment>
    <comment ref="AH437" authorId="0" shapeId="0" xr:uid="{A3ED2035-3B45-4909-8AB0-55E4587B505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14/2021$210,000,000</t>
        </r>
      </text>
    </comment>
    <comment ref="AE439" authorId="0" shapeId="0" xr:uid="{5E05DC2D-0834-4A1C-9320-80E4971E9C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</t>
        </r>
      </text>
    </comment>
    <comment ref="AE442" authorId="0" shapeId="0" xr:uid="{7E74E2BA-686B-49DB-AADB-4AFFC68B587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43" authorId="0" shapeId="0" xr:uid="{53207E9B-2A4D-4EF8-87A9-2E500E16F62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E444" authorId="0" shapeId="0" xr:uid="{719B61F6-449F-40DB-B9FA-115FD69FA0F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H448" authorId="0" shapeId="0" xr:uid="{5737C28A-0AEC-4BED-B197-2F9B9E8B08B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13 $736,198
</t>
        </r>
      </text>
    </comment>
    <comment ref="AG452" authorId="0" shapeId="0" xr:uid="{FC49234D-1D29-4268-8955-06B095FFF69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19/2021 $27,102,938</t>
        </r>
      </text>
    </comment>
    <comment ref="AG456" authorId="0" shapeId="0" xr:uid="{C22DE6CF-7466-4E73-9883-6773B45C440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22 ABRIL 2021 $417,383651,71</t>
        </r>
      </text>
    </comment>
    <comment ref="AE457" authorId="0" shapeId="0" xr:uid="{5A242277-3C6B-4D66-9EE4-DED83AE0B25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457" authorId="0" shapeId="0" xr:uid="{459EB99F-F322-46A4-B190-E6BAFE9321A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13/2021 $1,416,953,380
reso 1613 s ept 17/2021</t>
        </r>
      </text>
    </comment>
    <comment ref="AG459" authorId="0" shapeId="0" xr:uid="{F7A66A2D-C85D-4E83-9B33-C721D8BA89F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14/2021$210000000
</t>
        </r>
      </text>
    </comment>
    <comment ref="AG462" authorId="0" shapeId="0" xr:uid="{EE8AB13D-6249-427B-9A33-18C8AACC8D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511 MARZO 19/2021</t>
        </r>
      </text>
    </comment>
    <comment ref="AH468" authorId="0" shapeId="0" xr:uid="{7EE78ECC-9B7A-448E-A417-C14E4D7D000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19/2021 $155,990,000</t>
        </r>
      </text>
    </comment>
    <comment ref="AE469" authorId="0" shapeId="0" xr:uid="{53DD8F45-AFFE-425A-8391-C9BE5279CD3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
</t>
        </r>
      </text>
    </comment>
    <comment ref="AG469" authorId="0" shapeId="0" xr:uid="{61BF9476-1E54-4106-94C1-D9B09859DD3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471" authorId="0" shapeId="0" xr:uid="{30E2B05E-16F5-4809-AAB9-82BF7F68D7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13/2021 $20,000,000</t>
        </r>
      </text>
    </comment>
    <comment ref="AH471" authorId="0" shapeId="0" xr:uid="{7244EA9E-074A-43B8-B35C-49DCBC09EE7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sept17/2021</t>
        </r>
      </text>
    </comment>
    <comment ref="AE473" authorId="0" shapeId="0" xr:uid="{B65E1B45-C5DB-41AF-9A34-A5287CF0DDF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</t>
        </r>
      </text>
    </comment>
    <comment ref="AG473" authorId="0" shapeId="0" xr:uid="{E7929F76-AB46-4EEB-BB43-1C6F26DE62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22/2021 $1227,570,664,14</t>
        </r>
      </text>
    </comment>
    <comment ref="AH473" authorId="0" shapeId="0" xr:uid="{B13A602E-E482-40CE-8C48-3945502BD9D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474" authorId="0" shapeId="0" xr:uid="{69AA9774-EFCC-4D82-801F-6D7826E57A3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 1265 JUL 14/2021</t>
        </r>
      </text>
    </comment>
    <comment ref="AE480" authorId="0" shapeId="0" xr:uid="{8D424108-D9F6-4DC2-B772-FDCC45BD5B8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033 MARZO 1/2021</t>
        </r>
      </text>
    </comment>
    <comment ref="AH480" authorId="0" shapeId="0" xr:uid="{0B1E0229-7006-407B-9B00-53D05E405F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22/2021 $1,644,954,15,85</t>
        </r>
      </text>
    </comment>
    <comment ref="AE481" authorId="0" shapeId="0" xr:uid="{1048F737-F92A-422B-9158-C996C92ACB5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H481" authorId="0" shapeId="0" xr:uid="{E37F5C9E-ADA2-43AC-854B-C53F216BCC4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14/2021 $60,900,682</t>
        </r>
      </text>
    </comment>
    <comment ref="AH484" authorId="0" shapeId="0" xr:uid="{B2365AE3-103D-4B2E-AF84-24926242D98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19/2021 $23,257,108
RES 1265 JUL 14/2021</t>
        </r>
      </text>
    </comment>
    <comment ref="AE487" authorId="0" shapeId="0" xr:uid="{9A713FB2-9145-4883-8CEA-A0893C0B76D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065 MAYO 27/2021</t>
        </r>
      </text>
    </comment>
    <comment ref="AG488" authorId="0" shapeId="0" xr:uid="{C9928DC5-B6DF-47D5-B67E-A78522D112C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rs 1265 jul 14/2021</t>
        </r>
      </text>
    </comment>
    <comment ref="AH490" authorId="0" shapeId="0" xr:uid="{1E8414DE-421E-4D7B-B856-44DC6ED9227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492" authorId="0" shapeId="0" xr:uid="{A2EAD03C-5F58-4AF2-9DAA-8B460BBC5B4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
</t>
        </r>
      </text>
    </comment>
    <comment ref="AG494" authorId="0" shapeId="0" xr:uid="{D8DFF9E8-4916-489D-9DA8-14E2FB3B9EB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496" authorId="0" shapeId="0" xr:uid="{6C8F60C5-2931-4693-8B29-9065F2EAB03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H496" authorId="0" shapeId="0" xr:uid="{DD5E9FB4-446B-436D-8E2D-A11A72B3604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19/2021 $3,845,830
RES 1265 JUL 14/2021</t>
        </r>
      </text>
    </comment>
    <comment ref="AH497" authorId="0" shapeId="0" xr:uid="{2812F58C-521B-4C27-9E84-6A5D9CAFA4B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19/2021 $280,746,171,70</t>
        </r>
      </text>
    </comment>
    <comment ref="AH499" authorId="0" shapeId="0" xr:uid="{9146A853-2EBD-4FDE-A6D9-22FED1780B7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1265 JUL 14/2021</t>
        </r>
      </text>
    </comment>
    <comment ref="AG502" authorId="0" shapeId="0" xr:uid="{810C62BA-0BAB-4D11-BB7A-58F6E7B4522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
</t>
        </r>
      </text>
    </comment>
    <comment ref="AE508" authorId="0" shapeId="0" xr:uid="{8DDB2DAF-859E-40C2-BEB3-87AD4AA8127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09" authorId="0" shapeId="0" xr:uid="{56D1AC7A-5AEA-469C-9297-935513746C3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17" authorId="0" shapeId="0" xr:uid="{22EAF87B-EA7E-4D89-91C5-E6AFB47B2A7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520 DEL 26 DE MARZO 2021 $1,5000,000,00</t>
        </r>
      </text>
    </comment>
    <comment ref="AE520" authorId="0" shapeId="0" xr:uid="{1DA64F43-30E1-406D-80E9-8C422E1FC5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G522" authorId="0" shapeId="0" xr:uid="{4D032897-5EAD-41FC-9947-E4761F81105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0520 DEL 26 MARZO 2021 $1,500,000,000</t>
        </r>
      </text>
    </comment>
    <comment ref="AH522" authorId="0" shapeId="0" xr:uid="{FE47D481-08D9-468D-B748-4D02A986134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E525" authorId="0" shapeId="0" xr:uid="{04AAE10C-B242-4696-8874-67F6FEA5E2A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531" authorId="0" shapeId="0" xr:uid="{B9AE4C5D-8BD8-4CBC-99A8-ED9E6A54F14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42" authorId="0" shapeId="0" xr:uid="{FC40F39D-DB3D-4817-894C-02238E2BFD2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G545" authorId="0" shapeId="0" xr:uid="{35341793-2105-44BA-BBC1-6B4AE5EE53D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agosto27/2021
</t>
        </r>
      </text>
    </comment>
    <comment ref="AH553" authorId="0" shapeId="0" xr:uid="{74D03F81-55CE-427D-A00F-8CD74AD2E0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resolucion 1407 agosto 13$530,557,116</t>
        </r>
      </text>
    </comment>
    <comment ref="AE554" authorId="0" shapeId="0" xr:uid="{7CA117D0-8818-4BB3-9691-486A8E22F33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068 MAYO 31/2021</t>
        </r>
      </text>
    </comment>
    <comment ref="AG557" authorId="0" shapeId="0" xr:uid="{EF0592D4-8649-4D05-837A-ADB16D78DB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558" authorId="0" shapeId="0" xr:uid="{955BE229-8245-4BE8-935D-C0C2F2869BA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559" authorId="0" shapeId="0" xr:uid="{465E8BD7-D222-4C73-A3E0-3DD6AAF6CD6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E561" authorId="0" shapeId="0" xr:uid="{DF50B5A3-A908-419B-B472-E3C789912DE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
DEC 068 MAYO 31/2021</t>
        </r>
      </text>
    </comment>
    <comment ref="AH561" authorId="0" shapeId="0" xr:uid="{E58E5F78-2549-431B-9761-2514E3F42D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563" authorId="0" shapeId="0" xr:uid="{06EE8AC2-8E58-4945-BC9C-D7DBCC6072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26 enero 26/21 $24,165,016
res 1336 julio 28/2021</t>
        </r>
      </text>
    </comment>
    <comment ref="AH563" authorId="0" shapeId="0" xr:uid="{080F7146-2B97-4C3A-81CF-D1964DF5425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13/2021$200,000,000</t>
        </r>
      </text>
    </comment>
    <comment ref="AG565" authorId="0" shapeId="0" xr:uid="{007E283B-9D0F-4806-AB06-CF31673D171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H567" authorId="0" shapeId="0" xr:uid="{159129D7-2637-4475-AA66-8361F7DB8E1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H569" authorId="0" shapeId="0" xr:uid="{91DF80D0-9F54-4399-882D-C1831D8C2B7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 del 26/01/2021 $9,296,364,215
resolu 027/ enero 27/2021 $1,362,635,323</t>
        </r>
      </text>
    </comment>
    <comment ref="AE570" authorId="0" shapeId="0" xr:uid="{82AA877F-C409-4DAF-A410-E0AB1A58AA3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72" authorId="0" shapeId="0" xr:uid="{E9D99051-833C-4FB2-AEBA-B2FE339D681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19/2021$15,401,381res 1407 agosto 13/2021</t>
        </r>
      </text>
    </comment>
    <comment ref="AH572" authorId="0" shapeId="0" xr:uid="{C1957F2F-7FBA-4139-B77E-062E233A98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28/2021 $547,969,140</t>
        </r>
      </text>
    </comment>
    <comment ref="AE573" authorId="0" shapeId="0" xr:uid="{F727C1C8-7044-4B42-AEAE-851C6CD3BAA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</t>
        </r>
      </text>
    </comment>
    <comment ref="AE574" authorId="0" shapeId="0" xr:uid="{254ABA77-4204-40D6-AFB5-7D98864383C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068 MAYO 21</t>
        </r>
      </text>
    </comment>
    <comment ref="AG574" authorId="0" shapeId="0" xr:uid="{F39489E0-B6B6-4363-A648-AFD9ADF2207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26/2021 $20,296,364,215
</t>
        </r>
      </text>
    </comment>
    <comment ref="AG575" authorId="0" shapeId="0" xr:uid="{D3731104-111A-47A1-8283-72FECE21CDE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agpstp 13/2021</t>
        </r>
      </text>
    </comment>
    <comment ref="AE579" authorId="0" shapeId="0" xr:uid="{E17A9977-04CA-4303-B63D-EE40AEDE203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79" authorId="0" shapeId="0" xr:uid="{8FD155D2-E2C5-4EA8-9519-467F437AABB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E581" authorId="0" shapeId="0" xr:uid="{7D529A25-8F0A-48A9-8A1C-43557485A01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581" authorId="0" shapeId="0" xr:uid="{60ACF582-407D-499E-9D5E-0750FA507EA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3/2021$8,000,000</t>
        </r>
      </text>
    </comment>
    <comment ref="AG582" authorId="0" shapeId="0" xr:uid="{AA51478C-BF16-4480-A4FD-A950ACC0935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584" authorId="0" shapeId="0" xr:uid="{5886A815-ABC6-459E-BBA3-6D7C96BE89D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27/2021 $1,555,449,996
</t>
        </r>
      </text>
    </comment>
    <comment ref="AG586" authorId="0" shapeId="0" xr:uid="{2F73150E-26EE-409C-BF9A-A3491BFEB8E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26/2021 $95,000,000</t>
        </r>
      </text>
    </comment>
    <comment ref="AG588" authorId="0" shapeId="0" xr:uid="{925D439F-B55A-427B-9E75-6F306565827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27/2021 $1,331,864,802</t>
        </r>
      </text>
    </comment>
    <comment ref="AG590" authorId="0" shapeId="0" xr:uid="{60278A41-8867-4FB5-BA3E-6D880472B17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</t>
        </r>
      </text>
    </comment>
    <comment ref="AH590" authorId="0" shapeId="0" xr:uid="{28B165D3-53D7-4667-ABA4-CF55204E1329}">
      <text>
        <r>
          <rPr>
            <b/>
            <sz val="9"/>
            <color indexed="81"/>
            <rFont val="Tahoma"/>
            <family val="2"/>
          </rPr>
          <t>Yolanda Baron Pedraza:res 915 mayo 12/2021</t>
        </r>
      </text>
    </comment>
    <comment ref="AE591" authorId="0" shapeId="0" xr:uid="{4905393D-C49C-4746-98A2-4AFEB9DDF59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0053 abril 29/21</t>
        </r>
      </text>
    </comment>
    <comment ref="AG591" authorId="0" shapeId="0" xr:uid="{53175CB6-7E6B-4E1B-9B4E-08892CA059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3/2021 $50,000,000res 1336 jul 28/2021</t>
        </r>
      </text>
    </comment>
    <comment ref="AE592" authorId="0" shapeId="0" xr:uid="{259853EE-E105-4D14-8791-59546EE2BE4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592" authorId="0" shapeId="0" xr:uid="{6E32D2CE-F4ED-4D1A-8EC5-99519A3D67E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jull 2 8/2021
res 1407 agosto 13</t>
        </r>
      </text>
    </comment>
    <comment ref="AG593" authorId="0" shapeId="0" xr:uid="{F1E7C2B8-9E31-48F0-9013-5C373335CEE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13/2021 $60,000,000</t>
        </r>
      </text>
    </comment>
    <comment ref="AG595" authorId="0" shapeId="0" xr:uid="{16DA0F92-F7D6-41CC-BAA0-17D48F3E78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19/2021 $610,000,000</t>
        </r>
      </text>
    </comment>
    <comment ref="AG597" authorId="0" shapeId="0" xr:uid="{BDF8B571-CA2F-4FDB-8C56-6239419480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G599" authorId="0" shapeId="0" xr:uid="{92EA2D22-AADF-4B64-9B79-DC283724046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julio 28/2021</t>
        </r>
      </text>
    </comment>
    <comment ref="AE600" authorId="0" shapeId="0" xr:uid="{74E0B591-8A9C-4EEC-9D84-EF0A87A8147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00" authorId="0" shapeId="0" xr:uid="{BA1DE46F-D7A7-4301-9879-C0F3AABD316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28/2021 $451,451,337,30</t>
        </r>
      </text>
    </comment>
    <comment ref="AE601" authorId="0" shapeId="0" xr:uid="{F8A71FFC-9075-46A0-87F4-3DC3EAD2766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01" authorId="0" shapeId="0" xr:uid="{B91F1637-2E56-4A3F-9C03-29871CE47BD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28/2021 $700,000,000</t>
        </r>
      </text>
    </comment>
    <comment ref="AE602" authorId="0" shapeId="0" xr:uid="{27E2C88E-53B7-4F8E-ABC7-E302B028923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02" authorId="0" shapeId="0" xr:uid="{638EB9C9-DDC2-49FD-A321-25C6969ADD2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28/2021 $1,040,743</t>
        </r>
      </text>
    </comment>
    <comment ref="AH604" authorId="0" shapeId="0" xr:uid="{D3F2D776-E253-4477-8FAC-59313D48FF7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26/2021 $11,000,000,000
reso 27 enero 27/2021 $5,500,000,000</t>
        </r>
      </text>
    </comment>
    <comment ref="AG606" authorId="0" shapeId="0" xr:uid="{609409A5-5F18-4B08-B4DB-9EBC6DD0215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26/2021 $22,204,778</t>
        </r>
      </text>
    </comment>
    <comment ref="AG607" authorId="0" shapeId="0" xr:uid="{722D61AA-0120-4025-91D3-E409919417C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G608" authorId="0" shapeId="0" xr:uid="{2C465185-9172-4B3F-AA5C-3D59D98B06A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G609" authorId="0" shapeId="0" xr:uid="{77A72E2A-BC1F-4EB2-B800-705EA1DEBB8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G610" authorId="0" shapeId="0" xr:uid="{FA7DA18B-529F-4430-B617-6930872F54D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E611" authorId="0" shapeId="0" xr:uid="{E3CBA4B6-39F3-4B1C-853D-CB969542EC7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11" authorId="0" shapeId="0" xr:uid="{81502890-D927-4D1F-B57E-5C452EF6387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28/2021 $186,255,799,66</t>
        </r>
      </text>
    </comment>
    <comment ref="AE613" authorId="0" shapeId="0" xr:uid="{AC94D1C2-BAC8-4299-9AB5-0E9EA22F014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615" authorId="0" shapeId="0" xr:uid="{38412E30-9E79-46F4-BDD7-A622038E61B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27/2021 $3,975,320,525
</t>
        </r>
      </text>
    </comment>
    <comment ref="AG617" authorId="0" shapeId="0" xr:uid="{56E389B2-1467-4254-BF4E-6A37741166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620" authorId="0" shapeId="0" xr:uid="{A873CFE0-324D-482B-86F7-E0E58D2566D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621" authorId="0" shapeId="0" xr:uid="{E4698848-8240-441D-A7F3-EC500803761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034 MARZO 1/2021
dec 068 mayo 31/2021</t>
        </r>
      </text>
    </comment>
    <comment ref="AA623" authorId="0" shapeId="0" xr:uid="{D307BCF2-B12D-4AE6-AD8A-93E8A09769E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verificar si e  501 0 201</t>
        </r>
      </text>
    </comment>
    <comment ref="AG623" authorId="0" shapeId="0" xr:uid="{BE39CEC4-1DA3-4475-A7BD-D7DA24BBECC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26/2021 $60,325,921,15
resol 915 $40,465,552</t>
        </r>
      </text>
    </comment>
    <comment ref="AH625" authorId="0" shapeId="0" xr:uid="{B6FAFC6D-7F16-4F3F-B30A-5B677DA55CE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13/2021 $530,557,116</t>
        </r>
      </text>
    </comment>
    <comment ref="AH628" authorId="0" shapeId="0" xr:uid="{D7B2E853-1350-4491-BCAF-EABFFA9F4D4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18/2021 $265,538,240
reso 773 abril 22/2021 $219,103,236,80</t>
        </r>
      </text>
    </comment>
    <comment ref="AE630" authorId="0" shapeId="0" xr:uid="{9901D054-7DDE-4E9A-B7DB-3B576D47ABC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E631" authorId="0" shapeId="0" xr:uid="{C2402350-F244-4793-AC77-C098B8C6459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633" authorId="0" shapeId="0" xr:uid="{6507FE6E-7A8F-42A2-8BD3-70E99FD9ADF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633" authorId="0" shapeId="0" xr:uid="{A125DD19-CC67-46D5-8BDF-4936429058F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agosto 27 resol 1490</t>
        </r>
      </text>
    </comment>
    <comment ref="AH633" authorId="0" shapeId="0" xr:uid="{74BB2C14-A4F1-4C7A-AB2A-EF26CF1C387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18/2021 $1,886,000,000</t>
        </r>
      </text>
    </comment>
    <comment ref="AE639" authorId="0" shapeId="0" xr:uid="{8DDA669A-CCC0-4BB8-842D-E2CB8A9543A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39" authorId="0" shapeId="0" xr:uid="{E8D0E0B6-E0E5-4C8B-B1AA-C30D9BE5A22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3/2021 $40,000,000</t>
        </r>
      </text>
    </comment>
    <comment ref="AG641" authorId="0" shapeId="0" xr:uid="{A918C444-A7C8-4DD1-A291-AB05B10E3F2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27 enero 27/2021 $503,000,000,00</t>
        </r>
      </text>
    </comment>
    <comment ref="AH641" authorId="0" shapeId="0" xr:uid="{B45D3F3B-1DBD-4E21-90D5-D2231923E7A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0915 mayo 12/2021</t>
        </r>
      </text>
    </comment>
    <comment ref="AH643" authorId="0" shapeId="0" xr:uid="{4C9B47F0-43C7-4780-A809-21E9CD67D1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mayo12/2021</t>
        </r>
      </text>
    </comment>
    <comment ref="AG644" authorId="0" shapeId="0" xr:uid="{FDD7F3A9-32D6-4373-842A-4D548B908F7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</t>
        </r>
      </text>
    </comment>
    <comment ref="AG646" authorId="0" shapeId="0" xr:uid="{C0B79F53-C5D7-4993-80FB-8E214A29F96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12/2021 $1,556,000,000,00</t>
        </r>
      </text>
    </comment>
    <comment ref="AE648" authorId="0" shapeId="0" xr:uid="{87E7CD59-9E8D-4997-A86B-AAF7FCF352B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648" authorId="0" shapeId="0" xr:uid="{E2095A44-7F31-42DF-858E-B49F36C5A99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3/2021 $40,000,000</t>
        </r>
      </text>
    </comment>
    <comment ref="AG650" authorId="0" shapeId="0" xr:uid="{E8952C20-99E7-4881-95ED-4424FCBAD7E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26/2021 $91,680,424
RESOL 511 MARZO 19/2021</t>
        </r>
      </text>
    </comment>
    <comment ref="AH650" authorId="0" shapeId="0" xr:uid="{7B9D43D5-133F-4988-934A-1C918938153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0915 mayo 12</t>
        </r>
      </text>
    </comment>
    <comment ref="AG652" authorId="0" shapeId="0" xr:uid="{A62CB715-6E7F-4765-8FCB-0E14BC8913D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653" authorId="0" shapeId="0" xr:uid="{08CD4F08-E8DC-43E2-A5FA-A669F420C03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
</t>
        </r>
      </text>
    </comment>
    <comment ref="AH655" authorId="0" shapeId="0" xr:uid="{86FE599B-86C2-4B3E-8139-7982571A4FA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26/2021 $329,895,811,15
resol 027 enero 27/21 $2,003,000,000
resol 511 marzo 19/2021 $800,401,381
resol 915 mayo 12/2021 $119,719,609</t>
        </r>
      </text>
    </comment>
    <comment ref="AH656" authorId="0" shapeId="0" xr:uid="{C1C51AE7-1501-4D90-8DF7-39FA6B60763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 1336 jul 28/2021 $856,216,142,32
resolucion 1407 agosto 13/2021 $1,100,000,000</t>
        </r>
      </text>
    </comment>
    <comment ref="AG657" authorId="0" shapeId="0" xr:uid="{187D956B-C3BE-474E-9243-D1954D028E5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H657" authorId="0" shapeId="0" xr:uid="{37A6933A-B93D-496C-A3FC-BB64FA336CF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13/2021$290,000,000</t>
        </r>
      </text>
    </comment>
    <comment ref="AG659" authorId="0" shapeId="0" xr:uid="{AC401510-8C08-4729-884B-62775152CCE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26 enero 26/2021 $36,519,672</t>
        </r>
      </text>
    </comment>
    <comment ref="AG660" authorId="0" shapeId="0" xr:uid="{68AFD566-68D0-4F44-B037-958294701BE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28/2021 $25,000,000</t>
        </r>
      </text>
    </comment>
    <comment ref="AG662" authorId="0" shapeId="0" xr:uid="{2E33E9B6-4CDE-44D5-8713-0E9995D6E0C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
res 13360jul 28/2021 </t>
        </r>
      </text>
    </comment>
    <comment ref="AG664" authorId="0" shapeId="0" xr:uid="{FD18DEB6-AD32-4408-AF48-B7741504184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18/2021 $265,538,240</t>
        </r>
      </text>
    </comment>
    <comment ref="AH665" authorId="0" shapeId="0" xr:uid="{AD020B4F-0B17-4D3E-9E49-701337DB9DC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18/2021 $53,364,831</t>
        </r>
      </text>
    </comment>
    <comment ref="AG667" authorId="0" shapeId="0" xr:uid="{927F680C-5F58-4CD3-83EF-45F1A0D75B8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027 enero 27/2021 $1,500,000,000</t>
        </r>
      </text>
    </comment>
    <comment ref="AE669" authorId="0" shapeId="0" xr:uid="{AAD3F8B1-C928-47D3-B41D-0CB6CF49D43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669" authorId="0" shapeId="0" xr:uid="{255F3CE6-B2AE-4044-A7E0-4EAF041168D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12/2021RES 1407 AGOSTO 13/2021</t>
        </r>
      </text>
    </comment>
    <comment ref="AE670" authorId="0" shapeId="0" xr:uid="{383D2B74-735F-4FE1-8BC6-6F91231CB44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70" authorId="0" shapeId="0" xr:uid="{AD087667-E7C1-4245-A401-51F8BB72ABE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E671" authorId="0" shapeId="0" xr:uid="{DC7F59E9-3EAA-48E1-99E9-66ECF71004C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29/21</t>
        </r>
      </text>
    </comment>
    <comment ref="AH671" authorId="0" shapeId="0" xr:uid="{5F5BB354-A049-4ECE-9314-FB39A236381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E677" authorId="0" shapeId="0" xr:uid="{0FFB5E22-AD65-4211-BEE8-259558F7943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80" authorId="0" shapeId="0" xr:uid="{EF261C06-1F25-4934-A6F3-E4D2553D76F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</t>
        </r>
      </text>
    </comment>
    <comment ref="AE681" authorId="0" shapeId="0" xr:uid="{1B0DD8B5-AD57-4535-8E2B-640183E02A8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83" authorId="0" shapeId="0" xr:uid="{414D5B71-8E5B-4544-995D-CD9C8BA7B51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684" authorId="0" shapeId="0" xr:uid="{E45761C9-D089-4C61-9006-8B6A8E802C0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110 SEPT 1/2021</t>
        </r>
      </text>
    </comment>
    <comment ref="AE688" authorId="0" shapeId="0" xr:uid="{1A1EB9ED-F6E3-412B-A0C9-FDC943DB67B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90" authorId="0" shapeId="0" xr:uid="{F5A5EB51-ADDC-4452-8552-2D39F4F8D3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18/2021 $466,710,000
res 1490 agosto 27/2021</t>
        </r>
      </text>
    </comment>
    <comment ref="AH692" authorId="0" shapeId="0" xr:uid="{DC6B784F-70AE-4670-BB89-7E433225DFF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18/2021 $4,680,084,481,80
resol 511 marzo 19/2021 $76,000,000
res 773 abril 22/2021 $907,367,029,20</t>
        </r>
      </text>
    </comment>
    <comment ref="AE693" authorId="0" shapeId="0" xr:uid="{087FC50E-CB13-475F-A857-F8B3E9621C8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053/2021</t>
        </r>
      </text>
    </comment>
    <comment ref="AG693" authorId="0" shapeId="0" xr:uid="{D6BAA8FE-D203-4AF8-BC98-FE41D834BFC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G695" authorId="0" shapeId="0" xr:uid="{C80923DA-95FF-4B94-A5AE-05EC3DD49F5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18/2021 $4,680,084,481,80
RES 773 ABRIL 22/2021 $1,126,470,266
</t>
        </r>
      </text>
    </comment>
    <comment ref="AE697" authorId="0" shapeId="0" xr:uid="{BC918649-2345-4813-B038-CDA25AF8F2B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29/21</t>
        </r>
      </text>
    </comment>
    <comment ref="AH697" authorId="0" shapeId="0" xr:uid="{28D6A27B-D010-4098-8DB0-A2EE655A13C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E699" authorId="0" shapeId="0" xr:uid="{183FD78C-E7ED-4CF9-A6D0-FDF797597A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053/ ABRIL 29/2021
</t>
        </r>
      </text>
    </comment>
    <comment ref="AG699" authorId="0" shapeId="0" xr:uid="{10FBF43A-BAFC-4634-9A35-F18434DE728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11355 JUN 18/2021 $1,886,000,000</t>
        </r>
      </text>
    </comment>
    <comment ref="AG703" authorId="0" shapeId="0" xr:uid="{8535A64E-839F-4FC2-96FC-879AA76CEE9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511 MARZO 19/2021
</t>
        </r>
      </text>
    </comment>
    <comment ref="AE727" authorId="0" shapeId="0" xr:uid="{9C16E09E-F49F-42FE-867F-CAD2277FD30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735" authorId="0" shapeId="0" xr:uid="{BD75D39D-E80E-4E14-B3D4-46BED19D1A2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737" authorId="0" shapeId="0" xr:uid="{9B23DDC9-6FF4-4BFC-BD70-54DCDDBF9EE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739" authorId="0" shapeId="0" xr:uid="{15749B0A-ED33-4CFD-9624-0BB36FD2FF6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
</t>
        </r>
      </text>
    </comment>
    <comment ref="AG741" authorId="0" shapeId="0" xr:uid="{7FD7FD64-AC2F-4E56-BEBA-58996A12689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743" authorId="0" shapeId="0" xr:uid="{C3E43FA5-EECE-4241-88D2-AB68772EDA6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</t>
        </r>
      </text>
    </comment>
    <comment ref="AG748" authorId="0" shapeId="0" xr:uid="{986909B5-1036-4B2D-BAEC-1489B73F5E4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12/2021 $250,000,000</t>
        </r>
      </text>
    </comment>
    <comment ref="AH748" authorId="0" shapeId="0" xr:uid="{E4D61A88-FA88-48F6-965E-182D6ACC17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 1613 sept 17/2021</t>
        </r>
      </text>
    </comment>
    <comment ref="AH750" authorId="0" shapeId="0" xr:uid="{8914124E-34A0-49D3-A6FE-C6FF385119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13/2021</t>
        </r>
      </text>
    </comment>
    <comment ref="AG752" authorId="0" shapeId="0" xr:uid="{692D56E5-1729-4353-A44F-DF3A349AFEB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18/2021$200,000,000</t>
        </r>
      </text>
    </comment>
    <comment ref="AH752" authorId="0" shapeId="0" xr:uid="{0728DC09-200C-4F5A-8F85-85B3CCAB81D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13/2021 $100,000,000</t>
        </r>
      </text>
    </comment>
    <comment ref="AG756" authorId="0" shapeId="0" xr:uid="{B4C58A3D-FBFE-47C9-A16B-4713CEEE768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</t>
        </r>
      </text>
    </comment>
    <comment ref="AE759" authorId="0" shapeId="0" xr:uid="{DF0730CD-215D-418C-9809-EE21E783BD0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759" authorId="0" shapeId="0" xr:uid="{F6DD55AE-0B71-4405-A71D-2B0AC147D6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13/2021 $166,521,000</t>
        </r>
      </text>
    </comment>
    <comment ref="AG760" authorId="0" shapeId="0" xr:uid="{049581AC-B1BF-4EFE-9B00-CBD7C955DF7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REES 1407 AGOSTO 13</t>
        </r>
      </text>
    </comment>
    <comment ref="AG762" authorId="0" shapeId="0" xr:uid="{019CB203-C233-4271-A371-2FC483BD2C5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1407 agosto 13/2021</t>
        </r>
      </text>
    </comment>
    <comment ref="AG763" authorId="0" shapeId="0" xr:uid="{D5F94105-FB42-4CCA-8587-4D6FAA938D5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</t>
        </r>
      </text>
    </comment>
    <comment ref="AG765" authorId="0" shapeId="0" xr:uid="{AFF29B57-C249-4F46-85BA-BA6EBE34181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1407 agosto 19/2021</t>
        </r>
      </text>
    </comment>
    <comment ref="AG768" authorId="0" shapeId="0" xr:uid="{BDEA4B8C-77F7-46B8-A5FE-B06E24D3E75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</t>
        </r>
      </text>
    </comment>
    <comment ref="AG771" authorId="0" shapeId="0" xr:uid="{25BFCDE7-1B17-4B32-AA8A-F905B0E7E8A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
</t>
        </r>
      </text>
    </comment>
    <comment ref="AG774" authorId="0" shapeId="0" xr:uid="{16F77E07-1680-4FDA-AFF6-AE2C9F17854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774" authorId="0" shapeId="0" xr:uid="{AE61790E-76EA-4715-9645-D047AECE88D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13/2021 $60,000,000</t>
        </r>
      </text>
    </comment>
    <comment ref="AG776" authorId="0" shapeId="0" xr:uid="{A9E10B64-761E-4EDB-A96D-55E959E6961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27</t>
        </r>
      </text>
    </comment>
    <comment ref="AG777" authorId="0" shapeId="0" xr:uid="{6F9FF6A2-CF88-42F9-9CD9-631BA27234A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779" authorId="0" shapeId="0" xr:uid="{1FBD7E75-4C66-405A-8A13-6054D9A2C21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18/2021 $229,000,000</t>
        </r>
      </text>
    </comment>
    <comment ref="AG787" authorId="0" shapeId="0" xr:uid="{F62EBC7C-D0E3-4672-BD39-AEAB7930525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12/2021 $932,000,000</t>
        </r>
      </text>
    </comment>
    <comment ref="AH787" authorId="0" shapeId="0" xr:uid="{A9578397-3025-4112-9479-46A88750C28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resoñl 1135 jun 18/2021 $60,000,000</t>
        </r>
      </text>
    </comment>
    <comment ref="AG790" authorId="0" shapeId="0" xr:uid="{155FAE66-0433-4BA5-AE0B-10DF6CDCA86B}">
      <text>
        <r>
          <rPr>
            <b/>
            <sz val="9"/>
            <color indexed="81"/>
            <rFont val="Tahoma"/>
            <family val="2"/>
          </rPr>
          <t>Yolanda Baron Pedraza:
RES1407 AGOSTO 13</t>
        </r>
      </text>
    </comment>
    <comment ref="AH790" authorId="0" shapeId="0" xr:uid="{294464A8-607C-4DB8-AC76-2548C2C1839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13$5
,349,132
</t>
        </r>
      </text>
    </comment>
    <comment ref="AG791" authorId="0" shapeId="0" xr:uid="{6181AE02-41D1-4892-8C60-3DB3FFF3578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</t>
        </r>
      </text>
    </comment>
    <comment ref="AH791" authorId="0" shapeId="0" xr:uid="{EC2D3D4B-5044-4660-A056-5E79D10113F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13/2021 $5,349,132</t>
        </r>
      </text>
    </comment>
    <comment ref="AE794" authorId="0" shapeId="0" xr:uid="{1662B4AF-3C42-4CCA-8F50-96C8C89971D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794" authorId="0" shapeId="0" xr:uid="{3B44407C-231B-49F8-92E1-8C18F67B2B4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18/2021 $145,000,000</t>
        </r>
      </text>
    </comment>
    <comment ref="AG796" authorId="0" shapeId="0" xr:uid="{6465B653-BA1C-4CAE-9B5B-0B12427C581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12/2021
RES 1135 JUN 18/2021 $60,000,000</t>
        </r>
      </text>
    </comment>
    <comment ref="AE800" authorId="0" shapeId="0" xr:uid="{1B14B454-E610-4386-8B07-4410EE1E7C7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801" authorId="0" shapeId="0" xr:uid="{B08EEC20-0651-4689-B5F5-1F1D32E6A8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01" authorId="0" shapeId="0" xr:uid="{8C53E7CC-5CC5-49FC-9A72-CBDF9DF4AD9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</t>
        </r>
      </text>
    </comment>
    <comment ref="AE802" authorId="0" shapeId="0" xr:uid="{15625C5A-A370-43FD-AEDD-C49D6B548F8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02" authorId="0" shapeId="0" xr:uid="{D18FEA56-C57B-41C1-BC7C-303AD1860CD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 13/2021 $300,000,000</t>
        </r>
      </text>
    </comment>
    <comment ref="AG804" authorId="0" shapeId="0" xr:uid="{8868A231-EE40-480B-881D-79A55DB6C22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12/2021 $20,000,000</t>
        </r>
      </text>
    </comment>
    <comment ref="AH804" authorId="0" shapeId="0" xr:uid="{18FAAE68-67A0-4512-B215-E063E031C29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13/2021 $10,000,000</t>
        </r>
      </text>
    </comment>
    <comment ref="AE806" authorId="0" shapeId="0" xr:uid="{ADC8F16F-E640-488D-8686-25A54ACD3FC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808" authorId="0" shapeId="0" xr:uid="{65C4C2AF-854C-41E5-B06F-E7B69C7B0E2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12/2021 $200,000,000
RES 915 MAYO 12/2021</t>
        </r>
      </text>
    </comment>
    <comment ref="AH808" authorId="0" shapeId="0" xr:uid="{218EE7F3-93B5-4DD7-AA22-D2D9F0A03D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13/2021 $173,600,000</t>
        </r>
      </text>
    </comment>
    <comment ref="AE810" authorId="0" shapeId="0" xr:uid="{7B00440A-13C7-4E4B-A951-412A85BDE9F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10" authorId="0" shapeId="0" xr:uid="{98AE7E84-328F-452D-92CB-35F521F46AB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13/2021 $326,400,000</t>
        </r>
      </text>
    </comment>
    <comment ref="AE815" authorId="0" shapeId="0" xr:uid="{46D5BC66-BEC9-49F7-8E2A-A4361FF084D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818" authorId="0" shapeId="0" xr:uid="{36879403-F6D9-45F1-AE49-50B5F361CE4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818" authorId="0" shapeId="0" xr:uid="{FEAADF8E-9B88-48A5-BA6F-AADD0D96A85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18/2021$25,000,000</t>
        </r>
      </text>
    </comment>
    <comment ref="AH820" authorId="0" shapeId="0" xr:uid="{C4D89571-3612-4F6C-941B-5454924BD09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822" authorId="0" shapeId="0" xr:uid="{53C3D02D-BF95-45D3-B4DB-21F90311CE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12/20221 $42,000,000
RESOL 915 MAYO 12/2021</t>
        </r>
      </text>
    </comment>
    <comment ref="AG823" authorId="0" shapeId="0" xr:uid="{382B6D8C-A3F1-4E58-B304-21F41FAA1D3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18/2021 $120000000
</t>
        </r>
      </text>
    </comment>
    <comment ref="AH823" authorId="0" shapeId="0" xr:uid="{9908E542-FADF-4AA7-BC3D-0506AE57C6E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E828" authorId="0" shapeId="0" xr:uid="{A467E3E4-8DF9-4C83-B23F-4700B3EB821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41" authorId="0" shapeId="0" xr:uid="{8C8BFD9A-1917-4529-9BE7-9072C7ED5AF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26/21 $75000,000</t>
        </r>
      </text>
    </comment>
    <comment ref="AG843" authorId="0" shapeId="0" xr:uid="{0F9062F7-6511-4CCC-87BD-CF5E99EFFAE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
RES 773 ABRIL 22/21 $46,856,431,56</t>
        </r>
      </text>
    </comment>
    <comment ref="AG851" authorId="0" shapeId="0" xr:uid="{18811917-449A-4614-981F-907D99A0BB8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RRES 1613 SEPT 17/2021</t>
        </r>
      </text>
    </comment>
    <comment ref="AG853" authorId="0" shapeId="0" xr:uid="{329BAAF8-05C0-496F-BAFA-C39DDBD59DB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18/2021 $30,000,000</t>
        </r>
      </text>
    </comment>
    <comment ref="AH853" authorId="0" shapeId="0" xr:uid="{488342BE-A971-415C-8FC9-E94898B5CEE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856" authorId="0" shapeId="0" xr:uid="{14ADCDB7-4817-45D4-B0B5-70A2851EB95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H860" authorId="0" shapeId="0" xr:uid="{BFE29C68-2C54-4885-B788-5BBBBAEC5C1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21/2021
res 1407 agosto 13/2021resol 1613 sept 17/2021</t>
        </r>
      </text>
    </comment>
    <comment ref="AH861" authorId="0" shapeId="0" xr:uid="{F2A470D0-2F59-4870-9C62-3B5F347D5D6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13$40,000,000</t>
        </r>
      </text>
    </comment>
    <comment ref="AG865" authorId="0" shapeId="0" xr:uid="{E7B0099D-F473-4D41-AA4B-A2EA9716CBA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22/2021 $118,300,000</t>
        </r>
      </text>
    </comment>
    <comment ref="AG867" authorId="0" shapeId="0" xr:uid="{1BD0BEEF-F8ED-46A0-BF48-B006B1C5262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 773 ABRIL 22/2021 $140,000,000
RESOL 1613 SEPT 17/2021</t>
        </r>
      </text>
    </comment>
    <comment ref="AH867" authorId="0" shapeId="0" xr:uid="{78C622E2-89EC-427D-9129-36BFC90B395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1407 agosto 13/2021</t>
        </r>
      </text>
    </comment>
    <comment ref="AG873" authorId="0" shapeId="0" xr:uid="{A883CE49-E3FC-4488-BE49-DF36134D395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H873" authorId="0" shapeId="0" xr:uid="{2F2B7850-6AED-4316-AB8B-85F90E6625E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18/2021 $30,000,000</t>
        </r>
      </text>
    </comment>
    <comment ref="AH875" authorId="0" shapeId="0" xr:uid="{D2EDDF0F-AD53-430E-8A2C-CD7F15C05B3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18/2021 $31,295,090
res 773 abril 22/21 $46,856,431,56</t>
        </r>
      </text>
    </comment>
    <comment ref="AG877" authorId="0" shapeId="0" xr:uid="{177E8014-A62D-416F-9529-336A4559834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eneroo 26/2021 $4,400,000</t>
        </r>
      </text>
    </comment>
    <comment ref="AG879" authorId="0" shapeId="0" xr:uid="{38375895-8CA6-4680-B7ED-45E2FEDA146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26/2021 $88,500,000RESOL 1407 13 AGOSTO /2021</t>
        </r>
      </text>
    </comment>
    <comment ref="AH879" authorId="0" shapeId="0" xr:uid="{BCF49BDC-BAF9-451B-984A-F65F9E87F6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22/2021 $20,700,000</t>
        </r>
      </text>
    </comment>
    <comment ref="AG880" authorId="0" shapeId="0" xr:uid="{EA5CECE1-8A80-4ACD-A1E8-F1B8CCF457D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1407 agosto 2021
res 936 mayo 21/2021</t>
        </r>
      </text>
    </comment>
    <comment ref="AG881" authorId="0" shapeId="0" xr:uid="{FF780ED7-45B6-4AFC-8A05-256B0AA6E3A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13/2021 $40,000,000</t>
        </r>
      </text>
    </comment>
    <comment ref="AG883" authorId="0" shapeId="0" xr:uid="{7FB92394-7BC1-4500-9616-AC653A3D0B0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885" authorId="0" shapeId="0" xr:uid="{CB596E7E-9C68-43B7-8E47-28C0260C22C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308 MARZO 12/2021 $300,000,000
RES 936 MAYO 21</t>
        </r>
      </text>
    </comment>
    <comment ref="AH885" authorId="0" shapeId="0" xr:uid="{86EA5673-3E2F-4828-8021-19C4FC38AB4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26/2021 $900,000,00
res 773 abril 22/2021 $258,300,000</t>
        </r>
      </text>
    </comment>
    <comment ref="AE886" authorId="0" shapeId="0" xr:uid="{6EC71AEC-FC45-41F2-A809-D51BDD089D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888" authorId="0" shapeId="0" xr:uid="{8D232A0A-C29B-42B7-B2D8-90514B4240A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892" authorId="0" shapeId="0" xr:uid="{10090111-9F3C-41D1-83A7-B2DFC0C20B9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896" authorId="0" shapeId="0" xr:uid="{180B4DE9-8025-40F8-9E33-5F52054F7E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22/2021 $20,700,000</t>
        </r>
      </text>
    </comment>
    <comment ref="AH896" authorId="0" shapeId="0" xr:uid="{8DFADF7C-5F3B-47FC-B41F-CD2C48F5AF0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026enero 26/2021 $17,000,000
resol 936 mayo 21/2021</t>
        </r>
      </text>
    </comment>
    <comment ref="AE897" authorId="0" shapeId="0" xr:uid="{36085477-1BCE-4483-8587-E4F7B88BFD2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903" authorId="0" shapeId="0" xr:uid="{ACD3F65D-61B3-4C2E-8A50-BFB114B025D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913" authorId="0" shapeId="0" xr:uid="{77E64CDF-2B96-4390-8FDA-F4E0F32A342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
res 1135 $283,500,000
res 1209 jul 1/2021 $279,000,000</t>
        </r>
      </text>
    </comment>
    <comment ref="AJ913" authorId="0" shapeId="0" xr:uid="{4DCEE693-28A6-4313-B31A-F288E81F70D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no lo tiene ruben</t>
        </r>
      </text>
    </comment>
    <comment ref="AG917" authorId="0" shapeId="0" xr:uid="{2069BCEF-E10E-483B-9D60-390FA4F67D0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</t>
        </r>
      </text>
    </comment>
    <comment ref="AG918" authorId="0" shapeId="0" xr:uid="{4C949707-4AE4-4A9A-8071-4772B4BAD70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
</t>
        </r>
      </text>
    </comment>
    <comment ref="AG920" authorId="0" shapeId="0" xr:uid="{B57B9BD8-2150-4F1E-AE9E-55B67E0F2FC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RES1135 JUN 18/2021 $65,000,000</t>
        </r>
      </text>
    </comment>
    <comment ref="AG922" authorId="0" shapeId="0" xr:uid="{D0D92D72-9326-4A6F-8599-965A0675721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
350,000,000</t>
        </r>
      </text>
    </comment>
    <comment ref="AG924" authorId="0" shapeId="0" xr:uid="{6BC82F3F-FCE7-43DB-8B31-625955E6412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18/2021 $1,067,000,000</t>
        </r>
      </text>
    </comment>
    <comment ref="AG926" authorId="0" shapeId="0" xr:uid="{4B88234D-3E8B-4F17-9DD1-1AC1B8CB402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18/2021 $148,000,000</t>
        </r>
      </text>
    </comment>
    <comment ref="AG929" authorId="0" shapeId="0" xr:uid="{224D16DA-9EB0-4EDB-822B-ED9F3F4BED1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18/2021 $770,000,000
</t>
        </r>
      </text>
    </comment>
    <comment ref="AG934" authorId="0" shapeId="0" xr:uid="{9AAF606F-96EF-4831-825B-56B0ED2F381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18/2021 $24,729,623</t>
        </r>
      </text>
    </comment>
    <comment ref="AH939" authorId="0" shapeId="0" xr:uid="{938C4197-14E7-43A3-9BBD-AF1B72043D0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18/2021 $163,270,377
RESOL 1614 SEPT 17/2021</t>
        </r>
      </text>
    </comment>
    <comment ref="AG946" authorId="0" shapeId="0" xr:uid="{C76B036C-81F3-4000-9ABF-4F978C7C31B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773 ABRIL 22/2021 $222,721,043</t>
        </r>
      </text>
    </comment>
    <comment ref="AH946" authorId="0" shapeId="0" xr:uid="{7223B295-60CC-4BE4-BD8E-DBAFFF502EE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r74,931,884</t>
        </r>
      </text>
    </comment>
    <comment ref="AG960" authorId="0" shapeId="0" xr:uid="{20FDBFC2-139F-4DB4-B430-15E9001192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 21
res 1135 junio 18/2021 $170,000,000
RES 1407 AGOSTO 13/2021 $360,000,000
res 1490 agosto 27/2021</t>
        </r>
      </text>
    </comment>
    <comment ref="AH962" authorId="0" shapeId="0" xr:uid="{5827B549-7DFE-488D-93CD-FA00BAEF18D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FEBR 18/2021 RES 143 $794,729,623</t>
        </r>
      </text>
    </comment>
    <comment ref="AG966" authorId="0" shapeId="0" xr:uid="{88C5FFBE-F988-4748-87FC-2E1542DAFAA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julio 1/2021</t>
        </r>
      </text>
    </comment>
    <comment ref="AG968" authorId="0" shapeId="0" xr:uid="{448D05B0-F70D-46DE-AC3E-7EF1F3A28AE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
</t>
        </r>
      </text>
    </comment>
    <comment ref="AG972" authorId="0" shapeId="0" xr:uid="{68F4F6EB-8DCB-41C1-83D2-D84859F89A3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1614 SEPT 17/2021</t>
        </r>
      </text>
    </comment>
    <comment ref="AE973" authorId="0" shapeId="0" xr:uid="{BA4BFC78-6914-447E-A18B-082E149E7AC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973" authorId="0" shapeId="0" xr:uid="{FFB348D1-A0E4-4D6C-9182-55BAE60E625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12/2021
RES 1135 JUNIO 18/2021 $4,989,317,258
RESOL 1209 JUL 1/2021
resol 1407 agosto 13
res 1490 agosto 27/2021resol 1613 sept 17/2021</t>
        </r>
      </text>
    </comment>
    <comment ref="AG975" authorId="0" shapeId="0" xr:uid="{D5D2E5E6-2454-4A9B-9211-1A23E9BB783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27/2021</t>
        </r>
      </text>
    </comment>
    <comment ref="AH977" authorId="0" shapeId="0" xr:uid="{F925F381-855F-4ECC-AA35-BF68E243F99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18/2021 $221,572,545
res 773 abril 22 de 2021 $222,721,043</t>
        </r>
      </text>
    </comment>
    <comment ref="AE980" authorId="0" shapeId="0" xr:uid="{FD6CAC0A-B7CD-4D84-8AF0-F1891E64F1E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980" authorId="0" shapeId="0" xr:uid="{86E59914-FC29-4BF5-B850-75B38724D41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1/2021 $502,000,000</t>
        </r>
      </text>
    </comment>
    <comment ref="AE981" authorId="0" shapeId="0" xr:uid="{1FDF45FB-AAD7-43F3-8615-09AEAC1FE90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985" authorId="0" shapeId="0" xr:uid="{1E2DE321-1771-4C75-9654-0B99A5CDDB1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18/2021 $408,029,872,00</t>
        </r>
      </text>
    </comment>
    <comment ref="AG988" authorId="0" shapeId="0" xr:uid="{D3430F18-96D1-46D7-8945-3B8A8398D45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1490 AGOSTO 27/2021</t>
        </r>
      </text>
    </comment>
    <comment ref="AG1001" authorId="0" shapeId="0" xr:uid="{6FEDE83E-659B-4EC4-AFEC-AA140C04636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</t>
        </r>
      </text>
    </comment>
    <comment ref="AE1007" authorId="0" shapeId="0" xr:uid="{626C1A8F-F237-42CB-BCEA-89752270C58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
</t>
        </r>
      </text>
    </comment>
    <comment ref="AH1007" authorId="0" shapeId="0" xr:uid="{71D9CC9C-CAC4-45CA-BAD0-F1DDCC72196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21/2021</t>
        </r>
      </text>
    </comment>
    <comment ref="AE1017" authorId="0" shapeId="0" xr:uid="{F20B3E3C-BE3A-4F6C-B5E3-09A902140D2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A1032" authorId="0" shapeId="0" xr:uid="{EEA27A15-F690-4FBD-A80C-E345D454591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esta en fondo gestion del riesgo
</t>
        </r>
      </text>
    </comment>
    <comment ref="AG1032" authorId="0" shapeId="0" xr:uid="{E1A56D9D-B614-423E-A11B-C5CF0A98E68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H1038" authorId="0" shapeId="0" xr:uid="{D655E8AA-1856-4F59-9504-5B33C62FEC9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18/2021 $557,151,874</t>
        </r>
      </text>
    </comment>
    <comment ref="AG1042" authorId="0" shapeId="0" xr:uid="{5F76F2E6-2EAC-4970-8C5F-9F88FD37AB4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 18/2021</t>
        </r>
      </text>
    </comment>
    <comment ref="AE1048" authorId="0" shapeId="0" xr:uid="{DD498882-186D-4E38-9422-1FDC5F7E110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049" authorId="0" shapeId="0" xr:uid="{9C2B1A8C-4749-4509-AF60-8533CF86677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064" authorId="0" shapeId="0" xr:uid="{B8645B22-9933-4B97-B372-1A9CEF9BB69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1068" authorId="0" shapeId="0" xr:uid="{84A13C05-149A-4A22-9825-B57B68E2A16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RESOLU 1613 SEPT 17/2021
</t>
        </r>
      </text>
    </comment>
    <comment ref="AH1073" authorId="0" shapeId="0" xr:uid="{A1B543B0-BF7C-442E-99DF-E3A76C92043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se´t 17/2021</t>
        </r>
      </text>
    </comment>
    <comment ref="AG1075" authorId="0" shapeId="0" xr:uid="{B7F4B619-B275-45F5-B700-F1D0D42ADCA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12/21$2,080,000,000</t>
        </r>
      </text>
    </comment>
    <comment ref="AH1075" authorId="0" shapeId="0" xr:uid="{4018FB35-EE12-4800-9BA9-389093D34D2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4/2021 $1,800,000,000,00res 936 mayo 21/2021
RES1336 JUL 28/2021 $210,000,000
res 1490 agosto 27/2021</t>
        </r>
      </text>
    </comment>
    <comment ref="AG1077" authorId="0" shapeId="0" xr:uid="{38B7C1C3-1A68-44D5-A1F9-1401242FE0E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12/2021 $2,580,000,000
resol 1336 jul 28/2021 $60,000,000</t>
        </r>
      </text>
    </comment>
    <comment ref="AH1077" authorId="0" shapeId="0" xr:uid="{DF930AAE-9905-41B2-BD43-F381DEE1A64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</t>
        </r>
      </text>
    </comment>
    <comment ref="AG1079" authorId="0" shapeId="0" xr:uid="{F4C41649-8D3F-46B3-A13A-9E3A22CB252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RESOL 936 MAYO 21/21</t>
        </r>
      </text>
    </comment>
    <comment ref="AG1081" authorId="0" shapeId="0" xr:uid="{81526204-FB33-42AD-9E05-6754A9DBFF1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28/2021 $100,000,000</t>
        </r>
      </text>
    </comment>
    <comment ref="AH1083" authorId="0" shapeId="0" xr:uid="{159A4286-FD81-4D8B-9472-8EF02A9F9F3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1/2021 $1,080,123,215 Y $2,000,000,000
res 1407 agosto 13/2021 $3,000,000,000</t>
        </r>
      </text>
    </comment>
    <comment ref="AG1085" authorId="0" shapeId="0" xr:uid="{0A741C10-ABB9-47FE-BF4A-9822EFF1838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0201 MARZO 4/2021
RES 1209 JULIO 1/2021</t>
        </r>
      </text>
    </comment>
    <comment ref="AH1085" authorId="0" shapeId="0" xr:uid="{2221D34B-C30E-4D40-8CCA-EA2B80B74E6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13*/2021 $500,000,000</t>
        </r>
      </text>
    </comment>
    <comment ref="AG1086" authorId="0" shapeId="0" xr:uid="{20FA8F0D-1C29-4603-B768-837BC75A18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1209 JUL 1/2021$2,000,000,000</t>
        </r>
      </text>
    </comment>
    <comment ref="AH1086" authorId="0" shapeId="0" xr:uid="{3A90ED86-2665-4099-BD85-9574C99282D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13/2021 $500,000,000
</t>
        </r>
      </text>
    </comment>
    <comment ref="AG1088" authorId="0" shapeId="0" xr:uid="{62A19E5A-D869-43BF-A1CB-9C0597F4DAB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21/21</t>
        </r>
      </text>
    </comment>
    <comment ref="AG1090" authorId="0" shapeId="0" xr:uid="{C51BDA98-F923-47A6-93B6-5C8086F382D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1613 SEP 17/2021
</t>
        </r>
      </text>
    </comment>
    <comment ref="AG1092" authorId="0" shapeId="0" xr:uid="{8C3615B1-CB6F-4DF5-B051-A0C080639AF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12/2021 $140,000,000RESOL 1613 SEPT 17
RESOL 1613 SEPT 17/2021</t>
        </r>
      </text>
    </comment>
    <comment ref="AH1092" authorId="0" shapeId="0" xr:uid="{ACD708FE-43DD-4A41-B159-71EF875549C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E1095" authorId="0" shapeId="0" xr:uid="{B7A004B4-2693-4640-8444-0E4D3833CF0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097" authorId="0" shapeId="0" xr:uid="{047C3896-251C-48C7-A45B-BD1309AFE38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
resol 1336 jul 28/2021 $50,000,000
res 1490 $60,000,000</t>
        </r>
      </text>
    </comment>
    <comment ref="AG1100" authorId="0" shapeId="0" xr:uid="{8B5E2F12-572F-4E13-8334-D331DF38854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936 MAYO 21resol 
1336 jul 28/2021 $100,000,000</t>
        </r>
      </text>
    </comment>
    <comment ref="AE1105" authorId="0" shapeId="0" xr:uid="{23E0BF12-D581-43EB-B3FC-13464BFA25F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116" authorId="0" shapeId="0" xr:uid="{68FDE3E7-CC79-46AD-BBBD-24AB349B626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069 feb 12/2021 $10,000,000,000,00
resol 308 marzo 12/2021 $500,000,000
resolucion 737/ 15/04/2021 $431,000,000</t>
        </r>
      </text>
    </comment>
    <comment ref="AE1117" authorId="0" shapeId="0" xr:uid="{57050377-2BA9-4CE8-97BE-E667F035335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117" authorId="0" shapeId="0" xr:uid="{120580FA-2348-4A67-A9D0-7B191E001ED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1135 junio 18/2021 $200,000,000res 1407 agotos 13
RESOL 1359 AGOSTO 2/2021</t>
        </r>
      </text>
    </comment>
    <comment ref="AH1121" authorId="0" shapeId="0" xr:uid="{FFDA98BE-D778-43DA-95B8-8A2267B1A4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1122" authorId="0" shapeId="0" xr:uid="{3AE78D88-9DEA-4D31-885B-A94AED714EB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122" authorId="0" shapeId="0" xr:uid="{34A2D847-0B3E-468A-8318-43FC01A9EEF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915 mayo 12</t>
        </r>
      </text>
    </comment>
    <comment ref="AE1131" authorId="0" shapeId="0" xr:uid="{B3663814-7887-4B39-9DB5-6F5557B3AAE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133" authorId="0" shapeId="0" xr:uid="{6E0DA738-B083-4E5A-B91D-D71C0276692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G1135" authorId="0" shapeId="0" xr:uid="{830BF70F-25F6-445C-BDD5-D4136D26FD0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1359 AGOSTO 2/2021</t>
        </r>
      </text>
    </comment>
    <comment ref="AH1135" authorId="0" shapeId="0" xr:uid="{FFF401AA-28EC-4E48-9361-03EC150CFF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G1136" authorId="0" shapeId="0" xr:uid="{36F24925-98D0-47BE-A478-3FDB5BE9BC3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E1142" authorId="0" shapeId="0" xr:uid="{3E3AD791-B3E8-45D0-8C9D-8359084F639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152" authorId="0" shapeId="0" xr:uid="{7A258CE5-66FA-4810-A828-07901E2FFBA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13/2021</t>
        </r>
      </text>
    </comment>
    <comment ref="AE1155" authorId="0" shapeId="0" xr:uid="{A5AAA321-1958-4CD2-8B1A-662FB9C9692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E1156" authorId="0" shapeId="0" xr:uid="{E71840BC-A597-4CD0-B41C-66A2F0CDE7A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157" authorId="0" shapeId="0" xr:uid="{2E60FF55-A4CC-4FA3-ABBB-76C7EE380CA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159" authorId="0" shapeId="0" xr:uid="{2D709163-C01D-4874-A594-A9808A35A90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01/26/2021</t>
        </r>
      </text>
    </comment>
    <comment ref="AE1163" authorId="0" shapeId="0" xr:uid="{2D77D85A-0000-498D-9F6F-892CE5D82B0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ABRIL29/2021</t>
        </r>
      </text>
    </comment>
    <comment ref="AG1165" authorId="0" shapeId="0" xr:uid="{4575270F-B41B-4A4B-986D-2330F7BBB87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18/2021 $204,500,000</t>
        </r>
      </text>
    </comment>
    <comment ref="AH1165" authorId="0" shapeId="0" xr:uid="{9F230111-40D0-4C2F-AF95-C239EDD5BFD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26/21</t>
        </r>
      </text>
    </comment>
    <comment ref="AG1167" authorId="0" shapeId="0" xr:uid="{098AA1ED-97F9-484E-894D-B39CE148A60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26/2021 $3,086,332,698</t>
        </r>
      </text>
    </comment>
    <comment ref="AE1168" authorId="0" shapeId="0" xr:uid="{7E6AA6BF-8FE0-40B1-9F44-1DC53F69D78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170" authorId="0" shapeId="0" xr:uid="{190C02F9-D950-4B5A-B507-37F0B5A787E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26/2021 $501,500,000</t>
        </r>
      </text>
    </comment>
    <comment ref="AH1170" authorId="0" shapeId="0" xr:uid="{C5E5B073-1DB4-4A5A-88FA-3BA0E500317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18/2021 $204,500,000
res 1649 sept 28/2021 $800,000,000</t>
        </r>
      </text>
    </comment>
    <comment ref="AE1172" authorId="0" shapeId="0" xr:uid="{7C8F900E-2C5C-492A-8E99-AFF4CC04776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H1172" authorId="0" shapeId="0" xr:uid="{DD6A57F9-DB50-4583-AE05-3EE6A312AAE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1174" authorId="0" shapeId="0" xr:uid="{036C5646-A106-41FE-9368-184624B1127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</t>
        </r>
      </text>
    </comment>
    <comment ref="AG1176" authorId="0" shapeId="0" xr:uid="{8C868054-5F9C-4533-B6D9-B1BB640FDAF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26/2021 $221,000,000</t>
        </r>
      </text>
    </comment>
    <comment ref="AG1178" authorId="0" shapeId="0" xr:uid="{7CFC829F-FFF9-4C7F-813D-BDE9FDE8EBA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1180" authorId="0" shapeId="0" xr:uid="{1DFE1508-C221-4256-8AE1-1185235B9BB8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1613/2021 sept 17/2021</t>
        </r>
      </text>
    </comment>
    <comment ref="AE1181" authorId="0" shapeId="0" xr:uid="{5E2AFD48-0FB1-4652-8F7E-AAA304D8B27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1183" authorId="0" shapeId="0" xr:uid="{138FBB9D-BB39-46F7-ABA7-2A08263DF3A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1649 SEPT 28/2021</t>
        </r>
      </text>
    </comment>
    <comment ref="AE1198" authorId="0" shapeId="0" xr:uid="{8D8FEA34-AFE7-4C0C-821E-01680566A15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11" authorId="0" shapeId="0" xr:uid="{71473FE3-B0B5-462C-80BC-965EA17E60F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</t>
        </r>
      </text>
    </comment>
    <comment ref="AE1214" authorId="0" shapeId="0" xr:uid="{CD045F36-2AB9-4204-87AF-0FA0353A204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15" authorId="0" shapeId="0" xr:uid="{17B45B42-2065-47C6-A605-5FE9A6B9CE0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16" authorId="0" shapeId="0" xr:uid="{1E261C97-3121-468C-A61D-935E394B186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217" authorId="0" shapeId="0" xr:uid="{1605856D-F12E-4637-B999-8ADD9C93F0A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G1218" authorId="0" shapeId="0" xr:uid="{4B0A89E7-1404-436C-B258-6DF53397E3B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</t>
        </r>
      </text>
    </comment>
    <comment ref="AE1231" authorId="0" shapeId="0" xr:uid="{D4A4CA6F-0C3A-47B5-A7E5-BBBD12FBA91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0120 SEPT 24/2021</t>
        </r>
      </text>
    </comment>
    <comment ref="AE1237" authorId="0" shapeId="0" xr:uid="{C41F13FA-22F3-4E45-8C19-5F929A088A87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A1240" authorId="0" shapeId="0" xr:uid="{0144AA30-6CAC-45CE-836A-5E6DF456B05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SE UBICO EN EL 3301122 EN CUIPO</t>
        </r>
      </text>
    </comment>
    <comment ref="AG1241" authorId="0" shapeId="0" xr:uid="{433A742F-AE7A-435C-BC10-DAC6642E6C2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G1242" authorId="0" shapeId="0" xr:uid="{2DFC25FE-2548-4736-8C43-D624C2AFFC4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14/2021</t>
        </r>
      </text>
    </comment>
    <comment ref="AE1243" authorId="0" shapeId="0" xr:uid="{DEBB737C-C715-424C-A0D0-94D74A8E7F8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48" authorId="0" shapeId="0" xr:uid="{668500DC-F637-43E8-8ADB-2A5070957CB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51" authorId="0" shapeId="0" xr:uid="{058C36B6-A89F-41AC-823D-D7B3FE7FD08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55" authorId="0" shapeId="0" xr:uid="{173EBCDA-3607-4867-81DA-2F1541A83E9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57" authorId="0" shapeId="0" xr:uid="{1DC8A644-846D-4963-91ED-5515A742FB3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E1261" authorId="0" shapeId="0" xr:uid="{133BCFA5-C95B-4E78-B4FE-43D494BE87F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053 ABRIL 29/2021</t>
        </r>
      </text>
    </comment>
    <comment ref="AG1285" authorId="0" shapeId="0" xr:uid="{9E9CD7FA-DFAB-48DC-9BD0-F60E334907F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737 15/04/2021 $431,000,000
RES 1068 JUN 3/2021 $18,000,000</t>
        </r>
      </text>
    </comment>
    <comment ref="AH1285" authorId="0" shapeId="0" xr:uid="{EDFA01AD-903E-49C4-A995-30213B48AD1A}">
      <text>
        <r>
          <rPr>
            <b/>
            <sz val="9"/>
            <color indexed="81"/>
            <rFont val="Tahoma"/>
            <family val="2"/>
          </rPr>
          <t>Yolanda Baron Pedraza
resol 915 mayo 12</t>
        </r>
      </text>
    </comment>
    <comment ref="AG1287" authorId="0" shapeId="0" xr:uid="{9F12E5CB-7FEA-40B9-80F9-9E003CE95FEB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 763 21 ABRIL  $431,000,000
res 915 mayo 12/2021 $9,000,000</t>
        </r>
      </text>
    </comment>
    <comment ref="AH1287" authorId="0" shapeId="0" xr:uid="{8364341A-7616-4FFF-A4D6-17C63DCA2C6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1068 JUN 3/2021</t>
        </r>
      </text>
    </comment>
    <comment ref="AG1291" authorId="0" shapeId="0" xr:uid="{42A2E099-F1CC-4CE5-9D4F-6D33FE51CC1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AGOSTO 13</t>
        </r>
      </text>
    </comment>
    <comment ref="AG1318" authorId="0" shapeId="0" xr:uid="{F8B29577-44E7-4424-85C0-90B669B1296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resol 026 enero 26/2021 $5,536,570,240</t>
        </r>
      </text>
    </comment>
    <comment ref="AH1323" authorId="0" shapeId="0" xr:uid="{E8E7071F-69B1-44B7-BDB5-2021ADD6A0E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026 enero 26/2021
</t>
        </r>
      </text>
    </comment>
    <comment ref="AE1326" authorId="0" shapeId="0" xr:uid="{51CAEEE5-2517-4C9E-BCD7-403F2F99189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30" authorId="0" shapeId="0" xr:uid="{F7370E3D-6CA7-46BF-B783-51848802D8F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31" authorId="0" shapeId="0" xr:uid="{80219E22-666A-42B4-BA93-D53CC607D52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MAYO7/2021</t>
        </r>
      </text>
    </comment>
    <comment ref="AE1337" authorId="0" shapeId="0" xr:uid="{CB3BF99B-2AE1-437F-B167-CD0BC304B46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058MAYO 7/2021</t>
        </r>
      </text>
    </comment>
    <comment ref="AE1338" authorId="0" shapeId="0" xr:uid="{C1F7C500-6E20-4BB6-B48E-F17F155D79A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42" authorId="0" shapeId="0" xr:uid="{4C70E406-88EC-48A6-9FAC-EA00C8ABA05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43" authorId="0" shapeId="0" xr:uid="{54B86027-BF60-4EF4-BC57-5ED891470BE4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44" authorId="0" shapeId="0" xr:uid="{1B1C7BD1-3909-4122-B4BB-5B1B40900CC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48" authorId="0" shapeId="0" xr:uid="{894C784E-2DF2-46CC-A6F1-F4A4C61C2B5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51" authorId="0" shapeId="0" xr:uid="{690B246C-D387-4991-9F20-B768948406D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G1354" authorId="0" shapeId="0" xr:uid="{CB42CF33-84D0-4C82-9FA0-19C3AEE91C3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1613 SEPT 17/2021</t>
        </r>
      </text>
    </comment>
    <comment ref="AH1354" authorId="0" shapeId="0" xr:uid="{904E894D-F415-41C2-8E0A-47EB822C604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143 FEB 18/2021 $136,150,000
</t>
        </r>
      </text>
    </comment>
    <comment ref="AE1357" authorId="0" shapeId="0" xr:uid="{C1B81E39-97A9-4BFA-99B6-57B447CE215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58" authorId="0" shapeId="0" xr:uid="{AD314881-1733-4949-B8B2-F5B157AAD08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 C 058 MAYO 7/2021</t>
        </r>
      </text>
    </comment>
    <comment ref="AE1359" authorId="0" shapeId="0" xr:uid="{07E39017-74E6-4DDB-92ED-6BC4814915E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DECRETO 058 MAYO 7/2021</t>
        </r>
      </text>
    </comment>
    <comment ref="AE1363" authorId="0" shapeId="0" xr:uid="{46EE6EBD-35D5-4E69-B3EE-13FB4DAB796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67" authorId="0" shapeId="0" xr:uid="{AA3D0F99-DD71-4C16-A21B-67931FC4281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68" authorId="0" shapeId="0" xr:uid="{C31CF5AB-D185-4C59-85FB-0E4568397EE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69" authorId="0" shapeId="0" xr:uid="{762AE354-957A-4B73-894C-D51DE88093ED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73" authorId="0" shapeId="0" xr:uid="{CAB9580F-8D5C-464F-BCAB-8155DFAC3979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74" authorId="0" shapeId="0" xr:uid="{841A5422-C325-46DB-9D3D-B4178561C1D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MAYOO 7/2021</t>
        </r>
      </text>
    </comment>
    <comment ref="AE1375" authorId="0" shapeId="0" xr:uid="{0DE593FD-DBD2-4180-8C2A-A8D62A356E66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79" authorId="0" shapeId="0" xr:uid="{2BBED3D5-40B0-485A-9179-756387CA7B2C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83" authorId="0" shapeId="0" xr:uid="{B614C022-2C33-4FB1-A10A-E11A64242C1F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385" authorId="0" shapeId="0" xr:uid="{286C7B60-545B-498D-9807-9FA14C826F8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G1387" authorId="0" shapeId="0" xr:uid="{A9455D7E-D508-4E10-BF4B-262D408ABC63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0143 FEB 18/21 $136,150,000</t>
        </r>
      </text>
    </comment>
    <comment ref="AG1389" authorId="0" shapeId="0" xr:uid="{ACB61B59-E203-4812-B475-1220BD491EFE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13360 jul 28/2021RES 1407 AGOSTO 13/2021</t>
        </r>
      </text>
    </comment>
    <comment ref="AG1392" authorId="0" shapeId="0" xr:uid="{E8D77171-2C7E-4FCD-BF0F-CCD8CADFB3B2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0121 SEPT 24/2021</t>
        </r>
      </text>
    </comment>
    <comment ref="AE1397" authorId="0" shapeId="0" xr:uid="{650FECC6-0E74-42DA-A57E-F910B252EA31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053 ABRIL 29/2021</t>
        </r>
      </text>
    </comment>
    <comment ref="AG1397" authorId="0" shapeId="0" xr:uid="{C7CE5C6E-4A8D-4C3D-9A59-EB97C8945C2A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</t>
        </r>
      </text>
    </comment>
    <comment ref="AH1397" authorId="0" shapeId="0" xr:uid="{BFDBE3FB-5AE7-40B4-9914-4C3827CB579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1407 agost 13/2021 $15,000
000</t>
        </r>
      </text>
    </comment>
    <comment ref="AE1401" authorId="0" shapeId="0" xr:uid="{00B0E657-B841-45E0-A463-555DC871498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 MAYO 7/2021</t>
        </r>
      </text>
    </comment>
    <comment ref="AE1403" authorId="0" shapeId="0" xr:uid="{43E89538-D864-43A2-8D0F-B00E3DB31125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DEC 058MAYO 7/2021</t>
        </r>
      </text>
    </comment>
    <comment ref="AH1403" authorId="0" shapeId="0" xr:uid="{FF8D165E-5F19-429E-B151-3A3622829770}">
      <text>
        <r>
          <rPr>
            <b/>
            <sz val="9"/>
            <color indexed="81"/>
            <rFont val="Tahoma"/>
            <family val="2"/>
          </rPr>
          <t>Yolanda Baron Pedraza:</t>
        </r>
        <r>
          <rPr>
            <sz val="9"/>
            <color indexed="81"/>
            <rFont val="Tahoma"/>
            <family val="2"/>
          </rPr>
          <t xml:space="preserve">
res 1336 jul 28/2021 $350,000,000</t>
        </r>
      </text>
    </comment>
  </commentList>
</comments>
</file>

<file path=xl/sharedStrings.xml><?xml version="1.0" encoding="utf-8"?>
<sst xmlns="http://schemas.openxmlformats.org/spreadsheetml/2006/main" count="46495" uniqueCount="1461">
  <si>
    <t>ALCALDIA DE BUCARAMANGA</t>
  </si>
  <si>
    <t>NIT - 890201222</t>
  </si>
  <si>
    <t>A 31 DE ENERO DEL 2021</t>
  </si>
  <si>
    <t>FUT</t>
  </si>
  <si>
    <t>Descripcion Codigo FUT</t>
  </si>
  <si>
    <t>Rubro</t>
  </si>
  <si>
    <t>Descripcion Rubro</t>
  </si>
  <si>
    <t>Fuente Financiacion</t>
  </si>
  <si>
    <t>Presupuesto Inicial</t>
  </si>
  <si>
    <t>Adicion</t>
  </si>
  <si>
    <t>Reduccion</t>
  </si>
  <si>
    <t>Credito</t>
  </si>
  <si>
    <t>Contracredito</t>
  </si>
  <si>
    <t>Modificaciones Acumuladas</t>
  </si>
  <si>
    <t>Presupuesto Definitivo</t>
  </si>
  <si>
    <t>TOTAL DISPONIBILIDADES</t>
  </si>
  <si>
    <t>TOTAL COMPROMISOS</t>
  </si>
  <si>
    <t>TOTAL OBLIGACIONES - PAGOS</t>
  </si>
  <si>
    <t>Presupuesto Disponible</t>
  </si>
  <si>
    <t>Saldo Por Ejecutar</t>
  </si>
  <si>
    <t>Saldo Por Pagar</t>
  </si>
  <si>
    <t>% Ejecucion</t>
  </si>
  <si>
    <t>Disponibilidades en Transito</t>
  </si>
  <si>
    <t>Disponibilidades del Mes</t>
  </si>
  <si>
    <t>Disponibilidades Acumuladas</t>
  </si>
  <si>
    <t>Compromisos en Transito</t>
  </si>
  <si>
    <t>Compromisos del   Mes</t>
  </si>
  <si>
    <t>Compromisos Acumulados</t>
  </si>
  <si>
    <t>Cuentas por pagar</t>
  </si>
  <si>
    <t>Pagos del Mes</t>
  </si>
  <si>
    <t>Pagos Acumulados</t>
  </si>
  <si>
    <t>Obligaciones</t>
  </si>
  <si>
    <t>3 = 1 + 2</t>
  </si>
  <si>
    <t>10 = 3 - 5</t>
  </si>
  <si>
    <t>11 = 5 - 7</t>
  </si>
  <si>
    <t>12 = 7 - 9</t>
  </si>
  <si>
    <t>13 = 7 / 3</t>
  </si>
  <si>
    <t/>
  </si>
  <si>
    <t>GASTOS</t>
  </si>
  <si>
    <t>2.1</t>
  </si>
  <si>
    <t>FUNCIONAMIENTO</t>
  </si>
  <si>
    <t>1</t>
  </si>
  <si>
    <t>TOTAL GASTOS DE FUNCIONAMIENTO</t>
  </si>
  <si>
    <t>2.1.1</t>
  </si>
  <si>
    <t>GASTOS DE PERSONAL</t>
  </si>
  <si>
    <t>2.1.1.01</t>
  </si>
  <si>
    <t>PLANTA DE PERSONAL PERMANENTE</t>
  </si>
  <si>
    <t>2.1.1.01.01</t>
  </si>
  <si>
    <t>FACTORES CONSTITUTIVOS DE SALARIO</t>
  </si>
  <si>
    <t>1.1.1.7.1</t>
  </si>
  <si>
    <t>DE FUNCIONARIOS</t>
  </si>
  <si>
    <t>2.1.1.01.01.001</t>
  </si>
  <si>
    <t>FACTORES SALARIALES COMUNES</t>
  </si>
  <si>
    <t>2.1.1.01.01.001.01</t>
  </si>
  <si>
    <t>SUELDO BASICO</t>
  </si>
  <si>
    <t>A.60</t>
  </si>
  <si>
    <t>NO APLICA</t>
  </si>
  <si>
    <t>2.1.1.01.01.001.01.01</t>
  </si>
  <si>
    <t>INGRESOS CORRIENTES DE LIBRE DESTINACION EXCEPTO EL 42% DE LIBRE DESTINACIÓN DE PROPOSITO GENERAL DE MPIOS DE CATEGORIA 4, 5 Y 6</t>
  </si>
  <si>
    <t>2.1.1.01.01.001.01.02</t>
  </si>
  <si>
    <t>SUELDO BASICO SEC EDUCACION</t>
  </si>
  <si>
    <t>SGP EDUCACION PRESTACIÓN DEL SERVICIO DOCE DOCEAVAS VIGENCIA ACTUAL</t>
  </si>
  <si>
    <t>2.1.1.01.01.001.02</t>
  </si>
  <si>
    <t>HORAS EXTRAS, DOMINICALES, FESTIVOS Y RECARGOS</t>
  </si>
  <si>
    <t>2.1.1.01.01.001.03</t>
  </si>
  <si>
    <t>GASTOS DE REPRESENTACION</t>
  </si>
  <si>
    <t>2.1.1.01.01.001.04</t>
  </si>
  <si>
    <t>SUBSIDIO DE ALIMENTACION</t>
  </si>
  <si>
    <t>2.1.1.01.01.001.05</t>
  </si>
  <si>
    <t>AUXILIO DE TRANSPORTE</t>
  </si>
  <si>
    <t>2.1.1.01.01.001.06</t>
  </si>
  <si>
    <t>PRIMA DE SERVICIO</t>
  </si>
  <si>
    <t>2.1.1.01.01.001.06.01</t>
  </si>
  <si>
    <t>2.1.1.01.01.001.06.02</t>
  </si>
  <si>
    <t>PRIMA DE SERVICIO SEC EDUCACION</t>
  </si>
  <si>
    <t>2.1.1.01.01.001.07</t>
  </si>
  <si>
    <t>BONIFICACION POR SERVICIOS PRESTADOS</t>
  </si>
  <si>
    <t>2.1.1.01.01.001.07.01</t>
  </si>
  <si>
    <t>2.1.1.01.01.001.07.02</t>
  </si>
  <si>
    <t>BONIFICACION POR SERVICIOS PRESTADOS SEC EDUCACION</t>
  </si>
  <si>
    <t>2.1.1.01.01.001.08</t>
  </si>
  <si>
    <t>PRESTACIONES SOCIALES</t>
  </si>
  <si>
    <t>2.1.1.01.01.001.08.01</t>
  </si>
  <si>
    <t>PRIMA DE NAVIDAD</t>
  </si>
  <si>
    <t>2.1.1.01.01.001.08.01.02</t>
  </si>
  <si>
    <t>PRIMA DE NAVIDAD SEC EDUCACION</t>
  </si>
  <si>
    <t>2.1.1.01.01.001.08.0101</t>
  </si>
  <si>
    <t>2.1.1.01.01.001.08.02</t>
  </si>
  <si>
    <t>PRIMA DE VACACIONES</t>
  </si>
  <si>
    <t>2.1.1.01.01.001.08.02.01</t>
  </si>
  <si>
    <t>2.1.1.01.01.001.08.02.02</t>
  </si>
  <si>
    <t>PRIMA DE VACACIONES SEC EDUCACION</t>
  </si>
  <si>
    <t>2.1.1.01.01.001.09</t>
  </si>
  <si>
    <t>PRIMA TECNICA SALARIAL</t>
  </si>
  <si>
    <t>2.1.1.01.01.001.10</t>
  </si>
  <si>
    <t>VIATICOS DE LOS FUNCIONARIOS EN COMISION</t>
  </si>
  <si>
    <t>2.1.1.01.01.002</t>
  </si>
  <si>
    <t>FACTORES SALARIALES ESPECIALES</t>
  </si>
  <si>
    <t>2.1.1.01.01.002.12</t>
  </si>
  <si>
    <t>PRIMA DE ANTIGEDAD</t>
  </si>
  <si>
    <t>2.1.1.01.01.002.12.02</t>
  </si>
  <si>
    <t>BENEFICIOS A LOS EMPLEADOS A LARGO PLAZO</t>
  </si>
  <si>
    <t>2.1.1.01.02</t>
  </si>
  <si>
    <t>CONTRIBUCIONES INHERENTES A LA NOMINA</t>
  </si>
  <si>
    <t>2.1.1.01.02.001</t>
  </si>
  <si>
    <t>APORTES A LA SEGURIDAD SOCIAL EN PENSIONES</t>
  </si>
  <si>
    <t>2.1.1.01.02.001.01</t>
  </si>
  <si>
    <t>2.1.1.01.02.001.02</t>
  </si>
  <si>
    <t>APORTES A LA SEGURIDAD SOCIAL EN PENSIONES SEC EDUCACION</t>
  </si>
  <si>
    <t>2.1.1.01.02.002</t>
  </si>
  <si>
    <t>APORTES A LA SEGURIDAD EN SALUD</t>
  </si>
  <si>
    <t>2.1.1.01.02.002.01</t>
  </si>
  <si>
    <t>2.1.1.01.02.002.02</t>
  </si>
  <si>
    <t>APORTES A LA SEGURIDAD EN SALUD SEC EDUCCION</t>
  </si>
  <si>
    <t>2.1.1.01.02.003</t>
  </si>
  <si>
    <t>APORTES DE CESANTIAS</t>
  </si>
  <si>
    <t>2.1.1.01.02.003.01</t>
  </si>
  <si>
    <t>2.1.1.01.02.003.02</t>
  </si>
  <si>
    <t>2.1.1.01.02.004</t>
  </si>
  <si>
    <t>APORTES A CAJAS DE COMPENSACION FAMILIAR</t>
  </si>
  <si>
    <t>2.1.1.01.02.004.01</t>
  </si>
  <si>
    <t>2.1.1.01.02.004.02</t>
  </si>
  <si>
    <t>APORTES A CAJAS DE COMPENSACION FAMILIAR SEC EDUCACION</t>
  </si>
  <si>
    <t>2.1.1.01.02.005</t>
  </si>
  <si>
    <t>APORTES GENERALES AL SISTEMA DE RIESGOS LABORALES</t>
  </si>
  <si>
    <t>2.1.1.01.02.005.01</t>
  </si>
  <si>
    <t>2.1.1.01.02.005.02</t>
  </si>
  <si>
    <t>APORTES GENERALES AL SISTEMA DE RIESGOS LABORALES SEC EDUCACION</t>
  </si>
  <si>
    <t>2.1.1.01.02.006</t>
  </si>
  <si>
    <t>APORTES AL ICBF</t>
  </si>
  <si>
    <t>2.1.1.01.02.006.01</t>
  </si>
  <si>
    <t>2.1.1.01.02.006.02</t>
  </si>
  <si>
    <t>2.1.1.01.02.007</t>
  </si>
  <si>
    <t>APORTES AL SENA</t>
  </si>
  <si>
    <t xml:space="preserve"> 2.1.1.01.02.007.01</t>
  </si>
  <si>
    <t xml:space="preserve"> 2.1.1.01.02.007.02</t>
  </si>
  <si>
    <t>APORTES AL SENA SECRETARIA DE EDUCACION</t>
  </si>
  <si>
    <t>2.1.1.01.02.008</t>
  </si>
  <si>
    <t>APORTES A LA ESAP</t>
  </si>
  <si>
    <t>2.1.1.01.02.008.01</t>
  </si>
  <si>
    <t>2.1.1.01.02.008.02</t>
  </si>
  <si>
    <t>APORTES A LA ESAP SEC EDUCACION</t>
  </si>
  <si>
    <t>2.1.1.01.02.009</t>
  </si>
  <si>
    <t>APORTES A ESCUELAS INDUSTRIALES E INSTITUTOS TCNICOS</t>
  </si>
  <si>
    <t>2.1.1.01.02.009.01</t>
  </si>
  <si>
    <t>APORTES A ESCUELAS INDUSTRIALES E INSTITUTOS TECNICOS</t>
  </si>
  <si>
    <t>2.1.1.01.02.009.02</t>
  </si>
  <si>
    <t>APORTES A ESCUELAS INDUSTRIALES E INSTITUTOS TECNICO SEC EDUCACION</t>
  </si>
  <si>
    <t>2.1.1.01.03</t>
  </si>
  <si>
    <t>REMUNERACIONES NO CONSTITUTIVAS DE FACTOR SALARIAL</t>
  </si>
  <si>
    <t>2.1.1.01.03.001</t>
  </si>
  <si>
    <t>2.1.1.01.03.001.01</t>
  </si>
  <si>
    <t>VACACIONES</t>
  </si>
  <si>
    <t>2.1.1.01.03.001.01.01</t>
  </si>
  <si>
    <t>2.1.1.01.03.001.01.02</t>
  </si>
  <si>
    <t>VACACIONES SEC EDUCACION</t>
  </si>
  <si>
    <t>2.1.1.01.03.001.02</t>
  </si>
  <si>
    <t>INDENMIZACION POR VACACIONES</t>
  </si>
  <si>
    <t>2.1.1.01.03.001.02.01</t>
  </si>
  <si>
    <t>2.1.1.01.03.001.02.02</t>
  </si>
  <si>
    <t>INDENMIZACION POR VACACIONES SEC EDUCACION</t>
  </si>
  <si>
    <t>2.1.1.01.03.001.03</t>
  </si>
  <si>
    <t>BONIFICACION ESPECIAL DE RECREACION</t>
  </si>
  <si>
    <t>2.1.1.01.03.001.03.01</t>
  </si>
  <si>
    <t>2.1.1.01.03.001.03.02</t>
  </si>
  <si>
    <t>BONIFICACION ESPECIAL DE RECREACION SEC EDUCACION</t>
  </si>
  <si>
    <t>2.1.1.01.03.003</t>
  </si>
  <si>
    <t>BONIFICACION DE DIRECCION PARA GOBERNADORES Y ALCALDES</t>
  </si>
  <si>
    <t>2.1.1.01.03.004</t>
  </si>
  <si>
    <t>BONIFICACION DE GESTION TERRITORIAL PARA ALCALDES</t>
  </si>
  <si>
    <t>2.1.1.01.03.016</t>
  </si>
  <si>
    <t>PRIMA DE COSTO DE VIDA</t>
  </si>
  <si>
    <t>2.1.1.01.03.019</t>
  </si>
  <si>
    <t>PRIMA DE CLIMA O PRIMA DE CALOR</t>
  </si>
  <si>
    <t>2.1.1.01.03.069</t>
  </si>
  <si>
    <t>APOYO DE SOSTENIMIENTO APRENDICES SENA</t>
  </si>
  <si>
    <t>2.1.2</t>
  </si>
  <si>
    <t>ADQUISICIN DE BIENES Y SERVICIOS</t>
  </si>
  <si>
    <t>2.1.2.02</t>
  </si>
  <si>
    <t>ADQUISICIONES DIFERENTES DE ACTIVOS</t>
  </si>
  <si>
    <t>2.1.2.02.01</t>
  </si>
  <si>
    <t>MATERIALES Y SUMINISTROS</t>
  </si>
  <si>
    <t>2.1.2.02.01.002</t>
  </si>
  <si>
    <t>PRODUCTOS ALIMENTICIOS, BEBIDAS Y TABACO TEXTILES, PRENDAS DE VESTIR Y PRODUCTOS DE CUERO</t>
  </si>
  <si>
    <t>2.1.2.02.01.003</t>
  </si>
  <si>
    <t>OTROS BIENES TRANSPORTABLES (EXCEPTO PRODUCTOS METLICOS, MAQUINARIA Y EQUIPO)</t>
  </si>
  <si>
    <t>2.1.2.02.01.004</t>
  </si>
  <si>
    <t>PRODUCTOS METALICOS Y PAQUETES DE SOFTWARE</t>
  </si>
  <si>
    <t>2.1.2.02.02</t>
  </si>
  <si>
    <t>ADQUISICION DE SERVICIOS</t>
  </si>
  <si>
    <t>2.1.2.02.02.005</t>
  </si>
  <si>
    <t>SERVICIOS DE LA CONSTRUCCION</t>
  </si>
  <si>
    <t>2.1.2.02.02.006</t>
  </si>
  <si>
    <t>SERVICIOS DE ALOJAMIENTO SERVICIOS DE SUMINISTRO DE COMIDAS Y BEBIDAS SERVICIOS DE TRANSPORTE Y SERVICIOS DE DISTRIBUCIN DE ELECTRICIDAD, GAS Y AGUA</t>
  </si>
  <si>
    <t>2.1.2.02.02.007</t>
  </si>
  <si>
    <t>SERVICIOS FINANCIEROS Y SERVICIOS CONEXOS, SERVICIOS INMOBILIARIOS Y SERVICIOS DE LEASING</t>
  </si>
  <si>
    <t>2.1.2.02.02.008</t>
  </si>
  <si>
    <t>SERVICIOS PRESTADOS A LAS EMPRESAS Y SERVICIOS DE PRODUCCION</t>
  </si>
  <si>
    <t>2.1.2.02.02.009</t>
  </si>
  <si>
    <t>SERVICIOS PARA LA COMUNIDAD, SOCIALES Y PERSONALES</t>
  </si>
  <si>
    <t>2.1.2.02.02.010</t>
  </si>
  <si>
    <t>VIATICOS DE LOS FUNCIONARIOS EN COMISIN</t>
  </si>
  <si>
    <t>TRANSFERENCIAS CORRIENTES</t>
  </si>
  <si>
    <t>A ENTIDADES DEL GOBIERNO</t>
  </si>
  <si>
    <t>A ORGANOS DEL PGN</t>
  </si>
  <si>
    <t>OTRAS TRANSFERENCIAS DISTRIBUCION PREVIO CONCEPTO DGPPN</t>
  </si>
  <si>
    <t>APORTE CAJA DE PREVISION SOCIAL MUNICIPAL</t>
  </si>
  <si>
    <t>INVISBU</t>
  </si>
  <si>
    <t>INSTITUTO DEL DEPORTE</t>
  </si>
  <si>
    <t>APORTE DEL CONCEJO MUNICIPAL (HONORARIOS)</t>
  </si>
  <si>
    <t>APORTE AL CONCEJO MUNICIPAL( FUNCIONAMIENTO)</t>
  </si>
  <si>
    <t>APORTE PERSONERIA MUNICIPAL</t>
  </si>
  <si>
    <t>SOBRETASA AL AREA METROPOLITANA</t>
  </si>
  <si>
    <t>AREA METROPOLITANA</t>
  </si>
  <si>
    <t>APORTE BOMBEROS BUCARAMANGA</t>
  </si>
  <si>
    <t>SOBRETASA BOMBERIL</t>
  </si>
  <si>
    <t>15% DE  MULTAS AL CÓDIGO NACIONAL DE POLICÍA Y CONVIVENCIA</t>
  </si>
  <si>
    <t>PARTICIPACIONES DISTINTAS DEL SGP</t>
  </si>
  <si>
    <t>2.1.3.05.04.001</t>
  </si>
  <si>
    <t>PARTICIPACIONES DE IMPUESTOS</t>
  </si>
  <si>
    <t>2.1.3.05.04.001.13</t>
  </si>
  <si>
    <t>PARTICIPACION DE LA SOBRETASA AMBIENTAL</t>
  </si>
  <si>
    <t>2.1.3.05.04.001.13.01</t>
  </si>
  <si>
    <t>TRANSFERENCIA DE LA SOBRETASA AMBIENTAL A LAS CORPORACIONES AUTONOMAS REGIONALES</t>
  </si>
  <si>
    <t>2.1.3.05.04.001.13.01.01</t>
  </si>
  <si>
    <t>URBANA</t>
  </si>
  <si>
    <t>SOBRETASA O PARTICIPACION AMBIENTAL</t>
  </si>
  <si>
    <t>2.1.3.05.04.001.13.01.02</t>
  </si>
  <si>
    <t>RURAL</t>
  </si>
  <si>
    <t>PRESTACIONES PARA CUBRIR RIESGOS SOCIALES</t>
  </si>
  <si>
    <t>PRESTACIONES SOCIALES RELACIONADAS CON EL EMPLEO</t>
  </si>
  <si>
    <t>MESADAS PENSIONALES (DE PENSIONES)</t>
  </si>
  <si>
    <t>MESADAS PENSIONALES A CARGO DE LA ENTIDAD (DE PENSIONES)</t>
  </si>
  <si>
    <t>RECURSOS PROPIOS 201</t>
  </si>
  <si>
    <t>RETIRO FONPET PARA EL PAGO DE OBLIGACIONES PENSIONALES CORRIENTES 276</t>
  </si>
  <si>
    <t>RETIRO FONPET PARA PAGO DE MESADAS PENSIONALES</t>
  </si>
  <si>
    <t>TRANSFERENCIAS DE OTRAS ENTIDADES PARA PAGO DE PENSIONES 286</t>
  </si>
  <si>
    <t>TRANSFERENCIAS DE OTRAS ENTIDADES PARA PAGO DE PENSIONES Y/O CESANTÍAS</t>
  </si>
  <si>
    <t>CUOTAS PARTES PENSIONALES (DE PENSIONES)</t>
  </si>
  <si>
    <t>TRANSFERENCIA CUOTAS PARTES Y BONOS PENSIONALES 246</t>
  </si>
  <si>
    <t>CUOTAS PARTES PENSIONALES TRANSFERIDAS POR OTRAS ENTIDADES</t>
  </si>
  <si>
    <t>AUXILIOS FUNERARIOS</t>
  </si>
  <si>
    <t>AUXILIOS FUNERARIOS A CARGO DE LA ENTIDAD</t>
  </si>
  <si>
    <t>PROGRAMA DE SALUD OCUPACIONAL (NO DE PENSIONES)</t>
  </si>
  <si>
    <t>COMPENSACIN POR MUERTE (NO DE PENSIONES)</t>
  </si>
  <si>
    <t>AUXILIO SINDICAL (NO DE PENSIONES)</t>
  </si>
  <si>
    <t>SENTENCIAS Y CONCILIACIONES</t>
  </si>
  <si>
    <t>FALLOS NACIONALES</t>
  </si>
  <si>
    <t>SENTENCIAS</t>
  </si>
  <si>
    <t>CONCILIACIONES</t>
  </si>
  <si>
    <t>GASTOS POR TRIBUTOS, MULTAS, SANCIONES E INTERESES DE MORA</t>
  </si>
  <si>
    <t>IMPUESTOS</t>
  </si>
  <si>
    <t>IMPUESTO PREDIAL UNIFICADO</t>
  </si>
  <si>
    <t>ESTAMPILLAS</t>
  </si>
  <si>
    <t>TASAS Y DERECHOS ADMINISTRATIVOS</t>
  </si>
  <si>
    <t>CONTRIBUCIONES</t>
  </si>
  <si>
    <t>CUOTA DE FISCALIZACION Y AUDITAJE</t>
  </si>
  <si>
    <t>CUOTA DE FISALIZACION Y AUDITAJE 229</t>
  </si>
  <si>
    <t xml:space="preserve">OTRAS FUENTES DIFERENTES A LAS ANTERIORES
</t>
  </si>
  <si>
    <t>CONTRIBUCION DE VALORIZACION</t>
  </si>
  <si>
    <t>MULTAS, SANCIONES E INTERESES DE MORA</t>
  </si>
  <si>
    <t>MULTAS Y SANCIONES</t>
  </si>
  <si>
    <t>MULTAS JUDICIALES</t>
  </si>
  <si>
    <t>INTERESES DE MORA</t>
  </si>
  <si>
    <t>SERVICIO DE LA DEUDA PUBLICA</t>
  </si>
  <si>
    <t>SERVICIO DE LA DEUDA PBLICA INTERNA</t>
  </si>
  <si>
    <t>PRINCIPAL</t>
  </si>
  <si>
    <t>PRSTAMOS</t>
  </si>
  <si>
    <t>ENTIDADES FINANCIERAS</t>
  </si>
  <si>
    <t>BANCA COMERCIAL</t>
  </si>
  <si>
    <t>2.2.2.02</t>
  </si>
  <si>
    <t>INTERESES</t>
  </si>
  <si>
    <t>PRESTAMOS</t>
  </si>
  <si>
    <t>2.2.2.03</t>
  </si>
  <si>
    <t>COMISIONES Y OTROS GASTOS</t>
  </si>
  <si>
    <t>APORTES AL FONDO DE CONTINGENCIAS</t>
  </si>
  <si>
    <t>BONOS PENSIONALES</t>
  </si>
  <si>
    <t>TIPO A</t>
  </si>
  <si>
    <t>ESTAMPILLA PROCULTURA</t>
  </si>
  <si>
    <t>ESTAMPILLA PARA EL BIENESTAR DEL ADULTO MAYOR MUNICIPAL 220</t>
  </si>
  <si>
    <t>TIPO B</t>
  </si>
  <si>
    <t>ESTAMPILLA PRO CULTURA 219</t>
  </si>
  <si>
    <t>2.3</t>
  </si>
  <si>
    <t>INVERSIÓN</t>
  </si>
  <si>
    <t>SECRETARIA ADMINISTRATIVA</t>
  </si>
  <si>
    <t>INVERSION</t>
  </si>
  <si>
    <t>ADQUISICION DE BIENES Y SERVICIOS</t>
  </si>
  <si>
    <t>MINERALES ELECTRICIDAD, GAS Y AGUA</t>
  </si>
  <si>
    <t>RUBRO</t>
  </si>
  <si>
    <t>SERVICIO DE ASISTENCIA TECNICA PARA LA CONSOLIDACION DE NEGOCIOS VERDES</t>
  </si>
  <si>
    <t>2.3.2.02.01.001.3201003.201</t>
  </si>
  <si>
    <t>PRODUCTOS METLICOS Y PAQUETES DE SOFTWARE</t>
  </si>
  <si>
    <t>SERVICIO DE INFORMACION IMPLEMENTADO</t>
  </si>
  <si>
    <t>2.3.2.02.01.004.2301075.201</t>
  </si>
  <si>
    <t>SERVICIOS DE INFORMACION PARA LA IMPLEMENTACION DE LA ESTRATEGIA DE GOBIERNO DIGITAL</t>
  </si>
  <si>
    <t>2.3.2.02.01.004.2302086.201</t>
  </si>
  <si>
    <t>SEDES ADECUADAS</t>
  </si>
  <si>
    <t>2.3.2.02.02.005.4599011.201</t>
  </si>
  <si>
    <t>SERVICIOS PRESTADOS A LAS EMPRESAS Y SERVICIOS DE PRODUCCIN</t>
  </si>
  <si>
    <t>DOCUMENTOS DE INVESTIGACION</t>
  </si>
  <si>
    <t>2.3.2.02.02.008.0599071.201</t>
  </si>
  <si>
    <t>2.3.2.02.02.008.2301075.201</t>
  </si>
  <si>
    <t>SERVICIO DE INFORMACION PARA LA IMPLEMENTACION DE LA ESTRATEGIA DE GOBIERNO DIGITAL</t>
  </si>
  <si>
    <t>2.3.2.02.02.008.2302086.201</t>
  </si>
  <si>
    <t>DOCUMENTOS DE PLANEACION</t>
  </si>
  <si>
    <t>2.3.2.02.02.008.4002016.201</t>
  </si>
  <si>
    <t>SERVICIO DE GESTION DOCUMENTAL</t>
  </si>
  <si>
    <t>2.3.2.02.02.008.4599017.201</t>
  </si>
  <si>
    <t>DOCUMENTOS DE LINEAMIENTOS TECNICOS</t>
  </si>
  <si>
    <t>2.3.2.02.02.008.4599018.201</t>
  </si>
  <si>
    <t>SERVICIOS DE INFORMACION IMPLEMENTADOS</t>
  </si>
  <si>
    <t>2.3.2.02.02.008.4599025.201</t>
  </si>
  <si>
    <t>SERVICIO DE ASISTENCIA TECNICA EN GESTION ESTRATEGICA DEL TALENTO HUMANO</t>
  </si>
  <si>
    <t>2.3.2.02.02.009.0505006.201</t>
  </si>
  <si>
    <t>TOTAL SECRETARIA ADMINISTRATIVA</t>
  </si>
  <si>
    <t>TOTAL INFORME SECRETARIA ADMINISTRATIVA (INVERSION)</t>
  </si>
  <si>
    <t>SECRETARIA DE EDUCACION</t>
  </si>
  <si>
    <t>PLANTA ADMINISTRATIVA INSTITUCIONES EDUCATIVAS</t>
  </si>
  <si>
    <t>EDUCACION</t>
  </si>
  <si>
    <t>CALIDAD, COBERTURA Y FORTALECIMIENTO DE LA EDUCACION INICIAL, PRESCOLAR, BASICA Y MEDIA</t>
  </si>
  <si>
    <t>SERVICIO EDUCATIVO</t>
  </si>
  <si>
    <t>2.3.1.01.01.001.01.2201071.201</t>
  </si>
  <si>
    <t>SUELDO BASICO RECURSOS PROPIOS</t>
  </si>
  <si>
    <t>2.3.1.01.01.001.01.2201071.205</t>
  </si>
  <si>
    <t>SUELDO BASICO SGP PRESTACION DE SERVICIOS NOMINA</t>
  </si>
  <si>
    <t>A.1.1.1</t>
  </si>
  <si>
    <t>PAGO DE PERSONAL</t>
  </si>
  <si>
    <t>2.3.1.01.01.001.06.2201071.205</t>
  </si>
  <si>
    <t>SGP EDUCACION PRESTACION DE SERVICIOS 205</t>
  </si>
  <si>
    <t>2.3.1.01.01.001.07.2201071.205</t>
  </si>
  <si>
    <t>2.3.1.01.01.001.08.01.2201071.205</t>
  </si>
  <si>
    <t>2.3.1.01.01.001.08.02.2201071.205</t>
  </si>
  <si>
    <t>2.3.1.01.02.001.2201071.205</t>
  </si>
  <si>
    <t>APORTES A LA SEGURIDAD SOCIAL EN SALUD</t>
  </si>
  <si>
    <t>2.3.1.01.02.002.2201071.205</t>
  </si>
  <si>
    <t>2.3.1.01.02.003.2201071.205</t>
  </si>
  <si>
    <t>2.3.1.01.02.004.2201071.205</t>
  </si>
  <si>
    <t>2.3.1.01.02.005.2201071.205</t>
  </si>
  <si>
    <t>2.3.1.01.02.006.2201071.205</t>
  </si>
  <si>
    <t>2.3.1.01.02.007.2201071.205</t>
  </si>
  <si>
    <t>2.3.1.01.02.008.2201071.205</t>
  </si>
  <si>
    <t>2.3.1.01.02.009.2201071.205</t>
  </si>
  <si>
    <t>2.3.1.01.03.001.01.2201071.205</t>
  </si>
  <si>
    <t>INDEMNIZACION POR VACACIONES</t>
  </si>
  <si>
    <t>2.3.1.01.03.001.02.2201071.205</t>
  </si>
  <si>
    <t>2.3.1.01.03.001.03.2201071.205</t>
  </si>
  <si>
    <t>PRIMA TECNICA NO SALARIAL</t>
  </si>
  <si>
    <t>2.3.1.01.03.009.2201071.205</t>
  </si>
  <si>
    <t>PLANTA DE PERSONAL DOCENTE</t>
  </si>
  <si>
    <t>2.3.1.01.01.001.02.2201071.205</t>
  </si>
  <si>
    <t>2.3.1.01.01.001.04.2201071.205</t>
  </si>
  <si>
    <t>2.3.1.01.01.001.05.2201071.205</t>
  </si>
  <si>
    <t>APORTES A LA SEGURIDAD SOCIAL EN PENSIONES SSF</t>
  </si>
  <si>
    <t>APORTES A LA SEGURIDAD SOCIAL EN SALUD SSF</t>
  </si>
  <si>
    <t>APORTES DE CESANTIAS SSF</t>
  </si>
  <si>
    <t>PLANTA DE PERSONAL DIRECTIVO DOCENTE</t>
  </si>
  <si>
    <t>INVERSION DIFERENTE DE NOMINA</t>
  </si>
  <si>
    <t>2.3.2.02.01.002.2201071.205</t>
  </si>
  <si>
    <t>AMBIENTES DE APRENDIZAJE PARA LA EDUCACION INICIAL PREESCOLAR, BASICA Y MEDIA DOTADOS</t>
  </si>
  <si>
    <t>2.3.2.02.01.004.2201070.289</t>
  </si>
  <si>
    <t>RECURSOS PROPIOS PRESUPUESTOS PARTICIPATIVOS 289</t>
  </si>
  <si>
    <t>MUNICIPIOS  - INGRESOS CORRIENTES DE LIBRE DESTINACIÓN DIFERENTES A LA PARTICIPACIÓN DE PROPOSITO GENERAL DE LIBRE DESTINACIÓN</t>
  </si>
  <si>
    <t>INFRAESTRUCTURA EDUCATIVA MEJORADA</t>
  </si>
  <si>
    <t>2.3.2.02.02.005.2201052.201</t>
  </si>
  <si>
    <t>2.3.2.02.02.005.2201052.289</t>
  </si>
  <si>
    <t>INFRAESTRUCTURA EDUCATIVA DOTADA</t>
  </si>
  <si>
    <t>2.3.2.02.02.005.2201069.265</t>
  </si>
  <si>
    <t>RENDIMIENTOS FINANCIEROS (SECTOR EDUCACION)SGP 265</t>
  </si>
  <si>
    <t xml:space="preserve">OTROS RECURSOS DE CAPITAL. RENDIMIENTOS FINANCIEROS VENTA DE ACTIVOS DONACIONES RECURSOS DE BALANCE DE INGRESOS CORRIENTES DE LIBRE DESTINACION Y.O DE INGRESOS CORRIENTES CON DESTINANCIÓN ESPECIFICA.
</t>
  </si>
  <si>
    <t>AMBIENTES DE APRENDIZAJE DOTADOS</t>
  </si>
  <si>
    <t>2.3.2.02.02.005.2202050.201</t>
  </si>
  <si>
    <t>SEDES DE INSTITUCIONES DE EDUCACION DOTADAS</t>
  </si>
  <si>
    <t>2.3.2.02.02.005.2202051.201</t>
  </si>
  <si>
    <t>SERVICIOS DE ALOJAMIENTO SERVICIOS DE SUMINISTRO DE COMIDAS Y BEBIDAS SERVICIOS DE TRANSPORTE Y SERVICIOS DE DISTRIBUCION DE ELECTRICIDAD, GAS Y AGUA</t>
  </si>
  <si>
    <t>SERVICIO DE APOYO A LA PERMANENCIA CON ALIMENTACIN ESCOLAR</t>
  </si>
  <si>
    <t>SERVICIO DE APOYO A LA PERMANENCIA CON TRANSPORTE ESCOLAR</t>
  </si>
  <si>
    <t>2.3.2.02.02.006.2201029.201</t>
  </si>
  <si>
    <t>2.3.2.02.02.006.2201071.205</t>
  </si>
  <si>
    <t>2.3.2.02.02.006.2201071.206</t>
  </si>
  <si>
    <t>SGP EDUCACION CALIDAD MATRICULA 206</t>
  </si>
  <si>
    <t>SGP EDUCACION CALIDAD DOCE DOCEAVAS VIGENCIA ACTUAL</t>
  </si>
  <si>
    <t>2.3.2.02.02.006.2201071.213</t>
  </si>
  <si>
    <t>SGP PROPOSITO GENERAL LIBRE INVERSION 213</t>
  </si>
  <si>
    <t xml:space="preserve">SGP PROPOSITO GENERAL FORZOSA INVERSION LIBRE INVERSIÓN SGP ONCE DOCEAVAS VIGENCIA ACTUAL MAS ULTIMA DOCEAVA VIGENCIA ANTERIOR
</t>
  </si>
  <si>
    <t>SERVICIO DE APOYO FINANCIERO A ENTIDADES TERRITORIALES PARA LA EJECUCION DE ESTRATEGIAS DE PERMANENCIA CON ALIMENTACION ESCOLAR</t>
  </si>
  <si>
    <t>2.3.2.02.02.006.2201079.201</t>
  </si>
  <si>
    <t>2.3.2.02.02.006.2201079.213</t>
  </si>
  <si>
    <t>2.3.2.02.02.006.2201079.214</t>
  </si>
  <si>
    <t>S.G.P. ALIMENTACION ESCOLAR 214</t>
  </si>
  <si>
    <t>SGP ALIMENTACION ESCOLAR ONCE DOCEAVAS VIGENCIA ACTUAL MAS ULTIMA DOCEAVA VIGENCIA ANTERIOR</t>
  </si>
  <si>
    <t>2.3.2.02.02.006.2201079.217</t>
  </si>
  <si>
    <t>ALIMENTACION ESCOLAR MEN LEY 450 217</t>
  </si>
  <si>
    <t xml:space="preserve">TRANSFERENCIAS PARA ALIMENTACION ESCOLAR LEY 1450 DE 2011. MEN
</t>
  </si>
  <si>
    <t>2.3.2.02.02.006.2201079.266</t>
  </si>
  <si>
    <t>RENDIMIENTOS FINANCIEROS ALIMENTACIN ESCOLAR 266</t>
  </si>
  <si>
    <t>2.3.2.02.02.007.2201071.201</t>
  </si>
  <si>
    <t>SERVICIO DE ACCESIBILIDAD A CONTENIDOS WEB PARA FINES PEDAGOGICOS</t>
  </si>
  <si>
    <t>2.3.2.02.02.008.2201050.205</t>
  </si>
  <si>
    <t>2.3.2.02.02.008.2201071.201</t>
  </si>
  <si>
    <t>2.3.2.02.02.008.2201071.213</t>
  </si>
  <si>
    <t>SERVICIO DE ASISTENCIA TECNICA</t>
  </si>
  <si>
    <t>2.3.2.02.02.008.4599031.201</t>
  </si>
  <si>
    <t>SERVICIOS DE GESTION DEL RIESGO FISICO EN ESTUDIANTES Y DOCENTES</t>
  </si>
  <si>
    <t>2.3.2.02.02.009.2201043.201</t>
  </si>
  <si>
    <t>SERVICIO DE EDUCACIN INFORMAL</t>
  </si>
  <si>
    <t>2.3.2.02.02.009.2201049.201</t>
  </si>
  <si>
    <t>2.3.2.02.02.009.2201052.206</t>
  </si>
  <si>
    <t>SERVICIO EDUCATIVO DE PROMOCION DEL BILINGUISMO PARA DOCENTES</t>
  </si>
  <si>
    <t>2.3.2.02.02.009.2201060.201</t>
  </si>
  <si>
    <t>2.3.2.02.02.009.2201060.206</t>
  </si>
  <si>
    <t>SERVICIO DE APOYO A PROYECTOS PEDAGOGICOS PRODUCTIVOS</t>
  </si>
  <si>
    <t>2.3.2.02.02.009.2201061.207</t>
  </si>
  <si>
    <t>SGP EDUCACION CALIDAD GRATUIDAD 207</t>
  </si>
  <si>
    <t>2.3.2.02.02.009.2201071.201</t>
  </si>
  <si>
    <t>2.3.2.02.02.009.2201071.205</t>
  </si>
  <si>
    <t>SERVICIO DE FORTALECIMIENTO A LAS CAPACIDADES DE LOS DOCENTES DE EDUCACION INICIAL, PREESCOLAR, BASICA Y MEDIA</t>
  </si>
  <si>
    <t>2.3.2.02.02.009.2201074.206</t>
  </si>
  <si>
    <t>SERVICIO DE APOYO PARA LA IMPLEMENTACION DE LA ESTRATEGIA EDUCATIVA DEL SISTEMA DE RESPONSABILIDAD PENAL ADOLESCENTE</t>
  </si>
  <si>
    <t>SERVICIO DE APOYO FINANCIERO PARA EL ACCESO Y PERMANENCIA A LA EDUCACION SUPERIOR O TERCIARIA</t>
  </si>
  <si>
    <t>2.3.2.02.02.009.2202009.201</t>
  </si>
  <si>
    <t>SERVICIO DE PRODUCCION DE CONTENIDOS Y AJUSTES RAZONABLES PARA PROMOVER Y GARANTIZAR EL ACCESO A LA INFORMACION Y A LA COMUNICACION PARA PERSONAS DISCAPACITADAS</t>
  </si>
  <si>
    <t>2.3.2.02.02.009.2203018.205</t>
  </si>
  <si>
    <t>2.3.2.02.02.009.2203018.277</t>
  </si>
  <si>
    <t>REINTEGROS SGP EDUCACION PRESTACION DE SERVICIOS 277</t>
  </si>
  <si>
    <t>SGP EDUCACIÓN PRESTACIÓN DEL SERVICIO DOCE DOCEAVAS VIGENCIA ACTUAL</t>
  </si>
  <si>
    <t>2.3.2.02.02.009.4599031.201</t>
  </si>
  <si>
    <t>2.3.2.02.02.009.4599031.283</t>
  </si>
  <si>
    <t>FONDO PARA EL TRABAJO Y DESARROLLO HUMANO 283</t>
  </si>
  <si>
    <t>INGRESOS CORRIENTES CON DESTINACION ESPECIFICA - RECURSOS PROPIOS</t>
  </si>
  <si>
    <t>FONDO EDUCATIVO MUNICIPAL</t>
  </si>
  <si>
    <t>2.3.2.02.02.009.2202009.224</t>
  </si>
  <si>
    <t>RECURSOS DE BALANCE FONDO EDUCATIVO 224</t>
  </si>
  <si>
    <t xml:space="preserve">OTROS APORTES O TRANSFERENCIAS MUNICIPALES
</t>
  </si>
  <si>
    <t>2.3.2.02.02.009.2202009.290</t>
  </si>
  <si>
    <t>RECURSOS PROPIOS 1% DE INDUSTRIA Y COMERCIO 290</t>
  </si>
  <si>
    <t>TOTAL SECRETARIA DE EDUCACION</t>
  </si>
  <si>
    <t>SECRETARIA DE INFRAESTRUCTURA</t>
  </si>
  <si>
    <t>OTROS BIENES TRASPORTABLES (excepto productos metálicos, maquinaria y equipo)</t>
  </si>
  <si>
    <t>2.3.2.02.01.003.4599016.226</t>
  </si>
  <si>
    <t>IMPUESTO DE ALUMBRADO PUBLICO 226</t>
  </si>
  <si>
    <t>PRODUCTOS ALIMENTICIOS ,BEBIDAS Y TABACOTEXTILES,PRENDAS DE VESTIR Y PRODUCTOS DE CUERO</t>
  </si>
  <si>
    <t>2.3.2.02.01.002.4599016.226</t>
  </si>
  <si>
    <t>2.3.2.02.01.004.4599016.226</t>
  </si>
  <si>
    <t>PLAZAS DE MERCADO MANTENIDA</t>
  </si>
  <si>
    <t>2.3.2.02.02.005.1709112.201</t>
  </si>
  <si>
    <t>PLACA HUELLA CONSTRUIDA</t>
  </si>
  <si>
    <t>2.3.2.02.02.005.2402042.201</t>
  </si>
  <si>
    <t>VIA URBANA CONSTRUIDA</t>
  </si>
  <si>
    <t>2.3.2.02.02.005.2402113.230</t>
  </si>
  <si>
    <t>CONTRIBUCION DE VALORIZACION 230</t>
  </si>
  <si>
    <t>2.3.2.02.02.005.2402113.255</t>
  </si>
  <si>
    <t>RENDIMIENTO FINANCIEROS VALORIZACION 255</t>
  </si>
  <si>
    <t>2.3.2.02.02.005.2402113.273</t>
  </si>
  <si>
    <t>RECURSOS DEL CREDITO 273</t>
  </si>
  <si>
    <t>CREDITO INTERNO Y EXTERNO</t>
  </si>
  <si>
    <t>VIA URBANA MEJORADA</t>
  </si>
  <si>
    <t>2.3.2.02.02.005.2402114.201</t>
  </si>
  <si>
    <t>2.3.2.02.02.005.2402114.273</t>
  </si>
  <si>
    <t>RECURSOS DE CREDITO 273</t>
  </si>
  <si>
    <t>ANDEN DE LA RED URBANA REHABILITADO</t>
  </si>
  <si>
    <t>2.3.2.02.02.005.2402127.201</t>
  </si>
  <si>
    <t>2.3.2.02.02.005.2402127.232</t>
  </si>
  <si>
    <t>RECURSO PAGO COMPENSADO POR CUPO DE PARQUEO 232</t>
  </si>
  <si>
    <t>ESPACIOS DEDICADOS A LA INTERMODALIDAD</t>
  </si>
  <si>
    <t>2.3.2.02.02.008.2408004.273</t>
  </si>
  <si>
    <t>TEATROS ADECUADOS</t>
  </si>
  <si>
    <t>2.3.2.02.02.005.3301038.201</t>
  </si>
  <si>
    <t>CENTROS CULTURALES 273</t>
  </si>
  <si>
    <t>2.3.2.02.02.005.3301093.273</t>
  </si>
  <si>
    <t>ACUEDUCTOS OPTIMIZADOS</t>
  </si>
  <si>
    <t>2.3.2.02.02.005.4003017.201</t>
  </si>
  <si>
    <t>ALCANTARILLADOS OPTIMIZADOS</t>
  </si>
  <si>
    <t>2.3.2.02.02.005.4003020.273</t>
  </si>
  <si>
    <t>UNIDADES SANITARIAS CON SANEAMIENTO BSICO CONSTRUIDAS</t>
  </si>
  <si>
    <t>2.3.2.02.02.005.4003044.201</t>
  </si>
  <si>
    <t>CENTROS COMUNITARIOS ADECUADOS</t>
  </si>
  <si>
    <t>2.3.2.02.02.005.4103027.273</t>
  </si>
  <si>
    <t>CENTROS DE PROTECCION SOCIAL PARA EL ADULTO MAYOR ADECUADOS</t>
  </si>
  <si>
    <t>2.3.2.02.02.005.4104002.201</t>
  </si>
  <si>
    <t>2.3.2.02.02.005.4104002.267</t>
  </si>
  <si>
    <t>RENDIMIENTOS FINANCIEROS (PROPOSITOS GENERALES)SGP 267</t>
  </si>
  <si>
    <t>SERVICIO DE MANTENIMIENTO A LA INFRAESTRUCTURA DEPORTIVA</t>
  </si>
  <si>
    <t>2.3.2.02.02.005.4301004.201</t>
  </si>
  <si>
    <t>SALON COMUNAL CONSTRUIDO Y DOTADO</t>
  </si>
  <si>
    <t>2.3.2.02.02.005.4502002.201</t>
  </si>
  <si>
    <t>SALON COMUNAL ADECUADO</t>
  </si>
  <si>
    <t>2.3.2.02.02.0054502003.201</t>
  </si>
  <si>
    <t>SEDES MANTENIDAS</t>
  </si>
  <si>
    <t>2.3.2.02.02.006.4599016.226</t>
  </si>
  <si>
    <t>2.3.2.02.02.006.4599016.253</t>
  </si>
  <si>
    <t>RENDIMIENTOS FINANCIEROS ALUMBRADO PUBLICO 253</t>
  </si>
  <si>
    <t>2.3.2.02.02.007.4599016.253</t>
  </si>
  <si>
    <t>SERVICIOS DE ASISTENCIA TECNICA EN INFRAESTRUCTURA</t>
  </si>
  <si>
    <t>2.3.2.02.02.008.2402107.201</t>
  </si>
  <si>
    <t>ESTUDIOS DE PREINVERSION PARA LA RED VIAL REGIONAL</t>
  </si>
  <si>
    <t>2.3.2.02.02.008.2402118.201</t>
  </si>
  <si>
    <t>SERVICIO DE ASISTENCIA TCNICA EN EL ESPACIO PUBLICO</t>
  </si>
  <si>
    <t>2.3.2.02.02.008.4002004.201</t>
  </si>
  <si>
    <t>ZONAS VERDES MANTENIDAS</t>
  </si>
  <si>
    <t>2.3.2.02.02.008.4002026.201</t>
  </si>
  <si>
    <t>2.3.2.02.02.008.4502002.201</t>
  </si>
  <si>
    <t>2.3.2.02.02.008.4599016.226</t>
  </si>
  <si>
    <t>2.3.2.02.02.008.4599016.253</t>
  </si>
  <si>
    <t>2.3.2.02.02.008.4599031.226</t>
  </si>
  <si>
    <t>REDES DE ALUMBRADO PBLICO AMPLIADAS</t>
  </si>
  <si>
    <t>2.3.2.02.02.009.2102010.226</t>
  </si>
  <si>
    <t>REDES DE ALUMBRADO PBLICO MEJORADAS</t>
  </si>
  <si>
    <t>2.3.2.02.02.009.2102013.226</t>
  </si>
  <si>
    <t>SERVICIO INFORMACIN IMPLEMENTADO</t>
  </si>
  <si>
    <t>2.3.2.02.02.009.4501007.226</t>
  </si>
  <si>
    <t>2.3.2.02.02.009.4501007.253</t>
  </si>
  <si>
    <t>FONDO DE SOLIDARIDAD Y REDISTRIBUCION SOCIAL DE INGRESO</t>
  </si>
  <si>
    <t>SERVICIO DE APOYO FINANCIERO PARA SUBSIDIOS AL CONSUMO EN LOS SERVICIOS PUBLICOS DOMICILIARIOS</t>
  </si>
  <si>
    <t>2.3.2.02.02.009.4003047.201</t>
  </si>
  <si>
    <t>2.3.2.02.02.009.4003047.215</t>
  </si>
  <si>
    <t>SGP AGUA POTABLE Y SANEAMIENTO BASICO 215</t>
  </si>
  <si>
    <t xml:space="preserve">SGP AGUA POTABLE Y SANEAMIENTO BASICO - ONCE DOCEAVAS VIGENCIA ACTUAL MAS ULTIMA DOCEAVA VIGENCIA ANTERIOR
</t>
  </si>
  <si>
    <t>2.3.2.02.02.009.4003047.228</t>
  </si>
  <si>
    <t>FONDO SOLIDARIDAD Y REDISTRIBUCION DEL INGRESO 228</t>
  </si>
  <si>
    <t>2.3.2.02.02.009.4003047.260</t>
  </si>
  <si>
    <t>RENDIMIENTOS FINANCIEROS MUNICIPIO BUCARAMANGA FONDO SOLIDARIDAD Y REDISTRIBUCION DEL INGRESO 260</t>
  </si>
  <si>
    <t>2.3.2.02.02.009.4003047.268</t>
  </si>
  <si>
    <t>RENDIMIENTOS FINANCIEROS ( AGUA POTABLE Y SANEAMIENTO BASICO)SGP 268</t>
  </si>
  <si>
    <t>FONDO PARA EL ESPACIO PUBLICO</t>
  </si>
  <si>
    <t>2.3.2.02.02.005.2402127.233</t>
  </si>
  <si>
    <t>COBROS POR ESTACIONAMIENTO EN ESPACIO PUBLICO O EN LOTES DE PARQUEO 233</t>
  </si>
  <si>
    <t>2.3.2.02.02.005.2402127.282</t>
  </si>
  <si>
    <t>RECURSOS PAGO COMPENSATORIO DE LOS DEBERES URBANISTICOS 282</t>
  </si>
  <si>
    <t>TOTAL SECRETARIA DE INFRAESTRUCTURA</t>
  </si>
  <si>
    <t>SECRETARIA DE DESARROLLO SOCIAL</t>
  </si>
  <si>
    <t>AGRICULTURA, SILVICULTURA Y PRODUCTOS DE LA PESCA</t>
  </si>
  <si>
    <t>SERVICIO DE ASISTENCIA TECNICA AGROPECUARIA DIRIGIDA A PEQUEÑOS PRODUCTORES</t>
  </si>
  <si>
    <t>2.3.2.02.01.000.1702010.201</t>
  </si>
  <si>
    <t>SERVICIOS DE VACUNACION PARA ESPECIES ANIMALES DE INTERES AGROPECUARIO</t>
  </si>
  <si>
    <t>2.3.2.02.01.000.1707042.201</t>
  </si>
  <si>
    <t>SERVICIO DE ATENCION Y PROTECCION INTEGRAL AL ADULTO MAYOR</t>
  </si>
  <si>
    <t>2.3.2.02.01.002.4104008.201</t>
  </si>
  <si>
    <t>2.3.2.02.01.002.4104008.220</t>
  </si>
  <si>
    <t>ESTAMPILLA PARA EL BIENESTAR DEL ADULTO MAYOR 220</t>
  </si>
  <si>
    <t>2.3.2.02.01.002.4104008.288</t>
  </si>
  <si>
    <t>ESTAMPILLA PARA EL BIENESTAR DEL ADULTO MAYOR DEPARTAMENTAL 288</t>
  </si>
  <si>
    <t>2.3.2.02.02.009.1702010.201</t>
  </si>
  <si>
    <t>SERVICIO DE PROMOCION DE ACTIVIDADES CULTURALES</t>
  </si>
  <si>
    <t>2.3.2.02.02.009.3301053.201</t>
  </si>
  <si>
    <t>SERVICIO DE ATENCION Y PREVENCION A LA DESNUTRICION DESDE EL SECTOR INCLUSION SOCIAL</t>
  </si>
  <si>
    <t>2.3.2.02.02.009.4102016.201</t>
  </si>
  <si>
    <t>SERVICIO DE ASISTENCIA TECNICA PARA LA IMPLEMENTACION DE ESTRATEGIAS DE PREVENCION DEL EMBARAZO EN LA ADOLESCENCIA</t>
  </si>
  <si>
    <t>2.3.2.02.02.009.4102021.201</t>
  </si>
  <si>
    <t>SERVICIO DIRIGIDOS A LA ATENCION DE NIÑOS, NIÑAS, ADOLESCENTES Y JOVENES, CON ENFOQUE PEDAGOGICO Y RESTAURATIVO ENCAMINADOS A LA INCLUSIN SOCIAL</t>
  </si>
  <si>
    <t>2.3.2.02.02.009.4102038.201</t>
  </si>
  <si>
    <t>SERVICIO DE PROMOCION DE TEMAS DE DINAMICA RELACIONAL Y DESARROLLO AUTONOMO</t>
  </si>
  <si>
    <t>2.3.2.02.02.009.4102043.201</t>
  </si>
  <si>
    <t>2.3.2.02.02.009.4102043.213</t>
  </si>
  <si>
    <t>SERVICIO DE ACOMPAÑAMIENTO FAMILIAR Y COMUNITARIO PARA LA SUPERACION DE LA POBREZA</t>
  </si>
  <si>
    <t>2.3.2.02.02.009.4103050.201</t>
  </si>
  <si>
    <t>2.3.2.02.02.009.4104008.201</t>
  </si>
  <si>
    <t>2.3.2.02.02.009.4104008.220</t>
  </si>
  <si>
    <t>2.3.2.02.02.009.4104008.258</t>
  </si>
  <si>
    <t>RENDIMIENTOS FINANCIEROS MUNICIPIO BUCARAMANGA ESTAMPILLAS MUNICIPAL PARA EL BIENESTAR DEL ADULTO MAYOR 258</t>
  </si>
  <si>
    <t>2.3.2.02.02.009.4104008.288</t>
  </si>
  <si>
    <t>SERVICIO DE ATENCION INTEGRAL A POBLACION EN CONDICIN DE DISCAPACIDAD</t>
  </si>
  <si>
    <t>2.3.2.02.02.009.4104020.201</t>
  </si>
  <si>
    <t>2.3.2.02.02.009.4104020.213</t>
  </si>
  <si>
    <t>SERVICIO DE ATENCION INTEGRAL AL HABITANTE DE LA CALLE</t>
  </si>
  <si>
    <t>2.3.2.02.02.009.4104027.201</t>
  </si>
  <si>
    <t>2.3.2.02.02.009.4104027.213</t>
  </si>
  <si>
    <t>SERVICIO DE PROMOCION A LA PARTICIPACION CIUDADANA</t>
  </si>
  <si>
    <t>2.3.2.02.02.009.4502001.201</t>
  </si>
  <si>
    <t>SERVICIO DE PROMOCION DE LA GARANTA DE DERECHOS</t>
  </si>
  <si>
    <t>2.3.2.02.02.009.4502038.201</t>
  </si>
  <si>
    <t>ESTUDIOS DE PREINVERSION</t>
  </si>
  <si>
    <t>2.3.2.02.02.009.4599006.201</t>
  </si>
  <si>
    <t>TOTAL SECRETARIA DE DESARROLLO SOCIAL</t>
  </si>
  <si>
    <t>SECRETARIA DEL INTERIOR</t>
  </si>
  <si>
    <t>ADQUISICION DE ACTIVOS NO FINANCIEROS</t>
  </si>
  <si>
    <t>ACTIVOS FIJOS</t>
  </si>
  <si>
    <t>MAQUINARIA Y EQUIPO</t>
  </si>
  <si>
    <t>MAQUINARIA PARA USO GENERAL</t>
  </si>
  <si>
    <t>MAQUINAS PARA OFICINA Y CONTABILIDAD, Y SUS PARTES Y ACCESORIOS</t>
  </si>
  <si>
    <t>MAQUINARIA DE INFORMATICA Y SUS PARTES, PIEZAS Y ACCESORIOS</t>
  </si>
  <si>
    <t>2.3.2.01.01.003.03.02.1206007.201</t>
  </si>
  <si>
    <t>SERVICIOS DE IMPLEMENTACION DE MEDIDAS DE SATISFACCION Y ACOMPAÑAMIENTO A LAS VCTIMAS DEL CONFLICTO ARMADO</t>
  </si>
  <si>
    <t>2.3.2.01.01.003.03.02.4101031.201</t>
  </si>
  <si>
    <t>SERVICIO DE BIENESTAR A LA POBLACIN PRIVADA DE LIBERTAD</t>
  </si>
  <si>
    <t>2.3.2.02.01.003.1206007.201</t>
  </si>
  <si>
    <t>SERVICIO DE APOYO FINANCIERO EN OPERACIONES URBANAS ESPECIALES</t>
  </si>
  <si>
    <t>2.3.2.02.02.006.4002014.201</t>
  </si>
  <si>
    <t>SERVICIO DE PROTECCION PARA EL RESTABLECIMIENTO DE DERECHOS DE NIÑOS, NIÑAS, ADOLESCENTES Y JOVENES</t>
  </si>
  <si>
    <t>2.3.2.02.02.006.4102037.201</t>
  </si>
  <si>
    <t>SERVICIOS DE PROMOCIN DE LOS DERECHOS DE LOS NIÑOS, NIÑAS, ADOLESCENTES Y JOVENES</t>
  </si>
  <si>
    <t>2.3.2.02.02.006.4102046.201</t>
  </si>
  <si>
    <t>SERVICIO DE JUSTICIA A LOS CIUDADANOS</t>
  </si>
  <si>
    <t>2.3.2.02.02.008.1202002.201</t>
  </si>
  <si>
    <t>SERVICIO DE INFORMACION PARA EL APOYO A LA GESTIN DE OPERADORES DE JUSTICIA IMPLEMENTADO</t>
  </si>
  <si>
    <t>2.3.2.02.02.008.1202034.201</t>
  </si>
  <si>
    <t>2.3.2.02.02.008.1206007.201</t>
  </si>
  <si>
    <t>SERVICIO DE APOYO FINANCIERO EN PLANES DE DESARROLLO URBANO Y ORDENAMIENTO TERRITORIAL</t>
  </si>
  <si>
    <t>2.3.2.02.02.008.4002012.201</t>
  </si>
  <si>
    <t>SERVICIOS DE APOYO FINANCIERO A LA EJECUCION DE PROGRAMAS Y PROYECTOS DE DESARROLLO URBANO Y TERRITORIAL</t>
  </si>
  <si>
    <t>2.3.2.02.02.008.4002017.201</t>
  </si>
  <si>
    <t>PLAZAS MANTENIDAS</t>
  </si>
  <si>
    <t>2.3.2.02.02.008.4002031.201</t>
  </si>
  <si>
    <t>OTRAS MQUINAS PARA USOS GENERALES Y SUS PARTES Y PIEZAS</t>
  </si>
  <si>
    <t>2.3.2.01.01.003.01.06.4101018.201</t>
  </si>
  <si>
    <t>2.3.2.02.02.008.4101023.201</t>
  </si>
  <si>
    <t>SERVICIOS PRESTADOS A LAS EMPRESAS Y SERVICIOS DE PRODUCCION 201</t>
  </si>
  <si>
    <t>SERVICIOS DE APOYO FINANCIERO A LA EJECUCIN DE PROGRAMAS Y PROYECTOS DE DESARROLLO URBANO Y TERRITORIAL</t>
  </si>
  <si>
    <t>2.3.2.02.02.008.4502017.201</t>
  </si>
  <si>
    <t>SERVICIO DE APOYO FINANCIERO PARA LA IMPLEMENTACIN DE PROYECTOS EN MATERIA DE DERECHOS HUMANOS</t>
  </si>
  <si>
    <t>2.3.2.02.02.008.4502021.201</t>
  </si>
  <si>
    <t>2.3.2.02.02.008.4502022.201</t>
  </si>
  <si>
    <t>SERVICIOS DE IMPLEMENTACIONDE MEDIDAS DE SATISFACCION Y ACOMPAÑAMIENTO A LAS VICTIMAS DEL CONFLICTO ARMADO</t>
  </si>
  <si>
    <t>2.3.2.02.02.009.4101031.201</t>
  </si>
  <si>
    <t>FONDO CUENTA TERRITORIAL DE SEGURIDAD Y CONVIVENCIA CIUDADANA DEL MUNICIPIO DE BUCARAMANGA LEY 418 DE 1997</t>
  </si>
  <si>
    <t>INVERSION FONDO</t>
  </si>
  <si>
    <t>MAQUINARIA DE OFICINA, CONTABILIDAD E INFORMATICA</t>
  </si>
  <si>
    <t>SERVICIO DE APOYO FINANCIERO PARA LA JUSTICIA Y SEGURIDAD</t>
  </si>
  <si>
    <t>2.3.2.01.01.003.03.02.4501056.204</t>
  </si>
  <si>
    <t>CONTRIBUCION 5% CONTRATOS OBRA PUBLICA 204</t>
  </si>
  <si>
    <t xml:space="preserve">CONTRIBUCIÓN SOBRE CONTRATOS DE OBRAS PÚBLICAS
</t>
  </si>
  <si>
    <t>EQUIPO DE TRANSPORTE</t>
  </si>
  <si>
    <t>VEHICULOS AUTOMOTORES, REMOLQUES Y SEMIRREMOLQUES Y SUS PARTES, PIEZAS Y ACCESORIOS</t>
  </si>
  <si>
    <t>2.3.2.01.01.003.07.01.4501056.204</t>
  </si>
  <si>
    <t>OTRO EQUIPO DE TRANSPORTE, Y SUS PARTES Y PIEZAS</t>
  </si>
  <si>
    <t>MOTOCICLETAS Y SIDECARES (VEHICULOS LATERALES A LAS MOTOCICLETAS)</t>
  </si>
  <si>
    <t>2.3.2.01.01.003.07.07.01.4501056.204</t>
  </si>
  <si>
    <t>ACTIVOS FIJOS NO CLASIFICADOS COMO MAQUINARIA Y EQUIPO</t>
  </si>
  <si>
    <t>MUEBLES, INSTRUMENTOS MUSICALES, ARTICULOS DE DEPORTE Y ANTIGUEDADES</t>
  </si>
  <si>
    <t>MUEBLES</t>
  </si>
  <si>
    <t>MUEBLES DEL TIPO UTILIZADO EN LA OFICINA</t>
  </si>
  <si>
    <t>2.3.2.01.01.004.01.01.02.4501056.204</t>
  </si>
  <si>
    <t>OTROS ACTIVOS FIJOS</t>
  </si>
  <si>
    <t>PRODUCTOS DE LA PROPIEDAD INTELECTUAL</t>
  </si>
  <si>
    <t>PROGRAMAS DE INFORMATICA Y BASES DE DATOS</t>
  </si>
  <si>
    <t>PROGRAMAS DE INFORMATICA</t>
  </si>
  <si>
    <t>PAQUETES DE SOFTWARE</t>
  </si>
  <si>
    <t>2.3.2.01.01.005.02.03.01.01.4501056.204</t>
  </si>
  <si>
    <t>OTROS BIENES TRANSPORTABLES (EXCEPTO PRODUCTOS METALICOS, MAQUINARIA Y EQUIPO)</t>
  </si>
  <si>
    <t>SERVICIO DE DOTACION DE MUNICION DE GUERRA</t>
  </si>
  <si>
    <t>2.3.2.02.01.003.4501056.204</t>
  </si>
  <si>
    <t>2.3.2.02.01.003.4501056.236</t>
  </si>
  <si>
    <t>MULTAS AL CODIGO NACIONAL DE POLICIA Y CONVIVENCIA MULTAS GENERALES 236</t>
  </si>
  <si>
    <t xml:space="preserve">INGRESOS  POR RECAUDO DE MULTAS GENERALES Y ESPECIALES ART. 2.2.8.4.1 DECRETO 1284 DE 2017 (45%)
</t>
  </si>
  <si>
    <t>SERVICIO DE PROMOCION DE CONVIVENCIA Y NO REPETICION</t>
  </si>
  <si>
    <t>2.3.2.02.02.008.4501004.204</t>
  </si>
  <si>
    <t>2.3.2.02.02.008.4501056.204</t>
  </si>
  <si>
    <t>2.3.2.02.02.008.4501056.236</t>
  </si>
  <si>
    <t>MULTAS CODIGO NACIONAL DE POLICA Y CONVIVENCIA MULTAS GENERALES 236</t>
  </si>
  <si>
    <t>2.3.2.02.02.008.4501056.237</t>
  </si>
  <si>
    <t>MULTAS CODIGO NACIONAL DE POLICA Y CONVIVENCIA MULTAS ESPECIALES 237</t>
  </si>
  <si>
    <t xml:space="preserve">INGRESOS POR RECAUDO DE  MULTAS GENERALES Y ESPECIALES ART. 2.2.8.4.1 DECRETO 1284 DE 2017 (40%)
</t>
  </si>
  <si>
    <t>2.3.2.02.02.009.4501056.204</t>
  </si>
  <si>
    <t>2.3.2.02.02.009.4501056.264</t>
  </si>
  <si>
    <t>RENDIMIENTOS FINANCIEROS MUNICIPIO BUCARAMANGA FONDO CUENTA DE SEGURIDAD Y CONVIVENCIA CIUDADANA LEY 418 264</t>
  </si>
  <si>
    <t>FONDO DE VIGILANCIA Y SEGURIDAD CIUDADANA</t>
  </si>
  <si>
    <t>SERVICIO DE VIGILANCIA A TRAVES DE AERONAVES REMOTAMENTE TRIPULADAS</t>
  </si>
  <si>
    <t>2.3.2.02.01.003.4501030.201</t>
  </si>
  <si>
    <t>2.3.2.02.02.006.4501056.201</t>
  </si>
  <si>
    <t>2.3.2.02.02.008.4501056.201</t>
  </si>
  <si>
    <t>2.3.2.02.02.008.4501056.261</t>
  </si>
  <si>
    <t>RENDIMIENTOS FINANCIEROS MUNICIPIO BUCARAMANGA FONDO VIGILANCIA 261</t>
  </si>
  <si>
    <t>FONDO DE PROTECCION AL CONSUMIDOR</t>
  </si>
  <si>
    <t>2.3.2.02.02.008.1202002.262</t>
  </si>
  <si>
    <t>FONDO DE GESTION DEL RIESGO DE DESASTRES EN EL MUNICIPIO DE BUCARAMANGA</t>
  </si>
  <si>
    <t>ADQUISICIN DE ACTIVOS NO FINANCIEROS</t>
  </si>
  <si>
    <t>SERVICIO DE ATENCIN A EMERGENCIAS Y DESASTRES</t>
  </si>
  <si>
    <t>2.3.2.01.01.005.02.03.01.01.4503004.201</t>
  </si>
  <si>
    <t>SERVICIO DE ATENCION A EMERGENCIAS Y DESASTRES</t>
  </si>
  <si>
    <t>A.2.3.1</t>
  </si>
  <si>
    <t>PRESTACION DE SERVICIOS DE SALUD PARA LA POBLACIN POBRE NO ASEGURADA</t>
  </si>
  <si>
    <t>2.3.2.02.01.002.4503004.201</t>
  </si>
  <si>
    <t>2.3.2.02.01.003.4503004.201</t>
  </si>
  <si>
    <t>2.3.2.02.02.008.4503004.201</t>
  </si>
  <si>
    <t>2.3.2.02.02.009.4503004.201</t>
  </si>
  <si>
    <t>TOTAL SECRETARIA DEL INTERIOR</t>
  </si>
  <si>
    <t>SECRETARIA DE PLANEACION</t>
  </si>
  <si>
    <t>GASTOS DE INVERSION</t>
  </si>
  <si>
    <t>2.3.2.02.01.004.0401102.201</t>
  </si>
  <si>
    <t>SERVICIOS DE ASISTENCIA TECNICA EN PLANIFICACION URBANA Y ORDENAMIENTO TERRITORIAL</t>
  </si>
  <si>
    <t>2.3.2.02.01.004.4002001.1.47829.201</t>
  </si>
  <si>
    <t>2.3.2.02.02.008.0401102.201</t>
  </si>
  <si>
    <t>2.3.2.02.02.008.4002001.201</t>
  </si>
  <si>
    <t>SERVICIO DE ASISTENCIA TECNICA EN MEJORAMIENTO INTEGRAL DE BARRIOS</t>
  </si>
  <si>
    <t>2.3.2.02.02.008.4002002.201</t>
  </si>
  <si>
    <t>SERVICIO DE PROMOCION A LA PARTICIPACIN CIUDADANA</t>
  </si>
  <si>
    <t>2.3.2.02.02.008.4502001.201</t>
  </si>
  <si>
    <t>2.3.2.02.02.008.4599031.231</t>
  </si>
  <si>
    <t>CONCURSO ECONOMICO ESTRATIFICACION 231</t>
  </si>
  <si>
    <t>2.3.2.02.02.008.4599031.263</t>
  </si>
  <si>
    <t>RENDIMIENTOS FINANCIEROS MUNICIPIO BUCARAMANGA ESTRATIFICION SOCIOECONOMICA 263</t>
  </si>
  <si>
    <t>SERVICIO DE INFORMACION PARA EL REGISTRO ADMINISTRATIVO DE SISBEN</t>
  </si>
  <si>
    <t>2.3.2.02.02.008.4599033.201</t>
  </si>
  <si>
    <t>TOTAL SECRETARIA DE PLANEACION</t>
  </si>
  <si>
    <t>SECRETARIA DE HACIENDA</t>
  </si>
  <si>
    <t>SERVICIO DE APOYO FINANCIERO PARA LA IMPLEMENTACION DE SISTEMAS DE TRANSPORTE PUBLICO DE PASAJEROS</t>
  </si>
  <si>
    <t>2.3.2.02.02.006.2408022.201</t>
  </si>
  <si>
    <t>SERVICIO DE ASISTENCIA TECNICA PARA LA IMPLEMENTACION DE LA ESTRATEGIA DE GOBIERNO DIGITAL</t>
  </si>
  <si>
    <t>2.3.2.02.02.007.2302024.201</t>
  </si>
  <si>
    <t>SERVICIO DE APOYO PARA LA MODERNIZACION Y FOMENTO DE LA INNOVACION EMPRESARIAL</t>
  </si>
  <si>
    <t>2.3.2.02.02.007.3502012.201</t>
  </si>
  <si>
    <t>SERVICIO DE ASISTENCIA TECNICA Y ACOMPAÑAMIENTO PRODUCTIVO Y EMPRESARIAL</t>
  </si>
  <si>
    <t>2.3.2.02.02.008.3502019.201</t>
  </si>
  <si>
    <t>TOTAL SECRETARIA DE HACIENDA</t>
  </si>
  <si>
    <t>SECRETARIA DE SALUD Y AMBIENTE</t>
  </si>
  <si>
    <t>SERVICIO DE VIGILANCIA DE LA CALIDAD DEL AIRE</t>
  </si>
  <si>
    <t>2.3.2.02.02.009.3201008.201</t>
  </si>
  <si>
    <t>SERVICIO DE SEGUIMIENTO Y EVALUACIN DE LOS PROGRAMAS DE RECOLECCIN DE RESIDUOS POS CONSUMO</t>
  </si>
  <si>
    <t>2.3.2.02.02.009.3201009.2.83931.201</t>
  </si>
  <si>
    <t>DOCUMENTOS DE PLANEACION PARA LA CONSERVACION DE LA BIODIVERSIDAD Y SUS SERVICIOS ECO SISTEMICOS</t>
  </si>
  <si>
    <t>2.3.2.02.02.009.3202002.201</t>
  </si>
  <si>
    <t>SERVICIOS DE RESTAURACIN DE ECOSISTEMAS</t>
  </si>
  <si>
    <t>2.3.2.02.02.009.3202005.201</t>
  </si>
  <si>
    <t>SERVICIO DE REFORESTACIN DE ECOSISTEMAS</t>
  </si>
  <si>
    <t>2.3.2.02.02.009.3202006.201</t>
  </si>
  <si>
    <t>DOCUMENTOS DE POLITICA PARA LA GESTION INTEGRAL DEL RECURSO HIDRICO</t>
  </si>
  <si>
    <t>2.3.2.02.02.009.3203003.201</t>
  </si>
  <si>
    <t>DOCUMENTOS DE ESTUDIO TCNICO PARA LA PLANIFICACIN SECTORIAL Y LA GESTIN AMBIENTAL</t>
  </si>
  <si>
    <t>2.3.2.02.02.009.3204046.201</t>
  </si>
  <si>
    <t>SERVICIO DE EDUCACION INFORMAL AMBIENTAL</t>
  </si>
  <si>
    <t>2.3.2.02.02.009.3208010.201</t>
  </si>
  <si>
    <t>FONDO ROTATORIO AMBIENTAL</t>
  </si>
  <si>
    <t>2.3.2.02.02.009.3208010.218</t>
  </si>
  <si>
    <t>RECURSOS DEL SECTOR ELECTRICO 218</t>
  </si>
  <si>
    <t>RECURSOS DEL SECTOR ELECTRICO</t>
  </si>
  <si>
    <t>2.3.2.02.02.009.3208010.280</t>
  </si>
  <si>
    <t>ACUERDO 102 DE 1996 FONDO ROTATORIO AMBIENTAL 280</t>
  </si>
  <si>
    <t>TOTAL SECRETARIA DE SALUD Y AMBIENTE</t>
  </si>
  <si>
    <t>INDERBU</t>
  </si>
  <si>
    <t>SERVICIO DE APOYO FINANCIERO A ORGANISMOS DEPORTIVOS</t>
  </si>
  <si>
    <t>2.3.3.05.01.999.03.4301034.201</t>
  </si>
  <si>
    <t>2.3.3.05.01.999.03.4301034.211</t>
  </si>
  <si>
    <t>SGP DEPORTE Y RECREACION 211</t>
  </si>
  <si>
    <t xml:space="preserve">SGP PROPOSITO GENERAL FORZOSA INVERSION DEPORTE SGP ONCE DOCEAVAS VIGENCIA ACTUAL MAS ULTIMA DOCEAVA VIGENCIA ANTERIOR
</t>
  </si>
  <si>
    <t>2.3.3.05.01.999.03.4301034.213</t>
  </si>
  <si>
    <t>SGP PROPOSITO GENERAL. LIBRE INVERSION 213</t>
  </si>
  <si>
    <t>2.3.3.05.01.999.03.4301034.225</t>
  </si>
  <si>
    <t>IMPUESTO ESPECTACULOS PUBLICOS NACIONAL CON DESTINO AL DEPORTE 225</t>
  </si>
  <si>
    <t>TOTAL INDERBU</t>
  </si>
  <si>
    <t>INSTITUTO MUNICIPAL DE CULTURA Y TURISMO</t>
  </si>
  <si>
    <t>OTRAS TRANSFERENCIASDISTRIBUCION PREVIO CONCEPTO DGPPN</t>
  </si>
  <si>
    <t>SERVICIO DE APOYO FINANCIERO AL SECTOR ARTIISTICO Y CULTURAL</t>
  </si>
  <si>
    <t>2.3.3.05.01.999.02.3301054.201</t>
  </si>
  <si>
    <t>2.3.3.05.01.999.02.3301054.212</t>
  </si>
  <si>
    <t>SGP CULTURA 212</t>
  </si>
  <si>
    <t xml:space="preserve">SGP PROPOSITO GENERAL FORZOSA INVERSION CULTURA SGP ONCE DOCEAVAS VIGENCIA ACTUAL MAS ULTIMA DOCEAVA VIGENCIA ANTERIOR
</t>
  </si>
  <si>
    <t>2.3.3.05.01.999.02.3301054.219</t>
  </si>
  <si>
    <t>2.3.3.05.01.999.02.3301054.244</t>
  </si>
  <si>
    <t>PARTICIPACION DE LA CONTRIBUCION PARAFISCAL CULTURAL 244</t>
  </si>
  <si>
    <t>2.3.3.05.01.999.02.3301054.259</t>
  </si>
  <si>
    <t>RENDIMIENTOS FINANCIEROS ESTAMPILLA PROCULTURA 259</t>
  </si>
  <si>
    <t>TOTAL INSTITUTO MUNICIPAL DE CULTURA Y TURISO</t>
  </si>
  <si>
    <t>TOTAL INFORME INSTITUTO MUNICIPAL DE CULTURA</t>
  </si>
  <si>
    <t>A ORGANOS PGN</t>
  </si>
  <si>
    <t>SERVICIO DE APOYO A AL EJECUCION DE LA POLITICA DE VIVIENDA</t>
  </si>
  <si>
    <t>2.3.3.05.01.999.04.4001037.201</t>
  </si>
  <si>
    <t>2.3.3.05.01.999.04.4001038.221</t>
  </si>
  <si>
    <t>IMPTO. TRANSPORTE OLEODUCTOS Y GASODUCTOS 221</t>
  </si>
  <si>
    <t>IMPUESTO DE TRANSPORTE POR OLEODUCTOS  Y GASODUCTOS</t>
  </si>
  <si>
    <t>TOTAL INVISBU</t>
  </si>
  <si>
    <t>TOTAL INFORME INVISBU</t>
  </si>
  <si>
    <t>SECRETARIA JURIDICA</t>
  </si>
  <si>
    <t>ADQUISICIN DE SERVICIOS</t>
  </si>
  <si>
    <t>SERVICIO DE ASISTENCIA TCNICA A LAS ENTIDADES EN MATERIA DE DEFENSA JURDICA, GERENCIA JURDICA PUBLICA, SOLUCIN AMISTOSA DE CONFLICTOS Y O PREVENCIN DEL DAÑO ANTIJURDICO</t>
  </si>
  <si>
    <t>2.3.2.02.02.008.1205001.201</t>
  </si>
  <si>
    <t>SERVICIO DE ASISTENCIA TCNICA</t>
  </si>
  <si>
    <t>2.3.2.02.02.008.4501001.201</t>
  </si>
  <si>
    <t>TOTAL SECRETARIA JURIDICA</t>
  </si>
  <si>
    <t>TOTAL INFORME SECRETARIA JURIDICA</t>
  </si>
  <si>
    <t>INSTITUTO MUNICIPAL DEL EMPLEO (IMEBU)</t>
  </si>
  <si>
    <t>SERVICIO DE APOYO A LA IMPLEMENTACION DE POLITICAS PUBLICAS EN EL MARCO DEL TRABAJO DECENTE</t>
  </si>
  <si>
    <t>2.3.3.05.01.999.01.3602008.201</t>
  </si>
  <si>
    <t>TOTAL IMEBU</t>
  </si>
  <si>
    <t>TOTAL INFORME INSTITUTO MUNICIPAL DEL EMPLEO - IMEBU</t>
  </si>
  <si>
    <t>FONDO LOCAL DE SALUD</t>
  </si>
  <si>
    <t>SERVICIO DE GESTIN TERRITORIAL PARA ATENCIN EN SALUD PANDEMIAS A POBLACIN AFECTADA POR EMERGENCIAS O DESASTRES</t>
  </si>
  <si>
    <t>2.3.2.02.02.005.1905035.274</t>
  </si>
  <si>
    <t>SALDO CUENTA MAESTRA SALUD REGIMEN SUBSIDIADO VIGENCIA ANTERIOR 274</t>
  </si>
  <si>
    <t xml:space="preserve">EXCEDENTES CUENTA MAESTRA RÉGIMEN SUBSIDIADO (OTROS RECURSOS DIFERENTES DEL SGP SALUD)
</t>
  </si>
  <si>
    <t>SERVICIO DE TECNOLOGIAS EN SALUD FINANCIADAS CON LA UNIDAD DE PAGO POR CAPITACION UPC</t>
  </si>
  <si>
    <t>2.3.2.02.02.005.1906023.269</t>
  </si>
  <si>
    <t>RENDIMIENTOS FINANCIEROS (REGIMENSUBSIDIADO)SGP 269</t>
  </si>
  <si>
    <t>2.3.2.02.02.005.1906023.274</t>
  </si>
  <si>
    <t>SERVICIO DE INSPECCION, VIGILANCIA Y CONTROL</t>
  </si>
  <si>
    <t>2.3.2.02.02.009.1903011.271</t>
  </si>
  <si>
    <t>RENDIMIENTOS FINANCIEROS (PRESTACION DE SERVICIOS SALUD) SGP 271</t>
  </si>
  <si>
    <t>2.3.2.02.02.009.1903011.275</t>
  </si>
  <si>
    <t>SALDO CUENTA MAESTRA SALUD PRESTACION SERVICIO VIGENCIA ANTERIOR 275</t>
  </si>
  <si>
    <t>2.3.2.02.02.009.1903011.279</t>
  </si>
  <si>
    <t>FOSYGA SSF 279</t>
  </si>
  <si>
    <t>FOSYGA</t>
  </si>
  <si>
    <t>SERVICIO DE INFORMACION DE VIGILANCIA EPIDEMIOLOGICA</t>
  </si>
  <si>
    <t>2.3.2.02.02.009.1903031.201</t>
  </si>
  <si>
    <t>2.3.2.02.02.009.1903031.209</t>
  </si>
  <si>
    <t>SGP SALUD PUBLICA 209</t>
  </si>
  <si>
    <t xml:space="preserve">SGP SALUD ONCE DOCEAVAS VIGENCIA ACTUAL MAS ULTIMA DOCEAVA VIGENCIA ANTERIOR
</t>
  </si>
  <si>
    <t>SERVICIO DE EDUCACION INFORMAL EN TEMAS DE SALUD PUBLICA</t>
  </si>
  <si>
    <t>2.3.2.02.02.009.1905019.201</t>
  </si>
  <si>
    <t>2.3.2.02.02.009.1905019.209</t>
  </si>
  <si>
    <t>2.3.2.02.02.009.1905019.272</t>
  </si>
  <si>
    <t>RENDIMIENTOS FINANCIEROS (OTROS RECURSOS DE SALUD) 272</t>
  </si>
  <si>
    <t>2.3.2.02.02.009.1905019.285</t>
  </si>
  <si>
    <t>COLJUEGOS CSF 285</t>
  </si>
  <si>
    <t>COLJUEGOS</t>
  </si>
  <si>
    <t>SERVICIO DE GESTION DEL RIESGO EN TEMAS DE TRASTORNOS MENTALES</t>
  </si>
  <si>
    <t>2.3.2.02.02.009.1905022.209</t>
  </si>
  <si>
    <t>SERVICIO DE GESTION DEL RIESGO PARA ABORDAR CONDICIONES CRONICAS PREVALENTES</t>
  </si>
  <si>
    <t>2.3.2.02.02.009.1905023.209</t>
  </si>
  <si>
    <t>SERVICIO DE GESTION DEL RIESGO PARA ABORDAR SITUACIONES DE SALUD RELACIONADAS CON CONDICIONES AMBIENTALES</t>
  </si>
  <si>
    <t>2.3.2.02.02.009.1905024.201</t>
  </si>
  <si>
    <t>2.3.2.02.02.009.1905024.209</t>
  </si>
  <si>
    <t>2.3.2.02.02.009.1905024.270</t>
  </si>
  <si>
    <t>RENDIMIENTOS FINANCIEROS (SALUD PUBLICA)SGP 270</t>
  </si>
  <si>
    <t>SERVICIO DE GESTION DEL RIESGO PARA ABORDAR SITUACIONES PREVALENTES DE ORIGEN LABORAL</t>
  </si>
  <si>
    <t>2.3.2.02.02.009.1905025.209</t>
  </si>
  <si>
    <t>SERVICIO DE GESTION DEL RIESGO PARA ENFERMEDADES EMERGENTES, REEMERGENTES Y DESATENDIDAS</t>
  </si>
  <si>
    <t>2.3.2.02.02.009.1905026.209</t>
  </si>
  <si>
    <t>SERVICIO DE GESTION DEL RIESGO PARA ENFERMEDADES INMUNOPREVENIBLES</t>
  </si>
  <si>
    <t>2.3.2.02.02.009.1905027.209</t>
  </si>
  <si>
    <t>SERVICIO DE GESTION DEL RIESGO PARA TEMAS DE CONSUMO, APROVECHAMIENTO BIOLOGICO, CALIDAD E INOCUIDAD DE LOS ALIMENTOS</t>
  </si>
  <si>
    <t>2.3.2.02.02.009.1905028.209</t>
  </si>
  <si>
    <t>SERVICIO DE ATENCION EN SALUD PUBLICA EN SITUACIONES DE EMERGENCIAS Y DESASTRES</t>
  </si>
  <si>
    <t>2.3.2.02.02.009.1905030.201</t>
  </si>
  <si>
    <t>2.3.2.02.02.009.1905030.209</t>
  </si>
  <si>
    <t>2.3.2.02.02.009.1906023.208</t>
  </si>
  <si>
    <t>SGP SALUD REGIMEN SUBSIDIADO 208</t>
  </si>
  <si>
    <t>2.3.2.02.02.009.1906023.247</t>
  </si>
  <si>
    <t>RECURSOS COLJUEGOS SSF 247</t>
  </si>
  <si>
    <t>2.3.2.02.02.009.1906023.274</t>
  </si>
  <si>
    <t>2.3.2.02.02.009.1906023.279</t>
  </si>
  <si>
    <t>RECURSOS ADRES (FOSYGA) 279</t>
  </si>
  <si>
    <t>2.3.2.02.02.009.1906023.292</t>
  </si>
  <si>
    <t>TRANSFERENCIAS DEL DEPARTAMENTO REGIMEN SUBSIDIADO SSF 292</t>
  </si>
  <si>
    <t xml:space="preserve">OTROS APORTES O TRANSFERENCIAS DEPARTAMENTALES
</t>
  </si>
  <si>
    <t>TOTAL FONDO LOCAL DE SALUD</t>
  </si>
  <si>
    <t xml:space="preserve"> 2.2.2.05.02.219</t>
  </si>
  <si>
    <t xml:space="preserve"> 2.2.2.05.02</t>
  </si>
  <si>
    <t xml:space="preserve"> 2.2.2.05.01.246</t>
  </si>
  <si>
    <t>2.2.2.05.01.220</t>
  </si>
  <si>
    <t xml:space="preserve"> 2.2.2.05.01.219</t>
  </si>
  <si>
    <t xml:space="preserve"> 2.2.2.05.01.201</t>
  </si>
  <si>
    <t xml:space="preserve"> 2.2.2.05.01</t>
  </si>
  <si>
    <t xml:space="preserve"> 2.2.2.05</t>
  </si>
  <si>
    <t xml:space="preserve"> 2.2.2.04</t>
  </si>
  <si>
    <t xml:space="preserve"> 2.2.2.03.02</t>
  </si>
  <si>
    <t xml:space="preserve"> 2.2.2.03.02.002.02</t>
  </si>
  <si>
    <t>2.2.2.03.02.002</t>
  </si>
  <si>
    <t xml:space="preserve"> 2.2.2.02.02.002.02.03</t>
  </si>
  <si>
    <t xml:space="preserve"> 2.2.2.02.02.002.02</t>
  </si>
  <si>
    <t xml:space="preserve"> 2.2.2.02.02.002</t>
  </si>
  <si>
    <t xml:space="preserve"> 2.2.2.02.02</t>
  </si>
  <si>
    <t xml:space="preserve"> 2.2.2.01.02.002.02.03</t>
  </si>
  <si>
    <t xml:space="preserve"> 2.2.2.01.02.002.02</t>
  </si>
  <si>
    <t xml:space="preserve"> 2.2.2.01.02.002</t>
  </si>
  <si>
    <t xml:space="preserve"> 2.2.2.01.02</t>
  </si>
  <si>
    <t xml:space="preserve"> 2.2.2.01</t>
  </si>
  <si>
    <t xml:space="preserve"> 2.2.2</t>
  </si>
  <si>
    <t>2.2</t>
  </si>
  <si>
    <t xml:space="preserve"> 2.1.8.05.02</t>
  </si>
  <si>
    <t xml:space="preserve"> 2.1.8.05.01.002</t>
  </si>
  <si>
    <t xml:space="preserve"> 2.1.8.05.01</t>
  </si>
  <si>
    <t xml:space="preserve"> 2.1.8.05</t>
  </si>
  <si>
    <t xml:space="preserve"> 2.1.8.04.03</t>
  </si>
  <si>
    <t xml:space="preserve"> 2.1.8.04.01.229</t>
  </si>
  <si>
    <t xml:space="preserve"> 2.1.8.04.01.201</t>
  </si>
  <si>
    <t xml:space="preserve"> 2.1.8.04.01</t>
  </si>
  <si>
    <t xml:space="preserve"> 2.1.8.04</t>
  </si>
  <si>
    <t xml:space="preserve"> 2.1.8.03</t>
  </si>
  <si>
    <t xml:space="preserve"> 2.1.8.02</t>
  </si>
  <si>
    <t xml:space="preserve"> 2.1.3</t>
  </si>
  <si>
    <t xml:space="preserve"> 2.1.3.05</t>
  </si>
  <si>
    <t xml:space="preserve"> 2.1.3.05.01</t>
  </si>
  <si>
    <t xml:space="preserve"> 2.1.3.05.01.999</t>
  </si>
  <si>
    <t xml:space="preserve"> 2.1.3.05.01.999.01</t>
  </si>
  <si>
    <t xml:space="preserve"> 2.1.3.05.01.999.02</t>
  </si>
  <si>
    <t>2.1.3.05.01.999.03</t>
  </si>
  <si>
    <t xml:space="preserve"> 2.1.3.05.01.999.04</t>
  </si>
  <si>
    <t xml:space="preserve"> 2.1.3.05.01.999.05</t>
  </si>
  <si>
    <t>2.1.3.05.01.999.06</t>
  </si>
  <si>
    <t xml:space="preserve"> 2.1.3.05.01.999.07</t>
  </si>
  <si>
    <t xml:space="preserve"> 2.1.3.05.01.999.08</t>
  </si>
  <si>
    <t xml:space="preserve"> 2.1.3.05.01.999.09</t>
  </si>
  <si>
    <t xml:space="preserve"> 2.1.3.05.01.999.10</t>
  </si>
  <si>
    <t xml:space="preserve"> 2.1.3.05.01.999.11</t>
  </si>
  <si>
    <t xml:space="preserve"> 2.1.3.05.04</t>
  </si>
  <si>
    <t xml:space="preserve"> 2.1.3.07</t>
  </si>
  <si>
    <t xml:space="preserve"> 2.1.3.07.02</t>
  </si>
  <si>
    <t xml:space="preserve"> 2.1.3.07.02.001</t>
  </si>
  <si>
    <t xml:space="preserve"> 2.1.3.07.02.001.02</t>
  </si>
  <si>
    <t xml:space="preserve"> 2.1.3.07.02.001.02.201</t>
  </si>
  <si>
    <t xml:space="preserve"> 2.1.3.07.02.001.02.276</t>
  </si>
  <si>
    <t xml:space="preserve"> 2.1.3.07.02.001.02.286</t>
  </si>
  <si>
    <t xml:space="preserve"> 2.1.3.07.02.002</t>
  </si>
  <si>
    <t xml:space="preserve"> 2.1.3.07.02.002.02</t>
  </si>
  <si>
    <t xml:space="preserve"> 2.1.3.07.02.002.01</t>
  </si>
  <si>
    <t xml:space="preserve"> 2.1.3.07.02.012</t>
  </si>
  <si>
    <t xml:space="preserve"> 2.1.3.07.02.012.02</t>
  </si>
  <si>
    <t xml:space="preserve"> 2.1.3.07.02.031</t>
  </si>
  <si>
    <t xml:space="preserve"> 2.1.3.07.02.080</t>
  </si>
  <si>
    <t xml:space="preserve"> 2.1.3.07.02.099</t>
  </si>
  <si>
    <t xml:space="preserve"> 2.1.3.13</t>
  </si>
  <si>
    <t xml:space="preserve"> 2.1.3.13.01</t>
  </si>
  <si>
    <t xml:space="preserve"> 2.1.3.13.01.001</t>
  </si>
  <si>
    <t xml:space="preserve"> 2.1.3.13.01.002</t>
  </si>
  <si>
    <t xml:space="preserve"> 2.1.8</t>
  </si>
  <si>
    <t xml:space="preserve"> 2.1.8.01</t>
  </si>
  <si>
    <t xml:space="preserve"> 2.1.8.01.52</t>
  </si>
  <si>
    <t>A 28 DE FEBRERO DEL 2021</t>
  </si>
  <si>
    <t>A</t>
  </si>
  <si>
    <t>2.3.2.02.01.004.2201070.201</t>
  </si>
  <si>
    <t>2.3.2.02.02.008.2408004.201</t>
  </si>
  <si>
    <t>OTROS BIENES TRANSPORTABLES EXEPTO PRODUCTOS METALICOS MAQUINARIA Y EQUIPO</t>
  </si>
  <si>
    <t>2.3.2.02.01.003.4002031.201</t>
  </si>
  <si>
    <t>SERVICIO DE GESTION TERRITORIAL PARA ATENCION EN SALUD PANDEMIAS A POBLACION AFECTADA POR EMERGENCIAS  O DESASTRES</t>
  </si>
  <si>
    <t>2.3.2.02.02.009.1905035.201</t>
  </si>
  <si>
    <t>GENDERSON ROBLES MUÑOZ</t>
  </si>
  <si>
    <t xml:space="preserve">INFORME DE EJECUCION CONSOLIDADO DE GASTOS </t>
  </si>
  <si>
    <t>Profesional especializado</t>
  </si>
  <si>
    <t>Secretaría de Hacienda</t>
  </si>
  <si>
    <t>A 31 DE MARZO  DEL 2021</t>
  </si>
  <si>
    <t>VIGENCIA</t>
  </si>
  <si>
    <t>NOMBRE</t>
  </si>
  <si>
    <t>CÓDIGO RECURSO</t>
  </si>
  <si>
    <t>RECURSOS</t>
  </si>
  <si>
    <t>CÓDIGO ORIGEN</t>
  </si>
  <si>
    <t>ORIGEN ESPECÍFICO INGRESOS</t>
  </si>
  <si>
    <t>CÓDIGO DESTINACIÓN</t>
  </si>
  <si>
    <t>DEST. RECUR. ADMÓN CTRAL TERR.</t>
  </si>
  <si>
    <t>CÓDIGO FINALIDAD</t>
  </si>
  <si>
    <t>FINALIDAD DEL GASTO</t>
  </si>
  <si>
    <t>CÓDIGO DEPENDENCIA</t>
  </si>
  <si>
    <t>DEPENDENCIA</t>
  </si>
  <si>
    <t>CÓDIGO DE ENTIDAD RECÍPROCA CGR</t>
  </si>
  <si>
    <t>10</t>
  </si>
  <si>
    <t>002</t>
  </si>
  <si>
    <t>098</t>
  </si>
  <si>
    <t>7017</t>
  </si>
  <si>
    <t>07</t>
  </si>
  <si>
    <t>110000006800100</t>
  </si>
  <si>
    <t>106</t>
  </si>
  <si>
    <t>70131</t>
  </si>
  <si>
    <t>C</t>
  </si>
  <si>
    <t>14</t>
  </si>
  <si>
    <t>7013398</t>
  </si>
  <si>
    <t>099</t>
  </si>
  <si>
    <t>7032</t>
  </si>
  <si>
    <t>083</t>
  </si>
  <si>
    <t>078</t>
  </si>
  <si>
    <t>DEUDA</t>
  </si>
  <si>
    <t>066</t>
  </si>
  <si>
    <t>CODIGOS CGR JHONATHAN</t>
  </si>
  <si>
    <t>SECCION</t>
  </si>
  <si>
    <t>CODIGO CGR</t>
  </si>
  <si>
    <t>NOMBRE CGR</t>
  </si>
  <si>
    <t>SITUACION DE FONDOS</t>
  </si>
  <si>
    <t>NUMERO DE COMPROMISO</t>
  </si>
  <si>
    <t>NUMERO DE OBLIGACION</t>
  </si>
  <si>
    <t>NUMERO DE PAGO</t>
  </si>
  <si>
    <t>NOMBRE ENTIDAD</t>
  </si>
  <si>
    <t>SERVICIO DE ASISTENCIA TECNICA ACCIONES DE TRANSFERENCIA DE CONOCIMIENTOS Y PROCESOS PARA LA IMPLEMENTACION DE POLITICAS Y LINEAMIENTOS DE CONVIVENCIA</t>
  </si>
  <si>
    <t>SERVICIO DE APOYO PARA LA PERMANENCIA A LA EDUCACION SUPERIOR O TERCIARIA</t>
  </si>
  <si>
    <t>2.3.2.02.02.009.2202006.201</t>
  </si>
  <si>
    <t>RECURSOS PROPIOS</t>
  </si>
  <si>
    <t>2.3.1.01.01.001.01.2201071.277</t>
  </si>
  <si>
    <t>REINTEGROS EDUCACION PRESTACION DE SERVICIOS 277</t>
  </si>
  <si>
    <t>SERVICIO EDUCACION FORMAL POR MODELOSEDUCATIVOS FLEXIBLES</t>
  </si>
  <si>
    <t>2.3.2.02.02.009.2201030.206</t>
  </si>
  <si>
    <t>SGP educación calidad matricula 206</t>
  </si>
  <si>
    <t>2.3.2.02.02.008.2106003.226</t>
  </si>
  <si>
    <t>2.3.2.02.02.005.4002022.201</t>
  </si>
  <si>
    <t>2.3.2.02.02.005.4002020.201</t>
  </si>
  <si>
    <t>ESPACIO PUBLICO ADECUADO</t>
  </si>
  <si>
    <t>PARQUES MANTENIDOS</t>
  </si>
  <si>
    <t>2.3.2.02.02.005.4502003.201</t>
  </si>
  <si>
    <t>2.3.2.02.02.005.2299011.273</t>
  </si>
  <si>
    <t>2.3.2.02.02.008.4503017.201</t>
  </si>
  <si>
    <t>2.3.2.02.02.005.2201052.273</t>
  </si>
  <si>
    <t>2.3.2.02.02.008.2402118.230</t>
  </si>
  <si>
    <t>2.3.2.02.02.009.2201061.293</t>
  </si>
  <si>
    <t>RECURSOS FOME</t>
  </si>
  <si>
    <t>2.3.2.02.02.005.4301012,273</t>
  </si>
  <si>
    <t>EN ABRIL ARREGLAR LOS RUBROS DEL FONDO COMOLOS SOLICITOLA DRA EDDY</t>
  </si>
  <si>
    <t>2.3.2.02.01.004.4002001.201</t>
  </si>
  <si>
    <t>2.3.2.02.02.009.3201009.201</t>
  </si>
  <si>
    <t>A 30 DE ABRIL  DEL 2021</t>
  </si>
  <si>
    <t xml:space="preserve"> 2.1.3.05.01.999.12</t>
  </si>
  <si>
    <t>APORTE DIRECCION DE TRANSITO DE BUCARAMANGA</t>
  </si>
  <si>
    <t>2.3.2.02.02.008.2201071.293</t>
  </si>
  <si>
    <t>RECURSOS FOME 293</t>
  </si>
  <si>
    <t>2.3.2.02.02.009.2201069.293</t>
  </si>
  <si>
    <t>2.3.2.02.02.008.1205006.201</t>
  </si>
  <si>
    <t>DOCUMENTOS NORMATIVOS SOBRE LOS COMPONENTES DEL CICLO DE DEFENSA JURIDICA DEL  ESTADO</t>
  </si>
  <si>
    <t>2.3.2.02.02.009.4599031.583</t>
  </si>
  <si>
    <t>FONDO PARA EL TRABAJO Y DESARROLLO HUMANO VIGENCIA ANTERIOR 583</t>
  </si>
  <si>
    <t>A 31 DE MAYO   DEL 2021</t>
  </si>
  <si>
    <t xml:space="preserve"> 2.1.3.07.02.001.02.576</t>
  </si>
  <si>
    <t>RETIRO FONPET MESADAS PENSIONALES VIGENCIA ANTERIOR 576</t>
  </si>
  <si>
    <t>2.1.7</t>
  </si>
  <si>
    <t>Disminución de pasivos</t>
  </si>
  <si>
    <t>2.1.7.06</t>
  </si>
  <si>
    <t>Financiación de déficit fiscal</t>
  </si>
  <si>
    <t>2.1.7.06.02</t>
  </si>
  <si>
    <t>Adquisición de bienes y servicios</t>
  </si>
  <si>
    <t>2.1.7.06.02.4599002</t>
  </si>
  <si>
    <t>Servicio de saneamiento fiscal y financiero</t>
  </si>
  <si>
    <t>2.1.7.06.02.4599002.601</t>
  </si>
  <si>
    <t>RECURSOS PROPIOS PASIVO EXIGIBLE 601</t>
  </si>
  <si>
    <t xml:space="preserve"> 2.2.2.04.599</t>
  </si>
  <si>
    <t>APORTE AL FONDO DE CONTINGENCIAS VIGENCIA ANTERIOR 599</t>
  </si>
  <si>
    <t xml:space="preserve"> 2.2.2.04.601</t>
  </si>
  <si>
    <t>RECURSOS PROPIOS PASIVOS EXIGIBLES 601</t>
  </si>
  <si>
    <t>2.2.2.05.01.520</t>
  </si>
  <si>
    <t>ESTAMPILLA PARA EL BIENESTAR DEL ADULTO MAYOR MUNICIPAL VIGENCIA ANTERIOR 520</t>
  </si>
  <si>
    <t xml:space="preserve"> 2.2.2.05.01.519</t>
  </si>
  <si>
    <t>ESTAMPILLA PRO CULTURA VIGENCIA ANTERIOR 519</t>
  </si>
  <si>
    <t>2.3.2.02.01.004.2301075.501</t>
  </si>
  <si>
    <t>RECURSOS PROPIOS VIGENCIA ANTERIOR 501</t>
  </si>
  <si>
    <t>2.3.7</t>
  </si>
  <si>
    <t>2.3.7.06</t>
  </si>
  <si>
    <t>2.3.7.06.02</t>
  </si>
  <si>
    <t>2.3.7.06.02.4599002.601</t>
  </si>
  <si>
    <t>2.3.2.02.02.008.2201071.501</t>
  </si>
  <si>
    <t>2.3.7.06.02.4599002</t>
  </si>
  <si>
    <t>2.3.7.06.02.4599002.688</t>
  </si>
  <si>
    <t>RECURSOS PROPIOS PRESUPUESTOS PARTICIPATIVOS PASIVO EXIGIBLE 688</t>
  </si>
  <si>
    <t>2.3.2.02.02.009.2202009.523</t>
  </si>
  <si>
    <t>FONDO EDUCATIVO VIGENCIA ANTERIOR 523</t>
  </si>
  <si>
    <t>FONDO PARA EL TRABAJO Y EL DESARROLLO HUMANO</t>
  </si>
  <si>
    <t>2.3.7.06.02.4599002.623</t>
  </si>
  <si>
    <t>FONDO EDUCATIVO PASIVO EXIGIBLE 623</t>
  </si>
  <si>
    <t>2.3.2.02.02.005.4003015.521</t>
  </si>
  <si>
    <t>IMPTO. TRANSPORTE OLEODUCTOS Y GASODUCTOS VIGENCIA ANTERIOR 521</t>
  </si>
  <si>
    <t>2.3.2.02.02.005.4003015.604</t>
  </si>
  <si>
    <t>DONACIONES VIGENCIA ANTERIOR 604</t>
  </si>
  <si>
    <t>2.3.2.02.02.005.4003045.706</t>
  </si>
  <si>
    <t>RECURSOS REGALÍAS VIGENCIAS EXPIRADAS 706</t>
  </si>
  <si>
    <t>2.3.2.02.02.005.2402113.530</t>
  </si>
  <si>
    <t>CONTRIBUCIÓN DE VALORIZACIÓN VIGENCIA ANTERIOR 530</t>
  </si>
  <si>
    <t>EDIFICACIONES DE ATENCIÓN A LA PRIMERA INFANCIA ADECUADAS</t>
  </si>
  <si>
    <t>2.3.2.02.02.005.4102005.516</t>
  </si>
  <si>
    <t>SGP CRECIMIENTO ECONOMÍA ATENCIÓN INTEGRAL DE LA PRIMERA INFANCIA VIGENCIA ANTERIOR 516</t>
  </si>
  <si>
    <t>PUENTES PEATONALES REHABILITADOS</t>
  </si>
  <si>
    <t>2.3.2.02.02.005.2409042.501</t>
  </si>
  <si>
    <t>2.3.2.02.02.005.4002020.501</t>
  </si>
  <si>
    <t>2.3.2.02.02.005.4002020.588</t>
  </si>
  <si>
    <t>RECURSOS PROPIOS PRESUPUESTOS PARTICIPATIVOS VIGENCIA ANTERIOR 588</t>
  </si>
  <si>
    <t>2.3.2.02.02.005.2402127.588</t>
  </si>
  <si>
    <t>2.3.2.02.02.005.4003045.515</t>
  </si>
  <si>
    <t>SGP AGUA POTABLE Y SANEAMIENTO BÁSICO VIGENCIA ANTERIOR 515</t>
  </si>
  <si>
    <t>ESTUDIOS Y DISEÑOS DE LA INFRAESTRUCTURA EDUCATIVA</t>
  </si>
  <si>
    <t>2.3.2.02.02.008.2201039.501</t>
  </si>
  <si>
    <t>DOCUMENTOS DE ESTUDIO TÉCNICO GEOLÓGICO Y GEOTÉCNICO</t>
  </si>
  <si>
    <t>2.3.2.02.02.008.3205016.501</t>
  </si>
  <si>
    <t>2.3.2.02.02.008.4002026.501</t>
  </si>
  <si>
    <t>2.3.2.02.02.008.4599031.501</t>
  </si>
  <si>
    <t>2.3.2.02.02.008.4599031.513</t>
  </si>
  <si>
    <t>SGP PROPÓSITO GENERAL LIBRE INVERSIÓN VIGENCIA ANTERIOR 513</t>
  </si>
  <si>
    <t>2.3.7.06.02.4599002.615</t>
  </si>
  <si>
    <t>SGP AGUA POTABLE Y SANEAMIENTO BÁSICO PASIVO EXIGIBLE 615</t>
  </si>
  <si>
    <t>2.3.7.06.02.4599002.626</t>
  </si>
  <si>
    <t>IMPUESTO DE ALUMBRADO PUBLICO PASIVO EXIGIBLE 626</t>
  </si>
  <si>
    <t>2.3.7.06.02.4599002.620</t>
  </si>
  <si>
    <t>ESTAMPILLA PARA EL BIENESTAR DEL ADULTO MAYOR MUNICIPAL PASIVO EXIGIBLE 620</t>
  </si>
  <si>
    <t>2.3.7.06.02.4599002.630</t>
  </si>
  <si>
    <t>CONTRIBUCIÓN DE VALORIZACIÓN PASIVO EXIGIBLE 630</t>
  </si>
  <si>
    <t>2.3.7.06.02.4599002.673</t>
  </si>
  <si>
    <t>RECURSOS DE CRÉDITO PASIVO EXIGIBLE 673</t>
  </si>
  <si>
    <t>2.3.7.06.02.4599002.682</t>
  </si>
  <si>
    <t>COMPENSATORIO DE LOS DEBERES URBANÍSTICOS PARA PROVISIÓN DE ESPACIO PUBLICO PASIVO EXIGIBLE 682</t>
  </si>
  <si>
    <t>DISMINUCION DE PASIVOS</t>
  </si>
  <si>
    <t>FINACIACION DEL DEFICIT FISCAL</t>
  </si>
  <si>
    <t>SERVICIO DE SANEAMIENTO FISCAL Y FINANCIERO</t>
  </si>
  <si>
    <t>2.3.2.02.02.005.2402127.605</t>
  </si>
  <si>
    <t>RECURSOS FONDO DEL ESPACIO PUBLICO VIGENCIA ANTERIOR 605</t>
  </si>
  <si>
    <t>2.3.2.02.01.004.4599016.526</t>
  </si>
  <si>
    <t>IMPUESTO DE ALUMBRADO PUBLICO VIGENCIA ANTERIOR 526</t>
  </si>
  <si>
    <t>2.3.2.02.02.006.4599016.526</t>
  </si>
  <si>
    <t>2.3.2.02.02.007.4599016.526</t>
  </si>
  <si>
    <t>2.3.2.02.02.008.4599016.526</t>
  </si>
  <si>
    <t>2.3.2.02.02.008.4599031.526</t>
  </si>
  <si>
    <t>REDES DE ALUMBRADO PUBLICO AMPLIADAS</t>
  </si>
  <si>
    <t>2.3.2.02.02.009.2102010.526</t>
  </si>
  <si>
    <t>2.3.2.02.02.009.2102013.526</t>
  </si>
  <si>
    <t>REDES DE ALUMBRADO PUBLICO EN MANTENIMIENTO</t>
  </si>
  <si>
    <t>2.3.2.02.02.009.2102011.526</t>
  </si>
  <si>
    <t>REDES DE ALUMBRADO PUBLICO CONSTRUIDAS</t>
  </si>
  <si>
    <t>2.3.2.02.02.009.2102012.526</t>
  </si>
  <si>
    <t>2.3.2.02.02.009.4501007.526</t>
  </si>
  <si>
    <t>2.3.2.02.01.002.4104008.501</t>
  </si>
  <si>
    <t>2.3.2.02.02.009.4104008.558</t>
  </si>
  <si>
    <t>RENDIMIENTOS FINANCIEROS MUNICIPIO BUCARAMANGA ESTAMPILLAS MUNICIPAL PARA EL BIENESTAR DEL ADULTO MAYOR 558</t>
  </si>
  <si>
    <t>2.3.2.02.02.009.4104008.520</t>
  </si>
  <si>
    <t>2.3.2.02.02.009.4104008.501</t>
  </si>
  <si>
    <t>2.3.2.02.02.009.4102043.297</t>
  </si>
  <si>
    <t>2.3.2.02.02.009.4102043.298</t>
  </si>
  <si>
    <t>2.3.2.02.02.009.4102043.299</t>
  </si>
  <si>
    <t>SGP RECURSOS CONPES 3861 DE 2016 297</t>
  </si>
  <si>
    <t>SGP RECURSOS CONPES 3887 DE 2017298</t>
  </si>
  <si>
    <t>SGP CONPES RENDIMIENTOS FINANCIEROS VIGENCIA ANTERIOR 299</t>
  </si>
  <si>
    <t>2.3.2.02.02.009.4104027.501</t>
  </si>
  <si>
    <t>2.3.2.02.02.009.4502038.501</t>
  </si>
  <si>
    <t>2.3.2.02.02.006.4102046.501</t>
  </si>
  <si>
    <t>2.3.2.02.02.008.4502017.501</t>
  </si>
  <si>
    <t>2.3.2.02.02.009.4101031.501</t>
  </si>
  <si>
    <t>2.3.2.02.02.008.4501004.504</t>
  </si>
  <si>
    <t>CONTRIBUCION 5% CONTRATOS DE OBRA PUBLICA VIGENCIA ANTERIOR  504</t>
  </si>
  <si>
    <t>2.3.2.02.02.008.4501056.536</t>
  </si>
  <si>
    <t>MULTAS CODIGO NACIONAL DE POLICIA Y COVIVENCIA MULTAS GENERALES VIGENCIA ANTERIOR 536</t>
  </si>
  <si>
    <t>2.3.2.02.02.008.4501056.537</t>
  </si>
  <si>
    <t>MULTAS CODIGO NACIONAL DE POLICIA Y COVIVENCIA MULTAS ESPECIALES VIGENCIA ANTERIOR 537</t>
  </si>
  <si>
    <t>2.3.2.02.02.008.4501056.597</t>
  </si>
  <si>
    <t>RECURSOS FONDO DE VIGILANCIA VIGENCIA ANTERIOR 597</t>
  </si>
  <si>
    <t>2.3.2.02.02.008.1202002.598</t>
  </si>
  <si>
    <t>RECURSOS FONDO DE PROTECCION AL CONSUMIDOR VIGENCIA ANTERIOR 598</t>
  </si>
  <si>
    <t>2.3.2.02.02.008.4503004.315</t>
  </si>
  <si>
    <t>RECURSOS FONDO GESTION DEL RIESGO VIGENCIA ANTERIOR 315</t>
  </si>
  <si>
    <t>2.3.2.02.02.008.4503004.588</t>
  </si>
  <si>
    <t>2.3.2.02.02.008.4599031.531</t>
  </si>
  <si>
    <t>CONCURSO ECONOMICO ESTRATIICACION VIGENCIA ANTERIOR 531</t>
  </si>
  <si>
    <t>2.3.2.02.02.006.2408022.501</t>
  </si>
  <si>
    <t>2.3.2.02.02.007.2302024.501</t>
  </si>
  <si>
    <t>2.3.2.02.02.009.3208010.580</t>
  </si>
  <si>
    <t>ACUERDO 102 DE 1996FONDO ROTATORIO AMBIENTAL  VIGENCIA ANTERIOR 580</t>
  </si>
  <si>
    <t>DOCUMENTOS DE LINEAMIENTO TECNICO PARA LA CONSERVACION DE LA BIODIVERSIDAD Y SUS SERVICIOS ECOSISTEMICOS</t>
  </si>
  <si>
    <t>2.3.2.02.02.009.3202001.580</t>
  </si>
  <si>
    <t>DOCUMENTOS DE ESTUDIOS TÉCNICOS PARA EL FORTALECIMIENTO DEL DESEMPEÑO AMBIENTAL DE LOS SECTORES PRODUCTIVOS</t>
  </si>
  <si>
    <t>2.3.2.02.02.009.3201005.580</t>
  </si>
  <si>
    <t>ACUERDO 102 DE 1996 FONDO ROTATORIO AMBIENTAL VIGENCIA ANTERIOR 580</t>
  </si>
  <si>
    <t>2.3.2.02.02.009.3201005.518</t>
  </si>
  <si>
    <t>RECURSOS DEL SECTOR ELÉCTRICO VIGENCIA ANTERIOR 518</t>
  </si>
  <si>
    <t>2.3.2.02.02.009.3201005.320</t>
  </si>
  <si>
    <t>RENDIMIENTOS FINANCIEROS FONDO ROTATORIO AMBIENTAL VIGENCIA ANTERIOR 320</t>
  </si>
  <si>
    <t>2.3.2.02.02.009.3202005.501</t>
  </si>
  <si>
    <t>SERVICIO DE ESTABLECIMIENTO DE ESPECIES VEGETALES</t>
  </si>
  <si>
    <t>2.3.2.02.02.009.3202041.588</t>
  </si>
  <si>
    <t>2.3.2.02.02.008.4301034.513</t>
  </si>
  <si>
    <t>2.3.2.02.02.006.4301034.513</t>
  </si>
  <si>
    <t>2.3.2.02.02.008.4301034.511</t>
  </si>
  <si>
    <t>SGP DEPORTE Y RECREACIÓN VIGENCIA ANTERIOR 511</t>
  </si>
  <si>
    <t>OTROS BIENES TRANSPORTABLES</t>
  </si>
  <si>
    <t>2.3.2.02.01.003.3301101.513</t>
  </si>
  <si>
    <t>2.3.2.02.01.003.3301101.519</t>
  </si>
  <si>
    <t>SERVICIOS PRESTADOS A LAS EMPRESAS Y SERVICIOS DE PRODUCCIÓN</t>
  </si>
  <si>
    <t>2.3.2.02.02.008.3301121.513</t>
  </si>
  <si>
    <t>2.3.2.02.02.009.3502039.513</t>
  </si>
  <si>
    <t>2.3.2.02.02.008.3301126.519</t>
  </si>
  <si>
    <t>2.3.2.02.02.009.3301074.588</t>
  </si>
  <si>
    <t>2.3.2.02.02.009.3301055.512</t>
  </si>
  <si>
    <t>SGP CULTURA VIGENCIA ANTERIOR 512</t>
  </si>
  <si>
    <t>2.3.2.02.02.009.3301055.544</t>
  </si>
  <si>
    <t>PARTICIPACIÓN DE LA CONTRIBUCIÓN PARAFISCAL CULTURAL VIGENCIA ANTERIOR 544</t>
  </si>
  <si>
    <t>SERVICIO DE APOYO AL PROCESO DE FORMACIÓN ARTÍSTICA  Y CULTURAL</t>
  </si>
  <si>
    <t>2.3.2.02.02.009.3301126.513</t>
  </si>
  <si>
    <t>SERVICIO DE APOYO FINANCIERO AL SECTOR ARTÍSTICO Y CULTURAL</t>
  </si>
  <si>
    <t>2.3.2.02.02.009.3301055.513</t>
  </si>
  <si>
    <t>SERVICIO DE PROMOCIÓN TURÍSTICA</t>
  </si>
  <si>
    <t>2.3.2.02.02.009.3502046.513</t>
  </si>
  <si>
    <t>PRODUCTOS METÁLICOS Y PAQUETES DE SOFTWARE</t>
  </si>
  <si>
    <t>2.3.2.02.01.004.3301068.519</t>
  </si>
  <si>
    <t>ENTIDADES TERRITORIALES DISTINTAS DE PARTICIPACIONES Y COMPENSACIONES</t>
  </si>
  <si>
    <t>2.3.4.02.02.3301054.519</t>
  </si>
  <si>
    <t>INSTRUMENTOS MUSICALES</t>
  </si>
  <si>
    <t>2.3.2.01.01.004.01.02.3301101.588</t>
  </si>
  <si>
    <t>2.3.2.02.02.009.3602008.588</t>
  </si>
  <si>
    <t>2.3.2.02.02.009.3602008.501</t>
  </si>
  <si>
    <t>SERVICIO DE ATENCIÓN EN SALUD A LA POBLACIÓN</t>
  </si>
  <si>
    <t>2.3.2.02.02.009.1906004.501</t>
  </si>
  <si>
    <t>2.3.2.02.02.009.1905024.509</t>
  </si>
  <si>
    <t>SGP SALUD PUBLICA VIGENCIA EXPIRADA 509</t>
  </si>
  <si>
    <t>2.3.2.02.02.009.1905026.509</t>
  </si>
  <si>
    <t>SGP SALUD PUBLICA VIGENCIAS ANTERIORES 509</t>
  </si>
  <si>
    <t>2.3.2.02.02.009.1905027.509</t>
  </si>
  <si>
    <t>2.3.2.02.02.009.1905019.501</t>
  </si>
  <si>
    <t>2.3.2.02.02.009.1905022.501</t>
  </si>
  <si>
    <t>2.3.2.02.02.009.1905023.501</t>
  </si>
  <si>
    <t>2.3.2.02.02.009.1905024.501</t>
  </si>
  <si>
    <t>2.3.2.02.02.009.1905025.501</t>
  </si>
  <si>
    <t>2.3.2.02.02.009.1905026.501</t>
  </si>
  <si>
    <t>2.3.2.02.02.009.1905028.501</t>
  </si>
  <si>
    <t>2.3.2.02.02.009.1905030.501</t>
  </si>
  <si>
    <t>RE CURSOS PROPIOS VIGENCIA ANTERIOR 501</t>
  </si>
  <si>
    <t>2.3.2.02.02.009.1903031.585</t>
  </si>
  <si>
    <t>RECURSOS COLJUEGOS VIGENCIA ANTERIOR</t>
  </si>
  <si>
    <t>2.3.2.02.02.009.1905026.585</t>
  </si>
  <si>
    <t>2.3.2.02.02.009.1905024.570</t>
  </si>
  <si>
    <t>RENDIMIEINTOS FINANCIEROS VIGENCIA ANTERIOR</t>
  </si>
  <si>
    <t>2.3.2.02.02.009.1903031.501</t>
  </si>
  <si>
    <t>SERVICIO DE INFORMACION PARA LAS INSTITUCIONES PUBLICAS PRESTADORAS DE SALUD Y LA DIRECCION DE LA ENTIDAD TERRITORIAL IMPLEMENTADO</t>
  </si>
  <si>
    <t>2.3.2.02.02.009.1906031.501</t>
  </si>
  <si>
    <t>RECURSOS PROPIOS VIGENCIA ANTERIOR</t>
  </si>
  <si>
    <t>2.3.2.02.02.009.1905019.585</t>
  </si>
  <si>
    <t>RECUROS COLJUEGOS VIGENCIA ANTERIOR 585</t>
  </si>
  <si>
    <t>2.3.2.02.02.009.1905027.585</t>
  </si>
  <si>
    <t>2.3.2.02.02.009.1905027.572</t>
  </si>
  <si>
    <t>RENDIMIENTOS FINANCIEROS VIGENCIA ANTERIOR</t>
  </si>
  <si>
    <t>2.3.2.02.02.009.1905031.572</t>
  </si>
  <si>
    <t>2.3.2.02.02.005.1906023.574</t>
  </si>
  <si>
    <t>SALDO CUENTA MAESTRA SALUD REGIMEN SUBSIDIADO VIGENCIA ANTERIOR 574</t>
  </si>
  <si>
    <t>2.3.2.02.02.009.1903011.575</t>
  </si>
  <si>
    <t>SALDO CUENTA MAESTRA SALUD PRESTACION SERVICIO VIGENCIA ANTERIOR 575</t>
  </si>
  <si>
    <t>2.3.1.01.01.001.01.2201071.505</t>
  </si>
  <si>
    <t>SUELDO BASICO SGP PRESTACION DE SERVICIOS NOMINA VIGENCIA ANTERIOR 505</t>
  </si>
  <si>
    <t>2.3.2.02.02.009.2201061.592</t>
  </si>
  <si>
    <t>RECURSOS FOME VIGENCIA ANTERIOR 592</t>
  </si>
  <si>
    <t>2.3.2.02.02.005.2201069.506</t>
  </si>
  <si>
    <t>SGP EDUCACION CALIDAD MATRICULA VIGENCIA ANTERIOR 506</t>
  </si>
  <si>
    <t>2.3.2.02.02.009.2201074.506</t>
  </si>
  <si>
    <t>2.3.2.02.02.005.2201052.506</t>
  </si>
  <si>
    <t>2.3.2.02.02.005.2201052.593</t>
  </si>
  <si>
    <t>SGP EDUCACION CALIDAD VIGENCIA EXPIRADA</t>
  </si>
  <si>
    <t>2.3.2.02.02.005.2201052.594</t>
  </si>
  <si>
    <t>SGP EDUCACION RECURSOS FONPET VIGENCIA EXPIRADA</t>
  </si>
  <si>
    <t>2.3.2.02.02.006.2201079.517</t>
  </si>
  <si>
    <t>RECURSOS MENLEY 1450 ALIMENTACION ESCOLAR JORNADA UNCA VIGENCIA ANTERIOR 517</t>
  </si>
  <si>
    <t>2.3.2.02.02.006.2201079.514</t>
  </si>
  <si>
    <t>SGP ALIMENTACION ESCOLAR VIGENCIA ANTERIOR 514</t>
  </si>
  <si>
    <t>2.3.2.02.02.006.2201079.595</t>
  </si>
  <si>
    <t>SGP INVERSIÓN FORZOSA EDUCACION CALIDAD EMERGENCIA DECRETO 470/2020 VIGENCIA ANTERIOR 595</t>
  </si>
  <si>
    <t>2.3.2.02.01.004.2302010.501</t>
  </si>
  <si>
    <t>2.3.2.02.02.008.2301079.201</t>
  </si>
  <si>
    <t>2.3.2.01.01</t>
  </si>
  <si>
    <t>CENTRO COMUNITARIOS ADOTADOS</t>
  </si>
  <si>
    <t>2.3.2.01.01.004.4103031.201</t>
  </si>
  <si>
    <t>SERVICIO DE PROMOCION DE TEMAS DINAMICOS RELACIONAL Y DESARROLLO AUTONOMO</t>
  </si>
  <si>
    <t>2.3.2.02.01.003.4102043.201</t>
  </si>
  <si>
    <t>2.3.2.02.02.008.4002026.513</t>
  </si>
  <si>
    <t>2.3.2.02.02.008.4102046.201</t>
  </si>
  <si>
    <t>2.3.2.02.02.006.4501056.597</t>
  </si>
  <si>
    <t>2.3.2.02.01.003.4501004.504</t>
  </si>
  <si>
    <t>CONTRIBUCION 5% CONTRATOS OBRA PUBLICA VIGENCIA ANTERIOR 504</t>
  </si>
  <si>
    <t>2.3.2.01.01.003.03.02.4501004.504</t>
  </si>
  <si>
    <t>SEDES DOTADAS</t>
  </si>
  <si>
    <t>2.3.2.02.02.008.4599034.201</t>
  </si>
  <si>
    <t>RECURSOS PROPIOS  201</t>
  </si>
  <si>
    <t>2.3.2.02.02.005.1709112.273</t>
  </si>
  <si>
    <t>2.3.2.02.02.008.2301075.501</t>
  </si>
  <si>
    <t>2.3.2.02.02.009.4104020.501</t>
  </si>
  <si>
    <t>2.3.2.02.02.009.4103050.501</t>
  </si>
  <si>
    <t>2.3.3.05.01.999.04.4001037.221</t>
  </si>
  <si>
    <t>RENDIMIENTOS FINANCIEROS MUNICIPIO BUCARAMANGA FONDO DE PROTECCION AL CONSUMIDOR 262</t>
  </si>
  <si>
    <t>A 30 DE JUNIO  DEL 2021</t>
  </si>
  <si>
    <t>2.3.2.02.02.009.4599030.201</t>
  </si>
  <si>
    <t>VEHICULOS AUTOMOTORES REMOLQUES Y SEMIREMOLQUES Y SUS PARTES PIEZAS Y ACCESORIOS</t>
  </si>
  <si>
    <t>2.3.2.01.01.003.07.01.4501004.504</t>
  </si>
  <si>
    <t>CONTRIBUCION 5% CONTRATOS DE OBRA PUBLICA VIGENCIA ANTERIOR 504</t>
  </si>
  <si>
    <t>VEHICULOS NCP SIN PROPULSION MECANICA</t>
  </si>
  <si>
    <t>2.3.2.01.01.003.07.07.02.4501004.504</t>
  </si>
  <si>
    <t>OTRA MAQUINARIA PARA USO ESPECIAL SUS PARTES Y PIEZAS</t>
  </si>
  <si>
    <t>2.3.2.01.01.003.02.008.4501004.504</t>
  </si>
  <si>
    <t>MAQUINARIA DE INFORMATICA SUS PARTES PIEZAS Y ACCESORIOS</t>
  </si>
  <si>
    <t xml:space="preserve">RUBRO </t>
  </si>
  <si>
    <t>CARROCERIAS INCLUSO CABINAS PARA VEHICULOS AUTOMOTORES, REMOLQUES Y SEMIREMOLQUES SUS PARTES PIEZAS Y ACCESORIOS</t>
  </si>
  <si>
    <t>2.3.2.01.01.003.07.02.4501004.504</t>
  </si>
  <si>
    <t>2.3.2.01.01.005.02.03.01.4501004.504</t>
  </si>
  <si>
    <t>2.3.2.02.01.003.4002014.201</t>
  </si>
  <si>
    <t>2.3.2.01.01.003.03.02.4503004.201</t>
  </si>
  <si>
    <t>2.3.2.01.01.003.07.01.4501004.201</t>
  </si>
  <si>
    <t>2.3.2.02.02.009.4599031.501</t>
  </si>
  <si>
    <t>MQUINAS PARA OFICINA CONTABILIDAD SUS PARTES Y ACCESORIOS</t>
  </si>
  <si>
    <t>2.3.2.02.01.01.003.03.01.4502008.201</t>
  </si>
  <si>
    <t>SERVICIO PARA LA COMUNIDAD SOCIALES Y PERSONALES</t>
  </si>
  <si>
    <t>2.3.2.02.02.009.4501001.201</t>
  </si>
  <si>
    <t>2.3.2.02.02.009.2102011.253</t>
  </si>
  <si>
    <t>2.3.2.02.02.008.4599025.501</t>
  </si>
  <si>
    <t>2.3.2.02.02.005.2201052.213</t>
  </si>
  <si>
    <t>SGP PROPOSITO GENERAL LIBRE INVERSIÓN 213</t>
  </si>
  <si>
    <t>SERVICIO DE ACUEDUCTO</t>
  </si>
  <si>
    <t>2.3.2.02.02.008.4003009.501</t>
  </si>
  <si>
    <t>SERVICIOS DE ALOJAMIENTO, SERVICIOS DE SUMINISTRO DE COMIDAS Y BEBIDAS, SERVICIOS DE TRANSPORTE Y SERVICIOS DE DISTRIBUCIN DE ELECTRICIDAD, GAS Y AGUA (CARPA TARIMA)</t>
  </si>
  <si>
    <t>SERVICIOS FINANCIEROS, SERVICIOS CONEXOS, SERVICIOS INMOBILIARIOS Y SERVICIOS DE LEASING (SEGUROS)</t>
  </si>
  <si>
    <t>2.1.2.02.01.006</t>
  </si>
  <si>
    <t>2.1.2.02.01.007</t>
  </si>
  <si>
    <t>FONPET VIGENCIA EXPIRADA</t>
  </si>
  <si>
    <t>REGIMEN SUBSIDIADO</t>
  </si>
  <si>
    <t>SALUD PUBLICA</t>
  </si>
  <si>
    <t>PRESTACION DE SERVICIOS</t>
  </si>
  <si>
    <t>OTROS GASTOS EN SALUD</t>
  </si>
  <si>
    <t>PLANEANDO CONSTRUIMOS CIUDAD Y TERRITORIO</t>
  </si>
  <si>
    <t>2.3.2.02.02.008.4002034.201</t>
  </si>
  <si>
    <t>2.3.2.02.02.008.4502002.501</t>
  </si>
  <si>
    <t>2.3.2.02.02.005.4003044.521</t>
  </si>
  <si>
    <t>IMPUESTO TRANSPORTE OLEODUCTOS Y GASODUCTOS</t>
  </si>
  <si>
    <t>2.3.2.02.02.005.4003044.604</t>
  </si>
  <si>
    <t>2.3.2.02.02.005.4003044.515</t>
  </si>
  <si>
    <t>2.3.2.02.02.005.4003044.706</t>
  </si>
  <si>
    <t>RECURSOS DE REGALIAS VIGENCIAS EXPIRADAS 706</t>
  </si>
  <si>
    <t>VIDA  SALUDABLE Y LA PREVENCION DE LAS ENFERMEDADES TRANSMISIBLES</t>
  </si>
  <si>
    <t>2.3.2.02.02.009.1905035.501</t>
  </si>
  <si>
    <t>A 31 DE JULIO  DEL 2021</t>
  </si>
  <si>
    <t>FORTALECIMIENTO INSTITUCIONAL A LOS ORGANISMOS DE SEGURIDAD</t>
  </si>
  <si>
    <t>2.3.2.01.01.003.03.02.4501056.536</t>
  </si>
  <si>
    <t>MULTAS AL CODIGO NACIONAL DE POLICIA Y CONVIVENCIA MULTAS GENERALES VIGENCIA ANTERIOR 536</t>
  </si>
  <si>
    <t>2.3.2.02.01.003.4501056.536</t>
  </si>
  <si>
    <t>2.3.2.02.02.008.4503031.201</t>
  </si>
  <si>
    <t>MAQUINARIA DE INFORMATICA Y SUS PARTES PIEZAS Y ACCESORIOS</t>
  </si>
  <si>
    <t>MUEBLES DEL TIPO UTILIZADOS EN LA OFICINA</t>
  </si>
  <si>
    <t>2.3.2.01.01.004.01.01.02.4501056.504</t>
  </si>
  <si>
    <t>CONTRIBUCION DEL 5% CONTRATOS OBRAS PUBLICA VIGENCIA ANTERIOR 504</t>
  </si>
  <si>
    <t>2.3.2.02.02.009.2201077.205</t>
  </si>
  <si>
    <t>2.3.2.02.02.009.2201069.592</t>
  </si>
  <si>
    <t>A 31 DE AGOSTO  DEL 2021</t>
  </si>
  <si>
    <t>2.3.2.02.02.005.2402114.501</t>
  </si>
  <si>
    <t>2.3.2.02.02.005.2201052.588</t>
  </si>
  <si>
    <t>RECURSOS PROPIOS PRESUPESTOS PARTICIPATIVOS VIGENCIA ANTERIOR 588</t>
  </si>
  <si>
    <t>2.3.2.02.02.005.2409042.513</t>
  </si>
  <si>
    <t>SGP PROPOSITO GENERAL LIBRE INVERSIÓN VIGENCIA ANTERIOR 513</t>
  </si>
  <si>
    <t>2.3.2.02.02.005.4002020.513</t>
  </si>
  <si>
    <t>MUEBLES DE TIPO USADO EN LA OFICINA</t>
  </si>
  <si>
    <t>2.3.2.01.01.004.01.01.02.4104008.501</t>
  </si>
  <si>
    <t>2.3.2.01.01.003.03.02.4104008.501</t>
  </si>
  <si>
    <t>APARATOS MEDICOQUIRURGICOS Y APARATOS ORTESICOS Y PROTESICOS</t>
  </si>
  <si>
    <t>2.3.2.01.01.003.06.01.4104008.501</t>
  </si>
  <si>
    <t>2.3.2.01.01.003.06.01.4104008.520</t>
  </si>
  <si>
    <t>ESTAMPILLA BIENESTAR DEL ADULTO MAYOR VIGENCIA ANTERIOR 520</t>
  </si>
  <si>
    <t>APARATOS DE USO DOMESTICO SUS PARTES Y SUS PIEZAS</t>
  </si>
  <si>
    <t>2.3.2.01.01.003.02.007.4104008.520</t>
  </si>
  <si>
    <t>2.3.7.06.02.4599002.201</t>
  </si>
  <si>
    <t>RECURSOS PROPIOS PASIVO EXIGIBLE 201</t>
  </si>
  <si>
    <t>2.3.2.02.02.005.1709112.513</t>
  </si>
  <si>
    <t>2.3.2.02.02.008.4102046.501</t>
  </si>
  <si>
    <t>2.3.2.02.02.005.2201069.289</t>
  </si>
  <si>
    <t>2.3.2.02.02.005.2201069.213</t>
  </si>
  <si>
    <t>DOCUMENTOS DE INVESTIGACIN</t>
  </si>
  <si>
    <t>2.3.2.02.02.009.2201065.201</t>
  </si>
  <si>
    <t>2.3.2.02.01.002.4104008.520</t>
  </si>
  <si>
    <t>ESTAMPILLA PARA EL BIENSTAR DEL ADULTO MAYOR VIGENCIA ANTERIOR 520</t>
  </si>
  <si>
    <t>2.3.2.01.01.003.02.01.1702010.201</t>
  </si>
  <si>
    <t>SERVICIOS PRESTADOS A LAS EMPRESASY SERVICIOS DE PRODUCCION</t>
  </si>
  <si>
    <t>SERVICIOS DE INFORMACION IMPLEMENTADO</t>
  </si>
  <si>
    <t>2.3.2.02.02.008.4599095.501</t>
  </si>
  <si>
    <t>SERVICIO DE CONTROL DE LA EVASION DE PAGO EN LOS SISTEMAS DE TRANSPORTE PUBLICO ORGANIZADO</t>
  </si>
  <si>
    <t>2.3.2.02.02.009.2408037.501</t>
  </si>
  <si>
    <t>2.3.2.02.01.003.4599016.526</t>
  </si>
  <si>
    <t>2.3.2.02.01.002.4501004.504</t>
  </si>
  <si>
    <t>2.3.2.02.02.008.4599016.504</t>
  </si>
  <si>
    <t xml:space="preserve">CONTRIBUCION </t>
  </si>
  <si>
    <t>2.3.2.01.01.004.01.01.02.4501004.504</t>
  </si>
  <si>
    <t>A 30 DE SEPTIEMBRE   DEL 2021</t>
  </si>
  <si>
    <t>COSOS CONSTRUIDOS</t>
  </si>
  <si>
    <t>2.3.2.02.02.009.4501010.201</t>
  </si>
  <si>
    <t>2.3.2.02.02.005.2201052.206</t>
  </si>
  <si>
    <t>2.3.2.02.02.009.2201052.293</t>
  </si>
  <si>
    <t>2.3.2.02.02.005.2402114.213</t>
  </si>
  <si>
    <t>SGP PROPOSITO GENERAL LIBRE INVERSIÓN  213</t>
  </si>
  <si>
    <t>2.3.2.02.02.009.4003047.213</t>
  </si>
  <si>
    <t>2.3.2.02.02.009.4301034.201</t>
  </si>
  <si>
    <t>2.3.2.02.02.008.4301034.201</t>
  </si>
  <si>
    <t>PARQUES MEJORADOS</t>
  </si>
  <si>
    <t>2.3.2.02.02.005.4002023.201</t>
  </si>
  <si>
    <t>2.3.2.01</t>
  </si>
  <si>
    <t>MAQUINARIA PARA USOS ESPECIALES</t>
  </si>
  <si>
    <t>OTRA MAQUINARIA PARA USOS ESPECIALES SUS PARTESY SUS PIEZAS</t>
  </si>
  <si>
    <t>2.3.2.01.01.003.02.08.2402112.201</t>
  </si>
  <si>
    <t>VIAS URBANAS MEJORADAS</t>
  </si>
  <si>
    <t>2.3.2.02.02.005.2402112.201</t>
  </si>
  <si>
    <t>SERVICIO DE LA CONSTRUCCION</t>
  </si>
  <si>
    <t>COSOS CONTRUIDOS</t>
  </si>
  <si>
    <t>2.3.2.02.02.008.3301053.201</t>
  </si>
  <si>
    <t>2.3.2.02.02.008.3502046.201</t>
  </si>
  <si>
    <t>2.3.2.02.02.009.2408037.201</t>
  </si>
  <si>
    <t>CONTRIBUCION 5% CONTRATO DE OBRAPUBLICA VIGENCIA ANTERIOR 504</t>
  </si>
  <si>
    <t>SERVICIO DE ASISTENCIA TECNICA PARA IMPLEMENTACION DE ESTRATEGIAS  EDUCATIVAS AMBIENTALES</t>
  </si>
  <si>
    <t>2.3.2.02.02.009.3208006.588</t>
  </si>
  <si>
    <t>AMBIENTES DE APRENDIZAJES DOTADOS</t>
  </si>
  <si>
    <t>2.3.2.02.02.009.2202050.201</t>
  </si>
  <si>
    <t>SERVICIO DE ASISTENCIA TECNICA PARA LA PERMANENCIA DE LA EDUCACION SUPERIOR O TERCIARIA</t>
  </si>
  <si>
    <t>2.3.2.02.02.009.2202016.201</t>
  </si>
  <si>
    <t xml:space="preserve">DOCUMENTOS DE LINEAMIENTOS TECNICOS </t>
  </si>
  <si>
    <t>2.3.2.02.02.009.4501046.201</t>
  </si>
  <si>
    <t>2.3.2.02.02.008.4002020.501</t>
  </si>
  <si>
    <t>2.3.2.02.02.008.4002020.201</t>
  </si>
  <si>
    <t>2.3.2.02.02.008.4599029.201</t>
  </si>
  <si>
    <t>SERVICIOS DE GESTION TERRITORIAL PARA ATENCION EN SALUD A PANDEMIAS A POBLACION AFECTADA POR EMERGENCIAS O DESASTRES</t>
  </si>
  <si>
    <t>SERVICIO DE GESTION TERRITORIAL PARA ATENCION EN SALUD A PANDEMIAS A POBLACION AFECTADA POR EMERGENCIAS O DESASTRES</t>
  </si>
  <si>
    <t>2.3.2.01.01.004.01.01.02.1905035.501</t>
  </si>
  <si>
    <t>2.3.2.01.01.005.02.03.01.4599025.201</t>
  </si>
  <si>
    <t>SERVICIO DE APOYO FINANCIERO PARA PROYECTOS DE CONVIVENCIA  Y SEGURIDAD CIUDADANA</t>
  </si>
  <si>
    <t>2.3.2.02.01.003.4501029.201</t>
  </si>
  <si>
    <t>2.3.2.02.02.008.4501029.201</t>
  </si>
  <si>
    <t>SERVICIO DE APOYO FINANCIERO PARA PROYECTOS DE CONVIVENCIA Y SEGURIDAD CIUDADANA</t>
  </si>
  <si>
    <t>COMISARIAS DE FAMILIA ADECUADAS</t>
  </si>
  <si>
    <t>2.3.2.02.02.008.4501013.504</t>
  </si>
  <si>
    <t>2.3.7.06.02.4599002.690</t>
  </si>
  <si>
    <t>CONVENIO 951 GOBERNACION DE SANTANDER PASIVO EXIGIBLE 690</t>
  </si>
  <si>
    <t>SERVICIO DE INTEGRACION DE LA OFERTA PUBLICA</t>
  </si>
  <si>
    <t>2.1.7.06.02.4599002.201</t>
  </si>
  <si>
    <t>2.3.2.02.02.005.4301012.273</t>
  </si>
  <si>
    <t>2.3.2.02.02.008.2301079.501</t>
  </si>
  <si>
    <t>SERVICIO DE DIFUSION PARA PROMOVER EL USO DEL INTERNET</t>
  </si>
  <si>
    <t>2.3.2.02.02.008.2301047.201</t>
  </si>
  <si>
    <t>2.3.2.02.02.008.2301047.501</t>
  </si>
  <si>
    <t>2.3.2.02.02.009.4502001.501</t>
  </si>
  <si>
    <t>PARQUES RECREATIVOS ADECUADOS</t>
  </si>
  <si>
    <t>2.3.2.02.02.005.4301011.201</t>
  </si>
  <si>
    <t>2.3.2.02.02.005.4502003.604</t>
  </si>
  <si>
    <t xml:space="preserve">ESTUDIOS DE PREINVERSION  </t>
  </si>
  <si>
    <t>2.3.2.02.02.008.4599006.513</t>
  </si>
  <si>
    <t>2.3.2.02.02.008.4599006.604</t>
  </si>
  <si>
    <t>2.3.2.02.02.008.4003009.513</t>
  </si>
  <si>
    <t>2.3.2.02.02.005.2409042.201</t>
  </si>
  <si>
    <t>SERVICIOS TECNOLOGICOS</t>
  </si>
  <si>
    <t>2.3.2.01.01.003.05.02.4599007.504</t>
  </si>
  <si>
    <t>2.3.2.01.01.003.06.02.4599007.504</t>
  </si>
  <si>
    <t>2.3.2.01.01.003.03.02.4599007.504</t>
  </si>
  <si>
    <t>2.3.2.01.01.005.02.03.01.01.4599007.504</t>
  </si>
  <si>
    <t>2.3.2.01.01.003.05.03.4599007.504</t>
  </si>
  <si>
    <t>2.3.2.02.01.01.003.03.01.4502008.501</t>
  </si>
  <si>
    <t>2.3.2.02.01.002.4104008.558</t>
  </si>
  <si>
    <t>RENDIMIENTOS FINANCIEROS ESTAMPILLA BIENESTAR DEL ADULTO MAYOR 558</t>
  </si>
  <si>
    <t xml:space="preserve">SERVICIO DE MONITOREO Y SEGUIMIENTO PARA LA GESTION DEL RIESGO </t>
  </si>
  <si>
    <t>2.3.2.02.02.009.4503018.201</t>
  </si>
  <si>
    <t>RECURSOS POPIOS VIGENCIA ANTERIOR 501</t>
  </si>
  <si>
    <t>2.3.2.02.02.009.4503018.501</t>
  </si>
  <si>
    <t>SERVICIO DE APOYO ATENCION POBLACION AFECTADA POR SIITUACIONES DE EMERGENCIA</t>
  </si>
  <si>
    <t>2.3.2.01.01.004.01.01.02.4503028.501</t>
  </si>
  <si>
    <t>SERVICIO DE ASISTENCIA TECICA EDUCATIVA INICIAL PRESCOLAR BASICA Y MEDIA</t>
  </si>
  <si>
    <t>2.3.2.02.02.009.2201006.201</t>
  </si>
  <si>
    <t>2.3.2.02.01.004.4599017.201</t>
  </si>
  <si>
    <t>MOTOCICLETAS Y SIDECARES</t>
  </si>
  <si>
    <t>2.3.2.02.02.005.4599011.501</t>
  </si>
  <si>
    <t>2.3.2.01.01.003.03.02.4501056.504</t>
  </si>
  <si>
    <t>2.3.2.01.01.004.01.01.02.4501056.504.</t>
  </si>
  <si>
    <t>2.3.2.01.01.004.01.01.02.1206007.201</t>
  </si>
  <si>
    <t>2.3.2.02.02.008.4501056.504</t>
  </si>
  <si>
    <t>2.3.2.02.01.003.4501004.536</t>
  </si>
  <si>
    <t>MULTAS CODIGO NACIONAL DE POLICIA 536</t>
  </si>
  <si>
    <t>TOTAL INSTITUTO MUNICIPAL DE CULTURA Y TURISMO</t>
  </si>
  <si>
    <t>2.3.2.01.01.003.07.07.01.4501004.504</t>
  </si>
  <si>
    <t>A 31 DE OCTUBRE DEL 2021</t>
  </si>
  <si>
    <t>A 30 DE NOVIEMBRE DE  2021</t>
  </si>
  <si>
    <t>SERVICIO DE SUMINISTRO DE AGUA</t>
  </si>
  <si>
    <t>2.3.2.02.02.008.4003048.201</t>
  </si>
  <si>
    <t>SERVICIO DE ASISTENCIA TECNICA A UNIDADES ARTESANALES PARA ACCEDER A MERCADOS ELECTRONICOS</t>
  </si>
  <si>
    <t>2.3.6.01.04.003.3502105.201</t>
  </si>
  <si>
    <t>2.3.2.02.02.009.3302044.201</t>
  </si>
  <si>
    <t>ESTUDIOS DE PREINVERSION ELABORADOS</t>
  </si>
  <si>
    <t>2.3.2.02.02.009.3302072.201</t>
  </si>
  <si>
    <t>VIVIENDAS DE INTERES PRESTAMOS MEJORADAS</t>
  </si>
  <si>
    <t>2.3.2.02.02.005.4001041.201</t>
  </si>
  <si>
    <t>SERVICIO DE LA PROMOCION DE LA ACTIVIDAD FISICA LA RECREACION Y EL DEPORTE</t>
  </si>
  <si>
    <t>2.3.2.02.02.008.4301037.201</t>
  </si>
  <si>
    <t>2.3.2.02.02.009.4301037.201</t>
  </si>
  <si>
    <t>2.3.2.02.02.009.3302001.201</t>
  </si>
  <si>
    <t>2.3.2.02.02.005.4002020.289</t>
  </si>
  <si>
    <t>RECURSOS PRESUPUESTOS PARTICIPATIVOS 289</t>
  </si>
  <si>
    <t>2.3.2.02.02.005.2402042.289</t>
  </si>
  <si>
    <t>CENTROS MUSICALES DOTADOS</t>
  </si>
  <si>
    <t>2.3.2.01.01.004.01.02.3301101.201</t>
  </si>
  <si>
    <t>2.3.2.02.02.008.4502001.289</t>
  </si>
  <si>
    <t xml:space="preserve"> 2.1.3.05.01.999.13</t>
  </si>
  <si>
    <t>ESE ISABU</t>
  </si>
  <si>
    <t>2.3.2.02.02.005.2201052.501</t>
  </si>
  <si>
    <t>SERVICIO DE DIVULGACION DE LA INFORMACION DE LA POLITICA NACIONAL DE EDUCACION AMBIENTAL Y PARTICIPACION</t>
  </si>
  <si>
    <t>2.3.2.02.02.009.3208008.501</t>
  </si>
  <si>
    <t>SERVICIO DE IMPLEMENTACION DEL PLAN DE GESTION INTEGRAL DE RESIDUOS SOLIDOS PGIRS.</t>
  </si>
  <si>
    <t>2.3.2.02.02.009.4003022.501</t>
  </si>
  <si>
    <t>SERVICIO DE CERTIFICACION DE DISCAPACIDAD PARA LAS PERSONAS CON DISCAPACIDAD</t>
  </si>
  <si>
    <t>2.3.2.02.02.009.1905040.501</t>
  </si>
  <si>
    <t>2.3.2.02.02.005.4301011.273</t>
  </si>
  <si>
    <t>2.3.2.02.02.005.4301004.273</t>
  </si>
  <si>
    <t>2.3.2.02.02.005.4502003.273</t>
  </si>
  <si>
    <t>2.3.2.01.01.003.02.08.2402112.273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</si>
</sst>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_);_(@_)"/>
    <numFmt numFmtId="166" formatCode="0.0"/>
    <numFmt numFmtId="167" formatCode="0.000"/>
    <numFmt numFmtId="168" formatCode="_(* #,##0.0_);_(* \(#,##0.0\);_(* &quot;-&quot;_);_(@_)"/>
    <numFmt numFmtId="169" formatCode="0.0000"/>
  </numFmts>
  <fonts count="22" x14ac:knownFonts="1">
    <font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sz val="10"/>
      <color rgb="FFFF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48">
    <xf numFmtId="0" fontId="0" fillId="0" borderId="0" xfId="0"/>
    <xf numFmtId="16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left"/>
    </xf>
    <xf numFmtId="165" fontId="0" fillId="0" borderId="0" xfId="1" applyNumberFormat="1" applyFont="1" applyAlignment="1">
      <alignment horizontal="center" wrapText="1"/>
    </xf>
    <xf numFmtId="165" fontId="0" fillId="0" borderId="0" xfId="1" applyNumberFormat="1" applyFont="1"/>
    <xf numFmtId="165" fontId="2" fillId="0" borderId="0" xfId="1" applyNumberFormat="1" applyFont="1" applyAlignment="1">
      <alignment horizontal="center"/>
    </xf>
    <xf numFmtId="165" fontId="2" fillId="0" borderId="0" xfId="1" applyNumberFormat="1" applyFont="1" applyAlignment="1">
      <alignment horizontal="left"/>
    </xf>
    <xf numFmtId="165" fontId="2" fillId="0" borderId="0" xfId="1" applyNumberFormat="1" applyFont="1" applyAlignment="1">
      <alignment horizontal="center" wrapText="1"/>
    </xf>
    <xf numFmtId="165" fontId="3" fillId="0" borderId="0" xfId="1" applyNumberFormat="1" applyFont="1" applyAlignment="1">
      <alignment horizontal="center"/>
    </xf>
    <xf numFmtId="165" fontId="4" fillId="3" borderId="1" xfId="1" applyNumberFormat="1" applyFont="1" applyFill="1" applyBorder="1" applyAlignment="1">
      <alignment horizontal="center"/>
    </xf>
    <xf numFmtId="165" fontId="4" fillId="3" borderId="1" xfId="1" applyNumberFormat="1" applyFont="1" applyFill="1" applyBorder="1" applyAlignment="1">
      <alignment horizontal="center" vertical="center" wrapText="1"/>
    </xf>
    <xf numFmtId="165" fontId="4" fillId="3" borderId="1" xfId="1" applyNumberFormat="1" applyFont="1" applyFill="1" applyBorder="1" applyAlignment="1">
      <alignment vertical="center"/>
    </xf>
    <xf numFmtId="165" fontId="4" fillId="3" borderId="1" xfId="1" applyNumberFormat="1" applyFont="1" applyFill="1" applyBorder="1" applyAlignment="1">
      <alignment vertical="center" wrapText="1"/>
    </xf>
    <xf numFmtId="165" fontId="4" fillId="3" borderId="1" xfId="1" applyNumberFormat="1" applyFont="1" applyFill="1" applyBorder="1" applyAlignment="1">
      <alignment horizontal="center" wrapText="1"/>
    </xf>
    <xf numFmtId="165" fontId="1" fillId="0" borderId="0" xfId="1" applyNumberFormat="1" applyFont="1"/>
    <xf numFmtId="165" fontId="1" fillId="0" borderId="0" xfId="1" applyNumberFormat="1" applyFont="1" applyAlignment="1">
      <alignment wrapText="1"/>
    </xf>
    <xf numFmtId="165" fontId="1" fillId="0" borderId="1" xfId="1" applyNumberFormat="1" applyFont="1" applyBorder="1" applyAlignment="1">
      <alignment horizontal="left"/>
    </xf>
    <xf numFmtId="165" fontId="1" fillId="0" borderId="1" xfId="1" applyNumberFormat="1" applyFont="1" applyBorder="1" applyAlignment="1">
      <alignment wrapText="1"/>
    </xf>
    <xf numFmtId="165" fontId="1" fillId="0" borderId="1" xfId="1" applyNumberFormat="1" applyFont="1" applyBorder="1"/>
    <xf numFmtId="165" fontId="4" fillId="3" borderId="0" xfId="1" applyNumberFormat="1" applyFont="1" applyFill="1" applyBorder="1" applyAlignment="1" applyProtection="1"/>
    <xf numFmtId="1" fontId="4" fillId="3" borderId="1" xfId="1" applyNumberFormat="1" applyFont="1" applyFill="1" applyBorder="1" applyAlignment="1" applyProtection="1">
      <alignment horizontal="left"/>
    </xf>
    <xf numFmtId="165" fontId="4" fillId="3" borderId="1" xfId="1" applyNumberFormat="1" applyFont="1" applyFill="1" applyBorder="1" applyAlignment="1" applyProtection="1">
      <alignment wrapText="1"/>
    </xf>
    <xf numFmtId="165" fontId="4" fillId="3" borderId="1" xfId="1" applyNumberFormat="1" applyFont="1" applyFill="1" applyBorder="1" applyAlignment="1" applyProtection="1"/>
    <xf numFmtId="2" fontId="4" fillId="3" borderId="1" xfId="1" applyNumberFormat="1" applyFont="1" applyFill="1" applyBorder="1" applyAlignment="1" applyProtection="1"/>
    <xf numFmtId="10" fontId="4" fillId="3" borderId="1" xfId="2" applyNumberFormat="1" applyFont="1" applyFill="1" applyBorder="1" applyAlignment="1" applyProtection="1"/>
    <xf numFmtId="165" fontId="1" fillId="3" borderId="0" xfId="1" applyNumberFormat="1" applyFont="1" applyFill="1" applyBorder="1"/>
    <xf numFmtId="165" fontId="4" fillId="3" borderId="1" xfId="1" applyNumberFormat="1" applyFont="1" applyFill="1" applyBorder="1" applyAlignment="1" applyProtection="1">
      <alignment horizontal="left"/>
    </xf>
    <xf numFmtId="165" fontId="4" fillId="0" borderId="0" xfId="1" applyNumberFormat="1" applyFont="1" applyBorder="1" applyAlignment="1" applyProtection="1"/>
    <xf numFmtId="165" fontId="4" fillId="0" borderId="1" xfId="1" applyNumberFormat="1" applyFont="1" applyBorder="1" applyAlignment="1" applyProtection="1">
      <alignment horizontal="left"/>
    </xf>
    <xf numFmtId="165" fontId="4" fillId="0" borderId="1" xfId="1" applyNumberFormat="1" applyFont="1" applyBorder="1" applyAlignment="1" applyProtection="1">
      <alignment wrapText="1"/>
    </xf>
    <xf numFmtId="165" fontId="4" fillId="0" borderId="1" xfId="1" applyNumberFormat="1" applyFont="1" applyBorder="1" applyAlignment="1" applyProtection="1"/>
    <xf numFmtId="2" fontId="4" fillId="0" borderId="1" xfId="1" applyNumberFormat="1" applyFont="1" applyBorder="1" applyAlignment="1" applyProtection="1"/>
    <xf numFmtId="10" fontId="4" fillId="0" borderId="1" xfId="2" applyNumberFormat="1" applyFont="1" applyBorder="1" applyAlignment="1" applyProtection="1"/>
    <xf numFmtId="165" fontId="1" fillId="0" borderId="0" xfId="1" applyNumberFormat="1" applyFont="1" applyBorder="1"/>
    <xf numFmtId="2" fontId="1" fillId="0" borderId="1" xfId="1" applyNumberFormat="1" applyFont="1" applyBorder="1"/>
    <xf numFmtId="165" fontId="1" fillId="0" borderId="0" xfId="1" applyNumberFormat="1" applyFont="1" applyBorder="1" applyAlignment="1" applyProtection="1"/>
    <xf numFmtId="165" fontId="1" fillId="0" borderId="0" xfId="1" applyNumberFormat="1" applyFont="1" applyBorder="1" applyAlignment="1" applyProtection="1">
      <alignment wrapText="1"/>
    </xf>
    <xf numFmtId="165" fontId="1" fillId="0" borderId="1" xfId="1" applyNumberFormat="1" applyFont="1" applyBorder="1" applyAlignment="1" applyProtection="1">
      <alignment horizontal="left"/>
    </xf>
    <xf numFmtId="165" fontId="1" fillId="0" borderId="1" xfId="1" applyNumberFormat="1" applyFont="1" applyBorder="1" applyAlignment="1" applyProtection="1">
      <alignment wrapText="1"/>
    </xf>
    <xf numFmtId="165" fontId="1" fillId="0" borderId="1" xfId="1" applyNumberFormat="1" applyFont="1" applyBorder="1" applyAlignment="1" applyProtection="1"/>
    <xf numFmtId="2" fontId="1" fillId="0" borderId="1" xfId="1" applyNumberFormat="1" applyFont="1" applyBorder="1" applyAlignment="1" applyProtection="1"/>
    <xf numFmtId="165" fontId="0" fillId="0" borderId="1" xfId="1" applyNumberFormat="1" applyFont="1" applyBorder="1" applyAlignment="1">
      <alignment horizontal="left"/>
    </xf>
    <xf numFmtId="165" fontId="0" fillId="0" borderId="1" xfId="1" applyNumberFormat="1" applyFont="1" applyBorder="1" applyAlignment="1">
      <alignment wrapText="1"/>
    </xf>
    <xf numFmtId="165" fontId="0" fillId="0" borderId="1" xfId="1" applyNumberFormat="1" applyFont="1" applyBorder="1"/>
    <xf numFmtId="2" fontId="0" fillId="0" borderId="1" xfId="1" applyNumberFormat="1" applyFont="1" applyBorder="1"/>
    <xf numFmtId="165" fontId="4" fillId="3" borderId="0" xfId="1" applyNumberFormat="1" applyFont="1" applyFill="1"/>
    <xf numFmtId="165" fontId="4" fillId="3" borderId="1" xfId="1" applyNumberFormat="1" applyFont="1" applyFill="1" applyBorder="1" applyAlignment="1">
      <alignment horizontal="left"/>
    </xf>
    <xf numFmtId="165" fontId="4" fillId="3" borderId="1" xfId="1" applyNumberFormat="1" applyFont="1" applyFill="1" applyBorder="1" applyAlignment="1">
      <alignment wrapText="1"/>
    </xf>
    <xf numFmtId="165" fontId="4" fillId="3" borderId="1" xfId="1" applyNumberFormat="1" applyFont="1" applyFill="1" applyBorder="1"/>
    <xf numFmtId="2" fontId="4" fillId="3" borderId="1" xfId="1" applyNumberFormat="1" applyFont="1" applyFill="1" applyBorder="1"/>
    <xf numFmtId="165" fontId="4" fillId="3" borderId="0" xfId="1" applyNumberFormat="1" applyFont="1" applyFill="1" applyBorder="1"/>
    <xf numFmtId="165" fontId="1" fillId="0" borderId="0" xfId="1" applyNumberFormat="1" applyFont="1" applyBorder="1" applyAlignment="1">
      <alignment wrapText="1"/>
    </xf>
    <xf numFmtId="165" fontId="5" fillId="3" borderId="0" xfId="1" applyNumberFormat="1" applyFont="1" applyFill="1" applyBorder="1"/>
    <xf numFmtId="165" fontId="5" fillId="3" borderId="0" xfId="1" applyNumberFormat="1" applyFont="1" applyFill="1" applyBorder="1" applyAlignment="1">
      <alignment wrapText="1"/>
    </xf>
    <xf numFmtId="165" fontId="5" fillId="3" borderId="1" xfId="1" applyNumberFormat="1" applyFont="1" applyFill="1" applyBorder="1" applyAlignment="1">
      <alignment horizontal="left"/>
    </xf>
    <xf numFmtId="165" fontId="5" fillId="3" borderId="1" xfId="1" applyNumberFormat="1" applyFont="1" applyFill="1" applyBorder="1" applyAlignment="1">
      <alignment wrapText="1"/>
    </xf>
    <xf numFmtId="165" fontId="5" fillId="3" borderId="1" xfId="1" applyNumberFormat="1" applyFont="1" applyFill="1" applyBorder="1"/>
    <xf numFmtId="2" fontId="5" fillId="3" borderId="1" xfId="1" applyNumberFormat="1" applyFont="1" applyFill="1" applyBorder="1"/>
    <xf numFmtId="165" fontId="1" fillId="3" borderId="0" xfId="1" applyNumberFormat="1" applyFont="1" applyFill="1" applyBorder="1" applyAlignment="1" applyProtection="1"/>
    <xf numFmtId="165" fontId="1" fillId="3" borderId="0" xfId="1" applyNumberFormat="1" applyFont="1" applyFill="1" applyBorder="1" applyAlignment="1" applyProtection="1">
      <alignment wrapText="1"/>
    </xf>
    <xf numFmtId="165" fontId="1" fillId="3" borderId="1" xfId="1" applyNumberFormat="1" applyFont="1" applyFill="1" applyBorder="1" applyAlignment="1" applyProtection="1">
      <alignment horizontal="left"/>
    </xf>
    <xf numFmtId="165" fontId="1" fillId="3" borderId="1" xfId="1" applyNumberFormat="1" applyFont="1" applyFill="1" applyBorder="1" applyAlignment="1" applyProtection="1">
      <alignment wrapText="1"/>
    </xf>
    <xf numFmtId="165" fontId="1" fillId="3" borderId="1" xfId="1" applyNumberFormat="1" applyFont="1" applyFill="1" applyBorder="1" applyAlignment="1" applyProtection="1"/>
    <xf numFmtId="165" fontId="1" fillId="3" borderId="1" xfId="1" applyNumberFormat="1" applyFont="1" applyFill="1" applyBorder="1"/>
    <xf numFmtId="165" fontId="1" fillId="3" borderId="0" xfId="1" applyNumberFormat="1" applyFont="1" applyFill="1"/>
    <xf numFmtId="165" fontId="1" fillId="3" borderId="0" xfId="1" applyNumberFormat="1" applyFont="1" applyFill="1" applyAlignment="1">
      <alignment wrapText="1"/>
    </xf>
    <xf numFmtId="165" fontId="1" fillId="3" borderId="1" xfId="1" applyNumberFormat="1" applyFont="1" applyFill="1" applyBorder="1" applyAlignment="1">
      <alignment horizontal="left"/>
    </xf>
    <xf numFmtId="165" fontId="1" fillId="3" borderId="1" xfId="1" applyNumberFormat="1" applyFont="1" applyFill="1" applyBorder="1" applyAlignment="1">
      <alignment wrapText="1"/>
    </xf>
    <xf numFmtId="165" fontId="4" fillId="0" borderId="1" xfId="1" applyNumberFormat="1" applyFont="1" applyFill="1" applyBorder="1" applyAlignment="1" applyProtection="1">
      <alignment wrapText="1"/>
    </xf>
    <xf numFmtId="165" fontId="0" fillId="0" borderId="1" xfId="1" applyNumberFormat="1" applyFont="1" applyFill="1" applyBorder="1" applyAlignment="1">
      <alignment wrapText="1"/>
    </xf>
    <xf numFmtId="165" fontId="1" fillId="0" borderId="1" xfId="1" applyNumberFormat="1" applyFont="1" applyFill="1" applyBorder="1" applyAlignment="1">
      <alignment wrapText="1"/>
    </xf>
    <xf numFmtId="165" fontId="1" fillId="3" borderId="0" xfId="1" applyNumberFormat="1" applyFont="1" applyFill="1" applyBorder="1" applyAlignment="1">
      <alignment wrapText="1"/>
    </xf>
    <xf numFmtId="2" fontId="1" fillId="3" borderId="1" xfId="1" applyNumberFormat="1" applyFont="1" applyFill="1" applyBorder="1"/>
    <xf numFmtId="165" fontId="4" fillId="0" borderId="1" xfId="1" applyNumberFormat="1" applyFont="1" applyBorder="1" applyAlignment="1">
      <alignment horizontal="left"/>
    </xf>
    <xf numFmtId="165" fontId="4" fillId="0" borderId="1" xfId="1" applyNumberFormat="1" applyFont="1" applyBorder="1" applyAlignment="1">
      <alignment wrapText="1"/>
    </xf>
    <xf numFmtId="1" fontId="0" fillId="0" borderId="1" xfId="1" applyNumberFormat="1" applyFont="1" applyBorder="1"/>
    <xf numFmtId="1" fontId="1" fillId="0" borderId="1" xfId="1" applyNumberFormat="1" applyFont="1" applyBorder="1"/>
    <xf numFmtId="165" fontId="4" fillId="3" borderId="0" xfId="1" applyNumberFormat="1" applyFont="1" applyFill="1" applyBorder="1" applyAlignment="1">
      <alignment wrapText="1"/>
    </xf>
    <xf numFmtId="1" fontId="4" fillId="0" borderId="1" xfId="1" applyNumberFormat="1" applyFont="1" applyBorder="1" applyAlignment="1" applyProtection="1"/>
    <xf numFmtId="165" fontId="4" fillId="0" borderId="0" xfId="1" applyNumberFormat="1" applyFont="1" applyFill="1" applyBorder="1"/>
    <xf numFmtId="165" fontId="4" fillId="0" borderId="0" xfId="1" applyNumberFormat="1" applyFont="1" applyFill="1" applyBorder="1" applyAlignment="1">
      <alignment wrapText="1"/>
    </xf>
    <xf numFmtId="165" fontId="4" fillId="0" borderId="1" xfId="1" applyNumberFormat="1" applyFont="1" applyFill="1" applyBorder="1" applyAlignment="1">
      <alignment horizontal="left"/>
    </xf>
    <xf numFmtId="165" fontId="4" fillId="0" borderId="1" xfId="1" applyNumberFormat="1" applyFont="1" applyFill="1" applyBorder="1" applyAlignment="1">
      <alignment wrapText="1"/>
    </xf>
    <xf numFmtId="165" fontId="4" fillId="0" borderId="1" xfId="1" applyNumberFormat="1" applyFont="1" applyFill="1" applyBorder="1"/>
    <xf numFmtId="2" fontId="1" fillId="3" borderId="1" xfId="1" applyNumberFormat="1" applyFont="1" applyFill="1" applyBorder="1" applyAlignment="1" applyProtection="1"/>
    <xf numFmtId="0" fontId="1" fillId="3" borderId="1" xfId="0" applyFont="1" applyFill="1" applyBorder="1" applyAlignment="1">
      <alignment horizontal="left"/>
    </xf>
    <xf numFmtId="0" fontId="4" fillId="3" borderId="1" xfId="0" applyFont="1" applyFill="1" applyBorder="1" applyAlignment="1" applyProtection="1">
      <alignment wrapText="1"/>
    </xf>
    <xf numFmtId="0" fontId="1" fillId="3" borderId="1" xfId="0" applyFont="1" applyFill="1" applyBorder="1" applyAlignment="1">
      <alignment wrapText="1"/>
    </xf>
    <xf numFmtId="0" fontId="1" fillId="3" borderId="1" xfId="0" applyFont="1" applyFill="1" applyBorder="1"/>
    <xf numFmtId="0" fontId="1" fillId="0" borderId="1" xfId="0" applyFont="1" applyBorder="1" applyAlignment="1">
      <alignment horizontal="left"/>
    </xf>
    <xf numFmtId="0" fontId="4" fillId="0" borderId="1" xfId="0" applyFont="1" applyBorder="1" applyAlignment="1" applyProtection="1">
      <alignment wrapText="1"/>
    </xf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4" fillId="0" borderId="1" xfId="0" applyFont="1" applyBorder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2" fontId="1" fillId="0" borderId="1" xfId="0" applyNumberFormat="1" applyFont="1" applyBorder="1"/>
    <xf numFmtId="165" fontId="1" fillId="0" borderId="0" xfId="1" applyNumberFormat="1" applyFont="1" applyBorder="1" applyAlignment="1">
      <alignment horizontal="left"/>
    </xf>
    <xf numFmtId="166" fontId="1" fillId="0" borderId="1" xfId="1" applyNumberFormat="1" applyFont="1" applyBorder="1"/>
    <xf numFmtId="165" fontId="0" fillId="0" borderId="1" xfId="1" applyNumberFormat="1" applyFont="1" applyBorder="1" applyAlignment="1" applyProtection="1">
      <alignment horizontal="left"/>
    </xf>
    <xf numFmtId="165" fontId="4" fillId="3" borderId="1" xfId="1" applyNumberFormat="1" applyFont="1" applyFill="1" applyBorder="1" applyAlignment="1">
      <alignment horizontal="center"/>
    </xf>
    <xf numFmtId="165" fontId="4" fillId="3" borderId="1" xfId="1" applyNumberFormat="1" applyFont="1" applyFill="1" applyBorder="1" applyAlignment="1">
      <alignment horizontal="center" vertical="center" wrapText="1"/>
    </xf>
    <xf numFmtId="165" fontId="4" fillId="3" borderId="1" xfId="1" applyNumberFormat="1" applyFont="1" applyFill="1" applyBorder="1" applyAlignment="1">
      <alignment horizontal="center"/>
    </xf>
    <xf numFmtId="165" fontId="2" fillId="0" borderId="0" xfId="1" applyNumberFormat="1" applyFont="1" applyAlignment="1">
      <alignment horizontal="center"/>
    </xf>
    <xf numFmtId="165" fontId="4" fillId="2" borderId="2" xfId="1" applyNumberFormat="1" applyFont="1" applyFill="1" applyBorder="1" applyAlignment="1">
      <alignment horizontal="center" vertical="center" wrapText="1"/>
    </xf>
    <xf numFmtId="165" fontId="0" fillId="0" borderId="0" xfId="1" applyNumberFormat="1" applyFont="1" applyAlignment="1">
      <alignment wrapText="1"/>
    </xf>
    <xf numFmtId="43" fontId="4" fillId="3" borderId="1" xfId="3" applyFont="1" applyFill="1" applyBorder="1" applyAlignment="1" applyProtection="1"/>
    <xf numFmtId="43" fontId="4" fillId="0" borderId="1" xfId="3" applyFont="1" applyBorder="1" applyAlignment="1" applyProtection="1"/>
    <xf numFmtId="43" fontId="1" fillId="0" borderId="1" xfId="3" applyFont="1" applyBorder="1"/>
    <xf numFmtId="43" fontId="1" fillId="0" borderId="1" xfId="3" applyFont="1" applyBorder="1" applyAlignment="1" applyProtection="1"/>
    <xf numFmtId="167" fontId="1" fillId="0" borderId="1" xfId="1" applyNumberFormat="1" applyFont="1" applyBorder="1" applyAlignment="1" applyProtection="1"/>
    <xf numFmtId="43" fontId="4" fillId="0" borderId="1" xfId="3" applyNumberFormat="1" applyFont="1" applyBorder="1" applyAlignment="1" applyProtection="1"/>
    <xf numFmtId="43" fontId="0" fillId="0" borderId="1" xfId="3" applyFont="1" applyBorder="1"/>
    <xf numFmtId="2" fontId="0" fillId="0" borderId="1" xfId="3" applyNumberFormat="1" applyFont="1" applyBorder="1"/>
    <xf numFmtId="43" fontId="0" fillId="0" borderId="1" xfId="3" applyNumberFormat="1" applyFont="1" applyBorder="1"/>
    <xf numFmtId="165" fontId="4" fillId="0" borderId="0" xfId="1" applyNumberFormat="1" applyFont="1" applyFill="1"/>
    <xf numFmtId="2" fontId="4" fillId="0" borderId="1" xfId="1" applyNumberFormat="1" applyFont="1" applyFill="1" applyBorder="1"/>
    <xf numFmtId="43" fontId="4" fillId="0" borderId="1" xfId="3" applyFont="1" applyFill="1" applyBorder="1"/>
    <xf numFmtId="2" fontId="4" fillId="0" borderId="1" xfId="3" applyNumberFormat="1" applyFont="1" applyFill="1" applyBorder="1"/>
    <xf numFmtId="43" fontId="4" fillId="3" borderId="1" xfId="3" applyFont="1" applyFill="1" applyBorder="1"/>
    <xf numFmtId="2" fontId="4" fillId="3" borderId="1" xfId="3" applyNumberFormat="1" applyFont="1" applyFill="1" applyBorder="1"/>
    <xf numFmtId="10" fontId="1" fillId="0" borderId="1" xfId="2" applyNumberFormat="1" applyFont="1" applyBorder="1" applyAlignment="1" applyProtection="1"/>
    <xf numFmtId="165" fontId="8" fillId="3" borderId="0" xfId="1" applyNumberFormat="1" applyFont="1" applyFill="1" applyBorder="1"/>
    <xf numFmtId="165" fontId="8" fillId="3" borderId="0" xfId="1" applyNumberFormat="1" applyFont="1" applyFill="1" applyBorder="1" applyAlignment="1">
      <alignment wrapText="1"/>
    </xf>
    <xf numFmtId="165" fontId="8" fillId="3" borderId="0" xfId="1" applyNumberFormat="1" applyFont="1" applyFill="1" applyBorder="1" applyAlignment="1" applyProtection="1"/>
    <xf numFmtId="165" fontId="8" fillId="3" borderId="1" xfId="1" applyNumberFormat="1" applyFont="1" applyFill="1" applyBorder="1" applyAlignment="1">
      <alignment horizontal="left"/>
    </xf>
    <xf numFmtId="165" fontId="8" fillId="3" borderId="1" xfId="1" applyNumberFormat="1" applyFont="1" applyFill="1" applyBorder="1" applyAlignment="1">
      <alignment wrapText="1"/>
    </xf>
    <xf numFmtId="165" fontId="8" fillId="3" borderId="1" xfId="1" applyNumberFormat="1" applyFont="1" applyFill="1" applyBorder="1"/>
    <xf numFmtId="2" fontId="8" fillId="3" borderId="1" xfId="1" applyNumberFormat="1" applyFont="1" applyFill="1" applyBorder="1"/>
    <xf numFmtId="165" fontId="8" fillId="3" borderId="1" xfId="1" applyNumberFormat="1" applyFont="1" applyFill="1" applyBorder="1" applyAlignment="1" applyProtection="1"/>
    <xf numFmtId="10" fontId="8" fillId="3" borderId="1" xfId="2" applyNumberFormat="1" applyFont="1" applyFill="1" applyBorder="1"/>
    <xf numFmtId="2" fontId="1" fillId="0" borderId="1" xfId="3" applyNumberFormat="1" applyFont="1" applyBorder="1"/>
    <xf numFmtId="165" fontId="0" fillId="0" borderId="1" xfId="1" applyNumberFormat="1" applyFont="1" applyFill="1" applyBorder="1" applyAlignment="1">
      <alignment horizontal="left"/>
    </xf>
    <xf numFmtId="2" fontId="1" fillId="0" borderId="1" xfId="3" applyNumberFormat="1" applyFont="1" applyBorder="1" applyAlignment="1" applyProtection="1"/>
    <xf numFmtId="43" fontId="0" fillId="0" borderId="1" xfId="0" applyNumberFormat="1" applyBorder="1"/>
    <xf numFmtId="2" fontId="1" fillId="0" borderId="0" xfId="1" applyNumberFormat="1" applyFont="1" applyBorder="1"/>
    <xf numFmtId="0" fontId="4" fillId="0" borderId="1" xfId="0" applyFont="1" applyBorder="1" applyAlignment="1">
      <alignment wrapText="1"/>
    </xf>
    <xf numFmtId="165" fontId="1" fillId="0" borderId="1" xfId="1" applyNumberFormat="1" applyFont="1" applyFill="1" applyBorder="1" applyAlignment="1">
      <alignment horizontal="left"/>
    </xf>
    <xf numFmtId="165" fontId="0" fillId="0" borderId="0" xfId="1" applyNumberFormat="1" applyFont="1" applyFill="1"/>
    <xf numFmtId="165" fontId="4" fillId="0" borderId="0" xfId="1" applyNumberFormat="1" applyFont="1" applyFill="1" applyBorder="1" applyAlignment="1" applyProtection="1"/>
    <xf numFmtId="165" fontId="0" fillId="0" borderId="1" xfId="1" applyNumberFormat="1" applyFont="1" applyFill="1" applyBorder="1"/>
    <xf numFmtId="2" fontId="0" fillId="0" borderId="1" xfId="1" applyNumberFormat="1" applyFont="1" applyFill="1" applyBorder="1"/>
    <xf numFmtId="43" fontId="0" fillId="0" borderId="1" xfId="3" applyFont="1" applyFill="1" applyBorder="1"/>
    <xf numFmtId="2" fontId="1" fillId="0" borderId="1" xfId="1" applyNumberFormat="1" applyFont="1" applyFill="1" applyBorder="1"/>
    <xf numFmtId="2" fontId="1" fillId="0" borderId="1" xfId="1" applyNumberFormat="1" applyFont="1" applyFill="1" applyBorder="1" applyAlignment="1" applyProtection="1"/>
    <xf numFmtId="165" fontId="1" fillId="0" borderId="1" xfId="1" applyNumberFormat="1" applyFont="1" applyFill="1" applyBorder="1"/>
    <xf numFmtId="43" fontId="1" fillId="0" borderId="1" xfId="3" applyFont="1" applyFill="1" applyBorder="1"/>
    <xf numFmtId="10" fontId="1" fillId="0" borderId="1" xfId="2" applyNumberFormat="1" applyFont="1" applyFill="1" applyBorder="1" applyAlignment="1" applyProtection="1"/>
    <xf numFmtId="165" fontId="1" fillId="0" borderId="0" xfId="1" applyNumberFormat="1" applyFont="1" applyFill="1" applyBorder="1"/>
    <xf numFmtId="1" fontId="4" fillId="3" borderId="1" xfId="1" applyNumberFormat="1" applyFont="1" applyFill="1" applyBorder="1"/>
    <xf numFmtId="0" fontId="9" fillId="0" borderId="3" xfId="0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165" fontId="4" fillId="3" borderId="1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Alignment="1">
      <alignment horizontal="center"/>
    </xf>
    <xf numFmtId="165" fontId="4" fillId="2" borderId="2" xfId="1" applyNumberFormat="1" applyFont="1" applyFill="1" applyBorder="1" applyAlignment="1">
      <alignment horizontal="center" vertical="center" wrapText="1"/>
    </xf>
    <xf numFmtId="165" fontId="4" fillId="3" borderId="1" xfId="1" applyNumberFormat="1" applyFont="1" applyFill="1" applyBorder="1" applyAlignment="1">
      <alignment horizontal="center"/>
    </xf>
    <xf numFmtId="0" fontId="12" fillId="0" borderId="0" xfId="0" applyFont="1"/>
    <xf numFmtId="0" fontId="12" fillId="0" borderId="1" xfId="0" applyFont="1" applyBorder="1"/>
    <xf numFmtId="165" fontId="1" fillId="0" borderId="5" xfId="1" applyNumberFormat="1" applyFont="1" applyBorder="1" applyAlignment="1">
      <alignment wrapText="1"/>
    </xf>
    <xf numFmtId="165" fontId="1" fillId="0" borderId="6" xfId="1" applyNumberFormat="1" applyFont="1" applyBorder="1" applyAlignment="1">
      <alignment horizontal="left"/>
    </xf>
    <xf numFmtId="165" fontId="4" fillId="0" borderId="6" xfId="1" applyNumberFormat="1" applyFont="1" applyBorder="1" applyAlignment="1" applyProtection="1">
      <alignment wrapText="1"/>
    </xf>
    <xf numFmtId="0" fontId="13" fillId="0" borderId="7" xfId="0" applyFont="1" applyBorder="1" applyAlignment="1">
      <alignment vertical="center"/>
    </xf>
    <xf numFmtId="0" fontId="13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 wrapText="1"/>
    </xf>
    <xf numFmtId="165" fontId="0" fillId="0" borderId="5" xfId="1" applyNumberFormat="1" applyFont="1" applyBorder="1"/>
    <xf numFmtId="165" fontId="4" fillId="0" borderId="6" xfId="1" applyNumberFormat="1" applyFont="1" applyBorder="1" applyAlignment="1" applyProtection="1">
      <alignment horizontal="left"/>
    </xf>
    <xf numFmtId="0" fontId="13" fillId="0" borderId="1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2" fontId="4" fillId="0" borderId="1" xfId="3" applyNumberFormat="1" applyFont="1" applyBorder="1" applyAlignment="1" applyProtection="1"/>
    <xf numFmtId="0" fontId="14" fillId="0" borderId="0" xfId="0" applyFont="1"/>
    <xf numFmtId="43" fontId="1" fillId="0" borderId="1" xfId="3" applyFont="1" applyFill="1" applyBorder="1" applyAlignment="1" applyProtection="1"/>
    <xf numFmtId="2" fontId="1" fillId="0" borderId="1" xfId="3" applyNumberFormat="1" applyFont="1" applyFill="1" applyBorder="1"/>
    <xf numFmtId="165" fontId="4" fillId="0" borderId="1" xfId="1" applyNumberFormat="1" applyFont="1" applyBorder="1"/>
    <xf numFmtId="2" fontId="4" fillId="0" borderId="1" xfId="1" applyNumberFormat="1" applyFont="1" applyBorder="1"/>
    <xf numFmtId="165" fontId="0" fillId="4" borderId="1" xfId="1" applyNumberFormat="1" applyFont="1" applyFill="1" applyBorder="1"/>
    <xf numFmtId="165" fontId="1" fillId="4" borderId="1" xfId="1" applyNumberFormat="1" applyFont="1" applyFill="1" applyBorder="1"/>
    <xf numFmtId="165" fontId="4" fillId="3" borderId="1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Alignment="1">
      <alignment horizontal="center"/>
    </xf>
    <xf numFmtId="165" fontId="4" fillId="2" borderId="2" xfId="1" applyNumberFormat="1" applyFont="1" applyFill="1" applyBorder="1" applyAlignment="1">
      <alignment horizontal="center" vertical="center" wrapText="1"/>
    </xf>
    <xf numFmtId="165" fontId="4" fillId="3" borderId="1" xfId="1" applyNumberFormat="1" applyFont="1" applyFill="1" applyBorder="1" applyAlignment="1">
      <alignment horizontal="center"/>
    </xf>
    <xf numFmtId="165" fontId="15" fillId="0" borderId="0" xfId="1" applyNumberFormat="1" applyFont="1" applyAlignment="1">
      <alignment horizontal="center"/>
    </xf>
    <xf numFmtId="0" fontId="14" fillId="0" borderId="4" xfId="0" applyFont="1" applyFill="1" applyBorder="1" applyAlignment="1">
      <alignment horizontal="left"/>
    </xf>
    <xf numFmtId="165" fontId="4" fillId="0" borderId="1" xfId="1" applyNumberFormat="1" applyFont="1" applyFill="1" applyBorder="1" applyAlignment="1" applyProtection="1">
      <alignment horizontal="left"/>
    </xf>
    <xf numFmtId="165" fontId="4" fillId="0" borderId="1" xfId="1" applyNumberFormat="1" applyFont="1" applyFill="1" applyBorder="1" applyAlignment="1" applyProtection="1"/>
    <xf numFmtId="165" fontId="0" fillId="5" borderId="0" xfId="1" applyNumberFormat="1" applyFont="1" applyFill="1" applyBorder="1"/>
    <xf numFmtId="168" fontId="4" fillId="3" borderId="1" xfId="1" applyNumberFormat="1" applyFont="1" applyFill="1" applyBorder="1" applyAlignment="1" applyProtection="1"/>
    <xf numFmtId="166" fontId="0" fillId="0" borderId="1" xfId="3" applyNumberFormat="1" applyFont="1" applyBorder="1"/>
    <xf numFmtId="166" fontId="1" fillId="0" borderId="1" xfId="3" applyNumberFormat="1" applyFont="1" applyBorder="1" applyAlignment="1" applyProtection="1"/>
    <xf numFmtId="169" fontId="1" fillId="0" borderId="1" xfId="1" applyNumberFormat="1" applyFont="1" applyBorder="1"/>
    <xf numFmtId="165" fontId="4" fillId="3" borderId="1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Alignment="1">
      <alignment horizontal="center"/>
    </xf>
    <xf numFmtId="165" fontId="4" fillId="2" borderId="2" xfId="1" applyNumberFormat="1" applyFont="1" applyFill="1" applyBorder="1" applyAlignment="1">
      <alignment horizontal="center" vertical="center" wrapText="1"/>
    </xf>
    <xf numFmtId="165" fontId="4" fillId="3" borderId="1" xfId="1" applyNumberFormat="1" applyFont="1" applyFill="1" applyBorder="1" applyAlignment="1">
      <alignment horizontal="center"/>
    </xf>
    <xf numFmtId="165" fontId="4" fillId="3" borderId="6" xfId="1" applyNumberFormat="1" applyFont="1" applyFill="1" applyBorder="1" applyAlignment="1" applyProtection="1">
      <alignment horizontal="left"/>
    </xf>
    <xf numFmtId="165" fontId="4" fillId="3" borderId="6" xfId="1" applyNumberFormat="1" applyFont="1" applyFill="1" applyBorder="1" applyAlignment="1" applyProtection="1">
      <alignment wrapText="1"/>
    </xf>
    <xf numFmtId="165" fontId="4" fillId="0" borderId="0" xfId="1" applyNumberFormat="1" applyFont="1"/>
    <xf numFmtId="165" fontId="4" fillId="0" borderId="5" xfId="1" applyNumberFormat="1" applyFont="1" applyBorder="1"/>
    <xf numFmtId="165" fontId="4" fillId="0" borderId="0" xfId="1" applyNumberFormat="1" applyFont="1" applyBorder="1"/>
    <xf numFmtId="165" fontId="4" fillId="0" borderId="5" xfId="1" applyNumberFormat="1" applyFont="1" applyFill="1" applyBorder="1"/>
    <xf numFmtId="165" fontId="0" fillId="0" borderId="5" xfId="1" applyNumberFormat="1" applyFont="1" applyFill="1" applyBorder="1"/>
    <xf numFmtId="165" fontId="4" fillId="0" borderId="6" xfId="1" applyNumberFormat="1" applyFont="1" applyFill="1" applyBorder="1" applyAlignment="1" applyProtection="1">
      <alignment horizontal="left"/>
    </xf>
    <xf numFmtId="165" fontId="4" fillId="0" borderId="6" xfId="1" applyNumberFormat="1" applyFont="1" applyFill="1" applyBorder="1" applyAlignment="1" applyProtection="1">
      <alignment wrapText="1"/>
    </xf>
    <xf numFmtId="165" fontId="0" fillId="0" borderId="6" xfId="1" applyNumberFormat="1" applyFont="1" applyBorder="1" applyAlignment="1">
      <alignment horizontal="left"/>
    </xf>
    <xf numFmtId="165" fontId="0" fillId="0" borderId="6" xfId="1" applyNumberFormat="1" applyFont="1" applyBorder="1" applyAlignment="1">
      <alignment wrapText="1"/>
    </xf>
    <xf numFmtId="165" fontId="4" fillId="0" borderId="6" xfId="1" applyNumberFormat="1" applyFont="1" applyBorder="1" applyAlignment="1">
      <alignment horizontal="left"/>
    </xf>
    <xf numFmtId="165" fontId="4" fillId="0" borderId="6" xfId="1" applyNumberFormat="1" applyFont="1" applyBorder="1" applyAlignment="1">
      <alignment wrapText="1"/>
    </xf>
    <xf numFmtId="0" fontId="12" fillId="0" borderId="6" xfId="0" applyFont="1" applyBorder="1"/>
    <xf numFmtId="165" fontId="0" fillId="0" borderId="8" xfId="1" applyNumberFormat="1" applyFont="1" applyBorder="1" applyAlignment="1">
      <alignment horizontal="left"/>
    </xf>
    <xf numFmtId="165" fontId="0" fillId="0" borderId="8" xfId="1" applyNumberFormat="1" applyFont="1" applyBorder="1" applyAlignment="1">
      <alignment wrapText="1"/>
    </xf>
    <xf numFmtId="0" fontId="13" fillId="0" borderId="6" xfId="0" applyFont="1" applyBorder="1" applyAlignment="1">
      <alignment vertical="center" wrapText="1"/>
    </xf>
    <xf numFmtId="0" fontId="14" fillId="0" borderId="8" xfId="0" applyFont="1" applyBorder="1" applyAlignment="1">
      <alignment vertical="center"/>
    </xf>
    <xf numFmtId="0" fontId="14" fillId="0" borderId="8" xfId="0" applyFont="1" applyBorder="1" applyAlignment="1">
      <alignment vertical="center" wrapText="1"/>
    </xf>
    <xf numFmtId="2" fontId="0" fillId="0" borderId="5" xfId="1" applyNumberFormat="1" applyFont="1" applyBorder="1"/>
    <xf numFmtId="4" fontId="14" fillId="0" borderId="1" xfId="0" applyNumberFormat="1" applyFont="1" applyBorder="1" applyAlignment="1">
      <alignment horizontal="right" vertical="center"/>
    </xf>
    <xf numFmtId="0" fontId="14" fillId="0" borderId="0" xfId="0" applyFont="1" applyAlignment="1">
      <alignment wrapText="1"/>
    </xf>
    <xf numFmtId="0" fontId="14" fillId="0" borderId="9" xfId="0" applyFont="1" applyBorder="1" applyAlignment="1">
      <alignment vertical="center"/>
    </xf>
    <xf numFmtId="0" fontId="14" fillId="0" borderId="9" xfId="0" applyFont="1" applyBorder="1" applyAlignment="1">
      <alignment vertical="center" wrapText="1"/>
    </xf>
    <xf numFmtId="0" fontId="14" fillId="0" borderId="4" xfId="0" applyFont="1" applyBorder="1" applyAlignment="1">
      <alignment vertical="center"/>
    </xf>
    <xf numFmtId="165" fontId="1" fillId="0" borderId="8" xfId="1" applyNumberFormat="1" applyFont="1" applyBorder="1"/>
    <xf numFmtId="165" fontId="1" fillId="0" borderId="6" xfId="1" applyNumberFormat="1" applyFont="1" applyBorder="1" applyAlignment="1">
      <alignment wrapText="1"/>
    </xf>
    <xf numFmtId="2" fontId="0" fillId="0" borderId="6" xfId="1" applyNumberFormat="1" applyFont="1" applyBorder="1"/>
    <xf numFmtId="165" fontId="4" fillId="0" borderId="8" xfId="1" applyNumberFormat="1" applyFont="1" applyBorder="1" applyAlignment="1">
      <alignment horizontal="left"/>
    </xf>
    <xf numFmtId="165" fontId="4" fillId="0" borderId="8" xfId="1" applyNumberFormat="1" applyFont="1" applyBorder="1" applyAlignment="1">
      <alignment wrapText="1"/>
    </xf>
    <xf numFmtId="165" fontId="4" fillId="3" borderId="6" xfId="1" applyNumberFormat="1" applyFont="1" applyFill="1" applyBorder="1" applyAlignment="1">
      <alignment horizontal="left"/>
    </xf>
    <xf numFmtId="165" fontId="4" fillId="3" borderId="6" xfId="1" applyNumberFormat="1" applyFont="1" applyFill="1" applyBorder="1" applyAlignment="1">
      <alignment wrapText="1"/>
    </xf>
    <xf numFmtId="0" fontId="14" fillId="0" borderId="6" xfId="0" applyFont="1" applyBorder="1" applyAlignment="1">
      <alignment vertical="center"/>
    </xf>
    <xf numFmtId="0" fontId="14" fillId="0" borderId="6" xfId="0" applyFont="1" applyBorder="1" applyAlignment="1">
      <alignment vertical="center" wrapText="1"/>
    </xf>
    <xf numFmtId="165" fontId="0" fillId="0" borderId="2" xfId="1" applyNumberFormat="1" applyFont="1" applyBorder="1"/>
    <xf numFmtId="2" fontId="1" fillId="0" borderId="5" xfId="1" applyNumberFormat="1" applyFont="1" applyBorder="1"/>
    <xf numFmtId="2" fontId="0" fillId="0" borderId="8" xfId="1" applyNumberFormat="1" applyFont="1" applyBorder="1"/>
    <xf numFmtId="2" fontId="1" fillId="0" borderId="6" xfId="1" applyNumberFormat="1" applyFont="1" applyBorder="1"/>
    <xf numFmtId="0" fontId="13" fillId="0" borderId="1" xfId="0" applyFont="1" applyBorder="1" applyAlignment="1">
      <alignment horizontal="right" vertical="center"/>
    </xf>
    <xf numFmtId="0" fontId="14" fillId="0" borderId="1" xfId="0" applyFont="1" applyBorder="1" applyAlignment="1">
      <alignment horizontal="right" vertical="center"/>
    </xf>
    <xf numFmtId="0" fontId="0" fillId="0" borderId="5" xfId="0" applyBorder="1"/>
    <xf numFmtId="0" fontId="4" fillId="0" borderId="6" xfId="0" applyFont="1" applyBorder="1" applyAlignment="1" applyProtection="1">
      <alignment horizontal="left"/>
    </xf>
    <xf numFmtId="0" fontId="4" fillId="0" borderId="6" xfId="0" applyFont="1" applyBorder="1" applyAlignment="1" applyProtection="1">
      <alignment wrapText="1"/>
    </xf>
    <xf numFmtId="0" fontId="4" fillId="0" borderId="1" xfId="0" applyFont="1" applyBorder="1" applyAlignment="1">
      <alignment horizontal="left"/>
    </xf>
    <xf numFmtId="0" fontId="13" fillId="0" borderId="1" xfId="0" applyFont="1" applyBorder="1"/>
    <xf numFmtId="0" fontId="0" fillId="0" borderId="5" xfId="0" applyBorder="1" applyAlignment="1">
      <alignment wrapText="1"/>
    </xf>
    <xf numFmtId="0" fontId="4" fillId="0" borderId="5" xfId="0" applyFont="1" applyBorder="1" applyAlignment="1" applyProtection="1">
      <alignment wrapText="1"/>
    </xf>
    <xf numFmtId="165" fontId="0" fillId="0" borderId="8" xfId="1" applyNumberFormat="1" applyFont="1" applyBorder="1"/>
    <xf numFmtId="0" fontId="14" fillId="0" borderId="1" xfId="0" applyFont="1" applyBorder="1"/>
    <xf numFmtId="0" fontId="14" fillId="6" borderId="1" xfId="0" applyFont="1" applyFill="1" applyBorder="1" applyAlignment="1">
      <alignment vertical="center"/>
    </xf>
    <xf numFmtId="165" fontId="4" fillId="0" borderId="5" xfId="1" applyNumberFormat="1" applyFont="1" applyBorder="1" applyAlignment="1">
      <alignment wrapText="1"/>
    </xf>
    <xf numFmtId="165" fontId="0" fillId="0" borderId="5" xfId="1" applyNumberFormat="1" applyFont="1" applyFill="1" applyBorder="1" applyAlignment="1">
      <alignment wrapText="1"/>
    </xf>
    <xf numFmtId="165" fontId="4" fillId="0" borderId="5" xfId="1" applyNumberFormat="1" applyFont="1" applyBorder="1" applyAlignment="1" applyProtection="1">
      <alignment wrapText="1"/>
    </xf>
    <xf numFmtId="0" fontId="14" fillId="0" borderId="1" xfId="0" applyFont="1" applyFill="1" applyBorder="1" applyAlignment="1">
      <alignment horizontal="left"/>
    </xf>
    <xf numFmtId="165" fontId="0" fillId="0" borderId="1" xfId="1" applyNumberFormat="1" applyFont="1" applyBorder="1" applyAlignment="1" applyProtection="1">
      <alignment wrapText="1"/>
    </xf>
    <xf numFmtId="164" fontId="0" fillId="0" borderId="1" xfId="1" applyFont="1" applyBorder="1"/>
    <xf numFmtId="165" fontId="1" fillId="0" borderId="5" xfId="1" applyNumberFormat="1" applyFont="1" applyBorder="1" applyAlignment="1" applyProtection="1"/>
    <xf numFmtId="165" fontId="0" fillId="7" borderId="1" xfId="1" applyNumberFormat="1" applyFont="1" applyFill="1" applyBorder="1"/>
    <xf numFmtId="2" fontId="0" fillId="0" borderId="2" xfId="1" applyNumberFormat="1" applyFont="1" applyBorder="1"/>
    <xf numFmtId="2" fontId="1" fillId="0" borderId="2" xfId="1" applyNumberFormat="1" applyFont="1" applyBorder="1"/>
    <xf numFmtId="165" fontId="1" fillId="7" borderId="0" xfId="1" applyNumberFormat="1" applyFont="1" applyFill="1" applyBorder="1"/>
    <xf numFmtId="2" fontId="0" fillId="0" borderId="1" xfId="3" applyNumberFormat="1" applyFont="1" applyFill="1" applyBorder="1"/>
    <xf numFmtId="2" fontId="0" fillId="0" borderId="1" xfId="1" applyNumberFormat="1" applyFont="1" applyBorder="1" applyAlignment="1">
      <alignment horizontal="right"/>
    </xf>
    <xf numFmtId="2" fontId="1" fillId="0" borderId="8" xfId="1" applyNumberFormat="1" applyFont="1" applyBorder="1"/>
    <xf numFmtId="165" fontId="4" fillId="3" borderId="1" xfId="1" applyNumberFormat="1" applyFont="1" applyFill="1" applyBorder="1" applyAlignment="1">
      <alignment horizontal="center" vertical="center" wrapText="1"/>
    </xf>
    <xf numFmtId="165" fontId="4" fillId="3" borderId="1" xfId="1" applyNumberFormat="1" applyFont="1" applyFill="1" applyBorder="1" applyAlignment="1">
      <alignment horizontal="center"/>
    </xf>
    <xf numFmtId="165" fontId="2" fillId="0" borderId="0" xfId="1" applyNumberFormat="1" applyFont="1" applyAlignment="1">
      <alignment horizontal="center"/>
    </xf>
    <xf numFmtId="165" fontId="4" fillId="2" borderId="2" xfId="1" applyNumberFormat="1" applyFont="1" applyFill="1" applyBorder="1" applyAlignment="1">
      <alignment horizontal="center" vertical="center" wrapText="1"/>
    </xf>
    <xf numFmtId="165" fontId="0" fillId="0" borderId="8" xfId="1" applyNumberFormat="1" applyFont="1" applyFill="1" applyBorder="1" applyAlignment="1">
      <alignment wrapText="1"/>
    </xf>
    <xf numFmtId="0" fontId="14" fillId="0" borderId="1" xfId="0" applyFont="1" applyFill="1" applyBorder="1" applyAlignment="1">
      <alignment vertical="center" wrapText="1"/>
    </xf>
    <xf numFmtId="165" fontId="1" fillId="0" borderId="1" xfId="1" applyNumberFormat="1" applyFont="1" applyFill="1" applyBorder="1" applyAlignment="1" applyProtection="1"/>
    <xf numFmtId="2" fontId="4" fillId="3" borderId="1" xfId="3" applyNumberFormat="1" applyFont="1" applyFill="1" applyBorder="1" applyAlignment="1" applyProtection="1"/>
    <xf numFmtId="165" fontId="0" fillId="8" borderId="1" xfId="1" applyNumberFormat="1" applyFont="1" applyFill="1" applyBorder="1"/>
    <xf numFmtId="165" fontId="16" fillId="0" borderId="1" xfId="1" applyNumberFormat="1" applyFont="1" applyBorder="1" applyAlignment="1">
      <alignment horizontal="left"/>
    </xf>
    <xf numFmtId="165" fontId="0" fillId="9" borderId="1" xfId="1" applyNumberFormat="1" applyFont="1" applyFill="1" applyBorder="1" applyAlignment="1">
      <alignment horizontal="left"/>
    </xf>
    <xf numFmtId="0" fontId="4" fillId="0" borderId="1" xfId="0" applyFont="1" applyFill="1" applyBorder="1" applyAlignment="1" applyProtection="1">
      <alignment horizontal="left"/>
    </xf>
    <xf numFmtId="0" fontId="0" fillId="0" borderId="1" xfId="0" applyFill="1" applyBorder="1" applyAlignment="1">
      <alignment horizontal="left"/>
    </xf>
    <xf numFmtId="0" fontId="14" fillId="0" borderId="0" xfId="0" applyFont="1" applyFill="1"/>
    <xf numFmtId="2" fontId="1" fillId="0" borderId="5" xfId="1" applyNumberFormat="1" applyFont="1" applyBorder="1" applyAlignment="1" applyProtection="1"/>
    <xf numFmtId="165" fontId="1" fillId="0" borderId="0" xfId="1" applyNumberFormat="1" applyFont="1" applyFill="1" applyBorder="1" applyAlignment="1">
      <alignment wrapText="1"/>
    </xf>
    <xf numFmtId="2" fontId="1" fillId="0" borderId="1" xfId="3" applyNumberFormat="1" applyFont="1" applyFill="1" applyBorder="1" applyAlignment="1" applyProtection="1"/>
    <xf numFmtId="0" fontId="4" fillId="5" borderId="1" xfId="0" applyFont="1" applyFill="1" applyBorder="1" applyAlignment="1" applyProtection="1">
      <alignment wrapText="1"/>
    </xf>
    <xf numFmtId="0" fontId="4" fillId="5" borderId="1" xfId="0" applyFont="1" applyFill="1" applyBorder="1" applyAlignment="1">
      <alignment wrapText="1"/>
    </xf>
    <xf numFmtId="0" fontId="4" fillId="5" borderId="5" xfId="0" applyFont="1" applyFill="1" applyBorder="1" applyAlignment="1">
      <alignment wrapText="1"/>
    </xf>
    <xf numFmtId="165" fontId="0" fillId="0" borderId="0" xfId="1" applyNumberFormat="1" applyFont="1" applyFill="1" applyBorder="1"/>
    <xf numFmtId="165" fontId="4" fillId="3" borderId="1" xfId="1" applyNumberFormat="1" applyFont="1" applyFill="1" applyBorder="1" applyAlignment="1">
      <alignment horizontal="center" vertical="center" wrapText="1"/>
    </xf>
    <xf numFmtId="165" fontId="4" fillId="3" borderId="1" xfId="1" applyNumberFormat="1" applyFont="1" applyFill="1" applyBorder="1" applyAlignment="1">
      <alignment horizontal="center"/>
    </xf>
    <xf numFmtId="165" fontId="2" fillId="0" borderId="0" xfId="1" applyNumberFormat="1" applyFont="1" applyAlignment="1">
      <alignment horizontal="center"/>
    </xf>
    <xf numFmtId="165" fontId="4" fillId="2" borderId="2" xfId="1" applyNumberFormat="1" applyFont="1" applyFill="1" applyBorder="1" applyAlignment="1">
      <alignment horizontal="center" vertical="center" wrapText="1"/>
    </xf>
    <xf numFmtId="164" fontId="1" fillId="0" borderId="1" xfId="1" applyFont="1" applyBorder="1"/>
    <xf numFmtId="165" fontId="4" fillId="3" borderId="1" xfId="1" applyNumberFormat="1" applyFont="1" applyFill="1" applyBorder="1" applyAlignment="1">
      <alignment horizontal="center" vertical="center" wrapText="1"/>
    </xf>
    <xf numFmtId="165" fontId="4" fillId="3" borderId="1" xfId="1" applyNumberFormat="1" applyFont="1" applyFill="1" applyBorder="1" applyAlignment="1">
      <alignment horizontal="center"/>
    </xf>
    <xf numFmtId="165" fontId="2" fillId="0" borderId="0" xfId="1" applyNumberFormat="1" applyFont="1" applyAlignment="1">
      <alignment horizontal="center"/>
    </xf>
    <xf numFmtId="165" fontId="4" fillId="2" borderId="2" xfId="1" applyNumberFormat="1" applyFont="1" applyFill="1" applyBorder="1" applyAlignment="1">
      <alignment horizontal="center" vertical="center" wrapText="1"/>
    </xf>
    <xf numFmtId="168" fontId="0" fillId="0" borderId="1" xfId="1" applyNumberFormat="1" applyFont="1" applyBorder="1"/>
    <xf numFmtId="165" fontId="1" fillId="0" borderId="6" xfId="1" applyNumberFormat="1" applyFont="1" applyBorder="1"/>
    <xf numFmtId="0" fontId="13" fillId="3" borderId="1" xfId="0" applyFont="1" applyFill="1" applyBorder="1" applyAlignment="1">
      <alignment vertical="center"/>
    </xf>
    <xf numFmtId="0" fontId="13" fillId="3" borderId="1" xfId="0" applyFont="1" applyFill="1" applyBorder="1" applyAlignment="1">
      <alignment vertical="center" wrapText="1"/>
    </xf>
    <xf numFmtId="165" fontId="4" fillId="3" borderId="5" xfId="1" applyNumberFormat="1" applyFont="1" applyFill="1" applyBorder="1"/>
    <xf numFmtId="2" fontId="0" fillId="0" borderId="0" xfId="1" applyNumberFormat="1" applyFont="1"/>
    <xf numFmtId="10" fontId="2" fillId="0" borderId="0" xfId="2" applyNumberFormat="1" applyFont="1" applyAlignment="1">
      <alignment horizontal="center"/>
    </xf>
    <xf numFmtId="165" fontId="4" fillId="3" borderId="1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Alignment="1">
      <alignment horizontal="center"/>
    </xf>
    <xf numFmtId="165" fontId="4" fillId="2" borderId="2" xfId="1" applyNumberFormat="1" applyFont="1" applyFill="1" applyBorder="1" applyAlignment="1">
      <alignment horizontal="center" vertical="center" wrapText="1"/>
    </xf>
    <xf numFmtId="165" fontId="4" fillId="3" borderId="1" xfId="1" applyNumberFormat="1" applyFont="1" applyFill="1" applyBorder="1" applyAlignment="1">
      <alignment horizontal="center"/>
    </xf>
    <xf numFmtId="165" fontId="0" fillId="5" borderId="0" xfId="1" applyNumberFormat="1" applyFont="1" applyFill="1"/>
    <xf numFmtId="165" fontId="0" fillId="5" borderId="1" xfId="1" applyNumberFormat="1" applyFont="1" applyFill="1" applyBorder="1" applyAlignment="1">
      <alignment horizontal="left"/>
    </xf>
    <xf numFmtId="165" fontId="1" fillId="5" borderId="1" xfId="1" applyNumberFormat="1" applyFont="1" applyFill="1" applyBorder="1" applyAlignment="1">
      <alignment wrapText="1"/>
    </xf>
    <xf numFmtId="165" fontId="0" fillId="5" borderId="1" xfId="1" applyNumberFormat="1" applyFont="1" applyFill="1" applyBorder="1"/>
    <xf numFmtId="2" fontId="0" fillId="5" borderId="1" xfId="1" applyNumberFormat="1" applyFont="1" applyFill="1" applyBorder="1"/>
    <xf numFmtId="43" fontId="0" fillId="5" borderId="1" xfId="0" applyNumberFormat="1" applyFill="1" applyBorder="1"/>
    <xf numFmtId="165" fontId="1" fillId="5" borderId="1" xfId="1" applyNumberFormat="1" applyFont="1" applyFill="1" applyBorder="1" applyAlignment="1" applyProtection="1"/>
    <xf numFmtId="165" fontId="1" fillId="5" borderId="1" xfId="1" applyNumberFormat="1" applyFont="1" applyFill="1" applyBorder="1"/>
    <xf numFmtId="10" fontId="1" fillId="5" borderId="1" xfId="2" applyNumberFormat="1" applyFont="1" applyFill="1" applyBorder="1" applyAlignment="1" applyProtection="1"/>
    <xf numFmtId="165" fontId="1" fillId="5" borderId="0" xfId="1" applyNumberFormat="1" applyFont="1" applyFill="1" applyBorder="1"/>
    <xf numFmtId="4" fontId="14" fillId="0" borderId="6" xfId="0" applyNumberFormat="1" applyFont="1" applyBorder="1" applyAlignment="1">
      <alignment horizontal="right" vertical="center"/>
    </xf>
    <xf numFmtId="165" fontId="0" fillId="10" borderId="1" xfId="1" applyNumberFormat="1" applyFont="1" applyFill="1" applyBorder="1"/>
    <xf numFmtId="165" fontId="0" fillId="10" borderId="0" xfId="1" applyNumberFormat="1" applyFont="1" applyFill="1"/>
    <xf numFmtId="2" fontId="0" fillId="8" borderId="1" xfId="1" applyNumberFormat="1" applyFont="1" applyFill="1" applyBorder="1"/>
    <xf numFmtId="165" fontId="0" fillId="8" borderId="0" xfId="1" applyNumberFormat="1" applyFont="1" applyFill="1"/>
    <xf numFmtId="43" fontId="1" fillId="0" borderId="1" xfId="0" applyNumberFormat="1" applyFont="1" applyBorder="1"/>
    <xf numFmtId="0" fontId="14" fillId="0" borderId="1" xfId="0" applyFont="1" applyFill="1" applyBorder="1" applyAlignment="1">
      <alignment vertical="center"/>
    </xf>
    <xf numFmtId="165" fontId="4" fillId="3" borderId="1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Alignment="1">
      <alignment horizontal="center"/>
    </xf>
    <xf numFmtId="165" fontId="4" fillId="2" borderId="2" xfId="1" applyNumberFormat="1" applyFont="1" applyFill="1" applyBorder="1" applyAlignment="1">
      <alignment horizontal="center" vertical="center" wrapText="1"/>
    </xf>
    <xf numFmtId="165" fontId="4" fillId="3" borderId="1" xfId="1" applyNumberFormat="1" applyFont="1" applyFill="1" applyBorder="1" applyAlignment="1">
      <alignment horizontal="center"/>
    </xf>
    <xf numFmtId="165" fontId="4" fillId="0" borderId="0" xfId="1" applyNumberFormat="1" applyFont="1" applyBorder="1" applyAlignment="1">
      <alignment wrapText="1"/>
    </xf>
    <xf numFmtId="165" fontId="0" fillId="0" borderId="0" xfId="1" applyNumberFormat="1" applyFont="1" applyBorder="1" applyAlignment="1">
      <alignment horizontal="left"/>
    </xf>
    <xf numFmtId="168" fontId="1" fillId="0" borderId="1" xfId="1" applyNumberFormat="1" applyFont="1" applyBorder="1"/>
    <xf numFmtId="166" fontId="0" fillId="0" borderId="1" xfId="1" applyNumberFormat="1" applyFont="1" applyBorder="1"/>
    <xf numFmtId="9" fontId="1" fillId="0" borderId="1" xfId="2" applyFont="1" applyBorder="1" applyAlignment="1" applyProtection="1"/>
    <xf numFmtId="0" fontId="0" fillId="0" borderId="1" xfId="0" applyFill="1" applyBorder="1"/>
    <xf numFmtId="165" fontId="4" fillId="3" borderId="1" xfId="1" applyNumberFormat="1" applyFont="1" applyFill="1" applyBorder="1" applyAlignment="1">
      <alignment horizontal="center" vertical="center" wrapText="1"/>
    </xf>
    <xf numFmtId="165" fontId="4" fillId="3" borderId="1" xfId="1" applyNumberFormat="1" applyFont="1" applyFill="1" applyBorder="1" applyAlignment="1">
      <alignment horizontal="center"/>
    </xf>
    <xf numFmtId="165" fontId="2" fillId="0" borderId="0" xfId="1" applyNumberFormat="1" applyFont="1" applyAlignment="1">
      <alignment horizontal="center"/>
    </xf>
    <xf numFmtId="165" fontId="4" fillId="2" borderId="2" xfId="1" applyNumberFormat="1" applyFont="1" applyFill="1" applyBorder="1" applyAlignment="1">
      <alignment horizontal="center" vertical="center" wrapText="1"/>
    </xf>
    <xf numFmtId="165" fontId="16" fillId="0" borderId="0" xfId="1" applyNumberFormat="1" applyFont="1"/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wrapText="1"/>
    </xf>
    <xf numFmtId="43" fontId="1" fillId="3" borderId="1" xfId="0" applyNumberFormat="1" applyFont="1" applyFill="1" applyBorder="1"/>
    <xf numFmtId="165" fontId="4" fillId="3" borderId="1" xfId="1" applyNumberFormat="1" applyFont="1" applyFill="1" applyBorder="1" applyAlignment="1">
      <alignment horizontal="center" vertical="center" wrapText="1"/>
    </xf>
    <xf numFmtId="165" fontId="4" fillId="3" borderId="1" xfId="1" applyNumberFormat="1" applyFont="1" applyFill="1" applyBorder="1" applyAlignment="1">
      <alignment horizontal="center"/>
    </xf>
    <xf numFmtId="165" fontId="2" fillId="0" borderId="0" xfId="1" applyNumberFormat="1" applyFont="1" applyAlignment="1">
      <alignment horizontal="center"/>
    </xf>
    <xf numFmtId="165" fontId="4" fillId="2" borderId="1" xfId="1" applyNumberFormat="1" applyFont="1" applyFill="1" applyBorder="1" applyAlignment="1">
      <alignment horizontal="center" vertical="center" wrapText="1"/>
    </xf>
    <xf numFmtId="165" fontId="4" fillId="2" borderId="2" xfId="1" applyNumberFormat="1" applyFont="1" applyFill="1" applyBorder="1" applyAlignment="1">
      <alignment horizontal="center" vertical="center" wrapText="1"/>
    </xf>
    <xf numFmtId="165" fontId="4" fillId="3" borderId="1" xfId="1" applyNumberFormat="1" applyFont="1" applyFill="1" applyBorder="1" applyAlignment="1">
      <alignment horizontal="center" vertical="center"/>
    </xf>
    <xf numFmtId="165" fontId="20" fillId="0" borderId="0" xfId="1" applyNumberFormat="1" applyFont="1" applyFill="1" applyBorder="1"/>
    <xf numFmtId="165" fontId="19" fillId="0" borderId="0" xfId="1" applyNumberFormat="1" applyFont="1" applyFill="1" applyBorder="1"/>
    <xf numFmtId="165" fontId="19" fillId="0" borderId="0" xfId="1" applyNumberFormat="1" applyFont="1" applyFill="1" applyAlignment="1">
      <alignment horizontal="center"/>
    </xf>
    <xf numFmtId="165" fontId="19" fillId="0" borderId="0" xfId="1" applyNumberFormat="1" applyFont="1" applyFill="1"/>
    <xf numFmtId="165" fontId="21" fillId="0" borderId="0" xfId="1" applyNumberFormat="1" applyFont="1" applyFill="1" applyBorder="1"/>
  </cellXfs>
  <cellStyles count="4">
    <cellStyle name="Millares" xfId="3" builtinId="3"/>
    <cellStyle name="Millares [0]" xfId="1" builtinId="6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baronp\Documents\ALCALDIA%20DE%20BUCARAMANGA%202021\MARZO\EJECUCION%20DE%20GASTOS%202021%20GENERAL%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</sheetNames>
    <sheetDataSet>
      <sheetData sheetId="0">
        <row r="18">
          <cell r="U18">
            <v>33879467</v>
          </cell>
        </row>
        <row r="19">
          <cell r="U19">
            <v>0</v>
          </cell>
        </row>
        <row r="20">
          <cell r="U20">
            <v>658278</v>
          </cell>
        </row>
        <row r="21">
          <cell r="U21">
            <v>0</v>
          </cell>
        </row>
        <row r="22">
          <cell r="U22">
            <v>0</v>
          </cell>
        </row>
        <row r="23">
          <cell r="U23">
            <v>0</v>
          </cell>
        </row>
        <row r="25">
          <cell r="U25">
            <v>407076</v>
          </cell>
        </row>
        <row r="28">
          <cell r="U28">
            <v>1014781</v>
          </cell>
        </row>
        <row r="29">
          <cell r="U29">
            <v>0</v>
          </cell>
        </row>
        <row r="90">
          <cell r="O90">
            <v>118559160</v>
          </cell>
          <cell r="R90">
            <v>78559160</v>
          </cell>
        </row>
        <row r="93">
          <cell r="O93">
            <v>0</v>
          </cell>
          <cell r="R93">
            <v>0</v>
          </cell>
        </row>
        <row r="94">
          <cell r="O94">
            <v>654747508</v>
          </cell>
          <cell r="R94">
            <v>538757020</v>
          </cell>
        </row>
        <row r="95">
          <cell r="O95">
            <v>2531416214</v>
          </cell>
          <cell r="R95">
            <v>41590000</v>
          </cell>
        </row>
        <row r="96">
          <cell r="O96">
            <v>8063307848.9300003</v>
          </cell>
          <cell r="R96">
            <v>6571753723.5100002</v>
          </cell>
        </row>
        <row r="97">
          <cell r="O97">
            <v>0</v>
          </cell>
          <cell r="R97">
            <v>0</v>
          </cell>
        </row>
        <row r="98">
          <cell r="O98">
            <v>0</v>
          </cell>
          <cell r="R98">
            <v>0</v>
          </cell>
        </row>
        <row r="103">
          <cell r="O103">
            <v>208333333</v>
          </cell>
        </row>
        <row r="104">
          <cell r="O104">
            <v>296423333</v>
          </cell>
        </row>
        <row r="105">
          <cell r="O105">
            <v>0</v>
          </cell>
        </row>
        <row r="106">
          <cell r="O106">
            <v>33802545.079999998</v>
          </cell>
        </row>
        <row r="107">
          <cell r="O107">
            <v>380493658.07999998</v>
          </cell>
        </row>
        <row r="108">
          <cell r="O108">
            <v>800000000</v>
          </cell>
        </row>
        <row r="109">
          <cell r="O109">
            <v>0</v>
          </cell>
        </row>
        <row r="110">
          <cell r="O110">
            <v>312377417</v>
          </cell>
        </row>
        <row r="111">
          <cell r="O111">
            <v>80525000</v>
          </cell>
        </row>
        <row r="112">
          <cell r="O112">
            <v>326853733</v>
          </cell>
        </row>
        <row r="113">
          <cell r="O113">
            <v>0</v>
          </cell>
        </row>
        <row r="137">
          <cell r="O137">
            <v>10429000</v>
          </cell>
          <cell r="R137">
            <v>4200000</v>
          </cell>
        </row>
        <row r="201">
          <cell r="O201">
            <v>171000000</v>
          </cell>
          <cell r="R201">
            <v>32000000</v>
          </cell>
        </row>
        <row r="205">
          <cell r="O205">
            <v>0</v>
          </cell>
        </row>
        <row r="213">
          <cell r="O213">
            <v>425500000</v>
          </cell>
        </row>
        <row r="230">
          <cell r="U230">
            <v>613736011</v>
          </cell>
        </row>
        <row r="232">
          <cell r="U232">
            <v>4109290</v>
          </cell>
        </row>
        <row r="234">
          <cell r="U234">
            <v>19219918</v>
          </cell>
        </row>
        <row r="239">
          <cell r="U239">
            <v>5573767</v>
          </cell>
        </row>
        <row r="242">
          <cell r="U242">
            <v>0</v>
          </cell>
        </row>
        <row r="244">
          <cell r="U244">
            <v>0</v>
          </cell>
        </row>
        <row r="246">
          <cell r="U246">
            <v>50188568</v>
          </cell>
        </row>
        <row r="262">
          <cell r="U262">
            <v>0</v>
          </cell>
        </row>
        <row r="266">
          <cell r="U266">
            <v>0</v>
          </cell>
        </row>
        <row r="268">
          <cell r="U268">
            <v>0</v>
          </cell>
        </row>
        <row r="277">
          <cell r="U277">
            <v>5741202907</v>
          </cell>
        </row>
        <row r="279">
          <cell r="U279">
            <v>676576</v>
          </cell>
        </row>
        <row r="281">
          <cell r="U281">
            <v>1542275</v>
          </cell>
        </row>
        <row r="283">
          <cell r="U283">
            <v>2412946</v>
          </cell>
        </row>
        <row r="285">
          <cell r="U285">
            <v>28541579</v>
          </cell>
        </row>
        <row r="287">
          <cell r="U287">
            <v>843919241</v>
          </cell>
        </row>
        <row r="290">
          <cell r="U290">
            <v>7309790</v>
          </cell>
        </row>
        <row r="295">
          <cell r="U295">
            <v>899659642.20000005</v>
          </cell>
        </row>
        <row r="299">
          <cell r="U299">
            <v>839034336</v>
          </cell>
        </row>
        <row r="301">
          <cell r="U301">
            <v>0</v>
          </cell>
        </row>
        <row r="314">
          <cell r="U314">
            <v>0</v>
          </cell>
        </row>
        <row r="324">
          <cell r="U324">
            <v>618070574</v>
          </cell>
        </row>
        <row r="326">
          <cell r="U326">
            <v>3476250</v>
          </cell>
        </row>
        <row r="328">
          <cell r="U328">
            <v>1298277</v>
          </cell>
        </row>
        <row r="330">
          <cell r="U330">
            <v>61461056</v>
          </cell>
        </row>
        <row r="340">
          <cell r="U340">
            <v>85867223.219999999</v>
          </cell>
        </row>
        <row r="342">
          <cell r="U342">
            <v>71984524.780000001</v>
          </cell>
        </row>
        <row r="346">
          <cell r="U346">
            <v>0</v>
          </cell>
        </row>
        <row r="360">
          <cell r="U360">
            <v>0</v>
          </cell>
        </row>
        <row r="375">
          <cell r="O375">
            <v>798939397.88</v>
          </cell>
        </row>
        <row r="395">
          <cell r="U395">
            <v>123811257</v>
          </cell>
        </row>
        <row r="415">
          <cell r="O415">
            <v>524800000</v>
          </cell>
        </row>
        <row r="419">
          <cell r="O419">
            <v>0</v>
          </cell>
        </row>
        <row r="430">
          <cell r="O430">
            <v>1112000000</v>
          </cell>
        </row>
        <row r="431">
          <cell r="O431">
            <v>5799643471</v>
          </cell>
        </row>
        <row r="438">
          <cell r="O438">
            <v>448000000</v>
          </cell>
        </row>
        <row r="439">
          <cell r="O439">
            <v>44800000</v>
          </cell>
        </row>
        <row r="479">
          <cell r="O479">
            <v>20296361142</v>
          </cell>
        </row>
        <row r="501">
          <cell r="O501">
            <v>658085546</v>
          </cell>
        </row>
        <row r="525">
          <cell r="O525">
            <v>897096529.63</v>
          </cell>
        </row>
        <row r="526">
          <cell r="O526">
            <v>6678050.4500000002</v>
          </cell>
        </row>
        <row r="528">
          <cell r="O528">
            <v>2529600000</v>
          </cell>
        </row>
        <row r="529">
          <cell r="O529">
            <v>882400000</v>
          </cell>
        </row>
        <row r="581">
          <cell r="O581">
            <v>0</v>
          </cell>
        </row>
        <row r="587">
          <cell r="O587">
            <v>80000000</v>
          </cell>
        </row>
        <row r="591">
          <cell r="O591">
            <v>320800000</v>
          </cell>
        </row>
        <row r="594">
          <cell r="O594">
            <v>142049727.77000001</v>
          </cell>
        </row>
        <row r="596">
          <cell r="O596">
            <v>695454761</v>
          </cell>
        </row>
        <row r="597">
          <cell r="O597">
            <v>2628102905.9299998</v>
          </cell>
        </row>
        <row r="599">
          <cell r="O599">
            <v>1661510016</v>
          </cell>
        </row>
        <row r="601">
          <cell r="O601">
            <v>120800000</v>
          </cell>
        </row>
        <row r="604">
          <cell r="O604">
            <v>0</v>
          </cell>
        </row>
        <row r="607">
          <cell r="O607">
            <v>399172067.76999998</v>
          </cell>
        </row>
        <row r="609">
          <cell r="O609">
            <v>0</v>
          </cell>
        </row>
        <row r="611">
          <cell r="O611">
            <v>152000000</v>
          </cell>
        </row>
        <row r="613">
          <cell r="O613">
            <v>320000000</v>
          </cell>
        </row>
        <row r="640">
          <cell r="O640">
            <v>0</v>
          </cell>
        </row>
        <row r="646">
          <cell r="O646">
            <v>312660751</v>
          </cell>
        </row>
        <row r="648">
          <cell r="O648">
            <v>360000000</v>
          </cell>
        </row>
        <row r="652">
          <cell r="O652">
            <v>0</v>
          </cell>
        </row>
        <row r="662">
          <cell r="O662">
            <v>485600000</v>
          </cell>
        </row>
        <row r="666">
          <cell r="O666">
            <v>216000000</v>
          </cell>
        </row>
        <row r="670">
          <cell r="O670">
            <v>70000000</v>
          </cell>
        </row>
        <row r="681">
          <cell r="O681">
            <v>0</v>
          </cell>
        </row>
        <row r="698">
          <cell r="O698">
            <v>0</v>
          </cell>
        </row>
        <row r="718">
          <cell r="O718">
            <v>493600000</v>
          </cell>
        </row>
        <row r="720">
          <cell r="O720">
            <v>0</v>
          </cell>
        </row>
        <row r="721">
          <cell r="O721">
            <v>0</v>
          </cell>
        </row>
        <row r="722">
          <cell r="O722">
            <v>0</v>
          </cell>
        </row>
        <row r="755">
          <cell r="O755">
            <v>1739249</v>
          </cell>
        </row>
        <row r="783">
          <cell r="O783">
            <v>106400000</v>
          </cell>
        </row>
        <row r="807">
          <cell r="O807">
            <v>394500000</v>
          </cell>
        </row>
        <row r="809">
          <cell r="O809">
            <v>88000000</v>
          </cell>
        </row>
        <row r="813">
          <cell r="O813">
            <v>101100000</v>
          </cell>
        </row>
        <row r="815">
          <cell r="O815">
            <v>592250000</v>
          </cell>
        </row>
        <row r="816">
          <cell r="O816">
            <v>42400000</v>
          </cell>
        </row>
        <row r="819">
          <cell r="O819">
            <v>0</v>
          </cell>
        </row>
        <row r="830">
          <cell r="O830">
            <v>0</v>
          </cell>
        </row>
        <row r="842">
          <cell r="O842">
            <v>1646652618</v>
          </cell>
        </row>
        <row r="985">
          <cell r="Q985">
            <v>0</v>
          </cell>
        </row>
        <row r="987">
          <cell r="R987">
            <v>76500000</v>
          </cell>
        </row>
        <row r="994">
          <cell r="R994">
            <v>6055004971</v>
          </cell>
        </row>
        <row r="995">
          <cell r="R995">
            <v>247977015</v>
          </cell>
        </row>
        <row r="996">
          <cell r="R996">
            <v>188387793</v>
          </cell>
        </row>
        <row r="997">
          <cell r="R997">
            <v>11975354145.969999</v>
          </cell>
        </row>
        <row r="998">
          <cell r="R998">
            <v>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E34D7-7753-48B7-8A07-1AB660B51516}">
  <dimension ref="A1:Z1000"/>
  <sheetViews>
    <sheetView topLeftCell="C1" zoomScale="80" zoomScaleNormal="80" workbookViewId="0">
      <pane xSplit="3" ySplit="9" topLeftCell="U10" activePane="bottomRight" state="frozen"/>
      <selection activeCell="C1" sqref="C1"/>
      <selection pane="topRight" activeCell="F1" sqref="F1"/>
      <selection pane="bottomLeft" activeCell="C10" sqref="C10"/>
      <selection pane="bottomRight" activeCell="Z22" sqref="Z22"/>
    </sheetView>
  </sheetViews>
  <sheetFormatPr baseColWidth="10" defaultColWidth="9.140625" defaultRowHeight="12.75" x14ac:dyDescent="0.2"/>
  <cols>
    <col min="1" max="1" width="15.7109375" style="33" hidden="1" customWidth="1"/>
    <col min="2" max="2" width="75.7109375" style="51" hidden="1" customWidth="1"/>
    <col min="3" max="3" width="38.85546875" style="99" customWidth="1"/>
    <col min="4" max="4" width="60.140625" style="51" customWidth="1"/>
    <col min="5" max="5" width="60.7109375" style="51" hidden="1" customWidth="1"/>
    <col min="6" max="6" width="23.5703125" style="33" customWidth="1"/>
    <col min="7" max="8" width="20.7109375" style="33" customWidth="1"/>
    <col min="9" max="10" width="22" style="33" bestFit="1" customWidth="1"/>
    <col min="11" max="11" width="22.140625" style="33" customWidth="1"/>
    <col min="12" max="12" width="24.5703125" style="33" bestFit="1" customWidth="1"/>
    <col min="13" max="13" width="20.7109375" style="33" customWidth="1"/>
    <col min="14" max="15" width="23.42578125" style="33" bestFit="1" customWidth="1"/>
    <col min="16" max="16" width="20.7109375" style="33" customWidth="1"/>
    <col min="17" max="17" width="22.42578125" style="33" customWidth="1"/>
    <col min="18" max="18" width="22" style="33" bestFit="1" customWidth="1"/>
    <col min="19" max="19" width="20.7109375" style="33" customWidth="1"/>
    <col min="20" max="20" width="27.7109375" style="33" bestFit="1" customWidth="1"/>
    <col min="21" max="21" width="22" style="33" bestFit="1" customWidth="1"/>
    <col min="22" max="22" width="22" style="33" customWidth="1"/>
    <col min="23" max="23" width="29.42578125" style="33" bestFit="1" customWidth="1"/>
    <col min="24" max="24" width="23.42578125" style="33" bestFit="1" customWidth="1"/>
    <col min="25" max="25" width="22" style="33" bestFit="1" customWidth="1"/>
    <col min="26" max="26" width="12.140625" style="33" customWidth="1"/>
    <col min="27" max="257" width="9.140625" style="33"/>
    <col min="258" max="259" width="0" style="33" hidden="1" customWidth="1"/>
    <col min="260" max="260" width="29.42578125" style="33" customWidth="1"/>
    <col min="261" max="261" width="75.7109375" style="33" customWidth="1"/>
    <col min="262" max="262" width="0" style="33" hidden="1" customWidth="1"/>
    <col min="263" max="281" width="20.7109375" style="33" customWidth="1"/>
    <col min="282" max="282" width="12.140625" style="33" customWidth="1"/>
    <col min="283" max="513" width="9.140625" style="33"/>
    <col min="514" max="515" width="0" style="33" hidden="1" customWidth="1"/>
    <col min="516" max="516" width="29.42578125" style="33" customWidth="1"/>
    <col min="517" max="517" width="75.7109375" style="33" customWidth="1"/>
    <col min="518" max="518" width="0" style="33" hidden="1" customWidth="1"/>
    <col min="519" max="537" width="20.7109375" style="33" customWidth="1"/>
    <col min="538" max="538" width="12.140625" style="33" customWidth="1"/>
    <col min="539" max="769" width="9.140625" style="33"/>
    <col min="770" max="771" width="0" style="33" hidden="1" customWidth="1"/>
    <col min="772" max="772" width="29.42578125" style="33" customWidth="1"/>
    <col min="773" max="773" width="75.7109375" style="33" customWidth="1"/>
    <col min="774" max="774" width="0" style="33" hidden="1" customWidth="1"/>
    <col min="775" max="793" width="20.7109375" style="33" customWidth="1"/>
    <col min="794" max="794" width="12.140625" style="33" customWidth="1"/>
    <col min="795" max="1025" width="9.140625" style="33"/>
    <col min="1026" max="1027" width="0" style="33" hidden="1" customWidth="1"/>
    <col min="1028" max="1028" width="29.42578125" style="33" customWidth="1"/>
    <col min="1029" max="1029" width="75.7109375" style="33" customWidth="1"/>
    <col min="1030" max="1030" width="0" style="33" hidden="1" customWidth="1"/>
    <col min="1031" max="1049" width="20.7109375" style="33" customWidth="1"/>
    <col min="1050" max="1050" width="12.140625" style="33" customWidth="1"/>
    <col min="1051" max="1281" width="9.140625" style="33"/>
    <col min="1282" max="1283" width="0" style="33" hidden="1" customWidth="1"/>
    <col min="1284" max="1284" width="29.42578125" style="33" customWidth="1"/>
    <col min="1285" max="1285" width="75.7109375" style="33" customWidth="1"/>
    <col min="1286" max="1286" width="0" style="33" hidden="1" customWidth="1"/>
    <col min="1287" max="1305" width="20.7109375" style="33" customWidth="1"/>
    <col min="1306" max="1306" width="12.140625" style="33" customWidth="1"/>
    <col min="1307" max="1537" width="9.140625" style="33"/>
    <col min="1538" max="1539" width="0" style="33" hidden="1" customWidth="1"/>
    <col min="1540" max="1540" width="29.42578125" style="33" customWidth="1"/>
    <col min="1541" max="1541" width="75.7109375" style="33" customWidth="1"/>
    <col min="1542" max="1542" width="0" style="33" hidden="1" customWidth="1"/>
    <col min="1543" max="1561" width="20.7109375" style="33" customWidth="1"/>
    <col min="1562" max="1562" width="12.140625" style="33" customWidth="1"/>
    <col min="1563" max="1793" width="9.140625" style="33"/>
    <col min="1794" max="1795" width="0" style="33" hidden="1" customWidth="1"/>
    <col min="1796" max="1796" width="29.42578125" style="33" customWidth="1"/>
    <col min="1797" max="1797" width="75.7109375" style="33" customWidth="1"/>
    <col min="1798" max="1798" width="0" style="33" hidden="1" customWidth="1"/>
    <col min="1799" max="1817" width="20.7109375" style="33" customWidth="1"/>
    <col min="1818" max="1818" width="12.140625" style="33" customWidth="1"/>
    <col min="1819" max="2049" width="9.140625" style="33"/>
    <col min="2050" max="2051" width="0" style="33" hidden="1" customWidth="1"/>
    <col min="2052" max="2052" width="29.42578125" style="33" customWidth="1"/>
    <col min="2053" max="2053" width="75.7109375" style="33" customWidth="1"/>
    <col min="2054" max="2054" width="0" style="33" hidden="1" customWidth="1"/>
    <col min="2055" max="2073" width="20.7109375" style="33" customWidth="1"/>
    <col min="2074" max="2074" width="12.140625" style="33" customWidth="1"/>
    <col min="2075" max="2305" width="9.140625" style="33"/>
    <col min="2306" max="2307" width="0" style="33" hidden="1" customWidth="1"/>
    <col min="2308" max="2308" width="29.42578125" style="33" customWidth="1"/>
    <col min="2309" max="2309" width="75.7109375" style="33" customWidth="1"/>
    <col min="2310" max="2310" width="0" style="33" hidden="1" customWidth="1"/>
    <col min="2311" max="2329" width="20.7109375" style="33" customWidth="1"/>
    <col min="2330" max="2330" width="12.140625" style="33" customWidth="1"/>
    <col min="2331" max="2561" width="9.140625" style="33"/>
    <col min="2562" max="2563" width="0" style="33" hidden="1" customWidth="1"/>
    <col min="2564" max="2564" width="29.42578125" style="33" customWidth="1"/>
    <col min="2565" max="2565" width="75.7109375" style="33" customWidth="1"/>
    <col min="2566" max="2566" width="0" style="33" hidden="1" customWidth="1"/>
    <col min="2567" max="2585" width="20.7109375" style="33" customWidth="1"/>
    <col min="2586" max="2586" width="12.140625" style="33" customWidth="1"/>
    <col min="2587" max="2817" width="9.140625" style="33"/>
    <col min="2818" max="2819" width="0" style="33" hidden="1" customWidth="1"/>
    <col min="2820" max="2820" width="29.42578125" style="33" customWidth="1"/>
    <col min="2821" max="2821" width="75.7109375" style="33" customWidth="1"/>
    <col min="2822" max="2822" width="0" style="33" hidden="1" customWidth="1"/>
    <col min="2823" max="2841" width="20.7109375" style="33" customWidth="1"/>
    <col min="2842" max="2842" width="12.140625" style="33" customWidth="1"/>
    <col min="2843" max="3073" width="9.140625" style="33"/>
    <col min="3074" max="3075" width="0" style="33" hidden="1" customWidth="1"/>
    <col min="3076" max="3076" width="29.42578125" style="33" customWidth="1"/>
    <col min="3077" max="3077" width="75.7109375" style="33" customWidth="1"/>
    <col min="3078" max="3078" width="0" style="33" hidden="1" customWidth="1"/>
    <col min="3079" max="3097" width="20.7109375" style="33" customWidth="1"/>
    <col min="3098" max="3098" width="12.140625" style="33" customWidth="1"/>
    <col min="3099" max="3329" width="9.140625" style="33"/>
    <col min="3330" max="3331" width="0" style="33" hidden="1" customWidth="1"/>
    <col min="3332" max="3332" width="29.42578125" style="33" customWidth="1"/>
    <col min="3333" max="3333" width="75.7109375" style="33" customWidth="1"/>
    <col min="3334" max="3334" width="0" style="33" hidden="1" customWidth="1"/>
    <col min="3335" max="3353" width="20.7109375" style="33" customWidth="1"/>
    <col min="3354" max="3354" width="12.140625" style="33" customWidth="1"/>
    <col min="3355" max="3585" width="9.140625" style="33"/>
    <col min="3586" max="3587" width="0" style="33" hidden="1" customWidth="1"/>
    <col min="3588" max="3588" width="29.42578125" style="33" customWidth="1"/>
    <col min="3589" max="3589" width="75.7109375" style="33" customWidth="1"/>
    <col min="3590" max="3590" width="0" style="33" hidden="1" customWidth="1"/>
    <col min="3591" max="3609" width="20.7109375" style="33" customWidth="1"/>
    <col min="3610" max="3610" width="12.140625" style="33" customWidth="1"/>
    <col min="3611" max="3841" width="9.140625" style="33"/>
    <col min="3842" max="3843" width="0" style="33" hidden="1" customWidth="1"/>
    <col min="3844" max="3844" width="29.42578125" style="33" customWidth="1"/>
    <col min="3845" max="3845" width="75.7109375" style="33" customWidth="1"/>
    <col min="3846" max="3846" width="0" style="33" hidden="1" customWidth="1"/>
    <col min="3847" max="3865" width="20.7109375" style="33" customWidth="1"/>
    <col min="3866" max="3866" width="12.140625" style="33" customWidth="1"/>
    <col min="3867" max="4097" width="9.140625" style="33"/>
    <col min="4098" max="4099" width="0" style="33" hidden="1" customWidth="1"/>
    <col min="4100" max="4100" width="29.42578125" style="33" customWidth="1"/>
    <col min="4101" max="4101" width="75.7109375" style="33" customWidth="1"/>
    <col min="4102" max="4102" width="0" style="33" hidden="1" customWidth="1"/>
    <col min="4103" max="4121" width="20.7109375" style="33" customWidth="1"/>
    <col min="4122" max="4122" width="12.140625" style="33" customWidth="1"/>
    <col min="4123" max="4353" width="9.140625" style="33"/>
    <col min="4354" max="4355" width="0" style="33" hidden="1" customWidth="1"/>
    <col min="4356" max="4356" width="29.42578125" style="33" customWidth="1"/>
    <col min="4357" max="4357" width="75.7109375" style="33" customWidth="1"/>
    <col min="4358" max="4358" width="0" style="33" hidden="1" customWidth="1"/>
    <col min="4359" max="4377" width="20.7109375" style="33" customWidth="1"/>
    <col min="4378" max="4378" width="12.140625" style="33" customWidth="1"/>
    <col min="4379" max="4609" width="9.140625" style="33"/>
    <col min="4610" max="4611" width="0" style="33" hidden="1" customWidth="1"/>
    <col min="4612" max="4612" width="29.42578125" style="33" customWidth="1"/>
    <col min="4613" max="4613" width="75.7109375" style="33" customWidth="1"/>
    <col min="4614" max="4614" width="0" style="33" hidden="1" customWidth="1"/>
    <col min="4615" max="4633" width="20.7109375" style="33" customWidth="1"/>
    <col min="4634" max="4634" width="12.140625" style="33" customWidth="1"/>
    <col min="4635" max="4865" width="9.140625" style="33"/>
    <col min="4866" max="4867" width="0" style="33" hidden="1" customWidth="1"/>
    <col min="4868" max="4868" width="29.42578125" style="33" customWidth="1"/>
    <col min="4869" max="4869" width="75.7109375" style="33" customWidth="1"/>
    <col min="4870" max="4870" width="0" style="33" hidden="1" customWidth="1"/>
    <col min="4871" max="4889" width="20.7109375" style="33" customWidth="1"/>
    <col min="4890" max="4890" width="12.140625" style="33" customWidth="1"/>
    <col min="4891" max="5121" width="9.140625" style="33"/>
    <col min="5122" max="5123" width="0" style="33" hidden="1" customWidth="1"/>
    <col min="5124" max="5124" width="29.42578125" style="33" customWidth="1"/>
    <col min="5125" max="5125" width="75.7109375" style="33" customWidth="1"/>
    <col min="5126" max="5126" width="0" style="33" hidden="1" customWidth="1"/>
    <col min="5127" max="5145" width="20.7109375" style="33" customWidth="1"/>
    <col min="5146" max="5146" width="12.140625" style="33" customWidth="1"/>
    <col min="5147" max="5377" width="9.140625" style="33"/>
    <col min="5378" max="5379" width="0" style="33" hidden="1" customWidth="1"/>
    <col min="5380" max="5380" width="29.42578125" style="33" customWidth="1"/>
    <col min="5381" max="5381" width="75.7109375" style="33" customWidth="1"/>
    <col min="5382" max="5382" width="0" style="33" hidden="1" customWidth="1"/>
    <col min="5383" max="5401" width="20.7109375" style="33" customWidth="1"/>
    <col min="5402" max="5402" width="12.140625" style="33" customWidth="1"/>
    <col min="5403" max="5633" width="9.140625" style="33"/>
    <col min="5634" max="5635" width="0" style="33" hidden="1" customWidth="1"/>
    <col min="5636" max="5636" width="29.42578125" style="33" customWidth="1"/>
    <col min="5637" max="5637" width="75.7109375" style="33" customWidth="1"/>
    <col min="5638" max="5638" width="0" style="33" hidden="1" customWidth="1"/>
    <col min="5639" max="5657" width="20.7109375" style="33" customWidth="1"/>
    <col min="5658" max="5658" width="12.140625" style="33" customWidth="1"/>
    <col min="5659" max="5889" width="9.140625" style="33"/>
    <col min="5890" max="5891" width="0" style="33" hidden="1" customWidth="1"/>
    <col min="5892" max="5892" width="29.42578125" style="33" customWidth="1"/>
    <col min="5893" max="5893" width="75.7109375" style="33" customWidth="1"/>
    <col min="5894" max="5894" width="0" style="33" hidden="1" customWidth="1"/>
    <col min="5895" max="5913" width="20.7109375" style="33" customWidth="1"/>
    <col min="5914" max="5914" width="12.140625" style="33" customWidth="1"/>
    <col min="5915" max="6145" width="9.140625" style="33"/>
    <col min="6146" max="6147" width="0" style="33" hidden="1" customWidth="1"/>
    <col min="6148" max="6148" width="29.42578125" style="33" customWidth="1"/>
    <col min="6149" max="6149" width="75.7109375" style="33" customWidth="1"/>
    <col min="6150" max="6150" width="0" style="33" hidden="1" customWidth="1"/>
    <col min="6151" max="6169" width="20.7109375" style="33" customWidth="1"/>
    <col min="6170" max="6170" width="12.140625" style="33" customWidth="1"/>
    <col min="6171" max="6401" width="9.140625" style="33"/>
    <col min="6402" max="6403" width="0" style="33" hidden="1" customWidth="1"/>
    <col min="6404" max="6404" width="29.42578125" style="33" customWidth="1"/>
    <col min="6405" max="6405" width="75.7109375" style="33" customWidth="1"/>
    <col min="6406" max="6406" width="0" style="33" hidden="1" customWidth="1"/>
    <col min="6407" max="6425" width="20.7109375" style="33" customWidth="1"/>
    <col min="6426" max="6426" width="12.140625" style="33" customWidth="1"/>
    <col min="6427" max="6657" width="9.140625" style="33"/>
    <col min="6658" max="6659" width="0" style="33" hidden="1" customWidth="1"/>
    <col min="6660" max="6660" width="29.42578125" style="33" customWidth="1"/>
    <col min="6661" max="6661" width="75.7109375" style="33" customWidth="1"/>
    <col min="6662" max="6662" width="0" style="33" hidden="1" customWidth="1"/>
    <col min="6663" max="6681" width="20.7109375" style="33" customWidth="1"/>
    <col min="6682" max="6682" width="12.140625" style="33" customWidth="1"/>
    <col min="6683" max="6913" width="9.140625" style="33"/>
    <col min="6914" max="6915" width="0" style="33" hidden="1" customWidth="1"/>
    <col min="6916" max="6916" width="29.42578125" style="33" customWidth="1"/>
    <col min="6917" max="6917" width="75.7109375" style="33" customWidth="1"/>
    <col min="6918" max="6918" width="0" style="33" hidden="1" customWidth="1"/>
    <col min="6919" max="6937" width="20.7109375" style="33" customWidth="1"/>
    <col min="6938" max="6938" width="12.140625" style="33" customWidth="1"/>
    <col min="6939" max="7169" width="9.140625" style="33"/>
    <col min="7170" max="7171" width="0" style="33" hidden="1" customWidth="1"/>
    <col min="7172" max="7172" width="29.42578125" style="33" customWidth="1"/>
    <col min="7173" max="7173" width="75.7109375" style="33" customWidth="1"/>
    <col min="7174" max="7174" width="0" style="33" hidden="1" customWidth="1"/>
    <col min="7175" max="7193" width="20.7109375" style="33" customWidth="1"/>
    <col min="7194" max="7194" width="12.140625" style="33" customWidth="1"/>
    <col min="7195" max="7425" width="9.140625" style="33"/>
    <col min="7426" max="7427" width="0" style="33" hidden="1" customWidth="1"/>
    <col min="7428" max="7428" width="29.42578125" style="33" customWidth="1"/>
    <col min="7429" max="7429" width="75.7109375" style="33" customWidth="1"/>
    <col min="7430" max="7430" width="0" style="33" hidden="1" customWidth="1"/>
    <col min="7431" max="7449" width="20.7109375" style="33" customWidth="1"/>
    <col min="7450" max="7450" width="12.140625" style="33" customWidth="1"/>
    <col min="7451" max="7681" width="9.140625" style="33"/>
    <col min="7682" max="7683" width="0" style="33" hidden="1" customWidth="1"/>
    <col min="7684" max="7684" width="29.42578125" style="33" customWidth="1"/>
    <col min="7685" max="7685" width="75.7109375" style="33" customWidth="1"/>
    <col min="7686" max="7686" width="0" style="33" hidden="1" customWidth="1"/>
    <col min="7687" max="7705" width="20.7109375" style="33" customWidth="1"/>
    <col min="7706" max="7706" width="12.140625" style="33" customWidth="1"/>
    <col min="7707" max="7937" width="9.140625" style="33"/>
    <col min="7938" max="7939" width="0" style="33" hidden="1" customWidth="1"/>
    <col min="7940" max="7940" width="29.42578125" style="33" customWidth="1"/>
    <col min="7941" max="7941" width="75.7109375" style="33" customWidth="1"/>
    <col min="7942" max="7942" width="0" style="33" hidden="1" customWidth="1"/>
    <col min="7943" max="7961" width="20.7109375" style="33" customWidth="1"/>
    <col min="7962" max="7962" width="12.140625" style="33" customWidth="1"/>
    <col min="7963" max="8193" width="9.140625" style="33"/>
    <col min="8194" max="8195" width="0" style="33" hidden="1" customWidth="1"/>
    <col min="8196" max="8196" width="29.42578125" style="33" customWidth="1"/>
    <col min="8197" max="8197" width="75.7109375" style="33" customWidth="1"/>
    <col min="8198" max="8198" width="0" style="33" hidden="1" customWidth="1"/>
    <col min="8199" max="8217" width="20.7109375" style="33" customWidth="1"/>
    <col min="8218" max="8218" width="12.140625" style="33" customWidth="1"/>
    <col min="8219" max="8449" width="9.140625" style="33"/>
    <col min="8450" max="8451" width="0" style="33" hidden="1" customWidth="1"/>
    <col min="8452" max="8452" width="29.42578125" style="33" customWidth="1"/>
    <col min="8453" max="8453" width="75.7109375" style="33" customWidth="1"/>
    <col min="8454" max="8454" width="0" style="33" hidden="1" customWidth="1"/>
    <col min="8455" max="8473" width="20.7109375" style="33" customWidth="1"/>
    <col min="8474" max="8474" width="12.140625" style="33" customWidth="1"/>
    <col min="8475" max="8705" width="9.140625" style="33"/>
    <col min="8706" max="8707" width="0" style="33" hidden="1" customWidth="1"/>
    <col min="8708" max="8708" width="29.42578125" style="33" customWidth="1"/>
    <col min="8709" max="8709" width="75.7109375" style="33" customWidth="1"/>
    <col min="8710" max="8710" width="0" style="33" hidden="1" customWidth="1"/>
    <col min="8711" max="8729" width="20.7109375" style="33" customWidth="1"/>
    <col min="8730" max="8730" width="12.140625" style="33" customWidth="1"/>
    <col min="8731" max="8961" width="9.140625" style="33"/>
    <col min="8962" max="8963" width="0" style="33" hidden="1" customWidth="1"/>
    <col min="8964" max="8964" width="29.42578125" style="33" customWidth="1"/>
    <col min="8965" max="8965" width="75.7109375" style="33" customWidth="1"/>
    <col min="8966" max="8966" width="0" style="33" hidden="1" customWidth="1"/>
    <col min="8967" max="8985" width="20.7109375" style="33" customWidth="1"/>
    <col min="8986" max="8986" width="12.140625" style="33" customWidth="1"/>
    <col min="8987" max="9217" width="9.140625" style="33"/>
    <col min="9218" max="9219" width="0" style="33" hidden="1" customWidth="1"/>
    <col min="9220" max="9220" width="29.42578125" style="33" customWidth="1"/>
    <col min="9221" max="9221" width="75.7109375" style="33" customWidth="1"/>
    <col min="9222" max="9222" width="0" style="33" hidden="1" customWidth="1"/>
    <col min="9223" max="9241" width="20.7109375" style="33" customWidth="1"/>
    <col min="9242" max="9242" width="12.140625" style="33" customWidth="1"/>
    <col min="9243" max="9473" width="9.140625" style="33"/>
    <col min="9474" max="9475" width="0" style="33" hidden="1" customWidth="1"/>
    <col min="9476" max="9476" width="29.42578125" style="33" customWidth="1"/>
    <col min="9477" max="9477" width="75.7109375" style="33" customWidth="1"/>
    <col min="9478" max="9478" width="0" style="33" hidden="1" customWidth="1"/>
    <col min="9479" max="9497" width="20.7109375" style="33" customWidth="1"/>
    <col min="9498" max="9498" width="12.140625" style="33" customWidth="1"/>
    <col min="9499" max="9729" width="9.140625" style="33"/>
    <col min="9730" max="9731" width="0" style="33" hidden="1" customWidth="1"/>
    <col min="9732" max="9732" width="29.42578125" style="33" customWidth="1"/>
    <col min="9733" max="9733" width="75.7109375" style="33" customWidth="1"/>
    <col min="9734" max="9734" width="0" style="33" hidden="1" customWidth="1"/>
    <col min="9735" max="9753" width="20.7109375" style="33" customWidth="1"/>
    <col min="9754" max="9754" width="12.140625" style="33" customWidth="1"/>
    <col min="9755" max="9985" width="9.140625" style="33"/>
    <col min="9986" max="9987" width="0" style="33" hidden="1" customWidth="1"/>
    <col min="9988" max="9988" width="29.42578125" style="33" customWidth="1"/>
    <col min="9989" max="9989" width="75.7109375" style="33" customWidth="1"/>
    <col min="9990" max="9990" width="0" style="33" hidden="1" customWidth="1"/>
    <col min="9991" max="10009" width="20.7109375" style="33" customWidth="1"/>
    <col min="10010" max="10010" width="12.140625" style="33" customWidth="1"/>
    <col min="10011" max="10241" width="9.140625" style="33"/>
    <col min="10242" max="10243" width="0" style="33" hidden="1" customWidth="1"/>
    <col min="10244" max="10244" width="29.42578125" style="33" customWidth="1"/>
    <col min="10245" max="10245" width="75.7109375" style="33" customWidth="1"/>
    <col min="10246" max="10246" width="0" style="33" hidden="1" customWidth="1"/>
    <col min="10247" max="10265" width="20.7109375" style="33" customWidth="1"/>
    <col min="10266" max="10266" width="12.140625" style="33" customWidth="1"/>
    <col min="10267" max="10497" width="9.140625" style="33"/>
    <col min="10498" max="10499" width="0" style="33" hidden="1" customWidth="1"/>
    <col min="10500" max="10500" width="29.42578125" style="33" customWidth="1"/>
    <col min="10501" max="10501" width="75.7109375" style="33" customWidth="1"/>
    <col min="10502" max="10502" width="0" style="33" hidden="1" customWidth="1"/>
    <col min="10503" max="10521" width="20.7109375" style="33" customWidth="1"/>
    <col min="10522" max="10522" width="12.140625" style="33" customWidth="1"/>
    <col min="10523" max="10753" width="9.140625" style="33"/>
    <col min="10754" max="10755" width="0" style="33" hidden="1" customWidth="1"/>
    <col min="10756" max="10756" width="29.42578125" style="33" customWidth="1"/>
    <col min="10757" max="10757" width="75.7109375" style="33" customWidth="1"/>
    <col min="10758" max="10758" width="0" style="33" hidden="1" customWidth="1"/>
    <col min="10759" max="10777" width="20.7109375" style="33" customWidth="1"/>
    <col min="10778" max="10778" width="12.140625" style="33" customWidth="1"/>
    <col min="10779" max="11009" width="9.140625" style="33"/>
    <col min="11010" max="11011" width="0" style="33" hidden="1" customWidth="1"/>
    <col min="11012" max="11012" width="29.42578125" style="33" customWidth="1"/>
    <col min="11013" max="11013" width="75.7109375" style="33" customWidth="1"/>
    <col min="11014" max="11014" width="0" style="33" hidden="1" customWidth="1"/>
    <col min="11015" max="11033" width="20.7109375" style="33" customWidth="1"/>
    <col min="11034" max="11034" width="12.140625" style="33" customWidth="1"/>
    <col min="11035" max="11265" width="9.140625" style="33"/>
    <col min="11266" max="11267" width="0" style="33" hidden="1" customWidth="1"/>
    <col min="11268" max="11268" width="29.42578125" style="33" customWidth="1"/>
    <col min="11269" max="11269" width="75.7109375" style="33" customWidth="1"/>
    <col min="11270" max="11270" width="0" style="33" hidden="1" customWidth="1"/>
    <col min="11271" max="11289" width="20.7109375" style="33" customWidth="1"/>
    <col min="11290" max="11290" width="12.140625" style="33" customWidth="1"/>
    <col min="11291" max="11521" width="9.140625" style="33"/>
    <col min="11522" max="11523" width="0" style="33" hidden="1" customWidth="1"/>
    <col min="11524" max="11524" width="29.42578125" style="33" customWidth="1"/>
    <col min="11525" max="11525" width="75.7109375" style="33" customWidth="1"/>
    <col min="11526" max="11526" width="0" style="33" hidden="1" customWidth="1"/>
    <col min="11527" max="11545" width="20.7109375" style="33" customWidth="1"/>
    <col min="11546" max="11546" width="12.140625" style="33" customWidth="1"/>
    <col min="11547" max="11777" width="9.140625" style="33"/>
    <col min="11778" max="11779" width="0" style="33" hidden="1" customWidth="1"/>
    <col min="11780" max="11780" width="29.42578125" style="33" customWidth="1"/>
    <col min="11781" max="11781" width="75.7109375" style="33" customWidth="1"/>
    <col min="11782" max="11782" width="0" style="33" hidden="1" customWidth="1"/>
    <col min="11783" max="11801" width="20.7109375" style="33" customWidth="1"/>
    <col min="11802" max="11802" width="12.140625" style="33" customWidth="1"/>
    <col min="11803" max="12033" width="9.140625" style="33"/>
    <col min="12034" max="12035" width="0" style="33" hidden="1" customWidth="1"/>
    <col min="12036" max="12036" width="29.42578125" style="33" customWidth="1"/>
    <col min="12037" max="12037" width="75.7109375" style="33" customWidth="1"/>
    <col min="12038" max="12038" width="0" style="33" hidden="1" customWidth="1"/>
    <col min="12039" max="12057" width="20.7109375" style="33" customWidth="1"/>
    <col min="12058" max="12058" width="12.140625" style="33" customWidth="1"/>
    <col min="12059" max="12289" width="9.140625" style="33"/>
    <col min="12290" max="12291" width="0" style="33" hidden="1" customWidth="1"/>
    <col min="12292" max="12292" width="29.42578125" style="33" customWidth="1"/>
    <col min="12293" max="12293" width="75.7109375" style="33" customWidth="1"/>
    <col min="12294" max="12294" width="0" style="33" hidden="1" customWidth="1"/>
    <col min="12295" max="12313" width="20.7109375" style="33" customWidth="1"/>
    <col min="12314" max="12314" width="12.140625" style="33" customWidth="1"/>
    <col min="12315" max="12545" width="9.140625" style="33"/>
    <col min="12546" max="12547" width="0" style="33" hidden="1" customWidth="1"/>
    <col min="12548" max="12548" width="29.42578125" style="33" customWidth="1"/>
    <col min="12549" max="12549" width="75.7109375" style="33" customWidth="1"/>
    <col min="12550" max="12550" width="0" style="33" hidden="1" customWidth="1"/>
    <col min="12551" max="12569" width="20.7109375" style="33" customWidth="1"/>
    <col min="12570" max="12570" width="12.140625" style="33" customWidth="1"/>
    <col min="12571" max="12801" width="9.140625" style="33"/>
    <col min="12802" max="12803" width="0" style="33" hidden="1" customWidth="1"/>
    <col min="12804" max="12804" width="29.42578125" style="33" customWidth="1"/>
    <col min="12805" max="12805" width="75.7109375" style="33" customWidth="1"/>
    <col min="12806" max="12806" width="0" style="33" hidden="1" customWidth="1"/>
    <col min="12807" max="12825" width="20.7109375" style="33" customWidth="1"/>
    <col min="12826" max="12826" width="12.140625" style="33" customWidth="1"/>
    <col min="12827" max="13057" width="9.140625" style="33"/>
    <col min="13058" max="13059" width="0" style="33" hidden="1" customWidth="1"/>
    <col min="13060" max="13060" width="29.42578125" style="33" customWidth="1"/>
    <col min="13061" max="13061" width="75.7109375" style="33" customWidth="1"/>
    <col min="13062" max="13062" width="0" style="33" hidden="1" customWidth="1"/>
    <col min="13063" max="13081" width="20.7109375" style="33" customWidth="1"/>
    <col min="13082" max="13082" width="12.140625" style="33" customWidth="1"/>
    <col min="13083" max="13313" width="9.140625" style="33"/>
    <col min="13314" max="13315" width="0" style="33" hidden="1" customWidth="1"/>
    <col min="13316" max="13316" width="29.42578125" style="33" customWidth="1"/>
    <col min="13317" max="13317" width="75.7109375" style="33" customWidth="1"/>
    <col min="13318" max="13318" width="0" style="33" hidden="1" customWidth="1"/>
    <col min="13319" max="13337" width="20.7109375" style="33" customWidth="1"/>
    <col min="13338" max="13338" width="12.140625" style="33" customWidth="1"/>
    <col min="13339" max="13569" width="9.140625" style="33"/>
    <col min="13570" max="13571" width="0" style="33" hidden="1" customWidth="1"/>
    <col min="13572" max="13572" width="29.42578125" style="33" customWidth="1"/>
    <col min="13573" max="13573" width="75.7109375" style="33" customWidth="1"/>
    <col min="13574" max="13574" width="0" style="33" hidden="1" customWidth="1"/>
    <col min="13575" max="13593" width="20.7109375" style="33" customWidth="1"/>
    <col min="13594" max="13594" width="12.140625" style="33" customWidth="1"/>
    <col min="13595" max="13825" width="9.140625" style="33"/>
    <col min="13826" max="13827" width="0" style="33" hidden="1" customWidth="1"/>
    <col min="13828" max="13828" width="29.42578125" style="33" customWidth="1"/>
    <col min="13829" max="13829" width="75.7109375" style="33" customWidth="1"/>
    <col min="13830" max="13830" width="0" style="33" hidden="1" customWidth="1"/>
    <col min="13831" max="13849" width="20.7109375" style="33" customWidth="1"/>
    <col min="13850" max="13850" width="12.140625" style="33" customWidth="1"/>
    <col min="13851" max="14081" width="9.140625" style="33"/>
    <col min="14082" max="14083" width="0" style="33" hidden="1" customWidth="1"/>
    <col min="14084" max="14084" width="29.42578125" style="33" customWidth="1"/>
    <col min="14085" max="14085" width="75.7109375" style="33" customWidth="1"/>
    <col min="14086" max="14086" width="0" style="33" hidden="1" customWidth="1"/>
    <col min="14087" max="14105" width="20.7109375" style="33" customWidth="1"/>
    <col min="14106" max="14106" width="12.140625" style="33" customWidth="1"/>
    <col min="14107" max="14337" width="9.140625" style="33"/>
    <col min="14338" max="14339" width="0" style="33" hidden="1" customWidth="1"/>
    <col min="14340" max="14340" width="29.42578125" style="33" customWidth="1"/>
    <col min="14341" max="14341" width="75.7109375" style="33" customWidth="1"/>
    <col min="14342" max="14342" width="0" style="33" hidden="1" customWidth="1"/>
    <col min="14343" max="14361" width="20.7109375" style="33" customWidth="1"/>
    <col min="14362" max="14362" width="12.140625" style="33" customWidth="1"/>
    <col min="14363" max="14593" width="9.140625" style="33"/>
    <col min="14594" max="14595" width="0" style="33" hidden="1" customWidth="1"/>
    <col min="14596" max="14596" width="29.42578125" style="33" customWidth="1"/>
    <col min="14597" max="14597" width="75.7109375" style="33" customWidth="1"/>
    <col min="14598" max="14598" width="0" style="33" hidden="1" customWidth="1"/>
    <col min="14599" max="14617" width="20.7109375" style="33" customWidth="1"/>
    <col min="14618" max="14618" width="12.140625" style="33" customWidth="1"/>
    <col min="14619" max="14849" width="9.140625" style="33"/>
    <col min="14850" max="14851" width="0" style="33" hidden="1" customWidth="1"/>
    <col min="14852" max="14852" width="29.42578125" style="33" customWidth="1"/>
    <col min="14853" max="14853" width="75.7109375" style="33" customWidth="1"/>
    <col min="14854" max="14854" width="0" style="33" hidden="1" customWidth="1"/>
    <col min="14855" max="14873" width="20.7109375" style="33" customWidth="1"/>
    <col min="14874" max="14874" width="12.140625" style="33" customWidth="1"/>
    <col min="14875" max="15105" width="9.140625" style="33"/>
    <col min="15106" max="15107" width="0" style="33" hidden="1" customWidth="1"/>
    <col min="15108" max="15108" width="29.42578125" style="33" customWidth="1"/>
    <col min="15109" max="15109" width="75.7109375" style="33" customWidth="1"/>
    <col min="15110" max="15110" width="0" style="33" hidden="1" customWidth="1"/>
    <col min="15111" max="15129" width="20.7109375" style="33" customWidth="1"/>
    <col min="15130" max="15130" width="12.140625" style="33" customWidth="1"/>
    <col min="15131" max="15361" width="9.140625" style="33"/>
    <col min="15362" max="15363" width="0" style="33" hidden="1" customWidth="1"/>
    <col min="15364" max="15364" width="29.42578125" style="33" customWidth="1"/>
    <col min="15365" max="15365" width="75.7109375" style="33" customWidth="1"/>
    <col min="15366" max="15366" width="0" style="33" hidden="1" customWidth="1"/>
    <col min="15367" max="15385" width="20.7109375" style="33" customWidth="1"/>
    <col min="15386" max="15386" width="12.140625" style="33" customWidth="1"/>
    <col min="15387" max="15617" width="9.140625" style="33"/>
    <col min="15618" max="15619" width="0" style="33" hidden="1" customWidth="1"/>
    <col min="15620" max="15620" width="29.42578125" style="33" customWidth="1"/>
    <col min="15621" max="15621" width="75.7109375" style="33" customWidth="1"/>
    <col min="15622" max="15622" width="0" style="33" hidden="1" customWidth="1"/>
    <col min="15623" max="15641" width="20.7109375" style="33" customWidth="1"/>
    <col min="15642" max="15642" width="12.140625" style="33" customWidth="1"/>
    <col min="15643" max="15873" width="9.140625" style="33"/>
    <col min="15874" max="15875" width="0" style="33" hidden="1" customWidth="1"/>
    <col min="15876" max="15876" width="29.42578125" style="33" customWidth="1"/>
    <col min="15877" max="15877" width="75.7109375" style="33" customWidth="1"/>
    <col min="15878" max="15878" width="0" style="33" hidden="1" customWidth="1"/>
    <col min="15879" max="15897" width="20.7109375" style="33" customWidth="1"/>
    <col min="15898" max="15898" width="12.140625" style="33" customWidth="1"/>
    <col min="15899" max="16129" width="9.140625" style="33"/>
    <col min="16130" max="16131" width="0" style="33" hidden="1" customWidth="1"/>
    <col min="16132" max="16132" width="29.42578125" style="33" customWidth="1"/>
    <col min="16133" max="16133" width="75.7109375" style="33" customWidth="1"/>
    <col min="16134" max="16134" width="0" style="33" hidden="1" customWidth="1"/>
    <col min="16135" max="16153" width="20.7109375" style="33" customWidth="1"/>
    <col min="16154" max="16154" width="12.140625" style="33" customWidth="1"/>
    <col min="16155" max="16384" width="9.140625" style="33"/>
  </cols>
  <sheetData>
    <row r="1" spans="1:26" s="1" customFormat="1" x14ac:dyDescent="0.2">
      <c r="C1" s="2"/>
      <c r="D1" s="3"/>
    </row>
    <row r="2" spans="1:26" s="4" customFormat="1" ht="20.25" x14ac:dyDescent="0.3">
      <c r="A2" s="339" t="s">
        <v>0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</row>
    <row r="3" spans="1:26" s="4" customFormat="1" ht="20.25" x14ac:dyDescent="0.3">
      <c r="A3" s="339" t="s">
        <v>1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</row>
    <row r="4" spans="1:26" s="4" customFormat="1" ht="20.25" x14ac:dyDescent="0.3">
      <c r="A4" s="339" t="s">
        <v>915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</row>
    <row r="5" spans="1:26" s="4" customFormat="1" ht="20.25" x14ac:dyDescent="0.3">
      <c r="A5" s="339" t="s">
        <v>2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39"/>
    </row>
    <row r="6" spans="1:26" s="4" customFormat="1" ht="16.5" customHeight="1" x14ac:dyDescent="0.3">
      <c r="A6" s="5"/>
      <c r="B6" s="5"/>
      <c r="C6" s="6"/>
      <c r="D6" s="7"/>
      <c r="E6" s="5"/>
      <c r="F6" s="5"/>
      <c r="G6" s="8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8"/>
      <c r="W6" s="5"/>
      <c r="X6" s="5"/>
      <c r="Y6" s="5"/>
    </row>
    <row r="7" spans="1:26" s="4" customFormat="1" ht="16.5" customHeight="1" x14ac:dyDescent="0.2">
      <c r="A7" s="340" t="s">
        <v>3</v>
      </c>
      <c r="B7" s="341" t="s">
        <v>4</v>
      </c>
      <c r="C7" s="342" t="s">
        <v>5</v>
      </c>
      <c r="D7" s="337" t="s">
        <v>6</v>
      </c>
      <c r="E7" s="337" t="s">
        <v>7</v>
      </c>
      <c r="F7" s="342" t="s">
        <v>8</v>
      </c>
      <c r="G7" s="342" t="s">
        <v>9</v>
      </c>
      <c r="H7" s="337" t="s">
        <v>10</v>
      </c>
      <c r="I7" s="337" t="s">
        <v>11</v>
      </c>
      <c r="J7" s="337" t="s">
        <v>12</v>
      </c>
      <c r="K7" s="337" t="s">
        <v>13</v>
      </c>
      <c r="L7" s="337" t="s">
        <v>14</v>
      </c>
      <c r="M7" s="338" t="s">
        <v>15</v>
      </c>
      <c r="N7" s="338"/>
      <c r="O7" s="338"/>
      <c r="P7" s="338" t="s">
        <v>16</v>
      </c>
      <c r="Q7" s="338"/>
      <c r="R7" s="338"/>
      <c r="S7" s="338" t="s">
        <v>17</v>
      </c>
      <c r="T7" s="338"/>
      <c r="U7" s="338"/>
      <c r="V7" s="9"/>
      <c r="W7" s="337" t="s">
        <v>18</v>
      </c>
      <c r="X7" s="337" t="s">
        <v>19</v>
      </c>
      <c r="Y7" s="337" t="s">
        <v>20</v>
      </c>
      <c r="Z7" s="337" t="s">
        <v>21</v>
      </c>
    </row>
    <row r="8" spans="1:26" s="4" customFormat="1" ht="30" customHeight="1" x14ac:dyDescent="0.2">
      <c r="A8" s="340"/>
      <c r="B8" s="341"/>
      <c r="C8" s="342"/>
      <c r="D8" s="337"/>
      <c r="E8" s="337"/>
      <c r="F8" s="342"/>
      <c r="G8" s="342"/>
      <c r="H8" s="337"/>
      <c r="I8" s="337"/>
      <c r="J8" s="337"/>
      <c r="K8" s="337"/>
      <c r="L8" s="337"/>
      <c r="M8" s="10" t="s">
        <v>22</v>
      </c>
      <c r="N8" s="10" t="s">
        <v>23</v>
      </c>
      <c r="O8" s="10" t="s">
        <v>24</v>
      </c>
      <c r="P8" s="10" t="s">
        <v>25</v>
      </c>
      <c r="Q8" s="10" t="s">
        <v>26</v>
      </c>
      <c r="R8" s="10" t="s">
        <v>27</v>
      </c>
      <c r="S8" s="10" t="s">
        <v>28</v>
      </c>
      <c r="T8" s="10" t="s">
        <v>29</v>
      </c>
      <c r="U8" s="10" t="s">
        <v>30</v>
      </c>
      <c r="V8" s="10" t="s">
        <v>31</v>
      </c>
      <c r="W8" s="337"/>
      <c r="X8" s="337"/>
      <c r="Y8" s="337"/>
      <c r="Z8" s="337"/>
    </row>
    <row r="9" spans="1:26" s="4" customFormat="1" ht="18" customHeight="1" x14ac:dyDescent="0.2">
      <c r="A9" s="340"/>
      <c r="B9" s="341"/>
      <c r="C9" s="342"/>
      <c r="D9" s="337"/>
      <c r="E9" s="337"/>
      <c r="F9" s="102">
        <v>1</v>
      </c>
      <c r="G9" s="11"/>
      <c r="H9" s="12"/>
      <c r="I9" s="12"/>
      <c r="J9" s="12"/>
      <c r="K9" s="10">
        <v>2</v>
      </c>
      <c r="L9" s="9" t="s">
        <v>32</v>
      </c>
      <c r="M9" s="9"/>
      <c r="N9" s="9"/>
      <c r="O9" s="9">
        <v>5</v>
      </c>
      <c r="P9" s="9"/>
      <c r="Q9" s="9"/>
      <c r="R9" s="9">
        <v>7</v>
      </c>
      <c r="S9" s="9"/>
      <c r="T9" s="9"/>
      <c r="U9" s="9">
        <v>9</v>
      </c>
      <c r="V9" s="9"/>
      <c r="W9" s="9" t="s">
        <v>33</v>
      </c>
      <c r="X9" s="9" t="s">
        <v>34</v>
      </c>
      <c r="Y9" s="9" t="s">
        <v>35</v>
      </c>
      <c r="Z9" s="13" t="s">
        <v>36</v>
      </c>
    </row>
    <row r="10" spans="1:26" s="14" customFormat="1" x14ac:dyDescent="0.2">
      <c r="B10" s="15"/>
      <c r="C10" s="16"/>
      <c r="D10" s="17"/>
      <c r="E10" s="17"/>
      <c r="F10" s="18"/>
      <c r="G10" s="18"/>
      <c r="H10" s="17"/>
      <c r="I10" s="18"/>
      <c r="J10" s="18"/>
      <c r="K10" s="17"/>
      <c r="L10" s="18"/>
      <c r="M10" s="18"/>
      <c r="N10" s="17"/>
      <c r="O10" s="18"/>
      <c r="P10" s="18"/>
      <c r="Q10" s="17"/>
      <c r="R10" s="18"/>
      <c r="S10" s="18"/>
      <c r="T10" s="17"/>
      <c r="U10" s="18"/>
      <c r="V10" s="18"/>
      <c r="W10" s="18"/>
      <c r="X10" s="17"/>
      <c r="Y10" s="18"/>
      <c r="Z10" s="18"/>
    </row>
    <row r="11" spans="1:26" s="25" customFormat="1" ht="18.75" customHeight="1" x14ac:dyDescent="0.2">
      <c r="A11" s="19" t="s">
        <v>37</v>
      </c>
      <c r="B11" s="19" t="s">
        <v>37</v>
      </c>
      <c r="C11" s="20">
        <v>2</v>
      </c>
      <c r="D11" s="21" t="s">
        <v>38</v>
      </c>
      <c r="E11" s="22" t="s">
        <v>37</v>
      </c>
      <c r="F11" s="22">
        <f t="shared" ref="F11:U11" si="0">F12+F153+F179</f>
        <v>1017611726826</v>
      </c>
      <c r="G11" s="23">
        <f t="shared" si="0"/>
        <v>0</v>
      </c>
      <c r="H11" s="23">
        <f t="shared" si="0"/>
        <v>0</v>
      </c>
      <c r="I11" s="22">
        <f t="shared" si="0"/>
        <v>38930198287.150002</v>
      </c>
      <c r="J11" s="22">
        <f t="shared" si="0"/>
        <v>38930198287.150002</v>
      </c>
      <c r="K11" s="23">
        <f t="shared" si="0"/>
        <v>0</v>
      </c>
      <c r="L11" s="22">
        <f t="shared" si="0"/>
        <v>1017611726826</v>
      </c>
      <c r="M11" s="22">
        <f t="shared" si="0"/>
        <v>839413790</v>
      </c>
      <c r="N11" s="22">
        <f t="shared" si="0"/>
        <v>341216788980.47003</v>
      </c>
      <c r="O11" s="22">
        <f t="shared" si="0"/>
        <v>341216788980.47003</v>
      </c>
      <c r="P11" s="22">
        <f t="shared" si="0"/>
        <v>1439117571</v>
      </c>
      <c r="Q11" s="22">
        <f t="shared" si="0"/>
        <v>113618757198.51001</v>
      </c>
      <c r="R11" s="22">
        <f t="shared" si="0"/>
        <v>113618757198.51001</v>
      </c>
      <c r="S11" s="22">
        <f t="shared" si="0"/>
        <v>2538861036</v>
      </c>
      <c r="T11" s="22">
        <f t="shared" si="0"/>
        <v>36712089858.389999</v>
      </c>
      <c r="U11" s="22">
        <f t="shared" si="0"/>
        <v>36712089858.389999</v>
      </c>
      <c r="V11" s="22">
        <f>S11+U11</f>
        <v>39250950894.389999</v>
      </c>
      <c r="W11" s="22">
        <f>W12+W153+W179</f>
        <v>676394937845.53003</v>
      </c>
      <c r="X11" s="22">
        <f>X12+X153+X179</f>
        <v>227598031781.96002</v>
      </c>
      <c r="Y11" s="22">
        <f>Y12+Y153+Y179</f>
        <v>74367806304.119995</v>
      </c>
      <c r="Z11" s="24">
        <f>R11/L11</f>
        <v>0.11165236622507743</v>
      </c>
    </row>
    <row r="12" spans="1:26" s="25" customFormat="1" ht="18.75" customHeight="1" x14ac:dyDescent="0.2">
      <c r="A12" s="19" t="s">
        <v>37</v>
      </c>
      <c r="B12" s="19" t="s">
        <v>37</v>
      </c>
      <c r="C12" s="26" t="s">
        <v>39</v>
      </c>
      <c r="D12" s="21" t="s">
        <v>40</v>
      </c>
      <c r="E12" s="22" t="s">
        <v>37</v>
      </c>
      <c r="F12" s="22">
        <f t="shared" ref="F12:U12" si="1">F13+F86+F99+F139</f>
        <v>180471642183</v>
      </c>
      <c r="G12" s="23">
        <f t="shared" si="1"/>
        <v>0</v>
      </c>
      <c r="H12" s="23">
        <f t="shared" si="1"/>
        <v>0</v>
      </c>
      <c r="I12" s="23">
        <f t="shared" si="1"/>
        <v>0</v>
      </c>
      <c r="J12" s="23">
        <f t="shared" si="1"/>
        <v>0</v>
      </c>
      <c r="K12" s="23">
        <f t="shared" si="1"/>
        <v>0</v>
      </c>
      <c r="L12" s="22">
        <f t="shared" si="1"/>
        <v>180471642183</v>
      </c>
      <c r="M12" s="22">
        <f t="shared" si="1"/>
        <v>13790</v>
      </c>
      <c r="N12" s="22">
        <f t="shared" si="1"/>
        <v>18674402687.09</v>
      </c>
      <c r="O12" s="22">
        <f t="shared" si="1"/>
        <v>18674402687.09</v>
      </c>
      <c r="P12" s="22">
        <f t="shared" si="1"/>
        <v>861554195</v>
      </c>
      <c r="Q12" s="22">
        <f t="shared" si="1"/>
        <v>14530802859.67</v>
      </c>
      <c r="R12" s="22">
        <f t="shared" si="1"/>
        <v>14530802859.67</v>
      </c>
      <c r="S12" s="22">
        <f t="shared" si="1"/>
        <v>2102053727</v>
      </c>
      <c r="T12" s="22">
        <f t="shared" si="1"/>
        <v>3064039433.5899997</v>
      </c>
      <c r="U12" s="22">
        <f t="shared" si="1"/>
        <v>3064039433.5899997</v>
      </c>
      <c r="V12" s="22">
        <f t="shared" ref="V12:V13" si="2">S12+U12</f>
        <v>5166093160.5900002</v>
      </c>
      <c r="W12" s="22">
        <f>W13+W86+W99+W139</f>
        <v>161797239495.91</v>
      </c>
      <c r="X12" s="22">
        <f>X13+X86+X99+X139</f>
        <v>4143599827.4200001</v>
      </c>
      <c r="Y12" s="22">
        <f>Y13+Y86+Y99+Y139</f>
        <v>9364709699.0799999</v>
      </c>
      <c r="Z12" s="24">
        <f t="shared" ref="Z12:Z13" si="3">R12/L12</f>
        <v>8.0515712518067661E-2</v>
      </c>
    </row>
    <row r="13" spans="1:26" s="25" customFormat="1" ht="18.75" customHeight="1" x14ac:dyDescent="0.2">
      <c r="A13" s="19" t="s">
        <v>41</v>
      </c>
      <c r="B13" s="19" t="s">
        <v>42</v>
      </c>
      <c r="C13" s="26" t="s">
        <v>43</v>
      </c>
      <c r="D13" s="21" t="s">
        <v>44</v>
      </c>
      <c r="E13" s="22" t="s">
        <v>37</v>
      </c>
      <c r="F13" s="22">
        <f>F14</f>
        <v>38718257195.5</v>
      </c>
      <c r="G13" s="23">
        <f t="shared" ref="G13:Y13" si="4">G14</f>
        <v>0</v>
      </c>
      <c r="H13" s="23">
        <f t="shared" si="4"/>
        <v>0</v>
      </c>
      <c r="I13" s="23">
        <f t="shared" si="4"/>
        <v>0</v>
      </c>
      <c r="J13" s="23">
        <f t="shared" si="4"/>
        <v>0</v>
      </c>
      <c r="K13" s="23">
        <f t="shared" si="4"/>
        <v>0</v>
      </c>
      <c r="L13" s="22">
        <f>L14</f>
        <v>38718257195.5</v>
      </c>
      <c r="M13" s="23">
        <f t="shared" si="4"/>
        <v>0</v>
      </c>
      <c r="N13" s="22">
        <f t="shared" si="4"/>
        <v>2372968573</v>
      </c>
      <c r="O13" s="22">
        <f t="shared" si="4"/>
        <v>2372968573</v>
      </c>
      <c r="P13" s="23">
        <f t="shared" si="4"/>
        <v>0</v>
      </c>
      <c r="Q13" s="22">
        <f t="shared" si="4"/>
        <v>2372968573</v>
      </c>
      <c r="R13" s="22">
        <f t="shared" si="4"/>
        <v>2372968573</v>
      </c>
      <c r="S13" s="23">
        <f t="shared" si="4"/>
        <v>0</v>
      </c>
      <c r="T13" s="22">
        <f t="shared" si="4"/>
        <v>49758734</v>
      </c>
      <c r="U13" s="22">
        <f t="shared" si="4"/>
        <v>49758734</v>
      </c>
      <c r="V13" s="22">
        <f t="shared" si="2"/>
        <v>49758734</v>
      </c>
      <c r="W13" s="22">
        <f t="shared" si="4"/>
        <v>36345288622.5</v>
      </c>
      <c r="X13" s="22">
        <f t="shared" si="4"/>
        <v>0</v>
      </c>
      <c r="Y13" s="22">
        <f t="shared" si="4"/>
        <v>2323209839</v>
      </c>
      <c r="Z13" s="24">
        <f t="shared" si="3"/>
        <v>6.128810398200972E-2</v>
      </c>
    </row>
    <row r="14" spans="1:26" ht="18.75" customHeight="1" x14ac:dyDescent="0.2">
      <c r="A14" s="27" t="s">
        <v>41</v>
      </c>
      <c r="B14" s="27" t="s">
        <v>42</v>
      </c>
      <c r="C14" s="28" t="s">
        <v>45</v>
      </c>
      <c r="D14" s="29" t="s">
        <v>46</v>
      </c>
      <c r="E14" s="30" t="s">
        <v>37</v>
      </c>
      <c r="F14" s="30">
        <f>F15+F42+F70</f>
        <v>38718257195.5</v>
      </c>
      <c r="G14" s="31">
        <f t="shared" ref="G14:Y14" si="5">G15+G42+G70</f>
        <v>0</v>
      </c>
      <c r="H14" s="31">
        <f t="shared" si="5"/>
        <v>0</v>
      </c>
      <c r="I14" s="31">
        <f t="shared" si="5"/>
        <v>0</v>
      </c>
      <c r="J14" s="31">
        <f t="shared" si="5"/>
        <v>0</v>
      </c>
      <c r="K14" s="31">
        <f t="shared" si="5"/>
        <v>0</v>
      </c>
      <c r="L14" s="30">
        <f t="shared" si="5"/>
        <v>38718257195.5</v>
      </c>
      <c r="M14" s="31">
        <f t="shared" si="5"/>
        <v>0</v>
      </c>
      <c r="N14" s="30">
        <f t="shared" si="5"/>
        <v>2372968573</v>
      </c>
      <c r="O14" s="30">
        <f t="shared" si="5"/>
        <v>2372968573</v>
      </c>
      <c r="P14" s="31">
        <f t="shared" si="5"/>
        <v>0</v>
      </c>
      <c r="Q14" s="30">
        <f t="shared" si="5"/>
        <v>2372968573</v>
      </c>
      <c r="R14" s="30">
        <f t="shared" si="5"/>
        <v>2372968573</v>
      </c>
      <c r="S14" s="31">
        <f t="shared" si="5"/>
        <v>0</v>
      </c>
      <c r="T14" s="30">
        <f t="shared" si="5"/>
        <v>49758734</v>
      </c>
      <c r="U14" s="30">
        <f t="shared" si="5"/>
        <v>49758734</v>
      </c>
      <c r="V14" s="30">
        <f>S14+U14</f>
        <v>49758734</v>
      </c>
      <c r="W14" s="30">
        <f t="shared" si="5"/>
        <v>36345288622.5</v>
      </c>
      <c r="X14" s="31">
        <f t="shared" si="5"/>
        <v>0</v>
      </c>
      <c r="Y14" s="30">
        <f t="shared" si="5"/>
        <v>2323209839</v>
      </c>
      <c r="Z14" s="32">
        <f>R14/L14</f>
        <v>6.128810398200972E-2</v>
      </c>
    </row>
    <row r="15" spans="1:26" ht="18.75" customHeight="1" x14ac:dyDescent="0.2">
      <c r="A15" s="27" t="s">
        <v>41</v>
      </c>
      <c r="B15" s="27" t="s">
        <v>42</v>
      </c>
      <c r="C15" s="28" t="s">
        <v>47</v>
      </c>
      <c r="D15" s="29" t="s">
        <v>48</v>
      </c>
      <c r="E15" s="30" t="s">
        <v>37</v>
      </c>
      <c r="F15" s="30">
        <f>F16+F39</f>
        <v>25931861921.5</v>
      </c>
      <c r="G15" s="31">
        <f t="shared" ref="G15:Y15" si="6">G16+G39</f>
        <v>0</v>
      </c>
      <c r="H15" s="31">
        <f t="shared" si="6"/>
        <v>0</v>
      </c>
      <c r="I15" s="31">
        <f t="shared" si="6"/>
        <v>0</v>
      </c>
      <c r="J15" s="31">
        <f t="shared" si="6"/>
        <v>0</v>
      </c>
      <c r="K15" s="31">
        <f t="shared" si="6"/>
        <v>0</v>
      </c>
      <c r="L15" s="30">
        <f t="shared" si="6"/>
        <v>25931861921.5</v>
      </c>
      <c r="M15" s="31">
        <f t="shared" si="6"/>
        <v>0</v>
      </c>
      <c r="N15" s="30">
        <f t="shared" si="6"/>
        <v>1565499302</v>
      </c>
      <c r="O15" s="30">
        <f t="shared" si="6"/>
        <v>1565499302</v>
      </c>
      <c r="P15" s="31">
        <f t="shared" si="6"/>
        <v>0</v>
      </c>
      <c r="Q15" s="30">
        <f t="shared" si="6"/>
        <v>1565499302</v>
      </c>
      <c r="R15" s="30">
        <f t="shared" si="6"/>
        <v>1565499302</v>
      </c>
      <c r="S15" s="31">
        <f t="shared" si="6"/>
        <v>0</v>
      </c>
      <c r="T15" s="30">
        <f t="shared" si="6"/>
        <v>40234989</v>
      </c>
      <c r="U15" s="30">
        <f t="shared" si="6"/>
        <v>40234989</v>
      </c>
      <c r="V15" s="30">
        <f t="shared" ref="V15:V38" si="7">S15+U15</f>
        <v>40234989</v>
      </c>
      <c r="W15" s="30">
        <f t="shared" si="6"/>
        <v>24366362619.5</v>
      </c>
      <c r="X15" s="31">
        <f t="shared" si="6"/>
        <v>0</v>
      </c>
      <c r="Y15" s="30">
        <f t="shared" si="6"/>
        <v>1525264313</v>
      </c>
      <c r="Z15" s="32">
        <f t="shared" ref="Z15:Z78" si="8">R15/L15</f>
        <v>6.0369722264410598E-2</v>
      </c>
    </row>
    <row r="16" spans="1:26" ht="18.75" customHeight="1" x14ac:dyDescent="0.2">
      <c r="A16" s="27" t="s">
        <v>49</v>
      </c>
      <c r="B16" s="27" t="s">
        <v>50</v>
      </c>
      <c r="C16" s="28" t="s">
        <v>51</v>
      </c>
      <c r="D16" s="29" t="s">
        <v>52</v>
      </c>
      <c r="E16" s="30" t="s">
        <v>37</v>
      </c>
      <c r="F16" s="30">
        <f>F17+F20+F21+F22+F23++F24+F27+F30+F37+F38</f>
        <v>25908449467.5</v>
      </c>
      <c r="G16" s="31">
        <f t="shared" ref="G16:Y16" si="9">G17+G20+G21+G22+G23++G24+G27+G30+G37+G38</f>
        <v>0</v>
      </c>
      <c r="H16" s="31">
        <f t="shared" si="9"/>
        <v>0</v>
      </c>
      <c r="I16" s="31">
        <f t="shared" si="9"/>
        <v>0</v>
      </c>
      <c r="J16" s="31">
        <f t="shared" si="9"/>
        <v>0</v>
      </c>
      <c r="K16" s="31">
        <f t="shared" si="9"/>
        <v>0</v>
      </c>
      <c r="L16" s="30">
        <f t="shared" si="9"/>
        <v>25908449467.5</v>
      </c>
      <c r="M16" s="31">
        <f t="shared" si="9"/>
        <v>0</v>
      </c>
      <c r="N16" s="30">
        <f t="shared" si="9"/>
        <v>1565499302</v>
      </c>
      <c r="O16" s="30">
        <f t="shared" si="9"/>
        <v>1565499302</v>
      </c>
      <c r="P16" s="31">
        <f t="shared" si="9"/>
        <v>0</v>
      </c>
      <c r="Q16" s="30">
        <f t="shared" si="9"/>
        <v>1565499302</v>
      </c>
      <c r="R16" s="30">
        <f t="shared" si="9"/>
        <v>1565499302</v>
      </c>
      <c r="S16" s="31">
        <f t="shared" si="9"/>
        <v>0</v>
      </c>
      <c r="T16" s="30">
        <f t="shared" si="9"/>
        <v>40234989</v>
      </c>
      <c r="U16" s="30">
        <f t="shared" si="9"/>
        <v>40234989</v>
      </c>
      <c r="V16" s="30">
        <f t="shared" si="7"/>
        <v>40234989</v>
      </c>
      <c r="W16" s="30">
        <f t="shared" si="9"/>
        <v>24342950165.5</v>
      </c>
      <c r="X16" s="31">
        <f t="shared" si="9"/>
        <v>0</v>
      </c>
      <c r="Y16" s="30">
        <f t="shared" si="9"/>
        <v>1525264313</v>
      </c>
      <c r="Z16" s="32">
        <f t="shared" si="8"/>
        <v>6.0424276024846214E-2</v>
      </c>
    </row>
    <row r="17" spans="1:26" ht="18.75" customHeight="1" x14ac:dyDescent="0.2">
      <c r="A17" s="27" t="s">
        <v>41</v>
      </c>
      <c r="B17" s="27" t="s">
        <v>42</v>
      </c>
      <c r="C17" s="28" t="s">
        <v>53</v>
      </c>
      <c r="D17" s="29" t="s">
        <v>54</v>
      </c>
      <c r="E17" s="30" t="s">
        <v>37</v>
      </c>
      <c r="F17" s="30">
        <f>F18+F19</f>
        <v>19589756868.5</v>
      </c>
      <c r="G17" s="31">
        <f t="shared" ref="G17:Y17" si="10">G18+G19</f>
        <v>0</v>
      </c>
      <c r="H17" s="31">
        <f t="shared" si="10"/>
        <v>0</v>
      </c>
      <c r="I17" s="31">
        <f t="shared" si="10"/>
        <v>0</v>
      </c>
      <c r="J17" s="31">
        <f t="shared" si="10"/>
        <v>0</v>
      </c>
      <c r="K17" s="31">
        <f t="shared" si="10"/>
        <v>0</v>
      </c>
      <c r="L17" s="30">
        <f t="shared" si="10"/>
        <v>19589756868.5</v>
      </c>
      <c r="M17" s="31">
        <f t="shared" si="10"/>
        <v>0</v>
      </c>
      <c r="N17" s="30">
        <f t="shared" si="10"/>
        <v>1440613068</v>
      </c>
      <c r="O17" s="30">
        <f t="shared" si="10"/>
        <v>1440613068</v>
      </c>
      <c r="P17" s="31">
        <f t="shared" si="10"/>
        <v>0</v>
      </c>
      <c r="Q17" s="30">
        <f t="shared" si="10"/>
        <v>1440613068</v>
      </c>
      <c r="R17" s="30">
        <f t="shared" si="10"/>
        <v>1440613068</v>
      </c>
      <c r="S17" s="31">
        <f t="shared" si="10"/>
        <v>0</v>
      </c>
      <c r="T17" s="30">
        <f t="shared" si="10"/>
        <v>33879467</v>
      </c>
      <c r="U17" s="30">
        <f t="shared" si="10"/>
        <v>33879467</v>
      </c>
      <c r="V17" s="30">
        <f t="shared" si="7"/>
        <v>33879467</v>
      </c>
      <c r="W17" s="30">
        <f t="shared" si="10"/>
        <v>18149143800.5</v>
      </c>
      <c r="X17" s="31">
        <f t="shared" si="10"/>
        <v>0</v>
      </c>
      <c r="Y17" s="30">
        <f t="shared" si="10"/>
        <v>1406733601</v>
      </c>
      <c r="Z17" s="32">
        <f t="shared" si="8"/>
        <v>7.3539098911252015E-2</v>
      </c>
    </row>
    <row r="18" spans="1:26" ht="18.75" customHeight="1" x14ac:dyDescent="0.2">
      <c r="A18" s="14" t="s">
        <v>55</v>
      </c>
      <c r="B18" s="15" t="s">
        <v>56</v>
      </c>
      <c r="C18" s="16" t="s">
        <v>57</v>
      </c>
      <c r="D18" s="17" t="s">
        <v>54</v>
      </c>
      <c r="E18" s="17" t="s">
        <v>58</v>
      </c>
      <c r="F18" s="18">
        <v>18005571308.5</v>
      </c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18">
        <v>18005571308.5</v>
      </c>
      <c r="M18" s="34">
        <v>0</v>
      </c>
      <c r="N18" s="18">
        <v>1334045989</v>
      </c>
      <c r="O18" s="18">
        <v>1334045989</v>
      </c>
      <c r="P18" s="34">
        <v>0</v>
      </c>
      <c r="Q18" s="18">
        <v>1334045989</v>
      </c>
      <c r="R18" s="18">
        <v>1334045989</v>
      </c>
      <c r="S18" s="34">
        <v>0</v>
      </c>
      <c r="T18" s="18">
        <v>33879467</v>
      </c>
      <c r="U18" s="18">
        <v>33879467</v>
      </c>
      <c r="V18" s="30">
        <f t="shared" si="7"/>
        <v>33879467</v>
      </c>
      <c r="W18" s="18">
        <v>16671525319.5</v>
      </c>
      <c r="X18" s="34">
        <v>0</v>
      </c>
      <c r="Y18" s="18">
        <v>1300166522</v>
      </c>
      <c r="Z18" s="32">
        <f t="shared" si="8"/>
        <v>7.4090733703641429E-2</v>
      </c>
    </row>
    <row r="19" spans="1:26" ht="18.75" customHeight="1" x14ac:dyDescent="0.2">
      <c r="A19" s="14" t="s">
        <v>55</v>
      </c>
      <c r="B19" s="15" t="s">
        <v>56</v>
      </c>
      <c r="C19" s="16" t="s">
        <v>59</v>
      </c>
      <c r="D19" s="17" t="s">
        <v>60</v>
      </c>
      <c r="E19" s="17" t="s">
        <v>61</v>
      </c>
      <c r="F19" s="18">
        <v>1584185560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18">
        <v>1584185560</v>
      </c>
      <c r="M19" s="34">
        <v>0</v>
      </c>
      <c r="N19" s="18">
        <v>106567079</v>
      </c>
      <c r="O19" s="18">
        <v>106567079</v>
      </c>
      <c r="P19" s="34">
        <v>0</v>
      </c>
      <c r="Q19" s="18">
        <v>106567079</v>
      </c>
      <c r="R19" s="18">
        <v>106567079</v>
      </c>
      <c r="S19" s="34">
        <v>0</v>
      </c>
      <c r="T19" s="34">
        <v>0</v>
      </c>
      <c r="U19" s="34">
        <v>0</v>
      </c>
      <c r="V19" s="31">
        <f t="shared" si="7"/>
        <v>0</v>
      </c>
      <c r="W19" s="18">
        <v>1477618481</v>
      </c>
      <c r="X19" s="34">
        <v>0</v>
      </c>
      <c r="Y19" s="18">
        <v>106567079</v>
      </c>
      <c r="Z19" s="32">
        <f t="shared" si="8"/>
        <v>6.7269315975838087E-2</v>
      </c>
    </row>
    <row r="20" spans="1:26" ht="18.75" customHeight="1" x14ac:dyDescent="0.2">
      <c r="A20" s="14" t="s">
        <v>49</v>
      </c>
      <c r="B20" s="15" t="s">
        <v>50</v>
      </c>
      <c r="C20" s="16" t="s">
        <v>62</v>
      </c>
      <c r="D20" s="17" t="s">
        <v>63</v>
      </c>
      <c r="E20" s="17" t="s">
        <v>58</v>
      </c>
      <c r="F20" s="18">
        <v>398412895</v>
      </c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18">
        <v>398412895</v>
      </c>
      <c r="M20" s="34">
        <v>0</v>
      </c>
      <c r="N20" s="18">
        <v>18559217</v>
      </c>
      <c r="O20" s="18">
        <v>18559217</v>
      </c>
      <c r="P20" s="34">
        <v>0</v>
      </c>
      <c r="Q20" s="18">
        <v>18559217</v>
      </c>
      <c r="R20" s="18">
        <v>18559217</v>
      </c>
      <c r="S20" s="34">
        <v>0</v>
      </c>
      <c r="T20" s="18">
        <v>658278</v>
      </c>
      <c r="U20" s="18">
        <v>658278</v>
      </c>
      <c r="V20" s="30">
        <f t="shared" si="7"/>
        <v>658278</v>
      </c>
      <c r="W20" s="18">
        <v>379853678</v>
      </c>
      <c r="X20" s="34">
        <v>0</v>
      </c>
      <c r="Y20" s="18">
        <v>17900939</v>
      </c>
      <c r="Z20" s="32">
        <f t="shared" si="8"/>
        <v>4.6582872273750076E-2</v>
      </c>
    </row>
    <row r="21" spans="1:26" ht="18.75" customHeight="1" x14ac:dyDescent="0.2">
      <c r="A21" s="14" t="s">
        <v>49</v>
      </c>
      <c r="B21" s="15" t="s">
        <v>50</v>
      </c>
      <c r="C21" s="16" t="s">
        <v>64</v>
      </c>
      <c r="D21" s="17" t="s">
        <v>65</v>
      </c>
      <c r="E21" s="17" t="s">
        <v>58</v>
      </c>
      <c r="F21" s="18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18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18">
        <v>0</v>
      </c>
      <c r="U21" s="34">
        <v>0</v>
      </c>
      <c r="V21" s="31">
        <f t="shared" si="7"/>
        <v>0</v>
      </c>
      <c r="W21" s="18">
        <v>0</v>
      </c>
      <c r="X21" s="34">
        <v>0</v>
      </c>
      <c r="Y21" s="18">
        <v>0</v>
      </c>
      <c r="Z21" s="32">
        <v>0</v>
      </c>
    </row>
    <row r="22" spans="1:26" ht="18.75" customHeight="1" x14ac:dyDescent="0.2">
      <c r="A22" s="14" t="s">
        <v>49</v>
      </c>
      <c r="B22" s="15" t="s">
        <v>50</v>
      </c>
      <c r="C22" s="16" t="s">
        <v>66</v>
      </c>
      <c r="D22" s="17" t="s">
        <v>67</v>
      </c>
      <c r="E22" s="17" t="s">
        <v>58</v>
      </c>
      <c r="F22" s="18">
        <v>13303349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18">
        <v>13303349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18">
        <v>0</v>
      </c>
      <c r="U22" s="34">
        <v>0</v>
      </c>
      <c r="V22" s="31">
        <f t="shared" si="7"/>
        <v>0</v>
      </c>
      <c r="W22" s="18">
        <v>13303349</v>
      </c>
      <c r="X22" s="34">
        <v>0</v>
      </c>
      <c r="Y22" s="18">
        <v>0</v>
      </c>
      <c r="Z22" s="32">
        <f t="shared" si="8"/>
        <v>0</v>
      </c>
    </row>
    <row r="23" spans="1:26" ht="18.75" customHeight="1" x14ac:dyDescent="0.2">
      <c r="A23" s="14" t="s">
        <v>49</v>
      </c>
      <c r="B23" s="15" t="s">
        <v>50</v>
      </c>
      <c r="C23" s="16" t="s">
        <v>68</v>
      </c>
      <c r="D23" s="17" t="s">
        <v>69</v>
      </c>
      <c r="E23" s="17" t="s">
        <v>58</v>
      </c>
      <c r="F23" s="18">
        <v>37582851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8">
        <v>37582851</v>
      </c>
      <c r="M23" s="34">
        <v>0</v>
      </c>
      <c r="N23" s="18">
        <v>2874258</v>
      </c>
      <c r="O23" s="18">
        <v>2874258</v>
      </c>
      <c r="P23" s="34">
        <v>0</v>
      </c>
      <c r="Q23" s="18">
        <v>2874258</v>
      </c>
      <c r="R23" s="18">
        <v>2874258</v>
      </c>
      <c r="S23" s="34">
        <v>0</v>
      </c>
      <c r="T23" s="18">
        <v>0</v>
      </c>
      <c r="U23" s="34">
        <v>0</v>
      </c>
      <c r="V23" s="31">
        <f t="shared" si="7"/>
        <v>0</v>
      </c>
      <c r="W23" s="18">
        <v>34708593</v>
      </c>
      <c r="X23" s="34">
        <v>0</v>
      </c>
      <c r="Y23" s="18">
        <v>2874258</v>
      </c>
      <c r="Z23" s="32">
        <f t="shared" si="8"/>
        <v>7.6477912758667513E-2</v>
      </c>
    </row>
    <row r="24" spans="1:26" ht="18.75" customHeight="1" x14ac:dyDescent="0.2">
      <c r="A24" s="27" t="s">
        <v>49</v>
      </c>
      <c r="B24" s="27" t="s">
        <v>50</v>
      </c>
      <c r="C24" s="28" t="s">
        <v>70</v>
      </c>
      <c r="D24" s="29" t="s">
        <v>71</v>
      </c>
      <c r="E24" s="30" t="s">
        <v>37</v>
      </c>
      <c r="F24" s="30">
        <f>F25+F26</f>
        <v>1845616015</v>
      </c>
      <c r="G24" s="30">
        <f t="shared" ref="G24:Y24" si="11">G25+G26</f>
        <v>0</v>
      </c>
      <c r="H24" s="30">
        <f t="shared" si="11"/>
        <v>0</v>
      </c>
      <c r="I24" s="30">
        <f t="shared" si="11"/>
        <v>0</v>
      </c>
      <c r="J24" s="30">
        <f t="shared" si="11"/>
        <v>0</v>
      </c>
      <c r="K24" s="30">
        <f t="shared" si="11"/>
        <v>0</v>
      </c>
      <c r="L24" s="30">
        <f t="shared" si="11"/>
        <v>1845616015</v>
      </c>
      <c r="M24" s="31">
        <f t="shared" si="11"/>
        <v>0</v>
      </c>
      <c r="N24" s="30">
        <f t="shared" si="11"/>
        <v>442993</v>
      </c>
      <c r="O24" s="30">
        <f t="shared" si="11"/>
        <v>442993</v>
      </c>
      <c r="P24" s="31">
        <f t="shared" si="11"/>
        <v>0</v>
      </c>
      <c r="Q24" s="30">
        <f t="shared" si="11"/>
        <v>442993</v>
      </c>
      <c r="R24" s="30">
        <f t="shared" si="11"/>
        <v>442993</v>
      </c>
      <c r="S24" s="31">
        <f t="shared" si="11"/>
        <v>0</v>
      </c>
      <c r="T24" s="30">
        <f t="shared" si="11"/>
        <v>407076</v>
      </c>
      <c r="U24" s="30">
        <f t="shared" si="11"/>
        <v>407076</v>
      </c>
      <c r="V24" s="30">
        <f t="shared" si="7"/>
        <v>407076</v>
      </c>
      <c r="W24" s="30">
        <f t="shared" si="11"/>
        <v>1845173022</v>
      </c>
      <c r="X24" s="31">
        <f t="shared" si="11"/>
        <v>0</v>
      </c>
      <c r="Y24" s="30">
        <f t="shared" si="11"/>
        <v>35917</v>
      </c>
      <c r="Z24" s="32">
        <f t="shared" si="8"/>
        <v>2.4002446684447522E-4</v>
      </c>
    </row>
    <row r="25" spans="1:26" ht="18.75" customHeight="1" x14ac:dyDescent="0.2">
      <c r="A25" s="14" t="s">
        <v>55</v>
      </c>
      <c r="B25" s="15" t="s">
        <v>56</v>
      </c>
      <c r="C25" s="16" t="s">
        <v>72</v>
      </c>
      <c r="D25" s="17" t="s">
        <v>71</v>
      </c>
      <c r="E25" s="17" t="s">
        <v>58</v>
      </c>
      <c r="F25" s="18">
        <v>1777683059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18">
        <v>1777683059</v>
      </c>
      <c r="M25" s="34">
        <v>0</v>
      </c>
      <c r="N25" s="18">
        <v>442993</v>
      </c>
      <c r="O25" s="18">
        <v>442993</v>
      </c>
      <c r="P25" s="34">
        <v>0</v>
      </c>
      <c r="Q25" s="18">
        <v>442993</v>
      </c>
      <c r="R25" s="18">
        <v>442993</v>
      </c>
      <c r="S25" s="34">
        <v>0</v>
      </c>
      <c r="T25" s="18">
        <v>407076</v>
      </c>
      <c r="U25" s="18">
        <v>407076</v>
      </c>
      <c r="V25" s="30">
        <f t="shared" si="7"/>
        <v>407076</v>
      </c>
      <c r="W25" s="18">
        <v>1777240066</v>
      </c>
      <c r="X25" s="34">
        <v>0</v>
      </c>
      <c r="Y25" s="18">
        <v>35917</v>
      </c>
      <c r="Z25" s="32">
        <f t="shared" si="8"/>
        <v>2.4919683953628769E-4</v>
      </c>
    </row>
    <row r="26" spans="1:26" ht="18.75" customHeight="1" x14ac:dyDescent="0.2">
      <c r="A26" s="14" t="s">
        <v>55</v>
      </c>
      <c r="B26" s="15" t="s">
        <v>56</v>
      </c>
      <c r="C26" s="16" t="s">
        <v>73</v>
      </c>
      <c r="D26" s="17" t="s">
        <v>74</v>
      </c>
      <c r="E26" s="17" t="s">
        <v>61</v>
      </c>
      <c r="F26" s="18">
        <v>67932956</v>
      </c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18">
        <v>67932956</v>
      </c>
      <c r="M26" s="34">
        <v>0</v>
      </c>
      <c r="N26" s="18">
        <v>0</v>
      </c>
      <c r="O26" s="18">
        <v>0</v>
      </c>
      <c r="P26" s="34">
        <v>0</v>
      </c>
      <c r="Q26" s="18">
        <v>0</v>
      </c>
      <c r="R26" s="18">
        <v>0</v>
      </c>
      <c r="S26" s="34">
        <v>0</v>
      </c>
      <c r="T26" s="18">
        <v>0</v>
      </c>
      <c r="U26" s="18">
        <v>0</v>
      </c>
      <c r="V26" s="30">
        <f t="shared" si="7"/>
        <v>0</v>
      </c>
      <c r="W26" s="18">
        <v>67932956</v>
      </c>
      <c r="X26" s="34">
        <v>0</v>
      </c>
      <c r="Y26" s="18">
        <v>0</v>
      </c>
      <c r="Z26" s="32">
        <f t="shared" si="8"/>
        <v>0</v>
      </c>
    </row>
    <row r="27" spans="1:26" ht="18.75" customHeight="1" x14ac:dyDescent="0.2">
      <c r="A27" s="27" t="s">
        <v>49</v>
      </c>
      <c r="B27" s="27" t="s">
        <v>50</v>
      </c>
      <c r="C27" s="28" t="s">
        <v>75</v>
      </c>
      <c r="D27" s="29" t="s">
        <v>76</v>
      </c>
      <c r="E27" s="30" t="s">
        <v>37</v>
      </c>
      <c r="F27" s="30">
        <f>F28+F29</f>
        <v>592992922</v>
      </c>
      <c r="G27" s="31">
        <f t="shared" ref="G27:Y27" si="12">G28+G29</f>
        <v>0</v>
      </c>
      <c r="H27" s="31">
        <f t="shared" si="12"/>
        <v>0</v>
      </c>
      <c r="I27" s="31">
        <f t="shared" si="12"/>
        <v>0</v>
      </c>
      <c r="J27" s="31">
        <f t="shared" si="12"/>
        <v>0</v>
      </c>
      <c r="K27" s="31">
        <f t="shared" si="12"/>
        <v>0</v>
      </c>
      <c r="L27" s="30">
        <f t="shared" si="12"/>
        <v>592992922</v>
      </c>
      <c r="M27" s="31">
        <f t="shared" si="12"/>
        <v>0</v>
      </c>
      <c r="N27" s="30">
        <f t="shared" si="12"/>
        <v>75510209</v>
      </c>
      <c r="O27" s="30">
        <f t="shared" si="12"/>
        <v>75510209</v>
      </c>
      <c r="P27" s="31">
        <f t="shared" si="12"/>
        <v>0</v>
      </c>
      <c r="Q27" s="30">
        <f t="shared" si="12"/>
        <v>75510209</v>
      </c>
      <c r="R27" s="30">
        <f t="shared" si="12"/>
        <v>75510209</v>
      </c>
      <c r="S27" s="31">
        <f t="shared" si="12"/>
        <v>0</v>
      </c>
      <c r="T27" s="30">
        <f t="shared" si="12"/>
        <v>1014781</v>
      </c>
      <c r="U27" s="30">
        <f t="shared" si="12"/>
        <v>1014781</v>
      </c>
      <c r="V27" s="30">
        <f t="shared" si="7"/>
        <v>1014781</v>
      </c>
      <c r="W27" s="30">
        <f t="shared" si="12"/>
        <v>517482713</v>
      </c>
      <c r="X27" s="31">
        <f t="shared" si="12"/>
        <v>0</v>
      </c>
      <c r="Y27" s="30">
        <f t="shared" si="12"/>
        <v>74495428</v>
      </c>
      <c r="Z27" s="32">
        <f t="shared" si="8"/>
        <v>0.12733745412226016</v>
      </c>
    </row>
    <row r="28" spans="1:26" ht="18.75" customHeight="1" x14ac:dyDescent="0.2">
      <c r="A28" s="14" t="s">
        <v>55</v>
      </c>
      <c r="B28" s="15" t="s">
        <v>56</v>
      </c>
      <c r="C28" s="16" t="s">
        <v>77</v>
      </c>
      <c r="D28" s="17" t="s">
        <v>76</v>
      </c>
      <c r="E28" s="17" t="s">
        <v>58</v>
      </c>
      <c r="F28" s="18">
        <v>546787511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18">
        <v>546787511</v>
      </c>
      <c r="M28" s="34">
        <v>0</v>
      </c>
      <c r="N28" s="18">
        <v>75510209</v>
      </c>
      <c r="O28" s="18">
        <v>75510209</v>
      </c>
      <c r="P28" s="34">
        <v>0</v>
      </c>
      <c r="Q28" s="18">
        <v>75510209</v>
      </c>
      <c r="R28" s="18">
        <v>75510209</v>
      </c>
      <c r="S28" s="34">
        <v>0</v>
      </c>
      <c r="T28" s="18">
        <v>1014781</v>
      </c>
      <c r="U28" s="18">
        <v>1014781</v>
      </c>
      <c r="V28" s="30">
        <f t="shared" si="7"/>
        <v>1014781</v>
      </c>
      <c r="W28" s="18">
        <v>471277302</v>
      </c>
      <c r="X28" s="34">
        <v>0</v>
      </c>
      <c r="Y28" s="18">
        <v>74495428</v>
      </c>
      <c r="Z28" s="32">
        <f t="shared" si="8"/>
        <v>0.13809790362969721</v>
      </c>
    </row>
    <row r="29" spans="1:26" ht="18.75" customHeight="1" x14ac:dyDescent="0.2">
      <c r="A29" s="14" t="s">
        <v>55</v>
      </c>
      <c r="B29" s="15" t="s">
        <v>56</v>
      </c>
      <c r="C29" s="16" t="s">
        <v>78</v>
      </c>
      <c r="D29" s="17" t="s">
        <v>79</v>
      </c>
      <c r="E29" s="17" t="s">
        <v>58</v>
      </c>
      <c r="F29" s="18">
        <v>46205411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18">
        <v>46205411</v>
      </c>
      <c r="M29" s="34">
        <v>0</v>
      </c>
      <c r="N29" s="18">
        <v>0</v>
      </c>
      <c r="O29" s="18">
        <v>0</v>
      </c>
      <c r="P29" s="34">
        <v>0</v>
      </c>
      <c r="Q29" s="18">
        <v>0</v>
      </c>
      <c r="R29" s="18">
        <v>0</v>
      </c>
      <c r="S29" s="34">
        <v>0</v>
      </c>
      <c r="T29" s="18">
        <v>0</v>
      </c>
      <c r="U29" s="18">
        <v>0</v>
      </c>
      <c r="V29" s="30">
        <f t="shared" si="7"/>
        <v>0</v>
      </c>
      <c r="W29" s="18">
        <v>46205411</v>
      </c>
      <c r="X29" s="34">
        <v>0</v>
      </c>
      <c r="Y29" s="18">
        <v>0</v>
      </c>
      <c r="Z29" s="32">
        <f t="shared" si="8"/>
        <v>0</v>
      </c>
    </row>
    <row r="30" spans="1:26" ht="18.75" customHeight="1" x14ac:dyDescent="0.2">
      <c r="A30" s="27" t="s">
        <v>49</v>
      </c>
      <c r="B30" s="27" t="s">
        <v>50</v>
      </c>
      <c r="C30" s="28" t="s">
        <v>80</v>
      </c>
      <c r="D30" s="29" t="s">
        <v>81</v>
      </c>
      <c r="E30" s="30" t="s">
        <v>37</v>
      </c>
      <c r="F30" s="30">
        <f>F31+F34</f>
        <v>3301831967</v>
      </c>
      <c r="G30" s="31">
        <f t="shared" ref="G30:Y30" si="13">G31+G34</f>
        <v>0</v>
      </c>
      <c r="H30" s="31">
        <f t="shared" si="13"/>
        <v>0</v>
      </c>
      <c r="I30" s="31">
        <f t="shared" si="13"/>
        <v>0</v>
      </c>
      <c r="J30" s="31">
        <f t="shared" si="13"/>
        <v>0</v>
      </c>
      <c r="K30" s="31">
        <f t="shared" si="13"/>
        <v>0</v>
      </c>
      <c r="L30" s="30">
        <f t="shared" si="13"/>
        <v>3301831967</v>
      </c>
      <c r="M30" s="31">
        <f t="shared" si="13"/>
        <v>0</v>
      </c>
      <c r="N30" s="30">
        <f t="shared" si="13"/>
        <v>27499557</v>
      </c>
      <c r="O30" s="30">
        <f t="shared" si="13"/>
        <v>27499557</v>
      </c>
      <c r="P30" s="31">
        <f t="shared" si="13"/>
        <v>0</v>
      </c>
      <c r="Q30" s="30">
        <f t="shared" si="13"/>
        <v>27499557</v>
      </c>
      <c r="R30" s="30">
        <f t="shared" si="13"/>
        <v>27499557</v>
      </c>
      <c r="S30" s="31">
        <f t="shared" si="13"/>
        <v>0</v>
      </c>
      <c r="T30" s="30">
        <f t="shared" si="13"/>
        <v>4275387</v>
      </c>
      <c r="U30" s="30">
        <f t="shared" si="13"/>
        <v>4275387</v>
      </c>
      <c r="V30" s="30">
        <f t="shared" si="7"/>
        <v>4275387</v>
      </c>
      <c r="W30" s="30">
        <f t="shared" si="13"/>
        <v>3274332410</v>
      </c>
      <c r="X30" s="31">
        <f t="shared" si="13"/>
        <v>0</v>
      </c>
      <c r="Y30" s="30">
        <f t="shared" si="13"/>
        <v>23224170</v>
      </c>
      <c r="Z30" s="32">
        <f t="shared" si="8"/>
        <v>8.3285755528576238E-3</v>
      </c>
    </row>
    <row r="31" spans="1:26" ht="18.75" customHeight="1" x14ac:dyDescent="0.2">
      <c r="A31" s="27" t="s">
        <v>49</v>
      </c>
      <c r="B31" s="27" t="s">
        <v>50</v>
      </c>
      <c r="C31" s="28" t="s">
        <v>82</v>
      </c>
      <c r="D31" s="29" t="s">
        <v>83</v>
      </c>
      <c r="E31" s="30" t="s">
        <v>37</v>
      </c>
      <c r="F31" s="30">
        <f>F32+F33</f>
        <v>2120123016</v>
      </c>
      <c r="G31" s="31">
        <f t="shared" ref="G31:Y31" si="14">G32+G33</f>
        <v>0</v>
      </c>
      <c r="H31" s="31">
        <f t="shared" si="14"/>
        <v>0</v>
      </c>
      <c r="I31" s="31">
        <f t="shared" si="14"/>
        <v>0</v>
      </c>
      <c r="J31" s="31">
        <f t="shared" si="14"/>
        <v>0</v>
      </c>
      <c r="K31" s="31">
        <f t="shared" si="14"/>
        <v>0</v>
      </c>
      <c r="L31" s="30">
        <f t="shared" si="14"/>
        <v>2120123016</v>
      </c>
      <c r="M31" s="31">
        <f t="shared" si="14"/>
        <v>0</v>
      </c>
      <c r="N31" s="30">
        <f t="shared" si="14"/>
        <v>2551923</v>
      </c>
      <c r="O31" s="30">
        <f t="shared" si="14"/>
        <v>2551923</v>
      </c>
      <c r="P31" s="31">
        <f t="shared" si="14"/>
        <v>0</v>
      </c>
      <c r="Q31" s="30">
        <f t="shared" si="14"/>
        <v>2551923</v>
      </c>
      <c r="R31" s="30">
        <f t="shared" si="14"/>
        <v>2551923</v>
      </c>
      <c r="S31" s="31">
        <f t="shared" si="14"/>
        <v>0</v>
      </c>
      <c r="T31" s="30">
        <f t="shared" si="14"/>
        <v>2377121</v>
      </c>
      <c r="U31" s="30">
        <f t="shared" si="14"/>
        <v>2377121</v>
      </c>
      <c r="V31" s="30">
        <f t="shared" si="7"/>
        <v>2377121</v>
      </c>
      <c r="W31" s="30">
        <f t="shared" si="14"/>
        <v>2117571093</v>
      </c>
      <c r="X31" s="31">
        <f t="shared" si="14"/>
        <v>0</v>
      </c>
      <c r="Y31" s="30">
        <f t="shared" si="14"/>
        <v>174802</v>
      </c>
      <c r="Z31" s="32">
        <f t="shared" si="8"/>
        <v>1.2036674196456154E-3</v>
      </c>
    </row>
    <row r="32" spans="1:26" ht="18.75" customHeight="1" x14ac:dyDescent="0.2">
      <c r="A32" s="14" t="s">
        <v>55</v>
      </c>
      <c r="B32" s="15" t="s">
        <v>56</v>
      </c>
      <c r="C32" s="16" t="s">
        <v>84</v>
      </c>
      <c r="D32" s="17" t="s">
        <v>85</v>
      </c>
      <c r="E32" s="17" t="s">
        <v>61</v>
      </c>
      <c r="F32" s="18">
        <v>151225079</v>
      </c>
      <c r="G32" s="34">
        <v>0</v>
      </c>
      <c r="H32" s="34">
        <v>0</v>
      </c>
      <c r="I32" s="34">
        <v>0</v>
      </c>
      <c r="J32" s="34">
        <v>0</v>
      </c>
      <c r="K32" s="34">
        <v>0</v>
      </c>
      <c r="L32" s="18">
        <v>151225079</v>
      </c>
      <c r="M32" s="34">
        <v>0</v>
      </c>
      <c r="N32" s="18">
        <v>0</v>
      </c>
      <c r="O32" s="18">
        <v>0</v>
      </c>
      <c r="P32" s="34">
        <v>0</v>
      </c>
      <c r="Q32" s="18">
        <v>0</v>
      </c>
      <c r="R32" s="18">
        <v>0</v>
      </c>
      <c r="S32" s="34">
        <v>0</v>
      </c>
      <c r="T32" s="18">
        <v>0</v>
      </c>
      <c r="U32" s="18">
        <v>0</v>
      </c>
      <c r="V32" s="30">
        <f t="shared" si="7"/>
        <v>0</v>
      </c>
      <c r="W32" s="18">
        <v>151225079</v>
      </c>
      <c r="X32" s="34">
        <v>0</v>
      </c>
      <c r="Y32" s="18">
        <v>0</v>
      </c>
      <c r="Z32" s="32">
        <f t="shared" si="8"/>
        <v>0</v>
      </c>
    </row>
    <row r="33" spans="1:26" ht="18.75" customHeight="1" x14ac:dyDescent="0.2">
      <c r="A33" s="14" t="s">
        <v>55</v>
      </c>
      <c r="B33" s="15" t="s">
        <v>56</v>
      </c>
      <c r="C33" s="16" t="s">
        <v>86</v>
      </c>
      <c r="D33" s="17" t="s">
        <v>83</v>
      </c>
      <c r="E33" s="17" t="s">
        <v>58</v>
      </c>
      <c r="F33" s="18">
        <v>1968897937</v>
      </c>
      <c r="G33" s="34">
        <v>0</v>
      </c>
      <c r="H33" s="34">
        <v>0</v>
      </c>
      <c r="I33" s="34">
        <v>0</v>
      </c>
      <c r="J33" s="34">
        <v>0</v>
      </c>
      <c r="K33" s="34">
        <v>0</v>
      </c>
      <c r="L33" s="18">
        <v>1968897937</v>
      </c>
      <c r="M33" s="34">
        <v>0</v>
      </c>
      <c r="N33" s="18">
        <v>2551923</v>
      </c>
      <c r="O33" s="18">
        <v>2551923</v>
      </c>
      <c r="P33" s="34">
        <v>0</v>
      </c>
      <c r="Q33" s="18">
        <v>2551923</v>
      </c>
      <c r="R33" s="18">
        <v>2551923</v>
      </c>
      <c r="S33" s="34">
        <v>0</v>
      </c>
      <c r="T33" s="18">
        <v>2377121</v>
      </c>
      <c r="U33" s="18">
        <v>2377121</v>
      </c>
      <c r="V33" s="30">
        <f t="shared" si="7"/>
        <v>2377121</v>
      </c>
      <c r="W33" s="18">
        <v>1966346014</v>
      </c>
      <c r="X33" s="34">
        <v>0</v>
      </c>
      <c r="Y33" s="18">
        <v>174802</v>
      </c>
      <c r="Z33" s="32">
        <f t="shared" si="8"/>
        <v>1.2961174635026296E-3</v>
      </c>
    </row>
    <row r="34" spans="1:26" ht="18.75" customHeight="1" x14ac:dyDescent="0.2">
      <c r="A34" s="27" t="s">
        <v>49</v>
      </c>
      <c r="B34" s="27" t="s">
        <v>50</v>
      </c>
      <c r="C34" s="28" t="s">
        <v>87</v>
      </c>
      <c r="D34" s="29" t="s">
        <v>88</v>
      </c>
      <c r="E34" s="30" t="s">
        <v>37</v>
      </c>
      <c r="F34" s="30">
        <f>F35+F36</f>
        <v>1181708951</v>
      </c>
      <c r="G34" s="31">
        <f t="shared" ref="G34:Y34" si="15">G35+G36</f>
        <v>0</v>
      </c>
      <c r="H34" s="31">
        <f t="shared" si="15"/>
        <v>0</v>
      </c>
      <c r="I34" s="31">
        <f t="shared" si="15"/>
        <v>0</v>
      </c>
      <c r="J34" s="31">
        <f t="shared" si="15"/>
        <v>0</v>
      </c>
      <c r="K34" s="31">
        <f t="shared" si="15"/>
        <v>0</v>
      </c>
      <c r="L34" s="30">
        <f t="shared" si="15"/>
        <v>1181708951</v>
      </c>
      <c r="M34" s="31">
        <f t="shared" si="15"/>
        <v>0</v>
      </c>
      <c r="N34" s="30">
        <f t="shared" si="15"/>
        <v>24947634</v>
      </c>
      <c r="O34" s="30">
        <f t="shared" si="15"/>
        <v>24947634</v>
      </c>
      <c r="P34" s="31">
        <f t="shared" si="15"/>
        <v>0</v>
      </c>
      <c r="Q34" s="30">
        <f t="shared" si="15"/>
        <v>24947634</v>
      </c>
      <c r="R34" s="30">
        <f t="shared" si="15"/>
        <v>24947634</v>
      </c>
      <c r="S34" s="31">
        <f t="shared" si="15"/>
        <v>0</v>
      </c>
      <c r="T34" s="30">
        <f t="shared" si="15"/>
        <v>1898266</v>
      </c>
      <c r="U34" s="30">
        <f t="shared" si="15"/>
        <v>1898266</v>
      </c>
      <c r="V34" s="30">
        <f t="shared" si="7"/>
        <v>1898266</v>
      </c>
      <c r="W34" s="30">
        <f t="shared" si="15"/>
        <v>1156761317</v>
      </c>
      <c r="X34" s="31">
        <f t="shared" si="15"/>
        <v>0</v>
      </c>
      <c r="Y34" s="30">
        <f t="shared" si="15"/>
        <v>23049368</v>
      </c>
      <c r="Z34" s="32">
        <f t="shared" si="8"/>
        <v>2.1111487713525834E-2</v>
      </c>
    </row>
    <row r="35" spans="1:26" ht="18.75" customHeight="1" x14ac:dyDescent="0.2">
      <c r="A35" s="35" t="s">
        <v>55</v>
      </c>
      <c r="B35" s="36" t="s">
        <v>56</v>
      </c>
      <c r="C35" s="37" t="s">
        <v>89</v>
      </c>
      <c r="D35" s="38" t="s">
        <v>88</v>
      </c>
      <c r="E35" s="38" t="s">
        <v>58</v>
      </c>
      <c r="F35" s="39">
        <v>1110945455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39">
        <v>1110945455</v>
      </c>
      <c r="M35" s="40">
        <v>0</v>
      </c>
      <c r="N35" s="39">
        <v>24947634</v>
      </c>
      <c r="O35" s="39">
        <v>24947634</v>
      </c>
      <c r="P35" s="40">
        <v>0</v>
      </c>
      <c r="Q35" s="39">
        <v>24947634</v>
      </c>
      <c r="R35" s="39">
        <v>24947634</v>
      </c>
      <c r="S35" s="40">
        <v>0</v>
      </c>
      <c r="T35" s="39">
        <v>1898266</v>
      </c>
      <c r="U35" s="39">
        <v>1898266</v>
      </c>
      <c r="V35" s="30">
        <f t="shared" si="7"/>
        <v>1898266</v>
      </c>
      <c r="W35" s="39">
        <v>1085997821</v>
      </c>
      <c r="X35" s="40">
        <v>0</v>
      </c>
      <c r="Y35" s="39">
        <v>23049368</v>
      </c>
      <c r="Z35" s="32">
        <f t="shared" si="8"/>
        <v>2.2456218608860504E-2</v>
      </c>
    </row>
    <row r="36" spans="1:26" ht="18.75" customHeight="1" x14ac:dyDescent="0.2">
      <c r="A36" s="14" t="s">
        <v>55</v>
      </c>
      <c r="B36" s="15" t="s">
        <v>56</v>
      </c>
      <c r="C36" s="16" t="s">
        <v>90</v>
      </c>
      <c r="D36" s="17" t="s">
        <v>91</v>
      </c>
      <c r="E36" s="17" t="s">
        <v>61</v>
      </c>
      <c r="F36" s="18">
        <v>70763496</v>
      </c>
      <c r="G36" s="34">
        <v>0</v>
      </c>
      <c r="H36" s="34">
        <v>0</v>
      </c>
      <c r="I36" s="34">
        <v>0</v>
      </c>
      <c r="J36" s="34">
        <v>0</v>
      </c>
      <c r="K36" s="34">
        <v>0</v>
      </c>
      <c r="L36" s="18">
        <v>70763496</v>
      </c>
      <c r="M36" s="34">
        <v>0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1">
        <f t="shared" si="7"/>
        <v>0</v>
      </c>
      <c r="W36" s="18">
        <v>70763496</v>
      </c>
      <c r="X36" s="34">
        <v>0</v>
      </c>
      <c r="Y36" s="34">
        <v>0</v>
      </c>
      <c r="Z36" s="32">
        <f t="shared" si="8"/>
        <v>0</v>
      </c>
    </row>
    <row r="37" spans="1:26" ht="18.75" customHeight="1" x14ac:dyDescent="0.2">
      <c r="A37" s="14" t="s">
        <v>49</v>
      </c>
      <c r="B37" s="15" t="s">
        <v>50</v>
      </c>
      <c r="C37" s="16" t="s">
        <v>92</v>
      </c>
      <c r="D37" s="17" t="s">
        <v>93</v>
      </c>
      <c r="E37" s="17" t="s">
        <v>58</v>
      </c>
      <c r="F37" s="18">
        <v>128952600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8">
        <v>128952600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1">
        <f t="shared" si="7"/>
        <v>0</v>
      </c>
      <c r="W37" s="18">
        <v>128952600</v>
      </c>
      <c r="X37" s="34">
        <v>0</v>
      </c>
      <c r="Y37" s="34">
        <v>0</v>
      </c>
      <c r="Z37" s="32">
        <f t="shared" si="8"/>
        <v>0</v>
      </c>
    </row>
    <row r="38" spans="1:26" ht="18.75" customHeight="1" x14ac:dyDescent="0.2">
      <c r="A38" s="35" t="s">
        <v>49</v>
      </c>
      <c r="B38" s="36" t="s">
        <v>50</v>
      </c>
      <c r="C38" s="37" t="s">
        <v>94</v>
      </c>
      <c r="D38" s="38" t="s">
        <v>95</v>
      </c>
      <c r="E38" s="38" t="s">
        <v>56</v>
      </c>
      <c r="F38" s="39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39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31">
        <f t="shared" si="7"/>
        <v>0</v>
      </c>
      <c r="W38" s="39">
        <v>0</v>
      </c>
      <c r="X38" s="40">
        <v>0</v>
      </c>
      <c r="Y38" s="40">
        <v>0</v>
      </c>
      <c r="Z38" s="32">
        <v>0</v>
      </c>
    </row>
    <row r="39" spans="1:26" s="25" customFormat="1" ht="18.75" customHeight="1" x14ac:dyDescent="0.2">
      <c r="A39" s="19" t="s">
        <v>49</v>
      </c>
      <c r="B39" s="19" t="s">
        <v>50</v>
      </c>
      <c r="C39" s="26" t="s">
        <v>96</v>
      </c>
      <c r="D39" s="21" t="s">
        <v>97</v>
      </c>
      <c r="E39" s="22" t="s">
        <v>37</v>
      </c>
      <c r="F39" s="22">
        <f>F40</f>
        <v>23412454</v>
      </c>
      <c r="G39" s="23">
        <f t="shared" ref="G39:Y40" si="16">G40</f>
        <v>0</v>
      </c>
      <c r="H39" s="23">
        <f t="shared" si="16"/>
        <v>0</v>
      </c>
      <c r="I39" s="23">
        <f t="shared" si="16"/>
        <v>0</v>
      </c>
      <c r="J39" s="23">
        <f t="shared" si="16"/>
        <v>0</v>
      </c>
      <c r="K39" s="23">
        <f t="shared" si="16"/>
        <v>0</v>
      </c>
      <c r="L39" s="22">
        <f t="shared" si="16"/>
        <v>23412454</v>
      </c>
      <c r="M39" s="23">
        <f t="shared" si="16"/>
        <v>0</v>
      </c>
      <c r="N39" s="23">
        <f t="shared" si="16"/>
        <v>0</v>
      </c>
      <c r="O39" s="23">
        <f t="shared" si="16"/>
        <v>0</v>
      </c>
      <c r="P39" s="23">
        <f t="shared" si="16"/>
        <v>0</v>
      </c>
      <c r="Q39" s="23">
        <f t="shared" si="16"/>
        <v>0</v>
      </c>
      <c r="R39" s="23">
        <f t="shared" si="16"/>
        <v>0</v>
      </c>
      <c r="S39" s="23">
        <f t="shared" si="16"/>
        <v>0</v>
      </c>
      <c r="T39" s="23">
        <f t="shared" si="16"/>
        <v>0</v>
      </c>
      <c r="U39" s="23">
        <f t="shared" si="16"/>
        <v>0</v>
      </c>
      <c r="V39" s="23">
        <f>S39+U39</f>
        <v>0</v>
      </c>
      <c r="W39" s="22">
        <f t="shared" si="16"/>
        <v>23412454</v>
      </c>
      <c r="X39" s="23">
        <f t="shared" si="16"/>
        <v>0</v>
      </c>
      <c r="Y39" s="23">
        <f t="shared" si="16"/>
        <v>0</v>
      </c>
      <c r="Z39" s="24">
        <f t="shared" si="8"/>
        <v>0</v>
      </c>
    </row>
    <row r="40" spans="1:26" ht="18.75" customHeight="1" x14ac:dyDescent="0.2">
      <c r="A40" s="27" t="s">
        <v>55</v>
      </c>
      <c r="B40" s="27" t="s">
        <v>56</v>
      </c>
      <c r="C40" s="28" t="s">
        <v>98</v>
      </c>
      <c r="D40" s="29" t="s">
        <v>99</v>
      </c>
      <c r="E40" s="30" t="s">
        <v>37</v>
      </c>
      <c r="F40" s="30">
        <f>F41</f>
        <v>23412454</v>
      </c>
      <c r="G40" s="31">
        <f t="shared" si="16"/>
        <v>0</v>
      </c>
      <c r="H40" s="31">
        <f t="shared" si="16"/>
        <v>0</v>
      </c>
      <c r="I40" s="31">
        <f t="shared" si="16"/>
        <v>0</v>
      </c>
      <c r="J40" s="31">
        <f t="shared" si="16"/>
        <v>0</v>
      </c>
      <c r="K40" s="31">
        <f t="shared" si="16"/>
        <v>0</v>
      </c>
      <c r="L40" s="30">
        <f t="shared" si="16"/>
        <v>23412454</v>
      </c>
      <c r="M40" s="31">
        <f t="shared" si="16"/>
        <v>0</v>
      </c>
      <c r="N40" s="31">
        <f t="shared" si="16"/>
        <v>0</v>
      </c>
      <c r="O40" s="31">
        <f t="shared" si="16"/>
        <v>0</v>
      </c>
      <c r="P40" s="31">
        <f t="shared" si="16"/>
        <v>0</v>
      </c>
      <c r="Q40" s="31">
        <f t="shared" si="16"/>
        <v>0</v>
      </c>
      <c r="R40" s="31">
        <f t="shared" si="16"/>
        <v>0</v>
      </c>
      <c r="S40" s="31">
        <f t="shared" si="16"/>
        <v>0</v>
      </c>
      <c r="T40" s="31">
        <f t="shared" si="16"/>
        <v>0</v>
      </c>
      <c r="U40" s="31">
        <f t="shared" si="16"/>
        <v>0</v>
      </c>
      <c r="V40" s="31">
        <f t="shared" ref="V40:V41" si="17">S40+U40</f>
        <v>0</v>
      </c>
      <c r="W40" s="30">
        <f t="shared" si="16"/>
        <v>23412454</v>
      </c>
      <c r="X40" s="31">
        <f t="shared" si="16"/>
        <v>0</v>
      </c>
      <c r="Y40" s="31">
        <f t="shared" si="16"/>
        <v>0</v>
      </c>
      <c r="Z40" s="32">
        <f t="shared" si="8"/>
        <v>0</v>
      </c>
    </row>
    <row r="41" spans="1:26" ht="18.75" customHeight="1" x14ac:dyDescent="0.2">
      <c r="A41" s="14" t="s">
        <v>55</v>
      </c>
      <c r="B41" s="15" t="s">
        <v>56</v>
      </c>
      <c r="C41" s="16" t="s">
        <v>100</v>
      </c>
      <c r="D41" s="17" t="s">
        <v>101</v>
      </c>
      <c r="E41" s="17" t="s">
        <v>58</v>
      </c>
      <c r="F41" s="18">
        <v>23412454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18">
        <v>23412454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18">
        <v>0</v>
      </c>
      <c r="V41" s="30">
        <f t="shared" si="17"/>
        <v>0</v>
      </c>
      <c r="W41" s="18">
        <v>23412454</v>
      </c>
      <c r="X41" s="18">
        <v>0</v>
      </c>
      <c r="Y41" s="18">
        <v>0</v>
      </c>
      <c r="Z41" s="32">
        <f t="shared" si="8"/>
        <v>0</v>
      </c>
    </row>
    <row r="42" spans="1:26" s="25" customFormat="1" ht="18.75" customHeight="1" x14ac:dyDescent="0.2">
      <c r="A42" s="19" t="s">
        <v>49</v>
      </c>
      <c r="B42" s="19" t="s">
        <v>50</v>
      </c>
      <c r="C42" s="26" t="s">
        <v>102</v>
      </c>
      <c r="D42" s="21" t="s">
        <v>103</v>
      </c>
      <c r="E42" s="22" t="s">
        <v>37</v>
      </c>
      <c r="F42" s="22">
        <f>F43+F46+F49+F52+F55+F58+F61+F64+F67</f>
        <v>9938807657</v>
      </c>
      <c r="G42" s="23">
        <f t="shared" ref="G42:Y42" si="18">G43+G46+G49+G52+G55+G58+G61+G64+G67</f>
        <v>0</v>
      </c>
      <c r="H42" s="23">
        <f t="shared" si="18"/>
        <v>0</v>
      </c>
      <c r="I42" s="23">
        <f t="shared" si="18"/>
        <v>0</v>
      </c>
      <c r="J42" s="23">
        <f t="shared" si="18"/>
        <v>0</v>
      </c>
      <c r="K42" s="23">
        <f t="shared" si="18"/>
        <v>0</v>
      </c>
      <c r="L42" s="22">
        <f t="shared" si="18"/>
        <v>9938807657</v>
      </c>
      <c r="M42" s="23">
        <f t="shared" si="18"/>
        <v>0</v>
      </c>
      <c r="N42" s="22">
        <f t="shared" si="18"/>
        <v>683746301</v>
      </c>
      <c r="O42" s="22">
        <f t="shared" si="18"/>
        <v>683746301</v>
      </c>
      <c r="P42" s="23">
        <f t="shared" si="18"/>
        <v>0</v>
      </c>
      <c r="Q42" s="22">
        <f t="shared" si="18"/>
        <v>683746301</v>
      </c>
      <c r="R42" s="22">
        <f t="shared" si="18"/>
        <v>683746301</v>
      </c>
      <c r="S42" s="22">
        <f t="shared" si="18"/>
        <v>0</v>
      </c>
      <c r="T42" s="22">
        <f t="shared" si="18"/>
        <v>7397316</v>
      </c>
      <c r="U42" s="22">
        <f t="shared" si="18"/>
        <v>7397316</v>
      </c>
      <c r="V42" s="22">
        <f>S42+U42</f>
        <v>7397316</v>
      </c>
      <c r="W42" s="22">
        <f t="shared" si="18"/>
        <v>9255061356</v>
      </c>
      <c r="X42" s="22">
        <f t="shared" si="18"/>
        <v>0</v>
      </c>
      <c r="Y42" s="22">
        <f t="shared" si="18"/>
        <v>676348985</v>
      </c>
      <c r="Z42" s="24">
        <f t="shared" si="8"/>
        <v>6.8795606535199491E-2</v>
      </c>
    </row>
    <row r="43" spans="1:26" ht="18.75" customHeight="1" x14ac:dyDescent="0.2">
      <c r="A43" s="27" t="s">
        <v>49</v>
      </c>
      <c r="B43" s="27" t="s">
        <v>50</v>
      </c>
      <c r="C43" s="28" t="s">
        <v>104</v>
      </c>
      <c r="D43" s="29" t="s">
        <v>105</v>
      </c>
      <c r="E43" s="30" t="s">
        <v>37</v>
      </c>
      <c r="F43" s="30">
        <f>F44+F45</f>
        <v>2694944550</v>
      </c>
      <c r="G43" s="31">
        <f t="shared" ref="G43:Y43" si="19">G44+G45</f>
        <v>0</v>
      </c>
      <c r="H43" s="31">
        <f t="shared" si="19"/>
        <v>0</v>
      </c>
      <c r="I43" s="31">
        <f t="shared" si="19"/>
        <v>0</v>
      </c>
      <c r="J43" s="31">
        <f t="shared" si="19"/>
        <v>0</v>
      </c>
      <c r="K43" s="31">
        <f t="shared" si="19"/>
        <v>0</v>
      </c>
      <c r="L43" s="30">
        <f t="shared" si="19"/>
        <v>2694944550</v>
      </c>
      <c r="M43" s="31">
        <f t="shared" si="19"/>
        <v>0</v>
      </c>
      <c r="N43" s="30">
        <f t="shared" si="19"/>
        <v>191523600</v>
      </c>
      <c r="O43" s="30">
        <f t="shared" si="19"/>
        <v>191523600</v>
      </c>
      <c r="P43" s="31">
        <f t="shared" si="19"/>
        <v>0</v>
      </c>
      <c r="Q43" s="30">
        <f t="shared" si="19"/>
        <v>191523600</v>
      </c>
      <c r="R43" s="30">
        <f t="shared" si="19"/>
        <v>191523600</v>
      </c>
      <c r="S43" s="31">
        <f t="shared" si="19"/>
        <v>0</v>
      </c>
      <c r="T43" s="31">
        <f t="shared" si="19"/>
        <v>0</v>
      </c>
      <c r="U43" s="30">
        <f t="shared" si="19"/>
        <v>0</v>
      </c>
      <c r="V43" s="30">
        <f t="shared" ref="V43:V69" si="20">S43+U43</f>
        <v>0</v>
      </c>
      <c r="W43" s="30">
        <f t="shared" si="19"/>
        <v>2503420950</v>
      </c>
      <c r="X43" s="30">
        <f t="shared" si="19"/>
        <v>0</v>
      </c>
      <c r="Y43" s="30">
        <f t="shared" si="19"/>
        <v>191523600</v>
      </c>
      <c r="Z43" s="32">
        <f t="shared" si="8"/>
        <v>7.1067733100482533E-2</v>
      </c>
    </row>
    <row r="44" spans="1:26" ht="18.75" customHeight="1" x14ac:dyDescent="0.2">
      <c r="A44" s="14" t="s">
        <v>55</v>
      </c>
      <c r="B44" s="15" t="s">
        <v>56</v>
      </c>
      <c r="C44" s="16" t="s">
        <v>106</v>
      </c>
      <c r="D44" s="17" t="s">
        <v>105</v>
      </c>
      <c r="E44" s="17" t="s">
        <v>58</v>
      </c>
      <c r="F44" s="18">
        <v>2434081998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18">
        <v>2434081998</v>
      </c>
      <c r="M44" s="34">
        <v>0</v>
      </c>
      <c r="N44" s="18">
        <v>178735000</v>
      </c>
      <c r="O44" s="18">
        <v>178735000</v>
      </c>
      <c r="P44" s="34">
        <v>0</v>
      </c>
      <c r="Q44" s="18">
        <v>178735000</v>
      </c>
      <c r="R44" s="18">
        <v>178735000</v>
      </c>
      <c r="S44" s="34">
        <v>0</v>
      </c>
      <c r="T44" s="34">
        <v>0</v>
      </c>
      <c r="U44" s="34">
        <v>0</v>
      </c>
      <c r="V44" s="31">
        <f t="shared" si="20"/>
        <v>0</v>
      </c>
      <c r="W44" s="18">
        <v>2255346998</v>
      </c>
      <c r="X44" s="18">
        <v>0</v>
      </c>
      <c r="Y44" s="18">
        <v>178735000</v>
      </c>
      <c r="Z44" s="32">
        <f t="shared" si="8"/>
        <v>7.3430147442387031E-2</v>
      </c>
    </row>
    <row r="45" spans="1:26" ht="27" customHeight="1" x14ac:dyDescent="0.2">
      <c r="A45" s="14" t="s">
        <v>55</v>
      </c>
      <c r="B45" s="15" t="s">
        <v>56</v>
      </c>
      <c r="C45" s="16" t="s">
        <v>107</v>
      </c>
      <c r="D45" s="17" t="s">
        <v>108</v>
      </c>
      <c r="E45" s="17" t="s">
        <v>61</v>
      </c>
      <c r="F45" s="18">
        <v>260862552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18">
        <v>260862552</v>
      </c>
      <c r="M45" s="34">
        <v>0</v>
      </c>
      <c r="N45" s="18">
        <v>12788600</v>
      </c>
      <c r="O45" s="18">
        <v>12788600</v>
      </c>
      <c r="P45" s="34">
        <v>0</v>
      </c>
      <c r="Q45" s="18">
        <v>12788600</v>
      </c>
      <c r="R45" s="18">
        <v>12788600</v>
      </c>
      <c r="S45" s="34">
        <v>0</v>
      </c>
      <c r="T45" s="34">
        <v>0</v>
      </c>
      <c r="U45" s="34">
        <v>0</v>
      </c>
      <c r="V45" s="31">
        <f t="shared" si="20"/>
        <v>0</v>
      </c>
      <c r="W45" s="18">
        <v>248073952</v>
      </c>
      <c r="X45" s="18">
        <v>0</v>
      </c>
      <c r="Y45" s="18">
        <v>12788600</v>
      </c>
      <c r="Z45" s="32">
        <f t="shared" si="8"/>
        <v>4.9024284635534807E-2</v>
      </c>
    </row>
    <row r="46" spans="1:26" ht="18.75" customHeight="1" x14ac:dyDescent="0.2">
      <c r="A46" s="27" t="s">
        <v>49</v>
      </c>
      <c r="B46" s="27" t="s">
        <v>50</v>
      </c>
      <c r="C46" s="28" t="s">
        <v>109</v>
      </c>
      <c r="D46" s="29" t="s">
        <v>110</v>
      </c>
      <c r="E46" s="30" t="s">
        <v>37</v>
      </c>
      <c r="F46" s="30">
        <f>F47+F48</f>
        <v>1966170915</v>
      </c>
      <c r="G46" s="31">
        <f t="shared" ref="G46:Y46" si="21">G47+G48</f>
        <v>0</v>
      </c>
      <c r="H46" s="31">
        <f t="shared" si="21"/>
        <v>0</v>
      </c>
      <c r="I46" s="31">
        <f t="shared" si="21"/>
        <v>0</v>
      </c>
      <c r="J46" s="31">
        <f t="shared" si="21"/>
        <v>0</v>
      </c>
      <c r="K46" s="31">
        <f t="shared" si="21"/>
        <v>0</v>
      </c>
      <c r="L46" s="30">
        <f t="shared" si="21"/>
        <v>1966170915</v>
      </c>
      <c r="M46" s="31">
        <f t="shared" si="21"/>
        <v>0</v>
      </c>
      <c r="N46" s="30">
        <f t="shared" si="21"/>
        <v>138945500</v>
      </c>
      <c r="O46" s="30">
        <f t="shared" si="21"/>
        <v>138945500</v>
      </c>
      <c r="P46" s="31">
        <f t="shared" si="21"/>
        <v>0</v>
      </c>
      <c r="Q46" s="30">
        <f t="shared" si="21"/>
        <v>138945500</v>
      </c>
      <c r="R46" s="30">
        <f t="shared" si="21"/>
        <v>138945500</v>
      </c>
      <c r="S46" s="31">
        <f t="shared" si="21"/>
        <v>0</v>
      </c>
      <c r="T46" s="31">
        <f t="shared" si="21"/>
        <v>0</v>
      </c>
      <c r="U46" s="31">
        <f t="shared" si="21"/>
        <v>0</v>
      </c>
      <c r="V46" s="31">
        <f t="shared" si="20"/>
        <v>0</v>
      </c>
      <c r="W46" s="30">
        <f t="shared" si="21"/>
        <v>1827225415</v>
      </c>
      <c r="X46" s="31">
        <f t="shared" si="21"/>
        <v>0</v>
      </c>
      <c r="Y46" s="30">
        <f t="shared" si="21"/>
        <v>138945500</v>
      </c>
      <c r="Z46" s="32">
        <f t="shared" si="8"/>
        <v>7.0668068040259865E-2</v>
      </c>
    </row>
    <row r="47" spans="1:26" ht="18.75" customHeight="1" x14ac:dyDescent="0.2">
      <c r="A47" s="35" t="s">
        <v>55</v>
      </c>
      <c r="B47" s="36" t="s">
        <v>56</v>
      </c>
      <c r="C47" s="37" t="s">
        <v>111</v>
      </c>
      <c r="D47" s="38" t="s">
        <v>110</v>
      </c>
      <c r="E47" s="38" t="s">
        <v>58</v>
      </c>
      <c r="F47" s="39">
        <v>1757106683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39">
        <v>1757106683</v>
      </c>
      <c r="M47" s="40">
        <v>0</v>
      </c>
      <c r="N47" s="39">
        <v>129887000</v>
      </c>
      <c r="O47" s="39">
        <v>129887000</v>
      </c>
      <c r="P47" s="40">
        <v>0</v>
      </c>
      <c r="Q47" s="39">
        <v>129887000</v>
      </c>
      <c r="R47" s="39">
        <v>129887000</v>
      </c>
      <c r="S47" s="40">
        <v>0</v>
      </c>
      <c r="T47" s="40">
        <v>0</v>
      </c>
      <c r="U47" s="40">
        <v>0</v>
      </c>
      <c r="V47" s="31">
        <f t="shared" si="20"/>
        <v>0</v>
      </c>
      <c r="W47" s="39">
        <v>1627219683</v>
      </c>
      <c r="X47" s="40">
        <v>0</v>
      </c>
      <c r="Y47" s="39">
        <v>129887000</v>
      </c>
      <c r="Z47" s="32">
        <f t="shared" si="8"/>
        <v>7.3920952698351333E-2</v>
      </c>
    </row>
    <row r="48" spans="1:26" ht="18.75" customHeight="1" x14ac:dyDescent="0.2">
      <c r="A48" s="14" t="s">
        <v>55</v>
      </c>
      <c r="B48" s="15" t="s">
        <v>56</v>
      </c>
      <c r="C48" s="16" t="s">
        <v>112</v>
      </c>
      <c r="D48" s="17" t="s">
        <v>113</v>
      </c>
      <c r="E48" s="17" t="s">
        <v>61</v>
      </c>
      <c r="F48" s="18">
        <v>209064232</v>
      </c>
      <c r="G48" s="34">
        <v>0</v>
      </c>
      <c r="H48" s="34">
        <v>0</v>
      </c>
      <c r="I48" s="34">
        <v>0</v>
      </c>
      <c r="J48" s="34">
        <v>0</v>
      </c>
      <c r="K48" s="34">
        <v>0</v>
      </c>
      <c r="L48" s="18">
        <v>209064232</v>
      </c>
      <c r="M48" s="34">
        <v>0</v>
      </c>
      <c r="N48" s="18">
        <v>9058500</v>
      </c>
      <c r="O48" s="18">
        <v>9058500</v>
      </c>
      <c r="P48" s="34">
        <v>0</v>
      </c>
      <c r="Q48" s="18">
        <v>9058500</v>
      </c>
      <c r="R48" s="18">
        <v>9058500</v>
      </c>
      <c r="S48" s="34">
        <v>0</v>
      </c>
      <c r="T48" s="34">
        <v>0</v>
      </c>
      <c r="U48" s="34">
        <v>0</v>
      </c>
      <c r="V48" s="31">
        <f t="shared" si="20"/>
        <v>0</v>
      </c>
      <c r="W48" s="18">
        <v>200005732</v>
      </c>
      <c r="X48" s="34">
        <v>0</v>
      </c>
      <c r="Y48" s="18">
        <v>9058500</v>
      </c>
      <c r="Z48" s="32">
        <f t="shared" si="8"/>
        <v>4.3328789020208869E-2</v>
      </c>
    </row>
    <row r="49" spans="1:26" ht="18.75" customHeight="1" x14ac:dyDescent="0.2">
      <c r="A49" s="27" t="s">
        <v>49</v>
      </c>
      <c r="B49" s="27" t="s">
        <v>50</v>
      </c>
      <c r="C49" s="28" t="s">
        <v>114</v>
      </c>
      <c r="D49" s="29" t="s">
        <v>115</v>
      </c>
      <c r="E49" s="30" t="s">
        <v>37</v>
      </c>
      <c r="F49" s="30">
        <f>F50+F51</f>
        <v>2387025947</v>
      </c>
      <c r="G49" s="31">
        <f t="shared" ref="G49:Y49" si="22">G50+G51</f>
        <v>0</v>
      </c>
      <c r="H49" s="31">
        <f t="shared" si="22"/>
        <v>0</v>
      </c>
      <c r="I49" s="31">
        <f t="shared" si="22"/>
        <v>0</v>
      </c>
      <c r="J49" s="31">
        <f t="shared" si="22"/>
        <v>0</v>
      </c>
      <c r="K49" s="31">
        <f t="shared" si="22"/>
        <v>0</v>
      </c>
      <c r="L49" s="30">
        <f t="shared" si="22"/>
        <v>2387025947</v>
      </c>
      <c r="M49" s="31">
        <f t="shared" si="22"/>
        <v>0</v>
      </c>
      <c r="N49" s="30">
        <f t="shared" si="22"/>
        <v>193207801</v>
      </c>
      <c r="O49" s="30">
        <f t="shared" si="22"/>
        <v>193207801</v>
      </c>
      <c r="P49" s="31">
        <f t="shared" si="22"/>
        <v>0</v>
      </c>
      <c r="Q49" s="30">
        <f t="shared" si="22"/>
        <v>193207801</v>
      </c>
      <c r="R49" s="30">
        <f t="shared" si="22"/>
        <v>193207801</v>
      </c>
      <c r="S49" s="31">
        <f t="shared" si="22"/>
        <v>0</v>
      </c>
      <c r="T49" s="30">
        <f t="shared" si="22"/>
        <v>7397316</v>
      </c>
      <c r="U49" s="30">
        <f t="shared" si="22"/>
        <v>7397316</v>
      </c>
      <c r="V49" s="30">
        <f t="shared" si="20"/>
        <v>7397316</v>
      </c>
      <c r="W49" s="30">
        <f t="shared" si="22"/>
        <v>2193818146</v>
      </c>
      <c r="X49" s="31">
        <f t="shared" si="22"/>
        <v>0</v>
      </c>
      <c r="Y49" s="30">
        <f t="shared" si="22"/>
        <v>185810485</v>
      </c>
      <c r="Z49" s="32">
        <f t="shared" si="8"/>
        <v>8.0940804704206254E-2</v>
      </c>
    </row>
    <row r="50" spans="1:26" ht="18.75" customHeight="1" x14ac:dyDescent="0.2">
      <c r="A50" s="14" t="s">
        <v>55</v>
      </c>
      <c r="B50" s="15" t="s">
        <v>56</v>
      </c>
      <c r="C50" s="16" t="s">
        <v>116</v>
      </c>
      <c r="D50" s="17" t="s">
        <v>115</v>
      </c>
      <c r="E50" s="17" t="s">
        <v>58</v>
      </c>
      <c r="F50" s="18">
        <v>2208060292</v>
      </c>
      <c r="G50" s="34">
        <v>0</v>
      </c>
      <c r="H50" s="34">
        <v>0</v>
      </c>
      <c r="I50" s="34">
        <v>0</v>
      </c>
      <c r="J50" s="34">
        <v>0</v>
      </c>
      <c r="K50" s="34">
        <v>0</v>
      </c>
      <c r="L50" s="18">
        <v>2208060292</v>
      </c>
      <c r="M50" s="34">
        <v>0</v>
      </c>
      <c r="N50" s="18">
        <v>187126223</v>
      </c>
      <c r="O50" s="18">
        <v>187126223</v>
      </c>
      <c r="P50" s="34">
        <v>0</v>
      </c>
      <c r="Q50" s="18">
        <v>187126223</v>
      </c>
      <c r="R50" s="18">
        <v>187126223</v>
      </c>
      <c r="S50" s="34">
        <v>0</v>
      </c>
      <c r="T50" s="18">
        <v>2480630</v>
      </c>
      <c r="U50" s="18">
        <v>2480630</v>
      </c>
      <c r="V50" s="30">
        <f t="shared" si="20"/>
        <v>2480630</v>
      </c>
      <c r="W50" s="18">
        <v>2020934069</v>
      </c>
      <c r="X50" s="34">
        <v>0</v>
      </c>
      <c r="Y50" s="18">
        <v>184645593</v>
      </c>
      <c r="Z50" s="32">
        <f t="shared" si="8"/>
        <v>8.4746881087430018E-2</v>
      </c>
    </row>
    <row r="51" spans="1:26" ht="18.75" customHeight="1" x14ac:dyDescent="0.2">
      <c r="A51" s="14" t="s">
        <v>55</v>
      </c>
      <c r="B51" s="15" t="s">
        <v>56</v>
      </c>
      <c r="C51" s="16" t="s">
        <v>117</v>
      </c>
      <c r="D51" s="17" t="s">
        <v>115</v>
      </c>
      <c r="E51" s="17" t="s">
        <v>61</v>
      </c>
      <c r="F51" s="18">
        <v>178965655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18">
        <v>178965655</v>
      </c>
      <c r="M51" s="34">
        <v>0</v>
      </c>
      <c r="N51" s="18">
        <v>6081578</v>
      </c>
      <c r="O51" s="18">
        <v>6081578</v>
      </c>
      <c r="P51" s="34">
        <v>0</v>
      </c>
      <c r="Q51" s="18">
        <v>6081578</v>
      </c>
      <c r="R51" s="18">
        <v>6081578</v>
      </c>
      <c r="S51" s="34">
        <v>0</v>
      </c>
      <c r="T51" s="18">
        <v>4916686</v>
      </c>
      <c r="U51" s="18">
        <v>4916686</v>
      </c>
      <c r="V51" s="30">
        <f t="shared" si="20"/>
        <v>4916686</v>
      </c>
      <c r="W51" s="18">
        <v>172884077</v>
      </c>
      <c r="X51" s="34">
        <v>0</v>
      </c>
      <c r="Y51" s="18">
        <v>1164892</v>
      </c>
      <c r="Z51" s="32">
        <f t="shared" si="8"/>
        <v>3.3981816231723347E-2</v>
      </c>
    </row>
    <row r="52" spans="1:26" ht="18.75" customHeight="1" x14ac:dyDescent="0.2">
      <c r="A52" s="27" t="s">
        <v>49</v>
      </c>
      <c r="B52" s="27" t="s">
        <v>50</v>
      </c>
      <c r="C52" s="28" t="s">
        <v>118</v>
      </c>
      <c r="D52" s="29" t="s">
        <v>119</v>
      </c>
      <c r="E52" s="30" t="s">
        <v>37</v>
      </c>
      <c r="F52" s="30">
        <f>F53+F54</f>
        <v>1154194065</v>
      </c>
      <c r="G52" s="31">
        <f t="shared" ref="G52:Y52" si="23">G53+G54</f>
        <v>0</v>
      </c>
      <c r="H52" s="31">
        <f t="shared" si="23"/>
        <v>0</v>
      </c>
      <c r="I52" s="31">
        <f t="shared" si="23"/>
        <v>0</v>
      </c>
      <c r="J52" s="31">
        <f t="shared" si="23"/>
        <v>0</v>
      </c>
      <c r="K52" s="31">
        <f t="shared" si="23"/>
        <v>0</v>
      </c>
      <c r="L52" s="30">
        <f t="shared" si="23"/>
        <v>1154194065</v>
      </c>
      <c r="M52" s="31">
        <f t="shared" si="23"/>
        <v>0</v>
      </c>
      <c r="N52" s="30">
        <f t="shared" si="23"/>
        <v>65277100</v>
      </c>
      <c r="O52" s="30">
        <f t="shared" si="23"/>
        <v>65277100</v>
      </c>
      <c r="P52" s="31">
        <f t="shared" si="23"/>
        <v>0</v>
      </c>
      <c r="Q52" s="30">
        <f t="shared" si="23"/>
        <v>65277100</v>
      </c>
      <c r="R52" s="30">
        <f t="shared" si="23"/>
        <v>65277100</v>
      </c>
      <c r="S52" s="31">
        <f t="shared" si="23"/>
        <v>0</v>
      </c>
      <c r="T52" s="30">
        <f t="shared" si="23"/>
        <v>0</v>
      </c>
      <c r="U52" s="31">
        <f t="shared" si="23"/>
        <v>0</v>
      </c>
      <c r="V52" s="31">
        <f t="shared" si="20"/>
        <v>0</v>
      </c>
      <c r="W52" s="30">
        <f t="shared" si="23"/>
        <v>1088916965</v>
      </c>
      <c r="X52" s="31">
        <f t="shared" si="23"/>
        <v>0</v>
      </c>
      <c r="Y52" s="30">
        <f t="shared" si="23"/>
        <v>65277100</v>
      </c>
      <c r="Z52" s="32">
        <f t="shared" si="8"/>
        <v>5.6556433601137948E-2</v>
      </c>
    </row>
    <row r="53" spans="1:26" ht="18.75" customHeight="1" x14ac:dyDescent="0.2">
      <c r="A53" s="14" t="s">
        <v>55</v>
      </c>
      <c r="B53" s="15" t="s">
        <v>56</v>
      </c>
      <c r="C53" s="16" t="s">
        <v>120</v>
      </c>
      <c r="D53" s="17" t="s">
        <v>119</v>
      </c>
      <c r="E53" s="17" t="s">
        <v>58</v>
      </c>
      <c r="F53" s="18">
        <v>1088978427</v>
      </c>
      <c r="G53" s="34">
        <v>0</v>
      </c>
      <c r="H53" s="34">
        <v>0</v>
      </c>
      <c r="I53" s="34">
        <v>0</v>
      </c>
      <c r="J53" s="34">
        <v>0</v>
      </c>
      <c r="K53" s="34">
        <v>0</v>
      </c>
      <c r="L53" s="18">
        <v>1088978427</v>
      </c>
      <c r="M53" s="34">
        <v>0</v>
      </c>
      <c r="N53" s="18">
        <v>61027800</v>
      </c>
      <c r="O53" s="18">
        <v>61027800</v>
      </c>
      <c r="P53" s="34">
        <v>0</v>
      </c>
      <c r="Q53" s="18">
        <v>61027800</v>
      </c>
      <c r="R53" s="18">
        <v>61027800</v>
      </c>
      <c r="S53" s="34">
        <v>0</v>
      </c>
      <c r="T53" s="18">
        <v>0</v>
      </c>
      <c r="U53" s="34">
        <v>0</v>
      </c>
      <c r="V53" s="31">
        <f t="shared" si="20"/>
        <v>0</v>
      </c>
      <c r="W53" s="18">
        <v>1027950627</v>
      </c>
      <c r="X53" s="34">
        <v>0</v>
      </c>
      <c r="Y53" s="18">
        <v>61027800</v>
      </c>
      <c r="Z53" s="32">
        <f t="shared" si="8"/>
        <v>5.6041330559801802E-2</v>
      </c>
    </row>
    <row r="54" spans="1:26" ht="28.5" customHeight="1" x14ac:dyDescent="0.2">
      <c r="A54" s="14" t="s">
        <v>55</v>
      </c>
      <c r="B54" s="15" t="s">
        <v>56</v>
      </c>
      <c r="C54" s="16" t="s">
        <v>121</v>
      </c>
      <c r="D54" s="17" t="s">
        <v>122</v>
      </c>
      <c r="E54" s="17" t="s">
        <v>61</v>
      </c>
      <c r="F54" s="18">
        <v>65215638</v>
      </c>
      <c r="G54" s="34">
        <v>0</v>
      </c>
      <c r="H54" s="34">
        <v>0</v>
      </c>
      <c r="I54" s="34">
        <v>0</v>
      </c>
      <c r="J54" s="34">
        <v>0</v>
      </c>
      <c r="K54" s="34">
        <v>0</v>
      </c>
      <c r="L54" s="18">
        <v>65215638</v>
      </c>
      <c r="M54" s="34">
        <v>0</v>
      </c>
      <c r="N54" s="18">
        <v>4249300</v>
      </c>
      <c r="O54" s="18">
        <v>4249300</v>
      </c>
      <c r="P54" s="34">
        <v>0</v>
      </c>
      <c r="Q54" s="18">
        <v>4249300</v>
      </c>
      <c r="R54" s="18">
        <v>4249300</v>
      </c>
      <c r="S54" s="34">
        <v>0</v>
      </c>
      <c r="T54" s="18">
        <v>0</v>
      </c>
      <c r="U54" s="34">
        <v>0</v>
      </c>
      <c r="V54" s="31">
        <f t="shared" si="20"/>
        <v>0</v>
      </c>
      <c r="W54" s="18">
        <v>60966338</v>
      </c>
      <c r="X54" s="34">
        <v>0</v>
      </c>
      <c r="Y54" s="18">
        <v>4249300</v>
      </c>
      <c r="Z54" s="32">
        <f t="shared" si="8"/>
        <v>6.5157685032537743E-2</v>
      </c>
    </row>
    <row r="55" spans="1:26" ht="18.75" customHeight="1" x14ac:dyDescent="0.2">
      <c r="A55" s="27" t="s">
        <v>49</v>
      </c>
      <c r="B55" s="27" t="s">
        <v>50</v>
      </c>
      <c r="C55" s="28" t="s">
        <v>123</v>
      </c>
      <c r="D55" s="29" t="s">
        <v>124</v>
      </c>
      <c r="E55" s="30" t="s">
        <v>37</v>
      </c>
      <c r="F55" s="30">
        <f>F56+F57</f>
        <v>308515529</v>
      </c>
      <c r="G55" s="31">
        <f t="shared" ref="G55:Y55" si="24">G56+G57</f>
        <v>0</v>
      </c>
      <c r="H55" s="31">
        <f t="shared" si="24"/>
        <v>0</v>
      </c>
      <c r="I55" s="31">
        <f t="shared" si="24"/>
        <v>0</v>
      </c>
      <c r="J55" s="31">
        <f t="shared" si="24"/>
        <v>0</v>
      </c>
      <c r="K55" s="31">
        <f t="shared" si="24"/>
        <v>0</v>
      </c>
      <c r="L55" s="30">
        <f t="shared" si="24"/>
        <v>308515529</v>
      </c>
      <c r="M55" s="31">
        <f t="shared" si="24"/>
        <v>0</v>
      </c>
      <c r="N55" s="30">
        <f t="shared" si="24"/>
        <v>13145800</v>
      </c>
      <c r="O55" s="30">
        <f t="shared" si="24"/>
        <v>13145800</v>
      </c>
      <c r="P55" s="31">
        <f t="shared" si="24"/>
        <v>0</v>
      </c>
      <c r="Q55" s="30">
        <f t="shared" si="24"/>
        <v>13145800</v>
      </c>
      <c r="R55" s="30">
        <f t="shared" si="24"/>
        <v>13145800</v>
      </c>
      <c r="S55" s="31">
        <f t="shared" si="24"/>
        <v>0</v>
      </c>
      <c r="T55" s="31">
        <f t="shared" si="24"/>
        <v>0</v>
      </c>
      <c r="U55" s="31">
        <f t="shared" si="24"/>
        <v>0</v>
      </c>
      <c r="V55" s="31">
        <f t="shared" si="20"/>
        <v>0</v>
      </c>
      <c r="W55" s="30">
        <f t="shared" si="24"/>
        <v>295369729</v>
      </c>
      <c r="X55" s="31">
        <f t="shared" si="24"/>
        <v>0</v>
      </c>
      <c r="Y55" s="30">
        <f t="shared" si="24"/>
        <v>13145800</v>
      </c>
      <c r="Z55" s="32">
        <f t="shared" si="8"/>
        <v>4.2609848660162583E-2</v>
      </c>
    </row>
    <row r="56" spans="1:26" ht="18.75" customHeight="1" x14ac:dyDescent="0.2">
      <c r="A56" s="35" t="s">
        <v>55</v>
      </c>
      <c r="B56" s="36" t="s">
        <v>56</v>
      </c>
      <c r="C56" s="37" t="s">
        <v>125</v>
      </c>
      <c r="D56" s="38" t="s">
        <v>124</v>
      </c>
      <c r="E56" s="38" t="s">
        <v>58</v>
      </c>
      <c r="F56" s="39">
        <v>299999998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39">
        <v>299999998</v>
      </c>
      <c r="M56" s="40">
        <v>0</v>
      </c>
      <c r="N56" s="39">
        <v>12590200</v>
      </c>
      <c r="O56" s="39">
        <v>12590200</v>
      </c>
      <c r="P56" s="40">
        <v>0</v>
      </c>
      <c r="Q56" s="39">
        <v>12590200</v>
      </c>
      <c r="R56" s="39">
        <v>12590200</v>
      </c>
      <c r="S56" s="40">
        <v>0</v>
      </c>
      <c r="T56" s="40">
        <v>0</v>
      </c>
      <c r="U56" s="40">
        <v>0</v>
      </c>
      <c r="V56" s="31">
        <f t="shared" si="20"/>
        <v>0</v>
      </c>
      <c r="W56" s="39">
        <v>287409798</v>
      </c>
      <c r="X56" s="39">
        <v>0</v>
      </c>
      <c r="Y56" s="39">
        <v>12590200</v>
      </c>
      <c r="Z56" s="32">
        <f t="shared" si="8"/>
        <v>4.1967333613115561E-2</v>
      </c>
    </row>
    <row r="57" spans="1:26" ht="26.25" customHeight="1" x14ac:dyDescent="0.2">
      <c r="A57" s="35" t="s">
        <v>55</v>
      </c>
      <c r="B57" s="36" t="s">
        <v>56</v>
      </c>
      <c r="C57" s="37" t="s">
        <v>126</v>
      </c>
      <c r="D57" s="38" t="s">
        <v>127</v>
      </c>
      <c r="E57" s="38" t="s">
        <v>61</v>
      </c>
      <c r="F57" s="39">
        <v>8515531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39">
        <v>8515531</v>
      </c>
      <c r="M57" s="40">
        <v>0</v>
      </c>
      <c r="N57" s="39">
        <v>555600</v>
      </c>
      <c r="O57" s="39">
        <v>555600</v>
      </c>
      <c r="P57" s="40">
        <v>0</v>
      </c>
      <c r="Q57" s="39">
        <v>555600</v>
      </c>
      <c r="R57" s="39">
        <v>555600</v>
      </c>
      <c r="S57" s="40">
        <v>0</v>
      </c>
      <c r="T57" s="40">
        <v>0</v>
      </c>
      <c r="U57" s="40">
        <v>0</v>
      </c>
      <c r="V57" s="31">
        <f t="shared" si="20"/>
        <v>0</v>
      </c>
      <c r="W57" s="39">
        <v>7959931</v>
      </c>
      <c r="X57" s="39">
        <v>0</v>
      </c>
      <c r="Y57" s="39">
        <v>555600</v>
      </c>
      <c r="Z57" s="32">
        <f t="shared" si="8"/>
        <v>6.52454908566477E-2</v>
      </c>
    </row>
    <row r="58" spans="1:26" ht="18.75" customHeight="1" x14ac:dyDescent="0.2">
      <c r="A58" s="27" t="s">
        <v>49</v>
      </c>
      <c r="B58" s="27" t="s">
        <v>50</v>
      </c>
      <c r="C58" s="28" t="s">
        <v>128</v>
      </c>
      <c r="D58" s="29" t="s">
        <v>129</v>
      </c>
      <c r="E58" s="30" t="s">
        <v>37</v>
      </c>
      <c r="F58" s="30">
        <f>F59+F60</f>
        <v>865645548</v>
      </c>
      <c r="G58" s="31">
        <f t="shared" ref="G58:Y58" si="25">G59+G60</f>
        <v>0</v>
      </c>
      <c r="H58" s="31">
        <f t="shared" si="25"/>
        <v>0</v>
      </c>
      <c r="I58" s="31">
        <f t="shared" si="25"/>
        <v>0</v>
      </c>
      <c r="J58" s="31">
        <f t="shared" si="25"/>
        <v>0</v>
      </c>
      <c r="K58" s="31">
        <f t="shared" si="25"/>
        <v>0</v>
      </c>
      <c r="L58" s="30">
        <f t="shared" si="25"/>
        <v>865645548</v>
      </c>
      <c r="M58" s="31">
        <f t="shared" si="25"/>
        <v>0</v>
      </c>
      <c r="N58" s="30">
        <f t="shared" si="25"/>
        <v>48959700</v>
      </c>
      <c r="O58" s="30">
        <f t="shared" si="25"/>
        <v>48959700</v>
      </c>
      <c r="P58" s="31">
        <f t="shared" si="25"/>
        <v>0</v>
      </c>
      <c r="Q58" s="30">
        <f t="shared" si="25"/>
        <v>48959700</v>
      </c>
      <c r="R58" s="30">
        <f t="shared" si="25"/>
        <v>48959700</v>
      </c>
      <c r="S58" s="31">
        <f t="shared" si="25"/>
        <v>0</v>
      </c>
      <c r="T58" s="31">
        <f t="shared" si="25"/>
        <v>0</v>
      </c>
      <c r="U58" s="31">
        <f t="shared" si="25"/>
        <v>0</v>
      </c>
      <c r="V58" s="31">
        <f t="shared" si="20"/>
        <v>0</v>
      </c>
      <c r="W58" s="30">
        <f t="shared" si="25"/>
        <v>816685848</v>
      </c>
      <c r="X58" s="31">
        <f t="shared" si="25"/>
        <v>0</v>
      </c>
      <c r="Y58" s="30">
        <f t="shared" si="25"/>
        <v>48959700</v>
      </c>
      <c r="Z58" s="32">
        <f t="shared" si="8"/>
        <v>5.6558599663704384E-2</v>
      </c>
    </row>
    <row r="59" spans="1:26" ht="18.75" customHeight="1" x14ac:dyDescent="0.2">
      <c r="A59" s="14" t="s">
        <v>55</v>
      </c>
      <c r="B59" s="15" t="s">
        <v>56</v>
      </c>
      <c r="C59" s="16" t="s">
        <v>130</v>
      </c>
      <c r="D59" s="17" t="s">
        <v>129</v>
      </c>
      <c r="E59" s="17" t="s">
        <v>58</v>
      </c>
      <c r="F59" s="18">
        <v>816733820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18">
        <v>816733820</v>
      </c>
      <c r="M59" s="34">
        <v>0</v>
      </c>
      <c r="N59" s="18">
        <v>45772800</v>
      </c>
      <c r="O59" s="18">
        <v>45772800</v>
      </c>
      <c r="P59" s="34">
        <v>0</v>
      </c>
      <c r="Q59" s="18">
        <v>45772800</v>
      </c>
      <c r="R59" s="18">
        <v>45772800</v>
      </c>
      <c r="S59" s="34">
        <v>0</v>
      </c>
      <c r="T59" s="34">
        <v>0</v>
      </c>
      <c r="U59" s="34">
        <v>0</v>
      </c>
      <c r="V59" s="31">
        <f t="shared" si="20"/>
        <v>0</v>
      </c>
      <c r="W59" s="18">
        <v>770961020</v>
      </c>
      <c r="X59" s="34">
        <v>0</v>
      </c>
      <c r="Y59" s="18">
        <v>45772800</v>
      </c>
      <c r="Z59" s="32">
        <f t="shared" si="8"/>
        <v>5.6043718135732397E-2</v>
      </c>
    </row>
    <row r="60" spans="1:26" ht="18.75" customHeight="1" x14ac:dyDescent="0.2">
      <c r="A60" s="14" t="s">
        <v>55</v>
      </c>
      <c r="B60" s="15" t="s">
        <v>56</v>
      </c>
      <c r="C60" s="16" t="s">
        <v>131</v>
      </c>
      <c r="D60" s="17" t="s">
        <v>129</v>
      </c>
      <c r="E60" s="17" t="s">
        <v>61</v>
      </c>
      <c r="F60" s="18">
        <v>48911728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18">
        <v>48911728</v>
      </c>
      <c r="M60" s="34">
        <v>0</v>
      </c>
      <c r="N60" s="18">
        <v>3186900</v>
      </c>
      <c r="O60" s="18">
        <v>3186900</v>
      </c>
      <c r="P60" s="34">
        <v>0</v>
      </c>
      <c r="Q60" s="18">
        <v>3186900</v>
      </c>
      <c r="R60" s="18">
        <v>3186900</v>
      </c>
      <c r="S60" s="34">
        <v>0</v>
      </c>
      <c r="T60" s="34">
        <v>0</v>
      </c>
      <c r="U60" s="34">
        <v>0</v>
      </c>
      <c r="V60" s="31">
        <f t="shared" si="20"/>
        <v>0</v>
      </c>
      <c r="W60" s="18">
        <v>45724828</v>
      </c>
      <c r="X60" s="34">
        <v>0</v>
      </c>
      <c r="Y60" s="18">
        <v>3186900</v>
      </c>
      <c r="Z60" s="32">
        <f t="shared" si="8"/>
        <v>6.5156152324039748E-2</v>
      </c>
    </row>
    <row r="61" spans="1:26" ht="18.75" customHeight="1" x14ac:dyDescent="0.2">
      <c r="A61" s="27" t="s">
        <v>49</v>
      </c>
      <c r="B61" s="27" t="s">
        <v>50</v>
      </c>
      <c r="C61" s="28" t="s">
        <v>132</v>
      </c>
      <c r="D61" s="29" t="s">
        <v>133</v>
      </c>
      <c r="E61" s="30" t="s">
        <v>37</v>
      </c>
      <c r="F61" s="30">
        <f>F62+F63</f>
        <v>144274257</v>
      </c>
      <c r="G61" s="31">
        <f t="shared" ref="G61:Y61" si="26">G62+G63</f>
        <v>0</v>
      </c>
      <c r="H61" s="31">
        <f t="shared" si="26"/>
        <v>0</v>
      </c>
      <c r="I61" s="31">
        <f t="shared" si="26"/>
        <v>0</v>
      </c>
      <c r="J61" s="31">
        <f t="shared" si="26"/>
        <v>0</v>
      </c>
      <c r="K61" s="31">
        <f t="shared" si="26"/>
        <v>0</v>
      </c>
      <c r="L61" s="30">
        <f t="shared" si="26"/>
        <v>144274257</v>
      </c>
      <c r="M61" s="31">
        <f t="shared" si="26"/>
        <v>0</v>
      </c>
      <c r="N61" s="30">
        <f t="shared" si="26"/>
        <v>8176600</v>
      </c>
      <c r="O61" s="30">
        <f t="shared" si="26"/>
        <v>8176600</v>
      </c>
      <c r="P61" s="31">
        <f t="shared" si="26"/>
        <v>0</v>
      </c>
      <c r="Q61" s="30">
        <f t="shared" si="26"/>
        <v>8176600</v>
      </c>
      <c r="R61" s="30">
        <f t="shared" si="26"/>
        <v>8176600</v>
      </c>
      <c r="S61" s="31">
        <f t="shared" si="26"/>
        <v>0</v>
      </c>
      <c r="T61" s="31">
        <f t="shared" si="26"/>
        <v>0</v>
      </c>
      <c r="U61" s="31">
        <f t="shared" si="26"/>
        <v>0</v>
      </c>
      <c r="V61" s="31">
        <f t="shared" si="20"/>
        <v>0</v>
      </c>
      <c r="W61" s="30">
        <f t="shared" si="26"/>
        <v>136097657</v>
      </c>
      <c r="X61" s="31">
        <f t="shared" si="26"/>
        <v>0</v>
      </c>
      <c r="Y61" s="30">
        <f t="shared" si="26"/>
        <v>8176600</v>
      </c>
      <c r="Z61" s="32">
        <f t="shared" si="8"/>
        <v>5.6674005259302773E-2</v>
      </c>
    </row>
    <row r="62" spans="1:26" ht="18.75" customHeight="1" x14ac:dyDescent="0.2">
      <c r="A62" s="14" t="s">
        <v>55</v>
      </c>
      <c r="B62" s="15" t="s">
        <v>56</v>
      </c>
      <c r="C62" s="16" t="s">
        <v>134</v>
      </c>
      <c r="D62" s="17" t="s">
        <v>133</v>
      </c>
      <c r="E62" s="17" t="s">
        <v>58</v>
      </c>
      <c r="F62" s="18">
        <v>136122303</v>
      </c>
      <c r="G62" s="34">
        <v>0</v>
      </c>
      <c r="H62" s="34">
        <v>0</v>
      </c>
      <c r="I62" s="34">
        <v>0</v>
      </c>
      <c r="J62" s="34">
        <v>0</v>
      </c>
      <c r="K62" s="34">
        <v>0</v>
      </c>
      <c r="L62" s="18">
        <v>136122303</v>
      </c>
      <c r="M62" s="34">
        <v>0</v>
      </c>
      <c r="N62" s="18">
        <v>7645100</v>
      </c>
      <c r="O62" s="18">
        <v>7645100</v>
      </c>
      <c r="P62" s="34">
        <v>0</v>
      </c>
      <c r="Q62" s="18">
        <v>7645100</v>
      </c>
      <c r="R62" s="18">
        <v>7645100</v>
      </c>
      <c r="S62" s="34">
        <v>0</v>
      </c>
      <c r="T62" s="34">
        <v>0</v>
      </c>
      <c r="U62" s="34">
        <v>0</v>
      </c>
      <c r="V62" s="31">
        <f t="shared" si="20"/>
        <v>0</v>
      </c>
      <c r="W62" s="18">
        <v>128477203</v>
      </c>
      <c r="X62" s="34">
        <v>0</v>
      </c>
      <c r="Y62" s="18">
        <v>7645100</v>
      </c>
      <c r="Z62" s="32">
        <f t="shared" si="8"/>
        <v>5.616346352882378E-2</v>
      </c>
    </row>
    <row r="63" spans="1:26" ht="18.75" customHeight="1" x14ac:dyDescent="0.2">
      <c r="A63" s="14" t="s">
        <v>55</v>
      </c>
      <c r="B63" s="15" t="s">
        <v>56</v>
      </c>
      <c r="C63" s="16" t="s">
        <v>135</v>
      </c>
      <c r="D63" s="17" t="s">
        <v>136</v>
      </c>
      <c r="E63" s="17" t="s">
        <v>61</v>
      </c>
      <c r="F63" s="18">
        <v>8151954</v>
      </c>
      <c r="G63" s="34">
        <v>0</v>
      </c>
      <c r="H63" s="34">
        <v>0</v>
      </c>
      <c r="I63" s="34">
        <v>0</v>
      </c>
      <c r="J63" s="34">
        <v>0</v>
      </c>
      <c r="K63" s="34">
        <v>0</v>
      </c>
      <c r="L63" s="18">
        <v>8151954</v>
      </c>
      <c r="M63" s="34">
        <v>0</v>
      </c>
      <c r="N63" s="18">
        <v>531500</v>
      </c>
      <c r="O63" s="18">
        <v>531500</v>
      </c>
      <c r="P63" s="34">
        <v>0</v>
      </c>
      <c r="Q63" s="18">
        <v>531500</v>
      </c>
      <c r="R63" s="18">
        <v>531500</v>
      </c>
      <c r="S63" s="34">
        <v>0</v>
      </c>
      <c r="T63" s="34">
        <v>0</v>
      </c>
      <c r="U63" s="34">
        <v>0</v>
      </c>
      <c r="V63" s="31">
        <f t="shared" si="20"/>
        <v>0</v>
      </c>
      <c r="W63" s="18">
        <v>7620454</v>
      </c>
      <c r="X63" s="34">
        <v>0</v>
      </c>
      <c r="Y63" s="18">
        <v>531500</v>
      </c>
      <c r="Z63" s="32">
        <f t="shared" si="8"/>
        <v>6.5199092144043014E-2</v>
      </c>
    </row>
    <row r="64" spans="1:26" ht="18.75" customHeight="1" x14ac:dyDescent="0.2">
      <c r="A64" s="27" t="s">
        <v>49</v>
      </c>
      <c r="B64" s="27" t="s">
        <v>50</v>
      </c>
      <c r="C64" s="28" t="s">
        <v>137</v>
      </c>
      <c r="D64" s="29" t="s">
        <v>138</v>
      </c>
      <c r="E64" s="30" t="s">
        <v>37</v>
      </c>
      <c r="F64" s="30">
        <f>F65+F66</f>
        <v>144274257</v>
      </c>
      <c r="G64" s="31">
        <f t="shared" ref="G64:Y64" si="27">G65+G66</f>
        <v>0</v>
      </c>
      <c r="H64" s="31">
        <f t="shared" si="27"/>
        <v>0</v>
      </c>
      <c r="I64" s="31">
        <f t="shared" si="27"/>
        <v>0</v>
      </c>
      <c r="J64" s="31">
        <f t="shared" si="27"/>
        <v>0</v>
      </c>
      <c r="K64" s="31">
        <f t="shared" si="27"/>
        <v>0</v>
      </c>
      <c r="L64" s="30">
        <f t="shared" si="27"/>
        <v>144274257</v>
      </c>
      <c r="M64" s="31">
        <f t="shared" si="27"/>
        <v>0</v>
      </c>
      <c r="N64" s="30">
        <f t="shared" si="27"/>
        <v>8176600</v>
      </c>
      <c r="O64" s="30">
        <f t="shared" si="27"/>
        <v>8176600</v>
      </c>
      <c r="P64" s="31">
        <f t="shared" si="27"/>
        <v>0</v>
      </c>
      <c r="Q64" s="30">
        <f t="shared" si="27"/>
        <v>8176600</v>
      </c>
      <c r="R64" s="30">
        <f t="shared" si="27"/>
        <v>8176600</v>
      </c>
      <c r="S64" s="31">
        <f t="shared" si="27"/>
        <v>0</v>
      </c>
      <c r="T64" s="31">
        <f t="shared" si="27"/>
        <v>0</v>
      </c>
      <c r="U64" s="31">
        <f t="shared" si="27"/>
        <v>0</v>
      </c>
      <c r="V64" s="31">
        <f t="shared" si="20"/>
        <v>0</v>
      </c>
      <c r="W64" s="30">
        <f t="shared" si="27"/>
        <v>136097657</v>
      </c>
      <c r="X64" s="31">
        <f t="shared" si="27"/>
        <v>0</v>
      </c>
      <c r="Y64" s="30">
        <f t="shared" si="27"/>
        <v>8176600</v>
      </c>
      <c r="Z64" s="32">
        <f t="shared" si="8"/>
        <v>5.6674005259302773E-2</v>
      </c>
    </row>
    <row r="65" spans="1:26" ht="18.75" customHeight="1" x14ac:dyDescent="0.2">
      <c r="A65" s="14" t="s">
        <v>55</v>
      </c>
      <c r="B65" s="15" t="s">
        <v>56</v>
      </c>
      <c r="C65" s="16" t="s">
        <v>139</v>
      </c>
      <c r="D65" s="17" t="s">
        <v>138</v>
      </c>
      <c r="E65" s="17" t="s">
        <v>58</v>
      </c>
      <c r="F65" s="18">
        <v>136122303</v>
      </c>
      <c r="G65" s="34">
        <v>0</v>
      </c>
      <c r="H65" s="34">
        <v>0</v>
      </c>
      <c r="I65" s="34">
        <v>0</v>
      </c>
      <c r="J65" s="34">
        <v>0</v>
      </c>
      <c r="K65" s="34">
        <v>0</v>
      </c>
      <c r="L65" s="18">
        <v>136122303</v>
      </c>
      <c r="M65" s="34">
        <v>0</v>
      </c>
      <c r="N65" s="18">
        <v>7645100</v>
      </c>
      <c r="O65" s="18">
        <v>7645100</v>
      </c>
      <c r="P65" s="34">
        <v>0</v>
      </c>
      <c r="Q65" s="18">
        <v>7645100</v>
      </c>
      <c r="R65" s="18">
        <v>7645100</v>
      </c>
      <c r="S65" s="34">
        <v>0</v>
      </c>
      <c r="T65" s="34">
        <v>0</v>
      </c>
      <c r="U65" s="34">
        <v>0</v>
      </c>
      <c r="V65" s="31">
        <f t="shared" si="20"/>
        <v>0</v>
      </c>
      <c r="W65" s="18">
        <v>128477203</v>
      </c>
      <c r="X65" s="34">
        <v>0</v>
      </c>
      <c r="Y65" s="18">
        <v>7645100</v>
      </c>
      <c r="Z65" s="32">
        <f t="shared" si="8"/>
        <v>5.616346352882378E-2</v>
      </c>
    </row>
    <row r="66" spans="1:26" ht="18.75" customHeight="1" x14ac:dyDescent="0.2">
      <c r="A66" s="14" t="s">
        <v>55</v>
      </c>
      <c r="B66" s="15" t="s">
        <v>56</v>
      </c>
      <c r="C66" s="16" t="s">
        <v>140</v>
      </c>
      <c r="D66" s="17" t="s">
        <v>141</v>
      </c>
      <c r="E66" s="17" t="s">
        <v>61</v>
      </c>
      <c r="F66" s="18">
        <v>8151954</v>
      </c>
      <c r="G66" s="34">
        <v>0</v>
      </c>
      <c r="H66" s="34">
        <v>0</v>
      </c>
      <c r="I66" s="34">
        <v>0</v>
      </c>
      <c r="J66" s="34">
        <v>0</v>
      </c>
      <c r="K66" s="34">
        <v>0</v>
      </c>
      <c r="L66" s="18">
        <v>8151954</v>
      </c>
      <c r="M66" s="34">
        <v>0</v>
      </c>
      <c r="N66" s="18">
        <v>531500</v>
      </c>
      <c r="O66" s="18">
        <v>531500</v>
      </c>
      <c r="P66" s="34">
        <v>0</v>
      </c>
      <c r="Q66" s="18">
        <v>531500</v>
      </c>
      <c r="R66" s="18">
        <v>531500</v>
      </c>
      <c r="S66" s="34">
        <v>0</v>
      </c>
      <c r="T66" s="34">
        <v>0</v>
      </c>
      <c r="U66" s="34">
        <v>0</v>
      </c>
      <c r="V66" s="31">
        <f t="shared" si="20"/>
        <v>0</v>
      </c>
      <c r="W66" s="18">
        <v>7620454</v>
      </c>
      <c r="X66" s="34">
        <v>0</v>
      </c>
      <c r="Y66" s="18">
        <v>531500</v>
      </c>
      <c r="Z66" s="32">
        <f t="shared" si="8"/>
        <v>6.5199092144043014E-2</v>
      </c>
    </row>
    <row r="67" spans="1:26" ht="18.75" customHeight="1" x14ac:dyDescent="0.2">
      <c r="A67" s="27" t="s">
        <v>55</v>
      </c>
      <c r="B67" s="27" t="s">
        <v>56</v>
      </c>
      <c r="C67" s="28" t="s">
        <v>142</v>
      </c>
      <c r="D67" s="29" t="s">
        <v>143</v>
      </c>
      <c r="E67" s="30" t="s">
        <v>37</v>
      </c>
      <c r="F67" s="30">
        <f>F68+F69</f>
        <v>273762589</v>
      </c>
      <c r="G67" s="31">
        <f t="shared" ref="G67:Y67" si="28">G68+G69</f>
        <v>0</v>
      </c>
      <c r="H67" s="31">
        <f t="shared" si="28"/>
        <v>0</v>
      </c>
      <c r="I67" s="31">
        <f t="shared" si="28"/>
        <v>0</v>
      </c>
      <c r="J67" s="31">
        <f t="shared" si="28"/>
        <v>0</v>
      </c>
      <c r="K67" s="31">
        <f t="shared" si="28"/>
        <v>0</v>
      </c>
      <c r="L67" s="30">
        <f t="shared" si="28"/>
        <v>273762589</v>
      </c>
      <c r="M67" s="31">
        <f t="shared" si="28"/>
        <v>0</v>
      </c>
      <c r="N67" s="30">
        <f t="shared" si="28"/>
        <v>16333600</v>
      </c>
      <c r="O67" s="30">
        <f t="shared" si="28"/>
        <v>16333600</v>
      </c>
      <c r="P67" s="31">
        <f t="shared" si="28"/>
        <v>0</v>
      </c>
      <c r="Q67" s="30">
        <f t="shared" si="28"/>
        <v>16333600</v>
      </c>
      <c r="R67" s="30">
        <f t="shared" si="28"/>
        <v>16333600</v>
      </c>
      <c r="S67" s="31">
        <f t="shared" si="28"/>
        <v>0</v>
      </c>
      <c r="T67" s="31">
        <f t="shared" si="28"/>
        <v>0</v>
      </c>
      <c r="U67" s="31">
        <f t="shared" si="28"/>
        <v>0</v>
      </c>
      <c r="V67" s="31">
        <f t="shared" si="20"/>
        <v>0</v>
      </c>
      <c r="W67" s="30">
        <f t="shared" si="28"/>
        <v>257428989</v>
      </c>
      <c r="X67" s="31">
        <f t="shared" si="28"/>
        <v>0</v>
      </c>
      <c r="Y67" s="30">
        <f t="shared" si="28"/>
        <v>16333600</v>
      </c>
      <c r="Z67" s="32">
        <f t="shared" si="8"/>
        <v>5.9663374969032019E-2</v>
      </c>
    </row>
    <row r="68" spans="1:26" ht="18.75" customHeight="1" x14ac:dyDescent="0.2">
      <c r="A68" s="35" t="s">
        <v>55</v>
      </c>
      <c r="B68" s="36" t="s">
        <v>56</v>
      </c>
      <c r="C68" s="37" t="s">
        <v>144</v>
      </c>
      <c r="D68" s="38" t="s">
        <v>145</v>
      </c>
      <c r="E68" s="38" t="s">
        <v>58</v>
      </c>
      <c r="F68" s="39">
        <v>257458680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39">
        <v>257458680</v>
      </c>
      <c r="M68" s="40">
        <v>0</v>
      </c>
      <c r="N68" s="39">
        <v>15271100</v>
      </c>
      <c r="O68" s="39">
        <v>15271100</v>
      </c>
      <c r="P68" s="40">
        <v>0</v>
      </c>
      <c r="Q68" s="39">
        <v>15271100</v>
      </c>
      <c r="R68" s="39">
        <v>15271100</v>
      </c>
      <c r="S68" s="40">
        <v>0</v>
      </c>
      <c r="T68" s="40">
        <v>0</v>
      </c>
      <c r="U68" s="40">
        <v>0</v>
      </c>
      <c r="V68" s="31">
        <f t="shared" si="20"/>
        <v>0</v>
      </c>
      <c r="W68" s="39">
        <v>242187580</v>
      </c>
      <c r="X68" s="40">
        <v>0</v>
      </c>
      <c r="Y68" s="39">
        <v>15271100</v>
      </c>
      <c r="Z68" s="32">
        <f t="shared" si="8"/>
        <v>5.9314760721992363E-2</v>
      </c>
    </row>
    <row r="69" spans="1:26" ht="31.5" customHeight="1" x14ac:dyDescent="0.2">
      <c r="A69" s="14" t="s">
        <v>55</v>
      </c>
      <c r="B69" s="15" t="s">
        <v>56</v>
      </c>
      <c r="C69" s="16" t="s">
        <v>146</v>
      </c>
      <c r="D69" s="17" t="s">
        <v>147</v>
      </c>
      <c r="E69" s="17" t="s">
        <v>61</v>
      </c>
      <c r="F69" s="18">
        <v>16303909</v>
      </c>
      <c r="G69" s="34">
        <v>0</v>
      </c>
      <c r="H69" s="34">
        <v>0</v>
      </c>
      <c r="I69" s="34">
        <v>0</v>
      </c>
      <c r="J69" s="34">
        <v>0</v>
      </c>
      <c r="K69" s="34">
        <v>0</v>
      </c>
      <c r="L69" s="18">
        <v>16303909</v>
      </c>
      <c r="M69" s="34">
        <v>0</v>
      </c>
      <c r="N69" s="18">
        <v>1062500</v>
      </c>
      <c r="O69" s="18">
        <v>1062500</v>
      </c>
      <c r="P69" s="34">
        <v>0</v>
      </c>
      <c r="Q69" s="18">
        <v>1062500</v>
      </c>
      <c r="R69" s="18">
        <v>1062500</v>
      </c>
      <c r="S69" s="34">
        <v>0</v>
      </c>
      <c r="T69" s="34">
        <v>0</v>
      </c>
      <c r="U69" s="34">
        <v>0</v>
      </c>
      <c r="V69" s="31">
        <f t="shared" si="20"/>
        <v>0</v>
      </c>
      <c r="W69" s="18">
        <v>15241409</v>
      </c>
      <c r="X69" s="18">
        <v>0</v>
      </c>
      <c r="Y69" s="18">
        <v>1062500</v>
      </c>
      <c r="Z69" s="32">
        <f t="shared" si="8"/>
        <v>6.516842065298574E-2</v>
      </c>
    </row>
    <row r="70" spans="1:26" s="25" customFormat="1" ht="18.75" customHeight="1" x14ac:dyDescent="0.2">
      <c r="A70" s="19" t="s">
        <v>49</v>
      </c>
      <c r="B70" s="19" t="s">
        <v>50</v>
      </c>
      <c r="C70" s="26" t="s">
        <v>148</v>
      </c>
      <c r="D70" s="21" t="s">
        <v>149</v>
      </c>
      <c r="E70" s="22" t="s">
        <v>37</v>
      </c>
      <c r="F70" s="22">
        <f>F71+F81+F82+F83+F84+F85</f>
        <v>2847587617</v>
      </c>
      <c r="G70" s="23">
        <f t="shared" ref="G70:Y70" si="29">G71+G81+G82+G83+G84+G85</f>
        <v>0</v>
      </c>
      <c r="H70" s="23">
        <f t="shared" si="29"/>
        <v>0</v>
      </c>
      <c r="I70" s="23">
        <f t="shared" si="29"/>
        <v>0</v>
      </c>
      <c r="J70" s="23">
        <f t="shared" si="29"/>
        <v>0</v>
      </c>
      <c r="K70" s="23">
        <f t="shared" si="29"/>
        <v>0</v>
      </c>
      <c r="L70" s="22">
        <f t="shared" si="29"/>
        <v>2847587617</v>
      </c>
      <c r="M70" s="23">
        <f t="shared" si="29"/>
        <v>0</v>
      </c>
      <c r="N70" s="22">
        <f t="shared" si="29"/>
        <v>123722970</v>
      </c>
      <c r="O70" s="22">
        <f t="shared" si="29"/>
        <v>123722970</v>
      </c>
      <c r="P70" s="23">
        <f t="shared" si="29"/>
        <v>0</v>
      </c>
      <c r="Q70" s="22">
        <f t="shared" si="29"/>
        <v>123722970</v>
      </c>
      <c r="R70" s="22">
        <f t="shared" si="29"/>
        <v>123722970</v>
      </c>
      <c r="S70" s="23">
        <f t="shared" si="29"/>
        <v>0</v>
      </c>
      <c r="T70" s="22">
        <f t="shared" si="29"/>
        <v>2126429</v>
      </c>
      <c r="U70" s="22">
        <f t="shared" si="29"/>
        <v>2126429</v>
      </c>
      <c r="V70" s="22">
        <f t="shared" si="29"/>
        <v>2126429</v>
      </c>
      <c r="W70" s="22">
        <f t="shared" si="29"/>
        <v>2723864647</v>
      </c>
      <c r="X70" s="22">
        <f t="shared" si="29"/>
        <v>0</v>
      </c>
      <c r="Y70" s="22">
        <f t="shared" si="29"/>
        <v>121596541</v>
      </c>
      <c r="Z70" s="24">
        <f t="shared" si="8"/>
        <v>4.3448345280537856E-2</v>
      </c>
    </row>
    <row r="71" spans="1:26" ht="18.75" customHeight="1" x14ac:dyDescent="0.2">
      <c r="A71" s="27" t="s">
        <v>49</v>
      </c>
      <c r="B71" s="27" t="s">
        <v>50</v>
      </c>
      <c r="C71" s="28" t="s">
        <v>150</v>
      </c>
      <c r="D71" s="29" t="s">
        <v>81</v>
      </c>
      <c r="E71" s="30" t="s">
        <v>37</v>
      </c>
      <c r="F71" s="30">
        <f>F72+F75+F78</f>
        <v>2386452170</v>
      </c>
      <c r="G71" s="31">
        <f t="shared" ref="G71:Y71" si="30">G72+G75+G78</f>
        <v>0</v>
      </c>
      <c r="H71" s="31">
        <f t="shared" si="30"/>
        <v>0</v>
      </c>
      <c r="I71" s="31">
        <f t="shared" si="30"/>
        <v>0</v>
      </c>
      <c r="J71" s="31">
        <f t="shared" si="30"/>
        <v>0</v>
      </c>
      <c r="K71" s="31">
        <f t="shared" si="30"/>
        <v>0</v>
      </c>
      <c r="L71" s="30">
        <f t="shared" si="30"/>
        <v>2386452170</v>
      </c>
      <c r="M71" s="31">
        <f t="shared" si="30"/>
        <v>0</v>
      </c>
      <c r="N71" s="30">
        <f t="shared" si="30"/>
        <v>90937068</v>
      </c>
      <c r="O71" s="30">
        <f t="shared" si="30"/>
        <v>90937068</v>
      </c>
      <c r="P71" s="31">
        <f t="shared" si="30"/>
        <v>0</v>
      </c>
      <c r="Q71" s="30">
        <f t="shared" si="30"/>
        <v>90937068</v>
      </c>
      <c r="R71" s="30">
        <f t="shared" si="30"/>
        <v>90937068</v>
      </c>
      <c r="S71" s="31">
        <f t="shared" si="30"/>
        <v>0</v>
      </c>
      <c r="T71" s="30">
        <f t="shared" si="30"/>
        <v>2126429</v>
      </c>
      <c r="U71" s="30">
        <f t="shared" si="30"/>
        <v>2126429</v>
      </c>
      <c r="V71" s="30">
        <f t="shared" ref="V71:V91" si="31">S71+U71</f>
        <v>2126429</v>
      </c>
      <c r="W71" s="30">
        <f t="shared" si="30"/>
        <v>2295515102</v>
      </c>
      <c r="X71" s="31">
        <f t="shared" si="30"/>
        <v>0</v>
      </c>
      <c r="Y71" s="30">
        <f t="shared" si="30"/>
        <v>88810639</v>
      </c>
      <c r="Z71" s="32">
        <f t="shared" si="8"/>
        <v>3.8105548119994379E-2</v>
      </c>
    </row>
    <row r="72" spans="1:26" ht="18.75" customHeight="1" x14ac:dyDescent="0.2">
      <c r="A72" s="27" t="s">
        <v>49</v>
      </c>
      <c r="B72" s="27" t="s">
        <v>50</v>
      </c>
      <c r="C72" s="28" t="s">
        <v>151</v>
      </c>
      <c r="D72" s="29" t="s">
        <v>152</v>
      </c>
      <c r="E72" s="30" t="s">
        <v>37</v>
      </c>
      <c r="F72" s="30">
        <f>F73+F74</f>
        <v>1664997140</v>
      </c>
      <c r="G72" s="31">
        <f t="shared" ref="G72:Y72" si="32">G73+G74</f>
        <v>0</v>
      </c>
      <c r="H72" s="31">
        <f t="shared" si="32"/>
        <v>0</v>
      </c>
      <c r="I72" s="31">
        <f t="shared" si="32"/>
        <v>0</v>
      </c>
      <c r="J72" s="31">
        <f t="shared" si="32"/>
        <v>0</v>
      </c>
      <c r="K72" s="31">
        <f t="shared" si="32"/>
        <v>0</v>
      </c>
      <c r="L72" s="30">
        <f t="shared" si="32"/>
        <v>1664997140</v>
      </c>
      <c r="M72" s="31">
        <f t="shared" si="32"/>
        <v>0</v>
      </c>
      <c r="N72" s="30">
        <f t="shared" si="32"/>
        <v>71328092</v>
      </c>
      <c r="O72" s="30">
        <f t="shared" si="32"/>
        <v>71328092</v>
      </c>
      <c r="P72" s="31">
        <f t="shared" si="32"/>
        <v>0</v>
      </c>
      <c r="Q72" s="30">
        <f t="shared" si="32"/>
        <v>71328092</v>
      </c>
      <c r="R72" s="30">
        <f t="shared" si="32"/>
        <v>71328092</v>
      </c>
      <c r="S72" s="31">
        <f t="shared" si="32"/>
        <v>0</v>
      </c>
      <c r="T72" s="31">
        <f t="shared" si="32"/>
        <v>0</v>
      </c>
      <c r="U72" s="31">
        <f t="shared" si="32"/>
        <v>0</v>
      </c>
      <c r="V72" s="31">
        <f t="shared" si="31"/>
        <v>0</v>
      </c>
      <c r="W72" s="30">
        <f t="shared" si="32"/>
        <v>1593669048</v>
      </c>
      <c r="X72" s="31">
        <f t="shared" si="32"/>
        <v>0</v>
      </c>
      <c r="Y72" s="30">
        <f t="shared" si="32"/>
        <v>71328092</v>
      </c>
      <c r="Z72" s="32">
        <f t="shared" si="8"/>
        <v>4.2839768481524237E-2</v>
      </c>
    </row>
    <row r="73" spans="1:26" ht="18.75" customHeight="1" x14ac:dyDescent="0.2">
      <c r="A73" s="14" t="s">
        <v>55</v>
      </c>
      <c r="B73" s="15" t="s">
        <v>56</v>
      </c>
      <c r="C73" s="16" t="s">
        <v>153</v>
      </c>
      <c r="D73" s="17" t="s">
        <v>152</v>
      </c>
      <c r="E73" s="17" t="s">
        <v>58</v>
      </c>
      <c r="F73" s="18">
        <v>1564997140</v>
      </c>
      <c r="G73" s="34">
        <v>0</v>
      </c>
      <c r="H73" s="34">
        <v>0</v>
      </c>
      <c r="I73" s="34">
        <v>0</v>
      </c>
      <c r="J73" s="34">
        <v>0</v>
      </c>
      <c r="K73" s="34">
        <v>0</v>
      </c>
      <c r="L73" s="18">
        <v>1564997140</v>
      </c>
      <c r="M73" s="34">
        <v>0</v>
      </c>
      <c r="N73" s="18">
        <v>71328092</v>
      </c>
      <c r="O73" s="18">
        <v>71328092</v>
      </c>
      <c r="P73" s="34">
        <v>0</v>
      </c>
      <c r="Q73" s="18">
        <v>71328092</v>
      </c>
      <c r="R73" s="18">
        <v>71328092</v>
      </c>
      <c r="S73" s="34">
        <v>0</v>
      </c>
      <c r="T73" s="34">
        <v>0</v>
      </c>
      <c r="U73" s="34">
        <v>0</v>
      </c>
      <c r="V73" s="31">
        <f t="shared" si="31"/>
        <v>0</v>
      </c>
      <c r="W73" s="18">
        <v>1493669048</v>
      </c>
      <c r="X73" s="34">
        <v>0</v>
      </c>
      <c r="Y73" s="18">
        <v>71328092</v>
      </c>
      <c r="Z73" s="32">
        <f t="shared" si="8"/>
        <v>4.5577138882183517E-2</v>
      </c>
    </row>
    <row r="74" spans="1:26" ht="18.75" customHeight="1" x14ac:dyDescent="0.2">
      <c r="A74" s="35" t="s">
        <v>55</v>
      </c>
      <c r="B74" s="36" t="s">
        <v>56</v>
      </c>
      <c r="C74" s="37" t="s">
        <v>154</v>
      </c>
      <c r="D74" s="38" t="s">
        <v>155</v>
      </c>
      <c r="E74" s="38" t="s">
        <v>61</v>
      </c>
      <c r="F74" s="39">
        <v>100000000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39">
        <v>100000000</v>
      </c>
      <c r="M74" s="40">
        <v>0</v>
      </c>
      <c r="N74" s="39">
        <v>0</v>
      </c>
      <c r="O74" s="39">
        <v>0</v>
      </c>
      <c r="P74" s="40">
        <v>0</v>
      </c>
      <c r="Q74" s="39">
        <v>0</v>
      </c>
      <c r="R74" s="39">
        <v>0</v>
      </c>
      <c r="S74" s="40">
        <v>0</v>
      </c>
      <c r="T74" s="40">
        <v>0</v>
      </c>
      <c r="U74" s="40">
        <v>0</v>
      </c>
      <c r="V74" s="31">
        <f t="shared" si="31"/>
        <v>0</v>
      </c>
      <c r="W74" s="39">
        <v>100000000</v>
      </c>
      <c r="X74" s="40">
        <v>0</v>
      </c>
      <c r="Y74" s="39">
        <v>0</v>
      </c>
      <c r="Z74" s="32">
        <f t="shared" si="8"/>
        <v>0</v>
      </c>
    </row>
    <row r="75" spans="1:26" ht="18.75" customHeight="1" x14ac:dyDescent="0.2">
      <c r="A75" s="27" t="s">
        <v>49</v>
      </c>
      <c r="B75" s="27" t="s">
        <v>50</v>
      </c>
      <c r="C75" s="28" t="s">
        <v>156</v>
      </c>
      <c r="D75" s="29" t="s">
        <v>157</v>
      </c>
      <c r="E75" s="30" t="s">
        <v>37</v>
      </c>
      <c r="F75" s="30">
        <f>F76+F77</f>
        <v>608504027</v>
      </c>
      <c r="G75" s="30">
        <f t="shared" ref="G75:Y75" si="33">G76+G77</f>
        <v>0</v>
      </c>
      <c r="H75" s="30">
        <f t="shared" si="33"/>
        <v>0</v>
      </c>
      <c r="I75" s="30">
        <f t="shared" si="33"/>
        <v>0</v>
      </c>
      <c r="J75" s="30">
        <f t="shared" si="33"/>
        <v>0</v>
      </c>
      <c r="K75" s="30">
        <f t="shared" si="33"/>
        <v>0</v>
      </c>
      <c r="L75" s="30">
        <f t="shared" si="33"/>
        <v>608504027</v>
      </c>
      <c r="M75" s="31">
        <f t="shared" si="33"/>
        <v>0</v>
      </c>
      <c r="N75" s="30">
        <f t="shared" si="33"/>
        <v>16793527</v>
      </c>
      <c r="O75" s="30">
        <f t="shared" si="33"/>
        <v>16793527</v>
      </c>
      <c r="P75" s="31">
        <f t="shared" si="33"/>
        <v>0</v>
      </c>
      <c r="Q75" s="30">
        <f t="shared" si="33"/>
        <v>16793527</v>
      </c>
      <c r="R75" s="30">
        <f t="shared" si="33"/>
        <v>16793527</v>
      </c>
      <c r="S75" s="31">
        <f t="shared" si="33"/>
        <v>0</v>
      </c>
      <c r="T75" s="30">
        <f t="shared" si="33"/>
        <v>1933027</v>
      </c>
      <c r="U75" s="30">
        <f t="shared" si="33"/>
        <v>1933027</v>
      </c>
      <c r="V75" s="30">
        <f t="shared" si="31"/>
        <v>1933027</v>
      </c>
      <c r="W75" s="30">
        <f t="shared" si="33"/>
        <v>591710500</v>
      </c>
      <c r="X75" s="31">
        <f t="shared" si="33"/>
        <v>0</v>
      </c>
      <c r="Y75" s="30">
        <f t="shared" si="33"/>
        <v>14860500</v>
      </c>
      <c r="Z75" s="32">
        <f t="shared" si="8"/>
        <v>2.7598054005976199E-2</v>
      </c>
    </row>
    <row r="76" spans="1:26" ht="18.75" customHeight="1" x14ac:dyDescent="0.2">
      <c r="A76" s="14" t="s">
        <v>55</v>
      </c>
      <c r="B76" s="15" t="s">
        <v>56</v>
      </c>
      <c r="C76" s="16" t="s">
        <v>158</v>
      </c>
      <c r="D76" s="17" t="s">
        <v>157</v>
      </c>
      <c r="E76" s="17" t="s">
        <v>58</v>
      </c>
      <c r="F76" s="18">
        <v>600000000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18">
        <v>600000000</v>
      </c>
      <c r="M76" s="34">
        <v>0</v>
      </c>
      <c r="N76" s="18">
        <v>16793527</v>
      </c>
      <c r="O76" s="18">
        <v>16793527</v>
      </c>
      <c r="P76" s="34">
        <v>0</v>
      </c>
      <c r="Q76" s="18">
        <v>16793527</v>
      </c>
      <c r="R76" s="18">
        <v>16793527</v>
      </c>
      <c r="S76" s="34">
        <v>0</v>
      </c>
      <c r="T76" s="18">
        <v>1933027</v>
      </c>
      <c r="U76" s="18">
        <v>1933027</v>
      </c>
      <c r="V76" s="30">
        <f t="shared" si="31"/>
        <v>1933027</v>
      </c>
      <c r="W76" s="18">
        <v>583206473</v>
      </c>
      <c r="X76" s="34">
        <v>0</v>
      </c>
      <c r="Y76" s="18">
        <v>14860500</v>
      </c>
      <c r="Z76" s="32">
        <f t="shared" si="8"/>
        <v>2.7989211666666666E-2</v>
      </c>
    </row>
    <row r="77" spans="1:26" ht="18.75" customHeight="1" x14ac:dyDescent="0.2">
      <c r="A77" s="14" t="s">
        <v>55</v>
      </c>
      <c r="B77" s="15" t="s">
        <v>56</v>
      </c>
      <c r="C77" s="16" t="s">
        <v>159</v>
      </c>
      <c r="D77" s="17" t="s">
        <v>160</v>
      </c>
      <c r="E77" s="17" t="s">
        <v>61</v>
      </c>
      <c r="F77" s="18">
        <v>8504027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18">
        <v>8504027</v>
      </c>
      <c r="M77" s="34">
        <v>0</v>
      </c>
      <c r="N77" s="18">
        <v>0</v>
      </c>
      <c r="O77" s="18">
        <v>0</v>
      </c>
      <c r="P77" s="34">
        <v>0</v>
      </c>
      <c r="Q77" s="18">
        <v>0</v>
      </c>
      <c r="R77" s="18">
        <v>0</v>
      </c>
      <c r="S77" s="34">
        <v>0</v>
      </c>
      <c r="T77" s="18">
        <v>0</v>
      </c>
      <c r="U77" s="18">
        <v>0</v>
      </c>
      <c r="V77" s="30">
        <f t="shared" si="31"/>
        <v>0</v>
      </c>
      <c r="W77" s="18">
        <v>8504027</v>
      </c>
      <c r="X77" s="34">
        <v>0</v>
      </c>
      <c r="Y77" s="18">
        <v>0</v>
      </c>
      <c r="Z77" s="32">
        <f t="shared" si="8"/>
        <v>0</v>
      </c>
    </row>
    <row r="78" spans="1:26" ht="18.75" customHeight="1" x14ac:dyDescent="0.2">
      <c r="A78" s="27" t="s">
        <v>49</v>
      </c>
      <c r="B78" s="27" t="s">
        <v>50</v>
      </c>
      <c r="C78" s="28" t="s">
        <v>161</v>
      </c>
      <c r="D78" s="29" t="s">
        <v>162</v>
      </c>
      <c r="E78" s="30" t="s">
        <v>37</v>
      </c>
      <c r="F78" s="30">
        <f>F79+F80</f>
        <v>112951003</v>
      </c>
      <c r="G78" s="31">
        <f t="shared" ref="G78:Y78" si="34">G79+G80</f>
        <v>0</v>
      </c>
      <c r="H78" s="31">
        <f t="shared" si="34"/>
        <v>0</v>
      </c>
      <c r="I78" s="31">
        <f t="shared" si="34"/>
        <v>0</v>
      </c>
      <c r="J78" s="31">
        <f t="shared" si="34"/>
        <v>0</v>
      </c>
      <c r="K78" s="31">
        <f t="shared" si="34"/>
        <v>0</v>
      </c>
      <c r="L78" s="30">
        <f t="shared" si="34"/>
        <v>112951003</v>
      </c>
      <c r="M78" s="31">
        <f t="shared" si="34"/>
        <v>0</v>
      </c>
      <c r="N78" s="30">
        <f t="shared" si="34"/>
        <v>2815449</v>
      </c>
      <c r="O78" s="30">
        <f t="shared" si="34"/>
        <v>2815449</v>
      </c>
      <c r="P78" s="31">
        <f t="shared" si="34"/>
        <v>0</v>
      </c>
      <c r="Q78" s="30">
        <f t="shared" si="34"/>
        <v>2815449</v>
      </c>
      <c r="R78" s="30">
        <f t="shared" si="34"/>
        <v>2815449</v>
      </c>
      <c r="S78" s="31">
        <f t="shared" si="34"/>
        <v>0</v>
      </c>
      <c r="T78" s="30">
        <f t="shared" si="34"/>
        <v>193402</v>
      </c>
      <c r="U78" s="30">
        <f t="shared" si="34"/>
        <v>193402</v>
      </c>
      <c r="V78" s="30">
        <f t="shared" si="31"/>
        <v>193402</v>
      </c>
      <c r="W78" s="30">
        <f t="shared" si="34"/>
        <v>110135554</v>
      </c>
      <c r="X78" s="31">
        <f t="shared" si="34"/>
        <v>0</v>
      </c>
      <c r="Y78" s="30">
        <f t="shared" si="34"/>
        <v>2622047</v>
      </c>
      <c r="Z78" s="32">
        <f t="shared" si="8"/>
        <v>2.4926285957814823E-2</v>
      </c>
    </row>
    <row r="79" spans="1:26" ht="18.75" customHeight="1" x14ac:dyDescent="0.2">
      <c r="A79" s="14" t="s">
        <v>55</v>
      </c>
      <c r="B79" s="15" t="s">
        <v>56</v>
      </c>
      <c r="C79" s="16" t="s">
        <v>163</v>
      </c>
      <c r="D79" s="17" t="s">
        <v>162</v>
      </c>
      <c r="E79" s="17" t="s">
        <v>58</v>
      </c>
      <c r="F79" s="18">
        <v>104149973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18">
        <v>104149973</v>
      </c>
      <c r="M79" s="34">
        <v>0</v>
      </c>
      <c r="N79" s="18">
        <v>2815449</v>
      </c>
      <c r="O79" s="18">
        <v>2815449</v>
      </c>
      <c r="P79" s="34">
        <v>0</v>
      </c>
      <c r="Q79" s="18">
        <v>2815449</v>
      </c>
      <c r="R79" s="18">
        <v>2815449</v>
      </c>
      <c r="S79" s="34">
        <v>0</v>
      </c>
      <c r="T79" s="18">
        <v>193402</v>
      </c>
      <c r="U79" s="18">
        <v>193402</v>
      </c>
      <c r="V79" s="30">
        <f t="shared" si="31"/>
        <v>193402</v>
      </c>
      <c r="W79" s="18">
        <v>101334524</v>
      </c>
      <c r="X79" s="34">
        <v>0</v>
      </c>
      <c r="Y79" s="18">
        <v>2622047</v>
      </c>
      <c r="Z79" s="32">
        <f t="shared" ref="Z79:Z142" si="35">R79/L79</f>
        <v>2.7032642629681719E-2</v>
      </c>
    </row>
    <row r="80" spans="1:26" ht="18.75" customHeight="1" x14ac:dyDescent="0.2">
      <c r="A80" s="14" t="s">
        <v>55</v>
      </c>
      <c r="B80" s="15" t="s">
        <v>56</v>
      </c>
      <c r="C80" s="16" t="s">
        <v>164</v>
      </c>
      <c r="D80" s="17" t="s">
        <v>165</v>
      </c>
      <c r="E80" s="17" t="s">
        <v>61</v>
      </c>
      <c r="F80" s="18">
        <v>8801030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18">
        <v>8801030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1">
        <f t="shared" si="31"/>
        <v>0</v>
      </c>
      <c r="W80" s="18">
        <v>8801030</v>
      </c>
      <c r="X80" s="34">
        <v>0</v>
      </c>
      <c r="Y80" s="34">
        <v>0</v>
      </c>
      <c r="Z80" s="32">
        <f t="shared" si="35"/>
        <v>0</v>
      </c>
    </row>
    <row r="81" spans="1:26" ht="29.25" customHeight="1" x14ac:dyDescent="0.2">
      <c r="A81" s="14" t="s">
        <v>49</v>
      </c>
      <c r="B81" s="15" t="s">
        <v>50</v>
      </c>
      <c r="C81" s="16" t="s">
        <v>166</v>
      </c>
      <c r="D81" s="17" t="s">
        <v>167</v>
      </c>
      <c r="E81" s="17" t="s">
        <v>56</v>
      </c>
      <c r="F81" s="18">
        <v>60643852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18">
        <v>60643852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1">
        <f t="shared" si="31"/>
        <v>0</v>
      </c>
      <c r="W81" s="18">
        <v>60643852</v>
      </c>
      <c r="X81" s="34">
        <v>0</v>
      </c>
      <c r="Y81" s="34">
        <v>0</v>
      </c>
      <c r="Z81" s="32">
        <f t="shared" si="35"/>
        <v>0</v>
      </c>
    </row>
    <row r="82" spans="1:26" ht="18.75" customHeight="1" x14ac:dyDescent="0.2">
      <c r="A82" s="35" t="s">
        <v>49</v>
      </c>
      <c r="B82" s="36" t="s">
        <v>50</v>
      </c>
      <c r="C82" s="37" t="s">
        <v>168</v>
      </c>
      <c r="D82" s="38" t="s">
        <v>169</v>
      </c>
      <c r="E82" s="38" t="s">
        <v>56</v>
      </c>
      <c r="F82" s="39">
        <v>15160962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39">
        <v>15160962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31">
        <f t="shared" si="31"/>
        <v>0</v>
      </c>
      <c r="W82" s="39">
        <v>15160962</v>
      </c>
      <c r="X82" s="40">
        <v>0</v>
      </c>
      <c r="Y82" s="40">
        <v>0</v>
      </c>
      <c r="Z82" s="32">
        <f t="shared" si="35"/>
        <v>0</v>
      </c>
    </row>
    <row r="83" spans="1:26" ht="18.75" customHeight="1" x14ac:dyDescent="0.2">
      <c r="A83" s="14" t="s">
        <v>55</v>
      </c>
      <c r="B83" s="15" t="s">
        <v>56</v>
      </c>
      <c r="C83" s="16" t="s">
        <v>170</v>
      </c>
      <c r="D83" s="17" t="s">
        <v>171</v>
      </c>
      <c r="E83" s="17" t="s">
        <v>58</v>
      </c>
      <c r="F83" s="18">
        <v>35475597</v>
      </c>
      <c r="G83" s="34">
        <v>0</v>
      </c>
      <c r="H83" s="34">
        <v>0</v>
      </c>
      <c r="I83" s="34">
        <v>0</v>
      </c>
      <c r="J83" s="34">
        <v>0</v>
      </c>
      <c r="K83" s="34">
        <v>0</v>
      </c>
      <c r="L83" s="18">
        <v>35475597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31">
        <f t="shared" si="31"/>
        <v>0</v>
      </c>
      <c r="W83" s="18">
        <v>35475597</v>
      </c>
      <c r="X83" s="34">
        <v>0</v>
      </c>
      <c r="Y83" s="34">
        <v>0</v>
      </c>
      <c r="Z83" s="32">
        <f t="shared" si="35"/>
        <v>0</v>
      </c>
    </row>
    <row r="84" spans="1:26" ht="18.75" customHeight="1" x14ac:dyDescent="0.2">
      <c r="A84" s="35" t="s">
        <v>55</v>
      </c>
      <c r="B84" s="36" t="s">
        <v>56</v>
      </c>
      <c r="C84" s="37" t="s">
        <v>172</v>
      </c>
      <c r="D84" s="38" t="s">
        <v>173</v>
      </c>
      <c r="E84" s="38" t="s">
        <v>58</v>
      </c>
      <c r="F84" s="39">
        <v>49855036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39">
        <v>49855036</v>
      </c>
      <c r="M84" s="40">
        <v>0</v>
      </c>
      <c r="N84" s="39">
        <v>9345932</v>
      </c>
      <c r="O84" s="39">
        <v>9345932</v>
      </c>
      <c r="P84" s="40">
        <v>0</v>
      </c>
      <c r="Q84" s="39">
        <v>9345932</v>
      </c>
      <c r="R84" s="39">
        <v>9345932</v>
      </c>
      <c r="S84" s="40">
        <v>0</v>
      </c>
      <c r="T84" s="40">
        <v>0</v>
      </c>
      <c r="U84" s="40">
        <v>0</v>
      </c>
      <c r="V84" s="31">
        <f t="shared" si="31"/>
        <v>0</v>
      </c>
      <c r="W84" s="39">
        <v>40509104</v>
      </c>
      <c r="X84" s="40">
        <v>0</v>
      </c>
      <c r="Y84" s="39">
        <v>9345932</v>
      </c>
      <c r="Z84" s="32">
        <f t="shared" si="35"/>
        <v>0.18746214524847601</v>
      </c>
    </row>
    <row r="85" spans="1:26" ht="18.75" customHeight="1" x14ac:dyDescent="0.2">
      <c r="A85" s="14" t="s">
        <v>55</v>
      </c>
      <c r="B85" s="15" t="s">
        <v>56</v>
      </c>
      <c r="C85" s="16" t="s">
        <v>174</v>
      </c>
      <c r="D85" s="17" t="s">
        <v>175</v>
      </c>
      <c r="E85" s="17" t="s">
        <v>58</v>
      </c>
      <c r="F85" s="18">
        <v>300000000</v>
      </c>
      <c r="G85" s="34">
        <v>0</v>
      </c>
      <c r="H85" s="34">
        <v>0</v>
      </c>
      <c r="I85" s="34">
        <v>0</v>
      </c>
      <c r="J85" s="34">
        <v>0</v>
      </c>
      <c r="K85" s="34">
        <v>0</v>
      </c>
      <c r="L85" s="18">
        <v>300000000</v>
      </c>
      <c r="M85" s="34">
        <v>0</v>
      </c>
      <c r="N85" s="18">
        <v>23439970</v>
      </c>
      <c r="O85" s="18">
        <v>23439970</v>
      </c>
      <c r="P85" s="34">
        <v>0</v>
      </c>
      <c r="Q85" s="18">
        <v>23439970</v>
      </c>
      <c r="R85" s="18">
        <v>23439970</v>
      </c>
      <c r="S85" s="34">
        <v>0</v>
      </c>
      <c r="T85" s="34">
        <v>0</v>
      </c>
      <c r="U85" s="34">
        <v>0</v>
      </c>
      <c r="V85" s="31">
        <f t="shared" si="31"/>
        <v>0</v>
      </c>
      <c r="W85" s="18">
        <v>276560030</v>
      </c>
      <c r="X85" s="34">
        <v>0</v>
      </c>
      <c r="Y85" s="18">
        <v>23439970</v>
      </c>
      <c r="Z85" s="32">
        <f t="shared" si="35"/>
        <v>7.813323333333333E-2</v>
      </c>
    </row>
    <row r="86" spans="1:26" s="25" customFormat="1" ht="18.75" customHeight="1" x14ac:dyDescent="0.2">
      <c r="A86" s="19" t="s">
        <v>55</v>
      </c>
      <c r="B86" s="19" t="s">
        <v>56</v>
      </c>
      <c r="C86" s="26" t="s">
        <v>176</v>
      </c>
      <c r="D86" s="21" t="s">
        <v>177</v>
      </c>
      <c r="E86" s="22" t="s">
        <v>37</v>
      </c>
      <c r="F86" s="22">
        <f>F87</f>
        <v>23932782621</v>
      </c>
      <c r="G86" s="23">
        <f t="shared" ref="G86:Y86" si="36">G87</f>
        <v>0</v>
      </c>
      <c r="H86" s="23">
        <f t="shared" si="36"/>
        <v>0</v>
      </c>
      <c r="I86" s="23">
        <f t="shared" si="36"/>
        <v>0</v>
      </c>
      <c r="J86" s="23">
        <f t="shared" si="36"/>
        <v>0</v>
      </c>
      <c r="K86" s="23">
        <f t="shared" si="36"/>
        <v>0</v>
      </c>
      <c r="L86" s="22">
        <f t="shared" si="36"/>
        <v>23932782621</v>
      </c>
      <c r="M86" s="22">
        <f t="shared" si="36"/>
        <v>13790</v>
      </c>
      <c r="N86" s="22">
        <f t="shared" si="36"/>
        <v>11368030730.93</v>
      </c>
      <c r="O86" s="22">
        <f t="shared" si="36"/>
        <v>11368030730.93</v>
      </c>
      <c r="P86" s="22">
        <f t="shared" si="36"/>
        <v>861554195</v>
      </c>
      <c r="Q86" s="22">
        <f t="shared" si="36"/>
        <v>7230659903.5100002</v>
      </c>
      <c r="R86" s="22">
        <f t="shared" si="36"/>
        <v>7230659903.5100002</v>
      </c>
      <c r="S86" s="23">
        <f t="shared" si="36"/>
        <v>0</v>
      </c>
      <c r="T86" s="22">
        <f t="shared" si="36"/>
        <v>192465503.43000001</v>
      </c>
      <c r="U86" s="22">
        <f t="shared" si="36"/>
        <v>192465503.43000001</v>
      </c>
      <c r="V86" s="22">
        <f t="shared" si="31"/>
        <v>192465503.43000001</v>
      </c>
      <c r="W86" s="22">
        <f t="shared" si="36"/>
        <v>12564751890.07</v>
      </c>
      <c r="X86" s="22">
        <f t="shared" si="36"/>
        <v>4137370827.4200001</v>
      </c>
      <c r="Y86" s="22">
        <f t="shared" si="36"/>
        <v>7038194400.0799999</v>
      </c>
      <c r="Z86" s="24">
        <f t="shared" si="35"/>
        <v>0.30212366100569532</v>
      </c>
    </row>
    <row r="87" spans="1:26" s="25" customFormat="1" ht="18.75" customHeight="1" x14ac:dyDescent="0.2">
      <c r="A87" s="19" t="s">
        <v>55</v>
      </c>
      <c r="B87" s="19" t="s">
        <v>56</v>
      </c>
      <c r="C87" s="26" t="s">
        <v>178</v>
      </c>
      <c r="D87" s="21" t="s">
        <v>179</v>
      </c>
      <c r="E87" s="22" t="s">
        <v>37</v>
      </c>
      <c r="F87" s="22">
        <f>F88+F92</f>
        <v>23932782621</v>
      </c>
      <c r="G87" s="23">
        <f t="shared" ref="G87:Y87" si="37">G88+G92</f>
        <v>0</v>
      </c>
      <c r="H87" s="23">
        <f t="shared" si="37"/>
        <v>0</v>
      </c>
      <c r="I87" s="23">
        <f t="shared" si="37"/>
        <v>0</v>
      </c>
      <c r="J87" s="23">
        <f t="shared" si="37"/>
        <v>0</v>
      </c>
      <c r="K87" s="23">
        <f t="shared" si="37"/>
        <v>0</v>
      </c>
      <c r="L87" s="22">
        <f t="shared" si="37"/>
        <v>23932782621</v>
      </c>
      <c r="M87" s="22">
        <f t="shared" si="37"/>
        <v>13790</v>
      </c>
      <c r="N87" s="22">
        <f t="shared" si="37"/>
        <v>11368030730.93</v>
      </c>
      <c r="O87" s="22">
        <f t="shared" si="37"/>
        <v>11368030730.93</v>
      </c>
      <c r="P87" s="22">
        <f t="shared" si="37"/>
        <v>861554195</v>
      </c>
      <c r="Q87" s="22">
        <f t="shared" si="37"/>
        <v>7230659903.5100002</v>
      </c>
      <c r="R87" s="22">
        <f t="shared" si="37"/>
        <v>7230659903.5100002</v>
      </c>
      <c r="S87" s="23">
        <f t="shared" si="37"/>
        <v>0</v>
      </c>
      <c r="T87" s="22">
        <f t="shared" si="37"/>
        <v>192465503.43000001</v>
      </c>
      <c r="U87" s="22">
        <f t="shared" si="37"/>
        <v>192465503.43000001</v>
      </c>
      <c r="V87" s="22">
        <f t="shared" si="31"/>
        <v>192465503.43000001</v>
      </c>
      <c r="W87" s="22">
        <f t="shared" si="37"/>
        <v>12564751890.07</v>
      </c>
      <c r="X87" s="22">
        <f t="shared" si="37"/>
        <v>4137370827.4200001</v>
      </c>
      <c r="Y87" s="22">
        <f t="shared" si="37"/>
        <v>7038194400.0799999</v>
      </c>
      <c r="Z87" s="24">
        <f t="shared" si="35"/>
        <v>0.30212366100569532</v>
      </c>
    </row>
    <row r="88" spans="1:26" s="25" customFormat="1" ht="18.75" customHeight="1" x14ac:dyDescent="0.2">
      <c r="A88" s="19" t="s">
        <v>55</v>
      </c>
      <c r="B88" s="19" t="s">
        <v>56</v>
      </c>
      <c r="C88" s="26" t="s">
        <v>180</v>
      </c>
      <c r="D88" s="21" t="s">
        <v>181</v>
      </c>
      <c r="E88" s="22" t="s">
        <v>37</v>
      </c>
      <c r="F88" s="22">
        <f>F89+F90+F91</f>
        <v>918000000</v>
      </c>
      <c r="G88" s="23">
        <f t="shared" ref="G88:Y88" si="38">G89+G90+G91</f>
        <v>0</v>
      </c>
      <c r="H88" s="23">
        <f t="shared" si="38"/>
        <v>0</v>
      </c>
      <c r="I88" s="23">
        <f t="shared" si="38"/>
        <v>0</v>
      </c>
      <c r="J88" s="23">
        <f t="shared" si="38"/>
        <v>0</v>
      </c>
      <c r="K88" s="23">
        <f t="shared" si="38"/>
        <v>0</v>
      </c>
      <c r="L88" s="22">
        <f t="shared" si="38"/>
        <v>918000000</v>
      </c>
      <c r="M88" s="22">
        <f t="shared" si="38"/>
        <v>13790</v>
      </c>
      <c r="N88" s="22">
        <f t="shared" si="38"/>
        <v>118559160</v>
      </c>
      <c r="O88" s="22">
        <f t="shared" si="38"/>
        <v>118559160</v>
      </c>
      <c r="P88" s="22">
        <f t="shared" si="38"/>
        <v>0</v>
      </c>
      <c r="Q88" s="22">
        <f t="shared" si="38"/>
        <v>78559160</v>
      </c>
      <c r="R88" s="22">
        <f t="shared" si="38"/>
        <v>78559160</v>
      </c>
      <c r="S88" s="23">
        <f t="shared" si="38"/>
        <v>0</v>
      </c>
      <c r="T88" s="22">
        <f t="shared" si="38"/>
        <v>1334950</v>
      </c>
      <c r="U88" s="22">
        <f t="shared" si="38"/>
        <v>1334950</v>
      </c>
      <c r="V88" s="22">
        <f t="shared" si="31"/>
        <v>1334950</v>
      </c>
      <c r="W88" s="22">
        <f t="shared" si="38"/>
        <v>799440840</v>
      </c>
      <c r="X88" s="22">
        <f t="shared" si="38"/>
        <v>40000000</v>
      </c>
      <c r="Y88" s="22">
        <f t="shared" si="38"/>
        <v>77224210</v>
      </c>
      <c r="Z88" s="24">
        <f t="shared" si="35"/>
        <v>8.5576427015250547E-2</v>
      </c>
    </row>
    <row r="89" spans="1:26" ht="29.25" customHeight="1" x14ac:dyDescent="0.2">
      <c r="A89" s="35" t="s">
        <v>55</v>
      </c>
      <c r="B89" s="36" t="s">
        <v>56</v>
      </c>
      <c r="C89" s="37" t="s">
        <v>182</v>
      </c>
      <c r="D89" s="38" t="s">
        <v>183</v>
      </c>
      <c r="E89" s="38" t="s">
        <v>58</v>
      </c>
      <c r="F89" s="39">
        <v>50000000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39">
        <v>50000000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31">
        <f t="shared" si="31"/>
        <v>0</v>
      </c>
      <c r="W89" s="39">
        <v>50000000</v>
      </c>
      <c r="X89" s="39">
        <v>0</v>
      </c>
      <c r="Y89" s="39">
        <v>0</v>
      </c>
      <c r="Z89" s="32">
        <f t="shared" si="35"/>
        <v>0</v>
      </c>
    </row>
    <row r="90" spans="1:26" ht="32.25" customHeight="1" x14ac:dyDescent="0.2">
      <c r="A90" s="14" t="s">
        <v>55</v>
      </c>
      <c r="B90" s="15" t="s">
        <v>56</v>
      </c>
      <c r="C90" s="16" t="s">
        <v>184</v>
      </c>
      <c r="D90" s="17" t="s">
        <v>185</v>
      </c>
      <c r="E90" s="17" t="s">
        <v>58</v>
      </c>
      <c r="F90" s="18">
        <v>758000000</v>
      </c>
      <c r="G90" s="34">
        <v>0</v>
      </c>
      <c r="H90" s="34">
        <v>0</v>
      </c>
      <c r="I90" s="34">
        <v>0</v>
      </c>
      <c r="J90" s="34">
        <v>0</v>
      </c>
      <c r="K90" s="34">
        <v>0</v>
      </c>
      <c r="L90" s="18">
        <v>758000000</v>
      </c>
      <c r="M90" s="18">
        <v>13790</v>
      </c>
      <c r="N90" s="18">
        <v>118559160</v>
      </c>
      <c r="O90" s="18">
        <v>118559160</v>
      </c>
      <c r="P90" s="18">
        <v>0</v>
      </c>
      <c r="Q90" s="18">
        <v>78559160</v>
      </c>
      <c r="R90" s="18">
        <v>78559160</v>
      </c>
      <c r="S90" s="34">
        <v>0</v>
      </c>
      <c r="T90" s="18">
        <v>1334950</v>
      </c>
      <c r="U90" s="18">
        <v>1334950</v>
      </c>
      <c r="V90" s="30">
        <f t="shared" si="31"/>
        <v>1334950</v>
      </c>
      <c r="W90" s="18">
        <v>639440840</v>
      </c>
      <c r="X90" s="18">
        <v>40000000</v>
      </c>
      <c r="Y90" s="18">
        <v>77224210</v>
      </c>
      <c r="Z90" s="32">
        <f t="shared" si="35"/>
        <v>0.10364005277044855</v>
      </c>
    </row>
    <row r="91" spans="1:26" ht="23.25" customHeight="1" x14ac:dyDescent="0.2">
      <c r="A91" s="14" t="s">
        <v>55</v>
      </c>
      <c r="B91" s="15" t="s">
        <v>56</v>
      </c>
      <c r="C91" s="16" t="s">
        <v>186</v>
      </c>
      <c r="D91" s="17" t="s">
        <v>187</v>
      </c>
      <c r="E91" s="17" t="s">
        <v>58</v>
      </c>
      <c r="F91" s="18">
        <v>110000000</v>
      </c>
      <c r="G91" s="34">
        <v>0</v>
      </c>
      <c r="H91" s="34">
        <v>0</v>
      </c>
      <c r="I91" s="34">
        <v>0</v>
      </c>
      <c r="J91" s="34">
        <v>0</v>
      </c>
      <c r="K91" s="34">
        <v>0</v>
      </c>
      <c r="L91" s="18">
        <v>110000000</v>
      </c>
      <c r="M91" s="34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34">
        <v>0</v>
      </c>
      <c r="T91" s="18">
        <v>0</v>
      </c>
      <c r="U91" s="18">
        <v>0</v>
      </c>
      <c r="V91" s="30">
        <f t="shared" si="31"/>
        <v>0</v>
      </c>
      <c r="W91" s="18">
        <v>110000000</v>
      </c>
      <c r="X91" s="18">
        <v>0</v>
      </c>
      <c r="Y91" s="18">
        <v>0</v>
      </c>
      <c r="Z91" s="32">
        <f t="shared" si="35"/>
        <v>0</v>
      </c>
    </row>
    <row r="92" spans="1:26" s="25" customFormat="1" ht="18.75" customHeight="1" x14ac:dyDescent="0.2">
      <c r="A92" s="19" t="s">
        <v>55</v>
      </c>
      <c r="B92" s="19" t="s">
        <v>56</v>
      </c>
      <c r="C92" s="26" t="s">
        <v>188</v>
      </c>
      <c r="D92" s="21" t="s">
        <v>189</v>
      </c>
      <c r="E92" s="22" t="s">
        <v>56</v>
      </c>
      <c r="F92" s="22">
        <f>SUM(F93:F98)</f>
        <v>23014782621</v>
      </c>
      <c r="G92" s="23">
        <f t="shared" ref="G92:Y92" si="39">SUM(G93:G98)</f>
        <v>0</v>
      </c>
      <c r="H92" s="23">
        <f t="shared" si="39"/>
        <v>0</v>
      </c>
      <c r="I92" s="23">
        <f t="shared" si="39"/>
        <v>0</v>
      </c>
      <c r="J92" s="23">
        <f t="shared" si="39"/>
        <v>0</v>
      </c>
      <c r="K92" s="23">
        <f t="shared" si="39"/>
        <v>0</v>
      </c>
      <c r="L92" s="22">
        <f t="shared" si="39"/>
        <v>23014782621</v>
      </c>
      <c r="M92" s="23">
        <f t="shared" si="39"/>
        <v>0</v>
      </c>
      <c r="N92" s="22">
        <f t="shared" si="39"/>
        <v>11249471570.93</v>
      </c>
      <c r="O92" s="22">
        <f t="shared" si="39"/>
        <v>11249471570.93</v>
      </c>
      <c r="P92" s="22">
        <f t="shared" si="39"/>
        <v>861554195</v>
      </c>
      <c r="Q92" s="22">
        <f t="shared" si="39"/>
        <v>7152100743.5100002</v>
      </c>
      <c r="R92" s="22">
        <f t="shared" si="39"/>
        <v>7152100743.5100002</v>
      </c>
      <c r="S92" s="23">
        <f t="shared" si="39"/>
        <v>0</v>
      </c>
      <c r="T92" s="22">
        <f t="shared" si="39"/>
        <v>191130553.43000001</v>
      </c>
      <c r="U92" s="22">
        <f t="shared" si="39"/>
        <v>191130553.43000001</v>
      </c>
      <c r="V92" s="22">
        <f>S92+U92</f>
        <v>191130553.43000001</v>
      </c>
      <c r="W92" s="22">
        <f t="shared" si="39"/>
        <v>11765311050.07</v>
      </c>
      <c r="X92" s="22">
        <f t="shared" si="39"/>
        <v>4097370827.4200001</v>
      </c>
      <c r="Y92" s="22">
        <f t="shared" si="39"/>
        <v>6960970190.0799999</v>
      </c>
      <c r="Z92" s="24">
        <f t="shared" si="35"/>
        <v>0.31076116864923226</v>
      </c>
    </row>
    <row r="93" spans="1:26" ht="18.75" customHeight="1" x14ac:dyDescent="0.2">
      <c r="A93" s="14" t="s">
        <v>55</v>
      </c>
      <c r="B93" s="15" t="s">
        <v>56</v>
      </c>
      <c r="C93" s="16" t="s">
        <v>190</v>
      </c>
      <c r="D93" s="17" t="s">
        <v>191</v>
      </c>
      <c r="E93" s="17" t="s">
        <v>58</v>
      </c>
      <c r="F93" s="18">
        <v>200000000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18">
        <v>200000000</v>
      </c>
      <c r="M93" s="34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34">
        <v>0</v>
      </c>
      <c r="T93" s="18">
        <v>0</v>
      </c>
      <c r="U93" s="18">
        <v>0</v>
      </c>
      <c r="V93" s="30">
        <f t="shared" ref="V93:V113" si="40">S93+U93</f>
        <v>0</v>
      </c>
      <c r="W93" s="18">
        <v>200000000</v>
      </c>
      <c r="X93" s="18">
        <v>0</v>
      </c>
      <c r="Y93" s="18">
        <v>0</v>
      </c>
      <c r="Z93" s="32">
        <f t="shared" si="35"/>
        <v>0</v>
      </c>
    </row>
    <row r="94" spans="1:26" ht="27.75" customHeight="1" x14ac:dyDescent="0.2">
      <c r="A94" s="35" t="s">
        <v>55</v>
      </c>
      <c r="B94" s="36" t="s">
        <v>56</v>
      </c>
      <c r="C94" s="37" t="s">
        <v>192</v>
      </c>
      <c r="D94" s="38" t="s">
        <v>193</v>
      </c>
      <c r="E94" s="38" t="s">
        <v>58</v>
      </c>
      <c r="F94" s="39">
        <v>1740000000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39">
        <v>1740000000</v>
      </c>
      <c r="M94" s="40">
        <v>0</v>
      </c>
      <c r="N94" s="39">
        <v>654747508</v>
      </c>
      <c r="O94" s="39">
        <v>654747508</v>
      </c>
      <c r="P94" s="39">
        <v>38765788</v>
      </c>
      <c r="Q94" s="39">
        <v>538757020</v>
      </c>
      <c r="R94" s="39">
        <v>538757020</v>
      </c>
      <c r="S94" s="40">
        <v>0</v>
      </c>
      <c r="T94" s="39">
        <v>88757020</v>
      </c>
      <c r="U94" s="39">
        <v>88757020</v>
      </c>
      <c r="V94" s="30">
        <f t="shared" si="40"/>
        <v>88757020</v>
      </c>
      <c r="W94" s="39">
        <v>1085252492</v>
      </c>
      <c r="X94" s="39">
        <v>115990488</v>
      </c>
      <c r="Y94" s="39">
        <v>450000000</v>
      </c>
      <c r="Z94" s="32">
        <f t="shared" si="35"/>
        <v>0.30963047126436782</v>
      </c>
    </row>
    <row r="95" spans="1:26" ht="27.75" customHeight="1" x14ac:dyDescent="0.2">
      <c r="A95" s="35" t="s">
        <v>55</v>
      </c>
      <c r="B95" s="36" t="s">
        <v>56</v>
      </c>
      <c r="C95" s="37" t="s">
        <v>194</v>
      </c>
      <c r="D95" s="38" t="s">
        <v>195</v>
      </c>
      <c r="E95" s="38" t="s">
        <v>58</v>
      </c>
      <c r="F95" s="39">
        <v>3623000000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39">
        <v>3623000000</v>
      </c>
      <c r="M95" s="40">
        <v>0</v>
      </c>
      <c r="N95" s="39">
        <v>2531416214</v>
      </c>
      <c r="O95" s="39">
        <v>2531416214</v>
      </c>
      <c r="P95" s="39">
        <v>0</v>
      </c>
      <c r="Q95" s="39">
        <v>41590000</v>
      </c>
      <c r="R95" s="39">
        <v>41590000</v>
      </c>
      <c r="S95" s="40">
        <v>0</v>
      </c>
      <c r="T95" s="40">
        <v>0</v>
      </c>
      <c r="U95" s="40">
        <v>0</v>
      </c>
      <c r="V95" s="31">
        <f t="shared" si="40"/>
        <v>0</v>
      </c>
      <c r="W95" s="39">
        <v>1091583786</v>
      </c>
      <c r="X95" s="39">
        <v>2489826214</v>
      </c>
      <c r="Y95" s="39">
        <v>41590000</v>
      </c>
      <c r="Z95" s="32">
        <f t="shared" si="35"/>
        <v>1.1479436930720397E-2</v>
      </c>
    </row>
    <row r="96" spans="1:26" ht="25.5" customHeight="1" x14ac:dyDescent="0.2">
      <c r="A96" s="14" t="s">
        <v>55</v>
      </c>
      <c r="B96" s="15" t="s">
        <v>56</v>
      </c>
      <c r="C96" s="16" t="s">
        <v>196</v>
      </c>
      <c r="D96" s="17" t="s">
        <v>197</v>
      </c>
      <c r="E96" s="17" t="s">
        <v>58</v>
      </c>
      <c r="F96" s="18">
        <v>17003782621</v>
      </c>
      <c r="G96" s="34">
        <v>0</v>
      </c>
      <c r="H96" s="34">
        <v>0</v>
      </c>
      <c r="I96" s="34">
        <v>0</v>
      </c>
      <c r="J96" s="34">
        <v>0</v>
      </c>
      <c r="K96" s="34">
        <v>0</v>
      </c>
      <c r="L96" s="18">
        <v>17003782621</v>
      </c>
      <c r="M96" s="34">
        <v>0</v>
      </c>
      <c r="N96" s="18">
        <v>8063307848.9300003</v>
      </c>
      <c r="O96" s="18">
        <v>8063307848.9300003</v>
      </c>
      <c r="P96" s="18">
        <v>822788407</v>
      </c>
      <c r="Q96" s="18">
        <v>6571753723.5100002</v>
      </c>
      <c r="R96" s="18">
        <v>6571753723.5100002</v>
      </c>
      <c r="S96" s="34">
        <v>0</v>
      </c>
      <c r="T96" s="18">
        <v>102373533.43000001</v>
      </c>
      <c r="U96" s="18">
        <v>102373533.43000001</v>
      </c>
      <c r="V96" s="30">
        <f t="shared" si="40"/>
        <v>102373533.43000001</v>
      </c>
      <c r="W96" s="18">
        <v>8940474772.0699997</v>
      </c>
      <c r="X96" s="18">
        <v>1491554125.4200001</v>
      </c>
      <c r="Y96" s="18">
        <v>6469380190.0799999</v>
      </c>
      <c r="Z96" s="32">
        <f t="shared" si="35"/>
        <v>0.38648775216602438</v>
      </c>
    </row>
    <row r="97" spans="1:26" ht="18.75" customHeight="1" x14ac:dyDescent="0.2">
      <c r="A97" s="14" t="s">
        <v>55</v>
      </c>
      <c r="B97" s="15" t="s">
        <v>56</v>
      </c>
      <c r="C97" s="16" t="s">
        <v>198</v>
      </c>
      <c r="D97" s="17" t="s">
        <v>199</v>
      </c>
      <c r="E97" s="17" t="s">
        <v>58</v>
      </c>
      <c r="F97" s="18">
        <v>348000000</v>
      </c>
      <c r="G97" s="34">
        <v>0</v>
      </c>
      <c r="H97" s="34">
        <v>0</v>
      </c>
      <c r="I97" s="34">
        <v>0</v>
      </c>
      <c r="J97" s="34">
        <v>0</v>
      </c>
      <c r="K97" s="34">
        <v>0</v>
      </c>
      <c r="L97" s="18">
        <v>348000000</v>
      </c>
      <c r="M97" s="34">
        <v>0</v>
      </c>
      <c r="N97" s="100">
        <v>0</v>
      </c>
      <c r="O97" s="100">
        <v>0</v>
      </c>
      <c r="P97" s="34">
        <v>0</v>
      </c>
      <c r="Q97" s="18">
        <v>0</v>
      </c>
      <c r="R97" s="34">
        <v>0</v>
      </c>
      <c r="S97" s="34">
        <v>0</v>
      </c>
      <c r="T97" s="34">
        <v>0</v>
      </c>
      <c r="U97" s="34">
        <v>0</v>
      </c>
      <c r="V97" s="31">
        <f t="shared" si="40"/>
        <v>0</v>
      </c>
      <c r="W97" s="18">
        <v>348000000</v>
      </c>
      <c r="X97" s="18">
        <v>0</v>
      </c>
      <c r="Y97" s="18">
        <v>0</v>
      </c>
      <c r="Z97" s="32">
        <f t="shared" si="35"/>
        <v>0</v>
      </c>
    </row>
    <row r="98" spans="1:26" ht="18.75" customHeight="1" x14ac:dyDescent="0.2">
      <c r="A98" s="14" t="s">
        <v>55</v>
      </c>
      <c r="B98" s="15" t="s">
        <v>56</v>
      </c>
      <c r="C98" s="16" t="s">
        <v>200</v>
      </c>
      <c r="D98" s="17" t="s">
        <v>201</v>
      </c>
      <c r="E98" s="17" t="s">
        <v>58</v>
      </c>
      <c r="F98" s="18">
        <v>100000000</v>
      </c>
      <c r="G98" s="34">
        <v>0</v>
      </c>
      <c r="H98" s="34">
        <v>0</v>
      </c>
      <c r="I98" s="34">
        <v>0</v>
      </c>
      <c r="J98" s="34">
        <v>0</v>
      </c>
      <c r="K98" s="34">
        <v>0</v>
      </c>
      <c r="L98" s="18">
        <v>100000000</v>
      </c>
      <c r="M98" s="34">
        <v>0</v>
      </c>
      <c r="N98" s="100">
        <v>0</v>
      </c>
      <c r="O98" s="100">
        <v>0</v>
      </c>
      <c r="P98" s="34">
        <v>0</v>
      </c>
      <c r="Q98" s="18">
        <v>0</v>
      </c>
      <c r="R98" s="34">
        <v>0</v>
      </c>
      <c r="S98" s="34">
        <v>0</v>
      </c>
      <c r="T98" s="34">
        <v>0</v>
      </c>
      <c r="U98" s="34">
        <v>0</v>
      </c>
      <c r="V98" s="31">
        <f t="shared" si="40"/>
        <v>0</v>
      </c>
      <c r="W98" s="18">
        <v>100000000</v>
      </c>
      <c r="X98" s="18">
        <v>0</v>
      </c>
      <c r="Y98" s="18">
        <v>0</v>
      </c>
      <c r="Z98" s="32">
        <f t="shared" si="35"/>
        <v>0</v>
      </c>
    </row>
    <row r="99" spans="1:26" s="25" customFormat="1" ht="18.75" customHeight="1" x14ac:dyDescent="0.2">
      <c r="A99" s="19" t="s">
        <v>37</v>
      </c>
      <c r="B99" s="19" t="s">
        <v>37</v>
      </c>
      <c r="C99" s="26" t="s">
        <v>868</v>
      </c>
      <c r="D99" s="21" t="s">
        <v>202</v>
      </c>
      <c r="E99" s="22" t="s">
        <v>37</v>
      </c>
      <c r="F99" s="22">
        <f t="shared" ref="F99:U99" si="41">F100+F120+F135</f>
        <v>113142608950</v>
      </c>
      <c r="G99" s="23">
        <f t="shared" si="41"/>
        <v>0</v>
      </c>
      <c r="H99" s="23">
        <f t="shared" si="41"/>
        <v>0</v>
      </c>
      <c r="I99" s="23">
        <f t="shared" si="41"/>
        <v>0</v>
      </c>
      <c r="J99" s="23">
        <f t="shared" si="41"/>
        <v>0</v>
      </c>
      <c r="K99" s="23">
        <f t="shared" si="41"/>
        <v>0</v>
      </c>
      <c r="L99" s="22">
        <f t="shared" si="41"/>
        <v>113142608950</v>
      </c>
      <c r="M99" s="23">
        <f t="shared" si="41"/>
        <v>0</v>
      </c>
      <c r="N99" s="22">
        <f t="shared" si="41"/>
        <v>4558986221.1599998</v>
      </c>
      <c r="O99" s="22">
        <f t="shared" si="41"/>
        <v>4558986221.1599998</v>
      </c>
      <c r="P99" s="23">
        <f t="shared" si="41"/>
        <v>0</v>
      </c>
      <c r="Q99" s="22">
        <f t="shared" si="41"/>
        <v>4552757221.1599998</v>
      </c>
      <c r="R99" s="22">
        <f t="shared" si="41"/>
        <v>4552757221.1599998</v>
      </c>
      <c r="S99" s="22">
        <f t="shared" si="41"/>
        <v>2102053727</v>
      </c>
      <c r="T99" s="22">
        <f t="shared" si="41"/>
        <v>2447398034.1599998</v>
      </c>
      <c r="U99" s="22">
        <f t="shared" si="41"/>
        <v>2447398034.1599998</v>
      </c>
      <c r="V99" s="22">
        <f t="shared" si="40"/>
        <v>4549451761.1599998</v>
      </c>
      <c r="W99" s="22">
        <f>W100+W120+W135</f>
        <v>108583622728.84</v>
      </c>
      <c r="X99" s="22">
        <f>X100+X120+X135</f>
        <v>6229000</v>
      </c>
      <c r="Y99" s="22">
        <f>Y100+Y120+Y135</f>
        <v>3305460</v>
      </c>
      <c r="Z99" s="24">
        <f t="shared" si="35"/>
        <v>4.0239104113039811E-2</v>
      </c>
    </row>
    <row r="100" spans="1:26" s="25" customFormat="1" ht="18.75" customHeight="1" x14ac:dyDescent="0.2">
      <c r="A100" s="19" t="s">
        <v>55</v>
      </c>
      <c r="B100" s="19" t="s">
        <v>56</v>
      </c>
      <c r="C100" s="26" t="s">
        <v>869</v>
      </c>
      <c r="D100" s="21" t="s">
        <v>203</v>
      </c>
      <c r="E100" s="22" t="s">
        <v>37</v>
      </c>
      <c r="F100" s="22">
        <f t="shared" ref="F100:U100" si="42">F101+F114</f>
        <v>70789582622</v>
      </c>
      <c r="G100" s="23">
        <f t="shared" si="42"/>
        <v>0</v>
      </c>
      <c r="H100" s="23">
        <f t="shared" si="42"/>
        <v>0</v>
      </c>
      <c r="I100" s="23">
        <f t="shared" si="42"/>
        <v>0</v>
      </c>
      <c r="J100" s="23">
        <f t="shared" si="42"/>
        <v>0</v>
      </c>
      <c r="K100" s="23">
        <f t="shared" si="42"/>
        <v>0</v>
      </c>
      <c r="L100" s="22">
        <f t="shared" si="42"/>
        <v>70789582622</v>
      </c>
      <c r="M100" s="23">
        <f t="shared" si="42"/>
        <v>0</v>
      </c>
      <c r="N100" s="22">
        <f t="shared" si="42"/>
        <v>2438809019.1599998</v>
      </c>
      <c r="O100" s="22">
        <f t="shared" si="42"/>
        <v>2438809019.1599998</v>
      </c>
      <c r="P100" s="23">
        <f t="shared" si="42"/>
        <v>0</v>
      </c>
      <c r="Q100" s="22">
        <f t="shared" si="42"/>
        <v>2438809019.1599998</v>
      </c>
      <c r="R100" s="22">
        <f t="shared" si="42"/>
        <v>2438809019.1599998</v>
      </c>
      <c r="S100" s="23">
        <f t="shared" si="42"/>
        <v>0</v>
      </c>
      <c r="T100" s="22">
        <f t="shared" si="42"/>
        <v>2438809019.1599998</v>
      </c>
      <c r="U100" s="22">
        <f t="shared" si="42"/>
        <v>2438809019.1599998</v>
      </c>
      <c r="V100" s="22">
        <f t="shared" si="40"/>
        <v>2438809019.1599998</v>
      </c>
      <c r="W100" s="22">
        <f>W101+W114</f>
        <v>68350773602.839996</v>
      </c>
      <c r="X100" s="23">
        <f>X101+X114</f>
        <v>0</v>
      </c>
      <c r="Y100" s="23">
        <f>Y101+Y114</f>
        <v>0</v>
      </c>
      <c r="Z100" s="24">
        <f t="shared" si="35"/>
        <v>3.4451524204948007E-2</v>
      </c>
    </row>
    <row r="101" spans="1:26" s="25" customFormat="1" ht="18.75" customHeight="1" x14ac:dyDescent="0.2">
      <c r="A101" s="19" t="s">
        <v>55</v>
      </c>
      <c r="B101" s="19" t="s">
        <v>56</v>
      </c>
      <c r="C101" s="26" t="s">
        <v>870</v>
      </c>
      <c r="D101" s="21" t="s">
        <v>204</v>
      </c>
      <c r="E101" s="22" t="s">
        <v>56</v>
      </c>
      <c r="F101" s="22">
        <f>F102</f>
        <v>34789582622</v>
      </c>
      <c r="G101" s="23">
        <f t="shared" ref="G101:Y101" si="43">G102</f>
        <v>0</v>
      </c>
      <c r="H101" s="23">
        <f t="shared" si="43"/>
        <v>0</v>
      </c>
      <c r="I101" s="23">
        <f t="shared" si="43"/>
        <v>0</v>
      </c>
      <c r="J101" s="23">
        <f t="shared" si="43"/>
        <v>0</v>
      </c>
      <c r="K101" s="23">
        <f t="shared" si="43"/>
        <v>0</v>
      </c>
      <c r="L101" s="22">
        <f t="shared" si="43"/>
        <v>34789582622</v>
      </c>
      <c r="M101" s="23">
        <f t="shared" si="43"/>
        <v>0</v>
      </c>
      <c r="N101" s="22">
        <f t="shared" si="43"/>
        <v>2438809019.1599998</v>
      </c>
      <c r="O101" s="22">
        <f t="shared" si="43"/>
        <v>2438809019.1599998</v>
      </c>
      <c r="P101" s="23">
        <f t="shared" si="43"/>
        <v>0</v>
      </c>
      <c r="Q101" s="22">
        <f t="shared" si="43"/>
        <v>2438809019.1599998</v>
      </c>
      <c r="R101" s="22">
        <f t="shared" si="43"/>
        <v>2438809019.1599998</v>
      </c>
      <c r="S101" s="23">
        <f t="shared" si="43"/>
        <v>0</v>
      </c>
      <c r="T101" s="22">
        <f t="shared" si="43"/>
        <v>2438809019.1599998</v>
      </c>
      <c r="U101" s="22">
        <f t="shared" si="43"/>
        <v>2438809019.1599998</v>
      </c>
      <c r="V101" s="22">
        <f t="shared" si="40"/>
        <v>2438809019.1599998</v>
      </c>
      <c r="W101" s="22">
        <f t="shared" si="43"/>
        <v>32350773602.84</v>
      </c>
      <c r="X101" s="23">
        <f t="shared" si="43"/>
        <v>0</v>
      </c>
      <c r="Y101" s="23">
        <f t="shared" si="43"/>
        <v>0</v>
      </c>
      <c r="Z101" s="24">
        <f t="shared" si="35"/>
        <v>7.0101703882407676E-2</v>
      </c>
    </row>
    <row r="102" spans="1:26" ht="28.5" customHeight="1" x14ac:dyDescent="0.2">
      <c r="A102" s="27" t="s">
        <v>55</v>
      </c>
      <c r="B102" s="27" t="s">
        <v>56</v>
      </c>
      <c r="C102" s="101" t="s">
        <v>871</v>
      </c>
      <c r="D102" s="38" t="s">
        <v>205</v>
      </c>
      <c r="E102" s="30" t="s">
        <v>56</v>
      </c>
      <c r="F102" s="30">
        <f t="shared" ref="F102:U102" si="44">SUM(F103:F113)</f>
        <v>34789582622</v>
      </c>
      <c r="G102" s="31">
        <f t="shared" si="44"/>
        <v>0</v>
      </c>
      <c r="H102" s="31">
        <f t="shared" si="44"/>
        <v>0</v>
      </c>
      <c r="I102" s="31">
        <f t="shared" si="44"/>
        <v>0</v>
      </c>
      <c r="J102" s="31">
        <f t="shared" si="44"/>
        <v>0</v>
      </c>
      <c r="K102" s="31">
        <f t="shared" si="44"/>
        <v>0</v>
      </c>
      <c r="L102" s="30">
        <f t="shared" si="44"/>
        <v>34789582622</v>
      </c>
      <c r="M102" s="31">
        <f t="shared" si="44"/>
        <v>0</v>
      </c>
      <c r="N102" s="30">
        <f t="shared" si="44"/>
        <v>2438809019.1599998</v>
      </c>
      <c r="O102" s="30">
        <f t="shared" si="44"/>
        <v>2438809019.1599998</v>
      </c>
      <c r="P102" s="31">
        <f t="shared" si="44"/>
        <v>0</v>
      </c>
      <c r="Q102" s="30">
        <f t="shared" si="44"/>
        <v>2438809019.1599998</v>
      </c>
      <c r="R102" s="30">
        <f t="shared" si="44"/>
        <v>2438809019.1599998</v>
      </c>
      <c r="S102" s="31">
        <f t="shared" si="44"/>
        <v>0</v>
      </c>
      <c r="T102" s="30">
        <f t="shared" si="44"/>
        <v>2438809019.1599998</v>
      </c>
      <c r="U102" s="30">
        <f t="shared" si="44"/>
        <v>2438809019.1599998</v>
      </c>
      <c r="V102" s="30">
        <f t="shared" si="40"/>
        <v>2438809019.1599998</v>
      </c>
      <c r="W102" s="30">
        <f>SUM(W103:W113)</f>
        <v>32350773602.84</v>
      </c>
      <c r="X102" s="31">
        <f>SUM(X103:X113)</f>
        <v>0</v>
      </c>
      <c r="Y102" s="31">
        <f>SUM(Y103:Y113)</f>
        <v>0</v>
      </c>
      <c r="Z102" s="32">
        <f t="shared" si="35"/>
        <v>7.0101703882407676E-2</v>
      </c>
    </row>
    <row r="103" spans="1:26" ht="18.75" customHeight="1" x14ac:dyDescent="0.2">
      <c r="A103" s="35" t="s">
        <v>55</v>
      </c>
      <c r="B103" s="36" t="s">
        <v>56</v>
      </c>
      <c r="C103" s="101" t="s">
        <v>872</v>
      </c>
      <c r="D103" s="38" t="s">
        <v>206</v>
      </c>
      <c r="E103" s="38" t="s">
        <v>58</v>
      </c>
      <c r="F103" s="39">
        <v>2500000000</v>
      </c>
      <c r="G103" s="40">
        <v>0</v>
      </c>
      <c r="H103" s="40">
        <v>0</v>
      </c>
      <c r="I103" s="40">
        <v>0</v>
      </c>
      <c r="J103" s="40">
        <v>0</v>
      </c>
      <c r="K103" s="40">
        <v>0</v>
      </c>
      <c r="L103" s="39">
        <v>2500000000</v>
      </c>
      <c r="M103" s="40">
        <v>0</v>
      </c>
      <c r="N103" s="39">
        <v>208333333</v>
      </c>
      <c r="O103" s="39">
        <v>208333333</v>
      </c>
      <c r="P103" s="40">
        <v>0</v>
      </c>
      <c r="Q103" s="39">
        <v>208333333</v>
      </c>
      <c r="R103" s="39">
        <v>208333333</v>
      </c>
      <c r="S103" s="40">
        <v>0</v>
      </c>
      <c r="T103" s="39">
        <v>208333333</v>
      </c>
      <c r="U103" s="39">
        <v>208333333</v>
      </c>
      <c r="V103" s="30">
        <f t="shared" si="40"/>
        <v>208333333</v>
      </c>
      <c r="W103" s="39">
        <v>2291666667</v>
      </c>
      <c r="X103" s="40">
        <v>0</v>
      </c>
      <c r="Y103" s="40">
        <v>0</v>
      </c>
      <c r="Z103" s="32">
        <f t="shared" si="35"/>
        <v>8.3333333199999998E-2</v>
      </c>
    </row>
    <row r="104" spans="1:26" ht="18.75" customHeight="1" x14ac:dyDescent="0.2">
      <c r="A104" s="14" t="s">
        <v>55</v>
      </c>
      <c r="B104" s="15" t="s">
        <v>56</v>
      </c>
      <c r="C104" s="41" t="s">
        <v>873</v>
      </c>
      <c r="D104" s="17" t="s">
        <v>207</v>
      </c>
      <c r="E104" s="17" t="s">
        <v>58</v>
      </c>
      <c r="F104" s="18">
        <v>3557080000</v>
      </c>
      <c r="G104" s="34">
        <v>0</v>
      </c>
      <c r="H104" s="34">
        <v>0</v>
      </c>
      <c r="I104" s="34">
        <v>0</v>
      </c>
      <c r="J104" s="34">
        <v>0</v>
      </c>
      <c r="K104" s="34">
        <v>0</v>
      </c>
      <c r="L104" s="18">
        <v>3557080000</v>
      </c>
      <c r="M104" s="34">
        <v>0</v>
      </c>
      <c r="N104" s="18">
        <v>296423333</v>
      </c>
      <c r="O104" s="18">
        <v>296423333</v>
      </c>
      <c r="P104" s="34">
        <v>0</v>
      </c>
      <c r="Q104" s="18">
        <v>296423333</v>
      </c>
      <c r="R104" s="18">
        <v>296423333</v>
      </c>
      <c r="S104" s="34">
        <v>0</v>
      </c>
      <c r="T104" s="18">
        <v>296423333</v>
      </c>
      <c r="U104" s="18">
        <v>296423333</v>
      </c>
      <c r="V104" s="30">
        <f t="shared" si="40"/>
        <v>296423333</v>
      </c>
      <c r="W104" s="18">
        <v>3260656667</v>
      </c>
      <c r="X104" s="34">
        <v>0</v>
      </c>
      <c r="Y104" s="34">
        <v>0</v>
      </c>
      <c r="Z104" s="32">
        <f t="shared" si="35"/>
        <v>8.3333333239623511E-2</v>
      </c>
    </row>
    <row r="105" spans="1:26" ht="18.75" customHeight="1" x14ac:dyDescent="0.2">
      <c r="A105" s="35" t="s">
        <v>55</v>
      </c>
      <c r="B105" s="36" t="s">
        <v>56</v>
      </c>
      <c r="C105" s="101" t="s">
        <v>874</v>
      </c>
      <c r="D105" s="38" t="s">
        <v>208</v>
      </c>
      <c r="E105" s="38" t="s">
        <v>58</v>
      </c>
      <c r="F105" s="39">
        <v>2747397800</v>
      </c>
      <c r="G105" s="40">
        <v>0</v>
      </c>
      <c r="H105" s="40">
        <v>0</v>
      </c>
      <c r="I105" s="40">
        <v>0</v>
      </c>
      <c r="J105" s="40">
        <v>0</v>
      </c>
      <c r="K105" s="40">
        <v>0</v>
      </c>
      <c r="L105" s="39">
        <v>2747397800</v>
      </c>
      <c r="M105" s="40">
        <v>0</v>
      </c>
      <c r="N105" s="39">
        <v>0</v>
      </c>
      <c r="O105" s="39">
        <v>0</v>
      </c>
      <c r="P105" s="40">
        <v>0</v>
      </c>
      <c r="Q105" s="39">
        <v>0</v>
      </c>
      <c r="R105" s="39">
        <v>0</v>
      </c>
      <c r="S105" s="40">
        <v>0</v>
      </c>
      <c r="T105" s="39">
        <v>0</v>
      </c>
      <c r="U105" s="39">
        <v>0</v>
      </c>
      <c r="V105" s="30">
        <f t="shared" si="40"/>
        <v>0</v>
      </c>
      <c r="W105" s="39">
        <v>2747397800</v>
      </c>
      <c r="X105" s="40">
        <v>0</v>
      </c>
      <c r="Y105" s="40">
        <v>0</v>
      </c>
      <c r="Z105" s="32">
        <f t="shared" si="35"/>
        <v>0</v>
      </c>
    </row>
    <row r="106" spans="1:26" ht="18.75" customHeight="1" x14ac:dyDescent="0.2">
      <c r="A106" s="14" t="s">
        <v>55</v>
      </c>
      <c r="B106" s="15" t="s">
        <v>56</v>
      </c>
      <c r="C106" s="41" t="s">
        <v>875</v>
      </c>
      <c r="D106" s="17" t="s">
        <v>209</v>
      </c>
      <c r="E106" s="17" t="s">
        <v>58</v>
      </c>
      <c r="F106" s="18">
        <v>1627586535</v>
      </c>
      <c r="G106" s="34">
        <v>0</v>
      </c>
      <c r="H106" s="34">
        <v>0</v>
      </c>
      <c r="I106" s="34">
        <v>0</v>
      </c>
      <c r="J106" s="34">
        <v>0</v>
      </c>
      <c r="K106" s="34">
        <v>0</v>
      </c>
      <c r="L106" s="18">
        <v>1627586535</v>
      </c>
      <c r="M106" s="34">
        <v>0</v>
      </c>
      <c r="N106" s="18">
        <v>33802545.079999998</v>
      </c>
      <c r="O106" s="18">
        <v>33802545.079999998</v>
      </c>
      <c r="P106" s="34">
        <v>0</v>
      </c>
      <c r="Q106" s="18">
        <v>33802545.079999998</v>
      </c>
      <c r="R106" s="18">
        <v>33802545.079999998</v>
      </c>
      <c r="S106" s="34">
        <v>0</v>
      </c>
      <c r="T106" s="18">
        <v>33802545.079999998</v>
      </c>
      <c r="U106" s="18">
        <v>33802545.079999998</v>
      </c>
      <c r="V106" s="30">
        <f t="shared" si="40"/>
        <v>33802545.079999998</v>
      </c>
      <c r="W106" s="18">
        <v>1593783989.9200001</v>
      </c>
      <c r="X106" s="34">
        <v>0</v>
      </c>
      <c r="Y106" s="34">
        <v>0</v>
      </c>
      <c r="Z106" s="32">
        <f t="shared" si="35"/>
        <v>2.0768508680246607E-2</v>
      </c>
    </row>
    <row r="107" spans="1:26" ht="18.75" customHeight="1" x14ac:dyDescent="0.2">
      <c r="A107" s="14" t="s">
        <v>55</v>
      </c>
      <c r="B107" s="15" t="s">
        <v>56</v>
      </c>
      <c r="C107" s="41" t="s">
        <v>876</v>
      </c>
      <c r="D107" s="17" t="s">
        <v>210</v>
      </c>
      <c r="E107" s="17" t="s">
        <v>58</v>
      </c>
      <c r="F107" s="18">
        <v>4565923897</v>
      </c>
      <c r="G107" s="34">
        <v>0</v>
      </c>
      <c r="H107" s="34">
        <v>0</v>
      </c>
      <c r="I107" s="34">
        <v>0</v>
      </c>
      <c r="J107" s="34">
        <v>0</v>
      </c>
      <c r="K107" s="34">
        <v>0</v>
      </c>
      <c r="L107" s="18">
        <v>4565923897</v>
      </c>
      <c r="M107" s="34">
        <v>0</v>
      </c>
      <c r="N107" s="18">
        <v>380493658.07999998</v>
      </c>
      <c r="O107" s="18">
        <v>380493658.07999998</v>
      </c>
      <c r="P107" s="34">
        <v>0</v>
      </c>
      <c r="Q107" s="18">
        <v>380493658.07999998</v>
      </c>
      <c r="R107" s="18">
        <v>380493658.07999998</v>
      </c>
      <c r="S107" s="34">
        <v>0</v>
      </c>
      <c r="T107" s="18">
        <v>380493658.07999998</v>
      </c>
      <c r="U107" s="18">
        <v>380493658.07999998</v>
      </c>
      <c r="V107" s="30">
        <f t="shared" si="40"/>
        <v>380493658.07999998</v>
      </c>
      <c r="W107" s="18">
        <v>4185430238.9200001</v>
      </c>
      <c r="X107" s="34">
        <v>0</v>
      </c>
      <c r="Y107" s="34">
        <v>0</v>
      </c>
      <c r="Z107" s="32">
        <f t="shared" si="35"/>
        <v>8.3333333332603288E-2</v>
      </c>
    </row>
    <row r="108" spans="1:26" ht="18.75" customHeight="1" x14ac:dyDescent="0.2">
      <c r="A108" s="35" t="s">
        <v>55</v>
      </c>
      <c r="B108" s="36" t="s">
        <v>56</v>
      </c>
      <c r="C108" s="101" t="s">
        <v>877</v>
      </c>
      <c r="D108" s="38" t="s">
        <v>211</v>
      </c>
      <c r="E108" s="38" t="s">
        <v>58</v>
      </c>
      <c r="F108" s="39">
        <v>5174713749</v>
      </c>
      <c r="G108" s="40">
        <v>0</v>
      </c>
      <c r="H108" s="40">
        <v>0</v>
      </c>
      <c r="I108" s="40">
        <v>0</v>
      </c>
      <c r="J108" s="40">
        <v>0</v>
      </c>
      <c r="K108" s="40">
        <v>0</v>
      </c>
      <c r="L108" s="39">
        <v>5174713749</v>
      </c>
      <c r="M108" s="40">
        <v>0</v>
      </c>
      <c r="N108" s="39">
        <v>800000000</v>
      </c>
      <c r="O108" s="39">
        <v>800000000</v>
      </c>
      <c r="P108" s="40">
        <v>0</v>
      </c>
      <c r="Q108" s="39">
        <v>800000000</v>
      </c>
      <c r="R108" s="39">
        <v>800000000</v>
      </c>
      <c r="S108" s="40">
        <v>0</v>
      </c>
      <c r="T108" s="39">
        <v>800000000</v>
      </c>
      <c r="U108" s="39">
        <v>800000000</v>
      </c>
      <c r="V108" s="30">
        <f t="shared" si="40"/>
        <v>800000000</v>
      </c>
      <c r="W108" s="39">
        <v>4374713749</v>
      </c>
      <c r="X108" s="40">
        <v>0</v>
      </c>
      <c r="Y108" s="40">
        <v>0</v>
      </c>
      <c r="Z108" s="32">
        <f t="shared" si="35"/>
        <v>0.15459792344158127</v>
      </c>
    </row>
    <row r="109" spans="1:26" ht="18.75" customHeight="1" x14ac:dyDescent="0.2">
      <c r="A109" s="35" t="s">
        <v>55</v>
      </c>
      <c r="B109" s="36" t="s">
        <v>56</v>
      </c>
      <c r="C109" s="101" t="s">
        <v>878</v>
      </c>
      <c r="D109" s="38" t="s">
        <v>212</v>
      </c>
      <c r="E109" s="38" t="s">
        <v>58</v>
      </c>
      <c r="F109" s="39">
        <v>286350464</v>
      </c>
      <c r="G109" s="40">
        <v>0</v>
      </c>
      <c r="H109" s="40">
        <v>0</v>
      </c>
      <c r="I109" s="40">
        <v>0</v>
      </c>
      <c r="J109" s="40">
        <v>0</v>
      </c>
      <c r="K109" s="40">
        <v>0</v>
      </c>
      <c r="L109" s="39">
        <v>286350464</v>
      </c>
      <c r="M109" s="40">
        <v>0</v>
      </c>
      <c r="N109" s="39">
        <v>0</v>
      </c>
      <c r="O109" s="39">
        <v>0</v>
      </c>
      <c r="P109" s="40">
        <v>0</v>
      </c>
      <c r="Q109" s="39">
        <v>0</v>
      </c>
      <c r="R109" s="39">
        <v>0</v>
      </c>
      <c r="S109" s="40">
        <v>0</v>
      </c>
      <c r="T109" s="39">
        <v>0</v>
      </c>
      <c r="U109" s="39">
        <v>0</v>
      </c>
      <c r="V109" s="30">
        <f t="shared" si="40"/>
        <v>0</v>
      </c>
      <c r="W109" s="39">
        <v>286350464</v>
      </c>
      <c r="X109" s="40">
        <v>0</v>
      </c>
      <c r="Y109" s="40">
        <v>0</v>
      </c>
      <c r="Z109" s="32">
        <f t="shared" si="35"/>
        <v>0</v>
      </c>
    </row>
    <row r="110" spans="1:26" ht="18.75" customHeight="1" x14ac:dyDescent="0.2">
      <c r="A110" s="14" t="s">
        <v>55</v>
      </c>
      <c r="B110" s="15" t="s">
        <v>56</v>
      </c>
      <c r="C110" s="41" t="s">
        <v>879</v>
      </c>
      <c r="D110" s="17" t="s">
        <v>213</v>
      </c>
      <c r="E110" s="17" t="s">
        <v>58</v>
      </c>
      <c r="F110" s="18">
        <v>3748529000</v>
      </c>
      <c r="G110" s="34">
        <v>0</v>
      </c>
      <c r="H110" s="34">
        <v>0</v>
      </c>
      <c r="I110" s="34">
        <v>0</v>
      </c>
      <c r="J110" s="34">
        <v>0</v>
      </c>
      <c r="K110" s="34">
        <v>0</v>
      </c>
      <c r="L110" s="18">
        <v>3748529000</v>
      </c>
      <c r="M110" s="34">
        <v>0</v>
      </c>
      <c r="N110" s="18">
        <v>312377417</v>
      </c>
      <c r="O110" s="18">
        <v>312377417</v>
      </c>
      <c r="P110" s="34">
        <v>0</v>
      </c>
      <c r="Q110" s="18">
        <v>312377417</v>
      </c>
      <c r="R110" s="18">
        <v>312377417</v>
      </c>
      <c r="S110" s="34">
        <v>0</v>
      </c>
      <c r="T110" s="18">
        <v>312377417</v>
      </c>
      <c r="U110" s="18">
        <v>312377417</v>
      </c>
      <c r="V110" s="30">
        <f t="shared" si="40"/>
        <v>312377417</v>
      </c>
      <c r="W110" s="18">
        <v>3436151583</v>
      </c>
      <c r="X110" s="34">
        <v>0</v>
      </c>
      <c r="Y110" s="34">
        <v>0</v>
      </c>
      <c r="Z110" s="32">
        <f t="shared" si="35"/>
        <v>8.33333334222571E-2</v>
      </c>
    </row>
    <row r="111" spans="1:26" ht="18.75" customHeight="1" x14ac:dyDescent="0.2">
      <c r="A111" s="35" t="s">
        <v>55</v>
      </c>
      <c r="B111" s="36" t="s">
        <v>56</v>
      </c>
      <c r="C111" s="101" t="s">
        <v>880</v>
      </c>
      <c r="D111" s="38" t="s">
        <v>214</v>
      </c>
      <c r="E111" s="38" t="s">
        <v>58</v>
      </c>
      <c r="F111" s="39">
        <v>80525000</v>
      </c>
      <c r="G111" s="40">
        <v>0</v>
      </c>
      <c r="H111" s="40">
        <v>0</v>
      </c>
      <c r="I111" s="40">
        <v>0</v>
      </c>
      <c r="J111" s="40">
        <v>0</v>
      </c>
      <c r="K111" s="40">
        <v>0</v>
      </c>
      <c r="L111" s="39">
        <v>80525000</v>
      </c>
      <c r="M111" s="40">
        <v>0</v>
      </c>
      <c r="N111" s="39">
        <v>80525000</v>
      </c>
      <c r="O111" s="39">
        <v>80525000</v>
      </c>
      <c r="P111" s="40">
        <v>0</v>
      </c>
      <c r="Q111" s="39">
        <v>80525000</v>
      </c>
      <c r="R111" s="39">
        <v>80525000</v>
      </c>
      <c r="S111" s="40">
        <v>0</v>
      </c>
      <c r="T111" s="39">
        <v>80525000</v>
      </c>
      <c r="U111" s="39">
        <v>80525000</v>
      </c>
      <c r="V111" s="30">
        <f t="shared" si="40"/>
        <v>80525000</v>
      </c>
      <c r="W111" s="39">
        <v>0</v>
      </c>
      <c r="X111" s="40">
        <v>0</v>
      </c>
      <c r="Y111" s="40">
        <v>0</v>
      </c>
      <c r="Z111" s="32">
        <f t="shared" si="35"/>
        <v>1</v>
      </c>
    </row>
    <row r="112" spans="1:26" ht="18.75" customHeight="1" x14ac:dyDescent="0.2">
      <c r="A112" s="14" t="s">
        <v>55</v>
      </c>
      <c r="B112" s="15" t="s">
        <v>56</v>
      </c>
      <c r="C112" s="41" t="s">
        <v>881</v>
      </c>
      <c r="D112" s="17" t="s">
        <v>214</v>
      </c>
      <c r="E112" s="17" t="s">
        <v>215</v>
      </c>
      <c r="F112" s="18">
        <v>10351476177</v>
      </c>
      <c r="G112" s="34">
        <v>0</v>
      </c>
      <c r="H112" s="34">
        <v>0</v>
      </c>
      <c r="I112" s="34">
        <v>0</v>
      </c>
      <c r="J112" s="34">
        <v>0</v>
      </c>
      <c r="K112" s="34">
        <v>0</v>
      </c>
      <c r="L112" s="18">
        <v>10351476177</v>
      </c>
      <c r="M112" s="34">
        <v>0</v>
      </c>
      <c r="N112" s="18">
        <v>326853733</v>
      </c>
      <c r="O112" s="18">
        <v>326853733</v>
      </c>
      <c r="P112" s="34">
        <v>0</v>
      </c>
      <c r="Q112" s="18">
        <v>326853733</v>
      </c>
      <c r="R112" s="18">
        <v>326853733</v>
      </c>
      <c r="S112" s="34">
        <v>0</v>
      </c>
      <c r="T112" s="18">
        <v>326853733</v>
      </c>
      <c r="U112" s="18">
        <v>326853733</v>
      </c>
      <c r="V112" s="30">
        <f t="shared" si="40"/>
        <v>326853733</v>
      </c>
      <c r="W112" s="18">
        <v>10024622444</v>
      </c>
      <c r="X112" s="34">
        <v>0</v>
      </c>
      <c r="Y112" s="34">
        <v>0</v>
      </c>
      <c r="Z112" s="32">
        <f t="shared" si="35"/>
        <v>3.1575567330796556E-2</v>
      </c>
    </row>
    <row r="113" spans="1:26" ht="26.25" customHeight="1" x14ac:dyDescent="0.2">
      <c r="A113" s="14" t="s">
        <v>55</v>
      </c>
      <c r="B113" s="15" t="s">
        <v>56</v>
      </c>
      <c r="C113" s="41" t="s">
        <v>882</v>
      </c>
      <c r="D113" s="17" t="s">
        <v>205</v>
      </c>
      <c r="E113" s="17" t="s">
        <v>216</v>
      </c>
      <c r="F113" s="18">
        <v>150000000</v>
      </c>
      <c r="G113" s="34">
        <v>0</v>
      </c>
      <c r="H113" s="34">
        <v>0</v>
      </c>
      <c r="I113" s="34">
        <v>0</v>
      </c>
      <c r="J113" s="34">
        <v>0</v>
      </c>
      <c r="K113" s="34">
        <v>0</v>
      </c>
      <c r="L113" s="18">
        <v>150000000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1">
        <f t="shared" si="40"/>
        <v>0</v>
      </c>
      <c r="W113" s="18">
        <v>150000000</v>
      </c>
      <c r="X113" s="34">
        <v>0</v>
      </c>
      <c r="Y113" s="34">
        <v>0</v>
      </c>
      <c r="Z113" s="32">
        <f t="shared" si="35"/>
        <v>0</v>
      </c>
    </row>
    <row r="114" spans="1:26" s="25" customFormat="1" ht="18.75" customHeight="1" x14ac:dyDescent="0.2">
      <c r="A114" s="19" t="s">
        <v>55</v>
      </c>
      <c r="B114" s="19" t="s">
        <v>56</v>
      </c>
      <c r="C114" s="26" t="s">
        <v>883</v>
      </c>
      <c r="D114" s="21" t="s">
        <v>217</v>
      </c>
      <c r="E114" s="22" t="s">
        <v>37</v>
      </c>
      <c r="F114" s="22">
        <f>F115</f>
        <v>36000000000</v>
      </c>
      <c r="G114" s="23">
        <f t="shared" ref="G114:Y116" si="45">G115</f>
        <v>0</v>
      </c>
      <c r="H114" s="23">
        <f t="shared" si="45"/>
        <v>0</v>
      </c>
      <c r="I114" s="23">
        <f t="shared" si="45"/>
        <v>0</v>
      </c>
      <c r="J114" s="23">
        <f t="shared" si="45"/>
        <v>0</v>
      </c>
      <c r="K114" s="23">
        <f t="shared" si="45"/>
        <v>0</v>
      </c>
      <c r="L114" s="22">
        <f t="shared" si="45"/>
        <v>36000000000</v>
      </c>
      <c r="M114" s="23">
        <f t="shared" si="45"/>
        <v>0</v>
      </c>
      <c r="N114" s="23">
        <f t="shared" si="45"/>
        <v>0</v>
      </c>
      <c r="O114" s="23">
        <f t="shared" si="45"/>
        <v>0</v>
      </c>
      <c r="P114" s="23">
        <f t="shared" si="45"/>
        <v>0</v>
      </c>
      <c r="Q114" s="23">
        <f t="shared" si="45"/>
        <v>0</v>
      </c>
      <c r="R114" s="23">
        <f t="shared" si="45"/>
        <v>0</v>
      </c>
      <c r="S114" s="23">
        <f t="shared" si="45"/>
        <v>0</v>
      </c>
      <c r="T114" s="23">
        <f t="shared" si="45"/>
        <v>0</v>
      </c>
      <c r="U114" s="23">
        <f t="shared" si="45"/>
        <v>0</v>
      </c>
      <c r="V114" s="23">
        <f>S114+U114</f>
        <v>0</v>
      </c>
      <c r="W114" s="22">
        <f t="shared" si="45"/>
        <v>36000000000</v>
      </c>
      <c r="X114" s="23">
        <f t="shared" si="45"/>
        <v>0</v>
      </c>
      <c r="Y114" s="23">
        <f t="shared" si="45"/>
        <v>0</v>
      </c>
      <c r="Z114" s="24">
        <f t="shared" si="35"/>
        <v>0</v>
      </c>
    </row>
    <row r="115" spans="1:26" ht="18.75" customHeight="1" x14ac:dyDescent="0.2">
      <c r="A115" s="27" t="s">
        <v>55</v>
      </c>
      <c r="B115" s="27" t="s">
        <v>56</v>
      </c>
      <c r="C115" s="28" t="s">
        <v>218</v>
      </c>
      <c r="D115" s="29" t="s">
        <v>219</v>
      </c>
      <c r="E115" s="30" t="s">
        <v>37</v>
      </c>
      <c r="F115" s="30">
        <f>F116</f>
        <v>36000000000</v>
      </c>
      <c r="G115" s="31">
        <f t="shared" si="45"/>
        <v>0</v>
      </c>
      <c r="H115" s="31">
        <f t="shared" si="45"/>
        <v>0</v>
      </c>
      <c r="I115" s="31">
        <f t="shared" si="45"/>
        <v>0</v>
      </c>
      <c r="J115" s="31">
        <f t="shared" si="45"/>
        <v>0</v>
      </c>
      <c r="K115" s="31">
        <f t="shared" si="45"/>
        <v>0</v>
      </c>
      <c r="L115" s="30">
        <f t="shared" si="45"/>
        <v>36000000000</v>
      </c>
      <c r="M115" s="31">
        <f t="shared" si="45"/>
        <v>0</v>
      </c>
      <c r="N115" s="31">
        <f t="shared" si="45"/>
        <v>0</v>
      </c>
      <c r="O115" s="31">
        <f t="shared" si="45"/>
        <v>0</v>
      </c>
      <c r="P115" s="31">
        <f t="shared" si="45"/>
        <v>0</v>
      </c>
      <c r="Q115" s="31">
        <f t="shared" si="45"/>
        <v>0</v>
      </c>
      <c r="R115" s="31">
        <f t="shared" si="45"/>
        <v>0</v>
      </c>
      <c r="S115" s="31">
        <f t="shared" si="45"/>
        <v>0</v>
      </c>
      <c r="T115" s="31">
        <f t="shared" si="45"/>
        <v>0</v>
      </c>
      <c r="U115" s="31">
        <f t="shared" si="45"/>
        <v>0</v>
      </c>
      <c r="V115" s="31">
        <f t="shared" ref="V115:V119" si="46">S115+U115</f>
        <v>0</v>
      </c>
      <c r="W115" s="30">
        <f t="shared" si="45"/>
        <v>36000000000</v>
      </c>
      <c r="X115" s="31">
        <f t="shared" si="45"/>
        <v>0</v>
      </c>
      <c r="Y115" s="31">
        <f t="shared" si="45"/>
        <v>0</v>
      </c>
      <c r="Z115" s="32">
        <f t="shared" si="35"/>
        <v>0</v>
      </c>
    </row>
    <row r="116" spans="1:26" ht="22.5" customHeight="1" x14ac:dyDescent="0.2">
      <c r="A116" s="27" t="s">
        <v>55</v>
      </c>
      <c r="B116" s="27" t="s">
        <v>56</v>
      </c>
      <c r="C116" s="28" t="s">
        <v>220</v>
      </c>
      <c r="D116" s="29" t="s">
        <v>221</v>
      </c>
      <c r="E116" s="30" t="s">
        <v>37</v>
      </c>
      <c r="F116" s="30">
        <f>F117</f>
        <v>36000000000</v>
      </c>
      <c r="G116" s="31">
        <f t="shared" si="45"/>
        <v>0</v>
      </c>
      <c r="H116" s="31">
        <f t="shared" si="45"/>
        <v>0</v>
      </c>
      <c r="I116" s="31">
        <f t="shared" si="45"/>
        <v>0</v>
      </c>
      <c r="J116" s="31">
        <f t="shared" si="45"/>
        <v>0</v>
      </c>
      <c r="K116" s="31">
        <f t="shared" si="45"/>
        <v>0</v>
      </c>
      <c r="L116" s="30">
        <f t="shared" si="45"/>
        <v>36000000000</v>
      </c>
      <c r="M116" s="31">
        <f t="shared" si="45"/>
        <v>0</v>
      </c>
      <c r="N116" s="31">
        <f t="shared" si="45"/>
        <v>0</v>
      </c>
      <c r="O116" s="31">
        <f t="shared" si="45"/>
        <v>0</v>
      </c>
      <c r="P116" s="31">
        <f t="shared" si="45"/>
        <v>0</v>
      </c>
      <c r="Q116" s="31">
        <f t="shared" si="45"/>
        <v>0</v>
      </c>
      <c r="R116" s="31">
        <f t="shared" si="45"/>
        <v>0</v>
      </c>
      <c r="S116" s="31">
        <f t="shared" si="45"/>
        <v>0</v>
      </c>
      <c r="T116" s="31">
        <f t="shared" si="45"/>
        <v>0</v>
      </c>
      <c r="U116" s="31">
        <f t="shared" si="45"/>
        <v>0</v>
      </c>
      <c r="V116" s="31">
        <f t="shared" si="46"/>
        <v>0</v>
      </c>
      <c r="W116" s="30">
        <f t="shared" si="45"/>
        <v>36000000000</v>
      </c>
      <c r="X116" s="31">
        <f t="shared" si="45"/>
        <v>0</v>
      </c>
      <c r="Y116" s="31">
        <f t="shared" si="45"/>
        <v>0</v>
      </c>
      <c r="Z116" s="32">
        <f t="shared" si="35"/>
        <v>0</v>
      </c>
    </row>
    <row r="117" spans="1:26" ht="27" customHeight="1" x14ac:dyDescent="0.2">
      <c r="A117" s="27" t="s">
        <v>55</v>
      </c>
      <c r="B117" s="27" t="s">
        <v>56</v>
      </c>
      <c r="C117" s="28" t="s">
        <v>222</v>
      </c>
      <c r="D117" s="29" t="s">
        <v>223</v>
      </c>
      <c r="E117" s="30" t="s">
        <v>37</v>
      </c>
      <c r="F117" s="30">
        <f>F118+F119</f>
        <v>36000000000</v>
      </c>
      <c r="G117" s="31">
        <f t="shared" ref="G117:Y117" si="47">G118+G119</f>
        <v>0</v>
      </c>
      <c r="H117" s="31">
        <f t="shared" si="47"/>
        <v>0</v>
      </c>
      <c r="I117" s="31">
        <f t="shared" si="47"/>
        <v>0</v>
      </c>
      <c r="J117" s="31">
        <f t="shared" si="47"/>
        <v>0</v>
      </c>
      <c r="K117" s="31">
        <f t="shared" si="47"/>
        <v>0</v>
      </c>
      <c r="L117" s="30">
        <f t="shared" si="47"/>
        <v>36000000000</v>
      </c>
      <c r="M117" s="31">
        <f t="shared" si="47"/>
        <v>0</v>
      </c>
      <c r="N117" s="31">
        <f t="shared" si="47"/>
        <v>0</v>
      </c>
      <c r="O117" s="31">
        <f t="shared" si="47"/>
        <v>0</v>
      </c>
      <c r="P117" s="31">
        <f t="shared" si="47"/>
        <v>0</v>
      </c>
      <c r="Q117" s="31">
        <f t="shared" si="47"/>
        <v>0</v>
      </c>
      <c r="R117" s="31">
        <f t="shared" si="47"/>
        <v>0</v>
      </c>
      <c r="S117" s="31">
        <f t="shared" si="47"/>
        <v>0</v>
      </c>
      <c r="T117" s="31">
        <f t="shared" si="47"/>
        <v>0</v>
      </c>
      <c r="U117" s="31">
        <f t="shared" si="47"/>
        <v>0</v>
      </c>
      <c r="V117" s="31">
        <f t="shared" si="46"/>
        <v>0</v>
      </c>
      <c r="W117" s="30">
        <f t="shared" si="47"/>
        <v>36000000000</v>
      </c>
      <c r="X117" s="31">
        <f t="shared" si="47"/>
        <v>0</v>
      </c>
      <c r="Y117" s="31">
        <f t="shared" si="47"/>
        <v>0</v>
      </c>
      <c r="Z117" s="32">
        <f t="shared" si="35"/>
        <v>0</v>
      </c>
    </row>
    <row r="118" spans="1:26" ht="18.75" customHeight="1" x14ac:dyDescent="0.2">
      <c r="A118" s="14" t="s">
        <v>55</v>
      </c>
      <c r="B118" s="15" t="s">
        <v>56</v>
      </c>
      <c r="C118" s="16" t="s">
        <v>224</v>
      </c>
      <c r="D118" s="17" t="s">
        <v>225</v>
      </c>
      <c r="E118" s="17" t="s">
        <v>226</v>
      </c>
      <c r="F118" s="18">
        <v>35280000000</v>
      </c>
      <c r="G118" s="34">
        <v>0</v>
      </c>
      <c r="H118" s="34">
        <v>0</v>
      </c>
      <c r="I118" s="34">
        <v>0</v>
      </c>
      <c r="J118" s="34">
        <v>0</v>
      </c>
      <c r="K118" s="34">
        <v>0</v>
      </c>
      <c r="L118" s="18">
        <v>35280000000</v>
      </c>
      <c r="M118" s="34">
        <v>0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1">
        <f t="shared" si="46"/>
        <v>0</v>
      </c>
      <c r="W118" s="18">
        <v>35280000000</v>
      </c>
      <c r="X118" s="34">
        <v>0</v>
      </c>
      <c r="Y118" s="34">
        <v>0</v>
      </c>
      <c r="Z118" s="32">
        <f t="shared" si="35"/>
        <v>0</v>
      </c>
    </row>
    <row r="119" spans="1:26" ht="18.75" customHeight="1" x14ac:dyDescent="0.2">
      <c r="A119" s="14" t="s">
        <v>55</v>
      </c>
      <c r="B119" s="15" t="s">
        <v>56</v>
      </c>
      <c r="C119" s="16" t="s">
        <v>227</v>
      </c>
      <c r="D119" s="17" t="s">
        <v>228</v>
      </c>
      <c r="E119" s="17" t="s">
        <v>226</v>
      </c>
      <c r="F119" s="18">
        <v>720000000</v>
      </c>
      <c r="G119" s="34">
        <v>0</v>
      </c>
      <c r="H119" s="34">
        <v>0</v>
      </c>
      <c r="I119" s="34">
        <v>0</v>
      </c>
      <c r="J119" s="34">
        <v>0</v>
      </c>
      <c r="K119" s="34">
        <v>0</v>
      </c>
      <c r="L119" s="18">
        <v>720000000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1">
        <f t="shared" si="46"/>
        <v>0</v>
      </c>
      <c r="W119" s="18">
        <v>720000000</v>
      </c>
      <c r="X119" s="34">
        <v>0</v>
      </c>
      <c r="Y119" s="34">
        <v>0</v>
      </c>
      <c r="Z119" s="32">
        <f t="shared" si="35"/>
        <v>0</v>
      </c>
    </row>
    <row r="120" spans="1:26" s="25" customFormat="1" ht="18.75" customHeight="1" x14ac:dyDescent="0.2">
      <c r="A120" s="19" t="s">
        <v>55</v>
      </c>
      <c r="B120" s="19" t="s">
        <v>56</v>
      </c>
      <c r="C120" s="26" t="s">
        <v>884</v>
      </c>
      <c r="D120" s="21" t="s">
        <v>229</v>
      </c>
      <c r="E120" s="22" t="s">
        <v>56</v>
      </c>
      <c r="F120" s="22">
        <f>F121</f>
        <v>42253026328</v>
      </c>
      <c r="G120" s="23">
        <f t="shared" ref="G120:Y120" si="48">G121</f>
        <v>0</v>
      </c>
      <c r="H120" s="23">
        <f t="shared" si="48"/>
        <v>0</v>
      </c>
      <c r="I120" s="23">
        <f t="shared" si="48"/>
        <v>0</v>
      </c>
      <c r="J120" s="23">
        <f t="shared" si="48"/>
        <v>0</v>
      </c>
      <c r="K120" s="23">
        <f t="shared" si="48"/>
        <v>0</v>
      </c>
      <c r="L120" s="22">
        <f t="shared" si="48"/>
        <v>42253026328</v>
      </c>
      <c r="M120" s="22">
        <f t="shared" si="48"/>
        <v>0</v>
      </c>
      <c r="N120" s="22">
        <f t="shared" si="48"/>
        <v>2109748202</v>
      </c>
      <c r="O120" s="22">
        <f t="shared" si="48"/>
        <v>2109748202</v>
      </c>
      <c r="P120" s="22">
        <f t="shared" si="48"/>
        <v>0</v>
      </c>
      <c r="Q120" s="22">
        <f t="shared" si="48"/>
        <v>2109748202</v>
      </c>
      <c r="R120" s="22">
        <f t="shared" si="48"/>
        <v>2109748202</v>
      </c>
      <c r="S120" s="22">
        <f t="shared" si="48"/>
        <v>2102053727</v>
      </c>
      <c r="T120" s="22">
        <f t="shared" si="48"/>
        <v>4389015</v>
      </c>
      <c r="U120" s="22">
        <f t="shared" si="48"/>
        <v>4389015</v>
      </c>
      <c r="V120" s="22">
        <f>S120+U120</f>
        <v>2106442742</v>
      </c>
      <c r="W120" s="22">
        <f t="shared" si="48"/>
        <v>40143278126</v>
      </c>
      <c r="X120" s="22">
        <f t="shared" si="48"/>
        <v>0</v>
      </c>
      <c r="Y120" s="22">
        <f t="shared" si="48"/>
        <v>3305460</v>
      </c>
      <c r="Z120" s="24">
        <f t="shared" si="35"/>
        <v>4.9931292154614823E-2</v>
      </c>
    </row>
    <row r="121" spans="1:26" ht="18.75" customHeight="1" x14ac:dyDescent="0.2">
      <c r="A121" s="27" t="s">
        <v>55</v>
      </c>
      <c r="B121" s="27" t="s">
        <v>56</v>
      </c>
      <c r="C121" s="28" t="s">
        <v>885</v>
      </c>
      <c r="D121" s="29" t="s">
        <v>230</v>
      </c>
      <c r="E121" s="30" t="s">
        <v>56</v>
      </c>
      <c r="F121" s="30">
        <f>F122+F127+F130+F132+F133+F134</f>
        <v>42253026328</v>
      </c>
      <c r="G121" s="31">
        <f t="shared" ref="G121:Y121" si="49">G122+G127+G130+G132+G133+G134</f>
        <v>0</v>
      </c>
      <c r="H121" s="31">
        <f t="shared" si="49"/>
        <v>0</v>
      </c>
      <c r="I121" s="31">
        <f t="shared" si="49"/>
        <v>0</v>
      </c>
      <c r="J121" s="31">
        <f t="shared" si="49"/>
        <v>0</v>
      </c>
      <c r="K121" s="31">
        <f t="shared" si="49"/>
        <v>0</v>
      </c>
      <c r="L121" s="30">
        <f t="shared" si="49"/>
        <v>42253026328</v>
      </c>
      <c r="M121" s="31">
        <f t="shared" si="49"/>
        <v>0</v>
      </c>
      <c r="N121" s="30">
        <f t="shared" si="49"/>
        <v>2109748202</v>
      </c>
      <c r="O121" s="30">
        <f t="shared" si="49"/>
        <v>2109748202</v>
      </c>
      <c r="P121" s="31">
        <f t="shared" si="49"/>
        <v>0</v>
      </c>
      <c r="Q121" s="30">
        <f t="shared" si="49"/>
        <v>2109748202</v>
      </c>
      <c r="R121" s="30">
        <f t="shared" si="49"/>
        <v>2109748202</v>
      </c>
      <c r="S121" s="30">
        <f t="shared" si="49"/>
        <v>2102053727</v>
      </c>
      <c r="T121" s="30">
        <f t="shared" si="49"/>
        <v>4389015</v>
      </c>
      <c r="U121" s="30">
        <f t="shared" si="49"/>
        <v>4389015</v>
      </c>
      <c r="V121" s="30">
        <f t="shared" ref="V121:V134" si="50">S121+U121</f>
        <v>2106442742</v>
      </c>
      <c r="W121" s="30">
        <f t="shared" si="49"/>
        <v>40143278126</v>
      </c>
      <c r="X121" s="31">
        <f t="shared" si="49"/>
        <v>0</v>
      </c>
      <c r="Y121" s="30">
        <f t="shared" si="49"/>
        <v>3305460</v>
      </c>
      <c r="Z121" s="32">
        <f t="shared" si="35"/>
        <v>4.9931292154614823E-2</v>
      </c>
    </row>
    <row r="122" spans="1:26" ht="18.75" customHeight="1" x14ac:dyDescent="0.2">
      <c r="A122" s="27" t="s">
        <v>55</v>
      </c>
      <c r="B122" s="27" t="s">
        <v>56</v>
      </c>
      <c r="C122" s="28" t="s">
        <v>886</v>
      </c>
      <c r="D122" s="29" t="s">
        <v>231</v>
      </c>
      <c r="E122" s="30" t="s">
        <v>56</v>
      </c>
      <c r="F122" s="30">
        <f>F123</f>
        <v>40897026328</v>
      </c>
      <c r="G122" s="31">
        <f t="shared" ref="G122:Y122" si="51">G123</f>
        <v>0</v>
      </c>
      <c r="H122" s="31">
        <f t="shared" si="51"/>
        <v>0</v>
      </c>
      <c r="I122" s="31">
        <f t="shared" si="51"/>
        <v>0</v>
      </c>
      <c r="J122" s="31">
        <f t="shared" si="51"/>
        <v>0</v>
      </c>
      <c r="K122" s="31">
        <f t="shared" si="51"/>
        <v>0</v>
      </c>
      <c r="L122" s="30">
        <f t="shared" si="51"/>
        <v>40897026328</v>
      </c>
      <c r="M122" s="31">
        <f t="shared" si="51"/>
        <v>0</v>
      </c>
      <c r="N122" s="30">
        <f t="shared" si="51"/>
        <v>2102053727</v>
      </c>
      <c r="O122" s="30">
        <f t="shared" si="51"/>
        <v>2102053727</v>
      </c>
      <c r="P122" s="31">
        <f t="shared" si="51"/>
        <v>0</v>
      </c>
      <c r="Q122" s="30">
        <f t="shared" si="51"/>
        <v>2102053727</v>
      </c>
      <c r="R122" s="30">
        <f t="shared" si="51"/>
        <v>2102053727</v>
      </c>
      <c r="S122" s="30">
        <f t="shared" si="51"/>
        <v>2102053727</v>
      </c>
      <c r="T122" s="31">
        <f t="shared" si="51"/>
        <v>0</v>
      </c>
      <c r="U122" s="31">
        <f t="shared" si="51"/>
        <v>0</v>
      </c>
      <c r="V122" s="30">
        <f t="shared" si="50"/>
        <v>2102053727</v>
      </c>
      <c r="W122" s="30">
        <f t="shared" si="51"/>
        <v>38794972601</v>
      </c>
      <c r="X122" s="31">
        <f t="shared" si="51"/>
        <v>0</v>
      </c>
      <c r="Y122" s="31">
        <f t="shared" si="51"/>
        <v>0</v>
      </c>
      <c r="Z122" s="32">
        <f t="shared" si="35"/>
        <v>5.139869363951375E-2</v>
      </c>
    </row>
    <row r="123" spans="1:26" ht="29.25" customHeight="1" x14ac:dyDescent="0.2">
      <c r="A123" s="27" t="s">
        <v>55</v>
      </c>
      <c r="B123" s="27" t="s">
        <v>56</v>
      </c>
      <c r="C123" s="28" t="s">
        <v>887</v>
      </c>
      <c r="D123" s="29" t="s">
        <v>232</v>
      </c>
      <c r="E123" s="30" t="s">
        <v>37</v>
      </c>
      <c r="F123" s="30">
        <f>F124+F125+F126</f>
        <v>40897026328</v>
      </c>
      <c r="G123" s="31">
        <f t="shared" ref="G123:Y123" si="52">G124+G125+G126</f>
        <v>0</v>
      </c>
      <c r="H123" s="31">
        <f t="shared" si="52"/>
        <v>0</v>
      </c>
      <c r="I123" s="31">
        <f t="shared" si="52"/>
        <v>0</v>
      </c>
      <c r="J123" s="31">
        <f t="shared" si="52"/>
        <v>0</v>
      </c>
      <c r="K123" s="31">
        <f t="shared" si="52"/>
        <v>0</v>
      </c>
      <c r="L123" s="30">
        <f t="shared" si="52"/>
        <v>40897026328</v>
      </c>
      <c r="M123" s="31">
        <f t="shared" si="52"/>
        <v>0</v>
      </c>
      <c r="N123" s="30">
        <f t="shared" si="52"/>
        <v>2102053727</v>
      </c>
      <c r="O123" s="30">
        <f t="shared" si="52"/>
        <v>2102053727</v>
      </c>
      <c r="P123" s="31">
        <f t="shared" si="52"/>
        <v>0</v>
      </c>
      <c r="Q123" s="30">
        <f t="shared" si="52"/>
        <v>2102053727</v>
      </c>
      <c r="R123" s="30">
        <f t="shared" si="52"/>
        <v>2102053727</v>
      </c>
      <c r="S123" s="30">
        <f t="shared" si="52"/>
        <v>2102053727</v>
      </c>
      <c r="T123" s="31">
        <f t="shared" si="52"/>
        <v>0</v>
      </c>
      <c r="U123" s="31">
        <f t="shared" si="52"/>
        <v>0</v>
      </c>
      <c r="V123" s="30">
        <f t="shared" si="50"/>
        <v>2102053727</v>
      </c>
      <c r="W123" s="30">
        <f t="shared" si="52"/>
        <v>38794972601</v>
      </c>
      <c r="X123" s="31">
        <f t="shared" si="52"/>
        <v>0</v>
      </c>
      <c r="Y123" s="31">
        <f t="shared" si="52"/>
        <v>0</v>
      </c>
      <c r="Z123" s="32">
        <f t="shared" si="35"/>
        <v>5.139869363951375E-2</v>
      </c>
    </row>
    <row r="124" spans="1:26" ht="18.75" customHeight="1" x14ac:dyDescent="0.2">
      <c r="A124" s="14" t="s">
        <v>55</v>
      </c>
      <c r="B124" s="15" t="s">
        <v>56</v>
      </c>
      <c r="C124" s="41" t="s">
        <v>888</v>
      </c>
      <c r="D124" s="17" t="s">
        <v>233</v>
      </c>
      <c r="E124" s="17" t="s">
        <v>58</v>
      </c>
      <c r="F124" s="18">
        <v>28000000000</v>
      </c>
      <c r="G124" s="34">
        <v>0</v>
      </c>
      <c r="H124" s="34">
        <v>0</v>
      </c>
      <c r="I124" s="34">
        <v>0</v>
      </c>
      <c r="J124" s="34">
        <v>0</v>
      </c>
      <c r="K124" s="34">
        <v>0</v>
      </c>
      <c r="L124" s="18">
        <v>28000000000</v>
      </c>
      <c r="M124" s="34">
        <v>0</v>
      </c>
      <c r="N124" s="18">
        <v>0</v>
      </c>
      <c r="O124" s="18">
        <v>0</v>
      </c>
      <c r="P124" s="34">
        <v>0</v>
      </c>
      <c r="Q124" s="18">
        <v>0</v>
      </c>
      <c r="R124" s="18">
        <v>0</v>
      </c>
      <c r="S124" s="18">
        <v>0</v>
      </c>
      <c r="T124" s="34">
        <v>0</v>
      </c>
      <c r="U124" s="34">
        <v>0</v>
      </c>
      <c r="V124" s="30">
        <f t="shared" si="50"/>
        <v>0</v>
      </c>
      <c r="W124" s="18">
        <v>28000000000</v>
      </c>
      <c r="X124" s="34">
        <v>0</v>
      </c>
      <c r="Y124" s="34">
        <v>0</v>
      </c>
      <c r="Z124" s="32">
        <f t="shared" si="35"/>
        <v>0</v>
      </c>
    </row>
    <row r="125" spans="1:26" ht="28.5" customHeight="1" x14ac:dyDescent="0.2">
      <c r="A125" s="4" t="s">
        <v>55</v>
      </c>
      <c r="B125" s="4" t="s">
        <v>56</v>
      </c>
      <c r="C125" s="41" t="s">
        <v>889</v>
      </c>
      <c r="D125" s="42" t="s">
        <v>234</v>
      </c>
      <c r="E125" s="43" t="s">
        <v>235</v>
      </c>
      <c r="F125" s="43">
        <v>10000000000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3">
        <v>10000000000</v>
      </c>
      <c r="M125" s="44">
        <v>0</v>
      </c>
      <c r="N125" s="43">
        <v>1943346327</v>
      </c>
      <c r="O125" s="43">
        <v>1943346327</v>
      </c>
      <c r="P125" s="44">
        <v>0</v>
      </c>
      <c r="Q125" s="43">
        <v>1943346327</v>
      </c>
      <c r="R125" s="43">
        <v>1943346327</v>
      </c>
      <c r="S125" s="43">
        <v>1943346327</v>
      </c>
      <c r="T125" s="44">
        <v>0</v>
      </c>
      <c r="U125" s="44">
        <v>0</v>
      </c>
      <c r="V125" s="30">
        <f t="shared" si="50"/>
        <v>1943346327</v>
      </c>
      <c r="W125" s="43">
        <v>8056653673</v>
      </c>
      <c r="X125" s="44">
        <v>0</v>
      </c>
      <c r="Y125" s="44">
        <v>0</v>
      </c>
      <c r="Z125" s="32">
        <f t="shared" si="35"/>
        <v>0.19433463270000001</v>
      </c>
    </row>
    <row r="126" spans="1:26" ht="27" customHeight="1" x14ac:dyDescent="0.2">
      <c r="A126" s="4" t="s">
        <v>55</v>
      </c>
      <c r="B126" s="4" t="s">
        <v>56</v>
      </c>
      <c r="C126" s="41" t="s">
        <v>890</v>
      </c>
      <c r="D126" s="42" t="s">
        <v>236</v>
      </c>
      <c r="E126" s="38" t="s">
        <v>237</v>
      </c>
      <c r="F126" s="39">
        <v>2897026328</v>
      </c>
      <c r="G126" s="40">
        <v>0</v>
      </c>
      <c r="H126" s="40">
        <v>0</v>
      </c>
      <c r="I126" s="40">
        <v>0</v>
      </c>
      <c r="J126" s="40">
        <v>0</v>
      </c>
      <c r="K126" s="40">
        <v>0</v>
      </c>
      <c r="L126" s="39">
        <v>2897026328</v>
      </c>
      <c r="M126" s="40">
        <v>0</v>
      </c>
      <c r="N126" s="39">
        <v>158707400</v>
      </c>
      <c r="O126" s="39">
        <v>158707400</v>
      </c>
      <c r="P126" s="40">
        <v>0</v>
      </c>
      <c r="Q126" s="39">
        <v>158707400</v>
      </c>
      <c r="R126" s="39">
        <v>158707400</v>
      </c>
      <c r="S126" s="39">
        <v>158707400</v>
      </c>
      <c r="T126" s="40">
        <v>0</v>
      </c>
      <c r="U126" s="40">
        <v>0</v>
      </c>
      <c r="V126" s="30">
        <f t="shared" si="50"/>
        <v>158707400</v>
      </c>
      <c r="W126" s="39">
        <v>2738318928</v>
      </c>
      <c r="X126" s="40">
        <v>0</v>
      </c>
      <c r="Y126" s="40">
        <v>0</v>
      </c>
      <c r="Z126" s="32">
        <f t="shared" si="35"/>
        <v>5.4782864230842436E-2</v>
      </c>
    </row>
    <row r="127" spans="1:26" ht="18.75" customHeight="1" x14ac:dyDescent="0.2">
      <c r="A127" s="27" t="s">
        <v>55</v>
      </c>
      <c r="B127" s="27" t="s">
        <v>56</v>
      </c>
      <c r="C127" s="28" t="s">
        <v>891</v>
      </c>
      <c r="D127" s="29" t="s">
        <v>238</v>
      </c>
      <c r="E127" s="30" t="s">
        <v>37</v>
      </c>
      <c r="F127" s="30">
        <f>F128+F129</f>
        <v>1000000000</v>
      </c>
      <c r="G127" s="31">
        <f t="shared" ref="G127:Y127" si="53">G128+G129</f>
        <v>0</v>
      </c>
      <c r="H127" s="31">
        <f t="shared" si="53"/>
        <v>0</v>
      </c>
      <c r="I127" s="31">
        <f t="shared" si="53"/>
        <v>0</v>
      </c>
      <c r="J127" s="31">
        <f t="shared" si="53"/>
        <v>0</v>
      </c>
      <c r="K127" s="31">
        <f t="shared" si="53"/>
        <v>0</v>
      </c>
      <c r="L127" s="30">
        <f t="shared" si="53"/>
        <v>1000000000</v>
      </c>
      <c r="M127" s="31">
        <f t="shared" si="53"/>
        <v>0</v>
      </c>
      <c r="N127" s="31">
        <f t="shared" si="53"/>
        <v>0</v>
      </c>
      <c r="O127" s="31">
        <f t="shared" si="53"/>
        <v>0</v>
      </c>
      <c r="P127" s="31">
        <f t="shared" si="53"/>
        <v>0</v>
      </c>
      <c r="Q127" s="31">
        <f t="shared" si="53"/>
        <v>0</v>
      </c>
      <c r="R127" s="31">
        <f t="shared" si="53"/>
        <v>0</v>
      </c>
      <c r="S127" s="31">
        <f t="shared" si="53"/>
        <v>0</v>
      </c>
      <c r="T127" s="31">
        <f t="shared" si="53"/>
        <v>0</v>
      </c>
      <c r="U127" s="31">
        <f t="shared" si="53"/>
        <v>0</v>
      </c>
      <c r="V127" s="30">
        <f t="shared" si="50"/>
        <v>0</v>
      </c>
      <c r="W127" s="30">
        <f t="shared" si="53"/>
        <v>1000000000</v>
      </c>
      <c r="X127" s="31">
        <f t="shared" si="53"/>
        <v>0</v>
      </c>
      <c r="Y127" s="31">
        <f t="shared" si="53"/>
        <v>0</v>
      </c>
      <c r="Z127" s="32">
        <f t="shared" si="35"/>
        <v>0</v>
      </c>
    </row>
    <row r="128" spans="1:26" ht="18.75" customHeight="1" x14ac:dyDescent="0.2">
      <c r="A128" s="4" t="s">
        <v>55</v>
      </c>
      <c r="B128" s="4" t="s">
        <v>56</v>
      </c>
      <c r="C128" s="41" t="s">
        <v>893</v>
      </c>
      <c r="D128" s="42" t="s">
        <v>233</v>
      </c>
      <c r="E128" s="43" t="s">
        <v>58</v>
      </c>
      <c r="F128" s="43">
        <v>500000000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3">
        <v>500000000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0</v>
      </c>
      <c r="V128" s="31">
        <f t="shared" si="50"/>
        <v>0</v>
      </c>
      <c r="W128" s="43">
        <v>500000000</v>
      </c>
      <c r="X128" s="44">
        <v>0</v>
      </c>
      <c r="Y128" s="44">
        <v>0</v>
      </c>
      <c r="Z128" s="32">
        <f t="shared" si="35"/>
        <v>0</v>
      </c>
    </row>
    <row r="129" spans="1:26" ht="18.75" customHeight="1" x14ac:dyDescent="0.2">
      <c r="A129" s="4" t="s">
        <v>55</v>
      </c>
      <c r="B129" s="4" t="s">
        <v>56</v>
      </c>
      <c r="C129" s="41" t="s">
        <v>892</v>
      </c>
      <c r="D129" s="42" t="s">
        <v>239</v>
      </c>
      <c r="E129" s="43" t="s">
        <v>240</v>
      </c>
      <c r="F129" s="43">
        <v>500000000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3">
        <v>500000000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44">
        <v>0</v>
      </c>
      <c r="V129" s="31">
        <f t="shared" si="50"/>
        <v>0</v>
      </c>
      <c r="W129" s="43">
        <v>500000000</v>
      </c>
      <c r="X129" s="44">
        <v>0</v>
      </c>
      <c r="Y129" s="44">
        <v>0</v>
      </c>
      <c r="Z129" s="32">
        <f t="shared" si="35"/>
        <v>0</v>
      </c>
    </row>
    <row r="130" spans="1:26" ht="18.75" customHeight="1" x14ac:dyDescent="0.2">
      <c r="A130" s="27" t="s">
        <v>55</v>
      </c>
      <c r="B130" s="27" t="s">
        <v>56</v>
      </c>
      <c r="C130" s="28" t="s">
        <v>894</v>
      </c>
      <c r="D130" s="29" t="s">
        <v>241</v>
      </c>
      <c r="E130" s="30" t="s">
        <v>37</v>
      </c>
      <c r="F130" s="30">
        <f>F131</f>
        <v>80000000</v>
      </c>
      <c r="G130" s="31">
        <f t="shared" ref="G130:Y130" si="54">G131</f>
        <v>0</v>
      </c>
      <c r="H130" s="31">
        <f t="shared" si="54"/>
        <v>0</v>
      </c>
      <c r="I130" s="31">
        <f t="shared" si="54"/>
        <v>0</v>
      </c>
      <c r="J130" s="31">
        <f t="shared" si="54"/>
        <v>0</v>
      </c>
      <c r="K130" s="31">
        <f t="shared" si="54"/>
        <v>0</v>
      </c>
      <c r="L130" s="30">
        <f t="shared" si="54"/>
        <v>80000000</v>
      </c>
      <c r="M130" s="31">
        <f t="shared" si="54"/>
        <v>0</v>
      </c>
      <c r="N130" s="31">
        <f t="shared" si="54"/>
        <v>0</v>
      </c>
      <c r="O130" s="31">
        <f t="shared" si="54"/>
        <v>0</v>
      </c>
      <c r="P130" s="31">
        <f t="shared" si="54"/>
        <v>0</v>
      </c>
      <c r="Q130" s="31">
        <f t="shared" si="54"/>
        <v>0</v>
      </c>
      <c r="R130" s="31">
        <f t="shared" si="54"/>
        <v>0</v>
      </c>
      <c r="S130" s="31">
        <f t="shared" si="54"/>
        <v>0</v>
      </c>
      <c r="T130" s="31">
        <f t="shared" si="54"/>
        <v>0</v>
      </c>
      <c r="U130" s="31">
        <f t="shared" si="54"/>
        <v>0</v>
      </c>
      <c r="V130" s="31">
        <f t="shared" si="50"/>
        <v>0</v>
      </c>
      <c r="W130" s="30">
        <f t="shared" si="54"/>
        <v>80000000</v>
      </c>
      <c r="X130" s="31">
        <f t="shared" si="54"/>
        <v>0</v>
      </c>
      <c r="Y130" s="31">
        <f t="shared" si="54"/>
        <v>0</v>
      </c>
      <c r="Z130" s="32">
        <f t="shared" si="35"/>
        <v>0</v>
      </c>
    </row>
    <row r="131" spans="1:26" ht="18.75" customHeight="1" x14ac:dyDescent="0.2">
      <c r="A131" s="4" t="s">
        <v>55</v>
      </c>
      <c r="B131" s="4" t="s">
        <v>56</v>
      </c>
      <c r="C131" s="41" t="s">
        <v>895</v>
      </c>
      <c r="D131" s="42" t="s">
        <v>242</v>
      </c>
      <c r="E131" s="43" t="s">
        <v>58</v>
      </c>
      <c r="F131" s="43">
        <v>80000000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3">
        <v>80000000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v>0</v>
      </c>
      <c r="S131" s="44">
        <v>0</v>
      </c>
      <c r="T131" s="44">
        <v>0</v>
      </c>
      <c r="U131" s="44">
        <v>0</v>
      </c>
      <c r="V131" s="31">
        <f t="shared" si="50"/>
        <v>0</v>
      </c>
      <c r="W131" s="43">
        <v>80000000</v>
      </c>
      <c r="X131" s="44">
        <v>0</v>
      </c>
      <c r="Y131" s="44">
        <v>0</v>
      </c>
      <c r="Z131" s="32">
        <f t="shared" si="35"/>
        <v>0</v>
      </c>
    </row>
    <row r="132" spans="1:26" ht="18.75" customHeight="1" x14ac:dyDescent="0.2">
      <c r="A132" s="4" t="s">
        <v>55</v>
      </c>
      <c r="B132" s="4" t="s">
        <v>56</v>
      </c>
      <c r="C132" s="41" t="s">
        <v>896</v>
      </c>
      <c r="D132" s="42" t="s">
        <v>243</v>
      </c>
      <c r="E132" s="43" t="s">
        <v>58</v>
      </c>
      <c r="F132" s="43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3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0</v>
      </c>
      <c r="R132" s="44">
        <v>0</v>
      </c>
      <c r="S132" s="44">
        <v>0</v>
      </c>
      <c r="T132" s="44">
        <v>0</v>
      </c>
      <c r="U132" s="44">
        <v>0</v>
      </c>
      <c r="V132" s="31">
        <f t="shared" si="50"/>
        <v>0</v>
      </c>
      <c r="W132" s="43">
        <v>0</v>
      </c>
      <c r="X132" s="44">
        <v>0</v>
      </c>
      <c r="Y132" s="44">
        <v>0</v>
      </c>
      <c r="Z132" s="32">
        <v>0</v>
      </c>
    </row>
    <row r="133" spans="1:26" ht="18.75" customHeight="1" x14ac:dyDescent="0.2">
      <c r="A133" s="4" t="s">
        <v>55</v>
      </c>
      <c r="B133" s="4" t="s">
        <v>56</v>
      </c>
      <c r="C133" s="41" t="s">
        <v>897</v>
      </c>
      <c r="D133" s="42" t="s">
        <v>244</v>
      </c>
      <c r="E133" s="43" t="s">
        <v>58</v>
      </c>
      <c r="F133" s="43">
        <v>10000000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3">
        <v>10000000</v>
      </c>
      <c r="M133" s="44">
        <v>0</v>
      </c>
      <c r="N133" s="43">
        <v>4389015</v>
      </c>
      <c r="O133" s="43">
        <v>4389015</v>
      </c>
      <c r="P133" s="44">
        <v>0</v>
      </c>
      <c r="Q133" s="43">
        <v>4389015</v>
      </c>
      <c r="R133" s="43">
        <v>4389015</v>
      </c>
      <c r="S133" s="44">
        <v>0</v>
      </c>
      <c r="T133" s="43">
        <v>4389015</v>
      </c>
      <c r="U133" s="43">
        <v>4389015</v>
      </c>
      <c r="V133" s="30">
        <f t="shared" si="50"/>
        <v>4389015</v>
      </c>
      <c r="W133" s="43">
        <v>5610985</v>
      </c>
      <c r="X133" s="44">
        <v>0</v>
      </c>
      <c r="Y133" s="44">
        <v>0</v>
      </c>
      <c r="Z133" s="32">
        <f t="shared" si="35"/>
        <v>0.4389015</v>
      </c>
    </row>
    <row r="134" spans="1:26" ht="18.75" customHeight="1" x14ac:dyDescent="0.2">
      <c r="A134" s="4" t="s">
        <v>55</v>
      </c>
      <c r="B134" s="4" t="s">
        <v>56</v>
      </c>
      <c r="C134" s="41" t="s">
        <v>898</v>
      </c>
      <c r="D134" s="42" t="s">
        <v>245</v>
      </c>
      <c r="E134" s="43" t="s">
        <v>58</v>
      </c>
      <c r="F134" s="43">
        <v>266000000</v>
      </c>
      <c r="G134" s="44">
        <v>0</v>
      </c>
      <c r="H134" s="44">
        <v>0</v>
      </c>
      <c r="I134" s="44">
        <v>0</v>
      </c>
      <c r="J134" s="44">
        <v>0</v>
      </c>
      <c r="K134" s="44">
        <v>0</v>
      </c>
      <c r="L134" s="43">
        <v>266000000</v>
      </c>
      <c r="M134" s="44">
        <v>0</v>
      </c>
      <c r="N134" s="43">
        <v>3305460</v>
      </c>
      <c r="O134" s="43">
        <v>3305460</v>
      </c>
      <c r="P134" s="44">
        <v>0</v>
      </c>
      <c r="Q134" s="43">
        <v>3305460</v>
      </c>
      <c r="R134" s="43">
        <v>3305460</v>
      </c>
      <c r="S134" s="44">
        <v>0</v>
      </c>
      <c r="T134" s="44">
        <v>0</v>
      </c>
      <c r="U134" s="44">
        <v>0</v>
      </c>
      <c r="V134" s="31">
        <f t="shared" si="50"/>
        <v>0</v>
      </c>
      <c r="W134" s="43">
        <v>262694540</v>
      </c>
      <c r="X134" s="44">
        <v>0</v>
      </c>
      <c r="Y134" s="43">
        <v>3305460</v>
      </c>
      <c r="Z134" s="32">
        <f t="shared" si="35"/>
        <v>1.2426541353383459E-2</v>
      </c>
    </row>
    <row r="135" spans="1:26" s="25" customFormat="1" ht="18.75" customHeight="1" x14ac:dyDescent="0.2">
      <c r="A135" s="19" t="s">
        <v>55</v>
      </c>
      <c r="B135" s="19" t="s">
        <v>56</v>
      </c>
      <c r="C135" s="26" t="s">
        <v>899</v>
      </c>
      <c r="D135" s="21" t="s">
        <v>246</v>
      </c>
      <c r="E135" s="22" t="s">
        <v>37</v>
      </c>
      <c r="F135" s="22">
        <f>F136</f>
        <v>100000000</v>
      </c>
      <c r="G135" s="23">
        <f t="shared" ref="G135:Y135" si="55">G136</f>
        <v>0</v>
      </c>
      <c r="H135" s="23">
        <f t="shared" si="55"/>
        <v>0</v>
      </c>
      <c r="I135" s="23">
        <f t="shared" si="55"/>
        <v>0</v>
      </c>
      <c r="J135" s="23">
        <f t="shared" si="55"/>
        <v>0</v>
      </c>
      <c r="K135" s="23">
        <f t="shared" si="55"/>
        <v>0</v>
      </c>
      <c r="L135" s="22">
        <f t="shared" si="55"/>
        <v>100000000</v>
      </c>
      <c r="M135" s="23">
        <f t="shared" si="55"/>
        <v>0</v>
      </c>
      <c r="N135" s="22">
        <f t="shared" si="55"/>
        <v>10429000</v>
      </c>
      <c r="O135" s="22">
        <f t="shared" si="55"/>
        <v>10429000</v>
      </c>
      <c r="P135" s="23">
        <f t="shared" si="55"/>
        <v>0</v>
      </c>
      <c r="Q135" s="22">
        <f t="shared" si="55"/>
        <v>4200000</v>
      </c>
      <c r="R135" s="22">
        <f t="shared" si="55"/>
        <v>4200000</v>
      </c>
      <c r="S135" s="23">
        <f t="shared" si="55"/>
        <v>0</v>
      </c>
      <c r="T135" s="22">
        <f t="shared" si="55"/>
        <v>4200000</v>
      </c>
      <c r="U135" s="22">
        <f t="shared" si="55"/>
        <v>4200000</v>
      </c>
      <c r="V135" s="22">
        <f>S135+U135</f>
        <v>4200000</v>
      </c>
      <c r="W135" s="22">
        <f t="shared" si="55"/>
        <v>89571000</v>
      </c>
      <c r="X135" s="22">
        <f t="shared" si="55"/>
        <v>6229000</v>
      </c>
      <c r="Y135" s="23">
        <f t="shared" si="55"/>
        <v>0</v>
      </c>
      <c r="Z135" s="24">
        <f t="shared" si="35"/>
        <v>4.2000000000000003E-2</v>
      </c>
    </row>
    <row r="136" spans="1:26" ht="18.75" customHeight="1" x14ac:dyDescent="0.2">
      <c r="A136" s="27" t="s">
        <v>55</v>
      </c>
      <c r="B136" s="27" t="s">
        <v>56</v>
      </c>
      <c r="C136" s="28" t="s">
        <v>900</v>
      </c>
      <c r="D136" s="29" t="s">
        <v>247</v>
      </c>
      <c r="E136" s="30" t="s">
        <v>37</v>
      </c>
      <c r="F136" s="30">
        <f>F137+F138</f>
        <v>100000000</v>
      </c>
      <c r="G136" s="31">
        <f t="shared" ref="G136:Y136" si="56">G137+G138</f>
        <v>0</v>
      </c>
      <c r="H136" s="31">
        <f t="shared" si="56"/>
        <v>0</v>
      </c>
      <c r="I136" s="31">
        <f t="shared" si="56"/>
        <v>0</v>
      </c>
      <c r="J136" s="31">
        <f t="shared" si="56"/>
        <v>0</v>
      </c>
      <c r="K136" s="31">
        <f t="shared" si="56"/>
        <v>0</v>
      </c>
      <c r="L136" s="30">
        <f t="shared" si="56"/>
        <v>100000000</v>
      </c>
      <c r="M136" s="31">
        <f t="shared" si="56"/>
        <v>0</v>
      </c>
      <c r="N136" s="30">
        <f t="shared" si="56"/>
        <v>10429000</v>
      </c>
      <c r="O136" s="30">
        <f t="shared" si="56"/>
        <v>10429000</v>
      </c>
      <c r="P136" s="31">
        <f t="shared" si="56"/>
        <v>0</v>
      </c>
      <c r="Q136" s="30">
        <f t="shared" si="56"/>
        <v>4200000</v>
      </c>
      <c r="R136" s="30">
        <f t="shared" si="56"/>
        <v>4200000</v>
      </c>
      <c r="S136" s="31">
        <f t="shared" si="56"/>
        <v>0</v>
      </c>
      <c r="T136" s="30">
        <f t="shared" si="56"/>
        <v>4200000</v>
      </c>
      <c r="U136" s="30">
        <f t="shared" si="56"/>
        <v>4200000</v>
      </c>
      <c r="V136" s="30">
        <f t="shared" ref="V136:V138" si="57">S136+U136</f>
        <v>4200000</v>
      </c>
      <c r="W136" s="30">
        <f t="shared" si="56"/>
        <v>89571000</v>
      </c>
      <c r="X136" s="30">
        <f t="shared" si="56"/>
        <v>6229000</v>
      </c>
      <c r="Y136" s="31">
        <f t="shared" si="56"/>
        <v>0</v>
      </c>
      <c r="Z136" s="32">
        <f t="shared" si="35"/>
        <v>4.2000000000000003E-2</v>
      </c>
    </row>
    <row r="137" spans="1:26" ht="18.75" customHeight="1" x14ac:dyDescent="0.2">
      <c r="A137" s="4" t="s">
        <v>55</v>
      </c>
      <c r="B137" s="4" t="s">
        <v>56</v>
      </c>
      <c r="C137" s="41" t="s">
        <v>901</v>
      </c>
      <c r="D137" s="42" t="s">
        <v>248</v>
      </c>
      <c r="E137" s="43" t="s">
        <v>58</v>
      </c>
      <c r="F137" s="43">
        <v>70000000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3">
        <v>70000000</v>
      </c>
      <c r="M137" s="44">
        <v>0</v>
      </c>
      <c r="N137" s="43">
        <v>10429000</v>
      </c>
      <c r="O137" s="43">
        <v>10429000</v>
      </c>
      <c r="P137" s="44">
        <v>0</v>
      </c>
      <c r="Q137" s="43">
        <v>4200000</v>
      </c>
      <c r="R137" s="43">
        <v>4200000</v>
      </c>
      <c r="S137" s="44">
        <v>0</v>
      </c>
      <c r="T137" s="43">
        <v>4200000</v>
      </c>
      <c r="U137" s="43">
        <v>4200000</v>
      </c>
      <c r="V137" s="30">
        <f t="shared" si="57"/>
        <v>4200000</v>
      </c>
      <c r="W137" s="43">
        <v>59571000</v>
      </c>
      <c r="X137" s="43">
        <v>6229000</v>
      </c>
      <c r="Y137" s="44">
        <v>0</v>
      </c>
      <c r="Z137" s="32">
        <f t="shared" si="35"/>
        <v>0.06</v>
      </c>
    </row>
    <row r="138" spans="1:26" ht="18.75" customHeight="1" x14ac:dyDescent="0.2">
      <c r="A138" s="4" t="s">
        <v>55</v>
      </c>
      <c r="B138" s="4" t="s">
        <v>56</v>
      </c>
      <c r="C138" s="41" t="s">
        <v>902</v>
      </c>
      <c r="D138" s="42" t="s">
        <v>249</v>
      </c>
      <c r="E138" s="43" t="s">
        <v>58</v>
      </c>
      <c r="F138" s="43">
        <v>30000000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3">
        <v>30000000</v>
      </c>
      <c r="M138" s="44">
        <v>0</v>
      </c>
      <c r="N138" s="44">
        <v>0</v>
      </c>
      <c r="O138" s="44">
        <v>0</v>
      </c>
      <c r="P138" s="44">
        <v>0</v>
      </c>
      <c r="Q138" s="44">
        <v>0</v>
      </c>
      <c r="R138" s="44">
        <v>0</v>
      </c>
      <c r="S138" s="44">
        <v>0</v>
      </c>
      <c r="T138" s="44">
        <v>0</v>
      </c>
      <c r="U138" s="44">
        <v>0</v>
      </c>
      <c r="V138" s="31">
        <f t="shared" si="57"/>
        <v>0</v>
      </c>
      <c r="W138" s="43">
        <v>30000000</v>
      </c>
      <c r="X138" s="44">
        <v>0</v>
      </c>
      <c r="Y138" s="44">
        <v>0</v>
      </c>
      <c r="Z138" s="32">
        <f t="shared" si="35"/>
        <v>0</v>
      </c>
    </row>
    <row r="139" spans="1:26" s="25" customFormat="1" ht="27.75" customHeight="1" x14ac:dyDescent="0.2">
      <c r="A139" s="19" t="s">
        <v>55</v>
      </c>
      <c r="B139" s="19" t="s">
        <v>56</v>
      </c>
      <c r="C139" s="26" t="s">
        <v>903</v>
      </c>
      <c r="D139" s="21" t="s">
        <v>250</v>
      </c>
      <c r="E139" s="22" t="s">
        <v>37</v>
      </c>
      <c r="F139" s="22">
        <f>F140+F144+F149</f>
        <v>4677993416.5</v>
      </c>
      <c r="G139" s="23">
        <f t="shared" ref="G139:Y139" si="58">G140+G144+G149</f>
        <v>0</v>
      </c>
      <c r="H139" s="23">
        <f t="shared" si="58"/>
        <v>0</v>
      </c>
      <c r="I139" s="23">
        <f t="shared" si="58"/>
        <v>0</v>
      </c>
      <c r="J139" s="23">
        <f t="shared" si="58"/>
        <v>0</v>
      </c>
      <c r="K139" s="23">
        <f t="shared" si="58"/>
        <v>0</v>
      </c>
      <c r="L139" s="22">
        <f t="shared" si="58"/>
        <v>4677993416.5</v>
      </c>
      <c r="M139" s="23">
        <f t="shared" si="58"/>
        <v>0</v>
      </c>
      <c r="N139" s="22">
        <f t="shared" si="58"/>
        <v>374417162</v>
      </c>
      <c r="O139" s="22">
        <f t="shared" si="58"/>
        <v>374417162</v>
      </c>
      <c r="P139" s="22">
        <f t="shared" si="58"/>
        <v>0</v>
      </c>
      <c r="Q139" s="22">
        <f t="shared" si="58"/>
        <v>374417162</v>
      </c>
      <c r="R139" s="22">
        <f t="shared" si="58"/>
        <v>374417162</v>
      </c>
      <c r="S139" s="23">
        <f t="shared" si="58"/>
        <v>0</v>
      </c>
      <c r="T139" s="22">
        <f t="shared" si="58"/>
        <v>374417162</v>
      </c>
      <c r="U139" s="22">
        <f t="shared" si="58"/>
        <v>374417162</v>
      </c>
      <c r="V139" s="22">
        <f>S139+U139</f>
        <v>374417162</v>
      </c>
      <c r="W139" s="22">
        <f t="shared" si="58"/>
        <v>4303576254.5</v>
      </c>
      <c r="X139" s="23">
        <f t="shared" si="58"/>
        <v>0</v>
      </c>
      <c r="Y139" s="23">
        <f t="shared" si="58"/>
        <v>0</v>
      </c>
      <c r="Z139" s="24">
        <f t="shared" si="35"/>
        <v>8.003798395255822E-2</v>
      </c>
    </row>
    <row r="140" spans="1:26" ht="18.75" customHeight="1" x14ac:dyDescent="0.2">
      <c r="A140" s="27" t="s">
        <v>55</v>
      </c>
      <c r="B140" s="27" t="s">
        <v>56</v>
      </c>
      <c r="C140" s="28" t="s">
        <v>904</v>
      </c>
      <c r="D140" s="29" t="s">
        <v>251</v>
      </c>
      <c r="E140" s="30" t="s">
        <v>37</v>
      </c>
      <c r="F140" s="30">
        <f>F141+F142+F143</f>
        <v>100000000</v>
      </c>
      <c r="G140" s="31">
        <f t="shared" ref="G140:Y140" si="59">G141+G142+G143</f>
        <v>0</v>
      </c>
      <c r="H140" s="31">
        <f t="shared" si="59"/>
        <v>0</v>
      </c>
      <c r="I140" s="31">
        <f t="shared" si="59"/>
        <v>0</v>
      </c>
      <c r="J140" s="31">
        <f t="shared" si="59"/>
        <v>0</v>
      </c>
      <c r="K140" s="31">
        <f t="shared" si="59"/>
        <v>0</v>
      </c>
      <c r="L140" s="30">
        <f t="shared" si="59"/>
        <v>100000000</v>
      </c>
      <c r="M140" s="31">
        <f t="shared" si="59"/>
        <v>0</v>
      </c>
      <c r="N140" s="31">
        <f t="shared" si="59"/>
        <v>0</v>
      </c>
      <c r="O140" s="31">
        <f t="shared" si="59"/>
        <v>0</v>
      </c>
      <c r="P140" s="31">
        <f t="shared" si="59"/>
        <v>0</v>
      </c>
      <c r="Q140" s="31">
        <f t="shared" si="59"/>
        <v>0</v>
      </c>
      <c r="R140" s="31">
        <f t="shared" si="59"/>
        <v>0</v>
      </c>
      <c r="S140" s="31">
        <f t="shared" si="59"/>
        <v>0</v>
      </c>
      <c r="T140" s="31">
        <f t="shared" si="59"/>
        <v>0</v>
      </c>
      <c r="U140" s="31">
        <f t="shared" si="59"/>
        <v>0</v>
      </c>
      <c r="V140" s="31">
        <f t="shared" ref="V140:V159" si="60">S140+U140</f>
        <v>0</v>
      </c>
      <c r="W140" s="30">
        <f t="shared" si="59"/>
        <v>100000000</v>
      </c>
      <c r="X140" s="31">
        <f t="shared" si="59"/>
        <v>0</v>
      </c>
      <c r="Y140" s="31">
        <f t="shared" si="59"/>
        <v>0</v>
      </c>
      <c r="Z140" s="32">
        <f t="shared" si="35"/>
        <v>0</v>
      </c>
    </row>
    <row r="141" spans="1:26" ht="18.75" customHeight="1" x14ac:dyDescent="0.2">
      <c r="A141" s="4" t="s">
        <v>55</v>
      </c>
      <c r="B141" s="4" t="s">
        <v>56</v>
      </c>
      <c r="C141" s="41" t="s">
        <v>905</v>
      </c>
      <c r="D141" s="42" t="s">
        <v>252</v>
      </c>
      <c r="E141" s="43" t="s">
        <v>58</v>
      </c>
      <c r="F141" s="43">
        <v>50000000</v>
      </c>
      <c r="G141" s="44">
        <v>0</v>
      </c>
      <c r="H141" s="44">
        <v>0</v>
      </c>
      <c r="I141" s="44">
        <v>0</v>
      </c>
      <c r="J141" s="44">
        <v>0</v>
      </c>
      <c r="K141" s="44">
        <v>0</v>
      </c>
      <c r="L141" s="43">
        <v>50000000</v>
      </c>
      <c r="M141" s="44">
        <v>0</v>
      </c>
      <c r="N141" s="44">
        <v>0</v>
      </c>
      <c r="O141" s="44">
        <v>0</v>
      </c>
      <c r="P141" s="44">
        <v>0</v>
      </c>
      <c r="Q141" s="44">
        <v>0</v>
      </c>
      <c r="R141" s="44">
        <v>0</v>
      </c>
      <c r="S141" s="44">
        <v>0</v>
      </c>
      <c r="T141" s="44">
        <v>0</v>
      </c>
      <c r="U141" s="44">
        <v>0</v>
      </c>
      <c r="V141" s="31">
        <f t="shared" si="60"/>
        <v>0</v>
      </c>
      <c r="W141" s="43">
        <v>50000000</v>
      </c>
      <c r="X141" s="44">
        <v>0</v>
      </c>
      <c r="Y141" s="44">
        <v>0</v>
      </c>
      <c r="Z141" s="32">
        <f t="shared" si="35"/>
        <v>0</v>
      </c>
    </row>
    <row r="142" spans="1:26" ht="18.75" customHeight="1" x14ac:dyDescent="0.2">
      <c r="A142" s="4" t="s">
        <v>55</v>
      </c>
      <c r="B142" s="4" t="s">
        <v>56</v>
      </c>
      <c r="C142" s="41" t="s">
        <v>867</v>
      </c>
      <c r="D142" s="42" t="s">
        <v>253</v>
      </c>
      <c r="E142" s="43" t="s">
        <v>58</v>
      </c>
      <c r="F142" s="43">
        <v>50000000</v>
      </c>
      <c r="G142" s="44">
        <v>0</v>
      </c>
      <c r="H142" s="44">
        <v>0</v>
      </c>
      <c r="I142" s="44">
        <v>0</v>
      </c>
      <c r="J142" s="44">
        <v>0</v>
      </c>
      <c r="K142" s="44">
        <v>0</v>
      </c>
      <c r="L142" s="43">
        <v>50000000</v>
      </c>
      <c r="M142" s="44">
        <v>0</v>
      </c>
      <c r="N142" s="44">
        <v>0</v>
      </c>
      <c r="O142" s="44">
        <v>0</v>
      </c>
      <c r="P142" s="44">
        <v>0</v>
      </c>
      <c r="Q142" s="44">
        <v>0</v>
      </c>
      <c r="R142" s="44">
        <v>0</v>
      </c>
      <c r="S142" s="44">
        <v>0</v>
      </c>
      <c r="T142" s="44">
        <v>0</v>
      </c>
      <c r="U142" s="44">
        <v>0</v>
      </c>
      <c r="V142" s="31">
        <f t="shared" si="60"/>
        <v>0</v>
      </c>
      <c r="W142" s="43">
        <v>50000000</v>
      </c>
      <c r="X142" s="44">
        <v>0</v>
      </c>
      <c r="Y142" s="44">
        <v>0</v>
      </c>
      <c r="Z142" s="32">
        <f t="shared" si="35"/>
        <v>0</v>
      </c>
    </row>
    <row r="143" spans="1:26" ht="18.75" customHeight="1" x14ac:dyDescent="0.2">
      <c r="A143" s="4" t="s">
        <v>55</v>
      </c>
      <c r="B143" s="4" t="s">
        <v>56</v>
      </c>
      <c r="C143" s="41" t="s">
        <v>866</v>
      </c>
      <c r="D143" s="42" t="s">
        <v>254</v>
      </c>
      <c r="E143" s="43" t="s">
        <v>58</v>
      </c>
      <c r="F143" s="43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4">
        <v>0</v>
      </c>
      <c r="R143" s="43">
        <v>0</v>
      </c>
      <c r="S143" s="44">
        <v>0</v>
      </c>
      <c r="T143" s="43">
        <v>0</v>
      </c>
      <c r="U143" s="44">
        <v>0</v>
      </c>
      <c r="V143" s="31">
        <f t="shared" si="60"/>
        <v>0</v>
      </c>
      <c r="W143" s="43">
        <v>0</v>
      </c>
      <c r="X143" s="44">
        <v>0</v>
      </c>
      <c r="Y143" s="43">
        <v>0</v>
      </c>
      <c r="Z143" s="32" t="e">
        <f t="shared" ref="Z143:Z177" si="61">R143/L143</f>
        <v>#DIV/0!</v>
      </c>
    </row>
    <row r="144" spans="1:26" ht="18.75" customHeight="1" x14ac:dyDescent="0.2">
      <c r="A144" s="27" t="s">
        <v>55</v>
      </c>
      <c r="B144" s="27" t="s">
        <v>56</v>
      </c>
      <c r="C144" s="28" t="s">
        <v>865</v>
      </c>
      <c r="D144" s="29" t="s">
        <v>255</v>
      </c>
      <c r="E144" s="30" t="s">
        <v>37</v>
      </c>
      <c r="F144" s="30">
        <f>F145+F148</f>
        <v>4527993416.5</v>
      </c>
      <c r="G144" s="31">
        <f t="shared" ref="G144:Y144" si="62">G145+G148</f>
        <v>0</v>
      </c>
      <c r="H144" s="31">
        <f t="shared" si="62"/>
        <v>0</v>
      </c>
      <c r="I144" s="31">
        <f t="shared" si="62"/>
        <v>0</v>
      </c>
      <c r="J144" s="31">
        <f t="shared" si="62"/>
        <v>0</v>
      </c>
      <c r="K144" s="31">
        <f t="shared" si="62"/>
        <v>0</v>
      </c>
      <c r="L144" s="30">
        <f t="shared" si="62"/>
        <v>4527993416.5</v>
      </c>
      <c r="M144" s="31">
        <f t="shared" si="62"/>
        <v>0</v>
      </c>
      <c r="N144" s="30">
        <f t="shared" si="62"/>
        <v>374417162</v>
      </c>
      <c r="O144" s="30">
        <f t="shared" si="62"/>
        <v>374417162</v>
      </c>
      <c r="P144" s="31">
        <f t="shared" si="62"/>
        <v>0</v>
      </c>
      <c r="Q144" s="30">
        <f t="shared" si="62"/>
        <v>374417162</v>
      </c>
      <c r="R144" s="30">
        <f t="shared" si="62"/>
        <v>374417162</v>
      </c>
      <c r="S144" s="31">
        <f t="shared" si="62"/>
        <v>0</v>
      </c>
      <c r="T144" s="30">
        <f t="shared" si="62"/>
        <v>374417162</v>
      </c>
      <c r="U144" s="30">
        <f t="shared" si="62"/>
        <v>374417162</v>
      </c>
      <c r="V144" s="30">
        <f t="shared" si="60"/>
        <v>374417162</v>
      </c>
      <c r="W144" s="30">
        <f t="shared" si="62"/>
        <v>4153576254.5</v>
      </c>
      <c r="X144" s="31">
        <f t="shared" si="62"/>
        <v>0</v>
      </c>
      <c r="Y144" s="31">
        <f t="shared" si="62"/>
        <v>0</v>
      </c>
      <c r="Z144" s="32">
        <f t="shared" si="61"/>
        <v>8.2689422788386688E-2</v>
      </c>
    </row>
    <row r="145" spans="1:26" ht="18.75" customHeight="1" x14ac:dyDescent="0.2">
      <c r="A145" s="27" t="s">
        <v>55</v>
      </c>
      <c r="B145" s="27" t="s">
        <v>56</v>
      </c>
      <c r="C145" s="28" t="s">
        <v>864</v>
      </c>
      <c r="D145" s="29" t="s">
        <v>256</v>
      </c>
      <c r="E145" s="30" t="s">
        <v>37</v>
      </c>
      <c r="F145" s="30">
        <f>F146+F147</f>
        <v>4477993416.5</v>
      </c>
      <c r="G145" s="31">
        <f t="shared" ref="G145:Y145" si="63">G146+G147</f>
        <v>0</v>
      </c>
      <c r="H145" s="31">
        <f t="shared" si="63"/>
        <v>0</v>
      </c>
      <c r="I145" s="31">
        <f t="shared" si="63"/>
        <v>0</v>
      </c>
      <c r="J145" s="31">
        <f t="shared" si="63"/>
        <v>0</v>
      </c>
      <c r="K145" s="31">
        <f t="shared" si="63"/>
        <v>0</v>
      </c>
      <c r="L145" s="30">
        <f t="shared" si="63"/>
        <v>4477993416.5</v>
      </c>
      <c r="M145" s="31">
        <f t="shared" si="63"/>
        <v>0</v>
      </c>
      <c r="N145" s="30">
        <f t="shared" si="63"/>
        <v>373166118</v>
      </c>
      <c r="O145" s="30">
        <f t="shared" si="63"/>
        <v>373166118</v>
      </c>
      <c r="P145" s="31">
        <f t="shared" si="63"/>
        <v>0</v>
      </c>
      <c r="Q145" s="30">
        <f t="shared" si="63"/>
        <v>373166118</v>
      </c>
      <c r="R145" s="30">
        <f t="shared" si="63"/>
        <v>373166118</v>
      </c>
      <c r="S145" s="31">
        <f t="shared" si="63"/>
        <v>0</v>
      </c>
      <c r="T145" s="30">
        <f t="shared" si="63"/>
        <v>373166118</v>
      </c>
      <c r="U145" s="30">
        <f t="shared" si="63"/>
        <v>373166118</v>
      </c>
      <c r="V145" s="30">
        <f t="shared" si="60"/>
        <v>373166118</v>
      </c>
      <c r="W145" s="30">
        <f t="shared" si="63"/>
        <v>4104827298.5</v>
      </c>
      <c r="X145" s="31">
        <f t="shared" si="63"/>
        <v>0</v>
      </c>
      <c r="Y145" s="31">
        <f t="shared" si="63"/>
        <v>0</v>
      </c>
      <c r="Z145" s="32">
        <f t="shared" si="61"/>
        <v>8.3333333324028577E-2</v>
      </c>
    </row>
    <row r="146" spans="1:26" ht="18.75" customHeight="1" x14ac:dyDescent="0.2">
      <c r="A146" s="4" t="s">
        <v>55</v>
      </c>
      <c r="B146" s="4" t="s">
        <v>56</v>
      </c>
      <c r="C146" s="41" t="s">
        <v>863</v>
      </c>
      <c r="D146" s="42" t="s">
        <v>233</v>
      </c>
      <c r="E146" s="43" t="s">
        <v>58</v>
      </c>
      <c r="F146" s="43">
        <v>3177230763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3">
        <v>3177230763</v>
      </c>
      <c r="M146" s="44">
        <v>0</v>
      </c>
      <c r="N146" s="43">
        <v>264769230</v>
      </c>
      <c r="O146" s="43">
        <v>264769230</v>
      </c>
      <c r="P146" s="44">
        <v>0</v>
      </c>
      <c r="Q146" s="43">
        <v>264769230</v>
      </c>
      <c r="R146" s="43">
        <v>264769230</v>
      </c>
      <c r="S146" s="44">
        <v>0</v>
      </c>
      <c r="T146" s="43">
        <v>264769230</v>
      </c>
      <c r="U146" s="43">
        <v>264769230</v>
      </c>
      <c r="V146" s="30">
        <f t="shared" si="60"/>
        <v>264769230</v>
      </c>
      <c r="W146" s="43">
        <v>2912461533</v>
      </c>
      <c r="X146" s="44">
        <v>0</v>
      </c>
      <c r="Y146" s="44">
        <v>0</v>
      </c>
      <c r="Z146" s="32">
        <f t="shared" si="61"/>
        <v>8.3333333254648465E-2</v>
      </c>
    </row>
    <row r="147" spans="1:26" ht="18.75" customHeight="1" x14ac:dyDescent="0.2">
      <c r="A147" s="4" t="s">
        <v>55</v>
      </c>
      <c r="B147" s="4" t="s">
        <v>56</v>
      </c>
      <c r="C147" s="41" t="s">
        <v>862</v>
      </c>
      <c r="D147" s="42" t="s">
        <v>257</v>
      </c>
      <c r="E147" s="43" t="s">
        <v>258</v>
      </c>
      <c r="F147" s="43">
        <v>1300762653.5</v>
      </c>
      <c r="G147" s="44">
        <v>0</v>
      </c>
      <c r="H147" s="44">
        <v>0</v>
      </c>
      <c r="I147" s="44">
        <v>0</v>
      </c>
      <c r="J147" s="44">
        <v>0</v>
      </c>
      <c r="K147" s="44">
        <v>0</v>
      </c>
      <c r="L147" s="43">
        <v>1300762653.5</v>
      </c>
      <c r="M147" s="44">
        <v>0</v>
      </c>
      <c r="N147" s="43">
        <v>108396888</v>
      </c>
      <c r="O147" s="43">
        <v>108396888</v>
      </c>
      <c r="P147" s="44">
        <v>0</v>
      </c>
      <c r="Q147" s="43">
        <v>108396888</v>
      </c>
      <c r="R147" s="43">
        <v>108396888</v>
      </c>
      <c r="S147" s="44">
        <v>0</v>
      </c>
      <c r="T147" s="43">
        <v>108396888</v>
      </c>
      <c r="U147" s="43">
        <v>108396888</v>
      </c>
      <c r="V147" s="30">
        <f t="shared" si="60"/>
        <v>108396888</v>
      </c>
      <c r="W147" s="43">
        <v>1192365765.5</v>
      </c>
      <c r="X147" s="44">
        <v>0</v>
      </c>
      <c r="Y147" s="44">
        <v>0</v>
      </c>
      <c r="Z147" s="32">
        <f t="shared" si="61"/>
        <v>8.3333333493495781E-2</v>
      </c>
    </row>
    <row r="148" spans="1:26" ht="18.75" customHeight="1" x14ac:dyDescent="0.2">
      <c r="A148" s="4" t="s">
        <v>55</v>
      </c>
      <c r="B148" s="4" t="s">
        <v>56</v>
      </c>
      <c r="C148" s="41" t="s">
        <v>861</v>
      </c>
      <c r="D148" s="42" t="s">
        <v>259</v>
      </c>
      <c r="E148" s="43" t="s">
        <v>58</v>
      </c>
      <c r="F148" s="43">
        <v>50000000</v>
      </c>
      <c r="G148" s="44">
        <v>0</v>
      </c>
      <c r="H148" s="44">
        <v>0</v>
      </c>
      <c r="I148" s="44">
        <v>0</v>
      </c>
      <c r="J148" s="44">
        <v>0</v>
      </c>
      <c r="K148" s="44">
        <v>0</v>
      </c>
      <c r="L148" s="43">
        <v>50000000</v>
      </c>
      <c r="M148" s="44">
        <v>0</v>
      </c>
      <c r="N148" s="43">
        <v>1251044</v>
      </c>
      <c r="O148" s="43">
        <v>1251044</v>
      </c>
      <c r="P148" s="44">
        <v>0</v>
      </c>
      <c r="Q148" s="43">
        <v>1251044</v>
      </c>
      <c r="R148" s="43">
        <v>1251044</v>
      </c>
      <c r="S148" s="44">
        <v>0</v>
      </c>
      <c r="T148" s="43">
        <v>1251044</v>
      </c>
      <c r="U148" s="43">
        <v>1251044</v>
      </c>
      <c r="V148" s="30">
        <f t="shared" si="60"/>
        <v>1251044</v>
      </c>
      <c r="W148" s="43">
        <v>48748956</v>
      </c>
      <c r="X148" s="44">
        <v>0</v>
      </c>
      <c r="Y148" s="44">
        <v>0</v>
      </c>
      <c r="Z148" s="32">
        <f t="shared" si="61"/>
        <v>2.5020879999999999E-2</v>
      </c>
    </row>
    <row r="149" spans="1:26" ht="18.75" customHeight="1" x14ac:dyDescent="0.2">
      <c r="A149" s="27" t="s">
        <v>55</v>
      </c>
      <c r="B149" s="27" t="s">
        <v>56</v>
      </c>
      <c r="C149" s="28" t="s">
        <v>860</v>
      </c>
      <c r="D149" s="29" t="s">
        <v>260</v>
      </c>
      <c r="E149" s="30" t="s">
        <v>37</v>
      </c>
      <c r="F149" s="30">
        <f>F150+F152</f>
        <v>50000000</v>
      </c>
      <c r="G149" s="31">
        <f t="shared" ref="G149:Y149" si="64">G150+G152</f>
        <v>0</v>
      </c>
      <c r="H149" s="31">
        <f t="shared" si="64"/>
        <v>0</v>
      </c>
      <c r="I149" s="31">
        <f t="shared" si="64"/>
        <v>0</v>
      </c>
      <c r="J149" s="31">
        <f t="shared" si="64"/>
        <v>0</v>
      </c>
      <c r="K149" s="31">
        <f t="shared" si="64"/>
        <v>0</v>
      </c>
      <c r="L149" s="30">
        <f t="shared" si="64"/>
        <v>50000000</v>
      </c>
      <c r="M149" s="31">
        <f t="shared" si="64"/>
        <v>0</v>
      </c>
      <c r="N149" s="31">
        <f t="shared" si="64"/>
        <v>0</v>
      </c>
      <c r="O149" s="31">
        <f t="shared" si="64"/>
        <v>0</v>
      </c>
      <c r="P149" s="31">
        <f t="shared" si="64"/>
        <v>0</v>
      </c>
      <c r="Q149" s="31">
        <f t="shared" si="64"/>
        <v>0</v>
      </c>
      <c r="R149" s="31">
        <f t="shared" si="64"/>
        <v>0</v>
      </c>
      <c r="S149" s="31">
        <f t="shared" si="64"/>
        <v>0</v>
      </c>
      <c r="T149" s="31">
        <f t="shared" si="64"/>
        <v>0</v>
      </c>
      <c r="U149" s="31">
        <f t="shared" si="64"/>
        <v>0</v>
      </c>
      <c r="V149" s="31">
        <f t="shared" si="60"/>
        <v>0</v>
      </c>
      <c r="W149" s="30">
        <f t="shared" si="64"/>
        <v>50000000</v>
      </c>
      <c r="X149" s="31">
        <f t="shared" si="64"/>
        <v>0</v>
      </c>
      <c r="Y149" s="31">
        <f t="shared" si="64"/>
        <v>0</v>
      </c>
      <c r="Z149" s="32">
        <f t="shared" si="61"/>
        <v>0</v>
      </c>
    </row>
    <row r="150" spans="1:26" ht="18.75" customHeight="1" x14ac:dyDescent="0.2">
      <c r="A150" s="27" t="s">
        <v>55</v>
      </c>
      <c r="B150" s="27" t="s">
        <v>56</v>
      </c>
      <c r="C150" s="28" t="s">
        <v>859</v>
      </c>
      <c r="D150" s="29" t="s">
        <v>261</v>
      </c>
      <c r="E150" s="30" t="s">
        <v>37</v>
      </c>
      <c r="F150" s="30">
        <f>F151</f>
        <v>10000000</v>
      </c>
      <c r="G150" s="31">
        <f t="shared" ref="G150:Y150" si="65">G151</f>
        <v>0</v>
      </c>
      <c r="H150" s="31">
        <f t="shared" si="65"/>
        <v>0</v>
      </c>
      <c r="I150" s="31">
        <f t="shared" si="65"/>
        <v>0</v>
      </c>
      <c r="J150" s="31">
        <f t="shared" si="65"/>
        <v>0</v>
      </c>
      <c r="K150" s="31">
        <f t="shared" si="65"/>
        <v>0</v>
      </c>
      <c r="L150" s="30">
        <f t="shared" si="65"/>
        <v>10000000</v>
      </c>
      <c r="M150" s="31">
        <f t="shared" si="65"/>
        <v>0</v>
      </c>
      <c r="N150" s="31">
        <f t="shared" si="65"/>
        <v>0</v>
      </c>
      <c r="O150" s="31">
        <f t="shared" si="65"/>
        <v>0</v>
      </c>
      <c r="P150" s="31">
        <f t="shared" si="65"/>
        <v>0</v>
      </c>
      <c r="Q150" s="31">
        <f t="shared" si="65"/>
        <v>0</v>
      </c>
      <c r="R150" s="31">
        <f t="shared" si="65"/>
        <v>0</v>
      </c>
      <c r="S150" s="31">
        <f t="shared" si="65"/>
        <v>0</v>
      </c>
      <c r="T150" s="31">
        <f t="shared" si="65"/>
        <v>0</v>
      </c>
      <c r="U150" s="31">
        <f t="shared" si="65"/>
        <v>0</v>
      </c>
      <c r="V150" s="31">
        <f t="shared" si="60"/>
        <v>0</v>
      </c>
      <c r="W150" s="30">
        <f t="shared" si="65"/>
        <v>10000000</v>
      </c>
      <c r="X150" s="31">
        <f t="shared" si="65"/>
        <v>0</v>
      </c>
      <c r="Y150" s="31">
        <f t="shared" si="65"/>
        <v>0</v>
      </c>
      <c r="Z150" s="32">
        <f t="shared" si="61"/>
        <v>0</v>
      </c>
    </row>
    <row r="151" spans="1:26" ht="18.75" customHeight="1" x14ac:dyDescent="0.2">
      <c r="A151" s="4" t="s">
        <v>55</v>
      </c>
      <c r="B151" s="4" t="s">
        <v>56</v>
      </c>
      <c r="C151" s="41" t="s">
        <v>858</v>
      </c>
      <c r="D151" s="42" t="s">
        <v>262</v>
      </c>
      <c r="E151" s="43" t="s">
        <v>58</v>
      </c>
      <c r="F151" s="43">
        <v>10000000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3">
        <v>10000000</v>
      </c>
      <c r="M151" s="44">
        <v>0</v>
      </c>
      <c r="N151" s="44">
        <v>0</v>
      </c>
      <c r="O151" s="44">
        <v>0</v>
      </c>
      <c r="P151" s="44">
        <v>0</v>
      </c>
      <c r="Q151" s="44">
        <v>0</v>
      </c>
      <c r="R151" s="44">
        <v>0</v>
      </c>
      <c r="S151" s="44">
        <v>0</v>
      </c>
      <c r="T151" s="44">
        <v>0</v>
      </c>
      <c r="U151" s="44">
        <v>0</v>
      </c>
      <c r="V151" s="31">
        <f t="shared" si="60"/>
        <v>0</v>
      </c>
      <c r="W151" s="43">
        <v>10000000</v>
      </c>
      <c r="X151" s="44">
        <v>0</v>
      </c>
      <c r="Y151" s="44">
        <v>0</v>
      </c>
      <c r="Z151" s="32">
        <f t="shared" si="61"/>
        <v>0</v>
      </c>
    </row>
    <row r="152" spans="1:26" ht="18.75" customHeight="1" x14ac:dyDescent="0.2">
      <c r="A152" s="4" t="s">
        <v>55</v>
      </c>
      <c r="B152" s="4" t="s">
        <v>56</v>
      </c>
      <c r="C152" s="41" t="s">
        <v>857</v>
      </c>
      <c r="D152" s="42" t="s">
        <v>263</v>
      </c>
      <c r="E152" s="43" t="s">
        <v>58</v>
      </c>
      <c r="F152" s="43">
        <v>40000000</v>
      </c>
      <c r="G152" s="44">
        <v>0</v>
      </c>
      <c r="H152" s="44">
        <v>0</v>
      </c>
      <c r="I152" s="44">
        <v>0</v>
      </c>
      <c r="J152" s="44">
        <v>0</v>
      </c>
      <c r="K152" s="44">
        <v>0</v>
      </c>
      <c r="L152" s="43">
        <v>40000000</v>
      </c>
      <c r="M152" s="44">
        <v>0</v>
      </c>
      <c r="N152" s="44">
        <v>0</v>
      </c>
      <c r="O152" s="44">
        <v>0</v>
      </c>
      <c r="P152" s="44">
        <v>0</v>
      </c>
      <c r="Q152" s="44">
        <v>0</v>
      </c>
      <c r="R152" s="44">
        <v>0</v>
      </c>
      <c r="S152" s="44">
        <v>0</v>
      </c>
      <c r="T152" s="43">
        <v>0</v>
      </c>
      <c r="U152" s="44">
        <v>0</v>
      </c>
      <c r="V152" s="31">
        <f t="shared" si="60"/>
        <v>0</v>
      </c>
      <c r="W152" s="43">
        <v>40000000</v>
      </c>
      <c r="X152" s="44">
        <v>0</v>
      </c>
      <c r="Y152" s="44">
        <v>0</v>
      </c>
      <c r="Z152" s="32">
        <f t="shared" si="61"/>
        <v>0</v>
      </c>
    </row>
    <row r="153" spans="1:26" s="25" customFormat="1" ht="18.75" customHeight="1" x14ac:dyDescent="0.2">
      <c r="A153" s="19" t="s">
        <v>49</v>
      </c>
      <c r="B153" s="19" t="s">
        <v>50</v>
      </c>
      <c r="C153" s="26" t="s">
        <v>856</v>
      </c>
      <c r="D153" s="21" t="s">
        <v>264</v>
      </c>
      <c r="E153" s="22" t="s">
        <v>37</v>
      </c>
      <c r="F153" s="22">
        <f>F154</f>
        <v>58452467165</v>
      </c>
      <c r="G153" s="23">
        <f t="shared" ref="G153:Y153" si="66">G154</f>
        <v>0</v>
      </c>
      <c r="H153" s="23">
        <f t="shared" si="66"/>
        <v>0</v>
      </c>
      <c r="I153" s="23">
        <f t="shared" si="66"/>
        <v>0</v>
      </c>
      <c r="J153" s="23">
        <f t="shared" si="66"/>
        <v>0</v>
      </c>
      <c r="K153" s="23">
        <f t="shared" si="66"/>
        <v>0</v>
      </c>
      <c r="L153" s="22">
        <f t="shared" si="66"/>
        <v>58452467165</v>
      </c>
      <c r="M153" s="23">
        <f t="shared" si="66"/>
        <v>0</v>
      </c>
      <c r="N153" s="22">
        <f t="shared" si="66"/>
        <v>2948846505.9300003</v>
      </c>
      <c r="O153" s="22">
        <f t="shared" si="66"/>
        <v>2948846505.9300003</v>
      </c>
      <c r="P153" s="23">
        <f t="shared" si="66"/>
        <v>0</v>
      </c>
      <c r="Q153" s="22">
        <f t="shared" si="66"/>
        <v>2948846505.9300003</v>
      </c>
      <c r="R153" s="22">
        <f t="shared" si="66"/>
        <v>2948846505.9300003</v>
      </c>
      <c r="S153" s="23">
        <f t="shared" si="66"/>
        <v>0</v>
      </c>
      <c r="T153" s="22">
        <f t="shared" si="66"/>
        <v>2792760457.9099998</v>
      </c>
      <c r="U153" s="22">
        <f t="shared" si="66"/>
        <v>2792760457.9099998</v>
      </c>
      <c r="V153" s="22">
        <f t="shared" si="60"/>
        <v>2792760457.9099998</v>
      </c>
      <c r="W153" s="22">
        <f t="shared" si="66"/>
        <v>55503620659.07</v>
      </c>
      <c r="X153" s="23">
        <f t="shared" si="66"/>
        <v>0</v>
      </c>
      <c r="Y153" s="22">
        <f t="shared" si="66"/>
        <v>156086048.02000001</v>
      </c>
      <c r="Z153" s="24">
        <f t="shared" si="61"/>
        <v>5.0448623453411771E-2</v>
      </c>
    </row>
    <row r="154" spans="1:26" s="25" customFormat="1" ht="18.75" customHeight="1" x14ac:dyDescent="0.2">
      <c r="A154" s="19" t="s">
        <v>55</v>
      </c>
      <c r="B154" s="19" t="s">
        <v>56</v>
      </c>
      <c r="C154" s="26" t="s">
        <v>855</v>
      </c>
      <c r="D154" s="21" t="s">
        <v>265</v>
      </c>
      <c r="E154" s="22" t="s">
        <v>37</v>
      </c>
      <c r="F154" s="22">
        <f>F155+F165+F170+F160+F169</f>
        <v>58452467165</v>
      </c>
      <c r="G154" s="23">
        <f t="shared" ref="G154:Y154" si="67">G155+G165+G170+G160+G169</f>
        <v>0</v>
      </c>
      <c r="H154" s="23">
        <f t="shared" si="67"/>
        <v>0</v>
      </c>
      <c r="I154" s="23">
        <f t="shared" si="67"/>
        <v>0</v>
      </c>
      <c r="J154" s="23">
        <f t="shared" si="67"/>
        <v>0</v>
      </c>
      <c r="K154" s="23">
        <f t="shared" si="67"/>
        <v>0</v>
      </c>
      <c r="L154" s="22">
        <f t="shared" si="67"/>
        <v>58452467165</v>
      </c>
      <c r="M154" s="23">
        <f t="shared" si="67"/>
        <v>0</v>
      </c>
      <c r="N154" s="22">
        <f t="shared" si="67"/>
        <v>2948846505.9300003</v>
      </c>
      <c r="O154" s="22">
        <f t="shared" si="67"/>
        <v>2948846505.9300003</v>
      </c>
      <c r="P154" s="23">
        <f t="shared" si="67"/>
        <v>0</v>
      </c>
      <c r="Q154" s="22">
        <f t="shared" si="67"/>
        <v>2948846505.9300003</v>
      </c>
      <c r="R154" s="22">
        <f t="shared" si="67"/>
        <v>2948846505.9300003</v>
      </c>
      <c r="S154" s="23">
        <f t="shared" si="67"/>
        <v>0</v>
      </c>
      <c r="T154" s="22">
        <f t="shared" si="67"/>
        <v>2792760457.9099998</v>
      </c>
      <c r="U154" s="22">
        <f t="shared" si="67"/>
        <v>2792760457.9099998</v>
      </c>
      <c r="V154" s="22">
        <f t="shared" si="60"/>
        <v>2792760457.9099998</v>
      </c>
      <c r="W154" s="22">
        <f t="shared" si="67"/>
        <v>55503620659.07</v>
      </c>
      <c r="X154" s="23">
        <f t="shared" si="67"/>
        <v>0</v>
      </c>
      <c r="Y154" s="22">
        <f t="shared" si="67"/>
        <v>156086048.02000001</v>
      </c>
      <c r="Z154" s="24">
        <f t="shared" si="61"/>
        <v>5.0448623453411771E-2</v>
      </c>
    </row>
    <row r="155" spans="1:26" s="25" customFormat="1" ht="18.75" customHeight="1" x14ac:dyDescent="0.2">
      <c r="A155" s="19" t="s">
        <v>37</v>
      </c>
      <c r="B155" s="19" t="s">
        <v>37</v>
      </c>
      <c r="C155" s="26" t="s">
        <v>854</v>
      </c>
      <c r="D155" s="21" t="s">
        <v>266</v>
      </c>
      <c r="E155" s="22" t="s">
        <v>37</v>
      </c>
      <c r="F155" s="22">
        <f>F156</f>
        <v>28000000000.57</v>
      </c>
      <c r="G155" s="23">
        <f t="shared" ref="G155:Y158" si="68">G156</f>
        <v>0</v>
      </c>
      <c r="H155" s="23">
        <f t="shared" si="68"/>
        <v>0</v>
      </c>
      <c r="I155" s="23">
        <f t="shared" si="68"/>
        <v>0</v>
      </c>
      <c r="J155" s="23">
        <f t="shared" si="68"/>
        <v>0</v>
      </c>
      <c r="K155" s="23">
        <f t="shared" si="68"/>
        <v>0</v>
      </c>
      <c r="L155" s="22">
        <f t="shared" si="68"/>
        <v>28000000000.57</v>
      </c>
      <c r="M155" s="23">
        <f t="shared" si="68"/>
        <v>0</v>
      </c>
      <c r="N155" s="22">
        <f t="shared" si="68"/>
        <v>1859656610.78</v>
      </c>
      <c r="O155" s="22">
        <f t="shared" si="68"/>
        <v>1859656610.78</v>
      </c>
      <c r="P155" s="23">
        <f t="shared" si="68"/>
        <v>0</v>
      </c>
      <c r="Q155" s="22">
        <f t="shared" si="68"/>
        <v>1859656610.78</v>
      </c>
      <c r="R155" s="22">
        <f t="shared" si="68"/>
        <v>1859656610.78</v>
      </c>
      <c r="S155" s="23">
        <f t="shared" si="68"/>
        <v>0</v>
      </c>
      <c r="T155" s="22">
        <f t="shared" si="68"/>
        <v>1749851882.97</v>
      </c>
      <c r="U155" s="22">
        <f t="shared" si="68"/>
        <v>1749851882.97</v>
      </c>
      <c r="V155" s="22">
        <f t="shared" si="60"/>
        <v>1749851882.97</v>
      </c>
      <c r="W155" s="22">
        <f t="shared" si="68"/>
        <v>26140343389.790001</v>
      </c>
      <c r="X155" s="23">
        <f t="shared" si="68"/>
        <v>0</v>
      </c>
      <c r="Y155" s="22">
        <f t="shared" si="68"/>
        <v>109804727.81</v>
      </c>
      <c r="Z155" s="24">
        <f t="shared" si="61"/>
        <v>6.6416307526505097E-2</v>
      </c>
    </row>
    <row r="156" spans="1:26" ht="18.75" customHeight="1" x14ac:dyDescent="0.2">
      <c r="A156" s="27" t="s">
        <v>37</v>
      </c>
      <c r="B156" s="27" t="s">
        <v>37</v>
      </c>
      <c r="C156" s="28" t="s">
        <v>853</v>
      </c>
      <c r="D156" s="29" t="s">
        <v>267</v>
      </c>
      <c r="E156" s="30" t="s">
        <v>37</v>
      </c>
      <c r="F156" s="30">
        <f>F157</f>
        <v>28000000000.57</v>
      </c>
      <c r="G156" s="31">
        <f t="shared" si="68"/>
        <v>0</v>
      </c>
      <c r="H156" s="31">
        <f t="shared" si="68"/>
        <v>0</v>
      </c>
      <c r="I156" s="31">
        <f t="shared" si="68"/>
        <v>0</v>
      </c>
      <c r="J156" s="31">
        <f t="shared" si="68"/>
        <v>0</v>
      </c>
      <c r="K156" s="31">
        <f t="shared" si="68"/>
        <v>0</v>
      </c>
      <c r="L156" s="30">
        <f t="shared" si="68"/>
        <v>28000000000.57</v>
      </c>
      <c r="M156" s="31">
        <f t="shared" si="68"/>
        <v>0</v>
      </c>
      <c r="N156" s="30">
        <f t="shared" si="68"/>
        <v>1859656610.78</v>
      </c>
      <c r="O156" s="30">
        <f t="shared" si="68"/>
        <v>1859656610.78</v>
      </c>
      <c r="P156" s="31">
        <f t="shared" si="68"/>
        <v>0</v>
      </c>
      <c r="Q156" s="30">
        <f t="shared" si="68"/>
        <v>1859656610.78</v>
      </c>
      <c r="R156" s="30">
        <f t="shared" si="68"/>
        <v>1859656610.78</v>
      </c>
      <c r="S156" s="31">
        <f t="shared" si="68"/>
        <v>0</v>
      </c>
      <c r="T156" s="30">
        <f t="shared" si="68"/>
        <v>1749851882.97</v>
      </c>
      <c r="U156" s="30">
        <f t="shared" si="68"/>
        <v>1749851882.97</v>
      </c>
      <c r="V156" s="30">
        <f t="shared" si="60"/>
        <v>1749851882.97</v>
      </c>
      <c r="W156" s="30">
        <f t="shared" si="68"/>
        <v>26140343389.790001</v>
      </c>
      <c r="X156" s="31">
        <f t="shared" si="68"/>
        <v>0</v>
      </c>
      <c r="Y156" s="30">
        <f t="shared" si="68"/>
        <v>109804727.81</v>
      </c>
      <c r="Z156" s="32">
        <f t="shared" si="61"/>
        <v>6.6416307526505097E-2</v>
      </c>
    </row>
    <row r="157" spans="1:26" ht="18.75" customHeight="1" x14ac:dyDescent="0.2">
      <c r="A157" s="27" t="s">
        <v>37</v>
      </c>
      <c r="B157" s="27" t="s">
        <v>37</v>
      </c>
      <c r="C157" s="28" t="s">
        <v>852</v>
      </c>
      <c r="D157" s="29" t="s">
        <v>268</v>
      </c>
      <c r="E157" s="30" t="s">
        <v>37</v>
      </c>
      <c r="F157" s="30">
        <f>F158</f>
        <v>28000000000.57</v>
      </c>
      <c r="G157" s="31">
        <f t="shared" si="68"/>
        <v>0</v>
      </c>
      <c r="H157" s="31">
        <f t="shared" si="68"/>
        <v>0</v>
      </c>
      <c r="I157" s="31">
        <f t="shared" si="68"/>
        <v>0</v>
      </c>
      <c r="J157" s="31">
        <f t="shared" si="68"/>
        <v>0</v>
      </c>
      <c r="K157" s="31">
        <f t="shared" si="68"/>
        <v>0</v>
      </c>
      <c r="L157" s="30">
        <f t="shared" si="68"/>
        <v>28000000000.57</v>
      </c>
      <c r="M157" s="31">
        <f t="shared" si="68"/>
        <v>0</v>
      </c>
      <c r="N157" s="30">
        <f t="shared" si="68"/>
        <v>1859656610.78</v>
      </c>
      <c r="O157" s="30">
        <f t="shared" si="68"/>
        <v>1859656610.78</v>
      </c>
      <c r="P157" s="31">
        <f t="shared" si="68"/>
        <v>0</v>
      </c>
      <c r="Q157" s="30">
        <f t="shared" si="68"/>
        <v>1859656610.78</v>
      </c>
      <c r="R157" s="30">
        <f t="shared" si="68"/>
        <v>1859656610.78</v>
      </c>
      <c r="S157" s="31">
        <f t="shared" si="68"/>
        <v>0</v>
      </c>
      <c r="T157" s="30">
        <f t="shared" si="68"/>
        <v>1749851882.97</v>
      </c>
      <c r="U157" s="30">
        <f t="shared" si="68"/>
        <v>1749851882.97</v>
      </c>
      <c r="V157" s="30">
        <f t="shared" si="60"/>
        <v>1749851882.97</v>
      </c>
      <c r="W157" s="30">
        <f t="shared" si="68"/>
        <v>26140343389.790001</v>
      </c>
      <c r="X157" s="31">
        <f t="shared" si="68"/>
        <v>0</v>
      </c>
      <c r="Y157" s="30">
        <f t="shared" si="68"/>
        <v>109804727.81</v>
      </c>
      <c r="Z157" s="32">
        <f t="shared" si="61"/>
        <v>6.6416307526505097E-2</v>
      </c>
    </row>
    <row r="158" spans="1:26" ht="18.75" customHeight="1" x14ac:dyDescent="0.2">
      <c r="A158" s="27" t="s">
        <v>37</v>
      </c>
      <c r="B158" s="27" t="s">
        <v>37</v>
      </c>
      <c r="C158" s="28" t="s">
        <v>851</v>
      </c>
      <c r="D158" s="29" t="s">
        <v>269</v>
      </c>
      <c r="E158" s="30" t="s">
        <v>37</v>
      </c>
      <c r="F158" s="30">
        <f>F159</f>
        <v>28000000000.57</v>
      </c>
      <c r="G158" s="31">
        <f t="shared" si="68"/>
        <v>0</v>
      </c>
      <c r="H158" s="31">
        <f t="shared" si="68"/>
        <v>0</v>
      </c>
      <c r="I158" s="31">
        <f t="shared" si="68"/>
        <v>0</v>
      </c>
      <c r="J158" s="31">
        <f t="shared" si="68"/>
        <v>0</v>
      </c>
      <c r="K158" s="31">
        <f t="shared" si="68"/>
        <v>0</v>
      </c>
      <c r="L158" s="30">
        <f t="shared" si="68"/>
        <v>28000000000.57</v>
      </c>
      <c r="M158" s="31">
        <f t="shared" si="68"/>
        <v>0</v>
      </c>
      <c r="N158" s="30">
        <f t="shared" si="68"/>
        <v>1859656610.78</v>
      </c>
      <c r="O158" s="30">
        <f t="shared" si="68"/>
        <v>1859656610.78</v>
      </c>
      <c r="P158" s="31">
        <f t="shared" si="68"/>
        <v>0</v>
      </c>
      <c r="Q158" s="30">
        <f t="shared" si="68"/>
        <v>1859656610.78</v>
      </c>
      <c r="R158" s="30">
        <f t="shared" si="68"/>
        <v>1859656610.78</v>
      </c>
      <c r="S158" s="31">
        <f t="shared" si="68"/>
        <v>0</v>
      </c>
      <c r="T158" s="30">
        <f t="shared" si="68"/>
        <v>1749851882.97</v>
      </c>
      <c r="U158" s="30">
        <f t="shared" si="68"/>
        <v>1749851882.97</v>
      </c>
      <c r="V158" s="30">
        <f t="shared" si="60"/>
        <v>1749851882.97</v>
      </c>
      <c r="W158" s="30">
        <f t="shared" si="68"/>
        <v>26140343389.790001</v>
      </c>
      <c r="X158" s="31">
        <f t="shared" si="68"/>
        <v>0</v>
      </c>
      <c r="Y158" s="30">
        <f t="shared" si="68"/>
        <v>109804727.81</v>
      </c>
      <c r="Z158" s="32">
        <f t="shared" si="61"/>
        <v>6.6416307526505097E-2</v>
      </c>
    </row>
    <row r="159" spans="1:26" ht="18.75" customHeight="1" x14ac:dyDescent="0.2">
      <c r="A159" s="4" t="s">
        <v>55</v>
      </c>
      <c r="B159" s="4" t="s">
        <v>56</v>
      </c>
      <c r="C159" s="41" t="s">
        <v>850</v>
      </c>
      <c r="D159" s="42" t="s">
        <v>269</v>
      </c>
      <c r="E159" s="43" t="s">
        <v>58</v>
      </c>
      <c r="F159" s="43">
        <v>28000000000.57</v>
      </c>
      <c r="G159" s="44">
        <v>0</v>
      </c>
      <c r="H159" s="44">
        <v>0</v>
      </c>
      <c r="I159" s="44">
        <v>0</v>
      </c>
      <c r="J159" s="44">
        <v>0</v>
      </c>
      <c r="K159" s="44">
        <v>0</v>
      </c>
      <c r="L159" s="43">
        <v>28000000000.57</v>
      </c>
      <c r="M159" s="44">
        <v>0</v>
      </c>
      <c r="N159" s="43">
        <v>1859656610.78</v>
      </c>
      <c r="O159" s="43">
        <v>1859656610.78</v>
      </c>
      <c r="P159" s="44">
        <v>0</v>
      </c>
      <c r="Q159" s="43">
        <v>1859656610.78</v>
      </c>
      <c r="R159" s="43">
        <v>1859656610.78</v>
      </c>
      <c r="S159" s="44">
        <v>0</v>
      </c>
      <c r="T159" s="43">
        <v>1749851882.97</v>
      </c>
      <c r="U159" s="43">
        <v>1749851882.97</v>
      </c>
      <c r="V159" s="30">
        <f t="shared" si="60"/>
        <v>1749851882.97</v>
      </c>
      <c r="W159" s="43">
        <v>26140343389.790001</v>
      </c>
      <c r="X159" s="44">
        <v>0</v>
      </c>
      <c r="Y159" s="43">
        <v>109804727.81</v>
      </c>
      <c r="Z159" s="32">
        <f t="shared" si="61"/>
        <v>6.6416307526505097E-2</v>
      </c>
    </row>
    <row r="160" spans="1:26" s="25" customFormat="1" ht="18.75" customHeight="1" x14ac:dyDescent="0.2">
      <c r="A160" s="19" t="s">
        <v>37</v>
      </c>
      <c r="B160" s="19" t="s">
        <v>37</v>
      </c>
      <c r="C160" s="26" t="s">
        <v>270</v>
      </c>
      <c r="D160" s="21" t="s">
        <v>271</v>
      </c>
      <c r="E160" s="22" t="s">
        <v>37</v>
      </c>
      <c r="F160" s="22">
        <f>F161</f>
        <v>21500000000</v>
      </c>
      <c r="G160" s="23">
        <f t="shared" ref="G160:Y163" si="69">G161</f>
        <v>0</v>
      </c>
      <c r="H160" s="23">
        <f t="shared" si="69"/>
        <v>0</v>
      </c>
      <c r="I160" s="23">
        <f t="shared" si="69"/>
        <v>0</v>
      </c>
      <c r="J160" s="23">
        <f t="shared" si="69"/>
        <v>0</v>
      </c>
      <c r="K160" s="23">
        <f t="shared" si="69"/>
        <v>0</v>
      </c>
      <c r="L160" s="22">
        <f t="shared" si="69"/>
        <v>21500000000</v>
      </c>
      <c r="M160" s="23">
        <f t="shared" si="69"/>
        <v>0</v>
      </c>
      <c r="N160" s="22">
        <f t="shared" si="69"/>
        <v>1084470030.1500001</v>
      </c>
      <c r="O160" s="22">
        <f t="shared" si="69"/>
        <v>1084470030.1500001</v>
      </c>
      <c r="P160" s="23">
        <f t="shared" si="69"/>
        <v>0</v>
      </c>
      <c r="Q160" s="22">
        <f t="shared" si="69"/>
        <v>1084470030.1500001</v>
      </c>
      <c r="R160" s="22">
        <f t="shared" si="69"/>
        <v>1084470030.1500001</v>
      </c>
      <c r="S160" s="23">
        <f t="shared" si="69"/>
        <v>0</v>
      </c>
      <c r="T160" s="22">
        <f t="shared" si="69"/>
        <v>1038188709.9400001</v>
      </c>
      <c r="U160" s="22">
        <f t="shared" si="69"/>
        <v>1038188709.9400001</v>
      </c>
      <c r="V160" s="22"/>
      <c r="W160" s="22">
        <f t="shared" si="69"/>
        <v>20415529969.849998</v>
      </c>
      <c r="X160" s="23">
        <f t="shared" si="69"/>
        <v>0</v>
      </c>
      <c r="Y160" s="22">
        <f t="shared" si="69"/>
        <v>46281320.210000001</v>
      </c>
      <c r="Z160" s="24">
        <f t="shared" si="61"/>
        <v>5.0440466518604656E-2</v>
      </c>
    </row>
    <row r="161" spans="1:26" ht="18.75" customHeight="1" x14ac:dyDescent="0.2">
      <c r="A161" s="27" t="s">
        <v>37</v>
      </c>
      <c r="B161" s="27" t="s">
        <v>37</v>
      </c>
      <c r="C161" s="28" t="s">
        <v>849</v>
      </c>
      <c r="D161" s="29" t="s">
        <v>272</v>
      </c>
      <c r="E161" s="30" t="s">
        <v>56</v>
      </c>
      <c r="F161" s="30">
        <f>F162</f>
        <v>21500000000</v>
      </c>
      <c r="G161" s="31">
        <f t="shared" si="69"/>
        <v>0</v>
      </c>
      <c r="H161" s="31">
        <f t="shared" si="69"/>
        <v>0</v>
      </c>
      <c r="I161" s="31">
        <f t="shared" si="69"/>
        <v>0</v>
      </c>
      <c r="J161" s="31">
        <f t="shared" si="69"/>
        <v>0</v>
      </c>
      <c r="K161" s="31">
        <f t="shared" si="69"/>
        <v>0</v>
      </c>
      <c r="L161" s="30">
        <f t="shared" si="69"/>
        <v>21500000000</v>
      </c>
      <c r="M161" s="31">
        <f t="shared" si="69"/>
        <v>0</v>
      </c>
      <c r="N161" s="30">
        <f t="shared" si="69"/>
        <v>1084470030.1500001</v>
      </c>
      <c r="O161" s="30">
        <f t="shared" si="69"/>
        <v>1084470030.1500001</v>
      </c>
      <c r="P161" s="31">
        <f t="shared" si="69"/>
        <v>0</v>
      </c>
      <c r="Q161" s="30">
        <f t="shared" si="69"/>
        <v>1084470030.1500001</v>
      </c>
      <c r="R161" s="30">
        <f t="shared" si="69"/>
        <v>1084470030.1500001</v>
      </c>
      <c r="S161" s="31">
        <f t="shared" si="69"/>
        <v>0</v>
      </c>
      <c r="T161" s="30">
        <f t="shared" si="69"/>
        <v>1038188709.9400001</v>
      </c>
      <c r="U161" s="30">
        <f t="shared" si="69"/>
        <v>1038188709.9400001</v>
      </c>
      <c r="V161" s="30">
        <f t="shared" ref="V161:V164" si="70">S161+U161</f>
        <v>1038188709.9400001</v>
      </c>
      <c r="W161" s="30">
        <f t="shared" si="69"/>
        <v>20415529969.849998</v>
      </c>
      <c r="X161" s="31">
        <f t="shared" si="69"/>
        <v>0</v>
      </c>
      <c r="Y161" s="30">
        <f t="shared" si="69"/>
        <v>46281320.210000001</v>
      </c>
      <c r="Z161" s="32">
        <f t="shared" si="61"/>
        <v>5.0440466518604656E-2</v>
      </c>
    </row>
    <row r="162" spans="1:26" ht="18.75" customHeight="1" x14ac:dyDescent="0.2">
      <c r="A162" s="27" t="s">
        <v>37</v>
      </c>
      <c r="B162" s="27" t="s">
        <v>37</v>
      </c>
      <c r="C162" s="28" t="s">
        <v>848</v>
      </c>
      <c r="D162" s="29" t="s">
        <v>268</v>
      </c>
      <c r="E162" s="30" t="s">
        <v>37</v>
      </c>
      <c r="F162" s="30">
        <f>F163</f>
        <v>21500000000</v>
      </c>
      <c r="G162" s="31">
        <f t="shared" si="69"/>
        <v>0</v>
      </c>
      <c r="H162" s="31">
        <f t="shared" si="69"/>
        <v>0</v>
      </c>
      <c r="I162" s="31">
        <f t="shared" si="69"/>
        <v>0</v>
      </c>
      <c r="J162" s="31">
        <f t="shared" si="69"/>
        <v>0</v>
      </c>
      <c r="K162" s="31">
        <f t="shared" si="69"/>
        <v>0</v>
      </c>
      <c r="L162" s="30">
        <f t="shared" si="69"/>
        <v>21500000000</v>
      </c>
      <c r="M162" s="31">
        <f t="shared" si="69"/>
        <v>0</v>
      </c>
      <c r="N162" s="30">
        <f t="shared" si="69"/>
        <v>1084470030.1500001</v>
      </c>
      <c r="O162" s="30">
        <f t="shared" si="69"/>
        <v>1084470030.1500001</v>
      </c>
      <c r="P162" s="31">
        <f t="shared" si="69"/>
        <v>0</v>
      </c>
      <c r="Q162" s="30">
        <f t="shared" si="69"/>
        <v>1084470030.1500001</v>
      </c>
      <c r="R162" s="30">
        <f t="shared" si="69"/>
        <v>1084470030.1500001</v>
      </c>
      <c r="S162" s="31">
        <f t="shared" si="69"/>
        <v>0</v>
      </c>
      <c r="T162" s="30">
        <f t="shared" si="69"/>
        <v>1038188709.9400001</v>
      </c>
      <c r="U162" s="30">
        <f t="shared" si="69"/>
        <v>1038188709.9400001</v>
      </c>
      <c r="V162" s="30">
        <f t="shared" si="70"/>
        <v>1038188709.9400001</v>
      </c>
      <c r="W162" s="30">
        <f t="shared" si="69"/>
        <v>20415529969.849998</v>
      </c>
      <c r="X162" s="31">
        <f t="shared" si="69"/>
        <v>0</v>
      </c>
      <c r="Y162" s="30">
        <f t="shared" si="69"/>
        <v>46281320.210000001</v>
      </c>
      <c r="Z162" s="32">
        <f t="shared" si="61"/>
        <v>5.0440466518604656E-2</v>
      </c>
    </row>
    <row r="163" spans="1:26" ht="18.75" customHeight="1" x14ac:dyDescent="0.2">
      <c r="A163" s="27" t="s">
        <v>37</v>
      </c>
      <c r="B163" s="27" t="s">
        <v>37</v>
      </c>
      <c r="C163" s="28" t="s">
        <v>847</v>
      </c>
      <c r="D163" s="29" t="s">
        <v>269</v>
      </c>
      <c r="E163" s="30" t="s">
        <v>37</v>
      </c>
      <c r="F163" s="30">
        <f>F164</f>
        <v>21500000000</v>
      </c>
      <c r="G163" s="31">
        <f t="shared" si="69"/>
        <v>0</v>
      </c>
      <c r="H163" s="31">
        <f t="shared" si="69"/>
        <v>0</v>
      </c>
      <c r="I163" s="31">
        <f t="shared" si="69"/>
        <v>0</v>
      </c>
      <c r="J163" s="31">
        <f t="shared" si="69"/>
        <v>0</v>
      </c>
      <c r="K163" s="31">
        <f t="shared" si="69"/>
        <v>0</v>
      </c>
      <c r="L163" s="30">
        <f t="shared" si="69"/>
        <v>21500000000</v>
      </c>
      <c r="M163" s="31">
        <f t="shared" si="69"/>
        <v>0</v>
      </c>
      <c r="N163" s="30">
        <f t="shared" si="69"/>
        <v>1084470030.1500001</v>
      </c>
      <c r="O163" s="30">
        <f t="shared" si="69"/>
        <v>1084470030.1500001</v>
      </c>
      <c r="P163" s="31">
        <f t="shared" si="69"/>
        <v>0</v>
      </c>
      <c r="Q163" s="30">
        <f t="shared" si="69"/>
        <v>1084470030.1500001</v>
      </c>
      <c r="R163" s="30">
        <f t="shared" si="69"/>
        <v>1084470030.1500001</v>
      </c>
      <c r="S163" s="31">
        <f t="shared" si="69"/>
        <v>0</v>
      </c>
      <c r="T163" s="30">
        <f t="shared" si="69"/>
        <v>1038188709.9400001</v>
      </c>
      <c r="U163" s="30">
        <f t="shared" si="69"/>
        <v>1038188709.9400001</v>
      </c>
      <c r="V163" s="30">
        <f t="shared" si="70"/>
        <v>1038188709.9400001</v>
      </c>
      <c r="W163" s="30">
        <f t="shared" si="69"/>
        <v>20415529969.849998</v>
      </c>
      <c r="X163" s="31">
        <f t="shared" si="69"/>
        <v>0</v>
      </c>
      <c r="Y163" s="30">
        <f t="shared" si="69"/>
        <v>46281320.210000001</v>
      </c>
      <c r="Z163" s="32">
        <f t="shared" si="61"/>
        <v>5.0440466518604656E-2</v>
      </c>
    </row>
    <row r="164" spans="1:26" ht="18.75" customHeight="1" x14ac:dyDescent="0.2">
      <c r="A164" s="4" t="s">
        <v>55</v>
      </c>
      <c r="B164" s="4" t="s">
        <v>56</v>
      </c>
      <c r="C164" s="41" t="s">
        <v>846</v>
      </c>
      <c r="D164" s="42" t="s">
        <v>269</v>
      </c>
      <c r="E164" s="43" t="s">
        <v>58</v>
      </c>
      <c r="F164" s="43">
        <v>21500000000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3">
        <v>21500000000</v>
      </c>
      <c r="M164" s="44">
        <v>0</v>
      </c>
      <c r="N164" s="43">
        <v>1084470030.1500001</v>
      </c>
      <c r="O164" s="43">
        <v>1084470030.1500001</v>
      </c>
      <c r="P164" s="44">
        <v>0</v>
      </c>
      <c r="Q164" s="43">
        <v>1084470030.1500001</v>
      </c>
      <c r="R164" s="43">
        <v>1084470030.1500001</v>
      </c>
      <c r="S164" s="44">
        <v>0</v>
      </c>
      <c r="T164" s="43">
        <v>1038188709.9400001</v>
      </c>
      <c r="U164" s="43">
        <v>1038188709.9400001</v>
      </c>
      <c r="V164" s="30">
        <f t="shared" si="70"/>
        <v>1038188709.9400001</v>
      </c>
      <c r="W164" s="43">
        <v>20415529969.849998</v>
      </c>
      <c r="X164" s="44">
        <v>0</v>
      </c>
      <c r="Y164" s="43">
        <v>46281320.210000001</v>
      </c>
      <c r="Z164" s="32">
        <f t="shared" si="61"/>
        <v>5.0440466518604656E-2</v>
      </c>
    </row>
    <row r="165" spans="1:26" s="25" customFormat="1" ht="18.75" customHeight="1" x14ac:dyDescent="0.2">
      <c r="A165" s="19" t="s">
        <v>37</v>
      </c>
      <c r="B165" s="19" t="s">
        <v>37</v>
      </c>
      <c r="C165" s="26" t="s">
        <v>273</v>
      </c>
      <c r="D165" s="21" t="s">
        <v>274</v>
      </c>
      <c r="E165" s="22" t="s">
        <v>37</v>
      </c>
      <c r="F165" s="22">
        <f>F166</f>
        <v>200000000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2">
        <v>200000000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f>S165+U165</f>
        <v>0</v>
      </c>
      <c r="W165" s="22">
        <v>200000000</v>
      </c>
      <c r="X165" s="23">
        <v>0</v>
      </c>
      <c r="Y165" s="23">
        <v>0</v>
      </c>
      <c r="Z165" s="24">
        <f t="shared" si="61"/>
        <v>0</v>
      </c>
    </row>
    <row r="166" spans="1:26" ht="18.75" customHeight="1" x14ac:dyDescent="0.2">
      <c r="A166" s="27" t="s">
        <v>37</v>
      </c>
      <c r="B166" s="27" t="s">
        <v>37</v>
      </c>
      <c r="C166" s="28" t="s">
        <v>843</v>
      </c>
      <c r="D166" s="29" t="s">
        <v>267</v>
      </c>
      <c r="E166" s="30" t="s">
        <v>37</v>
      </c>
      <c r="F166" s="30">
        <f>F167</f>
        <v>200000000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0">
        <v>200000000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f t="shared" ref="V166:V178" si="71">S166+U166</f>
        <v>0</v>
      </c>
      <c r="W166" s="30">
        <v>200000000</v>
      </c>
      <c r="X166" s="31">
        <v>0</v>
      </c>
      <c r="Y166" s="31">
        <v>0</v>
      </c>
      <c r="Z166" s="32">
        <f t="shared" si="61"/>
        <v>0</v>
      </c>
    </row>
    <row r="167" spans="1:26" ht="18.75" customHeight="1" x14ac:dyDescent="0.2">
      <c r="A167" s="27" t="s">
        <v>37</v>
      </c>
      <c r="B167" s="27" t="s">
        <v>37</v>
      </c>
      <c r="C167" s="28" t="s">
        <v>845</v>
      </c>
      <c r="D167" s="29" t="s">
        <v>268</v>
      </c>
      <c r="E167" s="30" t="s">
        <v>37</v>
      </c>
      <c r="F167" s="30">
        <f>F168</f>
        <v>200000000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0">
        <v>200000000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f t="shared" si="71"/>
        <v>0</v>
      </c>
      <c r="W167" s="30">
        <v>200000000</v>
      </c>
      <c r="X167" s="31">
        <v>0</v>
      </c>
      <c r="Y167" s="31">
        <v>0</v>
      </c>
      <c r="Z167" s="32">
        <f t="shared" si="61"/>
        <v>0</v>
      </c>
    </row>
    <row r="168" spans="1:26" ht="18.75" customHeight="1" x14ac:dyDescent="0.2">
      <c r="A168" s="4" t="s">
        <v>55</v>
      </c>
      <c r="B168" s="4" t="s">
        <v>56</v>
      </c>
      <c r="C168" s="41" t="s">
        <v>844</v>
      </c>
      <c r="D168" s="42" t="s">
        <v>269</v>
      </c>
      <c r="E168" s="43" t="s">
        <v>58</v>
      </c>
      <c r="F168" s="43">
        <v>200000000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3">
        <v>200000000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4">
        <v>0</v>
      </c>
      <c r="V168" s="31">
        <f t="shared" si="71"/>
        <v>0</v>
      </c>
      <c r="W168" s="43">
        <v>200000000</v>
      </c>
      <c r="X168" s="44">
        <v>0</v>
      </c>
      <c r="Y168" s="44">
        <v>0</v>
      </c>
      <c r="Z168" s="32">
        <f t="shared" si="61"/>
        <v>0</v>
      </c>
    </row>
    <row r="169" spans="1:26" s="50" customFormat="1" ht="18.75" customHeight="1" x14ac:dyDescent="0.2">
      <c r="A169" s="45" t="s">
        <v>55</v>
      </c>
      <c r="B169" s="45" t="s">
        <v>56</v>
      </c>
      <c r="C169" s="46" t="s">
        <v>842</v>
      </c>
      <c r="D169" s="47" t="s">
        <v>275</v>
      </c>
      <c r="E169" s="48" t="s">
        <v>58</v>
      </c>
      <c r="F169" s="48">
        <v>5000000000</v>
      </c>
      <c r="G169" s="49">
        <v>0</v>
      </c>
      <c r="H169" s="49">
        <v>0</v>
      </c>
      <c r="I169" s="49">
        <v>0</v>
      </c>
      <c r="J169" s="49">
        <v>0</v>
      </c>
      <c r="K169" s="49">
        <v>0</v>
      </c>
      <c r="L169" s="48">
        <v>5000000000</v>
      </c>
      <c r="M169" s="49">
        <v>0</v>
      </c>
      <c r="N169" s="49">
        <v>0</v>
      </c>
      <c r="O169" s="49">
        <v>0</v>
      </c>
      <c r="P169" s="49">
        <v>0</v>
      </c>
      <c r="Q169" s="49">
        <v>0</v>
      </c>
      <c r="R169" s="49">
        <v>0</v>
      </c>
      <c r="S169" s="49">
        <v>0</v>
      </c>
      <c r="T169" s="49">
        <v>0</v>
      </c>
      <c r="U169" s="49">
        <v>0</v>
      </c>
      <c r="V169" s="23">
        <f t="shared" si="71"/>
        <v>0</v>
      </c>
      <c r="W169" s="48">
        <v>5000000000</v>
      </c>
      <c r="X169" s="49">
        <v>0</v>
      </c>
      <c r="Y169" s="49">
        <v>0</v>
      </c>
      <c r="Z169" s="24">
        <f t="shared" si="61"/>
        <v>0</v>
      </c>
    </row>
    <row r="170" spans="1:26" s="25" customFormat="1" ht="18.75" customHeight="1" x14ac:dyDescent="0.2">
      <c r="A170" s="19" t="s">
        <v>37</v>
      </c>
      <c r="B170" s="19" t="s">
        <v>37</v>
      </c>
      <c r="C170" s="26" t="s">
        <v>841</v>
      </c>
      <c r="D170" s="21" t="s">
        <v>276</v>
      </c>
      <c r="E170" s="22" t="s">
        <v>37</v>
      </c>
      <c r="F170" s="22">
        <f>F171+F176</f>
        <v>3752467164.4300003</v>
      </c>
      <c r="G170" s="23">
        <f t="shared" ref="G170:Y170" si="72">G171+G176</f>
        <v>0</v>
      </c>
      <c r="H170" s="23">
        <f t="shared" si="72"/>
        <v>0</v>
      </c>
      <c r="I170" s="23">
        <f t="shared" si="72"/>
        <v>0</v>
      </c>
      <c r="J170" s="23">
        <f t="shared" si="72"/>
        <v>0</v>
      </c>
      <c r="K170" s="23">
        <f t="shared" si="72"/>
        <v>0</v>
      </c>
      <c r="L170" s="22">
        <f t="shared" si="72"/>
        <v>3752467164.4300003</v>
      </c>
      <c r="M170" s="23">
        <f t="shared" si="72"/>
        <v>0</v>
      </c>
      <c r="N170" s="22">
        <f t="shared" si="72"/>
        <v>4719865</v>
      </c>
      <c r="O170" s="22">
        <f t="shared" si="72"/>
        <v>4719865</v>
      </c>
      <c r="P170" s="22">
        <f t="shared" si="72"/>
        <v>0</v>
      </c>
      <c r="Q170" s="22">
        <f t="shared" si="72"/>
        <v>4719865</v>
      </c>
      <c r="R170" s="22">
        <f t="shared" si="72"/>
        <v>4719865</v>
      </c>
      <c r="S170" s="23">
        <f t="shared" si="72"/>
        <v>0</v>
      </c>
      <c r="T170" s="22">
        <f t="shared" si="72"/>
        <v>4719865</v>
      </c>
      <c r="U170" s="22">
        <f t="shared" si="72"/>
        <v>4719865</v>
      </c>
      <c r="V170" s="22">
        <f t="shared" si="71"/>
        <v>4719865</v>
      </c>
      <c r="W170" s="22">
        <f t="shared" si="72"/>
        <v>3747747299.4300003</v>
      </c>
      <c r="X170" s="23">
        <f t="shared" si="72"/>
        <v>0</v>
      </c>
      <c r="Y170" s="23">
        <f t="shared" si="72"/>
        <v>0</v>
      </c>
      <c r="Z170" s="24">
        <f t="shared" si="61"/>
        <v>1.2578031447523532E-3</v>
      </c>
    </row>
    <row r="171" spans="1:26" ht="18.75" customHeight="1" x14ac:dyDescent="0.2">
      <c r="A171" s="27" t="s">
        <v>37</v>
      </c>
      <c r="B171" s="27" t="s">
        <v>37</v>
      </c>
      <c r="C171" s="28" t="s">
        <v>840</v>
      </c>
      <c r="D171" s="29" t="s">
        <v>277</v>
      </c>
      <c r="E171" s="30" t="s">
        <v>37</v>
      </c>
      <c r="F171" s="30">
        <f>F172+F173+F174+F175</f>
        <v>3552467164.4300003</v>
      </c>
      <c r="G171" s="31">
        <f t="shared" ref="G171:Y171" si="73">G172+G173+G174+G175</f>
        <v>0</v>
      </c>
      <c r="H171" s="31">
        <f t="shared" si="73"/>
        <v>0</v>
      </c>
      <c r="I171" s="31">
        <f t="shared" si="73"/>
        <v>0</v>
      </c>
      <c r="J171" s="31">
        <f t="shared" si="73"/>
        <v>0</v>
      </c>
      <c r="K171" s="31">
        <f t="shared" si="73"/>
        <v>0</v>
      </c>
      <c r="L171" s="30">
        <f t="shared" si="73"/>
        <v>3552467164.4300003</v>
      </c>
      <c r="M171" s="31">
        <f t="shared" si="73"/>
        <v>0</v>
      </c>
      <c r="N171" s="30">
        <f t="shared" si="73"/>
        <v>4719865</v>
      </c>
      <c r="O171" s="30">
        <f t="shared" si="73"/>
        <v>4719865</v>
      </c>
      <c r="P171" s="30">
        <f t="shared" si="73"/>
        <v>0</v>
      </c>
      <c r="Q171" s="30">
        <f t="shared" si="73"/>
        <v>4719865</v>
      </c>
      <c r="R171" s="30">
        <f t="shared" si="73"/>
        <v>4719865</v>
      </c>
      <c r="S171" s="31">
        <f t="shared" si="73"/>
        <v>0</v>
      </c>
      <c r="T171" s="30">
        <f t="shared" si="73"/>
        <v>4719865</v>
      </c>
      <c r="U171" s="30">
        <f t="shared" si="73"/>
        <v>4719865</v>
      </c>
      <c r="V171" s="30">
        <f t="shared" si="71"/>
        <v>4719865</v>
      </c>
      <c r="W171" s="30">
        <f t="shared" si="73"/>
        <v>3547747299.4300003</v>
      </c>
      <c r="X171" s="31">
        <f t="shared" si="73"/>
        <v>0</v>
      </c>
      <c r="Y171" s="31">
        <f t="shared" si="73"/>
        <v>0</v>
      </c>
      <c r="Z171" s="32">
        <f t="shared" si="61"/>
        <v>1.3286160804690536E-3</v>
      </c>
    </row>
    <row r="172" spans="1:26" ht="18.75" customHeight="1" x14ac:dyDescent="0.2">
      <c r="A172" s="4" t="s">
        <v>55</v>
      </c>
      <c r="B172" s="4" t="s">
        <v>56</v>
      </c>
      <c r="C172" s="41" t="s">
        <v>839</v>
      </c>
      <c r="D172" s="42" t="s">
        <v>233</v>
      </c>
      <c r="E172" s="43" t="s">
        <v>58</v>
      </c>
      <c r="F172" s="43">
        <v>530000000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3">
        <v>530000000</v>
      </c>
      <c r="M172" s="44">
        <v>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v>0</v>
      </c>
      <c r="V172" s="31">
        <f t="shared" si="71"/>
        <v>0</v>
      </c>
      <c r="W172" s="43">
        <v>530000000</v>
      </c>
      <c r="X172" s="44">
        <v>0</v>
      </c>
      <c r="Y172" s="44">
        <v>0</v>
      </c>
      <c r="Z172" s="32">
        <f t="shared" si="61"/>
        <v>0</v>
      </c>
    </row>
    <row r="173" spans="1:26" ht="18.75" customHeight="1" x14ac:dyDescent="0.2">
      <c r="A173" s="4" t="s">
        <v>55</v>
      </c>
      <c r="B173" s="4" t="s">
        <v>56</v>
      </c>
      <c r="C173" s="41" t="s">
        <v>838</v>
      </c>
      <c r="D173" s="42" t="s">
        <v>278</v>
      </c>
      <c r="E173" s="43" t="s">
        <v>253</v>
      </c>
      <c r="F173" s="43">
        <v>600000000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3">
        <v>600000000</v>
      </c>
      <c r="M173" s="44">
        <v>0</v>
      </c>
      <c r="N173" s="44">
        <v>0</v>
      </c>
      <c r="O173" s="44">
        <v>0</v>
      </c>
      <c r="P173" s="44">
        <v>0</v>
      </c>
      <c r="Q173" s="44">
        <v>0</v>
      </c>
      <c r="R173" s="44">
        <v>0</v>
      </c>
      <c r="S173" s="44">
        <v>0</v>
      </c>
      <c r="T173" s="44">
        <v>0</v>
      </c>
      <c r="U173" s="44">
        <v>0</v>
      </c>
      <c r="V173" s="31">
        <f t="shared" si="71"/>
        <v>0</v>
      </c>
      <c r="W173" s="43">
        <v>600000000</v>
      </c>
      <c r="X173" s="44">
        <v>0</v>
      </c>
      <c r="Y173" s="44">
        <v>0</v>
      </c>
      <c r="Z173" s="32">
        <f t="shared" si="61"/>
        <v>0</v>
      </c>
    </row>
    <row r="174" spans="1:26" ht="25.5" customHeight="1" x14ac:dyDescent="0.2">
      <c r="A174" s="4" t="s">
        <v>55</v>
      </c>
      <c r="B174" s="4" t="s">
        <v>56</v>
      </c>
      <c r="C174" s="41" t="s">
        <v>837</v>
      </c>
      <c r="D174" s="42" t="s">
        <v>279</v>
      </c>
      <c r="E174" s="43" t="s">
        <v>253</v>
      </c>
      <c r="F174" s="43">
        <v>961836799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3">
        <v>961836799</v>
      </c>
      <c r="M174" s="44">
        <v>0</v>
      </c>
      <c r="N174" s="44">
        <v>0</v>
      </c>
      <c r="O174" s="44">
        <v>0</v>
      </c>
      <c r="P174" s="44">
        <v>0</v>
      </c>
      <c r="Q174" s="44">
        <v>0</v>
      </c>
      <c r="R174" s="44">
        <v>0</v>
      </c>
      <c r="S174" s="44">
        <v>0</v>
      </c>
      <c r="T174" s="44">
        <v>0</v>
      </c>
      <c r="U174" s="44">
        <v>0</v>
      </c>
      <c r="V174" s="31">
        <f t="shared" si="71"/>
        <v>0</v>
      </c>
      <c r="W174" s="43">
        <v>961836799</v>
      </c>
      <c r="X174" s="44">
        <v>0</v>
      </c>
      <c r="Y174" s="44">
        <v>0</v>
      </c>
      <c r="Z174" s="32">
        <f t="shared" si="61"/>
        <v>0</v>
      </c>
    </row>
    <row r="175" spans="1:26" ht="18.75" customHeight="1" x14ac:dyDescent="0.2">
      <c r="A175" s="4" t="s">
        <v>55</v>
      </c>
      <c r="B175" s="4" t="s">
        <v>56</v>
      </c>
      <c r="C175" s="41" t="s">
        <v>836</v>
      </c>
      <c r="D175" s="42" t="s">
        <v>239</v>
      </c>
      <c r="E175" s="43" t="s">
        <v>240</v>
      </c>
      <c r="F175" s="43">
        <v>1460630365.4300001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3">
        <v>1460630365.4300001</v>
      </c>
      <c r="M175" s="44">
        <v>0</v>
      </c>
      <c r="N175" s="43">
        <v>4719865</v>
      </c>
      <c r="O175" s="43">
        <v>4719865</v>
      </c>
      <c r="P175" s="43">
        <v>0</v>
      </c>
      <c r="Q175" s="43">
        <v>4719865</v>
      </c>
      <c r="R175" s="43">
        <v>4719865</v>
      </c>
      <c r="S175" s="44">
        <v>0</v>
      </c>
      <c r="T175" s="43">
        <v>4719865</v>
      </c>
      <c r="U175" s="43">
        <v>4719865</v>
      </c>
      <c r="V175" s="30">
        <f t="shared" si="71"/>
        <v>4719865</v>
      </c>
      <c r="W175" s="43">
        <v>1455910500.4300001</v>
      </c>
      <c r="X175" s="44">
        <v>0</v>
      </c>
      <c r="Y175" s="44">
        <v>0</v>
      </c>
      <c r="Z175" s="32">
        <f t="shared" si="61"/>
        <v>3.2313890712593139E-3</v>
      </c>
    </row>
    <row r="176" spans="1:26" ht="18.75" customHeight="1" x14ac:dyDescent="0.2">
      <c r="A176" s="27" t="s">
        <v>37</v>
      </c>
      <c r="B176" s="27" t="s">
        <v>37</v>
      </c>
      <c r="C176" s="28" t="s">
        <v>835</v>
      </c>
      <c r="D176" s="29" t="s">
        <v>280</v>
      </c>
      <c r="E176" s="30" t="s">
        <v>37</v>
      </c>
      <c r="F176" s="30">
        <f>F177</f>
        <v>200000000</v>
      </c>
      <c r="G176" s="31">
        <f t="shared" ref="G176:Y176" si="74">G177</f>
        <v>0</v>
      </c>
      <c r="H176" s="31">
        <f t="shared" si="74"/>
        <v>0</v>
      </c>
      <c r="I176" s="31">
        <f t="shared" si="74"/>
        <v>0</v>
      </c>
      <c r="J176" s="31">
        <f t="shared" si="74"/>
        <v>0</v>
      </c>
      <c r="K176" s="31">
        <f t="shared" si="74"/>
        <v>0</v>
      </c>
      <c r="L176" s="30">
        <f t="shared" si="74"/>
        <v>200000000</v>
      </c>
      <c r="M176" s="31">
        <f t="shared" si="74"/>
        <v>0</v>
      </c>
      <c r="N176" s="31">
        <f t="shared" si="74"/>
        <v>0</v>
      </c>
      <c r="O176" s="31">
        <f t="shared" si="74"/>
        <v>0</v>
      </c>
      <c r="P176" s="31">
        <f t="shared" si="74"/>
        <v>0</v>
      </c>
      <c r="Q176" s="31">
        <f t="shared" si="74"/>
        <v>0</v>
      </c>
      <c r="R176" s="31">
        <f t="shared" si="74"/>
        <v>0</v>
      </c>
      <c r="S176" s="31">
        <f t="shared" si="74"/>
        <v>0</v>
      </c>
      <c r="T176" s="31">
        <f t="shared" si="74"/>
        <v>0</v>
      </c>
      <c r="U176" s="31">
        <f t="shared" si="74"/>
        <v>0</v>
      </c>
      <c r="V176" s="31">
        <f t="shared" si="71"/>
        <v>0</v>
      </c>
      <c r="W176" s="30">
        <f t="shared" si="74"/>
        <v>200000000</v>
      </c>
      <c r="X176" s="31">
        <f t="shared" si="74"/>
        <v>0</v>
      </c>
      <c r="Y176" s="31">
        <f t="shared" si="74"/>
        <v>0</v>
      </c>
      <c r="Z176" s="32">
        <f t="shared" si="61"/>
        <v>0</v>
      </c>
    </row>
    <row r="177" spans="1:26" ht="18.75" customHeight="1" x14ac:dyDescent="0.2">
      <c r="A177" s="4" t="s">
        <v>55</v>
      </c>
      <c r="B177" s="4" t="s">
        <v>56</v>
      </c>
      <c r="C177" s="41" t="s">
        <v>834</v>
      </c>
      <c r="D177" s="42" t="s">
        <v>281</v>
      </c>
      <c r="E177" s="43" t="s">
        <v>253</v>
      </c>
      <c r="F177" s="43">
        <v>200000000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3">
        <v>200000000</v>
      </c>
      <c r="M177" s="44">
        <v>0</v>
      </c>
      <c r="N177" s="44">
        <v>0</v>
      </c>
      <c r="O177" s="44">
        <v>0</v>
      </c>
      <c r="P177" s="44">
        <v>0</v>
      </c>
      <c r="Q177" s="44">
        <v>0</v>
      </c>
      <c r="R177" s="44">
        <v>0</v>
      </c>
      <c r="S177" s="44">
        <v>0</v>
      </c>
      <c r="T177" s="44">
        <v>0</v>
      </c>
      <c r="U177" s="44">
        <v>0</v>
      </c>
      <c r="V177" s="31">
        <f t="shared" si="71"/>
        <v>0</v>
      </c>
      <c r="W177" s="43">
        <v>200000000</v>
      </c>
      <c r="X177" s="44">
        <v>0</v>
      </c>
      <c r="Y177" s="44">
        <v>0</v>
      </c>
      <c r="Z177" s="32">
        <f t="shared" si="61"/>
        <v>0</v>
      </c>
    </row>
    <row r="178" spans="1:26" ht="18.75" customHeight="1" x14ac:dyDescent="0.2">
      <c r="C178" s="16"/>
      <c r="D178" s="17"/>
      <c r="E178" s="17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34"/>
      <c r="V178" s="31">
        <f t="shared" si="71"/>
        <v>0</v>
      </c>
      <c r="W178" s="18"/>
      <c r="X178" s="18"/>
      <c r="Y178" s="18"/>
      <c r="Z178" s="18"/>
    </row>
    <row r="179" spans="1:26" s="52" customFormat="1" ht="18.75" customHeight="1" x14ac:dyDescent="0.25">
      <c r="B179" s="53"/>
      <c r="C179" s="54" t="s">
        <v>282</v>
      </c>
      <c r="D179" s="55" t="s">
        <v>283</v>
      </c>
      <c r="E179" s="55"/>
      <c r="F179" s="56">
        <f t="shared" ref="F179:U179" si="75">F218+F453+F561+F615+F821+F844+F879+F894+F910+F923+F936+F947+F1000+F789</f>
        <v>778687617478</v>
      </c>
      <c r="G179" s="57">
        <f t="shared" si="75"/>
        <v>0</v>
      </c>
      <c r="H179" s="57">
        <f t="shared" si="75"/>
        <v>0</v>
      </c>
      <c r="I179" s="56">
        <f t="shared" si="75"/>
        <v>38930198287.150002</v>
      </c>
      <c r="J179" s="56">
        <f t="shared" si="75"/>
        <v>38930198287.150002</v>
      </c>
      <c r="K179" s="56">
        <f t="shared" si="75"/>
        <v>0</v>
      </c>
      <c r="L179" s="56">
        <f t="shared" si="75"/>
        <v>778687617478</v>
      </c>
      <c r="M179" s="56">
        <f t="shared" si="75"/>
        <v>839400000</v>
      </c>
      <c r="N179" s="56">
        <f t="shared" si="75"/>
        <v>319593539787.45001</v>
      </c>
      <c r="O179" s="56">
        <f t="shared" si="75"/>
        <v>319593539787.45001</v>
      </c>
      <c r="P179" s="56">
        <f t="shared" si="75"/>
        <v>577563376</v>
      </c>
      <c r="Q179" s="56">
        <f t="shared" si="75"/>
        <v>96139107832.910004</v>
      </c>
      <c r="R179" s="56">
        <f t="shared" si="75"/>
        <v>96139107832.910004</v>
      </c>
      <c r="S179" s="56">
        <f t="shared" si="75"/>
        <v>436807309</v>
      </c>
      <c r="T179" s="56">
        <f t="shared" si="75"/>
        <v>30855289966.889999</v>
      </c>
      <c r="U179" s="56">
        <f t="shared" si="75"/>
        <v>30855289966.889999</v>
      </c>
      <c r="V179" s="22">
        <f>S179+U179</f>
        <v>31292097275.889999</v>
      </c>
      <c r="W179" s="56">
        <f>W218+W453+W561+W615+W821+W844+W879+W894+W910+W923+W936+W947+W1000+W789</f>
        <v>459094077690.55005</v>
      </c>
      <c r="X179" s="56">
        <f>X218+X453+X561+X615+X821+X844+X879+X894+X910+X923+X936+X947+X1000+X789</f>
        <v>223454431954.54001</v>
      </c>
      <c r="Y179" s="56">
        <f>Y218+Y453+Y561+Y615+Y821+Y844+Y879+Y894+Y910+Y923+Y936+Y947+Y1000+Y789</f>
        <v>64847010557.019997</v>
      </c>
      <c r="Z179" s="56"/>
    </row>
    <row r="180" spans="1:26" ht="18.75" customHeight="1" x14ac:dyDescent="0.2">
      <c r="C180" s="16"/>
      <c r="D180" s="17"/>
      <c r="E180" s="17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s="25" customFormat="1" ht="18.75" customHeight="1" x14ac:dyDescent="0.2">
      <c r="A181" s="58"/>
      <c r="B181" s="59"/>
      <c r="C181" s="60"/>
      <c r="D181" s="21" t="s">
        <v>284</v>
      </c>
      <c r="E181" s="61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3"/>
    </row>
    <row r="182" spans="1:26" ht="18.75" customHeight="1" x14ac:dyDescent="0.2">
      <c r="A182" s="35"/>
      <c r="B182" s="36"/>
      <c r="C182" s="37"/>
      <c r="D182" s="29" t="s">
        <v>285</v>
      </c>
      <c r="E182" s="38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0"/>
      <c r="W182" s="39"/>
      <c r="X182" s="39"/>
      <c r="Y182" s="39"/>
      <c r="Z182" s="18"/>
    </row>
    <row r="183" spans="1:26" ht="18.75" customHeight="1" x14ac:dyDescent="0.2">
      <c r="A183" s="35"/>
      <c r="B183" s="36"/>
      <c r="C183" s="37"/>
      <c r="D183" s="29" t="s">
        <v>286</v>
      </c>
      <c r="E183" s="38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0"/>
      <c r="W183" s="39"/>
      <c r="X183" s="39"/>
      <c r="Y183" s="39"/>
      <c r="Z183" s="18"/>
    </row>
    <row r="184" spans="1:26" ht="18.75" customHeight="1" x14ac:dyDescent="0.2">
      <c r="A184" s="35"/>
      <c r="B184" s="36"/>
      <c r="C184" s="37"/>
      <c r="D184" s="29" t="s">
        <v>179</v>
      </c>
      <c r="E184" s="38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0"/>
      <c r="W184" s="39"/>
      <c r="X184" s="39"/>
      <c r="Y184" s="39"/>
      <c r="Z184" s="18"/>
    </row>
    <row r="185" spans="1:26" ht="18.75" customHeight="1" x14ac:dyDescent="0.2">
      <c r="A185" s="14"/>
      <c r="B185" s="15"/>
      <c r="C185" s="16"/>
      <c r="D185" s="29" t="s">
        <v>181</v>
      </c>
      <c r="E185" s="17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30"/>
      <c r="W185" s="18"/>
      <c r="X185" s="18"/>
      <c r="Y185" s="18"/>
      <c r="Z185" s="18"/>
    </row>
    <row r="186" spans="1:26" ht="18.75" customHeight="1" x14ac:dyDescent="0.2">
      <c r="A186" s="14"/>
      <c r="B186" s="15"/>
      <c r="C186" s="16"/>
      <c r="D186" s="29" t="s">
        <v>287</v>
      </c>
      <c r="E186" s="17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30"/>
      <c r="W186" s="18"/>
      <c r="X186" s="18"/>
      <c r="Y186" s="18"/>
      <c r="Z186" s="18"/>
    </row>
    <row r="187" spans="1:26" ht="25.5" x14ac:dyDescent="0.2">
      <c r="A187" s="35"/>
      <c r="B187" s="36"/>
      <c r="C187" s="28" t="s">
        <v>288</v>
      </c>
      <c r="D187" s="29" t="s">
        <v>289</v>
      </c>
      <c r="E187" s="38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0"/>
      <c r="W187" s="39"/>
      <c r="X187" s="39"/>
      <c r="Y187" s="39"/>
      <c r="Z187" s="18"/>
    </row>
    <row r="188" spans="1:26" ht="18.75" customHeight="1" x14ac:dyDescent="0.2">
      <c r="A188" s="14" t="s">
        <v>55</v>
      </c>
      <c r="B188" s="15" t="s">
        <v>56</v>
      </c>
      <c r="C188" s="16" t="s">
        <v>290</v>
      </c>
      <c r="D188" s="17" t="s">
        <v>233</v>
      </c>
      <c r="E188" s="17" t="s">
        <v>58</v>
      </c>
      <c r="F188" s="18">
        <v>100000000</v>
      </c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18">
        <v>100000000</v>
      </c>
      <c r="M188" s="18">
        <v>0</v>
      </c>
      <c r="N188" s="18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1">
        <f t="shared" ref="V188:V216" si="76">S188+U188</f>
        <v>0</v>
      </c>
      <c r="W188" s="18">
        <v>100000000</v>
      </c>
      <c r="X188" s="34">
        <v>0</v>
      </c>
      <c r="Y188" s="34">
        <v>0</v>
      </c>
      <c r="Z188" s="32">
        <f t="shared" ref="Z188" si="77">R188/L188</f>
        <v>0</v>
      </c>
    </row>
    <row r="189" spans="1:26" ht="18.75" customHeight="1" x14ac:dyDescent="0.2">
      <c r="A189" s="14"/>
      <c r="B189" s="15"/>
      <c r="C189" s="16"/>
      <c r="D189" s="29" t="s">
        <v>291</v>
      </c>
      <c r="E189" s="17"/>
      <c r="F189" s="18"/>
      <c r="G189" s="18"/>
      <c r="H189" s="18"/>
      <c r="I189" s="18"/>
      <c r="J189" s="18"/>
      <c r="K189" s="18"/>
      <c r="L189" s="18"/>
      <c r="M189" s="18"/>
      <c r="N189" s="18"/>
      <c r="O189" s="34"/>
      <c r="P189" s="34"/>
      <c r="Q189" s="34"/>
      <c r="R189" s="34"/>
      <c r="S189" s="34"/>
      <c r="T189" s="34"/>
      <c r="U189" s="34"/>
      <c r="V189" s="31"/>
      <c r="W189" s="18"/>
      <c r="X189" s="34"/>
      <c r="Y189" s="34"/>
      <c r="Z189" s="18"/>
    </row>
    <row r="190" spans="1:26" ht="18.75" customHeight="1" x14ac:dyDescent="0.2">
      <c r="A190" s="14"/>
      <c r="B190" s="15"/>
      <c r="C190" s="28" t="s">
        <v>288</v>
      </c>
      <c r="D190" s="29" t="s">
        <v>292</v>
      </c>
      <c r="E190" s="17"/>
      <c r="F190" s="18"/>
      <c r="G190" s="34"/>
      <c r="H190" s="34"/>
      <c r="I190" s="34"/>
      <c r="J190" s="34"/>
      <c r="K190" s="34"/>
      <c r="L190" s="18"/>
      <c r="M190" s="18"/>
      <c r="N190" s="18"/>
      <c r="O190" s="34"/>
      <c r="P190" s="34"/>
      <c r="Q190" s="34"/>
      <c r="R190" s="34"/>
      <c r="S190" s="34"/>
      <c r="T190" s="34"/>
      <c r="U190" s="34"/>
      <c r="V190" s="31"/>
      <c r="W190" s="18"/>
      <c r="X190" s="34"/>
      <c r="Y190" s="34"/>
      <c r="Z190" s="18"/>
    </row>
    <row r="191" spans="1:26" ht="18.75" customHeight="1" x14ac:dyDescent="0.2">
      <c r="A191" s="14" t="s">
        <v>55</v>
      </c>
      <c r="B191" s="15" t="s">
        <v>56</v>
      </c>
      <c r="C191" s="16" t="s">
        <v>293</v>
      </c>
      <c r="D191" s="17" t="s">
        <v>233</v>
      </c>
      <c r="E191" s="17" t="s">
        <v>58</v>
      </c>
      <c r="F191" s="18">
        <v>500000000</v>
      </c>
      <c r="G191" s="34">
        <v>0</v>
      </c>
      <c r="H191" s="34">
        <v>0</v>
      </c>
      <c r="I191" s="34">
        <v>0</v>
      </c>
      <c r="J191" s="34">
        <v>0</v>
      </c>
      <c r="K191" s="34">
        <v>0</v>
      </c>
      <c r="L191" s="18">
        <v>500000000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0</v>
      </c>
      <c r="V191" s="31">
        <f t="shared" si="76"/>
        <v>0</v>
      </c>
      <c r="W191" s="18">
        <v>500000000</v>
      </c>
      <c r="X191" s="34">
        <v>0</v>
      </c>
      <c r="Y191" s="34">
        <v>0</v>
      </c>
      <c r="Z191" s="32">
        <f t="shared" ref="Z191" si="78">R191/L191</f>
        <v>0</v>
      </c>
    </row>
    <row r="192" spans="1:26" ht="27" customHeight="1" x14ac:dyDescent="0.2">
      <c r="A192" s="14"/>
      <c r="B192" s="15"/>
      <c r="C192" s="28" t="s">
        <v>288</v>
      </c>
      <c r="D192" s="29" t="s">
        <v>294</v>
      </c>
      <c r="E192" s="17"/>
      <c r="F192" s="18"/>
      <c r="G192" s="34"/>
      <c r="H192" s="34"/>
      <c r="I192" s="34"/>
      <c r="J192" s="34"/>
      <c r="K192" s="34"/>
      <c r="L192" s="18"/>
      <c r="M192" s="34"/>
      <c r="N192" s="34"/>
      <c r="O192" s="34"/>
      <c r="P192" s="34"/>
      <c r="Q192" s="34"/>
      <c r="R192" s="34"/>
      <c r="S192" s="34"/>
      <c r="T192" s="34"/>
      <c r="U192" s="34"/>
      <c r="V192" s="31"/>
      <c r="W192" s="18"/>
      <c r="X192" s="34"/>
      <c r="Y192" s="34"/>
      <c r="Z192" s="18"/>
    </row>
    <row r="193" spans="1:26" ht="18.75" customHeight="1" x14ac:dyDescent="0.2">
      <c r="A193" s="14" t="s">
        <v>55</v>
      </c>
      <c r="B193" s="15" t="s">
        <v>56</v>
      </c>
      <c r="C193" s="16" t="s">
        <v>295</v>
      </c>
      <c r="D193" s="17" t="s">
        <v>233</v>
      </c>
      <c r="E193" s="17" t="s">
        <v>58</v>
      </c>
      <c r="F193" s="18">
        <v>400000000</v>
      </c>
      <c r="G193" s="34">
        <v>0</v>
      </c>
      <c r="H193" s="34">
        <v>0</v>
      </c>
      <c r="I193" s="34">
        <v>0</v>
      </c>
      <c r="J193" s="34">
        <v>0</v>
      </c>
      <c r="K193" s="34">
        <v>0</v>
      </c>
      <c r="L193" s="18">
        <v>400000000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0</v>
      </c>
      <c r="U193" s="34">
        <v>0</v>
      </c>
      <c r="V193" s="31">
        <f t="shared" si="76"/>
        <v>0</v>
      </c>
      <c r="W193" s="18">
        <v>400000000</v>
      </c>
      <c r="X193" s="34">
        <v>0</v>
      </c>
      <c r="Y193" s="34">
        <v>0</v>
      </c>
      <c r="Z193" s="32">
        <f t="shared" ref="Z193" si="79">R193/L193</f>
        <v>0</v>
      </c>
    </row>
    <row r="194" spans="1:26" ht="18.75" customHeight="1" x14ac:dyDescent="0.2">
      <c r="A194" s="14"/>
      <c r="B194" s="15"/>
      <c r="C194" s="16"/>
      <c r="D194" s="17"/>
      <c r="E194" s="17"/>
      <c r="F194" s="18"/>
      <c r="G194" s="34"/>
      <c r="H194" s="34"/>
      <c r="I194" s="34"/>
      <c r="J194" s="34"/>
      <c r="K194" s="34"/>
      <c r="L194" s="18"/>
      <c r="M194" s="34"/>
      <c r="N194" s="34"/>
      <c r="O194" s="34"/>
      <c r="P194" s="34"/>
      <c r="Q194" s="34"/>
      <c r="R194" s="34"/>
      <c r="S194" s="34"/>
      <c r="T194" s="34"/>
      <c r="U194" s="18"/>
      <c r="V194" s="30"/>
      <c r="W194" s="18"/>
      <c r="X194" s="18"/>
      <c r="Y194" s="18"/>
      <c r="Z194" s="18"/>
    </row>
    <row r="195" spans="1:26" ht="18.75" customHeight="1" x14ac:dyDescent="0.2">
      <c r="A195" s="14"/>
      <c r="B195" s="15"/>
      <c r="C195" s="16"/>
      <c r="D195" s="29" t="s">
        <v>189</v>
      </c>
      <c r="E195" s="17"/>
      <c r="F195" s="18"/>
      <c r="G195" s="34"/>
      <c r="H195" s="34"/>
      <c r="I195" s="34"/>
      <c r="J195" s="34"/>
      <c r="K195" s="34"/>
      <c r="L195" s="18"/>
      <c r="M195" s="34"/>
      <c r="N195" s="34"/>
      <c r="O195" s="34"/>
      <c r="P195" s="34"/>
      <c r="Q195" s="34"/>
      <c r="R195" s="34"/>
      <c r="S195" s="34"/>
      <c r="T195" s="34"/>
      <c r="U195" s="18"/>
      <c r="V195" s="30"/>
      <c r="W195" s="18"/>
      <c r="X195" s="18"/>
      <c r="Y195" s="18"/>
      <c r="Z195" s="18"/>
    </row>
    <row r="196" spans="1:26" ht="18.75" customHeight="1" x14ac:dyDescent="0.2">
      <c r="A196" s="14"/>
      <c r="B196" s="15"/>
      <c r="C196" s="16"/>
      <c r="D196" s="29" t="s">
        <v>191</v>
      </c>
      <c r="E196" s="17"/>
      <c r="F196" s="18"/>
      <c r="G196" s="34"/>
      <c r="H196" s="34"/>
      <c r="I196" s="34"/>
      <c r="J196" s="34"/>
      <c r="K196" s="34"/>
      <c r="L196" s="18"/>
      <c r="M196" s="34"/>
      <c r="N196" s="34"/>
      <c r="O196" s="34"/>
      <c r="P196" s="34"/>
      <c r="Q196" s="34"/>
      <c r="R196" s="34"/>
      <c r="S196" s="34"/>
      <c r="T196" s="34"/>
      <c r="U196" s="18"/>
      <c r="V196" s="30"/>
      <c r="W196" s="18"/>
      <c r="X196" s="18"/>
      <c r="Y196" s="18"/>
      <c r="Z196" s="18"/>
    </row>
    <row r="197" spans="1:26" ht="18.75" customHeight="1" x14ac:dyDescent="0.2">
      <c r="A197" s="14"/>
      <c r="B197" s="15"/>
      <c r="C197" s="28" t="s">
        <v>288</v>
      </c>
      <c r="D197" s="29" t="s">
        <v>296</v>
      </c>
      <c r="E197" s="17"/>
      <c r="F197" s="18"/>
      <c r="G197" s="34"/>
      <c r="H197" s="34"/>
      <c r="I197" s="34"/>
      <c r="J197" s="34"/>
      <c r="K197" s="34"/>
      <c r="L197" s="18"/>
      <c r="M197" s="34"/>
      <c r="N197" s="34"/>
      <c r="O197" s="34"/>
      <c r="P197" s="34"/>
      <c r="Q197" s="34"/>
      <c r="R197" s="34"/>
      <c r="S197" s="34"/>
      <c r="T197" s="34"/>
      <c r="U197" s="18"/>
      <c r="V197" s="30"/>
      <c r="W197" s="18"/>
      <c r="X197" s="18"/>
      <c r="Y197" s="18"/>
      <c r="Z197" s="18"/>
    </row>
    <row r="198" spans="1:26" ht="18.75" customHeight="1" x14ac:dyDescent="0.2">
      <c r="A198" s="14" t="s">
        <v>55</v>
      </c>
      <c r="B198" s="15" t="s">
        <v>56</v>
      </c>
      <c r="C198" s="16" t="s">
        <v>297</v>
      </c>
      <c r="D198" s="17" t="s">
        <v>233</v>
      </c>
      <c r="E198" s="17" t="s">
        <v>58</v>
      </c>
      <c r="F198" s="18">
        <v>200000000</v>
      </c>
      <c r="G198" s="34">
        <v>0</v>
      </c>
      <c r="H198" s="34">
        <v>0</v>
      </c>
      <c r="I198" s="34">
        <v>0</v>
      </c>
      <c r="J198" s="34">
        <v>0</v>
      </c>
      <c r="K198" s="34">
        <v>0</v>
      </c>
      <c r="L198" s="18">
        <v>200000000</v>
      </c>
      <c r="M198" s="34">
        <v>0</v>
      </c>
      <c r="N198" s="34">
        <v>0</v>
      </c>
      <c r="O198" s="34">
        <v>0</v>
      </c>
      <c r="P198" s="34">
        <v>0</v>
      </c>
      <c r="Q198" s="34">
        <v>0</v>
      </c>
      <c r="R198" s="34">
        <v>0</v>
      </c>
      <c r="S198" s="34">
        <v>0</v>
      </c>
      <c r="T198" s="34">
        <v>0</v>
      </c>
      <c r="U198" s="34">
        <v>0</v>
      </c>
      <c r="V198" s="31">
        <f t="shared" si="76"/>
        <v>0</v>
      </c>
      <c r="W198" s="18">
        <v>200000000</v>
      </c>
      <c r="X198" s="18">
        <v>0</v>
      </c>
      <c r="Y198" s="18">
        <v>0</v>
      </c>
      <c r="Z198" s="32">
        <f t="shared" ref="Z198" si="80">R198/L198</f>
        <v>0</v>
      </c>
    </row>
    <row r="199" spans="1:26" ht="24" customHeight="1" x14ac:dyDescent="0.2">
      <c r="A199" s="14"/>
      <c r="B199" s="15"/>
      <c r="C199" s="16"/>
      <c r="D199" s="29" t="s">
        <v>298</v>
      </c>
      <c r="E199" s="17"/>
      <c r="F199" s="18"/>
      <c r="G199" s="34"/>
      <c r="H199" s="34"/>
      <c r="I199" s="34"/>
      <c r="J199" s="34"/>
      <c r="K199" s="34"/>
      <c r="L199" s="18"/>
      <c r="M199" s="18"/>
      <c r="N199" s="18"/>
      <c r="O199" s="18"/>
      <c r="P199" s="18"/>
      <c r="Q199" s="18"/>
      <c r="R199" s="18"/>
      <c r="S199" s="18"/>
      <c r="T199" s="18"/>
      <c r="U199" s="34"/>
      <c r="V199" s="31"/>
      <c r="W199" s="18"/>
      <c r="X199" s="18"/>
      <c r="Y199" s="18"/>
      <c r="Z199" s="18"/>
    </row>
    <row r="200" spans="1:26" ht="18.75" customHeight="1" x14ac:dyDescent="0.2">
      <c r="A200" s="14"/>
      <c r="B200" s="15"/>
      <c r="C200" s="28" t="s">
        <v>288</v>
      </c>
      <c r="D200" s="29" t="s">
        <v>299</v>
      </c>
      <c r="E200" s="17"/>
      <c r="F200" s="18"/>
      <c r="G200" s="34"/>
      <c r="H200" s="34"/>
      <c r="I200" s="34"/>
      <c r="J200" s="34"/>
      <c r="K200" s="34"/>
      <c r="L200" s="18"/>
      <c r="M200" s="18"/>
      <c r="N200" s="18"/>
      <c r="O200" s="18"/>
      <c r="P200" s="18"/>
      <c r="Q200" s="18"/>
      <c r="R200" s="18"/>
      <c r="S200" s="18"/>
      <c r="T200" s="18"/>
      <c r="U200" s="34"/>
      <c r="V200" s="31">
        <f t="shared" si="76"/>
        <v>0</v>
      </c>
      <c r="W200" s="18"/>
      <c r="X200" s="18"/>
      <c r="Y200" s="18"/>
      <c r="Z200" s="18"/>
    </row>
    <row r="201" spans="1:26" ht="18.75" customHeight="1" x14ac:dyDescent="0.2">
      <c r="A201" s="14" t="s">
        <v>55</v>
      </c>
      <c r="B201" s="15" t="s">
        <v>56</v>
      </c>
      <c r="C201" s="16" t="s">
        <v>300</v>
      </c>
      <c r="D201" s="17" t="s">
        <v>233</v>
      </c>
      <c r="E201" s="17" t="s">
        <v>58</v>
      </c>
      <c r="F201" s="18">
        <v>250000000</v>
      </c>
      <c r="G201" s="34">
        <v>0</v>
      </c>
      <c r="H201" s="34">
        <v>0</v>
      </c>
      <c r="I201" s="34">
        <v>0</v>
      </c>
      <c r="J201" s="34">
        <v>0</v>
      </c>
      <c r="K201" s="34">
        <v>0</v>
      </c>
      <c r="L201" s="18">
        <v>250000000</v>
      </c>
      <c r="M201" s="34">
        <v>0</v>
      </c>
      <c r="N201" s="18">
        <v>171000000</v>
      </c>
      <c r="O201" s="18">
        <v>171000000</v>
      </c>
      <c r="P201" s="18">
        <v>79000000</v>
      </c>
      <c r="Q201" s="18">
        <v>32000000</v>
      </c>
      <c r="R201" s="18">
        <v>32000000</v>
      </c>
      <c r="S201" s="18">
        <v>0</v>
      </c>
      <c r="T201" s="18">
        <v>0</v>
      </c>
      <c r="U201" s="34">
        <v>0</v>
      </c>
      <c r="V201" s="31">
        <f t="shared" si="76"/>
        <v>0</v>
      </c>
      <c r="W201" s="18">
        <v>79000000</v>
      </c>
      <c r="X201" s="18">
        <v>139000000</v>
      </c>
      <c r="Y201" s="18">
        <v>32000000</v>
      </c>
      <c r="Z201" s="32">
        <f t="shared" ref="Z201" si="81">R201/L201</f>
        <v>0.128</v>
      </c>
    </row>
    <row r="202" spans="1:26" ht="18.75" customHeight="1" x14ac:dyDescent="0.2">
      <c r="A202" s="14"/>
      <c r="B202" s="15"/>
      <c r="C202" s="28" t="s">
        <v>288</v>
      </c>
      <c r="D202" s="29" t="s">
        <v>292</v>
      </c>
      <c r="E202" s="17"/>
      <c r="F202" s="18"/>
      <c r="G202" s="34"/>
      <c r="H202" s="34"/>
      <c r="I202" s="34"/>
      <c r="J202" s="34"/>
      <c r="K202" s="34"/>
      <c r="L202" s="18"/>
      <c r="M202" s="34"/>
      <c r="N202" s="18"/>
      <c r="O202" s="18"/>
      <c r="P202" s="18"/>
      <c r="Q202" s="18"/>
      <c r="R202" s="18"/>
      <c r="S202" s="18"/>
      <c r="T202" s="18"/>
      <c r="U202" s="34"/>
      <c r="V202" s="31"/>
      <c r="W202" s="18"/>
      <c r="X202" s="18"/>
      <c r="Y202" s="18"/>
      <c r="Z202" s="18"/>
    </row>
    <row r="203" spans="1:26" ht="18.75" customHeight="1" x14ac:dyDescent="0.2">
      <c r="A203" s="35" t="s">
        <v>55</v>
      </c>
      <c r="B203" s="36" t="s">
        <v>56</v>
      </c>
      <c r="C203" s="37" t="s">
        <v>301</v>
      </c>
      <c r="D203" s="38" t="s">
        <v>233</v>
      </c>
      <c r="E203" s="38" t="s">
        <v>58</v>
      </c>
      <c r="F203" s="39">
        <v>200000000</v>
      </c>
      <c r="G203" s="40">
        <v>0</v>
      </c>
      <c r="H203" s="40">
        <v>0</v>
      </c>
      <c r="I203" s="40">
        <v>0</v>
      </c>
      <c r="J203" s="40">
        <v>0</v>
      </c>
      <c r="K203" s="40">
        <v>0</v>
      </c>
      <c r="L203" s="39">
        <v>200000000</v>
      </c>
      <c r="M203" s="40">
        <v>0</v>
      </c>
      <c r="N203" s="39">
        <v>0</v>
      </c>
      <c r="O203" s="40">
        <v>0</v>
      </c>
      <c r="P203" s="40">
        <v>0</v>
      </c>
      <c r="Q203" s="40">
        <v>0</v>
      </c>
      <c r="R203" s="40">
        <v>0</v>
      </c>
      <c r="S203" s="40">
        <v>0</v>
      </c>
      <c r="T203" s="40">
        <v>0</v>
      </c>
      <c r="U203" s="40">
        <v>0</v>
      </c>
      <c r="V203" s="31">
        <f t="shared" si="76"/>
        <v>0</v>
      </c>
      <c r="W203" s="39">
        <v>200000000</v>
      </c>
      <c r="X203" s="40">
        <v>0</v>
      </c>
      <c r="Y203" s="40">
        <v>0</v>
      </c>
      <c r="Z203" s="32">
        <f t="shared" ref="Z203" si="82">R203/L203</f>
        <v>0</v>
      </c>
    </row>
    <row r="204" spans="1:26" ht="24.75" customHeight="1" x14ac:dyDescent="0.2">
      <c r="A204" s="14"/>
      <c r="B204" s="15"/>
      <c r="C204" s="28" t="s">
        <v>288</v>
      </c>
      <c r="D204" s="29" t="s">
        <v>302</v>
      </c>
      <c r="E204" s="17"/>
      <c r="F204" s="18"/>
      <c r="G204" s="34"/>
      <c r="H204" s="34"/>
      <c r="I204" s="34"/>
      <c r="J204" s="34"/>
      <c r="K204" s="34"/>
      <c r="L204" s="18"/>
      <c r="M204" s="18"/>
      <c r="N204" s="18"/>
      <c r="O204" s="34"/>
      <c r="P204" s="34"/>
      <c r="Q204" s="34"/>
      <c r="R204" s="34"/>
      <c r="S204" s="34"/>
      <c r="T204" s="34"/>
      <c r="U204" s="34"/>
      <c r="V204" s="31"/>
      <c r="W204" s="18"/>
      <c r="X204" s="34"/>
      <c r="Y204" s="34"/>
      <c r="Z204" s="18"/>
    </row>
    <row r="205" spans="1:26" ht="18.75" customHeight="1" x14ac:dyDescent="0.2">
      <c r="A205" s="14" t="s">
        <v>55</v>
      </c>
      <c r="B205" s="15" t="s">
        <v>56</v>
      </c>
      <c r="C205" s="16" t="s">
        <v>303</v>
      </c>
      <c r="D205" s="17" t="s">
        <v>233</v>
      </c>
      <c r="E205" s="17" t="s">
        <v>58</v>
      </c>
      <c r="F205" s="18">
        <v>850000000</v>
      </c>
      <c r="G205" s="34">
        <v>0</v>
      </c>
      <c r="H205" s="34">
        <v>0</v>
      </c>
      <c r="I205" s="34">
        <v>0</v>
      </c>
      <c r="J205" s="34">
        <v>0</v>
      </c>
      <c r="K205" s="34">
        <v>0</v>
      </c>
      <c r="L205" s="18">
        <v>850000000</v>
      </c>
      <c r="M205" s="18">
        <v>437000000</v>
      </c>
      <c r="N205" s="18">
        <v>0</v>
      </c>
      <c r="O205" s="34">
        <v>0</v>
      </c>
      <c r="P205" s="34">
        <v>0</v>
      </c>
      <c r="Q205" s="34">
        <v>0</v>
      </c>
      <c r="R205" s="34">
        <v>0</v>
      </c>
      <c r="S205" s="34">
        <v>0</v>
      </c>
      <c r="T205" s="34">
        <v>0</v>
      </c>
      <c r="U205" s="34">
        <v>0</v>
      </c>
      <c r="V205" s="31">
        <f t="shared" si="76"/>
        <v>0</v>
      </c>
      <c r="W205" s="18">
        <v>850000000</v>
      </c>
      <c r="X205" s="34">
        <v>0</v>
      </c>
      <c r="Y205" s="34">
        <v>0</v>
      </c>
      <c r="Z205" s="32">
        <f t="shared" ref="Z205" si="83">R205/L205</f>
        <v>0</v>
      </c>
    </row>
    <row r="206" spans="1:26" ht="18.75" customHeight="1" x14ac:dyDescent="0.2">
      <c r="A206" s="35"/>
      <c r="B206" s="36"/>
      <c r="C206" s="28" t="s">
        <v>288</v>
      </c>
      <c r="D206" s="29" t="s">
        <v>304</v>
      </c>
      <c r="E206" s="38"/>
      <c r="F206" s="39"/>
      <c r="G206" s="40"/>
      <c r="H206" s="40"/>
      <c r="I206" s="40"/>
      <c r="J206" s="40"/>
      <c r="K206" s="40"/>
      <c r="L206" s="39"/>
      <c r="M206" s="39"/>
      <c r="N206" s="39"/>
      <c r="O206" s="40"/>
      <c r="P206" s="40"/>
      <c r="Q206" s="40"/>
      <c r="R206" s="40"/>
      <c r="S206" s="40"/>
      <c r="T206" s="40"/>
      <c r="U206" s="40"/>
      <c r="V206" s="31"/>
      <c r="W206" s="39"/>
      <c r="X206" s="40"/>
      <c r="Y206" s="40"/>
      <c r="Z206" s="18"/>
    </row>
    <row r="207" spans="1:26" ht="18.75" customHeight="1" x14ac:dyDescent="0.2">
      <c r="A207" s="14" t="s">
        <v>55</v>
      </c>
      <c r="B207" s="15" t="s">
        <v>56</v>
      </c>
      <c r="C207" s="16" t="s">
        <v>305</v>
      </c>
      <c r="D207" s="17" t="s">
        <v>233</v>
      </c>
      <c r="E207" s="17" t="s">
        <v>58</v>
      </c>
      <c r="F207" s="18">
        <v>100000000</v>
      </c>
      <c r="G207" s="34">
        <v>0</v>
      </c>
      <c r="H207" s="34">
        <v>0</v>
      </c>
      <c r="I207" s="34">
        <v>0</v>
      </c>
      <c r="J207" s="34">
        <v>0</v>
      </c>
      <c r="K207" s="34">
        <v>0</v>
      </c>
      <c r="L207" s="18">
        <v>100000000</v>
      </c>
      <c r="M207" s="34">
        <v>0</v>
      </c>
      <c r="N207" s="34">
        <v>0</v>
      </c>
      <c r="O207" s="34">
        <v>0</v>
      </c>
      <c r="P207" s="34">
        <v>0</v>
      </c>
      <c r="Q207" s="34">
        <v>0</v>
      </c>
      <c r="R207" s="34">
        <v>0</v>
      </c>
      <c r="S207" s="34">
        <v>0</v>
      </c>
      <c r="T207" s="34">
        <v>0</v>
      </c>
      <c r="U207" s="34">
        <v>0</v>
      </c>
      <c r="V207" s="31">
        <f t="shared" si="76"/>
        <v>0</v>
      </c>
      <c r="W207" s="18">
        <v>100000000</v>
      </c>
      <c r="X207" s="34">
        <v>0</v>
      </c>
      <c r="Y207" s="34">
        <v>0</v>
      </c>
      <c r="Z207" s="32">
        <f t="shared" ref="Z207" si="84">R207/L207</f>
        <v>0</v>
      </c>
    </row>
    <row r="208" spans="1:26" ht="18.75" customHeight="1" x14ac:dyDescent="0.2">
      <c r="A208" s="35"/>
      <c r="B208" s="36"/>
      <c r="C208" s="28" t="s">
        <v>288</v>
      </c>
      <c r="D208" s="29" t="s">
        <v>306</v>
      </c>
      <c r="E208" s="38"/>
      <c r="F208" s="39"/>
      <c r="G208" s="40"/>
      <c r="H208" s="40"/>
      <c r="I208" s="40"/>
      <c r="J208" s="40"/>
      <c r="K208" s="40"/>
      <c r="L208" s="39"/>
      <c r="M208" s="40"/>
      <c r="N208" s="40"/>
      <c r="O208" s="40"/>
      <c r="P208" s="40"/>
      <c r="Q208" s="40"/>
      <c r="R208" s="40"/>
      <c r="S208" s="40"/>
      <c r="T208" s="40"/>
      <c r="U208" s="39"/>
      <c r="V208" s="30">
        <f t="shared" si="76"/>
        <v>0</v>
      </c>
      <c r="W208" s="39"/>
      <c r="X208" s="39"/>
      <c r="Y208" s="39"/>
      <c r="Z208" s="18"/>
    </row>
    <row r="209" spans="1:26" ht="18.75" customHeight="1" x14ac:dyDescent="0.2">
      <c r="A209" s="14" t="s">
        <v>55</v>
      </c>
      <c r="B209" s="15" t="s">
        <v>56</v>
      </c>
      <c r="C209" s="16" t="s">
        <v>307</v>
      </c>
      <c r="D209" s="17" t="s">
        <v>233</v>
      </c>
      <c r="E209" s="17" t="s">
        <v>58</v>
      </c>
      <c r="F209" s="18">
        <v>50000000</v>
      </c>
      <c r="G209" s="34">
        <v>0</v>
      </c>
      <c r="H209" s="34">
        <v>0</v>
      </c>
      <c r="I209" s="34">
        <v>0</v>
      </c>
      <c r="J209" s="34">
        <v>0</v>
      </c>
      <c r="K209" s="34">
        <v>0</v>
      </c>
      <c r="L209" s="18">
        <v>50000000</v>
      </c>
      <c r="M209" s="34">
        <v>0</v>
      </c>
      <c r="N209" s="34">
        <v>0</v>
      </c>
      <c r="O209" s="34">
        <v>0</v>
      </c>
      <c r="P209" s="34">
        <v>0</v>
      </c>
      <c r="Q209" s="34">
        <v>0</v>
      </c>
      <c r="R209" s="34">
        <v>0</v>
      </c>
      <c r="S209" s="34">
        <v>0</v>
      </c>
      <c r="T209" s="34">
        <v>0</v>
      </c>
      <c r="U209" s="34">
        <v>0</v>
      </c>
      <c r="V209" s="31">
        <f t="shared" si="76"/>
        <v>0</v>
      </c>
      <c r="W209" s="18">
        <v>50000000</v>
      </c>
      <c r="X209" s="18">
        <v>0</v>
      </c>
      <c r="Y209" s="18">
        <v>0</v>
      </c>
      <c r="Z209" s="32">
        <f t="shared" ref="Z209" si="85">R209/L209</f>
        <v>0</v>
      </c>
    </row>
    <row r="210" spans="1:26" ht="18.75" customHeight="1" x14ac:dyDescent="0.2">
      <c r="A210" s="14"/>
      <c r="B210" s="15"/>
      <c r="C210" s="28" t="s">
        <v>288</v>
      </c>
      <c r="D210" s="29" t="s">
        <v>308</v>
      </c>
      <c r="E210" s="17"/>
      <c r="F210" s="18"/>
      <c r="G210" s="34"/>
      <c r="H210" s="34"/>
      <c r="I210" s="34"/>
      <c r="J210" s="34"/>
      <c r="K210" s="34"/>
      <c r="L210" s="18"/>
      <c r="M210" s="34"/>
      <c r="N210" s="34"/>
      <c r="O210" s="34"/>
      <c r="P210" s="34"/>
      <c r="Q210" s="34"/>
      <c r="R210" s="34"/>
      <c r="S210" s="34"/>
      <c r="T210" s="34"/>
      <c r="U210" s="34"/>
      <c r="V210" s="31">
        <f t="shared" si="76"/>
        <v>0</v>
      </c>
      <c r="W210" s="18"/>
      <c r="X210" s="18"/>
      <c r="Y210" s="18"/>
      <c r="Z210" s="18"/>
    </row>
    <row r="211" spans="1:26" ht="18.75" customHeight="1" x14ac:dyDescent="0.2">
      <c r="A211" s="35" t="s">
        <v>55</v>
      </c>
      <c r="B211" s="36" t="s">
        <v>56</v>
      </c>
      <c r="C211" s="37" t="s">
        <v>309</v>
      </c>
      <c r="D211" s="38" t="s">
        <v>233</v>
      </c>
      <c r="E211" s="38" t="s">
        <v>58</v>
      </c>
      <c r="F211" s="39">
        <v>50000000</v>
      </c>
      <c r="G211" s="40">
        <v>0</v>
      </c>
      <c r="H211" s="40">
        <v>0</v>
      </c>
      <c r="I211" s="40">
        <v>0</v>
      </c>
      <c r="J211" s="40">
        <v>0</v>
      </c>
      <c r="K211" s="40">
        <v>0</v>
      </c>
      <c r="L211" s="39">
        <v>50000000</v>
      </c>
      <c r="M211" s="40">
        <v>0</v>
      </c>
      <c r="N211" s="40">
        <v>0</v>
      </c>
      <c r="O211" s="40">
        <v>0</v>
      </c>
      <c r="P211" s="40">
        <v>0</v>
      </c>
      <c r="Q211" s="40">
        <v>0</v>
      </c>
      <c r="R211" s="40">
        <v>0</v>
      </c>
      <c r="S211" s="40">
        <v>0</v>
      </c>
      <c r="T211" s="40">
        <v>0</v>
      </c>
      <c r="U211" s="40">
        <v>0</v>
      </c>
      <c r="V211" s="31">
        <f t="shared" si="76"/>
        <v>0</v>
      </c>
      <c r="W211" s="39">
        <v>50000000</v>
      </c>
      <c r="X211" s="39">
        <v>0</v>
      </c>
      <c r="Y211" s="39">
        <v>0</v>
      </c>
      <c r="Z211" s="32">
        <f t="shared" ref="Z211" si="86">R211/L211</f>
        <v>0</v>
      </c>
    </row>
    <row r="212" spans="1:26" ht="18.75" customHeight="1" x14ac:dyDescent="0.2">
      <c r="A212" s="14"/>
      <c r="B212" s="15"/>
      <c r="C212" s="28" t="s">
        <v>288</v>
      </c>
      <c r="D212" s="29" t="s">
        <v>310</v>
      </c>
      <c r="E212" s="17"/>
      <c r="F212" s="18"/>
      <c r="G212" s="34"/>
      <c r="H212" s="34"/>
      <c r="I212" s="34"/>
      <c r="J212" s="34"/>
      <c r="K212" s="34"/>
      <c r="L212" s="18"/>
      <c r="M212" s="18"/>
      <c r="N212" s="18"/>
      <c r="O212" s="18"/>
      <c r="P212" s="18"/>
      <c r="Q212" s="18"/>
      <c r="R212" s="18"/>
      <c r="S212" s="18"/>
      <c r="T212" s="18"/>
      <c r="U212" s="34"/>
      <c r="V212" s="31"/>
      <c r="W212" s="18"/>
      <c r="X212" s="18"/>
      <c r="Y212" s="18"/>
      <c r="Z212" s="18"/>
    </row>
    <row r="213" spans="1:26" ht="18.75" customHeight="1" x14ac:dyDescent="0.2">
      <c r="A213" s="14" t="s">
        <v>55</v>
      </c>
      <c r="B213" s="15" t="s">
        <v>56</v>
      </c>
      <c r="C213" s="16" t="s">
        <v>311</v>
      </c>
      <c r="D213" s="17" t="s">
        <v>233</v>
      </c>
      <c r="E213" s="17" t="s">
        <v>58</v>
      </c>
      <c r="F213" s="18">
        <v>1400000000</v>
      </c>
      <c r="G213" s="34">
        <v>0</v>
      </c>
      <c r="H213" s="34">
        <v>0</v>
      </c>
      <c r="I213" s="34">
        <v>0</v>
      </c>
      <c r="J213" s="34">
        <v>0</v>
      </c>
      <c r="K213" s="34">
        <v>0</v>
      </c>
      <c r="L213" s="18">
        <v>1400000000</v>
      </c>
      <c r="M213" s="34">
        <v>0</v>
      </c>
      <c r="N213" s="18">
        <v>425500000</v>
      </c>
      <c r="O213" s="18">
        <v>425500000</v>
      </c>
      <c r="P213" s="18">
        <v>129500000</v>
      </c>
      <c r="Q213" s="18">
        <v>296000000</v>
      </c>
      <c r="R213" s="18">
        <v>296000000</v>
      </c>
      <c r="S213" s="34">
        <v>0</v>
      </c>
      <c r="T213" s="34">
        <v>0</v>
      </c>
      <c r="U213" s="34">
        <v>0</v>
      </c>
      <c r="V213" s="31">
        <f t="shared" si="76"/>
        <v>0</v>
      </c>
      <c r="W213" s="18">
        <v>974500000</v>
      </c>
      <c r="X213" s="18">
        <v>129500000</v>
      </c>
      <c r="Y213" s="18">
        <v>296000000</v>
      </c>
      <c r="Z213" s="32">
        <f t="shared" ref="Z213" si="87">R213/L213</f>
        <v>0.21142857142857144</v>
      </c>
    </row>
    <row r="214" spans="1:26" ht="18.75" customHeight="1" x14ac:dyDescent="0.2">
      <c r="A214" s="35"/>
      <c r="B214" s="36"/>
      <c r="C214" s="37"/>
      <c r="D214" s="29" t="s">
        <v>199</v>
      </c>
      <c r="E214" s="38"/>
      <c r="F214" s="39"/>
      <c r="G214" s="40"/>
      <c r="H214" s="40"/>
      <c r="I214" s="40"/>
      <c r="J214" s="40"/>
      <c r="K214" s="40"/>
      <c r="L214" s="39"/>
      <c r="M214" s="40"/>
      <c r="N214" s="39"/>
      <c r="O214" s="39"/>
      <c r="P214" s="39"/>
      <c r="Q214" s="39"/>
      <c r="R214" s="39"/>
      <c r="S214" s="40"/>
      <c r="T214" s="40"/>
      <c r="U214" s="40"/>
      <c r="V214" s="31"/>
      <c r="W214" s="39"/>
      <c r="X214" s="39"/>
      <c r="Y214" s="39"/>
      <c r="Z214" s="18"/>
    </row>
    <row r="215" spans="1:26" ht="26.25" customHeight="1" x14ac:dyDescent="0.2">
      <c r="A215" s="14"/>
      <c r="B215" s="15"/>
      <c r="C215" s="28" t="s">
        <v>288</v>
      </c>
      <c r="D215" s="29" t="s">
        <v>312</v>
      </c>
      <c r="E215" s="17"/>
      <c r="F215" s="18"/>
      <c r="G215" s="34"/>
      <c r="H215" s="34"/>
      <c r="I215" s="34"/>
      <c r="J215" s="34"/>
      <c r="K215" s="34"/>
      <c r="L215" s="18"/>
      <c r="M215" s="34"/>
      <c r="N215" s="18"/>
      <c r="O215" s="18"/>
      <c r="P215" s="18"/>
      <c r="Q215" s="18"/>
      <c r="R215" s="18"/>
      <c r="S215" s="34"/>
      <c r="T215" s="34"/>
      <c r="U215" s="34"/>
      <c r="V215" s="31"/>
      <c r="W215" s="18"/>
      <c r="X215" s="18"/>
      <c r="Y215" s="18"/>
      <c r="Z215" s="18"/>
    </row>
    <row r="216" spans="1:26" ht="18.75" customHeight="1" x14ac:dyDescent="0.2">
      <c r="A216" s="14" t="s">
        <v>55</v>
      </c>
      <c r="B216" s="15" t="s">
        <v>56</v>
      </c>
      <c r="C216" s="16" t="s">
        <v>313</v>
      </c>
      <c r="D216" s="17" t="s">
        <v>233</v>
      </c>
      <c r="E216" s="17" t="s">
        <v>58</v>
      </c>
      <c r="F216" s="18">
        <v>400000000</v>
      </c>
      <c r="G216" s="34">
        <v>0</v>
      </c>
      <c r="H216" s="34">
        <v>0</v>
      </c>
      <c r="I216" s="34">
        <v>0</v>
      </c>
      <c r="J216" s="34">
        <v>0</v>
      </c>
      <c r="K216" s="34">
        <v>0</v>
      </c>
      <c r="L216" s="18">
        <v>400000000</v>
      </c>
      <c r="M216" s="34">
        <v>0</v>
      </c>
      <c r="N216" s="34">
        <v>0</v>
      </c>
      <c r="O216" s="34">
        <v>0</v>
      </c>
      <c r="P216" s="34">
        <v>0</v>
      </c>
      <c r="Q216" s="34">
        <v>0</v>
      </c>
      <c r="R216" s="18">
        <v>0</v>
      </c>
      <c r="S216" s="34">
        <v>0</v>
      </c>
      <c r="T216" s="34">
        <v>0</v>
      </c>
      <c r="U216" s="34">
        <v>0</v>
      </c>
      <c r="V216" s="31">
        <f t="shared" si="76"/>
        <v>0</v>
      </c>
      <c r="W216" s="18">
        <v>400000000</v>
      </c>
      <c r="X216" s="18">
        <v>0</v>
      </c>
      <c r="Y216" s="18">
        <v>0</v>
      </c>
      <c r="Z216" s="32">
        <f t="shared" ref="Z216" si="88">R216/L216</f>
        <v>0</v>
      </c>
    </row>
    <row r="217" spans="1:26" ht="18.75" customHeight="1" x14ac:dyDescent="0.2">
      <c r="A217" s="14"/>
      <c r="B217" s="15"/>
      <c r="C217" s="16"/>
      <c r="D217" s="17"/>
      <c r="E217" s="17"/>
      <c r="F217" s="18"/>
      <c r="G217" s="34"/>
      <c r="H217" s="34"/>
      <c r="I217" s="34"/>
      <c r="J217" s="34"/>
      <c r="K217" s="34"/>
      <c r="L217" s="18"/>
      <c r="M217" s="18"/>
      <c r="N217" s="18"/>
      <c r="O217" s="18"/>
      <c r="P217" s="18"/>
      <c r="Q217" s="18"/>
      <c r="R217" s="18"/>
      <c r="S217" s="34"/>
      <c r="T217" s="34"/>
      <c r="U217" s="34"/>
      <c r="V217" s="31"/>
      <c r="W217" s="18"/>
      <c r="X217" s="18"/>
      <c r="Y217" s="18"/>
      <c r="Z217" s="18"/>
    </row>
    <row r="218" spans="1:26" s="25" customFormat="1" ht="18.75" customHeight="1" x14ac:dyDescent="0.2">
      <c r="A218" s="64"/>
      <c r="B218" s="65"/>
      <c r="C218" s="66"/>
      <c r="D218" s="47" t="s">
        <v>314</v>
      </c>
      <c r="E218" s="22" t="s">
        <v>315</v>
      </c>
      <c r="F218" s="22">
        <f>SUM(F187:F216)</f>
        <v>4500000000</v>
      </c>
      <c r="G218" s="23">
        <f t="shared" ref="G218:Y218" si="89">SUM(G187:G216)</f>
        <v>0</v>
      </c>
      <c r="H218" s="23">
        <f t="shared" si="89"/>
        <v>0</v>
      </c>
      <c r="I218" s="23">
        <f t="shared" si="89"/>
        <v>0</v>
      </c>
      <c r="J218" s="23">
        <f t="shared" si="89"/>
        <v>0</v>
      </c>
      <c r="K218" s="23">
        <f t="shared" si="89"/>
        <v>0</v>
      </c>
      <c r="L218" s="22">
        <f t="shared" si="89"/>
        <v>4500000000</v>
      </c>
      <c r="M218" s="22">
        <f t="shared" si="89"/>
        <v>437000000</v>
      </c>
      <c r="N218" s="22">
        <f t="shared" si="89"/>
        <v>596500000</v>
      </c>
      <c r="O218" s="22">
        <f t="shared" si="89"/>
        <v>596500000</v>
      </c>
      <c r="P218" s="22">
        <f t="shared" si="89"/>
        <v>208500000</v>
      </c>
      <c r="Q218" s="22">
        <f t="shared" si="89"/>
        <v>328000000</v>
      </c>
      <c r="R218" s="22">
        <f t="shared" si="89"/>
        <v>328000000</v>
      </c>
      <c r="S218" s="23">
        <f t="shared" si="89"/>
        <v>0</v>
      </c>
      <c r="T218" s="23">
        <f t="shared" si="89"/>
        <v>0</v>
      </c>
      <c r="U218" s="23">
        <f t="shared" si="89"/>
        <v>0</v>
      </c>
      <c r="V218" s="23">
        <f>S218+U218</f>
        <v>0</v>
      </c>
      <c r="W218" s="22">
        <f t="shared" si="89"/>
        <v>3903500000</v>
      </c>
      <c r="X218" s="22">
        <f t="shared" si="89"/>
        <v>268500000</v>
      </c>
      <c r="Y218" s="22">
        <f t="shared" si="89"/>
        <v>328000000</v>
      </c>
      <c r="Z218" s="24">
        <f t="shared" ref="Z218" si="90">R218/L218</f>
        <v>7.2888888888888892E-2</v>
      </c>
    </row>
    <row r="219" spans="1:26" ht="18.75" customHeight="1" x14ac:dyDescent="0.2">
      <c r="A219" s="14"/>
      <c r="B219" s="15"/>
      <c r="C219" s="16"/>
      <c r="D219" s="17"/>
      <c r="E219" s="17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s="25" customFormat="1" ht="18.75" customHeight="1" x14ac:dyDescent="0.2">
      <c r="A220" s="64"/>
      <c r="B220" s="65"/>
      <c r="C220" s="66"/>
      <c r="D220" s="21" t="s">
        <v>316</v>
      </c>
      <c r="E220" s="67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</row>
    <row r="221" spans="1:26" ht="18.75" customHeight="1" x14ac:dyDescent="0.2">
      <c r="A221" s="14"/>
      <c r="B221" s="15"/>
      <c r="C221" s="16"/>
      <c r="D221" s="29" t="s">
        <v>317</v>
      </c>
      <c r="E221" s="17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30"/>
      <c r="W221" s="18"/>
      <c r="X221" s="18"/>
      <c r="Y221" s="18"/>
      <c r="Z221" s="18"/>
    </row>
    <row r="222" spans="1:26" ht="18.75" customHeight="1" x14ac:dyDescent="0.2">
      <c r="A222" s="14"/>
      <c r="B222" s="15"/>
      <c r="C222" s="16"/>
      <c r="D222" s="29" t="s">
        <v>318</v>
      </c>
      <c r="E222" s="17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30"/>
      <c r="W222" s="18"/>
      <c r="X222" s="18"/>
      <c r="Y222" s="18"/>
      <c r="Z222" s="18"/>
    </row>
    <row r="223" spans="1:26" ht="25.5" x14ac:dyDescent="0.2">
      <c r="A223" s="35"/>
      <c r="B223" s="36"/>
      <c r="C223" s="37"/>
      <c r="D223" s="29" t="s">
        <v>319</v>
      </c>
      <c r="E223" s="38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0"/>
      <c r="W223" s="39"/>
      <c r="X223" s="39"/>
      <c r="Y223" s="39"/>
      <c r="Z223" s="18"/>
    </row>
    <row r="224" spans="1:26" ht="18.75" customHeight="1" x14ac:dyDescent="0.2">
      <c r="A224" s="35"/>
      <c r="B224" s="36"/>
      <c r="C224" s="37"/>
      <c r="D224" s="29" t="s">
        <v>320</v>
      </c>
      <c r="E224" s="38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0"/>
      <c r="W224" s="39"/>
      <c r="X224" s="39"/>
      <c r="Y224" s="39"/>
      <c r="Z224" s="18"/>
    </row>
    <row r="225" spans="1:26" ht="18.75" customHeight="1" x14ac:dyDescent="0.2">
      <c r="A225" s="14"/>
      <c r="B225" s="15"/>
      <c r="C225" s="16"/>
      <c r="D225" s="29" t="s">
        <v>46</v>
      </c>
      <c r="E225" s="17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30"/>
      <c r="W225" s="18"/>
      <c r="X225" s="18"/>
      <c r="Y225" s="18"/>
      <c r="Z225" s="18"/>
    </row>
    <row r="226" spans="1:26" ht="18.75" customHeight="1" x14ac:dyDescent="0.2">
      <c r="A226" s="14"/>
      <c r="B226" s="15"/>
      <c r="C226" s="16"/>
      <c r="D226" s="29" t="s">
        <v>48</v>
      </c>
      <c r="E226" s="17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30"/>
      <c r="W226" s="18"/>
      <c r="X226" s="18"/>
      <c r="Y226" s="18"/>
      <c r="Z226" s="18"/>
    </row>
    <row r="227" spans="1:26" ht="18.75" customHeight="1" x14ac:dyDescent="0.2">
      <c r="A227" s="14"/>
      <c r="B227" s="15"/>
      <c r="C227" s="16"/>
      <c r="D227" s="29" t="s">
        <v>52</v>
      </c>
      <c r="E227" s="17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30"/>
      <c r="W227" s="18"/>
      <c r="X227" s="18"/>
      <c r="Y227" s="18"/>
      <c r="Z227" s="18"/>
    </row>
    <row r="228" spans="1:26" ht="18.75" customHeight="1" x14ac:dyDescent="0.2">
      <c r="C228" s="28" t="s">
        <v>288</v>
      </c>
      <c r="D228" s="29" t="s">
        <v>54</v>
      </c>
      <c r="E228" s="17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30"/>
      <c r="W228" s="18"/>
      <c r="X228" s="18"/>
      <c r="Y228" s="18"/>
      <c r="Z228" s="18"/>
    </row>
    <row r="229" spans="1:26" ht="18.75" customHeight="1" x14ac:dyDescent="0.2">
      <c r="A229" s="4" t="s">
        <v>55</v>
      </c>
      <c r="B229" s="4" t="s">
        <v>56</v>
      </c>
      <c r="C229" s="41" t="s">
        <v>321</v>
      </c>
      <c r="D229" s="42" t="s">
        <v>322</v>
      </c>
      <c r="E229" s="38" t="s">
        <v>58</v>
      </c>
      <c r="F229" s="39">
        <v>1139356981</v>
      </c>
      <c r="G229" s="40">
        <v>0</v>
      </c>
      <c r="H229" s="40">
        <v>0</v>
      </c>
      <c r="I229" s="40">
        <v>0</v>
      </c>
      <c r="J229" s="40">
        <v>0</v>
      </c>
      <c r="K229" s="40">
        <v>0</v>
      </c>
      <c r="L229" s="39">
        <v>1139356981</v>
      </c>
      <c r="M229" s="40">
        <v>0</v>
      </c>
      <c r="N229" s="39">
        <v>678902</v>
      </c>
      <c r="O229" s="39">
        <v>678902</v>
      </c>
      <c r="P229" s="40">
        <v>0</v>
      </c>
      <c r="Q229" s="39">
        <v>279001</v>
      </c>
      <c r="R229" s="39">
        <v>279001</v>
      </c>
      <c r="S229" s="39">
        <v>0</v>
      </c>
      <c r="T229" s="39">
        <v>279001</v>
      </c>
      <c r="U229" s="39">
        <v>279001</v>
      </c>
      <c r="V229" s="30">
        <f t="shared" ref="V229:V283" si="91">S229+U229</f>
        <v>279001</v>
      </c>
      <c r="W229" s="39">
        <v>1138678079</v>
      </c>
      <c r="X229" s="39">
        <v>399901</v>
      </c>
      <c r="Y229" s="39">
        <v>0</v>
      </c>
      <c r="Z229" s="32">
        <f t="shared" ref="Z229:Z230" si="92">R229/L229</f>
        <v>2.4487584194650229E-4</v>
      </c>
    </row>
    <row r="230" spans="1:26" ht="18.75" customHeight="1" x14ac:dyDescent="0.2">
      <c r="A230" s="4" t="s">
        <v>55</v>
      </c>
      <c r="B230" s="4" t="s">
        <v>56</v>
      </c>
      <c r="C230" s="41" t="s">
        <v>323</v>
      </c>
      <c r="D230" s="42" t="s">
        <v>324</v>
      </c>
      <c r="E230" s="43" t="s">
        <v>61</v>
      </c>
      <c r="F230" s="43">
        <v>9000660718</v>
      </c>
      <c r="G230" s="44">
        <v>0</v>
      </c>
      <c r="H230" s="44">
        <v>0</v>
      </c>
      <c r="I230" s="44">
        <v>0</v>
      </c>
      <c r="J230" s="44">
        <v>0</v>
      </c>
      <c r="K230" s="44">
        <v>0</v>
      </c>
      <c r="L230" s="43">
        <v>9000660718</v>
      </c>
      <c r="M230" s="44">
        <v>0</v>
      </c>
      <c r="N230" s="43">
        <v>613736011</v>
      </c>
      <c r="O230" s="43">
        <v>613736011</v>
      </c>
      <c r="P230" s="44">
        <v>0</v>
      </c>
      <c r="Q230" s="43">
        <v>613736011</v>
      </c>
      <c r="R230" s="43">
        <v>613736011</v>
      </c>
      <c r="S230" s="44">
        <v>0</v>
      </c>
      <c r="T230" s="43">
        <v>613736011</v>
      </c>
      <c r="U230" s="43">
        <v>613736011</v>
      </c>
      <c r="V230" s="30">
        <f t="shared" si="91"/>
        <v>613736011</v>
      </c>
      <c r="W230" s="43">
        <v>8386924707</v>
      </c>
      <c r="X230" s="43">
        <v>0</v>
      </c>
      <c r="Y230" s="43">
        <v>0</v>
      </c>
      <c r="Z230" s="32">
        <f t="shared" si="92"/>
        <v>6.8187884226389966E-2</v>
      </c>
    </row>
    <row r="231" spans="1:26" ht="18.75" customHeight="1" x14ac:dyDescent="0.2">
      <c r="C231" s="28" t="s">
        <v>288</v>
      </c>
      <c r="D231" s="29" t="s">
        <v>71</v>
      </c>
      <c r="E231" s="17"/>
      <c r="F231" s="18"/>
      <c r="G231" s="34"/>
      <c r="H231" s="34"/>
      <c r="I231" s="34"/>
      <c r="J231" s="34"/>
      <c r="K231" s="34"/>
      <c r="L231" s="18"/>
      <c r="M231" s="34"/>
      <c r="N231" s="18"/>
      <c r="O231" s="18"/>
      <c r="P231" s="34"/>
      <c r="Q231" s="18"/>
      <c r="R231" s="18"/>
      <c r="S231" s="34"/>
      <c r="T231" s="18"/>
      <c r="U231" s="18"/>
      <c r="V231" s="30"/>
      <c r="W231" s="18"/>
      <c r="X231" s="18"/>
      <c r="Y231" s="18"/>
      <c r="Z231" s="18"/>
    </row>
    <row r="232" spans="1:26" ht="18.75" customHeight="1" x14ac:dyDescent="0.2">
      <c r="A232" s="4" t="s">
        <v>325</v>
      </c>
      <c r="B232" s="4" t="s">
        <v>326</v>
      </c>
      <c r="C232" s="41" t="s">
        <v>327</v>
      </c>
      <c r="D232" s="42" t="s">
        <v>328</v>
      </c>
      <c r="E232" s="43" t="s">
        <v>61</v>
      </c>
      <c r="F232" s="43">
        <v>391454539</v>
      </c>
      <c r="G232" s="44">
        <v>0</v>
      </c>
      <c r="H232" s="44">
        <v>0</v>
      </c>
      <c r="I232" s="44">
        <v>0</v>
      </c>
      <c r="J232" s="44">
        <v>0</v>
      </c>
      <c r="K232" s="44">
        <v>0</v>
      </c>
      <c r="L232" s="43">
        <v>391454539</v>
      </c>
      <c r="M232" s="44">
        <v>0</v>
      </c>
      <c r="N232" s="43">
        <v>4109290</v>
      </c>
      <c r="O232" s="43">
        <v>4109290</v>
      </c>
      <c r="P232" s="44">
        <v>0</v>
      </c>
      <c r="Q232" s="43">
        <v>4109290</v>
      </c>
      <c r="R232" s="43">
        <v>4109290</v>
      </c>
      <c r="S232" s="44">
        <v>0</v>
      </c>
      <c r="T232" s="43">
        <v>4109290</v>
      </c>
      <c r="U232" s="43">
        <v>4109290</v>
      </c>
      <c r="V232" s="30">
        <f t="shared" si="91"/>
        <v>4109290</v>
      </c>
      <c r="W232" s="43">
        <v>387345249</v>
      </c>
      <c r="X232" s="43">
        <v>0</v>
      </c>
      <c r="Y232" s="43">
        <v>0</v>
      </c>
      <c r="Z232" s="32">
        <f t="shared" ref="Z232" si="93">R232/L232</f>
        <v>1.0497489722554987E-2</v>
      </c>
    </row>
    <row r="233" spans="1:26" ht="18.75" customHeight="1" x14ac:dyDescent="0.2">
      <c r="C233" s="28" t="s">
        <v>288</v>
      </c>
      <c r="D233" s="29" t="s">
        <v>76</v>
      </c>
      <c r="E233" s="17"/>
      <c r="F233" s="18"/>
      <c r="G233" s="18"/>
      <c r="H233" s="18"/>
      <c r="I233" s="18"/>
      <c r="J233" s="18"/>
      <c r="K233" s="18"/>
      <c r="L233" s="18"/>
      <c r="M233" s="34"/>
      <c r="N233" s="18"/>
      <c r="O233" s="18"/>
      <c r="P233" s="34"/>
      <c r="Q233" s="18"/>
      <c r="R233" s="18"/>
      <c r="S233" s="34"/>
      <c r="T233" s="18"/>
      <c r="U233" s="18"/>
      <c r="V233" s="30"/>
      <c r="W233" s="18"/>
      <c r="X233" s="18"/>
      <c r="Y233" s="18"/>
      <c r="Z233" s="18"/>
    </row>
    <row r="234" spans="1:26" ht="18.75" customHeight="1" x14ac:dyDescent="0.2">
      <c r="A234" s="4" t="s">
        <v>325</v>
      </c>
      <c r="B234" s="4" t="s">
        <v>326</v>
      </c>
      <c r="C234" s="41" t="s">
        <v>329</v>
      </c>
      <c r="D234" s="42" t="s">
        <v>328</v>
      </c>
      <c r="E234" s="43" t="s">
        <v>61</v>
      </c>
      <c r="F234" s="43">
        <v>277293782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3">
        <v>277293782</v>
      </c>
      <c r="M234" s="44">
        <v>0</v>
      </c>
      <c r="N234" s="43">
        <v>19219918</v>
      </c>
      <c r="O234" s="43">
        <v>19219918</v>
      </c>
      <c r="P234" s="44">
        <v>0</v>
      </c>
      <c r="Q234" s="43">
        <v>19219918</v>
      </c>
      <c r="R234" s="43">
        <v>19219918</v>
      </c>
      <c r="S234" s="44">
        <v>0</v>
      </c>
      <c r="T234" s="43">
        <v>19219918</v>
      </c>
      <c r="U234" s="43">
        <v>19219918</v>
      </c>
      <c r="V234" s="30">
        <f t="shared" si="91"/>
        <v>19219918</v>
      </c>
      <c r="W234" s="43">
        <v>258073864</v>
      </c>
      <c r="X234" s="43">
        <v>0</v>
      </c>
      <c r="Y234" s="43">
        <v>0</v>
      </c>
      <c r="Z234" s="32">
        <f t="shared" ref="Z234" si="94">R234/L234</f>
        <v>6.9312473800800911E-2</v>
      </c>
    </row>
    <row r="235" spans="1:26" ht="18.75" customHeight="1" x14ac:dyDescent="0.2">
      <c r="C235" s="16"/>
      <c r="D235" s="29" t="s">
        <v>81</v>
      </c>
      <c r="E235" s="17"/>
      <c r="F235" s="18"/>
      <c r="G235" s="34"/>
      <c r="H235" s="34"/>
      <c r="I235" s="34"/>
      <c r="J235" s="34"/>
      <c r="K235" s="34"/>
      <c r="L235" s="18"/>
      <c r="M235" s="34"/>
      <c r="N235" s="18"/>
      <c r="O235" s="18"/>
      <c r="P235" s="34"/>
      <c r="Q235" s="18"/>
      <c r="R235" s="18"/>
      <c r="S235" s="34"/>
      <c r="T235" s="18"/>
      <c r="U235" s="18"/>
      <c r="V235" s="30"/>
      <c r="W235" s="18"/>
      <c r="X235" s="18"/>
      <c r="Y235" s="18"/>
      <c r="Z235" s="18"/>
    </row>
    <row r="236" spans="1:26" ht="18.75" customHeight="1" x14ac:dyDescent="0.2">
      <c r="C236" s="28" t="s">
        <v>288</v>
      </c>
      <c r="D236" s="29" t="s">
        <v>83</v>
      </c>
      <c r="E236" s="17"/>
      <c r="F236" s="18"/>
      <c r="G236" s="34"/>
      <c r="H236" s="34"/>
      <c r="I236" s="34"/>
      <c r="J236" s="34"/>
      <c r="K236" s="34"/>
      <c r="L236" s="18"/>
      <c r="M236" s="34"/>
      <c r="N236" s="18"/>
      <c r="O236" s="18"/>
      <c r="P236" s="34"/>
      <c r="Q236" s="18"/>
      <c r="R236" s="18"/>
      <c r="S236" s="34"/>
      <c r="T236" s="18"/>
      <c r="U236" s="18"/>
      <c r="V236" s="30"/>
      <c r="W236" s="18"/>
      <c r="X236" s="18"/>
      <c r="Y236" s="18"/>
      <c r="Z236" s="18"/>
    </row>
    <row r="237" spans="1:26" ht="18.75" customHeight="1" x14ac:dyDescent="0.2">
      <c r="A237" s="4" t="s">
        <v>325</v>
      </c>
      <c r="B237" s="4" t="s">
        <v>326</v>
      </c>
      <c r="C237" s="41" t="s">
        <v>330</v>
      </c>
      <c r="D237" s="42" t="s">
        <v>328</v>
      </c>
      <c r="E237" s="43" t="s">
        <v>61</v>
      </c>
      <c r="F237" s="43">
        <v>863231353</v>
      </c>
      <c r="G237" s="44">
        <v>0</v>
      </c>
      <c r="H237" s="44">
        <v>0</v>
      </c>
      <c r="I237" s="44">
        <v>0</v>
      </c>
      <c r="J237" s="44">
        <v>0</v>
      </c>
      <c r="K237" s="44">
        <v>0</v>
      </c>
      <c r="L237" s="43">
        <v>863231353</v>
      </c>
      <c r="M237" s="44">
        <v>0</v>
      </c>
      <c r="N237" s="43">
        <v>1233307</v>
      </c>
      <c r="O237" s="43">
        <v>1233307</v>
      </c>
      <c r="P237" s="44">
        <v>0</v>
      </c>
      <c r="Q237" s="43">
        <v>1233307</v>
      </c>
      <c r="R237" s="43">
        <v>1233307</v>
      </c>
      <c r="S237" s="44">
        <v>0</v>
      </c>
      <c r="T237" s="43">
        <v>1233307</v>
      </c>
      <c r="U237" s="43">
        <v>1233307</v>
      </c>
      <c r="V237" s="30">
        <f t="shared" si="91"/>
        <v>1233307</v>
      </c>
      <c r="W237" s="43">
        <v>861998046</v>
      </c>
      <c r="X237" s="43">
        <v>0</v>
      </c>
      <c r="Y237" s="43">
        <v>0</v>
      </c>
      <c r="Z237" s="32">
        <f t="shared" ref="Z237" si="95">R237/L237</f>
        <v>1.4287096914562601E-3</v>
      </c>
    </row>
    <row r="238" spans="1:26" ht="18.75" customHeight="1" x14ac:dyDescent="0.2">
      <c r="C238" s="28" t="s">
        <v>288</v>
      </c>
      <c r="D238" s="29" t="s">
        <v>88</v>
      </c>
      <c r="E238" s="17"/>
      <c r="F238" s="18"/>
      <c r="G238" s="34"/>
      <c r="H238" s="34"/>
      <c r="I238" s="34"/>
      <c r="J238" s="34"/>
      <c r="K238" s="34"/>
      <c r="L238" s="18"/>
      <c r="M238" s="18"/>
      <c r="N238" s="18"/>
      <c r="O238" s="18"/>
      <c r="P238" s="18"/>
      <c r="Q238" s="18"/>
      <c r="R238" s="18"/>
      <c r="S238" s="34"/>
      <c r="T238" s="18"/>
      <c r="U238" s="18"/>
      <c r="V238" s="30"/>
      <c r="W238" s="18"/>
      <c r="X238" s="18"/>
      <c r="Y238" s="18"/>
      <c r="Z238" s="18"/>
    </row>
    <row r="239" spans="1:26" ht="18.75" customHeight="1" x14ac:dyDescent="0.2">
      <c r="A239" s="4" t="s">
        <v>325</v>
      </c>
      <c r="B239" s="4" t="s">
        <v>326</v>
      </c>
      <c r="C239" s="41" t="s">
        <v>331</v>
      </c>
      <c r="D239" s="42" t="s">
        <v>328</v>
      </c>
      <c r="E239" s="43" t="s">
        <v>61</v>
      </c>
      <c r="F239" s="43">
        <v>240951939</v>
      </c>
      <c r="G239" s="44">
        <v>0</v>
      </c>
      <c r="H239" s="44">
        <v>0</v>
      </c>
      <c r="I239" s="44">
        <v>0</v>
      </c>
      <c r="J239" s="44">
        <v>0</v>
      </c>
      <c r="K239" s="44">
        <v>0</v>
      </c>
      <c r="L239" s="43">
        <v>240951939</v>
      </c>
      <c r="M239" s="44">
        <v>0</v>
      </c>
      <c r="N239" s="43">
        <v>5573767</v>
      </c>
      <c r="O239" s="43">
        <v>5573767</v>
      </c>
      <c r="P239" s="43">
        <v>0</v>
      </c>
      <c r="Q239" s="43">
        <v>5573767</v>
      </c>
      <c r="R239" s="43">
        <v>5573767</v>
      </c>
      <c r="S239" s="44">
        <v>0</v>
      </c>
      <c r="T239" s="43">
        <v>5573767</v>
      </c>
      <c r="U239" s="43">
        <v>5573767</v>
      </c>
      <c r="V239" s="30">
        <f t="shared" si="91"/>
        <v>5573767</v>
      </c>
      <c r="W239" s="43">
        <v>235378172</v>
      </c>
      <c r="X239" s="43">
        <v>0</v>
      </c>
      <c r="Y239" s="43">
        <v>0</v>
      </c>
      <c r="Z239" s="32">
        <f t="shared" ref="Z239" si="96">R239/L239</f>
        <v>2.3132277013965013E-2</v>
      </c>
    </row>
    <row r="240" spans="1:26" ht="18.75" customHeight="1" x14ac:dyDescent="0.2">
      <c r="C240" s="16"/>
      <c r="D240" s="29" t="s">
        <v>103</v>
      </c>
      <c r="E240" s="17"/>
      <c r="F240" s="18"/>
      <c r="G240" s="34"/>
      <c r="H240" s="34"/>
      <c r="I240" s="34"/>
      <c r="J240" s="34"/>
      <c r="K240" s="34"/>
      <c r="L240" s="18"/>
      <c r="M240" s="34"/>
      <c r="N240" s="18"/>
      <c r="O240" s="18"/>
      <c r="P240" s="18"/>
      <c r="Q240" s="18"/>
      <c r="R240" s="18"/>
      <c r="S240" s="18"/>
      <c r="T240" s="18"/>
      <c r="U240" s="18"/>
      <c r="V240" s="30"/>
      <c r="W240" s="18"/>
      <c r="X240" s="18"/>
      <c r="Y240" s="18"/>
      <c r="Z240" s="18"/>
    </row>
    <row r="241" spans="1:26" ht="18.75" customHeight="1" x14ac:dyDescent="0.2">
      <c r="C241" s="28" t="s">
        <v>288</v>
      </c>
      <c r="D241" s="29" t="s">
        <v>105</v>
      </c>
      <c r="E241" s="17"/>
      <c r="F241" s="18"/>
      <c r="G241" s="34"/>
      <c r="H241" s="34"/>
      <c r="I241" s="34"/>
      <c r="J241" s="34"/>
      <c r="K241" s="34"/>
      <c r="L241" s="18"/>
      <c r="M241" s="34"/>
      <c r="N241" s="18"/>
      <c r="O241" s="18"/>
      <c r="P241" s="18"/>
      <c r="Q241" s="18"/>
      <c r="R241" s="18"/>
      <c r="S241" s="18"/>
      <c r="T241" s="18"/>
      <c r="U241" s="18"/>
      <c r="V241" s="30"/>
      <c r="W241" s="18"/>
      <c r="X241" s="18"/>
      <c r="Y241" s="18"/>
      <c r="Z241" s="18"/>
    </row>
    <row r="242" spans="1:26" ht="18.75" customHeight="1" x14ac:dyDescent="0.2">
      <c r="A242" s="4" t="s">
        <v>325</v>
      </c>
      <c r="B242" s="4" t="s">
        <v>326</v>
      </c>
      <c r="C242" s="41" t="s">
        <v>332</v>
      </c>
      <c r="D242" s="42" t="s">
        <v>328</v>
      </c>
      <c r="E242" s="43" t="s">
        <v>61</v>
      </c>
      <c r="F242" s="43">
        <v>1112875275</v>
      </c>
      <c r="G242" s="44">
        <v>0</v>
      </c>
      <c r="H242" s="44">
        <v>0</v>
      </c>
      <c r="I242" s="44">
        <v>0</v>
      </c>
      <c r="J242" s="44">
        <v>0</v>
      </c>
      <c r="K242" s="44">
        <v>0</v>
      </c>
      <c r="L242" s="43">
        <v>1112875275</v>
      </c>
      <c r="M242" s="44">
        <v>0</v>
      </c>
      <c r="N242" s="43">
        <v>87162100</v>
      </c>
      <c r="O242" s="43">
        <v>87162100</v>
      </c>
      <c r="P242" s="44">
        <v>0</v>
      </c>
      <c r="Q242" s="43">
        <v>86290100</v>
      </c>
      <c r="R242" s="43">
        <v>86290100</v>
      </c>
      <c r="S242" s="34">
        <v>0</v>
      </c>
      <c r="T242" s="34">
        <v>0</v>
      </c>
      <c r="U242" s="34">
        <v>0</v>
      </c>
      <c r="V242" s="40">
        <f t="shared" si="91"/>
        <v>0</v>
      </c>
      <c r="W242" s="43">
        <v>1025713175</v>
      </c>
      <c r="X242" s="43">
        <v>872000</v>
      </c>
      <c r="Y242" s="43">
        <v>86290100</v>
      </c>
      <c r="Z242" s="32">
        <f t="shared" ref="Z242" si="97">R242/L242</f>
        <v>7.7537979267263357E-2</v>
      </c>
    </row>
    <row r="243" spans="1:26" ht="18.75" customHeight="1" x14ac:dyDescent="0.2">
      <c r="C243" s="28" t="s">
        <v>288</v>
      </c>
      <c r="D243" s="29" t="s">
        <v>333</v>
      </c>
      <c r="E243" s="17"/>
      <c r="F243" s="18"/>
      <c r="G243" s="34"/>
      <c r="H243" s="34"/>
      <c r="I243" s="34"/>
      <c r="J243" s="34"/>
      <c r="K243" s="34"/>
      <c r="L243" s="18"/>
      <c r="M243" s="34"/>
      <c r="N243" s="18"/>
      <c r="O243" s="18"/>
      <c r="P243" s="34"/>
      <c r="Q243" s="18"/>
      <c r="R243" s="18"/>
      <c r="S243" s="34"/>
      <c r="T243" s="34"/>
      <c r="U243" s="34"/>
      <c r="V243" s="40"/>
      <c r="W243" s="18"/>
      <c r="X243" s="18"/>
      <c r="Y243" s="18"/>
      <c r="Z243" s="18"/>
    </row>
    <row r="244" spans="1:26" ht="18.75" customHeight="1" x14ac:dyDescent="0.2">
      <c r="A244" s="4" t="s">
        <v>325</v>
      </c>
      <c r="B244" s="4" t="s">
        <v>326</v>
      </c>
      <c r="C244" s="41" t="s">
        <v>334</v>
      </c>
      <c r="D244" s="42" t="s">
        <v>328</v>
      </c>
      <c r="E244" s="43" t="s">
        <v>61</v>
      </c>
      <c r="F244" s="43">
        <v>785176343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3">
        <v>785176343</v>
      </c>
      <c r="M244" s="44">
        <v>0</v>
      </c>
      <c r="N244" s="43">
        <v>61811200</v>
      </c>
      <c r="O244" s="43">
        <v>61811200</v>
      </c>
      <c r="P244" s="44">
        <v>0</v>
      </c>
      <c r="Q244" s="43">
        <v>61129900</v>
      </c>
      <c r="R244" s="43">
        <v>61129900</v>
      </c>
      <c r="S244" s="34">
        <v>0</v>
      </c>
      <c r="T244" s="34">
        <v>0</v>
      </c>
      <c r="U244" s="34">
        <v>0</v>
      </c>
      <c r="V244" s="40">
        <f t="shared" si="91"/>
        <v>0</v>
      </c>
      <c r="W244" s="43">
        <v>723365143</v>
      </c>
      <c r="X244" s="43">
        <v>681300</v>
      </c>
      <c r="Y244" s="43">
        <v>61129900</v>
      </c>
      <c r="Z244" s="32">
        <f t="shared" ref="Z244" si="98">R244/L244</f>
        <v>7.7854994670923244E-2</v>
      </c>
    </row>
    <row r="245" spans="1:26" ht="18.75" customHeight="1" x14ac:dyDescent="0.2">
      <c r="C245" s="28" t="s">
        <v>288</v>
      </c>
      <c r="D245" s="29" t="s">
        <v>115</v>
      </c>
      <c r="E245" s="17"/>
      <c r="F245" s="18"/>
      <c r="G245" s="34"/>
      <c r="H245" s="34"/>
      <c r="I245" s="34"/>
      <c r="J245" s="34"/>
      <c r="K245" s="34"/>
      <c r="L245" s="18"/>
      <c r="M245" s="34"/>
      <c r="N245" s="18"/>
      <c r="O245" s="18"/>
      <c r="P245" s="34"/>
      <c r="Q245" s="18"/>
      <c r="R245" s="18"/>
      <c r="S245" s="18"/>
      <c r="T245" s="18"/>
      <c r="U245" s="18"/>
      <c r="V245" s="30"/>
      <c r="W245" s="18"/>
      <c r="X245" s="18"/>
      <c r="Y245" s="18"/>
      <c r="Z245" s="18"/>
    </row>
    <row r="246" spans="1:26" ht="18.75" customHeight="1" x14ac:dyDescent="0.2">
      <c r="A246" s="4" t="s">
        <v>325</v>
      </c>
      <c r="B246" s="4" t="s">
        <v>326</v>
      </c>
      <c r="C246" s="41" t="s">
        <v>335</v>
      </c>
      <c r="D246" s="42" t="s">
        <v>328</v>
      </c>
      <c r="E246" s="43" t="s">
        <v>61</v>
      </c>
      <c r="F246" s="43">
        <v>1074031411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3">
        <v>1074031411</v>
      </c>
      <c r="M246" s="44">
        <v>0</v>
      </c>
      <c r="N246" s="43">
        <v>58263788</v>
      </c>
      <c r="O246" s="43">
        <v>58263788</v>
      </c>
      <c r="P246" s="44">
        <v>0</v>
      </c>
      <c r="Q246" s="43">
        <v>58263788</v>
      </c>
      <c r="R246" s="43">
        <v>58263788</v>
      </c>
      <c r="S246" s="43">
        <v>1092771</v>
      </c>
      <c r="T246" s="43">
        <v>50188568</v>
      </c>
      <c r="U246" s="43">
        <v>50188568</v>
      </c>
      <c r="V246" s="30">
        <f t="shared" si="91"/>
        <v>51281339</v>
      </c>
      <c r="W246" s="43">
        <v>1015767623</v>
      </c>
      <c r="X246" s="43">
        <v>0</v>
      </c>
      <c r="Y246" s="43">
        <v>6982449</v>
      </c>
      <c r="Z246" s="32">
        <f t="shared" ref="Z246" si="99">R246/L246</f>
        <v>5.4247750487811386E-2</v>
      </c>
    </row>
    <row r="247" spans="1:26" ht="18.75" customHeight="1" x14ac:dyDescent="0.2">
      <c r="C247" s="28" t="s">
        <v>288</v>
      </c>
      <c r="D247" s="29" t="s">
        <v>119</v>
      </c>
      <c r="E247" s="17"/>
      <c r="F247" s="18"/>
      <c r="G247" s="34"/>
      <c r="H247" s="34"/>
      <c r="I247" s="34"/>
      <c r="J247" s="34"/>
      <c r="K247" s="34"/>
      <c r="L247" s="18"/>
      <c r="M247" s="18"/>
      <c r="N247" s="18"/>
      <c r="O247" s="18"/>
      <c r="P247" s="34"/>
      <c r="Q247" s="18"/>
      <c r="R247" s="18"/>
      <c r="S247" s="18"/>
      <c r="T247" s="18"/>
      <c r="U247" s="18"/>
      <c r="V247" s="30"/>
      <c r="W247" s="18"/>
      <c r="X247" s="18"/>
      <c r="Y247" s="18"/>
      <c r="Z247" s="18"/>
    </row>
    <row r="248" spans="1:26" ht="18.75" customHeight="1" x14ac:dyDescent="0.2">
      <c r="A248" s="4" t="s">
        <v>325</v>
      </c>
      <c r="B248" s="4" t="s">
        <v>326</v>
      </c>
      <c r="C248" s="41" t="s">
        <v>336</v>
      </c>
      <c r="D248" s="42" t="s">
        <v>328</v>
      </c>
      <c r="E248" s="43" t="s">
        <v>61</v>
      </c>
      <c r="F248" s="43">
        <v>438243332</v>
      </c>
      <c r="G248" s="44">
        <v>0</v>
      </c>
      <c r="H248" s="44">
        <v>0</v>
      </c>
      <c r="I248" s="44">
        <v>0</v>
      </c>
      <c r="J248" s="44">
        <v>0</v>
      </c>
      <c r="K248" s="44">
        <v>0</v>
      </c>
      <c r="L248" s="43">
        <v>438243332</v>
      </c>
      <c r="M248" s="44">
        <v>0</v>
      </c>
      <c r="N248" s="43">
        <v>29525000</v>
      </c>
      <c r="O248" s="43">
        <v>29525000</v>
      </c>
      <c r="P248" s="44">
        <v>0</v>
      </c>
      <c r="Q248" s="43">
        <v>29525000</v>
      </c>
      <c r="R248" s="43">
        <v>29525000</v>
      </c>
      <c r="S248" s="34">
        <v>0</v>
      </c>
      <c r="T248" s="34">
        <v>0</v>
      </c>
      <c r="U248" s="34">
        <v>0</v>
      </c>
      <c r="V248" s="40">
        <f t="shared" si="91"/>
        <v>0</v>
      </c>
      <c r="W248" s="43">
        <v>408718332</v>
      </c>
      <c r="X248" s="43">
        <v>0</v>
      </c>
      <c r="Y248" s="43">
        <v>29525000</v>
      </c>
      <c r="Z248" s="32">
        <f t="shared" ref="Z248" si="100">R248/L248</f>
        <v>6.7371247533322423E-2</v>
      </c>
    </row>
    <row r="249" spans="1:26" ht="18.75" customHeight="1" x14ac:dyDescent="0.2">
      <c r="C249" s="28" t="s">
        <v>288</v>
      </c>
      <c r="D249" s="29" t="s">
        <v>124</v>
      </c>
      <c r="E249" s="17"/>
      <c r="F249" s="18"/>
      <c r="G249" s="34"/>
      <c r="H249" s="34"/>
      <c r="I249" s="34"/>
      <c r="J249" s="34"/>
      <c r="K249" s="34"/>
      <c r="L249" s="18"/>
      <c r="M249" s="34"/>
      <c r="N249" s="18"/>
      <c r="O249" s="18"/>
      <c r="P249" s="34"/>
      <c r="Q249" s="18"/>
      <c r="R249" s="18"/>
      <c r="S249" s="34"/>
      <c r="T249" s="34"/>
      <c r="U249" s="34"/>
      <c r="V249" s="40">
        <f t="shared" si="91"/>
        <v>0</v>
      </c>
      <c r="W249" s="18"/>
      <c r="X249" s="18"/>
      <c r="Y249" s="18"/>
      <c r="Z249" s="18"/>
    </row>
    <row r="250" spans="1:26" ht="18.75" customHeight="1" x14ac:dyDescent="0.2">
      <c r="A250" s="4" t="s">
        <v>325</v>
      </c>
      <c r="B250" s="4" t="s">
        <v>326</v>
      </c>
      <c r="C250" s="41" t="s">
        <v>337</v>
      </c>
      <c r="D250" s="42" t="s">
        <v>328</v>
      </c>
      <c r="E250" s="43" t="s">
        <v>61</v>
      </c>
      <c r="F250" s="43">
        <v>46632075</v>
      </c>
      <c r="G250" s="44">
        <v>0</v>
      </c>
      <c r="H250" s="44">
        <v>0</v>
      </c>
      <c r="I250" s="44">
        <v>0</v>
      </c>
      <c r="J250" s="44">
        <v>0</v>
      </c>
      <c r="K250" s="44">
        <v>0</v>
      </c>
      <c r="L250" s="43">
        <v>46632075</v>
      </c>
      <c r="M250" s="44">
        <v>0</v>
      </c>
      <c r="N250" s="43">
        <v>3293900</v>
      </c>
      <c r="O250" s="43">
        <v>3293900</v>
      </c>
      <c r="P250" s="44">
        <v>0</v>
      </c>
      <c r="Q250" s="43">
        <v>3293900</v>
      </c>
      <c r="R250" s="43">
        <v>3293900</v>
      </c>
      <c r="S250" s="34">
        <v>0</v>
      </c>
      <c r="T250" s="34">
        <v>0</v>
      </c>
      <c r="U250" s="34">
        <v>0</v>
      </c>
      <c r="V250" s="40">
        <f t="shared" si="91"/>
        <v>0</v>
      </c>
      <c r="W250" s="43">
        <v>43338175</v>
      </c>
      <c r="X250" s="43">
        <v>0</v>
      </c>
      <c r="Y250" s="43">
        <v>3293900</v>
      </c>
      <c r="Z250" s="32">
        <f t="shared" ref="Z250" si="101">R250/L250</f>
        <v>7.0635930311915132E-2</v>
      </c>
    </row>
    <row r="251" spans="1:26" ht="18.75" customHeight="1" x14ac:dyDescent="0.2">
      <c r="C251" s="28" t="s">
        <v>288</v>
      </c>
      <c r="D251" s="29" t="s">
        <v>129</v>
      </c>
      <c r="E251" s="17"/>
      <c r="F251" s="18"/>
      <c r="G251" s="34"/>
      <c r="H251" s="34"/>
      <c r="I251" s="34"/>
      <c r="J251" s="34"/>
      <c r="K251" s="34"/>
      <c r="L251" s="18"/>
      <c r="M251" s="34"/>
      <c r="N251" s="18"/>
      <c r="O251" s="18"/>
      <c r="P251" s="34"/>
      <c r="Q251" s="18"/>
      <c r="R251" s="18"/>
      <c r="S251" s="34"/>
      <c r="T251" s="34"/>
      <c r="U251" s="34"/>
      <c r="V251" s="40">
        <f t="shared" si="91"/>
        <v>0</v>
      </c>
      <c r="W251" s="18"/>
      <c r="X251" s="18"/>
      <c r="Y251" s="18"/>
      <c r="Z251" s="18"/>
    </row>
    <row r="252" spans="1:26" ht="18.75" customHeight="1" x14ac:dyDescent="0.2">
      <c r="A252" s="4" t="s">
        <v>325</v>
      </c>
      <c r="B252" s="4" t="s">
        <v>326</v>
      </c>
      <c r="C252" s="41" t="s">
        <v>338</v>
      </c>
      <c r="D252" s="42" t="s">
        <v>328</v>
      </c>
      <c r="E252" s="43" t="s">
        <v>61</v>
      </c>
      <c r="F252" s="43">
        <v>328682499</v>
      </c>
      <c r="G252" s="44">
        <v>0</v>
      </c>
      <c r="H252" s="44">
        <v>0</v>
      </c>
      <c r="I252" s="44">
        <v>0</v>
      </c>
      <c r="J252" s="44">
        <v>0</v>
      </c>
      <c r="K252" s="44">
        <v>0</v>
      </c>
      <c r="L252" s="43">
        <v>328682499</v>
      </c>
      <c r="M252" s="44">
        <v>0</v>
      </c>
      <c r="N252" s="43">
        <v>22145300</v>
      </c>
      <c r="O252" s="43">
        <v>22145300</v>
      </c>
      <c r="P252" s="44">
        <v>0</v>
      </c>
      <c r="Q252" s="43">
        <v>22145300</v>
      </c>
      <c r="R252" s="43">
        <v>22145300</v>
      </c>
      <c r="S252" s="34">
        <v>0</v>
      </c>
      <c r="T252" s="34">
        <v>0</v>
      </c>
      <c r="U252" s="34">
        <v>0</v>
      </c>
      <c r="V252" s="40">
        <f t="shared" si="91"/>
        <v>0</v>
      </c>
      <c r="W252" s="43">
        <v>306537199</v>
      </c>
      <c r="X252" s="43">
        <v>0</v>
      </c>
      <c r="Y252" s="43">
        <v>22145300</v>
      </c>
      <c r="Z252" s="32">
        <f t="shared" ref="Z252" si="102">R252/L252</f>
        <v>6.7375963330496641E-2</v>
      </c>
    </row>
    <row r="253" spans="1:26" ht="18.75" customHeight="1" x14ac:dyDescent="0.2">
      <c r="C253" s="28" t="s">
        <v>288</v>
      </c>
      <c r="D253" s="29" t="s">
        <v>133</v>
      </c>
      <c r="E253" s="17"/>
      <c r="F253" s="18"/>
      <c r="G253" s="34"/>
      <c r="H253" s="34"/>
      <c r="I253" s="34"/>
      <c r="J253" s="34"/>
      <c r="K253" s="34"/>
      <c r="L253" s="18"/>
      <c r="M253" s="34"/>
      <c r="N253" s="18"/>
      <c r="O253" s="18"/>
      <c r="P253" s="34"/>
      <c r="Q253" s="18"/>
      <c r="R253" s="18"/>
      <c r="S253" s="34"/>
      <c r="T253" s="34"/>
      <c r="U253" s="34"/>
      <c r="V253" s="40">
        <f t="shared" si="91"/>
        <v>0</v>
      </c>
      <c r="W253" s="18"/>
      <c r="X253" s="18"/>
      <c r="Y253" s="18"/>
      <c r="Z253" s="18"/>
    </row>
    <row r="254" spans="1:26" ht="18.75" customHeight="1" x14ac:dyDescent="0.2">
      <c r="A254" s="4" t="s">
        <v>325</v>
      </c>
      <c r="B254" s="4" t="s">
        <v>326</v>
      </c>
      <c r="C254" s="41" t="s">
        <v>339</v>
      </c>
      <c r="D254" s="42" t="s">
        <v>328</v>
      </c>
      <c r="E254" s="43" t="s">
        <v>61</v>
      </c>
      <c r="F254" s="43">
        <v>54780417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3">
        <v>54780417</v>
      </c>
      <c r="M254" s="44">
        <v>0</v>
      </c>
      <c r="N254" s="43">
        <v>3706800</v>
      </c>
      <c r="O254" s="43">
        <v>3706800</v>
      </c>
      <c r="P254" s="44">
        <v>0</v>
      </c>
      <c r="Q254" s="43">
        <v>3706800</v>
      </c>
      <c r="R254" s="43">
        <v>3706800</v>
      </c>
      <c r="S254" s="34">
        <v>0</v>
      </c>
      <c r="T254" s="34">
        <v>0</v>
      </c>
      <c r="U254" s="34">
        <v>0</v>
      </c>
      <c r="V254" s="40">
        <f t="shared" si="91"/>
        <v>0</v>
      </c>
      <c r="W254" s="43">
        <v>51073617</v>
      </c>
      <c r="X254" s="43">
        <v>0</v>
      </c>
      <c r="Y254" s="43">
        <v>3706800</v>
      </c>
      <c r="Z254" s="32">
        <f t="shared" ref="Z254" si="103">R254/L254</f>
        <v>6.7666516667808499E-2</v>
      </c>
    </row>
    <row r="255" spans="1:26" ht="18.75" customHeight="1" x14ac:dyDescent="0.2">
      <c r="C255" s="28" t="s">
        <v>288</v>
      </c>
      <c r="D255" s="29" t="s">
        <v>138</v>
      </c>
      <c r="E255" s="17"/>
      <c r="F255" s="18"/>
      <c r="G255" s="34"/>
      <c r="H255" s="34"/>
      <c r="I255" s="34"/>
      <c r="J255" s="34"/>
      <c r="K255" s="34"/>
      <c r="L255" s="18"/>
      <c r="M255" s="34"/>
      <c r="N255" s="18"/>
      <c r="O255" s="18"/>
      <c r="P255" s="34"/>
      <c r="Q255" s="18"/>
      <c r="R255" s="18"/>
      <c r="S255" s="34"/>
      <c r="T255" s="34"/>
      <c r="U255" s="34"/>
      <c r="V255" s="40">
        <f t="shared" si="91"/>
        <v>0</v>
      </c>
      <c r="W255" s="18"/>
      <c r="X255" s="18"/>
      <c r="Y255" s="18"/>
      <c r="Z255" s="18"/>
    </row>
    <row r="256" spans="1:26" ht="18.75" customHeight="1" x14ac:dyDescent="0.2">
      <c r="A256" s="4" t="s">
        <v>325</v>
      </c>
      <c r="B256" s="4" t="s">
        <v>326</v>
      </c>
      <c r="C256" s="41" t="s">
        <v>340</v>
      </c>
      <c r="D256" s="42" t="s">
        <v>328</v>
      </c>
      <c r="E256" s="43" t="s">
        <v>61</v>
      </c>
      <c r="F256" s="43">
        <v>54780417</v>
      </c>
      <c r="G256" s="44">
        <v>0</v>
      </c>
      <c r="H256" s="44">
        <v>0</v>
      </c>
      <c r="I256" s="44">
        <v>0</v>
      </c>
      <c r="J256" s="44">
        <v>0</v>
      </c>
      <c r="K256" s="44">
        <v>0</v>
      </c>
      <c r="L256" s="43">
        <v>54780417</v>
      </c>
      <c r="M256" s="44">
        <v>0</v>
      </c>
      <c r="N256" s="43">
        <v>3706800</v>
      </c>
      <c r="O256" s="43">
        <v>3706800</v>
      </c>
      <c r="P256" s="44">
        <v>0</v>
      </c>
      <c r="Q256" s="43">
        <v>3706800</v>
      </c>
      <c r="R256" s="43">
        <v>3706800</v>
      </c>
      <c r="S256" s="34">
        <v>0</v>
      </c>
      <c r="T256" s="34">
        <v>0</v>
      </c>
      <c r="U256" s="34">
        <v>0</v>
      </c>
      <c r="V256" s="40">
        <f t="shared" si="91"/>
        <v>0</v>
      </c>
      <c r="W256" s="43">
        <v>51073617</v>
      </c>
      <c r="X256" s="43">
        <v>0</v>
      </c>
      <c r="Y256" s="43">
        <v>3706800</v>
      </c>
      <c r="Z256" s="32">
        <f t="shared" ref="Z256" si="104">R256/L256</f>
        <v>6.7666516667808499E-2</v>
      </c>
    </row>
    <row r="257" spans="1:26" ht="25.5" x14ac:dyDescent="0.2">
      <c r="C257" s="28" t="s">
        <v>288</v>
      </c>
      <c r="D257" s="29" t="s">
        <v>145</v>
      </c>
      <c r="E257" s="17"/>
      <c r="F257" s="18"/>
      <c r="G257" s="34"/>
      <c r="H257" s="34"/>
      <c r="I257" s="34"/>
      <c r="J257" s="34"/>
      <c r="K257" s="34"/>
      <c r="L257" s="18"/>
      <c r="M257" s="34"/>
      <c r="N257" s="18"/>
      <c r="O257" s="18"/>
      <c r="P257" s="34"/>
      <c r="Q257" s="18"/>
      <c r="R257" s="18"/>
      <c r="S257" s="34"/>
      <c r="T257" s="34"/>
      <c r="U257" s="34"/>
      <c r="V257" s="40">
        <f t="shared" si="91"/>
        <v>0</v>
      </c>
      <c r="W257" s="18"/>
      <c r="X257" s="18"/>
      <c r="Y257" s="18"/>
      <c r="Z257" s="18"/>
    </row>
    <row r="258" spans="1:26" ht="18.75" customHeight="1" x14ac:dyDescent="0.2">
      <c r="A258" s="4" t="s">
        <v>325</v>
      </c>
      <c r="B258" s="4" t="s">
        <v>326</v>
      </c>
      <c r="C258" s="41" t="s">
        <v>341</v>
      </c>
      <c r="D258" s="42" t="s">
        <v>328</v>
      </c>
      <c r="E258" s="43" t="s">
        <v>61</v>
      </c>
      <c r="F258" s="43">
        <v>109560833</v>
      </c>
      <c r="G258" s="44">
        <v>0</v>
      </c>
      <c r="H258" s="44">
        <v>0</v>
      </c>
      <c r="I258" s="44">
        <v>0</v>
      </c>
      <c r="J258" s="44">
        <v>0</v>
      </c>
      <c r="K258" s="44">
        <v>0</v>
      </c>
      <c r="L258" s="43">
        <v>109560833</v>
      </c>
      <c r="M258" s="44">
        <v>0</v>
      </c>
      <c r="N258" s="43">
        <v>7395700</v>
      </c>
      <c r="O258" s="43">
        <v>7395700</v>
      </c>
      <c r="P258" s="44">
        <v>0</v>
      </c>
      <c r="Q258" s="43">
        <v>7395700</v>
      </c>
      <c r="R258" s="43">
        <v>7395700</v>
      </c>
      <c r="S258" s="34">
        <v>0</v>
      </c>
      <c r="T258" s="34">
        <v>0</v>
      </c>
      <c r="U258" s="34">
        <v>0</v>
      </c>
      <c r="V258" s="40">
        <f t="shared" si="91"/>
        <v>0</v>
      </c>
      <c r="W258" s="43">
        <v>102165133</v>
      </c>
      <c r="X258" s="43">
        <v>0</v>
      </c>
      <c r="Y258" s="43">
        <v>7395700</v>
      </c>
      <c r="Z258" s="32">
        <f t="shared" ref="Z258" si="105">R258/L258</f>
        <v>6.7503137731711113E-2</v>
      </c>
    </row>
    <row r="259" spans="1:26" ht="18.75" customHeight="1" x14ac:dyDescent="0.2">
      <c r="C259" s="16"/>
      <c r="D259" s="29" t="s">
        <v>149</v>
      </c>
      <c r="E259" s="17"/>
      <c r="F259" s="18"/>
      <c r="G259" s="34"/>
      <c r="H259" s="34"/>
      <c r="I259" s="34"/>
      <c r="J259" s="34"/>
      <c r="K259" s="34"/>
      <c r="L259" s="18"/>
      <c r="M259" s="34"/>
      <c r="N259" s="18"/>
      <c r="O259" s="18"/>
      <c r="P259" s="34"/>
      <c r="Q259" s="18"/>
      <c r="R259" s="18"/>
      <c r="S259" s="34"/>
      <c r="T259" s="34"/>
      <c r="U259" s="34"/>
      <c r="V259" s="40">
        <f t="shared" si="91"/>
        <v>0</v>
      </c>
      <c r="W259" s="18"/>
      <c r="X259" s="18"/>
      <c r="Y259" s="18"/>
      <c r="Z259" s="18"/>
    </row>
    <row r="260" spans="1:26" ht="18.75" customHeight="1" x14ac:dyDescent="0.2">
      <c r="C260" s="16"/>
      <c r="D260" s="29" t="s">
        <v>81</v>
      </c>
      <c r="E260" s="17"/>
      <c r="F260" s="18"/>
      <c r="G260" s="34"/>
      <c r="H260" s="34"/>
      <c r="I260" s="34"/>
      <c r="J260" s="34"/>
      <c r="K260" s="34"/>
      <c r="L260" s="18"/>
      <c r="M260" s="34"/>
      <c r="N260" s="18"/>
      <c r="O260" s="18"/>
      <c r="P260" s="34"/>
      <c r="Q260" s="18"/>
      <c r="R260" s="18"/>
      <c r="S260" s="34"/>
      <c r="T260" s="34"/>
      <c r="U260" s="34"/>
      <c r="V260" s="40">
        <f t="shared" si="91"/>
        <v>0</v>
      </c>
      <c r="W260" s="18"/>
      <c r="X260" s="18"/>
      <c r="Y260" s="18"/>
      <c r="Z260" s="18"/>
    </row>
    <row r="261" spans="1:26" ht="18.75" customHeight="1" x14ac:dyDescent="0.2">
      <c r="C261" s="28" t="s">
        <v>288</v>
      </c>
      <c r="D261" s="29" t="s">
        <v>152</v>
      </c>
      <c r="E261" s="17"/>
      <c r="F261" s="18"/>
      <c r="G261" s="34"/>
      <c r="H261" s="34"/>
      <c r="I261" s="34"/>
      <c r="J261" s="34"/>
      <c r="K261" s="34"/>
      <c r="L261" s="18"/>
      <c r="M261" s="34"/>
      <c r="N261" s="18"/>
      <c r="O261" s="18"/>
      <c r="P261" s="34"/>
      <c r="Q261" s="18"/>
      <c r="R261" s="18"/>
      <c r="S261" s="34"/>
      <c r="T261" s="34"/>
      <c r="U261" s="34"/>
      <c r="V261" s="40">
        <f t="shared" si="91"/>
        <v>0</v>
      </c>
      <c r="W261" s="18"/>
      <c r="X261" s="18"/>
      <c r="Y261" s="18"/>
      <c r="Z261" s="18"/>
    </row>
    <row r="262" spans="1:26" ht="18.75" customHeight="1" x14ac:dyDescent="0.2">
      <c r="A262" s="4" t="s">
        <v>325</v>
      </c>
      <c r="B262" s="4" t="s">
        <v>326</v>
      </c>
      <c r="C262" s="41" t="s">
        <v>342</v>
      </c>
      <c r="D262" s="42" t="s">
        <v>328</v>
      </c>
      <c r="E262" s="43" t="s">
        <v>61</v>
      </c>
      <c r="F262" s="43">
        <v>229777776</v>
      </c>
      <c r="G262" s="44">
        <v>0</v>
      </c>
      <c r="H262" s="44">
        <v>0</v>
      </c>
      <c r="I262" s="44">
        <v>0</v>
      </c>
      <c r="J262" s="44">
        <v>0</v>
      </c>
      <c r="K262" s="44">
        <v>0</v>
      </c>
      <c r="L262" s="43">
        <v>229777776</v>
      </c>
      <c r="M262" s="44">
        <v>0</v>
      </c>
      <c r="N262" s="43">
        <v>10991426</v>
      </c>
      <c r="O262" s="43">
        <v>10991426</v>
      </c>
      <c r="P262" s="44">
        <v>0</v>
      </c>
      <c r="Q262" s="43">
        <v>10991426</v>
      </c>
      <c r="R262" s="43">
        <v>10991426</v>
      </c>
      <c r="S262" s="34">
        <v>0</v>
      </c>
      <c r="T262" s="34">
        <v>0</v>
      </c>
      <c r="U262" s="34">
        <v>0</v>
      </c>
      <c r="V262" s="40">
        <f t="shared" si="91"/>
        <v>0</v>
      </c>
      <c r="W262" s="43">
        <v>218786350</v>
      </c>
      <c r="X262" s="43">
        <v>0</v>
      </c>
      <c r="Y262" s="43">
        <v>10991426</v>
      </c>
      <c r="Z262" s="32">
        <f t="shared" ref="Z262" si="106">R262/L262</f>
        <v>4.7835026482282605E-2</v>
      </c>
    </row>
    <row r="263" spans="1:26" ht="18.75" customHeight="1" x14ac:dyDescent="0.2">
      <c r="C263" s="28" t="s">
        <v>288</v>
      </c>
      <c r="D263" s="29" t="s">
        <v>343</v>
      </c>
      <c r="E263" s="17"/>
      <c r="F263" s="18"/>
      <c r="G263" s="34"/>
      <c r="H263" s="34"/>
      <c r="I263" s="34"/>
      <c r="J263" s="34"/>
      <c r="K263" s="34"/>
      <c r="L263" s="18"/>
      <c r="M263" s="34"/>
      <c r="N263" s="18"/>
      <c r="O263" s="18"/>
      <c r="P263" s="34"/>
      <c r="Q263" s="18"/>
      <c r="R263" s="18"/>
      <c r="S263" s="34"/>
      <c r="T263" s="34"/>
      <c r="U263" s="34"/>
      <c r="V263" s="40">
        <f t="shared" si="91"/>
        <v>0</v>
      </c>
      <c r="W263" s="18"/>
      <c r="X263" s="18"/>
      <c r="Y263" s="18"/>
      <c r="Z263" s="18"/>
    </row>
    <row r="264" spans="1:26" ht="18.75" customHeight="1" x14ac:dyDescent="0.2">
      <c r="A264" s="4" t="s">
        <v>325</v>
      </c>
      <c r="B264" s="4" t="s">
        <v>326</v>
      </c>
      <c r="C264" s="41" t="s">
        <v>344</v>
      </c>
      <c r="D264" s="42" t="s">
        <v>328</v>
      </c>
      <c r="E264" s="43" t="s">
        <v>61</v>
      </c>
      <c r="F264" s="43">
        <v>10000000</v>
      </c>
      <c r="G264" s="44">
        <v>0</v>
      </c>
      <c r="H264" s="44">
        <v>0</v>
      </c>
      <c r="I264" s="44">
        <v>0</v>
      </c>
      <c r="J264" s="44">
        <v>0</v>
      </c>
      <c r="K264" s="44">
        <v>0</v>
      </c>
      <c r="L264" s="43">
        <v>10000000</v>
      </c>
      <c r="M264" s="44">
        <v>0</v>
      </c>
      <c r="N264" s="44">
        <v>0</v>
      </c>
      <c r="O264" s="44">
        <v>0</v>
      </c>
      <c r="P264" s="44">
        <v>0</v>
      </c>
      <c r="Q264" s="43">
        <v>0</v>
      </c>
      <c r="R264" s="43">
        <v>0</v>
      </c>
      <c r="S264" s="34">
        <v>0</v>
      </c>
      <c r="T264" s="34">
        <v>0</v>
      </c>
      <c r="U264" s="34">
        <v>0</v>
      </c>
      <c r="V264" s="40">
        <f t="shared" si="91"/>
        <v>0</v>
      </c>
      <c r="W264" s="43">
        <v>10000000</v>
      </c>
      <c r="X264" s="43">
        <v>0</v>
      </c>
      <c r="Y264" s="43">
        <v>0</v>
      </c>
      <c r="Z264" s="32">
        <f t="shared" ref="Z264" si="107">R264/L264</f>
        <v>0</v>
      </c>
    </row>
    <row r="265" spans="1:26" ht="18.75" customHeight="1" x14ac:dyDescent="0.2">
      <c r="C265" s="28" t="s">
        <v>288</v>
      </c>
      <c r="D265" s="29" t="s">
        <v>162</v>
      </c>
      <c r="E265" s="17"/>
      <c r="F265" s="18"/>
      <c r="G265" s="34"/>
      <c r="H265" s="34"/>
      <c r="I265" s="34"/>
      <c r="J265" s="34"/>
      <c r="K265" s="34"/>
      <c r="L265" s="18"/>
      <c r="M265" s="34"/>
      <c r="N265" s="18"/>
      <c r="O265" s="18"/>
      <c r="P265" s="34"/>
      <c r="Q265" s="18"/>
      <c r="R265" s="18"/>
      <c r="S265" s="34"/>
      <c r="T265" s="34"/>
      <c r="U265" s="34"/>
      <c r="V265" s="40">
        <f t="shared" si="91"/>
        <v>0</v>
      </c>
      <c r="W265" s="18"/>
      <c r="X265" s="18"/>
      <c r="Y265" s="18"/>
      <c r="Z265" s="18"/>
    </row>
    <row r="266" spans="1:26" ht="18.75" customHeight="1" x14ac:dyDescent="0.2">
      <c r="A266" s="4" t="s">
        <v>325</v>
      </c>
      <c r="B266" s="4" t="s">
        <v>326</v>
      </c>
      <c r="C266" s="41" t="s">
        <v>345</v>
      </c>
      <c r="D266" s="42" t="s">
        <v>328</v>
      </c>
      <c r="E266" s="43" t="s">
        <v>61</v>
      </c>
      <c r="F266" s="43">
        <v>31208419</v>
      </c>
      <c r="G266" s="44">
        <v>0</v>
      </c>
      <c r="H266" s="44">
        <v>0</v>
      </c>
      <c r="I266" s="44">
        <v>0</v>
      </c>
      <c r="J266" s="44">
        <v>0</v>
      </c>
      <c r="K266" s="44">
        <v>0</v>
      </c>
      <c r="L266" s="43">
        <v>31208419</v>
      </c>
      <c r="M266" s="44">
        <v>0</v>
      </c>
      <c r="N266" s="43">
        <v>711140</v>
      </c>
      <c r="O266" s="43">
        <v>711140</v>
      </c>
      <c r="P266" s="44">
        <v>0</v>
      </c>
      <c r="Q266" s="43">
        <v>711140</v>
      </c>
      <c r="R266" s="43">
        <v>711140</v>
      </c>
      <c r="S266" s="34">
        <v>0</v>
      </c>
      <c r="T266" s="34">
        <v>0</v>
      </c>
      <c r="U266" s="34">
        <v>0</v>
      </c>
      <c r="V266" s="40">
        <f t="shared" si="91"/>
        <v>0</v>
      </c>
      <c r="W266" s="43">
        <v>30497279</v>
      </c>
      <c r="X266" s="43">
        <v>0</v>
      </c>
      <c r="Y266" s="43">
        <v>711140</v>
      </c>
      <c r="Z266" s="32">
        <f t="shared" ref="Z266" si="108">R266/L266</f>
        <v>2.278679993369738E-2</v>
      </c>
    </row>
    <row r="267" spans="1:26" ht="18.75" customHeight="1" x14ac:dyDescent="0.2">
      <c r="C267" s="28" t="s">
        <v>288</v>
      </c>
      <c r="D267" s="29" t="s">
        <v>346</v>
      </c>
      <c r="E267" s="17"/>
      <c r="F267" s="18"/>
      <c r="G267" s="34"/>
      <c r="H267" s="34"/>
      <c r="I267" s="34"/>
      <c r="J267" s="34"/>
      <c r="K267" s="34"/>
      <c r="L267" s="18"/>
      <c r="M267" s="34"/>
      <c r="N267" s="18"/>
      <c r="O267" s="18"/>
      <c r="P267" s="34"/>
      <c r="Q267" s="18"/>
      <c r="R267" s="18"/>
      <c r="S267" s="34"/>
      <c r="T267" s="34"/>
      <c r="U267" s="34"/>
      <c r="V267" s="40">
        <f t="shared" si="91"/>
        <v>0</v>
      </c>
      <c r="W267" s="18"/>
      <c r="X267" s="18"/>
      <c r="Y267" s="18"/>
      <c r="Z267" s="18"/>
    </row>
    <row r="268" spans="1:26" ht="18.75" customHeight="1" x14ac:dyDescent="0.2">
      <c r="A268" s="4" t="s">
        <v>325</v>
      </c>
      <c r="B268" s="4" t="s">
        <v>326</v>
      </c>
      <c r="C268" s="41" t="s">
        <v>347</v>
      </c>
      <c r="D268" s="42" t="s">
        <v>328</v>
      </c>
      <c r="E268" s="43" t="s">
        <v>61</v>
      </c>
      <c r="F268" s="43">
        <v>1108512330</v>
      </c>
      <c r="G268" s="44">
        <v>0</v>
      </c>
      <c r="H268" s="44">
        <v>0</v>
      </c>
      <c r="I268" s="44">
        <v>0</v>
      </c>
      <c r="J268" s="44">
        <v>0</v>
      </c>
      <c r="K268" s="44">
        <v>0</v>
      </c>
      <c r="L268" s="43">
        <v>1108512330</v>
      </c>
      <c r="M268" s="44">
        <v>0</v>
      </c>
      <c r="N268" s="43">
        <v>64902109</v>
      </c>
      <c r="O268" s="43">
        <v>64902109</v>
      </c>
      <c r="P268" s="44">
        <v>0</v>
      </c>
      <c r="Q268" s="43">
        <v>64902109</v>
      </c>
      <c r="R268" s="43">
        <v>64902109</v>
      </c>
      <c r="S268" s="34">
        <v>0</v>
      </c>
      <c r="T268" s="34">
        <v>0</v>
      </c>
      <c r="U268" s="34">
        <v>0</v>
      </c>
      <c r="V268" s="40">
        <f t="shared" si="91"/>
        <v>0</v>
      </c>
      <c r="W268" s="43">
        <v>1043610221</v>
      </c>
      <c r="X268" s="43">
        <v>0</v>
      </c>
      <c r="Y268" s="43">
        <v>64902109</v>
      </c>
      <c r="Z268" s="32">
        <f t="shared" ref="Z268" si="109">R268/L268</f>
        <v>5.8548838153203039E-2</v>
      </c>
    </row>
    <row r="269" spans="1:26" ht="18.75" customHeight="1" x14ac:dyDescent="0.2">
      <c r="C269" s="16"/>
      <c r="D269" s="29" t="s">
        <v>348</v>
      </c>
      <c r="E269" s="17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34"/>
      <c r="Q269" s="18"/>
      <c r="R269" s="18"/>
      <c r="S269" s="18"/>
      <c r="T269" s="18"/>
      <c r="U269" s="18"/>
      <c r="V269" s="30"/>
      <c r="W269" s="18"/>
      <c r="X269" s="18"/>
      <c r="Y269" s="18"/>
      <c r="Z269" s="18"/>
    </row>
    <row r="270" spans="1:26" ht="18.75" customHeight="1" x14ac:dyDescent="0.2">
      <c r="C270" s="16"/>
      <c r="D270" s="29" t="s">
        <v>318</v>
      </c>
      <c r="E270" s="17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34"/>
      <c r="Q270" s="18"/>
      <c r="R270" s="18"/>
      <c r="S270" s="18"/>
      <c r="T270" s="18"/>
      <c r="U270" s="18"/>
      <c r="V270" s="30"/>
      <c r="W270" s="18"/>
      <c r="X270" s="18"/>
      <c r="Y270" s="18"/>
      <c r="Z270" s="18"/>
    </row>
    <row r="271" spans="1:26" ht="25.5" x14ac:dyDescent="0.2">
      <c r="C271" s="16"/>
      <c r="D271" s="29" t="s">
        <v>319</v>
      </c>
      <c r="E271" s="17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34"/>
      <c r="Q271" s="18"/>
      <c r="R271" s="18"/>
      <c r="S271" s="18"/>
      <c r="T271" s="18"/>
      <c r="U271" s="18"/>
      <c r="V271" s="30"/>
      <c r="W271" s="18"/>
      <c r="X271" s="18"/>
      <c r="Y271" s="18"/>
      <c r="Z271" s="18"/>
    </row>
    <row r="272" spans="1:26" ht="18.75" customHeight="1" x14ac:dyDescent="0.2">
      <c r="C272" s="16"/>
      <c r="D272" s="29" t="s">
        <v>320</v>
      </c>
      <c r="E272" s="17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34"/>
      <c r="Q272" s="18"/>
      <c r="R272" s="18"/>
      <c r="S272" s="18"/>
      <c r="T272" s="18"/>
      <c r="U272" s="18"/>
      <c r="V272" s="30"/>
      <c r="W272" s="18"/>
      <c r="X272" s="18"/>
      <c r="Y272" s="18"/>
      <c r="Z272" s="18"/>
    </row>
    <row r="273" spans="1:26" ht="18.75" customHeight="1" x14ac:dyDescent="0.2">
      <c r="C273" s="16"/>
      <c r="D273" s="29" t="s">
        <v>46</v>
      </c>
      <c r="E273" s="17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34"/>
      <c r="Q273" s="18"/>
      <c r="R273" s="18"/>
      <c r="S273" s="18"/>
      <c r="T273" s="18"/>
      <c r="U273" s="18"/>
      <c r="V273" s="30"/>
      <c r="W273" s="18"/>
      <c r="X273" s="18"/>
      <c r="Y273" s="18"/>
      <c r="Z273" s="18"/>
    </row>
    <row r="274" spans="1:26" ht="18.75" customHeight="1" x14ac:dyDescent="0.2">
      <c r="C274" s="16"/>
      <c r="D274" s="29" t="s">
        <v>48</v>
      </c>
      <c r="E274" s="17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34"/>
      <c r="Q274" s="18"/>
      <c r="R274" s="18"/>
      <c r="S274" s="18"/>
      <c r="T274" s="18"/>
      <c r="U274" s="18"/>
      <c r="V274" s="30"/>
      <c r="W274" s="18"/>
      <c r="X274" s="18"/>
      <c r="Y274" s="18"/>
      <c r="Z274" s="18"/>
    </row>
    <row r="275" spans="1:26" ht="18.75" customHeight="1" x14ac:dyDescent="0.2">
      <c r="C275" s="16"/>
      <c r="D275" s="29" t="s">
        <v>52</v>
      </c>
      <c r="E275" s="17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34"/>
      <c r="Q275" s="18"/>
      <c r="R275" s="18"/>
      <c r="S275" s="18"/>
      <c r="T275" s="18"/>
      <c r="U275" s="18"/>
      <c r="V275" s="30"/>
      <c r="W275" s="18"/>
      <c r="X275" s="18"/>
      <c r="Y275" s="18"/>
      <c r="Z275" s="18"/>
    </row>
    <row r="276" spans="1:26" ht="18.75" customHeight="1" x14ac:dyDescent="0.2">
      <c r="C276" s="28" t="s">
        <v>288</v>
      </c>
      <c r="D276" s="29" t="s">
        <v>54</v>
      </c>
      <c r="E276" s="17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34"/>
      <c r="Q276" s="18"/>
      <c r="R276" s="18"/>
      <c r="S276" s="18"/>
      <c r="T276" s="18"/>
      <c r="U276" s="18"/>
      <c r="V276" s="30"/>
      <c r="W276" s="18"/>
      <c r="X276" s="18"/>
      <c r="Y276" s="18"/>
      <c r="Z276" s="18"/>
    </row>
    <row r="277" spans="1:26" ht="18.75" customHeight="1" x14ac:dyDescent="0.2">
      <c r="A277" s="4" t="s">
        <v>55</v>
      </c>
      <c r="B277" s="4" t="s">
        <v>56</v>
      </c>
      <c r="C277" s="41" t="s">
        <v>323</v>
      </c>
      <c r="D277" s="42" t="s">
        <v>324</v>
      </c>
      <c r="E277" s="43" t="s">
        <v>61</v>
      </c>
      <c r="F277" s="43">
        <v>111646949658</v>
      </c>
      <c r="G277" s="44">
        <v>0</v>
      </c>
      <c r="H277" s="44">
        <v>0</v>
      </c>
      <c r="I277" s="44">
        <v>0</v>
      </c>
      <c r="J277" s="44">
        <v>0</v>
      </c>
      <c r="K277" s="44">
        <v>0</v>
      </c>
      <c r="L277" s="43">
        <v>111646949658</v>
      </c>
      <c r="M277" s="44">
        <v>0</v>
      </c>
      <c r="N277" s="43">
        <v>5741202907</v>
      </c>
      <c r="O277" s="43">
        <v>5741202907</v>
      </c>
      <c r="P277" s="44">
        <v>0</v>
      </c>
      <c r="Q277" s="43">
        <v>5741202907</v>
      </c>
      <c r="R277" s="43">
        <v>5741202907</v>
      </c>
      <c r="S277" s="43">
        <v>0</v>
      </c>
      <c r="T277" s="43">
        <v>5741202907</v>
      </c>
      <c r="U277" s="43">
        <v>5741202907</v>
      </c>
      <c r="V277" s="30">
        <f t="shared" si="91"/>
        <v>5741202907</v>
      </c>
      <c r="W277" s="43">
        <v>105905746751</v>
      </c>
      <c r="X277" s="43">
        <v>0</v>
      </c>
      <c r="Y277" s="43">
        <v>0</v>
      </c>
      <c r="Z277" s="32">
        <f t="shared" ref="Z277" si="110">R277/L277</f>
        <v>5.1422837118135431E-2</v>
      </c>
    </row>
    <row r="278" spans="1:26" ht="18.75" customHeight="1" x14ac:dyDescent="0.2">
      <c r="C278" s="28" t="s">
        <v>288</v>
      </c>
      <c r="D278" s="29" t="s">
        <v>63</v>
      </c>
      <c r="E278" s="17"/>
      <c r="F278" s="18"/>
      <c r="G278" s="34"/>
      <c r="H278" s="34"/>
      <c r="I278" s="34"/>
      <c r="J278" s="34"/>
      <c r="K278" s="34"/>
      <c r="L278" s="18"/>
      <c r="M278" s="34"/>
      <c r="N278" s="18"/>
      <c r="O278" s="18"/>
      <c r="P278" s="34"/>
      <c r="Q278" s="18"/>
      <c r="R278" s="18"/>
      <c r="S278" s="18"/>
      <c r="T278" s="18"/>
      <c r="U278" s="18"/>
      <c r="V278" s="30"/>
      <c r="W278" s="18"/>
      <c r="X278" s="18"/>
      <c r="Y278" s="18"/>
      <c r="Z278" s="18"/>
    </row>
    <row r="279" spans="1:26" ht="18.75" customHeight="1" x14ac:dyDescent="0.2">
      <c r="A279" s="4" t="s">
        <v>325</v>
      </c>
      <c r="B279" s="4" t="s">
        <v>326</v>
      </c>
      <c r="C279" s="41" t="s">
        <v>349</v>
      </c>
      <c r="D279" s="42" t="s">
        <v>328</v>
      </c>
      <c r="E279" s="43" t="s">
        <v>61</v>
      </c>
      <c r="F279" s="43">
        <v>1252925726</v>
      </c>
      <c r="G279" s="44">
        <v>0</v>
      </c>
      <c r="H279" s="44">
        <v>0</v>
      </c>
      <c r="I279" s="44">
        <v>0</v>
      </c>
      <c r="J279" s="44">
        <v>0</v>
      </c>
      <c r="K279" s="44">
        <v>0</v>
      </c>
      <c r="L279" s="43">
        <v>1252925726</v>
      </c>
      <c r="M279" s="44">
        <v>0</v>
      </c>
      <c r="N279" s="43">
        <v>676576</v>
      </c>
      <c r="O279" s="43">
        <v>676576</v>
      </c>
      <c r="P279" s="44">
        <v>0</v>
      </c>
      <c r="Q279" s="43">
        <v>676576</v>
      </c>
      <c r="R279" s="43">
        <v>676576</v>
      </c>
      <c r="S279" s="44">
        <v>0</v>
      </c>
      <c r="T279" s="43">
        <v>676576</v>
      </c>
      <c r="U279" s="43">
        <v>676576</v>
      </c>
      <c r="V279" s="39">
        <f t="shared" si="91"/>
        <v>676576</v>
      </c>
      <c r="W279" s="43">
        <v>1252249150</v>
      </c>
      <c r="X279" s="43">
        <v>0</v>
      </c>
      <c r="Y279" s="43">
        <v>0</v>
      </c>
      <c r="Z279" s="32">
        <f t="shared" ref="Z279" si="111">R279/L279</f>
        <v>5.3999689363868968E-4</v>
      </c>
    </row>
    <row r="280" spans="1:26" ht="18.75" customHeight="1" x14ac:dyDescent="0.2">
      <c r="C280" s="28" t="s">
        <v>288</v>
      </c>
      <c r="D280" s="29" t="s">
        <v>67</v>
      </c>
      <c r="E280" s="17"/>
      <c r="F280" s="18"/>
      <c r="G280" s="34"/>
      <c r="H280" s="34"/>
      <c r="I280" s="34"/>
      <c r="J280" s="34"/>
      <c r="K280" s="34"/>
      <c r="L280" s="18"/>
      <c r="M280" s="34"/>
      <c r="N280" s="18"/>
      <c r="O280" s="18"/>
      <c r="P280" s="34"/>
      <c r="Q280" s="18"/>
      <c r="R280" s="18"/>
      <c r="S280" s="34"/>
      <c r="T280" s="18"/>
      <c r="U280" s="18"/>
      <c r="V280" s="39"/>
      <c r="W280" s="18"/>
      <c r="X280" s="18"/>
      <c r="Y280" s="18"/>
      <c r="Z280" s="18"/>
    </row>
    <row r="281" spans="1:26" ht="18.75" customHeight="1" x14ac:dyDescent="0.2">
      <c r="A281" s="4" t="s">
        <v>325</v>
      </c>
      <c r="B281" s="4" t="s">
        <v>326</v>
      </c>
      <c r="C281" s="41" t="s">
        <v>350</v>
      </c>
      <c r="D281" s="42" t="s">
        <v>328</v>
      </c>
      <c r="E281" s="43" t="s">
        <v>61</v>
      </c>
      <c r="F281" s="43">
        <v>29846525</v>
      </c>
      <c r="G281" s="44">
        <v>0</v>
      </c>
      <c r="H281" s="44">
        <v>0</v>
      </c>
      <c r="I281" s="44">
        <v>0</v>
      </c>
      <c r="J281" s="44">
        <v>0</v>
      </c>
      <c r="K281" s="44">
        <v>0</v>
      </c>
      <c r="L281" s="43">
        <v>29846525</v>
      </c>
      <c r="M281" s="44">
        <v>0</v>
      </c>
      <c r="N281" s="43">
        <v>1542275</v>
      </c>
      <c r="O281" s="43">
        <v>1542275</v>
      </c>
      <c r="P281" s="44">
        <v>0</v>
      </c>
      <c r="Q281" s="43">
        <v>1542275</v>
      </c>
      <c r="R281" s="43">
        <v>1542275</v>
      </c>
      <c r="S281" s="44">
        <v>0</v>
      </c>
      <c r="T281" s="43">
        <v>1542275</v>
      </c>
      <c r="U281" s="43">
        <v>1542275</v>
      </c>
      <c r="V281" s="39">
        <f t="shared" si="91"/>
        <v>1542275</v>
      </c>
      <c r="W281" s="43">
        <v>28304250</v>
      </c>
      <c r="X281" s="43">
        <v>0</v>
      </c>
      <c r="Y281" s="43">
        <v>0</v>
      </c>
      <c r="Z281" s="32">
        <f t="shared" ref="Z281" si="112">R281/L281</f>
        <v>5.167351978161612E-2</v>
      </c>
    </row>
    <row r="282" spans="1:26" ht="18.75" customHeight="1" x14ac:dyDescent="0.2">
      <c r="C282" s="28" t="s">
        <v>288</v>
      </c>
      <c r="D282" s="29" t="s">
        <v>69</v>
      </c>
      <c r="E282" s="17"/>
      <c r="F282" s="18"/>
      <c r="G282" s="34"/>
      <c r="H282" s="34"/>
      <c r="I282" s="34"/>
      <c r="J282" s="34"/>
      <c r="K282" s="34"/>
      <c r="L282" s="18"/>
      <c r="M282" s="34"/>
      <c r="N282" s="18"/>
      <c r="O282" s="18"/>
      <c r="P282" s="34"/>
      <c r="Q282" s="18"/>
      <c r="R282" s="18"/>
      <c r="S282" s="34"/>
      <c r="T282" s="18"/>
      <c r="U282" s="18"/>
      <c r="V282" s="39"/>
      <c r="W282" s="18"/>
      <c r="X282" s="18"/>
      <c r="Y282" s="18"/>
      <c r="Z282" s="18"/>
    </row>
    <row r="283" spans="1:26" ht="18.75" customHeight="1" x14ac:dyDescent="0.2">
      <c r="A283" s="4" t="s">
        <v>325</v>
      </c>
      <c r="B283" s="4" t="s">
        <v>326</v>
      </c>
      <c r="C283" s="41" t="s">
        <v>351</v>
      </c>
      <c r="D283" s="42" t="s">
        <v>328</v>
      </c>
      <c r="E283" s="43" t="s">
        <v>61</v>
      </c>
      <c r="F283" s="43">
        <v>8723052</v>
      </c>
      <c r="G283" s="44">
        <v>0</v>
      </c>
      <c r="H283" s="44">
        <v>0</v>
      </c>
      <c r="I283" s="44">
        <v>0</v>
      </c>
      <c r="J283" s="44">
        <v>0</v>
      </c>
      <c r="K283" s="44">
        <v>0</v>
      </c>
      <c r="L283" s="43">
        <v>8723052</v>
      </c>
      <c r="M283" s="44">
        <v>0</v>
      </c>
      <c r="N283" s="43">
        <v>2412946</v>
      </c>
      <c r="O283" s="43">
        <v>2412946</v>
      </c>
      <c r="P283" s="44">
        <v>0</v>
      </c>
      <c r="Q283" s="43">
        <v>2412946</v>
      </c>
      <c r="R283" s="43">
        <v>2412946</v>
      </c>
      <c r="S283" s="44">
        <v>0</v>
      </c>
      <c r="T283" s="43">
        <v>2412946</v>
      </c>
      <c r="U283" s="43">
        <v>2412946</v>
      </c>
      <c r="V283" s="39">
        <f t="shared" si="91"/>
        <v>2412946</v>
      </c>
      <c r="W283" s="43">
        <v>6310106</v>
      </c>
      <c r="X283" s="43">
        <v>0</v>
      </c>
      <c r="Y283" s="43">
        <v>0</v>
      </c>
      <c r="Z283" s="32">
        <f t="shared" ref="Z283" si="113">R283/L283</f>
        <v>0.27661717481450299</v>
      </c>
    </row>
    <row r="284" spans="1:26" ht="18.75" customHeight="1" x14ac:dyDescent="0.2">
      <c r="C284" s="28" t="s">
        <v>288</v>
      </c>
      <c r="D284" s="29" t="s">
        <v>71</v>
      </c>
      <c r="E284" s="17"/>
      <c r="F284" s="18"/>
      <c r="G284" s="34"/>
      <c r="H284" s="34"/>
      <c r="I284" s="34"/>
      <c r="J284" s="34"/>
      <c r="K284" s="34"/>
      <c r="L284" s="18"/>
      <c r="M284" s="34"/>
      <c r="N284" s="18"/>
      <c r="O284" s="18"/>
      <c r="P284" s="34"/>
      <c r="Q284" s="18"/>
      <c r="R284" s="18"/>
      <c r="S284" s="34"/>
      <c r="T284" s="18"/>
      <c r="U284" s="18"/>
      <c r="V284" s="39"/>
      <c r="W284" s="18"/>
      <c r="X284" s="18"/>
      <c r="Y284" s="18"/>
      <c r="Z284" s="18"/>
    </row>
    <row r="285" spans="1:26" ht="18.75" customHeight="1" x14ac:dyDescent="0.2">
      <c r="A285" s="4" t="s">
        <v>325</v>
      </c>
      <c r="B285" s="4" t="s">
        <v>326</v>
      </c>
      <c r="C285" s="41" t="s">
        <v>327</v>
      </c>
      <c r="D285" s="42" t="s">
        <v>328</v>
      </c>
      <c r="E285" s="43" t="s">
        <v>61</v>
      </c>
      <c r="F285" s="43">
        <v>5466979223</v>
      </c>
      <c r="G285" s="44">
        <v>0</v>
      </c>
      <c r="H285" s="44">
        <v>0</v>
      </c>
      <c r="I285" s="44">
        <v>0</v>
      </c>
      <c r="J285" s="44">
        <v>0</v>
      </c>
      <c r="K285" s="44">
        <v>0</v>
      </c>
      <c r="L285" s="43">
        <v>5466979223</v>
      </c>
      <c r="M285" s="44">
        <v>0</v>
      </c>
      <c r="N285" s="43">
        <v>28541579</v>
      </c>
      <c r="O285" s="43">
        <v>28541579</v>
      </c>
      <c r="P285" s="44">
        <v>0</v>
      </c>
      <c r="Q285" s="43">
        <v>28541579</v>
      </c>
      <c r="R285" s="43">
        <v>28541579</v>
      </c>
      <c r="S285" s="44">
        <v>0</v>
      </c>
      <c r="T285" s="43">
        <v>28541579</v>
      </c>
      <c r="U285" s="43">
        <v>28541579</v>
      </c>
      <c r="V285" s="39">
        <f t="shared" ref="V285:V348" si="114">S285+U285</f>
        <v>28541579</v>
      </c>
      <c r="W285" s="43">
        <v>5438437644</v>
      </c>
      <c r="X285" s="43">
        <v>0</v>
      </c>
      <c r="Y285" s="43">
        <v>0</v>
      </c>
      <c r="Z285" s="32">
        <f t="shared" ref="Z285" si="115">R285/L285</f>
        <v>5.2207220543153687E-3</v>
      </c>
    </row>
    <row r="286" spans="1:26" ht="18.75" customHeight="1" x14ac:dyDescent="0.2">
      <c r="C286" s="28" t="s">
        <v>288</v>
      </c>
      <c r="D286" s="29" t="s">
        <v>76</v>
      </c>
      <c r="E286" s="17"/>
      <c r="F286" s="18"/>
      <c r="G286" s="34"/>
      <c r="H286" s="34"/>
      <c r="I286" s="34"/>
      <c r="J286" s="34"/>
      <c r="K286" s="34"/>
      <c r="L286" s="18"/>
      <c r="M286" s="34"/>
      <c r="N286" s="18"/>
      <c r="O286" s="18"/>
      <c r="P286" s="34"/>
      <c r="Q286" s="18"/>
      <c r="R286" s="18"/>
      <c r="S286" s="18"/>
      <c r="T286" s="18"/>
      <c r="U286" s="18"/>
      <c r="V286" s="39"/>
      <c r="W286" s="18"/>
      <c r="X286" s="18"/>
      <c r="Y286" s="18"/>
      <c r="Z286" s="18"/>
    </row>
    <row r="287" spans="1:26" ht="18.75" customHeight="1" x14ac:dyDescent="0.2">
      <c r="A287" s="4" t="s">
        <v>325</v>
      </c>
      <c r="B287" s="4" t="s">
        <v>326</v>
      </c>
      <c r="C287" s="41" t="s">
        <v>329</v>
      </c>
      <c r="D287" s="42" t="s">
        <v>328</v>
      </c>
      <c r="E287" s="43" t="s">
        <v>61</v>
      </c>
      <c r="F287" s="43">
        <v>3964855703</v>
      </c>
      <c r="G287" s="44">
        <v>0</v>
      </c>
      <c r="H287" s="44">
        <v>0</v>
      </c>
      <c r="I287" s="44">
        <v>0</v>
      </c>
      <c r="J287" s="44">
        <v>0</v>
      </c>
      <c r="K287" s="44">
        <v>0</v>
      </c>
      <c r="L287" s="43">
        <v>3964855703</v>
      </c>
      <c r="M287" s="44">
        <v>0</v>
      </c>
      <c r="N287" s="43">
        <v>843919241</v>
      </c>
      <c r="O287" s="43">
        <v>843919241</v>
      </c>
      <c r="P287" s="44">
        <v>0</v>
      </c>
      <c r="Q287" s="43">
        <v>843919241</v>
      </c>
      <c r="R287" s="43">
        <v>843919241</v>
      </c>
      <c r="S287" s="44">
        <v>0</v>
      </c>
      <c r="T287" s="43">
        <v>843919241</v>
      </c>
      <c r="U287" s="43">
        <v>843919241</v>
      </c>
      <c r="V287" s="39">
        <f t="shared" si="114"/>
        <v>843919241</v>
      </c>
      <c r="W287" s="43">
        <v>3120936462</v>
      </c>
      <c r="X287" s="43">
        <v>0</v>
      </c>
      <c r="Y287" s="43">
        <v>0</v>
      </c>
      <c r="Z287" s="32">
        <f t="shared" ref="Z287" si="116">R287/L287</f>
        <v>0.21284992549954598</v>
      </c>
    </row>
    <row r="288" spans="1:26" ht="18.75" customHeight="1" x14ac:dyDescent="0.2">
      <c r="C288" s="16"/>
      <c r="D288" s="29" t="s">
        <v>81</v>
      </c>
      <c r="E288" s="17"/>
      <c r="F288" s="18"/>
      <c r="G288" s="34"/>
      <c r="H288" s="34"/>
      <c r="I288" s="34"/>
      <c r="J288" s="34"/>
      <c r="K288" s="34"/>
      <c r="L288" s="18"/>
      <c r="M288" s="34"/>
      <c r="N288" s="18"/>
      <c r="O288" s="18"/>
      <c r="P288" s="34"/>
      <c r="Q288" s="18"/>
      <c r="R288" s="18"/>
      <c r="S288" s="34"/>
      <c r="T288" s="18"/>
      <c r="U288" s="18"/>
      <c r="V288" s="30"/>
      <c r="W288" s="18"/>
      <c r="X288" s="18"/>
      <c r="Y288" s="18"/>
      <c r="Z288" s="18"/>
    </row>
    <row r="289" spans="1:26" ht="18.75" customHeight="1" x14ac:dyDescent="0.2">
      <c r="C289" s="28" t="s">
        <v>288</v>
      </c>
      <c r="D289" s="29" t="s">
        <v>83</v>
      </c>
      <c r="E289" s="17"/>
      <c r="F289" s="18"/>
      <c r="G289" s="34"/>
      <c r="H289" s="34"/>
      <c r="I289" s="34"/>
      <c r="J289" s="34"/>
      <c r="K289" s="34"/>
      <c r="L289" s="18"/>
      <c r="M289" s="34"/>
      <c r="N289" s="18"/>
      <c r="O289" s="18"/>
      <c r="P289" s="34"/>
      <c r="Q289" s="18"/>
      <c r="R289" s="18"/>
      <c r="S289" s="34"/>
      <c r="T289" s="18"/>
      <c r="U289" s="18"/>
      <c r="V289" s="30"/>
      <c r="W289" s="18"/>
      <c r="X289" s="18"/>
      <c r="Y289" s="18"/>
      <c r="Z289" s="18"/>
    </row>
    <row r="290" spans="1:26" ht="18.75" customHeight="1" x14ac:dyDescent="0.2">
      <c r="A290" s="4" t="s">
        <v>325</v>
      </c>
      <c r="B290" s="4" t="s">
        <v>326</v>
      </c>
      <c r="C290" s="41" t="s">
        <v>330</v>
      </c>
      <c r="D290" s="42" t="s">
        <v>328</v>
      </c>
      <c r="E290" s="43" t="s">
        <v>61</v>
      </c>
      <c r="F290" s="43">
        <v>11363953497</v>
      </c>
      <c r="G290" s="44">
        <v>0</v>
      </c>
      <c r="H290" s="44">
        <v>0</v>
      </c>
      <c r="I290" s="44">
        <v>0</v>
      </c>
      <c r="J290" s="44">
        <v>0</v>
      </c>
      <c r="K290" s="44">
        <v>0</v>
      </c>
      <c r="L290" s="43">
        <v>11363953497</v>
      </c>
      <c r="M290" s="44">
        <v>0</v>
      </c>
      <c r="N290" s="43">
        <v>7309790</v>
      </c>
      <c r="O290" s="43">
        <v>7309790</v>
      </c>
      <c r="P290" s="44">
        <v>0</v>
      </c>
      <c r="Q290" s="43">
        <v>7309790</v>
      </c>
      <c r="R290" s="43">
        <v>7309790</v>
      </c>
      <c r="S290" s="44">
        <v>0</v>
      </c>
      <c r="T290" s="43">
        <v>7309790</v>
      </c>
      <c r="U290" s="43">
        <v>7309790</v>
      </c>
      <c r="V290" s="30">
        <f t="shared" si="114"/>
        <v>7309790</v>
      </c>
      <c r="W290" s="43">
        <v>11356643707</v>
      </c>
      <c r="X290" s="43">
        <v>0</v>
      </c>
      <c r="Y290" s="43">
        <v>0</v>
      </c>
      <c r="Z290" s="32">
        <f t="shared" ref="Z290" si="117">R290/L290</f>
        <v>6.4324356852830586E-4</v>
      </c>
    </row>
    <row r="291" spans="1:26" ht="18.75" customHeight="1" x14ac:dyDescent="0.2">
      <c r="C291" s="28" t="s">
        <v>288</v>
      </c>
      <c r="D291" s="29" t="s">
        <v>88</v>
      </c>
      <c r="E291" s="17"/>
      <c r="F291" s="18"/>
      <c r="G291" s="34"/>
      <c r="H291" s="34"/>
      <c r="I291" s="34"/>
      <c r="J291" s="34"/>
      <c r="K291" s="34"/>
      <c r="L291" s="18"/>
      <c r="M291" s="34"/>
      <c r="N291" s="18"/>
      <c r="O291" s="18"/>
      <c r="P291" s="34"/>
      <c r="Q291" s="18"/>
      <c r="R291" s="18"/>
      <c r="S291" s="34"/>
      <c r="T291" s="18"/>
      <c r="U291" s="18"/>
      <c r="V291" s="30"/>
      <c r="W291" s="18"/>
      <c r="X291" s="18"/>
      <c r="Y291" s="18"/>
      <c r="Z291" s="18"/>
    </row>
    <row r="292" spans="1:26" ht="18.75" customHeight="1" x14ac:dyDescent="0.2">
      <c r="A292" s="4" t="s">
        <v>325</v>
      </c>
      <c r="B292" s="4" t="s">
        <v>326</v>
      </c>
      <c r="C292" s="41" t="s">
        <v>331</v>
      </c>
      <c r="D292" s="42" t="s">
        <v>328</v>
      </c>
      <c r="E292" s="43" t="s">
        <v>61</v>
      </c>
      <c r="F292" s="43">
        <v>5983405720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3">
        <v>5983405720</v>
      </c>
      <c r="M292" s="44">
        <v>0</v>
      </c>
      <c r="N292" s="43">
        <v>2065389</v>
      </c>
      <c r="O292" s="43">
        <v>2065389</v>
      </c>
      <c r="P292" s="44">
        <v>0</v>
      </c>
      <c r="Q292" s="43">
        <v>2065389</v>
      </c>
      <c r="R292" s="43">
        <v>2065389</v>
      </c>
      <c r="S292" s="44">
        <v>0</v>
      </c>
      <c r="T292" s="43">
        <v>2065389</v>
      </c>
      <c r="U292" s="43">
        <v>2065389</v>
      </c>
      <c r="V292" s="30">
        <f t="shared" si="114"/>
        <v>2065389</v>
      </c>
      <c r="W292" s="43">
        <v>5981340331</v>
      </c>
      <c r="X292" s="43">
        <v>0</v>
      </c>
      <c r="Y292" s="43">
        <v>0</v>
      </c>
      <c r="Z292" s="32">
        <f t="shared" ref="Z292" si="118">R292/L292</f>
        <v>3.4518618603720559E-4</v>
      </c>
    </row>
    <row r="293" spans="1:26" ht="18.75" customHeight="1" x14ac:dyDescent="0.2">
      <c r="C293" s="16"/>
      <c r="D293" s="29" t="s">
        <v>103</v>
      </c>
      <c r="E293" s="17"/>
      <c r="F293" s="18"/>
      <c r="G293" s="34"/>
      <c r="H293" s="34"/>
      <c r="I293" s="34"/>
      <c r="J293" s="34"/>
      <c r="K293" s="34"/>
      <c r="L293" s="18"/>
      <c r="M293" s="34"/>
      <c r="N293" s="18"/>
      <c r="O293" s="18"/>
      <c r="P293" s="34"/>
      <c r="Q293" s="18"/>
      <c r="R293" s="18"/>
      <c r="S293" s="18"/>
      <c r="T293" s="18"/>
      <c r="U293" s="18"/>
      <c r="V293" s="30"/>
      <c r="W293" s="18"/>
      <c r="X293" s="18"/>
      <c r="Y293" s="18"/>
      <c r="Z293" s="18"/>
    </row>
    <row r="294" spans="1:26" ht="18.75" customHeight="1" x14ac:dyDescent="0.2">
      <c r="C294" s="28" t="s">
        <v>288</v>
      </c>
      <c r="D294" s="29" t="s">
        <v>352</v>
      </c>
      <c r="E294" s="17"/>
      <c r="F294" s="18"/>
      <c r="G294" s="34"/>
      <c r="H294" s="34"/>
      <c r="I294" s="34"/>
      <c r="J294" s="34"/>
      <c r="K294" s="34"/>
      <c r="L294" s="18"/>
      <c r="M294" s="34"/>
      <c r="N294" s="18"/>
      <c r="O294" s="18"/>
      <c r="P294" s="34"/>
      <c r="Q294" s="18"/>
      <c r="R294" s="18"/>
      <c r="S294" s="18"/>
      <c r="T294" s="18"/>
      <c r="U294" s="18"/>
      <c r="V294" s="30"/>
      <c r="W294" s="18"/>
      <c r="X294" s="18"/>
      <c r="Y294" s="18"/>
      <c r="Z294" s="18"/>
    </row>
    <row r="295" spans="1:26" ht="18.75" customHeight="1" x14ac:dyDescent="0.2">
      <c r="A295" s="4" t="s">
        <v>325</v>
      </c>
      <c r="B295" s="4" t="s">
        <v>326</v>
      </c>
      <c r="C295" s="41" t="s">
        <v>332</v>
      </c>
      <c r="D295" s="42" t="s">
        <v>328</v>
      </c>
      <c r="E295" s="43" t="s">
        <v>61</v>
      </c>
      <c r="F295" s="43">
        <v>13134738179</v>
      </c>
      <c r="G295" s="44">
        <v>0</v>
      </c>
      <c r="H295" s="44">
        <v>0</v>
      </c>
      <c r="I295" s="44">
        <v>0</v>
      </c>
      <c r="J295" s="44">
        <v>0</v>
      </c>
      <c r="K295" s="44">
        <v>0</v>
      </c>
      <c r="L295" s="43">
        <v>13134738179</v>
      </c>
      <c r="M295" s="44">
        <v>0</v>
      </c>
      <c r="N295" s="43">
        <v>899659642.20000005</v>
      </c>
      <c r="O295" s="43">
        <v>899659642.20000005</v>
      </c>
      <c r="P295" s="44">
        <v>0</v>
      </c>
      <c r="Q295" s="43">
        <v>899659642.20000005</v>
      </c>
      <c r="R295" s="43">
        <v>899659642.20000005</v>
      </c>
      <c r="S295" s="44">
        <v>0</v>
      </c>
      <c r="T295" s="43">
        <v>899659642.20000005</v>
      </c>
      <c r="U295" s="43">
        <v>899659642.20000005</v>
      </c>
      <c r="V295" s="30">
        <f t="shared" si="114"/>
        <v>899659642.20000005</v>
      </c>
      <c r="W295" s="43">
        <v>12235078536.799999</v>
      </c>
      <c r="X295" s="43">
        <v>0</v>
      </c>
      <c r="Y295" s="43">
        <v>0</v>
      </c>
      <c r="Z295" s="32">
        <f t="shared" ref="Z295" si="119">R295/L295</f>
        <v>6.8494676478469005E-2</v>
      </c>
    </row>
    <row r="296" spans="1:26" ht="18.75" customHeight="1" x14ac:dyDescent="0.2">
      <c r="C296" s="28" t="s">
        <v>288</v>
      </c>
      <c r="D296" s="29" t="s">
        <v>353</v>
      </c>
      <c r="E296" s="17"/>
      <c r="F296" s="18"/>
      <c r="G296" s="34"/>
      <c r="H296" s="34"/>
      <c r="I296" s="34"/>
      <c r="J296" s="34"/>
      <c r="K296" s="34"/>
      <c r="L296" s="18"/>
      <c r="M296" s="34"/>
      <c r="N296" s="18"/>
      <c r="O296" s="18"/>
      <c r="P296" s="34"/>
      <c r="Q296" s="18"/>
      <c r="R296" s="18"/>
      <c r="S296" s="34"/>
      <c r="T296" s="18"/>
      <c r="U296" s="18"/>
      <c r="V296" s="30"/>
      <c r="W296" s="18"/>
      <c r="X296" s="18"/>
      <c r="Y296" s="18"/>
      <c r="Z296" s="18"/>
    </row>
    <row r="297" spans="1:26" ht="18.75" customHeight="1" x14ac:dyDescent="0.2">
      <c r="A297" s="4" t="s">
        <v>325</v>
      </c>
      <c r="B297" s="4" t="s">
        <v>326</v>
      </c>
      <c r="C297" s="41" t="s">
        <v>334</v>
      </c>
      <c r="D297" s="42" t="s">
        <v>328</v>
      </c>
      <c r="E297" s="43" t="s">
        <v>61</v>
      </c>
      <c r="F297" s="43">
        <v>9662336131</v>
      </c>
      <c r="G297" s="44">
        <v>0</v>
      </c>
      <c r="H297" s="44">
        <v>0</v>
      </c>
      <c r="I297" s="44">
        <v>0</v>
      </c>
      <c r="J297" s="44">
        <v>0</v>
      </c>
      <c r="K297" s="44">
        <v>0</v>
      </c>
      <c r="L297" s="43">
        <v>9662336131</v>
      </c>
      <c r="M297" s="44">
        <v>0</v>
      </c>
      <c r="N297" s="43">
        <v>754208802.79999995</v>
      </c>
      <c r="O297" s="43">
        <v>754208802.79999995</v>
      </c>
      <c r="P297" s="44">
        <v>0</v>
      </c>
      <c r="Q297" s="43">
        <v>754208802.79999995</v>
      </c>
      <c r="R297" s="43">
        <v>754208802.79999995</v>
      </c>
      <c r="S297" s="44">
        <v>0</v>
      </c>
      <c r="T297" s="43">
        <v>754208802.79999995</v>
      </c>
      <c r="U297" s="43">
        <v>754208802.79999995</v>
      </c>
      <c r="V297" s="30">
        <f t="shared" si="114"/>
        <v>754208802.79999995</v>
      </c>
      <c r="W297" s="43">
        <v>8908127328.2000008</v>
      </c>
      <c r="X297" s="43">
        <v>0</v>
      </c>
      <c r="Y297" s="43">
        <v>0</v>
      </c>
      <c r="Z297" s="32">
        <f t="shared" ref="Z297" si="120">R297/L297</f>
        <v>7.8056568574575491E-2</v>
      </c>
    </row>
    <row r="298" spans="1:26" ht="18.75" customHeight="1" x14ac:dyDescent="0.2">
      <c r="C298" s="28" t="s">
        <v>288</v>
      </c>
      <c r="D298" s="29" t="s">
        <v>354</v>
      </c>
      <c r="E298" s="17"/>
      <c r="F298" s="18"/>
      <c r="G298" s="34"/>
      <c r="H298" s="34"/>
      <c r="I298" s="34"/>
      <c r="J298" s="34"/>
      <c r="K298" s="34"/>
      <c r="L298" s="18"/>
      <c r="M298" s="34"/>
      <c r="N298" s="18"/>
      <c r="O298" s="18"/>
      <c r="P298" s="34"/>
      <c r="Q298" s="18"/>
      <c r="R298" s="18"/>
      <c r="S298" s="34"/>
      <c r="T298" s="18"/>
      <c r="U298" s="18"/>
      <c r="V298" s="30"/>
      <c r="W298" s="18"/>
      <c r="X298" s="18"/>
      <c r="Y298" s="18"/>
      <c r="Z298" s="18"/>
    </row>
    <row r="299" spans="1:26" ht="18.75" customHeight="1" x14ac:dyDescent="0.2">
      <c r="A299" s="4" t="s">
        <v>325</v>
      </c>
      <c r="B299" s="4" t="s">
        <v>326</v>
      </c>
      <c r="C299" s="41" t="s">
        <v>335</v>
      </c>
      <c r="D299" s="42" t="s">
        <v>328</v>
      </c>
      <c r="E299" s="43" t="s">
        <v>61</v>
      </c>
      <c r="F299" s="43">
        <v>8037478566</v>
      </c>
      <c r="G299" s="44">
        <v>0</v>
      </c>
      <c r="H299" s="44">
        <v>0</v>
      </c>
      <c r="I299" s="44">
        <v>0</v>
      </c>
      <c r="J299" s="44">
        <v>0</v>
      </c>
      <c r="K299" s="44">
        <v>0</v>
      </c>
      <c r="L299" s="43">
        <v>8037478566</v>
      </c>
      <c r="M299" s="44">
        <v>0</v>
      </c>
      <c r="N299" s="43">
        <v>839034336</v>
      </c>
      <c r="O299" s="43">
        <v>839034336</v>
      </c>
      <c r="P299" s="44">
        <v>0</v>
      </c>
      <c r="Q299" s="43">
        <v>839034336</v>
      </c>
      <c r="R299" s="43">
        <v>839034336</v>
      </c>
      <c r="S299" s="44">
        <v>0</v>
      </c>
      <c r="T299" s="43">
        <v>839034336</v>
      </c>
      <c r="U299" s="43">
        <v>839034336</v>
      </c>
      <c r="V299" s="30">
        <f t="shared" si="114"/>
        <v>839034336</v>
      </c>
      <c r="W299" s="43">
        <v>7198444230</v>
      </c>
      <c r="X299" s="43">
        <v>0</v>
      </c>
      <c r="Y299" s="43">
        <v>0</v>
      </c>
      <c r="Z299" s="32">
        <f t="shared" ref="Z299" si="121">R299/L299</f>
        <v>0.10439024242618428</v>
      </c>
    </row>
    <row r="300" spans="1:26" ht="18.75" customHeight="1" x14ac:dyDescent="0.2">
      <c r="C300" s="28" t="s">
        <v>288</v>
      </c>
      <c r="D300" s="29" t="s">
        <v>119</v>
      </c>
      <c r="E300" s="17"/>
      <c r="F300" s="18"/>
      <c r="G300" s="34"/>
      <c r="H300" s="34"/>
      <c r="I300" s="34"/>
      <c r="J300" s="34"/>
      <c r="K300" s="34"/>
      <c r="L300" s="18"/>
      <c r="M300" s="34"/>
      <c r="N300" s="18"/>
      <c r="O300" s="18"/>
      <c r="P300" s="34"/>
      <c r="Q300" s="18"/>
      <c r="R300" s="18"/>
      <c r="S300" s="18"/>
      <c r="T300" s="18"/>
      <c r="U300" s="18"/>
      <c r="V300" s="30"/>
      <c r="W300" s="18"/>
      <c r="X300" s="18"/>
      <c r="Y300" s="18"/>
      <c r="Z300" s="18"/>
    </row>
    <row r="301" spans="1:26" ht="18.75" customHeight="1" x14ac:dyDescent="0.2">
      <c r="A301" s="4" t="s">
        <v>325</v>
      </c>
      <c r="B301" s="4" t="s">
        <v>326</v>
      </c>
      <c r="C301" s="41" t="s">
        <v>336</v>
      </c>
      <c r="D301" s="42" t="s">
        <v>328</v>
      </c>
      <c r="E301" s="43" t="s">
        <v>61</v>
      </c>
      <c r="F301" s="43">
        <v>5595577790</v>
      </c>
      <c r="G301" s="44">
        <v>0</v>
      </c>
      <c r="H301" s="44">
        <v>0</v>
      </c>
      <c r="I301" s="44">
        <v>0</v>
      </c>
      <c r="J301" s="44">
        <v>0</v>
      </c>
      <c r="K301" s="44">
        <v>0</v>
      </c>
      <c r="L301" s="43">
        <v>5595577790</v>
      </c>
      <c r="M301" s="44">
        <v>0</v>
      </c>
      <c r="N301" s="43">
        <v>398299000</v>
      </c>
      <c r="O301" s="43">
        <v>398299000</v>
      </c>
      <c r="P301" s="44">
        <v>0</v>
      </c>
      <c r="Q301" s="43">
        <v>398299000</v>
      </c>
      <c r="R301" s="43">
        <v>398299000</v>
      </c>
      <c r="S301" s="44">
        <v>0</v>
      </c>
      <c r="T301" s="44">
        <v>0</v>
      </c>
      <c r="U301" s="44">
        <v>0</v>
      </c>
      <c r="V301" s="31">
        <f t="shared" si="114"/>
        <v>0</v>
      </c>
      <c r="W301" s="43">
        <v>5197278790</v>
      </c>
      <c r="X301" s="43">
        <v>0</v>
      </c>
      <c r="Y301" s="43">
        <v>398299000</v>
      </c>
      <c r="Z301" s="32">
        <f t="shared" ref="Z301" si="122">R301/L301</f>
        <v>7.1181031691099059E-2</v>
      </c>
    </row>
    <row r="302" spans="1:26" ht="18.75" customHeight="1" x14ac:dyDescent="0.2">
      <c r="C302" s="28"/>
      <c r="D302" s="29" t="s">
        <v>124</v>
      </c>
      <c r="E302" s="17"/>
      <c r="F302" s="18"/>
      <c r="G302" s="34"/>
      <c r="H302" s="34"/>
      <c r="I302" s="34"/>
      <c r="J302" s="34"/>
      <c r="K302" s="34"/>
      <c r="L302" s="18"/>
      <c r="M302" s="34"/>
      <c r="N302" s="18"/>
      <c r="O302" s="18"/>
      <c r="P302" s="34"/>
      <c r="Q302" s="18"/>
      <c r="R302" s="18"/>
      <c r="S302" s="34"/>
      <c r="T302" s="34"/>
      <c r="U302" s="34"/>
      <c r="V302" s="31"/>
      <c r="W302" s="18"/>
      <c r="X302" s="18"/>
      <c r="Y302" s="18"/>
      <c r="Z302" s="18"/>
    </row>
    <row r="303" spans="1:26" ht="18.75" customHeight="1" x14ac:dyDescent="0.2">
      <c r="C303" s="28" t="s">
        <v>288</v>
      </c>
      <c r="D303" s="29" t="s">
        <v>129</v>
      </c>
      <c r="E303" s="17"/>
      <c r="F303" s="18"/>
      <c r="G303" s="34"/>
      <c r="H303" s="34"/>
      <c r="I303" s="34"/>
      <c r="J303" s="34"/>
      <c r="K303" s="34"/>
      <c r="L303" s="18"/>
      <c r="M303" s="34"/>
      <c r="N303" s="18"/>
      <c r="O303" s="18"/>
      <c r="P303" s="34"/>
      <c r="Q303" s="18"/>
      <c r="R303" s="18"/>
      <c r="S303" s="34"/>
      <c r="T303" s="34"/>
      <c r="U303" s="34"/>
      <c r="V303" s="31"/>
      <c r="W303" s="18"/>
      <c r="X303" s="18"/>
      <c r="Y303" s="18"/>
      <c r="Z303" s="18"/>
    </row>
    <row r="304" spans="1:26" ht="18.75" customHeight="1" x14ac:dyDescent="0.2">
      <c r="A304" s="4" t="s">
        <v>325</v>
      </c>
      <c r="B304" s="4" t="s">
        <v>326</v>
      </c>
      <c r="C304" s="41" t="s">
        <v>338</v>
      </c>
      <c r="D304" s="42" t="s">
        <v>328</v>
      </c>
      <c r="E304" s="43" t="s">
        <v>61</v>
      </c>
      <c r="F304" s="43">
        <v>4197626620</v>
      </c>
      <c r="G304" s="44">
        <v>0</v>
      </c>
      <c r="H304" s="44">
        <v>0</v>
      </c>
      <c r="I304" s="44">
        <v>0</v>
      </c>
      <c r="J304" s="44">
        <v>0</v>
      </c>
      <c r="K304" s="44">
        <v>0</v>
      </c>
      <c r="L304" s="43">
        <v>4197626620</v>
      </c>
      <c r="M304" s="44">
        <v>0</v>
      </c>
      <c r="N304" s="43">
        <v>298746200</v>
      </c>
      <c r="O304" s="43">
        <v>298746200</v>
      </c>
      <c r="P304" s="44">
        <v>0</v>
      </c>
      <c r="Q304" s="43">
        <v>298746200</v>
      </c>
      <c r="R304" s="43">
        <v>298746200</v>
      </c>
      <c r="S304" s="44">
        <v>0</v>
      </c>
      <c r="T304" s="44">
        <v>0</v>
      </c>
      <c r="U304" s="44">
        <v>0</v>
      </c>
      <c r="V304" s="31">
        <f t="shared" si="114"/>
        <v>0</v>
      </c>
      <c r="W304" s="43">
        <v>3898880420</v>
      </c>
      <c r="X304" s="43">
        <v>0</v>
      </c>
      <c r="Y304" s="43">
        <v>298746200</v>
      </c>
      <c r="Z304" s="32">
        <f t="shared" ref="Z304" si="123">R304/L304</f>
        <v>7.1170265258132942E-2</v>
      </c>
    </row>
    <row r="305" spans="1:26" ht="18.75" customHeight="1" x14ac:dyDescent="0.2">
      <c r="C305" s="28" t="s">
        <v>288</v>
      </c>
      <c r="D305" s="29" t="s">
        <v>133</v>
      </c>
      <c r="E305" s="17"/>
      <c r="F305" s="18"/>
      <c r="G305" s="34"/>
      <c r="H305" s="34"/>
      <c r="I305" s="34"/>
      <c r="J305" s="34"/>
      <c r="K305" s="34"/>
      <c r="L305" s="18"/>
      <c r="M305" s="34"/>
      <c r="N305" s="18"/>
      <c r="O305" s="18"/>
      <c r="P305" s="34"/>
      <c r="Q305" s="18"/>
      <c r="R305" s="18"/>
      <c r="S305" s="34"/>
      <c r="T305" s="34"/>
      <c r="U305" s="34"/>
      <c r="V305" s="31"/>
      <c r="W305" s="18"/>
      <c r="X305" s="18"/>
      <c r="Y305" s="18"/>
      <c r="Z305" s="18"/>
    </row>
    <row r="306" spans="1:26" ht="18.75" customHeight="1" x14ac:dyDescent="0.2">
      <c r="A306" s="4" t="s">
        <v>325</v>
      </c>
      <c r="B306" s="4" t="s">
        <v>326</v>
      </c>
      <c r="C306" s="41" t="s">
        <v>339</v>
      </c>
      <c r="D306" s="42" t="s">
        <v>328</v>
      </c>
      <c r="E306" s="43" t="s">
        <v>61</v>
      </c>
      <c r="F306" s="43">
        <v>701459880</v>
      </c>
      <c r="G306" s="44">
        <v>0</v>
      </c>
      <c r="H306" s="44">
        <v>0</v>
      </c>
      <c r="I306" s="44">
        <v>0</v>
      </c>
      <c r="J306" s="44">
        <v>0</v>
      </c>
      <c r="K306" s="44">
        <v>0</v>
      </c>
      <c r="L306" s="43">
        <v>701459880</v>
      </c>
      <c r="M306" s="44">
        <v>0</v>
      </c>
      <c r="N306" s="43">
        <v>50013300</v>
      </c>
      <c r="O306" s="43">
        <v>50013300</v>
      </c>
      <c r="P306" s="44">
        <v>0</v>
      </c>
      <c r="Q306" s="43">
        <v>50013300</v>
      </c>
      <c r="R306" s="43">
        <v>50013300</v>
      </c>
      <c r="S306" s="44">
        <v>0</v>
      </c>
      <c r="T306" s="44">
        <v>0</v>
      </c>
      <c r="U306" s="44">
        <v>0</v>
      </c>
      <c r="V306" s="31">
        <f t="shared" si="114"/>
        <v>0</v>
      </c>
      <c r="W306" s="43">
        <v>651446580</v>
      </c>
      <c r="X306" s="43">
        <v>0</v>
      </c>
      <c r="Y306" s="43">
        <v>50013300</v>
      </c>
      <c r="Z306" s="32">
        <f t="shared" ref="Z306" si="124">R306/L306</f>
        <v>7.1298874569989665E-2</v>
      </c>
    </row>
    <row r="307" spans="1:26" ht="18.75" customHeight="1" x14ac:dyDescent="0.2">
      <c r="C307" s="28" t="s">
        <v>288</v>
      </c>
      <c r="D307" s="29" t="s">
        <v>138</v>
      </c>
      <c r="E307" s="17"/>
      <c r="F307" s="18"/>
      <c r="G307" s="34"/>
      <c r="H307" s="34"/>
      <c r="I307" s="34"/>
      <c r="J307" s="34"/>
      <c r="K307" s="34"/>
      <c r="L307" s="18"/>
      <c r="M307" s="34"/>
      <c r="N307" s="18"/>
      <c r="O307" s="18"/>
      <c r="P307" s="34"/>
      <c r="Q307" s="18"/>
      <c r="R307" s="18"/>
      <c r="S307" s="34"/>
      <c r="T307" s="34"/>
      <c r="U307" s="34"/>
      <c r="V307" s="31">
        <f t="shared" si="114"/>
        <v>0</v>
      </c>
      <c r="W307" s="18"/>
      <c r="X307" s="18"/>
      <c r="Y307" s="18"/>
      <c r="Z307" s="18"/>
    </row>
    <row r="308" spans="1:26" ht="18.75" customHeight="1" x14ac:dyDescent="0.2">
      <c r="A308" s="4" t="s">
        <v>325</v>
      </c>
      <c r="B308" s="4" t="s">
        <v>326</v>
      </c>
      <c r="C308" s="41" t="s">
        <v>340</v>
      </c>
      <c r="D308" s="42" t="s">
        <v>328</v>
      </c>
      <c r="E308" s="43" t="s">
        <v>61</v>
      </c>
      <c r="F308" s="43">
        <v>701459880</v>
      </c>
      <c r="G308" s="44">
        <v>0</v>
      </c>
      <c r="H308" s="44">
        <v>0</v>
      </c>
      <c r="I308" s="44">
        <v>0</v>
      </c>
      <c r="J308" s="44">
        <v>0</v>
      </c>
      <c r="K308" s="44">
        <v>0</v>
      </c>
      <c r="L308" s="43">
        <v>701459880</v>
      </c>
      <c r="M308" s="44">
        <v>0</v>
      </c>
      <c r="N308" s="43">
        <v>50013300</v>
      </c>
      <c r="O308" s="43">
        <v>50013300</v>
      </c>
      <c r="P308" s="44">
        <v>0</v>
      </c>
      <c r="Q308" s="43">
        <v>50013300</v>
      </c>
      <c r="R308" s="43">
        <v>50013300</v>
      </c>
      <c r="S308" s="44">
        <v>0</v>
      </c>
      <c r="T308" s="44">
        <v>0</v>
      </c>
      <c r="U308" s="44">
        <v>0</v>
      </c>
      <c r="V308" s="31">
        <f t="shared" si="114"/>
        <v>0</v>
      </c>
      <c r="W308" s="43">
        <v>651446580</v>
      </c>
      <c r="X308" s="43">
        <v>0</v>
      </c>
      <c r="Y308" s="43">
        <v>50013300</v>
      </c>
      <c r="Z308" s="32">
        <f t="shared" ref="Z308" si="125">R308/L308</f>
        <v>7.1298874569989665E-2</v>
      </c>
    </row>
    <row r="309" spans="1:26" ht="25.5" x14ac:dyDescent="0.2">
      <c r="C309" s="28" t="s">
        <v>288</v>
      </c>
      <c r="D309" s="29" t="s">
        <v>145</v>
      </c>
      <c r="E309" s="17"/>
      <c r="F309" s="18"/>
      <c r="G309" s="34"/>
      <c r="H309" s="34"/>
      <c r="I309" s="34"/>
      <c r="J309" s="34"/>
      <c r="K309" s="34"/>
      <c r="L309" s="18"/>
      <c r="M309" s="34"/>
      <c r="N309" s="18"/>
      <c r="O309" s="18"/>
      <c r="P309" s="34"/>
      <c r="Q309" s="18"/>
      <c r="R309" s="18"/>
      <c r="S309" s="34"/>
      <c r="T309" s="34"/>
      <c r="U309" s="34"/>
      <c r="V309" s="31">
        <f t="shared" si="114"/>
        <v>0</v>
      </c>
      <c r="W309" s="18"/>
      <c r="X309" s="18"/>
      <c r="Y309" s="18"/>
      <c r="Z309" s="18"/>
    </row>
    <row r="310" spans="1:26" ht="18.75" customHeight="1" x14ac:dyDescent="0.2">
      <c r="A310" s="4" t="s">
        <v>325</v>
      </c>
      <c r="B310" s="4" t="s">
        <v>326</v>
      </c>
      <c r="C310" s="41" t="s">
        <v>341</v>
      </c>
      <c r="D310" s="42" t="s">
        <v>328</v>
      </c>
      <c r="E310" s="43" t="s">
        <v>61</v>
      </c>
      <c r="F310" s="43">
        <v>1400409285</v>
      </c>
      <c r="G310" s="44">
        <v>0</v>
      </c>
      <c r="H310" s="44">
        <v>0</v>
      </c>
      <c r="I310" s="44">
        <v>0</v>
      </c>
      <c r="J310" s="44">
        <v>0</v>
      </c>
      <c r="K310" s="44">
        <v>0</v>
      </c>
      <c r="L310" s="43">
        <v>1400409285</v>
      </c>
      <c r="M310" s="44">
        <v>0</v>
      </c>
      <c r="N310" s="43">
        <v>99767400</v>
      </c>
      <c r="O310" s="43">
        <v>99767400</v>
      </c>
      <c r="P310" s="44">
        <v>0</v>
      </c>
      <c r="Q310" s="43">
        <v>99767400</v>
      </c>
      <c r="R310" s="43">
        <v>99767400</v>
      </c>
      <c r="S310" s="44">
        <v>0</v>
      </c>
      <c r="T310" s="44">
        <v>0</v>
      </c>
      <c r="U310" s="44">
        <v>0</v>
      </c>
      <c r="V310" s="31">
        <f t="shared" si="114"/>
        <v>0</v>
      </c>
      <c r="W310" s="43">
        <v>1300641885</v>
      </c>
      <c r="X310" s="43">
        <v>0</v>
      </c>
      <c r="Y310" s="43">
        <v>99767400</v>
      </c>
      <c r="Z310" s="32">
        <f t="shared" ref="Z310" si="126">R310/L310</f>
        <v>7.1241601343710034E-2</v>
      </c>
    </row>
    <row r="311" spans="1:26" ht="18.75" customHeight="1" x14ac:dyDescent="0.2">
      <c r="C311" s="16"/>
      <c r="D311" s="29" t="s">
        <v>149</v>
      </c>
      <c r="E311" s="17"/>
      <c r="F311" s="18"/>
      <c r="G311" s="34"/>
      <c r="H311" s="34"/>
      <c r="I311" s="34"/>
      <c r="J311" s="34"/>
      <c r="K311" s="34"/>
      <c r="L311" s="18"/>
      <c r="M311" s="34"/>
      <c r="N311" s="18"/>
      <c r="O311" s="18"/>
      <c r="P311" s="34"/>
      <c r="Q311" s="18"/>
      <c r="R311" s="18"/>
      <c r="S311" s="34"/>
      <c r="T311" s="34"/>
      <c r="U311" s="34"/>
      <c r="V311" s="31"/>
      <c r="W311" s="18"/>
      <c r="X311" s="18"/>
      <c r="Y311" s="18"/>
      <c r="Z311" s="18"/>
    </row>
    <row r="312" spans="1:26" ht="18.75" customHeight="1" x14ac:dyDescent="0.2">
      <c r="C312" s="16"/>
      <c r="D312" s="29" t="s">
        <v>81</v>
      </c>
      <c r="E312" s="17"/>
      <c r="F312" s="18"/>
      <c r="G312" s="34"/>
      <c r="H312" s="34"/>
      <c r="I312" s="34"/>
      <c r="J312" s="34"/>
      <c r="K312" s="34"/>
      <c r="L312" s="18"/>
      <c r="M312" s="34"/>
      <c r="N312" s="18"/>
      <c r="O312" s="18"/>
      <c r="P312" s="34"/>
      <c r="Q312" s="18"/>
      <c r="R312" s="18"/>
      <c r="S312" s="34"/>
      <c r="T312" s="34"/>
      <c r="U312" s="34"/>
      <c r="V312" s="31"/>
      <c r="W312" s="18"/>
      <c r="X312" s="18"/>
      <c r="Y312" s="18"/>
      <c r="Z312" s="18"/>
    </row>
    <row r="313" spans="1:26" ht="18.75" customHeight="1" x14ac:dyDescent="0.2">
      <c r="C313" s="28" t="s">
        <v>288</v>
      </c>
      <c r="D313" s="29" t="s">
        <v>152</v>
      </c>
      <c r="E313" s="17"/>
      <c r="F313" s="18"/>
      <c r="G313" s="34"/>
      <c r="H313" s="34"/>
      <c r="I313" s="34"/>
      <c r="J313" s="34"/>
      <c r="K313" s="34"/>
      <c r="L313" s="18"/>
      <c r="M313" s="34"/>
      <c r="N313" s="18"/>
      <c r="O313" s="18"/>
      <c r="P313" s="34"/>
      <c r="Q313" s="18"/>
      <c r="R313" s="18"/>
      <c r="S313" s="34"/>
      <c r="T313" s="34"/>
      <c r="U313" s="34"/>
      <c r="V313" s="31"/>
      <c r="W313" s="18"/>
      <c r="X313" s="18"/>
      <c r="Y313" s="18"/>
      <c r="Z313" s="18"/>
    </row>
    <row r="314" spans="1:26" ht="18.75" customHeight="1" x14ac:dyDescent="0.2">
      <c r="A314" s="4" t="s">
        <v>325</v>
      </c>
      <c r="B314" s="4" t="s">
        <v>326</v>
      </c>
      <c r="C314" s="41" t="s">
        <v>342</v>
      </c>
      <c r="D314" s="42" t="s">
        <v>328</v>
      </c>
      <c r="E314" s="43" t="s">
        <v>61</v>
      </c>
      <c r="F314" s="43">
        <v>10068147601</v>
      </c>
      <c r="G314" s="44">
        <v>0</v>
      </c>
      <c r="H314" s="44">
        <v>0</v>
      </c>
      <c r="I314" s="44">
        <v>0</v>
      </c>
      <c r="J314" s="44">
        <v>0</v>
      </c>
      <c r="K314" s="44">
        <v>0</v>
      </c>
      <c r="L314" s="43">
        <v>10068147601</v>
      </c>
      <c r="M314" s="44">
        <v>0</v>
      </c>
      <c r="N314" s="43">
        <v>3370861235</v>
      </c>
      <c r="O314" s="43">
        <v>3370861235</v>
      </c>
      <c r="P314" s="44">
        <v>0</v>
      </c>
      <c r="Q314" s="43">
        <v>3370861235</v>
      </c>
      <c r="R314" s="43">
        <v>3370861235</v>
      </c>
      <c r="S314" s="44">
        <v>0</v>
      </c>
      <c r="T314" s="44">
        <v>0</v>
      </c>
      <c r="U314" s="44">
        <v>0</v>
      </c>
      <c r="V314" s="31">
        <f t="shared" si="114"/>
        <v>0</v>
      </c>
      <c r="W314" s="43">
        <v>6697286366</v>
      </c>
      <c r="X314" s="43">
        <v>0</v>
      </c>
      <c r="Y314" s="43">
        <v>3370861235</v>
      </c>
      <c r="Z314" s="32">
        <f t="shared" ref="Z314:Z316" si="127">R314/L314</f>
        <v>0.33480451107661507</v>
      </c>
    </row>
    <row r="315" spans="1:26" ht="18.75" customHeight="1" x14ac:dyDescent="0.2">
      <c r="C315" s="28" t="s">
        <v>288</v>
      </c>
      <c r="D315" s="29" t="s">
        <v>343</v>
      </c>
      <c r="E315" s="17"/>
      <c r="F315" s="18"/>
      <c r="G315" s="34"/>
      <c r="H315" s="34"/>
      <c r="I315" s="34"/>
      <c r="J315" s="34"/>
      <c r="K315" s="34"/>
      <c r="L315" s="18"/>
      <c r="M315" s="34"/>
      <c r="N315" s="18"/>
      <c r="O315" s="18"/>
      <c r="P315" s="34"/>
      <c r="Q315" s="18"/>
      <c r="R315" s="18"/>
      <c r="S315" s="34"/>
      <c r="T315" s="34"/>
      <c r="U315" s="34"/>
      <c r="V315" s="31">
        <f t="shared" si="114"/>
        <v>0</v>
      </c>
      <c r="W315" s="18"/>
      <c r="X315" s="18"/>
      <c r="Y315" s="18"/>
      <c r="Z315" s="18"/>
    </row>
    <row r="316" spans="1:26" ht="18.75" customHeight="1" x14ac:dyDescent="0.2">
      <c r="A316" s="4" t="s">
        <v>325</v>
      </c>
      <c r="B316" s="4" t="s">
        <v>326</v>
      </c>
      <c r="C316" s="41" t="s">
        <v>344</v>
      </c>
      <c r="D316" s="42" t="s">
        <v>328</v>
      </c>
      <c r="E316" s="43" t="s">
        <v>61</v>
      </c>
      <c r="F316" s="43">
        <v>10000000</v>
      </c>
      <c r="G316" s="44">
        <v>0</v>
      </c>
      <c r="H316" s="44">
        <v>0</v>
      </c>
      <c r="I316" s="44">
        <v>0</v>
      </c>
      <c r="J316" s="44">
        <v>0</v>
      </c>
      <c r="K316" s="44">
        <v>0</v>
      </c>
      <c r="L316" s="43">
        <v>10000000</v>
      </c>
      <c r="M316" s="44">
        <v>0</v>
      </c>
      <c r="N316" s="43">
        <v>0</v>
      </c>
      <c r="O316" s="44">
        <v>0</v>
      </c>
      <c r="P316" s="44">
        <v>0</v>
      </c>
      <c r="Q316" s="44">
        <v>0</v>
      </c>
      <c r="R316" s="44">
        <v>0</v>
      </c>
      <c r="S316" s="44">
        <v>0</v>
      </c>
      <c r="T316" s="44">
        <v>0</v>
      </c>
      <c r="U316" s="44">
        <v>0</v>
      </c>
      <c r="V316" s="31">
        <f t="shared" si="114"/>
        <v>0</v>
      </c>
      <c r="W316" s="43">
        <v>10000000</v>
      </c>
      <c r="X316" s="43">
        <v>0</v>
      </c>
      <c r="Y316" s="43">
        <v>0</v>
      </c>
      <c r="Z316" s="32">
        <f t="shared" si="127"/>
        <v>0</v>
      </c>
    </row>
    <row r="317" spans="1:26" ht="18.75" customHeight="1" x14ac:dyDescent="0.2">
      <c r="C317" s="16"/>
      <c r="D317" s="29" t="s">
        <v>355</v>
      </c>
      <c r="E317" s="17"/>
      <c r="F317" s="18"/>
      <c r="G317" s="34"/>
      <c r="H317" s="34"/>
      <c r="I317" s="34"/>
      <c r="J317" s="34"/>
      <c r="K317" s="34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30"/>
      <c r="W317" s="18"/>
      <c r="X317" s="18"/>
      <c r="Y317" s="18"/>
      <c r="Z317" s="18"/>
    </row>
    <row r="318" spans="1:26" ht="18.75" customHeight="1" x14ac:dyDescent="0.2">
      <c r="C318" s="16"/>
      <c r="D318" s="29" t="s">
        <v>320</v>
      </c>
      <c r="E318" s="17"/>
      <c r="F318" s="18"/>
      <c r="G318" s="34"/>
      <c r="H318" s="34"/>
      <c r="I318" s="34"/>
      <c r="J318" s="34"/>
      <c r="K318" s="34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30"/>
      <c r="W318" s="18"/>
      <c r="X318" s="18"/>
      <c r="Y318" s="18"/>
      <c r="Z318" s="18"/>
    </row>
    <row r="319" spans="1:26" ht="18.75" customHeight="1" x14ac:dyDescent="0.2">
      <c r="C319" s="16"/>
      <c r="D319" s="29" t="s">
        <v>46</v>
      </c>
      <c r="E319" s="17"/>
      <c r="F319" s="18"/>
      <c r="G319" s="34"/>
      <c r="H319" s="34"/>
      <c r="I319" s="34"/>
      <c r="J319" s="34"/>
      <c r="K319" s="34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30"/>
      <c r="W319" s="18"/>
      <c r="X319" s="18"/>
      <c r="Y319" s="18"/>
      <c r="Z319" s="18"/>
    </row>
    <row r="320" spans="1:26" ht="18.75" customHeight="1" x14ac:dyDescent="0.2">
      <c r="C320" s="16"/>
      <c r="D320" s="17"/>
      <c r="E320" s="17"/>
      <c r="F320" s="18"/>
      <c r="G320" s="34"/>
      <c r="H320" s="34"/>
      <c r="I320" s="34"/>
      <c r="J320" s="34"/>
      <c r="K320" s="34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30"/>
      <c r="W320" s="18"/>
      <c r="X320" s="18"/>
      <c r="Y320" s="18"/>
      <c r="Z320" s="18"/>
    </row>
    <row r="321" spans="1:26" ht="18.75" customHeight="1" x14ac:dyDescent="0.2">
      <c r="C321" s="16"/>
      <c r="D321" s="29" t="s">
        <v>48</v>
      </c>
      <c r="E321" s="17"/>
      <c r="F321" s="18"/>
      <c r="G321" s="34"/>
      <c r="H321" s="34"/>
      <c r="I321" s="34"/>
      <c r="J321" s="34"/>
      <c r="K321" s="34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30"/>
      <c r="W321" s="18"/>
      <c r="X321" s="18"/>
      <c r="Y321" s="18"/>
      <c r="Z321" s="18"/>
    </row>
    <row r="322" spans="1:26" ht="18.75" customHeight="1" x14ac:dyDescent="0.2">
      <c r="C322" s="16"/>
      <c r="D322" s="29" t="s">
        <v>52</v>
      </c>
      <c r="E322" s="17"/>
      <c r="F322" s="18"/>
      <c r="G322" s="34"/>
      <c r="H322" s="34"/>
      <c r="I322" s="34"/>
      <c r="J322" s="34"/>
      <c r="K322" s="34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30"/>
      <c r="W322" s="18"/>
      <c r="X322" s="18"/>
      <c r="Y322" s="18"/>
      <c r="Z322" s="18"/>
    </row>
    <row r="323" spans="1:26" ht="18.75" customHeight="1" x14ac:dyDescent="0.2">
      <c r="C323" s="28" t="s">
        <v>288</v>
      </c>
      <c r="D323" s="29" t="s">
        <v>54</v>
      </c>
      <c r="E323" s="17"/>
      <c r="F323" s="18"/>
      <c r="G323" s="34"/>
      <c r="H323" s="34"/>
      <c r="I323" s="34"/>
      <c r="J323" s="34"/>
      <c r="K323" s="34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30"/>
      <c r="W323" s="18"/>
      <c r="X323" s="18"/>
      <c r="Y323" s="18"/>
      <c r="Z323" s="18"/>
    </row>
    <row r="324" spans="1:26" ht="18.75" customHeight="1" x14ac:dyDescent="0.2">
      <c r="A324" s="4" t="s">
        <v>55</v>
      </c>
      <c r="B324" s="4" t="s">
        <v>56</v>
      </c>
      <c r="C324" s="41" t="s">
        <v>323</v>
      </c>
      <c r="D324" s="42" t="s">
        <v>324</v>
      </c>
      <c r="E324" s="43" t="s">
        <v>61</v>
      </c>
      <c r="F324" s="43">
        <v>10521612007</v>
      </c>
      <c r="G324" s="44">
        <v>0</v>
      </c>
      <c r="H324" s="44">
        <v>0</v>
      </c>
      <c r="I324" s="44">
        <v>0</v>
      </c>
      <c r="J324" s="44">
        <v>0</v>
      </c>
      <c r="K324" s="44">
        <v>0</v>
      </c>
      <c r="L324" s="43">
        <v>10521612007</v>
      </c>
      <c r="M324" s="44">
        <v>0</v>
      </c>
      <c r="N324" s="43">
        <v>618070574</v>
      </c>
      <c r="O324" s="43">
        <v>618070574</v>
      </c>
      <c r="P324" s="44">
        <v>0</v>
      </c>
      <c r="Q324" s="43">
        <v>618070574</v>
      </c>
      <c r="R324" s="43">
        <v>618070574</v>
      </c>
      <c r="S324" s="44">
        <v>0</v>
      </c>
      <c r="T324" s="43">
        <v>618070574</v>
      </c>
      <c r="U324" s="43">
        <v>618070574</v>
      </c>
      <c r="V324" s="30">
        <f t="shared" si="114"/>
        <v>618070574</v>
      </c>
      <c r="W324" s="43">
        <v>9903541433</v>
      </c>
      <c r="X324" s="43">
        <v>0</v>
      </c>
      <c r="Y324" s="43">
        <v>0</v>
      </c>
      <c r="Z324" s="32">
        <f t="shared" ref="Z324" si="128">R324/L324</f>
        <v>5.8742954367524608E-2</v>
      </c>
    </row>
    <row r="325" spans="1:26" ht="18.75" customHeight="1" x14ac:dyDescent="0.2">
      <c r="C325" s="28" t="s">
        <v>288</v>
      </c>
      <c r="D325" s="29" t="s">
        <v>63</v>
      </c>
      <c r="E325" s="17"/>
      <c r="F325" s="18"/>
      <c r="G325" s="34"/>
      <c r="H325" s="34"/>
      <c r="I325" s="34"/>
      <c r="J325" s="34"/>
      <c r="K325" s="34"/>
      <c r="L325" s="18"/>
      <c r="M325" s="34"/>
      <c r="N325" s="18"/>
      <c r="O325" s="18"/>
      <c r="P325" s="34"/>
      <c r="Q325" s="18"/>
      <c r="R325" s="18"/>
      <c r="S325" s="34"/>
      <c r="T325" s="18"/>
      <c r="U325" s="18"/>
      <c r="V325" s="30">
        <f t="shared" si="114"/>
        <v>0</v>
      </c>
      <c r="W325" s="18"/>
      <c r="X325" s="18"/>
      <c r="Y325" s="18"/>
      <c r="Z325" s="18"/>
    </row>
    <row r="326" spans="1:26" ht="18.75" customHeight="1" x14ac:dyDescent="0.2">
      <c r="A326" s="4" t="s">
        <v>325</v>
      </c>
      <c r="B326" s="4" t="s">
        <v>326</v>
      </c>
      <c r="C326" s="41" t="s">
        <v>349</v>
      </c>
      <c r="D326" s="42" t="s">
        <v>328</v>
      </c>
      <c r="E326" s="43" t="s">
        <v>61</v>
      </c>
      <c r="F326" s="43">
        <v>112494898</v>
      </c>
      <c r="G326" s="44">
        <v>0</v>
      </c>
      <c r="H326" s="44">
        <v>0</v>
      </c>
      <c r="I326" s="44">
        <v>0</v>
      </c>
      <c r="J326" s="44">
        <v>0</v>
      </c>
      <c r="K326" s="44">
        <v>0</v>
      </c>
      <c r="L326" s="43">
        <v>112494898</v>
      </c>
      <c r="M326" s="44">
        <v>0</v>
      </c>
      <c r="N326" s="43">
        <v>3476250</v>
      </c>
      <c r="O326" s="43">
        <v>3476250</v>
      </c>
      <c r="P326" s="44">
        <v>0</v>
      </c>
      <c r="Q326" s="43">
        <v>3476250</v>
      </c>
      <c r="R326" s="43">
        <v>3476250</v>
      </c>
      <c r="S326" s="44">
        <v>0</v>
      </c>
      <c r="T326" s="43">
        <v>3476250</v>
      </c>
      <c r="U326" s="43">
        <v>3476250</v>
      </c>
      <c r="V326" s="30">
        <f t="shared" si="114"/>
        <v>3476250</v>
      </c>
      <c r="W326" s="43">
        <v>109018648</v>
      </c>
      <c r="X326" s="43">
        <v>0</v>
      </c>
      <c r="Y326" s="43">
        <v>0</v>
      </c>
      <c r="Z326" s="32">
        <f t="shared" ref="Z326" si="129">R326/L326</f>
        <v>3.0901401412888965E-2</v>
      </c>
    </row>
    <row r="327" spans="1:26" ht="18.75" customHeight="1" x14ac:dyDescent="0.2">
      <c r="C327" s="28" t="s">
        <v>288</v>
      </c>
      <c r="D327" s="29" t="s">
        <v>71</v>
      </c>
      <c r="E327" s="17"/>
      <c r="F327" s="18"/>
      <c r="G327" s="34"/>
      <c r="H327" s="34"/>
      <c r="I327" s="34"/>
      <c r="J327" s="34"/>
      <c r="K327" s="34"/>
      <c r="L327" s="18"/>
      <c r="M327" s="34"/>
      <c r="N327" s="18"/>
      <c r="O327" s="18"/>
      <c r="P327" s="34"/>
      <c r="Q327" s="18"/>
      <c r="R327" s="18"/>
      <c r="S327" s="34"/>
      <c r="T327" s="18"/>
      <c r="U327" s="18"/>
      <c r="V327" s="30">
        <f t="shared" si="114"/>
        <v>0</v>
      </c>
      <c r="W327" s="18"/>
      <c r="X327" s="18"/>
      <c r="Y327" s="18"/>
      <c r="Z327" s="18"/>
    </row>
    <row r="328" spans="1:26" ht="18.75" customHeight="1" x14ac:dyDescent="0.2">
      <c r="A328" s="4" t="s">
        <v>325</v>
      </c>
      <c r="B328" s="4" t="s">
        <v>326</v>
      </c>
      <c r="C328" s="41" t="s">
        <v>327</v>
      </c>
      <c r="D328" s="42" t="s">
        <v>328</v>
      </c>
      <c r="E328" s="43" t="s">
        <v>61</v>
      </c>
      <c r="F328" s="43">
        <v>532969656</v>
      </c>
      <c r="G328" s="44">
        <v>0</v>
      </c>
      <c r="H328" s="44">
        <v>0</v>
      </c>
      <c r="I328" s="44">
        <v>0</v>
      </c>
      <c r="J328" s="44">
        <v>0</v>
      </c>
      <c r="K328" s="44">
        <v>0</v>
      </c>
      <c r="L328" s="43">
        <v>532969656</v>
      </c>
      <c r="M328" s="44">
        <v>0</v>
      </c>
      <c r="N328" s="43">
        <v>1298277</v>
      </c>
      <c r="O328" s="43">
        <v>1298277</v>
      </c>
      <c r="P328" s="44">
        <v>0</v>
      </c>
      <c r="Q328" s="43">
        <v>1298277</v>
      </c>
      <c r="R328" s="43">
        <v>1298277</v>
      </c>
      <c r="S328" s="44">
        <v>0</v>
      </c>
      <c r="T328" s="43">
        <v>1298277</v>
      </c>
      <c r="U328" s="43">
        <v>1298277</v>
      </c>
      <c r="V328" s="30">
        <f t="shared" si="114"/>
        <v>1298277</v>
      </c>
      <c r="W328" s="43">
        <v>531671379</v>
      </c>
      <c r="X328" s="43">
        <v>0</v>
      </c>
      <c r="Y328" s="43">
        <v>0</v>
      </c>
      <c r="Z328" s="32">
        <f t="shared" ref="Z328" si="130">R328/L328</f>
        <v>2.4359304237763211E-3</v>
      </c>
    </row>
    <row r="329" spans="1:26" ht="18.75" customHeight="1" x14ac:dyDescent="0.2">
      <c r="C329" s="28" t="s">
        <v>288</v>
      </c>
      <c r="D329" s="29" t="s">
        <v>76</v>
      </c>
      <c r="E329" s="17"/>
      <c r="F329" s="18"/>
      <c r="G329" s="34"/>
      <c r="H329" s="34"/>
      <c r="I329" s="34"/>
      <c r="J329" s="34"/>
      <c r="K329" s="34"/>
      <c r="L329" s="18"/>
      <c r="M329" s="34"/>
      <c r="N329" s="18"/>
      <c r="O329" s="18"/>
      <c r="P329" s="34"/>
      <c r="Q329" s="18"/>
      <c r="R329" s="18"/>
      <c r="S329" s="34"/>
      <c r="T329" s="18"/>
      <c r="U329" s="18"/>
      <c r="V329" s="30">
        <f t="shared" si="114"/>
        <v>0</v>
      </c>
      <c r="W329" s="18"/>
      <c r="X329" s="18"/>
      <c r="Y329" s="18"/>
      <c r="Z329" s="18"/>
    </row>
    <row r="330" spans="1:26" ht="18.75" customHeight="1" x14ac:dyDescent="0.2">
      <c r="A330" s="4" t="s">
        <v>325</v>
      </c>
      <c r="B330" s="4" t="s">
        <v>326</v>
      </c>
      <c r="C330" s="41" t="s">
        <v>329</v>
      </c>
      <c r="D330" s="42" t="s">
        <v>328</v>
      </c>
      <c r="E330" s="43" t="s">
        <v>61</v>
      </c>
      <c r="F330" s="43">
        <v>318686698</v>
      </c>
      <c r="G330" s="44">
        <v>0</v>
      </c>
      <c r="H330" s="44">
        <v>0</v>
      </c>
      <c r="I330" s="44">
        <v>0</v>
      </c>
      <c r="J330" s="44">
        <v>0</v>
      </c>
      <c r="K330" s="44">
        <v>0</v>
      </c>
      <c r="L330" s="43">
        <v>318686698</v>
      </c>
      <c r="M330" s="44">
        <v>0</v>
      </c>
      <c r="N330" s="43">
        <v>61461056</v>
      </c>
      <c r="O330" s="43">
        <v>61461056</v>
      </c>
      <c r="P330" s="44">
        <v>0</v>
      </c>
      <c r="Q330" s="43">
        <v>61461056</v>
      </c>
      <c r="R330" s="43">
        <v>61461056</v>
      </c>
      <c r="S330" s="44">
        <v>0</v>
      </c>
      <c r="T330" s="43">
        <v>61461056</v>
      </c>
      <c r="U330" s="43">
        <v>61461056</v>
      </c>
      <c r="V330" s="30">
        <f t="shared" si="114"/>
        <v>61461056</v>
      </c>
      <c r="W330" s="43">
        <v>257225642</v>
      </c>
      <c r="X330" s="43">
        <v>0</v>
      </c>
      <c r="Y330" s="43">
        <v>0</v>
      </c>
      <c r="Z330" s="32">
        <f t="shared" ref="Z330" si="131">R330/L330</f>
        <v>0.19285729961656572</v>
      </c>
    </row>
    <row r="331" spans="1:26" ht="18.75" customHeight="1" x14ac:dyDescent="0.2">
      <c r="C331" s="16"/>
      <c r="D331" s="17"/>
      <c r="E331" s="17"/>
      <c r="F331" s="18"/>
      <c r="G331" s="34"/>
      <c r="H331" s="34"/>
      <c r="I331" s="34"/>
      <c r="J331" s="34"/>
      <c r="K331" s="34"/>
      <c r="L331" s="18"/>
      <c r="M331" s="18"/>
      <c r="N331" s="18"/>
      <c r="O331" s="18"/>
      <c r="P331" s="34"/>
      <c r="Q331" s="18"/>
      <c r="R331" s="18"/>
      <c r="S331" s="18"/>
      <c r="T331" s="18"/>
      <c r="U331" s="18"/>
      <c r="V331" s="30">
        <f t="shared" si="114"/>
        <v>0</v>
      </c>
      <c r="W331" s="18"/>
      <c r="X331" s="18"/>
      <c r="Y331" s="18"/>
      <c r="Z331" s="18"/>
    </row>
    <row r="332" spans="1:26" ht="18.75" customHeight="1" x14ac:dyDescent="0.2">
      <c r="C332" s="16"/>
      <c r="D332" s="29" t="s">
        <v>81</v>
      </c>
      <c r="E332" s="17"/>
      <c r="F332" s="18"/>
      <c r="G332" s="34"/>
      <c r="H332" s="34"/>
      <c r="I332" s="34"/>
      <c r="J332" s="34"/>
      <c r="K332" s="34"/>
      <c r="L332" s="18"/>
      <c r="M332" s="18"/>
      <c r="N332" s="18"/>
      <c r="O332" s="18"/>
      <c r="P332" s="34"/>
      <c r="Q332" s="18"/>
      <c r="R332" s="18"/>
      <c r="S332" s="18"/>
      <c r="T332" s="18"/>
      <c r="U332" s="18"/>
      <c r="V332" s="30"/>
      <c r="W332" s="18"/>
      <c r="X332" s="18"/>
      <c r="Y332" s="18"/>
      <c r="Z332" s="18"/>
    </row>
    <row r="333" spans="1:26" ht="18.75" customHeight="1" x14ac:dyDescent="0.2">
      <c r="C333" s="28" t="s">
        <v>288</v>
      </c>
      <c r="D333" s="29" t="s">
        <v>83</v>
      </c>
      <c r="E333" s="17"/>
      <c r="F333" s="18"/>
      <c r="G333" s="34"/>
      <c r="H333" s="34"/>
      <c r="I333" s="34"/>
      <c r="J333" s="34"/>
      <c r="K333" s="34"/>
      <c r="L333" s="18"/>
      <c r="M333" s="18"/>
      <c r="N333" s="18"/>
      <c r="O333" s="18"/>
      <c r="P333" s="34"/>
      <c r="Q333" s="18"/>
      <c r="R333" s="18"/>
      <c r="S333" s="18"/>
      <c r="T333" s="18"/>
      <c r="U333" s="18"/>
      <c r="V333" s="30"/>
      <c r="W333" s="18"/>
      <c r="X333" s="18"/>
      <c r="Y333" s="18"/>
      <c r="Z333" s="18"/>
    </row>
    <row r="334" spans="1:26" ht="18.75" customHeight="1" x14ac:dyDescent="0.2">
      <c r="A334" s="4" t="s">
        <v>325</v>
      </c>
      <c r="B334" s="4" t="s">
        <v>326</v>
      </c>
      <c r="C334" s="41" t="s">
        <v>330</v>
      </c>
      <c r="D334" s="42" t="s">
        <v>328</v>
      </c>
      <c r="E334" s="43" t="s">
        <v>61</v>
      </c>
      <c r="F334" s="43">
        <v>1177756920</v>
      </c>
      <c r="G334" s="44">
        <v>0</v>
      </c>
      <c r="H334" s="44">
        <v>0</v>
      </c>
      <c r="I334" s="44">
        <v>0</v>
      </c>
      <c r="J334" s="44">
        <v>0</v>
      </c>
      <c r="K334" s="44">
        <v>0</v>
      </c>
      <c r="L334" s="43">
        <v>1177756920</v>
      </c>
      <c r="M334" s="44">
        <v>0</v>
      </c>
      <c r="N334" s="43">
        <v>0</v>
      </c>
      <c r="O334" s="43">
        <v>0</v>
      </c>
      <c r="P334" s="44">
        <v>0</v>
      </c>
      <c r="Q334" s="43">
        <v>0</v>
      </c>
      <c r="R334" s="34">
        <v>0</v>
      </c>
      <c r="S334" s="34">
        <v>0</v>
      </c>
      <c r="T334" s="34">
        <v>0</v>
      </c>
      <c r="U334" s="34">
        <v>0</v>
      </c>
      <c r="V334" s="40">
        <f t="shared" si="114"/>
        <v>0</v>
      </c>
      <c r="W334" s="43">
        <v>1177756920</v>
      </c>
      <c r="X334" s="43">
        <v>0</v>
      </c>
      <c r="Y334" s="43">
        <v>0</v>
      </c>
      <c r="Z334" s="32">
        <f t="shared" ref="Z334" si="132">R334/L334</f>
        <v>0</v>
      </c>
    </row>
    <row r="335" spans="1:26" ht="18.75" customHeight="1" x14ac:dyDescent="0.2">
      <c r="C335" s="28" t="s">
        <v>288</v>
      </c>
      <c r="D335" s="29" t="s">
        <v>88</v>
      </c>
      <c r="E335" s="17"/>
      <c r="F335" s="18"/>
      <c r="G335" s="34"/>
      <c r="H335" s="34"/>
      <c r="I335" s="34"/>
      <c r="J335" s="34"/>
      <c r="K335" s="34"/>
      <c r="L335" s="18"/>
      <c r="M335" s="34"/>
      <c r="N335" s="18"/>
      <c r="O335" s="18"/>
      <c r="P335" s="34"/>
      <c r="Q335" s="18"/>
      <c r="R335" s="18"/>
      <c r="S335" s="18"/>
      <c r="T335" s="18"/>
      <c r="U335" s="18"/>
      <c r="V335" s="30">
        <f t="shared" si="114"/>
        <v>0</v>
      </c>
      <c r="W335" s="18"/>
      <c r="X335" s="18"/>
      <c r="Y335" s="18"/>
      <c r="Z335" s="18"/>
    </row>
    <row r="336" spans="1:26" ht="18.75" customHeight="1" x14ac:dyDescent="0.2">
      <c r="A336" s="4" t="s">
        <v>325</v>
      </c>
      <c r="B336" s="4" t="s">
        <v>326</v>
      </c>
      <c r="C336" s="41" t="s">
        <v>331</v>
      </c>
      <c r="D336" s="42" t="s">
        <v>328</v>
      </c>
      <c r="E336" s="43" t="s">
        <v>61</v>
      </c>
      <c r="F336" s="43">
        <v>565323320</v>
      </c>
      <c r="G336" s="44">
        <v>0</v>
      </c>
      <c r="H336" s="44">
        <v>0</v>
      </c>
      <c r="I336" s="44">
        <v>0</v>
      </c>
      <c r="J336" s="44">
        <v>0</v>
      </c>
      <c r="K336" s="44">
        <v>0</v>
      </c>
      <c r="L336" s="43">
        <v>565323320</v>
      </c>
      <c r="M336" s="44">
        <v>0</v>
      </c>
      <c r="N336" s="43">
        <v>1256362</v>
      </c>
      <c r="O336" s="43">
        <v>1256362</v>
      </c>
      <c r="P336" s="44">
        <v>0</v>
      </c>
      <c r="Q336" s="43">
        <v>1256362</v>
      </c>
      <c r="R336" s="43">
        <v>1256362</v>
      </c>
      <c r="S336" s="44">
        <v>0</v>
      </c>
      <c r="T336" s="43">
        <v>1256362</v>
      </c>
      <c r="U336" s="43">
        <v>1256362</v>
      </c>
      <c r="V336" s="39">
        <f t="shared" si="114"/>
        <v>1256362</v>
      </c>
      <c r="W336" s="43">
        <v>564066958</v>
      </c>
      <c r="X336" s="43">
        <v>0</v>
      </c>
      <c r="Y336" s="43">
        <v>0</v>
      </c>
      <c r="Z336" s="32">
        <f t="shared" ref="Z336" si="133">R336/L336</f>
        <v>2.2223778067389827E-3</v>
      </c>
    </row>
    <row r="337" spans="1:26" ht="18.75" customHeight="1" x14ac:dyDescent="0.2">
      <c r="C337" s="16"/>
      <c r="D337" s="17"/>
      <c r="E337" s="17"/>
      <c r="F337" s="18"/>
      <c r="G337" s="34"/>
      <c r="H337" s="34"/>
      <c r="I337" s="34"/>
      <c r="J337" s="34"/>
      <c r="K337" s="34"/>
      <c r="L337" s="18"/>
      <c r="M337" s="34"/>
      <c r="N337" s="18"/>
      <c r="O337" s="18"/>
      <c r="P337" s="18"/>
      <c r="Q337" s="18"/>
      <c r="R337" s="18"/>
      <c r="S337" s="34"/>
      <c r="T337" s="18"/>
      <c r="U337" s="18"/>
      <c r="V337" s="30"/>
      <c r="W337" s="18"/>
      <c r="X337" s="18"/>
      <c r="Y337" s="18"/>
      <c r="Z337" s="18"/>
    </row>
    <row r="338" spans="1:26" ht="18.75" customHeight="1" x14ac:dyDescent="0.2">
      <c r="C338" s="16"/>
      <c r="D338" s="29" t="s">
        <v>103</v>
      </c>
      <c r="E338" s="17"/>
      <c r="F338" s="18"/>
      <c r="G338" s="34"/>
      <c r="H338" s="34"/>
      <c r="I338" s="34"/>
      <c r="J338" s="34"/>
      <c r="K338" s="34"/>
      <c r="L338" s="18"/>
      <c r="M338" s="34"/>
      <c r="N338" s="18"/>
      <c r="O338" s="18"/>
      <c r="P338" s="18"/>
      <c r="Q338" s="18"/>
      <c r="R338" s="18"/>
      <c r="S338" s="34"/>
      <c r="T338" s="18"/>
      <c r="U338" s="18"/>
      <c r="V338" s="30"/>
      <c r="W338" s="18"/>
      <c r="X338" s="18"/>
      <c r="Y338" s="18"/>
      <c r="Z338" s="18"/>
    </row>
    <row r="339" spans="1:26" ht="18.75" customHeight="1" x14ac:dyDescent="0.2">
      <c r="C339" s="28" t="s">
        <v>288</v>
      </c>
      <c r="D339" s="29" t="s">
        <v>352</v>
      </c>
      <c r="E339" s="17"/>
      <c r="F339" s="18"/>
      <c r="G339" s="34"/>
      <c r="H339" s="34"/>
      <c r="I339" s="34"/>
      <c r="J339" s="34"/>
      <c r="K339" s="34"/>
      <c r="L339" s="18"/>
      <c r="M339" s="34"/>
      <c r="N339" s="18"/>
      <c r="O339" s="18"/>
      <c r="P339" s="18"/>
      <c r="Q339" s="18"/>
      <c r="R339" s="18"/>
      <c r="S339" s="34"/>
      <c r="T339" s="18"/>
      <c r="U339" s="18"/>
      <c r="V339" s="39"/>
      <c r="W339" s="18"/>
      <c r="X339" s="18"/>
      <c r="Y339" s="18"/>
      <c r="Z339" s="18"/>
    </row>
    <row r="340" spans="1:26" ht="18.75" customHeight="1" x14ac:dyDescent="0.2">
      <c r="A340" s="4" t="s">
        <v>325</v>
      </c>
      <c r="B340" s="4" t="s">
        <v>326</v>
      </c>
      <c r="C340" s="41" t="s">
        <v>332</v>
      </c>
      <c r="D340" s="42" t="s">
        <v>328</v>
      </c>
      <c r="E340" s="43" t="s">
        <v>61</v>
      </c>
      <c r="F340" s="43">
        <v>1248245788</v>
      </c>
      <c r="G340" s="44">
        <v>0</v>
      </c>
      <c r="H340" s="44">
        <v>0</v>
      </c>
      <c r="I340" s="44">
        <v>0</v>
      </c>
      <c r="J340" s="44">
        <v>0</v>
      </c>
      <c r="K340" s="44">
        <v>0</v>
      </c>
      <c r="L340" s="43">
        <v>1248245788</v>
      </c>
      <c r="M340" s="44">
        <v>0</v>
      </c>
      <c r="N340" s="43">
        <v>85867223.219999999</v>
      </c>
      <c r="O340" s="43">
        <v>85867223.219999999</v>
      </c>
      <c r="P340" s="44">
        <v>0</v>
      </c>
      <c r="Q340" s="43">
        <v>85867223.219999999</v>
      </c>
      <c r="R340" s="43">
        <v>85867223.219999999</v>
      </c>
      <c r="S340" s="44">
        <v>0</v>
      </c>
      <c r="T340" s="43">
        <v>85867223.219999999</v>
      </c>
      <c r="U340" s="43">
        <v>85867223.219999999</v>
      </c>
      <c r="V340" s="39">
        <f t="shared" si="114"/>
        <v>85867223.219999999</v>
      </c>
      <c r="W340" s="43">
        <v>1162378564.78</v>
      </c>
      <c r="X340" s="43">
        <v>0</v>
      </c>
      <c r="Y340" s="43">
        <v>0</v>
      </c>
      <c r="Z340" s="32">
        <f t="shared" ref="Z340" si="134">R340/L340</f>
        <v>6.8790316815393091E-2</v>
      </c>
    </row>
    <row r="341" spans="1:26" ht="18.75" customHeight="1" x14ac:dyDescent="0.2">
      <c r="C341" s="28" t="s">
        <v>288</v>
      </c>
      <c r="D341" s="29" t="s">
        <v>353</v>
      </c>
      <c r="E341" s="17"/>
      <c r="F341" s="18"/>
      <c r="G341" s="34"/>
      <c r="H341" s="34"/>
      <c r="I341" s="34"/>
      <c r="J341" s="34"/>
      <c r="K341" s="34"/>
      <c r="L341" s="18"/>
      <c r="M341" s="34"/>
      <c r="N341" s="18"/>
      <c r="O341" s="18"/>
      <c r="P341" s="34"/>
      <c r="Q341" s="18"/>
      <c r="R341" s="18"/>
      <c r="S341" s="18"/>
      <c r="T341" s="18"/>
      <c r="U341" s="18"/>
      <c r="V341" s="39">
        <f t="shared" si="114"/>
        <v>0</v>
      </c>
      <c r="W341" s="18"/>
      <c r="X341" s="18"/>
      <c r="Y341" s="18"/>
      <c r="Z341" s="18"/>
    </row>
    <row r="342" spans="1:26" ht="18.75" customHeight="1" x14ac:dyDescent="0.2">
      <c r="A342" s="4" t="s">
        <v>325</v>
      </c>
      <c r="B342" s="4" t="s">
        <v>326</v>
      </c>
      <c r="C342" s="41" t="s">
        <v>334</v>
      </c>
      <c r="D342" s="42" t="s">
        <v>328</v>
      </c>
      <c r="E342" s="43" t="s">
        <v>61</v>
      </c>
      <c r="F342" s="43">
        <v>918279775</v>
      </c>
      <c r="G342" s="44">
        <v>0</v>
      </c>
      <c r="H342" s="44">
        <v>0</v>
      </c>
      <c r="I342" s="44">
        <v>0</v>
      </c>
      <c r="J342" s="44">
        <v>0</v>
      </c>
      <c r="K342" s="44">
        <v>0</v>
      </c>
      <c r="L342" s="43">
        <v>918279775</v>
      </c>
      <c r="M342" s="44">
        <v>0</v>
      </c>
      <c r="N342" s="43">
        <v>71984524.780000001</v>
      </c>
      <c r="O342" s="43">
        <v>71984524.780000001</v>
      </c>
      <c r="P342" s="44">
        <v>0</v>
      </c>
      <c r="Q342" s="43">
        <v>71984524.780000001</v>
      </c>
      <c r="R342" s="43">
        <v>71984524.780000001</v>
      </c>
      <c r="S342" s="43">
        <v>0</v>
      </c>
      <c r="T342" s="43">
        <v>71984524.780000001</v>
      </c>
      <c r="U342" s="43">
        <v>71984524.780000001</v>
      </c>
      <c r="V342" s="39">
        <f t="shared" si="114"/>
        <v>71984524.780000001</v>
      </c>
      <c r="W342" s="43">
        <v>846295250.22000003</v>
      </c>
      <c r="X342" s="43">
        <v>0</v>
      </c>
      <c r="Y342" s="43">
        <v>0</v>
      </c>
      <c r="Z342" s="32">
        <f t="shared" ref="Z342" si="135">R342/L342</f>
        <v>7.8390624229963027E-2</v>
      </c>
    </row>
    <row r="343" spans="1:26" ht="18.75" customHeight="1" x14ac:dyDescent="0.2">
      <c r="C343" s="28" t="s">
        <v>288</v>
      </c>
      <c r="D343" s="29" t="s">
        <v>354</v>
      </c>
      <c r="E343" s="17"/>
      <c r="F343" s="18"/>
      <c r="G343" s="34"/>
      <c r="H343" s="34"/>
      <c r="I343" s="34"/>
      <c r="J343" s="34"/>
      <c r="K343" s="34"/>
      <c r="L343" s="18"/>
      <c r="M343" s="18"/>
      <c r="N343" s="18"/>
      <c r="O343" s="18"/>
      <c r="P343" s="34"/>
      <c r="Q343" s="18"/>
      <c r="R343" s="18"/>
      <c r="S343" s="18"/>
      <c r="T343" s="18"/>
      <c r="U343" s="18"/>
      <c r="V343" s="39">
        <f t="shared" si="114"/>
        <v>0</v>
      </c>
      <c r="W343" s="18"/>
      <c r="X343" s="18"/>
      <c r="Y343" s="18"/>
      <c r="Z343" s="18"/>
    </row>
    <row r="344" spans="1:26" ht="18.75" customHeight="1" x14ac:dyDescent="0.2">
      <c r="A344" s="4" t="s">
        <v>325</v>
      </c>
      <c r="B344" s="4" t="s">
        <v>326</v>
      </c>
      <c r="C344" s="41" t="s">
        <v>335</v>
      </c>
      <c r="D344" s="42" t="s">
        <v>328</v>
      </c>
      <c r="E344" s="43" t="s">
        <v>61</v>
      </c>
      <c r="F344" s="43">
        <v>956127578</v>
      </c>
      <c r="G344" s="44">
        <v>0</v>
      </c>
      <c r="H344" s="44">
        <v>0</v>
      </c>
      <c r="I344" s="44">
        <v>0</v>
      </c>
      <c r="J344" s="44">
        <v>0</v>
      </c>
      <c r="K344" s="44">
        <v>0</v>
      </c>
      <c r="L344" s="43">
        <v>956127578</v>
      </c>
      <c r="M344" s="44">
        <v>0</v>
      </c>
      <c r="N344" s="43">
        <v>80296378</v>
      </c>
      <c r="O344" s="43">
        <v>80296378</v>
      </c>
      <c r="P344" s="44">
        <v>0</v>
      </c>
      <c r="Q344" s="43">
        <v>80296378</v>
      </c>
      <c r="R344" s="43">
        <v>80296378</v>
      </c>
      <c r="S344" s="43">
        <v>0</v>
      </c>
      <c r="T344" s="43">
        <v>80296378</v>
      </c>
      <c r="U344" s="43">
        <v>80296378</v>
      </c>
      <c r="V344" s="39">
        <f t="shared" si="114"/>
        <v>80296378</v>
      </c>
      <c r="W344" s="43">
        <v>875831200</v>
      </c>
      <c r="X344" s="43">
        <v>0</v>
      </c>
      <c r="Y344" s="43">
        <v>0</v>
      </c>
      <c r="Z344" s="32">
        <f t="shared" ref="Z344" si="136">R344/L344</f>
        <v>8.3980819973796431E-2</v>
      </c>
    </row>
    <row r="345" spans="1:26" ht="18.75" customHeight="1" x14ac:dyDescent="0.2">
      <c r="C345" s="28" t="s">
        <v>288</v>
      </c>
      <c r="D345" s="29" t="s">
        <v>119</v>
      </c>
      <c r="E345" s="17"/>
      <c r="F345" s="18"/>
      <c r="G345" s="34"/>
      <c r="H345" s="34"/>
      <c r="I345" s="34"/>
      <c r="J345" s="34"/>
      <c r="K345" s="34"/>
      <c r="L345" s="18"/>
      <c r="M345" s="34"/>
      <c r="N345" s="18"/>
      <c r="O345" s="18"/>
      <c r="P345" s="34"/>
      <c r="Q345" s="18"/>
      <c r="R345" s="18"/>
      <c r="S345" s="18"/>
      <c r="T345" s="18"/>
      <c r="U345" s="18"/>
      <c r="V345" s="39">
        <f t="shared" si="114"/>
        <v>0</v>
      </c>
      <c r="W345" s="18"/>
      <c r="X345" s="18"/>
      <c r="Y345" s="18"/>
      <c r="Z345" s="18"/>
    </row>
    <row r="346" spans="1:26" ht="18.75" customHeight="1" x14ac:dyDescent="0.2">
      <c r="A346" s="4" t="s">
        <v>325</v>
      </c>
      <c r="B346" s="4" t="s">
        <v>326</v>
      </c>
      <c r="C346" s="41" t="s">
        <v>336</v>
      </c>
      <c r="D346" s="42" t="s">
        <v>328</v>
      </c>
      <c r="E346" s="43" t="s">
        <v>61</v>
      </c>
      <c r="F346" s="43">
        <v>527278620</v>
      </c>
      <c r="G346" s="44">
        <v>0</v>
      </c>
      <c r="H346" s="44">
        <v>0</v>
      </c>
      <c r="I346" s="44">
        <v>0</v>
      </c>
      <c r="J346" s="44">
        <v>0</v>
      </c>
      <c r="K346" s="44">
        <v>0</v>
      </c>
      <c r="L346" s="43">
        <v>527278620</v>
      </c>
      <c r="M346" s="44">
        <v>0</v>
      </c>
      <c r="N346" s="43">
        <v>38011100</v>
      </c>
      <c r="O346" s="43">
        <v>38011100</v>
      </c>
      <c r="P346" s="44">
        <v>0</v>
      </c>
      <c r="Q346" s="43">
        <v>38011100</v>
      </c>
      <c r="R346" s="43">
        <v>38011100</v>
      </c>
      <c r="S346" s="44">
        <v>0</v>
      </c>
      <c r="T346" s="44">
        <v>0</v>
      </c>
      <c r="U346" s="44">
        <v>0</v>
      </c>
      <c r="V346" s="40">
        <f t="shared" si="114"/>
        <v>0</v>
      </c>
      <c r="W346" s="43">
        <v>489267520</v>
      </c>
      <c r="X346" s="43">
        <v>0</v>
      </c>
      <c r="Y346" s="43">
        <v>38011100</v>
      </c>
      <c r="Z346" s="32">
        <f t="shared" ref="Z346" si="137">R346/L346</f>
        <v>7.2089211582294005E-2</v>
      </c>
    </row>
    <row r="347" spans="1:26" ht="18.75" customHeight="1" x14ac:dyDescent="0.2">
      <c r="C347" s="28" t="s">
        <v>288</v>
      </c>
      <c r="D347" s="29" t="s">
        <v>124</v>
      </c>
      <c r="E347" s="17"/>
      <c r="F347" s="18"/>
      <c r="G347" s="34"/>
      <c r="H347" s="34"/>
      <c r="I347" s="34"/>
      <c r="J347" s="34"/>
      <c r="K347" s="34"/>
      <c r="L347" s="18"/>
      <c r="M347" s="34"/>
      <c r="N347" s="18"/>
      <c r="O347" s="18"/>
      <c r="P347" s="34"/>
      <c r="Q347" s="18"/>
      <c r="R347" s="18"/>
      <c r="S347" s="34"/>
      <c r="T347" s="34"/>
      <c r="U347" s="34"/>
      <c r="V347" s="40"/>
      <c r="W347" s="18"/>
      <c r="X347" s="18"/>
      <c r="Y347" s="18"/>
      <c r="Z347" s="18"/>
    </row>
    <row r="348" spans="1:26" ht="18.75" customHeight="1" x14ac:dyDescent="0.2">
      <c r="C348" s="28" t="s">
        <v>288</v>
      </c>
      <c r="D348" s="29" t="s">
        <v>129</v>
      </c>
      <c r="E348" s="17"/>
      <c r="F348" s="18"/>
      <c r="G348" s="34"/>
      <c r="H348" s="34"/>
      <c r="I348" s="34"/>
      <c r="J348" s="34"/>
      <c r="K348" s="34"/>
      <c r="L348" s="18"/>
      <c r="M348" s="34"/>
      <c r="N348" s="18"/>
      <c r="O348" s="18"/>
      <c r="P348" s="34"/>
      <c r="Q348" s="18"/>
      <c r="R348" s="18"/>
      <c r="S348" s="34"/>
      <c r="T348" s="34"/>
      <c r="U348" s="34"/>
      <c r="V348" s="40">
        <f t="shared" si="114"/>
        <v>0</v>
      </c>
      <c r="W348" s="18"/>
      <c r="X348" s="18"/>
      <c r="Y348" s="18"/>
      <c r="Z348" s="18"/>
    </row>
    <row r="349" spans="1:26" ht="18.75" customHeight="1" x14ac:dyDescent="0.2">
      <c r="A349" s="4" t="s">
        <v>325</v>
      </c>
      <c r="B349" s="4" t="s">
        <v>326</v>
      </c>
      <c r="C349" s="41" t="s">
        <v>338</v>
      </c>
      <c r="D349" s="42" t="s">
        <v>328</v>
      </c>
      <c r="E349" s="43" t="s">
        <v>61</v>
      </c>
      <c r="F349" s="43">
        <v>395516000</v>
      </c>
      <c r="G349" s="44">
        <v>0</v>
      </c>
      <c r="H349" s="44">
        <v>0</v>
      </c>
      <c r="I349" s="44">
        <v>0</v>
      </c>
      <c r="J349" s="44">
        <v>0</v>
      </c>
      <c r="K349" s="44">
        <v>0</v>
      </c>
      <c r="L349" s="43">
        <v>395516000</v>
      </c>
      <c r="M349" s="44">
        <v>0</v>
      </c>
      <c r="N349" s="43">
        <v>28513700</v>
      </c>
      <c r="O349" s="43">
        <v>28513700</v>
      </c>
      <c r="P349" s="44">
        <v>0</v>
      </c>
      <c r="Q349" s="43">
        <v>28513700</v>
      </c>
      <c r="R349" s="43">
        <v>28513700</v>
      </c>
      <c r="S349" s="44">
        <v>0</v>
      </c>
      <c r="T349" s="44">
        <v>0</v>
      </c>
      <c r="U349" s="44">
        <v>0</v>
      </c>
      <c r="V349" s="40">
        <f t="shared" ref="V349:V412" si="138">S349+U349</f>
        <v>0</v>
      </c>
      <c r="W349" s="43">
        <v>367002300</v>
      </c>
      <c r="X349" s="43">
        <v>0</v>
      </c>
      <c r="Y349" s="43">
        <v>28513700</v>
      </c>
      <c r="Z349" s="32">
        <f t="shared" ref="Z349" si="139">R349/L349</f>
        <v>7.2092405869800466E-2</v>
      </c>
    </row>
    <row r="350" spans="1:26" ht="18.75" customHeight="1" x14ac:dyDescent="0.2">
      <c r="C350" s="28" t="s">
        <v>288</v>
      </c>
      <c r="D350" s="29" t="s">
        <v>133</v>
      </c>
      <c r="E350" s="17"/>
      <c r="F350" s="18"/>
      <c r="G350" s="34"/>
      <c r="H350" s="34"/>
      <c r="I350" s="34"/>
      <c r="J350" s="34"/>
      <c r="K350" s="34"/>
      <c r="L350" s="18"/>
      <c r="M350" s="34"/>
      <c r="N350" s="18"/>
      <c r="O350" s="18"/>
      <c r="P350" s="34"/>
      <c r="Q350" s="18"/>
      <c r="R350" s="18"/>
      <c r="S350" s="34"/>
      <c r="T350" s="34"/>
      <c r="U350" s="34"/>
      <c r="V350" s="40"/>
      <c r="W350" s="18"/>
      <c r="X350" s="18"/>
      <c r="Y350" s="18"/>
      <c r="Z350" s="18"/>
    </row>
    <row r="351" spans="1:26" ht="18.75" customHeight="1" x14ac:dyDescent="0.2">
      <c r="A351" s="4" t="s">
        <v>325</v>
      </c>
      <c r="B351" s="4" t="s">
        <v>326</v>
      </c>
      <c r="C351" s="41" t="s">
        <v>339</v>
      </c>
      <c r="D351" s="42" t="s">
        <v>328</v>
      </c>
      <c r="E351" s="43" t="s">
        <v>61</v>
      </c>
      <c r="F351" s="43">
        <v>66047960</v>
      </c>
      <c r="G351" s="44">
        <v>0</v>
      </c>
      <c r="H351" s="44">
        <v>0</v>
      </c>
      <c r="I351" s="44">
        <v>0</v>
      </c>
      <c r="J351" s="44">
        <v>0</v>
      </c>
      <c r="K351" s="44">
        <v>0</v>
      </c>
      <c r="L351" s="43">
        <v>66047960</v>
      </c>
      <c r="M351" s="44">
        <v>0</v>
      </c>
      <c r="N351" s="43">
        <v>4763600</v>
      </c>
      <c r="O351" s="43">
        <v>4763600</v>
      </c>
      <c r="P351" s="44">
        <v>0</v>
      </c>
      <c r="Q351" s="43">
        <v>4763600</v>
      </c>
      <c r="R351" s="43">
        <v>4763600</v>
      </c>
      <c r="S351" s="44">
        <v>0</v>
      </c>
      <c r="T351" s="44">
        <v>0</v>
      </c>
      <c r="U351" s="44">
        <v>0</v>
      </c>
      <c r="V351" s="40">
        <f t="shared" si="138"/>
        <v>0</v>
      </c>
      <c r="W351" s="43">
        <v>61284360</v>
      </c>
      <c r="X351" s="43">
        <v>0</v>
      </c>
      <c r="Y351" s="43">
        <v>4763600</v>
      </c>
      <c r="Z351" s="32">
        <f t="shared" ref="Z351" si="140">R351/L351</f>
        <v>7.2123347942919053E-2</v>
      </c>
    </row>
    <row r="352" spans="1:26" ht="18.75" customHeight="1" x14ac:dyDescent="0.2">
      <c r="C352" s="28" t="s">
        <v>288</v>
      </c>
      <c r="D352" s="29" t="s">
        <v>138</v>
      </c>
      <c r="E352" s="17"/>
      <c r="F352" s="18"/>
      <c r="G352" s="34"/>
      <c r="H352" s="34"/>
      <c r="I352" s="34"/>
      <c r="J352" s="34"/>
      <c r="K352" s="34"/>
      <c r="L352" s="18"/>
      <c r="M352" s="34"/>
      <c r="N352" s="18"/>
      <c r="O352" s="18"/>
      <c r="P352" s="34"/>
      <c r="Q352" s="18"/>
      <c r="R352" s="18"/>
      <c r="S352" s="34"/>
      <c r="T352" s="34"/>
      <c r="U352" s="34"/>
      <c r="V352" s="40"/>
      <c r="W352" s="18"/>
      <c r="X352" s="18"/>
      <c r="Y352" s="18"/>
      <c r="Z352" s="18"/>
    </row>
    <row r="353" spans="1:26" ht="18.75" customHeight="1" x14ac:dyDescent="0.2">
      <c r="A353" s="4" t="s">
        <v>325</v>
      </c>
      <c r="B353" s="4" t="s">
        <v>326</v>
      </c>
      <c r="C353" s="41" t="s">
        <v>340</v>
      </c>
      <c r="D353" s="42" t="s">
        <v>328</v>
      </c>
      <c r="E353" s="43" t="s">
        <v>61</v>
      </c>
      <c r="F353" s="43">
        <v>66047960</v>
      </c>
      <c r="G353" s="44">
        <v>0</v>
      </c>
      <c r="H353" s="44">
        <v>0</v>
      </c>
      <c r="I353" s="44">
        <v>0</v>
      </c>
      <c r="J353" s="44">
        <v>0</v>
      </c>
      <c r="K353" s="44">
        <v>0</v>
      </c>
      <c r="L353" s="43">
        <v>66047960</v>
      </c>
      <c r="M353" s="44">
        <v>0</v>
      </c>
      <c r="N353" s="43">
        <v>4763600</v>
      </c>
      <c r="O353" s="43">
        <v>4763600</v>
      </c>
      <c r="P353" s="44">
        <v>0</v>
      </c>
      <c r="Q353" s="43">
        <v>4763600</v>
      </c>
      <c r="R353" s="43">
        <v>4763600</v>
      </c>
      <c r="S353" s="44">
        <v>0</v>
      </c>
      <c r="T353" s="44">
        <v>0</v>
      </c>
      <c r="U353" s="44">
        <v>0</v>
      </c>
      <c r="V353" s="40">
        <f t="shared" si="138"/>
        <v>0</v>
      </c>
      <c r="W353" s="43">
        <v>61284360</v>
      </c>
      <c r="X353" s="43">
        <v>0</v>
      </c>
      <c r="Y353" s="43">
        <v>4763600</v>
      </c>
      <c r="Z353" s="32">
        <f t="shared" ref="Z353" si="141">R353/L353</f>
        <v>7.2123347942919053E-2</v>
      </c>
    </row>
    <row r="354" spans="1:26" ht="25.5" x14ac:dyDescent="0.2">
      <c r="C354" s="28" t="s">
        <v>288</v>
      </c>
      <c r="D354" s="29" t="s">
        <v>145</v>
      </c>
      <c r="E354" s="17"/>
      <c r="F354" s="18"/>
      <c r="G354" s="34"/>
      <c r="H354" s="34"/>
      <c r="I354" s="34"/>
      <c r="J354" s="34"/>
      <c r="K354" s="34"/>
      <c r="L354" s="18"/>
      <c r="M354" s="34"/>
      <c r="N354" s="18"/>
      <c r="O354" s="18"/>
      <c r="P354" s="34"/>
      <c r="Q354" s="18"/>
      <c r="R354" s="18"/>
      <c r="S354" s="34"/>
      <c r="T354" s="34"/>
      <c r="U354" s="34"/>
      <c r="V354" s="40"/>
      <c r="W354" s="18"/>
      <c r="X354" s="18"/>
      <c r="Y354" s="18"/>
      <c r="Z354" s="18"/>
    </row>
    <row r="355" spans="1:26" ht="18.75" customHeight="1" x14ac:dyDescent="0.2">
      <c r="A355" s="4" t="s">
        <v>325</v>
      </c>
      <c r="B355" s="4" t="s">
        <v>326</v>
      </c>
      <c r="C355" s="41" t="s">
        <v>341</v>
      </c>
      <c r="D355" s="42" t="s">
        <v>328</v>
      </c>
      <c r="E355" s="43" t="s">
        <v>61</v>
      </c>
      <c r="F355" s="43">
        <v>131938455</v>
      </c>
      <c r="G355" s="44">
        <v>0</v>
      </c>
      <c r="H355" s="44">
        <v>0</v>
      </c>
      <c r="I355" s="44">
        <v>0</v>
      </c>
      <c r="J355" s="44">
        <v>0</v>
      </c>
      <c r="K355" s="44">
        <v>0</v>
      </c>
      <c r="L355" s="43">
        <v>131938455</v>
      </c>
      <c r="M355" s="44">
        <v>0</v>
      </c>
      <c r="N355" s="43">
        <v>9513500</v>
      </c>
      <c r="O355" s="43">
        <v>9513500</v>
      </c>
      <c r="P355" s="44">
        <v>0</v>
      </c>
      <c r="Q355" s="43">
        <v>9513500</v>
      </c>
      <c r="R355" s="43">
        <v>9513500</v>
      </c>
      <c r="S355" s="44">
        <v>0</v>
      </c>
      <c r="T355" s="44">
        <v>0</v>
      </c>
      <c r="U355" s="44">
        <v>0</v>
      </c>
      <c r="V355" s="40">
        <f t="shared" si="138"/>
        <v>0</v>
      </c>
      <c r="W355" s="43">
        <v>122424955</v>
      </c>
      <c r="X355" s="43">
        <v>0</v>
      </c>
      <c r="Y355" s="43">
        <v>9513500</v>
      </c>
      <c r="Z355" s="32">
        <f t="shared" ref="Z355" si="142">R355/L355</f>
        <v>7.2105588927807288E-2</v>
      </c>
    </row>
    <row r="356" spans="1:26" ht="18.75" customHeight="1" x14ac:dyDescent="0.2">
      <c r="C356" s="16"/>
      <c r="D356" s="17"/>
      <c r="E356" s="17"/>
      <c r="F356" s="18"/>
      <c r="G356" s="34"/>
      <c r="H356" s="34"/>
      <c r="I356" s="34"/>
      <c r="J356" s="34"/>
      <c r="K356" s="34"/>
      <c r="L356" s="18"/>
      <c r="M356" s="34"/>
      <c r="N356" s="18"/>
      <c r="O356" s="18"/>
      <c r="P356" s="34"/>
      <c r="Q356" s="18"/>
      <c r="R356" s="18"/>
      <c r="S356" s="34"/>
      <c r="T356" s="34"/>
      <c r="U356" s="34"/>
      <c r="V356" s="40"/>
      <c r="W356" s="18"/>
      <c r="X356" s="18"/>
      <c r="Y356" s="18"/>
      <c r="Z356" s="18"/>
    </row>
    <row r="357" spans="1:26" ht="18.75" customHeight="1" x14ac:dyDescent="0.2">
      <c r="C357" s="16"/>
      <c r="D357" s="29" t="s">
        <v>149</v>
      </c>
      <c r="E357" s="17"/>
      <c r="F357" s="18"/>
      <c r="G357" s="34"/>
      <c r="H357" s="34"/>
      <c r="I357" s="34"/>
      <c r="J357" s="34"/>
      <c r="K357" s="34"/>
      <c r="L357" s="18"/>
      <c r="M357" s="34"/>
      <c r="N357" s="18"/>
      <c r="O357" s="18"/>
      <c r="P357" s="34"/>
      <c r="Q357" s="18"/>
      <c r="R357" s="18"/>
      <c r="S357" s="34"/>
      <c r="T357" s="34"/>
      <c r="U357" s="34"/>
      <c r="V357" s="40"/>
      <c r="W357" s="18"/>
      <c r="X357" s="18"/>
      <c r="Y357" s="18"/>
      <c r="Z357" s="18"/>
    </row>
    <row r="358" spans="1:26" ht="18.75" customHeight="1" x14ac:dyDescent="0.2">
      <c r="C358" s="16"/>
      <c r="D358" s="29" t="s">
        <v>81</v>
      </c>
      <c r="E358" s="17"/>
      <c r="F358" s="18"/>
      <c r="G358" s="34"/>
      <c r="H358" s="34"/>
      <c r="I358" s="34"/>
      <c r="J358" s="34"/>
      <c r="K358" s="34"/>
      <c r="L358" s="18"/>
      <c r="M358" s="34"/>
      <c r="N358" s="18"/>
      <c r="O358" s="18"/>
      <c r="P358" s="34"/>
      <c r="Q358" s="18"/>
      <c r="R358" s="18"/>
      <c r="S358" s="34"/>
      <c r="T358" s="34"/>
      <c r="U358" s="34"/>
      <c r="V358" s="40"/>
      <c r="W358" s="18"/>
      <c r="X358" s="18"/>
      <c r="Y358" s="18"/>
      <c r="Z358" s="18"/>
    </row>
    <row r="359" spans="1:26" ht="18.75" customHeight="1" x14ac:dyDescent="0.2">
      <c r="C359" s="28" t="s">
        <v>288</v>
      </c>
      <c r="D359" s="29" t="s">
        <v>152</v>
      </c>
      <c r="E359" s="17"/>
      <c r="F359" s="18"/>
      <c r="G359" s="34"/>
      <c r="H359" s="34"/>
      <c r="I359" s="34"/>
      <c r="J359" s="34"/>
      <c r="K359" s="34"/>
      <c r="L359" s="18"/>
      <c r="M359" s="34"/>
      <c r="N359" s="18"/>
      <c r="O359" s="18"/>
      <c r="P359" s="34"/>
      <c r="Q359" s="18"/>
      <c r="R359" s="18"/>
      <c r="S359" s="34"/>
      <c r="T359" s="34"/>
      <c r="U359" s="34"/>
      <c r="V359" s="40"/>
      <c r="W359" s="18"/>
      <c r="X359" s="18"/>
      <c r="Y359" s="18"/>
      <c r="Z359" s="18"/>
    </row>
    <row r="360" spans="1:26" ht="18.75" customHeight="1" x14ac:dyDescent="0.2">
      <c r="A360" s="4" t="s">
        <v>325</v>
      </c>
      <c r="B360" s="4" t="s">
        <v>326</v>
      </c>
      <c r="C360" s="41" t="s">
        <v>342</v>
      </c>
      <c r="D360" s="42" t="s">
        <v>328</v>
      </c>
      <c r="E360" s="43" t="s">
        <v>61</v>
      </c>
      <c r="F360" s="43">
        <v>1121217736</v>
      </c>
      <c r="G360" s="44">
        <v>0</v>
      </c>
      <c r="H360" s="44">
        <v>0</v>
      </c>
      <c r="I360" s="44">
        <v>0</v>
      </c>
      <c r="J360" s="44">
        <v>0</v>
      </c>
      <c r="K360" s="44">
        <v>0</v>
      </c>
      <c r="L360" s="43">
        <v>1121217736</v>
      </c>
      <c r="M360" s="44">
        <v>0</v>
      </c>
      <c r="N360" s="43">
        <v>257784453</v>
      </c>
      <c r="O360" s="43">
        <v>257784453</v>
      </c>
      <c r="P360" s="44">
        <v>0</v>
      </c>
      <c r="Q360" s="43">
        <v>257784453</v>
      </c>
      <c r="R360" s="43">
        <v>257784453</v>
      </c>
      <c r="S360" s="44">
        <v>0</v>
      </c>
      <c r="T360" s="44">
        <v>0</v>
      </c>
      <c r="U360" s="44">
        <v>0</v>
      </c>
      <c r="V360" s="40">
        <f t="shared" si="138"/>
        <v>0</v>
      </c>
      <c r="W360" s="43">
        <v>863433283</v>
      </c>
      <c r="X360" s="43">
        <v>0</v>
      </c>
      <c r="Y360" s="43">
        <v>257784453</v>
      </c>
      <c r="Z360" s="32">
        <f t="shared" ref="Z360" si="143">R360/L360</f>
        <v>0.22991471212331946</v>
      </c>
    </row>
    <row r="361" spans="1:26" ht="18.75" customHeight="1" x14ac:dyDescent="0.2">
      <c r="C361" s="28" t="s">
        <v>288</v>
      </c>
      <c r="D361" s="29" t="s">
        <v>343</v>
      </c>
      <c r="E361" s="17"/>
      <c r="F361" s="18"/>
      <c r="G361" s="34"/>
      <c r="H361" s="34"/>
      <c r="I361" s="34"/>
      <c r="J361" s="34"/>
      <c r="K361" s="34"/>
      <c r="L361" s="18"/>
      <c r="M361" s="34"/>
      <c r="N361" s="18"/>
      <c r="O361" s="18"/>
      <c r="P361" s="34"/>
      <c r="Q361" s="18"/>
      <c r="R361" s="18"/>
      <c r="S361" s="18"/>
      <c r="T361" s="18"/>
      <c r="U361" s="18"/>
      <c r="V361" s="39">
        <f t="shared" si="138"/>
        <v>0</v>
      </c>
      <c r="W361" s="18"/>
      <c r="X361" s="18"/>
      <c r="Y361" s="18"/>
      <c r="Z361" s="18"/>
    </row>
    <row r="362" spans="1:26" ht="18.75" customHeight="1" x14ac:dyDescent="0.2">
      <c r="A362" s="4" t="s">
        <v>325</v>
      </c>
      <c r="B362" s="4" t="s">
        <v>326</v>
      </c>
      <c r="C362" s="41" t="s">
        <v>344</v>
      </c>
      <c r="D362" s="42" t="s">
        <v>328</v>
      </c>
      <c r="E362" s="43" t="s">
        <v>61</v>
      </c>
      <c r="F362" s="43">
        <v>10000000</v>
      </c>
      <c r="G362" s="44">
        <v>0</v>
      </c>
      <c r="H362" s="44">
        <v>0</v>
      </c>
      <c r="I362" s="44">
        <v>0</v>
      </c>
      <c r="J362" s="44">
        <v>0</v>
      </c>
      <c r="K362" s="44">
        <v>0</v>
      </c>
      <c r="L362" s="43">
        <v>10000000</v>
      </c>
      <c r="M362" s="44">
        <v>0</v>
      </c>
      <c r="N362" s="44">
        <v>0</v>
      </c>
      <c r="O362" s="44">
        <v>0</v>
      </c>
      <c r="P362" s="44">
        <v>0</v>
      </c>
      <c r="Q362" s="44">
        <v>0</v>
      </c>
      <c r="R362" s="44">
        <v>0</v>
      </c>
      <c r="S362" s="44">
        <v>0</v>
      </c>
      <c r="T362" s="44">
        <v>0</v>
      </c>
      <c r="U362" s="44">
        <v>0</v>
      </c>
      <c r="V362" s="30">
        <f t="shared" si="138"/>
        <v>0</v>
      </c>
      <c r="W362" s="43">
        <v>10000000</v>
      </c>
      <c r="X362" s="43">
        <v>0</v>
      </c>
      <c r="Y362" s="43">
        <v>0</v>
      </c>
      <c r="Z362" s="32">
        <f t="shared" ref="Z362" si="144">R362/L362</f>
        <v>0</v>
      </c>
    </row>
    <row r="363" spans="1:26" ht="18.75" customHeight="1" x14ac:dyDescent="0.2">
      <c r="C363" s="28" t="s">
        <v>288</v>
      </c>
      <c r="D363" s="29" t="s">
        <v>162</v>
      </c>
      <c r="E363" s="17"/>
      <c r="F363" s="18"/>
      <c r="G363" s="34"/>
      <c r="H363" s="34"/>
      <c r="I363" s="34"/>
      <c r="J363" s="34"/>
      <c r="K363" s="34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30"/>
      <c r="W363" s="18"/>
      <c r="X363" s="18"/>
      <c r="Y363" s="18"/>
      <c r="Z363" s="18"/>
    </row>
    <row r="364" spans="1:26" ht="18.75" customHeight="1" x14ac:dyDescent="0.2">
      <c r="C364" s="16"/>
      <c r="D364" s="17"/>
      <c r="E364" s="17"/>
      <c r="F364" s="18"/>
      <c r="G364" s="34"/>
      <c r="H364" s="34"/>
      <c r="I364" s="34"/>
      <c r="J364" s="34"/>
      <c r="K364" s="34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30"/>
      <c r="W364" s="18"/>
      <c r="X364" s="18"/>
      <c r="Y364" s="18"/>
      <c r="Z364" s="18"/>
    </row>
    <row r="365" spans="1:26" ht="18.75" customHeight="1" x14ac:dyDescent="0.2">
      <c r="C365" s="16"/>
      <c r="D365" s="29" t="s">
        <v>356</v>
      </c>
      <c r="E365" s="17"/>
      <c r="F365" s="18"/>
      <c r="G365" s="34"/>
      <c r="H365" s="34"/>
      <c r="I365" s="34"/>
      <c r="J365" s="34"/>
      <c r="K365" s="34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30"/>
      <c r="W365" s="18"/>
      <c r="X365" s="18"/>
      <c r="Y365" s="18"/>
      <c r="Z365" s="18"/>
    </row>
    <row r="366" spans="1:26" ht="18.75" customHeight="1" x14ac:dyDescent="0.2">
      <c r="C366" s="16"/>
      <c r="D366" s="29" t="s">
        <v>286</v>
      </c>
      <c r="E366" s="17"/>
      <c r="F366" s="18"/>
      <c r="G366" s="34"/>
      <c r="H366" s="34"/>
      <c r="I366" s="34"/>
      <c r="J366" s="34"/>
      <c r="K366" s="34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30"/>
      <c r="W366" s="18"/>
      <c r="X366" s="18"/>
      <c r="Y366" s="18"/>
      <c r="Z366" s="18"/>
    </row>
    <row r="367" spans="1:26" ht="18.75" customHeight="1" x14ac:dyDescent="0.2">
      <c r="C367" s="16"/>
      <c r="D367" s="29" t="s">
        <v>179</v>
      </c>
      <c r="E367" s="17"/>
      <c r="F367" s="18"/>
      <c r="G367" s="34"/>
      <c r="H367" s="34"/>
      <c r="I367" s="34"/>
      <c r="J367" s="34"/>
      <c r="K367" s="34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30"/>
      <c r="W367" s="18"/>
      <c r="X367" s="18"/>
      <c r="Y367" s="18"/>
      <c r="Z367" s="18"/>
    </row>
    <row r="368" spans="1:26" ht="18.75" customHeight="1" x14ac:dyDescent="0.2">
      <c r="C368" s="16"/>
      <c r="D368" s="29" t="s">
        <v>181</v>
      </c>
      <c r="E368" s="17"/>
      <c r="F368" s="18"/>
      <c r="G368" s="34"/>
      <c r="H368" s="34"/>
      <c r="I368" s="34"/>
      <c r="J368" s="34"/>
      <c r="K368" s="34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30"/>
      <c r="W368" s="18"/>
      <c r="X368" s="18"/>
      <c r="Y368" s="18"/>
      <c r="Z368" s="18"/>
    </row>
    <row r="369" spans="1:26" ht="25.5" x14ac:dyDescent="0.2">
      <c r="C369" s="16"/>
      <c r="D369" s="29" t="s">
        <v>183</v>
      </c>
      <c r="E369" s="17"/>
      <c r="F369" s="18"/>
      <c r="G369" s="34"/>
      <c r="H369" s="34"/>
      <c r="I369" s="34"/>
      <c r="J369" s="34"/>
      <c r="K369" s="34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30"/>
      <c r="W369" s="18"/>
      <c r="X369" s="18"/>
      <c r="Y369" s="18"/>
      <c r="Z369" s="18"/>
    </row>
    <row r="370" spans="1:26" ht="18.75" customHeight="1" x14ac:dyDescent="0.2">
      <c r="C370" s="28" t="s">
        <v>288</v>
      </c>
      <c r="D370" s="29" t="s">
        <v>320</v>
      </c>
      <c r="E370" s="17"/>
      <c r="F370" s="18"/>
      <c r="G370" s="34"/>
      <c r="H370" s="34"/>
      <c r="I370" s="34"/>
      <c r="J370" s="34"/>
      <c r="K370" s="34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30"/>
      <c r="W370" s="18"/>
      <c r="X370" s="18"/>
      <c r="Y370" s="18"/>
      <c r="Z370" s="18"/>
    </row>
    <row r="371" spans="1:26" ht="18.75" customHeight="1" x14ac:dyDescent="0.2">
      <c r="A371" s="4" t="s">
        <v>55</v>
      </c>
      <c r="B371" s="4" t="s">
        <v>56</v>
      </c>
      <c r="C371" s="41" t="s">
        <v>357</v>
      </c>
      <c r="D371" s="42" t="s">
        <v>328</v>
      </c>
      <c r="E371" s="43" t="s">
        <v>61</v>
      </c>
      <c r="F371" s="43">
        <v>33040051</v>
      </c>
      <c r="G371" s="44">
        <v>0</v>
      </c>
      <c r="H371" s="44">
        <v>0</v>
      </c>
      <c r="I371" s="44">
        <v>0</v>
      </c>
      <c r="J371" s="44">
        <v>0</v>
      </c>
      <c r="K371" s="44">
        <v>0</v>
      </c>
      <c r="L371" s="43">
        <v>33040051</v>
      </c>
      <c r="M371" s="44">
        <v>0</v>
      </c>
      <c r="N371" s="44">
        <v>0</v>
      </c>
      <c r="O371" s="44">
        <v>0</v>
      </c>
      <c r="P371" s="44">
        <v>0</v>
      </c>
      <c r="Q371" s="44">
        <v>0</v>
      </c>
      <c r="R371" s="44">
        <v>0</v>
      </c>
      <c r="S371" s="44">
        <v>0</v>
      </c>
      <c r="T371" s="44">
        <v>0</v>
      </c>
      <c r="U371" s="44">
        <v>0</v>
      </c>
      <c r="V371" s="31">
        <f t="shared" si="138"/>
        <v>0</v>
      </c>
      <c r="W371" s="43">
        <v>33040051</v>
      </c>
      <c r="X371" s="43">
        <v>0</v>
      </c>
      <c r="Y371" s="43">
        <v>0</v>
      </c>
      <c r="Z371" s="32">
        <f t="shared" ref="Z371" si="145">R371/L371</f>
        <v>0</v>
      </c>
    </row>
    <row r="372" spans="1:26" ht="18.75" customHeight="1" x14ac:dyDescent="0.2">
      <c r="C372" s="16"/>
      <c r="D372" s="17"/>
      <c r="E372" s="17"/>
      <c r="F372" s="18"/>
      <c r="G372" s="34"/>
      <c r="H372" s="34"/>
      <c r="I372" s="34"/>
      <c r="J372" s="34"/>
      <c r="K372" s="34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30"/>
      <c r="W372" s="18"/>
      <c r="X372" s="18"/>
      <c r="Y372" s="18"/>
      <c r="Z372" s="18"/>
    </row>
    <row r="373" spans="1:26" ht="18.75" customHeight="1" x14ac:dyDescent="0.2">
      <c r="C373" s="16"/>
      <c r="D373" s="29" t="s">
        <v>187</v>
      </c>
      <c r="E373" s="17"/>
      <c r="F373" s="18"/>
      <c r="G373" s="34"/>
      <c r="H373" s="34"/>
      <c r="I373" s="34"/>
      <c r="J373" s="34"/>
      <c r="K373" s="34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30"/>
      <c r="W373" s="18"/>
      <c r="X373" s="18"/>
      <c r="Y373" s="18"/>
      <c r="Z373" s="18"/>
    </row>
    <row r="374" spans="1:26" ht="25.5" x14ac:dyDescent="0.2">
      <c r="C374" s="28" t="s">
        <v>288</v>
      </c>
      <c r="D374" s="68" t="s">
        <v>358</v>
      </c>
      <c r="E374" s="17"/>
      <c r="F374" s="18"/>
      <c r="G374" s="34"/>
      <c r="H374" s="34"/>
      <c r="I374" s="34"/>
      <c r="J374" s="34"/>
      <c r="K374" s="34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30"/>
      <c r="W374" s="18"/>
      <c r="X374" s="18"/>
      <c r="Y374" s="18"/>
      <c r="Z374" s="18"/>
    </row>
    <row r="375" spans="1:26" ht="18.75" customHeight="1" x14ac:dyDescent="0.2">
      <c r="A375" s="4" t="s">
        <v>55</v>
      </c>
      <c r="B375" s="4" t="s">
        <v>56</v>
      </c>
      <c r="C375" s="41" t="s">
        <v>359</v>
      </c>
      <c r="D375" s="69" t="s">
        <v>360</v>
      </c>
      <c r="E375" s="43" t="s">
        <v>361</v>
      </c>
      <c r="F375" s="43">
        <v>800000000</v>
      </c>
      <c r="G375" s="44">
        <v>0</v>
      </c>
      <c r="H375" s="44">
        <v>0</v>
      </c>
      <c r="I375" s="44">
        <v>0</v>
      </c>
      <c r="J375" s="44">
        <v>0</v>
      </c>
      <c r="K375" s="44">
        <v>0</v>
      </c>
      <c r="L375" s="43">
        <v>800000000</v>
      </c>
      <c r="M375" s="43">
        <v>0</v>
      </c>
      <c r="N375" s="43">
        <v>798939397.88</v>
      </c>
      <c r="O375" s="43">
        <v>798939397.88</v>
      </c>
      <c r="P375" s="44">
        <v>0</v>
      </c>
      <c r="Q375" s="44">
        <v>0</v>
      </c>
      <c r="R375" s="44">
        <v>0</v>
      </c>
      <c r="S375" s="44">
        <v>0</v>
      </c>
      <c r="T375" s="44">
        <v>0</v>
      </c>
      <c r="U375" s="44">
        <v>0</v>
      </c>
      <c r="V375" s="30">
        <f t="shared" si="138"/>
        <v>0</v>
      </c>
      <c r="W375" s="43">
        <v>1060602.1200000001</v>
      </c>
      <c r="X375" s="43">
        <v>798939397.88</v>
      </c>
      <c r="Y375" s="43">
        <v>0</v>
      </c>
      <c r="Z375" s="32">
        <f t="shared" ref="Z375" si="146">R375/L375</f>
        <v>0</v>
      </c>
    </row>
    <row r="376" spans="1:26" ht="18.75" customHeight="1" x14ac:dyDescent="0.2">
      <c r="C376" s="16"/>
      <c r="D376" s="70"/>
      <c r="E376" s="17"/>
      <c r="F376" s="18"/>
      <c r="G376" s="34"/>
      <c r="H376" s="34"/>
      <c r="I376" s="34"/>
      <c r="J376" s="34"/>
      <c r="K376" s="34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30"/>
      <c r="W376" s="18"/>
      <c r="X376" s="18"/>
      <c r="Y376" s="18"/>
      <c r="Z376" s="18"/>
    </row>
    <row r="377" spans="1:26" ht="18.75" customHeight="1" x14ac:dyDescent="0.2">
      <c r="C377" s="16"/>
      <c r="D377" s="68" t="s">
        <v>189</v>
      </c>
      <c r="E377" s="17"/>
      <c r="F377" s="18"/>
      <c r="G377" s="34"/>
      <c r="H377" s="34"/>
      <c r="I377" s="34"/>
      <c r="J377" s="34"/>
      <c r="K377" s="34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30"/>
      <c r="W377" s="18"/>
      <c r="X377" s="18"/>
      <c r="Y377" s="18"/>
      <c r="Z377" s="18"/>
    </row>
    <row r="378" spans="1:26" ht="18.75" customHeight="1" x14ac:dyDescent="0.2">
      <c r="C378" s="16"/>
      <c r="D378" s="68" t="s">
        <v>191</v>
      </c>
      <c r="E378" s="17"/>
      <c r="F378" s="18"/>
      <c r="G378" s="34"/>
      <c r="H378" s="34"/>
      <c r="I378" s="34"/>
      <c r="J378" s="34"/>
      <c r="K378" s="34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30"/>
      <c r="W378" s="18"/>
      <c r="X378" s="18"/>
      <c r="Y378" s="18"/>
      <c r="Z378" s="18"/>
    </row>
    <row r="379" spans="1:26" ht="18.75" customHeight="1" x14ac:dyDescent="0.2">
      <c r="C379" s="28" t="s">
        <v>288</v>
      </c>
      <c r="D379" s="68" t="s">
        <v>362</v>
      </c>
      <c r="E379" s="17"/>
      <c r="F379" s="18"/>
      <c r="G379" s="34"/>
      <c r="H379" s="34"/>
      <c r="I379" s="34"/>
      <c r="J379" s="34"/>
      <c r="K379" s="34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30"/>
      <c r="W379" s="18"/>
      <c r="X379" s="18"/>
      <c r="Y379" s="18"/>
      <c r="Z379" s="18"/>
    </row>
    <row r="380" spans="1:26" ht="18.75" customHeight="1" x14ac:dyDescent="0.2">
      <c r="A380" s="4" t="s">
        <v>55</v>
      </c>
      <c r="B380" s="4" t="s">
        <v>56</v>
      </c>
      <c r="C380" s="41" t="s">
        <v>363</v>
      </c>
      <c r="D380" s="69" t="s">
        <v>233</v>
      </c>
      <c r="E380" s="43" t="s">
        <v>58</v>
      </c>
      <c r="F380" s="43">
        <v>295200000</v>
      </c>
      <c r="G380" s="44">
        <v>0</v>
      </c>
      <c r="H380" s="44">
        <v>0</v>
      </c>
      <c r="I380" s="44">
        <v>0</v>
      </c>
      <c r="J380" s="44">
        <v>0</v>
      </c>
      <c r="K380" s="44">
        <v>0</v>
      </c>
      <c r="L380" s="43">
        <v>295200000</v>
      </c>
      <c r="M380" s="44">
        <v>0</v>
      </c>
      <c r="N380" s="44">
        <v>0</v>
      </c>
      <c r="O380" s="44">
        <v>0</v>
      </c>
      <c r="P380" s="44">
        <v>0</v>
      </c>
      <c r="Q380" s="44">
        <v>0</v>
      </c>
      <c r="R380" s="44">
        <v>0</v>
      </c>
      <c r="S380" s="44">
        <v>0</v>
      </c>
      <c r="T380" s="44">
        <v>0</v>
      </c>
      <c r="U380" s="44">
        <v>0</v>
      </c>
      <c r="V380" s="39">
        <f t="shared" si="138"/>
        <v>0</v>
      </c>
      <c r="W380" s="43">
        <v>295200000</v>
      </c>
      <c r="X380" s="43">
        <v>0</v>
      </c>
      <c r="Y380" s="43">
        <v>0</v>
      </c>
      <c r="Z380" s="32">
        <f t="shared" ref="Z380:Z381" si="147">R380/L380</f>
        <v>0</v>
      </c>
    </row>
    <row r="381" spans="1:26" ht="18.75" customHeight="1" x14ac:dyDescent="0.2">
      <c r="A381" s="4" t="s">
        <v>55</v>
      </c>
      <c r="B381" s="4" t="s">
        <v>56</v>
      </c>
      <c r="C381" s="41" t="s">
        <v>364</v>
      </c>
      <c r="D381" s="69" t="s">
        <v>360</v>
      </c>
      <c r="E381" s="43" t="s">
        <v>361</v>
      </c>
      <c r="F381" s="43">
        <v>1948457402</v>
      </c>
      <c r="G381" s="44">
        <v>0</v>
      </c>
      <c r="H381" s="44">
        <v>0</v>
      </c>
      <c r="I381" s="44">
        <v>0</v>
      </c>
      <c r="J381" s="44">
        <v>0</v>
      </c>
      <c r="K381" s="44">
        <v>0</v>
      </c>
      <c r="L381" s="43">
        <v>1948457402</v>
      </c>
      <c r="M381" s="44">
        <v>0</v>
      </c>
      <c r="N381" s="44">
        <v>0</v>
      </c>
      <c r="O381" s="44">
        <v>0</v>
      </c>
      <c r="P381" s="44">
        <v>0</v>
      </c>
      <c r="Q381" s="44">
        <v>0</v>
      </c>
      <c r="R381" s="44">
        <v>0</v>
      </c>
      <c r="S381" s="44">
        <v>0</v>
      </c>
      <c r="T381" s="44">
        <v>0</v>
      </c>
      <c r="U381" s="44">
        <v>0</v>
      </c>
      <c r="V381" s="40">
        <f t="shared" si="138"/>
        <v>0</v>
      </c>
      <c r="W381" s="43">
        <v>1948457402</v>
      </c>
      <c r="X381" s="43">
        <v>0</v>
      </c>
      <c r="Y381" s="43">
        <v>0</v>
      </c>
      <c r="Z381" s="32">
        <f t="shared" si="147"/>
        <v>0</v>
      </c>
    </row>
    <row r="382" spans="1:26" ht="18.75" customHeight="1" x14ac:dyDescent="0.2">
      <c r="C382" s="28" t="s">
        <v>288</v>
      </c>
      <c r="D382" s="68" t="s">
        <v>365</v>
      </c>
      <c r="E382" s="17"/>
      <c r="F382" s="18"/>
      <c r="G382" s="34"/>
      <c r="H382" s="34"/>
      <c r="I382" s="34"/>
      <c r="J382" s="34"/>
      <c r="K382" s="34"/>
      <c r="L382" s="18"/>
      <c r="M382" s="34"/>
      <c r="N382" s="34"/>
      <c r="O382" s="34"/>
      <c r="P382" s="34"/>
      <c r="Q382" s="34"/>
      <c r="R382" s="34"/>
      <c r="S382" s="34"/>
      <c r="T382" s="34"/>
      <c r="U382" s="34"/>
      <c r="V382" s="40">
        <f t="shared" si="138"/>
        <v>0</v>
      </c>
      <c r="W382" s="18"/>
      <c r="X382" s="18"/>
      <c r="Y382" s="18"/>
      <c r="Z382" s="18"/>
    </row>
    <row r="383" spans="1:26" ht="18.75" customHeight="1" x14ac:dyDescent="0.2">
      <c r="A383" s="4" t="s">
        <v>55</v>
      </c>
      <c r="B383" s="4" t="s">
        <v>56</v>
      </c>
      <c r="C383" s="41" t="s">
        <v>366</v>
      </c>
      <c r="D383" s="69" t="s">
        <v>367</v>
      </c>
      <c r="E383" s="43" t="s">
        <v>368</v>
      </c>
      <c r="F383" s="43">
        <v>229393430</v>
      </c>
      <c r="G383" s="44">
        <v>0</v>
      </c>
      <c r="H383" s="44">
        <v>0</v>
      </c>
      <c r="I383" s="44">
        <v>0</v>
      </c>
      <c r="J383" s="44">
        <v>0</v>
      </c>
      <c r="K383" s="44">
        <v>0</v>
      </c>
      <c r="L383" s="43">
        <v>229393430</v>
      </c>
      <c r="M383" s="44">
        <v>0</v>
      </c>
      <c r="N383" s="44">
        <v>0</v>
      </c>
      <c r="O383" s="44">
        <v>0</v>
      </c>
      <c r="P383" s="44">
        <v>0</v>
      </c>
      <c r="Q383" s="44">
        <v>0</v>
      </c>
      <c r="R383" s="44">
        <v>0</v>
      </c>
      <c r="S383" s="44">
        <v>0</v>
      </c>
      <c r="T383" s="44">
        <v>0</v>
      </c>
      <c r="U383" s="44">
        <v>0</v>
      </c>
      <c r="V383" s="40">
        <f t="shared" si="138"/>
        <v>0</v>
      </c>
      <c r="W383" s="43">
        <v>229393430</v>
      </c>
      <c r="X383" s="43">
        <v>0</v>
      </c>
      <c r="Y383" s="43">
        <v>0</v>
      </c>
      <c r="Z383" s="32">
        <f t="shared" ref="Z383" si="148">R383/L383</f>
        <v>0</v>
      </c>
    </row>
    <row r="384" spans="1:26" ht="18.75" customHeight="1" x14ac:dyDescent="0.2">
      <c r="C384" s="28" t="s">
        <v>288</v>
      </c>
      <c r="D384" s="68" t="s">
        <v>369</v>
      </c>
      <c r="E384" s="17"/>
      <c r="F384" s="18"/>
      <c r="G384" s="34"/>
      <c r="H384" s="34"/>
      <c r="I384" s="34"/>
      <c r="J384" s="34"/>
      <c r="K384" s="34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40">
        <f t="shared" si="138"/>
        <v>0</v>
      </c>
      <c r="W384" s="18"/>
      <c r="X384" s="18"/>
      <c r="Y384" s="18"/>
      <c r="Z384" s="18"/>
    </row>
    <row r="385" spans="1:26" ht="18.75" customHeight="1" x14ac:dyDescent="0.2">
      <c r="A385" s="4" t="s">
        <v>55</v>
      </c>
      <c r="B385" s="4" t="s">
        <v>56</v>
      </c>
      <c r="C385" s="41" t="s">
        <v>370</v>
      </c>
      <c r="D385" s="69" t="s">
        <v>233</v>
      </c>
      <c r="E385" s="43" t="s">
        <v>58</v>
      </c>
      <c r="F385" s="43">
        <v>209880000</v>
      </c>
      <c r="G385" s="44">
        <v>0</v>
      </c>
      <c r="H385" s="44">
        <v>0</v>
      </c>
      <c r="I385" s="44">
        <v>0</v>
      </c>
      <c r="J385" s="44">
        <v>0</v>
      </c>
      <c r="K385" s="44">
        <v>0</v>
      </c>
      <c r="L385" s="43">
        <v>209880000</v>
      </c>
      <c r="M385" s="43">
        <v>0</v>
      </c>
      <c r="N385" s="43">
        <v>80000000</v>
      </c>
      <c r="O385" s="43">
        <v>80000000</v>
      </c>
      <c r="P385" s="43">
        <v>32000000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0">
        <f t="shared" si="138"/>
        <v>0</v>
      </c>
      <c r="W385" s="43">
        <v>129880000</v>
      </c>
      <c r="X385" s="43">
        <v>80000000</v>
      </c>
      <c r="Y385" s="43">
        <v>0</v>
      </c>
      <c r="Z385" s="32">
        <f t="shared" ref="Z385" si="149">R385/L385</f>
        <v>0</v>
      </c>
    </row>
    <row r="386" spans="1:26" ht="18.75" customHeight="1" x14ac:dyDescent="0.2">
      <c r="C386" s="28" t="s">
        <v>288</v>
      </c>
      <c r="D386" s="68" t="s">
        <v>371</v>
      </c>
      <c r="E386" s="17"/>
      <c r="F386" s="18"/>
      <c r="G386" s="34"/>
      <c r="H386" s="34"/>
      <c r="I386" s="34"/>
      <c r="J386" s="34"/>
      <c r="K386" s="34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40">
        <f t="shared" si="138"/>
        <v>0</v>
      </c>
      <c r="W386" s="18"/>
      <c r="X386" s="18"/>
      <c r="Y386" s="18"/>
      <c r="Z386" s="18"/>
    </row>
    <row r="387" spans="1:26" ht="18.75" customHeight="1" x14ac:dyDescent="0.2">
      <c r="A387" s="4" t="s">
        <v>55</v>
      </c>
      <c r="B387" s="4" t="s">
        <v>56</v>
      </c>
      <c r="C387" s="41" t="s">
        <v>372</v>
      </c>
      <c r="D387" s="69" t="s">
        <v>233</v>
      </c>
      <c r="E387" s="43" t="s">
        <v>58</v>
      </c>
      <c r="F387" s="43">
        <v>290120000</v>
      </c>
      <c r="G387" s="44">
        <v>0</v>
      </c>
      <c r="H387" s="44">
        <v>0</v>
      </c>
      <c r="I387" s="44">
        <v>0</v>
      </c>
      <c r="J387" s="44">
        <v>0</v>
      </c>
      <c r="K387" s="44">
        <v>0</v>
      </c>
      <c r="L387" s="43">
        <v>290120000</v>
      </c>
      <c r="M387" s="44">
        <v>0</v>
      </c>
      <c r="N387" s="44">
        <v>0</v>
      </c>
      <c r="O387" s="44">
        <v>0</v>
      </c>
      <c r="P387" s="44">
        <v>0</v>
      </c>
      <c r="Q387" s="44">
        <v>0</v>
      </c>
      <c r="R387" s="44">
        <v>0</v>
      </c>
      <c r="S387" s="44">
        <v>0</v>
      </c>
      <c r="T387" s="44">
        <v>0</v>
      </c>
      <c r="U387" s="44">
        <v>0</v>
      </c>
      <c r="V387" s="40">
        <f t="shared" si="138"/>
        <v>0</v>
      </c>
      <c r="W387" s="43">
        <v>290120000</v>
      </c>
      <c r="X387" s="43">
        <v>0</v>
      </c>
      <c r="Y387" s="43">
        <v>0</v>
      </c>
      <c r="Z387" s="32">
        <f t="shared" ref="Z387" si="150">R387/L387</f>
        <v>0</v>
      </c>
    </row>
    <row r="388" spans="1:26" ht="18.75" customHeight="1" x14ac:dyDescent="0.2">
      <c r="C388" s="16"/>
      <c r="D388" s="70"/>
      <c r="E388" s="17"/>
      <c r="F388" s="18"/>
      <c r="G388" s="34"/>
      <c r="H388" s="34"/>
      <c r="I388" s="34"/>
      <c r="J388" s="34"/>
      <c r="K388" s="34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40">
        <f t="shared" si="138"/>
        <v>0</v>
      </c>
      <c r="W388" s="18"/>
      <c r="X388" s="18"/>
      <c r="Y388" s="18"/>
      <c r="Z388" s="18"/>
    </row>
    <row r="389" spans="1:26" ht="38.25" x14ac:dyDescent="0.2">
      <c r="C389" s="16"/>
      <c r="D389" s="68" t="s">
        <v>373</v>
      </c>
      <c r="E389" s="17"/>
      <c r="F389" s="18"/>
      <c r="G389" s="34"/>
      <c r="H389" s="34"/>
      <c r="I389" s="34"/>
      <c r="J389" s="34"/>
      <c r="K389" s="34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40">
        <f t="shared" si="138"/>
        <v>0</v>
      </c>
      <c r="W389" s="18"/>
      <c r="X389" s="18"/>
      <c r="Y389" s="18"/>
      <c r="Z389" s="18"/>
    </row>
    <row r="390" spans="1:26" ht="25.5" x14ac:dyDescent="0.2">
      <c r="C390" s="28"/>
      <c r="D390" s="68" t="s">
        <v>374</v>
      </c>
      <c r="E390" s="17"/>
      <c r="F390" s="18"/>
      <c r="G390" s="34"/>
      <c r="H390" s="34"/>
      <c r="I390" s="34"/>
      <c r="J390" s="34"/>
      <c r="K390" s="34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40">
        <f t="shared" si="138"/>
        <v>0</v>
      </c>
      <c r="W390" s="18"/>
      <c r="X390" s="18"/>
      <c r="Y390" s="18"/>
      <c r="Z390" s="18"/>
    </row>
    <row r="391" spans="1:26" ht="25.5" x14ac:dyDescent="0.2">
      <c r="C391" s="28" t="s">
        <v>288</v>
      </c>
      <c r="D391" s="68" t="s">
        <v>375</v>
      </c>
      <c r="E391" s="17"/>
      <c r="F391" s="18"/>
      <c r="G391" s="34"/>
      <c r="H391" s="34"/>
      <c r="I391" s="34"/>
      <c r="J391" s="34"/>
      <c r="K391" s="34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40">
        <f t="shared" si="138"/>
        <v>0</v>
      </c>
      <c r="W391" s="18"/>
      <c r="X391" s="18"/>
      <c r="Y391" s="18"/>
      <c r="Z391" s="18"/>
    </row>
    <row r="392" spans="1:26" x14ac:dyDescent="0.2">
      <c r="A392" s="4" t="s">
        <v>55</v>
      </c>
      <c r="B392" s="4" t="s">
        <v>56</v>
      </c>
      <c r="C392" s="41" t="s">
        <v>376</v>
      </c>
      <c r="D392" s="69" t="s">
        <v>233</v>
      </c>
      <c r="E392" s="43" t="s">
        <v>58</v>
      </c>
      <c r="F392" s="43">
        <v>3416292195</v>
      </c>
      <c r="G392" s="44">
        <v>0</v>
      </c>
      <c r="H392" s="44">
        <v>0</v>
      </c>
      <c r="I392" s="44">
        <v>0</v>
      </c>
      <c r="J392" s="44">
        <v>0</v>
      </c>
      <c r="K392" s="44">
        <v>0</v>
      </c>
      <c r="L392" s="43">
        <v>3416292195</v>
      </c>
      <c r="M392" s="44">
        <v>0</v>
      </c>
      <c r="N392" s="43">
        <v>3416292195</v>
      </c>
      <c r="O392" s="43">
        <v>3416292195</v>
      </c>
      <c r="P392" s="44">
        <v>0</v>
      </c>
      <c r="Q392" s="43">
        <v>3321331218</v>
      </c>
      <c r="R392" s="43">
        <v>3321331218</v>
      </c>
      <c r="S392" s="44">
        <v>0</v>
      </c>
      <c r="T392" s="44">
        <v>0</v>
      </c>
      <c r="U392" s="44">
        <v>0</v>
      </c>
      <c r="V392" s="40">
        <f t="shared" si="138"/>
        <v>0</v>
      </c>
      <c r="W392" s="43">
        <v>0</v>
      </c>
      <c r="X392" s="43">
        <v>94960977</v>
      </c>
      <c r="Y392" s="43">
        <v>3321331218</v>
      </c>
      <c r="Z392" s="32">
        <f t="shared" ref="Z392" si="151">R392/L392</f>
        <v>0.97220349677964246</v>
      </c>
    </row>
    <row r="393" spans="1:26" ht="18.75" customHeight="1" x14ac:dyDescent="0.2">
      <c r="C393" s="28" t="s">
        <v>288</v>
      </c>
      <c r="D393" s="29" t="s">
        <v>320</v>
      </c>
      <c r="E393" s="17"/>
      <c r="F393" s="18"/>
      <c r="G393" s="34"/>
      <c r="H393" s="34"/>
      <c r="I393" s="34"/>
      <c r="J393" s="34"/>
      <c r="K393" s="34"/>
      <c r="L393" s="18"/>
      <c r="M393" s="34"/>
      <c r="N393" s="18"/>
      <c r="O393" s="18"/>
      <c r="P393" s="34"/>
      <c r="Q393" s="18"/>
      <c r="R393" s="18"/>
      <c r="S393" s="34"/>
      <c r="T393" s="34"/>
      <c r="U393" s="34"/>
      <c r="V393" s="40">
        <f t="shared" si="138"/>
        <v>0</v>
      </c>
      <c r="W393" s="18"/>
      <c r="X393" s="18"/>
      <c r="Y393" s="18"/>
      <c r="Z393" s="18"/>
    </row>
    <row r="394" spans="1:26" ht="18.75" customHeight="1" x14ac:dyDescent="0.2">
      <c r="A394" s="4" t="s">
        <v>55</v>
      </c>
      <c r="B394" s="4" t="s">
        <v>56</v>
      </c>
      <c r="C394" s="41" t="s">
        <v>377</v>
      </c>
      <c r="D394" s="42" t="s">
        <v>328</v>
      </c>
      <c r="E394" s="43" t="s">
        <v>61</v>
      </c>
      <c r="F394" s="43">
        <v>10632000</v>
      </c>
      <c r="G394" s="44">
        <v>0</v>
      </c>
      <c r="H394" s="44">
        <v>0</v>
      </c>
      <c r="I394" s="44">
        <v>0</v>
      </c>
      <c r="J394" s="44">
        <v>0</v>
      </c>
      <c r="K394" s="44">
        <v>0</v>
      </c>
      <c r="L394" s="43">
        <v>10632000</v>
      </c>
      <c r="M394" s="44">
        <v>0</v>
      </c>
      <c r="N394" s="43">
        <v>0</v>
      </c>
      <c r="O394" s="43">
        <v>0</v>
      </c>
      <c r="P394" s="44">
        <v>0</v>
      </c>
      <c r="Q394" s="43">
        <v>0</v>
      </c>
      <c r="R394" s="43">
        <v>0</v>
      </c>
      <c r="S394" s="44">
        <v>0</v>
      </c>
      <c r="T394" s="44">
        <v>0</v>
      </c>
      <c r="U394" s="44">
        <v>0</v>
      </c>
      <c r="V394" s="40">
        <f t="shared" si="138"/>
        <v>0</v>
      </c>
      <c r="W394" s="43">
        <v>10632000</v>
      </c>
      <c r="X394" s="43">
        <v>0</v>
      </c>
      <c r="Y394" s="43">
        <v>0</v>
      </c>
      <c r="Z394" s="32">
        <f t="shared" ref="Z394:Z396" si="152">R394/L394</f>
        <v>0</v>
      </c>
    </row>
    <row r="395" spans="1:26" ht="18.75" customHeight="1" x14ac:dyDescent="0.2">
      <c r="A395" s="4" t="s">
        <v>55</v>
      </c>
      <c r="B395" s="4" t="s">
        <v>56</v>
      </c>
      <c r="C395" s="41" t="s">
        <v>378</v>
      </c>
      <c r="D395" s="42" t="s">
        <v>379</v>
      </c>
      <c r="E395" s="43" t="s">
        <v>380</v>
      </c>
      <c r="F395" s="43">
        <v>2835585455</v>
      </c>
      <c r="G395" s="44">
        <v>0</v>
      </c>
      <c r="H395" s="44">
        <v>0</v>
      </c>
      <c r="I395" s="44">
        <v>0</v>
      </c>
      <c r="J395" s="44">
        <v>0</v>
      </c>
      <c r="K395" s="44">
        <v>0</v>
      </c>
      <c r="L395" s="43">
        <v>2835585455</v>
      </c>
      <c r="M395" s="44">
        <v>0</v>
      </c>
      <c r="N395" s="43">
        <v>123811257</v>
      </c>
      <c r="O395" s="43">
        <v>123811257</v>
      </c>
      <c r="P395" s="44">
        <v>0</v>
      </c>
      <c r="Q395" s="43">
        <v>123811257</v>
      </c>
      <c r="R395" s="43">
        <v>123811257</v>
      </c>
      <c r="S395" s="44">
        <v>0</v>
      </c>
      <c r="T395" s="43">
        <v>123811257</v>
      </c>
      <c r="U395" s="43">
        <v>123811257</v>
      </c>
      <c r="V395" s="39">
        <f t="shared" si="138"/>
        <v>123811257</v>
      </c>
      <c r="W395" s="43">
        <v>2711774198</v>
      </c>
      <c r="X395" s="43">
        <v>0</v>
      </c>
      <c r="Y395" s="43">
        <v>0</v>
      </c>
      <c r="Z395" s="32">
        <f t="shared" si="152"/>
        <v>4.3663384145832415E-2</v>
      </c>
    </row>
    <row r="396" spans="1:26" ht="18.75" customHeight="1" x14ac:dyDescent="0.2">
      <c r="A396" s="4" t="s">
        <v>55</v>
      </c>
      <c r="B396" s="4" t="s">
        <v>56</v>
      </c>
      <c r="C396" s="41" t="s">
        <v>381</v>
      </c>
      <c r="D396" s="42" t="s">
        <v>382</v>
      </c>
      <c r="E396" s="43" t="s">
        <v>383</v>
      </c>
      <c r="F396" s="43">
        <v>1274304912</v>
      </c>
      <c r="G396" s="44">
        <v>0</v>
      </c>
      <c r="H396" s="44">
        <v>0</v>
      </c>
      <c r="I396" s="44">
        <v>0</v>
      </c>
      <c r="J396" s="44">
        <v>0</v>
      </c>
      <c r="K396" s="44">
        <v>0</v>
      </c>
      <c r="L396" s="43">
        <v>1274304912</v>
      </c>
      <c r="M396" s="44">
        <v>0</v>
      </c>
      <c r="N396" s="44">
        <v>0</v>
      </c>
      <c r="O396" s="44">
        <v>0</v>
      </c>
      <c r="P396" s="44">
        <v>0</v>
      </c>
      <c r="Q396" s="43">
        <v>0</v>
      </c>
      <c r="R396" s="44">
        <v>0</v>
      </c>
      <c r="S396" s="44">
        <v>0</v>
      </c>
      <c r="T396" s="44">
        <v>0</v>
      </c>
      <c r="U396" s="44">
        <v>0</v>
      </c>
      <c r="V396" s="40">
        <f t="shared" si="138"/>
        <v>0</v>
      </c>
      <c r="W396" s="43">
        <v>1274304912</v>
      </c>
      <c r="X396" s="43">
        <v>0</v>
      </c>
      <c r="Y396" s="43">
        <v>0</v>
      </c>
      <c r="Z396" s="32">
        <f t="shared" si="152"/>
        <v>0</v>
      </c>
    </row>
    <row r="397" spans="1:26" ht="38.25" x14ac:dyDescent="0.2">
      <c r="C397" s="28" t="s">
        <v>288</v>
      </c>
      <c r="D397" s="29" t="s">
        <v>384</v>
      </c>
      <c r="E397" s="17"/>
      <c r="F397" s="18"/>
      <c r="G397" s="34"/>
      <c r="H397" s="34"/>
      <c r="I397" s="34"/>
      <c r="J397" s="34"/>
      <c r="K397" s="34"/>
      <c r="L397" s="18"/>
      <c r="M397" s="18"/>
      <c r="N397" s="18"/>
      <c r="O397" s="18"/>
      <c r="P397" s="34"/>
      <c r="Q397" s="18"/>
      <c r="R397" s="18"/>
      <c r="S397" s="18"/>
      <c r="T397" s="18"/>
      <c r="U397" s="18"/>
      <c r="V397" s="39"/>
      <c r="W397" s="18"/>
      <c r="X397" s="18"/>
      <c r="Y397" s="18"/>
      <c r="Z397" s="18"/>
    </row>
    <row r="398" spans="1:26" ht="18.75" customHeight="1" x14ac:dyDescent="0.2">
      <c r="A398" s="4" t="s">
        <v>55</v>
      </c>
      <c r="B398" s="4" t="s">
        <v>56</v>
      </c>
      <c r="C398" s="41" t="s">
        <v>385</v>
      </c>
      <c r="D398" s="42" t="s">
        <v>233</v>
      </c>
      <c r="E398" s="43" t="s">
        <v>58</v>
      </c>
      <c r="F398" s="43">
        <v>9793380820</v>
      </c>
      <c r="G398" s="44">
        <v>0</v>
      </c>
      <c r="H398" s="44">
        <v>0</v>
      </c>
      <c r="I398" s="44">
        <v>0</v>
      </c>
      <c r="J398" s="44">
        <v>0</v>
      </c>
      <c r="K398" s="44">
        <v>0</v>
      </c>
      <c r="L398" s="43">
        <v>9793380820</v>
      </c>
      <c r="M398" s="43">
        <v>68000000</v>
      </c>
      <c r="N398" s="43">
        <v>9462080073</v>
      </c>
      <c r="O398" s="43">
        <v>9462080073</v>
      </c>
      <c r="P398" s="44">
        <v>0</v>
      </c>
      <c r="Q398" s="43">
        <v>9421050100</v>
      </c>
      <c r="R398" s="43">
        <v>9421050100</v>
      </c>
      <c r="S398" s="44">
        <v>0</v>
      </c>
      <c r="T398" s="44">
        <v>0</v>
      </c>
      <c r="U398" s="44">
        <v>0</v>
      </c>
      <c r="V398" s="40">
        <f t="shared" si="138"/>
        <v>0</v>
      </c>
      <c r="W398" s="43">
        <v>331300747</v>
      </c>
      <c r="X398" s="43">
        <v>41029973</v>
      </c>
      <c r="Y398" s="43">
        <v>9421050100</v>
      </c>
      <c r="Z398" s="32">
        <f t="shared" ref="Z398:Z402" si="153">R398/L398</f>
        <v>0.96198139061031629</v>
      </c>
    </row>
    <row r="399" spans="1:26" ht="18.75" customHeight="1" x14ac:dyDescent="0.2">
      <c r="A399" s="4" t="s">
        <v>55</v>
      </c>
      <c r="B399" s="4" t="s">
        <v>56</v>
      </c>
      <c r="C399" s="41" t="s">
        <v>386</v>
      </c>
      <c r="D399" s="42" t="s">
        <v>382</v>
      </c>
      <c r="E399" s="43" t="s">
        <v>383</v>
      </c>
      <c r="F399" s="43">
        <v>8000000000</v>
      </c>
      <c r="G399" s="44">
        <v>0</v>
      </c>
      <c r="H399" s="44">
        <v>0</v>
      </c>
      <c r="I399" s="44">
        <v>0</v>
      </c>
      <c r="J399" s="44">
        <v>0</v>
      </c>
      <c r="K399" s="44">
        <v>0</v>
      </c>
      <c r="L399" s="43">
        <v>8000000000</v>
      </c>
      <c r="M399" s="44">
        <v>0</v>
      </c>
      <c r="N399" s="43">
        <v>8000000000</v>
      </c>
      <c r="O399" s="43">
        <v>8000000000</v>
      </c>
      <c r="P399" s="44">
        <v>0</v>
      </c>
      <c r="Q399" s="43">
        <v>8000000000</v>
      </c>
      <c r="R399" s="43">
        <v>8000000000</v>
      </c>
      <c r="S399" s="44">
        <v>0</v>
      </c>
      <c r="T399" s="44">
        <v>0</v>
      </c>
      <c r="U399" s="44">
        <v>0</v>
      </c>
      <c r="V399" s="40">
        <f t="shared" si="138"/>
        <v>0</v>
      </c>
      <c r="W399" s="43">
        <v>0</v>
      </c>
      <c r="X399" s="43">
        <v>0</v>
      </c>
      <c r="Y399" s="43">
        <v>8000000000</v>
      </c>
      <c r="Z399" s="32">
        <f t="shared" si="153"/>
        <v>1</v>
      </c>
    </row>
    <row r="400" spans="1:26" ht="18.75" customHeight="1" x14ac:dyDescent="0.2">
      <c r="A400" s="4" t="s">
        <v>55</v>
      </c>
      <c r="B400" s="4" t="s">
        <v>56</v>
      </c>
      <c r="C400" s="41" t="s">
        <v>387</v>
      </c>
      <c r="D400" s="42" t="s">
        <v>388</v>
      </c>
      <c r="E400" s="43" t="s">
        <v>389</v>
      </c>
      <c r="F400" s="43">
        <v>951016677</v>
      </c>
      <c r="G400" s="44">
        <v>0</v>
      </c>
      <c r="H400" s="44">
        <v>0</v>
      </c>
      <c r="I400" s="44">
        <v>0</v>
      </c>
      <c r="J400" s="44">
        <v>0</v>
      </c>
      <c r="K400" s="44">
        <v>0</v>
      </c>
      <c r="L400" s="43">
        <v>951016677</v>
      </c>
      <c r="M400" s="44">
        <v>0</v>
      </c>
      <c r="N400" s="43">
        <v>951016677</v>
      </c>
      <c r="O400" s="43">
        <v>951016677</v>
      </c>
      <c r="P400" s="44">
        <v>0</v>
      </c>
      <c r="Q400" s="43">
        <v>951016677</v>
      </c>
      <c r="R400" s="43">
        <v>951016677</v>
      </c>
      <c r="S400" s="44">
        <v>0</v>
      </c>
      <c r="T400" s="44">
        <v>0</v>
      </c>
      <c r="U400" s="44">
        <v>0</v>
      </c>
      <c r="V400" s="40">
        <f t="shared" si="138"/>
        <v>0</v>
      </c>
      <c r="W400" s="43">
        <v>0</v>
      </c>
      <c r="X400" s="43">
        <v>0</v>
      </c>
      <c r="Y400" s="43">
        <v>951016677</v>
      </c>
      <c r="Z400" s="32">
        <f t="shared" si="153"/>
        <v>1</v>
      </c>
    </row>
    <row r="401" spans="1:26" ht="18.75" customHeight="1" x14ac:dyDescent="0.2">
      <c r="A401" s="4" t="s">
        <v>55</v>
      </c>
      <c r="B401" s="4" t="s">
        <v>56</v>
      </c>
      <c r="C401" s="41" t="s">
        <v>390</v>
      </c>
      <c r="D401" s="42" t="s">
        <v>391</v>
      </c>
      <c r="E401" s="43" t="s">
        <v>392</v>
      </c>
      <c r="F401" s="43">
        <v>2011708314</v>
      </c>
      <c r="G401" s="44">
        <v>0</v>
      </c>
      <c r="H401" s="44">
        <v>0</v>
      </c>
      <c r="I401" s="44">
        <v>0</v>
      </c>
      <c r="J401" s="44">
        <v>0</v>
      </c>
      <c r="K401" s="44">
        <v>0</v>
      </c>
      <c r="L401" s="43">
        <v>2011708314</v>
      </c>
      <c r="M401" s="44">
        <v>0</v>
      </c>
      <c r="N401" s="43">
        <v>2011708314</v>
      </c>
      <c r="O401" s="43">
        <v>2011708314</v>
      </c>
      <c r="P401" s="44">
        <v>0</v>
      </c>
      <c r="Q401" s="43">
        <v>2011708314</v>
      </c>
      <c r="R401" s="43">
        <v>2011708314</v>
      </c>
      <c r="S401" s="44">
        <v>0</v>
      </c>
      <c r="T401" s="44">
        <v>0</v>
      </c>
      <c r="U401" s="44">
        <v>0</v>
      </c>
      <c r="V401" s="40">
        <f t="shared" si="138"/>
        <v>0</v>
      </c>
      <c r="W401" s="43">
        <v>0</v>
      </c>
      <c r="X401" s="43">
        <v>0</v>
      </c>
      <c r="Y401" s="43">
        <v>2011708314</v>
      </c>
      <c r="Z401" s="32">
        <f t="shared" si="153"/>
        <v>1</v>
      </c>
    </row>
    <row r="402" spans="1:26" ht="18.75" customHeight="1" x14ac:dyDescent="0.2">
      <c r="A402" s="4" t="s">
        <v>55</v>
      </c>
      <c r="B402" s="4" t="s">
        <v>56</v>
      </c>
      <c r="C402" s="41" t="s">
        <v>393</v>
      </c>
      <c r="D402" s="42" t="s">
        <v>394</v>
      </c>
      <c r="E402" s="43" t="s">
        <v>368</v>
      </c>
      <c r="F402" s="43">
        <v>64817304.240000002</v>
      </c>
      <c r="G402" s="44">
        <v>0</v>
      </c>
      <c r="H402" s="44">
        <v>0</v>
      </c>
      <c r="I402" s="44">
        <v>0</v>
      </c>
      <c r="J402" s="44">
        <v>0</v>
      </c>
      <c r="K402" s="44">
        <v>0</v>
      </c>
      <c r="L402" s="43">
        <v>64817304.240000002</v>
      </c>
      <c r="M402" s="44">
        <v>0</v>
      </c>
      <c r="N402" s="43">
        <v>64817304</v>
      </c>
      <c r="O402" s="43">
        <v>64817304</v>
      </c>
      <c r="P402" s="44">
        <v>0</v>
      </c>
      <c r="Q402" s="43">
        <v>64817304</v>
      </c>
      <c r="R402" s="43">
        <v>64817304</v>
      </c>
      <c r="S402" s="44">
        <v>0</v>
      </c>
      <c r="T402" s="44">
        <v>0</v>
      </c>
      <c r="U402" s="44">
        <v>0</v>
      </c>
      <c r="V402" s="40">
        <f t="shared" si="138"/>
        <v>0</v>
      </c>
      <c r="W402" s="43">
        <v>0.24</v>
      </c>
      <c r="X402" s="43">
        <v>0</v>
      </c>
      <c r="Y402" s="43">
        <v>64817304</v>
      </c>
      <c r="Z402" s="32">
        <f t="shared" si="153"/>
        <v>0.99999999629728509</v>
      </c>
    </row>
    <row r="403" spans="1:26" ht="18.75" customHeight="1" x14ac:dyDescent="0.2">
      <c r="C403" s="16"/>
      <c r="D403" s="17"/>
      <c r="E403" s="17"/>
      <c r="F403" s="18"/>
      <c r="G403" s="34"/>
      <c r="H403" s="34"/>
      <c r="I403" s="34"/>
      <c r="J403" s="34"/>
      <c r="K403" s="34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40"/>
      <c r="W403" s="18"/>
      <c r="X403" s="18"/>
      <c r="Y403" s="18"/>
      <c r="Z403" s="18"/>
    </row>
    <row r="404" spans="1:26" ht="25.5" x14ac:dyDescent="0.2">
      <c r="C404" s="16"/>
      <c r="D404" s="29" t="s">
        <v>195</v>
      </c>
      <c r="E404" s="17"/>
      <c r="F404" s="18"/>
      <c r="G404" s="34"/>
      <c r="H404" s="34"/>
      <c r="I404" s="34"/>
      <c r="J404" s="34"/>
      <c r="K404" s="34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40"/>
      <c r="W404" s="18"/>
      <c r="X404" s="18"/>
      <c r="Y404" s="18"/>
      <c r="Z404" s="18"/>
    </row>
    <row r="405" spans="1:26" ht="18.75" customHeight="1" x14ac:dyDescent="0.2">
      <c r="C405" s="28" t="s">
        <v>288</v>
      </c>
      <c r="D405" s="29" t="s">
        <v>320</v>
      </c>
      <c r="E405" s="17"/>
      <c r="F405" s="18"/>
      <c r="G405" s="34"/>
      <c r="H405" s="34"/>
      <c r="I405" s="34"/>
      <c r="J405" s="34"/>
      <c r="K405" s="34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40"/>
      <c r="W405" s="18"/>
      <c r="X405" s="18"/>
      <c r="Y405" s="18"/>
      <c r="Z405" s="18"/>
    </row>
    <row r="406" spans="1:26" ht="18.75" customHeight="1" x14ac:dyDescent="0.2">
      <c r="A406" s="4" t="s">
        <v>55</v>
      </c>
      <c r="B406" s="4" t="s">
        <v>56</v>
      </c>
      <c r="C406" s="41" t="s">
        <v>395</v>
      </c>
      <c r="D406" s="42" t="s">
        <v>233</v>
      </c>
      <c r="E406" s="43" t="s">
        <v>58</v>
      </c>
      <c r="F406" s="43">
        <v>77302510</v>
      </c>
      <c r="G406" s="44">
        <v>0</v>
      </c>
      <c r="H406" s="44">
        <v>0</v>
      </c>
      <c r="I406" s="44">
        <v>0</v>
      </c>
      <c r="J406" s="44">
        <v>0</v>
      </c>
      <c r="K406" s="44">
        <v>0</v>
      </c>
      <c r="L406" s="43">
        <v>77302510</v>
      </c>
      <c r="M406" s="43">
        <v>0</v>
      </c>
      <c r="N406" s="43">
        <v>76566312</v>
      </c>
      <c r="O406" s="43">
        <v>76566312</v>
      </c>
      <c r="P406" s="43">
        <v>0</v>
      </c>
      <c r="Q406" s="43">
        <v>76566312</v>
      </c>
      <c r="R406" s="43">
        <v>76566312</v>
      </c>
      <c r="S406" s="44">
        <v>0</v>
      </c>
      <c r="T406" s="44">
        <v>0</v>
      </c>
      <c r="U406" s="44">
        <v>0</v>
      </c>
      <c r="V406" s="40">
        <f t="shared" si="138"/>
        <v>0</v>
      </c>
      <c r="W406" s="43">
        <v>736198</v>
      </c>
      <c r="X406" s="43">
        <v>0</v>
      </c>
      <c r="Y406" s="43">
        <v>76566312</v>
      </c>
      <c r="Z406" s="32">
        <f t="shared" ref="Z406" si="154">R406/L406</f>
        <v>0.99047640238331203</v>
      </c>
    </row>
    <row r="407" spans="1:26" ht="18.75" customHeight="1" x14ac:dyDescent="0.2">
      <c r="C407" s="16"/>
      <c r="D407" s="17"/>
      <c r="E407" s="17"/>
      <c r="F407" s="18"/>
      <c r="G407" s="34"/>
      <c r="H407" s="34"/>
      <c r="I407" s="34"/>
      <c r="J407" s="34"/>
      <c r="K407" s="34"/>
      <c r="L407" s="18"/>
      <c r="M407" s="18"/>
      <c r="N407" s="18"/>
      <c r="O407" s="18"/>
      <c r="P407" s="18"/>
      <c r="Q407" s="18"/>
      <c r="R407" s="18"/>
      <c r="S407" s="34"/>
      <c r="T407" s="34"/>
      <c r="U407" s="34"/>
      <c r="V407" s="40">
        <f t="shared" si="138"/>
        <v>0</v>
      </c>
      <c r="W407" s="18"/>
      <c r="X407" s="18"/>
      <c r="Y407" s="18"/>
      <c r="Z407" s="18"/>
    </row>
    <row r="408" spans="1:26" ht="25.5" x14ac:dyDescent="0.2">
      <c r="C408" s="16"/>
      <c r="D408" s="29" t="s">
        <v>197</v>
      </c>
      <c r="E408" s="17"/>
      <c r="F408" s="18"/>
      <c r="G408" s="34"/>
      <c r="H408" s="34"/>
      <c r="I408" s="34"/>
      <c r="J408" s="34"/>
      <c r="K408" s="34"/>
      <c r="L408" s="18"/>
      <c r="M408" s="18"/>
      <c r="N408" s="18"/>
      <c r="O408" s="18"/>
      <c r="P408" s="18"/>
      <c r="Q408" s="18"/>
      <c r="R408" s="18"/>
      <c r="S408" s="34"/>
      <c r="T408" s="34"/>
      <c r="U408" s="34"/>
      <c r="V408" s="40"/>
      <c r="W408" s="18"/>
      <c r="X408" s="18"/>
      <c r="Y408" s="18"/>
      <c r="Z408" s="18"/>
    </row>
    <row r="409" spans="1:26" ht="25.5" x14ac:dyDescent="0.2">
      <c r="C409" s="28" t="s">
        <v>288</v>
      </c>
      <c r="D409" s="29" t="s">
        <v>396</v>
      </c>
      <c r="E409" s="17"/>
      <c r="F409" s="18"/>
      <c r="G409" s="34"/>
      <c r="H409" s="34"/>
      <c r="I409" s="34"/>
      <c r="J409" s="34"/>
      <c r="K409" s="34"/>
      <c r="L409" s="18"/>
      <c r="M409" s="18"/>
      <c r="N409" s="18"/>
      <c r="O409" s="18"/>
      <c r="P409" s="18"/>
      <c r="Q409" s="18"/>
      <c r="R409" s="18"/>
      <c r="S409" s="34"/>
      <c r="T409" s="34"/>
      <c r="U409" s="34"/>
      <c r="V409" s="40"/>
      <c r="W409" s="18"/>
      <c r="X409" s="18"/>
      <c r="Y409" s="18"/>
      <c r="Z409" s="18"/>
    </row>
    <row r="410" spans="1:26" ht="18.75" customHeight="1" x14ac:dyDescent="0.2">
      <c r="A410" s="4" t="s">
        <v>55</v>
      </c>
      <c r="B410" s="4" t="s">
        <v>56</v>
      </c>
      <c r="C410" s="41" t="s">
        <v>397</v>
      </c>
      <c r="D410" s="42" t="s">
        <v>328</v>
      </c>
      <c r="E410" s="43" t="s">
        <v>61</v>
      </c>
      <c r="F410" s="43">
        <v>838526678</v>
      </c>
      <c r="G410" s="44">
        <v>0</v>
      </c>
      <c r="H410" s="44">
        <v>0</v>
      </c>
      <c r="I410" s="44">
        <v>0</v>
      </c>
      <c r="J410" s="44">
        <v>0</v>
      </c>
      <c r="K410" s="44">
        <v>0</v>
      </c>
      <c r="L410" s="43">
        <v>838526678</v>
      </c>
      <c r="M410" s="44">
        <v>0</v>
      </c>
      <c r="N410" s="44">
        <v>0</v>
      </c>
      <c r="O410" s="44">
        <v>0</v>
      </c>
      <c r="P410" s="44">
        <v>0</v>
      </c>
      <c r="Q410" s="44">
        <v>0</v>
      </c>
      <c r="R410" s="43">
        <v>0</v>
      </c>
      <c r="S410" s="44">
        <v>0</v>
      </c>
      <c r="T410" s="44">
        <v>0</v>
      </c>
      <c r="U410" s="44">
        <v>0</v>
      </c>
      <c r="V410" s="40">
        <f t="shared" si="138"/>
        <v>0</v>
      </c>
      <c r="W410" s="43">
        <v>838526678</v>
      </c>
      <c r="X410" s="43">
        <v>0</v>
      </c>
      <c r="Y410" s="43">
        <v>0</v>
      </c>
      <c r="Z410" s="32">
        <f t="shared" ref="Z410" si="155">R410/L410</f>
        <v>0</v>
      </c>
    </row>
    <row r="411" spans="1:26" ht="18.75" customHeight="1" x14ac:dyDescent="0.2">
      <c r="C411" s="28" t="s">
        <v>288</v>
      </c>
      <c r="D411" s="29" t="s">
        <v>320</v>
      </c>
      <c r="E411" s="17"/>
      <c r="F411" s="18"/>
      <c r="G411" s="34"/>
      <c r="H411" s="34"/>
      <c r="I411" s="34"/>
      <c r="J411" s="34"/>
      <c r="K411" s="34"/>
      <c r="L411" s="18"/>
      <c r="M411" s="18"/>
      <c r="N411" s="18"/>
      <c r="O411" s="18"/>
      <c r="P411" s="34"/>
      <c r="Q411" s="18"/>
      <c r="R411" s="18"/>
      <c r="S411" s="34"/>
      <c r="T411" s="34"/>
      <c r="U411" s="34"/>
      <c r="V411" s="40">
        <f t="shared" si="138"/>
        <v>0</v>
      </c>
      <c r="W411" s="18"/>
      <c r="X411" s="18"/>
      <c r="Y411" s="18"/>
      <c r="Z411" s="18"/>
    </row>
    <row r="412" spans="1:26" ht="18.75" customHeight="1" x14ac:dyDescent="0.2">
      <c r="A412" s="4" t="s">
        <v>55</v>
      </c>
      <c r="B412" s="4" t="s">
        <v>56</v>
      </c>
      <c r="C412" s="41" t="s">
        <v>398</v>
      </c>
      <c r="D412" s="42" t="s">
        <v>233</v>
      </c>
      <c r="E412" s="43" t="s">
        <v>58</v>
      </c>
      <c r="F412" s="43">
        <v>9048558947</v>
      </c>
      <c r="G412" s="44">
        <v>0</v>
      </c>
      <c r="H412" s="44">
        <v>0</v>
      </c>
      <c r="I412" s="44">
        <v>0</v>
      </c>
      <c r="J412" s="44">
        <v>0</v>
      </c>
      <c r="K412" s="44">
        <v>0</v>
      </c>
      <c r="L412" s="43">
        <v>9048558947</v>
      </c>
      <c r="M412" s="44">
        <v>0</v>
      </c>
      <c r="N412" s="43">
        <v>8022557478.8199997</v>
      </c>
      <c r="O412" s="43">
        <v>8022557478.8199997</v>
      </c>
      <c r="P412" s="44">
        <v>0</v>
      </c>
      <c r="Q412" s="43">
        <v>7771880654.8199997</v>
      </c>
      <c r="R412" s="43">
        <v>7771880654.8199997</v>
      </c>
      <c r="S412" s="44">
        <v>0</v>
      </c>
      <c r="T412" s="44">
        <v>0</v>
      </c>
      <c r="U412" s="44">
        <v>0</v>
      </c>
      <c r="V412" s="40">
        <f t="shared" si="138"/>
        <v>0</v>
      </c>
      <c r="W412" s="43">
        <v>1026001468.1799999</v>
      </c>
      <c r="X412" s="43">
        <v>250676824</v>
      </c>
      <c r="Y412" s="43">
        <v>7771880654.8199997</v>
      </c>
      <c r="Z412" s="32">
        <f t="shared" ref="Z412:Z413" si="156">R412/L412</f>
        <v>0.85890810905273751</v>
      </c>
    </row>
    <row r="413" spans="1:26" ht="18.75" customHeight="1" x14ac:dyDescent="0.2">
      <c r="A413" s="4" t="s">
        <v>55</v>
      </c>
      <c r="B413" s="4" t="s">
        <v>56</v>
      </c>
      <c r="C413" s="41" t="s">
        <v>399</v>
      </c>
      <c r="D413" s="42" t="s">
        <v>382</v>
      </c>
      <c r="E413" s="43" t="s">
        <v>383</v>
      </c>
      <c r="F413" s="43">
        <v>1274304910</v>
      </c>
      <c r="G413" s="44">
        <v>0</v>
      </c>
      <c r="H413" s="44">
        <v>0</v>
      </c>
      <c r="I413" s="44">
        <v>0</v>
      </c>
      <c r="J413" s="44">
        <v>0</v>
      </c>
      <c r="K413" s="44">
        <v>0</v>
      </c>
      <c r="L413" s="43">
        <v>1274304910</v>
      </c>
      <c r="M413" s="44">
        <v>0</v>
      </c>
      <c r="N413" s="43">
        <v>1274304910</v>
      </c>
      <c r="O413" s="43">
        <v>1274304910</v>
      </c>
      <c r="P413" s="44">
        <v>0</v>
      </c>
      <c r="Q413" s="43">
        <v>1274304910</v>
      </c>
      <c r="R413" s="43">
        <v>1274304910</v>
      </c>
      <c r="S413" s="44">
        <v>0</v>
      </c>
      <c r="T413" s="44">
        <v>0</v>
      </c>
      <c r="U413" s="44">
        <v>0</v>
      </c>
      <c r="V413" s="40">
        <f t="shared" ref="V413:V452" si="157">S413+U413</f>
        <v>0</v>
      </c>
      <c r="W413" s="43">
        <v>0</v>
      </c>
      <c r="X413" s="43">
        <v>0</v>
      </c>
      <c r="Y413" s="43">
        <v>1274304910</v>
      </c>
      <c r="Z413" s="32">
        <f t="shared" si="156"/>
        <v>1</v>
      </c>
    </row>
    <row r="414" spans="1:26" ht="18.75" customHeight="1" x14ac:dyDescent="0.2">
      <c r="C414" s="28" t="s">
        <v>288</v>
      </c>
      <c r="D414" s="29" t="s">
        <v>400</v>
      </c>
      <c r="E414" s="17"/>
      <c r="F414" s="18"/>
      <c r="G414" s="34"/>
      <c r="H414" s="34"/>
      <c r="I414" s="34"/>
      <c r="J414" s="34"/>
      <c r="K414" s="34"/>
      <c r="L414" s="18"/>
      <c r="M414" s="18"/>
      <c r="N414" s="18"/>
      <c r="O414" s="18"/>
      <c r="P414" s="34"/>
      <c r="Q414" s="18"/>
      <c r="R414" s="18"/>
      <c r="S414" s="34"/>
      <c r="T414" s="34"/>
      <c r="U414" s="34"/>
      <c r="V414" s="40">
        <f t="shared" si="157"/>
        <v>0</v>
      </c>
      <c r="W414" s="18"/>
      <c r="X414" s="18"/>
      <c r="Y414" s="18"/>
      <c r="Z414" s="18"/>
    </row>
    <row r="415" spans="1:26" ht="18.75" customHeight="1" x14ac:dyDescent="0.2">
      <c r="A415" s="4" t="s">
        <v>55</v>
      </c>
      <c r="B415" s="4" t="s">
        <v>56</v>
      </c>
      <c r="C415" s="41" t="s">
        <v>401</v>
      </c>
      <c r="D415" s="42" t="s">
        <v>233</v>
      </c>
      <c r="E415" s="43" t="s">
        <v>58</v>
      </c>
      <c r="F415" s="43">
        <v>1000000000</v>
      </c>
      <c r="G415" s="44">
        <v>0</v>
      </c>
      <c r="H415" s="44">
        <v>0</v>
      </c>
      <c r="I415" s="44">
        <v>0</v>
      </c>
      <c r="J415" s="44">
        <v>0</v>
      </c>
      <c r="K415" s="44">
        <v>0</v>
      </c>
      <c r="L415" s="43">
        <v>1000000000</v>
      </c>
      <c r="M415" s="43">
        <v>72000000</v>
      </c>
      <c r="N415" s="43">
        <v>524800000</v>
      </c>
      <c r="O415" s="43">
        <v>524800000</v>
      </c>
      <c r="P415" s="44">
        <v>0</v>
      </c>
      <c r="Q415" s="43">
        <v>420800000</v>
      </c>
      <c r="R415" s="43">
        <v>420800000</v>
      </c>
      <c r="S415" s="44">
        <v>0</v>
      </c>
      <c r="T415" s="44">
        <v>0</v>
      </c>
      <c r="U415" s="44">
        <v>0</v>
      </c>
      <c r="V415" s="40">
        <f t="shared" si="157"/>
        <v>0</v>
      </c>
      <c r="W415" s="43">
        <v>475200000</v>
      </c>
      <c r="X415" s="43">
        <v>104000000</v>
      </c>
      <c r="Y415" s="43">
        <v>420800000</v>
      </c>
      <c r="Z415" s="32">
        <f t="shared" ref="Z415" si="158">R415/L415</f>
        <v>0.42080000000000001</v>
      </c>
    </row>
    <row r="416" spans="1:26" ht="18.75" customHeight="1" x14ac:dyDescent="0.2">
      <c r="C416" s="16"/>
      <c r="D416" s="17"/>
      <c r="E416" s="17"/>
      <c r="F416" s="18"/>
      <c r="G416" s="34"/>
      <c r="H416" s="34"/>
      <c r="I416" s="34"/>
      <c r="J416" s="34"/>
      <c r="K416" s="34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30"/>
      <c r="W416" s="18"/>
      <c r="X416" s="18"/>
      <c r="Y416" s="18"/>
      <c r="Z416" s="18"/>
    </row>
    <row r="417" spans="1:26" ht="18.75" customHeight="1" x14ac:dyDescent="0.2">
      <c r="C417" s="16"/>
      <c r="D417" s="29" t="s">
        <v>199</v>
      </c>
      <c r="E417" s="17"/>
      <c r="F417" s="18"/>
      <c r="G417" s="34"/>
      <c r="H417" s="34"/>
      <c r="I417" s="34"/>
      <c r="J417" s="34"/>
      <c r="K417" s="34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30"/>
      <c r="W417" s="18"/>
      <c r="X417" s="18"/>
      <c r="Y417" s="18"/>
      <c r="Z417" s="18"/>
    </row>
    <row r="418" spans="1:26" ht="25.5" x14ac:dyDescent="0.2">
      <c r="C418" s="28" t="s">
        <v>288</v>
      </c>
      <c r="D418" s="29" t="s">
        <v>402</v>
      </c>
      <c r="E418" s="17"/>
      <c r="F418" s="18"/>
      <c r="G418" s="34"/>
      <c r="H418" s="34"/>
      <c r="I418" s="34"/>
      <c r="J418" s="34"/>
      <c r="K418" s="34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30"/>
      <c r="W418" s="18"/>
      <c r="X418" s="18"/>
      <c r="Y418" s="18"/>
      <c r="Z418" s="18"/>
    </row>
    <row r="419" spans="1:26" ht="18.75" customHeight="1" x14ac:dyDescent="0.2">
      <c r="A419" s="4" t="s">
        <v>55</v>
      </c>
      <c r="B419" s="4" t="s">
        <v>56</v>
      </c>
      <c r="C419" s="41" t="s">
        <v>403</v>
      </c>
      <c r="D419" s="42" t="s">
        <v>233</v>
      </c>
      <c r="E419" s="43" t="s">
        <v>58</v>
      </c>
      <c r="F419" s="43">
        <v>206000002.94</v>
      </c>
      <c r="G419" s="44">
        <v>0</v>
      </c>
      <c r="H419" s="44">
        <v>0</v>
      </c>
      <c r="I419" s="44">
        <v>0</v>
      </c>
      <c r="J419" s="44">
        <v>0</v>
      </c>
      <c r="K419" s="44">
        <v>0</v>
      </c>
      <c r="L419" s="43">
        <v>206000002.94</v>
      </c>
      <c r="M419" s="44">
        <v>0</v>
      </c>
      <c r="N419" s="44">
        <v>0</v>
      </c>
      <c r="O419" s="44">
        <v>0</v>
      </c>
      <c r="P419" s="44">
        <v>0</v>
      </c>
      <c r="Q419" s="44">
        <v>0</v>
      </c>
      <c r="R419" s="44">
        <v>0</v>
      </c>
      <c r="S419" s="44">
        <v>0</v>
      </c>
      <c r="T419" s="44">
        <v>0</v>
      </c>
      <c r="U419" s="44">
        <v>0</v>
      </c>
      <c r="V419" s="31">
        <f t="shared" si="157"/>
        <v>0</v>
      </c>
      <c r="W419" s="43">
        <v>206000002.94</v>
      </c>
      <c r="X419" s="44">
        <v>0</v>
      </c>
      <c r="Y419" s="43">
        <v>0</v>
      </c>
      <c r="Z419" s="32">
        <f t="shared" ref="Z419" si="159">R419/L419</f>
        <v>0</v>
      </c>
    </row>
    <row r="420" spans="1:26" ht="18.75" customHeight="1" x14ac:dyDescent="0.2">
      <c r="C420" s="28" t="s">
        <v>288</v>
      </c>
      <c r="D420" s="29" t="s">
        <v>404</v>
      </c>
      <c r="E420" s="17"/>
      <c r="F420" s="18"/>
      <c r="G420" s="34"/>
      <c r="H420" s="34"/>
      <c r="I420" s="34"/>
      <c r="J420" s="34"/>
      <c r="K420" s="34"/>
      <c r="L420" s="18"/>
      <c r="M420" s="34"/>
      <c r="N420" s="34"/>
      <c r="O420" s="34"/>
      <c r="P420" s="34"/>
      <c r="Q420" s="34"/>
      <c r="R420" s="34"/>
      <c r="S420" s="34"/>
      <c r="T420" s="34"/>
      <c r="U420" s="34"/>
      <c r="V420" s="31">
        <f t="shared" si="157"/>
        <v>0</v>
      </c>
      <c r="W420" s="18"/>
      <c r="X420" s="34"/>
      <c r="Y420" s="18"/>
      <c r="Z420" s="18"/>
    </row>
    <row r="421" spans="1:26" ht="18.75" customHeight="1" x14ac:dyDescent="0.2">
      <c r="A421" s="4" t="s">
        <v>55</v>
      </c>
      <c r="B421" s="4" t="s">
        <v>56</v>
      </c>
      <c r="C421" s="41" t="s">
        <v>405</v>
      </c>
      <c r="D421" s="42" t="s">
        <v>233</v>
      </c>
      <c r="E421" s="43" t="s">
        <v>58</v>
      </c>
      <c r="F421" s="43">
        <v>50000000</v>
      </c>
      <c r="G421" s="44">
        <v>0</v>
      </c>
      <c r="H421" s="44">
        <v>0</v>
      </c>
      <c r="I421" s="44">
        <v>0</v>
      </c>
      <c r="J421" s="44">
        <v>0</v>
      </c>
      <c r="K421" s="44">
        <v>0</v>
      </c>
      <c r="L421" s="43">
        <v>50000000</v>
      </c>
      <c r="M421" s="44">
        <v>0</v>
      </c>
      <c r="N421" s="44">
        <v>0</v>
      </c>
      <c r="O421" s="44">
        <v>0</v>
      </c>
      <c r="P421" s="44">
        <v>0</v>
      </c>
      <c r="Q421" s="44">
        <v>0</v>
      </c>
      <c r="R421" s="44">
        <v>0</v>
      </c>
      <c r="S421" s="44">
        <v>0</v>
      </c>
      <c r="T421" s="44">
        <v>0</v>
      </c>
      <c r="U421" s="44">
        <v>0</v>
      </c>
      <c r="V421" s="31">
        <f t="shared" si="157"/>
        <v>0</v>
      </c>
      <c r="W421" s="43">
        <v>50000000</v>
      </c>
      <c r="X421" s="44">
        <v>0</v>
      </c>
      <c r="Y421" s="43">
        <v>0</v>
      </c>
      <c r="Z421" s="32">
        <f t="shared" ref="Z421" si="160">R421/L421</f>
        <v>0</v>
      </c>
    </row>
    <row r="422" spans="1:26" ht="18.75" customHeight="1" x14ac:dyDescent="0.2">
      <c r="C422" s="28" t="s">
        <v>288</v>
      </c>
      <c r="D422" s="29" t="s">
        <v>362</v>
      </c>
      <c r="E422" s="17"/>
      <c r="F422" s="18"/>
      <c r="G422" s="34"/>
      <c r="H422" s="34"/>
      <c r="I422" s="34"/>
      <c r="J422" s="34"/>
      <c r="K422" s="34"/>
      <c r="L422" s="18"/>
      <c r="M422" s="34"/>
      <c r="N422" s="34"/>
      <c r="O422" s="34"/>
      <c r="P422" s="34"/>
      <c r="Q422" s="34"/>
      <c r="R422" s="34"/>
      <c r="S422" s="34"/>
      <c r="T422" s="34"/>
      <c r="U422" s="34"/>
      <c r="V422" s="31">
        <f t="shared" si="157"/>
        <v>0</v>
      </c>
      <c r="W422" s="18"/>
      <c r="X422" s="34"/>
      <c r="Y422" s="18"/>
      <c r="Z422" s="18"/>
    </row>
    <row r="423" spans="1:26" ht="18.75" customHeight="1" x14ac:dyDescent="0.2">
      <c r="A423" s="4" t="s">
        <v>55</v>
      </c>
      <c r="B423" s="4" t="s">
        <v>56</v>
      </c>
      <c r="C423" s="41" t="s">
        <v>406</v>
      </c>
      <c r="D423" s="69" t="s">
        <v>379</v>
      </c>
      <c r="E423" s="43" t="s">
        <v>380</v>
      </c>
      <c r="F423" s="43">
        <v>155990000</v>
      </c>
      <c r="G423" s="44">
        <v>0</v>
      </c>
      <c r="H423" s="44">
        <v>0</v>
      </c>
      <c r="I423" s="44">
        <v>0</v>
      </c>
      <c r="J423" s="44">
        <v>0</v>
      </c>
      <c r="K423" s="44">
        <v>0</v>
      </c>
      <c r="L423" s="43">
        <v>155990000</v>
      </c>
      <c r="M423" s="44">
        <v>0</v>
      </c>
      <c r="N423" s="44">
        <v>0</v>
      </c>
      <c r="O423" s="44">
        <v>0</v>
      </c>
      <c r="P423" s="44">
        <v>0</v>
      </c>
      <c r="Q423" s="44">
        <v>0</v>
      </c>
      <c r="R423" s="44">
        <v>0</v>
      </c>
      <c r="S423" s="44">
        <v>0</v>
      </c>
      <c r="T423" s="44">
        <v>0</v>
      </c>
      <c r="U423" s="44">
        <v>0</v>
      </c>
      <c r="V423" s="31">
        <f t="shared" si="157"/>
        <v>0</v>
      </c>
      <c r="W423" s="43">
        <v>155990000</v>
      </c>
      <c r="X423" s="44">
        <v>0</v>
      </c>
      <c r="Y423" s="43">
        <v>0</v>
      </c>
      <c r="Z423" s="32">
        <f t="shared" ref="Z423" si="161">R423/L423</f>
        <v>0</v>
      </c>
    </row>
    <row r="424" spans="1:26" ht="25.5" x14ac:dyDescent="0.2">
      <c r="C424" s="28" t="s">
        <v>288</v>
      </c>
      <c r="D424" s="29" t="s">
        <v>407</v>
      </c>
      <c r="E424" s="17"/>
      <c r="F424" s="18"/>
      <c r="G424" s="34"/>
      <c r="H424" s="34"/>
      <c r="I424" s="34"/>
      <c r="J424" s="34"/>
      <c r="K424" s="34"/>
      <c r="L424" s="18"/>
      <c r="M424" s="34"/>
      <c r="N424" s="34"/>
      <c r="O424" s="34"/>
      <c r="P424" s="34"/>
      <c r="Q424" s="34"/>
      <c r="R424" s="34"/>
      <c r="S424" s="34"/>
      <c r="T424" s="34"/>
      <c r="U424" s="34"/>
      <c r="V424" s="31">
        <f t="shared" si="157"/>
        <v>0</v>
      </c>
      <c r="W424" s="18"/>
      <c r="X424" s="34"/>
      <c r="Y424" s="18"/>
      <c r="Z424" s="18"/>
    </row>
    <row r="425" spans="1:26" ht="18.75" customHeight="1" x14ac:dyDescent="0.2">
      <c r="A425" s="4" t="s">
        <v>55</v>
      </c>
      <c r="B425" s="4" t="s">
        <v>56</v>
      </c>
      <c r="C425" s="41" t="s">
        <v>408</v>
      </c>
      <c r="D425" s="42" t="s">
        <v>233</v>
      </c>
      <c r="E425" s="43" t="s">
        <v>58</v>
      </c>
      <c r="F425" s="43">
        <v>126488672</v>
      </c>
      <c r="G425" s="44">
        <v>0</v>
      </c>
      <c r="H425" s="44">
        <v>0</v>
      </c>
      <c r="I425" s="44">
        <v>0</v>
      </c>
      <c r="J425" s="44">
        <v>0</v>
      </c>
      <c r="K425" s="44">
        <v>0</v>
      </c>
      <c r="L425" s="43">
        <v>126488672</v>
      </c>
      <c r="M425" s="44">
        <v>0</v>
      </c>
      <c r="N425" s="44">
        <v>0</v>
      </c>
      <c r="O425" s="44">
        <v>0</v>
      </c>
      <c r="P425" s="44">
        <v>0</v>
      </c>
      <c r="Q425" s="44">
        <v>0</v>
      </c>
      <c r="R425" s="44">
        <v>0</v>
      </c>
      <c r="S425" s="44">
        <v>0</v>
      </c>
      <c r="T425" s="44">
        <v>0</v>
      </c>
      <c r="U425" s="44">
        <v>0</v>
      </c>
      <c r="V425" s="31">
        <f t="shared" si="157"/>
        <v>0</v>
      </c>
      <c r="W425" s="43">
        <v>126488672</v>
      </c>
      <c r="X425" s="44">
        <v>0</v>
      </c>
      <c r="Y425" s="43">
        <v>0</v>
      </c>
      <c r="Z425" s="32">
        <f t="shared" ref="Z425:Z426" si="162">R425/L425</f>
        <v>0</v>
      </c>
    </row>
    <row r="426" spans="1:26" ht="18.75" customHeight="1" x14ac:dyDescent="0.2">
      <c r="A426" s="4" t="s">
        <v>55</v>
      </c>
      <c r="B426" s="4" t="s">
        <v>56</v>
      </c>
      <c r="C426" s="41" t="s">
        <v>409</v>
      </c>
      <c r="D426" s="42" t="s">
        <v>379</v>
      </c>
      <c r="E426" s="43" t="s">
        <v>380</v>
      </c>
      <c r="F426" s="43">
        <v>373511328</v>
      </c>
      <c r="G426" s="44">
        <v>0</v>
      </c>
      <c r="H426" s="44">
        <v>0</v>
      </c>
      <c r="I426" s="44">
        <v>0</v>
      </c>
      <c r="J426" s="44">
        <v>0</v>
      </c>
      <c r="K426" s="44">
        <v>0</v>
      </c>
      <c r="L426" s="43">
        <v>373511328</v>
      </c>
      <c r="M426" s="44">
        <v>0</v>
      </c>
      <c r="N426" s="44">
        <v>0</v>
      </c>
      <c r="O426" s="44">
        <v>0</v>
      </c>
      <c r="P426" s="44">
        <v>0</v>
      </c>
      <c r="Q426" s="44">
        <v>0</v>
      </c>
      <c r="R426" s="44">
        <v>0</v>
      </c>
      <c r="S426" s="44">
        <v>0</v>
      </c>
      <c r="T426" s="44">
        <v>0</v>
      </c>
      <c r="U426" s="44">
        <v>0</v>
      </c>
      <c r="V426" s="31">
        <f t="shared" si="157"/>
        <v>0</v>
      </c>
      <c r="W426" s="43">
        <v>373511328</v>
      </c>
      <c r="X426" s="44">
        <v>0</v>
      </c>
      <c r="Y426" s="43">
        <v>0</v>
      </c>
      <c r="Z426" s="32">
        <f t="shared" si="162"/>
        <v>0</v>
      </c>
    </row>
    <row r="427" spans="1:26" ht="25.5" x14ac:dyDescent="0.2">
      <c r="C427" s="28" t="s">
        <v>288</v>
      </c>
      <c r="D427" s="29" t="s">
        <v>410</v>
      </c>
      <c r="E427" s="17"/>
      <c r="F427" s="18"/>
      <c r="G427" s="34"/>
      <c r="H427" s="34"/>
      <c r="I427" s="34"/>
      <c r="J427" s="34"/>
      <c r="K427" s="34"/>
      <c r="L427" s="18"/>
      <c r="M427" s="34"/>
      <c r="N427" s="34"/>
      <c r="O427" s="34"/>
      <c r="P427" s="34"/>
      <c r="Q427" s="34"/>
      <c r="R427" s="34"/>
      <c r="S427" s="34"/>
      <c r="T427" s="34"/>
      <c r="U427" s="34"/>
      <c r="V427" s="31">
        <f t="shared" si="157"/>
        <v>0</v>
      </c>
      <c r="W427" s="18"/>
      <c r="X427" s="34"/>
      <c r="Y427" s="18"/>
      <c r="Z427" s="18"/>
    </row>
    <row r="428" spans="1:26" ht="18.75" customHeight="1" x14ac:dyDescent="0.2">
      <c r="A428" s="4" t="s">
        <v>55</v>
      </c>
      <c r="B428" s="4" t="s">
        <v>56</v>
      </c>
      <c r="C428" s="41" t="s">
        <v>411</v>
      </c>
      <c r="D428" s="42" t="s">
        <v>412</v>
      </c>
      <c r="E428" s="43" t="s">
        <v>380</v>
      </c>
      <c r="F428" s="43">
        <v>6161937303</v>
      </c>
      <c r="G428" s="44">
        <v>0</v>
      </c>
      <c r="H428" s="44">
        <v>0</v>
      </c>
      <c r="I428" s="44">
        <v>0</v>
      </c>
      <c r="J428" s="44">
        <v>0</v>
      </c>
      <c r="K428" s="44">
        <v>0</v>
      </c>
      <c r="L428" s="43">
        <v>6161937303</v>
      </c>
      <c r="M428" s="44">
        <v>0</v>
      </c>
      <c r="N428" s="44">
        <v>0</v>
      </c>
      <c r="O428" s="44">
        <v>0</v>
      </c>
      <c r="P428" s="44">
        <v>0</v>
      </c>
      <c r="Q428" s="44">
        <v>0</v>
      </c>
      <c r="R428" s="44">
        <v>0</v>
      </c>
      <c r="S428" s="44">
        <v>0</v>
      </c>
      <c r="T428" s="44">
        <v>0</v>
      </c>
      <c r="U428" s="44">
        <v>0</v>
      </c>
      <c r="V428" s="31">
        <f t="shared" si="157"/>
        <v>0</v>
      </c>
      <c r="W428" s="43">
        <v>6161937303</v>
      </c>
      <c r="X428" s="44">
        <v>0</v>
      </c>
      <c r="Y428" s="43">
        <v>0</v>
      </c>
      <c r="Z428" s="32">
        <f t="shared" ref="Z428" si="163">R428/L428</f>
        <v>0</v>
      </c>
    </row>
    <row r="429" spans="1:26" ht="18.75" customHeight="1" x14ac:dyDescent="0.2">
      <c r="C429" s="28" t="s">
        <v>288</v>
      </c>
      <c r="D429" s="29" t="s">
        <v>320</v>
      </c>
      <c r="E429" s="17"/>
      <c r="F429" s="18"/>
      <c r="G429" s="34"/>
      <c r="H429" s="34"/>
      <c r="I429" s="34"/>
      <c r="J429" s="34"/>
      <c r="K429" s="34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30">
        <f t="shared" si="157"/>
        <v>0</v>
      </c>
      <c r="W429" s="18"/>
      <c r="X429" s="34"/>
      <c r="Y429" s="18"/>
      <c r="Z429" s="18"/>
    </row>
    <row r="430" spans="1:26" ht="18.75" customHeight="1" x14ac:dyDescent="0.2">
      <c r="A430" s="4" t="s">
        <v>37</v>
      </c>
      <c r="B430" s="4" t="s">
        <v>37</v>
      </c>
      <c r="C430" s="41" t="s">
        <v>413</v>
      </c>
      <c r="D430" s="42" t="s">
        <v>233</v>
      </c>
      <c r="E430" s="43" t="s">
        <v>58</v>
      </c>
      <c r="F430" s="43">
        <v>1212000000</v>
      </c>
      <c r="G430" s="44">
        <v>0</v>
      </c>
      <c r="H430" s="44">
        <v>0</v>
      </c>
      <c r="I430" s="44">
        <v>0</v>
      </c>
      <c r="J430" s="44">
        <v>0</v>
      </c>
      <c r="K430" s="44">
        <v>0</v>
      </c>
      <c r="L430" s="43">
        <v>1212000000</v>
      </c>
      <c r="M430" s="44">
        <v>0</v>
      </c>
      <c r="N430" s="43">
        <v>1112000000</v>
      </c>
      <c r="O430" s="43">
        <v>1112000000</v>
      </c>
      <c r="P430" s="43">
        <v>0</v>
      </c>
      <c r="Q430" s="43">
        <v>1112000000</v>
      </c>
      <c r="R430" s="43">
        <v>1112000000</v>
      </c>
      <c r="S430" s="44">
        <v>0</v>
      </c>
      <c r="T430" s="44">
        <v>0</v>
      </c>
      <c r="U430" s="44">
        <v>0</v>
      </c>
      <c r="V430" s="40">
        <f t="shared" si="157"/>
        <v>0</v>
      </c>
      <c r="W430" s="43">
        <v>100000000</v>
      </c>
      <c r="X430" s="44">
        <v>0</v>
      </c>
      <c r="Y430" s="43">
        <v>1112000000</v>
      </c>
      <c r="Z430" s="32">
        <f t="shared" ref="Z430:Z431" si="164">R430/L430</f>
        <v>0.91749174917491749</v>
      </c>
    </row>
    <row r="431" spans="1:26" ht="18.75" customHeight="1" x14ac:dyDescent="0.2">
      <c r="A431" s="4" t="s">
        <v>55</v>
      </c>
      <c r="B431" s="4" t="s">
        <v>56</v>
      </c>
      <c r="C431" s="41" t="s">
        <v>414</v>
      </c>
      <c r="D431" s="42" t="s">
        <v>328</v>
      </c>
      <c r="E431" s="43" t="s">
        <v>61</v>
      </c>
      <c r="F431" s="43">
        <v>13807166550</v>
      </c>
      <c r="G431" s="44">
        <v>0</v>
      </c>
      <c r="H431" s="44">
        <v>0</v>
      </c>
      <c r="I431" s="44">
        <v>0</v>
      </c>
      <c r="J431" s="44">
        <v>0</v>
      </c>
      <c r="K431" s="44">
        <v>0</v>
      </c>
      <c r="L431" s="43">
        <v>13807166550</v>
      </c>
      <c r="M431" s="44">
        <v>0</v>
      </c>
      <c r="N431" s="43">
        <v>5799643471</v>
      </c>
      <c r="O431" s="43">
        <v>5799643471</v>
      </c>
      <c r="P431" s="43">
        <v>0</v>
      </c>
      <c r="Q431" s="43">
        <v>5799643471</v>
      </c>
      <c r="R431" s="43">
        <v>5799643471</v>
      </c>
      <c r="S431" s="44">
        <v>0</v>
      </c>
      <c r="T431" s="44">
        <v>0</v>
      </c>
      <c r="U431" s="44">
        <v>0</v>
      </c>
      <c r="V431" s="40">
        <f t="shared" si="157"/>
        <v>0</v>
      </c>
      <c r="W431" s="43">
        <v>8007523079</v>
      </c>
      <c r="X431" s="44">
        <v>0</v>
      </c>
      <c r="Y431" s="43">
        <v>5799643471</v>
      </c>
      <c r="Z431" s="32">
        <f t="shared" si="164"/>
        <v>0.42004588341841942</v>
      </c>
    </row>
    <row r="432" spans="1:26" ht="38.25" x14ac:dyDescent="0.2">
      <c r="C432" s="28" t="s">
        <v>288</v>
      </c>
      <c r="D432" s="29" t="s">
        <v>415</v>
      </c>
      <c r="E432" s="17"/>
      <c r="F432" s="18"/>
      <c r="G432" s="34"/>
      <c r="H432" s="34"/>
      <c r="I432" s="34"/>
      <c r="J432" s="34"/>
      <c r="K432" s="34"/>
      <c r="L432" s="18"/>
      <c r="M432" s="34"/>
      <c r="N432" s="18"/>
      <c r="O432" s="18"/>
      <c r="P432" s="18"/>
      <c r="Q432" s="18"/>
      <c r="R432" s="18"/>
      <c r="S432" s="34"/>
      <c r="T432" s="34"/>
      <c r="U432" s="34"/>
      <c r="V432" s="40">
        <f t="shared" si="157"/>
        <v>0</v>
      </c>
      <c r="W432" s="18"/>
      <c r="X432" s="34"/>
      <c r="Y432" s="18"/>
      <c r="Z432" s="18"/>
    </row>
    <row r="433" spans="1:26" ht="18.75" customHeight="1" x14ac:dyDescent="0.2">
      <c r="A433" s="4" t="s">
        <v>55</v>
      </c>
      <c r="B433" s="4" t="s">
        <v>56</v>
      </c>
      <c r="C433" s="41" t="s">
        <v>416</v>
      </c>
      <c r="D433" s="42" t="s">
        <v>379</v>
      </c>
      <c r="E433" s="43" t="s">
        <v>380</v>
      </c>
      <c r="F433" s="43">
        <v>50000000</v>
      </c>
      <c r="G433" s="44">
        <v>0</v>
      </c>
      <c r="H433" s="44">
        <v>0</v>
      </c>
      <c r="I433" s="44">
        <v>0</v>
      </c>
      <c r="J433" s="44">
        <v>0</v>
      </c>
      <c r="K433" s="44">
        <v>0</v>
      </c>
      <c r="L433" s="43">
        <v>50000000</v>
      </c>
      <c r="M433" s="44">
        <v>0</v>
      </c>
      <c r="N433" s="43">
        <v>0</v>
      </c>
      <c r="O433" s="44">
        <v>0</v>
      </c>
      <c r="P433" s="44">
        <v>0</v>
      </c>
      <c r="Q433" s="44">
        <v>0</v>
      </c>
      <c r="R433" s="44">
        <v>0</v>
      </c>
      <c r="S433" s="44">
        <v>0</v>
      </c>
      <c r="T433" s="44">
        <v>0</v>
      </c>
      <c r="U433" s="44">
        <v>0</v>
      </c>
      <c r="V433" s="40">
        <f t="shared" si="157"/>
        <v>0</v>
      </c>
      <c r="W433" s="43">
        <v>50000000</v>
      </c>
      <c r="X433" s="44">
        <v>0</v>
      </c>
      <c r="Y433" s="43">
        <v>0</v>
      </c>
      <c r="Z433" s="32">
        <f t="shared" ref="Z433" si="165">R433/L433</f>
        <v>0</v>
      </c>
    </row>
    <row r="434" spans="1:26" ht="38.25" x14ac:dyDescent="0.2">
      <c r="C434" s="28" t="s">
        <v>288</v>
      </c>
      <c r="D434" s="29" t="s">
        <v>417</v>
      </c>
      <c r="E434" s="17"/>
      <c r="F434" s="18"/>
      <c r="G434" s="34"/>
      <c r="H434" s="34"/>
      <c r="I434" s="34"/>
      <c r="J434" s="34"/>
      <c r="K434" s="34"/>
      <c r="L434" s="18"/>
      <c r="M434" s="34"/>
      <c r="N434" s="18"/>
      <c r="O434" s="34"/>
      <c r="P434" s="34"/>
      <c r="Q434" s="34"/>
      <c r="R434" s="34"/>
      <c r="S434" s="34"/>
      <c r="T434" s="34"/>
      <c r="U434" s="34"/>
      <c r="V434" s="40">
        <f t="shared" si="157"/>
        <v>0</v>
      </c>
      <c r="W434" s="18"/>
      <c r="X434" s="34"/>
      <c r="Y434" s="18"/>
      <c r="Z434" s="18"/>
    </row>
    <row r="435" spans="1:26" ht="25.5" x14ac:dyDescent="0.2">
      <c r="C435" s="28" t="s">
        <v>288</v>
      </c>
      <c r="D435" s="29" t="s">
        <v>418</v>
      </c>
      <c r="E435" s="17"/>
      <c r="F435" s="18"/>
      <c r="G435" s="34"/>
      <c r="H435" s="34"/>
      <c r="I435" s="34"/>
      <c r="J435" s="34"/>
      <c r="K435" s="34"/>
      <c r="L435" s="18"/>
      <c r="M435" s="34"/>
      <c r="N435" s="18"/>
      <c r="O435" s="34"/>
      <c r="P435" s="34"/>
      <c r="Q435" s="34"/>
      <c r="R435" s="34"/>
      <c r="S435" s="34"/>
      <c r="T435" s="34"/>
      <c r="U435" s="34"/>
      <c r="V435" s="40">
        <f t="shared" si="157"/>
        <v>0</v>
      </c>
      <c r="W435" s="18"/>
      <c r="X435" s="34"/>
      <c r="Y435" s="18"/>
      <c r="Z435" s="18"/>
    </row>
    <row r="436" spans="1:26" x14ac:dyDescent="0.2">
      <c r="A436" s="4" t="s">
        <v>55</v>
      </c>
      <c r="B436" s="4" t="s">
        <v>56</v>
      </c>
      <c r="C436" s="41" t="s">
        <v>419</v>
      </c>
      <c r="D436" s="42" t="s">
        <v>233</v>
      </c>
      <c r="E436" s="43" t="s">
        <v>58</v>
      </c>
      <c r="F436" s="43">
        <v>200000000</v>
      </c>
      <c r="G436" s="44">
        <v>0</v>
      </c>
      <c r="H436" s="44">
        <v>0</v>
      </c>
      <c r="I436" s="44">
        <v>0</v>
      </c>
      <c r="J436" s="44">
        <v>0</v>
      </c>
      <c r="K436" s="44">
        <v>0</v>
      </c>
      <c r="L436" s="43">
        <v>200000000</v>
      </c>
      <c r="M436" s="44">
        <v>0</v>
      </c>
      <c r="N436" s="43">
        <v>0</v>
      </c>
      <c r="O436" s="44">
        <v>0</v>
      </c>
      <c r="P436" s="44">
        <v>0</v>
      </c>
      <c r="Q436" s="44">
        <v>0</v>
      </c>
      <c r="R436" s="44">
        <v>0</v>
      </c>
      <c r="S436" s="44">
        <v>0</v>
      </c>
      <c r="T436" s="44">
        <v>0</v>
      </c>
      <c r="U436" s="44">
        <v>0</v>
      </c>
      <c r="V436" s="40">
        <f t="shared" si="157"/>
        <v>0</v>
      </c>
      <c r="W436" s="43">
        <v>200000000</v>
      </c>
      <c r="X436" s="44">
        <v>0</v>
      </c>
      <c r="Y436" s="43">
        <v>0</v>
      </c>
      <c r="Z436" s="32">
        <f t="shared" ref="Z436" si="166">R436/L436</f>
        <v>0</v>
      </c>
    </row>
    <row r="437" spans="1:26" ht="51" x14ac:dyDescent="0.2">
      <c r="C437" s="28" t="s">
        <v>288</v>
      </c>
      <c r="D437" s="29" t="s">
        <v>420</v>
      </c>
      <c r="E437" s="17"/>
      <c r="F437" s="18"/>
      <c r="G437" s="34"/>
      <c r="H437" s="34"/>
      <c r="I437" s="34"/>
      <c r="J437" s="34"/>
      <c r="K437" s="34"/>
      <c r="L437" s="18"/>
      <c r="M437" s="34"/>
      <c r="N437" s="18"/>
      <c r="O437" s="18"/>
      <c r="P437" s="18"/>
      <c r="Q437" s="18"/>
      <c r="R437" s="18"/>
      <c r="S437" s="18"/>
      <c r="T437" s="18"/>
      <c r="U437" s="18"/>
      <c r="V437" s="40">
        <f t="shared" si="157"/>
        <v>0</v>
      </c>
      <c r="W437" s="18"/>
      <c r="X437" s="18"/>
      <c r="Y437" s="18"/>
      <c r="Z437" s="18"/>
    </row>
    <row r="438" spans="1:26" x14ac:dyDescent="0.2">
      <c r="A438" s="4" t="s">
        <v>55</v>
      </c>
      <c r="B438" s="4" t="s">
        <v>56</v>
      </c>
      <c r="C438" s="41" t="s">
        <v>421</v>
      </c>
      <c r="D438" s="42" t="s">
        <v>328</v>
      </c>
      <c r="E438" s="43" t="s">
        <v>61</v>
      </c>
      <c r="F438" s="43">
        <v>501573828</v>
      </c>
      <c r="G438" s="44">
        <v>0</v>
      </c>
      <c r="H438" s="44">
        <v>0</v>
      </c>
      <c r="I438" s="44">
        <v>0</v>
      </c>
      <c r="J438" s="44">
        <v>0</v>
      </c>
      <c r="K438" s="44">
        <v>0</v>
      </c>
      <c r="L438" s="43">
        <v>501573828</v>
      </c>
      <c r="M438" s="44">
        <v>0</v>
      </c>
      <c r="N438" s="43">
        <v>448000000</v>
      </c>
      <c r="O438" s="43">
        <v>448000000</v>
      </c>
      <c r="P438" s="43">
        <v>0</v>
      </c>
      <c r="Q438" s="43">
        <v>425600000</v>
      </c>
      <c r="R438" s="43">
        <v>425600000</v>
      </c>
      <c r="S438" s="44">
        <v>0</v>
      </c>
      <c r="T438" s="44">
        <v>0</v>
      </c>
      <c r="U438" s="44">
        <v>0</v>
      </c>
      <c r="V438" s="40">
        <f t="shared" si="157"/>
        <v>0</v>
      </c>
      <c r="W438" s="43">
        <v>53573828</v>
      </c>
      <c r="X438" s="43">
        <v>22400000</v>
      </c>
      <c r="Y438" s="43">
        <v>425600000</v>
      </c>
      <c r="Z438" s="32">
        <f t="shared" ref="Z438:Z439" si="167">R438/L438</f>
        <v>0.84852912221727805</v>
      </c>
    </row>
    <row r="439" spans="1:26" ht="25.5" x14ac:dyDescent="0.2">
      <c r="A439" s="4" t="s">
        <v>55</v>
      </c>
      <c r="B439" s="4" t="s">
        <v>56</v>
      </c>
      <c r="C439" s="41" t="s">
        <v>422</v>
      </c>
      <c r="D439" s="42" t="s">
        <v>423</v>
      </c>
      <c r="E439" s="43" t="s">
        <v>424</v>
      </c>
      <c r="F439" s="43">
        <v>370346171.69999999</v>
      </c>
      <c r="G439" s="44">
        <v>0</v>
      </c>
      <c r="H439" s="44">
        <v>0</v>
      </c>
      <c r="I439" s="44">
        <v>0</v>
      </c>
      <c r="J439" s="44">
        <v>0</v>
      </c>
      <c r="K439" s="44">
        <v>0</v>
      </c>
      <c r="L439" s="43">
        <v>370346171.69999999</v>
      </c>
      <c r="M439" s="44">
        <v>0</v>
      </c>
      <c r="N439" s="43">
        <v>44800000</v>
      </c>
      <c r="O439" s="43">
        <v>44800000</v>
      </c>
      <c r="P439" s="43">
        <v>22400000</v>
      </c>
      <c r="Q439" s="43">
        <v>22400000</v>
      </c>
      <c r="R439" s="43">
        <v>22400000</v>
      </c>
      <c r="S439" s="44">
        <v>0</v>
      </c>
      <c r="T439" s="44">
        <v>0</v>
      </c>
      <c r="U439" s="44">
        <v>0</v>
      </c>
      <c r="V439" s="40">
        <f t="shared" si="157"/>
        <v>0</v>
      </c>
      <c r="W439" s="43">
        <v>325546171.69999999</v>
      </c>
      <c r="X439" s="43">
        <v>22400000</v>
      </c>
      <c r="Y439" s="43">
        <v>22400000</v>
      </c>
      <c r="Z439" s="32">
        <f t="shared" si="167"/>
        <v>6.0483951804273503E-2</v>
      </c>
    </row>
    <row r="440" spans="1:26" ht="18.75" customHeight="1" x14ac:dyDescent="0.2">
      <c r="C440" s="28" t="s">
        <v>288</v>
      </c>
      <c r="D440" s="29" t="s">
        <v>400</v>
      </c>
      <c r="E440" s="17"/>
      <c r="F440" s="18"/>
      <c r="G440" s="34"/>
      <c r="H440" s="34"/>
      <c r="I440" s="34"/>
      <c r="J440" s="34"/>
      <c r="K440" s="34"/>
      <c r="L440" s="18"/>
      <c r="M440" s="34"/>
      <c r="N440" s="18"/>
      <c r="O440" s="18"/>
      <c r="P440" s="18"/>
      <c r="Q440" s="18"/>
      <c r="R440" s="18"/>
      <c r="S440" s="34"/>
      <c r="T440" s="34"/>
      <c r="U440" s="34"/>
      <c r="V440" s="40">
        <f t="shared" si="157"/>
        <v>0</v>
      </c>
      <c r="W440" s="18"/>
      <c r="X440" s="18"/>
      <c r="Y440" s="18"/>
      <c r="Z440" s="18"/>
    </row>
    <row r="441" spans="1:26" ht="18.75" customHeight="1" x14ac:dyDescent="0.2">
      <c r="A441" s="4" t="s">
        <v>55</v>
      </c>
      <c r="B441" s="4" t="s">
        <v>56</v>
      </c>
      <c r="C441" s="41" t="s">
        <v>425</v>
      </c>
      <c r="D441" s="42" t="s">
        <v>233</v>
      </c>
      <c r="E441" s="43" t="s">
        <v>58</v>
      </c>
      <c r="F441" s="43">
        <v>318078211</v>
      </c>
      <c r="G441" s="44">
        <v>0</v>
      </c>
      <c r="H441" s="44">
        <v>0</v>
      </c>
      <c r="I441" s="44">
        <v>0</v>
      </c>
      <c r="J441" s="44">
        <v>0</v>
      </c>
      <c r="K441" s="44">
        <v>0</v>
      </c>
      <c r="L441" s="43">
        <v>318078211</v>
      </c>
      <c r="M441" s="44">
        <v>0</v>
      </c>
      <c r="N441" s="43">
        <v>217200000</v>
      </c>
      <c r="O441" s="43">
        <v>217200000</v>
      </c>
      <c r="P441" s="43">
        <v>0</v>
      </c>
      <c r="Q441" s="43">
        <v>217200000</v>
      </c>
      <c r="R441" s="43">
        <v>217200000</v>
      </c>
      <c r="S441" s="44">
        <v>0</v>
      </c>
      <c r="T441" s="44">
        <v>0</v>
      </c>
      <c r="U441" s="44">
        <v>0</v>
      </c>
      <c r="V441" s="40">
        <f t="shared" si="157"/>
        <v>0</v>
      </c>
      <c r="W441" s="43">
        <v>100878211</v>
      </c>
      <c r="X441" s="43">
        <v>0</v>
      </c>
      <c r="Y441" s="43">
        <v>217200000</v>
      </c>
      <c r="Z441" s="32">
        <f t="shared" ref="Z441:Z442" si="168">R441/L441</f>
        <v>0.68285092310205431</v>
      </c>
    </row>
    <row r="442" spans="1:26" ht="18.75" customHeight="1" x14ac:dyDescent="0.2">
      <c r="A442" s="4" t="s">
        <v>55</v>
      </c>
      <c r="B442" s="4" t="s">
        <v>56</v>
      </c>
      <c r="C442" s="41" t="s">
        <v>426</v>
      </c>
      <c r="D442" s="42" t="s">
        <v>427</v>
      </c>
      <c r="E442" s="43" t="s">
        <v>428</v>
      </c>
      <c r="F442" s="43">
        <v>12674978.119999999</v>
      </c>
      <c r="G442" s="44">
        <v>0</v>
      </c>
      <c r="H442" s="44">
        <v>0</v>
      </c>
      <c r="I442" s="44">
        <v>0</v>
      </c>
      <c r="J442" s="44">
        <v>0</v>
      </c>
      <c r="K442" s="44">
        <v>0</v>
      </c>
      <c r="L442" s="43">
        <v>12674978.119999999</v>
      </c>
      <c r="M442" s="44">
        <v>0</v>
      </c>
      <c r="N442" s="43">
        <v>0</v>
      </c>
      <c r="O442" s="43">
        <v>0</v>
      </c>
      <c r="P442" s="43">
        <v>0</v>
      </c>
      <c r="Q442" s="43">
        <v>0</v>
      </c>
      <c r="R442" s="43">
        <v>0</v>
      </c>
      <c r="S442" s="44">
        <v>0</v>
      </c>
      <c r="T442" s="44">
        <v>0</v>
      </c>
      <c r="U442" s="44">
        <v>0</v>
      </c>
      <c r="V442" s="40">
        <f t="shared" si="157"/>
        <v>0</v>
      </c>
      <c r="W442" s="43">
        <v>12674978.119999999</v>
      </c>
      <c r="X442" s="43">
        <v>0</v>
      </c>
      <c r="Y442" s="43">
        <v>0</v>
      </c>
      <c r="Z442" s="32">
        <f t="shared" si="168"/>
        <v>0</v>
      </c>
    </row>
    <row r="443" spans="1:26" ht="18.75" customHeight="1" x14ac:dyDescent="0.2">
      <c r="C443" s="16"/>
      <c r="D443" s="17"/>
      <c r="E443" s="17"/>
      <c r="F443" s="18"/>
      <c r="G443" s="34"/>
      <c r="H443" s="34"/>
      <c r="I443" s="34"/>
      <c r="J443" s="34"/>
      <c r="K443" s="34"/>
      <c r="L443" s="18"/>
      <c r="M443" s="34"/>
      <c r="N443" s="18"/>
      <c r="O443" s="18"/>
      <c r="P443" s="18"/>
      <c r="Q443" s="18"/>
      <c r="R443" s="18"/>
      <c r="S443" s="18"/>
      <c r="T443" s="18"/>
      <c r="U443" s="18"/>
      <c r="V443" s="40"/>
      <c r="W443" s="18"/>
      <c r="X443" s="18"/>
      <c r="Y443" s="18"/>
      <c r="Z443" s="18"/>
    </row>
    <row r="444" spans="1:26" ht="18.75" customHeight="1" x14ac:dyDescent="0.2">
      <c r="C444" s="16"/>
      <c r="D444" s="29" t="s">
        <v>429</v>
      </c>
      <c r="E444" s="17"/>
      <c r="F444" s="18"/>
      <c r="G444" s="34"/>
      <c r="H444" s="34"/>
      <c r="I444" s="34"/>
      <c r="J444" s="34"/>
      <c r="K444" s="34"/>
      <c r="L444" s="18"/>
      <c r="M444" s="34"/>
      <c r="N444" s="18"/>
      <c r="O444" s="18"/>
      <c r="P444" s="18"/>
      <c r="Q444" s="18"/>
      <c r="R444" s="18"/>
      <c r="S444" s="18"/>
      <c r="T444" s="18"/>
      <c r="U444" s="18"/>
      <c r="V444" s="40"/>
      <c r="W444" s="18"/>
      <c r="X444" s="18"/>
      <c r="Y444" s="18"/>
      <c r="Z444" s="18"/>
    </row>
    <row r="445" spans="1:26" ht="18.75" customHeight="1" x14ac:dyDescent="0.2">
      <c r="C445" s="16"/>
      <c r="D445" s="29" t="s">
        <v>286</v>
      </c>
      <c r="E445" s="17"/>
      <c r="F445" s="18"/>
      <c r="G445" s="34"/>
      <c r="H445" s="34"/>
      <c r="I445" s="34"/>
      <c r="J445" s="34"/>
      <c r="K445" s="34"/>
      <c r="L445" s="18"/>
      <c r="M445" s="34"/>
      <c r="N445" s="18"/>
      <c r="O445" s="18"/>
      <c r="P445" s="18"/>
      <c r="Q445" s="18"/>
      <c r="R445" s="18"/>
      <c r="S445" s="18"/>
      <c r="T445" s="18"/>
      <c r="U445" s="18"/>
      <c r="V445" s="40"/>
      <c r="W445" s="18"/>
      <c r="X445" s="18"/>
      <c r="Y445" s="18"/>
      <c r="Z445" s="18"/>
    </row>
    <row r="446" spans="1:26" ht="18.75" customHeight="1" x14ac:dyDescent="0.2">
      <c r="C446" s="16"/>
      <c r="D446" s="29" t="s">
        <v>179</v>
      </c>
      <c r="E446" s="17"/>
      <c r="F446" s="18"/>
      <c r="G446" s="34"/>
      <c r="H446" s="34"/>
      <c r="I446" s="34"/>
      <c r="J446" s="34"/>
      <c r="K446" s="34"/>
      <c r="L446" s="18"/>
      <c r="M446" s="34"/>
      <c r="N446" s="18"/>
      <c r="O446" s="18"/>
      <c r="P446" s="18"/>
      <c r="Q446" s="18"/>
      <c r="R446" s="18"/>
      <c r="S446" s="18"/>
      <c r="T446" s="18"/>
      <c r="U446" s="18"/>
      <c r="V446" s="40"/>
      <c r="W446" s="18"/>
      <c r="X446" s="18"/>
      <c r="Y446" s="18"/>
      <c r="Z446" s="18"/>
    </row>
    <row r="447" spans="1:26" ht="18.75" customHeight="1" x14ac:dyDescent="0.2">
      <c r="C447" s="16"/>
      <c r="D447" s="29" t="s">
        <v>189</v>
      </c>
      <c r="E447" s="17"/>
      <c r="F447" s="18"/>
      <c r="G447" s="34"/>
      <c r="H447" s="34"/>
      <c r="I447" s="34"/>
      <c r="J447" s="34"/>
      <c r="K447" s="34"/>
      <c r="L447" s="18"/>
      <c r="M447" s="34"/>
      <c r="N447" s="18"/>
      <c r="O447" s="18"/>
      <c r="P447" s="18"/>
      <c r="Q447" s="18"/>
      <c r="R447" s="18"/>
      <c r="S447" s="18"/>
      <c r="T447" s="18"/>
      <c r="U447" s="18"/>
      <c r="V447" s="40"/>
      <c r="W447" s="18"/>
      <c r="X447" s="18"/>
      <c r="Y447" s="18"/>
      <c r="Z447" s="18"/>
    </row>
    <row r="448" spans="1:26" ht="18.75" customHeight="1" x14ac:dyDescent="0.2">
      <c r="C448" s="16"/>
      <c r="D448" s="29" t="s">
        <v>199</v>
      </c>
      <c r="E448" s="17"/>
      <c r="F448" s="18"/>
      <c r="G448" s="34"/>
      <c r="H448" s="34"/>
      <c r="I448" s="34"/>
      <c r="J448" s="34"/>
      <c r="K448" s="34"/>
      <c r="L448" s="18"/>
      <c r="M448" s="34"/>
      <c r="N448" s="18"/>
      <c r="O448" s="18"/>
      <c r="P448" s="18"/>
      <c r="Q448" s="18"/>
      <c r="R448" s="18"/>
      <c r="S448" s="18"/>
      <c r="T448" s="18"/>
      <c r="U448" s="18"/>
      <c r="V448" s="40"/>
      <c r="W448" s="18"/>
      <c r="X448" s="18"/>
      <c r="Y448" s="18"/>
      <c r="Z448" s="18"/>
    </row>
    <row r="449" spans="1:26" ht="25.5" x14ac:dyDescent="0.2">
      <c r="C449" s="28" t="s">
        <v>288</v>
      </c>
      <c r="D449" s="29" t="s">
        <v>418</v>
      </c>
      <c r="E449" s="17"/>
      <c r="F449" s="18"/>
      <c r="G449" s="34"/>
      <c r="H449" s="34"/>
      <c r="I449" s="34"/>
      <c r="J449" s="34"/>
      <c r="K449" s="34"/>
      <c r="L449" s="18"/>
      <c r="M449" s="34"/>
      <c r="N449" s="18"/>
      <c r="O449" s="18"/>
      <c r="P449" s="18"/>
      <c r="Q449" s="18"/>
      <c r="R449" s="18"/>
      <c r="S449" s="18"/>
      <c r="T449" s="18"/>
      <c r="U449" s="18"/>
      <c r="V449" s="40"/>
      <c r="W449" s="18"/>
      <c r="X449" s="18"/>
      <c r="Y449" s="18"/>
      <c r="Z449" s="18"/>
    </row>
    <row r="450" spans="1:26" ht="18.75" customHeight="1" x14ac:dyDescent="0.2">
      <c r="A450" s="4" t="s">
        <v>55</v>
      </c>
      <c r="B450" s="4" t="s">
        <v>56</v>
      </c>
      <c r="C450" s="41" t="s">
        <v>419</v>
      </c>
      <c r="D450" s="42" t="s">
        <v>233</v>
      </c>
      <c r="E450" s="43" t="s">
        <v>58</v>
      </c>
      <c r="F450" s="43">
        <v>2364833525</v>
      </c>
      <c r="G450" s="44">
        <v>0</v>
      </c>
      <c r="H450" s="44">
        <v>0</v>
      </c>
      <c r="I450" s="44">
        <v>0</v>
      </c>
      <c r="J450" s="44">
        <v>0</v>
      </c>
      <c r="K450" s="44">
        <v>0</v>
      </c>
      <c r="L450" s="43">
        <v>2364833525</v>
      </c>
      <c r="M450" s="44">
        <v>0</v>
      </c>
      <c r="N450" s="43">
        <v>1156935744</v>
      </c>
      <c r="O450" s="43">
        <v>1156935744</v>
      </c>
      <c r="P450" s="44">
        <v>0</v>
      </c>
      <c r="Q450" s="43">
        <v>1156935744</v>
      </c>
      <c r="R450" s="43">
        <v>1156935744</v>
      </c>
      <c r="S450" s="44">
        <v>0</v>
      </c>
      <c r="T450" s="44">
        <v>0</v>
      </c>
      <c r="U450" s="44">
        <v>0</v>
      </c>
      <c r="V450" s="40">
        <f t="shared" si="157"/>
        <v>0</v>
      </c>
      <c r="W450" s="43">
        <v>1207897781</v>
      </c>
      <c r="X450" s="44">
        <v>0</v>
      </c>
      <c r="Y450" s="43">
        <v>1156935744</v>
      </c>
      <c r="Z450" s="32">
        <f t="shared" ref="Z450:Z453" si="169">R450/L450</f>
        <v>0.48922502652697297</v>
      </c>
    </row>
    <row r="451" spans="1:26" ht="18.75" customHeight="1" x14ac:dyDescent="0.2">
      <c r="A451" s="4" t="s">
        <v>55</v>
      </c>
      <c r="B451" s="4" t="s">
        <v>56</v>
      </c>
      <c r="C451" s="41" t="s">
        <v>430</v>
      </c>
      <c r="D451" s="42" t="s">
        <v>431</v>
      </c>
      <c r="E451" s="43" t="s">
        <v>432</v>
      </c>
      <c r="F451" s="43">
        <v>1269842288</v>
      </c>
      <c r="G451" s="44">
        <v>0</v>
      </c>
      <c r="H451" s="44">
        <v>0</v>
      </c>
      <c r="I451" s="44">
        <v>0</v>
      </c>
      <c r="J451" s="44">
        <v>0</v>
      </c>
      <c r="K451" s="44">
        <v>0</v>
      </c>
      <c r="L451" s="43">
        <v>1269842288</v>
      </c>
      <c r="M451" s="44">
        <v>0</v>
      </c>
      <c r="N451" s="43">
        <v>1269842288</v>
      </c>
      <c r="O451" s="43">
        <v>1269842288</v>
      </c>
      <c r="P451" s="44">
        <v>0</v>
      </c>
      <c r="Q451" s="43">
        <v>1269842288</v>
      </c>
      <c r="R451" s="43">
        <v>1269842288</v>
      </c>
      <c r="S451" s="44">
        <v>0</v>
      </c>
      <c r="T451" s="44">
        <v>0</v>
      </c>
      <c r="U451" s="44">
        <v>0</v>
      </c>
      <c r="V451" s="40">
        <f t="shared" si="157"/>
        <v>0</v>
      </c>
      <c r="W451" s="43">
        <v>0</v>
      </c>
      <c r="X451" s="44">
        <v>0</v>
      </c>
      <c r="Y451" s="43">
        <v>1269842288</v>
      </c>
      <c r="Z451" s="32">
        <f t="shared" si="169"/>
        <v>1</v>
      </c>
    </row>
    <row r="452" spans="1:26" ht="18.75" customHeight="1" x14ac:dyDescent="0.2">
      <c r="A452" s="4" t="s">
        <v>55</v>
      </c>
      <c r="B452" s="4" t="s">
        <v>56</v>
      </c>
      <c r="C452" s="41" t="s">
        <v>433</v>
      </c>
      <c r="D452" s="42" t="s">
        <v>434</v>
      </c>
      <c r="E452" s="43" t="s">
        <v>428</v>
      </c>
      <c r="F452" s="43">
        <v>1185147617</v>
      </c>
      <c r="G452" s="44">
        <v>0</v>
      </c>
      <c r="H452" s="44">
        <v>0</v>
      </c>
      <c r="I452" s="44">
        <v>0</v>
      </c>
      <c r="J452" s="44">
        <v>0</v>
      </c>
      <c r="K452" s="44">
        <v>0</v>
      </c>
      <c r="L452" s="43">
        <v>1185147617</v>
      </c>
      <c r="M452" s="44">
        <v>0</v>
      </c>
      <c r="N452" s="43">
        <v>0</v>
      </c>
      <c r="O452" s="43">
        <v>0</v>
      </c>
      <c r="P452" s="44">
        <v>0</v>
      </c>
      <c r="Q452" s="43">
        <v>0</v>
      </c>
      <c r="R452" s="43">
        <v>0</v>
      </c>
      <c r="S452" s="44">
        <v>0</v>
      </c>
      <c r="T452" s="44">
        <v>0</v>
      </c>
      <c r="U452" s="44">
        <v>0</v>
      </c>
      <c r="V452" s="31">
        <f t="shared" si="157"/>
        <v>0</v>
      </c>
      <c r="W452" s="43">
        <v>1185147617</v>
      </c>
      <c r="X452" s="44">
        <v>0</v>
      </c>
      <c r="Y452" s="43">
        <v>0</v>
      </c>
      <c r="Z452" s="32">
        <f t="shared" si="169"/>
        <v>0</v>
      </c>
    </row>
    <row r="453" spans="1:26" s="50" customFormat="1" ht="18.75" customHeight="1" x14ac:dyDescent="0.2">
      <c r="A453" s="45"/>
      <c r="B453" s="45"/>
      <c r="C453" s="46"/>
      <c r="D453" s="47" t="s">
        <v>435</v>
      </c>
      <c r="E453" s="48"/>
      <c r="F453" s="48">
        <f>SUM(F226:F452)</f>
        <v>301961738926</v>
      </c>
      <c r="G453" s="49">
        <f t="shared" ref="G453:Y453" si="170">SUM(G226:G452)</f>
        <v>0</v>
      </c>
      <c r="H453" s="49">
        <f t="shared" si="170"/>
        <v>0</v>
      </c>
      <c r="I453" s="49">
        <f t="shared" si="170"/>
        <v>0</v>
      </c>
      <c r="J453" s="49">
        <f t="shared" si="170"/>
        <v>0</v>
      </c>
      <c r="K453" s="49">
        <f t="shared" si="170"/>
        <v>0</v>
      </c>
      <c r="L453" s="48">
        <f t="shared" si="170"/>
        <v>301961738926</v>
      </c>
      <c r="M453" s="48">
        <f t="shared" si="170"/>
        <v>140000000</v>
      </c>
      <c r="N453" s="48">
        <f t="shared" si="170"/>
        <v>60508816396.699997</v>
      </c>
      <c r="O453" s="48">
        <f t="shared" si="170"/>
        <v>60508816396.699997</v>
      </c>
      <c r="P453" s="48">
        <f t="shared" si="170"/>
        <v>54400000</v>
      </c>
      <c r="Q453" s="48">
        <f t="shared" si="170"/>
        <v>59092456023.82</v>
      </c>
      <c r="R453" s="48">
        <f t="shared" si="170"/>
        <v>59092456023.82</v>
      </c>
      <c r="S453" s="48">
        <f t="shared" si="170"/>
        <v>1092771</v>
      </c>
      <c r="T453" s="48">
        <f t="shared" si="170"/>
        <v>10862435248</v>
      </c>
      <c r="U453" s="48">
        <f t="shared" si="170"/>
        <v>10862435248</v>
      </c>
      <c r="V453" s="22">
        <f>S453+U453</f>
        <v>10863528019</v>
      </c>
      <c r="W453" s="48">
        <f t="shared" si="170"/>
        <v>241452922529.29999</v>
      </c>
      <c r="X453" s="48">
        <f t="shared" si="170"/>
        <v>1416360372.8800001</v>
      </c>
      <c r="Y453" s="48">
        <f t="shared" si="170"/>
        <v>48228928004.82</v>
      </c>
      <c r="Z453" s="24">
        <f t="shared" si="169"/>
        <v>0.19569517725655117</v>
      </c>
    </row>
    <row r="454" spans="1:26" ht="18.75" customHeight="1" x14ac:dyDescent="0.2">
      <c r="C454" s="16"/>
      <c r="D454" s="17"/>
      <c r="E454" s="17"/>
      <c r="F454" s="18"/>
      <c r="G454" s="34"/>
      <c r="H454" s="34"/>
      <c r="I454" s="34"/>
      <c r="J454" s="34"/>
      <c r="K454" s="34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s="25" customFormat="1" ht="18.75" customHeight="1" x14ac:dyDescent="0.2">
      <c r="B455" s="71"/>
      <c r="C455" s="66"/>
      <c r="D455" s="21" t="s">
        <v>436</v>
      </c>
      <c r="E455" s="67"/>
      <c r="F455" s="63"/>
      <c r="G455" s="72"/>
      <c r="H455" s="72"/>
      <c r="I455" s="72"/>
      <c r="J455" s="72"/>
      <c r="K455" s="72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8.75" customHeight="1" x14ac:dyDescent="0.2">
      <c r="C456" s="16"/>
      <c r="D456" s="29" t="s">
        <v>38</v>
      </c>
      <c r="E456" s="17"/>
      <c r="F456" s="18"/>
      <c r="G456" s="34"/>
      <c r="H456" s="34"/>
      <c r="I456" s="34"/>
      <c r="J456" s="34"/>
      <c r="K456" s="34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8.75" customHeight="1" x14ac:dyDescent="0.2">
      <c r="C457" s="16"/>
      <c r="D457" s="29" t="s">
        <v>285</v>
      </c>
      <c r="E457" s="17"/>
      <c r="F457" s="18"/>
      <c r="G457" s="34"/>
      <c r="H457" s="34"/>
      <c r="I457" s="34"/>
      <c r="J457" s="34"/>
      <c r="K457" s="34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8.75" customHeight="1" x14ac:dyDescent="0.2">
      <c r="C458" s="16"/>
      <c r="D458" s="29" t="s">
        <v>286</v>
      </c>
      <c r="E458" s="17"/>
      <c r="F458" s="18"/>
      <c r="G458" s="34"/>
      <c r="H458" s="34"/>
      <c r="I458" s="34"/>
      <c r="J458" s="34"/>
      <c r="K458" s="34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8.75" customHeight="1" x14ac:dyDescent="0.2">
      <c r="C459" s="16"/>
      <c r="D459" s="29" t="s">
        <v>179</v>
      </c>
      <c r="E459" s="17"/>
      <c r="F459" s="18"/>
      <c r="G459" s="34"/>
      <c r="H459" s="34"/>
      <c r="I459" s="34"/>
      <c r="J459" s="34"/>
      <c r="K459" s="34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8.75" customHeight="1" x14ac:dyDescent="0.2">
      <c r="C460" s="16"/>
      <c r="D460" s="29" t="s">
        <v>181</v>
      </c>
      <c r="E460" s="17"/>
      <c r="F460" s="18"/>
      <c r="G460" s="34"/>
      <c r="H460" s="34"/>
      <c r="I460" s="34"/>
      <c r="J460" s="34"/>
      <c r="K460" s="34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25.5" x14ac:dyDescent="0.2">
      <c r="C461" s="16"/>
      <c r="D461" s="29" t="s">
        <v>437</v>
      </c>
      <c r="E461" s="17"/>
      <c r="F461" s="18"/>
      <c r="G461" s="34"/>
      <c r="H461" s="34"/>
      <c r="I461" s="34"/>
      <c r="J461" s="34"/>
      <c r="K461" s="34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8.75" customHeight="1" x14ac:dyDescent="0.2">
      <c r="A462" s="4" t="s">
        <v>55</v>
      </c>
      <c r="B462" s="4" t="s">
        <v>56</v>
      </c>
      <c r="C462" s="41" t="s">
        <v>438</v>
      </c>
      <c r="D462" s="42" t="s">
        <v>439</v>
      </c>
      <c r="E462" s="43" t="s">
        <v>428</v>
      </c>
      <c r="F462" s="43">
        <v>43946996</v>
      </c>
      <c r="G462" s="44">
        <v>0</v>
      </c>
      <c r="H462" s="44">
        <v>0</v>
      </c>
      <c r="I462" s="44">
        <v>0</v>
      </c>
      <c r="J462" s="44">
        <v>0</v>
      </c>
      <c r="K462" s="44">
        <v>0</v>
      </c>
      <c r="L462" s="43">
        <v>43946996</v>
      </c>
      <c r="M462" s="44">
        <v>0</v>
      </c>
      <c r="N462" s="44">
        <v>0</v>
      </c>
      <c r="O462" s="44">
        <v>0</v>
      </c>
      <c r="P462" s="44">
        <v>0</v>
      </c>
      <c r="Q462" s="44">
        <v>0</v>
      </c>
      <c r="R462" s="44">
        <v>0</v>
      </c>
      <c r="S462" s="44">
        <v>0</v>
      </c>
      <c r="T462" s="44">
        <v>0</v>
      </c>
      <c r="U462" s="44">
        <v>0</v>
      </c>
      <c r="V462" s="40">
        <f t="shared" ref="V462:V525" si="171">S462+U462</f>
        <v>0</v>
      </c>
      <c r="W462" s="43">
        <v>43946996</v>
      </c>
      <c r="X462" s="43">
        <v>0</v>
      </c>
      <c r="Y462" s="43">
        <v>0</v>
      </c>
      <c r="Z462" s="32">
        <f t="shared" ref="Z462" si="172">R462/L462</f>
        <v>0</v>
      </c>
    </row>
    <row r="463" spans="1:26" ht="43.5" customHeight="1" x14ac:dyDescent="0.2">
      <c r="C463" s="28" t="s">
        <v>288</v>
      </c>
      <c r="D463" s="29" t="s">
        <v>440</v>
      </c>
      <c r="E463" s="17"/>
      <c r="F463" s="18"/>
      <c r="G463" s="34"/>
      <c r="H463" s="34"/>
      <c r="I463" s="34"/>
      <c r="J463" s="34"/>
      <c r="K463" s="34"/>
      <c r="L463" s="18"/>
      <c r="M463" s="34"/>
      <c r="N463" s="34"/>
      <c r="O463" s="34"/>
      <c r="P463" s="34"/>
      <c r="Q463" s="34"/>
      <c r="R463" s="34"/>
      <c r="S463" s="34"/>
      <c r="T463" s="34"/>
      <c r="U463" s="34"/>
      <c r="V463" s="40">
        <f t="shared" si="171"/>
        <v>0</v>
      </c>
      <c r="W463" s="18"/>
      <c r="X463" s="18"/>
      <c r="Y463" s="18"/>
      <c r="Z463" s="18"/>
    </row>
    <row r="464" spans="1:26" ht="18.75" customHeight="1" x14ac:dyDescent="0.2">
      <c r="A464" s="4" t="s">
        <v>55</v>
      </c>
      <c r="B464" s="4" t="s">
        <v>56</v>
      </c>
      <c r="C464" s="41" t="s">
        <v>441</v>
      </c>
      <c r="D464" s="42" t="s">
        <v>439</v>
      </c>
      <c r="E464" s="43" t="s">
        <v>428</v>
      </c>
      <c r="F464" s="43">
        <v>3500000</v>
      </c>
      <c r="G464" s="44">
        <v>0</v>
      </c>
      <c r="H464" s="44">
        <v>0</v>
      </c>
      <c r="I464" s="44">
        <v>0</v>
      </c>
      <c r="J464" s="44">
        <v>0</v>
      </c>
      <c r="K464" s="44">
        <v>0</v>
      </c>
      <c r="L464" s="43">
        <v>3500000</v>
      </c>
      <c r="M464" s="44">
        <v>0</v>
      </c>
      <c r="N464" s="44">
        <v>0</v>
      </c>
      <c r="O464" s="44">
        <v>0</v>
      </c>
      <c r="P464" s="44">
        <v>0</v>
      </c>
      <c r="Q464" s="44">
        <v>0</v>
      </c>
      <c r="R464" s="44">
        <v>0</v>
      </c>
      <c r="S464" s="44">
        <v>0</v>
      </c>
      <c r="T464" s="44">
        <v>0</v>
      </c>
      <c r="U464" s="44">
        <v>0</v>
      </c>
      <c r="V464" s="40">
        <f t="shared" si="171"/>
        <v>0</v>
      </c>
      <c r="W464" s="43">
        <v>3500000</v>
      </c>
      <c r="X464" s="44">
        <v>0</v>
      </c>
      <c r="Y464" s="43">
        <v>0</v>
      </c>
      <c r="Z464" s="32">
        <f t="shared" ref="Z464" si="173">R464/L464</f>
        <v>0</v>
      </c>
    </row>
    <row r="465" spans="1:26" ht="18.75" customHeight="1" x14ac:dyDescent="0.2">
      <c r="A465" s="4"/>
      <c r="B465" s="4"/>
      <c r="C465" s="73" t="s">
        <v>288</v>
      </c>
      <c r="D465" s="74" t="s">
        <v>291</v>
      </c>
      <c r="E465" s="43"/>
      <c r="F465" s="43"/>
      <c r="G465" s="44"/>
      <c r="H465" s="44"/>
      <c r="I465" s="44"/>
      <c r="J465" s="44"/>
      <c r="K465" s="44"/>
      <c r="L465" s="43"/>
      <c r="M465" s="43"/>
      <c r="N465" s="43"/>
      <c r="O465" s="43"/>
      <c r="P465" s="43"/>
      <c r="Q465" s="43"/>
      <c r="R465" s="43"/>
      <c r="S465" s="44"/>
      <c r="T465" s="44"/>
      <c r="U465" s="44"/>
      <c r="V465" s="40"/>
      <c r="W465" s="43"/>
      <c r="X465" s="44"/>
      <c r="Y465" s="43"/>
      <c r="Z465" s="43"/>
    </row>
    <row r="466" spans="1:26" ht="18.75" customHeight="1" x14ac:dyDescent="0.2">
      <c r="A466" s="4" t="s">
        <v>55</v>
      </c>
      <c r="B466" s="4" t="s">
        <v>56</v>
      </c>
      <c r="C466" s="41" t="s">
        <v>442</v>
      </c>
      <c r="D466" s="42" t="s">
        <v>439</v>
      </c>
      <c r="E466" s="43" t="s">
        <v>428</v>
      </c>
      <c r="F466" s="43">
        <v>105900000</v>
      </c>
      <c r="G466" s="44">
        <v>0</v>
      </c>
      <c r="H466" s="44">
        <v>0</v>
      </c>
      <c r="I466" s="44">
        <v>0</v>
      </c>
      <c r="J466" s="44">
        <v>0</v>
      </c>
      <c r="K466" s="44">
        <v>0</v>
      </c>
      <c r="L466" s="43">
        <v>105900000</v>
      </c>
      <c r="M466" s="43">
        <v>0</v>
      </c>
      <c r="N466" s="43">
        <v>0</v>
      </c>
      <c r="O466" s="43">
        <v>0</v>
      </c>
      <c r="P466" s="43">
        <v>0</v>
      </c>
      <c r="Q466" s="43">
        <v>0</v>
      </c>
      <c r="R466" s="43">
        <v>0</v>
      </c>
      <c r="S466" s="44">
        <v>0</v>
      </c>
      <c r="T466" s="44">
        <v>0</v>
      </c>
      <c r="U466" s="44">
        <v>0</v>
      </c>
      <c r="V466" s="40">
        <f t="shared" si="171"/>
        <v>0</v>
      </c>
      <c r="W466" s="43">
        <v>105900000</v>
      </c>
      <c r="X466" s="44">
        <v>0</v>
      </c>
      <c r="Y466" s="43">
        <v>0</v>
      </c>
      <c r="Z466" s="32">
        <f t="shared" ref="Z466" si="174">R466/L466</f>
        <v>0</v>
      </c>
    </row>
    <row r="467" spans="1:26" ht="18.75" customHeight="1" x14ac:dyDescent="0.2">
      <c r="C467" s="16"/>
      <c r="D467" s="29" t="s">
        <v>189</v>
      </c>
      <c r="E467" s="17"/>
      <c r="F467" s="18"/>
      <c r="G467" s="34"/>
      <c r="H467" s="34"/>
      <c r="I467" s="34"/>
      <c r="J467" s="34"/>
      <c r="K467" s="34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39"/>
      <c r="W467" s="18"/>
      <c r="X467" s="34"/>
      <c r="Y467" s="18"/>
      <c r="Z467" s="18"/>
    </row>
    <row r="468" spans="1:26" ht="18.75" customHeight="1" x14ac:dyDescent="0.2">
      <c r="C468" s="16"/>
      <c r="D468" s="29" t="s">
        <v>191</v>
      </c>
      <c r="E468" s="17"/>
      <c r="F468" s="18"/>
      <c r="G468" s="34"/>
      <c r="H468" s="34"/>
      <c r="I468" s="34"/>
      <c r="J468" s="34"/>
      <c r="K468" s="34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39"/>
      <c r="W468" s="18"/>
      <c r="X468" s="34"/>
      <c r="Y468" s="18"/>
      <c r="Z468" s="18"/>
    </row>
    <row r="469" spans="1:26" ht="18.75" customHeight="1" x14ac:dyDescent="0.2">
      <c r="C469" s="28" t="s">
        <v>288</v>
      </c>
      <c r="D469" s="29" t="s">
        <v>443</v>
      </c>
      <c r="E469" s="17"/>
      <c r="F469" s="18"/>
      <c r="G469" s="34"/>
      <c r="H469" s="34"/>
      <c r="I469" s="34"/>
      <c r="J469" s="34"/>
      <c r="K469" s="34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39"/>
      <c r="W469" s="18"/>
      <c r="X469" s="34"/>
      <c r="Y469" s="18"/>
      <c r="Z469" s="18"/>
    </row>
    <row r="470" spans="1:26" ht="18.75" customHeight="1" x14ac:dyDescent="0.2">
      <c r="A470" s="4" t="s">
        <v>55</v>
      </c>
      <c r="B470" s="4" t="s">
        <v>56</v>
      </c>
      <c r="C470" s="41" t="s">
        <v>444</v>
      </c>
      <c r="D470" s="42" t="s">
        <v>233</v>
      </c>
      <c r="E470" s="43" t="s">
        <v>58</v>
      </c>
      <c r="F470" s="43">
        <v>530557116</v>
      </c>
      <c r="G470" s="44">
        <v>0</v>
      </c>
      <c r="H470" s="44">
        <v>0</v>
      </c>
      <c r="I470" s="44">
        <v>0</v>
      </c>
      <c r="J470" s="44">
        <v>0</v>
      </c>
      <c r="K470" s="44">
        <v>0</v>
      </c>
      <c r="L470" s="43">
        <v>530557116</v>
      </c>
      <c r="M470" s="44">
        <v>0</v>
      </c>
      <c r="N470" s="44">
        <v>0</v>
      </c>
      <c r="O470" s="44">
        <v>0</v>
      </c>
      <c r="P470" s="44">
        <v>0</v>
      </c>
      <c r="Q470" s="44">
        <v>0</v>
      </c>
      <c r="R470" s="44">
        <v>0</v>
      </c>
      <c r="S470" s="44">
        <v>0</v>
      </c>
      <c r="T470" s="44">
        <v>0</v>
      </c>
      <c r="U470" s="44">
        <v>0</v>
      </c>
      <c r="V470" s="40">
        <f t="shared" si="171"/>
        <v>0</v>
      </c>
      <c r="W470" s="43">
        <v>530557116</v>
      </c>
      <c r="X470" s="44">
        <v>0</v>
      </c>
      <c r="Y470" s="43">
        <v>0</v>
      </c>
      <c r="Z470" s="32">
        <f t="shared" ref="Z470" si="175">R470/L470</f>
        <v>0</v>
      </c>
    </row>
    <row r="471" spans="1:26" ht="18.75" customHeight="1" x14ac:dyDescent="0.2">
      <c r="C471" s="28" t="s">
        <v>288</v>
      </c>
      <c r="D471" s="29" t="s">
        <v>445</v>
      </c>
      <c r="E471" s="17"/>
      <c r="F471" s="18"/>
      <c r="G471" s="18"/>
      <c r="H471" s="18"/>
      <c r="I471" s="18"/>
      <c r="J471" s="18"/>
      <c r="K471" s="18"/>
      <c r="L471" s="18"/>
      <c r="M471" s="34"/>
      <c r="N471" s="34"/>
      <c r="O471" s="34"/>
      <c r="P471" s="34"/>
      <c r="Q471" s="34"/>
      <c r="R471" s="34"/>
      <c r="S471" s="34"/>
      <c r="T471" s="34"/>
      <c r="U471" s="34"/>
      <c r="V471" s="40">
        <f t="shared" si="171"/>
        <v>0</v>
      </c>
      <c r="W471" s="18"/>
      <c r="X471" s="34"/>
      <c r="Y471" s="18"/>
      <c r="Z471" s="18"/>
    </row>
    <row r="472" spans="1:26" ht="18.75" customHeight="1" x14ac:dyDescent="0.2">
      <c r="A472" s="4" t="s">
        <v>55</v>
      </c>
      <c r="B472" s="4" t="s">
        <v>56</v>
      </c>
      <c r="C472" s="41" t="s">
        <v>446</v>
      </c>
      <c r="D472" s="42" t="s">
        <v>233</v>
      </c>
      <c r="E472" s="43" t="s">
        <v>58</v>
      </c>
      <c r="F472" s="43">
        <v>1315360000</v>
      </c>
      <c r="G472" s="44">
        <v>0</v>
      </c>
      <c r="H472" s="44">
        <v>0</v>
      </c>
      <c r="I472" s="43">
        <v>24165016</v>
      </c>
      <c r="J472" s="75">
        <v>0</v>
      </c>
      <c r="K472" s="43">
        <v>24165016</v>
      </c>
      <c r="L472" s="43">
        <v>1339525016</v>
      </c>
      <c r="M472" s="44">
        <v>0</v>
      </c>
      <c r="N472" s="44">
        <v>0</v>
      </c>
      <c r="O472" s="44">
        <v>0</v>
      </c>
      <c r="P472" s="44">
        <v>0</v>
      </c>
      <c r="Q472" s="44">
        <v>0</v>
      </c>
      <c r="R472" s="44">
        <v>0</v>
      </c>
      <c r="S472" s="44">
        <v>0</v>
      </c>
      <c r="T472" s="44">
        <v>0</v>
      </c>
      <c r="U472" s="44">
        <v>0</v>
      </c>
      <c r="V472" s="40">
        <f t="shared" si="171"/>
        <v>0</v>
      </c>
      <c r="W472" s="43">
        <v>1339525016</v>
      </c>
      <c r="X472" s="44">
        <v>0</v>
      </c>
      <c r="Y472" s="43">
        <v>0</v>
      </c>
      <c r="Z472" s="32">
        <f t="shared" ref="Z472" si="176">R472/L472</f>
        <v>0</v>
      </c>
    </row>
    <row r="473" spans="1:26" ht="18.75" customHeight="1" x14ac:dyDescent="0.2">
      <c r="C473" s="28" t="s">
        <v>288</v>
      </c>
      <c r="D473" s="29" t="s">
        <v>447</v>
      </c>
      <c r="E473" s="17"/>
      <c r="F473" s="18"/>
      <c r="G473" s="34"/>
      <c r="H473" s="34"/>
      <c r="I473" s="18"/>
      <c r="J473" s="76"/>
      <c r="K473" s="18"/>
      <c r="L473" s="18"/>
      <c r="M473" s="34"/>
      <c r="N473" s="34"/>
      <c r="O473" s="34"/>
      <c r="P473" s="34"/>
      <c r="Q473" s="34"/>
      <c r="R473" s="34"/>
      <c r="S473" s="34"/>
      <c r="T473" s="34"/>
      <c r="U473" s="34"/>
      <c r="V473" s="40">
        <f t="shared" si="171"/>
        <v>0</v>
      </c>
      <c r="W473" s="18"/>
      <c r="X473" s="34"/>
      <c r="Y473" s="18"/>
      <c r="Z473" s="18"/>
    </row>
    <row r="474" spans="1:26" ht="18.75" customHeight="1" x14ac:dyDescent="0.2">
      <c r="A474" s="4" t="s">
        <v>55</v>
      </c>
      <c r="B474" s="4" t="s">
        <v>56</v>
      </c>
      <c r="C474" s="41" t="s">
        <v>448</v>
      </c>
      <c r="D474" s="42" t="s">
        <v>449</v>
      </c>
      <c r="E474" s="43" t="s">
        <v>428</v>
      </c>
      <c r="F474" s="43">
        <v>1568183063</v>
      </c>
      <c r="G474" s="44">
        <v>0</v>
      </c>
      <c r="H474" s="44">
        <v>0</v>
      </c>
      <c r="I474" s="75">
        <v>0</v>
      </c>
      <c r="J474" s="75">
        <v>0</v>
      </c>
      <c r="K474" s="43">
        <v>0</v>
      </c>
      <c r="L474" s="43">
        <v>1568183063</v>
      </c>
      <c r="M474" s="44">
        <v>0</v>
      </c>
      <c r="N474" s="44">
        <v>0</v>
      </c>
      <c r="O474" s="44">
        <v>0</v>
      </c>
      <c r="P474" s="44">
        <v>0</v>
      </c>
      <c r="Q474" s="44">
        <v>0</v>
      </c>
      <c r="R474" s="44">
        <v>0</v>
      </c>
      <c r="S474" s="44">
        <v>0</v>
      </c>
      <c r="T474" s="44">
        <v>0</v>
      </c>
      <c r="U474" s="44">
        <v>0</v>
      </c>
      <c r="V474" s="40">
        <f t="shared" si="171"/>
        <v>0</v>
      </c>
      <c r="W474" s="43">
        <v>1568183063</v>
      </c>
      <c r="X474" s="44">
        <v>0</v>
      </c>
      <c r="Y474" s="43">
        <v>0</v>
      </c>
      <c r="Z474" s="32">
        <f t="shared" ref="Z474:Z476" si="177">R474/L474</f>
        <v>0</v>
      </c>
    </row>
    <row r="475" spans="1:26" ht="18.75" customHeight="1" x14ac:dyDescent="0.2">
      <c r="A475" s="4" t="s">
        <v>55</v>
      </c>
      <c r="B475" s="4" t="s">
        <v>56</v>
      </c>
      <c r="C475" s="41" t="s">
        <v>450</v>
      </c>
      <c r="D475" s="42" t="s">
        <v>451</v>
      </c>
      <c r="E475" s="43" t="s">
        <v>428</v>
      </c>
      <c r="F475" s="43">
        <v>54121641</v>
      </c>
      <c r="G475" s="44">
        <v>0</v>
      </c>
      <c r="H475" s="44">
        <v>0</v>
      </c>
      <c r="I475" s="75">
        <v>0</v>
      </c>
      <c r="J475" s="75">
        <v>0</v>
      </c>
      <c r="K475" s="43">
        <v>0</v>
      </c>
      <c r="L475" s="43">
        <v>54121641</v>
      </c>
      <c r="M475" s="44">
        <v>0</v>
      </c>
      <c r="N475" s="44">
        <v>0</v>
      </c>
      <c r="O475" s="44">
        <v>0</v>
      </c>
      <c r="P475" s="44">
        <v>0</v>
      </c>
      <c r="Q475" s="44">
        <v>0</v>
      </c>
      <c r="R475" s="44">
        <v>0</v>
      </c>
      <c r="S475" s="44">
        <v>0</v>
      </c>
      <c r="T475" s="44">
        <v>0</v>
      </c>
      <c r="U475" s="44">
        <v>0</v>
      </c>
      <c r="V475" s="40">
        <f t="shared" si="171"/>
        <v>0</v>
      </c>
      <c r="W475" s="43">
        <v>54121641</v>
      </c>
      <c r="X475" s="44">
        <v>0</v>
      </c>
      <c r="Y475" s="43">
        <v>0</v>
      </c>
      <c r="Z475" s="32">
        <f t="shared" si="177"/>
        <v>0</v>
      </c>
    </row>
    <row r="476" spans="1:26" ht="18.75" customHeight="1" x14ac:dyDescent="0.2">
      <c r="A476" s="4" t="s">
        <v>55</v>
      </c>
      <c r="B476" s="4" t="s">
        <v>56</v>
      </c>
      <c r="C476" s="41" t="s">
        <v>452</v>
      </c>
      <c r="D476" s="42" t="s">
        <v>453</v>
      </c>
      <c r="E476" s="43" t="s">
        <v>454</v>
      </c>
      <c r="F476" s="43">
        <v>13500000000</v>
      </c>
      <c r="G476" s="44">
        <v>0</v>
      </c>
      <c r="H476" s="44">
        <v>0</v>
      </c>
      <c r="I476" s="75">
        <v>0</v>
      </c>
      <c r="J476" s="43">
        <v>10658999538</v>
      </c>
      <c r="K476" s="43">
        <v>-10658999538</v>
      </c>
      <c r="L476" s="43">
        <v>2841000462</v>
      </c>
      <c r="M476" s="44">
        <v>0</v>
      </c>
      <c r="N476" s="44">
        <v>0</v>
      </c>
      <c r="O476" s="44">
        <v>0</v>
      </c>
      <c r="P476" s="44">
        <v>0</v>
      </c>
      <c r="Q476" s="44">
        <v>0</v>
      </c>
      <c r="R476" s="44">
        <v>0</v>
      </c>
      <c r="S476" s="44">
        <v>0</v>
      </c>
      <c r="T476" s="44">
        <v>0</v>
      </c>
      <c r="U476" s="44">
        <v>0</v>
      </c>
      <c r="V476" s="40">
        <f t="shared" si="171"/>
        <v>0</v>
      </c>
      <c r="W476" s="43">
        <v>2841000462</v>
      </c>
      <c r="X476" s="44">
        <v>0</v>
      </c>
      <c r="Y476" s="43">
        <v>0</v>
      </c>
      <c r="Z476" s="32">
        <f t="shared" si="177"/>
        <v>0</v>
      </c>
    </row>
    <row r="477" spans="1:26" ht="18.75" customHeight="1" x14ac:dyDescent="0.2">
      <c r="C477" s="28" t="s">
        <v>288</v>
      </c>
      <c r="D477" s="29" t="s">
        <v>455</v>
      </c>
      <c r="E477" s="17"/>
      <c r="F477" s="18"/>
      <c r="G477" s="34"/>
      <c r="H477" s="34"/>
      <c r="I477" s="76"/>
      <c r="J477" s="18"/>
      <c r="K477" s="18"/>
      <c r="L477" s="18"/>
      <c r="M477" s="34"/>
      <c r="N477" s="34"/>
      <c r="O477" s="34"/>
      <c r="P477" s="34"/>
      <c r="Q477" s="34"/>
      <c r="R477" s="34"/>
      <c r="S477" s="34"/>
      <c r="T477" s="34"/>
      <c r="U477" s="34"/>
      <c r="V477" s="40">
        <f t="shared" si="171"/>
        <v>0</v>
      </c>
      <c r="W477" s="18"/>
      <c r="X477" s="34"/>
      <c r="Y477" s="18"/>
      <c r="Z477" s="18"/>
    </row>
    <row r="478" spans="1:26" ht="18.75" customHeight="1" x14ac:dyDescent="0.2">
      <c r="A478" s="4" t="s">
        <v>55</v>
      </c>
      <c r="B478" s="4" t="s">
        <v>56</v>
      </c>
      <c r="C478" s="41" t="s">
        <v>456</v>
      </c>
      <c r="D478" s="42" t="s">
        <v>233</v>
      </c>
      <c r="E478" s="43" t="s">
        <v>58</v>
      </c>
      <c r="F478" s="43">
        <v>1983597115.25</v>
      </c>
      <c r="G478" s="44">
        <v>0</v>
      </c>
      <c r="H478" s="44">
        <v>0</v>
      </c>
      <c r="I478" s="75">
        <v>0</v>
      </c>
      <c r="J478" s="44">
        <v>0</v>
      </c>
      <c r="K478" s="43">
        <v>0</v>
      </c>
      <c r="L478" s="43">
        <v>1983597115.25</v>
      </c>
      <c r="M478" s="44">
        <v>0</v>
      </c>
      <c r="N478" s="44">
        <v>0</v>
      </c>
      <c r="O478" s="44">
        <v>0</v>
      </c>
      <c r="P478" s="44">
        <v>0</v>
      </c>
      <c r="Q478" s="44">
        <v>0</v>
      </c>
      <c r="R478" s="44">
        <v>0</v>
      </c>
      <c r="S478" s="44">
        <v>0</v>
      </c>
      <c r="T478" s="44">
        <v>0</v>
      </c>
      <c r="U478" s="44">
        <v>0</v>
      </c>
      <c r="V478" s="40">
        <f t="shared" si="171"/>
        <v>0</v>
      </c>
      <c r="W478" s="43">
        <v>1983597115.25</v>
      </c>
      <c r="X478" s="44">
        <v>0</v>
      </c>
      <c r="Y478" s="43">
        <v>0</v>
      </c>
      <c r="Z478" s="32">
        <f t="shared" ref="Z478:Z479" si="178">R478/L478</f>
        <v>0</v>
      </c>
    </row>
    <row r="479" spans="1:26" ht="18.75" customHeight="1" x14ac:dyDescent="0.2">
      <c r="A479" s="4" t="s">
        <v>55</v>
      </c>
      <c r="B479" s="4" t="s">
        <v>56</v>
      </c>
      <c r="C479" s="41" t="s">
        <v>457</v>
      </c>
      <c r="D479" s="42" t="s">
        <v>458</v>
      </c>
      <c r="E479" s="43" t="s">
        <v>454</v>
      </c>
      <c r="F479" s="43">
        <v>0</v>
      </c>
      <c r="G479" s="44">
        <v>0</v>
      </c>
      <c r="H479" s="44">
        <v>0</v>
      </c>
      <c r="I479" s="43">
        <v>20296364215</v>
      </c>
      <c r="J479" s="44">
        <v>0</v>
      </c>
      <c r="K479" s="43">
        <v>20296364215</v>
      </c>
      <c r="L479" s="43">
        <v>20296364215</v>
      </c>
      <c r="M479" s="43">
        <v>0</v>
      </c>
      <c r="N479" s="43">
        <v>20296361142</v>
      </c>
      <c r="O479" s="43">
        <v>20296361142</v>
      </c>
      <c r="P479" s="43">
        <v>0</v>
      </c>
      <c r="Q479" s="43">
        <v>0</v>
      </c>
      <c r="R479" s="43">
        <v>0</v>
      </c>
      <c r="S479" s="44">
        <v>0</v>
      </c>
      <c r="T479" s="44">
        <v>0</v>
      </c>
      <c r="U479" s="44">
        <v>0</v>
      </c>
      <c r="V479" s="40">
        <f t="shared" si="171"/>
        <v>0</v>
      </c>
      <c r="W479" s="43">
        <v>3073</v>
      </c>
      <c r="X479" s="43">
        <v>20296361142</v>
      </c>
      <c r="Y479" s="43">
        <v>0</v>
      </c>
      <c r="Z479" s="32">
        <f t="shared" si="178"/>
        <v>0</v>
      </c>
    </row>
    <row r="480" spans="1:26" ht="18.75" customHeight="1" x14ac:dyDescent="0.2">
      <c r="C480" s="28" t="s">
        <v>288</v>
      </c>
      <c r="D480" s="29" t="s">
        <v>459</v>
      </c>
      <c r="E480" s="17"/>
      <c r="F480" s="18"/>
      <c r="G480" s="34"/>
      <c r="H480" s="34"/>
      <c r="I480" s="18"/>
      <c r="J480" s="34"/>
      <c r="K480" s="18"/>
      <c r="L480" s="18"/>
      <c r="M480" s="18"/>
      <c r="N480" s="18"/>
      <c r="O480" s="18"/>
      <c r="P480" s="18"/>
      <c r="Q480" s="18"/>
      <c r="R480" s="18"/>
      <c r="S480" s="34"/>
      <c r="T480" s="34"/>
      <c r="U480" s="34"/>
      <c r="V480" s="40">
        <f t="shared" si="171"/>
        <v>0</v>
      </c>
      <c r="W480" s="18"/>
      <c r="X480" s="18"/>
      <c r="Y480" s="18"/>
      <c r="Z480" s="18"/>
    </row>
    <row r="481" spans="1:26" ht="18.75" customHeight="1" x14ac:dyDescent="0.2">
      <c r="A481" s="4" t="s">
        <v>55</v>
      </c>
      <c r="B481" s="4" t="s">
        <v>56</v>
      </c>
      <c r="C481" s="41" t="s">
        <v>460</v>
      </c>
      <c r="D481" s="42" t="s">
        <v>233</v>
      </c>
      <c r="E481" s="43" t="s">
        <v>58</v>
      </c>
      <c r="F481" s="43">
        <v>867728401</v>
      </c>
      <c r="G481" s="44">
        <v>0</v>
      </c>
      <c r="H481" s="44">
        <v>0</v>
      </c>
      <c r="I481" s="44">
        <v>0</v>
      </c>
      <c r="J481" s="44">
        <v>0</v>
      </c>
      <c r="K481" s="44">
        <v>0</v>
      </c>
      <c r="L481" s="43">
        <v>867728401</v>
      </c>
      <c r="M481" s="43">
        <v>0</v>
      </c>
      <c r="N481" s="43">
        <v>829015863.20000005</v>
      </c>
      <c r="O481" s="43">
        <v>829015863.20000005</v>
      </c>
      <c r="P481" s="43">
        <v>0</v>
      </c>
      <c r="Q481" s="43">
        <v>829015863.20000005</v>
      </c>
      <c r="R481" s="43">
        <v>829015863.20000005</v>
      </c>
      <c r="S481" s="44">
        <v>0</v>
      </c>
      <c r="T481" s="44">
        <v>0</v>
      </c>
      <c r="U481" s="44">
        <v>0</v>
      </c>
      <c r="V481" s="40">
        <f t="shared" si="171"/>
        <v>0</v>
      </c>
      <c r="W481" s="43">
        <v>38712537.799999997</v>
      </c>
      <c r="X481" s="44">
        <v>0</v>
      </c>
      <c r="Y481" s="43">
        <v>829015863.20000005</v>
      </c>
      <c r="Z481" s="32">
        <f t="shared" ref="Z481:Z482" si="179">R481/L481</f>
        <v>0.95538634236774289</v>
      </c>
    </row>
    <row r="482" spans="1:26" ht="18.75" customHeight="1" x14ac:dyDescent="0.2">
      <c r="A482" s="4" t="s">
        <v>55</v>
      </c>
      <c r="B482" s="4" t="s">
        <v>56</v>
      </c>
      <c r="C482" s="41" t="s">
        <v>461</v>
      </c>
      <c r="D482" s="42" t="s">
        <v>462</v>
      </c>
      <c r="E482" s="43" t="s">
        <v>428</v>
      </c>
      <c r="F482" s="43">
        <v>208691582</v>
      </c>
      <c r="G482" s="44">
        <v>0</v>
      </c>
      <c r="H482" s="44">
        <v>0</v>
      </c>
      <c r="I482" s="44">
        <v>0</v>
      </c>
      <c r="J482" s="44">
        <v>0</v>
      </c>
      <c r="K482" s="44">
        <v>0</v>
      </c>
      <c r="L482" s="43">
        <v>208691582</v>
      </c>
      <c r="M482" s="44">
        <v>0</v>
      </c>
      <c r="N482" s="44">
        <v>0</v>
      </c>
      <c r="O482" s="44">
        <v>0</v>
      </c>
      <c r="P482" s="44">
        <v>0</v>
      </c>
      <c r="Q482" s="44">
        <v>0</v>
      </c>
      <c r="R482" s="44">
        <v>0</v>
      </c>
      <c r="S482" s="44">
        <v>0</v>
      </c>
      <c r="T482" s="44">
        <v>0</v>
      </c>
      <c r="U482" s="44">
        <v>0</v>
      </c>
      <c r="V482" s="40">
        <f t="shared" si="171"/>
        <v>0</v>
      </c>
      <c r="W482" s="43">
        <v>208691582</v>
      </c>
      <c r="X482" s="44">
        <v>0</v>
      </c>
      <c r="Y482" s="43">
        <v>0</v>
      </c>
      <c r="Z482" s="32">
        <f t="shared" si="179"/>
        <v>0</v>
      </c>
    </row>
    <row r="483" spans="1:26" ht="18.75" customHeight="1" x14ac:dyDescent="0.2">
      <c r="A483" s="4"/>
      <c r="B483" s="4"/>
      <c r="C483" s="73" t="s">
        <v>288</v>
      </c>
      <c r="D483" s="74" t="s">
        <v>463</v>
      </c>
      <c r="E483" s="43"/>
      <c r="F483" s="43"/>
      <c r="G483" s="44"/>
      <c r="H483" s="44"/>
      <c r="I483" s="43"/>
      <c r="J483" s="44"/>
      <c r="K483" s="43"/>
      <c r="L483" s="43"/>
      <c r="M483" s="44"/>
      <c r="N483" s="44"/>
      <c r="O483" s="44"/>
      <c r="P483" s="44"/>
      <c r="Q483" s="44"/>
      <c r="R483" s="44"/>
      <c r="S483" s="44"/>
      <c r="T483" s="44"/>
      <c r="U483" s="44"/>
      <c r="V483" s="40">
        <f t="shared" si="171"/>
        <v>0</v>
      </c>
      <c r="W483" s="43"/>
      <c r="X483" s="44"/>
      <c r="Y483" s="43"/>
      <c r="Z483" s="43"/>
    </row>
    <row r="484" spans="1:26" ht="18.75" customHeight="1" x14ac:dyDescent="0.2">
      <c r="A484" s="4"/>
      <c r="B484" s="4"/>
      <c r="C484" s="16" t="s">
        <v>464</v>
      </c>
      <c r="D484" s="17" t="s">
        <v>458</v>
      </c>
      <c r="E484" s="43"/>
      <c r="F484" s="43">
        <v>0</v>
      </c>
      <c r="G484" s="44">
        <v>0</v>
      </c>
      <c r="H484" s="44">
        <v>0</v>
      </c>
      <c r="I484" s="43">
        <v>1555449996</v>
      </c>
      <c r="J484" s="44">
        <v>0</v>
      </c>
      <c r="K484" s="43">
        <f>G484-H484+I484-J484</f>
        <v>1555449996</v>
      </c>
      <c r="L484" s="43">
        <f>F484+K484</f>
        <v>1555449996</v>
      </c>
      <c r="M484" s="44">
        <v>0</v>
      </c>
      <c r="N484" s="44">
        <v>0</v>
      </c>
      <c r="O484" s="44">
        <v>0</v>
      </c>
      <c r="P484" s="44">
        <v>0</v>
      </c>
      <c r="Q484" s="44">
        <v>0</v>
      </c>
      <c r="R484" s="44">
        <v>0</v>
      </c>
      <c r="S484" s="44">
        <v>0</v>
      </c>
      <c r="T484" s="44">
        <v>0</v>
      </c>
      <c r="U484" s="44">
        <v>0</v>
      </c>
      <c r="V484" s="40">
        <f t="shared" si="171"/>
        <v>0</v>
      </c>
      <c r="W484" s="43">
        <f>L484-O484</f>
        <v>1555449996</v>
      </c>
      <c r="X484" s="44">
        <f>O484-R484</f>
        <v>0</v>
      </c>
      <c r="Y484" s="43"/>
      <c r="Z484" s="32">
        <f t="shared" ref="Z484" si="180">R484/L484</f>
        <v>0</v>
      </c>
    </row>
    <row r="485" spans="1:26" ht="18.75" customHeight="1" x14ac:dyDescent="0.2">
      <c r="C485" s="28" t="s">
        <v>288</v>
      </c>
      <c r="D485" s="29" t="s">
        <v>465</v>
      </c>
      <c r="E485" s="17"/>
      <c r="F485" s="18"/>
      <c r="G485" s="34"/>
      <c r="H485" s="34"/>
      <c r="I485" s="18"/>
      <c r="J485" s="34"/>
      <c r="K485" s="18"/>
      <c r="L485" s="18"/>
      <c r="M485" s="34"/>
      <c r="N485" s="34"/>
      <c r="O485" s="34"/>
      <c r="P485" s="34"/>
      <c r="Q485" s="34"/>
      <c r="R485" s="34"/>
      <c r="S485" s="34"/>
      <c r="T485" s="34"/>
      <c r="U485" s="34"/>
      <c r="V485" s="40">
        <f t="shared" si="171"/>
        <v>0</v>
      </c>
      <c r="W485" s="18"/>
      <c r="X485" s="34"/>
      <c r="Y485" s="18"/>
      <c r="Z485" s="18"/>
    </row>
    <row r="486" spans="1:26" ht="18.75" customHeight="1" x14ac:dyDescent="0.2">
      <c r="A486" s="4" t="s">
        <v>55</v>
      </c>
      <c r="B486" s="4" t="s">
        <v>56</v>
      </c>
      <c r="C486" s="41" t="s">
        <v>466</v>
      </c>
      <c r="D486" s="42" t="s">
        <v>233</v>
      </c>
      <c r="E486" s="43" t="s">
        <v>58</v>
      </c>
      <c r="F486" s="44">
        <v>0</v>
      </c>
      <c r="G486" s="44">
        <v>0</v>
      </c>
      <c r="H486" s="44">
        <v>0</v>
      </c>
      <c r="I486" s="43">
        <v>95000000</v>
      </c>
      <c r="J486" s="44">
        <v>0</v>
      </c>
      <c r="K486" s="43">
        <v>95000000</v>
      </c>
      <c r="L486" s="43">
        <v>95000000</v>
      </c>
      <c r="M486" s="44">
        <v>0</v>
      </c>
      <c r="N486" s="44">
        <v>0</v>
      </c>
      <c r="O486" s="44">
        <v>0</v>
      </c>
      <c r="P486" s="44">
        <v>0</v>
      </c>
      <c r="Q486" s="44">
        <v>0</v>
      </c>
      <c r="R486" s="44">
        <v>0</v>
      </c>
      <c r="S486" s="44">
        <v>0</v>
      </c>
      <c r="T486" s="44">
        <v>0</v>
      </c>
      <c r="U486" s="44">
        <v>0</v>
      </c>
      <c r="V486" s="40">
        <f t="shared" si="171"/>
        <v>0</v>
      </c>
      <c r="W486" s="43">
        <v>95000000</v>
      </c>
      <c r="X486" s="44">
        <v>0</v>
      </c>
      <c r="Y486" s="43">
        <v>0</v>
      </c>
      <c r="Z486" s="32">
        <f t="shared" ref="Z486" si="181">R486/L486</f>
        <v>0</v>
      </c>
    </row>
    <row r="487" spans="1:26" ht="18.75" customHeight="1" x14ac:dyDescent="0.2">
      <c r="C487" s="16"/>
      <c r="D487" s="29" t="s">
        <v>467</v>
      </c>
      <c r="E487" s="17"/>
      <c r="F487" s="34"/>
      <c r="G487" s="34"/>
      <c r="H487" s="34"/>
      <c r="I487" s="18"/>
      <c r="J487" s="34"/>
      <c r="K487" s="18"/>
      <c r="L487" s="18"/>
      <c r="M487" s="34"/>
      <c r="N487" s="34"/>
      <c r="O487" s="34"/>
      <c r="P487" s="34"/>
      <c r="Q487" s="34"/>
      <c r="R487" s="34"/>
      <c r="S487" s="34"/>
      <c r="T487" s="34"/>
      <c r="U487" s="34"/>
      <c r="V487" s="40">
        <f t="shared" si="171"/>
        <v>0</v>
      </c>
      <c r="W487" s="18"/>
      <c r="X487" s="34"/>
      <c r="Y487" s="18"/>
      <c r="Z487" s="18"/>
    </row>
    <row r="488" spans="1:26" ht="18.75" customHeight="1" x14ac:dyDescent="0.2">
      <c r="A488" s="4" t="s">
        <v>55</v>
      </c>
      <c r="B488" s="4" t="s">
        <v>56</v>
      </c>
      <c r="C488" s="41" t="s">
        <v>468</v>
      </c>
      <c r="D488" s="42" t="s">
        <v>458</v>
      </c>
      <c r="E488" s="43" t="s">
        <v>454</v>
      </c>
      <c r="F488" s="44">
        <v>0</v>
      </c>
      <c r="G488" s="44">
        <v>0</v>
      </c>
      <c r="H488" s="44">
        <v>0</v>
      </c>
      <c r="I488" s="43">
        <v>1331864802</v>
      </c>
      <c r="J488" s="44">
        <v>0</v>
      </c>
      <c r="K488" s="43">
        <v>1331864802</v>
      </c>
      <c r="L488" s="43">
        <v>1331864802</v>
      </c>
      <c r="M488" s="44">
        <v>0</v>
      </c>
      <c r="N488" s="44">
        <v>0</v>
      </c>
      <c r="O488" s="44">
        <v>0</v>
      </c>
      <c r="P488" s="44">
        <v>0</v>
      </c>
      <c r="Q488" s="44">
        <v>0</v>
      </c>
      <c r="R488" s="44">
        <v>0</v>
      </c>
      <c r="S488" s="44">
        <v>0</v>
      </c>
      <c r="T488" s="44">
        <v>0</v>
      </c>
      <c r="U488" s="44">
        <v>0</v>
      </c>
      <c r="V488" s="40">
        <f t="shared" si="171"/>
        <v>0</v>
      </c>
      <c r="W488" s="43">
        <v>1331864802</v>
      </c>
      <c r="X488" s="44">
        <v>0</v>
      </c>
      <c r="Y488" s="43">
        <v>0</v>
      </c>
      <c r="Z488" s="32">
        <f t="shared" ref="Z488" si="182">R488/L488</f>
        <v>0</v>
      </c>
    </row>
    <row r="489" spans="1:26" ht="18.75" customHeight="1" x14ac:dyDescent="0.2">
      <c r="C489" s="28" t="s">
        <v>288</v>
      </c>
      <c r="D489" s="29" t="s">
        <v>469</v>
      </c>
      <c r="E489" s="17"/>
      <c r="F489" s="18"/>
      <c r="G489" s="18"/>
      <c r="H489" s="18"/>
      <c r="I489" s="18"/>
      <c r="J489" s="34"/>
      <c r="K489" s="18"/>
      <c r="L489" s="18"/>
      <c r="M489" s="34"/>
      <c r="N489" s="34"/>
      <c r="O489" s="34"/>
      <c r="P489" s="34"/>
      <c r="Q489" s="34"/>
      <c r="R489" s="34"/>
      <c r="S489" s="34"/>
      <c r="T489" s="34"/>
      <c r="U489" s="34"/>
      <c r="V489" s="40">
        <f t="shared" si="171"/>
        <v>0</v>
      </c>
      <c r="W489" s="18"/>
      <c r="X489" s="34"/>
      <c r="Y489" s="18"/>
      <c r="Z489" s="18"/>
    </row>
    <row r="490" spans="1:26" ht="18.75" customHeight="1" x14ac:dyDescent="0.2">
      <c r="A490" s="4" t="s">
        <v>55</v>
      </c>
      <c r="B490" s="4" t="s">
        <v>56</v>
      </c>
      <c r="C490" s="41" t="s">
        <v>470</v>
      </c>
      <c r="D490" s="42" t="s">
        <v>233</v>
      </c>
      <c r="E490" s="43" t="s">
        <v>58</v>
      </c>
      <c r="F490" s="43">
        <v>128000000</v>
      </c>
      <c r="G490" s="44">
        <v>0</v>
      </c>
      <c r="H490" s="44">
        <v>0</v>
      </c>
      <c r="I490" s="44">
        <v>0</v>
      </c>
      <c r="J490" s="44">
        <v>0</v>
      </c>
      <c r="K490" s="43">
        <v>0</v>
      </c>
      <c r="L490" s="43">
        <v>128000000</v>
      </c>
      <c r="M490" s="44">
        <v>0</v>
      </c>
      <c r="N490" s="44">
        <v>0</v>
      </c>
      <c r="O490" s="44">
        <v>0</v>
      </c>
      <c r="P490" s="44">
        <v>0</v>
      </c>
      <c r="Q490" s="44">
        <v>0</v>
      </c>
      <c r="R490" s="44">
        <v>0</v>
      </c>
      <c r="S490" s="44">
        <v>0</v>
      </c>
      <c r="T490" s="44">
        <v>0</v>
      </c>
      <c r="U490" s="44">
        <v>0</v>
      </c>
      <c r="V490" s="40">
        <f t="shared" si="171"/>
        <v>0</v>
      </c>
      <c r="W490" s="43">
        <v>128000000</v>
      </c>
      <c r="X490" s="44">
        <v>0</v>
      </c>
      <c r="Y490" s="43">
        <v>0</v>
      </c>
      <c r="Z490" s="32">
        <f t="shared" ref="Z490" si="183">R490/L490</f>
        <v>0</v>
      </c>
    </row>
    <row r="491" spans="1:26" ht="18.75" customHeight="1" x14ac:dyDescent="0.2">
      <c r="C491" s="28" t="s">
        <v>288</v>
      </c>
      <c r="D491" s="29" t="s">
        <v>471</v>
      </c>
      <c r="E491" s="17"/>
      <c r="F491" s="18"/>
      <c r="G491" s="34"/>
      <c r="H491" s="34"/>
      <c r="I491" s="34"/>
      <c r="J491" s="18"/>
      <c r="K491" s="18"/>
      <c r="L491" s="18"/>
      <c r="M491" s="34"/>
      <c r="N491" s="34"/>
      <c r="O491" s="34"/>
      <c r="P491" s="34"/>
      <c r="Q491" s="34"/>
      <c r="R491" s="34"/>
      <c r="S491" s="34"/>
      <c r="T491" s="34"/>
      <c r="U491" s="34"/>
      <c r="V491" s="40">
        <f t="shared" si="171"/>
        <v>0</v>
      </c>
      <c r="W491" s="18"/>
      <c r="X491" s="34"/>
      <c r="Y491" s="18"/>
      <c r="Z491" s="18"/>
    </row>
    <row r="492" spans="1:26" ht="18.75" customHeight="1" x14ac:dyDescent="0.2">
      <c r="A492" s="4" t="s">
        <v>55</v>
      </c>
      <c r="B492" s="4" t="s">
        <v>56</v>
      </c>
      <c r="C492" s="41" t="s">
        <v>472</v>
      </c>
      <c r="D492" s="42" t="s">
        <v>453</v>
      </c>
      <c r="E492" s="43" t="s">
        <v>454</v>
      </c>
      <c r="F492" s="43">
        <v>16500000000</v>
      </c>
      <c r="G492" s="44">
        <v>0</v>
      </c>
      <c r="H492" s="44">
        <v>0</v>
      </c>
      <c r="I492" s="44">
        <v>0</v>
      </c>
      <c r="J492" s="43">
        <v>16500000000</v>
      </c>
      <c r="K492" s="43">
        <v>-16500000000</v>
      </c>
      <c r="L492" s="43">
        <v>0</v>
      </c>
      <c r="M492" s="44">
        <v>0</v>
      </c>
      <c r="N492" s="44">
        <v>0</v>
      </c>
      <c r="O492" s="44">
        <v>0</v>
      </c>
      <c r="P492" s="44">
        <v>0</v>
      </c>
      <c r="Q492" s="44">
        <v>0</v>
      </c>
      <c r="R492" s="44">
        <v>0</v>
      </c>
      <c r="S492" s="44">
        <v>0</v>
      </c>
      <c r="T492" s="44">
        <v>0</v>
      </c>
      <c r="U492" s="44">
        <v>0</v>
      </c>
      <c r="V492" s="40">
        <f t="shared" si="171"/>
        <v>0</v>
      </c>
      <c r="W492" s="43">
        <v>0</v>
      </c>
      <c r="X492" s="44">
        <v>0</v>
      </c>
      <c r="Y492" s="43">
        <v>0</v>
      </c>
      <c r="Z492" s="43">
        <v>0</v>
      </c>
    </row>
    <row r="493" spans="1:26" ht="25.5" x14ac:dyDescent="0.2">
      <c r="C493" s="28" t="s">
        <v>288</v>
      </c>
      <c r="D493" s="29" t="s">
        <v>473</v>
      </c>
      <c r="E493" s="17"/>
      <c r="F493" s="18"/>
      <c r="G493" s="18"/>
      <c r="H493" s="18"/>
      <c r="I493" s="18"/>
      <c r="J493" s="18"/>
      <c r="K493" s="18"/>
      <c r="L493" s="18"/>
      <c r="M493" s="34"/>
      <c r="N493" s="34"/>
      <c r="O493" s="34"/>
      <c r="P493" s="34"/>
      <c r="Q493" s="34"/>
      <c r="R493" s="34"/>
      <c r="S493" s="18"/>
      <c r="T493" s="18"/>
      <c r="U493" s="18"/>
      <c r="V493" s="39">
        <f t="shared" si="171"/>
        <v>0</v>
      </c>
      <c r="W493" s="18"/>
      <c r="X493" s="34"/>
      <c r="Y493" s="18"/>
      <c r="Z493" s="18"/>
    </row>
    <row r="494" spans="1:26" ht="18.75" customHeight="1" x14ac:dyDescent="0.2">
      <c r="A494" s="4" t="s">
        <v>55</v>
      </c>
      <c r="B494" s="4" t="s">
        <v>56</v>
      </c>
      <c r="C494" s="41" t="s">
        <v>474</v>
      </c>
      <c r="D494" s="42" t="s">
        <v>233</v>
      </c>
      <c r="E494" s="43" t="s">
        <v>58</v>
      </c>
      <c r="F494" s="44">
        <v>0</v>
      </c>
      <c r="G494" s="44">
        <v>0</v>
      </c>
      <c r="H494" s="44">
        <v>0</v>
      </c>
      <c r="I494" s="43">
        <v>22204778</v>
      </c>
      <c r="J494" s="43">
        <v>0</v>
      </c>
      <c r="K494" s="43">
        <v>22204778</v>
      </c>
      <c r="L494" s="43">
        <v>22204778</v>
      </c>
      <c r="M494" s="44">
        <v>0</v>
      </c>
      <c r="N494" s="44">
        <v>0</v>
      </c>
      <c r="O494" s="44">
        <v>0</v>
      </c>
      <c r="P494" s="44">
        <v>0</v>
      </c>
      <c r="Q494" s="44">
        <v>0</v>
      </c>
      <c r="R494" s="44">
        <v>0</v>
      </c>
      <c r="S494" s="44">
        <v>0</v>
      </c>
      <c r="T494" s="44">
        <v>0</v>
      </c>
      <c r="U494" s="44">
        <v>0</v>
      </c>
      <c r="V494" s="40">
        <f t="shared" si="171"/>
        <v>0</v>
      </c>
      <c r="W494" s="43">
        <v>22204778</v>
      </c>
      <c r="X494" s="44">
        <v>0</v>
      </c>
      <c r="Y494" s="43">
        <v>0</v>
      </c>
      <c r="Z494" s="32">
        <f t="shared" ref="Z494" si="184">R494/L494</f>
        <v>0</v>
      </c>
    </row>
    <row r="495" spans="1:26" x14ac:dyDescent="0.2">
      <c r="C495" s="16"/>
      <c r="D495" s="29" t="s">
        <v>475</v>
      </c>
      <c r="E495" s="17"/>
      <c r="F495" s="34"/>
      <c r="G495" s="34"/>
      <c r="H495" s="34"/>
      <c r="I495" s="18"/>
      <c r="J495" s="18"/>
      <c r="K495" s="18"/>
      <c r="L495" s="18"/>
      <c r="M495" s="34"/>
      <c r="N495" s="34"/>
      <c r="O495" s="34"/>
      <c r="P495" s="34"/>
      <c r="Q495" s="34"/>
      <c r="R495" s="34"/>
      <c r="S495" s="34"/>
      <c r="T495" s="34"/>
      <c r="U495" s="34"/>
      <c r="V495" s="40">
        <f t="shared" si="171"/>
        <v>0</v>
      </c>
      <c r="W495" s="18"/>
      <c r="X495" s="34"/>
      <c r="Y495" s="18"/>
      <c r="Z495" s="18"/>
    </row>
    <row r="496" spans="1:26" x14ac:dyDescent="0.2">
      <c r="A496" s="4" t="s">
        <v>55</v>
      </c>
      <c r="B496" s="4" t="s">
        <v>56</v>
      </c>
      <c r="C496" s="41" t="s">
        <v>476</v>
      </c>
      <c r="D496" s="42" t="s">
        <v>458</v>
      </c>
      <c r="E496" s="43" t="s">
        <v>454</v>
      </c>
      <c r="F496" s="44">
        <v>0</v>
      </c>
      <c r="G496" s="44">
        <v>0</v>
      </c>
      <c r="H496" s="44">
        <v>0</v>
      </c>
      <c r="I496" s="43">
        <v>3975320525</v>
      </c>
      <c r="J496" s="43">
        <v>0</v>
      </c>
      <c r="K496" s="43">
        <v>3975320525</v>
      </c>
      <c r="L496" s="43">
        <v>3975320525</v>
      </c>
      <c r="M496" s="44">
        <v>0</v>
      </c>
      <c r="N496" s="44">
        <v>0</v>
      </c>
      <c r="O496" s="44">
        <v>0</v>
      </c>
      <c r="P496" s="44">
        <v>0</v>
      </c>
      <c r="Q496" s="44">
        <v>0</v>
      </c>
      <c r="R496" s="44">
        <v>0</v>
      </c>
      <c r="S496" s="44">
        <v>0</v>
      </c>
      <c r="T496" s="44">
        <v>0</v>
      </c>
      <c r="U496" s="44">
        <v>0</v>
      </c>
      <c r="V496" s="40">
        <f t="shared" si="171"/>
        <v>0</v>
      </c>
      <c r="W496" s="43">
        <v>3975320525</v>
      </c>
      <c r="X496" s="44">
        <v>0</v>
      </c>
      <c r="Y496" s="43">
        <v>0</v>
      </c>
      <c r="Z496" s="32">
        <f t="shared" ref="Z496" si="185">R496/L496</f>
        <v>0</v>
      </c>
    </row>
    <row r="497" spans="1:26" ht="25.5" x14ac:dyDescent="0.2">
      <c r="C497" s="28" t="s">
        <v>288</v>
      </c>
      <c r="D497" s="29" t="s">
        <v>477</v>
      </c>
      <c r="E497" s="17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34"/>
      <c r="T497" s="34"/>
      <c r="U497" s="34"/>
      <c r="V497" s="40">
        <f t="shared" si="171"/>
        <v>0</v>
      </c>
      <c r="W497" s="18"/>
      <c r="X497" s="18"/>
      <c r="Y497" s="18"/>
      <c r="Z497" s="18"/>
    </row>
    <row r="498" spans="1:26" x14ac:dyDescent="0.2">
      <c r="A498" s="4" t="s">
        <v>55</v>
      </c>
      <c r="B498" s="4" t="s">
        <v>56</v>
      </c>
      <c r="C498" s="41" t="s">
        <v>478</v>
      </c>
      <c r="D498" s="42" t="s">
        <v>233</v>
      </c>
      <c r="E498" s="43" t="s">
        <v>58</v>
      </c>
      <c r="F498" s="43">
        <v>389814494</v>
      </c>
      <c r="G498" s="44">
        <v>0</v>
      </c>
      <c r="H498" s="44">
        <v>0</v>
      </c>
      <c r="I498" s="44">
        <v>0</v>
      </c>
      <c r="J498" s="44">
        <v>0</v>
      </c>
      <c r="K498" s="44">
        <v>0</v>
      </c>
      <c r="L498" s="43">
        <v>389814494</v>
      </c>
      <c r="M498" s="43">
        <v>0</v>
      </c>
      <c r="N498" s="43">
        <v>355292091</v>
      </c>
      <c r="O498" s="43">
        <v>355292091</v>
      </c>
      <c r="P498" s="43">
        <v>42097442</v>
      </c>
      <c r="Q498" s="43">
        <v>313194649</v>
      </c>
      <c r="R498" s="43">
        <v>313194649</v>
      </c>
      <c r="S498" s="44">
        <v>0</v>
      </c>
      <c r="T498" s="44">
        <v>0</v>
      </c>
      <c r="U498" s="44">
        <v>0</v>
      </c>
      <c r="V498" s="40">
        <f t="shared" si="171"/>
        <v>0</v>
      </c>
      <c r="W498" s="43">
        <v>34522403</v>
      </c>
      <c r="X498" s="43">
        <v>42097442</v>
      </c>
      <c r="Y498" s="43">
        <v>313194649</v>
      </c>
      <c r="Z498" s="32">
        <f t="shared" ref="Z498:Z499" si="186">R498/L498</f>
        <v>0.80344536650297049</v>
      </c>
    </row>
    <row r="499" spans="1:26" ht="25.5" x14ac:dyDescent="0.2">
      <c r="A499" s="4" t="s">
        <v>55</v>
      </c>
      <c r="B499" s="4" t="s">
        <v>56</v>
      </c>
      <c r="C499" s="41" t="s">
        <v>479</v>
      </c>
      <c r="D499" s="42" t="s">
        <v>480</v>
      </c>
      <c r="E499" s="43" t="s">
        <v>368</v>
      </c>
      <c r="F499" s="43">
        <v>88687399.159999996</v>
      </c>
      <c r="G499" s="44">
        <v>0</v>
      </c>
      <c r="H499" s="44">
        <v>0</v>
      </c>
      <c r="I499" s="44">
        <v>0</v>
      </c>
      <c r="J499" s="44">
        <v>0</v>
      </c>
      <c r="K499" s="44">
        <v>0</v>
      </c>
      <c r="L499" s="43">
        <v>88687399.159999996</v>
      </c>
      <c r="M499" s="43">
        <v>0</v>
      </c>
      <c r="N499" s="43">
        <v>56565934</v>
      </c>
      <c r="O499" s="43">
        <v>56565934</v>
      </c>
      <c r="P499" s="43">
        <v>56565934</v>
      </c>
      <c r="Q499" s="43">
        <v>0</v>
      </c>
      <c r="R499" s="43">
        <v>0</v>
      </c>
      <c r="S499" s="44">
        <v>0</v>
      </c>
      <c r="T499" s="44">
        <v>0</v>
      </c>
      <c r="U499" s="44">
        <v>0</v>
      </c>
      <c r="V499" s="40">
        <f t="shared" si="171"/>
        <v>0</v>
      </c>
      <c r="W499" s="43">
        <v>32121465.16</v>
      </c>
      <c r="X499" s="43">
        <v>56565934</v>
      </c>
      <c r="Y499" s="43">
        <v>0</v>
      </c>
      <c r="Z499" s="32">
        <f t="shared" si="186"/>
        <v>0</v>
      </c>
    </row>
    <row r="500" spans="1:26" ht="25.5" x14ac:dyDescent="0.2">
      <c r="C500" s="28" t="s">
        <v>288</v>
      </c>
      <c r="D500" s="29" t="s">
        <v>481</v>
      </c>
      <c r="E500" s="17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34"/>
      <c r="T500" s="34"/>
      <c r="U500" s="34"/>
      <c r="V500" s="40">
        <f t="shared" si="171"/>
        <v>0</v>
      </c>
      <c r="W500" s="18"/>
      <c r="X500" s="18"/>
      <c r="Y500" s="18"/>
      <c r="Z500" s="18"/>
    </row>
    <row r="501" spans="1:26" x14ac:dyDescent="0.2">
      <c r="A501" s="4" t="s">
        <v>55</v>
      </c>
      <c r="B501" s="4" t="s">
        <v>56</v>
      </c>
      <c r="C501" s="41" t="s">
        <v>482</v>
      </c>
      <c r="D501" s="42" t="s">
        <v>233</v>
      </c>
      <c r="E501" s="43" t="s">
        <v>58</v>
      </c>
      <c r="F501" s="43">
        <v>732098782</v>
      </c>
      <c r="G501" s="44">
        <v>0</v>
      </c>
      <c r="H501" s="44">
        <v>0</v>
      </c>
      <c r="I501" s="43">
        <v>0</v>
      </c>
      <c r="J501" s="44">
        <v>0</v>
      </c>
      <c r="K501" s="43">
        <v>0</v>
      </c>
      <c r="L501" s="43">
        <v>732098782</v>
      </c>
      <c r="M501" s="43">
        <v>0</v>
      </c>
      <c r="N501" s="43">
        <v>658085546</v>
      </c>
      <c r="O501" s="43">
        <v>658085546</v>
      </c>
      <c r="P501" s="43">
        <v>0</v>
      </c>
      <c r="Q501" s="43">
        <v>658085546</v>
      </c>
      <c r="R501" s="43">
        <v>658085546</v>
      </c>
      <c r="S501" s="44">
        <v>0</v>
      </c>
      <c r="T501" s="44">
        <v>0</v>
      </c>
      <c r="U501" s="44">
        <v>0</v>
      </c>
      <c r="V501" s="40">
        <f t="shared" si="171"/>
        <v>0</v>
      </c>
      <c r="W501" s="43">
        <v>74013236</v>
      </c>
      <c r="X501" s="44">
        <v>0</v>
      </c>
      <c r="Y501" s="43">
        <v>658085546</v>
      </c>
      <c r="Z501" s="32">
        <f t="shared" ref="Z501" si="187">R501/L501</f>
        <v>0.89890266474995995</v>
      </c>
    </row>
    <row r="502" spans="1:26" x14ac:dyDescent="0.2">
      <c r="C502" s="28" t="s">
        <v>288</v>
      </c>
      <c r="D502" s="29" t="s">
        <v>483</v>
      </c>
      <c r="E502" s="17"/>
      <c r="F502" s="18"/>
      <c r="G502" s="34"/>
      <c r="H502" s="34"/>
      <c r="I502" s="18"/>
      <c r="J502" s="34"/>
      <c r="K502" s="18"/>
      <c r="L502" s="18"/>
      <c r="M502" s="18"/>
      <c r="N502" s="18"/>
      <c r="O502" s="18"/>
      <c r="P502" s="18"/>
      <c r="Q502" s="18"/>
      <c r="R502" s="18"/>
      <c r="S502" s="34"/>
      <c r="T502" s="34"/>
      <c r="U502" s="34"/>
      <c r="V502" s="40">
        <f t="shared" si="171"/>
        <v>0</v>
      </c>
      <c r="W502" s="18"/>
      <c r="X502" s="34"/>
      <c r="Y502" s="18"/>
      <c r="Z502" s="18"/>
    </row>
    <row r="503" spans="1:26" x14ac:dyDescent="0.2">
      <c r="A503" s="4" t="s">
        <v>55</v>
      </c>
      <c r="B503" s="4" t="s">
        <v>56</v>
      </c>
      <c r="C503" s="41" t="s">
        <v>484</v>
      </c>
      <c r="D503" s="42" t="s">
        <v>233</v>
      </c>
      <c r="E503" s="43" t="s">
        <v>58</v>
      </c>
      <c r="F503" s="43">
        <v>0</v>
      </c>
      <c r="G503" s="44">
        <v>0</v>
      </c>
      <c r="H503" s="44">
        <v>0</v>
      </c>
      <c r="I503" s="43">
        <v>60325921.149999999</v>
      </c>
      <c r="J503" s="44">
        <v>0</v>
      </c>
      <c r="K503" s="43">
        <v>60325921.149999999</v>
      </c>
      <c r="L503" s="43">
        <v>60325921.149999999</v>
      </c>
      <c r="M503" s="44">
        <v>0</v>
      </c>
      <c r="N503" s="44">
        <v>0</v>
      </c>
      <c r="O503" s="44">
        <v>0</v>
      </c>
      <c r="P503" s="44">
        <v>0</v>
      </c>
      <c r="Q503" s="44">
        <v>0</v>
      </c>
      <c r="R503" s="44">
        <v>0</v>
      </c>
      <c r="S503" s="44">
        <v>0</v>
      </c>
      <c r="T503" s="44">
        <v>0</v>
      </c>
      <c r="U503" s="44">
        <v>0</v>
      </c>
      <c r="V503" s="40">
        <f t="shared" si="171"/>
        <v>0</v>
      </c>
      <c r="W503" s="43">
        <v>60325921.149999999</v>
      </c>
      <c r="X503" s="44">
        <v>0</v>
      </c>
      <c r="Y503" s="43">
        <v>0</v>
      </c>
      <c r="Z503" s="32">
        <f t="shared" ref="Z503" si="188">R503/L503</f>
        <v>0</v>
      </c>
    </row>
    <row r="504" spans="1:26" x14ac:dyDescent="0.2">
      <c r="C504" s="28" t="s">
        <v>288</v>
      </c>
      <c r="D504" s="29" t="s">
        <v>485</v>
      </c>
      <c r="E504" s="17"/>
      <c r="F504" s="18"/>
      <c r="G504" s="34"/>
      <c r="H504" s="34"/>
      <c r="I504" s="18"/>
      <c r="J504" s="34"/>
      <c r="K504" s="18"/>
      <c r="L504" s="18"/>
      <c r="M504" s="34"/>
      <c r="N504" s="34"/>
      <c r="O504" s="34"/>
      <c r="P504" s="34"/>
      <c r="Q504" s="34"/>
      <c r="R504" s="34"/>
      <c r="S504" s="34"/>
      <c r="T504" s="34"/>
      <c r="U504" s="34"/>
      <c r="V504" s="40">
        <f t="shared" si="171"/>
        <v>0</v>
      </c>
      <c r="W504" s="18"/>
      <c r="X504" s="34"/>
      <c r="Y504" s="18"/>
      <c r="Z504" s="18"/>
    </row>
    <row r="505" spans="1:26" x14ac:dyDescent="0.2">
      <c r="A505" s="4" t="s">
        <v>55</v>
      </c>
      <c r="B505" s="4" t="s">
        <v>56</v>
      </c>
      <c r="C505" s="41" t="s">
        <v>486</v>
      </c>
      <c r="D505" s="42" t="s">
        <v>233</v>
      </c>
      <c r="E505" s="43" t="s">
        <v>58</v>
      </c>
      <c r="F505" s="43">
        <v>530557116</v>
      </c>
      <c r="G505" s="44">
        <v>0</v>
      </c>
      <c r="H505" s="44">
        <v>0</v>
      </c>
      <c r="I505" s="43">
        <v>0</v>
      </c>
      <c r="J505" s="44">
        <v>0</v>
      </c>
      <c r="K505" s="43">
        <v>0</v>
      </c>
      <c r="L505" s="43">
        <v>530557116</v>
      </c>
      <c r="M505" s="44">
        <v>0</v>
      </c>
      <c r="N505" s="44">
        <v>0</v>
      </c>
      <c r="O505" s="44">
        <v>0</v>
      </c>
      <c r="P505" s="44">
        <v>0</v>
      </c>
      <c r="Q505" s="44">
        <v>0</v>
      </c>
      <c r="R505" s="44">
        <v>0</v>
      </c>
      <c r="S505" s="44">
        <v>0</v>
      </c>
      <c r="T505" s="44">
        <v>0</v>
      </c>
      <c r="U505" s="44">
        <v>0</v>
      </c>
      <c r="V505" s="40">
        <f t="shared" si="171"/>
        <v>0</v>
      </c>
      <c r="W505" s="43">
        <v>530557116</v>
      </c>
      <c r="X505" s="44">
        <v>0</v>
      </c>
      <c r="Y505" s="43">
        <v>0</v>
      </c>
      <c r="Z505" s="32">
        <f t="shared" ref="Z505" si="189">R505/L505</f>
        <v>0</v>
      </c>
    </row>
    <row r="506" spans="1:26" ht="38.25" x14ac:dyDescent="0.2">
      <c r="C506" s="16"/>
      <c r="D506" s="29" t="s">
        <v>193</v>
      </c>
      <c r="E506" s="17"/>
      <c r="F506" s="18"/>
      <c r="G506" s="34"/>
      <c r="H506" s="34"/>
      <c r="I506" s="18"/>
      <c r="J506" s="18"/>
      <c r="K506" s="18"/>
      <c r="L506" s="18"/>
      <c r="M506" s="34"/>
      <c r="N506" s="34"/>
      <c r="O506" s="34"/>
      <c r="P506" s="34"/>
      <c r="Q506" s="34"/>
      <c r="R506" s="34"/>
      <c r="S506" s="34"/>
      <c r="T506" s="34"/>
      <c r="U506" s="34"/>
      <c r="V506" s="40">
        <f t="shared" si="171"/>
        <v>0</v>
      </c>
      <c r="W506" s="18"/>
      <c r="X506" s="34"/>
      <c r="Y506" s="18"/>
      <c r="Z506" s="18"/>
    </row>
    <row r="507" spans="1:26" ht="18.75" customHeight="1" x14ac:dyDescent="0.2">
      <c r="C507" s="28" t="s">
        <v>288</v>
      </c>
      <c r="D507" s="29" t="s">
        <v>487</v>
      </c>
      <c r="E507" s="17"/>
      <c r="F507" s="18"/>
      <c r="G507" s="34"/>
      <c r="H507" s="34"/>
      <c r="I507" s="18"/>
      <c r="J507" s="18"/>
      <c r="K507" s="18"/>
      <c r="L507" s="18"/>
      <c r="M507" s="34"/>
      <c r="N507" s="34"/>
      <c r="O507" s="34"/>
      <c r="P507" s="34"/>
      <c r="Q507" s="34"/>
      <c r="R507" s="34"/>
      <c r="S507" s="34"/>
      <c r="T507" s="34"/>
      <c r="U507" s="34"/>
      <c r="V507" s="40">
        <f t="shared" si="171"/>
        <v>0</v>
      </c>
      <c r="W507" s="18"/>
      <c r="X507" s="34"/>
      <c r="Y507" s="18"/>
      <c r="Z507" s="18"/>
    </row>
    <row r="508" spans="1:26" ht="18.75" customHeight="1" x14ac:dyDescent="0.2">
      <c r="A508" s="4" t="s">
        <v>55</v>
      </c>
      <c r="B508" s="4" t="s">
        <v>56</v>
      </c>
      <c r="C508" s="41" t="s">
        <v>488</v>
      </c>
      <c r="D508" s="42" t="s">
        <v>439</v>
      </c>
      <c r="E508" s="43" t="s">
        <v>428</v>
      </c>
      <c r="F508" s="43">
        <v>14800000000</v>
      </c>
      <c r="G508" s="44">
        <v>0</v>
      </c>
      <c r="H508" s="44">
        <v>0</v>
      </c>
      <c r="I508" s="44">
        <v>0</v>
      </c>
      <c r="J508" s="44">
        <v>0</v>
      </c>
      <c r="K508" s="44">
        <v>0</v>
      </c>
      <c r="L508" s="43">
        <v>14800000000</v>
      </c>
      <c r="M508" s="44">
        <v>0</v>
      </c>
      <c r="N508" s="44">
        <v>0</v>
      </c>
      <c r="O508" s="44">
        <v>0</v>
      </c>
      <c r="P508" s="44">
        <v>0</v>
      </c>
      <c r="Q508" s="44">
        <v>0</v>
      </c>
      <c r="R508" s="44">
        <v>0</v>
      </c>
      <c r="S508" s="44">
        <v>0</v>
      </c>
      <c r="T508" s="44">
        <v>0</v>
      </c>
      <c r="U508" s="44">
        <v>0</v>
      </c>
      <c r="V508" s="40">
        <f t="shared" si="171"/>
        <v>0</v>
      </c>
      <c r="W508" s="43">
        <v>14800000000</v>
      </c>
      <c r="X508" s="44">
        <v>0</v>
      </c>
      <c r="Y508" s="43">
        <v>0</v>
      </c>
      <c r="Z508" s="32">
        <f t="shared" ref="Z508:Z509" si="190">R508/L508</f>
        <v>0</v>
      </c>
    </row>
    <row r="509" spans="1:26" ht="18.75" customHeight="1" x14ac:dyDescent="0.2">
      <c r="A509" s="4" t="s">
        <v>55</v>
      </c>
      <c r="B509" s="4" t="s">
        <v>56</v>
      </c>
      <c r="C509" s="41" t="s">
        <v>489</v>
      </c>
      <c r="D509" s="42" t="s">
        <v>490</v>
      </c>
      <c r="E509" s="43" t="s">
        <v>368</v>
      </c>
      <c r="F509" s="43">
        <v>28000000.199999999</v>
      </c>
      <c r="G509" s="44">
        <v>0</v>
      </c>
      <c r="H509" s="44">
        <v>0</v>
      </c>
      <c r="I509" s="44">
        <v>0</v>
      </c>
      <c r="J509" s="44">
        <v>0</v>
      </c>
      <c r="K509" s="44">
        <v>0</v>
      </c>
      <c r="L509" s="43">
        <v>28000000.199999999</v>
      </c>
      <c r="M509" s="43">
        <v>0</v>
      </c>
      <c r="N509" s="43">
        <v>1791546</v>
      </c>
      <c r="O509" s="43">
        <v>1791546</v>
      </c>
      <c r="P509" s="43">
        <v>0</v>
      </c>
      <c r="Q509" s="43">
        <v>1791546</v>
      </c>
      <c r="R509" s="43">
        <v>1791546</v>
      </c>
      <c r="S509" s="43">
        <v>0</v>
      </c>
      <c r="T509" s="43">
        <v>1791546</v>
      </c>
      <c r="U509" s="43">
        <v>1791546</v>
      </c>
      <c r="V509" s="39">
        <f t="shared" si="171"/>
        <v>1791546</v>
      </c>
      <c r="W509" s="43">
        <v>26208454.199999999</v>
      </c>
      <c r="X509" s="44">
        <v>0</v>
      </c>
      <c r="Y509" s="43">
        <v>0</v>
      </c>
      <c r="Z509" s="32">
        <f t="shared" si="190"/>
        <v>6.3983785257258674E-2</v>
      </c>
    </row>
    <row r="510" spans="1:26" ht="25.5" x14ac:dyDescent="0.2">
      <c r="C510" s="16"/>
      <c r="D510" s="29" t="s">
        <v>195</v>
      </c>
      <c r="E510" s="17"/>
      <c r="F510" s="18"/>
      <c r="G510" s="34"/>
      <c r="H510" s="34"/>
      <c r="I510" s="34"/>
      <c r="J510" s="34"/>
      <c r="K510" s="34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30">
        <f t="shared" si="171"/>
        <v>0</v>
      </c>
      <c r="W510" s="18"/>
      <c r="X510" s="18"/>
      <c r="Y510" s="18"/>
      <c r="Z510" s="18"/>
    </row>
    <row r="511" spans="1:26" ht="18.75" customHeight="1" x14ac:dyDescent="0.2">
      <c r="C511" s="28" t="s">
        <v>288</v>
      </c>
      <c r="D511" s="29" t="s">
        <v>487</v>
      </c>
      <c r="E511" s="17"/>
      <c r="F511" s="18"/>
      <c r="G511" s="34"/>
      <c r="H511" s="34"/>
      <c r="I511" s="34"/>
      <c r="J511" s="34"/>
      <c r="K511" s="34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30">
        <f t="shared" si="171"/>
        <v>0</v>
      </c>
      <c r="W511" s="18"/>
      <c r="X511" s="18"/>
      <c r="Y511" s="18"/>
      <c r="Z511" s="18"/>
    </row>
    <row r="512" spans="1:26" ht="18.75" customHeight="1" x14ac:dyDescent="0.2">
      <c r="A512" s="4" t="s">
        <v>55</v>
      </c>
      <c r="B512" s="4" t="s">
        <v>56</v>
      </c>
      <c r="C512" s="41" t="s">
        <v>491</v>
      </c>
      <c r="D512" s="42" t="s">
        <v>490</v>
      </c>
      <c r="E512" s="43" t="s">
        <v>368</v>
      </c>
      <c r="F512" s="43">
        <v>192000000</v>
      </c>
      <c r="G512" s="44">
        <v>0</v>
      </c>
      <c r="H512" s="44">
        <v>0</v>
      </c>
      <c r="I512" s="44">
        <v>0</v>
      </c>
      <c r="J512" s="44">
        <v>0</v>
      </c>
      <c r="K512" s="44">
        <v>0</v>
      </c>
      <c r="L512" s="43">
        <v>192000000</v>
      </c>
      <c r="M512" s="43">
        <v>0</v>
      </c>
      <c r="N512" s="43">
        <v>166971871</v>
      </c>
      <c r="O512" s="43">
        <v>166971871</v>
      </c>
      <c r="P512" s="43">
        <v>0</v>
      </c>
      <c r="Q512" s="43">
        <v>0</v>
      </c>
      <c r="R512" s="43">
        <v>0</v>
      </c>
      <c r="S512" s="44">
        <v>0</v>
      </c>
      <c r="T512" s="44">
        <v>0</v>
      </c>
      <c r="U512" s="44">
        <v>0</v>
      </c>
      <c r="V512" s="40">
        <f t="shared" si="171"/>
        <v>0</v>
      </c>
      <c r="W512" s="43">
        <v>25028129</v>
      </c>
      <c r="X512" s="43">
        <v>166971871</v>
      </c>
      <c r="Y512" s="43">
        <v>0</v>
      </c>
      <c r="Z512" s="32">
        <f t="shared" ref="Z512" si="191">R512/L512</f>
        <v>0</v>
      </c>
    </row>
    <row r="513" spans="1:26" ht="25.5" x14ac:dyDescent="0.2">
      <c r="C513" s="16"/>
      <c r="D513" s="29" t="s">
        <v>197</v>
      </c>
      <c r="E513" s="17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34"/>
      <c r="T513" s="34"/>
      <c r="U513" s="34"/>
      <c r="V513" s="40">
        <f t="shared" si="171"/>
        <v>0</v>
      </c>
      <c r="W513" s="18"/>
      <c r="X513" s="18"/>
      <c r="Y513" s="18"/>
      <c r="Z513" s="18"/>
    </row>
    <row r="514" spans="1:26" ht="18.75" customHeight="1" x14ac:dyDescent="0.2">
      <c r="C514" s="16"/>
      <c r="D514" s="29" t="s">
        <v>492</v>
      </c>
      <c r="E514" s="17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34"/>
      <c r="T514" s="34"/>
      <c r="U514" s="34"/>
      <c r="V514" s="40">
        <f t="shared" si="171"/>
        <v>0</v>
      </c>
      <c r="W514" s="18"/>
      <c r="X514" s="18"/>
      <c r="Y514" s="18"/>
      <c r="Z514" s="18"/>
    </row>
    <row r="515" spans="1:26" ht="18.75" customHeight="1" x14ac:dyDescent="0.2">
      <c r="A515" s="4" t="s">
        <v>55</v>
      </c>
      <c r="B515" s="4" t="s">
        <v>56</v>
      </c>
      <c r="C515" s="41" t="s">
        <v>493</v>
      </c>
      <c r="D515" s="42" t="s">
        <v>233</v>
      </c>
      <c r="E515" s="43" t="s">
        <v>58</v>
      </c>
      <c r="F515" s="43">
        <v>0</v>
      </c>
      <c r="G515" s="44">
        <v>0</v>
      </c>
      <c r="H515" s="44">
        <v>0</v>
      </c>
      <c r="I515" s="43">
        <v>503000000</v>
      </c>
      <c r="J515" s="43">
        <v>0</v>
      </c>
      <c r="K515" s="43">
        <v>503000000</v>
      </c>
      <c r="L515" s="43">
        <v>503000000</v>
      </c>
      <c r="M515" s="44">
        <v>0</v>
      </c>
      <c r="N515" s="44">
        <v>0</v>
      </c>
      <c r="O515" s="44">
        <v>0</v>
      </c>
      <c r="P515" s="44">
        <v>0</v>
      </c>
      <c r="Q515" s="44">
        <v>0</v>
      </c>
      <c r="R515" s="44">
        <v>0</v>
      </c>
      <c r="S515" s="44">
        <v>0</v>
      </c>
      <c r="T515" s="44">
        <v>0</v>
      </c>
      <c r="U515" s="44">
        <v>0</v>
      </c>
      <c r="V515" s="40">
        <f t="shared" si="171"/>
        <v>0</v>
      </c>
      <c r="W515" s="43">
        <v>503000000</v>
      </c>
      <c r="X515" s="43">
        <v>0</v>
      </c>
      <c r="Y515" s="43">
        <v>0</v>
      </c>
      <c r="Z515" s="32">
        <f t="shared" ref="Z515" si="192">R515/L515</f>
        <v>0</v>
      </c>
    </row>
    <row r="516" spans="1:26" ht="18.75" customHeight="1" x14ac:dyDescent="0.2">
      <c r="C516" s="28" t="s">
        <v>288</v>
      </c>
      <c r="D516" s="29" t="s">
        <v>494</v>
      </c>
      <c r="E516" s="17"/>
      <c r="F516" s="18"/>
      <c r="G516" s="34"/>
      <c r="H516" s="34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34"/>
      <c r="T516" s="34"/>
      <c r="U516" s="34"/>
      <c r="V516" s="40">
        <f t="shared" si="171"/>
        <v>0</v>
      </c>
      <c r="W516" s="18"/>
      <c r="X516" s="18"/>
      <c r="Y516" s="18"/>
      <c r="Z516" s="18"/>
    </row>
    <row r="517" spans="1:26" ht="18.75" customHeight="1" x14ac:dyDescent="0.2">
      <c r="A517" s="4" t="s">
        <v>55</v>
      </c>
      <c r="B517" s="4" t="s">
        <v>56</v>
      </c>
      <c r="C517" s="41" t="s">
        <v>495</v>
      </c>
      <c r="D517" s="42" t="s">
        <v>233</v>
      </c>
      <c r="E517" s="43" t="s">
        <v>58</v>
      </c>
      <c r="F517" s="43">
        <v>100000000</v>
      </c>
      <c r="G517" s="44">
        <v>0</v>
      </c>
      <c r="H517" s="44">
        <v>0</v>
      </c>
      <c r="I517" s="43">
        <v>0</v>
      </c>
      <c r="J517" s="43">
        <v>0</v>
      </c>
      <c r="K517" s="43">
        <v>0</v>
      </c>
      <c r="L517" s="43">
        <v>100000000</v>
      </c>
      <c r="M517" s="43">
        <v>0</v>
      </c>
      <c r="N517" s="43">
        <v>46277775</v>
      </c>
      <c r="O517" s="43">
        <v>46277775</v>
      </c>
      <c r="P517" s="43">
        <v>0</v>
      </c>
      <c r="Q517" s="43">
        <v>46277775</v>
      </c>
      <c r="R517" s="43">
        <v>46277775</v>
      </c>
      <c r="S517" s="44">
        <v>0</v>
      </c>
      <c r="T517" s="44">
        <v>0</v>
      </c>
      <c r="U517" s="44">
        <v>0</v>
      </c>
      <c r="V517" s="40">
        <f t="shared" si="171"/>
        <v>0</v>
      </c>
      <c r="W517" s="43">
        <v>53722225</v>
      </c>
      <c r="X517" s="43">
        <v>0</v>
      </c>
      <c r="Y517" s="43">
        <v>46277775</v>
      </c>
      <c r="Z517" s="32">
        <f t="shared" ref="Z517" si="193">R517/L517</f>
        <v>0.46277774999999999</v>
      </c>
    </row>
    <row r="518" spans="1:26" ht="18.75" customHeight="1" x14ac:dyDescent="0.2">
      <c r="C518" s="28" t="s">
        <v>288</v>
      </c>
      <c r="D518" s="29" t="s">
        <v>496</v>
      </c>
      <c r="E518" s="17"/>
      <c r="F518" s="18"/>
      <c r="G518" s="34"/>
      <c r="H518" s="34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34"/>
      <c r="T518" s="34"/>
      <c r="U518" s="34"/>
      <c r="V518" s="40">
        <f t="shared" si="171"/>
        <v>0</v>
      </c>
      <c r="W518" s="18"/>
      <c r="X518" s="18"/>
      <c r="Y518" s="18"/>
      <c r="Z518" s="18"/>
    </row>
    <row r="519" spans="1:26" ht="18.75" customHeight="1" x14ac:dyDescent="0.2">
      <c r="A519" s="4" t="s">
        <v>55</v>
      </c>
      <c r="B519" s="4" t="s">
        <v>56</v>
      </c>
      <c r="C519" s="41" t="s">
        <v>497</v>
      </c>
      <c r="D519" s="42" t="s">
        <v>233</v>
      </c>
      <c r="E519" s="43" t="s">
        <v>58</v>
      </c>
      <c r="F519" s="43">
        <v>0</v>
      </c>
      <c r="G519" s="44">
        <v>0</v>
      </c>
      <c r="H519" s="44">
        <v>0</v>
      </c>
      <c r="I519" s="43">
        <v>91680424</v>
      </c>
      <c r="J519" s="43">
        <v>0</v>
      </c>
      <c r="K519" s="43">
        <v>91680424</v>
      </c>
      <c r="L519" s="43">
        <v>91680424</v>
      </c>
      <c r="M519" s="44">
        <v>0</v>
      </c>
      <c r="N519" s="44">
        <v>0</v>
      </c>
      <c r="O519" s="44">
        <v>0</v>
      </c>
      <c r="P519" s="44">
        <v>0</v>
      </c>
      <c r="Q519" s="44">
        <v>0</v>
      </c>
      <c r="R519" s="44">
        <v>0</v>
      </c>
      <c r="S519" s="44">
        <v>0</v>
      </c>
      <c r="T519" s="44">
        <v>0</v>
      </c>
      <c r="U519" s="44">
        <v>0</v>
      </c>
      <c r="V519" s="40">
        <f t="shared" si="171"/>
        <v>0</v>
      </c>
      <c r="W519" s="43">
        <v>91680424</v>
      </c>
      <c r="X519" s="43">
        <v>0</v>
      </c>
      <c r="Y519" s="43">
        <v>0</v>
      </c>
      <c r="Z519" s="32">
        <f t="shared" ref="Z519" si="194">R519/L519</f>
        <v>0</v>
      </c>
    </row>
    <row r="520" spans="1:26" ht="18.75" customHeight="1" x14ac:dyDescent="0.2">
      <c r="C520" s="28" t="s">
        <v>288</v>
      </c>
      <c r="D520" s="29" t="s">
        <v>498</v>
      </c>
      <c r="E520" s="17"/>
      <c r="F520" s="18"/>
      <c r="G520" s="34"/>
      <c r="H520" s="34"/>
      <c r="I520" s="18"/>
      <c r="J520" s="18"/>
      <c r="K520" s="18"/>
      <c r="L520" s="18"/>
      <c r="M520" s="34"/>
      <c r="N520" s="34"/>
      <c r="O520" s="34"/>
      <c r="P520" s="34"/>
      <c r="Q520" s="34"/>
      <c r="R520" s="34"/>
      <c r="S520" s="34"/>
      <c r="T520" s="34"/>
      <c r="U520" s="34"/>
      <c r="V520" s="40">
        <f t="shared" si="171"/>
        <v>0</v>
      </c>
      <c r="W520" s="18"/>
      <c r="X520" s="18"/>
      <c r="Y520" s="18"/>
      <c r="Z520" s="18"/>
    </row>
    <row r="521" spans="1:26" ht="18.75" customHeight="1" x14ac:dyDescent="0.2">
      <c r="A521" s="4" t="s">
        <v>55</v>
      </c>
      <c r="B521" s="4" t="s">
        <v>56</v>
      </c>
      <c r="C521" s="41" t="s">
        <v>499</v>
      </c>
      <c r="D521" s="42" t="s">
        <v>233</v>
      </c>
      <c r="E521" s="43" t="s">
        <v>58</v>
      </c>
      <c r="F521" s="43">
        <v>5000000000</v>
      </c>
      <c r="G521" s="44">
        <v>0</v>
      </c>
      <c r="H521" s="44">
        <v>0</v>
      </c>
      <c r="I521" s="43">
        <v>0</v>
      </c>
      <c r="J521" s="43">
        <v>2332895811.1500001</v>
      </c>
      <c r="K521" s="43">
        <v>-2332895811.1500001</v>
      </c>
      <c r="L521" s="43">
        <v>2667104188.8499999</v>
      </c>
      <c r="M521" s="44">
        <v>0</v>
      </c>
      <c r="N521" s="44">
        <v>0</v>
      </c>
      <c r="O521" s="44">
        <v>0</v>
      </c>
      <c r="P521" s="44">
        <v>0</v>
      </c>
      <c r="Q521" s="44">
        <v>0</v>
      </c>
      <c r="R521" s="44">
        <v>0</v>
      </c>
      <c r="S521" s="44">
        <v>0</v>
      </c>
      <c r="T521" s="44">
        <v>0</v>
      </c>
      <c r="U521" s="44">
        <v>0</v>
      </c>
      <c r="V521" s="40">
        <f t="shared" si="171"/>
        <v>0</v>
      </c>
      <c r="W521" s="43">
        <v>2667104188.8499999</v>
      </c>
      <c r="X521" s="43">
        <v>0</v>
      </c>
      <c r="Y521" s="43">
        <v>0</v>
      </c>
      <c r="Z521" s="32">
        <f t="shared" ref="Z521" si="195">R521/L521</f>
        <v>0</v>
      </c>
    </row>
    <row r="522" spans="1:26" ht="18.75" customHeight="1" x14ac:dyDescent="0.2">
      <c r="C522" s="28" t="s">
        <v>288</v>
      </c>
      <c r="D522" s="29" t="s">
        <v>483</v>
      </c>
      <c r="E522" s="17"/>
      <c r="F522" s="18"/>
      <c r="G522" s="34"/>
      <c r="H522" s="34"/>
      <c r="I522" s="18"/>
      <c r="J522" s="18"/>
      <c r="K522" s="18"/>
      <c r="L522" s="18"/>
      <c r="M522" s="34"/>
      <c r="N522" s="34"/>
      <c r="O522" s="34"/>
      <c r="P522" s="34"/>
      <c r="Q522" s="34"/>
      <c r="R522" s="34"/>
      <c r="S522" s="34"/>
      <c r="T522" s="34"/>
      <c r="U522" s="34"/>
      <c r="V522" s="40">
        <f t="shared" si="171"/>
        <v>0</v>
      </c>
      <c r="W522" s="18"/>
      <c r="X522" s="18"/>
      <c r="Y522" s="18"/>
      <c r="Z522" s="18"/>
    </row>
    <row r="523" spans="1:26" ht="18.75" customHeight="1" x14ac:dyDescent="0.2">
      <c r="A523" s="4" t="s">
        <v>55</v>
      </c>
      <c r="B523" s="4" t="s">
        <v>56</v>
      </c>
      <c r="C523" s="41" t="s">
        <v>500</v>
      </c>
      <c r="D523" s="42" t="s">
        <v>233</v>
      </c>
      <c r="E523" s="43" t="s">
        <v>58</v>
      </c>
      <c r="F523" s="43">
        <v>0</v>
      </c>
      <c r="G523" s="44">
        <v>0</v>
      </c>
      <c r="H523" s="44">
        <v>0</v>
      </c>
      <c r="I523" s="43">
        <v>36519672</v>
      </c>
      <c r="J523" s="43">
        <v>0</v>
      </c>
      <c r="K523" s="43">
        <v>36519672</v>
      </c>
      <c r="L523" s="43">
        <v>36519672</v>
      </c>
      <c r="M523" s="44">
        <v>0</v>
      </c>
      <c r="N523" s="44">
        <v>0</v>
      </c>
      <c r="O523" s="44">
        <v>0</v>
      </c>
      <c r="P523" s="44">
        <v>0</v>
      </c>
      <c r="Q523" s="44">
        <v>0</v>
      </c>
      <c r="R523" s="44">
        <v>0</v>
      </c>
      <c r="S523" s="44">
        <v>0</v>
      </c>
      <c r="T523" s="44">
        <v>0</v>
      </c>
      <c r="U523" s="44">
        <v>0</v>
      </c>
      <c r="V523" s="40">
        <f t="shared" si="171"/>
        <v>0</v>
      </c>
      <c r="W523" s="43">
        <v>36519672</v>
      </c>
      <c r="X523" s="43">
        <v>0</v>
      </c>
      <c r="Y523" s="43">
        <v>0</v>
      </c>
      <c r="Z523" s="32">
        <f t="shared" ref="Z523" si="196">R523/L523</f>
        <v>0</v>
      </c>
    </row>
    <row r="524" spans="1:26" ht="18.75" customHeight="1" x14ac:dyDescent="0.2">
      <c r="C524" s="28" t="s">
        <v>288</v>
      </c>
      <c r="D524" s="29" t="s">
        <v>487</v>
      </c>
      <c r="E524" s="17"/>
      <c r="F524" s="18"/>
      <c r="G524" s="34"/>
      <c r="H524" s="34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39">
        <f t="shared" si="171"/>
        <v>0</v>
      </c>
      <c r="W524" s="18"/>
      <c r="X524" s="18"/>
      <c r="Y524" s="18"/>
      <c r="Z524" s="18"/>
    </row>
    <row r="525" spans="1:26" ht="18.75" customHeight="1" x14ac:dyDescent="0.2">
      <c r="A525" s="4" t="s">
        <v>55</v>
      </c>
      <c r="B525" s="4" t="s">
        <v>56</v>
      </c>
      <c r="C525" s="41" t="s">
        <v>501</v>
      </c>
      <c r="D525" s="42" t="s">
        <v>439</v>
      </c>
      <c r="E525" s="43" t="s">
        <v>428</v>
      </c>
      <c r="F525" s="43">
        <v>4549743506</v>
      </c>
      <c r="G525" s="44">
        <v>0</v>
      </c>
      <c r="H525" s="44">
        <v>0</v>
      </c>
      <c r="I525" s="44">
        <v>0</v>
      </c>
      <c r="J525" s="44">
        <v>0</v>
      </c>
      <c r="K525" s="44">
        <v>0</v>
      </c>
      <c r="L525" s="43">
        <v>4549743506</v>
      </c>
      <c r="M525" s="43">
        <v>0</v>
      </c>
      <c r="N525" s="43">
        <v>897096529.63</v>
      </c>
      <c r="O525" s="43">
        <v>897096529.63</v>
      </c>
      <c r="P525" s="43">
        <v>0</v>
      </c>
      <c r="Q525" s="43">
        <v>0</v>
      </c>
      <c r="R525" s="43">
        <v>0</v>
      </c>
      <c r="S525" s="43">
        <v>0</v>
      </c>
      <c r="T525" s="43">
        <v>0</v>
      </c>
      <c r="U525" s="43">
        <v>0</v>
      </c>
      <c r="V525" s="39">
        <f t="shared" si="171"/>
        <v>0</v>
      </c>
      <c r="W525" s="43">
        <v>3652646976.3699999</v>
      </c>
      <c r="X525" s="43">
        <v>897096529.63</v>
      </c>
      <c r="Y525" s="43">
        <v>0</v>
      </c>
      <c r="Z525" s="32">
        <f t="shared" ref="Z525:Z526" si="197">R525/L525</f>
        <v>0</v>
      </c>
    </row>
    <row r="526" spans="1:26" ht="18.75" customHeight="1" x14ac:dyDescent="0.2">
      <c r="A526" s="4" t="s">
        <v>55</v>
      </c>
      <c r="B526" s="4" t="s">
        <v>56</v>
      </c>
      <c r="C526" s="41" t="s">
        <v>502</v>
      </c>
      <c r="D526" s="42" t="s">
        <v>490</v>
      </c>
      <c r="E526" s="43" t="s">
        <v>368</v>
      </c>
      <c r="F526" s="43">
        <v>104829219</v>
      </c>
      <c r="G526" s="44">
        <v>0</v>
      </c>
      <c r="H526" s="44">
        <v>0</v>
      </c>
      <c r="I526" s="44">
        <v>0</v>
      </c>
      <c r="J526" s="44">
        <v>0</v>
      </c>
      <c r="K526" s="44">
        <v>0</v>
      </c>
      <c r="L526" s="43">
        <v>104829219</v>
      </c>
      <c r="M526" s="43">
        <v>0</v>
      </c>
      <c r="N526" s="43">
        <v>6678050.4500000002</v>
      </c>
      <c r="O526" s="43">
        <v>6678050.4500000002</v>
      </c>
      <c r="P526" s="43">
        <v>0</v>
      </c>
      <c r="Q526" s="43">
        <v>6678050.4500000002</v>
      </c>
      <c r="R526" s="43">
        <v>6678050.4500000002</v>
      </c>
      <c r="S526" s="43">
        <v>0</v>
      </c>
      <c r="T526" s="43">
        <v>6678050.4500000002</v>
      </c>
      <c r="U526" s="43">
        <v>6678050.4500000002</v>
      </c>
      <c r="V526" s="39">
        <f t="shared" ref="V526:V560" si="198">S526+U526</f>
        <v>6678050.4500000002</v>
      </c>
      <c r="W526" s="43">
        <v>98151168.549999997</v>
      </c>
      <c r="X526" s="43">
        <v>0</v>
      </c>
      <c r="Y526" s="43">
        <v>0</v>
      </c>
      <c r="Z526" s="32">
        <f t="shared" si="197"/>
        <v>6.3704094275471038E-2</v>
      </c>
    </row>
    <row r="527" spans="1:26" ht="18.75" customHeight="1" x14ac:dyDescent="0.2">
      <c r="C527" s="28" t="s">
        <v>288</v>
      </c>
      <c r="D527" s="29" t="s">
        <v>400</v>
      </c>
      <c r="E527" s="17"/>
      <c r="F527" s="18"/>
      <c r="G527" s="34"/>
      <c r="H527" s="34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39">
        <f t="shared" si="198"/>
        <v>0</v>
      </c>
      <c r="W527" s="18"/>
      <c r="X527" s="18"/>
      <c r="Y527" s="18"/>
      <c r="Z527" s="18"/>
    </row>
    <row r="528" spans="1:26" ht="18.75" customHeight="1" x14ac:dyDescent="0.2">
      <c r="A528" s="4" t="s">
        <v>55</v>
      </c>
      <c r="B528" s="4" t="s">
        <v>56</v>
      </c>
      <c r="C528" s="41" t="s">
        <v>401</v>
      </c>
      <c r="D528" s="42" t="s">
        <v>233</v>
      </c>
      <c r="E528" s="43" t="s">
        <v>58</v>
      </c>
      <c r="F528" s="43">
        <v>2673811725</v>
      </c>
      <c r="G528" s="44">
        <v>0</v>
      </c>
      <c r="H528" s="44">
        <v>0</v>
      </c>
      <c r="I528" s="43">
        <v>1500000000</v>
      </c>
      <c r="J528" s="43">
        <v>0</v>
      </c>
      <c r="K528" s="43">
        <v>1500000000</v>
      </c>
      <c r="L528" s="43">
        <v>4173811725</v>
      </c>
      <c r="M528" s="43">
        <v>0</v>
      </c>
      <c r="N528" s="43">
        <v>2529600000</v>
      </c>
      <c r="O528" s="43">
        <v>2529600000</v>
      </c>
      <c r="P528" s="43">
        <v>0</v>
      </c>
      <c r="Q528" s="43">
        <v>2493600000</v>
      </c>
      <c r="R528" s="43">
        <v>2493600000</v>
      </c>
      <c r="S528" s="44">
        <v>0</v>
      </c>
      <c r="T528" s="44">
        <v>0</v>
      </c>
      <c r="U528" s="44">
        <v>0</v>
      </c>
      <c r="V528" s="40">
        <f t="shared" si="198"/>
        <v>0</v>
      </c>
      <c r="W528" s="43">
        <v>1644211725</v>
      </c>
      <c r="X528" s="43">
        <v>36000000</v>
      </c>
      <c r="Y528" s="43">
        <v>2493600000</v>
      </c>
      <c r="Z528" s="32">
        <f t="shared" ref="Z528:Z529" si="199">R528/L528</f>
        <v>0.59743950237717058</v>
      </c>
    </row>
    <row r="529" spans="1:26" ht="18.75" customHeight="1" x14ac:dyDescent="0.2">
      <c r="A529" s="4" t="s">
        <v>55</v>
      </c>
      <c r="B529" s="4" t="s">
        <v>56</v>
      </c>
      <c r="C529" s="41" t="s">
        <v>503</v>
      </c>
      <c r="D529" s="42" t="s">
        <v>439</v>
      </c>
      <c r="E529" s="43" t="s">
        <v>428</v>
      </c>
      <c r="F529" s="43">
        <v>1237500000</v>
      </c>
      <c r="G529" s="44">
        <v>0</v>
      </c>
      <c r="H529" s="44">
        <v>0</v>
      </c>
      <c r="I529" s="44">
        <v>0</v>
      </c>
      <c r="J529" s="44">
        <v>0</v>
      </c>
      <c r="K529" s="44">
        <v>0</v>
      </c>
      <c r="L529" s="43">
        <v>1237500000</v>
      </c>
      <c r="M529" s="43">
        <v>0</v>
      </c>
      <c r="N529" s="43">
        <v>882400000</v>
      </c>
      <c r="O529" s="43">
        <v>882400000</v>
      </c>
      <c r="P529" s="43">
        <v>28000000</v>
      </c>
      <c r="Q529" s="43">
        <v>838400000</v>
      </c>
      <c r="R529" s="43">
        <v>838400000</v>
      </c>
      <c r="S529" s="44">
        <v>0</v>
      </c>
      <c r="T529" s="44">
        <v>0</v>
      </c>
      <c r="U529" s="44">
        <v>0</v>
      </c>
      <c r="V529" s="40">
        <f t="shared" si="198"/>
        <v>0</v>
      </c>
      <c r="W529" s="43">
        <v>355100000</v>
      </c>
      <c r="X529" s="43">
        <v>44000000</v>
      </c>
      <c r="Y529" s="43">
        <v>838400000</v>
      </c>
      <c r="Z529" s="32">
        <f t="shared" si="199"/>
        <v>0.67749494949494948</v>
      </c>
    </row>
    <row r="530" spans="1:26" ht="18.75" customHeight="1" x14ac:dyDescent="0.2">
      <c r="C530" s="16"/>
      <c r="D530" s="29" t="s">
        <v>199</v>
      </c>
      <c r="E530" s="17"/>
      <c r="F530" s="18"/>
      <c r="G530" s="34"/>
      <c r="H530" s="34"/>
      <c r="I530" s="34"/>
      <c r="J530" s="34"/>
      <c r="K530" s="34"/>
      <c r="L530" s="18"/>
      <c r="M530" s="18"/>
      <c r="N530" s="18"/>
      <c r="O530" s="18"/>
      <c r="P530" s="18"/>
      <c r="Q530" s="18"/>
      <c r="R530" s="18"/>
      <c r="S530" s="34"/>
      <c r="T530" s="34"/>
      <c r="U530" s="34"/>
      <c r="V530" s="40">
        <f t="shared" si="198"/>
        <v>0</v>
      </c>
      <c r="W530" s="18"/>
      <c r="X530" s="18"/>
      <c r="Y530" s="18"/>
      <c r="Z530" s="18"/>
    </row>
    <row r="531" spans="1:26" ht="18.75" customHeight="1" x14ac:dyDescent="0.2">
      <c r="C531" s="28" t="s">
        <v>288</v>
      </c>
      <c r="D531" s="29" t="s">
        <v>504</v>
      </c>
      <c r="E531" s="17"/>
      <c r="F531" s="18"/>
      <c r="G531" s="34"/>
      <c r="H531" s="34"/>
      <c r="I531" s="34"/>
      <c r="J531" s="34"/>
      <c r="K531" s="34"/>
      <c r="L531" s="18"/>
      <c r="M531" s="18"/>
      <c r="N531" s="18"/>
      <c r="O531" s="18"/>
      <c r="P531" s="18"/>
      <c r="Q531" s="18"/>
      <c r="R531" s="18"/>
      <c r="S531" s="34"/>
      <c r="T531" s="34"/>
      <c r="U531" s="34"/>
      <c r="V531" s="40">
        <f t="shared" si="198"/>
        <v>0</v>
      </c>
      <c r="W531" s="18"/>
      <c r="X531" s="18"/>
      <c r="Y531" s="18"/>
      <c r="Z531" s="18"/>
    </row>
    <row r="532" spans="1:26" ht="18.75" customHeight="1" x14ac:dyDescent="0.2">
      <c r="A532" s="4" t="s">
        <v>55</v>
      </c>
      <c r="B532" s="4" t="s">
        <v>56</v>
      </c>
      <c r="C532" s="41" t="s">
        <v>505</v>
      </c>
      <c r="D532" s="42" t="s">
        <v>439</v>
      </c>
      <c r="E532" s="43" t="s">
        <v>428</v>
      </c>
      <c r="F532" s="43">
        <v>1896134100.8599999</v>
      </c>
      <c r="G532" s="44">
        <v>0</v>
      </c>
      <c r="H532" s="44">
        <v>0</v>
      </c>
      <c r="I532" s="44">
        <v>0</v>
      </c>
      <c r="J532" s="44">
        <v>0</v>
      </c>
      <c r="K532" s="44">
        <v>0</v>
      </c>
      <c r="L532" s="43">
        <v>1896134100.8599999</v>
      </c>
      <c r="M532" s="44">
        <v>0</v>
      </c>
      <c r="N532" s="44">
        <v>0</v>
      </c>
      <c r="O532" s="44">
        <v>0</v>
      </c>
      <c r="P532" s="44">
        <v>0</v>
      </c>
      <c r="Q532" s="44">
        <v>0</v>
      </c>
      <c r="R532" s="44">
        <v>0</v>
      </c>
      <c r="S532" s="44">
        <v>0</v>
      </c>
      <c r="T532" s="44">
        <v>0</v>
      </c>
      <c r="U532" s="44">
        <v>0</v>
      </c>
      <c r="V532" s="40">
        <f t="shared" si="198"/>
        <v>0</v>
      </c>
      <c r="W532" s="43">
        <v>1896134100.8599999</v>
      </c>
      <c r="X532" s="44">
        <v>0</v>
      </c>
      <c r="Y532" s="43">
        <v>0</v>
      </c>
      <c r="Z532" s="32">
        <f t="shared" ref="Z532" si="200">R532/L532</f>
        <v>0</v>
      </c>
    </row>
    <row r="533" spans="1:26" ht="18.75" customHeight="1" x14ac:dyDescent="0.2">
      <c r="C533" s="28" t="s">
        <v>288</v>
      </c>
      <c r="D533" s="29" t="s">
        <v>506</v>
      </c>
      <c r="E533" s="17"/>
      <c r="F533" s="18"/>
      <c r="G533" s="34"/>
      <c r="H533" s="34"/>
      <c r="I533" s="34"/>
      <c r="J533" s="34"/>
      <c r="K533" s="34"/>
      <c r="L533" s="18"/>
      <c r="M533" s="34"/>
      <c r="N533" s="34"/>
      <c r="O533" s="34"/>
      <c r="P533" s="34"/>
      <c r="Q533" s="34"/>
      <c r="R533" s="34"/>
      <c r="S533" s="34"/>
      <c r="T533" s="34"/>
      <c r="U533" s="34"/>
      <c r="V533" s="40">
        <f t="shared" si="198"/>
        <v>0</v>
      </c>
      <c r="W533" s="18"/>
      <c r="X533" s="34"/>
      <c r="Y533" s="18"/>
      <c r="Z533" s="18"/>
    </row>
    <row r="534" spans="1:26" ht="18.75" customHeight="1" x14ac:dyDescent="0.2">
      <c r="A534" s="4" t="s">
        <v>55</v>
      </c>
      <c r="B534" s="4" t="s">
        <v>56</v>
      </c>
      <c r="C534" s="41" t="s">
        <v>507</v>
      </c>
      <c r="D534" s="42" t="s">
        <v>439</v>
      </c>
      <c r="E534" s="43" t="s">
        <v>428</v>
      </c>
      <c r="F534" s="43">
        <v>6191009183.8000002</v>
      </c>
      <c r="G534" s="44">
        <v>0</v>
      </c>
      <c r="H534" s="44">
        <v>0</v>
      </c>
      <c r="I534" s="44">
        <v>0</v>
      </c>
      <c r="J534" s="44">
        <v>0</v>
      </c>
      <c r="K534" s="44">
        <v>0</v>
      </c>
      <c r="L534" s="43">
        <v>6191009183.8000002</v>
      </c>
      <c r="M534" s="44">
        <v>0</v>
      </c>
      <c r="N534" s="44">
        <v>0</v>
      </c>
      <c r="O534" s="44">
        <v>0</v>
      </c>
      <c r="P534" s="44">
        <v>0</v>
      </c>
      <c r="Q534" s="44">
        <v>0</v>
      </c>
      <c r="R534" s="44">
        <v>0</v>
      </c>
      <c r="S534" s="44">
        <v>0</v>
      </c>
      <c r="T534" s="44">
        <v>0</v>
      </c>
      <c r="U534" s="44">
        <v>0</v>
      </c>
      <c r="V534" s="40">
        <f t="shared" si="198"/>
        <v>0</v>
      </c>
      <c r="W534" s="43">
        <v>6191009183.8000002</v>
      </c>
      <c r="X534" s="44">
        <v>0</v>
      </c>
      <c r="Y534" s="43">
        <v>0</v>
      </c>
      <c r="Z534" s="32">
        <f t="shared" ref="Z534" si="201">R534/L534</f>
        <v>0</v>
      </c>
    </row>
    <row r="535" spans="1:26" ht="18.75" customHeight="1" x14ac:dyDescent="0.2">
      <c r="C535" s="28" t="s">
        <v>288</v>
      </c>
      <c r="D535" s="29" t="s">
        <v>508</v>
      </c>
      <c r="E535" s="17"/>
      <c r="F535" s="18"/>
      <c r="G535" s="34"/>
      <c r="H535" s="34"/>
      <c r="I535" s="34"/>
      <c r="J535" s="34"/>
      <c r="K535" s="34"/>
      <c r="L535" s="18"/>
      <c r="M535" s="34"/>
      <c r="N535" s="34"/>
      <c r="O535" s="34"/>
      <c r="P535" s="34"/>
      <c r="Q535" s="34"/>
      <c r="R535" s="34"/>
      <c r="S535" s="34"/>
      <c r="T535" s="34"/>
      <c r="U535" s="34"/>
      <c r="V535" s="40">
        <f t="shared" si="198"/>
        <v>0</v>
      </c>
      <c r="W535" s="18"/>
      <c r="X535" s="34"/>
      <c r="Y535" s="18"/>
      <c r="Z535" s="18"/>
    </row>
    <row r="536" spans="1:26" ht="18.75" customHeight="1" x14ac:dyDescent="0.2">
      <c r="A536" s="4" t="s">
        <v>55</v>
      </c>
      <c r="B536" s="4" t="s">
        <v>56</v>
      </c>
      <c r="C536" s="41" t="s">
        <v>509</v>
      </c>
      <c r="D536" s="42" t="s">
        <v>439</v>
      </c>
      <c r="E536" s="43" t="s">
        <v>428</v>
      </c>
      <c r="F536" s="43">
        <v>9340881185.3400002</v>
      </c>
      <c r="G536" s="44">
        <v>0</v>
      </c>
      <c r="H536" s="44">
        <v>0</v>
      </c>
      <c r="I536" s="44">
        <v>0</v>
      </c>
      <c r="J536" s="44">
        <v>0</v>
      </c>
      <c r="K536" s="44">
        <v>0</v>
      </c>
      <c r="L536" s="43">
        <v>9340881185.3400002</v>
      </c>
      <c r="M536" s="44">
        <v>0</v>
      </c>
      <c r="N536" s="44">
        <v>0</v>
      </c>
      <c r="O536" s="44">
        <v>0</v>
      </c>
      <c r="P536" s="44">
        <v>0</v>
      </c>
      <c r="Q536" s="44">
        <v>0</v>
      </c>
      <c r="R536" s="44">
        <v>0</v>
      </c>
      <c r="S536" s="44">
        <v>0</v>
      </c>
      <c r="T536" s="44">
        <v>0</v>
      </c>
      <c r="U536" s="44">
        <v>0</v>
      </c>
      <c r="V536" s="40">
        <f t="shared" si="198"/>
        <v>0</v>
      </c>
      <c r="W536" s="43">
        <v>9340881185.3400002</v>
      </c>
      <c r="X536" s="44">
        <v>0</v>
      </c>
      <c r="Y536" s="43">
        <v>0</v>
      </c>
      <c r="Z536" s="32">
        <f t="shared" ref="Z536:Z537" si="202">R536/L536</f>
        <v>0</v>
      </c>
    </row>
    <row r="537" spans="1:26" ht="18.75" customHeight="1" x14ac:dyDescent="0.2">
      <c r="A537" s="4" t="s">
        <v>55</v>
      </c>
      <c r="B537" s="4" t="s">
        <v>56</v>
      </c>
      <c r="C537" s="41" t="s">
        <v>510</v>
      </c>
      <c r="D537" s="42" t="s">
        <v>490</v>
      </c>
      <c r="E537" s="43" t="s">
        <v>368</v>
      </c>
      <c r="F537" s="43">
        <v>659690762</v>
      </c>
      <c r="G537" s="44">
        <v>0</v>
      </c>
      <c r="H537" s="44">
        <v>0</v>
      </c>
      <c r="I537" s="44">
        <v>0</v>
      </c>
      <c r="J537" s="44">
        <v>0</v>
      </c>
      <c r="K537" s="44">
        <v>0</v>
      </c>
      <c r="L537" s="43">
        <v>659690762</v>
      </c>
      <c r="M537" s="44">
        <v>0</v>
      </c>
      <c r="N537" s="44">
        <v>0</v>
      </c>
      <c r="O537" s="44">
        <v>0</v>
      </c>
      <c r="P537" s="44">
        <v>0</v>
      </c>
      <c r="Q537" s="44">
        <v>0</v>
      </c>
      <c r="R537" s="44">
        <v>0</v>
      </c>
      <c r="S537" s="44">
        <v>0</v>
      </c>
      <c r="T537" s="44">
        <v>0</v>
      </c>
      <c r="U537" s="44">
        <v>0</v>
      </c>
      <c r="V537" s="40">
        <f t="shared" si="198"/>
        <v>0</v>
      </c>
      <c r="W537" s="43">
        <v>659690762</v>
      </c>
      <c r="X537" s="44">
        <v>0</v>
      </c>
      <c r="Y537" s="43">
        <v>0</v>
      </c>
      <c r="Z537" s="32">
        <f t="shared" si="202"/>
        <v>0</v>
      </c>
    </row>
    <row r="538" spans="1:26" ht="25.5" x14ac:dyDescent="0.2">
      <c r="C538" s="16"/>
      <c r="D538" s="29" t="s">
        <v>511</v>
      </c>
      <c r="E538" s="17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34"/>
      <c r="T538" s="34"/>
      <c r="U538" s="34"/>
      <c r="V538" s="40"/>
      <c r="W538" s="18"/>
      <c r="X538" s="18"/>
      <c r="Y538" s="18"/>
      <c r="Z538" s="18"/>
    </row>
    <row r="539" spans="1:26" ht="18.75" customHeight="1" x14ac:dyDescent="0.2">
      <c r="C539" s="16"/>
      <c r="D539" s="29" t="s">
        <v>285</v>
      </c>
      <c r="E539" s="17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30"/>
      <c r="W539" s="18"/>
      <c r="X539" s="18"/>
      <c r="Y539" s="18"/>
      <c r="Z539" s="18"/>
    </row>
    <row r="540" spans="1:26" ht="18.75" customHeight="1" x14ac:dyDescent="0.2">
      <c r="C540" s="16"/>
      <c r="D540" s="29" t="s">
        <v>286</v>
      </c>
      <c r="E540" s="17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30"/>
      <c r="W540" s="18"/>
      <c r="X540" s="18"/>
      <c r="Y540" s="18"/>
      <c r="Z540" s="18"/>
    </row>
    <row r="541" spans="1:26" ht="18.75" customHeight="1" x14ac:dyDescent="0.2">
      <c r="C541" s="16"/>
      <c r="D541" s="29" t="s">
        <v>179</v>
      </c>
      <c r="E541" s="17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30"/>
      <c r="W541" s="18"/>
      <c r="X541" s="18"/>
      <c r="Y541" s="18"/>
      <c r="Z541" s="18"/>
    </row>
    <row r="542" spans="1:26" ht="18.75" customHeight="1" x14ac:dyDescent="0.2">
      <c r="C542" s="16"/>
      <c r="D542" s="29" t="s">
        <v>189</v>
      </c>
      <c r="E542" s="17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30"/>
      <c r="W542" s="18"/>
      <c r="X542" s="18"/>
      <c r="Y542" s="18"/>
      <c r="Z542" s="18"/>
    </row>
    <row r="543" spans="1:26" ht="18.75" customHeight="1" x14ac:dyDescent="0.2">
      <c r="C543" s="16"/>
      <c r="D543" s="29" t="s">
        <v>199</v>
      </c>
      <c r="E543" s="17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30"/>
      <c r="W543" s="18"/>
      <c r="X543" s="18"/>
      <c r="Y543" s="18"/>
      <c r="Z543" s="18"/>
    </row>
    <row r="544" spans="1:26" ht="25.5" x14ac:dyDescent="0.2">
      <c r="C544" s="28" t="s">
        <v>288</v>
      </c>
      <c r="D544" s="29" t="s">
        <v>512</v>
      </c>
      <c r="E544" s="17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30"/>
      <c r="W544" s="18"/>
      <c r="X544" s="18"/>
      <c r="Y544" s="18"/>
      <c r="Z544" s="18"/>
    </row>
    <row r="545" spans="1:26" ht="18.75" customHeight="1" x14ac:dyDescent="0.2">
      <c r="A545" s="4" t="s">
        <v>55</v>
      </c>
      <c r="B545" s="4" t="s">
        <v>56</v>
      </c>
      <c r="C545" s="41" t="s">
        <v>513</v>
      </c>
      <c r="D545" s="42" t="s">
        <v>233</v>
      </c>
      <c r="E545" s="43" t="s">
        <v>58</v>
      </c>
      <c r="F545" s="43">
        <v>331060322</v>
      </c>
      <c r="G545" s="44">
        <v>0</v>
      </c>
      <c r="H545" s="44">
        <v>0</v>
      </c>
      <c r="I545" s="44">
        <v>0</v>
      </c>
      <c r="J545" s="44">
        <v>0</v>
      </c>
      <c r="K545" s="44">
        <v>0</v>
      </c>
      <c r="L545" s="43">
        <v>331060322</v>
      </c>
      <c r="M545" s="44">
        <v>0</v>
      </c>
      <c r="N545" s="44">
        <v>0</v>
      </c>
      <c r="O545" s="44">
        <v>0</v>
      </c>
      <c r="P545" s="44">
        <v>0</v>
      </c>
      <c r="Q545" s="44">
        <v>0</v>
      </c>
      <c r="R545" s="44">
        <v>0</v>
      </c>
      <c r="S545" s="34">
        <v>0</v>
      </c>
      <c r="T545" s="34">
        <v>0</v>
      </c>
      <c r="U545" s="34">
        <v>0</v>
      </c>
      <c r="V545" s="40">
        <f t="shared" si="198"/>
        <v>0</v>
      </c>
      <c r="W545" s="43">
        <v>331060322</v>
      </c>
      <c r="X545" s="43">
        <v>0</v>
      </c>
      <c r="Y545" s="43">
        <v>0</v>
      </c>
      <c r="Z545" s="32">
        <f t="shared" ref="Z545:Z549" si="203">R545/L545</f>
        <v>0</v>
      </c>
    </row>
    <row r="546" spans="1:26" ht="18.75" customHeight="1" x14ac:dyDescent="0.2">
      <c r="A546" s="4" t="s">
        <v>55</v>
      </c>
      <c r="B546" s="4" t="s">
        <v>56</v>
      </c>
      <c r="C546" s="41" t="s">
        <v>514</v>
      </c>
      <c r="D546" s="42" t="s">
        <v>515</v>
      </c>
      <c r="E546" s="43" t="s">
        <v>516</v>
      </c>
      <c r="F546" s="43">
        <v>6887333116</v>
      </c>
      <c r="G546" s="44">
        <v>0</v>
      </c>
      <c r="H546" s="44">
        <v>0</v>
      </c>
      <c r="I546" s="44">
        <v>0</v>
      </c>
      <c r="J546" s="44">
        <v>0</v>
      </c>
      <c r="K546" s="44">
        <v>0</v>
      </c>
      <c r="L546" s="43">
        <v>6887333116</v>
      </c>
      <c r="M546" s="44">
        <v>0</v>
      </c>
      <c r="N546" s="44">
        <v>0</v>
      </c>
      <c r="O546" s="44">
        <v>0</v>
      </c>
      <c r="P546" s="44">
        <v>0</v>
      </c>
      <c r="Q546" s="44">
        <v>0</v>
      </c>
      <c r="R546" s="44">
        <v>0</v>
      </c>
      <c r="S546" s="34">
        <v>0</v>
      </c>
      <c r="T546" s="34">
        <v>0</v>
      </c>
      <c r="U546" s="34">
        <v>0</v>
      </c>
      <c r="V546" s="40">
        <f t="shared" si="198"/>
        <v>0</v>
      </c>
      <c r="W546" s="43">
        <v>6887333116</v>
      </c>
      <c r="X546" s="43">
        <v>0</v>
      </c>
      <c r="Y546" s="43">
        <v>0</v>
      </c>
      <c r="Z546" s="32">
        <f t="shared" si="203"/>
        <v>0</v>
      </c>
    </row>
    <row r="547" spans="1:26" x14ac:dyDescent="0.2">
      <c r="A547" s="4" t="s">
        <v>55</v>
      </c>
      <c r="B547" s="4" t="s">
        <v>56</v>
      </c>
      <c r="C547" s="41" t="s">
        <v>517</v>
      </c>
      <c r="D547" s="42" t="s">
        <v>518</v>
      </c>
      <c r="E547" s="43" t="s">
        <v>428</v>
      </c>
      <c r="F547" s="43">
        <v>263626220</v>
      </c>
      <c r="G547" s="44">
        <v>0</v>
      </c>
      <c r="H547" s="44">
        <v>0</v>
      </c>
      <c r="I547" s="44">
        <v>0</v>
      </c>
      <c r="J547" s="44">
        <v>0</v>
      </c>
      <c r="K547" s="44">
        <v>0</v>
      </c>
      <c r="L547" s="43">
        <v>263626220</v>
      </c>
      <c r="M547" s="44">
        <v>0</v>
      </c>
      <c r="N547" s="44">
        <v>0</v>
      </c>
      <c r="O547" s="44">
        <v>0</v>
      </c>
      <c r="P547" s="44">
        <v>0</v>
      </c>
      <c r="Q547" s="44">
        <v>0</v>
      </c>
      <c r="R547" s="44">
        <v>0</v>
      </c>
      <c r="S547" s="34">
        <v>0</v>
      </c>
      <c r="T547" s="34">
        <v>0</v>
      </c>
      <c r="U547" s="34">
        <v>0</v>
      </c>
      <c r="V547" s="40">
        <f t="shared" si="198"/>
        <v>0</v>
      </c>
      <c r="W547" s="43">
        <v>263626220</v>
      </c>
      <c r="X547" s="43">
        <v>0</v>
      </c>
      <c r="Y547" s="43">
        <v>0</v>
      </c>
      <c r="Z547" s="32">
        <f t="shared" si="203"/>
        <v>0</v>
      </c>
    </row>
    <row r="548" spans="1:26" ht="25.5" x14ac:dyDescent="0.2">
      <c r="A548" s="4" t="s">
        <v>55</v>
      </c>
      <c r="B548" s="4" t="s">
        <v>56</v>
      </c>
      <c r="C548" s="41" t="s">
        <v>519</v>
      </c>
      <c r="D548" s="42" t="s">
        <v>520</v>
      </c>
      <c r="E548" s="43" t="s">
        <v>368</v>
      </c>
      <c r="F548" s="43">
        <v>6200094.4000000004</v>
      </c>
      <c r="G548" s="44">
        <v>0</v>
      </c>
      <c r="H548" s="44">
        <v>0</v>
      </c>
      <c r="I548" s="44">
        <v>0</v>
      </c>
      <c r="J548" s="44">
        <v>0</v>
      </c>
      <c r="K548" s="44">
        <v>0</v>
      </c>
      <c r="L548" s="43">
        <v>6200094.4000000004</v>
      </c>
      <c r="M548" s="44">
        <v>0</v>
      </c>
      <c r="N548" s="44">
        <v>0</v>
      </c>
      <c r="O548" s="44">
        <v>0</v>
      </c>
      <c r="P548" s="44">
        <v>0</v>
      </c>
      <c r="Q548" s="44">
        <v>0</v>
      </c>
      <c r="R548" s="44">
        <v>0</v>
      </c>
      <c r="S548" s="34">
        <v>0</v>
      </c>
      <c r="T548" s="34">
        <v>0</v>
      </c>
      <c r="U548" s="34">
        <v>0</v>
      </c>
      <c r="V548" s="40">
        <f t="shared" si="198"/>
        <v>0</v>
      </c>
      <c r="W548" s="43">
        <v>6200094.4000000004</v>
      </c>
      <c r="X548" s="43">
        <v>0</v>
      </c>
      <c r="Y548" s="43">
        <v>0</v>
      </c>
      <c r="Z548" s="32">
        <f t="shared" si="203"/>
        <v>0</v>
      </c>
    </row>
    <row r="549" spans="1:26" ht="25.5" x14ac:dyDescent="0.2">
      <c r="A549" s="4" t="s">
        <v>55</v>
      </c>
      <c r="B549" s="4" t="s">
        <v>56</v>
      </c>
      <c r="C549" s="41" t="s">
        <v>521</v>
      </c>
      <c r="D549" s="42" t="s">
        <v>522</v>
      </c>
      <c r="E549" s="43" t="s">
        <v>368</v>
      </c>
      <c r="F549" s="43">
        <v>112310609.13</v>
      </c>
      <c r="G549" s="44">
        <v>0</v>
      </c>
      <c r="H549" s="44">
        <v>0</v>
      </c>
      <c r="I549" s="44">
        <v>0</v>
      </c>
      <c r="J549" s="44">
        <v>0</v>
      </c>
      <c r="K549" s="44">
        <v>0</v>
      </c>
      <c r="L549" s="43">
        <v>112310609.13</v>
      </c>
      <c r="M549" s="44">
        <v>0</v>
      </c>
      <c r="N549" s="44">
        <v>0</v>
      </c>
      <c r="O549" s="44">
        <v>0</v>
      </c>
      <c r="P549" s="44">
        <v>0</v>
      </c>
      <c r="Q549" s="44">
        <v>0</v>
      </c>
      <c r="R549" s="44">
        <v>0</v>
      </c>
      <c r="S549" s="34">
        <v>0</v>
      </c>
      <c r="T549" s="34">
        <v>0</v>
      </c>
      <c r="U549" s="34">
        <v>0</v>
      </c>
      <c r="V549" s="40">
        <f t="shared" si="198"/>
        <v>0</v>
      </c>
      <c r="W549" s="43">
        <v>112310609.13</v>
      </c>
      <c r="X549" s="43">
        <v>0</v>
      </c>
      <c r="Y549" s="43">
        <v>0</v>
      </c>
      <c r="Z549" s="32">
        <f t="shared" si="203"/>
        <v>0</v>
      </c>
    </row>
    <row r="550" spans="1:26" ht="18.75" customHeight="1" x14ac:dyDescent="0.2">
      <c r="C550" s="16"/>
      <c r="D550" s="17"/>
      <c r="E550" s="17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34"/>
      <c r="T550" s="34"/>
      <c r="U550" s="34"/>
      <c r="V550" s="40"/>
      <c r="W550" s="18"/>
      <c r="X550" s="18"/>
      <c r="Y550" s="18"/>
      <c r="Z550" s="18"/>
    </row>
    <row r="551" spans="1:26" ht="18.75" customHeight="1" x14ac:dyDescent="0.2">
      <c r="C551" s="16"/>
      <c r="D551" s="29" t="s">
        <v>523</v>
      </c>
      <c r="E551" s="17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34"/>
      <c r="T551" s="34"/>
      <c r="U551" s="34"/>
      <c r="V551" s="40"/>
      <c r="W551" s="18"/>
      <c r="X551" s="18"/>
      <c r="Y551" s="18"/>
      <c r="Z551" s="18"/>
    </row>
    <row r="552" spans="1:26" ht="18.75" customHeight="1" x14ac:dyDescent="0.2">
      <c r="C552" s="16"/>
      <c r="D552" s="29" t="s">
        <v>285</v>
      </c>
      <c r="E552" s="17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34"/>
      <c r="T552" s="34"/>
      <c r="U552" s="34"/>
      <c r="V552" s="40"/>
      <c r="W552" s="18"/>
      <c r="X552" s="18"/>
      <c r="Y552" s="18"/>
      <c r="Z552" s="18"/>
    </row>
    <row r="553" spans="1:26" ht="18.75" customHeight="1" x14ac:dyDescent="0.2">
      <c r="C553" s="16"/>
      <c r="D553" s="29" t="s">
        <v>286</v>
      </c>
      <c r="E553" s="17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34"/>
      <c r="T553" s="34"/>
      <c r="U553" s="34"/>
      <c r="V553" s="40"/>
      <c r="W553" s="18"/>
      <c r="X553" s="18"/>
      <c r="Y553" s="18"/>
      <c r="Z553" s="18"/>
    </row>
    <row r="554" spans="1:26" ht="18.75" customHeight="1" x14ac:dyDescent="0.2">
      <c r="C554" s="16"/>
      <c r="D554" s="29" t="s">
        <v>179</v>
      </c>
      <c r="E554" s="17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34"/>
      <c r="T554" s="34"/>
      <c r="U554" s="34"/>
      <c r="V554" s="40"/>
      <c r="W554" s="18"/>
      <c r="X554" s="18"/>
      <c r="Y554" s="18"/>
      <c r="Z554" s="18"/>
    </row>
    <row r="555" spans="1:26" ht="18.75" customHeight="1" x14ac:dyDescent="0.2">
      <c r="C555" s="16"/>
      <c r="D555" s="29" t="s">
        <v>189</v>
      </c>
      <c r="E555" s="17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34"/>
      <c r="T555" s="34"/>
      <c r="U555" s="34"/>
      <c r="V555" s="40"/>
      <c r="W555" s="18"/>
      <c r="X555" s="18"/>
      <c r="Y555" s="18"/>
      <c r="Z555" s="18"/>
    </row>
    <row r="556" spans="1:26" ht="18.75" customHeight="1" x14ac:dyDescent="0.2">
      <c r="C556" s="16"/>
      <c r="D556" s="29" t="s">
        <v>191</v>
      </c>
      <c r="E556" s="17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34"/>
      <c r="T556" s="34"/>
      <c r="U556" s="34"/>
      <c r="V556" s="40"/>
      <c r="W556" s="18"/>
      <c r="X556" s="18"/>
      <c r="Y556" s="18"/>
      <c r="Z556" s="18"/>
    </row>
    <row r="557" spans="1:26" ht="18.75" customHeight="1" x14ac:dyDescent="0.2">
      <c r="C557" s="28" t="s">
        <v>288</v>
      </c>
      <c r="D557" s="29" t="s">
        <v>459</v>
      </c>
      <c r="E557" s="17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34"/>
      <c r="T557" s="34"/>
      <c r="U557" s="34"/>
      <c r="V557" s="40"/>
      <c r="W557" s="18"/>
      <c r="X557" s="18"/>
      <c r="Y557" s="18"/>
      <c r="Z557" s="18"/>
    </row>
    <row r="558" spans="1:26" ht="25.5" x14ac:dyDescent="0.2">
      <c r="A558" s="4" t="s">
        <v>55</v>
      </c>
      <c r="B558" s="4" t="s">
        <v>56</v>
      </c>
      <c r="C558" s="41" t="s">
        <v>524</v>
      </c>
      <c r="D558" s="42" t="s">
        <v>525</v>
      </c>
      <c r="E558" s="43" t="s">
        <v>428</v>
      </c>
      <c r="F558" s="43">
        <v>47990790</v>
      </c>
      <c r="G558" s="44">
        <v>0</v>
      </c>
      <c r="H558" s="44">
        <v>0</v>
      </c>
      <c r="I558" s="44">
        <v>0</v>
      </c>
      <c r="J558" s="44">
        <v>0</v>
      </c>
      <c r="K558" s="44">
        <v>0</v>
      </c>
      <c r="L558" s="43">
        <v>47990790</v>
      </c>
      <c r="M558" s="44">
        <v>0</v>
      </c>
      <c r="N558" s="44">
        <v>0</v>
      </c>
      <c r="O558" s="44">
        <v>0</v>
      </c>
      <c r="P558" s="44">
        <v>0</v>
      </c>
      <c r="Q558" s="44">
        <v>0</v>
      </c>
      <c r="R558" s="44">
        <v>0</v>
      </c>
      <c r="S558" s="34">
        <v>0</v>
      </c>
      <c r="T558" s="34">
        <v>0</v>
      </c>
      <c r="U558" s="34">
        <v>0</v>
      </c>
      <c r="V558" s="40">
        <f t="shared" si="198"/>
        <v>0</v>
      </c>
      <c r="W558" s="43">
        <v>47990790</v>
      </c>
      <c r="X558" s="43">
        <v>0</v>
      </c>
      <c r="Y558" s="43">
        <v>0</v>
      </c>
      <c r="Z558" s="32">
        <f t="shared" ref="Z558:Z559" si="204">R558/L558</f>
        <v>0</v>
      </c>
    </row>
    <row r="559" spans="1:26" ht="25.5" x14ac:dyDescent="0.2">
      <c r="A559" s="4" t="s">
        <v>55</v>
      </c>
      <c r="B559" s="4" t="s">
        <v>56</v>
      </c>
      <c r="C559" s="41" t="s">
        <v>526</v>
      </c>
      <c r="D559" s="42" t="s">
        <v>527</v>
      </c>
      <c r="E559" s="43" t="s">
        <v>428</v>
      </c>
      <c r="F559" s="43">
        <v>1098509998.8599999</v>
      </c>
      <c r="G559" s="44">
        <v>0</v>
      </c>
      <c r="H559" s="44">
        <v>0</v>
      </c>
      <c r="I559" s="44">
        <v>0</v>
      </c>
      <c r="J559" s="44">
        <v>0</v>
      </c>
      <c r="K559" s="44">
        <v>0</v>
      </c>
      <c r="L559" s="43">
        <v>1098509998.8599999</v>
      </c>
      <c r="M559" s="44">
        <v>0</v>
      </c>
      <c r="N559" s="44">
        <v>0</v>
      </c>
      <c r="O559" s="44">
        <v>0</v>
      </c>
      <c r="P559" s="44">
        <v>0</v>
      </c>
      <c r="Q559" s="44">
        <v>0</v>
      </c>
      <c r="R559" s="44">
        <v>0</v>
      </c>
      <c r="S559" s="34">
        <v>0</v>
      </c>
      <c r="T559" s="34">
        <v>0</v>
      </c>
      <c r="U559" s="34">
        <v>0</v>
      </c>
      <c r="V559" s="40">
        <f t="shared" si="198"/>
        <v>0</v>
      </c>
      <c r="W559" s="43">
        <v>1098509998.8599999</v>
      </c>
      <c r="X559" s="43">
        <v>0</v>
      </c>
      <c r="Y559" s="43">
        <v>0</v>
      </c>
      <c r="Z559" s="32">
        <f t="shared" si="204"/>
        <v>0</v>
      </c>
    </row>
    <row r="560" spans="1:26" x14ac:dyDescent="0.2">
      <c r="C560" s="16"/>
      <c r="D560" s="17"/>
      <c r="E560" s="17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30">
        <f t="shared" si="198"/>
        <v>0</v>
      </c>
      <c r="W560" s="18"/>
      <c r="X560" s="18"/>
      <c r="Y560" s="18"/>
      <c r="Z560" s="18"/>
    </row>
    <row r="561" spans="1:26" s="50" customFormat="1" ht="18.75" customHeight="1" x14ac:dyDescent="0.2">
      <c r="B561" s="77"/>
      <c r="C561" s="46"/>
      <c r="D561" s="47" t="s">
        <v>528</v>
      </c>
      <c r="E561" s="47"/>
      <c r="F561" s="48">
        <f t="shared" ref="F561:U561" si="205">SUM(F461:F559)</f>
        <v>94071374538</v>
      </c>
      <c r="G561" s="49">
        <f t="shared" si="205"/>
        <v>0</v>
      </c>
      <c r="H561" s="49">
        <f t="shared" si="205"/>
        <v>0</v>
      </c>
      <c r="I561" s="48">
        <f t="shared" si="205"/>
        <v>29491895349.150002</v>
      </c>
      <c r="J561" s="48">
        <f t="shared" si="205"/>
        <v>29491895349.150002</v>
      </c>
      <c r="K561" s="48">
        <f t="shared" si="205"/>
        <v>0</v>
      </c>
      <c r="L561" s="48">
        <f t="shared" si="205"/>
        <v>94071374538</v>
      </c>
      <c r="M561" s="48">
        <f t="shared" si="205"/>
        <v>0</v>
      </c>
      <c r="N561" s="48">
        <f t="shared" si="205"/>
        <v>26726136348.280003</v>
      </c>
      <c r="O561" s="48">
        <f t="shared" si="205"/>
        <v>26726136348.280003</v>
      </c>
      <c r="P561" s="48">
        <f t="shared" si="205"/>
        <v>126663376</v>
      </c>
      <c r="Q561" s="48">
        <f t="shared" si="205"/>
        <v>5187043429.6499996</v>
      </c>
      <c r="R561" s="48">
        <f t="shared" si="205"/>
        <v>5187043429.6499996</v>
      </c>
      <c r="S561" s="48">
        <f t="shared" si="205"/>
        <v>0</v>
      </c>
      <c r="T561" s="48">
        <f t="shared" si="205"/>
        <v>8469596.4499999993</v>
      </c>
      <c r="U561" s="48">
        <f t="shared" si="205"/>
        <v>8469596.4499999993</v>
      </c>
      <c r="V561" s="22">
        <f>S561+U561</f>
        <v>8469596.4499999993</v>
      </c>
      <c r="W561" s="48">
        <f>SUM(W461:W559)</f>
        <v>67345238189.720016</v>
      </c>
      <c r="X561" s="48">
        <f>SUM(X461:X559)</f>
        <v>21539092918.630001</v>
      </c>
      <c r="Y561" s="48">
        <f>SUM(Y461:Y559)</f>
        <v>5178573833.1999998</v>
      </c>
      <c r="Z561" s="24">
        <f t="shared" ref="Z561" si="206">R561/L561</f>
        <v>5.5139445502145827E-2</v>
      </c>
    </row>
    <row r="562" spans="1:26" ht="18.75" customHeight="1" x14ac:dyDescent="0.2">
      <c r="C562" s="16"/>
      <c r="D562" s="17"/>
      <c r="E562" s="17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s="25" customFormat="1" ht="18.75" customHeight="1" x14ac:dyDescent="0.2">
      <c r="B563" s="71"/>
      <c r="C563" s="66"/>
      <c r="D563" s="21" t="s">
        <v>529</v>
      </c>
      <c r="E563" s="67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8.75" customHeight="1" x14ac:dyDescent="0.2">
      <c r="C564" s="16"/>
      <c r="D564" s="29" t="s">
        <v>286</v>
      </c>
      <c r="E564" s="17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8.75" customHeight="1" x14ac:dyDescent="0.2">
      <c r="C565" s="16"/>
      <c r="D565" s="29" t="s">
        <v>179</v>
      </c>
      <c r="E565" s="17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8.75" customHeight="1" x14ac:dyDescent="0.2">
      <c r="C566" s="16"/>
      <c r="D566" s="29" t="s">
        <v>181</v>
      </c>
      <c r="E566" s="17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x14ac:dyDescent="0.2">
      <c r="C567" s="16"/>
      <c r="D567" s="29" t="s">
        <v>530</v>
      </c>
      <c r="E567" s="17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30"/>
      <c r="W567" s="18"/>
      <c r="X567" s="18"/>
      <c r="Y567" s="18"/>
      <c r="Z567" s="18"/>
    </row>
    <row r="568" spans="1:26" ht="25.5" x14ac:dyDescent="0.2">
      <c r="C568" s="28" t="s">
        <v>288</v>
      </c>
      <c r="D568" s="29" t="s">
        <v>531</v>
      </c>
      <c r="E568" s="17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30"/>
      <c r="W568" s="18"/>
      <c r="X568" s="18"/>
      <c r="Y568" s="18"/>
      <c r="Z568" s="18"/>
    </row>
    <row r="569" spans="1:26" x14ac:dyDescent="0.2">
      <c r="A569" s="4" t="s">
        <v>55</v>
      </c>
      <c r="B569" s="4" t="s">
        <v>56</v>
      </c>
      <c r="C569" s="41" t="s">
        <v>532</v>
      </c>
      <c r="D569" s="42" t="s">
        <v>233</v>
      </c>
      <c r="E569" s="43" t="s">
        <v>58</v>
      </c>
      <c r="F569" s="43">
        <v>40000000.659999996</v>
      </c>
      <c r="G569" s="44">
        <v>0</v>
      </c>
      <c r="H569" s="44">
        <v>0</v>
      </c>
      <c r="I569" s="44">
        <v>0</v>
      </c>
      <c r="J569" s="44">
        <v>0</v>
      </c>
      <c r="K569" s="44">
        <v>0</v>
      </c>
      <c r="L569" s="43">
        <v>40000000.659999996</v>
      </c>
      <c r="M569" s="44">
        <v>0</v>
      </c>
      <c r="N569" s="44">
        <v>0</v>
      </c>
      <c r="O569" s="44">
        <v>0</v>
      </c>
      <c r="P569" s="44">
        <v>0</v>
      </c>
      <c r="Q569" s="44">
        <v>0</v>
      </c>
      <c r="R569" s="44">
        <v>0</v>
      </c>
      <c r="S569" s="34">
        <v>0</v>
      </c>
      <c r="T569" s="34">
        <v>0</v>
      </c>
      <c r="U569" s="34">
        <v>0</v>
      </c>
      <c r="V569" s="40">
        <f t="shared" ref="V569:V614" si="207">S569+U569</f>
        <v>0</v>
      </c>
      <c r="W569" s="43">
        <v>40000000.659999996</v>
      </c>
      <c r="X569" s="43">
        <v>0</v>
      </c>
      <c r="Y569" s="43">
        <v>0</v>
      </c>
      <c r="Z569" s="32">
        <f t="shared" ref="Z569" si="208">R569/L569</f>
        <v>0</v>
      </c>
    </row>
    <row r="570" spans="1:26" ht="25.5" x14ac:dyDescent="0.2">
      <c r="C570" s="28" t="s">
        <v>288</v>
      </c>
      <c r="D570" s="29" t="s">
        <v>533</v>
      </c>
      <c r="E570" s="17"/>
      <c r="F570" s="18"/>
      <c r="G570" s="34"/>
      <c r="H570" s="34"/>
      <c r="I570" s="34"/>
      <c r="J570" s="34"/>
      <c r="K570" s="34"/>
      <c r="L570" s="18"/>
      <c r="M570" s="18"/>
      <c r="N570" s="18"/>
      <c r="O570" s="18"/>
      <c r="P570" s="18"/>
      <c r="Q570" s="18"/>
      <c r="R570" s="18"/>
      <c r="S570" s="34"/>
      <c r="T570" s="34"/>
      <c r="U570" s="34"/>
      <c r="V570" s="40">
        <f t="shared" si="207"/>
        <v>0</v>
      </c>
      <c r="W570" s="18"/>
      <c r="X570" s="18"/>
      <c r="Y570" s="18"/>
      <c r="Z570" s="18"/>
    </row>
    <row r="571" spans="1:26" x14ac:dyDescent="0.2">
      <c r="A571" s="4" t="s">
        <v>55</v>
      </c>
      <c r="B571" s="4" t="s">
        <v>56</v>
      </c>
      <c r="C571" s="41" t="s">
        <v>534</v>
      </c>
      <c r="D571" s="42" t="s">
        <v>233</v>
      </c>
      <c r="E571" s="43" t="s">
        <v>58</v>
      </c>
      <c r="F571" s="43">
        <v>100000000</v>
      </c>
      <c r="G571" s="44">
        <v>0</v>
      </c>
      <c r="H571" s="44">
        <v>0</v>
      </c>
      <c r="I571" s="44">
        <v>0</v>
      </c>
      <c r="J571" s="44">
        <v>0</v>
      </c>
      <c r="K571" s="44">
        <v>0</v>
      </c>
      <c r="L571" s="43">
        <v>100000000</v>
      </c>
      <c r="M571" s="44">
        <v>0</v>
      </c>
      <c r="N571" s="44">
        <v>0</v>
      </c>
      <c r="O571" s="44">
        <v>0</v>
      </c>
      <c r="P571" s="44">
        <v>0</v>
      </c>
      <c r="Q571" s="44">
        <v>0</v>
      </c>
      <c r="R571" s="44">
        <v>0</v>
      </c>
      <c r="S571" s="34">
        <v>0</v>
      </c>
      <c r="T571" s="34">
        <v>0</v>
      </c>
      <c r="U571" s="34">
        <v>0</v>
      </c>
      <c r="V571" s="40">
        <f t="shared" si="207"/>
        <v>0</v>
      </c>
      <c r="W571" s="43">
        <v>100000000</v>
      </c>
      <c r="X571" s="43">
        <v>0</v>
      </c>
      <c r="Y571" s="43">
        <v>0</v>
      </c>
      <c r="Z571" s="32">
        <f t="shared" ref="Z571" si="209">R571/L571</f>
        <v>0</v>
      </c>
    </row>
    <row r="572" spans="1:26" x14ac:dyDescent="0.2">
      <c r="C572" s="16"/>
      <c r="D572" s="17"/>
      <c r="E572" s="17"/>
      <c r="F572" s="18"/>
      <c r="G572" s="34"/>
      <c r="H572" s="34"/>
      <c r="I572" s="34"/>
      <c r="J572" s="34"/>
      <c r="K572" s="34"/>
      <c r="L572" s="18"/>
      <c r="M572" s="34"/>
      <c r="N572" s="34"/>
      <c r="O572" s="34"/>
      <c r="P572" s="34"/>
      <c r="Q572" s="34"/>
      <c r="R572" s="34"/>
      <c r="S572" s="18"/>
      <c r="T572" s="18"/>
      <c r="U572" s="18"/>
      <c r="V572" s="30"/>
      <c r="W572" s="18"/>
      <c r="X572" s="18"/>
      <c r="Y572" s="18"/>
      <c r="Z572" s="18"/>
    </row>
    <row r="573" spans="1:26" ht="25.5" x14ac:dyDescent="0.2">
      <c r="C573" s="16"/>
      <c r="D573" s="29" t="s">
        <v>183</v>
      </c>
      <c r="E573" s="17"/>
      <c r="F573" s="18"/>
      <c r="G573" s="34"/>
      <c r="H573" s="34"/>
      <c r="I573" s="34"/>
      <c r="J573" s="34"/>
      <c r="K573" s="34"/>
      <c r="L573" s="18"/>
      <c r="M573" s="34"/>
      <c r="N573" s="34"/>
      <c r="O573" s="34"/>
      <c r="P573" s="34"/>
      <c r="Q573" s="34"/>
      <c r="R573" s="34"/>
      <c r="S573" s="18"/>
      <c r="T573" s="18"/>
      <c r="U573" s="18"/>
      <c r="V573" s="30"/>
      <c r="W573" s="18"/>
      <c r="X573" s="18"/>
      <c r="Y573" s="18"/>
      <c r="Z573" s="18"/>
    </row>
    <row r="574" spans="1:26" ht="25.5" x14ac:dyDescent="0.2">
      <c r="C574" s="28" t="s">
        <v>288</v>
      </c>
      <c r="D574" s="29" t="s">
        <v>535</v>
      </c>
      <c r="E574" s="17"/>
      <c r="F574" s="18"/>
      <c r="G574" s="34"/>
      <c r="H574" s="34"/>
      <c r="I574" s="34"/>
      <c r="J574" s="34"/>
      <c r="K574" s="34"/>
      <c r="L574" s="18"/>
      <c r="M574" s="34"/>
      <c r="N574" s="34"/>
      <c r="O574" s="34"/>
      <c r="P574" s="34"/>
      <c r="Q574" s="34"/>
      <c r="R574" s="34"/>
      <c r="S574" s="18"/>
      <c r="T574" s="18"/>
      <c r="U574" s="18"/>
      <c r="V574" s="30"/>
      <c r="W574" s="18"/>
      <c r="X574" s="18"/>
      <c r="Y574" s="18"/>
      <c r="Z574" s="18"/>
    </row>
    <row r="575" spans="1:26" x14ac:dyDescent="0.2">
      <c r="A575" s="4" t="s">
        <v>55</v>
      </c>
      <c r="B575" s="4" t="s">
        <v>56</v>
      </c>
      <c r="C575" s="41" t="s">
        <v>536</v>
      </c>
      <c r="D575" s="42" t="s">
        <v>233</v>
      </c>
      <c r="E575" s="43" t="s">
        <v>58</v>
      </c>
      <c r="F575" s="43">
        <v>246000000</v>
      </c>
      <c r="G575" s="44">
        <v>0</v>
      </c>
      <c r="H575" s="44">
        <v>0</v>
      </c>
      <c r="I575" s="44">
        <v>0</v>
      </c>
      <c r="J575" s="44">
        <v>0</v>
      </c>
      <c r="K575" s="44">
        <v>0</v>
      </c>
      <c r="L575" s="43">
        <v>246000000</v>
      </c>
      <c r="M575" s="44">
        <v>0</v>
      </c>
      <c r="N575" s="44">
        <v>0</v>
      </c>
      <c r="O575" s="44">
        <v>0</v>
      </c>
      <c r="P575" s="44">
        <v>0</v>
      </c>
      <c r="Q575" s="44">
        <v>0</v>
      </c>
      <c r="R575" s="44">
        <v>0</v>
      </c>
      <c r="S575" s="44">
        <v>0</v>
      </c>
      <c r="T575" s="44">
        <v>0</v>
      </c>
      <c r="U575" s="44">
        <v>0</v>
      </c>
      <c r="V575" s="31">
        <f t="shared" si="207"/>
        <v>0</v>
      </c>
      <c r="W575" s="43">
        <v>246000000</v>
      </c>
      <c r="X575" s="43">
        <v>0</v>
      </c>
      <c r="Y575" s="43">
        <v>0</v>
      </c>
      <c r="Z575" s="32">
        <f t="shared" ref="Z575:Z577" si="210">R575/L575</f>
        <v>0</v>
      </c>
    </row>
    <row r="576" spans="1:26" x14ac:dyDescent="0.2">
      <c r="A576" s="4" t="s">
        <v>55</v>
      </c>
      <c r="B576" s="4" t="s">
        <v>56</v>
      </c>
      <c r="C576" s="41" t="s">
        <v>537</v>
      </c>
      <c r="D576" s="42" t="s">
        <v>538</v>
      </c>
      <c r="E576" s="43" t="s">
        <v>253</v>
      </c>
      <c r="F576" s="43">
        <v>603350727</v>
      </c>
      <c r="G576" s="44">
        <v>0</v>
      </c>
      <c r="H576" s="44">
        <v>0</v>
      </c>
      <c r="I576" s="44">
        <v>0</v>
      </c>
      <c r="J576" s="44">
        <v>0</v>
      </c>
      <c r="K576" s="44">
        <v>0</v>
      </c>
      <c r="L576" s="43">
        <v>603350727</v>
      </c>
      <c r="M576" s="44">
        <v>0</v>
      </c>
      <c r="N576" s="44">
        <v>0</v>
      </c>
      <c r="O576" s="44">
        <v>0</v>
      </c>
      <c r="P576" s="44">
        <v>0</v>
      </c>
      <c r="Q576" s="44">
        <v>0</v>
      </c>
      <c r="R576" s="44">
        <v>0</v>
      </c>
      <c r="S576" s="44">
        <v>0</v>
      </c>
      <c r="T576" s="44">
        <v>0</v>
      </c>
      <c r="U576" s="44">
        <v>0</v>
      </c>
      <c r="V576" s="31">
        <f t="shared" si="207"/>
        <v>0</v>
      </c>
      <c r="W576" s="43">
        <v>603350727</v>
      </c>
      <c r="X576" s="43">
        <v>0</v>
      </c>
      <c r="Y576" s="43">
        <v>0</v>
      </c>
      <c r="Z576" s="32">
        <f t="shared" si="210"/>
        <v>0</v>
      </c>
    </row>
    <row r="577" spans="1:26" ht="25.5" x14ac:dyDescent="0.2">
      <c r="A577" s="4" t="s">
        <v>55</v>
      </c>
      <c r="B577" s="4" t="s">
        <v>56</v>
      </c>
      <c r="C577" s="41" t="s">
        <v>539</v>
      </c>
      <c r="D577" s="42" t="s">
        <v>540</v>
      </c>
      <c r="E577" s="43" t="s">
        <v>253</v>
      </c>
      <c r="F577" s="43">
        <v>850649274</v>
      </c>
      <c r="G577" s="44">
        <v>0</v>
      </c>
      <c r="H577" s="44">
        <v>0</v>
      </c>
      <c r="I577" s="44">
        <v>0</v>
      </c>
      <c r="J577" s="44">
        <v>0</v>
      </c>
      <c r="K577" s="44">
        <v>0</v>
      </c>
      <c r="L577" s="43">
        <v>850649274</v>
      </c>
      <c r="M577" s="44">
        <v>0</v>
      </c>
      <c r="N577" s="44">
        <v>0</v>
      </c>
      <c r="O577" s="44">
        <v>0</v>
      </c>
      <c r="P577" s="44">
        <v>0</v>
      </c>
      <c r="Q577" s="44">
        <v>0</v>
      </c>
      <c r="R577" s="44">
        <v>0</v>
      </c>
      <c r="S577" s="44">
        <v>0</v>
      </c>
      <c r="T577" s="44">
        <v>0</v>
      </c>
      <c r="U577" s="44">
        <v>0</v>
      </c>
      <c r="V577" s="31">
        <f t="shared" si="207"/>
        <v>0</v>
      </c>
      <c r="W577" s="43">
        <v>850649274</v>
      </c>
      <c r="X577" s="43">
        <v>0</v>
      </c>
      <c r="Y577" s="43">
        <v>0</v>
      </c>
      <c r="Z577" s="32">
        <f t="shared" si="210"/>
        <v>0</v>
      </c>
    </row>
    <row r="578" spans="1:26" x14ac:dyDescent="0.2">
      <c r="C578" s="16"/>
      <c r="D578" s="17"/>
      <c r="E578" s="17"/>
      <c r="F578" s="18"/>
      <c r="G578" s="34"/>
      <c r="H578" s="34"/>
      <c r="I578" s="34"/>
      <c r="J578" s="34"/>
      <c r="K578" s="34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30"/>
      <c r="W578" s="18"/>
      <c r="X578" s="18"/>
      <c r="Y578" s="18"/>
      <c r="Z578" s="18"/>
    </row>
    <row r="579" spans="1:26" x14ac:dyDescent="0.2">
      <c r="C579" s="16"/>
      <c r="D579" s="29" t="s">
        <v>199</v>
      </c>
      <c r="E579" s="17"/>
      <c r="F579" s="18"/>
      <c r="G579" s="34"/>
      <c r="H579" s="34"/>
      <c r="I579" s="34"/>
      <c r="J579" s="34"/>
      <c r="K579" s="34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30"/>
      <c r="W579" s="18"/>
      <c r="X579" s="18"/>
      <c r="Y579" s="18"/>
      <c r="Z579" s="18"/>
    </row>
    <row r="580" spans="1:26" ht="25.5" x14ac:dyDescent="0.2">
      <c r="C580" s="28" t="s">
        <v>288</v>
      </c>
      <c r="D580" s="29" t="s">
        <v>531</v>
      </c>
      <c r="E580" s="17"/>
      <c r="F580" s="18"/>
      <c r="G580" s="34"/>
      <c r="H580" s="34"/>
      <c r="I580" s="34"/>
      <c r="J580" s="34"/>
      <c r="K580" s="34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30"/>
      <c r="W580" s="18"/>
      <c r="X580" s="18"/>
      <c r="Y580" s="18"/>
      <c r="Z580" s="18"/>
    </row>
    <row r="581" spans="1:26" x14ac:dyDescent="0.2">
      <c r="A581" s="4" t="s">
        <v>55</v>
      </c>
      <c r="B581" s="4" t="s">
        <v>56</v>
      </c>
      <c r="C581" s="41" t="s">
        <v>541</v>
      </c>
      <c r="D581" s="42" t="s">
        <v>233</v>
      </c>
      <c r="E581" s="43" t="s">
        <v>58</v>
      </c>
      <c r="F581" s="43">
        <v>190000000</v>
      </c>
      <c r="G581" s="44">
        <v>0</v>
      </c>
      <c r="H581" s="44">
        <v>0</v>
      </c>
      <c r="I581" s="44">
        <v>0</v>
      </c>
      <c r="J581" s="44">
        <v>0</v>
      </c>
      <c r="K581" s="44">
        <v>0</v>
      </c>
      <c r="L581" s="43">
        <v>190000000</v>
      </c>
      <c r="M581" s="44">
        <v>0</v>
      </c>
      <c r="N581" s="44">
        <v>0</v>
      </c>
      <c r="O581" s="44">
        <v>0</v>
      </c>
      <c r="P581" s="44">
        <v>0</v>
      </c>
      <c r="Q581" s="44">
        <v>0</v>
      </c>
      <c r="R581" s="44">
        <v>0</v>
      </c>
      <c r="S581" s="44">
        <v>0</v>
      </c>
      <c r="T581" s="44">
        <v>0</v>
      </c>
      <c r="U581" s="44">
        <v>0</v>
      </c>
      <c r="V581" s="31">
        <f t="shared" si="207"/>
        <v>0</v>
      </c>
      <c r="W581" s="43">
        <v>190000000</v>
      </c>
      <c r="X581" s="43">
        <v>0</v>
      </c>
      <c r="Y581" s="43">
        <v>0</v>
      </c>
      <c r="Z581" s="32">
        <f t="shared" ref="Z581" si="211">R581/L581</f>
        <v>0</v>
      </c>
    </row>
    <row r="582" spans="1:26" x14ac:dyDescent="0.2">
      <c r="C582" s="28" t="s">
        <v>288</v>
      </c>
      <c r="D582" s="29" t="s">
        <v>542</v>
      </c>
      <c r="E582" s="17"/>
      <c r="F582" s="18"/>
      <c r="G582" s="34"/>
      <c r="H582" s="34"/>
      <c r="I582" s="34"/>
      <c r="J582" s="34"/>
      <c r="K582" s="34"/>
      <c r="L582" s="18"/>
      <c r="M582" s="34"/>
      <c r="N582" s="34"/>
      <c r="O582" s="34"/>
      <c r="P582" s="34"/>
      <c r="Q582" s="34"/>
      <c r="R582" s="34"/>
      <c r="S582" s="34"/>
      <c r="T582" s="34"/>
      <c r="U582" s="34"/>
      <c r="V582" s="31"/>
      <c r="W582" s="18"/>
      <c r="X582" s="18"/>
      <c r="Y582" s="18"/>
      <c r="Z582" s="18"/>
    </row>
    <row r="583" spans="1:26" x14ac:dyDescent="0.2">
      <c r="A583" s="4" t="s">
        <v>55</v>
      </c>
      <c r="B583" s="4" t="s">
        <v>56</v>
      </c>
      <c r="C583" s="41" t="s">
        <v>543</v>
      </c>
      <c r="D583" s="42" t="s">
        <v>233</v>
      </c>
      <c r="E583" s="43" t="s">
        <v>58</v>
      </c>
      <c r="F583" s="43">
        <v>229000000</v>
      </c>
      <c r="G583" s="44">
        <v>0</v>
      </c>
      <c r="H583" s="44">
        <v>0</v>
      </c>
      <c r="I583" s="44">
        <v>0</v>
      </c>
      <c r="J583" s="44">
        <v>0</v>
      </c>
      <c r="K583" s="44">
        <v>0</v>
      </c>
      <c r="L583" s="43">
        <v>229000000</v>
      </c>
      <c r="M583" s="44">
        <v>0</v>
      </c>
      <c r="N583" s="44">
        <v>0</v>
      </c>
      <c r="O583" s="44">
        <v>0</v>
      </c>
      <c r="P583" s="44">
        <v>0</v>
      </c>
      <c r="Q583" s="44">
        <v>0</v>
      </c>
      <c r="R583" s="44">
        <v>0</v>
      </c>
      <c r="S583" s="44">
        <v>0</v>
      </c>
      <c r="T583" s="44">
        <v>0</v>
      </c>
      <c r="U583" s="44">
        <v>0</v>
      </c>
      <c r="V583" s="31">
        <f t="shared" si="207"/>
        <v>0</v>
      </c>
      <c r="W583" s="43">
        <v>229000000</v>
      </c>
      <c r="X583" s="43">
        <v>0</v>
      </c>
      <c r="Y583" s="43">
        <v>0</v>
      </c>
      <c r="Z583" s="32">
        <f t="shared" ref="Z583" si="212">R583/L583</f>
        <v>0</v>
      </c>
    </row>
    <row r="584" spans="1:26" ht="25.5" x14ac:dyDescent="0.2">
      <c r="C584" s="28" t="s">
        <v>288</v>
      </c>
      <c r="D584" s="29" t="s">
        <v>544</v>
      </c>
      <c r="E584" s="17"/>
      <c r="F584" s="18"/>
      <c r="G584" s="34"/>
      <c r="H584" s="34"/>
      <c r="I584" s="34"/>
      <c r="J584" s="34"/>
      <c r="K584" s="34"/>
      <c r="L584" s="18"/>
      <c r="M584" s="34"/>
      <c r="N584" s="34"/>
      <c r="O584" s="34"/>
      <c r="P584" s="34"/>
      <c r="Q584" s="34"/>
      <c r="R584" s="34"/>
      <c r="S584" s="34"/>
      <c r="T584" s="34"/>
      <c r="U584" s="34"/>
      <c r="V584" s="31"/>
      <c r="W584" s="18"/>
      <c r="X584" s="18"/>
      <c r="Y584" s="18"/>
      <c r="Z584" s="18"/>
    </row>
    <row r="585" spans="1:26" x14ac:dyDescent="0.2">
      <c r="A585" s="4" t="s">
        <v>55</v>
      </c>
      <c r="B585" s="4" t="s">
        <v>56</v>
      </c>
      <c r="C585" s="41" t="s">
        <v>545</v>
      </c>
      <c r="D585" s="42" t="s">
        <v>233</v>
      </c>
      <c r="E585" s="43" t="s">
        <v>58</v>
      </c>
      <c r="F585" s="43">
        <v>150000000</v>
      </c>
      <c r="G585" s="44">
        <v>0</v>
      </c>
      <c r="H585" s="44">
        <v>0</v>
      </c>
      <c r="I585" s="44">
        <v>0</v>
      </c>
      <c r="J585" s="44">
        <v>0</v>
      </c>
      <c r="K585" s="44">
        <v>0</v>
      </c>
      <c r="L585" s="43">
        <v>150000000</v>
      </c>
      <c r="M585" s="44">
        <v>0</v>
      </c>
      <c r="N585" s="44">
        <v>0</v>
      </c>
      <c r="O585" s="44">
        <v>0</v>
      </c>
      <c r="P585" s="44">
        <v>0</v>
      </c>
      <c r="Q585" s="44">
        <v>0</v>
      </c>
      <c r="R585" s="44">
        <v>0</v>
      </c>
      <c r="S585" s="44">
        <v>0</v>
      </c>
      <c r="T585" s="44">
        <v>0</v>
      </c>
      <c r="U585" s="44">
        <v>0</v>
      </c>
      <c r="V585" s="31">
        <f t="shared" si="207"/>
        <v>0</v>
      </c>
      <c r="W585" s="43">
        <v>150000000</v>
      </c>
      <c r="X585" s="43">
        <v>0</v>
      </c>
      <c r="Y585" s="43">
        <v>0</v>
      </c>
      <c r="Z585" s="32">
        <f t="shared" ref="Z585" si="213">R585/L585</f>
        <v>0</v>
      </c>
    </row>
    <row r="586" spans="1:26" ht="38.25" x14ac:dyDescent="0.2">
      <c r="C586" s="28" t="s">
        <v>288</v>
      </c>
      <c r="D586" s="29" t="s">
        <v>546</v>
      </c>
      <c r="E586" s="17"/>
      <c r="F586" s="18"/>
      <c r="G586" s="34"/>
      <c r="H586" s="34"/>
      <c r="I586" s="34"/>
      <c r="J586" s="34"/>
      <c r="K586" s="34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30">
        <f t="shared" si="207"/>
        <v>0</v>
      </c>
      <c r="W586" s="18"/>
      <c r="X586" s="18"/>
      <c r="Y586" s="18"/>
      <c r="Z586" s="18"/>
    </row>
    <row r="587" spans="1:26" x14ac:dyDescent="0.2">
      <c r="A587" s="4" t="s">
        <v>55</v>
      </c>
      <c r="B587" s="4" t="s">
        <v>56</v>
      </c>
      <c r="C587" s="41" t="s">
        <v>547</v>
      </c>
      <c r="D587" s="42" t="s">
        <v>233</v>
      </c>
      <c r="E587" s="43" t="s">
        <v>58</v>
      </c>
      <c r="F587" s="43">
        <v>80000000</v>
      </c>
      <c r="G587" s="44">
        <v>0</v>
      </c>
      <c r="H587" s="44">
        <v>0</v>
      </c>
      <c r="I587" s="44">
        <v>0</v>
      </c>
      <c r="J587" s="44">
        <v>0</v>
      </c>
      <c r="K587" s="44">
        <v>0</v>
      </c>
      <c r="L587" s="43">
        <v>80000000</v>
      </c>
      <c r="M587" s="43">
        <v>0</v>
      </c>
      <c r="N587" s="43">
        <v>80000000</v>
      </c>
      <c r="O587" s="43">
        <v>80000000</v>
      </c>
      <c r="P587" s="43">
        <v>0</v>
      </c>
      <c r="Q587" s="43">
        <v>0</v>
      </c>
      <c r="R587" s="34">
        <v>0</v>
      </c>
      <c r="S587" s="34">
        <v>0</v>
      </c>
      <c r="T587" s="34">
        <v>0</v>
      </c>
      <c r="U587" s="34">
        <v>0</v>
      </c>
      <c r="V587" s="40">
        <f t="shared" si="207"/>
        <v>0</v>
      </c>
      <c r="W587" s="43">
        <v>0</v>
      </c>
      <c r="X587" s="43">
        <v>80000000</v>
      </c>
      <c r="Y587" s="43">
        <v>0</v>
      </c>
      <c r="Z587" s="32">
        <f t="shared" ref="Z587" si="214">R587/L587</f>
        <v>0</v>
      </c>
    </row>
    <row r="588" spans="1:26" ht="38.25" x14ac:dyDescent="0.2">
      <c r="C588" s="28" t="s">
        <v>288</v>
      </c>
      <c r="D588" s="29" t="s">
        <v>548</v>
      </c>
      <c r="E588" s="17"/>
      <c r="F588" s="18"/>
      <c r="G588" s="34"/>
      <c r="H588" s="34"/>
      <c r="I588" s="34"/>
      <c r="J588" s="34"/>
      <c r="K588" s="34"/>
      <c r="L588" s="18"/>
      <c r="M588" s="18"/>
      <c r="N588" s="18"/>
      <c r="O588" s="18"/>
      <c r="P588" s="18"/>
      <c r="Q588" s="18"/>
      <c r="R588" s="34"/>
      <c r="S588" s="34"/>
      <c r="T588" s="34"/>
      <c r="U588" s="34"/>
      <c r="V588" s="40">
        <f t="shared" si="207"/>
        <v>0</v>
      </c>
      <c r="W588" s="18"/>
      <c r="X588" s="18"/>
      <c r="Y588" s="18"/>
      <c r="Z588" s="18"/>
    </row>
    <row r="589" spans="1:26" x14ac:dyDescent="0.2">
      <c r="A589" s="4" t="s">
        <v>55</v>
      </c>
      <c r="B589" s="4" t="s">
        <v>56</v>
      </c>
      <c r="C589" s="41" t="s">
        <v>549</v>
      </c>
      <c r="D589" s="42" t="s">
        <v>233</v>
      </c>
      <c r="E589" s="43" t="s">
        <v>58</v>
      </c>
      <c r="F589" s="43">
        <v>40000000</v>
      </c>
      <c r="G589" s="44">
        <v>0</v>
      </c>
      <c r="H589" s="44">
        <v>0</v>
      </c>
      <c r="I589" s="44">
        <v>0</v>
      </c>
      <c r="J589" s="44">
        <v>0</v>
      </c>
      <c r="K589" s="44">
        <v>0</v>
      </c>
      <c r="L589" s="43">
        <v>40000000</v>
      </c>
      <c r="M589" s="43">
        <v>0</v>
      </c>
      <c r="N589" s="43">
        <v>0</v>
      </c>
      <c r="O589" s="43">
        <v>0</v>
      </c>
      <c r="P589" s="43">
        <v>0</v>
      </c>
      <c r="Q589" s="43">
        <v>0</v>
      </c>
      <c r="R589" s="34">
        <v>0</v>
      </c>
      <c r="S589" s="34">
        <v>0</v>
      </c>
      <c r="T589" s="34">
        <v>0</v>
      </c>
      <c r="U589" s="34">
        <v>0</v>
      </c>
      <c r="V589" s="40">
        <f t="shared" si="207"/>
        <v>0</v>
      </c>
      <c r="W589" s="43">
        <v>40000000</v>
      </c>
      <c r="X589" s="43">
        <v>0</v>
      </c>
      <c r="Y589" s="43">
        <v>0</v>
      </c>
      <c r="Z589" s="32">
        <f t="shared" ref="Z589" si="215">R589/L589</f>
        <v>0</v>
      </c>
    </row>
    <row r="590" spans="1:26" ht="25.5" x14ac:dyDescent="0.2">
      <c r="C590" s="28" t="s">
        <v>288</v>
      </c>
      <c r="D590" s="29" t="s">
        <v>550</v>
      </c>
      <c r="E590" s="17"/>
      <c r="F590" s="18"/>
      <c r="G590" s="34"/>
      <c r="H590" s="34"/>
      <c r="I590" s="34"/>
      <c r="J590" s="34"/>
      <c r="K590" s="34"/>
      <c r="L590" s="18"/>
      <c r="M590" s="18"/>
      <c r="N590" s="18"/>
      <c r="O590" s="18"/>
      <c r="P590" s="18"/>
      <c r="Q590" s="18"/>
      <c r="R590" s="34"/>
      <c r="S590" s="34"/>
      <c r="T590" s="34"/>
      <c r="U590" s="34"/>
      <c r="V590" s="40"/>
      <c r="W590" s="18"/>
      <c r="X590" s="18"/>
      <c r="Y590" s="18"/>
      <c r="Z590" s="18"/>
    </row>
    <row r="591" spans="1:26" x14ac:dyDescent="0.2">
      <c r="A591" s="4" t="s">
        <v>55</v>
      </c>
      <c r="B591" s="4" t="s">
        <v>56</v>
      </c>
      <c r="C591" s="41" t="s">
        <v>551</v>
      </c>
      <c r="D591" s="42" t="s">
        <v>233</v>
      </c>
      <c r="E591" s="43" t="s">
        <v>58</v>
      </c>
      <c r="F591" s="43">
        <v>670000000</v>
      </c>
      <c r="G591" s="44">
        <v>0</v>
      </c>
      <c r="H591" s="44">
        <v>0</v>
      </c>
      <c r="I591" s="44">
        <v>0</v>
      </c>
      <c r="J591" s="44">
        <v>0</v>
      </c>
      <c r="K591" s="44">
        <v>0</v>
      </c>
      <c r="L591" s="43">
        <v>670000000</v>
      </c>
      <c r="M591" s="43">
        <v>0</v>
      </c>
      <c r="N591" s="43">
        <v>320800000</v>
      </c>
      <c r="O591" s="43">
        <v>320800000</v>
      </c>
      <c r="P591" s="43">
        <v>64000000</v>
      </c>
      <c r="Q591" s="43">
        <v>0</v>
      </c>
      <c r="R591" s="34">
        <v>0</v>
      </c>
      <c r="S591" s="34">
        <v>0</v>
      </c>
      <c r="T591" s="34">
        <v>0</v>
      </c>
      <c r="U591" s="34">
        <v>0</v>
      </c>
      <c r="V591" s="40">
        <f t="shared" si="207"/>
        <v>0</v>
      </c>
      <c r="W591" s="43">
        <v>349200000</v>
      </c>
      <c r="X591" s="43">
        <v>320800000</v>
      </c>
      <c r="Y591" s="43">
        <v>0</v>
      </c>
      <c r="Z591" s="32">
        <f t="shared" ref="Z591:Z592" si="216">R591/L591</f>
        <v>0</v>
      </c>
    </row>
    <row r="592" spans="1:26" x14ac:dyDescent="0.2">
      <c r="A592" s="4" t="s">
        <v>55</v>
      </c>
      <c r="B592" s="4" t="s">
        <v>56</v>
      </c>
      <c r="C592" s="41" t="s">
        <v>552</v>
      </c>
      <c r="D592" s="42" t="s">
        <v>382</v>
      </c>
      <c r="E592" s="43" t="s">
        <v>383</v>
      </c>
      <c r="F592" s="43">
        <v>120000000</v>
      </c>
      <c r="G592" s="44">
        <v>0</v>
      </c>
      <c r="H592" s="44">
        <v>0</v>
      </c>
      <c r="I592" s="44">
        <v>0</v>
      </c>
      <c r="J592" s="44">
        <v>0</v>
      </c>
      <c r="K592" s="44">
        <v>0</v>
      </c>
      <c r="L592" s="43">
        <v>120000000</v>
      </c>
      <c r="M592" s="43">
        <v>0</v>
      </c>
      <c r="N592" s="43">
        <v>0</v>
      </c>
      <c r="O592" s="43">
        <v>0</v>
      </c>
      <c r="P592" s="43">
        <v>0</v>
      </c>
      <c r="Q592" s="43">
        <v>0</v>
      </c>
      <c r="R592" s="34">
        <v>0</v>
      </c>
      <c r="S592" s="34">
        <v>0</v>
      </c>
      <c r="T592" s="34">
        <v>0</v>
      </c>
      <c r="U592" s="34">
        <v>0</v>
      </c>
      <c r="V592" s="40">
        <f t="shared" si="207"/>
        <v>0</v>
      </c>
      <c r="W592" s="43">
        <v>120000000</v>
      </c>
      <c r="X592" s="43">
        <v>0</v>
      </c>
      <c r="Y592" s="43">
        <v>0</v>
      </c>
      <c r="Z592" s="32">
        <f t="shared" si="216"/>
        <v>0</v>
      </c>
    </row>
    <row r="593" spans="1:26" ht="25.5" x14ac:dyDescent="0.2">
      <c r="C593" s="28" t="s">
        <v>288</v>
      </c>
      <c r="D593" s="29" t="s">
        <v>553</v>
      </c>
      <c r="E593" s="17"/>
      <c r="F593" s="18"/>
      <c r="G593" s="34"/>
      <c r="H593" s="34"/>
      <c r="I593" s="34"/>
      <c r="J593" s="34"/>
      <c r="K593" s="34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30">
        <f t="shared" si="207"/>
        <v>0</v>
      </c>
      <c r="W593" s="18"/>
      <c r="X593" s="18"/>
      <c r="Y593" s="18"/>
      <c r="Z593" s="18"/>
    </row>
    <row r="594" spans="1:26" x14ac:dyDescent="0.2">
      <c r="A594" s="4" t="s">
        <v>55</v>
      </c>
      <c r="B594" s="4" t="s">
        <v>56</v>
      </c>
      <c r="C594" s="41" t="s">
        <v>554</v>
      </c>
      <c r="D594" s="42" t="s">
        <v>233</v>
      </c>
      <c r="E594" s="43" t="s">
        <v>58</v>
      </c>
      <c r="F594" s="43">
        <v>200000000</v>
      </c>
      <c r="G594" s="44">
        <v>0</v>
      </c>
      <c r="H594" s="44">
        <v>0</v>
      </c>
      <c r="I594" s="44">
        <v>0</v>
      </c>
      <c r="J594" s="44">
        <v>0</v>
      </c>
      <c r="K594" s="44">
        <v>0</v>
      </c>
      <c r="L594" s="43">
        <v>200000000</v>
      </c>
      <c r="M594" s="43">
        <v>0</v>
      </c>
      <c r="N594" s="43">
        <v>142049727.77000001</v>
      </c>
      <c r="O594" s="43">
        <v>142049727.77000001</v>
      </c>
      <c r="P594" s="43">
        <v>0</v>
      </c>
      <c r="Q594" s="43">
        <v>449727.77</v>
      </c>
      <c r="R594" s="43">
        <v>449727.77</v>
      </c>
      <c r="S594" s="43">
        <v>0</v>
      </c>
      <c r="T594" s="43">
        <v>449727.77</v>
      </c>
      <c r="U594" s="43">
        <v>449727.77</v>
      </c>
      <c r="V594" s="30">
        <f t="shared" si="207"/>
        <v>449727.77</v>
      </c>
      <c r="W594" s="43">
        <v>57950272.229999997</v>
      </c>
      <c r="X594" s="43">
        <v>141600000</v>
      </c>
      <c r="Y594" s="43">
        <v>0</v>
      </c>
      <c r="Z594" s="32">
        <f t="shared" ref="Z594" si="217">R594/L594</f>
        <v>2.2486388499999999E-3</v>
      </c>
    </row>
    <row r="595" spans="1:26" ht="25.5" x14ac:dyDescent="0.2">
      <c r="C595" s="28" t="s">
        <v>288</v>
      </c>
      <c r="D595" s="29" t="s">
        <v>535</v>
      </c>
      <c r="E595" s="17"/>
      <c r="F595" s="18"/>
      <c r="G595" s="34"/>
      <c r="H595" s="34"/>
      <c r="I595" s="34"/>
      <c r="J595" s="34"/>
      <c r="K595" s="34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30">
        <f t="shared" si="207"/>
        <v>0</v>
      </c>
      <c r="W595" s="18"/>
      <c r="X595" s="18"/>
      <c r="Y595" s="18"/>
      <c r="Z595" s="18"/>
    </row>
    <row r="596" spans="1:26" x14ac:dyDescent="0.2">
      <c r="A596" s="4" t="s">
        <v>55</v>
      </c>
      <c r="B596" s="4" t="s">
        <v>56</v>
      </c>
      <c r="C596" s="41" t="s">
        <v>555</v>
      </c>
      <c r="D596" s="42" t="s">
        <v>233</v>
      </c>
      <c r="E596" s="43" t="s">
        <v>58</v>
      </c>
      <c r="F596" s="43">
        <v>1154000000</v>
      </c>
      <c r="G596" s="44">
        <v>0</v>
      </c>
      <c r="H596" s="44">
        <v>0</v>
      </c>
      <c r="I596" s="44">
        <v>0</v>
      </c>
      <c r="J596" s="44">
        <v>0</v>
      </c>
      <c r="K596" s="44">
        <v>0</v>
      </c>
      <c r="L596" s="43">
        <v>1154000000</v>
      </c>
      <c r="M596" s="43">
        <v>176800000</v>
      </c>
      <c r="N596" s="43">
        <v>695454761</v>
      </c>
      <c r="O596" s="43">
        <v>695454761</v>
      </c>
      <c r="P596" s="43">
        <v>0</v>
      </c>
      <c r="Q596" s="43">
        <v>663454761</v>
      </c>
      <c r="R596" s="43">
        <v>663454761</v>
      </c>
      <c r="S596" s="43">
        <v>0</v>
      </c>
      <c r="T596" s="43">
        <v>0</v>
      </c>
      <c r="U596" s="43">
        <v>0</v>
      </c>
      <c r="V596" s="30">
        <f t="shared" si="207"/>
        <v>0</v>
      </c>
      <c r="W596" s="43">
        <v>458545239</v>
      </c>
      <c r="X596" s="43">
        <v>32000000</v>
      </c>
      <c r="Y596" s="43">
        <v>663454761</v>
      </c>
      <c r="Z596" s="32">
        <f t="shared" ref="Z596:Z599" si="218">R596/L596</f>
        <v>0.57491747053726172</v>
      </c>
    </row>
    <row r="597" spans="1:26" ht="25.5" x14ac:dyDescent="0.2">
      <c r="A597" s="4" t="s">
        <v>55</v>
      </c>
      <c r="B597" s="4" t="s">
        <v>56</v>
      </c>
      <c r="C597" s="41" t="s">
        <v>556</v>
      </c>
      <c r="D597" s="42" t="s">
        <v>279</v>
      </c>
      <c r="E597" s="43" t="s">
        <v>253</v>
      </c>
      <c r="F597" s="43">
        <v>3243996468</v>
      </c>
      <c r="G597" s="44">
        <v>0</v>
      </c>
      <c r="H597" s="44">
        <v>0</v>
      </c>
      <c r="I597" s="44">
        <v>0</v>
      </c>
      <c r="J597" s="44">
        <v>0</v>
      </c>
      <c r="K597" s="44">
        <v>0</v>
      </c>
      <c r="L597" s="43">
        <v>3243996468</v>
      </c>
      <c r="M597" s="43">
        <v>85600000</v>
      </c>
      <c r="N597" s="43">
        <v>2628102905.9299998</v>
      </c>
      <c r="O597" s="43">
        <v>2628102905.9299998</v>
      </c>
      <c r="P597" s="43">
        <v>0</v>
      </c>
      <c r="Q597" s="43">
        <v>2628102905.9299998</v>
      </c>
      <c r="R597" s="43">
        <v>2628102905.9299998</v>
      </c>
      <c r="S597" s="43">
        <v>0</v>
      </c>
      <c r="T597" s="43">
        <v>906287.93</v>
      </c>
      <c r="U597" s="43">
        <v>906287.93</v>
      </c>
      <c r="V597" s="30">
        <f t="shared" si="207"/>
        <v>906287.93</v>
      </c>
      <c r="W597" s="43">
        <v>615893562.07000005</v>
      </c>
      <c r="X597" s="43">
        <v>0</v>
      </c>
      <c r="Y597" s="43">
        <v>2627196618</v>
      </c>
      <c r="Z597" s="32">
        <f t="shared" si="218"/>
        <v>0.8101435781002212</v>
      </c>
    </row>
    <row r="598" spans="1:26" ht="38.25" x14ac:dyDescent="0.2">
      <c r="A598" s="4" t="s">
        <v>55</v>
      </c>
      <c r="B598" s="4" t="s">
        <v>56</v>
      </c>
      <c r="C598" s="41" t="s">
        <v>557</v>
      </c>
      <c r="D598" s="42" t="s">
        <v>558</v>
      </c>
      <c r="E598" s="43" t="s">
        <v>368</v>
      </c>
      <c r="F598" s="43">
        <v>101429564.34</v>
      </c>
      <c r="G598" s="44">
        <v>0</v>
      </c>
      <c r="H598" s="44">
        <v>0</v>
      </c>
      <c r="I598" s="44">
        <v>0</v>
      </c>
      <c r="J598" s="44">
        <v>0</v>
      </c>
      <c r="K598" s="44">
        <v>0</v>
      </c>
      <c r="L598" s="43">
        <v>101429564.34</v>
      </c>
      <c r="M598" s="43">
        <v>0</v>
      </c>
      <c r="N598" s="43">
        <v>0</v>
      </c>
      <c r="O598" s="43">
        <v>0</v>
      </c>
      <c r="P598" s="43">
        <v>0</v>
      </c>
      <c r="Q598" s="43">
        <v>0</v>
      </c>
      <c r="R598" s="43">
        <v>0</v>
      </c>
      <c r="S598" s="43">
        <v>0</v>
      </c>
      <c r="T598" s="43">
        <v>0</v>
      </c>
      <c r="U598" s="43">
        <v>0</v>
      </c>
      <c r="V598" s="30">
        <f t="shared" si="207"/>
        <v>0</v>
      </c>
      <c r="W598" s="43">
        <v>101429564.34</v>
      </c>
      <c r="X598" s="43">
        <v>0</v>
      </c>
      <c r="Y598" s="43">
        <v>0</v>
      </c>
      <c r="Z598" s="32">
        <f t="shared" si="218"/>
        <v>0</v>
      </c>
    </row>
    <row r="599" spans="1:26" ht="25.5" x14ac:dyDescent="0.2">
      <c r="A599" s="4" t="s">
        <v>55</v>
      </c>
      <c r="B599" s="4" t="s">
        <v>56</v>
      </c>
      <c r="C599" s="41" t="s">
        <v>559</v>
      </c>
      <c r="D599" s="42" t="s">
        <v>540</v>
      </c>
      <c r="E599" s="43" t="s">
        <v>253</v>
      </c>
      <c r="F599" s="43">
        <v>1690003316</v>
      </c>
      <c r="G599" s="44">
        <v>0</v>
      </c>
      <c r="H599" s="44">
        <v>0</v>
      </c>
      <c r="I599" s="44">
        <v>0</v>
      </c>
      <c r="J599" s="44">
        <v>0</v>
      </c>
      <c r="K599" s="44">
        <v>0</v>
      </c>
      <c r="L599" s="43">
        <v>1690003316</v>
      </c>
      <c r="M599" s="43">
        <v>0</v>
      </c>
      <c r="N599" s="43">
        <v>1661510016</v>
      </c>
      <c r="O599" s="43">
        <v>1661510016</v>
      </c>
      <c r="P599" s="43">
        <v>0</v>
      </c>
      <c r="Q599" s="43">
        <v>1661510016</v>
      </c>
      <c r="R599" s="43">
        <v>1661510016</v>
      </c>
      <c r="S599" s="34">
        <v>0</v>
      </c>
      <c r="T599" s="34">
        <v>0</v>
      </c>
      <c r="U599" s="34">
        <v>0</v>
      </c>
      <c r="V599" s="40">
        <f t="shared" si="207"/>
        <v>0</v>
      </c>
      <c r="W599" s="43">
        <v>28493300</v>
      </c>
      <c r="X599" s="43">
        <v>0</v>
      </c>
      <c r="Y599" s="43">
        <v>1661510016</v>
      </c>
      <c r="Z599" s="32">
        <f t="shared" si="218"/>
        <v>0.98314009225293142</v>
      </c>
    </row>
    <row r="600" spans="1:26" ht="25.5" x14ac:dyDescent="0.2">
      <c r="C600" s="28" t="s">
        <v>288</v>
      </c>
      <c r="D600" s="29" t="s">
        <v>560</v>
      </c>
      <c r="E600" s="17"/>
      <c r="F600" s="18"/>
      <c r="G600" s="34"/>
      <c r="H600" s="34"/>
      <c r="I600" s="34"/>
      <c r="J600" s="34"/>
      <c r="K600" s="34"/>
      <c r="L600" s="18"/>
      <c r="M600" s="18"/>
      <c r="N600" s="18"/>
      <c r="O600" s="18"/>
      <c r="P600" s="18"/>
      <c r="Q600" s="18"/>
      <c r="R600" s="18"/>
      <c r="S600" s="34"/>
      <c r="T600" s="34"/>
      <c r="U600" s="34"/>
      <c r="V600" s="40"/>
      <c r="W600" s="18"/>
      <c r="X600" s="18"/>
      <c r="Y600" s="18"/>
      <c r="Z600" s="18"/>
    </row>
    <row r="601" spans="1:26" x14ac:dyDescent="0.2">
      <c r="A601" s="4" t="s">
        <v>55</v>
      </c>
      <c r="B601" s="4" t="s">
        <v>56</v>
      </c>
      <c r="C601" s="41" t="s">
        <v>561</v>
      </c>
      <c r="D601" s="42" t="s">
        <v>233</v>
      </c>
      <c r="E601" s="43" t="s">
        <v>58</v>
      </c>
      <c r="F601" s="43">
        <v>510000000</v>
      </c>
      <c r="G601" s="44">
        <v>0</v>
      </c>
      <c r="H601" s="44">
        <v>0</v>
      </c>
      <c r="I601" s="44">
        <v>0</v>
      </c>
      <c r="J601" s="44">
        <v>0</v>
      </c>
      <c r="K601" s="44">
        <v>0</v>
      </c>
      <c r="L601" s="43">
        <v>510000000</v>
      </c>
      <c r="M601" s="43">
        <v>0</v>
      </c>
      <c r="N601" s="43">
        <v>120800000</v>
      </c>
      <c r="O601" s="43">
        <v>120800000</v>
      </c>
      <c r="P601" s="43">
        <v>0</v>
      </c>
      <c r="Q601" s="43">
        <v>0</v>
      </c>
      <c r="R601" s="43">
        <v>0</v>
      </c>
      <c r="S601" s="34">
        <v>0</v>
      </c>
      <c r="T601" s="34">
        <v>0</v>
      </c>
      <c r="U601" s="34">
        <v>0</v>
      </c>
      <c r="V601" s="40">
        <f t="shared" si="207"/>
        <v>0</v>
      </c>
      <c r="W601" s="43">
        <v>389200000</v>
      </c>
      <c r="X601" s="43">
        <v>120800000</v>
      </c>
      <c r="Y601" s="43">
        <v>0</v>
      </c>
      <c r="Z601" s="32">
        <f t="shared" ref="Z601:Z602" si="219">R601/L601</f>
        <v>0</v>
      </c>
    </row>
    <row r="602" spans="1:26" ht="18.75" customHeight="1" x14ac:dyDescent="0.2">
      <c r="A602" s="4" t="s">
        <v>55</v>
      </c>
      <c r="B602" s="4" t="s">
        <v>56</v>
      </c>
      <c r="C602" s="41" t="s">
        <v>562</v>
      </c>
      <c r="D602" s="42" t="s">
        <v>382</v>
      </c>
      <c r="E602" s="43" t="s">
        <v>383</v>
      </c>
      <c r="F602" s="43">
        <v>770000000</v>
      </c>
      <c r="G602" s="44">
        <v>0</v>
      </c>
      <c r="H602" s="44">
        <v>0</v>
      </c>
      <c r="I602" s="44">
        <v>0</v>
      </c>
      <c r="J602" s="44">
        <v>0</v>
      </c>
      <c r="K602" s="44">
        <v>0</v>
      </c>
      <c r="L602" s="43">
        <v>770000000</v>
      </c>
      <c r="M602" s="43">
        <v>0</v>
      </c>
      <c r="N602" s="43">
        <v>0</v>
      </c>
      <c r="O602" s="43">
        <v>0</v>
      </c>
      <c r="P602" s="43">
        <v>0</v>
      </c>
      <c r="Q602" s="43">
        <v>0</v>
      </c>
      <c r="R602" s="43">
        <v>0</v>
      </c>
      <c r="S602" s="34">
        <v>0</v>
      </c>
      <c r="T602" s="34">
        <v>0</v>
      </c>
      <c r="U602" s="34">
        <v>0</v>
      </c>
      <c r="V602" s="40">
        <f t="shared" si="207"/>
        <v>0</v>
      </c>
      <c r="W602" s="43">
        <v>770000000</v>
      </c>
      <c r="X602" s="43">
        <v>0</v>
      </c>
      <c r="Y602" s="43">
        <v>0</v>
      </c>
      <c r="Z602" s="32">
        <f t="shared" si="219"/>
        <v>0</v>
      </c>
    </row>
    <row r="603" spans="1:26" ht="25.5" customHeight="1" x14ac:dyDescent="0.2">
      <c r="C603" s="28" t="s">
        <v>288</v>
      </c>
      <c r="D603" s="29" t="s">
        <v>563</v>
      </c>
      <c r="E603" s="17"/>
      <c r="F603" s="18"/>
      <c r="G603" s="34"/>
      <c r="H603" s="34"/>
      <c r="I603" s="34"/>
      <c r="J603" s="34"/>
      <c r="K603" s="34"/>
      <c r="L603" s="18"/>
      <c r="M603" s="18"/>
      <c r="N603" s="18"/>
      <c r="O603" s="18"/>
      <c r="P603" s="18"/>
      <c r="Q603" s="18"/>
      <c r="R603" s="18"/>
      <c r="S603" s="34"/>
      <c r="T603" s="34"/>
      <c r="U603" s="34"/>
      <c r="V603" s="40"/>
      <c r="W603" s="18"/>
      <c r="X603" s="18"/>
      <c r="Y603" s="18"/>
      <c r="Z603" s="18"/>
    </row>
    <row r="604" spans="1:26" ht="18.75" customHeight="1" x14ac:dyDescent="0.2">
      <c r="A604" s="4" t="s">
        <v>55</v>
      </c>
      <c r="B604" s="4" t="s">
        <v>56</v>
      </c>
      <c r="C604" s="41" t="s">
        <v>564</v>
      </c>
      <c r="D604" s="42" t="s">
        <v>233</v>
      </c>
      <c r="E604" s="43" t="s">
        <v>58</v>
      </c>
      <c r="F604" s="43">
        <v>150000000</v>
      </c>
      <c r="G604" s="44">
        <v>0</v>
      </c>
      <c r="H604" s="44">
        <v>0</v>
      </c>
      <c r="I604" s="44">
        <v>0</v>
      </c>
      <c r="J604" s="44">
        <v>0</v>
      </c>
      <c r="K604" s="44">
        <v>0</v>
      </c>
      <c r="L604" s="43">
        <v>150000000</v>
      </c>
      <c r="M604" s="44">
        <v>0</v>
      </c>
      <c r="N604" s="44">
        <v>0</v>
      </c>
      <c r="O604" s="44">
        <v>0</v>
      </c>
      <c r="P604" s="44">
        <v>0</v>
      </c>
      <c r="Q604" s="44">
        <v>0</v>
      </c>
      <c r="R604" s="44">
        <v>0</v>
      </c>
      <c r="S604" s="34">
        <v>0</v>
      </c>
      <c r="T604" s="34">
        <v>0</v>
      </c>
      <c r="U604" s="34">
        <v>0</v>
      </c>
      <c r="V604" s="40">
        <f t="shared" si="207"/>
        <v>0</v>
      </c>
      <c r="W604" s="43">
        <v>150000000</v>
      </c>
      <c r="X604" s="43">
        <v>0</v>
      </c>
      <c r="Y604" s="43">
        <v>0</v>
      </c>
      <c r="Z604" s="32">
        <f t="shared" ref="Z604:Z605" si="220">R604/L604</f>
        <v>0</v>
      </c>
    </row>
    <row r="605" spans="1:26" ht="18.75" customHeight="1" x14ac:dyDescent="0.2">
      <c r="A605" s="4" t="s">
        <v>55</v>
      </c>
      <c r="B605" s="4" t="s">
        <v>56</v>
      </c>
      <c r="C605" s="41" t="s">
        <v>565</v>
      </c>
      <c r="D605" s="42" t="s">
        <v>382</v>
      </c>
      <c r="E605" s="43" t="s">
        <v>383</v>
      </c>
      <c r="F605" s="43">
        <v>1110000000</v>
      </c>
      <c r="G605" s="44">
        <v>0</v>
      </c>
      <c r="H605" s="44">
        <v>0</v>
      </c>
      <c r="I605" s="44">
        <v>0</v>
      </c>
      <c r="J605" s="44">
        <v>0</v>
      </c>
      <c r="K605" s="44">
        <v>0</v>
      </c>
      <c r="L605" s="43">
        <v>1110000000</v>
      </c>
      <c r="M605" s="44">
        <v>0</v>
      </c>
      <c r="N605" s="44">
        <v>0</v>
      </c>
      <c r="O605" s="44">
        <v>0</v>
      </c>
      <c r="P605" s="44">
        <v>0</v>
      </c>
      <c r="Q605" s="44">
        <v>0</v>
      </c>
      <c r="R605" s="44">
        <v>0</v>
      </c>
      <c r="S605" s="34">
        <v>0</v>
      </c>
      <c r="T605" s="34">
        <v>0</v>
      </c>
      <c r="U605" s="34">
        <v>0</v>
      </c>
      <c r="V605" s="40">
        <f t="shared" si="207"/>
        <v>0</v>
      </c>
      <c r="W605" s="43">
        <v>1110000000</v>
      </c>
      <c r="X605" s="43">
        <v>0</v>
      </c>
      <c r="Y605" s="43">
        <v>0</v>
      </c>
      <c r="Z605" s="32">
        <f t="shared" si="220"/>
        <v>0</v>
      </c>
    </row>
    <row r="606" spans="1:26" ht="18.75" customHeight="1" x14ac:dyDescent="0.2">
      <c r="C606" s="28" t="s">
        <v>288</v>
      </c>
      <c r="D606" s="29" t="s">
        <v>566</v>
      </c>
      <c r="E606" s="17"/>
      <c r="F606" s="18"/>
      <c r="G606" s="34"/>
      <c r="H606" s="34"/>
      <c r="I606" s="34"/>
      <c r="J606" s="34"/>
      <c r="K606" s="34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30">
        <f t="shared" si="207"/>
        <v>0</v>
      </c>
      <c r="W606" s="18"/>
      <c r="X606" s="18"/>
      <c r="Y606" s="18"/>
      <c r="Z606" s="18"/>
    </row>
    <row r="607" spans="1:26" ht="18.75" customHeight="1" x14ac:dyDescent="0.2">
      <c r="A607" s="4" t="s">
        <v>55</v>
      </c>
      <c r="B607" s="4" t="s">
        <v>56</v>
      </c>
      <c r="C607" s="41" t="s">
        <v>567</v>
      </c>
      <c r="D607" s="42" t="s">
        <v>233</v>
      </c>
      <c r="E607" s="43" t="s">
        <v>58</v>
      </c>
      <c r="F607" s="43">
        <v>771000000</v>
      </c>
      <c r="G607" s="44">
        <v>0</v>
      </c>
      <c r="H607" s="44">
        <v>0</v>
      </c>
      <c r="I607" s="44">
        <v>0</v>
      </c>
      <c r="J607" s="44">
        <v>0</v>
      </c>
      <c r="K607" s="44">
        <v>0</v>
      </c>
      <c r="L607" s="43">
        <v>771000000</v>
      </c>
      <c r="M607" s="44">
        <v>0</v>
      </c>
      <c r="N607" s="43">
        <v>399172067.76999998</v>
      </c>
      <c r="O607" s="43">
        <v>399172067.76999998</v>
      </c>
      <c r="P607" s="43">
        <v>0</v>
      </c>
      <c r="Q607" s="43">
        <v>14372067.77</v>
      </c>
      <c r="R607" s="43">
        <v>14372067.77</v>
      </c>
      <c r="S607" s="43">
        <v>0</v>
      </c>
      <c r="T607" s="43">
        <v>14372067.77</v>
      </c>
      <c r="U607" s="43">
        <v>14372067.77</v>
      </c>
      <c r="V607" s="30">
        <f t="shared" si="207"/>
        <v>14372067.77</v>
      </c>
      <c r="W607" s="43">
        <v>371827932.23000002</v>
      </c>
      <c r="X607" s="43">
        <v>384800000</v>
      </c>
      <c r="Y607" s="43">
        <v>0</v>
      </c>
      <c r="Z607" s="32">
        <f t="shared" ref="Z607" si="221">R607/L607</f>
        <v>1.8640814228274967E-2</v>
      </c>
    </row>
    <row r="608" spans="1:26" ht="18.75" customHeight="1" x14ac:dyDescent="0.2">
      <c r="C608" s="28" t="s">
        <v>288</v>
      </c>
      <c r="D608" s="29" t="s">
        <v>568</v>
      </c>
      <c r="E608" s="17"/>
      <c r="F608" s="18"/>
      <c r="G608" s="34"/>
      <c r="H608" s="34"/>
      <c r="I608" s="34"/>
      <c r="J608" s="34"/>
      <c r="K608" s="34"/>
      <c r="L608" s="18"/>
      <c r="M608" s="34"/>
      <c r="N608" s="18"/>
      <c r="O608" s="18"/>
      <c r="P608" s="18"/>
      <c r="Q608" s="18"/>
      <c r="R608" s="18"/>
      <c r="S608" s="18"/>
      <c r="T608" s="18"/>
      <c r="U608" s="18"/>
      <c r="V608" s="30">
        <f t="shared" si="207"/>
        <v>0</v>
      </c>
      <c r="W608" s="18"/>
      <c r="X608" s="18"/>
      <c r="Y608" s="18"/>
      <c r="Z608" s="18"/>
    </row>
    <row r="609" spans="1:26" ht="18.75" customHeight="1" x14ac:dyDescent="0.2">
      <c r="A609" s="4" t="s">
        <v>55</v>
      </c>
      <c r="B609" s="4" t="s">
        <v>56</v>
      </c>
      <c r="C609" s="41" t="s">
        <v>569</v>
      </c>
      <c r="D609" s="42" t="s">
        <v>233</v>
      </c>
      <c r="E609" s="43" t="s">
        <v>58</v>
      </c>
      <c r="F609" s="43">
        <v>230000000</v>
      </c>
      <c r="G609" s="44">
        <v>0</v>
      </c>
      <c r="H609" s="44">
        <v>0</v>
      </c>
      <c r="I609" s="44">
        <v>0</v>
      </c>
      <c r="J609" s="44">
        <v>0</v>
      </c>
      <c r="K609" s="44">
        <v>0</v>
      </c>
      <c r="L609" s="43">
        <v>230000000</v>
      </c>
      <c r="M609" s="44">
        <v>0</v>
      </c>
      <c r="N609" s="43">
        <v>0</v>
      </c>
      <c r="O609" s="43">
        <v>0</v>
      </c>
      <c r="P609" s="44">
        <v>0</v>
      </c>
      <c r="Q609" s="44">
        <v>0</v>
      </c>
      <c r="R609" s="44">
        <v>0</v>
      </c>
      <c r="S609" s="34">
        <v>0</v>
      </c>
      <c r="T609" s="34">
        <v>0</v>
      </c>
      <c r="U609" s="34">
        <v>0</v>
      </c>
      <c r="V609" s="40">
        <f t="shared" si="207"/>
        <v>0</v>
      </c>
      <c r="W609" s="43">
        <v>230000000</v>
      </c>
      <c r="X609" s="43">
        <v>0</v>
      </c>
      <c r="Y609" s="43">
        <v>0</v>
      </c>
      <c r="Z609" s="32">
        <f t="shared" ref="Z609" si="222">R609/L609</f>
        <v>0</v>
      </c>
    </row>
    <row r="610" spans="1:26" ht="18.75" customHeight="1" x14ac:dyDescent="0.2">
      <c r="C610" s="28" t="s">
        <v>288</v>
      </c>
      <c r="D610" s="29" t="s">
        <v>570</v>
      </c>
      <c r="E610" s="17"/>
      <c r="F610" s="18"/>
      <c r="G610" s="34"/>
      <c r="H610" s="34"/>
      <c r="I610" s="34"/>
      <c r="J610" s="34"/>
      <c r="K610" s="34"/>
      <c r="L610" s="18"/>
      <c r="M610" s="34"/>
      <c r="N610" s="18"/>
      <c r="O610" s="18"/>
      <c r="P610" s="34"/>
      <c r="Q610" s="34"/>
      <c r="R610" s="34"/>
      <c r="S610" s="34"/>
      <c r="T610" s="34"/>
      <c r="U610" s="34"/>
      <c r="V610" s="40"/>
      <c r="W610" s="18"/>
      <c r="X610" s="18"/>
      <c r="Y610" s="18"/>
      <c r="Z610" s="18"/>
    </row>
    <row r="611" spans="1:26" ht="18.75" customHeight="1" x14ac:dyDescent="0.2">
      <c r="A611" s="4" t="s">
        <v>55</v>
      </c>
      <c r="B611" s="4" t="s">
        <v>56</v>
      </c>
      <c r="C611" s="41" t="s">
        <v>571</v>
      </c>
      <c r="D611" s="42" t="s">
        <v>233</v>
      </c>
      <c r="E611" s="43" t="s">
        <v>58</v>
      </c>
      <c r="F611" s="43">
        <v>300000000</v>
      </c>
      <c r="G611" s="44">
        <v>0</v>
      </c>
      <c r="H611" s="44">
        <v>0</v>
      </c>
      <c r="I611" s="44">
        <v>0</v>
      </c>
      <c r="J611" s="44">
        <v>0</v>
      </c>
      <c r="K611" s="44">
        <v>0</v>
      </c>
      <c r="L611" s="43">
        <v>300000000</v>
      </c>
      <c r="M611" s="44">
        <v>0</v>
      </c>
      <c r="N611" s="43">
        <v>152000000</v>
      </c>
      <c r="O611" s="43">
        <v>152000000</v>
      </c>
      <c r="P611" s="44">
        <v>0</v>
      </c>
      <c r="Q611" s="44">
        <v>0</v>
      </c>
      <c r="R611" s="44">
        <v>0</v>
      </c>
      <c r="S611" s="34">
        <v>0</v>
      </c>
      <c r="T611" s="34">
        <v>0</v>
      </c>
      <c r="U611" s="34">
        <v>0</v>
      </c>
      <c r="V611" s="40">
        <f t="shared" si="207"/>
        <v>0</v>
      </c>
      <c r="W611" s="43">
        <v>148000000</v>
      </c>
      <c r="X611" s="43">
        <v>152000000</v>
      </c>
      <c r="Y611" s="43">
        <v>0</v>
      </c>
      <c r="Z611" s="32">
        <f t="shared" ref="Z611" si="223">R611/L611</f>
        <v>0</v>
      </c>
    </row>
    <row r="612" spans="1:26" ht="18.75" customHeight="1" x14ac:dyDescent="0.2">
      <c r="C612" s="28" t="s">
        <v>288</v>
      </c>
      <c r="D612" s="29" t="s">
        <v>400</v>
      </c>
      <c r="E612" s="17"/>
      <c r="F612" s="18"/>
      <c r="G612" s="34"/>
      <c r="H612" s="34"/>
      <c r="I612" s="34"/>
      <c r="J612" s="34"/>
      <c r="K612" s="34"/>
      <c r="L612" s="18"/>
      <c r="M612" s="34"/>
      <c r="N612" s="18"/>
      <c r="O612" s="18"/>
      <c r="P612" s="34"/>
      <c r="Q612" s="34"/>
      <c r="R612" s="34"/>
      <c r="S612" s="34"/>
      <c r="T612" s="34"/>
      <c r="U612" s="34"/>
      <c r="V612" s="40"/>
      <c r="W612" s="18"/>
      <c r="X612" s="18"/>
      <c r="Y612" s="18"/>
      <c r="Z612" s="18"/>
    </row>
    <row r="613" spans="1:26" ht="18.75" customHeight="1" x14ac:dyDescent="0.2">
      <c r="A613" s="4" t="s">
        <v>55</v>
      </c>
      <c r="B613" s="4" t="s">
        <v>56</v>
      </c>
      <c r="C613" s="41" t="s">
        <v>425</v>
      </c>
      <c r="D613" s="42" t="s">
        <v>233</v>
      </c>
      <c r="E613" s="43" t="s">
        <v>58</v>
      </c>
      <c r="F613" s="43">
        <v>440000000</v>
      </c>
      <c r="G613" s="44">
        <v>0</v>
      </c>
      <c r="H613" s="44">
        <v>0</v>
      </c>
      <c r="I613" s="44">
        <v>0</v>
      </c>
      <c r="J613" s="44">
        <v>0</v>
      </c>
      <c r="K613" s="44">
        <v>0</v>
      </c>
      <c r="L613" s="43">
        <v>440000000</v>
      </c>
      <c r="M613" s="44">
        <v>0</v>
      </c>
      <c r="N613" s="43">
        <v>320000000</v>
      </c>
      <c r="O613" s="43">
        <v>320000000</v>
      </c>
      <c r="P613" s="44">
        <v>0</v>
      </c>
      <c r="Q613" s="44">
        <v>0</v>
      </c>
      <c r="R613" s="44">
        <v>0</v>
      </c>
      <c r="S613" s="34">
        <v>0</v>
      </c>
      <c r="T613" s="34">
        <v>0</v>
      </c>
      <c r="U613" s="34">
        <v>0</v>
      </c>
      <c r="V613" s="40">
        <f t="shared" si="207"/>
        <v>0</v>
      </c>
      <c r="W613" s="43">
        <v>120000000</v>
      </c>
      <c r="X613" s="43">
        <v>320000000</v>
      </c>
      <c r="Y613" s="43">
        <v>0</v>
      </c>
      <c r="Z613" s="32">
        <f t="shared" ref="Z613" si="224">R613/L613</f>
        <v>0</v>
      </c>
    </row>
    <row r="614" spans="1:26" ht="18.75" customHeight="1" x14ac:dyDescent="0.2">
      <c r="C614" s="16"/>
      <c r="D614" s="17"/>
      <c r="E614" s="17"/>
      <c r="F614" s="18"/>
      <c r="G614" s="34"/>
      <c r="H614" s="34"/>
      <c r="I614" s="34"/>
      <c r="J614" s="34"/>
      <c r="K614" s="34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30">
        <f t="shared" si="207"/>
        <v>0</v>
      </c>
      <c r="W614" s="18"/>
      <c r="X614" s="18"/>
      <c r="Y614" s="18"/>
      <c r="Z614" s="18"/>
    </row>
    <row r="615" spans="1:26" s="50" customFormat="1" ht="18.75" customHeight="1" x14ac:dyDescent="0.2">
      <c r="B615" s="77"/>
      <c r="C615" s="46"/>
      <c r="D615" s="47" t="s">
        <v>572</v>
      </c>
      <c r="E615" s="47"/>
      <c r="F615" s="48">
        <f>SUM(F566:F614)</f>
        <v>13989429350</v>
      </c>
      <c r="G615" s="49">
        <f t="shared" ref="G615:Y615" si="225">SUM(G566:G614)</f>
        <v>0</v>
      </c>
      <c r="H615" s="49">
        <f t="shared" si="225"/>
        <v>0</v>
      </c>
      <c r="I615" s="49">
        <f t="shared" si="225"/>
        <v>0</v>
      </c>
      <c r="J615" s="49">
        <f t="shared" si="225"/>
        <v>0</v>
      </c>
      <c r="K615" s="49">
        <f t="shared" si="225"/>
        <v>0</v>
      </c>
      <c r="L615" s="48">
        <f t="shared" si="225"/>
        <v>13989429350</v>
      </c>
      <c r="M615" s="48">
        <f t="shared" si="225"/>
        <v>262400000</v>
      </c>
      <c r="N615" s="48">
        <f t="shared" si="225"/>
        <v>6519889478.4699993</v>
      </c>
      <c r="O615" s="48">
        <f t="shared" si="225"/>
        <v>6519889478.4699993</v>
      </c>
      <c r="P615" s="48">
        <f t="shared" si="225"/>
        <v>64000000</v>
      </c>
      <c r="Q615" s="48">
        <f t="shared" si="225"/>
        <v>4967889478.4700003</v>
      </c>
      <c r="R615" s="48">
        <f t="shared" si="225"/>
        <v>4967889478.4700003</v>
      </c>
      <c r="S615" s="48">
        <f t="shared" si="225"/>
        <v>0</v>
      </c>
      <c r="T615" s="48">
        <f t="shared" si="225"/>
        <v>15728083.469999999</v>
      </c>
      <c r="U615" s="48">
        <f t="shared" si="225"/>
        <v>15728083.469999999</v>
      </c>
      <c r="V615" s="22">
        <f>S615+U615</f>
        <v>15728083.469999999</v>
      </c>
      <c r="W615" s="48">
        <f t="shared" si="225"/>
        <v>7469539871.5300007</v>
      </c>
      <c r="X615" s="48">
        <f t="shared" si="225"/>
        <v>1552000000</v>
      </c>
      <c r="Y615" s="48">
        <f t="shared" si="225"/>
        <v>4952161395</v>
      </c>
      <c r="Z615" s="24">
        <f t="shared" ref="Z615" si="226">R615/L615</f>
        <v>0.3551173785705562</v>
      </c>
    </row>
    <row r="616" spans="1:26" ht="18.75" customHeight="1" x14ac:dyDescent="0.2">
      <c r="C616" s="16"/>
      <c r="D616" s="17"/>
      <c r="E616" s="17"/>
      <c r="F616" s="18"/>
      <c r="G616" s="34"/>
      <c r="H616" s="34"/>
      <c r="I616" s="34"/>
      <c r="J616" s="34"/>
      <c r="K616" s="34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s="25" customFormat="1" ht="18.75" customHeight="1" x14ac:dyDescent="0.2">
      <c r="B617" s="71"/>
      <c r="C617" s="66"/>
      <c r="D617" s="21" t="s">
        <v>573</v>
      </c>
      <c r="E617" s="67"/>
      <c r="F617" s="63"/>
      <c r="G617" s="72"/>
      <c r="H617" s="72"/>
      <c r="I617" s="72"/>
      <c r="J617" s="72"/>
      <c r="K617" s="72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8.75" customHeight="1" x14ac:dyDescent="0.2">
      <c r="C618" s="16"/>
      <c r="D618" s="29" t="s">
        <v>286</v>
      </c>
      <c r="E618" s="17"/>
      <c r="F618" s="18"/>
      <c r="G618" s="34"/>
      <c r="H618" s="34"/>
      <c r="I618" s="34"/>
      <c r="J618" s="34"/>
      <c r="K618" s="34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8.75" customHeight="1" x14ac:dyDescent="0.2">
      <c r="C619" s="16"/>
      <c r="D619" s="29" t="s">
        <v>574</v>
      </c>
      <c r="E619" s="17"/>
      <c r="F619" s="18"/>
      <c r="G619" s="34"/>
      <c r="H619" s="34"/>
      <c r="I619" s="34"/>
      <c r="J619" s="34"/>
      <c r="K619" s="34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8.75" customHeight="1" x14ac:dyDescent="0.2">
      <c r="C620" s="16"/>
      <c r="D620" s="29" t="s">
        <v>575</v>
      </c>
      <c r="E620" s="17"/>
      <c r="F620" s="18"/>
      <c r="G620" s="34"/>
      <c r="H620" s="34"/>
      <c r="I620" s="34"/>
      <c r="J620" s="34"/>
      <c r="K620" s="34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8.75" customHeight="1" x14ac:dyDescent="0.2">
      <c r="C621" s="16"/>
      <c r="D621" s="29" t="s">
        <v>576</v>
      </c>
      <c r="E621" s="17"/>
      <c r="F621" s="18"/>
      <c r="G621" s="34"/>
      <c r="H621" s="34"/>
      <c r="I621" s="34"/>
      <c r="J621" s="34"/>
      <c r="K621" s="34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x14ac:dyDescent="0.2">
      <c r="C622" s="16"/>
      <c r="D622" s="29" t="s">
        <v>577</v>
      </c>
      <c r="E622" s="17"/>
      <c r="F622" s="18"/>
      <c r="G622" s="34"/>
      <c r="H622" s="34"/>
      <c r="I622" s="34"/>
      <c r="J622" s="34"/>
      <c r="K622" s="34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25.5" x14ac:dyDescent="0.2">
      <c r="C623" s="16"/>
      <c r="D623" s="29" t="s">
        <v>578</v>
      </c>
      <c r="E623" s="17"/>
      <c r="F623" s="18"/>
      <c r="G623" s="34"/>
      <c r="H623" s="34"/>
      <c r="I623" s="34"/>
      <c r="J623" s="34"/>
      <c r="K623" s="34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30">
        <f t="shared" ref="V623:V672" si="227">S623+U623</f>
        <v>0</v>
      </c>
      <c r="W623" s="18"/>
      <c r="X623" s="18"/>
      <c r="Y623" s="18"/>
      <c r="Z623" s="18"/>
    </row>
    <row r="624" spans="1:26" ht="25.5" x14ac:dyDescent="0.2">
      <c r="C624" s="16"/>
      <c r="D624" s="29" t="s">
        <v>579</v>
      </c>
      <c r="E624" s="17"/>
      <c r="F624" s="18"/>
      <c r="G624" s="34"/>
      <c r="H624" s="34"/>
      <c r="I624" s="34"/>
      <c r="J624" s="34"/>
      <c r="K624" s="34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30">
        <f t="shared" si="227"/>
        <v>0</v>
      </c>
      <c r="W624" s="18"/>
      <c r="X624" s="18"/>
      <c r="Y624" s="18"/>
      <c r="Z624" s="18"/>
    </row>
    <row r="625" spans="1:26" x14ac:dyDescent="0.2">
      <c r="A625" s="4" t="s">
        <v>55</v>
      </c>
      <c r="B625" s="4" t="s">
        <v>56</v>
      </c>
      <c r="C625" s="41" t="s">
        <v>580</v>
      </c>
      <c r="D625" s="42" t="s">
        <v>233</v>
      </c>
      <c r="E625" s="43" t="s">
        <v>58</v>
      </c>
      <c r="F625" s="43">
        <v>50000000</v>
      </c>
      <c r="G625" s="44">
        <v>0</v>
      </c>
      <c r="H625" s="44">
        <v>0</v>
      </c>
      <c r="I625" s="44">
        <v>0</v>
      </c>
      <c r="J625" s="44">
        <v>0</v>
      </c>
      <c r="K625" s="44">
        <v>0</v>
      </c>
      <c r="L625" s="43">
        <v>50000000</v>
      </c>
      <c r="M625" s="44">
        <v>0</v>
      </c>
      <c r="N625" s="44">
        <v>0</v>
      </c>
      <c r="O625" s="44">
        <v>0</v>
      </c>
      <c r="P625" s="44">
        <v>0</v>
      </c>
      <c r="Q625" s="44">
        <v>0</v>
      </c>
      <c r="R625" s="44">
        <v>0</v>
      </c>
      <c r="S625" s="34">
        <v>0</v>
      </c>
      <c r="T625" s="34">
        <v>0</v>
      </c>
      <c r="U625" s="34">
        <v>0</v>
      </c>
      <c r="V625" s="40">
        <f t="shared" si="227"/>
        <v>0</v>
      </c>
      <c r="W625" s="43">
        <v>50000000</v>
      </c>
      <c r="X625" s="43">
        <v>0</v>
      </c>
      <c r="Y625" s="43">
        <v>0</v>
      </c>
      <c r="Z625" s="32">
        <f t="shared" ref="Z625" si="228">R625/L625</f>
        <v>0</v>
      </c>
    </row>
    <row r="626" spans="1:26" ht="38.25" x14ac:dyDescent="0.2">
      <c r="C626" s="28" t="s">
        <v>288</v>
      </c>
      <c r="D626" s="29" t="s">
        <v>581</v>
      </c>
      <c r="E626" s="17"/>
      <c r="F626" s="18"/>
      <c r="G626" s="18"/>
      <c r="H626" s="18"/>
      <c r="I626" s="18"/>
      <c r="J626" s="18"/>
      <c r="K626" s="18"/>
      <c r="L626" s="18"/>
      <c r="M626" s="34"/>
      <c r="N626" s="34"/>
      <c r="O626" s="34"/>
      <c r="P626" s="34"/>
      <c r="Q626" s="34"/>
      <c r="R626" s="34"/>
      <c r="S626" s="34"/>
      <c r="T626" s="34"/>
      <c r="U626" s="34"/>
      <c r="V626" s="40"/>
      <c r="W626" s="18"/>
      <c r="X626" s="18"/>
      <c r="Y626" s="18"/>
      <c r="Z626" s="18"/>
    </row>
    <row r="627" spans="1:26" x14ac:dyDescent="0.2">
      <c r="A627" s="4" t="s">
        <v>55</v>
      </c>
      <c r="B627" s="4" t="s">
        <v>56</v>
      </c>
      <c r="C627" s="41" t="s">
        <v>582</v>
      </c>
      <c r="D627" s="42" t="s">
        <v>233</v>
      </c>
      <c r="E627" s="43" t="s">
        <v>58</v>
      </c>
      <c r="F627" s="43">
        <v>75000000</v>
      </c>
      <c r="G627" s="44">
        <v>0</v>
      </c>
      <c r="H627" s="44">
        <v>0</v>
      </c>
      <c r="I627" s="44">
        <v>0</v>
      </c>
      <c r="J627" s="43">
        <v>75000000</v>
      </c>
      <c r="K627" s="43">
        <v>-75000000</v>
      </c>
      <c r="L627" s="43">
        <v>0</v>
      </c>
      <c r="M627" s="44">
        <v>0</v>
      </c>
      <c r="N627" s="44">
        <v>0</v>
      </c>
      <c r="O627" s="44">
        <v>0</v>
      </c>
      <c r="P627" s="44">
        <v>0</v>
      </c>
      <c r="Q627" s="44">
        <v>0</v>
      </c>
      <c r="R627" s="44">
        <v>0</v>
      </c>
      <c r="S627" s="34">
        <v>0</v>
      </c>
      <c r="T627" s="34">
        <v>0</v>
      </c>
      <c r="U627" s="34">
        <v>0</v>
      </c>
      <c r="V627" s="40">
        <f t="shared" si="227"/>
        <v>0</v>
      </c>
      <c r="W627" s="43">
        <v>0</v>
      </c>
      <c r="X627" s="43">
        <v>0</v>
      </c>
      <c r="Y627" s="43">
        <v>0</v>
      </c>
      <c r="Z627" s="32" t="e">
        <f t="shared" ref="Z627" si="229">R627/L627</f>
        <v>#DIV/0!</v>
      </c>
    </row>
    <row r="628" spans="1:26" x14ac:dyDescent="0.2">
      <c r="C628" s="16"/>
      <c r="D628" s="17"/>
      <c r="E628" s="17"/>
      <c r="F628" s="18"/>
      <c r="G628" s="34"/>
      <c r="H628" s="34"/>
      <c r="I628" s="34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30"/>
      <c r="W628" s="18"/>
      <c r="X628" s="18"/>
      <c r="Y628" s="18"/>
      <c r="Z628" s="18"/>
    </row>
    <row r="629" spans="1:26" x14ac:dyDescent="0.2">
      <c r="C629" s="16"/>
      <c r="D629" s="29" t="s">
        <v>179</v>
      </c>
      <c r="E629" s="17"/>
      <c r="F629" s="18"/>
      <c r="G629" s="34"/>
      <c r="H629" s="34"/>
      <c r="I629" s="34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30"/>
      <c r="W629" s="18"/>
      <c r="X629" s="18"/>
      <c r="Y629" s="18"/>
      <c r="Z629" s="18"/>
    </row>
    <row r="630" spans="1:26" x14ac:dyDescent="0.2">
      <c r="C630" s="16"/>
      <c r="D630" s="29" t="s">
        <v>181</v>
      </c>
      <c r="E630" s="17"/>
      <c r="F630" s="18"/>
      <c r="G630" s="34"/>
      <c r="H630" s="34"/>
      <c r="I630" s="34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30"/>
      <c r="W630" s="18"/>
      <c r="X630" s="18"/>
      <c r="Y630" s="18"/>
      <c r="Z630" s="18"/>
    </row>
    <row r="631" spans="1:26" ht="25.5" x14ac:dyDescent="0.2">
      <c r="C631" s="16"/>
      <c r="D631" s="29" t="s">
        <v>185</v>
      </c>
      <c r="E631" s="17"/>
      <c r="F631" s="18"/>
      <c r="G631" s="34"/>
      <c r="H631" s="34"/>
      <c r="I631" s="34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30"/>
      <c r="W631" s="18"/>
      <c r="X631" s="18"/>
      <c r="Y631" s="18"/>
      <c r="Z631" s="18"/>
    </row>
    <row r="632" spans="1:26" ht="25.5" x14ac:dyDescent="0.2">
      <c r="C632" s="28" t="s">
        <v>288</v>
      </c>
      <c r="D632" s="29" t="s">
        <v>583</v>
      </c>
      <c r="E632" s="17"/>
      <c r="F632" s="18"/>
      <c r="G632" s="34"/>
      <c r="H632" s="34"/>
      <c r="I632" s="34"/>
      <c r="J632" s="18"/>
      <c r="K632" s="18"/>
      <c r="L632" s="18"/>
      <c r="M632" s="34"/>
      <c r="N632" s="34"/>
      <c r="O632" s="34"/>
      <c r="P632" s="34"/>
      <c r="Q632" s="34"/>
      <c r="R632" s="34"/>
      <c r="S632" s="18"/>
      <c r="T632" s="18"/>
      <c r="U632" s="18"/>
      <c r="V632" s="30">
        <f t="shared" si="227"/>
        <v>0</v>
      </c>
      <c r="W632" s="18"/>
      <c r="X632" s="18"/>
      <c r="Y632" s="18"/>
      <c r="Z632" s="18"/>
    </row>
    <row r="633" spans="1:26" x14ac:dyDescent="0.2">
      <c r="A633" s="4" t="s">
        <v>55</v>
      </c>
      <c r="B633" s="4" t="s">
        <v>56</v>
      </c>
      <c r="C633" s="41" t="s">
        <v>584</v>
      </c>
      <c r="D633" s="42" t="s">
        <v>233</v>
      </c>
      <c r="E633" s="43" t="s">
        <v>58</v>
      </c>
      <c r="F633" s="43">
        <v>50000000</v>
      </c>
      <c r="G633" s="44">
        <v>0</v>
      </c>
      <c r="H633" s="44">
        <v>0</v>
      </c>
      <c r="I633" s="44">
        <v>0</v>
      </c>
      <c r="J633" s="44">
        <v>0</v>
      </c>
      <c r="K633" s="44">
        <v>0</v>
      </c>
      <c r="L633" s="43">
        <v>50000000</v>
      </c>
      <c r="M633" s="44">
        <v>0</v>
      </c>
      <c r="N633" s="44">
        <v>0</v>
      </c>
      <c r="O633" s="44">
        <v>0</v>
      </c>
      <c r="P633" s="44">
        <v>0</v>
      </c>
      <c r="Q633" s="44">
        <v>0</v>
      </c>
      <c r="R633" s="44">
        <v>0</v>
      </c>
      <c r="S633" s="44">
        <v>0</v>
      </c>
      <c r="T633" s="44">
        <v>0</v>
      </c>
      <c r="U633" s="44">
        <v>0</v>
      </c>
      <c r="V633" s="31">
        <f t="shared" si="227"/>
        <v>0</v>
      </c>
      <c r="W633" s="43">
        <v>50000000</v>
      </c>
      <c r="X633" s="43">
        <v>0</v>
      </c>
      <c r="Y633" s="43">
        <v>0</v>
      </c>
      <c r="Z633" s="32">
        <f t="shared" ref="Z633" si="230">R633/L633</f>
        <v>0</v>
      </c>
    </row>
    <row r="634" spans="1:26" x14ac:dyDescent="0.2">
      <c r="C634" s="16"/>
      <c r="D634" s="17"/>
      <c r="E634" s="17"/>
      <c r="F634" s="18"/>
      <c r="G634" s="34"/>
      <c r="H634" s="34"/>
      <c r="I634" s="34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30"/>
      <c r="W634" s="18"/>
      <c r="X634" s="18"/>
      <c r="Y634" s="18"/>
      <c r="Z634" s="18"/>
    </row>
    <row r="635" spans="1:26" x14ac:dyDescent="0.2">
      <c r="C635" s="16"/>
      <c r="D635" s="29" t="s">
        <v>189</v>
      </c>
      <c r="E635" s="17"/>
      <c r="F635" s="18"/>
      <c r="G635" s="34"/>
      <c r="H635" s="34"/>
      <c r="I635" s="34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30"/>
      <c r="W635" s="18"/>
      <c r="X635" s="18"/>
      <c r="Y635" s="18"/>
      <c r="Z635" s="18"/>
    </row>
    <row r="636" spans="1:26" ht="38.25" x14ac:dyDescent="0.2">
      <c r="C636" s="16"/>
      <c r="D636" s="29" t="s">
        <v>373</v>
      </c>
      <c r="E636" s="17"/>
      <c r="F636" s="18"/>
      <c r="G636" s="34"/>
      <c r="H636" s="34"/>
      <c r="I636" s="34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30"/>
      <c r="W636" s="18"/>
      <c r="X636" s="18"/>
      <c r="Y636" s="18"/>
      <c r="Z636" s="18"/>
    </row>
    <row r="637" spans="1:26" ht="25.5" x14ac:dyDescent="0.2">
      <c r="C637" s="28" t="s">
        <v>288</v>
      </c>
      <c r="D637" s="29" t="s">
        <v>585</v>
      </c>
      <c r="E637" s="17"/>
      <c r="F637" s="18"/>
      <c r="G637" s="34"/>
      <c r="H637" s="34"/>
      <c r="I637" s="34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30"/>
      <c r="W637" s="18"/>
      <c r="X637" s="18"/>
      <c r="Y637" s="18"/>
      <c r="Z637" s="18"/>
    </row>
    <row r="638" spans="1:26" x14ac:dyDescent="0.2">
      <c r="A638" s="4" t="s">
        <v>55</v>
      </c>
      <c r="B638" s="4" t="s">
        <v>56</v>
      </c>
      <c r="C638" s="41" t="s">
        <v>586</v>
      </c>
      <c r="D638" s="42" t="s">
        <v>233</v>
      </c>
      <c r="E638" s="43" t="s">
        <v>58</v>
      </c>
      <c r="F638" s="43">
        <v>165000000</v>
      </c>
      <c r="G638" s="44">
        <v>0</v>
      </c>
      <c r="H638" s="44">
        <v>0</v>
      </c>
      <c r="I638" s="44">
        <v>0</v>
      </c>
      <c r="J638" s="44">
        <v>0</v>
      </c>
      <c r="K638" s="44">
        <v>0</v>
      </c>
      <c r="L638" s="43">
        <v>165000000</v>
      </c>
      <c r="M638" s="43">
        <v>0</v>
      </c>
      <c r="N638" s="43">
        <v>142500000</v>
      </c>
      <c r="O638" s="43">
        <v>142500000</v>
      </c>
      <c r="P638" s="43">
        <v>0</v>
      </c>
      <c r="Q638" s="43">
        <v>0</v>
      </c>
      <c r="R638" s="34">
        <v>0</v>
      </c>
      <c r="S638" s="34">
        <v>0</v>
      </c>
      <c r="T638" s="34">
        <v>0</v>
      </c>
      <c r="U638" s="34">
        <v>0</v>
      </c>
      <c r="V638" s="40">
        <f t="shared" si="227"/>
        <v>0</v>
      </c>
      <c r="W638" s="43">
        <v>22500000</v>
      </c>
      <c r="X638" s="43">
        <v>142500000</v>
      </c>
      <c r="Y638" s="43">
        <v>0</v>
      </c>
      <c r="Z638" s="32">
        <f t="shared" ref="Z638" si="231">R638/L638</f>
        <v>0</v>
      </c>
    </row>
    <row r="639" spans="1:26" ht="25.5" x14ac:dyDescent="0.2">
      <c r="C639" s="28" t="s">
        <v>288</v>
      </c>
      <c r="D639" s="29" t="s">
        <v>587</v>
      </c>
      <c r="E639" s="17"/>
      <c r="F639" s="18"/>
      <c r="G639" s="34"/>
      <c r="H639" s="34"/>
      <c r="I639" s="34"/>
      <c r="J639" s="34"/>
      <c r="K639" s="34"/>
      <c r="L639" s="18"/>
      <c r="M639" s="18"/>
      <c r="N639" s="18"/>
      <c r="O639" s="18"/>
      <c r="P639" s="18"/>
      <c r="Q639" s="18"/>
      <c r="R639" s="34"/>
      <c r="S639" s="34"/>
      <c r="T639" s="34"/>
      <c r="U639" s="34"/>
      <c r="V639" s="40"/>
      <c r="W639" s="18"/>
      <c r="X639" s="18"/>
      <c r="Y639" s="18"/>
      <c r="Z639" s="18"/>
    </row>
    <row r="640" spans="1:26" x14ac:dyDescent="0.2">
      <c r="A640" s="4" t="s">
        <v>55</v>
      </c>
      <c r="B640" s="4" t="s">
        <v>56</v>
      </c>
      <c r="C640" s="41" t="s">
        <v>588</v>
      </c>
      <c r="D640" s="42" t="s">
        <v>233</v>
      </c>
      <c r="E640" s="43" t="s">
        <v>58</v>
      </c>
      <c r="F640" s="43">
        <v>360000000</v>
      </c>
      <c r="G640" s="44">
        <v>0</v>
      </c>
      <c r="H640" s="44">
        <v>0</v>
      </c>
      <c r="I640" s="44">
        <v>0</v>
      </c>
      <c r="J640" s="44">
        <v>0</v>
      </c>
      <c r="K640" s="44">
        <v>0</v>
      </c>
      <c r="L640" s="43">
        <v>360000000</v>
      </c>
      <c r="M640" s="44">
        <v>0</v>
      </c>
      <c r="N640" s="44">
        <v>0</v>
      </c>
      <c r="O640" s="44">
        <v>0</v>
      </c>
      <c r="P640" s="44">
        <v>0</v>
      </c>
      <c r="Q640" s="44">
        <v>0</v>
      </c>
      <c r="R640" s="34">
        <v>0</v>
      </c>
      <c r="S640" s="34">
        <v>0</v>
      </c>
      <c r="T640" s="34">
        <v>0</v>
      </c>
      <c r="U640" s="34">
        <v>0</v>
      </c>
      <c r="V640" s="40">
        <f t="shared" si="227"/>
        <v>0</v>
      </c>
      <c r="W640" s="43">
        <v>360000000</v>
      </c>
      <c r="X640" s="43">
        <v>0</v>
      </c>
      <c r="Y640" s="43">
        <v>0</v>
      </c>
      <c r="Z640" s="32">
        <f t="shared" ref="Z640" si="232">R640/L640</f>
        <v>0</v>
      </c>
    </row>
    <row r="641" spans="1:26" ht="25.5" x14ac:dyDescent="0.2">
      <c r="C641" s="28" t="s">
        <v>288</v>
      </c>
      <c r="D641" s="29" t="s">
        <v>589</v>
      </c>
      <c r="E641" s="17"/>
      <c r="F641" s="18"/>
      <c r="G641" s="34"/>
      <c r="H641" s="34"/>
      <c r="I641" s="34"/>
      <c r="J641" s="34"/>
      <c r="K641" s="34"/>
      <c r="L641" s="18"/>
      <c r="M641" s="34"/>
      <c r="N641" s="34"/>
      <c r="O641" s="34"/>
      <c r="P641" s="34"/>
      <c r="Q641" s="34"/>
      <c r="R641" s="34"/>
      <c r="S641" s="34"/>
      <c r="T641" s="34"/>
      <c r="U641" s="34"/>
      <c r="V641" s="40"/>
      <c r="W641" s="18"/>
      <c r="X641" s="18"/>
      <c r="Y641" s="18"/>
      <c r="Z641" s="18"/>
    </row>
    <row r="642" spans="1:26" x14ac:dyDescent="0.2">
      <c r="A642" s="4" t="s">
        <v>55</v>
      </c>
      <c r="B642" s="4" t="s">
        <v>56</v>
      </c>
      <c r="C642" s="41" t="s">
        <v>590</v>
      </c>
      <c r="D642" s="42" t="s">
        <v>233</v>
      </c>
      <c r="E642" s="43" t="s">
        <v>58</v>
      </c>
      <c r="F642" s="43">
        <v>2564591998.2600002</v>
      </c>
      <c r="G642" s="44">
        <v>0</v>
      </c>
      <c r="H642" s="44">
        <v>0</v>
      </c>
      <c r="I642" s="44">
        <v>0</v>
      </c>
      <c r="J642" s="44">
        <v>0</v>
      </c>
      <c r="K642" s="44">
        <v>0</v>
      </c>
      <c r="L642" s="43">
        <v>2564591998.2600002</v>
      </c>
      <c r="M642" s="44">
        <v>0</v>
      </c>
      <c r="N642" s="44">
        <v>0</v>
      </c>
      <c r="O642" s="44">
        <v>0</v>
      </c>
      <c r="P642" s="44">
        <v>0</v>
      </c>
      <c r="Q642" s="44">
        <v>0</v>
      </c>
      <c r="R642" s="34">
        <v>0</v>
      </c>
      <c r="S642" s="34">
        <v>0</v>
      </c>
      <c r="T642" s="34">
        <v>0</v>
      </c>
      <c r="U642" s="34">
        <v>0</v>
      </c>
      <c r="V642" s="40">
        <f t="shared" si="227"/>
        <v>0</v>
      </c>
      <c r="W642" s="43">
        <v>2564591998.2600002</v>
      </c>
      <c r="X642" s="43">
        <v>0</v>
      </c>
      <c r="Y642" s="43">
        <v>0</v>
      </c>
      <c r="Z642" s="32">
        <f t="shared" ref="Z642" si="233">R642/L642</f>
        <v>0</v>
      </c>
    </row>
    <row r="643" spans="1:26" x14ac:dyDescent="0.2">
      <c r="C643" s="16"/>
      <c r="D643" s="17"/>
      <c r="E643" s="17"/>
      <c r="F643" s="18"/>
      <c r="G643" s="34"/>
      <c r="H643" s="34"/>
      <c r="I643" s="34"/>
      <c r="J643" s="34"/>
      <c r="K643" s="34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30"/>
      <c r="W643" s="18"/>
      <c r="X643" s="18"/>
      <c r="Y643" s="18"/>
      <c r="Z643" s="18"/>
    </row>
    <row r="644" spans="1:26" ht="25.5" x14ac:dyDescent="0.2">
      <c r="C644" s="16"/>
      <c r="D644" s="29" t="s">
        <v>197</v>
      </c>
      <c r="E644" s="17"/>
      <c r="F644" s="18"/>
      <c r="G644" s="34"/>
      <c r="H644" s="34"/>
      <c r="I644" s="34"/>
      <c r="J644" s="34"/>
      <c r="K644" s="34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30"/>
      <c r="W644" s="18"/>
      <c r="X644" s="18"/>
      <c r="Y644" s="18"/>
      <c r="Z644" s="18"/>
    </row>
    <row r="645" spans="1:26" x14ac:dyDescent="0.2">
      <c r="C645" s="28" t="s">
        <v>288</v>
      </c>
      <c r="D645" s="29" t="s">
        <v>591</v>
      </c>
      <c r="E645" s="17"/>
      <c r="F645" s="18"/>
      <c r="G645" s="34"/>
      <c r="H645" s="34"/>
      <c r="I645" s="34"/>
      <c r="J645" s="34"/>
      <c r="K645" s="34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30"/>
      <c r="W645" s="18"/>
      <c r="X645" s="18"/>
      <c r="Y645" s="18"/>
      <c r="Z645" s="18"/>
    </row>
    <row r="646" spans="1:26" x14ac:dyDescent="0.2">
      <c r="A646" s="4" t="s">
        <v>55</v>
      </c>
      <c r="B646" s="4" t="s">
        <v>56</v>
      </c>
      <c r="C646" s="41" t="s">
        <v>592</v>
      </c>
      <c r="D646" s="42" t="s">
        <v>233</v>
      </c>
      <c r="E646" s="43" t="s">
        <v>58</v>
      </c>
      <c r="F646" s="43">
        <v>458060751</v>
      </c>
      <c r="G646" s="44">
        <v>0</v>
      </c>
      <c r="H646" s="44">
        <v>0</v>
      </c>
      <c r="I646" s="44">
        <v>0</v>
      </c>
      <c r="J646" s="44">
        <v>0</v>
      </c>
      <c r="K646" s="44">
        <v>0</v>
      </c>
      <c r="L646" s="43">
        <v>458060751</v>
      </c>
      <c r="M646" s="43">
        <v>0</v>
      </c>
      <c r="N646" s="43">
        <v>312660751</v>
      </c>
      <c r="O646" s="43">
        <v>312660751</v>
      </c>
      <c r="P646" s="43">
        <v>0</v>
      </c>
      <c r="Q646" s="43">
        <v>312660751</v>
      </c>
      <c r="R646" s="43">
        <v>312660751</v>
      </c>
      <c r="S646" s="34">
        <v>0</v>
      </c>
      <c r="T646" s="34">
        <v>0</v>
      </c>
      <c r="U646" s="34">
        <v>0</v>
      </c>
      <c r="V646" s="40">
        <f t="shared" si="227"/>
        <v>0</v>
      </c>
      <c r="W646" s="43">
        <v>145400000</v>
      </c>
      <c r="X646" s="43">
        <v>0</v>
      </c>
      <c r="Y646" s="43">
        <v>312660751</v>
      </c>
      <c r="Z646" s="32">
        <f t="shared" ref="Z646" si="234">R646/L646</f>
        <v>0.68257485566581544</v>
      </c>
    </row>
    <row r="647" spans="1:26" ht="25.5" x14ac:dyDescent="0.2">
      <c r="C647" s="28" t="s">
        <v>288</v>
      </c>
      <c r="D647" s="29" t="s">
        <v>593</v>
      </c>
      <c r="E647" s="17"/>
      <c r="F647" s="18"/>
      <c r="G647" s="34"/>
      <c r="H647" s="34"/>
      <c r="I647" s="34"/>
      <c r="J647" s="34"/>
      <c r="K647" s="34"/>
      <c r="L647" s="18"/>
      <c r="M647" s="18"/>
      <c r="N647" s="18"/>
      <c r="O647" s="18"/>
      <c r="P647" s="18"/>
      <c r="Q647" s="18"/>
      <c r="R647" s="18"/>
      <c r="S647" s="34"/>
      <c r="T647" s="34"/>
      <c r="U647" s="34"/>
      <c r="V647" s="40"/>
      <c r="W647" s="18"/>
      <c r="X647" s="18"/>
      <c r="Y647" s="18"/>
      <c r="Z647" s="18"/>
    </row>
    <row r="648" spans="1:26" x14ac:dyDescent="0.2">
      <c r="A648" s="4" t="s">
        <v>55</v>
      </c>
      <c r="B648" s="4" t="s">
        <v>56</v>
      </c>
      <c r="C648" s="41" t="s">
        <v>594</v>
      </c>
      <c r="D648" s="42" t="s">
        <v>233</v>
      </c>
      <c r="E648" s="43" t="s">
        <v>58</v>
      </c>
      <c r="F648" s="43">
        <v>522500000</v>
      </c>
      <c r="G648" s="44">
        <v>0</v>
      </c>
      <c r="H648" s="44">
        <v>0</v>
      </c>
      <c r="I648" s="44">
        <v>0</v>
      </c>
      <c r="J648" s="44">
        <v>0</v>
      </c>
      <c r="K648" s="44">
        <v>0</v>
      </c>
      <c r="L648" s="43">
        <v>522500000</v>
      </c>
      <c r="M648" s="43">
        <v>0</v>
      </c>
      <c r="N648" s="43">
        <v>360000000</v>
      </c>
      <c r="O648" s="43">
        <v>360000000</v>
      </c>
      <c r="P648" s="43">
        <v>0</v>
      </c>
      <c r="Q648" s="43">
        <v>300000000</v>
      </c>
      <c r="R648" s="43">
        <v>300000000</v>
      </c>
      <c r="S648" s="34">
        <v>0</v>
      </c>
      <c r="T648" s="34">
        <v>0</v>
      </c>
      <c r="U648" s="34">
        <v>0</v>
      </c>
      <c r="V648" s="40">
        <f t="shared" si="227"/>
        <v>0</v>
      </c>
      <c r="W648" s="43">
        <v>162500000</v>
      </c>
      <c r="X648" s="43">
        <v>60000000</v>
      </c>
      <c r="Y648" s="43">
        <v>300000000</v>
      </c>
      <c r="Z648" s="32">
        <f t="shared" ref="Z648" si="235">R648/L648</f>
        <v>0.57416267942583732</v>
      </c>
    </row>
    <row r="649" spans="1:26" ht="25.5" x14ac:dyDescent="0.2">
      <c r="C649" s="28" t="s">
        <v>288</v>
      </c>
      <c r="D649" s="29" t="s">
        <v>583</v>
      </c>
      <c r="E649" s="17"/>
      <c r="F649" s="18"/>
      <c r="G649" s="34"/>
      <c r="H649" s="34"/>
      <c r="I649" s="34"/>
      <c r="J649" s="34"/>
      <c r="K649" s="34"/>
      <c r="L649" s="18"/>
      <c r="M649" s="18"/>
      <c r="N649" s="18"/>
      <c r="O649" s="18"/>
      <c r="P649" s="18"/>
      <c r="Q649" s="18"/>
      <c r="R649" s="18"/>
      <c r="S649" s="34"/>
      <c r="T649" s="34"/>
      <c r="U649" s="34"/>
      <c r="V649" s="40"/>
      <c r="W649" s="18"/>
      <c r="X649" s="18"/>
      <c r="Y649" s="18"/>
      <c r="Z649" s="18"/>
    </row>
    <row r="650" spans="1:26" x14ac:dyDescent="0.2">
      <c r="A650" s="4" t="s">
        <v>55</v>
      </c>
      <c r="B650" s="4" t="s">
        <v>56</v>
      </c>
      <c r="C650" s="41" t="s">
        <v>595</v>
      </c>
      <c r="D650" s="42" t="s">
        <v>233</v>
      </c>
      <c r="E650" s="43" t="s">
        <v>58</v>
      </c>
      <c r="F650" s="43">
        <v>100000000</v>
      </c>
      <c r="G650" s="44">
        <v>0</v>
      </c>
      <c r="H650" s="44">
        <v>0</v>
      </c>
      <c r="I650" s="44">
        <v>0</v>
      </c>
      <c r="J650" s="44">
        <v>0</v>
      </c>
      <c r="K650" s="44">
        <v>0</v>
      </c>
      <c r="L650" s="43">
        <v>100000000</v>
      </c>
      <c r="M650" s="44">
        <v>0</v>
      </c>
      <c r="N650" s="44">
        <v>0</v>
      </c>
      <c r="O650" s="44">
        <v>0</v>
      </c>
      <c r="P650" s="44">
        <v>0</v>
      </c>
      <c r="Q650" s="44">
        <v>0</v>
      </c>
      <c r="R650" s="44">
        <v>0</v>
      </c>
      <c r="S650" s="34">
        <v>0</v>
      </c>
      <c r="T650" s="34">
        <v>0</v>
      </c>
      <c r="U650" s="34">
        <v>0</v>
      </c>
      <c r="V650" s="40">
        <f t="shared" si="227"/>
        <v>0</v>
      </c>
      <c r="W650" s="43">
        <v>100000000</v>
      </c>
      <c r="X650" s="43">
        <v>0</v>
      </c>
      <c r="Y650" s="43">
        <v>0</v>
      </c>
      <c r="Z650" s="32">
        <f t="shared" ref="Z650" si="236">R650/L650</f>
        <v>0</v>
      </c>
    </row>
    <row r="651" spans="1:26" ht="25.5" x14ac:dyDescent="0.2">
      <c r="C651" s="28" t="s">
        <v>288</v>
      </c>
      <c r="D651" s="29" t="s">
        <v>596</v>
      </c>
      <c r="E651" s="17"/>
      <c r="F651" s="18"/>
      <c r="G651" s="34"/>
      <c r="H651" s="34"/>
      <c r="I651" s="34"/>
      <c r="J651" s="34"/>
      <c r="K651" s="34"/>
      <c r="L651" s="18"/>
      <c r="M651" s="34"/>
      <c r="N651" s="34"/>
      <c r="O651" s="34"/>
      <c r="P651" s="34"/>
      <c r="Q651" s="34"/>
      <c r="R651" s="34"/>
      <c r="S651" s="34"/>
      <c r="T651" s="34"/>
      <c r="U651" s="34"/>
      <c r="V651" s="40"/>
      <c r="W651" s="18"/>
      <c r="X651" s="18"/>
      <c r="Y651" s="18"/>
      <c r="Z651" s="18"/>
    </row>
    <row r="652" spans="1:26" x14ac:dyDescent="0.2">
      <c r="A652" s="4" t="s">
        <v>55</v>
      </c>
      <c r="B652" s="4" t="s">
        <v>56</v>
      </c>
      <c r="C652" s="41" t="s">
        <v>597</v>
      </c>
      <c r="D652" s="42" t="s">
        <v>233</v>
      </c>
      <c r="E652" s="43" t="s">
        <v>58</v>
      </c>
      <c r="F652" s="43">
        <v>279700000</v>
      </c>
      <c r="G652" s="44">
        <v>0</v>
      </c>
      <c r="H652" s="44">
        <v>0</v>
      </c>
      <c r="I652" s="44">
        <v>0</v>
      </c>
      <c r="J652" s="44">
        <v>0</v>
      </c>
      <c r="K652" s="44">
        <v>0</v>
      </c>
      <c r="L652" s="43">
        <v>279700000</v>
      </c>
      <c r="M652" s="44">
        <v>0</v>
      </c>
      <c r="N652" s="44">
        <v>0</v>
      </c>
      <c r="O652" s="44">
        <v>0</v>
      </c>
      <c r="P652" s="44">
        <v>0</v>
      </c>
      <c r="Q652" s="44">
        <v>0</v>
      </c>
      <c r="R652" s="44">
        <v>0</v>
      </c>
      <c r="S652" s="34">
        <v>0</v>
      </c>
      <c r="T652" s="34">
        <v>0</v>
      </c>
      <c r="U652" s="34">
        <v>0</v>
      </c>
      <c r="V652" s="40">
        <f t="shared" si="227"/>
        <v>0</v>
      </c>
      <c r="W652" s="43">
        <v>279700000</v>
      </c>
      <c r="X652" s="43">
        <v>0</v>
      </c>
      <c r="Y652" s="43">
        <v>0</v>
      </c>
      <c r="Z652" s="32">
        <f t="shared" ref="Z652" si="237">R652/L652</f>
        <v>0</v>
      </c>
    </row>
    <row r="653" spans="1:26" ht="38.25" x14ac:dyDescent="0.2">
      <c r="C653" s="28" t="s">
        <v>288</v>
      </c>
      <c r="D653" s="29" t="s">
        <v>598</v>
      </c>
      <c r="E653" s="17"/>
      <c r="F653" s="18"/>
      <c r="G653" s="34"/>
      <c r="H653" s="34"/>
      <c r="I653" s="34"/>
      <c r="J653" s="34"/>
      <c r="K653" s="34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30">
        <f t="shared" si="227"/>
        <v>0</v>
      </c>
      <c r="W653" s="18"/>
      <c r="X653" s="18"/>
      <c r="Y653" s="18"/>
      <c r="Z653" s="18"/>
    </row>
    <row r="654" spans="1:26" x14ac:dyDescent="0.2">
      <c r="A654" s="4" t="s">
        <v>55</v>
      </c>
      <c r="B654" s="4" t="s">
        <v>56</v>
      </c>
      <c r="C654" s="41" t="s">
        <v>599</v>
      </c>
      <c r="D654" s="42" t="s">
        <v>233</v>
      </c>
      <c r="E654" s="43" t="s">
        <v>58</v>
      </c>
      <c r="F654" s="43">
        <v>418000000</v>
      </c>
      <c r="G654" s="44">
        <v>0</v>
      </c>
      <c r="H654" s="44">
        <v>0</v>
      </c>
      <c r="I654" s="44">
        <v>0</v>
      </c>
      <c r="J654" s="44">
        <v>0</v>
      </c>
      <c r="K654" s="44">
        <v>0</v>
      </c>
      <c r="L654" s="43">
        <v>418000000</v>
      </c>
      <c r="M654" s="43">
        <v>0</v>
      </c>
      <c r="N654" s="43">
        <v>268000000</v>
      </c>
      <c r="O654" s="43">
        <v>268000000</v>
      </c>
      <c r="P654" s="43">
        <v>0</v>
      </c>
      <c r="Q654" s="43">
        <v>252000000</v>
      </c>
      <c r="R654" s="43">
        <v>252000000</v>
      </c>
      <c r="S654" s="34">
        <v>0</v>
      </c>
      <c r="T654" s="34">
        <v>0</v>
      </c>
      <c r="U654" s="34">
        <v>0</v>
      </c>
      <c r="V654" s="40">
        <f t="shared" si="227"/>
        <v>0</v>
      </c>
      <c r="W654" s="43">
        <v>150000000</v>
      </c>
      <c r="X654" s="43">
        <v>16000000</v>
      </c>
      <c r="Y654" s="43">
        <v>252000000</v>
      </c>
      <c r="Z654" s="32">
        <f t="shared" ref="Z654" si="238">R654/L654</f>
        <v>0.60287081339712922</v>
      </c>
    </row>
    <row r="655" spans="1:26" x14ac:dyDescent="0.2">
      <c r="C655" s="28" t="s">
        <v>288</v>
      </c>
      <c r="D655" s="29" t="s">
        <v>600</v>
      </c>
      <c r="E655" s="17"/>
      <c r="F655" s="18"/>
      <c r="G655" s="34"/>
      <c r="H655" s="34"/>
      <c r="I655" s="34"/>
      <c r="J655" s="34"/>
      <c r="K655" s="34"/>
      <c r="L655" s="18"/>
      <c r="M655" s="18"/>
      <c r="N655" s="18"/>
      <c r="O655" s="18"/>
      <c r="P655" s="18"/>
      <c r="Q655" s="18"/>
      <c r="R655" s="18"/>
      <c r="S655" s="34"/>
      <c r="T655" s="34"/>
      <c r="U655" s="34"/>
      <c r="V655" s="40"/>
      <c r="W655" s="18"/>
      <c r="X655" s="18"/>
      <c r="Y655" s="18"/>
      <c r="Z655" s="18"/>
    </row>
    <row r="656" spans="1:26" x14ac:dyDescent="0.2">
      <c r="A656" s="4" t="s">
        <v>55</v>
      </c>
      <c r="B656" s="4" t="s">
        <v>56</v>
      </c>
      <c r="C656" s="41" t="s">
        <v>601</v>
      </c>
      <c r="D656" s="42" t="s">
        <v>233</v>
      </c>
      <c r="E656" s="43" t="s">
        <v>58</v>
      </c>
      <c r="F656" s="43">
        <v>337300000</v>
      </c>
      <c r="G656" s="44">
        <v>0</v>
      </c>
      <c r="H656" s="44">
        <v>0</v>
      </c>
      <c r="I656" s="44">
        <v>0</v>
      </c>
      <c r="J656" s="44">
        <v>0</v>
      </c>
      <c r="K656" s="44">
        <v>0</v>
      </c>
      <c r="L656" s="43">
        <v>337300000</v>
      </c>
      <c r="M656" s="44">
        <v>0</v>
      </c>
      <c r="N656" s="44">
        <v>0</v>
      </c>
      <c r="O656" s="44">
        <v>0</v>
      </c>
      <c r="P656" s="44">
        <v>0</v>
      </c>
      <c r="Q656" s="44">
        <v>0</v>
      </c>
      <c r="R656" s="44">
        <v>0</v>
      </c>
      <c r="S656" s="34">
        <v>0</v>
      </c>
      <c r="T656" s="34">
        <v>0</v>
      </c>
      <c r="U656" s="34">
        <v>0</v>
      </c>
      <c r="V656" s="40">
        <f t="shared" si="227"/>
        <v>0</v>
      </c>
      <c r="W656" s="43">
        <v>337300000</v>
      </c>
      <c r="X656" s="43">
        <v>0</v>
      </c>
      <c r="Y656" s="43">
        <v>0</v>
      </c>
      <c r="Z656" s="32">
        <f t="shared" ref="Z656" si="239">R656/L656</f>
        <v>0</v>
      </c>
    </row>
    <row r="657" spans="1:26" ht="25.5" x14ac:dyDescent="0.2">
      <c r="C657" s="28" t="s">
        <v>288</v>
      </c>
      <c r="D657" s="29" t="s">
        <v>602</v>
      </c>
      <c r="E657" s="17"/>
      <c r="F657" s="18"/>
      <c r="G657" s="18"/>
      <c r="H657" s="18"/>
      <c r="I657" s="18"/>
      <c r="J657" s="18"/>
      <c r="K657" s="18"/>
      <c r="L657" s="18"/>
      <c r="M657" s="34"/>
      <c r="N657" s="34"/>
      <c r="O657" s="34"/>
      <c r="P657" s="34"/>
      <c r="Q657" s="34"/>
      <c r="R657" s="34"/>
      <c r="S657" s="34"/>
      <c r="T657" s="34"/>
      <c r="U657" s="34"/>
      <c r="V657" s="40"/>
      <c r="W657" s="18"/>
      <c r="X657" s="18"/>
      <c r="Y657" s="18"/>
      <c r="Z657" s="18"/>
    </row>
    <row r="658" spans="1:26" x14ac:dyDescent="0.2">
      <c r="A658" s="4" t="s">
        <v>55</v>
      </c>
      <c r="B658" s="4" t="s">
        <v>56</v>
      </c>
      <c r="C658" s="41" t="s">
        <v>603</v>
      </c>
      <c r="D658" s="42" t="s">
        <v>233</v>
      </c>
      <c r="E658" s="43" t="s">
        <v>58</v>
      </c>
      <c r="F658" s="44">
        <v>0</v>
      </c>
      <c r="G658" s="44">
        <v>0</v>
      </c>
      <c r="H658" s="44">
        <v>0</v>
      </c>
      <c r="I658" s="43">
        <v>4400000</v>
      </c>
      <c r="J658" s="44">
        <v>0</v>
      </c>
      <c r="K658" s="43">
        <v>4400000</v>
      </c>
      <c r="L658" s="43">
        <v>4400000</v>
      </c>
      <c r="M658" s="44">
        <v>0</v>
      </c>
      <c r="N658" s="44">
        <v>0</v>
      </c>
      <c r="O658" s="44">
        <v>0</v>
      </c>
      <c r="P658" s="44">
        <v>0</v>
      </c>
      <c r="Q658" s="44">
        <v>0</v>
      </c>
      <c r="R658" s="44">
        <v>0</v>
      </c>
      <c r="S658" s="34">
        <v>0</v>
      </c>
      <c r="T658" s="34">
        <v>0</v>
      </c>
      <c r="U658" s="34">
        <v>0</v>
      </c>
      <c r="V658" s="40">
        <f t="shared" si="227"/>
        <v>0</v>
      </c>
      <c r="W658" s="43">
        <v>4400000</v>
      </c>
      <c r="X658" s="43">
        <v>0</v>
      </c>
      <c r="Y658" s="43">
        <v>0</v>
      </c>
      <c r="Z658" s="32">
        <f t="shared" ref="Z658" si="240">R658/L658</f>
        <v>0</v>
      </c>
    </row>
    <row r="659" spans="1:26" ht="25.5" x14ac:dyDescent="0.2">
      <c r="C659" s="28" t="s">
        <v>288</v>
      </c>
      <c r="D659" s="29" t="s">
        <v>197</v>
      </c>
      <c r="E659" s="17"/>
      <c r="F659" s="34"/>
      <c r="G659" s="34"/>
      <c r="H659" s="34"/>
      <c r="I659" s="18"/>
      <c r="J659" s="34"/>
      <c r="K659" s="18"/>
      <c r="L659" s="18"/>
      <c r="M659" s="34"/>
      <c r="N659" s="34"/>
      <c r="O659" s="34"/>
      <c r="P659" s="34"/>
      <c r="Q659" s="34"/>
      <c r="R659" s="34"/>
      <c r="S659" s="34"/>
      <c r="T659" s="34"/>
      <c r="U659" s="34"/>
      <c r="V659" s="40"/>
      <c r="W659" s="18"/>
      <c r="X659" s="18"/>
      <c r="Y659" s="18"/>
      <c r="Z659" s="18"/>
    </row>
    <row r="660" spans="1:26" ht="25.5" x14ac:dyDescent="0.2">
      <c r="A660" s="4" t="s">
        <v>55</v>
      </c>
      <c r="B660" s="4" t="s">
        <v>56</v>
      </c>
      <c r="C660" s="41" t="s">
        <v>604</v>
      </c>
      <c r="D660" s="42" t="s">
        <v>605</v>
      </c>
      <c r="E660" s="43" t="s">
        <v>58</v>
      </c>
      <c r="F660" s="44">
        <v>0</v>
      </c>
      <c r="G660" s="44">
        <v>0</v>
      </c>
      <c r="H660" s="44">
        <v>0</v>
      </c>
      <c r="I660" s="43">
        <v>88500000</v>
      </c>
      <c r="J660" s="44">
        <v>0</v>
      </c>
      <c r="K660" s="43">
        <v>88500000</v>
      </c>
      <c r="L660" s="43">
        <v>88500000</v>
      </c>
      <c r="M660" s="44">
        <v>0</v>
      </c>
      <c r="N660" s="44">
        <v>0</v>
      </c>
      <c r="O660" s="44">
        <v>0</v>
      </c>
      <c r="P660" s="44">
        <v>0</v>
      </c>
      <c r="Q660" s="44">
        <v>0</v>
      </c>
      <c r="R660" s="44">
        <v>0</v>
      </c>
      <c r="S660" s="34">
        <v>0</v>
      </c>
      <c r="T660" s="34">
        <v>0</v>
      </c>
      <c r="U660" s="34">
        <v>0</v>
      </c>
      <c r="V660" s="40">
        <f t="shared" si="227"/>
        <v>0</v>
      </c>
      <c r="W660" s="43">
        <v>88500000</v>
      </c>
      <c r="X660" s="43">
        <v>0</v>
      </c>
      <c r="Y660" s="43">
        <v>0</v>
      </c>
      <c r="Z660" s="32">
        <f t="shared" ref="Z660" si="241">R660/L660</f>
        <v>0</v>
      </c>
    </row>
    <row r="661" spans="1:26" ht="38.25" x14ac:dyDescent="0.2">
      <c r="C661" s="28" t="s">
        <v>288</v>
      </c>
      <c r="D661" s="29" t="s">
        <v>606</v>
      </c>
      <c r="E661" s="17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30">
        <f t="shared" si="227"/>
        <v>0</v>
      </c>
      <c r="W661" s="18"/>
      <c r="X661" s="18"/>
      <c r="Y661" s="18"/>
      <c r="Z661" s="18"/>
    </row>
    <row r="662" spans="1:26" x14ac:dyDescent="0.2">
      <c r="A662" s="4" t="s">
        <v>55</v>
      </c>
      <c r="B662" s="4" t="s">
        <v>56</v>
      </c>
      <c r="C662" s="41" t="s">
        <v>607</v>
      </c>
      <c r="D662" s="42" t="s">
        <v>233</v>
      </c>
      <c r="E662" s="43" t="s">
        <v>58</v>
      </c>
      <c r="F662" s="43">
        <v>859800000</v>
      </c>
      <c r="G662" s="44">
        <v>0</v>
      </c>
      <c r="H662" s="44">
        <v>0</v>
      </c>
      <c r="I662" s="44">
        <v>0</v>
      </c>
      <c r="J662" s="43">
        <v>900000</v>
      </c>
      <c r="K662" s="43">
        <v>-900000</v>
      </c>
      <c r="L662" s="43">
        <v>858900000</v>
      </c>
      <c r="M662" s="43">
        <v>0</v>
      </c>
      <c r="N662" s="43">
        <v>485600000</v>
      </c>
      <c r="O662" s="43">
        <v>485600000</v>
      </c>
      <c r="P662" s="43">
        <v>0</v>
      </c>
      <c r="Q662" s="43">
        <v>469600000</v>
      </c>
      <c r="R662" s="43">
        <v>469600000</v>
      </c>
      <c r="S662" s="34">
        <v>0</v>
      </c>
      <c r="T662" s="34">
        <v>0</v>
      </c>
      <c r="U662" s="34">
        <v>0</v>
      </c>
      <c r="V662" s="40">
        <f t="shared" si="227"/>
        <v>0</v>
      </c>
      <c r="W662" s="43">
        <v>373300000</v>
      </c>
      <c r="X662" s="43">
        <v>16000000</v>
      </c>
      <c r="Y662" s="43">
        <v>469600000</v>
      </c>
      <c r="Z662" s="32">
        <f t="shared" ref="Z662" si="242">R662/L662</f>
        <v>0.5467458376993829</v>
      </c>
    </row>
    <row r="663" spans="1:26" ht="25.5" x14ac:dyDescent="0.2">
      <c r="C663" s="28" t="s">
        <v>288</v>
      </c>
      <c r="D663" s="29" t="s">
        <v>608</v>
      </c>
      <c r="E663" s="17"/>
      <c r="F663" s="18"/>
      <c r="G663" s="34"/>
      <c r="H663" s="34"/>
      <c r="I663" s="34"/>
      <c r="J663" s="18"/>
      <c r="K663" s="18"/>
      <c r="L663" s="18"/>
      <c r="M663" s="18"/>
      <c r="N663" s="18"/>
      <c r="O663" s="18"/>
      <c r="P663" s="18"/>
      <c r="Q663" s="18"/>
      <c r="R663" s="18"/>
      <c r="S663" s="34"/>
      <c r="T663" s="34"/>
      <c r="U663" s="34"/>
      <c r="V663" s="40">
        <f t="shared" si="227"/>
        <v>0</v>
      </c>
      <c r="W663" s="18"/>
      <c r="X663" s="18"/>
      <c r="Y663" s="18"/>
      <c r="Z663" s="18"/>
    </row>
    <row r="664" spans="1:26" x14ac:dyDescent="0.2">
      <c r="A664" s="4" t="s">
        <v>55</v>
      </c>
      <c r="B664" s="4" t="s">
        <v>56</v>
      </c>
      <c r="C664" s="41" t="s">
        <v>609</v>
      </c>
      <c r="D664" s="42" t="s">
        <v>233</v>
      </c>
      <c r="E664" s="43" t="s">
        <v>58</v>
      </c>
      <c r="F664" s="43">
        <v>20000000</v>
      </c>
      <c r="G664" s="44">
        <v>0</v>
      </c>
      <c r="H664" s="44">
        <v>0</v>
      </c>
      <c r="I664" s="44">
        <v>0</v>
      </c>
      <c r="J664" s="44">
        <v>0</v>
      </c>
      <c r="K664" s="44">
        <v>0</v>
      </c>
      <c r="L664" s="43">
        <v>20000000</v>
      </c>
      <c r="M664" s="43">
        <v>0</v>
      </c>
      <c r="N664" s="43">
        <v>0</v>
      </c>
      <c r="O664" s="43">
        <v>0</v>
      </c>
      <c r="P664" s="43">
        <v>0</v>
      </c>
      <c r="Q664" s="43">
        <v>0</v>
      </c>
      <c r="R664" s="43">
        <v>0</v>
      </c>
      <c r="S664" s="34">
        <v>0</v>
      </c>
      <c r="T664" s="34">
        <v>0</v>
      </c>
      <c r="U664" s="34">
        <v>0</v>
      </c>
      <c r="V664" s="40">
        <f t="shared" si="227"/>
        <v>0</v>
      </c>
      <c r="W664" s="43">
        <v>20000000</v>
      </c>
      <c r="X664" s="43">
        <v>0</v>
      </c>
      <c r="Y664" s="43">
        <v>0</v>
      </c>
      <c r="Z664" s="43">
        <v>0</v>
      </c>
    </row>
    <row r="665" spans="1:26" x14ac:dyDescent="0.2">
      <c r="C665" s="28" t="s">
        <v>288</v>
      </c>
      <c r="D665" s="29" t="s">
        <v>400</v>
      </c>
      <c r="E665" s="17"/>
      <c r="F665" s="18"/>
      <c r="G665" s="34"/>
      <c r="H665" s="34"/>
      <c r="I665" s="34"/>
      <c r="J665" s="34"/>
      <c r="K665" s="34"/>
      <c r="L665" s="18"/>
      <c r="M665" s="18"/>
      <c r="N665" s="18"/>
      <c r="O665" s="18"/>
      <c r="P665" s="18"/>
      <c r="Q665" s="18"/>
      <c r="R665" s="18"/>
      <c r="S665" s="34"/>
      <c r="T665" s="34"/>
      <c r="U665" s="34"/>
      <c r="V665" s="40"/>
      <c r="W665" s="18"/>
      <c r="X665" s="18"/>
      <c r="Y665" s="18"/>
      <c r="Z665" s="18"/>
    </row>
    <row r="666" spans="1:26" x14ac:dyDescent="0.2">
      <c r="A666" s="4" t="s">
        <v>55</v>
      </c>
      <c r="B666" s="4" t="s">
        <v>56</v>
      </c>
      <c r="C666" s="41" t="s">
        <v>610</v>
      </c>
      <c r="D666" s="42" t="s">
        <v>233</v>
      </c>
      <c r="E666" s="43" t="s">
        <v>58</v>
      </c>
      <c r="F666" s="43">
        <v>379500000</v>
      </c>
      <c r="G666" s="44">
        <v>0</v>
      </c>
      <c r="H666" s="44">
        <v>0</v>
      </c>
      <c r="I666" s="44">
        <v>0</v>
      </c>
      <c r="J666" s="44">
        <v>0</v>
      </c>
      <c r="K666" s="44">
        <v>0</v>
      </c>
      <c r="L666" s="43">
        <v>379500000</v>
      </c>
      <c r="M666" s="43">
        <v>0</v>
      </c>
      <c r="N666" s="43">
        <v>216000000</v>
      </c>
      <c r="O666" s="43">
        <v>216000000</v>
      </c>
      <c r="P666" s="43">
        <v>0</v>
      </c>
      <c r="Q666" s="43">
        <v>188000000</v>
      </c>
      <c r="R666" s="43">
        <v>188000000</v>
      </c>
      <c r="S666" s="34">
        <v>0</v>
      </c>
      <c r="T666" s="34">
        <v>0</v>
      </c>
      <c r="U666" s="34">
        <v>0</v>
      </c>
      <c r="V666" s="40">
        <f t="shared" si="227"/>
        <v>0</v>
      </c>
      <c r="W666" s="43">
        <v>163500000</v>
      </c>
      <c r="X666" s="43">
        <v>28000000</v>
      </c>
      <c r="Y666" s="43">
        <v>188000000</v>
      </c>
      <c r="Z666" s="32">
        <f t="shared" ref="Z666" si="243">R666/L666</f>
        <v>0.49538866930171277</v>
      </c>
    </row>
    <row r="667" spans="1:26" x14ac:dyDescent="0.2">
      <c r="C667" s="16"/>
      <c r="D667" s="17"/>
      <c r="E667" s="17"/>
      <c r="F667" s="18"/>
      <c r="G667" s="34"/>
      <c r="H667" s="34"/>
      <c r="I667" s="34"/>
      <c r="J667" s="18"/>
      <c r="K667" s="18"/>
      <c r="L667" s="18"/>
      <c r="M667" s="18"/>
      <c r="N667" s="18"/>
      <c r="O667" s="18"/>
      <c r="P667" s="18"/>
      <c r="Q667" s="18"/>
      <c r="R667" s="18"/>
      <c r="S667" s="34"/>
      <c r="T667" s="34"/>
      <c r="U667" s="34"/>
      <c r="V667" s="40"/>
      <c r="W667" s="18"/>
      <c r="X667" s="18"/>
      <c r="Y667" s="18"/>
      <c r="Z667" s="18"/>
    </row>
    <row r="668" spans="1:26" x14ac:dyDescent="0.2">
      <c r="C668" s="16"/>
      <c r="D668" s="29" t="s">
        <v>199</v>
      </c>
      <c r="E668" s="17"/>
      <c r="F668" s="18"/>
      <c r="G668" s="34"/>
      <c r="H668" s="34"/>
      <c r="I668" s="34"/>
      <c r="J668" s="18"/>
      <c r="K668" s="18"/>
      <c r="L668" s="18"/>
      <c r="M668" s="18"/>
      <c r="N668" s="18"/>
      <c r="O668" s="18"/>
      <c r="P668" s="18"/>
      <c r="Q668" s="18"/>
      <c r="R668" s="18"/>
      <c r="S668" s="34"/>
      <c r="T668" s="34"/>
      <c r="U668" s="34"/>
      <c r="V668" s="40"/>
      <c r="W668" s="18"/>
      <c r="X668" s="18"/>
      <c r="Y668" s="18"/>
      <c r="Z668" s="18"/>
    </row>
    <row r="669" spans="1:26" ht="38.25" x14ac:dyDescent="0.2">
      <c r="C669" s="28" t="s">
        <v>288</v>
      </c>
      <c r="D669" s="29" t="s">
        <v>611</v>
      </c>
      <c r="E669" s="17"/>
      <c r="F669" s="18"/>
      <c r="G669" s="34"/>
      <c r="H669" s="34"/>
      <c r="I669" s="34"/>
      <c r="J669" s="18"/>
      <c r="K669" s="18"/>
      <c r="L669" s="18"/>
      <c r="M669" s="18"/>
      <c r="N669" s="18"/>
      <c r="O669" s="18"/>
      <c r="P669" s="18"/>
      <c r="Q669" s="18"/>
      <c r="R669" s="18"/>
      <c r="S669" s="34"/>
      <c r="T669" s="34"/>
      <c r="U669" s="34"/>
      <c r="V669" s="40"/>
      <c r="W669" s="18"/>
      <c r="X669" s="18"/>
      <c r="Y669" s="18"/>
      <c r="Z669" s="18"/>
    </row>
    <row r="670" spans="1:26" x14ac:dyDescent="0.2">
      <c r="A670" s="4" t="s">
        <v>55</v>
      </c>
      <c r="B670" s="4" t="s">
        <v>56</v>
      </c>
      <c r="C670" s="41" t="s">
        <v>612</v>
      </c>
      <c r="D670" s="42" t="s">
        <v>233</v>
      </c>
      <c r="E670" s="43" t="s">
        <v>58</v>
      </c>
      <c r="F670" s="43">
        <v>725000000</v>
      </c>
      <c r="G670" s="44">
        <v>0</v>
      </c>
      <c r="H670" s="44">
        <v>0</v>
      </c>
      <c r="I670" s="44">
        <v>0</v>
      </c>
      <c r="J670" s="43">
        <v>17000000</v>
      </c>
      <c r="K670" s="43">
        <v>-17000000</v>
      </c>
      <c r="L670" s="43">
        <v>708000000</v>
      </c>
      <c r="M670" s="43">
        <v>0</v>
      </c>
      <c r="N670" s="43">
        <v>70000000</v>
      </c>
      <c r="O670" s="43">
        <v>70000000</v>
      </c>
      <c r="P670" s="43">
        <v>0</v>
      </c>
      <c r="Q670" s="43">
        <v>0</v>
      </c>
      <c r="R670" s="43">
        <v>0</v>
      </c>
      <c r="S670" s="34">
        <v>0</v>
      </c>
      <c r="T670" s="34">
        <v>0</v>
      </c>
      <c r="U670" s="34">
        <v>0</v>
      </c>
      <c r="V670" s="40">
        <f t="shared" si="227"/>
        <v>0</v>
      </c>
      <c r="W670" s="43">
        <v>638000000</v>
      </c>
      <c r="X670" s="43">
        <v>70000000</v>
      </c>
      <c r="Y670" s="43">
        <v>0</v>
      </c>
      <c r="Z670" s="32">
        <f t="shared" ref="Z670" si="244">R670/L670</f>
        <v>0</v>
      </c>
    </row>
    <row r="671" spans="1:26" x14ac:dyDescent="0.2">
      <c r="C671" s="16"/>
      <c r="D671" s="17"/>
      <c r="E671" s="17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34"/>
      <c r="T671" s="34"/>
      <c r="U671" s="34"/>
      <c r="V671" s="40"/>
      <c r="W671" s="18"/>
      <c r="X671" s="18"/>
      <c r="Y671" s="18"/>
      <c r="Z671" s="18"/>
    </row>
    <row r="672" spans="1:26" ht="38.25" x14ac:dyDescent="0.2">
      <c r="C672" s="16"/>
      <c r="D672" s="29" t="s">
        <v>613</v>
      </c>
      <c r="E672" s="17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30">
        <f t="shared" si="227"/>
        <v>0</v>
      </c>
      <c r="W672" s="18"/>
      <c r="X672" s="18"/>
      <c r="Y672" s="18"/>
      <c r="Z672" s="18"/>
    </row>
    <row r="673" spans="1:26" x14ac:dyDescent="0.2">
      <c r="C673" s="16"/>
      <c r="D673" s="29" t="s">
        <v>614</v>
      </c>
      <c r="E673" s="17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30"/>
      <c r="W673" s="18"/>
      <c r="X673" s="18"/>
      <c r="Y673" s="18"/>
      <c r="Z673" s="18"/>
    </row>
    <row r="674" spans="1:26" x14ac:dyDescent="0.2">
      <c r="C674" s="16"/>
      <c r="D674" s="29" t="s">
        <v>286</v>
      </c>
      <c r="E674" s="17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30"/>
      <c r="W674" s="18"/>
      <c r="X674" s="18"/>
      <c r="Y674" s="18"/>
      <c r="Z674" s="18"/>
    </row>
    <row r="675" spans="1:26" x14ac:dyDescent="0.2">
      <c r="C675" s="16"/>
      <c r="D675" s="29" t="s">
        <v>574</v>
      </c>
      <c r="E675" s="17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30"/>
      <c r="W675" s="18"/>
      <c r="X675" s="18"/>
      <c r="Y675" s="18"/>
      <c r="Z675" s="18"/>
    </row>
    <row r="676" spans="1:26" x14ac:dyDescent="0.2">
      <c r="C676" s="16"/>
      <c r="D676" s="29" t="s">
        <v>575</v>
      </c>
      <c r="E676" s="17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30"/>
      <c r="W676" s="18"/>
      <c r="X676" s="18"/>
      <c r="Y676" s="18"/>
      <c r="Z676" s="18"/>
    </row>
    <row r="677" spans="1:26" x14ac:dyDescent="0.2">
      <c r="C677" s="16"/>
      <c r="D677" s="29" t="s">
        <v>576</v>
      </c>
      <c r="E677" s="17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30"/>
      <c r="W677" s="18"/>
      <c r="X677" s="18"/>
      <c r="Y677" s="18"/>
      <c r="Z677" s="18"/>
    </row>
    <row r="678" spans="1:26" x14ac:dyDescent="0.2">
      <c r="C678" s="16"/>
      <c r="D678" s="29" t="s">
        <v>615</v>
      </c>
      <c r="E678" s="17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30"/>
      <c r="W678" s="18"/>
      <c r="X678" s="18"/>
      <c r="Y678" s="18"/>
      <c r="Z678" s="18"/>
    </row>
    <row r="679" spans="1:26" ht="25.5" x14ac:dyDescent="0.2">
      <c r="C679" s="16"/>
      <c r="D679" s="29" t="s">
        <v>579</v>
      </c>
      <c r="E679" s="17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30"/>
      <c r="W679" s="18"/>
      <c r="X679" s="18"/>
      <c r="Y679" s="18"/>
      <c r="Z679" s="18"/>
    </row>
    <row r="680" spans="1:26" ht="25.5" x14ac:dyDescent="0.2">
      <c r="C680" s="28" t="s">
        <v>288</v>
      </c>
      <c r="D680" s="29" t="s">
        <v>616</v>
      </c>
      <c r="E680" s="17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30"/>
      <c r="W680" s="18"/>
      <c r="X680" s="18"/>
      <c r="Y680" s="18"/>
      <c r="Z680" s="18"/>
    </row>
    <row r="681" spans="1:26" x14ac:dyDescent="0.2">
      <c r="A681" s="4" t="s">
        <v>55</v>
      </c>
      <c r="B681" s="4" t="s">
        <v>56</v>
      </c>
      <c r="C681" s="41" t="s">
        <v>617</v>
      </c>
      <c r="D681" s="42" t="s">
        <v>618</v>
      </c>
      <c r="E681" s="43" t="s">
        <v>619</v>
      </c>
      <c r="F681" s="43">
        <v>100000000</v>
      </c>
      <c r="G681" s="44">
        <v>0</v>
      </c>
      <c r="H681" s="44">
        <v>0</v>
      </c>
      <c r="I681" s="44">
        <v>0</v>
      </c>
      <c r="J681" s="44">
        <v>0</v>
      </c>
      <c r="K681" s="44">
        <v>0</v>
      </c>
      <c r="L681" s="43">
        <v>100000000</v>
      </c>
      <c r="M681" s="44">
        <v>0</v>
      </c>
      <c r="N681" s="44">
        <v>0</v>
      </c>
      <c r="O681" s="44">
        <v>0</v>
      </c>
      <c r="P681" s="44">
        <v>0</v>
      </c>
      <c r="Q681" s="44">
        <v>0</v>
      </c>
      <c r="R681" s="44">
        <v>0</v>
      </c>
      <c r="S681" s="44">
        <v>0</v>
      </c>
      <c r="T681" s="44">
        <v>0</v>
      </c>
      <c r="U681" s="44">
        <v>0</v>
      </c>
      <c r="V681" s="31">
        <f t="shared" ref="V681:V741" si="245">S681+U681</f>
        <v>0</v>
      </c>
      <c r="W681" s="43">
        <v>100000000</v>
      </c>
      <c r="X681" s="43">
        <v>0</v>
      </c>
      <c r="Y681" s="43">
        <v>0</v>
      </c>
      <c r="Z681" s="32">
        <f t="shared" ref="Z681" si="246">R681/L681</f>
        <v>0</v>
      </c>
    </row>
    <row r="682" spans="1:26" x14ac:dyDescent="0.2">
      <c r="C682" s="16"/>
      <c r="D682" s="17"/>
      <c r="E682" s="17"/>
      <c r="F682" s="18"/>
      <c r="G682" s="34"/>
      <c r="H682" s="34"/>
      <c r="I682" s="34"/>
      <c r="J682" s="34"/>
      <c r="K682" s="34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30"/>
      <c r="W682" s="18"/>
      <c r="X682" s="18"/>
      <c r="Y682" s="18"/>
      <c r="Z682" s="18"/>
    </row>
    <row r="683" spans="1:26" x14ac:dyDescent="0.2">
      <c r="C683" s="16"/>
      <c r="D683" s="29" t="s">
        <v>620</v>
      </c>
      <c r="E683" s="17"/>
      <c r="F683" s="18"/>
      <c r="G683" s="34"/>
      <c r="H683" s="34"/>
      <c r="I683" s="34"/>
      <c r="J683" s="34"/>
      <c r="K683" s="34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30"/>
      <c r="W683" s="18"/>
      <c r="X683" s="18"/>
      <c r="Y683" s="18"/>
      <c r="Z683" s="18"/>
    </row>
    <row r="684" spans="1:26" ht="25.5" x14ac:dyDescent="0.2">
      <c r="C684" s="16"/>
      <c r="D684" s="29" t="s">
        <v>621</v>
      </c>
      <c r="E684" s="17"/>
      <c r="F684" s="18"/>
      <c r="G684" s="34"/>
      <c r="H684" s="34"/>
      <c r="I684" s="34"/>
      <c r="J684" s="34"/>
      <c r="K684" s="34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30"/>
      <c r="W684" s="18"/>
      <c r="X684" s="18"/>
      <c r="Y684" s="18"/>
      <c r="Z684" s="18"/>
    </row>
    <row r="685" spans="1:26" ht="25.5" x14ac:dyDescent="0.2">
      <c r="C685" s="28" t="s">
        <v>288</v>
      </c>
      <c r="D685" s="29" t="s">
        <v>616</v>
      </c>
      <c r="E685" s="17"/>
      <c r="F685" s="18"/>
      <c r="G685" s="34"/>
      <c r="H685" s="34"/>
      <c r="I685" s="34"/>
      <c r="J685" s="34"/>
      <c r="K685" s="34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30"/>
      <c r="W685" s="18"/>
      <c r="X685" s="18"/>
      <c r="Y685" s="18"/>
      <c r="Z685" s="18"/>
    </row>
    <row r="686" spans="1:26" x14ac:dyDescent="0.2">
      <c r="A686" s="4" t="s">
        <v>55</v>
      </c>
      <c r="B686" s="4" t="s">
        <v>56</v>
      </c>
      <c r="C686" s="41" t="s">
        <v>622</v>
      </c>
      <c r="D686" s="42" t="s">
        <v>618</v>
      </c>
      <c r="E686" s="43" t="s">
        <v>619</v>
      </c>
      <c r="F686" s="43">
        <v>162000000</v>
      </c>
      <c r="G686" s="44">
        <v>0</v>
      </c>
      <c r="H686" s="44">
        <v>0</v>
      </c>
      <c r="I686" s="44">
        <v>0</v>
      </c>
      <c r="J686" s="44">
        <v>0</v>
      </c>
      <c r="K686" s="44">
        <v>0</v>
      </c>
      <c r="L686" s="43">
        <v>162000000</v>
      </c>
      <c r="M686" s="44">
        <v>0</v>
      </c>
      <c r="N686" s="44">
        <v>0</v>
      </c>
      <c r="O686" s="44">
        <v>0</v>
      </c>
      <c r="P686" s="44">
        <v>0</v>
      </c>
      <c r="Q686" s="44">
        <v>0</v>
      </c>
      <c r="R686" s="44">
        <v>0</v>
      </c>
      <c r="S686" s="44">
        <v>0</v>
      </c>
      <c r="T686" s="44">
        <v>0</v>
      </c>
      <c r="U686" s="44">
        <v>0</v>
      </c>
      <c r="V686" s="31">
        <f t="shared" si="245"/>
        <v>0</v>
      </c>
      <c r="W686" s="43">
        <v>162000000</v>
      </c>
      <c r="X686" s="43">
        <v>0</v>
      </c>
      <c r="Y686" s="43">
        <v>0</v>
      </c>
      <c r="Z686" s="32">
        <f t="shared" ref="Z686" si="247">R686/L686</f>
        <v>0</v>
      </c>
    </row>
    <row r="687" spans="1:26" x14ac:dyDescent="0.2">
      <c r="C687" s="16"/>
      <c r="D687" s="17"/>
      <c r="E687" s="17"/>
      <c r="F687" s="18"/>
      <c r="G687" s="34"/>
      <c r="H687" s="34"/>
      <c r="I687" s="34"/>
      <c r="J687" s="34"/>
      <c r="K687" s="34"/>
      <c r="L687" s="18"/>
      <c r="M687" s="34"/>
      <c r="N687" s="34"/>
      <c r="O687" s="34"/>
      <c r="P687" s="34"/>
      <c r="Q687" s="34"/>
      <c r="R687" s="34"/>
      <c r="S687" s="34"/>
      <c r="T687" s="34"/>
      <c r="U687" s="34"/>
      <c r="V687" s="31"/>
      <c r="W687" s="18"/>
      <c r="X687" s="18"/>
      <c r="Y687" s="18"/>
      <c r="Z687" s="18"/>
    </row>
    <row r="688" spans="1:26" x14ac:dyDescent="0.2">
      <c r="C688" s="16"/>
      <c r="D688" s="29" t="s">
        <v>623</v>
      </c>
      <c r="E688" s="17"/>
      <c r="F688" s="18"/>
      <c r="G688" s="34"/>
      <c r="H688" s="34"/>
      <c r="I688" s="34"/>
      <c r="J688" s="34"/>
      <c r="K688" s="34"/>
      <c r="L688" s="18"/>
      <c r="M688" s="34"/>
      <c r="N688" s="34"/>
      <c r="O688" s="34"/>
      <c r="P688" s="34"/>
      <c r="Q688" s="34"/>
      <c r="R688" s="34"/>
      <c r="S688" s="34"/>
      <c r="T688" s="34"/>
      <c r="U688" s="34"/>
      <c r="V688" s="31"/>
      <c r="W688" s="18"/>
      <c r="X688" s="18"/>
      <c r="Y688" s="18"/>
      <c r="Z688" s="18"/>
    </row>
    <row r="689" spans="1:26" ht="25.5" x14ac:dyDescent="0.2">
      <c r="C689" s="16"/>
      <c r="D689" s="29" t="s">
        <v>624</v>
      </c>
      <c r="E689" s="17"/>
      <c r="F689" s="18"/>
      <c r="G689" s="34"/>
      <c r="H689" s="34"/>
      <c r="I689" s="34"/>
      <c r="J689" s="34"/>
      <c r="K689" s="34"/>
      <c r="L689" s="18"/>
      <c r="M689" s="34"/>
      <c r="N689" s="34"/>
      <c r="O689" s="34"/>
      <c r="P689" s="34"/>
      <c r="Q689" s="34"/>
      <c r="R689" s="34"/>
      <c r="S689" s="34"/>
      <c r="T689" s="34"/>
      <c r="U689" s="34"/>
      <c r="V689" s="31"/>
      <c r="W689" s="18"/>
      <c r="X689" s="18"/>
      <c r="Y689" s="18"/>
      <c r="Z689" s="18"/>
    </row>
    <row r="690" spans="1:26" ht="25.5" x14ac:dyDescent="0.2">
      <c r="C690" s="28" t="s">
        <v>288</v>
      </c>
      <c r="D690" s="29" t="s">
        <v>616</v>
      </c>
      <c r="E690" s="17"/>
      <c r="F690" s="18"/>
      <c r="G690" s="34"/>
      <c r="H690" s="34"/>
      <c r="I690" s="34"/>
      <c r="J690" s="34"/>
      <c r="K690" s="34"/>
      <c r="L690" s="18"/>
      <c r="M690" s="34"/>
      <c r="N690" s="34"/>
      <c r="O690" s="34"/>
      <c r="P690" s="34"/>
      <c r="Q690" s="34"/>
      <c r="R690" s="34"/>
      <c r="S690" s="34"/>
      <c r="T690" s="34"/>
      <c r="U690" s="34"/>
      <c r="V690" s="31"/>
      <c r="W690" s="18"/>
      <c r="X690" s="18"/>
      <c r="Y690" s="18"/>
      <c r="Z690" s="18"/>
    </row>
    <row r="691" spans="1:26" x14ac:dyDescent="0.2">
      <c r="A691" s="4" t="s">
        <v>55</v>
      </c>
      <c r="B691" s="4" t="s">
        <v>56</v>
      </c>
      <c r="C691" s="41" t="s">
        <v>625</v>
      </c>
      <c r="D691" s="42" t="s">
        <v>618</v>
      </c>
      <c r="E691" s="43" t="s">
        <v>619</v>
      </c>
      <c r="F691" s="43">
        <v>163270377</v>
      </c>
      <c r="G691" s="44">
        <v>0</v>
      </c>
      <c r="H691" s="44">
        <v>0</v>
      </c>
      <c r="I691" s="44">
        <v>0</v>
      </c>
      <c r="J691" s="44">
        <v>0</v>
      </c>
      <c r="K691" s="44">
        <v>0</v>
      </c>
      <c r="L691" s="43">
        <v>163270377</v>
      </c>
      <c r="M691" s="44">
        <v>0</v>
      </c>
      <c r="N691" s="44">
        <v>0</v>
      </c>
      <c r="O691" s="44">
        <v>0</v>
      </c>
      <c r="P691" s="44">
        <v>0</v>
      </c>
      <c r="Q691" s="44">
        <v>0</v>
      </c>
      <c r="R691" s="44">
        <v>0</v>
      </c>
      <c r="S691" s="44">
        <v>0</v>
      </c>
      <c r="T691" s="44">
        <v>0</v>
      </c>
      <c r="U691" s="44">
        <v>0</v>
      </c>
      <c r="V691" s="31">
        <f t="shared" si="245"/>
        <v>0</v>
      </c>
      <c r="W691" s="43">
        <v>163270377</v>
      </c>
      <c r="X691" s="43">
        <v>0</v>
      </c>
      <c r="Y691" s="43">
        <v>0</v>
      </c>
      <c r="Z691" s="32">
        <f t="shared" ref="Z691" si="248">R691/L691</f>
        <v>0</v>
      </c>
    </row>
    <row r="692" spans="1:26" x14ac:dyDescent="0.2">
      <c r="C692" s="16"/>
      <c r="D692" s="17"/>
      <c r="E692" s="17"/>
      <c r="F692" s="18"/>
      <c r="G692" s="18"/>
      <c r="H692" s="18"/>
      <c r="I692" s="18"/>
      <c r="J692" s="18"/>
      <c r="K692" s="18"/>
      <c r="L692" s="18"/>
      <c r="M692" s="34"/>
      <c r="N692" s="34"/>
      <c r="O692" s="34"/>
      <c r="P692" s="34"/>
      <c r="Q692" s="34"/>
      <c r="R692" s="34"/>
      <c r="S692" s="18"/>
      <c r="T692" s="18"/>
      <c r="U692" s="18"/>
      <c r="V692" s="30">
        <f t="shared" si="245"/>
        <v>0</v>
      </c>
      <c r="W692" s="18"/>
      <c r="X692" s="18"/>
      <c r="Y692" s="18"/>
      <c r="Z692" s="18"/>
    </row>
    <row r="693" spans="1:26" ht="25.5" x14ac:dyDescent="0.2">
      <c r="C693" s="16"/>
      <c r="D693" s="29" t="s">
        <v>626</v>
      </c>
      <c r="E693" s="17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30"/>
      <c r="W693" s="18"/>
      <c r="X693" s="18"/>
      <c r="Y693" s="18"/>
      <c r="Z693" s="18"/>
    </row>
    <row r="694" spans="1:26" ht="25.5" x14ac:dyDescent="0.2">
      <c r="C694" s="16"/>
      <c r="D694" s="29" t="s">
        <v>627</v>
      </c>
      <c r="E694" s="17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30"/>
      <c r="W694" s="18"/>
      <c r="X694" s="18"/>
      <c r="Y694" s="18"/>
      <c r="Z694" s="18"/>
    </row>
    <row r="695" spans="1:26" x14ac:dyDescent="0.2">
      <c r="C695" s="16"/>
      <c r="D695" s="29" t="s">
        <v>628</v>
      </c>
      <c r="E695" s="17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30"/>
      <c r="W695" s="18"/>
      <c r="X695" s="18"/>
      <c r="Y695" s="18"/>
      <c r="Z695" s="18"/>
    </row>
    <row r="696" spans="1:26" x14ac:dyDescent="0.2">
      <c r="C696" s="16"/>
      <c r="D696" s="29" t="s">
        <v>629</v>
      </c>
      <c r="E696" s="17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30"/>
      <c r="W696" s="18"/>
      <c r="X696" s="18"/>
      <c r="Y696" s="18"/>
      <c r="Z696" s="18"/>
    </row>
    <row r="697" spans="1:26" ht="25.5" x14ac:dyDescent="0.2">
      <c r="C697" s="28" t="s">
        <v>288</v>
      </c>
      <c r="D697" s="29" t="s">
        <v>616</v>
      </c>
      <c r="E697" s="17"/>
      <c r="F697" s="18"/>
      <c r="G697" s="34"/>
      <c r="H697" s="34"/>
      <c r="I697" s="34"/>
      <c r="J697" s="34"/>
      <c r="K697" s="34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30"/>
      <c r="W697" s="18"/>
      <c r="X697" s="18"/>
      <c r="Y697" s="18"/>
      <c r="Z697" s="18"/>
    </row>
    <row r="698" spans="1:26" x14ac:dyDescent="0.2">
      <c r="A698" s="4" t="s">
        <v>55</v>
      </c>
      <c r="B698" s="4" t="s">
        <v>56</v>
      </c>
      <c r="C698" s="41" t="s">
        <v>630</v>
      </c>
      <c r="D698" s="42" t="s">
        <v>618</v>
      </c>
      <c r="E698" s="43" t="s">
        <v>619</v>
      </c>
      <c r="F698" s="43">
        <v>100000000</v>
      </c>
      <c r="G698" s="44">
        <v>0</v>
      </c>
      <c r="H698" s="44">
        <v>0</v>
      </c>
      <c r="I698" s="44">
        <v>0</v>
      </c>
      <c r="J698" s="44">
        <v>0</v>
      </c>
      <c r="K698" s="44">
        <v>0</v>
      </c>
      <c r="L698" s="43">
        <v>100000000</v>
      </c>
      <c r="M698" s="43">
        <v>0</v>
      </c>
      <c r="N698" s="43">
        <v>0</v>
      </c>
      <c r="O698" s="43">
        <v>0</v>
      </c>
      <c r="P698" s="43">
        <v>0</v>
      </c>
      <c r="Q698" s="43">
        <v>0</v>
      </c>
      <c r="R698" s="75">
        <v>0</v>
      </c>
      <c r="S698" s="75">
        <v>0</v>
      </c>
      <c r="T698" s="75">
        <v>0</v>
      </c>
      <c r="U698" s="75">
        <v>0</v>
      </c>
      <c r="V698" s="78">
        <f t="shared" si="245"/>
        <v>0</v>
      </c>
      <c r="W698" s="43">
        <v>100000000</v>
      </c>
      <c r="X698" s="43">
        <v>0</v>
      </c>
      <c r="Y698" s="43">
        <v>0</v>
      </c>
      <c r="Z698" s="32">
        <f t="shared" ref="Z698" si="249">R698/L698</f>
        <v>0</v>
      </c>
    </row>
    <row r="699" spans="1:26" x14ac:dyDescent="0.2">
      <c r="C699" s="16"/>
      <c r="D699" s="17"/>
      <c r="E699" s="17"/>
      <c r="F699" s="18"/>
      <c r="G699" s="34"/>
      <c r="H699" s="34"/>
      <c r="I699" s="34"/>
      <c r="J699" s="34"/>
      <c r="K699" s="34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30"/>
      <c r="W699" s="18"/>
      <c r="X699" s="18"/>
      <c r="Y699" s="18"/>
      <c r="Z699" s="18"/>
    </row>
    <row r="700" spans="1:26" x14ac:dyDescent="0.2">
      <c r="C700" s="16"/>
      <c r="D700" s="29" t="s">
        <v>631</v>
      </c>
      <c r="E700" s="17"/>
      <c r="F700" s="18"/>
      <c r="G700" s="34"/>
      <c r="H700" s="34"/>
      <c r="I700" s="34"/>
      <c r="J700" s="34"/>
      <c r="K700" s="34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30"/>
      <c r="W700" s="18"/>
      <c r="X700" s="18"/>
      <c r="Y700" s="18"/>
      <c r="Z700" s="18"/>
    </row>
    <row r="701" spans="1:26" x14ac:dyDescent="0.2">
      <c r="C701" s="16"/>
      <c r="D701" s="29" t="s">
        <v>632</v>
      </c>
      <c r="E701" s="17"/>
      <c r="F701" s="18"/>
      <c r="G701" s="34"/>
      <c r="H701" s="34"/>
      <c r="I701" s="34"/>
      <c r="J701" s="34"/>
      <c r="K701" s="34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30"/>
      <c r="W701" s="18"/>
      <c r="X701" s="18"/>
      <c r="Y701" s="18"/>
      <c r="Z701" s="18"/>
    </row>
    <row r="702" spans="1:26" x14ac:dyDescent="0.2">
      <c r="C702" s="16"/>
      <c r="D702" s="29" t="s">
        <v>633</v>
      </c>
      <c r="E702" s="17"/>
      <c r="F702" s="18"/>
      <c r="G702" s="34"/>
      <c r="H702" s="34"/>
      <c r="I702" s="34"/>
      <c r="J702" s="34"/>
      <c r="K702" s="34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30"/>
      <c r="W702" s="18"/>
      <c r="X702" s="18"/>
      <c r="Y702" s="18"/>
      <c r="Z702" s="18"/>
    </row>
    <row r="703" spans="1:26" x14ac:dyDescent="0.2">
      <c r="C703" s="16"/>
      <c r="D703" s="29" t="s">
        <v>634</v>
      </c>
      <c r="E703" s="17"/>
      <c r="F703" s="18"/>
      <c r="G703" s="34"/>
      <c r="H703" s="34"/>
      <c r="I703" s="34"/>
      <c r="J703" s="34"/>
      <c r="K703" s="34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30"/>
      <c r="W703" s="18"/>
      <c r="X703" s="18"/>
      <c r="Y703" s="18"/>
      <c r="Z703" s="18"/>
    </row>
    <row r="704" spans="1:26" x14ac:dyDescent="0.2">
      <c r="C704" s="16"/>
      <c r="D704" s="29" t="s">
        <v>635</v>
      </c>
      <c r="E704" s="17"/>
      <c r="F704" s="18"/>
      <c r="G704" s="34"/>
      <c r="H704" s="34"/>
      <c r="I704" s="34"/>
      <c r="J704" s="34"/>
      <c r="K704" s="34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30"/>
      <c r="W704" s="18"/>
      <c r="X704" s="18"/>
      <c r="Y704" s="18"/>
      <c r="Z704" s="18"/>
    </row>
    <row r="705" spans="1:26" ht="25.5" x14ac:dyDescent="0.2">
      <c r="C705" s="28" t="s">
        <v>288</v>
      </c>
      <c r="D705" s="29" t="s">
        <v>616</v>
      </c>
      <c r="E705" s="17"/>
      <c r="F705" s="18"/>
      <c r="G705" s="34"/>
      <c r="H705" s="34"/>
      <c r="I705" s="34"/>
      <c r="J705" s="34"/>
      <c r="K705" s="34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30"/>
      <c r="W705" s="18"/>
      <c r="X705" s="18"/>
      <c r="Y705" s="18"/>
      <c r="Z705" s="18"/>
    </row>
    <row r="706" spans="1:26" ht="18.75" customHeight="1" x14ac:dyDescent="0.2">
      <c r="A706" s="4" t="s">
        <v>55</v>
      </c>
      <c r="B706" s="4" t="s">
        <v>56</v>
      </c>
      <c r="C706" s="41" t="s">
        <v>636</v>
      </c>
      <c r="D706" s="42" t="s">
        <v>618</v>
      </c>
      <c r="E706" s="43" t="s">
        <v>619</v>
      </c>
      <c r="F706" s="43">
        <v>80000000</v>
      </c>
      <c r="G706" s="44">
        <v>0</v>
      </c>
      <c r="H706" s="44">
        <v>0</v>
      </c>
      <c r="I706" s="44">
        <v>0</v>
      </c>
      <c r="J706" s="44">
        <v>0</v>
      </c>
      <c r="K706" s="44">
        <v>0</v>
      </c>
      <c r="L706" s="43">
        <v>80000000</v>
      </c>
      <c r="M706" s="44">
        <v>0</v>
      </c>
      <c r="N706" s="44">
        <v>0</v>
      </c>
      <c r="O706" s="44">
        <v>0</v>
      </c>
      <c r="P706" s="44">
        <v>0</v>
      </c>
      <c r="Q706" s="44">
        <v>0</v>
      </c>
      <c r="R706" s="44">
        <v>0</v>
      </c>
      <c r="S706" s="44">
        <v>0</v>
      </c>
      <c r="T706" s="44">
        <v>0</v>
      </c>
      <c r="U706" s="44">
        <v>0</v>
      </c>
      <c r="V706" s="31">
        <f t="shared" si="245"/>
        <v>0</v>
      </c>
      <c r="W706" s="43">
        <v>80000000</v>
      </c>
      <c r="X706" s="43">
        <v>0</v>
      </c>
      <c r="Y706" s="43">
        <v>0</v>
      </c>
      <c r="Z706" s="32">
        <f t="shared" ref="Z706" si="250">R706/L706</f>
        <v>0</v>
      </c>
    </row>
    <row r="707" spans="1:26" ht="18.75" customHeight="1" x14ac:dyDescent="0.2">
      <c r="C707" s="16"/>
      <c r="D707" s="17"/>
      <c r="E707" s="17"/>
      <c r="F707" s="18"/>
      <c r="G707" s="34"/>
      <c r="H707" s="34"/>
      <c r="I707" s="34"/>
      <c r="J707" s="34"/>
      <c r="K707" s="34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30"/>
      <c r="W707" s="18"/>
      <c r="X707" s="18"/>
      <c r="Y707" s="18"/>
      <c r="Z707" s="18"/>
    </row>
    <row r="708" spans="1:26" ht="18.75" customHeight="1" x14ac:dyDescent="0.2">
      <c r="C708" s="16"/>
      <c r="D708" s="29" t="s">
        <v>179</v>
      </c>
      <c r="E708" s="17"/>
      <c r="F708" s="18"/>
      <c r="G708" s="34"/>
      <c r="H708" s="34"/>
      <c r="I708" s="34"/>
      <c r="J708" s="34"/>
      <c r="K708" s="34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30"/>
      <c r="W708" s="18"/>
      <c r="X708" s="18"/>
      <c r="Y708" s="18"/>
      <c r="Z708" s="18"/>
    </row>
    <row r="709" spans="1:26" ht="18.75" customHeight="1" x14ac:dyDescent="0.2">
      <c r="C709" s="16"/>
      <c r="D709" s="29" t="s">
        <v>181</v>
      </c>
      <c r="E709" s="17"/>
      <c r="F709" s="18"/>
      <c r="G709" s="34"/>
      <c r="H709" s="34"/>
      <c r="I709" s="34"/>
      <c r="J709" s="34"/>
      <c r="K709" s="34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30"/>
      <c r="W709" s="18"/>
      <c r="X709" s="18"/>
      <c r="Y709" s="18"/>
      <c r="Z709" s="18"/>
    </row>
    <row r="710" spans="1:26" ht="25.5" x14ac:dyDescent="0.2">
      <c r="C710" s="16"/>
      <c r="D710" s="29" t="s">
        <v>637</v>
      </c>
      <c r="E710" s="17"/>
      <c r="F710" s="18"/>
      <c r="G710" s="34"/>
      <c r="H710" s="34"/>
      <c r="I710" s="34"/>
      <c r="J710" s="34"/>
      <c r="K710" s="34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30"/>
      <c r="W710" s="18"/>
      <c r="X710" s="18"/>
      <c r="Y710" s="18"/>
      <c r="Z710" s="18"/>
    </row>
    <row r="711" spans="1:26" ht="18.75" customHeight="1" x14ac:dyDescent="0.2">
      <c r="C711" s="28" t="s">
        <v>288</v>
      </c>
      <c r="D711" s="29" t="s">
        <v>638</v>
      </c>
      <c r="E711" s="17"/>
      <c r="F711" s="18"/>
      <c r="G711" s="34"/>
      <c r="H711" s="34"/>
      <c r="I711" s="34"/>
      <c r="J711" s="34"/>
      <c r="K711" s="34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30"/>
      <c r="W711" s="18"/>
      <c r="X711" s="18"/>
      <c r="Y711" s="18"/>
      <c r="Z711" s="18"/>
    </row>
    <row r="712" spans="1:26" ht="25.5" x14ac:dyDescent="0.2">
      <c r="C712" s="28" t="s">
        <v>288</v>
      </c>
      <c r="D712" s="29" t="s">
        <v>616</v>
      </c>
      <c r="E712" s="17"/>
      <c r="F712" s="18"/>
      <c r="G712" s="34"/>
      <c r="H712" s="34"/>
      <c r="I712" s="34"/>
      <c r="J712" s="34"/>
      <c r="K712" s="34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30"/>
      <c r="W712" s="18"/>
      <c r="X712" s="18"/>
      <c r="Y712" s="18"/>
      <c r="Z712" s="18"/>
    </row>
    <row r="713" spans="1:26" x14ac:dyDescent="0.2">
      <c r="A713" s="4" t="s">
        <v>55</v>
      </c>
      <c r="B713" s="4" t="s">
        <v>56</v>
      </c>
      <c r="C713" s="41" t="s">
        <v>639</v>
      </c>
      <c r="D713" s="42" t="s">
        <v>618</v>
      </c>
      <c r="E713" s="43" t="s">
        <v>619</v>
      </c>
      <c r="F713" s="43">
        <v>1601743650</v>
      </c>
      <c r="G713" s="44">
        <v>0</v>
      </c>
      <c r="H713" s="44">
        <v>0</v>
      </c>
      <c r="I713" s="44">
        <v>0</v>
      </c>
      <c r="J713" s="44">
        <v>0</v>
      </c>
      <c r="K713" s="44">
        <v>0</v>
      </c>
      <c r="L713" s="43">
        <v>1601743650</v>
      </c>
      <c r="M713" s="44">
        <v>0</v>
      </c>
      <c r="N713" s="44">
        <v>0</v>
      </c>
      <c r="O713" s="44">
        <v>0</v>
      </c>
      <c r="P713" s="44">
        <v>0</v>
      </c>
      <c r="Q713" s="44">
        <v>0</v>
      </c>
      <c r="R713" s="44">
        <v>0</v>
      </c>
      <c r="S713" s="44">
        <v>0</v>
      </c>
      <c r="T713" s="44">
        <v>0</v>
      </c>
      <c r="U713" s="44">
        <v>0</v>
      </c>
      <c r="V713" s="31">
        <f t="shared" si="245"/>
        <v>0</v>
      </c>
      <c r="W713" s="43">
        <v>1601743650</v>
      </c>
      <c r="X713" s="43">
        <v>0</v>
      </c>
      <c r="Y713" s="43">
        <v>0</v>
      </c>
      <c r="Z713" s="32">
        <f t="shared" ref="Z713:Z714" si="251">R713/L713</f>
        <v>0</v>
      </c>
    </row>
    <row r="714" spans="1:26" ht="23.25" customHeight="1" x14ac:dyDescent="0.2">
      <c r="A714" s="4" t="s">
        <v>55</v>
      </c>
      <c r="B714" s="4" t="s">
        <v>56</v>
      </c>
      <c r="C714" s="41" t="s">
        <v>640</v>
      </c>
      <c r="D714" s="42" t="s">
        <v>641</v>
      </c>
      <c r="E714" s="43" t="s">
        <v>642</v>
      </c>
      <c r="F714" s="43">
        <v>20790000</v>
      </c>
      <c r="G714" s="44">
        <v>0</v>
      </c>
      <c r="H714" s="44">
        <v>0</v>
      </c>
      <c r="I714" s="44">
        <v>0</v>
      </c>
      <c r="J714" s="44">
        <v>0</v>
      </c>
      <c r="K714" s="44">
        <v>0</v>
      </c>
      <c r="L714" s="43">
        <v>20790000</v>
      </c>
      <c r="M714" s="44">
        <v>0</v>
      </c>
      <c r="N714" s="44">
        <v>0</v>
      </c>
      <c r="O714" s="44">
        <v>0</v>
      </c>
      <c r="P714" s="44">
        <v>0</v>
      </c>
      <c r="Q714" s="44">
        <v>0</v>
      </c>
      <c r="R714" s="44">
        <v>0</v>
      </c>
      <c r="S714" s="44">
        <v>0</v>
      </c>
      <c r="T714" s="44">
        <v>0</v>
      </c>
      <c r="U714" s="44">
        <v>0</v>
      </c>
      <c r="V714" s="31">
        <f t="shared" si="245"/>
        <v>0</v>
      </c>
      <c r="W714" s="43">
        <v>20790000</v>
      </c>
      <c r="X714" s="43">
        <v>0</v>
      </c>
      <c r="Y714" s="43">
        <v>0</v>
      </c>
      <c r="Z714" s="32">
        <f t="shared" si="251"/>
        <v>0</v>
      </c>
    </row>
    <row r="715" spans="1:26" ht="18.75" customHeight="1" x14ac:dyDescent="0.2">
      <c r="C715" s="16"/>
      <c r="D715" s="17"/>
      <c r="E715" s="17"/>
      <c r="F715" s="18"/>
      <c r="G715" s="34"/>
      <c r="H715" s="34"/>
      <c r="I715" s="34"/>
      <c r="J715" s="34"/>
      <c r="K715" s="34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30"/>
      <c r="W715" s="18"/>
      <c r="X715" s="18"/>
      <c r="Y715" s="18"/>
      <c r="Z715" s="18"/>
    </row>
    <row r="716" spans="1:26" ht="26.25" customHeight="1" x14ac:dyDescent="0.2">
      <c r="C716" s="16"/>
      <c r="D716" s="29" t="s">
        <v>197</v>
      </c>
      <c r="E716" s="17"/>
      <c r="F716" s="18"/>
      <c r="G716" s="34"/>
      <c r="H716" s="34"/>
      <c r="I716" s="34"/>
      <c r="J716" s="34"/>
      <c r="K716" s="34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30"/>
      <c r="W716" s="18"/>
      <c r="X716" s="18"/>
      <c r="Y716" s="18"/>
      <c r="Z716" s="18"/>
    </row>
    <row r="717" spans="1:26" ht="26.25" customHeight="1" x14ac:dyDescent="0.2">
      <c r="C717" s="28" t="s">
        <v>288</v>
      </c>
      <c r="D717" s="29" t="s">
        <v>643</v>
      </c>
      <c r="E717" s="17"/>
      <c r="F717" s="18"/>
      <c r="G717" s="34"/>
      <c r="H717" s="34"/>
      <c r="I717" s="34"/>
      <c r="J717" s="34"/>
      <c r="K717" s="34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30"/>
      <c r="W717" s="18"/>
      <c r="X717" s="18"/>
      <c r="Y717" s="18"/>
      <c r="Z717" s="18"/>
    </row>
    <row r="718" spans="1:26" x14ac:dyDescent="0.2">
      <c r="A718" s="4" t="s">
        <v>55</v>
      </c>
      <c r="B718" s="4" t="s">
        <v>56</v>
      </c>
      <c r="C718" s="41" t="s">
        <v>644</v>
      </c>
      <c r="D718" s="42" t="s">
        <v>618</v>
      </c>
      <c r="E718" s="43" t="s">
        <v>619</v>
      </c>
      <c r="F718" s="43">
        <v>530000000</v>
      </c>
      <c r="G718" s="44">
        <v>0</v>
      </c>
      <c r="H718" s="44">
        <v>0</v>
      </c>
      <c r="I718" s="44">
        <v>0</v>
      </c>
      <c r="J718" s="44">
        <v>0</v>
      </c>
      <c r="K718" s="44">
        <v>0</v>
      </c>
      <c r="L718" s="43">
        <v>530000000</v>
      </c>
      <c r="M718" s="43">
        <v>0</v>
      </c>
      <c r="N718" s="43">
        <v>493600000</v>
      </c>
      <c r="O718" s="43">
        <v>493600000</v>
      </c>
      <c r="P718" s="43">
        <v>0</v>
      </c>
      <c r="Q718" s="43">
        <v>425600000</v>
      </c>
      <c r="R718" s="43">
        <v>425600000</v>
      </c>
      <c r="S718" s="44">
        <v>0</v>
      </c>
      <c r="T718" s="44">
        <v>0</v>
      </c>
      <c r="U718" s="44">
        <v>0</v>
      </c>
      <c r="V718" s="31">
        <f t="shared" si="245"/>
        <v>0</v>
      </c>
      <c r="W718" s="43">
        <v>36400000</v>
      </c>
      <c r="X718" s="43">
        <v>68000000</v>
      </c>
      <c r="Y718" s="43">
        <v>425600000</v>
      </c>
      <c r="Z718" s="32">
        <f t="shared" ref="Z718" si="252">R718/L718</f>
        <v>0.80301886792452826</v>
      </c>
    </row>
    <row r="719" spans="1:26" ht="25.5" x14ac:dyDescent="0.2">
      <c r="C719" s="28" t="s">
        <v>288</v>
      </c>
      <c r="D719" s="29" t="s">
        <v>616</v>
      </c>
      <c r="E719" s="17"/>
      <c r="F719" s="18"/>
      <c r="G719" s="34"/>
      <c r="H719" s="34"/>
      <c r="I719" s="34"/>
      <c r="J719" s="34"/>
      <c r="K719" s="34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30"/>
      <c r="W719" s="18"/>
      <c r="X719" s="18"/>
      <c r="Y719" s="18"/>
      <c r="Z719" s="18"/>
    </row>
    <row r="720" spans="1:26" x14ac:dyDescent="0.2">
      <c r="A720" s="4" t="s">
        <v>55</v>
      </c>
      <c r="B720" s="4" t="s">
        <v>56</v>
      </c>
      <c r="C720" s="41" t="s">
        <v>645</v>
      </c>
      <c r="D720" s="42" t="s">
        <v>618</v>
      </c>
      <c r="E720" s="43" t="s">
        <v>619</v>
      </c>
      <c r="F720" s="43">
        <v>2879425052</v>
      </c>
      <c r="G720" s="44">
        <v>0</v>
      </c>
      <c r="H720" s="44">
        <v>0</v>
      </c>
      <c r="I720" s="44">
        <v>0</v>
      </c>
      <c r="J720" s="44">
        <v>0</v>
      </c>
      <c r="K720" s="44">
        <v>0</v>
      </c>
      <c r="L720" s="43">
        <v>2879425052</v>
      </c>
      <c r="M720" s="43">
        <v>0</v>
      </c>
      <c r="N720" s="43">
        <v>0</v>
      </c>
      <c r="O720" s="43">
        <v>0</v>
      </c>
      <c r="P720" s="43">
        <v>0</v>
      </c>
      <c r="Q720" s="43">
        <v>0</v>
      </c>
      <c r="R720" s="44">
        <v>0</v>
      </c>
      <c r="S720" s="44">
        <v>0</v>
      </c>
      <c r="T720" s="44">
        <v>0</v>
      </c>
      <c r="U720" s="44">
        <v>0</v>
      </c>
      <c r="V720" s="31">
        <f t="shared" si="245"/>
        <v>0</v>
      </c>
      <c r="W720" s="43">
        <v>2879425052</v>
      </c>
      <c r="X720" s="43">
        <v>0</v>
      </c>
      <c r="Y720" s="43">
        <v>0</v>
      </c>
      <c r="Z720" s="32">
        <f t="shared" ref="Z720:Z722" si="253">R720/L720</f>
        <v>0</v>
      </c>
    </row>
    <row r="721" spans="1:26" ht="25.5" x14ac:dyDescent="0.2">
      <c r="A721" s="4" t="s">
        <v>55</v>
      </c>
      <c r="B721" s="4" t="s">
        <v>56</v>
      </c>
      <c r="C721" s="41" t="s">
        <v>646</v>
      </c>
      <c r="D721" s="42" t="s">
        <v>647</v>
      </c>
      <c r="E721" s="43" t="s">
        <v>642</v>
      </c>
      <c r="F721" s="43">
        <v>404210000</v>
      </c>
      <c r="G721" s="44">
        <v>0</v>
      </c>
      <c r="H721" s="44">
        <v>0</v>
      </c>
      <c r="I721" s="44">
        <v>0</v>
      </c>
      <c r="J721" s="44">
        <v>0</v>
      </c>
      <c r="K721" s="44">
        <v>0</v>
      </c>
      <c r="L721" s="43">
        <v>404210000</v>
      </c>
      <c r="M721" s="44">
        <v>0</v>
      </c>
      <c r="N721" s="44">
        <v>0</v>
      </c>
      <c r="O721" s="44">
        <v>0</v>
      </c>
      <c r="P721" s="44">
        <v>0</v>
      </c>
      <c r="Q721" s="44">
        <v>0</v>
      </c>
      <c r="R721" s="44">
        <v>0</v>
      </c>
      <c r="S721" s="44">
        <v>0</v>
      </c>
      <c r="T721" s="44">
        <v>0</v>
      </c>
      <c r="U721" s="44">
        <v>0</v>
      </c>
      <c r="V721" s="31">
        <f t="shared" si="245"/>
        <v>0</v>
      </c>
      <c r="W721" s="43">
        <v>404210000</v>
      </c>
      <c r="X721" s="43">
        <v>0</v>
      </c>
      <c r="Y721" s="43">
        <v>0</v>
      </c>
      <c r="Z721" s="32">
        <f t="shared" si="253"/>
        <v>0</v>
      </c>
    </row>
    <row r="722" spans="1:26" ht="25.5" x14ac:dyDescent="0.2">
      <c r="A722" s="4" t="s">
        <v>55</v>
      </c>
      <c r="B722" s="4" t="s">
        <v>56</v>
      </c>
      <c r="C722" s="41" t="s">
        <v>648</v>
      </c>
      <c r="D722" s="42" t="s">
        <v>649</v>
      </c>
      <c r="E722" s="43" t="s">
        <v>650</v>
      </c>
      <c r="F722" s="43">
        <v>425000000</v>
      </c>
      <c r="G722" s="44">
        <v>0</v>
      </c>
      <c r="H722" s="44">
        <v>0</v>
      </c>
      <c r="I722" s="44">
        <v>0</v>
      </c>
      <c r="J722" s="44">
        <v>0</v>
      </c>
      <c r="K722" s="44">
        <v>0</v>
      </c>
      <c r="L722" s="43">
        <v>425000000</v>
      </c>
      <c r="M722" s="44">
        <v>0</v>
      </c>
      <c r="N722" s="44">
        <v>0</v>
      </c>
      <c r="O722" s="44">
        <v>0</v>
      </c>
      <c r="P722" s="44">
        <v>0</v>
      </c>
      <c r="Q722" s="44">
        <v>0</v>
      </c>
      <c r="R722" s="44">
        <v>0</v>
      </c>
      <c r="S722" s="44">
        <v>0</v>
      </c>
      <c r="T722" s="44">
        <v>0</v>
      </c>
      <c r="U722" s="44">
        <v>0</v>
      </c>
      <c r="V722" s="31">
        <f t="shared" si="245"/>
        <v>0</v>
      </c>
      <c r="W722" s="43">
        <v>425000000</v>
      </c>
      <c r="X722" s="43">
        <v>0</v>
      </c>
      <c r="Y722" s="43">
        <v>0</v>
      </c>
      <c r="Z722" s="32">
        <f t="shared" si="253"/>
        <v>0</v>
      </c>
    </row>
    <row r="723" spans="1:26" x14ac:dyDescent="0.2">
      <c r="C723" s="16"/>
      <c r="D723" s="17"/>
      <c r="E723" s="17"/>
      <c r="F723" s="18"/>
      <c r="G723" s="34"/>
      <c r="H723" s="34"/>
      <c r="I723" s="34"/>
      <c r="J723" s="34"/>
      <c r="K723" s="34"/>
      <c r="L723" s="18"/>
      <c r="M723" s="34"/>
      <c r="N723" s="34"/>
      <c r="O723" s="34"/>
      <c r="P723" s="34"/>
      <c r="Q723" s="34"/>
      <c r="R723" s="34"/>
      <c r="S723" s="18"/>
      <c r="T723" s="18"/>
      <c r="U723" s="18"/>
      <c r="V723" s="30"/>
      <c r="W723" s="18"/>
      <c r="X723" s="18"/>
      <c r="Y723" s="18"/>
      <c r="Z723" s="18"/>
    </row>
    <row r="724" spans="1:26" x14ac:dyDescent="0.2">
      <c r="C724" s="16"/>
      <c r="D724" s="29" t="s">
        <v>199</v>
      </c>
      <c r="E724" s="17"/>
      <c r="F724" s="18"/>
      <c r="G724" s="34"/>
      <c r="H724" s="34"/>
      <c r="I724" s="34"/>
      <c r="J724" s="34"/>
      <c r="K724" s="34"/>
      <c r="L724" s="18"/>
      <c r="M724" s="34"/>
      <c r="N724" s="34"/>
      <c r="O724" s="34"/>
      <c r="P724" s="34"/>
      <c r="Q724" s="34"/>
      <c r="R724" s="34"/>
      <c r="S724" s="18"/>
      <c r="T724" s="18"/>
      <c r="U724" s="18"/>
      <c r="V724" s="30"/>
      <c r="W724" s="18"/>
      <c r="X724" s="18"/>
      <c r="Y724" s="18"/>
      <c r="Z724" s="18"/>
    </row>
    <row r="725" spans="1:26" ht="25.5" x14ac:dyDescent="0.2">
      <c r="C725" s="28" t="s">
        <v>288</v>
      </c>
      <c r="D725" s="29" t="s">
        <v>616</v>
      </c>
      <c r="E725" s="17"/>
      <c r="F725" s="18"/>
      <c r="G725" s="34"/>
      <c r="H725" s="34"/>
      <c r="I725" s="34"/>
      <c r="J725" s="34"/>
      <c r="K725" s="34"/>
      <c r="L725" s="18"/>
      <c r="M725" s="34"/>
      <c r="N725" s="34"/>
      <c r="O725" s="34"/>
      <c r="P725" s="34"/>
      <c r="Q725" s="34"/>
      <c r="R725" s="34"/>
      <c r="S725" s="18"/>
      <c r="T725" s="18"/>
      <c r="U725" s="18"/>
      <c r="V725" s="30"/>
      <c r="W725" s="18"/>
      <c r="X725" s="18"/>
      <c r="Y725" s="18"/>
      <c r="Z725" s="18"/>
    </row>
    <row r="726" spans="1:26" x14ac:dyDescent="0.2">
      <c r="A726" s="4" t="s">
        <v>55</v>
      </c>
      <c r="B726" s="4" t="s">
        <v>56</v>
      </c>
      <c r="C726" s="41" t="s">
        <v>651</v>
      </c>
      <c r="D726" s="42" t="s">
        <v>618</v>
      </c>
      <c r="E726" s="43" t="s">
        <v>619</v>
      </c>
      <c r="F726" s="43">
        <v>408029872</v>
      </c>
      <c r="G726" s="44">
        <v>0</v>
      </c>
      <c r="H726" s="44">
        <v>0</v>
      </c>
      <c r="I726" s="44">
        <v>0</v>
      </c>
      <c r="J726" s="44">
        <v>0</v>
      </c>
      <c r="K726" s="44">
        <v>0</v>
      </c>
      <c r="L726" s="43">
        <v>408029872</v>
      </c>
      <c r="M726" s="44">
        <v>0</v>
      </c>
      <c r="N726" s="44">
        <v>0</v>
      </c>
      <c r="O726" s="44">
        <v>0</v>
      </c>
      <c r="P726" s="44">
        <v>0</v>
      </c>
      <c r="Q726" s="44">
        <v>0</v>
      </c>
      <c r="R726" s="44">
        <v>0</v>
      </c>
      <c r="S726" s="44">
        <v>0</v>
      </c>
      <c r="T726" s="44">
        <v>0</v>
      </c>
      <c r="U726" s="44">
        <v>0</v>
      </c>
      <c r="V726" s="31">
        <f t="shared" si="245"/>
        <v>0</v>
      </c>
      <c r="W726" s="43">
        <v>408029872</v>
      </c>
      <c r="X726" s="43">
        <v>0</v>
      </c>
      <c r="Y726" s="43">
        <v>0</v>
      </c>
      <c r="Z726" s="32">
        <f t="shared" ref="Z726:Z727" si="254">R726/L726</f>
        <v>0</v>
      </c>
    </row>
    <row r="727" spans="1:26" ht="38.25" x14ac:dyDescent="0.2">
      <c r="A727" s="4" t="s">
        <v>55</v>
      </c>
      <c r="B727" s="4" t="s">
        <v>56</v>
      </c>
      <c r="C727" s="41" t="s">
        <v>652</v>
      </c>
      <c r="D727" s="42" t="s">
        <v>653</v>
      </c>
      <c r="E727" s="43" t="s">
        <v>368</v>
      </c>
      <c r="F727" s="43">
        <v>159146685.47999999</v>
      </c>
      <c r="G727" s="44">
        <v>0</v>
      </c>
      <c r="H727" s="44">
        <v>0</v>
      </c>
      <c r="I727" s="44">
        <v>0</v>
      </c>
      <c r="J727" s="44">
        <v>0</v>
      </c>
      <c r="K727" s="44">
        <v>0</v>
      </c>
      <c r="L727" s="43">
        <v>159146685.47999999</v>
      </c>
      <c r="M727" s="44">
        <v>0</v>
      </c>
      <c r="N727" s="44">
        <v>0</v>
      </c>
      <c r="O727" s="44">
        <v>0</v>
      </c>
      <c r="P727" s="44">
        <v>0</v>
      </c>
      <c r="Q727" s="44">
        <v>0</v>
      </c>
      <c r="R727" s="44">
        <v>0</v>
      </c>
      <c r="S727" s="44">
        <v>0</v>
      </c>
      <c r="T727" s="44">
        <v>0</v>
      </c>
      <c r="U727" s="44">
        <v>0</v>
      </c>
      <c r="V727" s="31">
        <f t="shared" si="245"/>
        <v>0</v>
      </c>
      <c r="W727" s="43">
        <v>159146685.47999999</v>
      </c>
      <c r="X727" s="43">
        <v>0</v>
      </c>
      <c r="Y727" s="43">
        <v>0</v>
      </c>
      <c r="Z727" s="32">
        <f t="shared" si="254"/>
        <v>0</v>
      </c>
    </row>
    <row r="728" spans="1:26" x14ac:dyDescent="0.2">
      <c r="C728" s="16"/>
      <c r="D728" s="17"/>
      <c r="E728" s="17"/>
      <c r="F728" s="18"/>
      <c r="G728" s="34"/>
      <c r="H728" s="34"/>
      <c r="I728" s="34"/>
      <c r="J728" s="34"/>
      <c r="K728" s="34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30"/>
      <c r="W728" s="18"/>
      <c r="X728" s="18"/>
      <c r="Y728" s="18"/>
      <c r="Z728" s="18"/>
    </row>
    <row r="729" spans="1:26" x14ac:dyDescent="0.2">
      <c r="C729" s="16"/>
      <c r="D729" s="29" t="s">
        <v>654</v>
      </c>
      <c r="E729" s="17"/>
      <c r="F729" s="18"/>
      <c r="G729" s="34"/>
      <c r="H729" s="34"/>
      <c r="I729" s="34"/>
      <c r="J729" s="34"/>
      <c r="K729" s="34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30"/>
      <c r="W729" s="18"/>
      <c r="X729" s="18"/>
      <c r="Y729" s="18"/>
      <c r="Z729" s="18"/>
    </row>
    <row r="730" spans="1:26" x14ac:dyDescent="0.2">
      <c r="C730" s="16"/>
      <c r="D730" s="29" t="s">
        <v>614</v>
      </c>
      <c r="E730" s="17"/>
      <c r="F730" s="18"/>
      <c r="G730" s="34"/>
      <c r="H730" s="34"/>
      <c r="I730" s="34"/>
      <c r="J730" s="34"/>
      <c r="K730" s="34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30"/>
      <c r="W730" s="18"/>
      <c r="X730" s="18"/>
      <c r="Y730" s="18"/>
      <c r="Z730" s="18"/>
    </row>
    <row r="731" spans="1:26" x14ac:dyDescent="0.2">
      <c r="C731" s="16"/>
      <c r="D731" s="29" t="s">
        <v>286</v>
      </c>
      <c r="E731" s="17"/>
      <c r="F731" s="18"/>
      <c r="G731" s="34"/>
      <c r="H731" s="34"/>
      <c r="I731" s="34"/>
      <c r="J731" s="34"/>
      <c r="K731" s="34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30"/>
      <c r="W731" s="18"/>
      <c r="X731" s="18"/>
      <c r="Y731" s="18"/>
      <c r="Z731" s="18"/>
    </row>
    <row r="732" spans="1:26" x14ac:dyDescent="0.2">
      <c r="C732" s="16"/>
      <c r="D732" s="29" t="s">
        <v>181</v>
      </c>
      <c r="E732" s="17"/>
      <c r="F732" s="18"/>
      <c r="G732" s="34"/>
      <c r="H732" s="34"/>
      <c r="I732" s="34"/>
      <c r="J732" s="34"/>
      <c r="K732" s="34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30"/>
      <c r="W732" s="18"/>
      <c r="X732" s="18"/>
      <c r="Y732" s="18"/>
      <c r="Z732" s="18"/>
    </row>
    <row r="733" spans="1:26" ht="25.5" x14ac:dyDescent="0.2">
      <c r="C733" s="16"/>
      <c r="D733" s="29" t="s">
        <v>637</v>
      </c>
      <c r="E733" s="17"/>
      <c r="F733" s="18"/>
      <c r="G733" s="34"/>
      <c r="H733" s="34"/>
      <c r="I733" s="34"/>
      <c r="J733" s="34"/>
      <c r="K733" s="34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30"/>
      <c r="W733" s="18"/>
      <c r="X733" s="18"/>
      <c r="Y733" s="18"/>
      <c r="Z733" s="18"/>
    </row>
    <row r="734" spans="1:26" ht="25.5" x14ac:dyDescent="0.2">
      <c r="C734" s="28" t="s">
        <v>288</v>
      </c>
      <c r="D734" s="29" t="s">
        <v>655</v>
      </c>
      <c r="E734" s="17"/>
      <c r="F734" s="18"/>
      <c r="G734" s="34"/>
      <c r="H734" s="34"/>
      <c r="I734" s="34"/>
      <c r="J734" s="34"/>
      <c r="K734" s="34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30"/>
      <c r="W734" s="18"/>
      <c r="X734" s="18"/>
      <c r="Y734" s="18"/>
      <c r="Z734" s="18"/>
    </row>
    <row r="735" spans="1:26" x14ac:dyDescent="0.2">
      <c r="A735" s="4" t="s">
        <v>55</v>
      </c>
      <c r="B735" s="4" t="s">
        <v>56</v>
      </c>
      <c r="C735" s="41" t="s">
        <v>656</v>
      </c>
      <c r="D735" s="42" t="s">
        <v>233</v>
      </c>
      <c r="E735" s="43" t="s">
        <v>58</v>
      </c>
      <c r="F735" s="43">
        <v>800000000</v>
      </c>
      <c r="G735" s="44">
        <v>0</v>
      </c>
      <c r="H735" s="44">
        <v>0</v>
      </c>
      <c r="I735" s="44">
        <v>0</v>
      </c>
      <c r="J735" s="44">
        <v>0</v>
      </c>
      <c r="K735" s="44">
        <v>0</v>
      </c>
      <c r="L735" s="43">
        <v>800000000</v>
      </c>
      <c r="M735" s="44">
        <v>0</v>
      </c>
      <c r="N735" s="44">
        <v>0</v>
      </c>
      <c r="O735" s="44">
        <v>0</v>
      </c>
      <c r="P735" s="44">
        <v>0</v>
      </c>
      <c r="Q735" s="44">
        <v>0</v>
      </c>
      <c r="R735" s="44">
        <v>0</v>
      </c>
      <c r="S735" s="44">
        <v>0</v>
      </c>
      <c r="T735" s="44">
        <v>0</v>
      </c>
      <c r="U735" s="44">
        <v>0</v>
      </c>
      <c r="V735" s="31">
        <f t="shared" si="245"/>
        <v>0</v>
      </c>
      <c r="W735" s="43">
        <v>800000000</v>
      </c>
      <c r="X735" s="43">
        <v>0</v>
      </c>
      <c r="Y735" s="43">
        <v>0</v>
      </c>
      <c r="Z735" s="32">
        <f t="shared" ref="Z735" si="255">R735/L735</f>
        <v>0</v>
      </c>
    </row>
    <row r="736" spans="1:26" ht="25.5" x14ac:dyDescent="0.2">
      <c r="C736" s="28" t="s">
        <v>288</v>
      </c>
      <c r="D736" s="29" t="s">
        <v>616</v>
      </c>
      <c r="E736" s="17"/>
      <c r="F736" s="18"/>
      <c r="G736" s="34"/>
      <c r="H736" s="34"/>
      <c r="I736" s="34"/>
      <c r="J736" s="34"/>
      <c r="K736" s="34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30"/>
      <c r="W736" s="18"/>
      <c r="X736" s="18"/>
      <c r="Y736" s="18"/>
      <c r="Z736" s="18"/>
    </row>
    <row r="737" spans="1:26" x14ac:dyDescent="0.2">
      <c r="C737" s="16"/>
      <c r="D737" s="17"/>
      <c r="E737" s="17"/>
      <c r="F737" s="18"/>
      <c r="G737" s="34"/>
      <c r="H737" s="34"/>
      <c r="I737" s="34"/>
      <c r="J737" s="34"/>
      <c r="K737" s="34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30"/>
      <c r="W737" s="18"/>
      <c r="X737" s="18"/>
      <c r="Y737" s="18"/>
      <c r="Z737" s="18"/>
    </row>
    <row r="738" spans="1:26" ht="18.75" customHeight="1" x14ac:dyDescent="0.2">
      <c r="C738" s="16"/>
      <c r="D738" s="29" t="s">
        <v>189</v>
      </c>
      <c r="E738" s="17"/>
      <c r="F738" s="18"/>
      <c r="G738" s="34"/>
      <c r="H738" s="34"/>
      <c r="I738" s="34"/>
      <c r="J738" s="34"/>
      <c r="K738" s="34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30"/>
      <c r="W738" s="18"/>
      <c r="X738" s="18"/>
      <c r="Y738" s="18"/>
      <c r="Z738" s="18"/>
    </row>
    <row r="739" spans="1:26" ht="38.25" x14ac:dyDescent="0.2">
      <c r="C739" s="16"/>
      <c r="D739" s="29" t="s">
        <v>193</v>
      </c>
      <c r="E739" s="17"/>
      <c r="F739" s="18"/>
      <c r="G739" s="34"/>
      <c r="H739" s="34"/>
      <c r="I739" s="34"/>
      <c r="J739" s="34"/>
      <c r="K739" s="34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30"/>
      <c r="W739" s="18"/>
      <c r="X739" s="18"/>
      <c r="Y739" s="18"/>
      <c r="Z739" s="18"/>
    </row>
    <row r="740" spans="1:26" ht="25.5" x14ac:dyDescent="0.2">
      <c r="C740" s="28" t="s">
        <v>288</v>
      </c>
      <c r="D740" s="29" t="s">
        <v>616</v>
      </c>
      <c r="E740" s="17"/>
      <c r="F740" s="18"/>
      <c r="G740" s="34"/>
      <c r="H740" s="34"/>
      <c r="I740" s="34"/>
      <c r="J740" s="34"/>
      <c r="K740" s="34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30"/>
      <c r="W740" s="18"/>
      <c r="X740" s="18"/>
      <c r="Y740" s="18"/>
      <c r="Z740" s="18"/>
    </row>
    <row r="741" spans="1:26" x14ac:dyDescent="0.2">
      <c r="A741" s="4" t="s">
        <v>37</v>
      </c>
      <c r="B741" s="4" t="s">
        <v>37</v>
      </c>
      <c r="C741" s="41" t="s">
        <v>657</v>
      </c>
      <c r="D741" s="42" t="s">
        <v>233</v>
      </c>
      <c r="E741" s="43" t="s">
        <v>58</v>
      </c>
      <c r="F741" s="43">
        <v>400000000</v>
      </c>
      <c r="G741" s="44">
        <v>0</v>
      </c>
      <c r="H741" s="44">
        <v>0</v>
      </c>
      <c r="I741" s="44">
        <v>0</v>
      </c>
      <c r="J741" s="44">
        <v>0</v>
      </c>
      <c r="K741" s="44">
        <v>0</v>
      </c>
      <c r="L741" s="43">
        <v>400000000</v>
      </c>
      <c r="M741" s="44">
        <v>0</v>
      </c>
      <c r="N741" s="44">
        <v>0</v>
      </c>
      <c r="O741" s="44">
        <v>0</v>
      </c>
      <c r="P741" s="44">
        <v>0</v>
      </c>
      <c r="Q741" s="44">
        <v>0</v>
      </c>
      <c r="R741" s="44">
        <v>0</v>
      </c>
      <c r="S741" s="44">
        <v>0</v>
      </c>
      <c r="T741" s="44">
        <v>0</v>
      </c>
      <c r="U741" s="44">
        <v>0</v>
      </c>
      <c r="V741" s="31">
        <f t="shared" si="245"/>
        <v>0</v>
      </c>
      <c r="W741" s="43">
        <v>400000000</v>
      </c>
      <c r="X741" s="43">
        <v>0</v>
      </c>
      <c r="Y741" s="43">
        <v>0</v>
      </c>
      <c r="Z741" s="32">
        <f t="shared" ref="Z741" si="256">R741/L741</f>
        <v>0</v>
      </c>
    </row>
    <row r="742" spans="1:26" x14ac:dyDescent="0.2">
      <c r="C742" s="16"/>
      <c r="D742" s="17"/>
      <c r="E742" s="17"/>
      <c r="F742" s="18"/>
      <c r="G742" s="34"/>
      <c r="H742" s="34"/>
      <c r="I742" s="34"/>
      <c r="J742" s="34"/>
      <c r="K742" s="34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30"/>
      <c r="W742" s="18"/>
      <c r="X742" s="18"/>
      <c r="Y742" s="18"/>
      <c r="Z742" s="18"/>
    </row>
    <row r="743" spans="1:26" ht="25.5" x14ac:dyDescent="0.2">
      <c r="C743" s="16"/>
      <c r="D743" s="29" t="s">
        <v>197</v>
      </c>
      <c r="E743" s="17"/>
      <c r="F743" s="18"/>
      <c r="G743" s="34"/>
      <c r="H743" s="34"/>
      <c r="I743" s="34"/>
      <c r="J743" s="34"/>
      <c r="K743" s="34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30"/>
      <c r="W743" s="18"/>
      <c r="X743" s="18"/>
      <c r="Y743" s="18"/>
      <c r="Z743" s="18"/>
    </row>
    <row r="744" spans="1:26" ht="25.5" x14ac:dyDescent="0.2">
      <c r="C744" s="28" t="s">
        <v>288</v>
      </c>
      <c r="D744" s="29" t="s">
        <v>616</v>
      </c>
      <c r="E744" s="17"/>
      <c r="F744" s="18"/>
      <c r="G744" s="34"/>
      <c r="H744" s="34"/>
      <c r="I744" s="34"/>
      <c r="J744" s="34"/>
      <c r="K744" s="34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30"/>
      <c r="W744" s="18"/>
      <c r="X744" s="18"/>
      <c r="Y744" s="18"/>
      <c r="Z744" s="18"/>
    </row>
    <row r="745" spans="1:26" x14ac:dyDescent="0.2">
      <c r="A745" s="4" t="s">
        <v>55</v>
      </c>
      <c r="B745" s="4" t="s">
        <v>56</v>
      </c>
      <c r="C745" s="41" t="s">
        <v>658</v>
      </c>
      <c r="D745" s="42" t="s">
        <v>233</v>
      </c>
      <c r="E745" s="43" t="s">
        <v>58</v>
      </c>
      <c r="F745" s="43">
        <v>80000001.5</v>
      </c>
      <c r="G745" s="44">
        <v>0</v>
      </c>
      <c r="H745" s="44">
        <v>0</v>
      </c>
      <c r="I745" s="44">
        <v>0</v>
      </c>
      <c r="J745" s="44">
        <v>0</v>
      </c>
      <c r="K745" s="44">
        <v>0</v>
      </c>
      <c r="L745" s="43">
        <v>80000001.5</v>
      </c>
      <c r="M745" s="44">
        <v>0</v>
      </c>
      <c r="N745" s="44">
        <v>0</v>
      </c>
      <c r="O745" s="44">
        <v>0</v>
      </c>
      <c r="P745" s="44">
        <v>0</v>
      </c>
      <c r="Q745" s="44">
        <v>0</v>
      </c>
      <c r="R745" s="44">
        <v>0</v>
      </c>
      <c r="S745" s="44">
        <v>0</v>
      </c>
      <c r="T745" s="44">
        <v>0</v>
      </c>
      <c r="U745" s="44">
        <v>0</v>
      </c>
      <c r="V745" s="31">
        <f t="shared" ref="V745:V787" si="257">S745+U745</f>
        <v>0</v>
      </c>
      <c r="W745" s="43">
        <v>80000001.5</v>
      </c>
      <c r="X745" s="43">
        <v>0</v>
      </c>
      <c r="Y745" s="43">
        <v>0</v>
      </c>
      <c r="Z745" s="32">
        <f t="shared" ref="Z745:Z746" si="258">R745/L745</f>
        <v>0</v>
      </c>
    </row>
    <row r="746" spans="1:26" ht="25.5" x14ac:dyDescent="0.2">
      <c r="A746" s="4" t="s">
        <v>55</v>
      </c>
      <c r="B746" s="4" t="s">
        <v>56</v>
      </c>
      <c r="C746" s="41" t="s">
        <v>659</v>
      </c>
      <c r="D746" s="42" t="s">
        <v>660</v>
      </c>
      <c r="E746" s="43" t="s">
        <v>368</v>
      </c>
      <c r="F746" s="43">
        <v>18064798.5</v>
      </c>
      <c r="G746" s="44">
        <v>0</v>
      </c>
      <c r="H746" s="44">
        <v>0</v>
      </c>
      <c r="I746" s="44">
        <v>0</v>
      </c>
      <c r="J746" s="44">
        <v>0</v>
      </c>
      <c r="K746" s="44">
        <v>0</v>
      </c>
      <c r="L746" s="43">
        <v>18064798.5</v>
      </c>
      <c r="M746" s="44">
        <v>0</v>
      </c>
      <c r="N746" s="44">
        <v>0</v>
      </c>
      <c r="O746" s="44">
        <v>0</v>
      </c>
      <c r="P746" s="44">
        <v>0</v>
      </c>
      <c r="Q746" s="44">
        <v>0</v>
      </c>
      <c r="R746" s="44">
        <v>0</v>
      </c>
      <c r="S746" s="44">
        <v>0</v>
      </c>
      <c r="T746" s="44">
        <v>0</v>
      </c>
      <c r="U746" s="44">
        <v>0</v>
      </c>
      <c r="V746" s="31">
        <f t="shared" si="257"/>
        <v>0</v>
      </c>
      <c r="W746" s="43">
        <v>18064798.5</v>
      </c>
      <c r="X746" s="43">
        <v>0</v>
      </c>
      <c r="Y746" s="43">
        <v>0</v>
      </c>
      <c r="Z746" s="32">
        <f t="shared" si="258"/>
        <v>0</v>
      </c>
    </row>
    <row r="747" spans="1:26" x14ac:dyDescent="0.2">
      <c r="C747" s="16"/>
      <c r="D747" s="17"/>
      <c r="E747" s="17"/>
      <c r="F747" s="18"/>
      <c r="G747" s="34"/>
      <c r="H747" s="34"/>
      <c r="I747" s="34"/>
      <c r="J747" s="34"/>
      <c r="K747" s="34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30"/>
      <c r="W747" s="18"/>
      <c r="X747" s="18"/>
      <c r="Y747" s="18"/>
      <c r="Z747" s="18"/>
    </row>
    <row r="748" spans="1:26" x14ac:dyDescent="0.2">
      <c r="C748" s="16"/>
      <c r="D748" s="29" t="s">
        <v>661</v>
      </c>
      <c r="E748" s="17"/>
      <c r="F748" s="18"/>
      <c r="G748" s="34"/>
      <c r="H748" s="34"/>
      <c r="I748" s="34"/>
      <c r="J748" s="34"/>
      <c r="K748" s="34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30"/>
      <c r="W748" s="18"/>
      <c r="X748" s="18"/>
      <c r="Y748" s="18"/>
      <c r="Z748" s="18"/>
    </row>
    <row r="749" spans="1:26" x14ac:dyDescent="0.2">
      <c r="C749" s="16"/>
      <c r="D749" s="29" t="s">
        <v>614</v>
      </c>
      <c r="E749" s="17"/>
      <c r="F749" s="18"/>
      <c r="G749" s="34"/>
      <c r="H749" s="34"/>
      <c r="I749" s="34"/>
      <c r="J749" s="34"/>
      <c r="K749" s="34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30"/>
      <c r="W749" s="18"/>
      <c r="X749" s="18"/>
      <c r="Y749" s="18"/>
      <c r="Z749" s="18"/>
    </row>
    <row r="750" spans="1:26" x14ac:dyDescent="0.2">
      <c r="C750" s="16"/>
      <c r="D750" s="29" t="s">
        <v>286</v>
      </c>
      <c r="E750" s="17"/>
      <c r="F750" s="18"/>
      <c r="G750" s="34"/>
      <c r="H750" s="34"/>
      <c r="I750" s="34"/>
      <c r="J750" s="34"/>
      <c r="K750" s="34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30"/>
      <c r="W750" s="18"/>
      <c r="X750" s="18"/>
      <c r="Y750" s="18"/>
      <c r="Z750" s="18"/>
    </row>
    <row r="751" spans="1:26" x14ac:dyDescent="0.2">
      <c r="C751" s="16"/>
      <c r="D751" s="29" t="s">
        <v>179</v>
      </c>
      <c r="E751" s="17"/>
      <c r="F751" s="18"/>
      <c r="G751" s="34"/>
      <c r="H751" s="34"/>
      <c r="I751" s="34"/>
      <c r="J751" s="34"/>
      <c r="K751" s="34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30"/>
      <c r="W751" s="18"/>
      <c r="X751" s="18"/>
      <c r="Y751" s="18"/>
      <c r="Z751" s="18"/>
    </row>
    <row r="752" spans="1:26" x14ac:dyDescent="0.2">
      <c r="C752" s="16"/>
      <c r="D752" s="29" t="s">
        <v>189</v>
      </c>
      <c r="E752" s="17"/>
      <c r="F752" s="18"/>
      <c r="G752" s="34"/>
      <c r="H752" s="34"/>
      <c r="I752" s="34"/>
      <c r="J752" s="34"/>
      <c r="K752" s="34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30"/>
      <c r="W752" s="18"/>
      <c r="X752" s="18"/>
      <c r="Y752" s="18"/>
      <c r="Z752" s="18"/>
    </row>
    <row r="753" spans="1:26" ht="25.5" x14ac:dyDescent="0.2">
      <c r="C753" s="16"/>
      <c r="D753" s="29" t="s">
        <v>197</v>
      </c>
      <c r="E753" s="17"/>
      <c r="F753" s="18"/>
      <c r="G753" s="34"/>
      <c r="H753" s="34"/>
      <c r="I753" s="34"/>
      <c r="J753" s="34"/>
      <c r="K753" s="34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30"/>
      <c r="W753" s="18"/>
      <c r="X753" s="18"/>
      <c r="Y753" s="18"/>
      <c r="Z753" s="18"/>
    </row>
    <row r="754" spans="1:26" x14ac:dyDescent="0.2">
      <c r="C754" s="28" t="s">
        <v>288</v>
      </c>
      <c r="D754" s="29" t="s">
        <v>591</v>
      </c>
      <c r="E754" s="17"/>
      <c r="F754" s="18"/>
      <c r="G754" s="34"/>
      <c r="H754" s="34"/>
      <c r="I754" s="34"/>
      <c r="J754" s="34"/>
      <c r="K754" s="34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30"/>
      <c r="W754" s="18"/>
      <c r="X754" s="18"/>
      <c r="Y754" s="18"/>
      <c r="Z754" s="18"/>
    </row>
    <row r="755" spans="1:26" ht="25.5" x14ac:dyDescent="0.2">
      <c r="A755" s="4" t="s">
        <v>55</v>
      </c>
      <c r="B755" s="4" t="s">
        <v>56</v>
      </c>
      <c r="C755" s="41" t="s">
        <v>662</v>
      </c>
      <c r="D755" s="42" t="s">
        <v>660</v>
      </c>
      <c r="E755" s="43" t="s">
        <v>368</v>
      </c>
      <c r="F755" s="43">
        <v>3179405.26</v>
      </c>
      <c r="G755" s="44">
        <v>0</v>
      </c>
      <c r="H755" s="44">
        <v>0</v>
      </c>
      <c r="I755" s="44">
        <v>0</v>
      </c>
      <c r="J755" s="44">
        <v>0</v>
      </c>
      <c r="K755" s="44">
        <v>0</v>
      </c>
      <c r="L755" s="43">
        <v>3179405.26</v>
      </c>
      <c r="M755" s="43">
        <v>0</v>
      </c>
      <c r="N755" s="43">
        <v>1739249</v>
      </c>
      <c r="O755" s="43">
        <v>1739249</v>
      </c>
      <c r="P755" s="43">
        <v>0</v>
      </c>
      <c r="Q755" s="43">
        <v>1739249</v>
      </c>
      <c r="R755" s="43">
        <v>1739249</v>
      </c>
      <c r="S755" s="44">
        <v>0</v>
      </c>
      <c r="T755" s="44">
        <v>0</v>
      </c>
      <c r="U755" s="44">
        <v>0</v>
      </c>
      <c r="V755" s="31">
        <f t="shared" si="257"/>
        <v>0</v>
      </c>
      <c r="W755" s="43">
        <v>1440156.26</v>
      </c>
      <c r="X755" s="43">
        <v>0</v>
      </c>
      <c r="Y755" s="43">
        <v>1739249</v>
      </c>
      <c r="Z755" s="32">
        <f t="shared" ref="Z755" si="259">R755/L755</f>
        <v>0.54703595728466525</v>
      </c>
    </row>
    <row r="756" spans="1:26" x14ac:dyDescent="0.2">
      <c r="C756" s="16"/>
      <c r="D756" s="17"/>
      <c r="E756" s="17"/>
      <c r="F756" s="18"/>
      <c r="G756" s="34"/>
      <c r="H756" s="34"/>
      <c r="I756" s="34"/>
      <c r="J756" s="34"/>
      <c r="K756" s="34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30">
        <f t="shared" si="257"/>
        <v>0</v>
      </c>
      <c r="W756" s="18"/>
      <c r="X756" s="18"/>
      <c r="Y756" s="18"/>
      <c r="Z756" s="18"/>
    </row>
    <row r="757" spans="1:26" ht="25.5" x14ac:dyDescent="0.2">
      <c r="C757" s="16"/>
      <c r="D757" s="29" t="s">
        <v>663</v>
      </c>
      <c r="E757" s="17"/>
      <c r="F757" s="18"/>
      <c r="G757" s="34"/>
      <c r="H757" s="34"/>
      <c r="I757" s="34"/>
      <c r="J757" s="34"/>
      <c r="K757" s="34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30"/>
      <c r="W757" s="18"/>
      <c r="X757" s="18"/>
      <c r="Y757" s="18"/>
      <c r="Z757" s="18"/>
    </row>
    <row r="758" spans="1:26" x14ac:dyDescent="0.2">
      <c r="C758" s="16"/>
      <c r="D758" s="29" t="s">
        <v>614</v>
      </c>
      <c r="E758" s="17"/>
      <c r="F758" s="18"/>
      <c r="G758" s="34"/>
      <c r="H758" s="34"/>
      <c r="I758" s="34"/>
      <c r="J758" s="34"/>
      <c r="K758" s="34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30"/>
      <c r="W758" s="18"/>
      <c r="X758" s="18"/>
      <c r="Y758" s="18"/>
      <c r="Z758" s="18"/>
    </row>
    <row r="759" spans="1:26" x14ac:dyDescent="0.2">
      <c r="C759" s="16"/>
      <c r="D759" s="29" t="s">
        <v>286</v>
      </c>
      <c r="E759" s="17"/>
      <c r="F759" s="18"/>
      <c r="G759" s="34"/>
      <c r="H759" s="34"/>
      <c r="I759" s="34"/>
      <c r="J759" s="34"/>
      <c r="K759" s="34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30"/>
      <c r="W759" s="18"/>
      <c r="X759" s="18"/>
      <c r="Y759" s="18"/>
      <c r="Z759" s="18"/>
    </row>
    <row r="760" spans="1:26" ht="18.75" customHeight="1" x14ac:dyDescent="0.2">
      <c r="C760" s="16"/>
      <c r="D760" s="29" t="s">
        <v>664</v>
      </c>
      <c r="E760" s="17"/>
      <c r="F760" s="18"/>
      <c r="G760" s="34"/>
      <c r="H760" s="34"/>
      <c r="I760" s="34"/>
      <c r="J760" s="34"/>
      <c r="K760" s="34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30"/>
      <c r="W760" s="18"/>
      <c r="X760" s="18"/>
      <c r="Y760" s="18"/>
      <c r="Z760" s="18"/>
    </row>
    <row r="761" spans="1:26" ht="18.75" customHeight="1" x14ac:dyDescent="0.2">
      <c r="C761" s="16"/>
      <c r="D761" s="29" t="s">
        <v>575</v>
      </c>
      <c r="E761" s="17"/>
      <c r="F761" s="18"/>
      <c r="G761" s="34"/>
      <c r="H761" s="34"/>
      <c r="I761" s="34"/>
      <c r="J761" s="34"/>
      <c r="K761" s="34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30"/>
      <c r="W761" s="18"/>
      <c r="X761" s="18"/>
      <c r="Y761" s="18"/>
      <c r="Z761" s="18"/>
    </row>
    <row r="762" spans="1:26" ht="18.75" customHeight="1" x14ac:dyDescent="0.2">
      <c r="C762" s="16"/>
      <c r="D762" s="29" t="s">
        <v>631</v>
      </c>
      <c r="E762" s="17"/>
      <c r="F762" s="18"/>
      <c r="G762" s="34"/>
      <c r="H762" s="34"/>
      <c r="I762" s="34"/>
      <c r="J762" s="34"/>
      <c r="K762" s="34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30"/>
      <c r="W762" s="18"/>
      <c r="X762" s="18"/>
      <c r="Y762" s="18"/>
      <c r="Z762" s="18"/>
    </row>
    <row r="763" spans="1:26" ht="18.75" customHeight="1" x14ac:dyDescent="0.2">
      <c r="C763" s="16"/>
      <c r="D763" s="29" t="s">
        <v>632</v>
      </c>
      <c r="E763" s="17"/>
      <c r="F763" s="18"/>
      <c r="G763" s="34"/>
      <c r="H763" s="34"/>
      <c r="I763" s="34"/>
      <c r="J763" s="34"/>
      <c r="K763" s="34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30"/>
      <c r="W763" s="18"/>
      <c r="X763" s="18"/>
      <c r="Y763" s="18"/>
      <c r="Z763" s="18"/>
    </row>
    <row r="764" spans="1:26" ht="18.75" customHeight="1" x14ac:dyDescent="0.2">
      <c r="C764" s="16"/>
      <c r="D764" s="29" t="s">
        <v>633</v>
      </c>
      <c r="E764" s="17"/>
      <c r="F764" s="18"/>
      <c r="G764" s="34"/>
      <c r="H764" s="34"/>
      <c r="I764" s="34"/>
      <c r="J764" s="34"/>
      <c r="K764" s="34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30"/>
      <c r="W764" s="18"/>
      <c r="X764" s="18"/>
      <c r="Y764" s="18"/>
      <c r="Z764" s="18"/>
    </row>
    <row r="765" spans="1:26" ht="18.75" customHeight="1" x14ac:dyDescent="0.2">
      <c r="C765" s="16"/>
      <c r="D765" s="29" t="s">
        <v>634</v>
      </c>
      <c r="E765" s="17"/>
      <c r="F765" s="18"/>
      <c r="G765" s="34"/>
      <c r="H765" s="34"/>
      <c r="I765" s="34"/>
      <c r="J765" s="34"/>
      <c r="K765" s="34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30"/>
      <c r="W765" s="18"/>
      <c r="X765" s="18"/>
      <c r="Y765" s="18"/>
      <c r="Z765" s="18"/>
    </row>
    <row r="766" spans="1:26" ht="18.75" customHeight="1" x14ac:dyDescent="0.2">
      <c r="C766" s="16"/>
      <c r="D766" s="29" t="s">
        <v>635</v>
      </c>
      <c r="E766" s="17"/>
      <c r="F766" s="18"/>
      <c r="G766" s="34"/>
      <c r="H766" s="34"/>
      <c r="I766" s="34"/>
      <c r="J766" s="34"/>
      <c r="K766" s="34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30"/>
      <c r="W766" s="18"/>
      <c r="X766" s="18"/>
      <c r="Y766" s="18"/>
      <c r="Z766" s="18"/>
    </row>
    <row r="767" spans="1:26" ht="18.75" customHeight="1" x14ac:dyDescent="0.2">
      <c r="C767" s="28" t="s">
        <v>288</v>
      </c>
      <c r="D767" s="29" t="s">
        <v>665</v>
      </c>
      <c r="E767" s="17"/>
      <c r="F767" s="18"/>
      <c r="G767" s="34"/>
      <c r="H767" s="34"/>
      <c r="I767" s="34"/>
      <c r="J767" s="34"/>
      <c r="K767" s="34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30"/>
      <c r="W767" s="18"/>
      <c r="X767" s="18"/>
      <c r="Y767" s="18"/>
      <c r="Z767" s="18"/>
    </row>
    <row r="768" spans="1:26" ht="18.75" customHeight="1" x14ac:dyDescent="0.2">
      <c r="A768" s="4" t="s">
        <v>37</v>
      </c>
      <c r="B768" s="4" t="s">
        <v>37</v>
      </c>
      <c r="C768" s="41" t="s">
        <v>666</v>
      </c>
      <c r="D768" s="42" t="s">
        <v>233</v>
      </c>
      <c r="E768" s="43" t="s">
        <v>58</v>
      </c>
      <c r="F768" s="43">
        <v>22000000</v>
      </c>
      <c r="G768" s="44">
        <v>0</v>
      </c>
      <c r="H768" s="44">
        <v>0</v>
      </c>
      <c r="I768" s="44">
        <v>0</v>
      </c>
      <c r="J768" s="44">
        <v>0</v>
      </c>
      <c r="K768" s="44">
        <v>0</v>
      </c>
      <c r="L768" s="43">
        <v>22000000</v>
      </c>
      <c r="M768" s="44">
        <v>0</v>
      </c>
      <c r="N768" s="44">
        <v>0</v>
      </c>
      <c r="O768" s="44">
        <v>0</v>
      </c>
      <c r="P768" s="44">
        <v>0</v>
      </c>
      <c r="Q768" s="44">
        <v>0</v>
      </c>
      <c r="R768" s="44">
        <v>0</v>
      </c>
      <c r="S768" s="44">
        <v>0</v>
      </c>
      <c r="T768" s="44">
        <v>0</v>
      </c>
      <c r="U768" s="44">
        <v>0</v>
      </c>
      <c r="V768" s="31">
        <f t="shared" si="257"/>
        <v>0</v>
      </c>
      <c r="W768" s="43">
        <v>22000000</v>
      </c>
      <c r="X768" s="43">
        <v>0</v>
      </c>
      <c r="Y768" s="43">
        <v>0</v>
      </c>
      <c r="Z768" s="32">
        <f t="shared" ref="Z768" si="260">R768/L768</f>
        <v>0</v>
      </c>
    </row>
    <row r="769" spans="1:26" ht="18.75" customHeight="1" x14ac:dyDescent="0.2">
      <c r="C769" s="16"/>
      <c r="D769" s="17"/>
      <c r="E769" s="17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30"/>
      <c r="W769" s="18"/>
      <c r="X769" s="18"/>
      <c r="Y769" s="18"/>
      <c r="Z769" s="18"/>
    </row>
    <row r="770" spans="1:26" ht="18.75" customHeight="1" x14ac:dyDescent="0.2">
      <c r="C770" s="16"/>
      <c r="D770" s="29" t="s">
        <v>179</v>
      </c>
      <c r="E770" s="17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30"/>
      <c r="W770" s="18"/>
      <c r="X770" s="18"/>
      <c r="Y770" s="18"/>
      <c r="Z770" s="18"/>
    </row>
    <row r="771" spans="1:26" ht="18.75" customHeight="1" x14ac:dyDescent="0.2">
      <c r="C771" s="16"/>
      <c r="D771" s="29" t="s">
        <v>181</v>
      </c>
      <c r="E771" s="17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30"/>
      <c r="W771" s="18"/>
      <c r="X771" s="18"/>
      <c r="Y771" s="18"/>
      <c r="Z771" s="18"/>
    </row>
    <row r="772" spans="1:26" ht="25.5" x14ac:dyDescent="0.2">
      <c r="C772" s="16"/>
      <c r="D772" s="29" t="s">
        <v>183</v>
      </c>
      <c r="E772" s="17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30"/>
      <c r="W772" s="18"/>
      <c r="X772" s="18"/>
      <c r="Y772" s="18"/>
      <c r="Z772" s="18"/>
    </row>
    <row r="773" spans="1:26" ht="18.75" customHeight="1" x14ac:dyDescent="0.2">
      <c r="C773" s="28" t="s">
        <v>288</v>
      </c>
      <c r="D773" s="29" t="s">
        <v>667</v>
      </c>
      <c r="E773" s="17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30"/>
      <c r="W773" s="18"/>
      <c r="X773" s="18"/>
      <c r="Y773" s="18"/>
      <c r="Z773" s="18"/>
    </row>
    <row r="774" spans="1:26" ht="18.75" customHeight="1" x14ac:dyDescent="0.2">
      <c r="A774" s="4" t="s">
        <v>668</v>
      </c>
      <c r="B774" s="4" t="s">
        <v>669</v>
      </c>
      <c r="C774" s="41" t="s">
        <v>670</v>
      </c>
      <c r="D774" s="42" t="s">
        <v>233</v>
      </c>
      <c r="E774" s="43" t="s">
        <v>58</v>
      </c>
      <c r="F774" s="43">
        <v>1000000000</v>
      </c>
      <c r="G774" s="43">
        <v>0</v>
      </c>
      <c r="H774" s="43">
        <v>0</v>
      </c>
      <c r="I774" s="43">
        <v>0</v>
      </c>
      <c r="J774" s="43">
        <v>0</v>
      </c>
      <c r="K774" s="43">
        <v>0</v>
      </c>
      <c r="L774" s="43">
        <v>1000000000</v>
      </c>
      <c r="M774" s="44">
        <v>0</v>
      </c>
      <c r="N774" s="44">
        <v>0</v>
      </c>
      <c r="O774" s="44">
        <v>0</v>
      </c>
      <c r="P774" s="44">
        <v>0</v>
      </c>
      <c r="Q774" s="44">
        <v>0</v>
      </c>
      <c r="R774" s="44">
        <v>0</v>
      </c>
      <c r="S774" s="44">
        <v>0</v>
      </c>
      <c r="T774" s="44">
        <v>0</v>
      </c>
      <c r="U774" s="44">
        <v>0</v>
      </c>
      <c r="V774" s="31">
        <f t="shared" si="257"/>
        <v>0</v>
      </c>
      <c r="W774" s="43">
        <v>1000000000</v>
      </c>
      <c r="X774" s="43">
        <v>0</v>
      </c>
      <c r="Y774" s="43">
        <v>0</v>
      </c>
      <c r="Z774" s="32">
        <f t="shared" ref="Z774" si="261">R774/L774</f>
        <v>0</v>
      </c>
    </row>
    <row r="775" spans="1:26" ht="18.75" customHeight="1" x14ac:dyDescent="0.2">
      <c r="C775" s="16"/>
      <c r="D775" s="17"/>
      <c r="E775" s="17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30"/>
      <c r="W775" s="18"/>
      <c r="X775" s="18"/>
      <c r="Y775" s="18"/>
      <c r="Z775" s="18"/>
    </row>
    <row r="776" spans="1:26" ht="25.5" x14ac:dyDescent="0.2">
      <c r="C776" s="16"/>
      <c r="D776" s="29" t="s">
        <v>637</v>
      </c>
      <c r="E776" s="17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30"/>
      <c r="W776" s="18"/>
      <c r="X776" s="18"/>
      <c r="Y776" s="18"/>
      <c r="Z776" s="18"/>
    </row>
    <row r="777" spans="1:26" ht="18.75" customHeight="1" x14ac:dyDescent="0.2">
      <c r="C777" s="28" t="s">
        <v>288</v>
      </c>
      <c r="D777" s="29" t="s">
        <v>667</v>
      </c>
      <c r="E777" s="17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30"/>
      <c r="W777" s="18"/>
      <c r="X777" s="18"/>
      <c r="Y777" s="18"/>
      <c r="Z777" s="18"/>
    </row>
    <row r="778" spans="1:26" ht="18.75" customHeight="1" x14ac:dyDescent="0.2">
      <c r="A778" s="4" t="s">
        <v>55</v>
      </c>
      <c r="B778" s="4" t="s">
        <v>56</v>
      </c>
      <c r="C778" s="41" t="s">
        <v>671</v>
      </c>
      <c r="D778" s="42" t="s">
        <v>233</v>
      </c>
      <c r="E778" s="43" t="s">
        <v>58</v>
      </c>
      <c r="F778" s="43">
        <v>856200000</v>
      </c>
      <c r="G778" s="43">
        <v>0</v>
      </c>
      <c r="H778" s="43">
        <v>0</v>
      </c>
      <c r="I778" s="43">
        <v>0</v>
      </c>
      <c r="J778" s="43">
        <v>0</v>
      </c>
      <c r="K778" s="43">
        <v>0</v>
      </c>
      <c r="L778" s="43">
        <v>856200000</v>
      </c>
      <c r="M778" s="44">
        <v>0</v>
      </c>
      <c r="N778" s="44">
        <v>0</v>
      </c>
      <c r="O778" s="44">
        <v>0</v>
      </c>
      <c r="P778" s="44">
        <v>0</v>
      </c>
      <c r="Q778" s="44">
        <v>0</v>
      </c>
      <c r="R778" s="44">
        <v>0</v>
      </c>
      <c r="S778" s="44">
        <v>0</v>
      </c>
      <c r="T778" s="44">
        <v>0</v>
      </c>
      <c r="U778" s="44">
        <v>0</v>
      </c>
      <c r="V778" s="31">
        <f t="shared" si="257"/>
        <v>0</v>
      </c>
      <c r="W778" s="43">
        <v>856200000</v>
      </c>
      <c r="X778" s="43">
        <v>0</v>
      </c>
      <c r="Y778" s="43">
        <v>0</v>
      </c>
      <c r="Z778" s="32">
        <f t="shared" ref="Z778" si="262">R778/L778</f>
        <v>0</v>
      </c>
    </row>
    <row r="779" spans="1:26" ht="18.75" customHeight="1" x14ac:dyDescent="0.2">
      <c r="C779" s="16"/>
      <c r="D779" s="17"/>
      <c r="E779" s="17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30"/>
      <c r="W779" s="18"/>
      <c r="X779" s="18"/>
      <c r="Y779" s="18"/>
      <c r="Z779" s="18"/>
    </row>
    <row r="780" spans="1:26" ht="18.75" customHeight="1" x14ac:dyDescent="0.2">
      <c r="C780" s="16"/>
      <c r="D780" s="29" t="s">
        <v>189</v>
      </c>
      <c r="E780" s="17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30"/>
      <c r="W780" s="18"/>
      <c r="X780" s="18"/>
      <c r="Y780" s="18"/>
      <c r="Z780" s="18"/>
    </row>
    <row r="781" spans="1:26" ht="25.5" x14ac:dyDescent="0.2">
      <c r="C781" s="16"/>
      <c r="D781" s="29" t="s">
        <v>197</v>
      </c>
      <c r="E781" s="17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30"/>
      <c r="W781" s="18"/>
      <c r="X781" s="18"/>
      <c r="Y781" s="18"/>
      <c r="Z781" s="18"/>
    </row>
    <row r="782" spans="1:26" ht="18.75" customHeight="1" x14ac:dyDescent="0.2">
      <c r="C782" s="28" t="s">
        <v>288</v>
      </c>
      <c r="D782" s="29" t="s">
        <v>667</v>
      </c>
      <c r="E782" s="17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30"/>
      <c r="W782" s="18"/>
      <c r="X782" s="18"/>
      <c r="Y782" s="18"/>
      <c r="Z782" s="18"/>
    </row>
    <row r="783" spans="1:26" ht="18.75" customHeight="1" x14ac:dyDescent="0.2">
      <c r="A783" s="4" t="s">
        <v>55</v>
      </c>
      <c r="B783" s="4" t="s">
        <v>56</v>
      </c>
      <c r="C783" s="41" t="s">
        <v>672</v>
      </c>
      <c r="D783" s="42" t="s">
        <v>233</v>
      </c>
      <c r="E783" s="43" t="s">
        <v>58</v>
      </c>
      <c r="F783" s="43">
        <v>500000000</v>
      </c>
      <c r="G783" s="44">
        <v>0</v>
      </c>
      <c r="H783" s="44">
        <v>0</v>
      </c>
      <c r="I783" s="44">
        <v>0</v>
      </c>
      <c r="J783" s="44">
        <v>0</v>
      </c>
      <c r="K783" s="44">
        <v>0</v>
      </c>
      <c r="L783" s="43">
        <v>500000000</v>
      </c>
      <c r="M783" s="43">
        <v>0</v>
      </c>
      <c r="N783" s="43">
        <v>106400000</v>
      </c>
      <c r="O783" s="43">
        <v>106400000</v>
      </c>
      <c r="P783" s="43">
        <v>0</v>
      </c>
      <c r="Q783" s="43">
        <v>32000000</v>
      </c>
      <c r="R783" s="43">
        <v>32000000</v>
      </c>
      <c r="S783" s="44">
        <v>0</v>
      </c>
      <c r="T783" s="44">
        <v>0</v>
      </c>
      <c r="U783" s="44">
        <v>0</v>
      </c>
      <c r="V783" s="31">
        <f t="shared" si="257"/>
        <v>0</v>
      </c>
      <c r="W783" s="43">
        <v>393600000</v>
      </c>
      <c r="X783" s="43">
        <v>74400000</v>
      </c>
      <c r="Y783" s="43">
        <v>32000000</v>
      </c>
      <c r="Z783" s="32">
        <f t="shared" ref="Z783" si="263">R783/L783</f>
        <v>6.4000000000000001E-2</v>
      </c>
    </row>
    <row r="784" spans="1:26" ht="18.75" customHeight="1" x14ac:dyDescent="0.2">
      <c r="C784" s="16"/>
      <c r="D784" s="17"/>
      <c r="E784" s="17"/>
      <c r="F784" s="18"/>
      <c r="G784" s="34"/>
      <c r="H784" s="34"/>
      <c r="I784" s="34"/>
      <c r="J784" s="34"/>
      <c r="K784" s="34"/>
      <c r="L784" s="18"/>
      <c r="M784" s="18"/>
      <c r="N784" s="18"/>
      <c r="O784" s="18"/>
      <c r="P784" s="18"/>
      <c r="Q784" s="18"/>
      <c r="R784" s="18"/>
      <c r="S784" s="34"/>
      <c r="T784" s="34"/>
      <c r="U784" s="34"/>
      <c r="V784" s="31"/>
      <c r="W784" s="18"/>
      <c r="X784" s="18"/>
      <c r="Y784" s="18"/>
      <c r="Z784" s="18"/>
    </row>
    <row r="785" spans="1:26" ht="18.75" customHeight="1" x14ac:dyDescent="0.2">
      <c r="C785" s="16"/>
      <c r="D785" s="29" t="s">
        <v>199</v>
      </c>
      <c r="E785" s="17"/>
      <c r="F785" s="18"/>
      <c r="G785" s="34"/>
      <c r="H785" s="34"/>
      <c r="I785" s="34"/>
      <c r="J785" s="34"/>
      <c r="K785" s="34"/>
      <c r="L785" s="18"/>
      <c r="M785" s="18"/>
      <c r="N785" s="18"/>
      <c r="O785" s="18"/>
      <c r="P785" s="18"/>
      <c r="Q785" s="18"/>
      <c r="R785" s="18"/>
      <c r="S785" s="34"/>
      <c r="T785" s="34"/>
      <c r="U785" s="34"/>
      <c r="V785" s="31"/>
      <c r="W785" s="18"/>
      <c r="X785" s="18"/>
      <c r="Y785" s="18"/>
      <c r="Z785" s="18"/>
    </row>
    <row r="786" spans="1:26" ht="18.75" customHeight="1" x14ac:dyDescent="0.2">
      <c r="C786" s="28" t="s">
        <v>288</v>
      </c>
      <c r="D786" s="29" t="s">
        <v>667</v>
      </c>
      <c r="E786" s="17"/>
      <c r="F786" s="18"/>
      <c r="G786" s="34"/>
      <c r="H786" s="34"/>
      <c r="I786" s="34"/>
      <c r="J786" s="34"/>
      <c r="K786" s="34"/>
      <c r="L786" s="18"/>
      <c r="M786" s="18"/>
      <c r="N786" s="18"/>
      <c r="O786" s="18"/>
      <c r="P786" s="18"/>
      <c r="Q786" s="18"/>
      <c r="R786" s="18"/>
      <c r="S786" s="34"/>
      <c r="T786" s="34"/>
      <c r="U786" s="34"/>
      <c r="V786" s="31"/>
      <c r="W786" s="18"/>
      <c r="X786" s="18"/>
      <c r="Y786" s="18"/>
      <c r="Z786" s="18"/>
    </row>
    <row r="787" spans="1:26" ht="18.75" customHeight="1" x14ac:dyDescent="0.2">
      <c r="A787" s="4" t="s">
        <v>55</v>
      </c>
      <c r="B787" s="4" t="s">
        <v>56</v>
      </c>
      <c r="C787" s="41" t="s">
        <v>673</v>
      </c>
      <c r="D787" s="42" t="s">
        <v>233</v>
      </c>
      <c r="E787" s="43" t="s">
        <v>58</v>
      </c>
      <c r="F787" s="43">
        <v>121800000</v>
      </c>
      <c r="G787" s="44">
        <v>0</v>
      </c>
      <c r="H787" s="44">
        <v>0</v>
      </c>
      <c r="I787" s="44">
        <v>0</v>
      </c>
      <c r="J787" s="44">
        <v>0</v>
      </c>
      <c r="K787" s="44">
        <v>0</v>
      </c>
      <c r="L787" s="43">
        <v>121800000</v>
      </c>
      <c r="M787" s="44">
        <v>0</v>
      </c>
      <c r="N787" s="44">
        <v>0</v>
      </c>
      <c r="O787" s="44">
        <v>0</v>
      </c>
      <c r="P787" s="44">
        <v>0</v>
      </c>
      <c r="Q787" s="44">
        <v>0</v>
      </c>
      <c r="R787" s="44">
        <v>0</v>
      </c>
      <c r="S787" s="44">
        <v>0</v>
      </c>
      <c r="T787" s="44">
        <v>0</v>
      </c>
      <c r="U787" s="44">
        <v>0</v>
      </c>
      <c r="V787" s="31">
        <f t="shared" si="257"/>
        <v>0</v>
      </c>
      <c r="W787" s="43">
        <v>121800000</v>
      </c>
      <c r="X787" s="43">
        <v>0</v>
      </c>
      <c r="Y787" s="43">
        <v>0</v>
      </c>
      <c r="Z787" s="32">
        <f t="shared" ref="Z787" si="264">R787/L787</f>
        <v>0</v>
      </c>
    </row>
    <row r="788" spans="1:26" ht="18.75" customHeight="1" x14ac:dyDescent="0.2">
      <c r="C788" s="16"/>
      <c r="D788" s="17"/>
      <c r="E788" s="17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34"/>
      <c r="T788" s="34"/>
      <c r="U788" s="34"/>
      <c r="V788" s="31"/>
      <c r="W788" s="18"/>
      <c r="X788" s="18"/>
      <c r="Y788" s="18"/>
      <c r="Z788" s="18"/>
    </row>
    <row r="789" spans="1:26" s="50" customFormat="1" ht="18.75" customHeight="1" x14ac:dyDescent="0.2">
      <c r="B789" s="77"/>
      <c r="C789" s="46"/>
      <c r="D789" s="47" t="s">
        <v>674</v>
      </c>
      <c r="E789" s="47"/>
      <c r="F789" s="48">
        <f t="shared" ref="F789:U789" si="265">SUM(F623:F788)</f>
        <v>18199312591</v>
      </c>
      <c r="G789" s="49">
        <f t="shared" si="265"/>
        <v>0</v>
      </c>
      <c r="H789" s="49">
        <f t="shared" si="265"/>
        <v>0</v>
      </c>
      <c r="I789" s="48">
        <f t="shared" si="265"/>
        <v>92900000</v>
      </c>
      <c r="J789" s="48">
        <f t="shared" si="265"/>
        <v>92900000</v>
      </c>
      <c r="K789" s="49">
        <f t="shared" si="265"/>
        <v>0</v>
      </c>
      <c r="L789" s="48">
        <f t="shared" si="265"/>
        <v>18199312591</v>
      </c>
      <c r="M789" s="48">
        <f t="shared" si="265"/>
        <v>0</v>
      </c>
      <c r="N789" s="48">
        <f t="shared" si="265"/>
        <v>2456500000</v>
      </c>
      <c r="O789" s="48">
        <f t="shared" si="265"/>
        <v>2456500000</v>
      </c>
      <c r="P789" s="48">
        <f t="shared" si="265"/>
        <v>0</v>
      </c>
      <c r="Q789" s="48">
        <f t="shared" si="265"/>
        <v>1981600000</v>
      </c>
      <c r="R789" s="48">
        <f t="shared" si="265"/>
        <v>1981600000</v>
      </c>
      <c r="S789" s="49">
        <f t="shared" si="265"/>
        <v>0</v>
      </c>
      <c r="T789" s="49">
        <f t="shared" si="265"/>
        <v>0</v>
      </c>
      <c r="U789" s="49">
        <f t="shared" si="265"/>
        <v>0</v>
      </c>
      <c r="V789" s="23">
        <f>S789+U789</f>
        <v>0</v>
      </c>
      <c r="W789" s="48">
        <f>SUM(W623:W788)</f>
        <v>15742812591</v>
      </c>
      <c r="X789" s="48">
        <f>SUM(X623:X788)</f>
        <v>474900000</v>
      </c>
      <c r="Y789" s="48">
        <f>SUM(Y623:Y788)</f>
        <v>1981600000</v>
      </c>
      <c r="Z789" s="24">
        <f t="shared" ref="Z789" si="266">R789/L789</f>
        <v>0.10888323336893224</v>
      </c>
    </row>
    <row r="790" spans="1:26" s="79" customFormat="1" ht="18.75" customHeight="1" x14ac:dyDescent="0.2">
      <c r="B790" s="80"/>
      <c r="C790" s="81"/>
      <c r="D790" s="82"/>
      <c r="E790" s="82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s="25" customFormat="1" ht="18.75" customHeight="1" x14ac:dyDescent="0.2">
      <c r="B791" s="71"/>
      <c r="C791" s="66"/>
      <c r="D791" s="21" t="s">
        <v>675</v>
      </c>
      <c r="E791" s="67"/>
      <c r="F791" s="63"/>
      <c r="G791" s="63"/>
      <c r="H791" s="63"/>
      <c r="I791" s="63"/>
      <c r="J791" s="63"/>
      <c r="K791" s="63"/>
      <c r="L791" s="63"/>
      <c r="M791" s="63"/>
      <c r="N791" s="63"/>
      <c r="O791" s="63"/>
      <c r="P791" s="63"/>
      <c r="Q791" s="63"/>
      <c r="R791" s="63"/>
      <c r="S791" s="63"/>
      <c r="T791" s="63"/>
      <c r="U791" s="63"/>
      <c r="V791" s="63"/>
      <c r="W791" s="63"/>
      <c r="X791" s="63"/>
      <c r="Y791" s="63"/>
      <c r="Z791" s="63"/>
    </row>
    <row r="792" spans="1:26" ht="18.75" customHeight="1" x14ac:dyDescent="0.2">
      <c r="C792" s="16"/>
      <c r="D792" s="29" t="s">
        <v>676</v>
      </c>
      <c r="E792" s="17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8.75" customHeight="1" x14ac:dyDescent="0.2">
      <c r="C793" s="16"/>
      <c r="D793" s="29" t="s">
        <v>286</v>
      </c>
      <c r="E793" s="17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8.75" customHeight="1" x14ac:dyDescent="0.2">
      <c r="C794" s="16"/>
      <c r="D794" s="29" t="s">
        <v>179</v>
      </c>
      <c r="E794" s="17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8.75" customHeight="1" x14ac:dyDescent="0.2">
      <c r="C795" s="16"/>
      <c r="D795" s="29" t="s">
        <v>181</v>
      </c>
      <c r="E795" s="17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8.75" customHeight="1" x14ac:dyDescent="0.2">
      <c r="C796" s="16"/>
      <c r="D796" s="29" t="s">
        <v>187</v>
      </c>
      <c r="E796" s="17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30"/>
      <c r="W796" s="18"/>
      <c r="X796" s="18"/>
      <c r="Y796" s="18"/>
      <c r="Z796" s="18"/>
    </row>
    <row r="797" spans="1:26" ht="18.75" customHeight="1" x14ac:dyDescent="0.2">
      <c r="C797" s="28" t="s">
        <v>288</v>
      </c>
      <c r="D797" s="29" t="s">
        <v>292</v>
      </c>
      <c r="E797" s="17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30"/>
      <c r="W797" s="18"/>
      <c r="X797" s="18"/>
      <c r="Y797" s="18"/>
      <c r="Z797" s="18"/>
    </row>
    <row r="798" spans="1:26" ht="18.75" customHeight="1" x14ac:dyDescent="0.2">
      <c r="A798" s="4" t="s">
        <v>55</v>
      </c>
      <c r="B798" s="4" t="s">
        <v>56</v>
      </c>
      <c r="C798" s="41" t="s">
        <v>677</v>
      </c>
      <c r="D798" s="42" t="s">
        <v>233</v>
      </c>
      <c r="E798" s="43" t="s">
        <v>58</v>
      </c>
      <c r="F798" s="43">
        <v>10000000</v>
      </c>
      <c r="G798" s="43">
        <v>0</v>
      </c>
      <c r="H798" s="43">
        <v>0</v>
      </c>
      <c r="I798" s="43">
        <v>0</v>
      </c>
      <c r="J798" s="43">
        <v>0</v>
      </c>
      <c r="K798" s="43">
        <v>0</v>
      </c>
      <c r="L798" s="43">
        <v>10000000</v>
      </c>
      <c r="M798" s="44">
        <v>0</v>
      </c>
      <c r="N798" s="44">
        <v>0</v>
      </c>
      <c r="O798" s="44">
        <v>0</v>
      </c>
      <c r="P798" s="44">
        <v>0</v>
      </c>
      <c r="Q798" s="44">
        <v>0</v>
      </c>
      <c r="R798" s="44">
        <v>0</v>
      </c>
      <c r="S798" s="44">
        <v>0</v>
      </c>
      <c r="T798" s="44">
        <v>0</v>
      </c>
      <c r="U798" s="44">
        <v>0</v>
      </c>
      <c r="V798" s="40">
        <f t="shared" ref="V798:V820" si="267">S798+U798</f>
        <v>0</v>
      </c>
      <c r="W798" s="43">
        <v>10000000</v>
      </c>
      <c r="X798" s="43">
        <v>0</v>
      </c>
      <c r="Y798" s="43">
        <v>0</v>
      </c>
      <c r="Z798" s="32">
        <f t="shared" ref="Z798" si="268">R798/L798</f>
        <v>0</v>
      </c>
    </row>
    <row r="799" spans="1:26" ht="25.5" x14ac:dyDescent="0.2">
      <c r="C799" s="28" t="s">
        <v>288</v>
      </c>
      <c r="D799" s="29" t="s">
        <v>678</v>
      </c>
      <c r="E799" s="17"/>
      <c r="F799" s="18"/>
      <c r="G799" s="18"/>
      <c r="H799" s="18"/>
      <c r="I799" s="18"/>
      <c r="J799" s="18"/>
      <c r="K799" s="18"/>
      <c r="L799" s="18"/>
      <c r="M799" s="34"/>
      <c r="N799" s="34"/>
      <c r="O799" s="34"/>
      <c r="P799" s="34"/>
      <c r="Q799" s="34"/>
      <c r="R799" s="34"/>
      <c r="S799" s="34"/>
      <c r="T799" s="34"/>
      <c r="U799" s="34"/>
      <c r="V799" s="40">
        <f t="shared" si="267"/>
        <v>0</v>
      </c>
      <c r="W799" s="18"/>
      <c r="X799" s="18"/>
      <c r="Y799" s="18"/>
      <c r="Z799" s="18"/>
    </row>
    <row r="800" spans="1:26" x14ac:dyDescent="0.2">
      <c r="A800" s="4" t="s">
        <v>55</v>
      </c>
      <c r="B800" s="4" t="s">
        <v>56</v>
      </c>
      <c r="C800" s="41" t="s">
        <v>679</v>
      </c>
      <c r="D800" s="42" t="s">
        <v>233</v>
      </c>
      <c r="E800" s="43" t="s">
        <v>58</v>
      </c>
      <c r="F800" s="43">
        <v>14000000</v>
      </c>
      <c r="G800" s="44">
        <v>0</v>
      </c>
      <c r="H800" s="44">
        <v>0</v>
      </c>
      <c r="I800" s="44">
        <v>0</v>
      </c>
      <c r="J800" s="44">
        <v>0</v>
      </c>
      <c r="K800" s="44">
        <v>0</v>
      </c>
      <c r="L800" s="43">
        <v>14000000</v>
      </c>
      <c r="M800" s="44">
        <v>0</v>
      </c>
      <c r="N800" s="44">
        <v>0</v>
      </c>
      <c r="O800" s="44">
        <v>0</v>
      </c>
      <c r="P800" s="44">
        <v>0</v>
      </c>
      <c r="Q800" s="44">
        <v>0</v>
      </c>
      <c r="R800" s="44">
        <v>0</v>
      </c>
      <c r="S800" s="44">
        <v>0</v>
      </c>
      <c r="T800" s="44">
        <v>0</v>
      </c>
      <c r="U800" s="44">
        <v>0</v>
      </c>
      <c r="V800" s="40">
        <f t="shared" si="267"/>
        <v>0</v>
      </c>
      <c r="W800" s="43">
        <v>14000000</v>
      </c>
      <c r="X800" s="43">
        <v>0</v>
      </c>
      <c r="Y800" s="43">
        <v>0</v>
      </c>
      <c r="Z800" s="32">
        <f t="shared" ref="Z800" si="269">R800/L800</f>
        <v>0</v>
      </c>
    </row>
    <row r="801" spans="1:26" x14ac:dyDescent="0.2">
      <c r="C801" s="16"/>
      <c r="D801" s="17"/>
      <c r="E801" s="17"/>
      <c r="F801" s="18"/>
      <c r="G801" s="34"/>
      <c r="H801" s="34"/>
      <c r="I801" s="34"/>
      <c r="J801" s="34"/>
      <c r="K801" s="34"/>
      <c r="L801" s="18"/>
      <c r="M801" s="34"/>
      <c r="N801" s="34"/>
      <c r="O801" s="34"/>
      <c r="P801" s="34"/>
      <c r="Q801" s="34"/>
      <c r="R801" s="34"/>
      <c r="S801" s="18"/>
      <c r="T801" s="18"/>
      <c r="U801" s="18"/>
      <c r="V801" s="30"/>
      <c r="W801" s="18"/>
      <c r="X801" s="18"/>
      <c r="Y801" s="18"/>
      <c r="Z801" s="18"/>
    </row>
    <row r="802" spans="1:26" x14ac:dyDescent="0.2">
      <c r="C802" s="16"/>
      <c r="D802" s="29" t="s">
        <v>189</v>
      </c>
      <c r="E802" s="17"/>
      <c r="F802" s="18"/>
      <c r="G802" s="34"/>
      <c r="H802" s="34"/>
      <c r="I802" s="34"/>
      <c r="J802" s="34"/>
      <c r="K802" s="34"/>
      <c r="L802" s="18"/>
      <c r="M802" s="34"/>
      <c r="N802" s="34"/>
      <c r="O802" s="34"/>
      <c r="P802" s="34"/>
      <c r="Q802" s="34"/>
      <c r="R802" s="34"/>
      <c r="S802" s="18"/>
      <c r="T802" s="18"/>
      <c r="U802" s="18"/>
      <c r="V802" s="30"/>
      <c r="W802" s="18"/>
      <c r="X802" s="18"/>
      <c r="Y802" s="18"/>
      <c r="Z802" s="18"/>
    </row>
    <row r="803" spans="1:26" ht="25.5" x14ac:dyDescent="0.2">
      <c r="C803" s="16"/>
      <c r="D803" s="29" t="s">
        <v>197</v>
      </c>
      <c r="E803" s="17"/>
      <c r="F803" s="18"/>
      <c r="G803" s="34"/>
      <c r="H803" s="34"/>
      <c r="I803" s="34"/>
      <c r="J803" s="34"/>
      <c r="K803" s="34"/>
      <c r="L803" s="18"/>
      <c r="M803" s="34"/>
      <c r="N803" s="34"/>
      <c r="O803" s="34"/>
      <c r="P803" s="34"/>
      <c r="Q803" s="34"/>
      <c r="R803" s="34"/>
      <c r="S803" s="18"/>
      <c r="T803" s="18"/>
      <c r="U803" s="18"/>
      <c r="V803" s="30"/>
      <c r="W803" s="18"/>
      <c r="X803" s="18"/>
      <c r="Y803" s="18"/>
      <c r="Z803" s="18"/>
    </row>
    <row r="804" spans="1:26" x14ac:dyDescent="0.2">
      <c r="C804" s="28" t="s">
        <v>288</v>
      </c>
      <c r="D804" s="29" t="s">
        <v>292</v>
      </c>
      <c r="E804" s="17"/>
      <c r="F804" s="18"/>
      <c r="G804" s="34"/>
      <c r="H804" s="34"/>
      <c r="I804" s="34"/>
      <c r="J804" s="34"/>
      <c r="K804" s="34"/>
      <c r="L804" s="18"/>
      <c r="M804" s="34"/>
      <c r="N804" s="34"/>
      <c r="O804" s="34"/>
      <c r="P804" s="34"/>
      <c r="Q804" s="34"/>
      <c r="R804" s="34"/>
      <c r="S804" s="18"/>
      <c r="T804" s="18"/>
      <c r="U804" s="18"/>
      <c r="V804" s="30"/>
      <c r="W804" s="18"/>
      <c r="X804" s="18"/>
      <c r="Y804" s="18"/>
      <c r="Z804" s="18"/>
    </row>
    <row r="805" spans="1:26" x14ac:dyDescent="0.2">
      <c r="A805" s="4" t="s">
        <v>55</v>
      </c>
      <c r="B805" s="4" t="s">
        <v>56</v>
      </c>
      <c r="C805" s="41" t="s">
        <v>680</v>
      </c>
      <c r="D805" s="42" t="s">
        <v>233</v>
      </c>
      <c r="E805" s="43" t="s">
        <v>58</v>
      </c>
      <c r="F805" s="43">
        <v>90000000</v>
      </c>
      <c r="G805" s="44">
        <v>0</v>
      </c>
      <c r="H805" s="44">
        <v>0</v>
      </c>
      <c r="I805" s="44">
        <v>0</v>
      </c>
      <c r="J805" s="44">
        <v>0</v>
      </c>
      <c r="K805" s="44">
        <v>0</v>
      </c>
      <c r="L805" s="43">
        <v>90000000</v>
      </c>
      <c r="M805" s="44">
        <v>0</v>
      </c>
      <c r="N805" s="44">
        <v>0</v>
      </c>
      <c r="O805" s="44">
        <v>0</v>
      </c>
      <c r="P805" s="44">
        <v>0</v>
      </c>
      <c r="Q805" s="44">
        <v>0</v>
      </c>
      <c r="R805" s="44">
        <v>0</v>
      </c>
      <c r="S805" s="44">
        <v>0</v>
      </c>
      <c r="T805" s="44">
        <v>0</v>
      </c>
      <c r="U805" s="44">
        <v>0</v>
      </c>
      <c r="V805" s="31">
        <f t="shared" si="267"/>
        <v>0</v>
      </c>
      <c r="W805" s="43">
        <v>90000000</v>
      </c>
      <c r="X805" s="43">
        <v>0</v>
      </c>
      <c r="Y805" s="43">
        <v>0</v>
      </c>
      <c r="Z805" s="32">
        <f t="shared" ref="Z805" si="270">R805/L805</f>
        <v>0</v>
      </c>
    </row>
    <row r="806" spans="1:26" ht="25.5" x14ac:dyDescent="0.2">
      <c r="C806" s="28" t="s">
        <v>288</v>
      </c>
      <c r="D806" s="29" t="s">
        <v>678</v>
      </c>
      <c r="E806" s="17"/>
      <c r="F806" s="18"/>
      <c r="G806" s="34"/>
      <c r="H806" s="34"/>
      <c r="I806" s="34"/>
      <c r="J806" s="34"/>
      <c r="K806" s="34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30"/>
      <c r="W806" s="18"/>
      <c r="X806" s="18"/>
      <c r="Y806" s="18"/>
      <c r="Z806" s="18"/>
    </row>
    <row r="807" spans="1:26" x14ac:dyDescent="0.2">
      <c r="A807" s="4" t="s">
        <v>55</v>
      </c>
      <c r="B807" s="4" t="s">
        <v>56</v>
      </c>
      <c r="C807" s="41" t="s">
        <v>681</v>
      </c>
      <c r="D807" s="42" t="s">
        <v>233</v>
      </c>
      <c r="E807" s="43" t="s">
        <v>58</v>
      </c>
      <c r="F807" s="43">
        <v>4085500000</v>
      </c>
      <c r="G807" s="44">
        <v>0</v>
      </c>
      <c r="H807" s="44">
        <v>0</v>
      </c>
      <c r="I807" s="44">
        <v>0</v>
      </c>
      <c r="J807" s="44">
        <v>0</v>
      </c>
      <c r="K807" s="44">
        <v>0</v>
      </c>
      <c r="L807" s="43">
        <v>4085500000</v>
      </c>
      <c r="M807" s="43">
        <v>0</v>
      </c>
      <c r="N807" s="43">
        <v>394500000</v>
      </c>
      <c r="O807" s="43">
        <v>394500000</v>
      </c>
      <c r="P807" s="43">
        <v>0</v>
      </c>
      <c r="Q807" s="43">
        <v>240500000</v>
      </c>
      <c r="R807" s="43">
        <v>240500000</v>
      </c>
      <c r="S807" s="44">
        <v>0</v>
      </c>
      <c r="T807" s="44">
        <v>0</v>
      </c>
      <c r="U807" s="44">
        <v>0</v>
      </c>
      <c r="V807" s="31">
        <f t="shared" si="267"/>
        <v>0</v>
      </c>
      <c r="W807" s="43">
        <v>3691000000</v>
      </c>
      <c r="X807" s="43">
        <v>154000000</v>
      </c>
      <c r="Y807" s="43">
        <v>240500000</v>
      </c>
      <c r="Z807" s="32">
        <f t="shared" ref="Z807" si="271">R807/L807</f>
        <v>5.8866723779219192E-2</v>
      </c>
    </row>
    <row r="808" spans="1:26" ht="25.5" x14ac:dyDescent="0.2">
      <c r="C808" s="28" t="s">
        <v>288</v>
      </c>
      <c r="D808" s="29" t="s">
        <v>682</v>
      </c>
      <c r="E808" s="17"/>
      <c r="F808" s="18"/>
      <c r="G808" s="34"/>
      <c r="H808" s="34"/>
      <c r="I808" s="34"/>
      <c r="J808" s="34"/>
      <c r="K808" s="34"/>
      <c r="L808" s="18"/>
      <c r="M808" s="18"/>
      <c r="N808" s="18"/>
      <c r="O808" s="18"/>
      <c r="P808" s="18"/>
      <c r="Q808" s="18"/>
      <c r="R808" s="18"/>
      <c r="S808" s="34"/>
      <c r="T808" s="34"/>
      <c r="U808" s="34"/>
      <c r="V808" s="31"/>
      <c r="W808" s="18"/>
      <c r="X808" s="18"/>
      <c r="Y808" s="18"/>
      <c r="Z808" s="18"/>
    </row>
    <row r="809" spans="1:26" x14ac:dyDescent="0.2">
      <c r="A809" s="4" t="s">
        <v>55</v>
      </c>
      <c r="B809" s="4" t="s">
        <v>56</v>
      </c>
      <c r="C809" s="41" t="s">
        <v>683</v>
      </c>
      <c r="D809" s="42" t="s">
        <v>233</v>
      </c>
      <c r="E809" s="43" t="s">
        <v>58</v>
      </c>
      <c r="F809" s="43">
        <v>467600000</v>
      </c>
      <c r="G809" s="44">
        <v>0</v>
      </c>
      <c r="H809" s="44">
        <v>0</v>
      </c>
      <c r="I809" s="44">
        <v>0</v>
      </c>
      <c r="J809" s="44">
        <v>0</v>
      </c>
      <c r="K809" s="44">
        <v>0</v>
      </c>
      <c r="L809" s="43">
        <v>467600000</v>
      </c>
      <c r="M809" s="44">
        <v>0</v>
      </c>
      <c r="N809" s="43">
        <v>88000000</v>
      </c>
      <c r="O809" s="43">
        <v>88000000</v>
      </c>
      <c r="P809" s="43">
        <v>28000000</v>
      </c>
      <c r="Q809" s="43">
        <v>18000000</v>
      </c>
      <c r="R809" s="43">
        <v>18000000</v>
      </c>
      <c r="S809" s="44">
        <v>0</v>
      </c>
      <c r="T809" s="44">
        <v>0</v>
      </c>
      <c r="U809" s="44">
        <v>0</v>
      </c>
      <c r="V809" s="31">
        <f t="shared" si="267"/>
        <v>0</v>
      </c>
      <c r="W809" s="43">
        <v>379600000</v>
      </c>
      <c r="X809" s="43">
        <v>70000000</v>
      </c>
      <c r="Y809" s="43">
        <v>18000000</v>
      </c>
      <c r="Z809" s="32">
        <f t="shared" ref="Z809" si="272">R809/L809</f>
        <v>3.8494439692044483E-2</v>
      </c>
    </row>
    <row r="810" spans="1:26" x14ac:dyDescent="0.2">
      <c r="C810" s="28" t="s">
        <v>288</v>
      </c>
      <c r="D810" s="68" t="s">
        <v>684</v>
      </c>
      <c r="E810" s="17"/>
      <c r="F810" s="18"/>
      <c r="G810" s="34"/>
      <c r="H810" s="34"/>
      <c r="I810" s="34"/>
      <c r="J810" s="34"/>
      <c r="K810" s="34"/>
      <c r="L810" s="18"/>
      <c r="M810" s="34"/>
      <c r="N810" s="18"/>
      <c r="O810" s="18"/>
      <c r="P810" s="18"/>
      <c r="Q810" s="18"/>
      <c r="R810" s="18"/>
      <c r="S810" s="34"/>
      <c r="T810" s="34"/>
      <c r="U810" s="34"/>
      <c r="V810" s="31"/>
      <c r="W810" s="18"/>
      <c r="X810" s="18"/>
      <c r="Y810" s="18"/>
      <c r="Z810" s="18"/>
    </row>
    <row r="811" spans="1:26" x14ac:dyDescent="0.2">
      <c r="A811" s="4" t="s">
        <v>55</v>
      </c>
      <c r="B811" s="4" t="s">
        <v>56</v>
      </c>
      <c r="C811" s="41" t="s">
        <v>685</v>
      </c>
      <c r="D811" s="69" t="s">
        <v>233</v>
      </c>
      <c r="E811" s="43" t="s">
        <v>58</v>
      </c>
      <c r="F811" s="43">
        <v>6107898530</v>
      </c>
      <c r="G811" s="44">
        <v>0</v>
      </c>
      <c r="H811" s="44">
        <v>0</v>
      </c>
      <c r="I811" s="44">
        <v>0</v>
      </c>
      <c r="J811" s="44">
        <v>0</v>
      </c>
      <c r="K811" s="44">
        <v>0</v>
      </c>
      <c r="L811" s="43">
        <v>6107898530</v>
      </c>
      <c r="M811" s="44">
        <v>0</v>
      </c>
      <c r="N811" s="43">
        <v>0</v>
      </c>
      <c r="O811" s="43">
        <v>0</v>
      </c>
      <c r="P811" s="43">
        <v>0</v>
      </c>
      <c r="Q811" s="43">
        <v>0</v>
      </c>
      <c r="R811" s="43">
        <v>0</v>
      </c>
      <c r="S811" s="44">
        <v>0</v>
      </c>
      <c r="T811" s="44">
        <v>0</v>
      </c>
      <c r="U811" s="44">
        <v>0</v>
      </c>
      <c r="V811" s="31">
        <f t="shared" si="267"/>
        <v>0</v>
      </c>
      <c r="W811" s="43">
        <v>6107898530</v>
      </c>
      <c r="X811" s="43">
        <v>0</v>
      </c>
      <c r="Y811" s="43">
        <v>0</v>
      </c>
      <c r="Z811" s="43">
        <v>0</v>
      </c>
    </row>
    <row r="812" spans="1:26" x14ac:dyDescent="0.2">
      <c r="C812" s="28" t="s">
        <v>288</v>
      </c>
      <c r="D812" s="29" t="s">
        <v>306</v>
      </c>
      <c r="E812" s="17"/>
      <c r="F812" s="18"/>
      <c r="G812" s="34"/>
      <c r="H812" s="34"/>
      <c r="I812" s="34"/>
      <c r="J812" s="34"/>
      <c r="K812" s="34"/>
      <c r="L812" s="18"/>
      <c r="M812" s="34"/>
      <c r="N812" s="18"/>
      <c r="O812" s="18"/>
      <c r="P812" s="18"/>
      <c r="Q812" s="18"/>
      <c r="R812" s="18"/>
      <c r="S812" s="34"/>
      <c r="T812" s="34"/>
      <c r="U812" s="34"/>
      <c r="V812" s="31"/>
      <c r="W812" s="18"/>
      <c r="X812" s="18"/>
      <c r="Y812" s="18"/>
      <c r="Z812" s="18"/>
    </row>
    <row r="813" spans="1:26" x14ac:dyDescent="0.2">
      <c r="A813" s="4" t="s">
        <v>55</v>
      </c>
      <c r="B813" s="4" t="s">
        <v>56</v>
      </c>
      <c r="C813" s="41" t="s">
        <v>307</v>
      </c>
      <c r="D813" s="42" t="s">
        <v>233</v>
      </c>
      <c r="E813" s="43" t="s">
        <v>58</v>
      </c>
      <c r="F813" s="43">
        <v>147500000</v>
      </c>
      <c r="G813" s="44">
        <v>0</v>
      </c>
      <c r="H813" s="44">
        <v>0</v>
      </c>
      <c r="I813" s="44">
        <v>0</v>
      </c>
      <c r="J813" s="44">
        <v>0</v>
      </c>
      <c r="K813" s="44">
        <v>0</v>
      </c>
      <c r="L813" s="43">
        <v>147500000</v>
      </c>
      <c r="M813" s="44">
        <v>0</v>
      </c>
      <c r="N813" s="43">
        <v>101100000</v>
      </c>
      <c r="O813" s="43">
        <v>101100000</v>
      </c>
      <c r="P813" s="43">
        <v>0</v>
      </c>
      <c r="Q813" s="43">
        <v>101100000</v>
      </c>
      <c r="R813" s="43">
        <v>101100000</v>
      </c>
      <c r="S813" s="44">
        <v>0</v>
      </c>
      <c r="T813" s="44">
        <v>0</v>
      </c>
      <c r="U813" s="44">
        <v>0</v>
      </c>
      <c r="V813" s="31">
        <f t="shared" si="267"/>
        <v>0</v>
      </c>
      <c r="W813" s="43">
        <v>46400000</v>
      </c>
      <c r="X813" s="43">
        <v>0</v>
      </c>
      <c r="Y813" s="43">
        <v>101100000</v>
      </c>
      <c r="Z813" s="32">
        <f t="shared" ref="Z813" si="273">R813/L813</f>
        <v>0.68542372881355929</v>
      </c>
    </row>
    <row r="814" spans="1:26" x14ac:dyDescent="0.2">
      <c r="C814" s="28" t="s">
        <v>288</v>
      </c>
      <c r="D814" s="29" t="s">
        <v>400</v>
      </c>
      <c r="E814" s="17"/>
      <c r="F814" s="18"/>
      <c r="G814" s="34"/>
      <c r="H814" s="34"/>
      <c r="I814" s="34"/>
      <c r="J814" s="34"/>
      <c r="K814" s="34"/>
      <c r="L814" s="18"/>
      <c r="M814" s="34"/>
      <c r="N814" s="18"/>
      <c r="O814" s="18"/>
      <c r="P814" s="18"/>
      <c r="Q814" s="18"/>
      <c r="R814" s="18"/>
      <c r="S814" s="18"/>
      <c r="T814" s="18"/>
      <c r="U814" s="18"/>
      <c r="V814" s="30"/>
      <c r="W814" s="18"/>
      <c r="X814" s="18"/>
      <c r="Y814" s="18"/>
      <c r="Z814" s="18"/>
    </row>
    <row r="815" spans="1:26" x14ac:dyDescent="0.2">
      <c r="A815" s="4" t="s">
        <v>55</v>
      </c>
      <c r="B815" s="4" t="s">
        <v>56</v>
      </c>
      <c r="C815" s="41" t="s">
        <v>401</v>
      </c>
      <c r="D815" s="42" t="s">
        <v>233</v>
      </c>
      <c r="E815" s="43" t="s">
        <v>58</v>
      </c>
      <c r="F815" s="43">
        <v>996500000</v>
      </c>
      <c r="G815" s="44">
        <v>0</v>
      </c>
      <c r="H815" s="44">
        <v>0</v>
      </c>
      <c r="I815" s="44">
        <v>0</v>
      </c>
      <c r="J815" s="44">
        <v>0</v>
      </c>
      <c r="K815" s="44">
        <v>0</v>
      </c>
      <c r="L815" s="43">
        <v>996500000</v>
      </c>
      <c r="M815" s="44">
        <v>0</v>
      </c>
      <c r="N815" s="43">
        <v>592250000</v>
      </c>
      <c r="O815" s="43">
        <v>592250000</v>
      </c>
      <c r="P815" s="43">
        <v>0</v>
      </c>
      <c r="Q815" s="43">
        <v>549450000</v>
      </c>
      <c r="R815" s="43">
        <v>549450000</v>
      </c>
      <c r="S815" s="34">
        <v>0</v>
      </c>
      <c r="T815" s="34">
        <v>0</v>
      </c>
      <c r="U815" s="34">
        <v>0</v>
      </c>
      <c r="V815" s="40">
        <f t="shared" si="267"/>
        <v>0</v>
      </c>
      <c r="W815" s="43">
        <v>404250000</v>
      </c>
      <c r="X815" s="43">
        <v>42800000</v>
      </c>
      <c r="Y815" s="43">
        <v>549450000</v>
      </c>
      <c r="Z815" s="32">
        <f t="shared" ref="Z815:Z817" si="274">R815/L815</f>
        <v>0.55137982940291019</v>
      </c>
    </row>
    <row r="816" spans="1:26" x14ac:dyDescent="0.2">
      <c r="A816" s="4" t="s">
        <v>55</v>
      </c>
      <c r="B816" s="4" t="s">
        <v>56</v>
      </c>
      <c r="C816" s="41" t="s">
        <v>686</v>
      </c>
      <c r="D816" s="42" t="s">
        <v>687</v>
      </c>
      <c r="E816" s="43" t="s">
        <v>428</v>
      </c>
      <c r="F816" s="43">
        <v>51500000</v>
      </c>
      <c r="G816" s="44">
        <v>0</v>
      </c>
      <c r="H816" s="44">
        <v>0</v>
      </c>
      <c r="I816" s="44">
        <v>0</v>
      </c>
      <c r="J816" s="44">
        <v>0</v>
      </c>
      <c r="K816" s="44">
        <v>0</v>
      </c>
      <c r="L816" s="43">
        <v>51500000</v>
      </c>
      <c r="M816" s="44">
        <v>0</v>
      </c>
      <c r="N816" s="43">
        <v>42400000</v>
      </c>
      <c r="O816" s="43">
        <v>42400000</v>
      </c>
      <c r="P816" s="43">
        <v>0</v>
      </c>
      <c r="Q816" s="43">
        <v>0</v>
      </c>
      <c r="R816" s="43">
        <v>0</v>
      </c>
      <c r="S816" s="34">
        <v>0</v>
      </c>
      <c r="T816" s="34">
        <v>0</v>
      </c>
      <c r="U816" s="34">
        <v>0</v>
      </c>
      <c r="V816" s="40">
        <f t="shared" si="267"/>
        <v>0</v>
      </c>
      <c r="W816" s="43">
        <v>9100000</v>
      </c>
      <c r="X816" s="43">
        <v>42400000</v>
      </c>
      <c r="Y816" s="43">
        <v>0</v>
      </c>
      <c r="Z816" s="32">
        <f t="shared" si="274"/>
        <v>0</v>
      </c>
    </row>
    <row r="817" spans="1:26" ht="25.5" x14ac:dyDescent="0.2">
      <c r="A817" s="4" t="s">
        <v>55</v>
      </c>
      <c r="B817" s="4" t="s">
        <v>56</v>
      </c>
      <c r="C817" s="41" t="s">
        <v>688</v>
      </c>
      <c r="D817" s="42" t="s">
        <v>689</v>
      </c>
      <c r="E817" s="43" t="s">
        <v>368</v>
      </c>
      <c r="F817" s="43">
        <v>6785951</v>
      </c>
      <c r="G817" s="44">
        <v>0</v>
      </c>
      <c r="H817" s="44">
        <v>0</v>
      </c>
      <c r="I817" s="44">
        <v>0</v>
      </c>
      <c r="J817" s="44">
        <v>0</v>
      </c>
      <c r="K817" s="44">
        <v>0</v>
      </c>
      <c r="L817" s="43">
        <v>6785951</v>
      </c>
      <c r="M817" s="44">
        <v>0</v>
      </c>
      <c r="N817" s="44">
        <v>0</v>
      </c>
      <c r="O817" s="44">
        <v>0</v>
      </c>
      <c r="P817" s="44">
        <v>0</v>
      </c>
      <c r="Q817" s="44">
        <v>0</v>
      </c>
      <c r="R817" s="44">
        <v>0</v>
      </c>
      <c r="S817" s="34">
        <v>0</v>
      </c>
      <c r="T817" s="34">
        <v>0</v>
      </c>
      <c r="U817" s="34">
        <v>0</v>
      </c>
      <c r="V817" s="40">
        <f t="shared" si="267"/>
        <v>0</v>
      </c>
      <c r="W817" s="43">
        <v>6785951</v>
      </c>
      <c r="X817" s="43">
        <v>0</v>
      </c>
      <c r="Y817" s="43">
        <v>0</v>
      </c>
      <c r="Z817" s="32">
        <f t="shared" si="274"/>
        <v>0</v>
      </c>
    </row>
    <row r="818" spans="1:26" ht="25.5" x14ac:dyDescent="0.2">
      <c r="C818" s="28" t="s">
        <v>288</v>
      </c>
      <c r="D818" s="29" t="s">
        <v>690</v>
      </c>
      <c r="E818" s="17"/>
      <c r="F818" s="18"/>
      <c r="G818" s="34"/>
      <c r="H818" s="34"/>
      <c r="I818" s="34"/>
      <c r="J818" s="34"/>
      <c r="K818" s="34"/>
      <c r="L818" s="18"/>
      <c r="M818" s="34"/>
      <c r="N818" s="34"/>
      <c r="O818" s="34"/>
      <c r="P818" s="34"/>
      <c r="Q818" s="34"/>
      <c r="R818" s="34"/>
      <c r="S818" s="34"/>
      <c r="T818" s="34"/>
      <c r="U818" s="34"/>
      <c r="V818" s="40">
        <f t="shared" si="267"/>
        <v>0</v>
      </c>
      <c r="W818" s="18"/>
      <c r="X818" s="18"/>
      <c r="Y818" s="18"/>
      <c r="Z818" s="18"/>
    </row>
    <row r="819" spans="1:26" x14ac:dyDescent="0.2">
      <c r="A819" s="4" t="s">
        <v>55</v>
      </c>
      <c r="B819" s="4" t="s">
        <v>56</v>
      </c>
      <c r="C819" s="41" t="s">
        <v>691</v>
      </c>
      <c r="D819" s="42" t="s">
        <v>233</v>
      </c>
      <c r="E819" s="43" t="s">
        <v>58</v>
      </c>
      <c r="F819" s="43">
        <v>368900000</v>
      </c>
      <c r="G819" s="44">
        <v>0</v>
      </c>
      <c r="H819" s="44">
        <v>0</v>
      </c>
      <c r="I819" s="44">
        <v>0</v>
      </c>
      <c r="J819" s="44">
        <v>0</v>
      </c>
      <c r="K819" s="44">
        <v>0</v>
      </c>
      <c r="L819" s="43">
        <v>368900000</v>
      </c>
      <c r="M819" s="44">
        <v>0</v>
      </c>
      <c r="N819" s="44">
        <v>0</v>
      </c>
      <c r="O819" s="44">
        <v>0</v>
      </c>
      <c r="P819" s="44">
        <v>0</v>
      </c>
      <c r="Q819" s="44">
        <v>0</v>
      </c>
      <c r="R819" s="44">
        <v>0</v>
      </c>
      <c r="S819" s="34">
        <v>0</v>
      </c>
      <c r="T819" s="34">
        <v>0</v>
      </c>
      <c r="U819" s="34">
        <v>0</v>
      </c>
      <c r="V819" s="40">
        <f t="shared" si="267"/>
        <v>0</v>
      </c>
      <c r="W819" s="43">
        <v>368900000</v>
      </c>
      <c r="X819" s="43">
        <v>0</v>
      </c>
      <c r="Y819" s="43">
        <v>0</v>
      </c>
      <c r="Z819" s="32">
        <f t="shared" ref="Z819" si="275">R819/L819</f>
        <v>0</v>
      </c>
    </row>
    <row r="820" spans="1:26" x14ac:dyDescent="0.2">
      <c r="C820" s="16"/>
      <c r="D820" s="17"/>
      <c r="E820" s="17"/>
      <c r="F820" s="18"/>
      <c r="G820" s="34"/>
      <c r="H820" s="34"/>
      <c r="I820" s="34"/>
      <c r="J820" s="34"/>
      <c r="K820" s="34"/>
      <c r="L820" s="18"/>
      <c r="M820" s="18"/>
      <c r="N820" s="18"/>
      <c r="O820" s="18"/>
      <c r="P820" s="18"/>
      <c r="Q820" s="18"/>
      <c r="R820" s="18"/>
      <c r="S820" s="34"/>
      <c r="T820" s="34"/>
      <c r="U820" s="34"/>
      <c r="V820" s="40">
        <f t="shared" si="267"/>
        <v>0</v>
      </c>
      <c r="W820" s="18"/>
      <c r="X820" s="18"/>
      <c r="Y820" s="18"/>
      <c r="Z820" s="18"/>
    </row>
    <row r="821" spans="1:26" ht="18.75" customHeight="1" x14ac:dyDescent="0.2">
      <c r="C821" s="46"/>
      <c r="D821" s="47" t="s">
        <v>692</v>
      </c>
      <c r="E821" s="47"/>
      <c r="F821" s="48">
        <f>SUM(F794:F820)</f>
        <v>12346184481</v>
      </c>
      <c r="G821" s="49">
        <f t="shared" ref="G821:Y821" si="276">SUM(G794:G820)</f>
        <v>0</v>
      </c>
      <c r="H821" s="49">
        <f t="shared" si="276"/>
        <v>0</v>
      </c>
      <c r="I821" s="49">
        <f t="shared" si="276"/>
        <v>0</v>
      </c>
      <c r="J821" s="49">
        <f t="shared" si="276"/>
        <v>0</v>
      </c>
      <c r="K821" s="49">
        <f t="shared" si="276"/>
        <v>0</v>
      </c>
      <c r="L821" s="48">
        <f t="shared" si="276"/>
        <v>12346184481</v>
      </c>
      <c r="M821" s="48">
        <f t="shared" si="276"/>
        <v>0</v>
      </c>
      <c r="N821" s="48">
        <f t="shared" si="276"/>
        <v>1218250000</v>
      </c>
      <c r="O821" s="48">
        <f t="shared" si="276"/>
        <v>1218250000</v>
      </c>
      <c r="P821" s="48">
        <f t="shared" si="276"/>
        <v>28000000</v>
      </c>
      <c r="Q821" s="48">
        <f t="shared" si="276"/>
        <v>909050000</v>
      </c>
      <c r="R821" s="48">
        <f t="shared" si="276"/>
        <v>909050000</v>
      </c>
      <c r="S821" s="72">
        <f t="shared" si="276"/>
        <v>0</v>
      </c>
      <c r="T821" s="72">
        <f t="shared" si="276"/>
        <v>0</v>
      </c>
      <c r="U821" s="72">
        <f t="shared" si="276"/>
        <v>0</v>
      </c>
      <c r="V821" s="84">
        <f>S821+U821</f>
        <v>0</v>
      </c>
      <c r="W821" s="48">
        <f t="shared" si="276"/>
        <v>11127934481</v>
      </c>
      <c r="X821" s="48">
        <f t="shared" si="276"/>
        <v>309200000</v>
      </c>
      <c r="Y821" s="48">
        <f t="shared" si="276"/>
        <v>909050000</v>
      </c>
      <c r="Z821" s="24">
        <f t="shared" ref="Z821" si="277">R821/L821</f>
        <v>7.3630035368333485E-2</v>
      </c>
    </row>
    <row r="822" spans="1:26" ht="18.75" customHeight="1" x14ac:dyDescent="0.2">
      <c r="C822" s="16"/>
      <c r="D822" s="17"/>
      <c r="E822" s="17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s="25" customFormat="1" ht="18.75" customHeight="1" x14ac:dyDescent="0.2">
      <c r="B823" s="71"/>
      <c r="C823" s="66"/>
      <c r="D823" s="21" t="s">
        <v>693</v>
      </c>
      <c r="E823" s="67"/>
      <c r="F823" s="63"/>
      <c r="G823" s="63"/>
      <c r="H823" s="63"/>
      <c r="I823" s="63"/>
      <c r="J823" s="63"/>
      <c r="K823" s="63"/>
      <c r="L823" s="63"/>
      <c r="M823" s="63"/>
      <c r="N823" s="63"/>
      <c r="O823" s="63"/>
      <c r="P823" s="63"/>
      <c r="Q823" s="63"/>
      <c r="R823" s="63"/>
      <c r="S823" s="63"/>
      <c r="T823" s="63"/>
      <c r="U823" s="63"/>
      <c r="V823" s="63"/>
      <c r="W823" s="63"/>
      <c r="X823" s="63"/>
      <c r="Y823" s="63"/>
      <c r="Z823" s="63"/>
    </row>
    <row r="824" spans="1:26" ht="18.75" customHeight="1" x14ac:dyDescent="0.2">
      <c r="C824" s="16"/>
      <c r="D824" s="29" t="s">
        <v>285</v>
      </c>
      <c r="E824" s="17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8.75" customHeight="1" x14ac:dyDescent="0.2">
      <c r="C825" s="16"/>
      <c r="D825" s="29" t="s">
        <v>286</v>
      </c>
      <c r="E825" s="17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8.75" customHeight="1" x14ac:dyDescent="0.2">
      <c r="C826" s="16"/>
      <c r="D826" s="29" t="s">
        <v>179</v>
      </c>
      <c r="E826" s="17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x14ac:dyDescent="0.2">
      <c r="C827" s="16"/>
      <c r="D827" s="29" t="s">
        <v>189</v>
      </c>
      <c r="E827" s="17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38.25" x14ac:dyDescent="0.2">
      <c r="C828" s="16"/>
      <c r="D828" s="29" t="s">
        <v>193</v>
      </c>
      <c r="E828" s="17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30"/>
      <c r="W828" s="18"/>
      <c r="X828" s="18"/>
      <c r="Y828" s="18"/>
      <c r="Z828" s="18"/>
    </row>
    <row r="829" spans="1:26" ht="25.5" x14ac:dyDescent="0.2">
      <c r="C829" s="28" t="s">
        <v>288</v>
      </c>
      <c r="D829" s="29" t="s">
        <v>694</v>
      </c>
      <c r="E829" s="17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30"/>
      <c r="W829" s="18"/>
      <c r="X829" s="18"/>
      <c r="Y829" s="18"/>
      <c r="Z829" s="18"/>
    </row>
    <row r="830" spans="1:26" x14ac:dyDescent="0.2">
      <c r="A830" s="4" t="s">
        <v>55</v>
      </c>
      <c r="B830" s="4" t="s">
        <v>56</v>
      </c>
      <c r="C830" s="41" t="s">
        <v>695</v>
      </c>
      <c r="D830" s="42" t="s">
        <v>233</v>
      </c>
      <c r="E830" s="43" t="s">
        <v>58</v>
      </c>
      <c r="F830" s="43">
        <v>20000000000</v>
      </c>
      <c r="G830" s="44">
        <v>0</v>
      </c>
      <c r="H830" s="44">
        <v>0</v>
      </c>
      <c r="I830" s="44">
        <v>0</v>
      </c>
      <c r="J830" s="44">
        <v>0</v>
      </c>
      <c r="K830" s="44">
        <v>0</v>
      </c>
      <c r="L830" s="43">
        <v>20000000000</v>
      </c>
      <c r="M830" s="44">
        <v>0</v>
      </c>
      <c r="N830" s="44">
        <v>0</v>
      </c>
      <c r="O830" s="44">
        <v>0</v>
      </c>
      <c r="P830" s="44">
        <v>0</v>
      </c>
      <c r="Q830" s="43">
        <v>0</v>
      </c>
      <c r="R830" s="44">
        <v>0</v>
      </c>
      <c r="S830" s="44">
        <v>0</v>
      </c>
      <c r="T830" s="44">
        <v>0</v>
      </c>
      <c r="U830" s="44">
        <v>0</v>
      </c>
      <c r="V830" s="40">
        <f t="shared" ref="V830:V843" si="278">S830+U830</f>
        <v>0</v>
      </c>
      <c r="W830" s="43">
        <v>20000000000</v>
      </c>
      <c r="X830" s="43">
        <v>0</v>
      </c>
      <c r="Y830" s="43">
        <v>0</v>
      </c>
      <c r="Z830" s="32">
        <f t="shared" ref="Z830" si="279">R830/L830</f>
        <v>0</v>
      </c>
    </row>
    <row r="831" spans="1:26" x14ac:dyDescent="0.2">
      <c r="C831" s="16"/>
      <c r="D831" s="17"/>
      <c r="E831" s="17"/>
      <c r="F831" s="18"/>
      <c r="G831" s="34"/>
      <c r="H831" s="34"/>
      <c r="I831" s="34"/>
      <c r="J831" s="34"/>
      <c r="K831" s="34"/>
      <c r="L831" s="18"/>
      <c r="M831" s="18"/>
      <c r="N831" s="18"/>
      <c r="O831" s="18"/>
      <c r="P831" s="18"/>
      <c r="Q831" s="18"/>
      <c r="R831" s="34"/>
      <c r="S831" s="34"/>
      <c r="T831" s="34"/>
      <c r="U831" s="34"/>
      <c r="V831" s="40">
        <f t="shared" si="278"/>
        <v>0</v>
      </c>
      <c r="W831" s="18"/>
      <c r="X831" s="18"/>
      <c r="Y831" s="18"/>
      <c r="Z831" s="18"/>
    </row>
    <row r="832" spans="1:26" ht="25.5" x14ac:dyDescent="0.2">
      <c r="C832" s="16"/>
      <c r="D832" s="29" t="s">
        <v>195</v>
      </c>
      <c r="E832" s="17"/>
      <c r="F832" s="18"/>
      <c r="G832" s="34"/>
      <c r="H832" s="34"/>
      <c r="I832" s="34"/>
      <c r="J832" s="34"/>
      <c r="K832" s="34"/>
      <c r="L832" s="18"/>
      <c r="M832" s="18"/>
      <c r="N832" s="18"/>
      <c r="O832" s="18"/>
      <c r="P832" s="18"/>
      <c r="Q832" s="18"/>
      <c r="R832" s="34"/>
      <c r="S832" s="34"/>
      <c r="T832" s="34"/>
      <c r="U832" s="34"/>
      <c r="V832" s="40"/>
      <c r="W832" s="18"/>
      <c r="X832" s="18"/>
      <c r="Y832" s="18"/>
      <c r="Z832" s="18"/>
    </row>
    <row r="833" spans="1:26" ht="25.5" x14ac:dyDescent="0.2">
      <c r="C833" s="28" t="s">
        <v>288</v>
      </c>
      <c r="D833" s="29" t="s">
        <v>696</v>
      </c>
      <c r="E833" s="17"/>
      <c r="F833" s="18"/>
      <c r="G833" s="34"/>
      <c r="H833" s="34"/>
      <c r="I833" s="34"/>
      <c r="J833" s="34"/>
      <c r="K833" s="34"/>
      <c r="L833" s="18"/>
      <c r="M833" s="18"/>
      <c r="N833" s="18"/>
      <c r="O833" s="18"/>
      <c r="P833" s="18"/>
      <c r="Q833" s="18"/>
      <c r="R833" s="34"/>
      <c r="S833" s="34"/>
      <c r="T833" s="34"/>
      <c r="U833" s="34"/>
      <c r="V833" s="40"/>
      <c r="W833" s="18"/>
      <c r="X833" s="18"/>
      <c r="Y833" s="18"/>
      <c r="Z833" s="18"/>
    </row>
    <row r="834" spans="1:26" x14ac:dyDescent="0.2">
      <c r="A834" s="4" t="s">
        <v>55</v>
      </c>
      <c r="B834" s="4" t="s">
        <v>56</v>
      </c>
      <c r="C834" s="41" t="s">
        <v>697</v>
      </c>
      <c r="D834" s="42" t="s">
        <v>233</v>
      </c>
      <c r="E834" s="43" t="s">
        <v>58</v>
      </c>
      <c r="F834" s="43">
        <v>5000000000</v>
      </c>
      <c r="G834" s="44">
        <v>0</v>
      </c>
      <c r="H834" s="44">
        <v>0</v>
      </c>
      <c r="I834" s="44">
        <v>0</v>
      </c>
      <c r="J834" s="44">
        <v>0</v>
      </c>
      <c r="K834" s="44">
        <v>0</v>
      </c>
      <c r="L834" s="43">
        <v>5000000000</v>
      </c>
      <c r="M834" s="44">
        <v>0</v>
      </c>
      <c r="N834" s="44">
        <v>0</v>
      </c>
      <c r="O834" s="44">
        <v>0</v>
      </c>
      <c r="P834" s="44">
        <v>0</v>
      </c>
      <c r="Q834" s="44">
        <v>0</v>
      </c>
      <c r="R834" s="44">
        <v>0</v>
      </c>
      <c r="S834" s="44">
        <v>0</v>
      </c>
      <c r="T834" s="44">
        <v>0</v>
      </c>
      <c r="U834" s="44">
        <v>0</v>
      </c>
      <c r="V834" s="40">
        <f t="shared" si="278"/>
        <v>0</v>
      </c>
      <c r="W834" s="43">
        <v>5000000000</v>
      </c>
      <c r="X834" s="43">
        <v>0</v>
      </c>
      <c r="Y834" s="43">
        <v>0</v>
      </c>
      <c r="Z834" s="32">
        <f t="shared" ref="Z834" si="280">R834/L834</f>
        <v>0</v>
      </c>
    </row>
    <row r="835" spans="1:26" ht="25.5" x14ac:dyDescent="0.2">
      <c r="C835" s="28" t="s">
        <v>288</v>
      </c>
      <c r="D835" s="29" t="s">
        <v>698</v>
      </c>
      <c r="E835" s="17"/>
      <c r="F835" s="18"/>
      <c r="G835" s="18"/>
      <c r="H835" s="18"/>
      <c r="I835" s="18"/>
      <c r="J835" s="18"/>
      <c r="K835" s="18"/>
      <c r="L835" s="18"/>
      <c r="M835" s="34"/>
      <c r="N835" s="34"/>
      <c r="O835" s="34"/>
      <c r="P835" s="34"/>
      <c r="Q835" s="34"/>
      <c r="R835" s="34"/>
      <c r="S835" s="18"/>
      <c r="T835" s="18"/>
      <c r="U835" s="18"/>
      <c r="V835" s="39">
        <f t="shared" si="278"/>
        <v>0</v>
      </c>
      <c r="W835" s="18"/>
      <c r="X835" s="18"/>
      <c r="Y835" s="18"/>
      <c r="Z835" s="18"/>
    </row>
    <row r="836" spans="1:26" x14ac:dyDescent="0.2">
      <c r="A836" s="4" t="s">
        <v>55</v>
      </c>
      <c r="B836" s="4" t="s">
        <v>56</v>
      </c>
      <c r="C836" s="41" t="s">
        <v>699</v>
      </c>
      <c r="D836" s="42" t="s">
        <v>233</v>
      </c>
      <c r="E836" s="43" t="s">
        <v>58</v>
      </c>
      <c r="F836" s="43">
        <v>4500000000</v>
      </c>
      <c r="G836" s="44">
        <v>0</v>
      </c>
      <c r="H836" s="44">
        <v>0</v>
      </c>
      <c r="I836" s="44">
        <v>0</v>
      </c>
      <c r="J836" s="44">
        <v>0</v>
      </c>
      <c r="K836" s="44">
        <v>0</v>
      </c>
      <c r="L836" s="43">
        <v>4500000000</v>
      </c>
      <c r="M836" s="44">
        <v>0</v>
      </c>
      <c r="N836" s="44">
        <v>0</v>
      </c>
      <c r="O836" s="44">
        <v>0</v>
      </c>
      <c r="P836" s="44">
        <v>0</v>
      </c>
      <c r="Q836" s="44">
        <v>0</v>
      </c>
      <c r="R836" s="44">
        <v>0</v>
      </c>
      <c r="S836" s="44">
        <v>0</v>
      </c>
      <c r="T836" s="44">
        <v>0</v>
      </c>
      <c r="U836" s="44">
        <v>0</v>
      </c>
      <c r="V836" s="40">
        <f t="shared" si="278"/>
        <v>0</v>
      </c>
      <c r="W836" s="43">
        <v>4500000000</v>
      </c>
      <c r="X836" s="43">
        <v>0</v>
      </c>
      <c r="Y836" s="43">
        <v>0</v>
      </c>
      <c r="Z836" s="32">
        <f t="shared" ref="Z836" si="281">R836/L836</f>
        <v>0</v>
      </c>
    </row>
    <row r="837" spans="1:26" x14ac:dyDescent="0.2">
      <c r="C837" s="16"/>
      <c r="D837" s="17"/>
      <c r="E837" s="17"/>
      <c r="F837" s="18"/>
      <c r="G837" s="34"/>
      <c r="H837" s="34"/>
      <c r="I837" s="34"/>
      <c r="J837" s="34"/>
      <c r="K837" s="34"/>
      <c r="L837" s="18"/>
      <c r="M837" s="34"/>
      <c r="N837" s="34"/>
      <c r="O837" s="34"/>
      <c r="P837" s="34"/>
      <c r="Q837" s="34"/>
      <c r="R837" s="34"/>
      <c r="S837" s="34"/>
      <c r="T837" s="34"/>
      <c r="U837" s="34"/>
      <c r="V837" s="31">
        <f t="shared" si="278"/>
        <v>0</v>
      </c>
      <c r="W837" s="18"/>
      <c r="X837" s="18"/>
      <c r="Y837" s="18"/>
      <c r="Z837" s="18"/>
    </row>
    <row r="838" spans="1:26" ht="25.5" x14ac:dyDescent="0.2">
      <c r="C838" s="16"/>
      <c r="D838" s="29" t="s">
        <v>197</v>
      </c>
      <c r="E838" s="17"/>
      <c r="F838" s="18"/>
      <c r="G838" s="34"/>
      <c r="H838" s="34"/>
      <c r="I838" s="34"/>
      <c r="J838" s="34"/>
      <c r="K838" s="34"/>
      <c r="L838" s="18"/>
      <c r="M838" s="34"/>
      <c r="N838" s="34"/>
      <c r="O838" s="34"/>
      <c r="P838" s="34"/>
      <c r="Q838" s="34"/>
      <c r="R838" s="34"/>
      <c r="S838" s="34"/>
      <c r="T838" s="34"/>
      <c r="U838" s="34"/>
      <c r="V838" s="31">
        <f t="shared" si="278"/>
        <v>0</v>
      </c>
      <c r="W838" s="18"/>
      <c r="X838" s="18"/>
      <c r="Y838" s="18"/>
      <c r="Z838" s="18"/>
    </row>
    <row r="839" spans="1:26" ht="25.5" x14ac:dyDescent="0.2">
      <c r="C839" s="28" t="s">
        <v>288</v>
      </c>
      <c r="D839" s="29" t="s">
        <v>700</v>
      </c>
      <c r="E839" s="17"/>
      <c r="F839" s="18"/>
      <c r="G839" s="34"/>
      <c r="H839" s="34"/>
      <c r="I839" s="34"/>
      <c r="J839" s="34"/>
      <c r="K839" s="34"/>
      <c r="L839" s="18"/>
      <c r="M839" s="34"/>
      <c r="N839" s="34"/>
      <c r="O839" s="34"/>
      <c r="P839" s="34"/>
      <c r="Q839" s="34"/>
      <c r="R839" s="34"/>
      <c r="S839" s="34"/>
      <c r="T839" s="34"/>
      <c r="U839" s="34"/>
      <c r="V839" s="31">
        <f t="shared" si="278"/>
        <v>0</v>
      </c>
      <c r="W839" s="18"/>
      <c r="X839" s="18"/>
      <c r="Y839" s="18"/>
      <c r="Z839" s="18"/>
    </row>
    <row r="840" spans="1:26" x14ac:dyDescent="0.2">
      <c r="A840" s="4" t="s">
        <v>55</v>
      </c>
      <c r="B840" s="4" t="s">
        <v>56</v>
      </c>
      <c r="C840" s="41" t="s">
        <v>701</v>
      </c>
      <c r="D840" s="42" t="s">
        <v>233</v>
      </c>
      <c r="E840" s="43" t="s">
        <v>58</v>
      </c>
      <c r="F840" s="43">
        <v>4500000000</v>
      </c>
      <c r="G840" s="44">
        <v>0</v>
      </c>
      <c r="H840" s="44">
        <v>0</v>
      </c>
      <c r="I840" s="44">
        <v>0</v>
      </c>
      <c r="J840" s="44">
        <v>0</v>
      </c>
      <c r="K840" s="44">
        <v>0</v>
      </c>
      <c r="L840" s="43">
        <v>4500000000</v>
      </c>
      <c r="M840" s="44">
        <v>0</v>
      </c>
      <c r="N840" s="44">
        <v>0</v>
      </c>
      <c r="O840" s="44">
        <v>0</v>
      </c>
      <c r="P840" s="44">
        <v>0</v>
      </c>
      <c r="Q840" s="44">
        <v>0</v>
      </c>
      <c r="R840" s="44">
        <v>0</v>
      </c>
      <c r="S840" s="44">
        <v>0</v>
      </c>
      <c r="T840" s="44">
        <v>0</v>
      </c>
      <c r="U840" s="44">
        <v>0</v>
      </c>
      <c r="V840" s="31">
        <f t="shared" si="278"/>
        <v>0</v>
      </c>
      <c r="W840" s="43">
        <v>4500000000</v>
      </c>
      <c r="X840" s="43">
        <v>0</v>
      </c>
      <c r="Y840" s="43">
        <v>0</v>
      </c>
      <c r="Z840" s="32">
        <f t="shared" ref="Z840" si="282">R840/L840</f>
        <v>0</v>
      </c>
    </row>
    <row r="841" spans="1:26" x14ac:dyDescent="0.2">
      <c r="C841" s="28" t="s">
        <v>288</v>
      </c>
      <c r="D841" s="29" t="s">
        <v>400</v>
      </c>
      <c r="E841" s="17"/>
      <c r="F841" s="18"/>
      <c r="G841" s="34"/>
      <c r="H841" s="34"/>
      <c r="I841" s="34"/>
      <c r="J841" s="34"/>
      <c r="K841" s="34"/>
      <c r="L841" s="18"/>
      <c r="M841" s="34"/>
      <c r="N841" s="34"/>
      <c r="O841" s="34"/>
      <c r="P841" s="34"/>
      <c r="Q841" s="34"/>
      <c r="R841" s="34"/>
      <c r="S841" s="34"/>
      <c r="T841" s="34"/>
      <c r="U841" s="34"/>
      <c r="V841" s="31">
        <f t="shared" si="278"/>
        <v>0</v>
      </c>
      <c r="W841" s="18"/>
      <c r="X841" s="18"/>
      <c r="Y841" s="18"/>
      <c r="Z841" s="18"/>
    </row>
    <row r="842" spans="1:26" x14ac:dyDescent="0.2">
      <c r="A842" s="4" t="s">
        <v>55</v>
      </c>
      <c r="B842" s="4" t="s">
        <v>56</v>
      </c>
      <c r="C842" s="41" t="s">
        <v>401</v>
      </c>
      <c r="D842" s="42" t="s">
        <v>233</v>
      </c>
      <c r="E842" s="43" t="s">
        <v>58</v>
      </c>
      <c r="F842" s="43">
        <v>4899360013</v>
      </c>
      <c r="G842" s="44">
        <v>0</v>
      </c>
      <c r="H842" s="44">
        <v>0</v>
      </c>
      <c r="I842" s="44">
        <v>0</v>
      </c>
      <c r="J842" s="44">
        <v>0</v>
      </c>
      <c r="K842" s="44">
        <v>0</v>
      </c>
      <c r="L842" s="43">
        <v>4899360013</v>
      </c>
      <c r="M842" s="43">
        <v>0</v>
      </c>
      <c r="N842" s="43">
        <v>1646652618</v>
      </c>
      <c r="O842" s="43">
        <v>1646652618</v>
      </c>
      <c r="P842" s="43">
        <v>96000000</v>
      </c>
      <c r="Q842" s="43">
        <v>1239652618</v>
      </c>
      <c r="R842" s="43">
        <v>1239652618</v>
      </c>
      <c r="S842" s="44">
        <v>0</v>
      </c>
      <c r="T842" s="44">
        <v>0</v>
      </c>
      <c r="U842" s="44">
        <v>0</v>
      </c>
      <c r="V842" s="31">
        <f t="shared" si="278"/>
        <v>0</v>
      </c>
      <c r="W842" s="43">
        <v>3252707395</v>
      </c>
      <c r="X842" s="43">
        <v>407000000</v>
      </c>
      <c r="Y842" s="43">
        <v>1239652618</v>
      </c>
      <c r="Z842" s="32">
        <f t="shared" ref="Z842:Z844" si="283">R842/L842</f>
        <v>0.25302337748414</v>
      </c>
    </row>
    <row r="843" spans="1:26" x14ac:dyDescent="0.2">
      <c r="C843" s="16"/>
      <c r="D843" s="17"/>
      <c r="E843" s="17"/>
      <c r="F843" s="18"/>
      <c r="G843" s="34"/>
      <c r="H843" s="34"/>
      <c r="I843" s="34"/>
      <c r="J843" s="34"/>
      <c r="K843" s="34"/>
      <c r="L843" s="18"/>
      <c r="M843" s="18"/>
      <c r="N843" s="18"/>
      <c r="O843" s="18"/>
      <c r="P843" s="18"/>
      <c r="Q843" s="18"/>
      <c r="R843" s="18"/>
      <c r="S843" s="34"/>
      <c r="T843" s="34"/>
      <c r="U843" s="34"/>
      <c r="V843" s="31">
        <f t="shared" si="278"/>
        <v>0</v>
      </c>
      <c r="W843" s="18"/>
      <c r="X843" s="18"/>
      <c r="Y843" s="18"/>
      <c r="Z843" s="18"/>
    </row>
    <row r="844" spans="1:26" s="50" customFormat="1" x14ac:dyDescent="0.2">
      <c r="B844" s="77"/>
      <c r="C844" s="46"/>
      <c r="D844" s="47" t="s">
        <v>702</v>
      </c>
      <c r="E844" s="47"/>
      <c r="F844" s="48">
        <f>SUM(F827:F842)</f>
        <v>38899360013</v>
      </c>
      <c r="G844" s="49">
        <f t="shared" ref="G844:Y844" si="284">SUM(G827:G842)</f>
        <v>0</v>
      </c>
      <c r="H844" s="49">
        <f t="shared" si="284"/>
        <v>0</v>
      </c>
      <c r="I844" s="49">
        <f t="shared" si="284"/>
        <v>0</v>
      </c>
      <c r="J844" s="49">
        <f t="shared" si="284"/>
        <v>0</v>
      </c>
      <c r="K844" s="49">
        <f t="shared" si="284"/>
        <v>0</v>
      </c>
      <c r="L844" s="48">
        <f t="shared" si="284"/>
        <v>38899360013</v>
      </c>
      <c r="M844" s="48">
        <f t="shared" si="284"/>
        <v>0</v>
      </c>
      <c r="N844" s="48">
        <f t="shared" si="284"/>
        <v>1646652618</v>
      </c>
      <c r="O844" s="48">
        <f t="shared" si="284"/>
        <v>1646652618</v>
      </c>
      <c r="P844" s="48">
        <f t="shared" si="284"/>
        <v>96000000</v>
      </c>
      <c r="Q844" s="48">
        <f t="shared" si="284"/>
        <v>1239652618</v>
      </c>
      <c r="R844" s="48">
        <f t="shared" si="284"/>
        <v>1239652618</v>
      </c>
      <c r="S844" s="49">
        <f t="shared" si="284"/>
        <v>0</v>
      </c>
      <c r="T844" s="49">
        <f t="shared" si="284"/>
        <v>0</v>
      </c>
      <c r="U844" s="49">
        <f t="shared" si="284"/>
        <v>0</v>
      </c>
      <c r="V844" s="23">
        <f>S844+U844</f>
        <v>0</v>
      </c>
      <c r="W844" s="48">
        <f t="shared" si="284"/>
        <v>37252707395</v>
      </c>
      <c r="X844" s="48">
        <f t="shared" si="284"/>
        <v>407000000</v>
      </c>
      <c r="Y844" s="48">
        <f t="shared" si="284"/>
        <v>1239652618</v>
      </c>
      <c r="Z844" s="24">
        <f t="shared" si="283"/>
        <v>3.1868200854351159E-2</v>
      </c>
    </row>
    <row r="845" spans="1:26" x14ac:dyDescent="0.2">
      <c r="C845" s="16"/>
      <c r="D845" s="17"/>
      <c r="E845" s="17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s="25" customFormat="1" x14ac:dyDescent="0.2">
      <c r="B846" s="71"/>
      <c r="C846" s="66"/>
      <c r="D846" s="21" t="s">
        <v>703</v>
      </c>
      <c r="E846" s="67"/>
      <c r="F846" s="63"/>
      <c r="G846" s="63"/>
      <c r="H846" s="63"/>
      <c r="I846" s="63"/>
      <c r="J846" s="63"/>
      <c r="K846" s="63"/>
      <c r="L846" s="63"/>
      <c r="M846" s="63"/>
      <c r="N846" s="63"/>
      <c r="O846" s="63"/>
      <c r="P846" s="63"/>
      <c r="Q846" s="63"/>
      <c r="R846" s="63"/>
      <c r="S846" s="63"/>
      <c r="T846" s="63"/>
      <c r="U846" s="63"/>
      <c r="V846" s="63"/>
      <c r="W846" s="63"/>
      <c r="X846" s="63"/>
      <c r="Y846" s="63"/>
      <c r="Z846" s="63"/>
    </row>
    <row r="847" spans="1:26" x14ac:dyDescent="0.2">
      <c r="C847" s="16"/>
      <c r="D847" s="29" t="s">
        <v>676</v>
      </c>
      <c r="E847" s="17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8.75" customHeight="1" x14ac:dyDescent="0.2">
      <c r="C848" s="16"/>
      <c r="D848" s="29" t="s">
        <v>286</v>
      </c>
      <c r="E848" s="17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8.75" customHeight="1" x14ac:dyDescent="0.2">
      <c r="C849" s="16"/>
      <c r="D849" s="29" t="s">
        <v>179</v>
      </c>
      <c r="E849" s="17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8.75" customHeight="1" x14ac:dyDescent="0.2">
      <c r="C850" s="16"/>
      <c r="D850" s="29" t="s">
        <v>189</v>
      </c>
      <c r="E850" s="17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8.75" customHeight="1" x14ac:dyDescent="0.2">
      <c r="C851" s="16"/>
      <c r="D851" s="29" t="s">
        <v>199</v>
      </c>
      <c r="E851" s="17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30">
        <f t="shared" ref="V851:V877" si="285">S851+U851</f>
        <v>0</v>
      </c>
      <c r="W851" s="18"/>
      <c r="X851" s="18"/>
      <c r="Y851" s="18"/>
      <c r="Z851" s="18"/>
    </row>
    <row r="852" spans="1:26" x14ac:dyDescent="0.2">
      <c r="C852" s="28" t="s">
        <v>288</v>
      </c>
      <c r="D852" s="29" t="s">
        <v>704</v>
      </c>
      <c r="E852" s="17"/>
      <c r="F852" s="18"/>
      <c r="G852" s="18"/>
      <c r="H852" s="18"/>
      <c r="I852" s="18"/>
      <c r="J852" s="18"/>
      <c r="K852" s="18"/>
      <c r="L852" s="18"/>
      <c r="M852" s="34"/>
      <c r="N852" s="34"/>
      <c r="O852" s="34"/>
      <c r="P852" s="34"/>
      <c r="Q852" s="34"/>
      <c r="R852" s="34"/>
      <c r="S852" s="34"/>
      <c r="T852" s="34"/>
      <c r="U852" s="34"/>
      <c r="V852" s="31">
        <f t="shared" si="285"/>
        <v>0</v>
      </c>
      <c r="W852" s="18"/>
      <c r="X852" s="18"/>
      <c r="Y852" s="18"/>
      <c r="Z852" s="18"/>
    </row>
    <row r="853" spans="1:26" x14ac:dyDescent="0.2">
      <c r="A853" s="4" t="s">
        <v>55</v>
      </c>
      <c r="B853" s="4" t="s">
        <v>56</v>
      </c>
      <c r="C853" s="41" t="s">
        <v>705</v>
      </c>
      <c r="D853" s="42" t="s">
        <v>233</v>
      </c>
      <c r="E853" s="43" t="s">
        <v>58</v>
      </c>
      <c r="F853" s="43">
        <v>221000000</v>
      </c>
      <c r="G853" s="44">
        <v>0</v>
      </c>
      <c r="H853" s="44">
        <v>0</v>
      </c>
      <c r="I853" s="44">
        <v>0</v>
      </c>
      <c r="J853" s="43">
        <v>221000000</v>
      </c>
      <c r="K853" s="43">
        <v>-221000000</v>
      </c>
      <c r="L853" s="43">
        <v>0</v>
      </c>
      <c r="M853" s="44">
        <v>0</v>
      </c>
      <c r="N853" s="44">
        <v>0</v>
      </c>
      <c r="O853" s="44">
        <v>0</v>
      </c>
      <c r="P853" s="44">
        <v>0</v>
      </c>
      <c r="Q853" s="44">
        <v>0</v>
      </c>
      <c r="R853" s="44">
        <v>0</v>
      </c>
      <c r="S853" s="44">
        <v>0</v>
      </c>
      <c r="T853" s="44">
        <v>0</v>
      </c>
      <c r="U853" s="44">
        <v>0</v>
      </c>
      <c r="V853" s="31">
        <f t="shared" si="285"/>
        <v>0</v>
      </c>
      <c r="W853" s="43">
        <v>0</v>
      </c>
      <c r="X853" s="43">
        <v>0</v>
      </c>
      <c r="Y853" s="43">
        <v>0</v>
      </c>
      <c r="Z853" s="32" t="e">
        <f t="shared" ref="Z853" si="286">R853/L853</f>
        <v>#DIV/0!</v>
      </c>
    </row>
    <row r="854" spans="1:26" ht="25.5" x14ac:dyDescent="0.2">
      <c r="C854" s="28" t="s">
        <v>288</v>
      </c>
      <c r="D854" s="29" t="s">
        <v>706</v>
      </c>
      <c r="E854" s="17"/>
      <c r="F854" s="18"/>
      <c r="G854" s="34"/>
      <c r="H854" s="34"/>
      <c r="I854" s="34"/>
      <c r="J854" s="18"/>
      <c r="K854" s="18"/>
      <c r="L854" s="18"/>
      <c r="M854" s="18"/>
      <c r="N854" s="18"/>
      <c r="O854" s="18"/>
      <c r="P854" s="18"/>
      <c r="Q854" s="18"/>
      <c r="R854" s="18"/>
      <c r="S854" s="34"/>
      <c r="T854" s="34"/>
      <c r="U854" s="34"/>
      <c r="V854" s="31">
        <f t="shared" si="285"/>
        <v>0</v>
      </c>
      <c r="W854" s="18"/>
      <c r="X854" s="18"/>
      <c r="Y854" s="18"/>
      <c r="Z854" s="18"/>
    </row>
    <row r="855" spans="1:26" x14ac:dyDescent="0.2">
      <c r="A855" s="4" t="s">
        <v>55</v>
      </c>
      <c r="B855" s="4" t="s">
        <v>56</v>
      </c>
      <c r="C855" s="41" t="s">
        <v>707</v>
      </c>
      <c r="D855" s="42" t="s">
        <v>233</v>
      </c>
      <c r="E855" s="43" t="s">
        <v>58</v>
      </c>
      <c r="F855" s="43">
        <v>2458264706</v>
      </c>
      <c r="G855" s="44">
        <v>0</v>
      </c>
      <c r="H855" s="44">
        <v>0</v>
      </c>
      <c r="I855" s="44">
        <v>0</v>
      </c>
      <c r="J855" s="43">
        <v>0</v>
      </c>
      <c r="K855" s="43">
        <v>0</v>
      </c>
      <c r="L855" s="43">
        <v>2458264706</v>
      </c>
      <c r="M855" s="43">
        <v>0</v>
      </c>
      <c r="N855" s="43">
        <v>2081364706</v>
      </c>
      <c r="O855" s="43">
        <v>2081364706</v>
      </c>
      <c r="P855" s="43">
        <v>0</v>
      </c>
      <c r="Q855" s="43">
        <v>1770864706</v>
      </c>
      <c r="R855" s="43">
        <v>1770864706</v>
      </c>
      <c r="S855" s="44">
        <v>0</v>
      </c>
      <c r="T855" s="44">
        <v>0</v>
      </c>
      <c r="U855" s="44">
        <v>0</v>
      </c>
      <c r="V855" s="31">
        <f t="shared" si="285"/>
        <v>0</v>
      </c>
      <c r="W855" s="43">
        <v>376900000</v>
      </c>
      <c r="X855" s="43">
        <v>310500000</v>
      </c>
      <c r="Y855" s="43">
        <v>1770864706</v>
      </c>
      <c r="Z855" s="32">
        <f t="shared" ref="Z855" si="287">R855/L855</f>
        <v>0.72037185486077593</v>
      </c>
    </row>
    <row r="856" spans="1:26" ht="25.5" x14ac:dyDescent="0.2">
      <c r="C856" s="28" t="s">
        <v>288</v>
      </c>
      <c r="D856" s="29" t="s">
        <v>708</v>
      </c>
      <c r="E856" s="17"/>
      <c r="F856" s="18"/>
      <c r="G856" s="34"/>
      <c r="H856" s="34"/>
      <c r="I856" s="34"/>
      <c r="J856" s="18"/>
      <c r="K856" s="18"/>
      <c r="L856" s="18"/>
      <c r="M856" s="18"/>
      <c r="N856" s="18"/>
      <c r="O856" s="18"/>
      <c r="P856" s="18"/>
      <c r="Q856" s="18"/>
      <c r="R856" s="18"/>
      <c r="S856" s="34"/>
      <c r="T856" s="34"/>
      <c r="U856" s="34"/>
      <c r="V856" s="31">
        <f t="shared" si="285"/>
        <v>0</v>
      </c>
      <c r="W856" s="18"/>
      <c r="X856" s="18"/>
      <c r="Y856" s="18"/>
      <c r="Z856" s="18"/>
    </row>
    <row r="857" spans="1:26" x14ac:dyDescent="0.2">
      <c r="A857" s="4" t="s">
        <v>55</v>
      </c>
      <c r="B857" s="4" t="s">
        <v>56</v>
      </c>
      <c r="C857" s="41" t="s">
        <v>709</v>
      </c>
      <c r="D857" s="42" t="s">
        <v>233</v>
      </c>
      <c r="E857" s="43" t="s">
        <v>58</v>
      </c>
      <c r="F857" s="43">
        <v>501500000</v>
      </c>
      <c r="G857" s="44">
        <v>0</v>
      </c>
      <c r="H857" s="44">
        <v>0</v>
      </c>
      <c r="I857" s="44">
        <v>0</v>
      </c>
      <c r="J857" s="43">
        <v>501500000</v>
      </c>
      <c r="K857" s="43">
        <v>-501500000</v>
      </c>
      <c r="L857" s="43">
        <v>0</v>
      </c>
      <c r="M857" s="44">
        <v>0</v>
      </c>
      <c r="N857" s="44">
        <v>0</v>
      </c>
      <c r="O857" s="44">
        <v>0</v>
      </c>
      <c r="P857" s="44">
        <v>0</v>
      </c>
      <c r="Q857" s="44">
        <v>0</v>
      </c>
      <c r="R857" s="44">
        <v>0</v>
      </c>
      <c r="S857" s="44">
        <v>0</v>
      </c>
      <c r="T857" s="44">
        <v>0</v>
      </c>
      <c r="U857" s="44">
        <v>0</v>
      </c>
      <c r="V857" s="31">
        <f t="shared" si="285"/>
        <v>0</v>
      </c>
      <c r="W857" s="43">
        <v>0</v>
      </c>
      <c r="X857" s="44">
        <v>0</v>
      </c>
      <c r="Y857" s="44">
        <v>0</v>
      </c>
      <c r="Z857" s="43">
        <v>0</v>
      </c>
    </row>
    <row r="858" spans="1:26" x14ac:dyDescent="0.2">
      <c r="C858" s="28" t="s">
        <v>288</v>
      </c>
      <c r="D858" s="29" t="s">
        <v>710</v>
      </c>
      <c r="E858" s="17"/>
      <c r="F858" s="18"/>
      <c r="G858" s="18"/>
      <c r="H858" s="18"/>
      <c r="I858" s="18"/>
      <c r="J858" s="18"/>
      <c r="K858" s="18"/>
      <c r="L858" s="18"/>
      <c r="M858" s="34"/>
      <c r="N858" s="34"/>
      <c r="O858" s="34"/>
      <c r="P858" s="34"/>
      <c r="Q858" s="34"/>
      <c r="R858" s="34"/>
      <c r="S858" s="34"/>
      <c r="T858" s="34"/>
      <c r="U858" s="34"/>
      <c r="V858" s="31"/>
      <c r="W858" s="18"/>
      <c r="X858" s="34"/>
      <c r="Y858" s="34"/>
      <c r="Z858" s="18"/>
    </row>
    <row r="859" spans="1:26" x14ac:dyDescent="0.2">
      <c r="A859" s="4" t="s">
        <v>55</v>
      </c>
      <c r="B859" s="4" t="s">
        <v>56</v>
      </c>
      <c r="C859" s="41" t="s">
        <v>711</v>
      </c>
      <c r="D859" s="17" t="s">
        <v>233</v>
      </c>
      <c r="E859" s="43" t="s">
        <v>58</v>
      </c>
      <c r="F859" s="44">
        <v>0</v>
      </c>
      <c r="G859" s="44">
        <v>0</v>
      </c>
      <c r="H859" s="44">
        <v>0</v>
      </c>
      <c r="I859" s="43">
        <v>3086332698</v>
      </c>
      <c r="J859" s="43">
        <v>0</v>
      </c>
      <c r="K859" s="43">
        <v>3086332698</v>
      </c>
      <c r="L859" s="43">
        <v>3086332698</v>
      </c>
      <c r="M859" s="44">
        <v>0</v>
      </c>
      <c r="N859" s="44">
        <v>0</v>
      </c>
      <c r="O859" s="44">
        <v>0</v>
      </c>
      <c r="P859" s="44">
        <v>0</v>
      </c>
      <c r="Q859" s="44">
        <v>0</v>
      </c>
      <c r="R859" s="44">
        <v>0</v>
      </c>
      <c r="S859" s="44">
        <v>0</v>
      </c>
      <c r="T859" s="44">
        <v>0</v>
      </c>
      <c r="U859" s="44">
        <v>0</v>
      </c>
      <c r="V859" s="31">
        <f t="shared" si="285"/>
        <v>0</v>
      </c>
      <c r="W859" s="43">
        <v>3086332698</v>
      </c>
      <c r="X859" s="44">
        <v>0</v>
      </c>
      <c r="Y859" s="44">
        <v>0</v>
      </c>
      <c r="Z859" s="32">
        <f t="shared" ref="Z859" si="288">R859/L859</f>
        <v>0</v>
      </c>
    </row>
    <row r="860" spans="1:26" x14ac:dyDescent="0.2">
      <c r="C860" s="28" t="s">
        <v>288</v>
      </c>
      <c r="D860" s="29" t="s">
        <v>712</v>
      </c>
      <c r="E860" s="17"/>
      <c r="F860" s="34"/>
      <c r="G860" s="34"/>
      <c r="H860" s="34"/>
      <c r="I860" s="18"/>
      <c r="J860" s="18"/>
      <c r="K860" s="18"/>
      <c r="L860" s="18"/>
      <c r="M860" s="34"/>
      <c r="N860" s="34"/>
      <c r="O860" s="34"/>
      <c r="P860" s="34"/>
      <c r="Q860" s="34"/>
      <c r="R860" s="34"/>
      <c r="S860" s="18"/>
      <c r="T860" s="18"/>
      <c r="U860" s="34"/>
      <c r="V860" s="31"/>
      <c r="W860" s="18"/>
      <c r="X860" s="34"/>
      <c r="Y860" s="34"/>
      <c r="Z860" s="18"/>
    </row>
    <row r="861" spans="1:26" x14ac:dyDescent="0.2">
      <c r="A861" s="4" t="s">
        <v>55</v>
      </c>
      <c r="B861" s="4" t="s">
        <v>56</v>
      </c>
      <c r="C861" s="41" t="s">
        <v>713</v>
      </c>
      <c r="D861" s="17" t="s">
        <v>233</v>
      </c>
      <c r="E861" s="43" t="s">
        <v>58</v>
      </c>
      <c r="F861" s="44">
        <v>0</v>
      </c>
      <c r="G861" s="44">
        <v>0</v>
      </c>
      <c r="H861" s="44">
        <v>0</v>
      </c>
      <c r="I861" s="43">
        <v>501500000</v>
      </c>
      <c r="J861" s="43">
        <v>0</v>
      </c>
      <c r="K861" s="43">
        <v>501500000</v>
      </c>
      <c r="L861" s="43">
        <v>501500000</v>
      </c>
      <c r="M861" s="44">
        <v>0</v>
      </c>
      <c r="N861" s="44">
        <v>0</v>
      </c>
      <c r="O861" s="44">
        <v>0</v>
      </c>
      <c r="P861" s="44">
        <v>0</v>
      </c>
      <c r="Q861" s="44">
        <v>0</v>
      </c>
      <c r="R861" s="44">
        <v>0</v>
      </c>
      <c r="S861" s="44">
        <v>0</v>
      </c>
      <c r="T861" s="44">
        <v>0</v>
      </c>
      <c r="U861" s="44">
        <v>0</v>
      </c>
      <c r="V861" s="31">
        <f t="shared" si="285"/>
        <v>0</v>
      </c>
      <c r="W861" s="43">
        <v>501500000</v>
      </c>
      <c r="X861" s="44">
        <v>0</v>
      </c>
      <c r="Y861" s="44">
        <v>0</v>
      </c>
      <c r="Z861" s="32">
        <f t="shared" ref="Z861" si="289">R861/L861</f>
        <v>0</v>
      </c>
    </row>
    <row r="862" spans="1:26" ht="25.5" x14ac:dyDescent="0.2">
      <c r="C862" s="28" t="s">
        <v>288</v>
      </c>
      <c r="D862" s="29" t="s">
        <v>714</v>
      </c>
      <c r="E862" s="17"/>
      <c r="F862" s="18"/>
      <c r="G862" s="18"/>
      <c r="H862" s="18"/>
      <c r="I862" s="18"/>
      <c r="J862" s="18"/>
      <c r="K862" s="18"/>
      <c r="L862" s="18"/>
      <c r="M862" s="34"/>
      <c r="N862" s="34"/>
      <c r="O862" s="34"/>
      <c r="P862" s="34"/>
      <c r="Q862" s="34"/>
      <c r="R862" s="34"/>
      <c r="S862" s="34"/>
      <c r="T862" s="34"/>
      <c r="U862" s="34"/>
      <c r="V862" s="31"/>
      <c r="W862" s="18"/>
      <c r="X862" s="34"/>
      <c r="Y862" s="34"/>
      <c r="Z862" s="18"/>
    </row>
    <row r="863" spans="1:26" x14ac:dyDescent="0.2">
      <c r="A863" s="4" t="s">
        <v>55</v>
      </c>
      <c r="B863" s="4" t="s">
        <v>56</v>
      </c>
      <c r="C863" s="41" t="s">
        <v>715</v>
      </c>
      <c r="D863" s="17" t="s">
        <v>233</v>
      </c>
      <c r="E863" s="43" t="s">
        <v>58</v>
      </c>
      <c r="F863" s="43">
        <v>3086332698</v>
      </c>
      <c r="G863" s="44">
        <v>0</v>
      </c>
      <c r="H863" s="44">
        <v>0</v>
      </c>
      <c r="I863" s="43">
        <v>0</v>
      </c>
      <c r="J863" s="43">
        <v>3086332698</v>
      </c>
      <c r="K863" s="43">
        <v>-3086332698</v>
      </c>
      <c r="L863" s="43">
        <v>0</v>
      </c>
      <c r="M863" s="44">
        <v>0</v>
      </c>
      <c r="N863" s="44">
        <v>0</v>
      </c>
      <c r="O863" s="44">
        <v>0</v>
      </c>
      <c r="P863" s="44">
        <v>0</v>
      </c>
      <c r="Q863" s="44">
        <v>0</v>
      </c>
      <c r="R863" s="44">
        <v>0</v>
      </c>
      <c r="S863" s="44">
        <v>0</v>
      </c>
      <c r="T863" s="44">
        <v>0</v>
      </c>
      <c r="U863" s="44">
        <v>0</v>
      </c>
      <c r="V863" s="31">
        <f t="shared" si="285"/>
        <v>0</v>
      </c>
      <c r="W863" s="43">
        <v>0</v>
      </c>
      <c r="X863" s="44">
        <v>0</v>
      </c>
      <c r="Y863" s="44">
        <v>0</v>
      </c>
      <c r="Z863" s="32" t="e">
        <f t="shared" ref="Z863" si="290">R863/L863</f>
        <v>#DIV/0!</v>
      </c>
    </row>
    <row r="864" spans="1:26" ht="25.5" x14ac:dyDescent="0.2">
      <c r="C864" s="28" t="s">
        <v>288</v>
      </c>
      <c r="D864" s="29" t="s">
        <v>716</v>
      </c>
      <c r="E864" s="17"/>
      <c r="F864" s="18"/>
      <c r="G864" s="34"/>
      <c r="H864" s="34"/>
      <c r="I864" s="18"/>
      <c r="J864" s="18"/>
      <c r="K864" s="18"/>
      <c r="L864" s="18"/>
      <c r="M864" s="34"/>
      <c r="N864" s="34"/>
      <c r="O864" s="34"/>
      <c r="P864" s="34"/>
      <c r="Q864" s="34"/>
      <c r="R864" s="34"/>
      <c r="S864" s="34"/>
      <c r="T864" s="34"/>
      <c r="U864" s="34"/>
      <c r="V864" s="31"/>
      <c r="W864" s="18"/>
      <c r="X864" s="18"/>
      <c r="Y864" s="18"/>
      <c r="Z864" s="18"/>
    </row>
    <row r="865" spans="1:26" x14ac:dyDescent="0.2">
      <c r="A865" s="4" t="s">
        <v>55</v>
      </c>
      <c r="B865" s="4" t="s">
        <v>56</v>
      </c>
      <c r="C865" s="41" t="s">
        <v>717</v>
      </c>
      <c r="D865" s="17" t="s">
        <v>233</v>
      </c>
      <c r="E865" s="43" t="s">
        <v>58</v>
      </c>
      <c r="F865" s="44">
        <v>0</v>
      </c>
      <c r="G865" s="44">
        <v>0</v>
      </c>
      <c r="H865" s="44">
        <v>0</v>
      </c>
      <c r="I865" s="43">
        <v>221000000</v>
      </c>
      <c r="J865" s="43">
        <v>0</v>
      </c>
      <c r="K865" s="43">
        <v>221000000</v>
      </c>
      <c r="L865" s="43">
        <v>221000000</v>
      </c>
      <c r="M865" s="44">
        <v>0</v>
      </c>
      <c r="N865" s="44">
        <v>0</v>
      </c>
      <c r="O865" s="44">
        <v>0</v>
      </c>
      <c r="P865" s="44">
        <v>0</v>
      </c>
      <c r="Q865" s="44">
        <v>0</v>
      </c>
      <c r="R865" s="44">
        <v>0</v>
      </c>
      <c r="S865" s="44">
        <v>0</v>
      </c>
      <c r="T865" s="44">
        <v>0</v>
      </c>
      <c r="U865" s="44">
        <v>0</v>
      </c>
      <c r="V865" s="31">
        <f t="shared" si="285"/>
        <v>0</v>
      </c>
      <c r="W865" s="43">
        <v>221000000</v>
      </c>
      <c r="X865" s="43">
        <v>0</v>
      </c>
      <c r="Y865" s="43">
        <v>0</v>
      </c>
      <c r="Z865" s="32">
        <f t="shared" ref="Z865" si="291">R865/L865</f>
        <v>0</v>
      </c>
    </row>
    <row r="866" spans="1:26" x14ac:dyDescent="0.2">
      <c r="C866" s="28" t="s">
        <v>288</v>
      </c>
      <c r="D866" s="29" t="s">
        <v>718</v>
      </c>
      <c r="E866" s="17"/>
      <c r="F866" s="18"/>
      <c r="G866" s="34"/>
      <c r="H866" s="34"/>
      <c r="I866" s="18"/>
      <c r="J866" s="18"/>
      <c r="K866" s="18"/>
      <c r="L866" s="18"/>
      <c r="M866" s="18"/>
      <c r="N866" s="18"/>
      <c r="O866" s="18"/>
      <c r="P866" s="18"/>
      <c r="Q866" s="18"/>
      <c r="R866" s="34"/>
      <c r="S866" s="34"/>
      <c r="T866" s="34"/>
      <c r="U866" s="34"/>
      <c r="V866" s="31"/>
      <c r="W866" s="18"/>
      <c r="X866" s="18"/>
      <c r="Y866" s="18"/>
      <c r="Z866" s="18"/>
    </row>
    <row r="867" spans="1:26" x14ac:dyDescent="0.2">
      <c r="A867" s="4" t="s">
        <v>55</v>
      </c>
      <c r="B867" s="4" t="s">
        <v>56</v>
      </c>
      <c r="C867" s="41" t="s">
        <v>719</v>
      </c>
      <c r="D867" s="42" t="s">
        <v>233</v>
      </c>
      <c r="E867" s="43" t="s">
        <v>58</v>
      </c>
      <c r="F867" s="43">
        <v>546100000</v>
      </c>
      <c r="G867" s="44">
        <v>0</v>
      </c>
      <c r="H867" s="44">
        <v>0</v>
      </c>
      <c r="I867" s="44">
        <v>0</v>
      </c>
      <c r="J867" s="44">
        <v>0</v>
      </c>
      <c r="K867" s="43">
        <v>0</v>
      </c>
      <c r="L867" s="43">
        <v>546100000</v>
      </c>
      <c r="M867" s="43">
        <v>0</v>
      </c>
      <c r="N867" s="43">
        <v>531100000</v>
      </c>
      <c r="O867" s="43">
        <v>531100000</v>
      </c>
      <c r="P867" s="43">
        <v>0</v>
      </c>
      <c r="Q867" s="43">
        <v>0</v>
      </c>
      <c r="R867" s="44">
        <v>0</v>
      </c>
      <c r="S867" s="44">
        <v>0</v>
      </c>
      <c r="T867" s="44">
        <v>0</v>
      </c>
      <c r="U867" s="44">
        <v>0</v>
      </c>
      <c r="V867" s="31">
        <f t="shared" si="285"/>
        <v>0</v>
      </c>
      <c r="W867" s="43">
        <v>15000000</v>
      </c>
      <c r="X867" s="43">
        <v>531100000</v>
      </c>
      <c r="Y867" s="43">
        <v>0</v>
      </c>
      <c r="Z867" s="32">
        <f t="shared" ref="Z867" si="292">R867/L867</f>
        <v>0</v>
      </c>
    </row>
    <row r="868" spans="1:26" x14ac:dyDescent="0.2">
      <c r="C868" s="16"/>
      <c r="D868" s="17"/>
      <c r="E868" s="17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34"/>
      <c r="S868" s="34"/>
      <c r="T868" s="34"/>
      <c r="U868" s="34"/>
      <c r="V868" s="31"/>
      <c r="W868" s="18"/>
      <c r="X868" s="18"/>
      <c r="Y868" s="18"/>
      <c r="Z868" s="18"/>
    </row>
    <row r="869" spans="1:26" x14ac:dyDescent="0.2">
      <c r="C869" s="16"/>
      <c r="D869" s="29" t="s">
        <v>720</v>
      </c>
      <c r="E869" s="17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30"/>
      <c r="W869" s="18"/>
      <c r="X869" s="18"/>
      <c r="Y869" s="18"/>
      <c r="Z869" s="18"/>
    </row>
    <row r="870" spans="1:26" x14ac:dyDescent="0.2">
      <c r="C870" s="16"/>
      <c r="D870" s="29" t="s">
        <v>676</v>
      </c>
      <c r="E870" s="17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30"/>
      <c r="W870" s="18"/>
      <c r="X870" s="18"/>
      <c r="Y870" s="18"/>
      <c r="Z870" s="18"/>
    </row>
    <row r="871" spans="1:26" x14ac:dyDescent="0.2">
      <c r="C871" s="16"/>
      <c r="D871" s="29" t="s">
        <v>286</v>
      </c>
      <c r="E871" s="17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30"/>
      <c r="W871" s="18"/>
      <c r="X871" s="18"/>
      <c r="Y871" s="18"/>
      <c r="Z871" s="18"/>
    </row>
    <row r="872" spans="1:26" x14ac:dyDescent="0.2">
      <c r="C872" s="16"/>
      <c r="D872" s="29" t="s">
        <v>179</v>
      </c>
      <c r="E872" s="17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30"/>
      <c r="W872" s="18"/>
      <c r="X872" s="18"/>
      <c r="Y872" s="18"/>
      <c r="Z872" s="18"/>
    </row>
    <row r="873" spans="1:26" x14ac:dyDescent="0.2">
      <c r="C873" s="16"/>
      <c r="D873" s="29" t="s">
        <v>189</v>
      </c>
      <c r="E873" s="17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30"/>
      <c r="W873" s="18"/>
      <c r="X873" s="18"/>
      <c r="Y873" s="18"/>
      <c r="Z873" s="18"/>
    </row>
    <row r="874" spans="1:26" x14ac:dyDescent="0.2">
      <c r="C874" s="16"/>
      <c r="D874" s="29" t="s">
        <v>199</v>
      </c>
      <c r="E874" s="17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30"/>
      <c r="W874" s="18"/>
      <c r="X874" s="18"/>
      <c r="Y874" s="18"/>
      <c r="Z874" s="18"/>
    </row>
    <row r="875" spans="1:26" x14ac:dyDescent="0.2">
      <c r="C875" s="28" t="s">
        <v>288</v>
      </c>
      <c r="D875" s="29" t="s">
        <v>718</v>
      </c>
      <c r="E875" s="17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30"/>
      <c r="W875" s="18"/>
      <c r="X875" s="18"/>
      <c r="Y875" s="18"/>
      <c r="Z875" s="18"/>
    </row>
    <row r="876" spans="1:26" x14ac:dyDescent="0.2">
      <c r="A876" s="4" t="s">
        <v>55</v>
      </c>
      <c r="B876" s="4" t="s">
        <v>56</v>
      </c>
      <c r="C876" s="41" t="s">
        <v>721</v>
      </c>
      <c r="D876" s="42" t="s">
        <v>722</v>
      </c>
      <c r="E876" s="43" t="s">
        <v>723</v>
      </c>
      <c r="F876" s="43">
        <v>7643630</v>
      </c>
      <c r="G876" s="44">
        <v>0</v>
      </c>
      <c r="H876" s="44">
        <v>0</v>
      </c>
      <c r="I876" s="44">
        <v>0</v>
      </c>
      <c r="J876" s="44">
        <v>0</v>
      </c>
      <c r="K876" s="44">
        <v>0</v>
      </c>
      <c r="L876" s="43">
        <v>7643630</v>
      </c>
      <c r="M876" s="44">
        <v>0</v>
      </c>
      <c r="N876" s="44">
        <v>0</v>
      </c>
      <c r="O876" s="44">
        <v>0</v>
      </c>
      <c r="P876" s="44">
        <v>0</v>
      </c>
      <c r="Q876" s="44">
        <v>0</v>
      </c>
      <c r="R876" s="44">
        <v>0</v>
      </c>
      <c r="S876" s="44">
        <v>0</v>
      </c>
      <c r="T876" s="44">
        <v>0</v>
      </c>
      <c r="U876" s="44">
        <v>0</v>
      </c>
      <c r="V876" s="31">
        <f t="shared" si="285"/>
        <v>0</v>
      </c>
      <c r="W876" s="43">
        <v>7643630</v>
      </c>
      <c r="X876" s="44">
        <v>0</v>
      </c>
      <c r="Y876" s="44">
        <v>0</v>
      </c>
      <c r="Z876" s="32">
        <f t="shared" ref="Z876:Z877" si="293">R876/L876</f>
        <v>0</v>
      </c>
    </row>
    <row r="877" spans="1:26" x14ac:dyDescent="0.2">
      <c r="A877" s="4" t="s">
        <v>55</v>
      </c>
      <c r="B877" s="4" t="s">
        <v>56</v>
      </c>
      <c r="C877" s="41" t="s">
        <v>724</v>
      </c>
      <c r="D877" s="42" t="s">
        <v>725</v>
      </c>
      <c r="E877" s="43" t="s">
        <v>428</v>
      </c>
      <c r="F877" s="43">
        <v>56100000</v>
      </c>
      <c r="G877" s="44">
        <v>0</v>
      </c>
      <c r="H877" s="44">
        <v>0</v>
      </c>
      <c r="I877" s="44">
        <v>0</v>
      </c>
      <c r="J877" s="44">
        <v>0</v>
      </c>
      <c r="K877" s="44">
        <v>0</v>
      </c>
      <c r="L877" s="43">
        <v>56100000</v>
      </c>
      <c r="M877" s="44">
        <v>0</v>
      </c>
      <c r="N877" s="44">
        <v>0</v>
      </c>
      <c r="O877" s="44">
        <v>0</v>
      </c>
      <c r="P877" s="44">
        <v>0</v>
      </c>
      <c r="Q877" s="44">
        <v>0</v>
      </c>
      <c r="R877" s="44">
        <v>0</v>
      </c>
      <c r="S877" s="44">
        <v>0</v>
      </c>
      <c r="T877" s="44">
        <v>0</v>
      </c>
      <c r="U877" s="44">
        <v>0</v>
      </c>
      <c r="V877" s="31">
        <f t="shared" si="285"/>
        <v>0</v>
      </c>
      <c r="W877" s="43">
        <v>56100000</v>
      </c>
      <c r="X877" s="44">
        <v>0</v>
      </c>
      <c r="Y877" s="44">
        <v>0</v>
      </c>
      <c r="Z877" s="32">
        <f t="shared" si="293"/>
        <v>0</v>
      </c>
    </row>
    <row r="878" spans="1:26" x14ac:dyDescent="0.2">
      <c r="C878" s="16"/>
      <c r="D878" s="17"/>
      <c r="E878" s="17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34"/>
      <c r="T878" s="34"/>
      <c r="U878" s="34"/>
      <c r="V878" s="31"/>
      <c r="W878" s="18"/>
      <c r="X878" s="18"/>
      <c r="Y878" s="18"/>
      <c r="Z878" s="18"/>
    </row>
    <row r="879" spans="1:26" s="50" customFormat="1" ht="18.75" customHeight="1" x14ac:dyDescent="0.2">
      <c r="B879" s="77"/>
      <c r="C879" s="46"/>
      <c r="D879" s="47" t="s">
        <v>726</v>
      </c>
      <c r="E879" s="47"/>
      <c r="F879" s="48">
        <f>SUM(F851:F877)</f>
        <v>6876941034</v>
      </c>
      <c r="G879" s="49">
        <f t="shared" ref="G879:Y879" si="294">SUM(G851:G877)</f>
        <v>0</v>
      </c>
      <c r="H879" s="49">
        <f t="shared" si="294"/>
        <v>0</v>
      </c>
      <c r="I879" s="48">
        <f t="shared" si="294"/>
        <v>3808832698</v>
      </c>
      <c r="J879" s="48">
        <f t="shared" si="294"/>
        <v>3808832698</v>
      </c>
      <c r="K879" s="48">
        <f t="shared" si="294"/>
        <v>0</v>
      </c>
      <c r="L879" s="48">
        <f t="shared" si="294"/>
        <v>6876941034</v>
      </c>
      <c r="M879" s="48">
        <f t="shared" si="294"/>
        <v>0</v>
      </c>
      <c r="N879" s="48">
        <f t="shared" si="294"/>
        <v>2612464706</v>
      </c>
      <c r="O879" s="48">
        <f t="shared" si="294"/>
        <v>2612464706</v>
      </c>
      <c r="P879" s="48">
        <f t="shared" si="294"/>
        <v>0</v>
      </c>
      <c r="Q879" s="48">
        <f t="shared" si="294"/>
        <v>1770864706</v>
      </c>
      <c r="R879" s="48">
        <f t="shared" si="294"/>
        <v>1770864706</v>
      </c>
      <c r="S879" s="49">
        <f t="shared" si="294"/>
        <v>0</v>
      </c>
      <c r="T879" s="49">
        <f t="shared" si="294"/>
        <v>0</v>
      </c>
      <c r="U879" s="49">
        <f t="shared" si="294"/>
        <v>0</v>
      </c>
      <c r="V879" s="23">
        <f>S879+U879</f>
        <v>0</v>
      </c>
      <c r="W879" s="48">
        <f t="shared" si="294"/>
        <v>4264476328</v>
      </c>
      <c r="X879" s="48">
        <f t="shared" si="294"/>
        <v>841600000</v>
      </c>
      <c r="Y879" s="48">
        <f t="shared" si="294"/>
        <v>1770864706</v>
      </c>
      <c r="Z879" s="24">
        <f t="shared" ref="Z879" si="295">R879/L879</f>
        <v>0.25750761817568901</v>
      </c>
    </row>
    <row r="880" spans="1:26" ht="18.75" customHeight="1" x14ac:dyDescent="0.2">
      <c r="C880" s="16"/>
      <c r="D880" s="17"/>
      <c r="E880" s="17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s="25" customFormat="1" ht="18.75" customHeight="1" x14ac:dyDescent="0.2">
      <c r="B881" s="71"/>
      <c r="C881" s="66"/>
      <c r="D881" s="21" t="s">
        <v>727</v>
      </c>
      <c r="E881" s="67"/>
      <c r="F881" s="63"/>
      <c r="G881" s="63"/>
      <c r="H881" s="63"/>
      <c r="I881" s="63"/>
      <c r="J881" s="63"/>
      <c r="K881" s="63"/>
      <c r="L881" s="63"/>
      <c r="M881" s="63"/>
      <c r="N881" s="63"/>
      <c r="O881" s="63"/>
      <c r="P881" s="63"/>
      <c r="Q881" s="63"/>
      <c r="R881" s="63"/>
      <c r="S881" s="63"/>
      <c r="T881" s="63"/>
      <c r="U881" s="63"/>
      <c r="V881" s="63"/>
      <c r="W881" s="63"/>
      <c r="X881" s="63"/>
      <c r="Y881" s="63"/>
      <c r="Z881" s="63"/>
    </row>
    <row r="882" spans="1:26" ht="18.75" customHeight="1" x14ac:dyDescent="0.2">
      <c r="C882" s="16"/>
      <c r="D882" s="29" t="s">
        <v>285</v>
      </c>
      <c r="E882" s="17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8.75" customHeight="1" x14ac:dyDescent="0.2">
      <c r="C883" s="16"/>
      <c r="D883" s="29" t="s">
        <v>202</v>
      </c>
      <c r="E883" s="17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8.75" customHeight="1" x14ac:dyDescent="0.2">
      <c r="C884" s="16"/>
      <c r="D884" s="29" t="s">
        <v>203</v>
      </c>
      <c r="E884" s="17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x14ac:dyDescent="0.2">
      <c r="C885" s="16"/>
      <c r="D885" s="29" t="s">
        <v>204</v>
      </c>
      <c r="E885" s="17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25.5" x14ac:dyDescent="0.2">
      <c r="C886" s="16"/>
      <c r="D886" s="29" t="s">
        <v>205</v>
      </c>
      <c r="E886" s="17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25.5" x14ac:dyDescent="0.2">
      <c r="C887" s="16"/>
      <c r="D887" s="29" t="s">
        <v>205</v>
      </c>
      <c r="E887" s="17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25.5" x14ac:dyDescent="0.2">
      <c r="C888" s="28" t="s">
        <v>288</v>
      </c>
      <c r="D888" s="29" t="s">
        <v>728</v>
      </c>
      <c r="E888" s="17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30">
        <f t="shared" ref="V888:V893" si="296">S888+U888</f>
        <v>0</v>
      </c>
      <c r="W888" s="18"/>
      <c r="X888" s="18"/>
      <c r="Y888" s="18"/>
      <c r="Z888" s="18"/>
    </row>
    <row r="889" spans="1:26" x14ac:dyDescent="0.2">
      <c r="A889" s="4" t="s">
        <v>55</v>
      </c>
      <c r="B889" s="4" t="s">
        <v>56</v>
      </c>
      <c r="C889" s="41" t="s">
        <v>729</v>
      </c>
      <c r="D889" s="42" t="s">
        <v>233</v>
      </c>
      <c r="E889" s="43" t="s">
        <v>58</v>
      </c>
      <c r="F889" s="43">
        <v>1500000000</v>
      </c>
      <c r="G889" s="44">
        <v>0</v>
      </c>
      <c r="H889" s="44">
        <v>0</v>
      </c>
      <c r="I889" s="44">
        <v>0</v>
      </c>
      <c r="J889" s="44">
        <v>0</v>
      </c>
      <c r="K889" s="44">
        <v>0</v>
      </c>
      <c r="L889" s="43">
        <v>1500000000</v>
      </c>
      <c r="M889" s="44">
        <v>0</v>
      </c>
      <c r="N889" s="44">
        <v>0</v>
      </c>
      <c r="O889" s="44">
        <v>0</v>
      </c>
      <c r="P889" s="44">
        <v>0</v>
      </c>
      <c r="Q889" s="44">
        <v>0</v>
      </c>
      <c r="R889" s="44">
        <v>0</v>
      </c>
      <c r="S889" s="44">
        <v>0</v>
      </c>
      <c r="T889" s="44">
        <v>0</v>
      </c>
      <c r="U889" s="44">
        <v>0</v>
      </c>
      <c r="V889" s="31">
        <f t="shared" si="296"/>
        <v>0</v>
      </c>
      <c r="W889" s="43">
        <v>1500000000</v>
      </c>
      <c r="X889" s="43">
        <v>0</v>
      </c>
      <c r="Y889" s="43">
        <v>0</v>
      </c>
      <c r="Z889" s="32">
        <f t="shared" ref="Z889:Z892" si="297">R889/L889</f>
        <v>0</v>
      </c>
    </row>
    <row r="890" spans="1:26" x14ac:dyDescent="0.2">
      <c r="A890" s="4" t="s">
        <v>55</v>
      </c>
      <c r="B890" s="4" t="s">
        <v>56</v>
      </c>
      <c r="C890" s="41" t="s">
        <v>730</v>
      </c>
      <c r="D890" s="42" t="s">
        <v>731</v>
      </c>
      <c r="E890" s="43" t="s">
        <v>732</v>
      </c>
      <c r="F890" s="43">
        <v>1531432613</v>
      </c>
      <c r="G890" s="44">
        <v>0</v>
      </c>
      <c r="H890" s="44">
        <v>0</v>
      </c>
      <c r="I890" s="44">
        <v>0</v>
      </c>
      <c r="J890" s="44">
        <v>0</v>
      </c>
      <c r="K890" s="44">
        <v>0</v>
      </c>
      <c r="L890" s="43">
        <v>1531432613</v>
      </c>
      <c r="M890" s="44">
        <v>0</v>
      </c>
      <c r="N890" s="44">
        <v>0</v>
      </c>
      <c r="O890" s="44">
        <v>0</v>
      </c>
      <c r="P890" s="44">
        <v>0</v>
      </c>
      <c r="Q890" s="44">
        <v>0</v>
      </c>
      <c r="R890" s="44">
        <v>0</v>
      </c>
      <c r="S890" s="44">
        <v>0</v>
      </c>
      <c r="T890" s="44">
        <v>0</v>
      </c>
      <c r="U890" s="44">
        <v>0</v>
      </c>
      <c r="V890" s="31">
        <f t="shared" si="296"/>
        <v>0</v>
      </c>
      <c r="W890" s="43">
        <v>1531432613</v>
      </c>
      <c r="X890" s="43">
        <v>0</v>
      </c>
      <c r="Y890" s="43">
        <v>0</v>
      </c>
      <c r="Z890" s="32">
        <f t="shared" si="297"/>
        <v>0</v>
      </c>
    </row>
    <row r="891" spans="1:26" x14ac:dyDescent="0.2">
      <c r="A891" s="4" t="s">
        <v>55</v>
      </c>
      <c r="B891" s="4" t="s">
        <v>56</v>
      </c>
      <c r="C891" s="41" t="s">
        <v>733</v>
      </c>
      <c r="D891" s="42" t="s">
        <v>734</v>
      </c>
      <c r="E891" s="43" t="s">
        <v>383</v>
      </c>
      <c r="F891" s="43">
        <v>2000000000</v>
      </c>
      <c r="G891" s="44">
        <v>0</v>
      </c>
      <c r="H891" s="44">
        <v>0</v>
      </c>
      <c r="I891" s="44">
        <v>0</v>
      </c>
      <c r="J891" s="44">
        <v>0</v>
      </c>
      <c r="K891" s="44">
        <v>0</v>
      </c>
      <c r="L891" s="43">
        <v>2000000000</v>
      </c>
      <c r="M891" s="44">
        <v>0</v>
      </c>
      <c r="N891" s="44">
        <v>0</v>
      </c>
      <c r="O891" s="44">
        <v>0</v>
      </c>
      <c r="P891" s="44">
        <v>0</v>
      </c>
      <c r="Q891" s="44">
        <v>0</v>
      </c>
      <c r="R891" s="44">
        <v>0</v>
      </c>
      <c r="S891" s="44">
        <v>0</v>
      </c>
      <c r="T891" s="44">
        <v>0</v>
      </c>
      <c r="U891" s="44">
        <v>0</v>
      </c>
      <c r="V891" s="31">
        <f t="shared" si="296"/>
        <v>0</v>
      </c>
      <c r="W891" s="43">
        <v>2000000000</v>
      </c>
      <c r="X891" s="43">
        <v>0</v>
      </c>
      <c r="Y891" s="43">
        <v>0</v>
      </c>
      <c r="Z891" s="32">
        <f t="shared" si="297"/>
        <v>0</v>
      </c>
    </row>
    <row r="892" spans="1:26" ht="25.5" x14ac:dyDescent="0.2">
      <c r="A892" s="4" t="s">
        <v>55</v>
      </c>
      <c r="B892" s="4" t="s">
        <v>56</v>
      </c>
      <c r="C892" s="41" t="s">
        <v>735</v>
      </c>
      <c r="D892" s="42" t="s">
        <v>736</v>
      </c>
      <c r="E892" s="43" t="s">
        <v>428</v>
      </c>
      <c r="F892" s="43">
        <v>24512970</v>
      </c>
      <c r="G892" s="44">
        <v>0</v>
      </c>
      <c r="H892" s="44">
        <v>0</v>
      </c>
      <c r="I892" s="44">
        <v>0</v>
      </c>
      <c r="J892" s="44">
        <v>0</v>
      </c>
      <c r="K892" s="44">
        <v>0</v>
      </c>
      <c r="L892" s="43">
        <v>24512970</v>
      </c>
      <c r="M892" s="44">
        <v>0</v>
      </c>
      <c r="N892" s="44">
        <v>0</v>
      </c>
      <c r="O892" s="44">
        <v>0</v>
      </c>
      <c r="P892" s="44">
        <v>0</v>
      </c>
      <c r="Q892" s="44">
        <v>0</v>
      </c>
      <c r="R892" s="44">
        <v>0</v>
      </c>
      <c r="S892" s="44">
        <v>0</v>
      </c>
      <c r="T892" s="44">
        <v>0</v>
      </c>
      <c r="U892" s="44">
        <v>0</v>
      </c>
      <c r="V892" s="31">
        <f t="shared" si="296"/>
        <v>0</v>
      </c>
      <c r="W892" s="43">
        <v>24512970</v>
      </c>
      <c r="X892" s="43">
        <v>0</v>
      </c>
      <c r="Y892" s="43">
        <v>0</v>
      </c>
      <c r="Z892" s="32">
        <f t="shared" si="297"/>
        <v>0</v>
      </c>
    </row>
    <row r="893" spans="1:26" x14ac:dyDescent="0.2">
      <c r="C893" s="16"/>
      <c r="D893" s="17"/>
      <c r="E893" s="17"/>
      <c r="F893" s="18"/>
      <c r="G893" s="34"/>
      <c r="H893" s="34"/>
      <c r="I893" s="34"/>
      <c r="J893" s="34"/>
      <c r="K893" s="34"/>
      <c r="L893" s="18"/>
      <c r="M893" s="34"/>
      <c r="N893" s="34"/>
      <c r="O893" s="34"/>
      <c r="P893" s="34"/>
      <c r="Q893" s="34"/>
      <c r="R893" s="34"/>
      <c r="S893" s="34"/>
      <c r="T893" s="34"/>
      <c r="U893" s="34"/>
      <c r="V893" s="31">
        <f t="shared" si="296"/>
        <v>0</v>
      </c>
      <c r="W893" s="18"/>
      <c r="X893" s="18"/>
      <c r="Y893" s="18"/>
      <c r="Z893" s="18"/>
    </row>
    <row r="894" spans="1:26" s="50" customFormat="1" x14ac:dyDescent="0.2">
      <c r="B894" s="77"/>
      <c r="C894" s="46"/>
      <c r="D894" s="47" t="s">
        <v>737</v>
      </c>
      <c r="E894" s="47"/>
      <c r="F894" s="48">
        <f>SUM(F889:F893)</f>
        <v>5055945583</v>
      </c>
      <c r="G894" s="49">
        <f t="shared" ref="G894:Y894" si="298">SUM(G889:G893)</f>
        <v>0</v>
      </c>
      <c r="H894" s="49">
        <f t="shared" si="298"/>
        <v>0</v>
      </c>
      <c r="I894" s="49">
        <f t="shared" si="298"/>
        <v>0</v>
      </c>
      <c r="J894" s="49">
        <f t="shared" si="298"/>
        <v>0</v>
      </c>
      <c r="K894" s="49">
        <f t="shared" si="298"/>
        <v>0</v>
      </c>
      <c r="L894" s="48">
        <f t="shared" si="298"/>
        <v>5055945583</v>
      </c>
      <c r="M894" s="49">
        <f t="shared" si="298"/>
        <v>0</v>
      </c>
      <c r="N894" s="49">
        <f t="shared" si="298"/>
        <v>0</v>
      </c>
      <c r="O894" s="49">
        <f t="shared" si="298"/>
        <v>0</v>
      </c>
      <c r="P894" s="49">
        <f t="shared" si="298"/>
        <v>0</v>
      </c>
      <c r="Q894" s="49">
        <f t="shared" si="298"/>
        <v>0</v>
      </c>
      <c r="R894" s="49">
        <f t="shared" si="298"/>
        <v>0</v>
      </c>
      <c r="S894" s="49">
        <f t="shared" si="298"/>
        <v>0</v>
      </c>
      <c r="T894" s="49">
        <f t="shared" si="298"/>
        <v>0</v>
      </c>
      <c r="U894" s="49">
        <f t="shared" si="298"/>
        <v>0</v>
      </c>
      <c r="V894" s="23">
        <f>S894+U894</f>
        <v>0</v>
      </c>
      <c r="W894" s="48">
        <f t="shared" si="298"/>
        <v>5055945583</v>
      </c>
      <c r="X894" s="48">
        <f t="shared" si="298"/>
        <v>0</v>
      </c>
      <c r="Y894" s="48">
        <f t="shared" si="298"/>
        <v>0</v>
      </c>
      <c r="Z894" s="24">
        <f t="shared" ref="Z894" si="299">R894/L894</f>
        <v>0</v>
      </c>
    </row>
    <row r="895" spans="1:26" x14ac:dyDescent="0.2">
      <c r="C895" s="16"/>
      <c r="D895" s="17"/>
      <c r="E895" s="17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s="25" customFormat="1" x14ac:dyDescent="0.2">
      <c r="B896" s="71"/>
      <c r="C896" s="66"/>
      <c r="D896" s="21" t="s">
        <v>738</v>
      </c>
      <c r="E896" s="67"/>
      <c r="F896" s="63"/>
      <c r="G896" s="63"/>
      <c r="H896" s="63"/>
      <c r="I896" s="63"/>
      <c r="J896" s="63"/>
      <c r="K896" s="63"/>
      <c r="L896" s="63"/>
      <c r="M896" s="63"/>
      <c r="N896" s="63"/>
      <c r="O896" s="63"/>
      <c r="P896" s="63"/>
      <c r="Q896" s="63"/>
      <c r="R896" s="63"/>
      <c r="S896" s="63"/>
      <c r="T896" s="63"/>
      <c r="U896" s="63"/>
      <c r="V896" s="63"/>
      <c r="W896" s="63"/>
      <c r="X896" s="63"/>
      <c r="Y896" s="63"/>
      <c r="Z896" s="63"/>
    </row>
    <row r="897" spans="1:26" x14ac:dyDescent="0.2">
      <c r="C897" s="16"/>
      <c r="D897" s="29" t="s">
        <v>285</v>
      </c>
      <c r="E897" s="17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x14ac:dyDescent="0.2">
      <c r="C898" s="16"/>
      <c r="D898" s="29" t="s">
        <v>202</v>
      </c>
      <c r="E898" s="17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x14ac:dyDescent="0.2">
      <c r="C899" s="16"/>
      <c r="D899" s="29" t="s">
        <v>203</v>
      </c>
      <c r="E899" s="17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x14ac:dyDescent="0.2">
      <c r="C900" s="16"/>
      <c r="D900" s="29" t="s">
        <v>204</v>
      </c>
      <c r="E900" s="17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25.5" x14ac:dyDescent="0.2">
      <c r="C901" s="16"/>
      <c r="D901" s="29" t="s">
        <v>739</v>
      </c>
      <c r="E901" s="17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25.5" x14ac:dyDescent="0.2">
      <c r="C902" s="16"/>
      <c r="D902" s="29" t="s">
        <v>205</v>
      </c>
      <c r="E902" s="17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30"/>
      <c r="W902" s="18"/>
      <c r="X902" s="18"/>
      <c r="Y902" s="18"/>
      <c r="Z902" s="18"/>
    </row>
    <row r="903" spans="1:26" ht="25.5" x14ac:dyDescent="0.2">
      <c r="C903" s="28" t="s">
        <v>288</v>
      </c>
      <c r="D903" s="29" t="s">
        <v>740</v>
      </c>
      <c r="E903" s="17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30"/>
      <c r="W903" s="18"/>
      <c r="X903" s="18"/>
      <c r="Y903" s="18"/>
      <c r="Z903" s="18"/>
    </row>
    <row r="904" spans="1:26" x14ac:dyDescent="0.2">
      <c r="A904" s="4" t="s">
        <v>55</v>
      </c>
      <c r="B904" s="4" t="s">
        <v>56</v>
      </c>
      <c r="C904" s="41" t="s">
        <v>741</v>
      </c>
      <c r="D904" s="42" t="s">
        <v>233</v>
      </c>
      <c r="E904" s="43" t="s">
        <v>58</v>
      </c>
      <c r="F904" s="43">
        <v>9645837227</v>
      </c>
      <c r="G904" s="44">
        <v>0</v>
      </c>
      <c r="H904" s="44">
        <v>0</v>
      </c>
      <c r="I904" s="44">
        <v>0</v>
      </c>
      <c r="J904" s="44">
        <v>0</v>
      </c>
      <c r="K904" s="44">
        <v>0</v>
      </c>
      <c r="L904" s="43">
        <v>9645837227</v>
      </c>
      <c r="M904" s="44">
        <v>0</v>
      </c>
      <c r="N904" s="43">
        <v>803819769</v>
      </c>
      <c r="O904" s="43">
        <v>803819769</v>
      </c>
      <c r="P904" s="44">
        <v>0</v>
      </c>
      <c r="Q904" s="43">
        <v>803819769</v>
      </c>
      <c r="R904" s="43">
        <v>803819769</v>
      </c>
      <c r="S904" s="43">
        <v>0</v>
      </c>
      <c r="T904" s="43">
        <v>803819769</v>
      </c>
      <c r="U904" s="43">
        <v>803819769</v>
      </c>
      <c r="V904" s="30">
        <f t="shared" ref="V904:V908" si="300">S904+U904</f>
        <v>803819769</v>
      </c>
      <c r="W904" s="43">
        <v>8842017458</v>
      </c>
      <c r="X904" s="43">
        <v>0</v>
      </c>
      <c r="Y904" s="43">
        <v>0</v>
      </c>
      <c r="Z904" s="32">
        <f t="shared" ref="Z904:Z906" si="301">R904/L904</f>
        <v>8.333333334197264E-2</v>
      </c>
    </row>
    <row r="905" spans="1:26" x14ac:dyDescent="0.2">
      <c r="A905" s="4" t="s">
        <v>55</v>
      </c>
      <c r="B905" s="4" t="s">
        <v>56</v>
      </c>
      <c r="C905" s="41" t="s">
        <v>742</v>
      </c>
      <c r="D905" s="42" t="s">
        <v>743</v>
      </c>
      <c r="E905" s="43" t="s">
        <v>744</v>
      </c>
      <c r="F905" s="43">
        <v>1148574460</v>
      </c>
      <c r="G905" s="44">
        <v>0</v>
      </c>
      <c r="H905" s="44">
        <v>0</v>
      </c>
      <c r="I905" s="44">
        <v>0</v>
      </c>
      <c r="J905" s="44">
        <v>0</v>
      </c>
      <c r="K905" s="44">
        <v>0</v>
      </c>
      <c r="L905" s="43">
        <v>1148574460</v>
      </c>
      <c r="M905" s="44">
        <v>0</v>
      </c>
      <c r="N905" s="43">
        <v>95714538</v>
      </c>
      <c r="O905" s="43">
        <v>95714538</v>
      </c>
      <c r="P905" s="44">
        <v>0</v>
      </c>
      <c r="Q905" s="43">
        <v>95714538</v>
      </c>
      <c r="R905" s="43">
        <v>95714538</v>
      </c>
      <c r="S905" s="43">
        <v>95714538</v>
      </c>
      <c r="T905" s="44">
        <v>0</v>
      </c>
      <c r="U905" s="44">
        <v>0</v>
      </c>
      <c r="V905" s="30">
        <f t="shared" si="300"/>
        <v>95714538</v>
      </c>
      <c r="W905" s="43">
        <v>1052859922</v>
      </c>
      <c r="X905" s="43">
        <v>0</v>
      </c>
      <c r="Y905" s="43">
        <v>0</v>
      </c>
      <c r="Z905" s="32">
        <f t="shared" si="301"/>
        <v>8.3333333043118504E-2</v>
      </c>
    </row>
    <row r="906" spans="1:26" x14ac:dyDescent="0.2">
      <c r="A906" s="4" t="s">
        <v>55</v>
      </c>
      <c r="B906" s="4" t="s">
        <v>56</v>
      </c>
      <c r="C906" s="41" t="s">
        <v>745</v>
      </c>
      <c r="D906" s="42" t="s">
        <v>281</v>
      </c>
      <c r="E906" s="43" t="s">
        <v>253</v>
      </c>
      <c r="F906" s="43">
        <v>3200000000</v>
      </c>
      <c r="G906" s="44">
        <v>0</v>
      </c>
      <c r="H906" s="44">
        <v>0</v>
      </c>
      <c r="I906" s="44">
        <v>0</v>
      </c>
      <c r="J906" s="44">
        <v>0</v>
      </c>
      <c r="K906" s="44">
        <v>0</v>
      </c>
      <c r="L906" s="43">
        <v>3200000000</v>
      </c>
      <c r="M906" s="44">
        <v>0</v>
      </c>
      <c r="N906" s="43">
        <v>340000000</v>
      </c>
      <c r="O906" s="43">
        <v>340000000</v>
      </c>
      <c r="P906" s="44">
        <v>0</v>
      </c>
      <c r="Q906" s="43">
        <v>340000000</v>
      </c>
      <c r="R906" s="43">
        <v>340000000</v>
      </c>
      <c r="S906" s="43">
        <v>340000000</v>
      </c>
      <c r="T906" s="44">
        <v>0</v>
      </c>
      <c r="U906" s="44">
        <v>0</v>
      </c>
      <c r="V906" s="30">
        <f t="shared" si="300"/>
        <v>340000000</v>
      </c>
      <c r="W906" s="43">
        <v>2860000000</v>
      </c>
      <c r="X906" s="43">
        <v>0</v>
      </c>
      <c r="Y906" s="43">
        <v>0</v>
      </c>
      <c r="Z906" s="32">
        <f t="shared" si="301"/>
        <v>0.10625</v>
      </c>
    </row>
    <row r="907" spans="1:26" ht="25.5" x14ac:dyDescent="0.2">
      <c r="A907" s="4" t="s">
        <v>55</v>
      </c>
      <c r="B907" s="4" t="s">
        <v>56</v>
      </c>
      <c r="C907" s="41" t="s">
        <v>746</v>
      </c>
      <c r="D907" s="42" t="s">
        <v>747</v>
      </c>
      <c r="E907" s="43" t="s">
        <v>258</v>
      </c>
      <c r="F907" s="43">
        <v>35443183</v>
      </c>
      <c r="G907" s="44">
        <v>0</v>
      </c>
      <c r="H907" s="44">
        <v>0</v>
      </c>
      <c r="I907" s="44">
        <v>0</v>
      </c>
      <c r="J907" s="44">
        <v>0</v>
      </c>
      <c r="K907" s="44">
        <v>0</v>
      </c>
      <c r="L907" s="43">
        <v>35443183</v>
      </c>
      <c r="M907" s="44">
        <v>0</v>
      </c>
      <c r="N907" s="44">
        <v>0</v>
      </c>
      <c r="O907" s="44">
        <v>0</v>
      </c>
      <c r="P907" s="44">
        <v>0</v>
      </c>
      <c r="Q907" s="44">
        <v>0</v>
      </c>
      <c r="R907" s="44">
        <v>0</v>
      </c>
      <c r="S907" s="44">
        <v>0</v>
      </c>
      <c r="T907" s="44">
        <v>0</v>
      </c>
      <c r="U907" s="44">
        <v>0</v>
      </c>
      <c r="V907" s="31">
        <f t="shared" si="300"/>
        <v>0</v>
      </c>
      <c r="W907" s="43">
        <v>35443183</v>
      </c>
      <c r="X907" s="43">
        <v>0</v>
      </c>
      <c r="Y907" s="43">
        <v>0</v>
      </c>
      <c r="Z907" s="43">
        <v>0</v>
      </c>
    </row>
    <row r="908" spans="1:26" x14ac:dyDescent="0.2">
      <c r="A908" s="4" t="s">
        <v>55</v>
      </c>
      <c r="B908" s="4" t="s">
        <v>56</v>
      </c>
      <c r="C908" s="41" t="s">
        <v>748</v>
      </c>
      <c r="D908" s="42" t="s">
        <v>749</v>
      </c>
      <c r="E908" s="43" t="s">
        <v>368</v>
      </c>
      <c r="F908" s="43">
        <v>30000000</v>
      </c>
      <c r="G908" s="44">
        <v>0</v>
      </c>
      <c r="H908" s="44">
        <v>0</v>
      </c>
      <c r="I908" s="44">
        <v>0</v>
      </c>
      <c r="J908" s="44">
        <v>0</v>
      </c>
      <c r="K908" s="44">
        <v>0</v>
      </c>
      <c r="L908" s="43">
        <v>30000000</v>
      </c>
      <c r="M908" s="44">
        <v>0</v>
      </c>
      <c r="N908" s="44">
        <v>0</v>
      </c>
      <c r="O908" s="44">
        <v>0</v>
      </c>
      <c r="P908" s="44">
        <v>0</v>
      </c>
      <c r="Q908" s="44">
        <v>0</v>
      </c>
      <c r="R908" s="44">
        <v>0</v>
      </c>
      <c r="S908" s="44">
        <v>0</v>
      </c>
      <c r="T908" s="44">
        <v>0</v>
      </c>
      <c r="U908" s="44">
        <v>0</v>
      </c>
      <c r="V908" s="31">
        <f t="shared" si="300"/>
        <v>0</v>
      </c>
      <c r="W908" s="43">
        <v>30000000</v>
      </c>
      <c r="X908" s="43">
        <v>0</v>
      </c>
      <c r="Y908" s="43">
        <v>0</v>
      </c>
      <c r="Z908" s="43">
        <v>0</v>
      </c>
    </row>
    <row r="909" spans="1:26" x14ac:dyDescent="0.2">
      <c r="C909" s="16"/>
      <c r="D909" s="17"/>
      <c r="E909" s="17"/>
      <c r="F909" s="18"/>
      <c r="G909" s="34"/>
      <c r="H909" s="34"/>
      <c r="I909" s="34"/>
      <c r="J909" s="34"/>
      <c r="K909" s="34"/>
      <c r="L909" s="18"/>
      <c r="M909" s="34"/>
      <c r="N909" s="18"/>
      <c r="O909" s="18"/>
      <c r="P909" s="34"/>
      <c r="Q909" s="18"/>
      <c r="R909" s="18"/>
      <c r="S909" s="18"/>
      <c r="T909" s="18"/>
      <c r="U909" s="18"/>
      <c r="V909" s="30"/>
      <c r="W909" s="18"/>
      <c r="X909" s="18"/>
      <c r="Y909" s="18"/>
      <c r="Z909" s="18"/>
    </row>
    <row r="910" spans="1:26" s="50" customFormat="1" x14ac:dyDescent="0.2">
      <c r="B910" s="77"/>
      <c r="C910" s="46"/>
      <c r="D910" s="47" t="s">
        <v>750</v>
      </c>
      <c r="E910" s="22" t="s">
        <v>751</v>
      </c>
      <c r="F910" s="22">
        <f>SUM(F904:F909)</f>
        <v>14059854870</v>
      </c>
      <c r="G910" s="23">
        <f t="shared" ref="G910:Y910" si="302">SUM(G904:G909)</f>
        <v>0</v>
      </c>
      <c r="H910" s="23">
        <f t="shared" si="302"/>
        <v>0</v>
      </c>
      <c r="I910" s="23">
        <f t="shared" si="302"/>
        <v>0</v>
      </c>
      <c r="J910" s="23">
        <f t="shared" si="302"/>
        <v>0</v>
      </c>
      <c r="K910" s="23">
        <f t="shared" si="302"/>
        <v>0</v>
      </c>
      <c r="L910" s="22">
        <f t="shared" si="302"/>
        <v>14059854870</v>
      </c>
      <c r="M910" s="23">
        <f t="shared" si="302"/>
        <v>0</v>
      </c>
      <c r="N910" s="22">
        <f t="shared" si="302"/>
        <v>1239534307</v>
      </c>
      <c r="O910" s="22">
        <f t="shared" si="302"/>
        <v>1239534307</v>
      </c>
      <c r="P910" s="23">
        <f t="shared" si="302"/>
        <v>0</v>
      </c>
      <c r="Q910" s="22">
        <f t="shared" si="302"/>
        <v>1239534307</v>
      </c>
      <c r="R910" s="22">
        <f t="shared" si="302"/>
        <v>1239534307</v>
      </c>
      <c r="S910" s="22">
        <f t="shared" si="302"/>
        <v>435714538</v>
      </c>
      <c r="T910" s="22">
        <f t="shared" si="302"/>
        <v>803819769</v>
      </c>
      <c r="U910" s="22">
        <f t="shared" si="302"/>
        <v>803819769</v>
      </c>
      <c r="V910" s="22">
        <f>S910+U910</f>
        <v>1239534307</v>
      </c>
      <c r="W910" s="22">
        <f t="shared" si="302"/>
        <v>12820320563</v>
      </c>
      <c r="X910" s="22">
        <f t="shared" si="302"/>
        <v>0</v>
      </c>
      <c r="Y910" s="22">
        <f t="shared" si="302"/>
        <v>0</v>
      </c>
      <c r="Z910" s="24">
        <f t="shared" ref="Z910" si="303">R910/L910</f>
        <v>8.8161244796689714E-2</v>
      </c>
    </row>
    <row r="911" spans="1:26" x14ac:dyDescent="0.2">
      <c r="C911" s="16"/>
      <c r="D911" s="17"/>
      <c r="E911" s="17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x14ac:dyDescent="0.2">
      <c r="C912" s="16"/>
      <c r="D912" s="29" t="s">
        <v>207</v>
      </c>
      <c r="E912" s="17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x14ac:dyDescent="0.2">
      <c r="C913" s="16"/>
      <c r="D913" s="29" t="s">
        <v>285</v>
      </c>
      <c r="E913" s="17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x14ac:dyDescent="0.2">
      <c r="C914" s="16"/>
      <c r="D914" s="29" t="s">
        <v>202</v>
      </c>
      <c r="E914" s="17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x14ac:dyDescent="0.2">
      <c r="C915" s="16"/>
      <c r="D915" s="29" t="s">
        <v>203</v>
      </c>
      <c r="E915" s="17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x14ac:dyDescent="0.2">
      <c r="C916" s="16"/>
      <c r="D916" s="29" t="s">
        <v>752</v>
      </c>
      <c r="E916" s="17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25.5" x14ac:dyDescent="0.2">
      <c r="C917" s="16"/>
      <c r="D917" s="29" t="s">
        <v>205</v>
      </c>
      <c r="E917" s="17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25.5" x14ac:dyDescent="0.2">
      <c r="C918" s="16"/>
      <c r="D918" s="29" t="s">
        <v>205</v>
      </c>
      <c r="E918" s="17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30"/>
      <c r="W918" s="18"/>
      <c r="X918" s="18"/>
      <c r="Y918" s="18"/>
      <c r="Z918" s="18"/>
    </row>
    <row r="919" spans="1:26" ht="25.5" x14ac:dyDescent="0.2">
      <c r="C919" s="28" t="s">
        <v>288</v>
      </c>
      <c r="D919" s="29" t="s">
        <v>753</v>
      </c>
      <c r="E919" s="17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30"/>
      <c r="W919" s="18"/>
      <c r="X919" s="18"/>
      <c r="Y919" s="18"/>
      <c r="Z919" s="18"/>
    </row>
    <row r="920" spans="1:26" x14ac:dyDescent="0.2">
      <c r="A920" s="4" t="s">
        <v>55</v>
      </c>
      <c r="B920" s="4" t="s">
        <v>56</v>
      </c>
      <c r="C920" s="41" t="s">
        <v>754</v>
      </c>
      <c r="D920" s="42" t="s">
        <v>233</v>
      </c>
      <c r="E920" s="43" t="s">
        <v>58</v>
      </c>
      <c r="F920" s="43">
        <v>3500000000</v>
      </c>
      <c r="G920" s="44">
        <v>0</v>
      </c>
      <c r="H920" s="44">
        <v>0</v>
      </c>
      <c r="I920" s="44">
        <v>0</v>
      </c>
      <c r="J920" s="44">
        <v>0</v>
      </c>
      <c r="K920" s="44">
        <v>0</v>
      </c>
      <c r="L920" s="43">
        <v>3500000000</v>
      </c>
      <c r="M920" s="44">
        <v>0</v>
      </c>
      <c r="N920" s="43">
        <v>291666667</v>
      </c>
      <c r="O920" s="43">
        <v>291666667</v>
      </c>
      <c r="P920" s="44">
        <v>0</v>
      </c>
      <c r="Q920" s="43">
        <v>291666667</v>
      </c>
      <c r="R920" s="43">
        <v>291666667</v>
      </c>
      <c r="S920" s="44">
        <v>0</v>
      </c>
      <c r="T920" s="43">
        <v>291666667</v>
      </c>
      <c r="U920" s="43">
        <v>291666667</v>
      </c>
      <c r="V920" s="30">
        <f t="shared" ref="V920:V921" si="304">S920+U920</f>
        <v>291666667</v>
      </c>
      <c r="W920" s="43">
        <v>3208333333</v>
      </c>
      <c r="X920" s="43">
        <v>0</v>
      </c>
      <c r="Y920" s="43">
        <v>0</v>
      </c>
      <c r="Z920" s="32">
        <f t="shared" ref="Z920:Z921" si="305">R920/L920</f>
        <v>8.3333333428571424E-2</v>
      </c>
    </row>
    <row r="921" spans="1:26" x14ac:dyDescent="0.2">
      <c r="A921" s="4" t="s">
        <v>55</v>
      </c>
      <c r="B921" s="4" t="s">
        <v>56</v>
      </c>
      <c r="C921" s="41" t="s">
        <v>755</v>
      </c>
      <c r="D921" s="42" t="s">
        <v>756</v>
      </c>
      <c r="E921" s="43" t="s">
        <v>757</v>
      </c>
      <c r="F921" s="43">
        <v>103000000</v>
      </c>
      <c r="G921" s="44">
        <v>0</v>
      </c>
      <c r="H921" s="44">
        <v>0</v>
      </c>
      <c r="I921" s="44">
        <v>0</v>
      </c>
      <c r="J921" s="44">
        <v>0</v>
      </c>
      <c r="K921" s="44">
        <v>0</v>
      </c>
      <c r="L921" s="43">
        <v>103000000</v>
      </c>
      <c r="M921" s="44">
        <v>0</v>
      </c>
      <c r="N921" s="43">
        <v>0</v>
      </c>
      <c r="O921" s="43">
        <v>0</v>
      </c>
      <c r="P921" s="44">
        <v>0</v>
      </c>
      <c r="Q921" s="43">
        <v>0</v>
      </c>
      <c r="R921" s="43">
        <v>0</v>
      </c>
      <c r="S921" s="44">
        <v>0</v>
      </c>
      <c r="T921" s="44">
        <v>0</v>
      </c>
      <c r="U921" s="44">
        <v>0</v>
      </c>
      <c r="V921" s="31">
        <f t="shared" si="304"/>
        <v>0</v>
      </c>
      <c r="W921" s="43">
        <v>103000000</v>
      </c>
      <c r="X921" s="43">
        <v>0</v>
      </c>
      <c r="Y921" s="43">
        <v>0</v>
      </c>
      <c r="Z921" s="32">
        <f t="shared" si="305"/>
        <v>0</v>
      </c>
    </row>
    <row r="922" spans="1:26" x14ac:dyDescent="0.2">
      <c r="C922" s="16"/>
      <c r="D922" s="17"/>
      <c r="E922" s="17"/>
      <c r="F922" s="18"/>
      <c r="G922" s="34"/>
      <c r="H922" s="34"/>
      <c r="I922" s="34"/>
      <c r="J922" s="34"/>
      <c r="K922" s="34"/>
      <c r="L922" s="18"/>
      <c r="M922" s="34"/>
      <c r="N922" s="18"/>
      <c r="O922" s="18"/>
      <c r="P922" s="34"/>
      <c r="Q922" s="18"/>
      <c r="R922" s="18"/>
      <c r="S922" s="34"/>
      <c r="T922" s="18"/>
      <c r="U922" s="18"/>
      <c r="V922" s="30"/>
      <c r="W922" s="18"/>
      <c r="X922" s="18"/>
      <c r="Y922" s="18"/>
      <c r="Z922" s="18"/>
    </row>
    <row r="923" spans="1:26" s="50" customFormat="1" x14ac:dyDescent="0.2">
      <c r="B923" s="77"/>
      <c r="C923" s="46"/>
      <c r="D923" s="47" t="s">
        <v>758</v>
      </c>
      <c r="E923" s="22" t="s">
        <v>759</v>
      </c>
      <c r="F923" s="22">
        <f>SUM(F920:F922)</f>
        <v>3603000000</v>
      </c>
      <c r="G923" s="23">
        <f t="shared" ref="G923:Z923" si="306">SUM(G920:G922)</f>
        <v>0</v>
      </c>
      <c r="H923" s="23">
        <f t="shared" si="306"/>
        <v>0</v>
      </c>
      <c r="I923" s="23">
        <f t="shared" si="306"/>
        <v>0</v>
      </c>
      <c r="J923" s="23">
        <f t="shared" si="306"/>
        <v>0</v>
      </c>
      <c r="K923" s="23">
        <f t="shared" si="306"/>
        <v>0</v>
      </c>
      <c r="L923" s="22">
        <f t="shared" si="306"/>
        <v>3603000000</v>
      </c>
      <c r="M923" s="23">
        <f t="shared" si="306"/>
        <v>0</v>
      </c>
      <c r="N923" s="22">
        <f t="shared" si="306"/>
        <v>291666667</v>
      </c>
      <c r="O923" s="22">
        <f t="shared" si="306"/>
        <v>291666667</v>
      </c>
      <c r="P923" s="23">
        <f t="shared" si="306"/>
        <v>0</v>
      </c>
      <c r="Q923" s="22">
        <f t="shared" si="306"/>
        <v>291666667</v>
      </c>
      <c r="R923" s="22">
        <f t="shared" si="306"/>
        <v>291666667</v>
      </c>
      <c r="S923" s="23">
        <f t="shared" si="306"/>
        <v>0</v>
      </c>
      <c r="T923" s="22">
        <f t="shared" si="306"/>
        <v>291666667</v>
      </c>
      <c r="U923" s="22">
        <f t="shared" si="306"/>
        <v>291666667</v>
      </c>
      <c r="V923" s="22">
        <f>S923+U923</f>
        <v>291666667</v>
      </c>
      <c r="W923" s="22">
        <f t="shared" si="306"/>
        <v>3311333333</v>
      </c>
      <c r="X923" s="22">
        <f t="shared" si="306"/>
        <v>0</v>
      </c>
      <c r="Y923" s="22">
        <f t="shared" si="306"/>
        <v>0</v>
      </c>
      <c r="Z923" s="22">
        <f t="shared" si="306"/>
        <v>8.3333333428571424E-2</v>
      </c>
    </row>
    <row r="924" spans="1:26" x14ac:dyDescent="0.2">
      <c r="C924" s="16"/>
      <c r="D924" s="17"/>
      <c r="E924" s="17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s="25" customFormat="1" x14ac:dyDescent="0.2">
      <c r="B925" s="71"/>
      <c r="C925" s="66"/>
      <c r="D925" s="21" t="s">
        <v>760</v>
      </c>
      <c r="E925" s="67"/>
      <c r="F925" s="63"/>
      <c r="G925" s="63"/>
      <c r="H925" s="63"/>
      <c r="I925" s="63"/>
      <c r="J925" s="63"/>
      <c r="K925" s="63"/>
      <c r="L925" s="63"/>
      <c r="M925" s="63"/>
      <c r="N925" s="63"/>
      <c r="O925" s="63"/>
      <c r="P925" s="63"/>
      <c r="Q925" s="63"/>
      <c r="R925" s="63"/>
      <c r="S925" s="63"/>
      <c r="T925" s="63"/>
      <c r="U925" s="63"/>
      <c r="V925" s="63"/>
      <c r="W925" s="63"/>
      <c r="X925" s="63"/>
      <c r="Y925" s="63"/>
      <c r="Z925" s="63"/>
    </row>
    <row r="926" spans="1:26" x14ac:dyDescent="0.2">
      <c r="C926" s="16"/>
      <c r="D926" s="29" t="s">
        <v>285</v>
      </c>
      <c r="E926" s="17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x14ac:dyDescent="0.2">
      <c r="C927" s="16"/>
      <c r="D927" s="29" t="s">
        <v>177</v>
      </c>
      <c r="E927" s="17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x14ac:dyDescent="0.2">
      <c r="C928" s="16"/>
      <c r="D928" s="29" t="s">
        <v>179</v>
      </c>
      <c r="E928" s="17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x14ac:dyDescent="0.2">
      <c r="C929" s="16"/>
      <c r="D929" s="29" t="s">
        <v>761</v>
      </c>
      <c r="E929" s="17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25.5" x14ac:dyDescent="0.2">
      <c r="C930" s="16"/>
      <c r="D930" s="29" t="s">
        <v>298</v>
      </c>
      <c r="E930" s="17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51" x14ac:dyDescent="0.2">
      <c r="C931" s="28" t="s">
        <v>288</v>
      </c>
      <c r="D931" s="29" t="s">
        <v>762</v>
      </c>
      <c r="E931" s="17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30">
        <f t="shared" ref="V931:V935" si="307">S931+U931</f>
        <v>0</v>
      </c>
      <c r="W931" s="18"/>
      <c r="X931" s="18"/>
      <c r="Y931" s="18"/>
      <c r="Z931" s="18"/>
    </row>
    <row r="932" spans="1:26" x14ac:dyDescent="0.2">
      <c r="A932" s="4" t="s">
        <v>55</v>
      </c>
      <c r="B932" s="4" t="s">
        <v>56</v>
      </c>
      <c r="C932" s="41" t="s">
        <v>763</v>
      </c>
      <c r="D932" s="42" t="s">
        <v>233</v>
      </c>
      <c r="E932" s="43" t="s">
        <v>58</v>
      </c>
      <c r="F932" s="43">
        <v>123000000</v>
      </c>
      <c r="G932" s="44">
        <v>0</v>
      </c>
      <c r="H932" s="44">
        <v>0</v>
      </c>
      <c r="I932" s="44">
        <v>0</v>
      </c>
      <c r="J932" s="44">
        <v>0</v>
      </c>
      <c r="K932" s="44">
        <v>0</v>
      </c>
      <c r="L932" s="43">
        <v>123000000</v>
      </c>
      <c r="M932" s="44">
        <v>0</v>
      </c>
      <c r="N932" s="43">
        <v>107580000</v>
      </c>
      <c r="O932" s="43">
        <v>107580000</v>
      </c>
      <c r="P932" s="44">
        <v>0</v>
      </c>
      <c r="Q932" s="43">
        <v>107580000</v>
      </c>
      <c r="R932" s="43">
        <v>107580000</v>
      </c>
      <c r="S932" s="44">
        <v>0</v>
      </c>
      <c r="T932" s="44">
        <v>0</v>
      </c>
      <c r="U932" s="44">
        <v>0</v>
      </c>
      <c r="V932" s="31">
        <f t="shared" si="307"/>
        <v>0</v>
      </c>
      <c r="W932" s="43">
        <v>15420000</v>
      </c>
      <c r="X932" s="43">
        <v>0</v>
      </c>
      <c r="Y932" s="43">
        <v>107580000</v>
      </c>
      <c r="Z932" s="32">
        <f t="shared" ref="Z932" si="308">R932/L932</f>
        <v>0.87463414634146341</v>
      </c>
    </row>
    <row r="933" spans="1:26" x14ac:dyDescent="0.2">
      <c r="C933" s="28" t="s">
        <v>288</v>
      </c>
      <c r="D933" s="29" t="s">
        <v>764</v>
      </c>
      <c r="E933" s="17"/>
      <c r="F933" s="18"/>
      <c r="G933" s="18"/>
      <c r="H933" s="18"/>
      <c r="I933" s="18"/>
      <c r="J933" s="18"/>
      <c r="K933" s="18"/>
      <c r="L933" s="18"/>
      <c r="M933" s="34"/>
      <c r="N933" s="18"/>
      <c r="O933" s="18"/>
      <c r="P933" s="34"/>
      <c r="Q933" s="18"/>
      <c r="R933" s="18"/>
      <c r="S933" s="34"/>
      <c r="T933" s="34"/>
      <c r="U933" s="34"/>
      <c r="V933" s="31">
        <f t="shared" si="307"/>
        <v>0</v>
      </c>
      <c r="W933" s="18"/>
      <c r="X933" s="18"/>
      <c r="Y933" s="18"/>
      <c r="Z933" s="18"/>
    </row>
    <row r="934" spans="1:26" x14ac:dyDescent="0.2">
      <c r="A934" s="4" t="s">
        <v>55</v>
      </c>
      <c r="B934" s="4" t="s">
        <v>56</v>
      </c>
      <c r="C934" s="41" t="s">
        <v>765</v>
      </c>
      <c r="D934" s="42" t="s">
        <v>233</v>
      </c>
      <c r="E934" s="43" t="s">
        <v>58</v>
      </c>
      <c r="F934" s="43">
        <v>77000000</v>
      </c>
      <c r="G934" s="44">
        <v>0</v>
      </c>
      <c r="H934" s="44">
        <v>0</v>
      </c>
      <c r="I934" s="44">
        <v>0</v>
      </c>
      <c r="J934" s="44">
        <v>0</v>
      </c>
      <c r="K934" s="44">
        <v>0</v>
      </c>
      <c r="L934" s="43">
        <v>77000000</v>
      </c>
      <c r="M934" s="44">
        <v>0</v>
      </c>
      <c r="N934" s="43">
        <v>77000000</v>
      </c>
      <c r="O934" s="43">
        <v>77000000</v>
      </c>
      <c r="P934" s="44">
        <v>0</v>
      </c>
      <c r="Q934" s="43">
        <v>0</v>
      </c>
      <c r="R934" s="43">
        <v>0</v>
      </c>
      <c r="S934" s="44">
        <v>0</v>
      </c>
      <c r="T934" s="44">
        <v>0</v>
      </c>
      <c r="U934" s="44">
        <v>0</v>
      </c>
      <c r="V934" s="31">
        <f t="shared" si="307"/>
        <v>0</v>
      </c>
      <c r="W934" s="43">
        <v>0</v>
      </c>
      <c r="X934" s="43">
        <v>77000000</v>
      </c>
      <c r="Y934" s="43">
        <v>0</v>
      </c>
      <c r="Z934" s="32">
        <f t="shared" ref="Z934" si="309">R934/L934</f>
        <v>0</v>
      </c>
    </row>
    <row r="935" spans="1:26" x14ac:dyDescent="0.2">
      <c r="C935" s="16"/>
      <c r="D935" s="17"/>
      <c r="E935" s="17"/>
      <c r="F935" s="18"/>
      <c r="G935" s="34"/>
      <c r="H935" s="34"/>
      <c r="I935" s="34"/>
      <c r="J935" s="34"/>
      <c r="K935" s="34"/>
      <c r="L935" s="18"/>
      <c r="M935" s="34"/>
      <c r="N935" s="18"/>
      <c r="O935" s="18"/>
      <c r="P935" s="34"/>
      <c r="Q935" s="18"/>
      <c r="R935" s="18"/>
      <c r="S935" s="34"/>
      <c r="T935" s="34"/>
      <c r="U935" s="34"/>
      <c r="V935" s="31">
        <f t="shared" si="307"/>
        <v>0</v>
      </c>
      <c r="W935" s="18"/>
      <c r="X935" s="18"/>
      <c r="Y935" s="18"/>
      <c r="Z935" s="18"/>
    </row>
    <row r="936" spans="1:26" s="50" customFormat="1" x14ac:dyDescent="0.2">
      <c r="B936" s="77"/>
      <c r="C936" s="46"/>
      <c r="D936" s="47" t="s">
        <v>766</v>
      </c>
      <c r="E936" s="22" t="s">
        <v>767</v>
      </c>
      <c r="F936" s="22">
        <f>SUM(F931:F934)</f>
        <v>200000000</v>
      </c>
      <c r="G936" s="23">
        <f t="shared" ref="G936:Y936" si="310">SUM(G931:G934)</f>
        <v>0</v>
      </c>
      <c r="H936" s="23">
        <f t="shared" si="310"/>
        <v>0</v>
      </c>
      <c r="I936" s="23">
        <f t="shared" si="310"/>
        <v>0</v>
      </c>
      <c r="J936" s="23">
        <f t="shared" si="310"/>
        <v>0</v>
      </c>
      <c r="K936" s="23">
        <f t="shared" si="310"/>
        <v>0</v>
      </c>
      <c r="L936" s="22">
        <f t="shared" si="310"/>
        <v>200000000</v>
      </c>
      <c r="M936" s="23">
        <f t="shared" si="310"/>
        <v>0</v>
      </c>
      <c r="N936" s="22">
        <f t="shared" si="310"/>
        <v>184580000</v>
      </c>
      <c r="O936" s="22">
        <f t="shared" si="310"/>
        <v>184580000</v>
      </c>
      <c r="P936" s="23">
        <f t="shared" si="310"/>
        <v>0</v>
      </c>
      <c r="Q936" s="22">
        <f t="shared" si="310"/>
        <v>107580000</v>
      </c>
      <c r="R936" s="22">
        <f t="shared" si="310"/>
        <v>107580000</v>
      </c>
      <c r="S936" s="23">
        <f t="shared" si="310"/>
        <v>0</v>
      </c>
      <c r="T936" s="23">
        <f t="shared" si="310"/>
        <v>0</v>
      </c>
      <c r="U936" s="23">
        <f t="shared" si="310"/>
        <v>0</v>
      </c>
      <c r="V936" s="23">
        <f>S936+U936</f>
        <v>0</v>
      </c>
      <c r="W936" s="22">
        <f t="shared" si="310"/>
        <v>15420000</v>
      </c>
      <c r="X936" s="22">
        <f t="shared" si="310"/>
        <v>77000000</v>
      </c>
      <c r="Y936" s="22">
        <f t="shared" si="310"/>
        <v>107580000</v>
      </c>
      <c r="Z936" s="24">
        <f t="shared" ref="Z936" si="311">R936/L936</f>
        <v>0.53790000000000004</v>
      </c>
    </row>
    <row r="937" spans="1:26" x14ac:dyDescent="0.2">
      <c r="C937" s="16"/>
      <c r="D937" s="17"/>
      <c r="E937" s="17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s="25" customFormat="1" x14ac:dyDescent="0.2">
      <c r="B938" s="71"/>
      <c r="C938" s="66"/>
      <c r="D938" s="21" t="s">
        <v>768</v>
      </c>
      <c r="E938" s="67"/>
      <c r="F938" s="63"/>
      <c r="G938" s="63"/>
      <c r="H938" s="63"/>
      <c r="I938" s="63"/>
      <c r="J938" s="63"/>
      <c r="K938" s="63"/>
      <c r="L938" s="63"/>
      <c r="M938" s="63"/>
      <c r="N938" s="63"/>
      <c r="O938" s="63"/>
      <c r="P938" s="63"/>
      <c r="Q938" s="63"/>
      <c r="R938" s="63"/>
      <c r="S938" s="63"/>
      <c r="T938" s="63"/>
      <c r="U938" s="63"/>
      <c r="V938" s="63"/>
      <c r="W938" s="63"/>
      <c r="X938" s="63"/>
      <c r="Y938" s="63"/>
      <c r="Z938" s="63"/>
    </row>
    <row r="939" spans="1:26" x14ac:dyDescent="0.2">
      <c r="C939" s="16"/>
      <c r="D939" s="29" t="s">
        <v>285</v>
      </c>
      <c r="E939" s="17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x14ac:dyDescent="0.2">
      <c r="C940" s="16"/>
      <c r="D940" s="29" t="s">
        <v>202</v>
      </c>
      <c r="E940" s="17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x14ac:dyDescent="0.2">
      <c r="C941" s="16"/>
      <c r="D941" s="29" t="s">
        <v>203</v>
      </c>
      <c r="E941" s="17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x14ac:dyDescent="0.2">
      <c r="C942" s="16"/>
      <c r="D942" s="29" t="s">
        <v>204</v>
      </c>
      <c r="E942" s="17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25.5" x14ac:dyDescent="0.2">
      <c r="C943" s="16"/>
      <c r="D943" s="29" t="s">
        <v>205</v>
      </c>
      <c r="E943" s="17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25.5" x14ac:dyDescent="0.2">
      <c r="C944" s="28" t="s">
        <v>288</v>
      </c>
      <c r="D944" s="29" t="s">
        <v>769</v>
      </c>
      <c r="E944" s="17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30"/>
      <c r="W944" s="18"/>
      <c r="X944" s="18"/>
      <c r="Y944" s="18"/>
      <c r="Z944" s="18"/>
    </row>
    <row r="945" spans="1:26" x14ac:dyDescent="0.2">
      <c r="A945" s="4" t="s">
        <v>55</v>
      </c>
      <c r="B945" s="4" t="s">
        <v>56</v>
      </c>
      <c r="C945" s="41" t="s">
        <v>770</v>
      </c>
      <c r="D945" s="42" t="s">
        <v>233</v>
      </c>
      <c r="E945" s="43" t="s">
        <v>58</v>
      </c>
      <c r="F945" s="43">
        <v>4000000000</v>
      </c>
      <c r="G945" s="44">
        <v>0</v>
      </c>
      <c r="H945" s="44">
        <v>0</v>
      </c>
      <c r="I945" s="44">
        <v>0</v>
      </c>
      <c r="J945" s="44">
        <v>0</v>
      </c>
      <c r="K945" s="44">
        <v>0</v>
      </c>
      <c r="L945" s="43">
        <v>4000000000</v>
      </c>
      <c r="M945" s="44">
        <v>0</v>
      </c>
      <c r="N945" s="43">
        <v>333333333</v>
      </c>
      <c r="O945" s="43">
        <v>333333333</v>
      </c>
      <c r="P945" s="44">
        <v>0</v>
      </c>
      <c r="Q945" s="43">
        <v>333333333</v>
      </c>
      <c r="R945" s="43">
        <v>333333333</v>
      </c>
      <c r="S945" s="43">
        <v>0</v>
      </c>
      <c r="T945" s="43">
        <v>333333333</v>
      </c>
      <c r="U945" s="43">
        <v>333333333</v>
      </c>
      <c r="V945" s="30">
        <f t="shared" ref="V945:V946" si="312">S945+U945</f>
        <v>333333333</v>
      </c>
      <c r="W945" s="43">
        <v>3666666667</v>
      </c>
      <c r="X945" s="44">
        <v>0</v>
      </c>
      <c r="Y945" s="44">
        <v>0</v>
      </c>
      <c r="Z945" s="32">
        <f t="shared" ref="Z945" si="313">R945/L945</f>
        <v>8.3333333250000002E-2</v>
      </c>
    </row>
    <row r="946" spans="1:26" x14ac:dyDescent="0.2">
      <c r="C946" s="16"/>
      <c r="D946" s="17"/>
      <c r="E946" s="17"/>
      <c r="F946" s="18"/>
      <c r="G946" s="34"/>
      <c r="H946" s="34"/>
      <c r="I946" s="34"/>
      <c r="J946" s="34"/>
      <c r="K946" s="34"/>
      <c r="L946" s="18"/>
      <c r="M946" s="34"/>
      <c r="N946" s="18"/>
      <c r="O946" s="18"/>
      <c r="P946" s="34"/>
      <c r="Q946" s="18"/>
      <c r="R946" s="18"/>
      <c r="S946" s="18"/>
      <c r="T946" s="18"/>
      <c r="U946" s="18"/>
      <c r="V946" s="30">
        <f t="shared" si="312"/>
        <v>0</v>
      </c>
      <c r="W946" s="18"/>
      <c r="X946" s="34"/>
      <c r="Y946" s="34"/>
      <c r="Z946" s="18"/>
    </row>
    <row r="947" spans="1:26" s="50" customFormat="1" x14ac:dyDescent="0.2">
      <c r="B947" s="77"/>
      <c r="C947" s="46"/>
      <c r="D947" s="47" t="s">
        <v>771</v>
      </c>
      <c r="E947" s="22" t="s">
        <v>772</v>
      </c>
      <c r="F947" s="22">
        <f>SUM(F945:F946)</f>
        <v>4000000000</v>
      </c>
      <c r="G947" s="23">
        <f t="shared" ref="G947:Y947" si="314">SUM(G945:G946)</f>
        <v>0</v>
      </c>
      <c r="H947" s="23">
        <f t="shared" si="314"/>
        <v>0</v>
      </c>
      <c r="I947" s="23">
        <f t="shared" si="314"/>
        <v>0</v>
      </c>
      <c r="J947" s="23">
        <f t="shared" si="314"/>
        <v>0</v>
      </c>
      <c r="K947" s="23">
        <f t="shared" si="314"/>
        <v>0</v>
      </c>
      <c r="L947" s="22">
        <f t="shared" si="314"/>
        <v>4000000000</v>
      </c>
      <c r="M947" s="23">
        <f t="shared" si="314"/>
        <v>0</v>
      </c>
      <c r="N947" s="22">
        <f t="shared" si="314"/>
        <v>333333333</v>
      </c>
      <c r="O947" s="22">
        <f t="shared" si="314"/>
        <v>333333333</v>
      </c>
      <c r="P947" s="23">
        <f t="shared" si="314"/>
        <v>0</v>
      </c>
      <c r="Q947" s="22">
        <f t="shared" si="314"/>
        <v>333333333</v>
      </c>
      <c r="R947" s="22">
        <f t="shared" si="314"/>
        <v>333333333</v>
      </c>
      <c r="S947" s="22">
        <f t="shared" si="314"/>
        <v>0</v>
      </c>
      <c r="T947" s="22">
        <f t="shared" si="314"/>
        <v>333333333</v>
      </c>
      <c r="U947" s="22">
        <f t="shared" si="314"/>
        <v>333333333</v>
      </c>
      <c r="V947" s="22">
        <f>S947+U947</f>
        <v>333333333</v>
      </c>
      <c r="W947" s="22">
        <f t="shared" si="314"/>
        <v>3666666667</v>
      </c>
      <c r="X947" s="23">
        <f t="shared" si="314"/>
        <v>0</v>
      </c>
      <c r="Y947" s="23">
        <f t="shared" si="314"/>
        <v>0</v>
      </c>
      <c r="Z947" s="24">
        <f t="shared" ref="Z947" si="315">R947/L947</f>
        <v>8.3333333250000002E-2</v>
      </c>
    </row>
    <row r="948" spans="1:26" x14ac:dyDescent="0.2">
      <c r="C948" s="16"/>
      <c r="D948" s="17"/>
      <c r="E948" s="17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34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s="25" customFormat="1" x14ac:dyDescent="0.2">
      <c r="B949" s="71"/>
      <c r="C949" s="85"/>
      <c r="D949" s="86" t="s">
        <v>773</v>
      </c>
      <c r="E949" s="87"/>
      <c r="F949" s="63"/>
      <c r="G949" s="88"/>
      <c r="H949" s="88"/>
      <c r="I949" s="88"/>
      <c r="J949" s="88"/>
      <c r="K949" s="88"/>
      <c r="L949" s="88"/>
      <c r="M949" s="88"/>
      <c r="N949" s="88"/>
      <c r="O949" s="88"/>
      <c r="P949" s="88"/>
      <c r="Q949" s="88"/>
      <c r="R949" s="88"/>
      <c r="S949" s="88"/>
      <c r="T949" s="88"/>
      <c r="U949" s="88"/>
      <c r="V949" s="88"/>
      <c r="W949" s="88"/>
      <c r="X949" s="88"/>
      <c r="Y949" s="88"/>
      <c r="Z949" s="88"/>
    </row>
    <row r="950" spans="1:26" x14ac:dyDescent="0.2">
      <c r="C950" s="89"/>
      <c r="D950" s="90" t="s">
        <v>676</v>
      </c>
      <c r="E950" s="91"/>
      <c r="F950" s="18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spans="1:26" x14ac:dyDescent="0.2">
      <c r="C951" s="89"/>
      <c r="D951" s="90" t="s">
        <v>286</v>
      </c>
      <c r="E951" s="91"/>
      <c r="F951" s="18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spans="1:26" x14ac:dyDescent="0.2">
      <c r="C952" s="89"/>
      <c r="D952" s="90" t="s">
        <v>179</v>
      </c>
      <c r="E952" s="91"/>
      <c r="F952" s="18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spans="1:26" x14ac:dyDescent="0.2">
      <c r="C953" s="89"/>
      <c r="D953" s="90" t="s">
        <v>189</v>
      </c>
      <c r="E953" s="91"/>
      <c r="F953" s="18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spans="1:26" x14ac:dyDescent="0.2">
      <c r="C954" s="89"/>
      <c r="D954" s="90" t="s">
        <v>191</v>
      </c>
      <c r="E954" s="91"/>
      <c r="F954" s="18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spans="1:26" ht="38.25" x14ac:dyDescent="0.2">
      <c r="C955" s="93" t="s">
        <v>288</v>
      </c>
      <c r="D955" s="90" t="s">
        <v>774</v>
      </c>
      <c r="E955" s="91"/>
      <c r="F955" s="18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30"/>
      <c r="W955" s="92"/>
      <c r="X955" s="92"/>
      <c r="Y955" s="92"/>
      <c r="Z955" s="92"/>
    </row>
    <row r="956" spans="1:26" ht="25.5" x14ac:dyDescent="0.2">
      <c r="C956" s="94" t="s">
        <v>775</v>
      </c>
      <c r="D956" s="95" t="s">
        <v>776</v>
      </c>
      <c r="E956" s="96" t="s">
        <v>777</v>
      </c>
      <c r="F956" s="44">
        <v>0</v>
      </c>
      <c r="G956" s="97">
        <v>0</v>
      </c>
      <c r="H956" s="97">
        <v>0</v>
      </c>
      <c r="I956" s="43">
        <v>5536570240</v>
      </c>
      <c r="J956" s="96">
        <v>0</v>
      </c>
      <c r="K956" s="96">
        <v>5536570240</v>
      </c>
      <c r="L956" s="43">
        <v>5536570240</v>
      </c>
      <c r="M956" s="97">
        <v>0</v>
      </c>
      <c r="N956" s="97">
        <v>0</v>
      </c>
      <c r="O956" s="97">
        <v>0</v>
      </c>
      <c r="P956" s="97">
        <v>0</v>
      </c>
      <c r="Q956" s="97">
        <v>0</v>
      </c>
      <c r="R956" s="97">
        <v>0</v>
      </c>
      <c r="S956" s="96">
        <v>0</v>
      </c>
      <c r="T956" s="96">
        <v>0</v>
      </c>
      <c r="U956" s="96">
        <v>0</v>
      </c>
      <c r="V956" s="31">
        <f t="shared" ref="V956:V998" si="316">S956+U956</f>
        <v>0</v>
      </c>
      <c r="W956" s="43">
        <f>L956-O956</f>
        <v>5536570240</v>
      </c>
      <c r="X956" s="44">
        <f>O956-R956</f>
        <v>0</v>
      </c>
      <c r="Y956" s="44">
        <f>R956-V956</f>
        <v>0</v>
      </c>
      <c r="Z956" s="32">
        <f t="shared" ref="Z956" si="317">R956/L956</f>
        <v>0</v>
      </c>
    </row>
    <row r="957" spans="1:26" ht="25.5" x14ac:dyDescent="0.2">
      <c r="C957" s="93" t="s">
        <v>288</v>
      </c>
      <c r="D957" s="90" t="s">
        <v>778</v>
      </c>
      <c r="E957" s="91"/>
      <c r="F957" s="18"/>
      <c r="G957" s="98"/>
      <c r="H957" s="98"/>
      <c r="I957" s="92"/>
      <c r="J957" s="92"/>
      <c r="K957" s="92"/>
      <c r="L957" s="18"/>
      <c r="M957" s="98"/>
      <c r="N957" s="98"/>
      <c r="O957" s="98"/>
      <c r="P957" s="98"/>
      <c r="Q957" s="98"/>
      <c r="R957" s="98"/>
      <c r="S957" s="92"/>
      <c r="T957" s="92"/>
      <c r="U957" s="92"/>
      <c r="V957" s="31"/>
      <c r="W957" s="18"/>
      <c r="X957" s="34"/>
      <c r="Y957" s="34"/>
      <c r="Z957" s="92"/>
    </row>
    <row r="958" spans="1:26" x14ac:dyDescent="0.2">
      <c r="C958" s="94" t="s">
        <v>779</v>
      </c>
      <c r="D958" s="95" t="s">
        <v>780</v>
      </c>
      <c r="E958" s="96" t="s">
        <v>368</v>
      </c>
      <c r="F958" s="43">
        <v>920421961</v>
      </c>
      <c r="G958" s="97">
        <v>0</v>
      </c>
      <c r="H958" s="97">
        <v>0</v>
      </c>
      <c r="I958" s="96">
        <v>0</v>
      </c>
      <c r="J958" s="96">
        <v>0</v>
      </c>
      <c r="K958" s="96">
        <v>0</v>
      </c>
      <c r="L958" s="43">
        <v>920421961</v>
      </c>
      <c r="M958" s="97">
        <v>0</v>
      </c>
      <c r="N958" s="97">
        <v>0</v>
      </c>
      <c r="O958" s="97">
        <v>0</v>
      </c>
      <c r="P958" s="97">
        <v>0</v>
      </c>
      <c r="Q958" s="97">
        <v>0</v>
      </c>
      <c r="R958" s="97">
        <v>0</v>
      </c>
      <c r="S958" s="96">
        <v>0</v>
      </c>
      <c r="T958" s="96">
        <v>0</v>
      </c>
      <c r="U958" s="96">
        <v>0</v>
      </c>
      <c r="V958" s="31">
        <f t="shared" si="316"/>
        <v>0</v>
      </c>
      <c r="W958" s="43">
        <f t="shared" ref="W958:W959" si="318">L958-O958</f>
        <v>920421961</v>
      </c>
      <c r="X958" s="44">
        <f t="shared" ref="X958:X959" si="319">O958-R958</f>
        <v>0</v>
      </c>
      <c r="Y958" s="44">
        <f t="shared" ref="Y958:Y959" si="320">R958-V958</f>
        <v>0</v>
      </c>
      <c r="Z958" s="32">
        <f t="shared" ref="Z958:Z959" si="321">R958/L958</f>
        <v>0</v>
      </c>
    </row>
    <row r="959" spans="1:26" ht="25.5" x14ac:dyDescent="0.2">
      <c r="C959" s="94" t="s">
        <v>781</v>
      </c>
      <c r="D959" s="95" t="s">
        <v>776</v>
      </c>
      <c r="E959" s="96" t="s">
        <v>777</v>
      </c>
      <c r="F959" s="43">
        <v>23813351805</v>
      </c>
      <c r="G959" s="97">
        <v>0</v>
      </c>
      <c r="H959" s="97">
        <v>0</v>
      </c>
      <c r="I959" s="96">
        <v>0</v>
      </c>
      <c r="J959" s="43">
        <v>5536570240</v>
      </c>
      <c r="K959" s="96">
        <v>-5536570240</v>
      </c>
      <c r="L959" s="43">
        <v>18276781565</v>
      </c>
      <c r="M959" s="97">
        <v>0</v>
      </c>
      <c r="N959" s="97">
        <v>0</v>
      </c>
      <c r="O959" s="97">
        <v>0</v>
      </c>
      <c r="P959" s="97">
        <v>0</v>
      </c>
      <c r="Q959" s="97">
        <v>0</v>
      </c>
      <c r="R959" s="97">
        <v>0</v>
      </c>
      <c r="S959" s="96">
        <v>0</v>
      </c>
      <c r="T959" s="96">
        <v>0</v>
      </c>
      <c r="U959" s="96">
        <v>0</v>
      </c>
      <c r="V959" s="31">
        <f t="shared" si="316"/>
        <v>0</v>
      </c>
      <c r="W959" s="43">
        <f t="shared" si="318"/>
        <v>18276781565</v>
      </c>
      <c r="X959" s="44">
        <f t="shared" si="319"/>
        <v>0</v>
      </c>
      <c r="Y959" s="44">
        <f t="shared" si="320"/>
        <v>0</v>
      </c>
      <c r="Z959" s="32">
        <f t="shared" si="321"/>
        <v>0</v>
      </c>
    </row>
    <row r="960" spans="1:26" x14ac:dyDescent="0.2">
      <c r="C960" s="89"/>
      <c r="D960" s="91"/>
      <c r="E960" s="91"/>
      <c r="F960" s="18"/>
      <c r="G960" s="92"/>
      <c r="H960" s="92"/>
      <c r="I960" s="92"/>
      <c r="J960" s="92"/>
      <c r="K960" s="92"/>
      <c r="L960" s="18"/>
      <c r="M960" s="98"/>
      <c r="N960" s="98"/>
      <c r="O960" s="98"/>
      <c r="P960" s="98"/>
      <c r="Q960" s="98"/>
      <c r="R960" s="98"/>
      <c r="S960" s="92"/>
      <c r="T960" s="92"/>
      <c r="U960" s="92"/>
      <c r="V960" s="30"/>
      <c r="W960" s="18"/>
      <c r="X960" s="18"/>
      <c r="Y960" s="18"/>
      <c r="Z960" s="92"/>
    </row>
    <row r="961" spans="3:26" x14ac:dyDescent="0.2">
      <c r="C961" s="89"/>
      <c r="D961" s="90" t="s">
        <v>199</v>
      </c>
      <c r="E961" s="91"/>
      <c r="F961" s="18"/>
      <c r="G961" s="92"/>
      <c r="H961" s="92"/>
      <c r="I961" s="92"/>
      <c r="J961" s="92"/>
      <c r="K961" s="92"/>
      <c r="L961" s="18"/>
      <c r="M961" s="98"/>
      <c r="N961" s="98"/>
      <c r="O961" s="98"/>
      <c r="P961" s="98"/>
      <c r="Q961" s="98"/>
      <c r="R961" s="98"/>
      <c r="S961" s="92"/>
      <c r="T961" s="92"/>
      <c r="U961" s="92"/>
      <c r="V961" s="30"/>
      <c r="W961" s="18"/>
      <c r="X961" s="18"/>
      <c r="Y961" s="18"/>
      <c r="Z961" s="92"/>
    </row>
    <row r="962" spans="3:26" x14ac:dyDescent="0.2">
      <c r="C962" s="93" t="s">
        <v>288</v>
      </c>
      <c r="D962" s="90" t="s">
        <v>782</v>
      </c>
      <c r="E962" s="91"/>
      <c r="F962" s="18"/>
      <c r="G962" s="92"/>
      <c r="H962" s="92"/>
      <c r="I962" s="92"/>
      <c r="J962" s="92"/>
      <c r="K962" s="92"/>
      <c r="L962" s="18"/>
      <c r="M962" s="98"/>
      <c r="N962" s="98"/>
      <c r="O962" s="98"/>
      <c r="P962" s="98"/>
      <c r="Q962" s="98"/>
      <c r="R962" s="98"/>
      <c r="S962" s="92"/>
      <c r="T962" s="92"/>
      <c r="U962" s="92"/>
      <c r="V962" s="30"/>
      <c r="W962" s="18"/>
      <c r="X962" s="18"/>
      <c r="Y962" s="18"/>
      <c r="Z962" s="92"/>
    </row>
    <row r="963" spans="3:26" ht="25.5" x14ac:dyDescent="0.2">
      <c r="C963" s="94" t="s">
        <v>783</v>
      </c>
      <c r="D963" s="95" t="s">
        <v>784</v>
      </c>
      <c r="E963" s="96" t="s">
        <v>368</v>
      </c>
      <c r="F963" s="43">
        <v>40000000</v>
      </c>
      <c r="G963" s="96">
        <v>0</v>
      </c>
      <c r="H963" s="96">
        <v>0</v>
      </c>
      <c r="I963" s="96">
        <v>0</v>
      </c>
      <c r="J963" s="96">
        <v>0</v>
      </c>
      <c r="K963" s="96">
        <v>0</v>
      </c>
      <c r="L963" s="43">
        <v>40000000</v>
      </c>
      <c r="M963" s="97">
        <v>0</v>
      </c>
      <c r="N963" s="97">
        <v>0</v>
      </c>
      <c r="O963" s="97">
        <v>0</v>
      </c>
      <c r="P963" s="97">
        <v>0</v>
      </c>
      <c r="Q963" s="97">
        <v>0</v>
      </c>
      <c r="R963" s="97">
        <v>0</v>
      </c>
      <c r="S963" s="96">
        <v>0</v>
      </c>
      <c r="T963" s="96">
        <v>0</v>
      </c>
      <c r="U963" s="96">
        <v>0</v>
      </c>
      <c r="V963" s="30">
        <f t="shared" si="316"/>
        <v>0</v>
      </c>
      <c r="W963" s="43">
        <f t="shared" ref="W963:W965" si="322">L963-O963</f>
        <v>40000000</v>
      </c>
      <c r="X963" s="43">
        <f t="shared" ref="X963:X965" si="323">O963-R963</f>
        <v>0</v>
      </c>
      <c r="Y963" s="43">
        <f t="shared" ref="Y963:Y965" si="324">R963-V963</f>
        <v>0</v>
      </c>
      <c r="Z963" s="32">
        <f t="shared" ref="Z963:Z965" si="325">R963/L963</f>
        <v>0</v>
      </c>
    </row>
    <row r="964" spans="3:26" ht="25.5" x14ac:dyDescent="0.2">
      <c r="C964" s="94" t="s">
        <v>785</v>
      </c>
      <c r="D964" s="95" t="s">
        <v>786</v>
      </c>
      <c r="E964" s="96" t="s">
        <v>258</v>
      </c>
      <c r="F964" s="43">
        <v>2438425656.1900001</v>
      </c>
      <c r="G964" s="96">
        <v>0</v>
      </c>
      <c r="H964" s="96">
        <v>0</v>
      </c>
      <c r="I964" s="96">
        <v>0</v>
      </c>
      <c r="J964" s="96">
        <v>0</v>
      </c>
      <c r="K964" s="96">
        <v>0</v>
      </c>
      <c r="L964" s="43">
        <v>2438425656.1900001</v>
      </c>
      <c r="M964" s="43">
        <v>0</v>
      </c>
      <c r="N964" s="18"/>
      <c r="O964" s="18"/>
      <c r="P964" s="92">
        <v>0</v>
      </c>
      <c r="Q964" s="92">
        <v>0</v>
      </c>
      <c r="R964" s="92">
        <v>0</v>
      </c>
      <c r="S964" s="96">
        <v>0</v>
      </c>
      <c r="T964" s="92">
        <v>0</v>
      </c>
      <c r="U964" s="96">
        <v>0</v>
      </c>
      <c r="V964" s="30">
        <f t="shared" si="316"/>
        <v>0</v>
      </c>
      <c r="W964" s="43">
        <f t="shared" si="322"/>
        <v>2438425656.1900001</v>
      </c>
      <c r="X964" s="44">
        <f t="shared" si="323"/>
        <v>0</v>
      </c>
      <c r="Y964" s="44">
        <f t="shared" si="324"/>
        <v>0</v>
      </c>
      <c r="Z964" s="32">
        <f t="shared" si="325"/>
        <v>0</v>
      </c>
    </row>
    <row r="965" spans="3:26" x14ac:dyDescent="0.2">
      <c r="C965" s="94" t="s">
        <v>787</v>
      </c>
      <c r="D965" s="95" t="s">
        <v>788</v>
      </c>
      <c r="E965" s="96" t="s">
        <v>789</v>
      </c>
      <c r="F965" s="43">
        <v>886001426</v>
      </c>
      <c r="G965" s="96">
        <v>0</v>
      </c>
      <c r="H965" s="96">
        <v>0</v>
      </c>
      <c r="I965" s="96">
        <v>0</v>
      </c>
      <c r="J965" s="96">
        <v>0</v>
      </c>
      <c r="K965" s="96">
        <v>0</v>
      </c>
      <c r="L965" s="43">
        <v>886001426</v>
      </c>
      <c r="M965" s="43">
        <v>0</v>
      </c>
      <c r="N965" s="18">
        <v>73113345</v>
      </c>
      <c r="O965" s="18">
        <v>73113345</v>
      </c>
      <c r="P965" s="92">
        <v>0</v>
      </c>
      <c r="Q965" s="18">
        <v>73113345</v>
      </c>
      <c r="R965" s="18">
        <v>73113345</v>
      </c>
      <c r="S965" s="96">
        <v>0</v>
      </c>
      <c r="T965" s="18">
        <v>73113345</v>
      </c>
      <c r="U965" s="43">
        <v>73113345</v>
      </c>
      <c r="V965" s="30">
        <f t="shared" si="316"/>
        <v>73113345</v>
      </c>
      <c r="W965" s="43">
        <f t="shared" si="322"/>
        <v>812888081</v>
      </c>
      <c r="X965" s="44">
        <f t="shared" si="323"/>
        <v>0</v>
      </c>
      <c r="Y965" s="44">
        <f t="shared" si="324"/>
        <v>0</v>
      </c>
      <c r="Z965" s="32">
        <f t="shared" si="325"/>
        <v>8.2520572602328979E-2</v>
      </c>
    </row>
    <row r="966" spans="3:26" x14ac:dyDescent="0.2">
      <c r="C966" s="93" t="s">
        <v>288</v>
      </c>
      <c r="D966" s="90" t="s">
        <v>790</v>
      </c>
      <c r="E966" s="91"/>
      <c r="F966" s="18"/>
      <c r="G966" s="92"/>
      <c r="H966" s="92"/>
      <c r="I966" s="92"/>
      <c r="J966" s="92"/>
      <c r="K966" s="92"/>
      <c r="L966" s="18"/>
      <c r="M966" s="18"/>
      <c r="N966" s="18"/>
      <c r="O966" s="18"/>
      <c r="P966" s="92"/>
      <c r="Q966" s="18"/>
      <c r="R966" s="18"/>
      <c r="S966" s="92"/>
      <c r="T966" s="92"/>
      <c r="U966" s="92"/>
      <c r="V966" s="30"/>
      <c r="W966" s="18"/>
      <c r="X966" s="34"/>
      <c r="Y966" s="18"/>
      <c r="Z966" s="92"/>
    </row>
    <row r="967" spans="3:26" x14ac:dyDescent="0.2">
      <c r="C967" s="94" t="s">
        <v>791</v>
      </c>
      <c r="D967" s="95" t="s">
        <v>233</v>
      </c>
      <c r="E967" s="96" t="s">
        <v>58</v>
      </c>
      <c r="F967" s="43">
        <v>300000000</v>
      </c>
      <c r="G967" s="96">
        <v>0</v>
      </c>
      <c r="H967" s="96">
        <v>0</v>
      </c>
      <c r="I967" s="96">
        <v>0</v>
      </c>
      <c r="J967" s="96">
        <v>0</v>
      </c>
      <c r="K967" s="96">
        <v>0</v>
      </c>
      <c r="L967" s="43">
        <v>300000000</v>
      </c>
      <c r="M967" s="44">
        <v>0</v>
      </c>
      <c r="N967" s="18"/>
      <c r="O967" s="18"/>
      <c r="P967" s="92">
        <v>0</v>
      </c>
      <c r="Q967" s="18"/>
      <c r="R967" s="18"/>
      <c r="S967" s="96">
        <v>0</v>
      </c>
      <c r="T967" s="96">
        <v>0</v>
      </c>
      <c r="U967" s="96">
        <v>0</v>
      </c>
      <c r="V967" s="40">
        <f t="shared" si="316"/>
        <v>0</v>
      </c>
      <c r="W967" s="43">
        <f t="shared" ref="W967:W968" si="326">L967-O967</f>
        <v>300000000</v>
      </c>
      <c r="X967" s="44">
        <f t="shared" ref="X967:X968" si="327">O967-R967</f>
        <v>0</v>
      </c>
      <c r="Y967" s="43">
        <f t="shared" ref="Y967:Y968" si="328">R967-V967</f>
        <v>0</v>
      </c>
      <c r="Z967" s="32">
        <f t="shared" ref="Z967:Z968" si="329">R967/L967</f>
        <v>0</v>
      </c>
    </row>
    <row r="968" spans="3:26" x14ac:dyDescent="0.2">
      <c r="C968" s="94" t="s">
        <v>792</v>
      </c>
      <c r="D968" s="95" t="s">
        <v>793</v>
      </c>
      <c r="E968" s="96" t="s">
        <v>794</v>
      </c>
      <c r="F968" s="43">
        <v>664600000</v>
      </c>
      <c r="G968" s="96">
        <v>0</v>
      </c>
      <c r="H968" s="96">
        <v>0</v>
      </c>
      <c r="I968" s="96">
        <v>0</v>
      </c>
      <c r="J968" s="96">
        <v>0</v>
      </c>
      <c r="K968" s="96">
        <v>0</v>
      </c>
      <c r="L968" s="43">
        <v>664600000</v>
      </c>
      <c r="M968" s="44">
        <v>0</v>
      </c>
      <c r="N968" s="18">
        <v>17100000</v>
      </c>
      <c r="O968" s="18">
        <v>17100000</v>
      </c>
      <c r="P968" s="92">
        <v>0</v>
      </c>
      <c r="Q968" s="18">
        <v>17100000</v>
      </c>
      <c r="R968" s="18">
        <v>17100000</v>
      </c>
      <c r="S968" s="96">
        <v>0</v>
      </c>
      <c r="T968" s="96">
        <v>0</v>
      </c>
      <c r="U968" s="96">
        <v>0</v>
      </c>
      <c r="V968" s="40">
        <f t="shared" si="316"/>
        <v>0</v>
      </c>
      <c r="W968" s="43">
        <f t="shared" si="326"/>
        <v>647500000</v>
      </c>
      <c r="X968" s="44">
        <f t="shared" si="327"/>
        <v>0</v>
      </c>
      <c r="Y968" s="43">
        <f t="shared" si="328"/>
        <v>17100000</v>
      </c>
      <c r="Z968" s="32">
        <f t="shared" si="329"/>
        <v>2.5729762263015349E-2</v>
      </c>
    </row>
    <row r="969" spans="3:26" ht="25.5" x14ac:dyDescent="0.2">
      <c r="C969" s="93" t="s">
        <v>288</v>
      </c>
      <c r="D969" s="90" t="s">
        <v>795</v>
      </c>
      <c r="E969" s="91"/>
      <c r="F969" s="18"/>
      <c r="G969" s="92"/>
      <c r="H969" s="92"/>
      <c r="I969" s="92"/>
      <c r="J969" s="92"/>
      <c r="K969" s="92"/>
      <c r="L969" s="18"/>
      <c r="M969" s="34"/>
      <c r="N969" s="18"/>
      <c r="O969" s="18"/>
      <c r="P969" s="92"/>
      <c r="Q969" s="18"/>
      <c r="R969" s="18"/>
      <c r="S969" s="92"/>
      <c r="T969" s="92"/>
      <c r="U969" s="92"/>
      <c r="V969" s="40"/>
      <c r="W969" s="18"/>
      <c r="X969" s="18"/>
      <c r="Y969" s="18"/>
      <c r="Z969" s="92"/>
    </row>
    <row r="970" spans="3:26" x14ac:dyDescent="0.2">
      <c r="C970" s="94" t="s">
        <v>796</v>
      </c>
      <c r="D970" s="95" t="s">
        <v>233</v>
      </c>
      <c r="E970" s="96" t="s">
        <v>58</v>
      </c>
      <c r="F970" s="43">
        <v>242950000</v>
      </c>
      <c r="G970" s="96">
        <v>0</v>
      </c>
      <c r="H970" s="96">
        <v>0</v>
      </c>
      <c r="I970" s="96">
        <v>0</v>
      </c>
      <c r="J970" s="96">
        <v>0</v>
      </c>
      <c r="K970" s="96">
        <v>0</v>
      </c>
      <c r="L970" s="43">
        <v>242950000</v>
      </c>
      <c r="M970" s="44">
        <v>0</v>
      </c>
      <c r="N970" s="44">
        <v>0</v>
      </c>
      <c r="O970" s="44">
        <v>0</v>
      </c>
      <c r="P970" s="97">
        <v>0</v>
      </c>
      <c r="Q970" s="44">
        <v>0</v>
      </c>
      <c r="R970" s="44">
        <v>0</v>
      </c>
      <c r="S970" s="96">
        <v>0</v>
      </c>
      <c r="T970" s="96">
        <v>0</v>
      </c>
      <c r="U970" s="96">
        <v>0</v>
      </c>
      <c r="V970" s="40">
        <f t="shared" si="316"/>
        <v>0</v>
      </c>
      <c r="W970" s="43">
        <f t="shared" ref="W970:W973" si="330">L970-O970</f>
        <v>242950000</v>
      </c>
      <c r="X970" s="44">
        <f t="shared" ref="X970:X973" si="331">O970-R970</f>
        <v>0</v>
      </c>
      <c r="Y970" s="44">
        <f t="shared" ref="Y970:Y973" si="332">R970-V970</f>
        <v>0</v>
      </c>
      <c r="Z970" s="32">
        <f t="shared" ref="Z970:Z973" si="333">R970/L970</f>
        <v>0</v>
      </c>
    </row>
    <row r="971" spans="3:26" x14ac:dyDescent="0.2">
      <c r="C971" s="94" t="s">
        <v>797</v>
      </c>
      <c r="D971" s="95" t="s">
        <v>793</v>
      </c>
      <c r="E971" s="96" t="s">
        <v>794</v>
      </c>
      <c r="F971" s="43">
        <v>1746250000</v>
      </c>
      <c r="G971" s="96">
        <v>0</v>
      </c>
      <c r="H971" s="96">
        <v>0</v>
      </c>
      <c r="I971" s="96">
        <v>0</v>
      </c>
      <c r="J971" s="96">
        <v>0</v>
      </c>
      <c r="K971" s="96">
        <v>0</v>
      </c>
      <c r="L971" s="43">
        <v>1746250000</v>
      </c>
      <c r="M971" s="44">
        <v>0</v>
      </c>
      <c r="N971" s="44"/>
      <c r="O971" s="44"/>
      <c r="P971" s="97">
        <v>0</v>
      </c>
      <c r="Q971" s="44">
        <v>0</v>
      </c>
      <c r="R971" s="44">
        <v>0</v>
      </c>
      <c r="S971" s="96">
        <v>0</v>
      </c>
      <c r="T971" s="96">
        <v>0</v>
      </c>
      <c r="U971" s="97">
        <v>0</v>
      </c>
      <c r="V971" s="31">
        <f t="shared" si="316"/>
        <v>0</v>
      </c>
      <c r="W971" s="43">
        <f t="shared" si="330"/>
        <v>1746250000</v>
      </c>
      <c r="X971" s="44">
        <f t="shared" si="331"/>
        <v>0</v>
      </c>
      <c r="Y971" s="44">
        <f t="shared" si="332"/>
        <v>0</v>
      </c>
      <c r="Z971" s="32">
        <f t="shared" si="333"/>
        <v>0</v>
      </c>
    </row>
    <row r="972" spans="3:26" ht="25.5" x14ac:dyDescent="0.2">
      <c r="C972" s="94" t="s">
        <v>798</v>
      </c>
      <c r="D972" s="95" t="s">
        <v>799</v>
      </c>
      <c r="E972" s="96" t="s">
        <v>368</v>
      </c>
      <c r="F972" s="43">
        <v>20000000</v>
      </c>
      <c r="G972" s="96">
        <v>0</v>
      </c>
      <c r="H972" s="96">
        <v>0</v>
      </c>
      <c r="I972" s="96">
        <v>0</v>
      </c>
      <c r="J972" s="96">
        <v>0</v>
      </c>
      <c r="K972" s="96">
        <v>0</v>
      </c>
      <c r="L972" s="43">
        <v>20000000</v>
      </c>
      <c r="M972" s="44">
        <v>0</v>
      </c>
      <c r="N972" s="44">
        <v>0</v>
      </c>
      <c r="O972" s="44">
        <v>0</v>
      </c>
      <c r="P972" s="97">
        <v>0</v>
      </c>
      <c r="Q972" s="44">
        <v>0</v>
      </c>
      <c r="R972" s="44">
        <v>0</v>
      </c>
      <c r="S972" s="96">
        <v>0</v>
      </c>
      <c r="T972" s="96">
        <v>0</v>
      </c>
      <c r="U972" s="97">
        <v>0</v>
      </c>
      <c r="V972" s="31">
        <f t="shared" si="316"/>
        <v>0</v>
      </c>
      <c r="W972" s="43">
        <f t="shared" si="330"/>
        <v>20000000</v>
      </c>
      <c r="X972" s="44">
        <f t="shared" si="331"/>
        <v>0</v>
      </c>
      <c r="Y972" s="44">
        <f t="shared" si="332"/>
        <v>0</v>
      </c>
      <c r="Z972" s="32">
        <f t="shared" si="333"/>
        <v>0</v>
      </c>
    </row>
    <row r="973" spans="3:26" x14ac:dyDescent="0.2">
      <c r="C973" s="94" t="s">
        <v>800</v>
      </c>
      <c r="D973" s="95" t="s">
        <v>801</v>
      </c>
      <c r="E973" s="96" t="s">
        <v>802</v>
      </c>
      <c r="F973" s="43">
        <v>300000000</v>
      </c>
      <c r="G973" s="96">
        <v>0</v>
      </c>
      <c r="H973" s="96">
        <v>0</v>
      </c>
      <c r="I973" s="96">
        <v>0</v>
      </c>
      <c r="J973" s="96">
        <v>0</v>
      </c>
      <c r="K973" s="96">
        <v>0</v>
      </c>
      <c r="L973" s="43">
        <v>300000000</v>
      </c>
      <c r="M973" s="44">
        <v>0</v>
      </c>
      <c r="N973" s="18">
        <v>71100000</v>
      </c>
      <c r="O973" s="18">
        <v>71100000</v>
      </c>
      <c r="P973" s="92">
        <v>0</v>
      </c>
      <c r="Q973" s="18">
        <v>57000000</v>
      </c>
      <c r="R973" s="18">
        <v>57000000</v>
      </c>
      <c r="S973" s="96">
        <v>0</v>
      </c>
      <c r="T973" s="96">
        <v>0</v>
      </c>
      <c r="U973" s="97">
        <v>0</v>
      </c>
      <c r="V973" s="31">
        <f t="shared" si="316"/>
        <v>0</v>
      </c>
      <c r="W973" s="43">
        <f t="shared" si="330"/>
        <v>228900000</v>
      </c>
      <c r="X973" s="43">
        <f t="shared" si="331"/>
        <v>14100000</v>
      </c>
      <c r="Y973" s="43">
        <f t="shared" si="332"/>
        <v>57000000</v>
      </c>
      <c r="Z973" s="32">
        <f t="shared" si="333"/>
        <v>0.19</v>
      </c>
    </row>
    <row r="974" spans="3:26" ht="25.5" x14ac:dyDescent="0.2">
      <c r="C974" s="93" t="s">
        <v>288</v>
      </c>
      <c r="D974" s="90" t="s">
        <v>803</v>
      </c>
      <c r="E974" s="91"/>
      <c r="F974" s="18"/>
      <c r="G974" s="92"/>
      <c r="H974" s="92"/>
      <c r="I974" s="92"/>
      <c r="J974" s="92"/>
      <c r="K974" s="92"/>
      <c r="L974" s="18"/>
      <c r="M974" s="34"/>
      <c r="N974" s="18"/>
      <c r="O974" s="18"/>
      <c r="P974" s="92"/>
      <c r="Q974" s="18"/>
      <c r="R974" s="18"/>
      <c r="S974" s="92"/>
      <c r="T974" s="92"/>
      <c r="U974" s="98"/>
      <c r="V974" s="31"/>
      <c r="W974" s="18"/>
      <c r="X974" s="18"/>
      <c r="Y974" s="18"/>
      <c r="Z974" s="92"/>
    </row>
    <row r="975" spans="3:26" x14ac:dyDescent="0.2">
      <c r="C975" s="94" t="s">
        <v>804</v>
      </c>
      <c r="D975" s="95" t="s">
        <v>793</v>
      </c>
      <c r="E975" s="96" t="s">
        <v>794</v>
      </c>
      <c r="F975" s="43">
        <v>485467000</v>
      </c>
      <c r="G975" s="96">
        <v>0</v>
      </c>
      <c r="H975" s="96">
        <v>0</v>
      </c>
      <c r="I975" s="96">
        <v>0</v>
      </c>
      <c r="J975" s="96">
        <v>0</v>
      </c>
      <c r="K975" s="96">
        <v>0</v>
      </c>
      <c r="L975" s="43">
        <v>485467000</v>
      </c>
      <c r="M975" s="97">
        <v>0</v>
      </c>
      <c r="N975" s="96">
        <v>0</v>
      </c>
      <c r="O975" s="96">
        <v>0</v>
      </c>
      <c r="P975" s="96">
        <v>0</v>
      </c>
      <c r="Q975" s="96">
        <v>0</v>
      </c>
      <c r="R975" s="96">
        <v>0</v>
      </c>
      <c r="S975" s="96">
        <v>0</v>
      </c>
      <c r="T975" s="96">
        <v>0</v>
      </c>
      <c r="U975" s="97">
        <v>0</v>
      </c>
      <c r="V975" s="31">
        <f t="shared" si="316"/>
        <v>0</v>
      </c>
      <c r="W975" s="43">
        <f>L975-O975</f>
        <v>485467000</v>
      </c>
      <c r="X975" s="44">
        <f>O975-R975</f>
        <v>0</v>
      </c>
      <c r="Y975" s="44">
        <f>R975-V975</f>
        <v>0</v>
      </c>
      <c r="Z975" s="32">
        <f t="shared" ref="Z975" si="334">R975/L975</f>
        <v>0</v>
      </c>
    </row>
    <row r="976" spans="3:26" ht="25.5" x14ac:dyDescent="0.2">
      <c r="C976" s="93" t="s">
        <v>288</v>
      </c>
      <c r="D976" s="90" t="s">
        <v>805</v>
      </c>
      <c r="E976" s="91"/>
      <c r="F976" s="18"/>
      <c r="G976" s="92"/>
      <c r="H976" s="92"/>
      <c r="I976" s="92"/>
      <c r="J976" s="92"/>
      <c r="K976" s="92"/>
      <c r="L976" s="18"/>
      <c r="M976" s="98"/>
      <c r="N976" s="92"/>
      <c r="O976" s="92"/>
      <c r="P976" s="92"/>
      <c r="Q976" s="92"/>
      <c r="R976" s="92"/>
      <c r="S976" s="92"/>
      <c r="T976" s="92"/>
      <c r="U976" s="98"/>
      <c r="V976" s="31"/>
      <c r="W976" s="18"/>
      <c r="X976" s="34"/>
      <c r="Y976" s="34"/>
      <c r="Z976" s="92"/>
    </row>
    <row r="977" spans="3:26" x14ac:dyDescent="0.2">
      <c r="C977" s="94" t="s">
        <v>806</v>
      </c>
      <c r="D977" s="95" t="s">
        <v>793</v>
      </c>
      <c r="E977" s="96" t="s">
        <v>794</v>
      </c>
      <c r="F977" s="43">
        <v>402000000</v>
      </c>
      <c r="G977" s="96">
        <v>0</v>
      </c>
      <c r="H977" s="96">
        <v>0</v>
      </c>
      <c r="I977" s="96">
        <v>0</v>
      </c>
      <c r="J977" s="96">
        <v>0</v>
      </c>
      <c r="K977" s="96">
        <v>0</v>
      </c>
      <c r="L977" s="43">
        <v>402000000</v>
      </c>
      <c r="M977" s="97">
        <v>0</v>
      </c>
      <c r="N977" s="97">
        <v>0</v>
      </c>
      <c r="O977" s="97">
        <v>0</v>
      </c>
      <c r="P977" s="97">
        <v>0</v>
      </c>
      <c r="Q977" s="97">
        <v>0</v>
      </c>
      <c r="R977" s="97">
        <v>0</v>
      </c>
      <c r="S977" s="97">
        <v>0</v>
      </c>
      <c r="T977" s="97">
        <v>0</v>
      </c>
      <c r="U977" s="97">
        <v>0</v>
      </c>
      <c r="V977" s="31">
        <f t="shared" si="316"/>
        <v>0</v>
      </c>
      <c r="W977" s="43">
        <f>L977-O977</f>
        <v>402000000</v>
      </c>
      <c r="X977" s="44">
        <f>O977-R977</f>
        <v>0</v>
      </c>
      <c r="Y977" s="44">
        <f>R977-V977</f>
        <v>0</v>
      </c>
      <c r="Z977" s="32">
        <f t="shared" ref="Z977" si="335">R977/L977</f>
        <v>0</v>
      </c>
    </row>
    <row r="978" spans="3:26" ht="38.25" x14ac:dyDescent="0.2">
      <c r="C978" s="93" t="s">
        <v>288</v>
      </c>
      <c r="D978" s="90" t="s">
        <v>807</v>
      </c>
      <c r="E978" s="91"/>
      <c r="F978" s="18"/>
      <c r="G978" s="92"/>
      <c r="H978" s="92"/>
      <c r="I978" s="92"/>
      <c r="J978" s="92"/>
      <c r="K978" s="92"/>
      <c r="L978" s="18"/>
      <c r="M978" s="98"/>
      <c r="N978" s="98"/>
      <c r="O978" s="98"/>
      <c r="P978" s="98"/>
      <c r="Q978" s="98"/>
      <c r="R978" s="98"/>
      <c r="S978" s="98"/>
      <c r="T978" s="98"/>
      <c r="U978" s="98"/>
      <c r="V978" s="31"/>
      <c r="W978" s="18"/>
      <c r="X978" s="34"/>
      <c r="Y978" s="34"/>
      <c r="Z978" s="92"/>
    </row>
    <row r="979" spans="3:26" x14ac:dyDescent="0.2">
      <c r="C979" s="94" t="s">
        <v>808</v>
      </c>
      <c r="D979" s="95" t="s">
        <v>233</v>
      </c>
      <c r="E979" s="96" t="s">
        <v>58</v>
      </c>
      <c r="F979" s="43">
        <v>313050000.81</v>
      </c>
      <c r="G979" s="96">
        <v>0</v>
      </c>
      <c r="H979" s="96">
        <v>0</v>
      </c>
      <c r="I979" s="96">
        <v>0</v>
      </c>
      <c r="J979" s="96">
        <v>0</v>
      </c>
      <c r="K979" s="96">
        <v>0</v>
      </c>
      <c r="L979" s="43">
        <v>313050000.81</v>
      </c>
      <c r="M979" s="97">
        <v>0</v>
      </c>
      <c r="N979" s="97">
        <v>0</v>
      </c>
      <c r="O979" s="97">
        <v>0</v>
      </c>
      <c r="P979" s="97">
        <v>0</v>
      </c>
      <c r="Q979" s="97">
        <v>0</v>
      </c>
      <c r="R979" s="97">
        <v>0</v>
      </c>
      <c r="S979" s="97">
        <v>0</v>
      </c>
      <c r="T979" s="97">
        <v>0</v>
      </c>
      <c r="U979" s="97">
        <v>0</v>
      </c>
      <c r="V979" s="31">
        <f t="shared" si="316"/>
        <v>0</v>
      </c>
      <c r="W979" s="43">
        <f t="shared" ref="W979:W981" si="336">L979-O979</f>
        <v>313050000.81</v>
      </c>
      <c r="X979" s="44">
        <f t="shared" ref="X979:X981" si="337">O979-R979</f>
        <v>0</v>
      </c>
      <c r="Y979" s="44">
        <f t="shared" ref="Y979:Y981" si="338">R979-V979</f>
        <v>0</v>
      </c>
      <c r="Z979" s="32">
        <f t="shared" ref="Z979:Z981" si="339">R979/L979</f>
        <v>0</v>
      </c>
    </row>
    <row r="980" spans="3:26" x14ac:dyDescent="0.2">
      <c r="C980" s="94" t="s">
        <v>809</v>
      </c>
      <c r="D980" s="95" t="s">
        <v>793</v>
      </c>
      <c r="E980" s="96" t="s">
        <v>794</v>
      </c>
      <c r="F980" s="43">
        <v>256800000</v>
      </c>
      <c r="G980" s="96">
        <v>0</v>
      </c>
      <c r="H980" s="96">
        <v>0</v>
      </c>
      <c r="I980" s="96">
        <v>0</v>
      </c>
      <c r="J980" s="96">
        <v>0</v>
      </c>
      <c r="K980" s="96">
        <v>0</v>
      </c>
      <c r="L980" s="43">
        <v>256800000</v>
      </c>
      <c r="M980" s="97">
        <v>0</v>
      </c>
      <c r="N980" s="97">
        <v>0</v>
      </c>
      <c r="O980" s="97">
        <v>0</v>
      </c>
      <c r="P980" s="97">
        <v>0</v>
      </c>
      <c r="Q980" s="97">
        <v>0</v>
      </c>
      <c r="R980" s="97">
        <v>0</v>
      </c>
      <c r="S980" s="97">
        <v>0</v>
      </c>
      <c r="T980" s="97">
        <v>0</v>
      </c>
      <c r="U980" s="97">
        <v>0</v>
      </c>
      <c r="V980" s="31">
        <f t="shared" si="316"/>
        <v>0</v>
      </c>
      <c r="W980" s="43">
        <f t="shared" si="336"/>
        <v>256800000</v>
      </c>
      <c r="X980" s="44">
        <f t="shared" si="337"/>
        <v>0</v>
      </c>
      <c r="Y980" s="44">
        <f t="shared" si="338"/>
        <v>0</v>
      </c>
      <c r="Z980" s="32">
        <f t="shared" si="339"/>
        <v>0</v>
      </c>
    </row>
    <row r="981" spans="3:26" x14ac:dyDescent="0.2">
      <c r="C981" s="94" t="s">
        <v>810</v>
      </c>
      <c r="D981" s="95" t="s">
        <v>811</v>
      </c>
      <c r="E981" s="96" t="s">
        <v>368</v>
      </c>
      <c r="F981" s="43">
        <v>90000000</v>
      </c>
      <c r="G981" s="96">
        <v>0</v>
      </c>
      <c r="H981" s="96">
        <v>0</v>
      </c>
      <c r="I981" s="96">
        <v>0</v>
      </c>
      <c r="J981" s="96">
        <v>0</v>
      </c>
      <c r="K981" s="96">
        <v>0</v>
      </c>
      <c r="L981" s="43">
        <v>90000000</v>
      </c>
      <c r="M981" s="97">
        <v>0</v>
      </c>
      <c r="N981" s="97">
        <v>0</v>
      </c>
      <c r="O981" s="97">
        <v>0</v>
      </c>
      <c r="P981" s="97">
        <v>0</v>
      </c>
      <c r="Q981" s="97">
        <v>0</v>
      </c>
      <c r="R981" s="97">
        <v>0</v>
      </c>
      <c r="S981" s="97">
        <v>0</v>
      </c>
      <c r="T981" s="97">
        <v>0</v>
      </c>
      <c r="U981" s="97">
        <v>0</v>
      </c>
      <c r="V981" s="31">
        <f t="shared" si="316"/>
        <v>0</v>
      </c>
      <c r="W981" s="43">
        <f t="shared" si="336"/>
        <v>90000000</v>
      </c>
      <c r="X981" s="44">
        <f t="shared" si="337"/>
        <v>0</v>
      </c>
      <c r="Y981" s="44">
        <f t="shared" si="338"/>
        <v>0</v>
      </c>
      <c r="Z981" s="32">
        <f t="shared" si="339"/>
        <v>0</v>
      </c>
    </row>
    <row r="982" spans="3:26" ht="25.5" x14ac:dyDescent="0.2">
      <c r="C982" s="93" t="s">
        <v>288</v>
      </c>
      <c r="D982" s="90" t="s">
        <v>812</v>
      </c>
      <c r="E982" s="91"/>
      <c r="F982" s="18"/>
      <c r="G982" s="92"/>
      <c r="H982" s="92"/>
      <c r="I982" s="92"/>
      <c r="J982" s="92"/>
      <c r="K982" s="92"/>
      <c r="L982" s="18"/>
      <c r="M982" s="98"/>
      <c r="N982" s="98"/>
      <c r="O982" s="98"/>
      <c r="P982" s="98"/>
      <c r="Q982" s="98"/>
      <c r="R982" s="98"/>
      <c r="S982" s="98"/>
      <c r="T982" s="98"/>
      <c r="U982" s="98"/>
      <c r="V982" s="31">
        <f t="shared" si="316"/>
        <v>0</v>
      </c>
      <c r="W982" s="18"/>
      <c r="X982" s="18"/>
      <c r="Y982" s="18"/>
      <c r="Z982" s="92"/>
    </row>
    <row r="983" spans="3:26" x14ac:dyDescent="0.2">
      <c r="C983" s="94" t="s">
        <v>813</v>
      </c>
      <c r="D983" s="95" t="s">
        <v>793</v>
      </c>
      <c r="E983" s="96" t="s">
        <v>794</v>
      </c>
      <c r="F983" s="43">
        <v>57600000</v>
      </c>
      <c r="G983" s="96">
        <v>0</v>
      </c>
      <c r="H983" s="96">
        <v>0</v>
      </c>
      <c r="I983" s="96">
        <v>0</v>
      </c>
      <c r="J983" s="96">
        <v>0</v>
      </c>
      <c r="K983" s="96">
        <v>0</v>
      </c>
      <c r="L983" s="43">
        <v>57600000</v>
      </c>
      <c r="M983" s="97">
        <v>0</v>
      </c>
      <c r="N983" s="97">
        <v>0</v>
      </c>
      <c r="O983" s="97">
        <v>0</v>
      </c>
      <c r="P983" s="97">
        <v>0</v>
      </c>
      <c r="Q983" s="97">
        <v>0</v>
      </c>
      <c r="R983" s="97">
        <v>0</v>
      </c>
      <c r="S983" s="97">
        <v>0</v>
      </c>
      <c r="T983" s="97">
        <v>0</v>
      </c>
      <c r="U983" s="97">
        <v>0</v>
      </c>
      <c r="V983" s="40">
        <f t="shared" si="316"/>
        <v>0</v>
      </c>
      <c r="W983" s="43">
        <f>L983-O983</f>
        <v>57600000</v>
      </c>
      <c r="X983" s="43">
        <f>O983-R983</f>
        <v>0</v>
      </c>
      <c r="Y983" s="43">
        <f>R983-V983</f>
        <v>0</v>
      </c>
      <c r="Z983" s="32">
        <f t="shared" ref="Z983" si="340">R983/L983</f>
        <v>0</v>
      </c>
    </row>
    <row r="984" spans="3:26" ht="25.5" x14ac:dyDescent="0.2">
      <c r="C984" s="93" t="s">
        <v>288</v>
      </c>
      <c r="D984" s="90" t="s">
        <v>814</v>
      </c>
      <c r="E984" s="91"/>
      <c r="F984" s="18"/>
      <c r="G984" s="92"/>
      <c r="H984" s="92"/>
      <c r="I984" s="92"/>
      <c r="J984" s="92"/>
      <c r="K984" s="92"/>
      <c r="L984" s="18"/>
      <c r="M984" s="92"/>
      <c r="N984" s="92"/>
      <c r="O984" s="92"/>
      <c r="P984" s="92"/>
      <c r="Q984" s="92"/>
      <c r="R984" s="98"/>
      <c r="S984" s="98"/>
      <c r="T984" s="98"/>
      <c r="U984" s="98"/>
      <c r="V984" s="40"/>
      <c r="W984" s="18"/>
      <c r="X984" s="18"/>
      <c r="Y984" s="18"/>
      <c r="Z984" s="92"/>
    </row>
    <row r="985" spans="3:26" x14ac:dyDescent="0.2">
      <c r="C985" s="94" t="s">
        <v>815</v>
      </c>
      <c r="D985" s="95" t="s">
        <v>793</v>
      </c>
      <c r="E985" s="96" t="s">
        <v>794</v>
      </c>
      <c r="F985" s="43">
        <v>414513482</v>
      </c>
      <c r="G985" s="96">
        <v>0</v>
      </c>
      <c r="H985" s="96">
        <v>0</v>
      </c>
      <c r="I985" s="96">
        <v>0</v>
      </c>
      <c r="J985" s="96">
        <v>0</v>
      </c>
      <c r="K985" s="96">
        <v>0</v>
      </c>
      <c r="L985" s="43">
        <v>414513482</v>
      </c>
      <c r="M985" s="96">
        <v>0</v>
      </c>
      <c r="N985" s="18">
        <v>219600000</v>
      </c>
      <c r="O985" s="18">
        <v>219600000</v>
      </c>
      <c r="P985" s="92">
        <v>0</v>
      </c>
      <c r="Q985" s="92">
        <v>0</v>
      </c>
      <c r="R985" s="98">
        <v>0</v>
      </c>
      <c r="S985" s="97">
        <v>0</v>
      </c>
      <c r="T985" s="97">
        <v>0</v>
      </c>
      <c r="U985" s="97">
        <v>0</v>
      </c>
      <c r="V985" s="40">
        <f t="shared" si="316"/>
        <v>0</v>
      </c>
      <c r="W985" s="43">
        <f>L985-O985</f>
        <v>194913482</v>
      </c>
      <c r="X985" s="43">
        <f>O985-R985</f>
        <v>219600000</v>
      </c>
      <c r="Y985" s="43">
        <f>R985-V985</f>
        <v>0</v>
      </c>
      <c r="Z985" s="32">
        <f t="shared" ref="Z985" si="341">R985/L985</f>
        <v>0</v>
      </c>
    </row>
    <row r="986" spans="3:26" ht="25.5" x14ac:dyDescent="0.2">
      <c r="C986" s="93" t="s">
        <v>288</v>
      </c>
      <c r="D986" s="90" t="s">
        <v>816</v>
      </c>
      <c r="E986" s="91"/>
      <c r="F986" s="18"/>
      <c r="G986" s="92"/>
      <c r="H986" s="92"/>
      <c r="I986" s="92"/>
      <c r="J986" s="92"/>
      <c r="K986" s="92"/>
      <c r="L986" s="18"/>
      <c r="M986" s="92"/>
      <c r="N986" s="92"/>
      <c r="O986" s="92"/>
      <c r="P986" s="92"/>
      <c r="Q986" s="92"/>
      <c r="R986" s="92"/>
      <c r="S986" s="92"/>
      <c r="T986" s="92"/>
      <c r="U986" s="92"/>
      <c r="V986" s="40"/>
      <c r="W986" s="18"/>
      <c r="X986" s="18"/>
      <c r="Y986" s="18"/>
      <c r="Z986" s="92"/>
    </row>
    <row r="987" spans="3:26" x14ac:dyDescent="0.2">
      <c r="C987" s="94" t="s">
        <v>817</v>
      </c>
      <c r="D987" s="95" t="s">
        <v>793</v>
      </c>
      <c r="E987" s="96" t="s">
        <v>794</v>
      </c>
      <c r="F987" s="43">
        <v>76500000</v>
      </c>
      <c r="G987" s="96">
        <v>0</v>
      </c>
      <c r="H987" s="96">
        <v>0</v>
      </c>
      <c r="I987" s="96">
        <v>0</v>
      </c>
      <c r="J987" s="96">
        <v>0</v>
      </c>
      <c r="K987" s="96">
        <v>0</v>
      </c>
      <c r="L987" s="43">
        <v>76500000</v>
      </c>
      <c r="M987" s="96">
        <v>0</v>
      </c>
      <c r="N987" s="18">
        <v>76500000</v>
      </c>
      <c r="O987" s="18">
        <v>76500000</v>
      </c>
      <c r="P987" s="18">
        <v>0</v>
      </c>
      <c r="Q987" s="18">
        <v>76500000</v>
      </c>
      <c r="R987" s="18">
        <v>76500000</v>
      </c>
      <c r="S987" s="96">
        <v>0</v>
      </c>
      <c r="T987" s="96">
        <v>0</v>
      </c>
      <c r="U987" s="96">
        <v>0</v>
      </c>
      <c r="V987" s="40">
        <f t="shared" si="316"/>
        <v>0</v>
      </c>
      <c r="W987" s="44">
        <f>L987-O987</f>
        <v>0</v>
      </c>
      <c r="X987" s="44">
        <f>O987-R987</f>
        <v>0</v>
      </c>
      <c r="Y987" s="43">
        <f>R987-V987</f>
        <v>76500000</v>
      </c>
      <c r="Z987" s="32">
        <f t="shared" ref="Z987" si="342">R987/L987</f>
        <v>1</v>
      </c>
    </row>
    <row r="988" spans="3:26" ht="38.25" x14ac:dyDescent="0.2">
      <c r="C988" s="93" t="s">
        <v>288</v>
      </c>
      <c r="D988" s="90" t="s">
        <v>818</v>
      </c>
      <c r="E988" s="91"/>
      <c r="F988" s="18"/>
      <c r="G988" s="92"/>
      <c r="H988" s="92"/>
      <c r="I988" s="92"/>
      <c r="J988" s="92"/>
      <c r="K988" s="92"/>
      <c r="L988" s="18"/>
      <c r="M988" s="92"/>
      <c r="N988" s="92"/>
      <c r="O988" s="92"/>
      <c r="P988" s="92"/>
      <c r="Q988" s="92"/>
      <c r="R988" s="92"/>
      <c r="S988" s="92"/>
      <c r="T988" s="92"/>
      <c r="U988" s="92"/>
      <c r="V988" s="40"/>
      <c r="W988" s="18"/>
      <c r="X988" s="18"/>
      <c r="Y988" s="18"/>
      <c r="Z988" s="92"/>
    </row>
    <row r="989" spans="3:26" x14ac:dyDescent="0.2">
      <c r="C989" s="94" t="s">
        <v>819</v>
      </c>
      <c r="D989" s="95" t="s">
        <v>793</v>
      </c>
      <c r="E989" s="96" t="s">
        <v>794</v>
      </c>
      <c r="F989" s="43">
        <v>150000000</v>
      </c>
      <c r="G989" s="96">
        <v>0</v>
      </c>
      <c r="H989" s="96">
        <v>0</v>
      </c>
      <c r="I989" s="96">
        <v>0</v>
      </c>
      <c r="J989" s="96">
        <v>0</v>
      </c>
      <c r="K989" s="96">
        <v>0</v>
      </c>
      <c r="L989" s="43">
        <v>150000000</v>
      </c>
      <c r="M989" s="96">
        <v>0</v>
      </c>
      <c r="N989" s="97">
        <v>0</v>
      </c>
      <c r="O989" s="97">
        <v>0</v>
      </c>
      <c r="P989" s="97">
        <v>0</v>
      </c>
      <c r="Q989" s="97">
        <v>0</v>
      </c>
      <c r="R989" s="97">
        <v>0</v>
      </c>
      <c r="S989" s="97">
        <v>0</v>
      </c>
      <c r="T989" s="96">
        <v>0</v>
      </c>
      <c r="U989" s="96">
        <v>0</v>
      </c>
      <c r="V989" s="40">
        <f t="shared" si="316"/>
        <v>0</v>
      </c>
      <c r="W989" s="43">
        <f>L989-O989</f>
        <v>150000000</v>
      </c>
      <c r="X989" s="44">
        <f>O989-R989</f>
        <v>0</v>
      </c>
      <c r="Y989" s="44">
        <f>R989-V989</f>
        <v>0</v>
      </c>
      <c r="Z989" s="32">
        <f t="shared" ref="Z989" si="343">R989/L989</f>
        <v>0</v>
      </c>
    </row>
    <row r="990" spans="3:26" ht="25.5" x14ac:dyDescent="0.2">
      <c r="C990" s="93" t="s">
        <v>288</v>
      </c>
      <c r="D990" s="90" t="s">
        <v>820</v>
      </c>
      <c r="E990" s="91"/>
      <c r="F990" s="18"/>
      <c r="G990" s="92"/>
      <c r="H990" s="92"/>
      <c r="I990" s="92"/>
      <c r="J990" s="92"/>
      <c r="K990" s="92"/>
      <c r="L990" s="18"/>
      <c r="M990" s="92"/>
      <c r="N990" s="92"/>
      <c r="O990" s="92"/>
      <c r="P990" s="92"/>
      <c r="Q990" s="92"/>
      <c r="R990" s="92"/>
      <c r="S990" s="92"/>
      <c r="T990" s="92"/>
      <c r="U990" s="92"/>
      <c r="V990" s="39">
        <f t="shared" si="316"/>
        <v>0</v>
      </c>
      <c r="W990" s="18"/>
      <c r="X990" s="18"/>
      <c r="Y990" s="18"/>
      <c r="Z990" s="92"/>
    </row>
    <row r="991" spans="3:26" x14ac:dyDescent="0.2">
      <c r="C991" s="94" t="s">
        <v>821</v>
      </c>
      <c r="D991" s="95" t="s">
        <v>233</v>
      </c>
      <c r="E991" s="96" t="s">
        <v>58</v>
      </c>
      <c r="F991" s="43">
        <v>144000000</v>
      </c>
      <c r="G991" s="96">
        <v>0</v>
      </c>
      <c r="H991" s="96">
        <v>0</v>
      </c>
      <c r="I991" s="96">
        <v>0</v>
      </c>
      <c r="J991" s="96">
        <v>0</v>
      </c>
      <c r="K991" s="96">
        <v>0</v>
      </c>
      <c r="L991" s="43">
        <v>144000000</v>
      </c>
      <c r="M991" s="43">
        <v>0</v>
      </c>
      <c r="N991" s="44">
        <v>0</v>
      </c>
      <c r="O991" s="44">
        <v>0</v>
      </c>
      <c r="P991" s="97">
        <v>0</v>
      </c>
      <c r="Q991" s="44">
        <v>0</v>
      </c>
      <c r="R991" s="44">
        <v>0</v>
      </c>
      <c r="S991" s="97">
        <v>0</v>
      </c>
      <c r="T991" s="96">
        <v>0</v>
      </c>
      <c r="U991" s="97">
        <v>0</v>
      </c>
      <c r="V991" s="40">
        <f t="shared" si="316"/>
        <v>0</v>
      </c>
      <c r="W991" s="43">
        <f t="shared" ref="W991:W992" si="344">L991-O991</f>
        <v>144000000</v>
      </c>
      <c r="X991" s="44">
        <f t="shared" ref="X991:X992" si="345">O991-R991</f>
        <v>0</v>
      </c>
      <c r="Y991" s="44">
        <f t="shared" ref="Y991:Y992" si="346">R991-V991</f>
        <v>0</v>
      </c>
      <c r="Z991" s="32">
        <f t="shared" ref="Z991:Z992" si="347">R991/L991</f>
        <v>0</v>
      </c>
    </row>
    <row r="992" spans="3:26" x14ac:dyDescent="0.2">
      <c r="C992" s="94" t="s">
        <v>822</v>
      </c>
      <c r="D992" s="95" t="s">
        <v>793</v>
      </c>
      <c r="E992" s="96" t="s">
        <v>794</v>
      </c>
      <c r="F992" s="43">
        <v>72000000</v>
      </c>
      <c r="G992" s="96">
        <v>0</v>
      </c>
      <c r="H992" s="96">
        <v>0</v>
      </c>
      <c r="I992" s="96">
        <v>0</v>
      </c>
      <c r="J992" s="96">
        <v>0</v>
      </c>
      <c r="K992" s="96">
        <v>0</v>
      </c>
      <c r="L992" s="43">
        <v>72000000</v>
      </c>
      <c r="M992" s="44">
        <v>0</v>
      </c>
      <c r="N992" s="44">
        <v>0</v>
      </c>
      <c r="O992" s="44">
        <v>0</v>
      </c>
      <c r="P992" s="97">
        <v>0</v>
      </c>
      <c r="Q992" s="44">
        <v>0</v>
      </c>
      <c r="R992" s="44">
        <v>0</v>
      </c>
      <c r="S992" s="97">
        <v>0</v>
      </c>
      <c r="T992" s="96">
        <v>0</v>
      </c>
      <c r="U992" s="97">
        <v>0</v>
      </c>
      <c r="V992" s="40">
        <f t="shared" si="316"/>
        <v>0</v>
      </c>
      <c r="W992" s="43">
        <f t="shared" si="344"/>
        <v>72000000</v>
      </c>
      <c r="X992" s="44">
        <f t="shared" si="345"/>
        <v>0</v>
      </c>
      <c r="Y992" s="44">
        <f t="shared" si="346"/>
        <v>0</v>
      </c>
      <c r="Z992" s="32">
        <f t="shared" si="347"/>
        <v>0</v>
      </c>
    </row>
    <row r="993" spans="2:26" ht="25.5" x14ac:dyDescent="0.2">
      <c r="C993" s="93" t="s">
        <v>288</v>
      </c>
      <c r="D993" s="90" t="s">
        <v>778</v>
      </c>
      <c r="E993" s="91"/>
      <c r="F993" s="18"/>
      <c r="G993" s="92"/>
      <c r="H993" s="92"/>
      <c r="I993" s="92"/>
      <c r="J993" s="92"/>
      <c r="K993" s="92"/>
      <c r="L993" s="18"/>
      <c r="M993" s="34"/>
      <c r="N993" s="18"/>
      <c r="O993" s="18"/>
      <c r="P993" s="92"/>
      <c r="Q993" s="18"/>
      <c r="R993" s="18"/>
      <c r="S993" s="92"/>
      <c r="T993" s="92"/>
      <c r="U993" s="92"/>
      <c r="V993" s="30">
        <f t="shared" si="316"/>
        <v>0</v>
      </c>
      <c r="W993" s="18"/>
      <c r="X993" s="18"/>
      <c r="Y993" s="18"/>
      <c r="Z993" s="92"/>
    </row>
    <row r="994" spans="2:26" x14ac:dyDescent="0.2">
      <c r="C994" s="94" t="s">
        <v>823</v>
      </c>
      <c r="D994" s="95" t="s">
        <v>824</v>
      </c>
      <c r="E994" s="96" t="s">
        <v>794</v>
      </c>
      <c r="F994" s="43">
        <v>68497522112</v>
      </c>
      <c r="G994" s="96">
        <v>0</v>
      </c>
      <c r="H994" s="96">
        <v>0</v>
      </c>
      <c r="I994" s="96">
        <v>0</v>
      </c>
      <c r="J994" s="96">
        <v>0</v>
      </c>
      <c r="K994" s="96">
        <v>0</v>
      </c>
      <c r="L994" s="43">
        <v>68497522112</v>
      </c>
      <c r="M994" s="44">
        <v>0</v>
      </c>
      <c r="N994" s="43">
        <v>68497522112</v>
      </c>
      <c r="O994" s="18">
        <v>68497522112</v>
      </c>
      <c r="P994" s="92">
        <v>0</v>
      </c>
      <c r="Q994" s="18">
        <v>6055004971</v>
      </c>
      <c r="R994" s="43">
        <v>6055004971</v>
      </c>
      <c r="S994" s="96">
        <v>0</v>
      </c>
      <c r="T994" s="18">
        <v>6055004971</v>
      </c>
      <c r="U994" s="43">
        <v>6055004971</v>
      </c>
      <c r="V994" s="39">
        <f t="shared" si="316"/>
        <v>6055004971</v>
      </c>
      <c r="W994" s="43">
        <f t="shared" ref="W994:W998" si="348">L994-O994</f>
        <v>0</v>
      </c>
      <c r="X994" s="43">
        <f t="shared" ref="X994:X998" si="349">O994-R994</f>
        <v>62442517141</v>
      </c>
      <c r="Y994" s="44">
        <f t="shared" ref="Y994:Y998" si="350">R994-V994</f>
        <v>0</v>
      </c>
      <c r="Z994" s="32">
        <f t="shared" ref="Z994:Z1000" si="351">R994/L994</f>
        <v>8.8397430801941818E-2</v>
      </c>
    </row>
    <row r="995" spans="2:26" x14ac:dyDescent="0.2">
      <c r="C995" s="94" t="s">
        <v>825</v>
      </c>
      <c r="D995" s="95" t="s">
        <v>826</v>
      </c>
      <c r="E995" s="96" t="s">
        <v>802</v>
      </c>
      <c r="F995" s="43">
        <v>6053442339</v>
      </c>
      <c r="G995" s="96">
        <v>0</v>
      </c>
      <c r="H995" s="96">
        <v>0</v>
      </c>
      <c r="I995" s="96">
        <v>0</v>
      </c>
      <c r="J995" s="96">
        <v>0</v>
      </c>
      <c r="K995" s="96">
        <v>0</v>
      </c>
      <c r="L995" s="43">
        <v>6053442339</v>
      </c>
      <c r="M995" s="44">
        <v>0</v>
      </c>
      <c r="N995" s="43">
        <v>3247805756</v>
      </c>
      <c r="O995" s="18">
        <v>3247805756</v>
      </c>
      <c r="P995" s="92">
        <v>0</v>
      </c>
      <c r="Q995" s="18">
        <v>247977015</v>
      </c>
      <c r="R995" s="43">
        <v>247977015</v>
      </c>
      <c r="S995" s="96">
        <v>0</v>
      </c>
      <c r="T995" s="18">
        <v>247977015</v>
      </c>
      <c r="U995" s="43">
        <v>247977015</v>
      </c>
      <c r="V995" s="39">
        <f t="shared" si="316"/>
        <v>247977015</v>
      </c>
      <c r="W995" s="43">
        <f t="shared" si="348"/>
        <v>2805636583</v>
      </c>
      <c r="X995" s="43">
        <f t="shared" si="349"/>
        <v>2999828741</v>
      </c>
      <c r="Y995" s="44">
        <f t="shared" si="350"/>
        <v>0</v>
      </c>
      <c r="Z995" s="32">
        <f t="shared" si="351"/>
        <v>4.0964628241749242E-2</v>
      </c>
    </row>
    <row r="996" spans="2:26" ht="25.5" x14ac:dyDescent="0.2">
      <c r="C996" s="94" t="s">
        <v>827</v>
      </c>
      <c r="D996" s="95" t="s">
        <v>776</v>
      </c>
      <c r="E996" s="96" t="s">
        <v>777</v>
      </c>
      <c r="F996" s="43">
        <v>5590188172</v>
      </c>
      <c r="G996" s="96">
        <v>0</v>
      </c>
      <c r="H996" s="96">
        <v>0</v>
      </c>
      <c r="I996" s="96">
        <v>0</v>
      </c>
      <c r="J996" s="96">
        <v>0</v>
      </c>
      <c r="K996" s="96">
        <v>0</v>
      </c>
      <c r="L996" s="43">
        <v>5590188172</v>
      </c>
      <c r="M996" s="44">
        <v>0</v>
      </c>
      <c r="N996" s="43">
        <v>188387793</v>
      </c>
      <c r="O996" s="18">
        <v>188387793</v>
      </c>
      <c r="P996" s="92">
        <v>0</v>
      </c>
      <c r="Q996" s="18">
        <v>188387793</v>
      </c>
      <c r="R996" s="43">
        <v>188387793</v>
      </c>
      <c r="S996" s="96">
        <v>0</v>
      </c>
      <c r="T996" s="18">
        <v>188387793</v>
      </c>
      <c r="U996" s="43">
        <v>188387793</v>
      </c>
      <c r="V996" s="39">
        <f t="shared" si="316"/>
        <v>188387793</v>
      </c>
      <c r="W996" s="43">
        <f t="shared" si="348"/>
        <v>5401800379</v>
      </c>
      <c r="X996" s="43">
        <f t="shared" si="349"/>
        <v>0</v>
      </c>
      <c r="Y996" s="44">
        <f t="shared" si="350"/>
        <v>0</v>
      </c>
      <c r="Z996" s="32">
        <f t="shared" si="351"/>
        <v>3.3699723015334665E-2</v>
      </c>
    </row>
    <row r="997" spans="2:26" x14ac:dyDescent="0.2">
      <c r="C997" s="94" t="s">
        <v>828</v>
      </c>
      <c r="D997" s="95" t="s">
        <v>829</v>
      </c>
      <c r="E997" s="96" t="s">
        <v>789</v>
      </c>
      <c r="F997" s="43">
        <v>134040044112</v>
      </c>
      <c r="G997" s="96">
        <v>0</v>
      </c>
      <c r="H997" s="96">
        <v>0</v>
      </c>
      <c r="I997" s="96">
        <v>0</v>
      </c>
      <c r="J997" s="96">
        <v>0</v>
      </c>
      <c r="K997" s="96">
        <v>0</v>
      </c>
      <c r="L997" s="43">
        <v>134040044112</v>
      </c>
      <c r="M997" s="44">
        <v>0</v>
      </c>
      <c r="N997" s="43">
        <v>129958738901</v>
      </c>
      <c r="O997" s="18">
        <v>129958738901</v>
      </c>
      <c r="P997" s="92">
        <v>0</v>
      </c>
      <c r="Q997" s="18">
        <v>11975354145.969999</v>
      </c>
      <c r="R997" s="43">
        <v>11975354145.969999</v>
      </c>
      <c r="S997" s="96">
        <v>0</v>
      </c>
      <c r="T997" s="18">
        <v>11975354145.969999</v>
      </c>
      <c r="U997" s="43">
        <v>11975354145.969999</v>
      </c>
      <c r="V997" s="39">
        <f t="shared" si="316"/>
        <v>11975354145.969999</v>
      </c>
      <c r="W997" s="43">
        <f t="shared" si="348"/>
        <v>4081305211</v>
      </c>
      <c r="X997" s="43">
        <f t="shared" si="349"/>
        <v>117983384755.03</v>
      </c>
      <c r="Y997" s="44">
        <f t="shared" si="350"/>
        <v>0</v>
      </c>
      <c r="Z997" s="32">
        <f t="shared" si="351"/>
        <v>8.9341615972341359E-2</v>
      </c>
    </row>
    <row r="998" spans="2:26" ht="25.5" x14ac:dyDescent="0.2">
      <c r="C998" s="94" t="s">
        <v>830</v>
      </c>
      <c r="D998" s="95" t="s">
        <v>831</v>
      </c>
      <c r="E998" s="96" t="s">
        <v>832</v>
      </c>
      <c r="F998" s="43">
        <v>12909348026</v>
      </c>
      <c r="G998" s="96">
        <v>0</v>
      </c>
      <c r="H998" s="96">
        <v>0</v>
      </c>
      <c r="I998" s="96">
        <v>0</v>
      </c>
      <c r="J998" s="96">
        <v>0</v>
      </c>
      <c r="K998" s="96">
        <v>0</v>
      </c>
      <c r="L998" s="43">
        <v>12909348026</v>
      </c>
      <c r="M998" s="44">
        <v>0</v>
      </c>
      <c r="N998" s="43">
        <v>12909348026</v>
      </c>
      <c r="O998" s="18">
        <v>12909348026</v>
      </c>
      <c r="P998" s="92">
        <v>0</v>
      </c>
      <c r="Q998" s="92">
        <v>0</v>
      </c>
      <c r="R998" s="96">
        <v>0</v>
      </c>
      <c r="S998" s="96">
        <v>0</v>
      </c>
      <c r="T998" s="96">
        <v>0</v>
      </c>
      <c r="U998" s="97">
        <v>0</v>
      </c>
      <c r="V998" s="40">
        <f t="shared" si="316"/>
        <v>0</v>
      </c>
      <c r="W998" s="44">
        <f t="shared" si="348"/>
        <v>0</v>
      </c>
      <c r="X998" s="43">
        <f t="shared" si="349"/>
        <v>12909348026</v>
      </c>
      <c r="Y998" s="44">
        <f t="shared" si="350"/>
        <v>0</v>
      </c>
      <c r="Z998" s="32">
        <f t="shared" si="351"/>
        <v>0</v>
      </c>
    </row>
    <row r="999" spans="2:26" x14ac:dyDescent="0.2">
      <c r="C999" s="89"/>
      <c r="D999" s="91"/>
      <c r="E999" s="91"/>
      <c r="F999" s="18"/>
      <c r="G999" s="92"/>
      <c r="H999" s="92"/>
      <c r="I999" s="92"/>
      <c r="J999" s="92"/>
      <c r="K999" s="92"/>
      <c r="L999" s="92"/>
      <c r="M999" s="98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</row>
    <row r="1000" spans="2:26" s="50" customFormat="1" x14ac:dyDescent="0.2">
      <c r="B1000" s="77"/>
      <c r="C1000" s="46"/>
      <c r="D1000" s="47" t="s">
        <v>833</v>
      </c>
      <c r="E1000" s="47"/>
      <c r="F1000" s="48">
        <f>SUM(F953:F998)</f>
        <v>260924476092</v>
      </c>
      <c r="G1000" s="49">
        <f t="shared" ref="G1000:Y1000" si="352">SUM(G953:G998)</f>
        <v>0</v>
      </c>
      <c r="H1000" s="49">
        <f t="shared" si="352"/>
        <v>0</v>
      </c>
      <c r="I1000" s="48">
        <f t="shared" si="352"/>
        <v>5536570240</v>
      </c>
      <c r="J1000" s="48">
        <f t="shared" si="352"/>
        <v>5536570240</v>
      </c>
      <c r="K1000" s="48">
        <f t="shared" si="352"/>
        <v>0</v>
      </c>
      <c r="L1000" s="48">
        <f t="shared" si="352"/>
        <v>260924476092</v>
      </c>
      <c r="M1000" s="49">
        <f t="shared" si="352"/>
        <v>0</v>
      </c>
      <c r="N1000" s="48">
        <f t="shared" si="352"/>
        <v>215259215933</v>
      </c>
      <c r="O1000" s="48">
        <f t="shared" si="352"/>
        <v>215259215933</v>
      </c>
      <c r="P1000" s="49">
        <f t="shared" si="352"/>
        <v>0</v>
      </c>
      <c r="Q1000" s="48">
        <f t="shared" si="352"/>
        <v>18690437269.970001</v>
      </c>
      <c r="R1000" s="48">
        <f t="shared" si="352"/>
        <v>18690437269.970001</v>
      </c>
      <c r="S1000" s="48">
        <f t="shared" si="352"/>
        <v>0</v>
      </c>
      <c r="T1000" s="48">
        <f t="shared" si="352"/>
        <v>18539837269.970001</v>
      </c>
      <c r="U1000" s="48">
        <f t="shared" si="352"/>
        <v>18539837269.970001</v>
      </c>
      <c r="V1000" s="22">
        <f>S1000+U1000</f>
        <v>18539837269.970001</v>
      </c>
      <c r="W1000" s="48">
        <f>SUM(W953:W998)</f>
        <v>45665260159</v>
      </c>
      <c r="X1000" s="48">
        <f>SUM(X953:X998)</f>
        <v>196568778663.03</v>
      </c>
      <c r="Y1000" s="48">
        <f t="shared" si="352"/>
        <v>150600000</v>
      </c>
      <c r="Z1000" s="24">
        <f t="shared" si="351"/>
        <v>7.1631598345645017E-2</v>
      </c>
    </row>
  </sheetData>
  <mergeCells count="23">
    <mergeCell ref="L7:L8"/>
    <mergeCell ref="A2:Y2"/>
    <mergeCell ref="A3:Y3"/>
    <mergeCell ref="A4:Y4"/>
    <mergeCell ref="A5:Y5"/>
    <mergeCell ref="A7:A9"/>
    <mergeCell ref="B7:B9"/>
    <mergeCell ref="C7:C9"/>
    <mergeCell ref="D7:D9"/>
    <mergeCell ref="E7:E9"/>
    <mergeCell ref="F7:F8"/>
    <mergeCell ref="G7:G8"/>
    <mergeCell ref="H7:H8"/>
    <mergeCell ref="I7:I8"/>
    <mergeCell ref="J7:J8"/>
    <mergeCell ref="K7:K8"/>
    <mergeCell ref="Z7:Z8"/>
    <mergeCell ref="M7:O7"/>
    <mergeCell ref="P7:R7"/>
    <mergeCell ref="S7:U7"/>
    <mergeCell ref="W7:W8"/>
    <mergeCell ref="X7:X8"/>
    <mergeCell ref="Y7:Y8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C1454-3EAF-4F2A-AFA1-08899998749A}">
  <dimension ref="A1:AX1454"/>
  <sheetViews>
    <sheetView zoomScale="80" zoomScaleNormal="80" workbookViewId="0">
      <pane xSplit="29" ySplit="9" topLeftCell="AO10" activePane="bottomRight" state="frozen"/>
      <selection pane="topRight" activeCell="AD1" sqref="AD1"/>
      <selection pane="bottomLeft" activeCell="A10" sqref="A10"/>
      <selection pane="bottomRight" activeCell="AN1" sqref="AN1:AN1048576"/>
    </sheetView>
  </sheetViews>
  <sheetFormatPr baseColWidth="10" defaultColWidth="9.140625" defaultRowHeight="12.75" x14ac:dyDescent="0.2"/>
  <cols>
    <col min="1" max="1" width="7" style="33" customWidth="1"/>
    <col min="2" max="2" width="38.42578125" style="51" hidden="1" customWidth="1"/>
    <col min="3" max="3" width="27.7109375" style="51" hidden="1" customWidth="1"/>
    <col min="4" max="4" width="18.7109375" style="51" hidden="1" customWidth="1"/>
    <col min="5" max="5" width="13.85546875" style="51" hidden="1" customWidth="1"/>
    <col min="6" max="6" width="14.42578125" style="51" hidden="1" customWidth="1"/>
    <col min="7" max="7" width="10.85546875" style="51" hidden="1" customWidth="1"/>
    <col min="8" max="8" width="9.85546875" style="51" hidden="1" customWidth="1"/>
    <col min="9" max="9" width="23" style="51" hidden="1" customWidth="1"/>
    <col min="10" max="10" width="14.5703125" style="51" hidden="1" customWidth="1"/>
    <col min="11" max="11" width="18.85546875" style="51" hidden="1" customWidth="1"/>
    <col min="12" max="12" width="12" style="51" hidden="1" customWidth="1"/>
    <col min="13" max="13" width="16.85546875" style="51" hidden="1" customWidth="1"/>
    <col min="14" max="14" width="20.5703125" style="51" hidden="1" customWidth="1"/>
    <col min="15" max="15" width="22.7109375" style="51" hidden="1" customWidth="1"/>
    <col min="16" max="16" width="29" style="51" hidden="1" customWidth="1"/>
    <col min="17" max="17" width="20" style="51" hidden="1" customWidth="1"/>
    <col min="18" max="19" width="23.5703125" style="51" hidden="1" customWidth="1"/>
    <col min="20" max="20" width="27.140625" style="51" hidden="1" customWidth="1"/>
    <col min="21" max="21" width="25.5703125" style="51" hidden="1" customWidth="1"/>
    <col min="22" max="22" width="18.85546875" style="51" hidden="1" customWidth="1"/>
    <col min="23" max="23" width="18.5703125" style="51" hidden="1" customWidth="1"/>
    <col min="24" max="24" width="20.85546875" style="51" hidden="1" customWidth="1"/>
    <col min="25" max="26" width="29.7109375" style="51" hidden="1" customWidth="1"/>
    <col min="27" max="27" width="40.5703125" style="99" customWidth="1"/>
    <col min="28" max="28" width="60.140625" style="51" customWidth="1"/>
    <col min="29" max="29" width="60.7109375" style="51" hidden="1" customWidth="1"/>
    <col min="30" max="30" width="23.42578125" style="33" customWidth="1"/>
    <col min="31" max="31" width="22.5703125" style="33" hidden="1" customWidth="1"/>
    <col min="32" max="32" width="20.7109375" style="33" hidden="1" customWidth="1"/>
    <col min="33" max="33" width="22" style="33" hidden="1" customWidth="1"/>
    <col min="34" max="35" width="22.140625" style="33" hidden="1" customWidth="1"/>
    <col min="36" max="36" width="23.85546875" style="33" customWidth="1"/>
    <col min="37" max="37" width="24.140625" style="33" hidden="1" customWidth="1"/>
    <col min="38" max="39" width="27.7109375" style="33" hidden="1" customWidth="1"/>
    <col min="40" max="40" width="20.7109375" style="33" hidden="1" customWidth="1"/>
    <col min="41" max="41" width="22.42578125" style="33" customWidth="1"/>
    <col min="42" max="42" width="23.42578125" style="33" customWidth="1"/>
    <col min="43" max="43" width="20.7109375" style="33" customWidth="1"/>
    <col min="44" max="44" width="22.28515625" style="33" customWidth="1"/>
    <col min="45" max="45" width="23.7109375" style="33" customWidth="1"/>
    <col min="46" max="46" width="22.28515625" style="33" customWidth="1"/>
    <col min="47" max="47" width="23" style="33" customWidth="1"/>
    <col min="48" max="48" width="23.42578125" style="33" customWidth="1"/>
    <col min="49" max="49" width="24.140625" style="33" customWidth="1"/>
    <col min="50" max="50" width="12.140625" style="33" customWidth="1"/>
    <col min="51" max="274" width="9.140625" style="33"/>
    <col min="275" max="276" width="0" style="33" hidden="1" customWidth="1"/>
    <col min="277" max="277" width="29.42578125" style="33" customWidth="1"/>
    <col min="278" max="278" width="75.7109375" style="33" customWidth="1"/>
    <col min="279" max="279" width="0" style="33" hidden="1" customWidth="1"/>
    <col min="280" max="298" width="20.7109375" style="33" customWidth="1"/>
    <col min="299" max="299" width="12.140625" style="33" customWidth="1"/>
    <col min="300" max="530" width="9.140625" style="33"/>
    <col min="531" max="532" width="0" style="33" hidden="1" customWidth="1"/>
    <col min="533" max="533" width="29.42578125" style="33" customWidth="1"/>
    <col min="534" max="534" width="75.7109375" style="33" customWidth="1"/>
    <col min="535" max="535" width="0" style="33" hidden="1" customWidth="1"/>
    <col min="536" max="554" width="20.7109375" style="33" customWidth="1"/>
    <col min="555" max="555" width="12.140625" style="33" customWidth="1"/>
    <col min="556" max="786" width="9.140625" style="33"/>
    <col min="787" max="788" width="0" style="33" hidden="1" customWidth="1"/>
    <col min="789" max="789" width="29.42578125" style="33" customWidth="1"/>
    <col min="790" max="790" width="75.7109375" style="33" customWidth="1"/>
    <col min="791" max="791" width="0" style="33" hidden="1" customWidth="1"/>
    <col min="792" max="810" width="20.7109375" style="33" customWidth="1"/>
    <col min="811" max="811" width="12.140625" style="33" customWidth="1"/>
    <col min="812" max="1042" width="9.140625" style="33"/>
    <col min="1043" max="1044" width="0" style="33" hidden="1" customWidth="1"/>
    <col min="1045" max="1045" width="29.42578125" style="33" customWidth="1"/>
    <col min="1046" max="1046" width="75.7109375" style="33" customWidth="1"/>
    <col min="1047" max="1047" width="0" style="33" hidden="1" customWidth="1"/>
    <col min="1048" max="1066" width="20.7109375" style="33" customWidth="1"/>
    <col min="1067" max="1067" width="12.140625" style="33" customWidth="1"/>
    <col min="1068" max="1298" width="9.140625" style="33"/>
    <col min="1299" max="1300" width="0" style="33" hidden="1" customWidth="1"/>
    <col min="1301" max="1301" width="29.42578125" style="33" customWidth="1"/>
    <col min="1302" max="1302" width="75.7109375" style="33" customWidth="1"/>
    <col min="1303" max="1303" width="0" style="33" hidden="1" customWidth="1"/>
    <col min="1304" max="1322" width="20.7109375" style="33" customWidth="1"/>
    <col min="1323" max="1323" width="12.140625" style="33" customWidth="1"/>
    <col min="1324" max="1554" width="9.140625" style="33"/>
    <col min="1555" max="1556" width="0" style="33" hidden="1" customWidth="1"/>
    <col min="1557" max="1557" width="29.42578125" style="33" customWidth="1"/>
    <col min="1558" max="1558" width="75.7109375" style="33" customWidth="1"/>
    <col min="1559" max="1559" width="0" style="33" hidden="1" customWidth="1"/>
    <col min="1560" max="1578" width="20.7109375" style="33" customWidth="1"/>
    <col min="1579" max="1579" width="12.140625" style="33" customWidth="1"/>
    <col min="1580" max="1810" width="9.140625" style="33"/>
    <col min="1811" max="1812" width="0" style="33" hidden="1" customWidth="1"/>
    <col min="1813" max="1813" width="29.42578125" style="33" customWidth="1"/>
    <col min="1814" max="1814" width="75.7109375" style="33" customWidth="1"/>
    <col min="1815" max="1815" width="0" style="33" hidden="1" customWidth="1"/>
    <col min="1816" max="1834" width="20.7109375" style="33" customWidth="1"/>
    <col min="1835" max="1835" width="12.140625" style="33" customWidth="1"/>
    <col min="1836" max="2066" width="9.140625" style="33"/>
    <col min="2067" max="2068" width="0" style="33" hidden="1" customWidth="1"/>
    <col min="2069" max="2069" width="29.42578125" style="33" customWidth="1"/>
    <col min="2070" max="2070" width="75.7109375" style="33" customWidth="1"/>
    <col min="2071" max="2071" width="0" style="33" hidden="1" customWidth="1"/>
    <col min="2072" max="2090" width="20.7109375" style="33" customWidth="1"/>
    <col min="2091" max="2091" width="12.140625" style="33" customWidth="1"/>
    <col min="2092" max="2322" width="9.140625" style="33"/>
    <col min="2323" max="2324" width="0" style="33" hidden="1" customWidth="1"/>
    <col min="2325" max="2325" width="29.42578125" style="33" customWidth="1"/>
    <col min="2326" max="2326" width="75.7109375" style="33" customWidth="1"/>
    <col min="2327" max="2327" width="0" style="33" hidden="1" customWidth="1"/>
    <col min="2328" max="2346" width="20.7109375" style="33" customWidth="1"/>
    <col min="2347" max="2347" width="12.140625" style="33" customWidth="1"/>
    <col min="2348" max="2578" width="9.140625" style="33"/>
    <col min="2579" max="2580" width="0" style="33" hidden="1" customWidth="1"/>
    <col min="2581" max="2581" width="29.42578125" style="33" customWidth="1"/>
    <col min="2582" max="2582" width="75.7109375" style="33" customWidth="1"/>
    <col min="2583" max="2583" width="0" style="33" hidden="1" customWidth="1"/>
    <col min="2584" max="2602" width="20.7109375" style="33" customWidth="1"/>
    <col min="2603" max="2603" width="12.140625" style="33" customWidth="1"/>
    <col min="2604" max="2834" width="9.140625" style="33"/>
    <col min="2835" max="2836" width="0" style="33" hidden="1" customWidth="1"/>
    <col min="2837" max="2837" width="29.42578125" style="33" customWidth="1"/>
    <col min="2838" max="2838" width="75.7109375" style="33" customWidth="1"/>
    <col min="2839" max="2839" width="0" style="33" hidden="1" customWidth="1"/>
    <col min="2840" max="2858" width="20.7109375" style="33" customWidth="1"/>
    <col min="2859" max="2859" width="12.140625" style="33" customWidth="1"/>
    <col min="2860" max="3090" width="9.140625" style="33"/>
    <col min="3091" max="3092" width="0" style="33" hidden="1" customWidth="1"/>
    <col min="3093" max="3093" width="29.42578125" style="33" customWidth="1"/>
    <col min="3094" max="3094" width="75.7109375" style="33" customWidth="1"/>
    <col min="3095" max="3095" width="0" style="33" hidden="1" customWidth="1"/>
    <col min="3096" max="3114" width="20.7109375" style="33" customWidth="1"/>
    <col min="3115" max="3115" width="12.140625" style="33" customWidth="1"/>
    <col min="3116" max="3346" width="9.140625" style="33"/>
    <col min="3347" max="3348" width="0" style="33" hidden="1" customWidth="1"/>
    <col min="3349" max="3349" width="29.42578125" style="33" customWidth="1"/>
    <col min="3350" max="3350" width="75.7109375" style="33" customWidth="1"/>
    <col min="3351" max="3351" width="0" style="33" hidden="1" customWidth="1"/>
    <col min="3352" max="3370" width="20.7109375" style="33" customWidth="1"/>
    <col min="3371" max="3371" width="12.140625" style="33" customWidth="1"/>
    <col min="3372" max="3602" width="9.140625" style="33"/>
    <col min="3603" max="3604" width="0" style="33" hidden="1" customWidth="1"/>
    <col min="3605" max="3605" width="29.42578125" style="33" customWidth="1"/>
    <col min="3606" max="3606" width="75.7109375" style="33" customWidth="1"/>
    <col min="3607" max="3607" width="0" style="33" hidden="1" customWidth="1"/>
    <col min="3608" max="3626" width="20.7109375" style="33" customWidth="1"/>
    <col min="3627" max="3627" width="12.140625" style="33" customWidth="1"/>
    <col min="3628" max="3858" width="9.140625" style="33"/>
    <col min="3859" max="3860" width="0" style="33" hidden="1" customWidth="1"/>
    <col min="3861" max="3861" width="29.42578125" style="33" customWidth="1"/>
    <col min="3862" max="3862" width="75.7109375" style="33" customWidth="1"/>
    <col min="3863" max="3863" width="0" style="33" hidden="1" customWidth="1"/>
    <col min="3864" max="3882" width="20.7109375" style="33" customWidth="1"/>
    <col min="3883" max="3883" width="12.140625" style="33" customWidth="1"/>
    <col min="3884" max="4114" width="9.140625" style="33"/>
    <col min="4115" max="4116" width="0" style="33" hidden="1" customWidth="1"/>
    <col min="4117" max="4117" width="29.42578125" style="33" customWidth="1"/>
    <col min="4118" max="4118" width="75.7109375" style="33" customWidth="1"/>
    <col min="4119" max="4119" width="0" style="33" hidden="1" customWidth="1"/>
    <col min="4120" max="4138" width="20.7109375" style="33" customWidth="1"/>
    <col min="4139" max="4139" width="12.140625" style="33" customWidth="1"/>
    <col min="4140" max="4370" width="9.140625" style="33"/>
    <col min="4371" max="4372" width="0" style="33" hidden="1" customWidth="1"/>
    <col min="4373" max="4373" width="29.42578125" style="33" customWidth="1"/>
    <col min="4374" max="4374" width="75.7109375" style="33" customWidth="1"/>
    <col min="4375" max="4375" width="0" style="33" hidden="1" customWidth="1"/>
    <col min="4376" max="4394" width="20.7109375" style="33" customWidth="1"/>
    <col min="4395" max="4395" width="12.140625" style="33" customWidth="1"/>
    <col min="4396" max="4626" width="9.140625" style="33"/>
    <col min="4627" max="4628" width="0" style="33" hidden="1" customWidth="1"/>
    <col min="4629" max="4629" width="29.42578125" style="33" customWidth="1"/>
    <col min="4630" max="4630" width="75.7109375" style="33" customWidth="1"/>
    <col min="4631" max="4631" width="0" style="33" hidden="1" customWidth="1"/>
    <col min="4632" max="4650" width="20.7109375" style="33" customWidth="1"/>
    <col min="4651" max="4651" width="12.140625" style="33" customWidth="1"/>
    <col min="4652" max="4882" width="9.140625" style="33"/>
    <col min="4883" max="4884" width="0" style="33" hidden="1" customWidth="1"/>
    <col min="4885" max="4885" width="29.42578125" style="33" customWidth="1"/>
    <col min="4886" max="4886" width="75.7109375" style="33" customWidth="1"/>
    <col min="4887" max="4887" width="0" style="33" hidden="1" customWidth="1"/>
    <col min="4888" max="4906" width="20.7109375" style="33" customWidth="1"/>
    <col min="4907" max="4907" width="12.140625" style="33" customWidth="1"/>
    <col min="4908" max="5138" width="9.140625" style="33"/>
    <col min="5139" max="5140" width="0" style="33" hidden="1" customWidth="1"/>
    <col min="5141" max="5141" width="29.42578125" style="33" customWidth="1"/>
    <col min="5142" max="5142" width="75.7109375" style="33" customWidth="1"/>
    <col min="5143" max="5143" width="0" style="33" hidden="1" customWidth="1"/>
    <col min="5144" max="5162" width="20.7109375" style="33" customWidth="1"/>
    <col min="5163" max="5163" width="12.140625" style="33" customWidth="1"/>
    <col min="5164" max="5394" width="9.140625" style="33"/>
    <col min="5395" max="5396" width="0" style="33" hidden="1" customWidth="1"/>
    <col min="5397" max="5397" width="29.42578125" style="33" customWidth="1"/>
    <col min="5398" max="5398" width="75.7109375" style="33" customWidth="1"/>
    <col min="5399" max="5399" width="0" style="33" hidden="1" customWidth="1"/>
    <col min="5400" max="5418" width="20.7109375" style="33" customWidth="1"/>
    <col min="5419" max="5419" width="12.140625" style="33" customWidth="1"/>
    <col min="5420" max="5650" width="9.140625" style="33"/>
    <col min="5651" max="5652" width="0" style="33" hidden="1" customWidth="1"/>
    <col min="5653" max="5653" width="29.42578125" style="33" customWidth="1"/>
    <col min="5654" max="5654" width="75.7109375" style="33" customWidth="1"/>
    <col min="5655" max="5655" width="0" style="33" hidden="1" customWidth="1"/>
    <col min="5656" max="5674" width="20.7109375" style="33" customWidth="1"/>
    <col min="5675" max="5675" width="12.140625" style="33" customWidth="1"/>
    <col min="5676" max="5906" width="9.140625" style="33"/>
    <col min="5907" max="5908" width="0" style="33" hidden="1" customWidth="1"/>
    <col min="5909" max="5909" width="29.42578125" style="33" customWidth="1"/>
    <col min="5910" max="5910" width="75.7109375" style="33" customWidth="1"/>
    <col min="5911" max="5911" width="0" style="33" hidden="1" customWidth="1"/>
    <col min="5912" max="5930" width="20.7109375" style="33" customWidth="1"/>
    <col min="5931" max="5931" width="12.140625" style="33" customWidth="1"/>
    <col min="5932" max="6162" width="9.140625" style="33"/>
    <col min="6163" max="6164" width="0" style="33" hidden="1" customWidth="1"/>
    <col min="6165" max="6165" width="29.42578125" style="33" customWidth="1"/>
    <col min="6166" max="6166" width="75.7109375" style="33" customWidth="1"/>
    <col min="6167" max="6167" width="0" style="33" hidden="1" customWidth="1"/>
    <col min="6168" max="6186" width="20.7109375" style="33" customWidth="1"/>
    <col min="6187" max="6187" width="12.140625" style="33" customWidth="1"/>
    <col min="6188" max="6418" width="9.140625" style="33"/>
    <col min="6419" max="6420" width="0" style="33" hidden="1" customWidth="1"/>
    <col min="6421" max="6421" width="29.42578125" style="33" customWidth="1"/>
    <col min="6422" max="6422" width="75.7109375" style="33" customWidth="1"/>
    <col min="6423" max="6423" width="0" style="33" hidden="1" customWidth="1"/>
    <col min="6424" max="6442" width="20.7109375" style="33" customWidth="1"/>
    <col min="6443" max="6443" width="12.140625" style="33" customWidth="1"/>
    <col min="6444" max="6674" width="9.140625" style="33"/>
    <col min="6675" max="6676" width="0" style="33" hidden="1" customWidth="1"/>
    <col min="6677" max="6677" width="29.42578125" style="33" customWidth="1"/>
    <col min="6678" max="6678" width="75.7109375" style="33" customWidth="1"/>
    <col min="6679" max="6679" width="0" style="33" hidden="1" customWidth="1"/>
    <col min="6680" max="6698" width="20.7109375" style="33" customWidth="1"/>
    <col min="6699" max="6699" width="12.140625" style="33" customWidth="1"/>
    <col min="6700" max="6930" width="9.140625" style="33"/>
    <col min="6931" max="6932" width="0" style="33" hidden="1" customWidth="1"/>
    <col min="6933" max="6933" width="29.42578125" style="33" customWidth="1"/>
    <col min="6934" max="6934" width="75.7109375" style="33" customWidth="1"/>
    <col min="6935" max="6935" width="0" style="33" hidden="1" customWidth="1"/>
    <col min="6936" max="6954" width="20.7109375" style="33" customWidth="1"/>
    <col min="6955" max="6955" width="12.140625" style="33" customWidth="1"/>
    <col min="6956" max="7186" width="9.140625" style="33"/>
    <col min="7187" max="7188" width="0" style="33" hidden="1" customWidth="1"/>
    <col min="7189" max="7189" width="29.42578125" style="33" customWidth="1"/>
    <col min="7190" max="7190" width="75.7109375" style="33" customWidth="1"/>
    <col min="7191" max="7191" width="0" style="33" hidden="1" customWidth="1"/>
    <col min="7192" max="7210" width="20.7109375" style="33" customWidth="1"/>
    <col min="7211" max="7211" width="12.140625" style="33" customWidth="1"/>
    <col min="7212" max="7442" width="9.140625" style="33"/>
    <col min="7443" max="7444" width="0" style="33" hidden="1" customWidth="1"/>
    <col min="7445" max="7445" width="29.42578125" style="33" customWidth="1"/>
    <col min="7446" max="7446" width="75.7109375" style="33" customWidth="1"/>
    <col min="7447" max="7447" width="0" style="33" hidden="1" customWidth="1"/>
    <col min="7448" max="7466" width="20.7109375" style="33" customWidth="1"/>
    <col min="7467" max="7467" width="12.140625" style="33" customWidth="1"/>
    <col min="7468" max="7698" width="9.140625" style="33"/>
    <col min="7699" max="7700" width="0" style="33" hidden="1" customWidth="1"/>
    <col min="7701" max="7701" width="29.42578125" style="33" customWidth="1"/>
    <col min="7702" max="7702" width="75.7109375" style="33" customWidth="1"/>
    <col min="7703" max="7703" width="0" style="33" hidden="1" customWidth="1"/>
    <col min="7704" max="7722" width="20.7109375" style="33" customWidth="1"/>
    <col min="7723" max="7723" width="12.140625" style="33" customWidth="1"/>
    <col min="7724" max="7954" width="9.140625" style="33"/>
    <col min="7955" max="7956" width="0" style="33" hidden="1" customWidth="1"/>
    <col min="7957" max="7957" width="29.42578125" style="33" customWidth="1"/>
    <col min="7958" max="7958" width="75.7109375" style="33" customWidth="1"/>
    <col min="7959" max="7959" width="0" style="33" hidden="1" customWidth="1"/>
    <col min="7960" max="7978" width="20.7109375" style="33" customWidth="1"/>
    <col min="7979" max="7979" width="12.140625" style="33" customWidth="1"/>
    <col min="7980" max="8210" width="9.140625" style="33"/>
    <col min="8211" max="8212" width="0" style="33" hidden="1" customWidth="1"/>
    <col min="8213" max="8213" width="29.42578125" style="33" customWidth="1"/>
    <col min="8214" max="8214" width="75.7109375" style="33" customWidth="1"/>
    <col min="8215" max="8215" width="0" style="33" hidden="1" customWidth="1"/>
    <col min="8216" max="8234" width="20.7109375" style="33" customWidth="1"/>
    <col min="8235" max="8235" width="12.140625" style="33" customWidth="1"/>
    <col min="8236" max="8466" width="9.140625" style="33"/>
    <col min="8467" max="8468" width="0" style="33" hidden="1" customWidth="1"/>
    <col min="8469" max="8469" width="29.42578125" style="33" customWidth="1"/>
    <col min="8470" max="8470" width="75.7109375" style="33" customWidth="1"/>
    <col min="8471" max="8471" width="0" style="33" hidden="1" customWidth="1"/>
    <col min="8472" max="8490" width="20.7109375" style="33" customWidth="1"/>
    <col min="8491" max="8491" width="12.140625" style="33" customWidth="1"/>
    <col min="8492" max="8722" width="9.140625" style="33"/>
    <col min="8723" max="8724" width="0" style="33" hidden="1" customWidth="1"/>
    <col min="8725" max="8725" width="29.42578125" style="33" customWidth="1"/>
    <col min="8726" max="8726" width="75.7109375" style="33" customWidth="1"/>
    <col min="8727" max="8727" width="0" style="33" hidden="1" customWidth="1"/>
    <col min="8728" max="8746" width="20.7109375" style="33" customWidth="1"/>
    <col min="8747" max="8747" width="12.140625" style="33" customWidth="1"/>
    <col min="8748" max="8978" width="9.140625" style="33"/>
    <col min="8979" max="8980" width="0" style="33" hidden="1" customWidth="1"/>
    <col min="8981" max="8981" width="29.42578125" style="33" customWidth="1"/>
    <col min="8982" max="8982" width="75.7109375" style="33" customWidth="1"/>
    <col min="8983" max="8983" width="0" style="33" hidden="1" customWidth="1"/>
    <col min="8984" max="9002" width="20.7109375" style="33" customWidth="1"/>
    <col min="9003" max="9003" width="12.140625" style="33" customWidth="1"/>
    <col min="9004" max="9234" width="9.140625" style="33"/>
    <col min="9235" max="9236" width="0" style="33" hidden="1" customWidth="1"/>
    <col min="9237" max="9237" width="29.42578125" style="33" customWidth="1"/>
    <col min="9238" max="9238" width="75.7109375" style="33" customWidth="1"/>
    <col min="9239" max="9239" width="0" style="33" hidden="1" customWidth="1"/>
    <col min="9240" max="9258" width="20.7109375" style="33" customWidth="1"/>
    <col min="9259" max="9259" width="12.140625" style="33" customWidth="1"/>
    <col min="9260" max="9490" width="9.140625" style="33"/>
    <col min="9491" max="9492" width="0" style="33" hidden="1" customWidth="1"/>
    <col min="9493" max="9493" width="29.42578125" style="33" customWidth="1"/>
    <col min="9494" max="9494" width="75.7109375" style="33" customWidth="1"/>
    <col min="9495" max="9495" width="0" style="33" hidden="1" customWidth="1"/>
    <col min="9496" max="9514" width="20.7109375" style="33" customWidth="1"/>
    <col min="9515" max="9515" width="12.140625" style="33" customWidth="1"/>
    <col min="9516" max="9746" width="9.140625" style="33"/>
    <col min="9747" max="9748" width="0" style="33" hidden="1" customWidth="1"/>
    <col min="9749" max="9749" width="29.42578125" style="33" customWidth="1"/>
    <col min="9750" max="9750" width="75.7109375" style="33" customWidth="1"/>
    <col min="9751" max="9751" width="0" style="33" hidden="1" customWidth="1"/>
    <col min="9752" max="9770" width="20.7109375" style="33" customWidth="1"/>
    <col min="9771" max="9771" width="12.140625" style="33" customWidth="1"/>
    <col min="9772" max="10002" width="9.140625" style="33"/>
    <col min="10003" max="10004" width="0" style="33" hidden="1" customWidth="1"/>
    <col min="10005" max="10005" width="29.42578125" style="33" customWidth="1"/>
    <col min="10006" max="10006" width="75.7109375" style="33" customWidth="1"/>
    <col min="10007" max="10007" width="0" style="33" hidden="1" customWidth="1"/>
    <col min="10008" max="10026" width="20.7109375" style="33" customWidth="1"/>
    <col min="10027" max="10027" width="12.140625" style="33" customWidth="1"/>
    <col min="10028" max="10258" width="9.140625" style="33"/>
    <col min="10259" max="10260" width="0" style="33" hidden="1" customWidth="1"/>
    <col min="10261" max="10261" width="29.42578125" style="33" customWidth="1"/>
    <col min="10262" max="10262" width="75.7109375" style="33" customWidth="1"/>
    <col min="10263" max="10263" width="0" style="33" hidden="1" customWidth="1"/>
    <col min="10264" max="10282" width="20.7109375" style="33" customWidth="1"/>
    <col min="10283" max="10283" width="12.140625" style="33" customWidth="1"/>
    <col min="10284" max="10514" width="9.140625" style="33"/>
    <col min="10515" max="10516" width="0" style="33" hidden="1" customWidth="1"/>
    <col min="10517" max="10517" width="29.42578125" style="33" customWidth="1"/>
    <col min="10518" max="10518" width="75.7109375" style="33" customWidth="1"/>
    <col min="10519" max="10519" width="0" style="33" hidden="1" customWidth="1"/>
    <col min="10520" max="10538" width="20.7109375" style="33" customWidth="1"/>
    <col min="10539" max="10539" width="12.140625" style="33" customWidth="1"/>
    <col min="10540" max="10770" width="9.140625" style="33"/>
    <col min="10771" max="10772" width="0" style="33" hidden="1" customWidth="1"/>
    <col min="10773" max="10773" width="29.42578125" style="33" customWidth="1"/>
    <col min="10774" max="10774" width="75.7109375" style="33" customWidth="1"/>
    <col min="10775" max="10775" width="0" style="33" hidden="1" customWidth="1"/>
    <col min="10776" max="10794" width="20.7109375" style="33" customWidth="1"/>
    <col min="10795" max="10795" width="12.140625" style="33" customWidth="1"/>
    <col min="10796" max="11026" width="9.140625" style="33"/>
    <col min="11027" max="11028" width="0" style="33" hidden="1" customWidth="1"/>
    <col min="11029" max="11029" width="29.42578125" style="33" customWidth="1"/>
    <col min="11030" max="11030" width="75.7109375" style="33" customWidth="1"/>
    <col min="11031" max="11031" width="0" style="33" hidden="1" customWidth="1"/>
    <col min="11032" max="11050" width="20.7109375" style="33" customWidth="1"/>
    <col min="11051" max="11051" width="12.140625" style="33" customWidth="1"/>
    <col min="11052" max="11282" width="9.140625" style="33"/>
    <col min="11283" max="11284" width="0" style="33" hidden="1" customWidth="1"/>
    <col min="11285" max="11285" width="29.42578125" style="33" customWidth="1"/>
    <col min="11286" max="11286" width="75.7109375" style="33" customWidth="1"/>
    <col min="11287" max="11287" width="0" style="33" hidden="1" customWidth="1"/>
    <col min="11288" max="11306" width="20.7109375" style="33" customWidth="1"/>
    <col min="11307" max="11307" width="12.140625" style="33" customWidth="1"/>
    <col min="11308" max="11538" width="9.140625" style="33"/>
    <col min="11539" max="11540" width="0" style="33" hidden="1" customWidth="1"/>
    <col min="11541" max="11541" width="29.42578125" style="33" customWidth="1"/>
    <col min="11542" max="11542" width="75.7109375" style="33" customWidth="1"/>
    <col min="11543" max="11543" width="0" style="33" hidden="1" customWidth="1"/>
    <col min="11544" max="11562" width="20.7109375" style="33" customWidth="1"/>
    <col min="11563" max="11563" width="12.140625" style="33" customWidth="1"/>
    <col min="11564" max="11794" width="9.140625" style="33"/>
    <col min="11795" max="11796" width="0" style="33" hidden="1" customWidth="1"/>
    <col min="11797" max="11797" width="29.42578125" style="33" customWidth="1"/>
    <col min="11798" max="11798" width="75.7109375" style="33" customWidth="1"/>
    <col min="11799" max="11799" width="0" style="33" hidden="1" customWidth="1"/>
    <col min="11800" max="11818" width="20.7109375" style="33" customWidth="1"/>
    <col min="11819" max="11819" width="12.140625" style="33" customWidth="1"/>
    <col min="11820" max="12050" width="9.140625" style="33"/>
    <col min="12051" max="12052" width="0" style="33" hidden="1" customWidth="1"/>
    <col min="12053" max="12053" width="29.42578125" style="33" customWidth="1"/>
    <col min="12054" max="12054" width="75.7109375" style="33" customWidth="1"/>
    <col min="12055" max="12055" width="0" style="33" hidden="1" customWidth="1"/>
    <col min="12056" max="12074" width="20.7109375" style="33" customWidth="1"/>
    <col min="12075" max="12075" width="12.140625" style="33" customWidth="1"/>
    <col min="12076" max="12306" width="9.140625" style="33"/>
    <col min="12307" max="12308" width="0" style="33" hidden="1" customWidth="1"/>
    <col min="12309" max="12309" width="29.42578125" style="33" customWidth="1"/>
    <col min="12310" max="12310" width="75.7109375" style="33" customWidth="1"/>
    <col min="12311" max="12311" width="0" style="33" hidden="1" customWidth="1"/>
    <col min="12312" max="12330" width="20.7109375" style="33" customWidth="1"/>
    <col min="12331" max="12331" width="12.140625" style="33" customWidth="1"/>
    <col min="12332" max="12562" width="9.140625" style="33"/>
    <col min="12563" max="12564" width="0" style="33" hidden="1" customWidth="1"/>
    <col min="12565" max="12565" width="29.42578125" style="33" customWidth="1"/>
    <col min="12566" max="12566" width="75.7109375" style="33" customWidth="1"/>
    <col min="12567" max="12567" width="0" style="33" hidden="1" customWidth="1"/>
    <col min="12568" max="12586" width="20.7109375" style="33" customWidth="1"/>
    <col min="12587" max="12587" width="12.140625" style="33" customWidth="1"/>
    <col min="12588" max="12818" width="9.140625" style="33"/>
    <col min="12819" max="12820" width="0" style="33" hidden="1" customWidth="1"/>
    <col min="12821" max="12821" width="29.42578125" style="33" customWidth="1"/>
    <col min="12822" max="12822" width="75.7109375" style="33" customWidth="1"/>
    <col min="12823" max="12823" width="0" style="33" hidden="1" customWidth="1"/>
    <col min="12824" max="12842" width="20.7109375" style="33" customWidth="1"/>
    <col min="12843" max="12843" width="12.140625" style="33" customWidth="1"/>
    <col min="12844" max="13074" width="9.140625" style="33"/>
    <col min="13075" max="13076" width="0" style="33" hidden="1" customWidth="1"/>
    <col min="13077" max="13077" width="29.42578125" style="33" customWidth="1"/>
    <col min="13078" max="13078" width="75.7109375" style="33" customWidth="1"/>
    <col min="13079" max="13079" width="0" style="33" hidden="1" customWidth="1"/>
    <col min="13080" max="13098" width="20.7109375" style="33" customWidth="1"/>
    <col min="13099" max="13099" width="12.140625" style="33" customWidth="1"/>
    <col min="13100" max="13330" width="9.140625" style="33"/>
    <col min="13331" max="13332" width="0" style="33" hidden="1" customWidth="1"/>
    <col min="13333" max="13333" width="29.42578125" style="33" customWidth="1"/>
    <col min="13334" max="13334" width="75.7109375" style="33" customWidth="1"/>
    <col min="13335" max="13335" width="0" style="33" hidden="1" customWidth="1"/>
    <col min="13336" max="13354" width="20.7109375" style="33" customWidth="1"/>
    <col min="13355" max="13355" width="12.140625" style="33" customWidth="1"/>
    <col min="13356" max="13586" width="9.140625" style="33"/>
    <col min="13587" max="13588" width="0" style="33" hidden="1" customWidth="1"/>
    <col min="13589" max="13589" width="29.42578125" style="33" customWidth="1"/>
    <col min="13590" max="13590" width="75.7109375" style="33" customWidth="1"/>
    <col min="13591" max="13591" width="0" style="33" hidden="1" customWidth="1"/>
    <col min="13592" max="13610" width="20.7109375" style="33" customWidth="1"/>
    <col min="13611" max="13611" width="12.140625" style="33" customWidth="1"/>
    <col min="13612" max="13842" width="9.140625" style="33"/>
    <col min="13843" max="13844" width="0" style="33" hidden="1" customWidth="1"/>
    <col min="13845" max="13845" width="29.42578125" style="33" customWidth="1"/>
    <col min="13846" max="13846" width="75.7109375" style="33" customWidth="1"/>
    <col min="13847" max="13847" width="0" style="33" hidden="1" customWidth="1"/>
    <col min="13848" max="13866" width="20.7109375" style="33" customWidth="1"/>
    <col min="13867" max="13867" width="12.140625" style="33" customWidth="1"/>
    <col min="13868" max="14098" width="9.140625" style="33"/>
    <col min="14099" max="14100" width="0" style="33" hidden="1" customWidth="1"/>
    <col min="14101" max="14101" width="29.42578125" style="33" customWidth="1"/>
    <col min="14102" max="14102" width="75.7109375" style="33" customWidth="1"/>
    <col min="14103" max="14103" width="0" style="33" hidden="1" customWidth="1"/>
    <col min="14104" max="14122" width="20.7109375" style="33" customWidth="1"/>
    <col min="14123" max="14123" width="12.140625" style="33" customWidth="1"/>
    <col min="14124" max="14354" width="9.140625" style="33"/>
    <col min="14355" max="14356" width="0" style="33" hidden="1" customWidth="1"/>
    <col min="14357" max="14357" width="29.42578125" style="33" customWidth="1"/>
    <col min="14358" max="14358" width="75.7109375" style="33" customWidth="1"/>
    <col min="14359" max="14359" width="0" style="33" hidden="1" customWidth="1"/>
    <col min="14360" max="14378" width="20.7109375" style="33" customWidth="1"/>
    <col min="14379" max="14379" width="12.140625" style="33" customWidth="1"/>
    <col min="14380" max="14610" width="9.140625" style="33"/>
    <col min="14611" max="14612" width="0" style="33" hidden="1" customWidth="1"/>
    <col min="14613" max="14613" width="29.42578125" style="33" customWidth="1"/>
    <col min="14614" max="14614" width="75.7109375" style="33" customWidth="1"/>
    <col min="14615" max="14615" width="0" style="33" hidden="1" customWidth="1"/>
    <col min="14616" max="14634" width="20.7109375" style="33" customWidth="1"/>
    <col min="14635" max="14635" width="12.140625" style="33" customWidth="1"/>
    <col min="14636" max="14866" width="9.140625" style="33"/>
    <col min="14867" max="14868" width="0" style="33" hidden="1" customWidth="1"/>
    <col min="14869" max="14869" width="29.42578125" style="33" customWidth="1"/>
    <col min="14870" max="14870" width="75.7109375" style="33" customWidth="1"/>
    <col min="14871" max="14871" width="0" style="33" hidden="1" customWidth="1"/>
    <col min="14872" max="14890" width="20.7109375" style="33" customWidth="1"/>
    <col min="14891" max="14891" width="12.140625" style="33" customWidth="1"/>
    <col min="14892" max="15122" width="9.140625" style="33"/>
    <col min="15123" max="15124" width="0" style="33" hidden="1" customWidth="1"/>
    <col min="15125" max="15125" width="29.42578125" style="33" customWidth="1"/>
    <col min="15126" max="15126" width="75.7109375" style="33" customWidth="1"/>
    <col min="15127" max="15127" width="0" style="33" hidden="1" customWidth="1"/>
    <col min="15128" max="15146" width="20.7109375" style="33" customWidth="1"/>
    <col min="15147" max="15147" width="12.140625" style="33" customWidth="1"/>
    <col min="15148" max="15378" width="9.140625" style="33"/>
    <col min="15379" max="15380" width="0" style="33" hidden="1" customWidth="1"/>
    <col min="15381" max="15381" width="29.42578125" style="33" customWidth="1"/>
    <col min="15382" max="15382" width="75.7109375" style="33" customWidth="1"/>
    <col min="15383" max="15383" width="0" style="33" hidden="1" customWidth="1"/>
    <col min="15384" max="15402" width="20.7109375" style="33" customWidth="1"/>
    <col min="15403" max="15403" width="12.140625" style="33" customWidth="1"/>
    <col min="15404" max="15634" width="9.140625" style="33"/>
    <col min="15635" max="15636" width="0" style="33" hidden="1" customWidth="1"/>
    <col min="15637" max="15637" width="29.42578125" style="33" customWidth="1"/>
    <col min="15638" max="15638" width="75.7109375" style="33" customWidth="1"/>
    <col min="15639" max="15639" width="0" style="33" hidden="1" customWidth="1"/>
    <col min="15640" max="15658" width="20.7109375" style="33" customWidth="1"/>
    <col min="15659" max="15659" width="12.140625" style="33" customWidth="1"/>
    <col min="15660" max="15890" width="9.140625" style="33"/>
    <col min="15891" max="15892" width="0" style="33" hidden="1" customWidth="1"/>
    <col min="15893" max="15893" width="29.42578125" style="33" customWidth="1"/>
    <col min="15894" max="15894" width="75.7109375" style="33" customWidth="1"/>
    <col min="15895" max="15895" width="0" style="33" hidden="1" customWidth="1"/>
    <col min="15896" max="15914" width="20.7109375" style="33" customWidth="1"/>
    <col min="15915" max="15915" width="12.140625" style="33" customWidth="1"/>
    <col min="15916" max="16146" width="9.140625" style="33"/>
    <col min="16147" max="16148" width="0" style="33" hidden="1" customWidth="1"/>
    <col min="16149" max="16149" width="29.42578125" style="33" customWidth="1"/>
    <col min="16150" max="16150" width="75.7109375" style="33" customWidth="1"/>
    <col min="16151" max="16151" width="0" style="33" hidden="1" customWidth="1"/>
    <col min="16152" max="16170" width="20.7109375" style="33" customWidth="1"/>
    <col min="16171" max="16171" width="12.140625" style="33" customWidth="1"/>
    <col min="16172" max="16384" width="9.140625" style="33"/>
  </cols>
  <sheetData>
    <row r="1" spans="1:50" s="1" customFormat="1" x14ac:dyDescent="0.2">
      <c r="AA1" s="2"/>
      <c r="AB1" s="3"/>
    </row>
    <row r="2" spans="1:50" s="4" customFormat="1" ht="20.25" x14ac:dyDescent="0.3">
      <c r="A2" s="339" t="s">
        <v>0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</row>
    <row r="3" spans="1:50" s="4" customFormat="1" ht="20.25" x14ac:dyDescent="0.3">
      <c r="A3" s="339" t="s">
        <v>1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</row>
    <row r="4" spans="1:50" s="4" customFormat="1" ht="20.25" x14ac:dyDescent="0.3">
      <c r="A4" s="339" t="s">
        <v>915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</row>
    <row r="5" spans="1:50" s="4" customFormat="1" ht="20.25" x14ac:dyDescent="0.3">
      <c r="A5" s="339" t="s">
        <v>1427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 s="339"/>
      <c r="AU5" s="339"/>
      <c r="AV5" s="339"/>
      <c r="AW5" s="339"/>
    </row>
    <row r="6" spans="1:50" s="4" customFormat="1" ht="16.5" customHeight="1" x14ac:dyDescent="0.3">
      <c r="A6" s="320"/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6"/>
      <c r="AB6" s="7"/>
      <c r="AC6" s="320"/>
      <c r="AD6" s="8"/>
      <c r="AE6" s="8"/>
      <c r="AF6" s="8"/>
      <c r="AG6" s="8"/>
      <c r="AH6" s="8"/>
      <c r="AI6" s="8"/>
      <c r="AJ6" s="8"/>
      <c r="AK6" s="184"/>
      <c r="AL6" s="8"/>
      <c r="AP6" s="8"/>
      <c r="AR6" s="8"/>
      <c r="AS6" s="8"/>
      <c r="AT6" s="8"/>
      <c r="AU6" s="8"/>
      <c r="AV6" s="8"/>
      <c r="AW6" s="8"/>
    </row>
    <row r="7" spans="1:50" s="4" customFormat="1" ht="16.5" customHeight="1" x14ac:dyDescent="0.2">
      <c r="A7" s="340" t="s">
        <v>3</v>
      </c>
      <c r="B7" s="341" t="s">
        <v>4</v>
      </c>
      <c r="C7" s="321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42" t="s">
        <v>5</v>
      </c>
      <c r="AB7" s="337" t="s">
        <v>6</v>
      </c>
      <c r="AC7" s="337" t="s">
        <v>7</v>
      </c>
      <c r="AD7" s="342" t="s">
        <v>8</v>
      </c>
      <c r="AE7" s="342" t="s">
        <v>9</v>
      </c>
      <c r="AF7" s="337" t="s">
        <v>10</v>
      </c>
      <c r="AG7" s="337" t="s">
        <v>11</v>
      </c>
      <c r="AH7" s="337" t="s">
        <v>12</v>
      </c>
      <c r="AI7" s="337" t="s">
        <v>13</v>
      </c>
      <c r="AJ7" s="337" t="s">
        <v>14</v>
      </c>
      <c r="AK7" s="338" t="s">
        <v>15</v>
      </c>
      <c r="AL7" s="338"/>
      <c r="AM7" s="338"/>
      <c r="AN7" s="338" t="s">
        <v>16</v>
      </c>
      <c r="AO7" s="338"/>
      <c r="AP7" s="338"/>
      <c r="AQ7" s="338" t="s">
        <v>17</v>
      </c>
      <c r="AR7" s="338"/>
      <c r="AS7" s="338"/>
      <c r="AT7" s="322"/>
      <c r="AU7" s="337" t="s">
        <v>18</v>
      </c>
      <c r="AV7" s="337" t="s">
        <v>19</v>
      </c>
      <c r="AW7" s="337" t="s">
        <v>20</v>
      </c>
      <c r="AX7" s="337" t="s">
        <v>21</v>
      </c>
    </row>
    <row r="8" spans="1:50" s="4" customFormat="1" ht="30" customHeight="1" x14ac:dyDescent="0.2">
      <c r="A8" s="340"/>
      <c r="B8" s="341"/>
      <c r="C8" s="321" t="s">
        <v>949</v>
      </c>
      <c r="D8" s="321" t="s">
        <v>950</v>
      </c>
      <c r="E8" s="321" t="s">
        <v>951</v>
      </c>
      <c r="F8" s="321" t="s">
        <v>952</v>
      </c>
      <c r="G8" s="321" t="s">
        <v>919</v>
      </c>
      <c r="H8" s="321" t="s">
        <v>920</v>
      </c>
      <c r="I8" s="321" t="s">
        <v>929</v>
      </c>
      <c r="J8" s="321" t="s">
        <v>930</v>
      </c>
      <c r="K8" s="321" t="s">
        <v>921</v>
      </c>
      <c r="L8" s="321" t="s">
        <v>922</v>
      </c>
      <c r="M8" s="321" t="s">
        <v>923</v>
      </c>
      <c r="N8" s="321" t="s">
        <v>924</v>
      </c>
      <c r="O8" s="321" t="s">
        <v>925</v>
      </c>
      <c r="P8" s="321" t="s">
        <v>926</v>
      </c>
      <c r="Q8" s="321" t="s">
        <v>927</v>
      </c>
      <c r="R8" s="321" t="s">
        <v>928</v>
      </c>
      <c r="S8" s="321" t="s">
        <v>953</v>
      </c>
      <c r="T8" s="321" t="s">
        <v>954</v>
      </c>
      <c r="U8" s="321" t="s">
        <v>955</v>
      </c>
      <c r="V8" s="321" t="s">
        <v>956</v>
      </c>
      <c r="W8" s="321" t="s">
        <v>957</v>
      </c>
      <c r="X8" s="321" t="s">
        <v>931</v>
      </c>
      <c r="Y8" s="321"/>
      <c r="Z8" s="321"/>
      <c r="AA8" s="342"/>
      <c r="AB8" s="337"/>
      <c r="AC8" s="337"/>
      <c r="AD8" s="342"/>
      <c r="AE8" s="342"/>
      <c r="AF8" s="337"/>
      <c r="AG8" s="337"/>
      <c r="AH8" s="337"/>
      <c r="AI8" s="337"/>
      <c r="AJ8" s="337"/>
      <c r="AK8" s="319" t="s">
        <v>22</v>
      </c>
      <c r="AL8" s="319" t="s">
        <v>23</v>
      </c>
      <c r="AM8" s="319" t="s">
        <v>24</v>
      </c>
      <c r="AN8" s="319" t="s">
        <v>25</v>
      </c>
      <c r="AO8" s="319" t="s">
        <v>26</v>
      </c>
      <c r="AP8" s="319" t="s">
        <v>27</v>
      </c>
      <c r="AQ8" s="319" t="s">
        <v>28</v>
      </c>
      <c r="AR8" s="319" t="s">
        <v>29</v>
      </c>
      <c r="AS8" s="319" t="s">
        <v>30</v>
      </c>
      <c r="AT8" s="319" t="s">
        <v>31</v>
      </c>
      <c r="AU8" s="337"/>
      <c r="AV8" s="337"/>
      <c r="AW8" s="337"/>
      <c r="AX8" s="337"/>
    </row>
    <row r="9" spans="1:50" s="4" customFormat="1" ht="18" customHeight="1" x14ac:dyDescent="0.2">
      <c r="A9" s="340"/>
      <c r="B9" s="341"/>
      <c r="C9" s="321"/>
      <c r="D9" s="321"/>
      <c r="E9" s="321"/>
      <c r="F9" s="321"/>
      <c r="G9" s="321"/>
      <c r="H9" s="321"/>
      <c r="I9" s="321"/>
      <c r="J9" s="321"/>
      <c r="K9" s="321"/>
      <c r="L9" s="321"/>
      <c r="M9" s="321"/>
      <c r="N9" s="321"/>
      <c r="O9" s="321"/>
      <c r="P9" s="321"/>
      <c r="Q9" s="321"/>
      <c r="R9" s="321"/>
      <c r="S9" s="321"/>
      <c r="T9" s="321"/>
      <c r="U9" s="321"/>
      <c r="V9" s="321"/>
      <c r="W9" s="321"/>
      <c r="X9" s="321"/>
      <c r="Y9" s="321"/>
      <c r="Z9" s="321"/>
      <c r="AA9" s="342"/>
      <c r="AB9" s="337"/>
      <c r="AC9" s="337"/>
      <c r="AD9" s="322">
        <v>1</v>
      </c>
      <c r="AE9" s="11"/>
      <c r="AF9" s="12"/>
      <c r="AG9" s="12"/>
      <c r="AH9" s="12"/>
      <c r="AI9" s="319">
        <v>2</v>
      </c>
      <c r="AJ9" s="322" t="s">
        <v>32</v>
      </c>
      <c r="AK9" s="322"/>
      <c r="AL9" s="322"/>
      <c r="AM9" s="322">
        <v>5</v>
      </c>
      <c r="AN9" s="322"/>
      <c r="AO9" s="322"/>
      <c r="AP9" s="322">
        <v>7</v>
      </c>
      <c r="AQ9" s="322"/>
      <c r="AR9" s="322"/>
      <c r="AS9" s="322">
        <v>9</v>
      </c>
      <c r="AT9" s="322"/>
      <c r="AU9" s="322" t="s">
        <v>33</v>
      </c>
      <c r="AV9" s="322" t="s">
        <v>34</v>
      </c>
      <c r="AW9" s="322" t="s">
        <v>35</v>
      </c>
      <c r="AX9" s="13" t="s">
        <v>36</v>
      </c>
    </row>
    <row r="10" spans="1:50" s="14" customForma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6"/>
      <c r="AB10" s="17"/>
      <c r="AC10" s="17"/>
      <c r="AD10" s="18"/>
      <c r="AE10" s="18"/>
      <c r="AF10" s="17"/>
      <c r="AG10" s="18">
        <f>AH11-AG11</f>
        <v>0</v>
      </c>
      <c r="AH10" s="18"/>
      <c r="AI10" s="17"/>
      <c r="AJ10" s="18"/>
      <c r="AK10" s="18"/>
      <c r="AL10" s="17"/>
      <c r="AM10" s="18"/>
      <c r="AN10" s="18"/>
      <c r="AO10" s="17"/>
      <c r="AP10" s="18"/>
      <c r="AQ10" s="18"/>
      <c r="AR10" s="17"/>
      <c r="AS10" s="18"/>
      <c r="AT10" s="18"/>
      <c r="AU10" s="18"/>
      <c r="AV10" s="17"/>
      <c r="AW10" s="18"/>
      <c r="AX10" s="18"/>
    </row>
    <row r="11" spans="1:50" s="25" customFormat="1" ht="18.75" customHeight="1" x14ac:dyDescent="0.2">
      <c r="A11" s="19" t="s">
        <v>37</v>
      </c>
      <c r="B11" s="19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20">
        <v>2</v>
      </c>
      <c r="AB11" s="21" t="s">
        <v>38</v>
      </c>
      <c r="AC11" s="22" t="s">
        <v>37</v>
      </c>
      <c r="AD11" s="22">
        <f t="shared" ref="AD11:AS11" si="0">AD12+AD163+AD191</f>
        <v>1017611726826</v>
      </c>
      <c r="AE11" s="22">
        <f t="shared" si="0"/>
        <v>241029742958.65005</v>
      </c>
      <c r="AF11" s="23">
        <f t="shared" si="0"/>
        <v>0</v>
      </c>
      <c r="AG11" s="22">
        <f t="shared" si="0"/>
        <v>198465046192.05005</v>
      </c>
      <c r="AH11" s="22">
        <f t="shared" si="0"/>
        <v>198465046192.05002</v>
      </c>
      <c r="AI11" s="22">
        <f t="shared" si="0"/>
        <v>241029742958.65002</v>
      </c>
      <c r="AJ11" s="22">
        <f t="shared" si="0"/>
        <v>1258641469784.6499</v>
      </c>
      <c r="AK11" s="22">
        <f t="shared" si="0"/>
        <v>1963924431</v>
      </c>
      <c r="AL11" s="22">
        <f t="shared" si="0"/>
        <v>30400597678.469997</v>
      </c>
      <c r="AM11" s="22">
        <f t="shared" si="0"/>
        <v>906342113124.97998</v>
      </c>
      <c r="AN11" s="22">
        <f t="shared" si="0"/>
        <v>216769523.00999999</v>
      </c>
      <c r="AO11" s="22">
        <f t="shared" si="0"/>
        <v>59315128695.740005</v>
      </c>
      <c r="AP11" s="22">
        <f t="shared" si="0"/>
        <v>822531528337.80005</v>
      </c>
      <c r="AQ11" s="22">
        <f t="shared" si="0"/>
        <v>4579166753.3199997</v>
      </c>
      <c r="AR11" s="22">
        <f t="shared" si="0"/>
        <v>95360633049.119995</v>
      </c>
      <c r="AS11" s="22">
        <f t="shared" si="0"/>
        <v>649213092327.42004</v>
      </c>
      <c r="AT11" s="22">
        <f>AQ11+AS11</f>
        <v>653792259080.73999</v>
      </c>
      <c r="AU11" s="22">
        <f>AU12+AU163+AU191</f>
        <v>352299356659.6701</v>
      </c>
      <c r="AV11" s="22">
        <f>AV12+AV163+AV191</f>
        <v>83810584787.180008</v>
      </c>
      <c r="AW11" s="22">
        <f>AW12+AW163+AW191</f>
        <v>168739269257.06003</v>
      </c>
      <c r="AX11" s="24">
        <f t="shared" ref="AX11:AX20" si="1">AP11/AJ11</f>
        <v>0.65350741103305054</v>
      </c>
    </row>
    <row r="12" spans="1:50" s="25" customFormat="1" ht="18.75" customHeight="1" x14ac:dyDescent="0.2">
      <c r="A12" s="19" t="s">
        <v>37</v>
      </c>
      <c r="B12" s="19" t="s">
        <v>37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26" t="s">
        <v>39</v>
      </c>
      <c r="AB12" s="21" t="s">
        <v>40</v>
      </c>
      <c r="AC12" s="22" t="s">
        <v>37</v>
      </c>
      <c r="AD12" s="22">
        <f>AD13+AD86+AD101+AD149+AD143</f>
        <v>180471642183</v>
      </c>
      <c r="AE12" s="22">
        <f t="shared" ref="AE12:AW12" si="2">AE13+AE86+AE101+AE149+AE143</f>
        <v>698388543.49000001</v>
      </c>
      <c r="AF12" s="23">
        <f t="shared" si="2"/>
        <v>0</v>
      </c>
      <c r="AG12" s="22">
        <f t="shared" si="2"/>
        <v>9905855496.7199993</v>
      </c>
      <c r="AH12" s="22">
        <f t="shared" si="2"/>
        <v>9905855496.7200012</v>
      </c>
      <c r="AI12" s="22">
        <f t="shared" si="2"/>
        <v>698388543.49000049</v>
      </c>
      <c r="AJ12" s="22">
        <f t="shared" si="2"/>
        <v>181170030726.48999</v>
      </c>
      <c r="AK12" s="22">
        <f t="shared" si="2"/>
        <v>0</v>
      </c>
      <c r="AL12" s="22">
        <f t="shared" si="2"/>
        <v>9181379354.7200012</v>
      </c>
      <c r="AM12" s="22">
        <f t="shared" si="2"/>
        <v>144568482005.76999</v>
      </c>
      <c r="AN12" s="22">
        <f t="shared" si="2"/>
        <v>40316666.670000002</v>
      </c>
      <c r="AO12" s="22">
        <f t="shared" si="2"/>
        <v>9939587544.25</v>
      </c>
      <c r="AP12" s="22">
        <f t="shared" si="2"/>
        <v>143622744335.67001</v>
      </c>
      <c r="AQ12" s="22">
        <f t="shared" si="2"/>
        <v>1527391592</v>
      </c>
      <c r="AR12" s="22">
        <f t="shared" si="2"/>
        <v>12879310822.68</v>
      </c>
      <c r="AS12" s="22">
        <f t="shared" si="2"/>
        <v>135549104736.41002</v>
      </c>
      <c r="AT12" s="22">
        <f t="shared" si="2"/>
        <v>137076496328.41002</v>
      </c>
      <c r="AU12" s="22">
        <f t="shared" si="2"/>
        <v>36601548720.720001</v>
      </c>
      <c r="AV12" s="22">
        <f t="shared" si="2"/>
        <v>945737670.10000026</v>
      </c>
      <c r="AW12" s="22">
        <f t="shared" si="2"/>
        <v>6546248007.2600002</v>
      </c>
      <c r="AX12" s="24">
        <f t="shared" si="1"/>
        <v>0.79275111760893491</v>
      </c>
    </row>
    <row r="13" spans="1:50" s="25" customFormat="1" ht="18.75" customHeight="1" x14ac:dyDescent="0.2">
      <c r="A13" s="19" t="s">
        <v>41</v>
      </c>
      <c r="B13" s="19" t="s">
        <v>42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26" t="s">
        <v>43</v>
      </c>
      <c r="AB13" s="21" t="s">
        <v>44</v>
      </c>
      <c r="AC13" s="22" t="s">
        <v>37</v>
      </c>
      <c r="AD13" s="22">
        <f>AD14</f>
        <v>38718257195.5</v>
      </c>
      <c r="AE13" s="23">
        <f t="shared" ref="AE13:AW13" si="3">AE14</f>
        <v>0</v>
      </c>
      <c r="AF13" s="23">
        <f t="shared" si="3"/>
        <v>0</v>
      </c>
      <c r="AG13" s="22">
        <f t="shared" si="3"/>
        <v>217631428</v>
      </c>
      <c r="AH13" s="22">
        <f t="shared" si="3"/>
        <v>1670131428</v>
      </c>
      <c r="AI13" s="22">
        <f t="shared" si="3"/>
        <v>-1452500000</v>
      </c>
      <c r="AJ13" s="22">
        <f>AJ14</f>
        <v>37265757195.5</v>
      </c>
      <c r="AK13" s="23">
        <f t="shared" si="3"/>
        <v>0</v>
      </c>
      <c r="AL13" s="22">
        <f t="shared" si="3"/>
        <v>2495465096</v>
      </c>
      <c r="AM13" s="22">
        <f t="shared" si="3"/>
        <v>25701823709</v>
      </c>
      <c r="AN13" s="23">
        <f t="shared" si="3"/>
        <v>0</v>
      </c>
      <c r="AO13" s="22">
        <f t="shared" si="3"/>
        <v>2440287002</v>
      </c>
      <c r="AP13" s="22">
        <f t="shared" si="3"/>
        <v>25646645615</v>
      </c>
      <c r="AQ13" s="268">
        <f t="shared" si="3"/>
        <v>96839050</v>
      </c>
      <c r="AR13" s="22">
        <f t="shared" si="3"/>
        <v>2491362838</v>
      </c>
      <c r="AS13" s="22">
        <f t="shared" si="3"/>
        <v>25400703446</v>
      </c>
      <c r="AT13" s="22">
        <f t="shared" ref="AT13" si="4">AQ13+AS13</f>
        <v>25497542496</v>
      </c>
      <c r="AU13" s="22">
        <f t="shared" si="3"/>
        <v>11563933486.5</v>
      </c>
      <c r="AV13" s="22">
        <f t="shared" si="3"/>
        <v>55178094</v>
      </c>
      <c r="AW13" s="22">
        <f t="shared" si="3"/>
        <v>149103119</v>
      </c>
      <c r="AX13" s="24">
        <f t="shared" si="1"/>
        <v>0.68820943260202805</v>
      </c>
    </row>
    <row r="14" spans="1:50" ht="18.75" customHeight="1" x14ac:dyDescent="0.2">
      <c r="A14" s="27" t="s">
        <v>41</v>
      </c>
      <c r="B14" s="27" t="s">
        <v>42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8" t="s">
        <v>45</v>
      </c>
      <c r="AB14" s="29" t="s">
        <v>46</v>
      </c>
      <c r="AC14" s="30" t="s">
        <v>37</v>
      </c>
      <c r="AD14" s="30">
        <f>AD15+AD42+AD70</f>
        <v>38718257195.5</v>
      </c>
      <c r="AE14" s="31">
        <f t="shared" ref="AE14:AW14" si="5">AE15+AE42+AE70</f>
        <v>0</v>
      </c>
      <c r="AF14" s="31">
        <f t="shared" si="5"/>
        <v>0</v>
      </c>
      <c r="AG14" s="30">
        <f>AG15+AG42+AG70</f>
        <v>217631428</v>
      </c>
      <c r="AH14" s="30">
        <f t="shared" si="5"/>
        <v>1670131428</v>
      </c>
      <c r="AI14" s="30">
        <f>AI15+AI42+AI70</f>
        <v>-1452500000</v>
      </c>
      <c r="AJ14" s="30">
        <f t="shared" si="5"/>
        <v>37265757195.5</v>
      </c>
      <c r="AK14" s="31">
        <f t="shared" si="5"/>
        <v>0</v>
      </c>
      <c r="AL14" s="30">
        <f t="shared" si="5"/>
        <v>2495465096</v>
      </c>
      <c r="AM14" s="30">
        <f t="shared" si="5"/>
        <v>25701823709</v>
      </c>
      <c r="AN14" s="31">
        <f t="shared" si="5"/>
        <v>0</v>
      </c>
      <c r="AO14" s="30">
        <f t="shared" si="5"/>
        <v>2440287002</v>
      </c>
      <c r="AP14" s="30">
        <f t="shared" si="5"/>
        <v>25646645615</v>
      </c>
      <c r="AQ14" s="172">
        <f t="shared" si="5"/>
        <v>96839050</v>
      </c>
      <c r="AR14" s="30">
        <f t="shared" si="5"/>
        <v>2491362838</v>
      </c>
      <c r="AS14" s="30">
        <f t="shared" si="5"/>
        <v>25400703446</v>
      </c>
      <c r="AT14" s="30">
        <f>AQ14+AS14</f>
        <v>25497542496</v>
      </c>
      <c r="AU14" s="30">
        <f t="shared" si="5"/>
        <v>11563933486.5</v>
      </c>
      <c r="AV14" s="30">
        <f t="shared" si="5"/>
        <v>55178094</v>
      </c>
      <c r="AW14" s="30">
        <f t="shared" si="5"/>
        <v>149103119</v>
      </c>
      <c r="AX14" s="32">
        <f t="shared" si="1"/>
        <v>0.68820943260202805</v>
      </c>
    </row>
    <row r="15" spans="1:50" ht="18.75" customHeight="1" x14ac:dyDescent="0.2">
      <c r="A15" s="27" t="s">
        <v>41</v>
      </c>
      <c r="B15" s="27" t="s">
        <v>42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8" t="s">
        <v>47</v>
      </c>
      <c r="AB15" s="29" t="s">
        <v>48</v>
      </c>
      <c r="AC15" s="30" t="s">
        <v>37</v>
      </c>
      <c r="AD15" s="30">
        <f>AD16+AD39</f>
        <v>25931861921.5</v>
      </c>
      <c r="AE15" s="31">
        <f t="shared" ref="AE15:AW15" si="6">AE16+AE39</f>
        <v>0</v>
      </c>
      <c r="AF15" s="31">
        <f t="shared" si="6"/>
        <v>0</v>
      </c>
      <c r="AG15" s="30">
        <f t="shared" si="6"/>
        <v>126362492</v>
      </c>
      <c r="AH15" s="30">
        <f t="shared" si="6"/>
        <v>826061411</v>
      </c>
      <c r="AI15" s="30">
        <f t="shared" si="6"/>
        <v>-699698919</v>
      </c>
      <c r="AJ15" s="30">
        <f t="shared" si="6"/>
        <v>25232163002.5</v>
      </c>
      <c r="AK15" s="31">
        <f t="shared" si="6"/>
        <v>0</v>
      </c>
      <c r="AL15" s="30">
        <f t="shared" si="6"/>
        <v>1655087423</v>
      </c>
      <c r="AM15" s="30">
        <f t="shared" si="6"/>
        <v>17867092222</v>
      </c>
      <c r="AN15" s="31">
        <f t="shared" si="6"/>
        <v>0</v>
      </c>
      <c r="AO15" s="30">
        <f t="shared" si="6"/>
        <v>1655087423</v>
      </c>
      <c r="AP15" s="30">
        <f t="shared" si="6"/>
        <v>17867092222</v>
      </c>
      <c r="AQ15" s="31">
        <f t="shared" si="6"/>
        <v>0</v>
      </c>
      <c r="AR15" s="30">
        <f t="shared" si="6"/>
        <v>1783837925</v>
      </c>
      <c r="AS15" s="30">
        <f t="shared" si="6"/>
        <v>17755106136</v>
      </c>
      <c r="AT15" s="30">
        <f t="shared" ref="AT15:AT38" si="7">AQ15+AS15</f>
        <v>17755106136</v>
      </c>
      <c r="AU15" s="30">
        <f t="shared" si="6"/>
        <v>7365070780.5</v>
      </c>
      <c r="AV15" s="31">
        <f t="shared" si="6"/>
        <v>0</v>
      </c>
      <c r="AW15" s="30">
        <f t="shared" si="6"/>
        <v>111986086</v>
      </c>
      <c r="AX15" s="32">
        <f t="shared" si="1"/>
        <v>0.70810783127192589</v>
      </c>
    </row>
    <row r="16" spans="1:50" ht="18.75" customHeight="1" x14ac:dyDescent="0.2">
      <c r="A16" s="27" t="s">
        <v>49</v>
      </c>
      <c r="B16" s="27" t="s">
        <v>50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8" t="s">
        <v>51</v>
      </c>
      <c r="AB16" s="29" t="s">
        <v>52</v>
      </c>
      <c r="AC16" s="30" t="s">
        <v>37</v>
      </c>
      <c r="AD16" s="30">
        <f>AD17+AD20+AD21+AD22+AD23++AD24+AD27+AD30+AD37+AD38</f>
        <v>25908449467.5</v>
      </c>
      <c r="AE16" s="31">
        <f t="shared" ref="AE16:AW16" si="8">AE17+AE20+AE21+AE22+AE23++AE24+AE27+AE30+AE37+AE38</f>
        <v>0</v>
      </c>
      <c r="AF16" s="31">
        <f t="shared" si="8"/>
        <v>0</v>
      </c>
      <c r="AG16" s="30">
        <f t="shared" si="8"/>
        <v>126362492</v>
      </c>
      <c r="AH16" s="30">
        <f>AH17+AH20+AH21+AH22+AH23++AH24+AH27+AH30+AH37+AH38</f>
        <v>826061411</v>
      </c>
      <c r="AI16" s="30">
        <f t="shared" si="8"/>
        <v>-699698919</v>
      </c>
      <c r="AJ16" s="30">
        <f t="shared" si="8"/>
        <v>25208750548.5</v>
      </c>
      <c r="AK16" s="31">
        <f t="shared" si="8"/>
        <v>0</v>
      </c>
      <c r="AL16" s="30">
        <f t="shared" si="8"/>
        <v>1655087423</v>
      </c>
      <c r="AM16" s="30">
        <f t="shared" si="8"/>
        <v>17867092222</v>
      </c>
      <c r="AN16" s="31">
        <f t="shared" si="8"/>
        <v>0</v>
      </c>
      <c r="AO16" s="30">
        <f t="shared" si="8"/>
        <v>1655087423</v>
      </c>
      <c r="AP16" s="30">
        <f t="shared" si="8"/>
        <v>17867092222</v>
      </c>
      <c r="AQ16" s="31">
        <f t="shared" si="8"/>
        <v>0</v>
      </c>
      <c r="AR16" s="30">
        <f t="shared" si="8"/>
        <v>1783837925</v>
      </c>
      <c r="AS16" s="30">
        <f t="shared" si="8"/>
        <v>17755106136</v>
      </c>
      <c r="AT16" s="30">
        <f t="shared" si="7"/>
        <v>17755106136</v>
      </c>
      <c r="AU16" s="30">
        <f t="shared" si="8"/>
        <v>7341658326.5</v>
      </c>
      <c r="AV16" s="31">
        <f t="shared" si="8"/>
        <v>0</v>
      </c>
      <c r="AW16" s="30">
        <f t="shared" si="8"/>
        <v>111986086</v>
      </c>
      <c r="AX16" s="32">
        <f t="shared" si="1"/>
        <v>0.70876548155867047</v>
      </c>
    </row>
    <row r="17" spans="1:50" ht="18.75" customHeight="1" x14ac:dyDescent="0.2">
      <c r="A17" s="27" t="s">
        <v>41</v>
      </c>
      <c r="B17" s="27" t="s">
        <v>42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8" t="s">
        <v>53</v>
      </c>
      <c r="AB17" s="29" t="s">
        <v>54</v>
      </c>
      <c r="AC17" s="30" t="s">
        <v>37</v>
      </c>
      <c r="AD17" s="30">
        <f>AD18+AD19</f>
        <v>19589756868.5</v>
      </c>
      <c r="AE17" s="31">
        <f t="shared" ref="AE17:AW17" si="9">AE18+AE19</f>
        <v>0</v>
      </c>
      <c r="AF17" s="31">
        <f t="shared" si="9"/>
        <v>0</v>
      </c>
      <c r="AG17" s="31">
        <f t="shared" si="9"/>
        <v>0</v>
      </c>
      <c r="AH17" s="30">
        <f t="shared" si="9"/>
        <v>494061411</v>
      </c>
      <c r="AI17" s="30">
        <f t="shared" si="9"/>
        <v>-494061411</v>
      </c>
      <c r="AJ17" s="30">
        <f t="shared" si="9"/>
        <v>19095695457.5</v>
      </c>
      <c r="AK17" s="31">
        <f t="shared" si="9"/>
        <v>0</v>
      </c>
      <c r="AL17" s="30">
        <f t="shared" si="9"/>
        <v>1444996164</v>
      </c>
      <c r="AM17" s="30">
        <f t="shared" si="9"/>
        <v>15381449948</v>
      </c>
      <c r="AN17" s="31">
        <f t="shared" si="9"/>
        <v>0</v>
      </c>
      <c r="AO17" s="30">
        <f t="shared" si="9"/>
        <v>1444996164</v>
      </c>
      <c r="AP17" s="30">
        <f t="shared" si="9"/>
        <v>15381449948</v>
      </c>
      <c r="AQ17" s="31">
        <f t="shared" si="9"/>
        <v>0</v>
      </c>
      <c r="AR17" s="30">
        <f t="shared" si="9"/>
        <v>1518190190</v>
      </c>
      <c r="AS17" s="30">
        <f t="shared" si="9"/>
        <v>15296375748</v>
      </c>
      <c r="AT17" s="30">
        <f t="shared" si="7"/>
        <v>15296375748</v>
      </c>
      <c r="AU17" s="30">
        <f t="shared" si="9"/>
        <v>3714245509.5</v>
      </c>
      <c r="AV17" s="31">
        <f t="shared" si="9"/>
        <v>0</v>
      </c>
      <c r="AW17" s="30">
        <f t="shared" si="9"/>
        <v>85074200</v>
      </c>
      <c r="AX17" s="32">
        <f t="shared" si="1"/>
        <v>0.80549304853721904</v>
      </c>
    </row>
    <row r="18" spans="1:50" ht="18.75" customHeight="1" x14ac:dyDescent="0.2">
      <c r="A18" s="14" t="s">
        <v>55</v>
      </c>
      <c r="B18" s="15" t="s">
        <v>56</v>
      </c>
      <c r="C18" s="15"/>
      <c r="D18" s="15" t="s">
        <v>40</v>
      </c>
      <c r="E18" s="15"/>
      <c r="F18" s="15"/>
      <c r="G18" s="15" t="s">
        <v>41</v>
      </c>
      <c r="H18" s="15"/>
      <c r="I18" s="15" t="s">
        <v>936</v>
      </c>
      <c r="J18" s="15"/>
      <c r="K18" s="15" t="s">
        <v>932</v>
      </c>
      <c r="L18" s="15"/>
      <c r="M18" s="15" t="s">
        <v>933</v>
      </c>
      <c r="N18" s="15"/>
      <c r="O18" s="15" t="s">
        <v>938</v>
      </c>
      <c r="P18" s="15"/>
      <c r="Q18" s="15" t="s">
        <v>939</v>
      </c>
      <c r="R18" s="15"/>
      <c r="S18" s="15" t="s">
        <v>940</v>
      </c>
      <c r="T18" s="15">
        <v>0</v>
      </c>
      <c r="U18" s="15">
        <v>0</v>
      </c>
      <c r="V18" s="15">
        <v>0</v>
      </c>
      <c r="W18" s="15">
        <v>0</v>
      </c>
      <c r="X18" s="15" t="s">
        <v>937</v>
      </c>
      <c r="Y18" s="15"/>
      <c r="Z18" s="15"/>
      <c r="AA18" s="16" t="s">
        <v>57</v>
      </c>
      <c r="AB18" s="17" t="s">
        <v>54</v>
      </c>
      <c r="AC18" s="17" t="s">
        <v>58</v>
      </c>
      <c r="AD18" s="18">
        <v>18005571308.5</v>
      </c>
      <c r="AE18" s="34">
        <v>0</v>
      </c>
      <c r="AF18" s="34">
        <v>0</v>
      </c>
      <c r="AG18" s="34">
        <v>0</v>
      </c>
      <c r="AH18" s="18">
        <f>100000000+350000000</f>
        <v>450000000</v>
      </c>
      <c r="AI18" s="18">
        <f>AE18-AF18+AG18-AH18</f>
        <v>-450000000</v>
      </c>
      <c r="AJ18" s="18">
        <f>AD18+AI18</f>
        <v>17555571308.5</v>
      </c>
      <c r="AK18" s="34">
        <v>0</v>
      </c>
      <c r="AL18" s="18">
        <v>1421554530</v>
      </c>
      <c r="AM18" s="18">
        <v>14358527524</v>
      </c>
      <c r="AN18" s="34">
        <v>0</v>
      </c>
      <c r="AO18" s="18">
        <v>1421554530</v>
      </c>
      <c r="AP18" s="18">
        <v>14358527524</v>
      </c>
      <c r="AQ18" s="34">
        <v>0</v>
      </c>
      <c r="AR18" s="18">
        <f>AS18-SEPTIEMBRE!AS18</f>
        <v>1395604966</v>
      </c>
      <c r="AS18" s="18">
        <v>14273453324</v>
      </c>
      <c r="AT18" s="39">
        <f t="shared" si="7"/>
        <v>14273453324</v>
      </c>
      <c r="AU18" s="18">
        <f t="shared" ref="AU18:AU38" si="10">AJ18-AM18</f>
        <v>3197043784.5</v>
      </c>
      <c r="AV18" s="34">
        <f t="shared" ref="AV18:AV38" si="11">AM18-AP18</f>
        <v>0</v>
      </c>
      <c r="AW18" s="18">
        <f>AP18-AT18</f>
        <v>85074200</v>
      </c>
      <c r="AX18" s="32">
        <f t="shared" si="1"/>
        <v>0.81789007442030293</v>
      </c>
    </row>
    <row r="19" spans="1:50" ht="18.75" customHeight="1" x14ac:dyDescent="0.2">
      <c r="A19" s="14" t="s">
        <v>55</v>
      </c>
      <c r="B19" s="15" t="s">
        <v>56</v>
      </c>
      <c r="C19" s="15"/>
      <c r="D19" s="15" t="s">
        <v>40</v>
      </c>
      <c r="E19" s="15"/>
      <c r="F19" s="15"/>
      <c r="G19" s="15" t="s">
        <v>41</v>
      </c>
      <c r="H19" s="15"/>
      <c r="I19" s="15" t="s">
        <v>941</v>
      </c>
      <c r="J19" s="15"/>
      <c r="K19" s="15" t="s">
        <v>932</v>
      </c>
      <c r="L19" s="15"/>
      <c r="M19" s="15" t="s">
        <v>933</v>
      </c>
      <c r="N19" s="15"/>
      <c r="O19" s="15" t="s">
        <v>938</v>
      </c>
      <c r="P19" s="15"/>
      <c r="Q19" s="15" t="s">
        <v>939</v>
      </c>
      <c r="R19" s="15"/>
      <c r="S19" s="15" t="s">
        <v>940</v>
      </c>
      <c r="T19" s="15">
        <v>0</v>
      </c>
      <c r="U19" s="15">
        <v>0</v>
      </c>
      <c r="V19" s="15">
        <v>0</v>
      </c>
      <c r="W19" s="15">
        <v>0</v>
      </c>
      <c r="X19" s="15" t="s">
        <v>937</v>
      </c>
      <c r="Y19" s="15"/>
      <c r="Z19" s="15"/>
      <c r="AA19" s="16" t="s">
        <v>59</v>
      </c>
      <c r="AB19" s="17" t="s">
        <v>60</v>
      </c>
      <c r="AC19" s="17" t="s">
        <v>61</v>
      </c>
      <c r="AD19" s="18">
        <v>1584185560</v>
      </c>
      <c r="AE19" s="34">
        <v>0</v>
      </c>
      <c r="AF19" s="34">
        <v>0</v>
      </c>
      <c r="AG19" s="34">
        <v>0</v>
      </c>
      <c r="AH19" s="18">
        <v>44061411</v>
      </c>
      <c r="AI19" s="18">
        <f>AE19-AF19+AG19-AH19</f>
        <v>-44061411</v>
      </c>
      <c r="AJ19" s="18">
        <f>AD19+AI19</f>
        <v>1540124149</v>
      </c>
      <c r="AK19" s="34">
        <v>0</v>
      </c>
      <c r="AL19" s="18">
        <v>23441634</v>
      </c>
      <c r="AM19" s="18">
        <v>1022922424</v>
      </c>
      <c r="AN19" s="34">
        <v>0</v>
      </c>
      <c r="AO19" s="18">
        <v>23441634</v>
      </c>
      <c r="AP19" s="18">
        <v>1022922424</v>
      </c>
      <c r="AQ19" s="34">
        <v>0</v>
      </c>
      <c r="AR19" s="18">
        <f>AS19-SEPTIEMBRE!AS19</f>
        <v>122585224</v>
      </c>
      <c r="AS19" s="18">
        <v>1022922424</v>
      </c>
      <c r="AT19" s="39">
        <f t="shared" si="7"/>
        <v>1022922424</v>
      </c>
      <c r="AU19" s="18">
        <f t="shared" si="10"/>
        <v>517201725</v>
      </c>
      <c r="AV19" s="34">
        <f t="shared" si="11"/>
        <v>0</v>
      </c>
      <c r="AW19" s="34">
        <f t="shared" ref="AW19:AW38" si="12">AP19-AT19</f>
        <v>0</v>
      </c>
      <c r="AX19" s="32">
        <f t="shared" si="1"/>
        <v>0.66418179642477637</v>
      </c>
    </row>
    <row r="20" spans="1:50" ht="18.75" customHeight="1" x14ac:dyDescent="0.2">
      <c r="A20" s="14" t="s">
        <v>49</v>
      </c>
      <c r="B20" s="15" t="s">
        <v>50</v>
      </c>
      <c r="C20" s="15"/>
      <c r="D20" s="15" t="s">
        <v>40</v>
      </c>
      <c r="E20" s="15"/>
      <c r="F20" s="15"/>
      <c r="G20" s="15" t="s">
        <v>41</v>
      </c>
      <c r="H20" s="15"/>
      <c r="I20" s="15" t="s">
        <v>936</v>
      </c>
      <c r="J20" s="15"/>
      <c r="K20" s="15" t="s">
        <v>932</v>
      </c>
      <c r="L20" s="15"/>
      <c r="M20" s="15" t="s">
        <v>933</v>
      </c>
      <c r="N20" s="15"/>
      <c r="O20" s="15" t="s">
        <v>938</v>
      </c>
      <c r="P20" s="15"/>
      <c r="Q20" s="15" t="s">
        <v>939</v>
      </c>
      <c r="R20" s="15"/>
      <c r="S20" s="15" t="s">
        <v>940</v>
      </c>
      <c r="T20" s="15">
        <v>0</v>
      </c>
      <c r="U20" s="15">
        <v>0</v>
      </c>
      <c r="V20" s="15">
        <v>0</v>
      </c>
      <c r="W20" s="15">
        <v>0</v>
      </c>
      <c r="X20" s="15" t="s">
        <v>937</v>
      </c>
      <c r="Y20" s="15"/>
      <c r="Z20" s="15"/>
      <c r="AA20" s="16" t="s">
        <v>62</v>
      </c>
      <c r="AB20" s="17" t="s">
        <v>63</v>
      </c>
      <c r="AC20" s="17" t="s">
        <v>58</v>
      </c>
      <c r="AD20" s="18">
        <v>398412895</v>
      </c>
      <c r="AE20" s="34">
        <v>0</v>
      </c>
      <c r="AF20" s="34">
        <v>0</v>
      </c>
      <c r="AG20" s="18">
        <v>100000000</v>
      </c>
      <c r="AH20" s="34">
        <v>0</v>
      </c>
      <c r="AI20" s="18">
        <f>AE20-AF20+AG20-AH20</f>
        <v>100000000</v>
      </c>
      <c r="AJ20" s="18">
        <f>AD20+AI20</f>
        <v>498412895</v>
      </c>
      <c r="AK20" s="34">
        <v>0</v>
      </c>
      <c r="AL20" s="18">
        <v>43498136</v>
      </c>
      <c r="AM20" s="18">
        <v>336044427</v>
      </c>
      <c r="AN20" s="34">
        <v>0</v>
      </c>
      <c r="AO20" s="18">
        <v>43498136</v>
      </c>
      <c r="AP20" s="18">
        <v>336044427</v>
      </c>
      <c r="AQ20" s="34">
        <v>0</v>
      </c>
      <c r="AR20" s="18">
        <f>AS20-SEPTIEMBRE!AS20</f>
        <v>39231140</v>
      </c>
      <c r="AS20" s="18">
        <v>324619844</v>
      </c>
      <c r="AT20" s="39">
        <f t="shared" si="7"/>
        <v>324619844</v>
      </c>
      <c r="AU20" s="18">
        <f t="shared" si="10"/>
        <v>162368468</v>
      </c>
      <c r="AV20" s="34">
        <f t="shared" si="11"/>
        <v>0</v>
      </c>
      <c r="AW20" s="18">
        <f>AP20-AT20</f>
        <v>11424583</v>
      </c>
      <c r="AX20" s="32">
        <f t="shared" si="1"/>
        <v>0.67422899842910367</v>
      </c>
    </row>
    <row r="21" spans="1:50" ht="18.75" customHeight="1" x14ac:dyDescent="0.2">
      <c r="A21" s="14" t="s">
        <v>49</v>
      </c>
      <c r="B21" s="15" t="s">
        <v>50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6" t="s">
        <v>64</v>
      </c>
      <c r="AB21" s="17" t="s">
        <v>65</v>
      </c>
      <c r="AC21" s="17" t="s">
        <v>58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f>AM21-AGOSTO!AM21</f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40">
        <f t="shared" si="7"/>
        <v>0</v>
      </c>
      <c r="AU21" s="34">
        <f t="shared" si="10"/>
        <v>0</v>
      </c>
      <c r="AV21" s="34">
        <f t="shared" si="11"/>
        <v>0</v>
      </c>
      <c r="AW21" s="34">
        <f t="shared" si="12"/>
        <v>0</v>
      </c>
      <c r="AX21" s="32">
        <v>0</v>
      </c>
    </row>
    <row r="22" spans="1:50" ht="18.75" customHeight="1" x14ac:dyDescent="0.2">
      <c r="A22" s="14" t="s">
        <v>49</v>
      </c>
      <c r="B22" s="15" t="s">
        <v>50</v>
      </c>
      <c r="C22" s="15"/>
      <c r="D22" s="15" t="s">
        <v>40</v>
      </c>
      <c r="E22" s="15"/>
      <c r="F22" s="15"/>
      <c r="G22" s="15" t="s">
        <v>41</v>
      </c>
      <c r="H22" s="15"/>
      <c r="I22" s="15" t="s">
        <v>936</v>
      </c>
      <c r="J22" s="15"/>
      <c r="K22" s="15" t="s">
        <v>932</v>
      </c>
      <c r="L22" s="15"/>
      <c r="M22" s="15" t="s">
        <v>933</v>
      </c>
      <c r="N22" s="15"/>
      <c r="O22" s="15" t="s">
        <v>938</v>
      </c>
      <c r="P22" s="15"/>
      <c r="Q22" s="15" t="s">
        <v>939</v>
      </c>
      <c r="R22" s="15"/>
      <c r="S22" s="15" t="s">
        <v>940</v>
      </c>
      <c r="T22" s="15">
        <v>0</v>
      </c>
      <c r="U22" s="15">
        <v>0</v>
      </c>
      <c r="V22" s="15">
        <v>0</v>
      </c>
      <c r="W22" s="15">
        <v>0</v>
      </c>
      <c r="X22" s="15" t="s">
        <v>937</v>
      </c>
      <c r="Y22" s="15"/>
      <c r="Z22" s="15"/>
      <c r="AA22" s="16" t="s">
        <v>66</v>
      </c>
      <c r="AB22" s="17" t="s">
        <v>67</v>
      </c>
      <c r="AC22" s="17" t="s">
        <v>58</v>
      </c>
      <c r="AD22" s="18">
        <v>13303349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18">
        <v>13303349</v>
      </c>
      <c r="AK22" s="34">
        <v>0</v>
      </c>
      <c r="AL22" s="34">
        <f>AM22-AGOSTO!AM22</f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40">
        <f t="shared" si="7"/>
        <v>0</v>
      </c>
      <c r="AU22" s="18">
        <f t="shared" si="10"/>
        <v>13303349</v>
      </c>
      <c r="AV22" s="34">
        <f t="shared" si="11"/>
        <v>0</v>
      </c>
      <c r="AW22" s="34">
        <f t="shared" si="12"/>
        <v>0</v>
      </c>
      <c r="AX22" s="32">
        <f t="shared" ref="AX22:AX37" si="13">AP22/AJ22</f>
        <v>0</v>
      </c>
    </row>
    <row r="23" spans="1:50" ht="18.75" customHeight="1" x14ac:dyDescent="0.2">
      <c r="A23" s="14" t="s">
        <v>49</v>
      </c>
      <c r="B23" s="15" t="s">
        <v>50</v>
      </c>
      <c r="C23" s="15"/>
      <c r="D23" s="15" t="s">
        <v>40</v>
      </c>
      <c r="E23" s="15"/>
      <c r="F23" s="15"/>
      <c r="G23" s="15" t="s">
        <v>41</v>
      </c>
      <c r="H23" s="15"/>
      <c r="I23" s="15" t="s">
        <v>936</v>
      </c>
      <c r="J23" s="15"/>
      <c r="K23" s="15" t="s">
        <v>932</v>
      </c>
      <c r="L23" s="15"/>
      <c r="M23" s="15" t="s">
        <v>933</v>
      </c>
      <c r="N23" s="15"/>
      <c r="O23" s="15" t="s">
        <v>938</v>
      </c>
      <c r="P23" s="15"/>
      <c r="Q23" s="15" t="s">
        <v>939</v>
      </c>
      <c r="R23" s="15"/>
      <c r="S23" s="15" t="s">
        <v>940</v>
      </c>
      <c r="T23" s="15">
        <v>0</v>
      </c>
      <c r="U23" s="15">
        <v>0</v>
      </c>
      <c r="V23" s="15">
        <v>0</v>
      </c>
      <c r="W23" s="15">
        <v>0</v>
      </c>
      <c r="X23" s="15" t="s">
        <v>937</v>
      </c>
      <c r="Y23" s="15"/>
      <c r="Z23" s="15"/>
      <c r="AA23" s="16" t="s">
        <v>68</v>
      </c>
      <c r="AB23" s="17" t="s">
        <v>69</v>
      </c>
      <c r="AC23" s="17" t="s">
        <v>58</v>
      </c>
      <c r="AD23" s="18">
        <v>37582851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18">
        <v>37582851</v>
      </c>
      <c r="AK23" s="34">
        <v>0</v>
      </c>
      <c r="AL23" s="18">
        <v>2661350</v>
      </c>
      <c r="AM23" s="18">
        <v>28103856</v>
      </c>
      <c r="AN23" s="34">
        <v>0</v>
      </c>
      <c r="AO23" s="18">
        <v>2661350</v>
      </c>
      <c r="AP23" s="18">
        <v>28103856</v>
      </c>
      <c r="AQ23" s="34">
        <v>0</v>
      </c>
      <c r="AR23" s="18">
        <f>AS23-SEPTIEMBRE!AS23</f>
        <v>2661350</v>
      </c>
      <c r="AS23" s="18">
        <v>25336052</v>
      </c>
      <c r="AT23" s="39">
        <f t="shared" si="7"/>
        <v>25336052</v>
      </c>
      <c r="AU23" s="18">
        <f t="shared" si="10"/>
        <v>9478995</v>
      </c>
      <c r="AV23" s="34">
        <f t="shared" si="11"/>
        <v>0</v>
      </c>
      <c r="AW23" s="18">
        <f>AP23-AT23</f>
        <v>2767804</v>
      </c>
      <c r="AX23" s="32">
        <f t="shared" si="13"/>
        <v>0.74778403586252673</v>
      </c>
    </row>
    <row r="24" spans="1:50" ht="18.75" customHeight="1" x14ac:dyDescent="0.2">
      <c r="A24" s="27" t="s">
        <v>49</v>
      </c>
      <c r="B24" s="27" t="s">
        <v>50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8" t="s">
        <v>70</v>
      </c>
      <c r="AB24" s="29" t="s">
        <v>71</v>
      </c>
      <c r="AC24" s="30" t="s">
        <v>37</v>
      </c>
      <c r="AD24" s="30">
        <f>AD25+AD26</f>
        <v>1845616015</v>
      </c>
      <c r="AE24" s="31">
        <f t="shared" ref="AE24:AS24" si="14">AE25+AE26</f>
        <v>0</v>
      </c>
      <c r="AF24" s="31">
        <f t="shared" si="14"/>
        <v>0</v>
      </c>
      <c r="AG24" s="31">
        <f t="shared" si="14"/>
        <v>0</v>
      </c>
      <c r="AH24" s="30">
        <f t="shared" si="14"/>
        <v>140000000</v>
      </c>
      <c r="AI24" s="30">
        <f t="shared" si="14"/>
        <v>-140000000</v>
      </c>
      <c r="AJ24" s="30">
        <f t="shared" si="14"/>
        <v>1705616015</v>
      </c>
      <c r="AK24" s="31">
        <f t="shared" si="14"/>
        <v>0</v>
      </c>
      <c r="AL24" s="30">
        <f t="shared" si="14"/>
        <v>3634479</v>
      </c>
      <c r="AM24" s="30">
        <f t="shared" si="14"/>
        <v>832746433</v>
      </c>
      <c r="AN24" s="31">
        <f t="shared" si="14"/>
        <v>0</v>
      </c>
      <c r="AO24" s="30">
        <f t="shared" si="14"/>
        <v>3634479</v>
      </c>
      <c r="AP24" s="30">
        <f t="shared" si="14"/>
        <v>832746433</v>
      </c>
      <c r="AQ24" s="31">
        <f t="shared" si="14"/>
        <v>0</v>
      </c>
      <c r="AR24" s="30">
        <f t="shared" si="14"/>
        <v>46780785</v>
      </c>
      <c r="AS24" s="30">
        <f t="shared" si="14"/>
        <v>832483040</v>
      </c>
      <c r="AT24" s="30">
        <f t="shared" si="7"/>
        <v>832483040</v>
      </c>
      <c r="AU24" s="176">
        <f t="shared" si="10"/>
        <v>872869582</v>
      </c>
      <c r="AV24" s="177">
        <f t="shared" si="11"/>
        <v>0</v>
      </c>
      <c r="AW24" s="176">
        <f t="shared" si="12"/>
        <v>263393</v>
      </c>
      <c r="AX24" s="32">
        <f t="shared" si="13"/>
        <v>0.48823793027060663</v>
      </c>
    </row>
    <row r="25" spans="1:50" ht="18.75" customHeight="1" x14ac:dyDescent="0.2">
      <c r="A25" s="14" t="s">
        <v>55</v>
      </c>
      <c r="B25" s="15" t="s">
        <v>56</v>
      </c>
      <c r="C25" s="15"/>
      <c r="D25" s="15" t="s">
        <v>40</v>
      </c>
      <c r="E25" s="15"/>
      <c r="F25" s="15"/>
      <c r="G25" s="15" t="s">
        <v>41</v>
      </c>
      <c r="H25" s="15"/>
      <c r="I25" s="15" t="s">
        <v>936</v>
      </c>
      <c r="J25" s="15"/>
      <c r="K25" s="15" t="s">
        <v>932</v>
      </c>
      <c r="L25" s="15"/>
      <c r="M25" s="15" t="s">
        <v>933</v>
      </c>
      <c r="N25" s="15"/>
      <c r="O25" s="15" t="s">
        <v>938</v>
      </c>
      <c r="P25" s="15"/>
      <c r="Q25" s="15" t="s">
        <v>939</v>
      </c>
      <c r="R25" s="15"/>
      <c r="S25" s="15" t="s">
        <v>940</v>
      </c>
      <c r="T25" s="15">
        <v>0</v>
      </c>
      <c r="U25" s="15">
        <v>0</v>
      </c>
      <c r="V25" s="15">
        <v>0</v>
      </c>
      <c r="W25" s="15">
        <v>0</v>
      </c>
      <c r="X25" s="15" t="s">
        <v>937</v>
      </c>
      <c r="Y25" s="15"/>
      <c r="Z25" s="15"/>
      <c r="AA25" s="16" t="s">
        <v>72</v>
      </c>
      <c r="AB25" s="17" t="s">
        <v>71</v>
      </c>
      <c r="AC25" s="17" t="s">
        <v>58</v>
      </c>
      <c r="AD25" s="18">
        <v>1777683059</v>
      </c>
      <c r="AE25" s="34">
        <v>0</v>
      </c>
      <c r="AF25" s="34">
        <v>0</v>
      </c>
      <c r="AG25" s="34">
        <v>0</v>
      </c>
      <c r="AH25" s="18">
        <v>140000000</v>
      </c>
      <c r="AI25" s="18">
        <f>AE25-AF25+AG25-AH25</f>
        <v>-140000000</v>
      </c>
      <c r="AJ25" s="18">
        <f>AD25+AI25</f>
        <v>1637683059</v>
      </c>
      <c r="AK25" s="34">
        <v>0</v>
      </c>
      <c r="AL25" s="18">
        <v>2298286</v>
      </c>
      <c r="AM25" s="18">
        <v>779392135</v>
      </c>
      <c r="AN25" s="34">
        <v>0</v>
      </c>
      <c r="AO25" s="18">
        <v>2298286</v>
      </c>
      <c r="AP25" s="18">
        <v>779392135</v>
      </c>
      <c r="AQ25" s="34">
        <v>0</v>
      </c>
      <c r="AR25" s="18">
        <f>AS25-SEPTIEMBRE!AS25</f>
        <v>2298286</v>
      </c>
      <c r="AS25" s="18">
        <v>779128742</v>
      </c>
      <c r="AT25" s="39">
        <f t="shared" si="7"/>
        <v>779128742</v>
      </c>
      <c r="AU25" s="18">
        <f t="shared" si="10"/>
        <v>858290924</v>
      </c>
      <c r="AV25" s="34">
        <f t="shared" si="11"/>
        <v>0</v>
      </c>
      <c r="AW25" s="18">
        <f>AP25-AT25</f>
        <v>263393</v>
      </c>
      <c r="AX25" s="32">
        <f t="shared" si="13"/>
        <v>0.47591145961777942</v>
      </c>
    </row>
    <row r="26" spans="1:50" ht="18.75" customHeight="1" x14ac:dyDescent="0.2">
      <c r="A26" s="14" t="s">
        <v>55</v>
      </c>
      <c r="B26" s="15" t="s">
        <v>56</v>
      </c>
      <c r="C26" s="15"/>
      <c r="D26" s="15" t="s">
        <v>40</v>
      </c>
      <c r="E26" s="15"/>
      <c r="F26" s="15"/>
      <c r="G26" s="15" t="s">
        <v>41</v>
      </c>
      <c r="H26" s="15"/>
      <c r="I26" s="15" t="s">
        <v>941</v>
      </c>
      <c r="J26" s="15"/>
      <c r="K26" s="15" t="s">
        <v>932</v>
      </c>
      <c r="L26" s="15"/>
      <c r="M26" s="15" t="s">
        <v>933</v>
      </c>
      <c r="N26" s="15"/>
      <c r="O26" s="15" t="s">
        <v>938</v>
      </c>
      <c r="P26" s="15"/>
      <c r="Q26" s="15" t="s">
        <v>939</v>
      </c>
      <c r="R26" s="15"/>
      <c r="S26" s="15" t="s">
        <v>940</v>
      </c>
      <c r="T26" s="15">
        <v>0</v>
      </c>
      <c r="U26" s="15">
        <v>0</v>
      </c>
      <c r="V26" s="15">
        <v>0</v>
      </c>
      <c r="W26" s="15">
        <v>0</v>
      </c>
      <c r="X26" s="15" t="s">
        <v>937</v>
      </c>
      <c r="Y26" s="15"/>
      <c r="Z26" s="15"/>
      <c r="AA26" s="16" t="s">
        <v>73</v>
      </c>
      <c r="AB26" s="17" t="s">
        <v>74</v>
      </c>
      <c r="AC26" s="17" t="s">
        <v>61</v>
      </c>
      <c r="AD26" s="18">
        <v>67932956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18">
        <v>67932956</v>
      </c>
      <c r="AK26" s="34">
        <v>0</v>
      </c>
      <c r="AL26" s="18">
        <v>1336193</v>
      </c>
      <c r="AM26" s="18">
        <v>53354298</v>
      </c>
      <c r="AN26" s="34">
        <v>0</v>
      </c>
      <c r="AO26" s="18">
        <v>1336193</v>
      </c>
      <c r="AP26" s="18">
        <v>53354298</v>
      </c>
      <c r="AQ26" s="34">
        <v>0</v>
      </c>
      <c r="AR26" s="18">
        <f>AS26-SEPTIEMBRE!AS26</f>
        <v>44482499</v>
      </c>
      <c r="AS26" s="18">
        <v>53354298</v>
      </c>
      <c r="AT26" s="40">
        <f t="shared" si="7"/>
        <v>53354298</v>
      </c>
      <c r="AU26" s="18">
        <f t="shared" si="10"/>
        <v>14578658</v>
      </c>
      <c r="AV26" s="34">
        <f t="shared" si="11"/>
        <v>0</v>
      </c>
      <c r="AW26" s="34">
        <f>AP26-AT26</f>
        <v>0</v>
      </c>
      <c r="AX26" s="32">
        <f t="shared" si="13"/>
        <v>0.78539638404664736</v>
      </c>
    </row>
    <row r="27" spans="1:50" ht="18.75" customHeight="1" x14ac:dyDescent="0.2">
      <c r="A27" s="27" t="s">
        <v>49</v>
      </c>
      <c r="B27" s="27" t="s">
        <v>50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8" t="s">
        <v>75</v>
      </c>
      <c r="AB27" s="29" t="s">
        <v>76</v>
      </c>
      <c r="AC27" s="30" t="s">
        <v>37</v>
      </c>
      <c r="AD27" s="30">
        <f>AD28+AD29</f>
        <v>592992922</v>
      </c>
      <c r="AE27" s="31">
        <f t="shared" ref="AE27:AS27" si="15">AE28+AE29</f>
        <v>0</v>
      </c>
      <c r="AF27" s="31">
        <f t="shared" si="15"/>
        <v>0</v>
      </c>
      <c r="AG27" s="31">
        <f t="shared" si="15"/>
        <v>0</v>
      </c>
      <c r="AH27" s="31">
        <f t="shared" si="15"/>
        <v>0</v>
      </c>
      <c r="AI27" s="31">
        <f t="shared" si="15"/>
        <v>0</v>
      </c>
      <c r="AJ27" s="30">
        <f t="shared" si="15"/>
        <v>592992922</v>
      </c>
      <c r="AK27" s="31">
        <f t="shared" si="15"/>
        <v>0</v>
      </c>
      <c r="AL27" s="30">
        <f t="shared" si="15"/>
        <v>36386583</v>
      </c>
      <c r="AM27" s="30">
        <f t="shared" si="15"/>
        <v>460144147</v>
      </c>
      <c r="AN27" s="31">
        <f t="shared" si="15"/>
        <v>0</v>
      </c>
      <c r="AO27" s="30">
        <f t="shared" si="15"/>
        <v>36386583</v>
      </c>
      <c r="AP27" s="30">
        <f t="shared" si="15"/>
        <v>460144147</v>
      </c>
      <c r="AQ27" s="31">
        <f t="shared" si="15"/>
        <v>0</v>
      </c>
      <c r="AR27" s="30">
        <f t="shared" si="15"/>
        <v>37592916</v>
      </c>
      <c r="AS27" s="30">
        <f t="shared" si="15"/>
        <v>460144147</v>
      </c>
      <c r="AT27" s="30">
        <f t="shared" si="7"/>
        <v>460144147</v>
      </c>
      <c r="AU27" s="176">
        <f t="shared" si="10"/>
        <v>132848775</v>
      </c>
      <c r="AV27" s="177">
        <f t="shared" si="11"/>
        <v>0</v>
      </c>
      <c r="AW27" s="177">
        <f t="shared" si="12"/>
        <v>0</v>
      </c>
      <c r="AX27" s="32">
        <f t="shared" si="13"/>
        <v>0.77596903762031755</v>
      </c>
    </row>
    <row r="28" spans="1:50" ht="18.75" customHeight="1" x14ac:dyDescent="0.2">
      <c r="A28" s="14" t="s">
        <v>55</v>
      </c>
      <c r="B28" s="15" t="s">
        <v>56</v>
      </c>
      <c r="C28" s="15"/>
      <c r="D28" s="15" t="s">
        <v>40</v>
      </c>
      <c r="E28" s="15"/>
      <c r="F28" s="15"/>
      <c r="G28" s="15" t="s">
        <v>41</v>
      </c>
      <c r="H28" s="15"/>
      <c r="I28" s="15" t="s">
        <v>936</v>
      </c>
      <c r="J28" s="15"/>
      <c r="K28" s="15" t="s">
        <v>932</v>
      </c>
      <c r="L28" s="15"/>
      <c r="M28" s="15" t="s">
        <v>933</v>
      </c>
      <c r="N28" s="15"/>
      <c r="O28" s="15" t="s">
        <v>938</v>
      </c>
      <c r="P28" s="15"/>
      <c r="Q28" s="15" t="s">
        <v>939</v>
      </c>
      <c r="R28" s="15"/>
      <c r="S28" s="15" t="s">
        <v>940</v>
      </c>
      <c r="T28" s="15">
        <v>0</v>
      </c>
      <c r="U28" s="15">
        <v>0</v>
      </c>
      <c r="V28" s="15">
        <v>0</v>
      </c>
      <c r="W28" s="15">
        <v>0</v>
      </c>
      <c r="X28" s="15" t="s">
        <v>937</v>
      </c>
      <c r="Y28" s="15"/>
      <c r="Z28" s="15"/>
      <c r="AA28" s="16" t="s">
        <v>77</v>
      </c>
      <c r="AB28" s="17" t="s">
        <v>76</v>
      </c>
      <c r="AC28" s="17" t="s">
        <v>58</v>
      </c>
      <c r="AD28" s="18">
        <v>546787511</v>
      </c>
      <c r="AE28" s="34">
        <v>0</v>
      </c>
      <c r="AF28" s="34">
        <v>0</v>
      </c>
      <c r="AG28" s="34">
        <v>0</v>
      </c>
      <c r="AH28" s="34">
        <v>0</v>
      </c>
      <c r="AI28" s="34">
        <v>0</v>
      </c>
      <c r="AJ28" s="18">
        <v>546787511</v>
      </c>
      <c r="AK28" s="34">
        <v>0</v>
      </c>
      <c r="AL28" s="18">
        <v>35585106</v>
      </c>
      <c r="AM28" s="18">
        <v>427428417</v>
      </c>
      <c r="AN28" s="34">
        <v>0</v>
      </c>
      <c r="AO28" s="18">
        <v>35585106</v>
      </c>
      <c r="AP28" s="18">
        <v>427428417</v>
      </c>
      <c r="AQ28" s="34">
        <v>0</v>
      </c>
      <c r="AR28" s="18">
        <f>AS28-SEPTIEMBRE!AS28</f>
        <v>35585106</v>
      </c>
      <c r="AS28" s="18">
        <v>427428417</v>
      </c>
      <c r="AT28" s="39">
        <f t="shared" si="7"/>
        <v>427428417</v>
      </c>
      <c r="AU28" s="18">
        <f t="shared" si="10"/>
        <v>119359094</v>
      </c>
      <c r="AV28" s="34">
        <f t="shared" si="11"/>
        <v>0</v>
      </c>
      <c r="AW28" s="34">
        <f t="shared" si="12"/>
        <v>0</v>
      </c>
      <c r="AX28" s="32">
        <f t="shared" si="13"/>
        <v>0.78170844871400147</v>
      </c>
    </row>
    <row r="29" spans="1:50" ht="18.75" customHeight="1" x14ac:dyDescent="0.2">
      <c r="A29" s="14" t="s">
        <v>55</v>
      </c>
      <c r="B29" s="15" t="s">
        <v>56</v>
      </c>
      <c r="C29" s="15"/>
      <c r="D29" s="15" t="s">
        <v>40</v>
      </c>
      <c r="E29" s="15"/>
      <c r="F29" s="15"/>
      <c r="G29" s="15" t="s">
        <v>41</v>
      </c>
      <c r="H29" s="15"/>
      <c r="I29" s="15" t="s">
        <v>941</v>
      </c>
      <c r="J29" s="15"/>
      <c r="K29" s="15" t="s">
        <v>932</v>
      </c>
      <c r="L29" s="15"/>
      <c r="M29" s="15" t="s">
        <v>933</v>
      </c>
      <c r="N29" s="15"/>
      <c r="O29" s="15" t="s">
        <v>938</v>
      </c>
      <c r="P29" s="15"/>
      <c r="Q29" s="15" t="s">
        <v>939</v>
      </c>
      <c r="R29" s="15"/>
      <c r="S29" s="15" t="s">
        <v>940</v>
      </c>
      <c r="T29" s="15">
        <v>0</v>
      </c>
      <c r="U29" s="15">
        <v>0</v>
      </c>
      <c r="V29" s="15">
        <v>0</v>
      </c>
      <c r="W29" s="15">
        <v>0</v>
      </c>
      <c r="X29" s="15" t="s">
        <v>937</v>
      </c>
      <c r="Y29" s="15"/>
      <c r="Z29" s="15"/>
      <c r="AA29" s="16" t="s">
        <v>78</v>
      </c>
      <c r="AB29" s="17" t="s">
        <v>79</v>
      </c>
      <c r="AC29" s="17" t="s">
        <v>58</v>
      </c>
      <c r="AD29" s="18">
        <v>46205411</v>
      </c>
      <c r="AE29" s="34">
        <v>0</v>
      </c>
      <c r="AF29" s="34">
        <v>0</v>
      </c>
      <c r="AG29" s="34">
        <v>0</v>
      </c>
      <c r="AH29" s="34">
        <v>0</v>
      </c>
      <c r="AI29" s="34">
        <v>0</v>
      </c>
      <c r="AJ29" s="18">
        <v>46205411</v>
      </c>
      <c r="AK29" s="34">
        <v>0</v>
      </c>
      <c r="AL29" s="18">
        <v>801477</v>
      </c>
      <c r="AM29" s="18">
        <v>32715730</v>
      </c>
      <c r="AN29" s="34">
        <v>0</v>
      </c>
      <c r="AO29" s="18">
        <v>801477</v>
      </c>
      <c r="AP29" s="18">
        <v>32715730</v>
      </c>
      <c r="AQ29" s="34">
        <v>0</v>
      </c>
      <c r="AR29" s="18">
        <f>AS29-SEPTIEMBRE!AS29</f>
        <v>2007810</v>
      </c>
      <c r="AS29" s="18">
        <v>32715730</v>
      </c>
      <c r="AT29" s="39">
        <f t="shared" si="7"/>
        <v>32715730</v>
      </c>
      <c r="AU29" s="18">
        <f t="shared" si="10"/>
        <v>13489681</v>
      </c>
      <c r="AV29" s="34">
        <f t="shared" si="11"/>
        <v>0</v>
      </c>
      <c r="AW29" s="34">
        <f t="shared" si="12"/>
        <v>0</v>
      </c>
      <c r="AX29" s="32">
        <f t="shared" si="13"/>
        <v>0.70804975633697964</v>
      </c>
    </row>
    <row r="30" spans="1:50" ht="18.75" customHeight="1" x14ac:dyDescent="0.2">
      <c r="A30" s="27" t="s">
        <v>49</v>
      </c>
      <c r="B30" s="27" t="s">
        <v>50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8" t="s">
        <v>80</v>
      </c>
      <c r="AB30" s="29" t="s">
        <v>81</v>
      </c>
      <c r="AC30" s="30" t="s">
        <v>37</v>
      </c>
      <c r="AD30" s="30">
        <f>AD31+AD34</f>
        <v>3301831967</v>
      </c>
      <c r="AE30" s="31">
        <f t="shared" ref="AE30:AS30" si="16">AE31+AE34</f>
        <v>0</v>
      </c>
      <c r="AF30" s="31">
        <f t="shared" si="16"/>
        <v>0</v>
      </c>
      <c r="AG30" s="31">
        <f t="shared" si="16"/>
        <v>26362492</v>
      </c>
      <c r="AH30" s="30">
        <f t="shared" si="16"/>
        <v>120000000</v>
      </c>
      <c r="AI30" s="30">
        <f t="shared" si="16"/>
        <v>-93637508</v>
      </c>
      <c r="AJ30" s="30">
        <f t="shared" si="16"/>
        <v>3208194459</v>
      </c>
      <c r="AK30" s="31">
        <f t="shared" si="16"/>
        <v>0</v>
      </c>
      <c r="AL30" s="30">
        <f t="shared" si="16"/>
        <v>123910711</v>
      </c>
      <c r="AM30" s="30">
        <f t="shared" si="16"/>
        <v>828603411</v>
      </c>
      <c r="AN30" s="31">
        <f t="shared" si="16"/>
        <v>0</v>
      </c>
      <c r="AO30" s="30">
        <f t="shared" si="16"/>
        <v>123910711</v>
      </c>
      <c r="AP30" s="30">
        <f t="shared" si="16"/>
        <v>828603411</v>
      </c>
      <c r="AQ30" s="31">
        <f t="shared" si="16"/>
        <v>0</v>
      </c>
      <c r="AR30" s="30">
        <f t="shared" si="16"/>
        <v>139381544</v>
      </c>
      <c r="AS30" s="30">
        <f t="shared" si="16"/>
        <v>816147305</v>
      </c>
      <c r="AT30" s="39">
        <f t="shared" si="7"/>
        <v>816147305</v>
      </c>
      <c r="AU30" s="18">
        <f t="shared" si="10"/>
        <v>2379591048</v>
      </c>
      <c r="AV30" s="34">
        <f t="shared" si="11"/>
        <v>0</v>
      </c>
      <c r="AW30" s="18">
        <f t="shared" si="12"/>
        <v>12456106</v>
      </c>
      <c r="AX30" s="32">
        <f t="shared" si="13"/>
        <v>0.25827717789222704</v>
      </c>
    </row>
    <row r="31" spans="1:50" ht="18.75" customHeight="1" x14ac:dyDescent="0.2">
      <c r="A31" s="27" t="s">
        <v>49</v>
      </c>
      <c r="B31" s="27" t="s">
        <v>50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8" t="s">
        <v>82</v>
      </c>
      <c r="AB31" s="29" t="s">
        <v>83</v>
      </c>
      <c r="AC31" s="30" t="s">
        <v>37</v>
      </c>
      <c r="AD31" s="30">
        <f>AD32+AD33</f>
        <v>2120123016</v>
      </c>
      <c r="AE31" s="31">
        <f t="shared" ref="AE31:AS31" si="17">AE32+AE33</f>
        <v>0</v>
      </c>
      <c r="AF31" s="31">
        <f t="shared" si="17"/>
        <v>0</v>
      </c>
      <c r="AG31" s="31">
        <f t="shared" si="17"/>
        <v>0</v>
      </c>
      <c r="AH31" s="31">
        <f t="shared" si="17"/>
        <v>0</v>
      </c>
      <c r="AI31" s="31">
        <f t="shared" si="17"/>
        <v>0</v>
      </c>
      <c r="AJ31" s="30">
        <f t="shared" si="17"/>
        <v>2120123016</v>
      </c>
      <c r="AK31" s="31">
        <f t="shared" si="17"/>
        <v>0</v>
      </c>
      <c r="AL31" s="30">
        <f t="shared" si="17"/>
        <v>6296067</v>
      </c>
      <c r="AM31" s="30">
        <f t="shared" si="17"/>
        <v>127840097</v>
      </c>
      <c r="AN31" s="31">
        <f t="shared" si="17"/>
        <v>0</v>
      </c>
      <c r="AO31" s="30">
        <f>AO32+AO33</f>
        <v>6296067</v>
      </c>
      <c r="AP31" s="30">
        <f t="shared" si="17"/>
        <v>127840097</v>
      </c>
      <c r="AQ31" s="31">
        <f t="shared" si="17"/>
        <v>0</v>
      </c>
      <c r="AR31" s="30">
        <f t="shared" si="17"/>
        <v>9070388</v>
      </c>
      <c r="AS31" s="30">
        <f t="shared" si="17"/>
        <v>125481124</v>
      </c>
      <c r="AT31" s="39">
        <f t="shared" si="7"/>
        <v>125481124</v>
      </c>
      <c r="AU31" s="18">
        <f t="shared" si="10"/>
        <v>1992282919</v>
      </c>
      <c r="AV31" s="34">
        <f t="shared" si="11"/>
        <v>0</v>
      </c>
      <c r="AW31" s="18">
        <f t="shared" si="12"/>
        <v>2358973</v>
      </c>
      <c r="AX31" s="32">
        <f t="shared" si="13"/>
        <v>6.0298433645229577E-2</v>
      </c>
    </row>
    <row r="32" spans="1:50" ht="18.75" customHeight="1" x14ac:dyDescent="0.2">
      <c r="A32" s="14" t="s">
        <v>55</v>
      </c>
      <c r="B32" s="15" t="s">
        <v>56</v>
      </c>
      <c r="C32" s="15"/>
      <c r="D32" s="15" t="s">
        <v>40</v>
      </c>
      <c r="E32" s="15"/>
      <c r="F32" s="15"/>
      <c r="G32" s="15" t="s">
        <v>41</v>
      </c>
      <c r="H32" s="15"/>
      <c r="I32" s="15" t="s">
        <v>941</v>
      </c>
      <c r="J32" s="15"/>
      <c r="K32" s="15" t="s">
        <v>932</v>
      </c>
      <c r="L32" s="15"/>
      <c r="M32" s="15" t="s">
        <v>933</v>
      </c>
      <c r="N32" s="15"/>
      <c r="O32" s="15" t="s">
        <v>938</v>
      </c>
      <c r="P32" s="15"/>
      <c r="Q32" s="15" t="s">
        <v>939</v>
      </c>
      <c r="R32" s="15"/>
      <c r="S32" s="15" t="s">
        <v>940</v>
      </c>
      <c r="T32" s="15">
        <v>0</v>
      </c>
      <c r="U32" s="15">
        <v>0</v>
      </c>
      <c r="V32" s="15">
        <v>0</v>
      </c>
      <c r="W32" s="15">
        <v>0</v>
      </c>
      <c r="X32" s="15" t="s">
        <v>937</v>
      </c>
      <c r="Y32" s="15"/>
      <c r="Z32" s="15"/>
      <c r="AA32" s="16" t="s">
        <v>84</v>
      </c>
      <c r="AB32" s="17" t="s">
        <v>85</v>
      </c>
      <c r="AC32" s="17" t="s">
        <v>61</v>
      </c>
      <c r="AD32" s="18">
        <v>151225079</v>
      </c>
      <c r="AE32" s="34">
        <v>0</v>
      </c>
      <c r="AF32" s="34">
        <v>0</v>
      </c>
      <c r="AG32" s="34">
        <v>0</v>
      </c>
      <c r="AH32" s="34">
        <v>0</v>
      </c>
      <c r="AI32" s="34">
        <v>0</v>
      </c>
      <c r="AJ32" s="18">
        <v>151225079</v>
      </c>
      <c r="AK32" s="34">
        <v>0</v>
      </c>
      <c r="AL32" s="18">
        <v>635748</v>
      </c>
      <c r="AM32" s="18">
        <v>18918026</v>
      </c>
      <c r="AN32" s="34">
        <v>0</v>
      </c>
      <c r="AO32" s="18">
        <v>635748</v>
      </c>
      <c r="AP32" s="18">
        <v>18918026</v>
      </c>
      <c r="AQ32" s="34">
        <v>0</v>
      </c>
      <c r="AR32" s="18">
        <f>AS32-SEPTIEMBRE!AS32</f>
        <v>3410069</v>
      </c>
      <c r="AS32" s="18">
        <v>18918026</v>
      </c>
      <c r="AT32" s="39">
        <f t="shared" si="7"/>
        <v>18918026</v>
      </c>
      <c r="AU32" s="18">
        <f t="shared" si="10"/>
        <v>132307053</v>
      </c>
      <c r="AV32" s="34">
        <f t="shared" si="11"/>
        <v>0</v>
      </c>
      <c r="AW32" s="18">
        <f t="shared" si="12"/>
        <v>0</v>
      </c>
      <c r="AX32" s="32">
        <f t="shared" si="13"/>
        <v>0.12509846994359977</v>
      </c>
    </row>
    <row r="33" spans="1:50" ht="18.75" customHeight="1" x14ac:dyDescent="0.2">
      <c r="A33" s="14" t="s">
        <v>55</v>
      </c>
      <c r="B33" s="15" t="s">
        <v>56</v>
      </c>
      <c r="C33" s="15"/>
      <c r="D33" s="15" t="s">
        <v>40</v>
      </c>
      <c r="E33" s="15"/>
      <c r="F33" s="15"/>
      <c r="G33" s="15" t="s">
        <v>41</v>
      </c>
      <c r="H33" s="15"/>
      <c r="I33" s="15" t="s">
        <v>936</v>
      </c>
      <c r="J33" s="15"/>
      <c r="K33" s="15" t="s">
        <v>932</v>
      </c>
      <c r="L33" s="15"/>
      <c r="M33" s="15" t="s">
        <v>933</v>
      </c>
      <c r="N33" s="15"/>
      <c r="O33" s="15" t="s">
        <v>938</v>
      </c>
      <c r="P33" s="15"/>
      <c r="Q33" s="15" t="s">
        <v>939</v>
      </c>
      <c r="R33" s="15"/>
      <c r="S33" s="15" t="s">
        <v>940</v>
      </c>
      <c r="T33" s="15">
        <v>0</v>
      </c>
      <c r="U33" s="15">
        <v>0</v>
      </c>
      <c r="V33" s="15">
        <v>0</v>
      </c>
      <c r="W33" s="15">
        <v>0</v>
      </c>
      <c r="X33" s="15" t="s">
        <v>937</v>
      </c>
      <c r="Y33" s="15"/>
      <c r="Z33" s="15"/>
      <c r="AA33" s="16" t="s">
        <v>86</v>
      </c>
      <c r="AB33" s="17" t="s">
        <v>83</v>
      </c>
      <c r="AC33" s="17" t="s">
        <v>58</v>
      </c>
      <c r="AD33" s="18">
        <v>1968897937</v>
      </c>
      <c r="AE33" s="34">
        <v>0</v>
      </c>
      <c r="AF33" s="34">
        <v>0</v>
      </c>
      <c r="AG33" s="34">
        <v>0</v>
      </c>
      <c r="AH33" s="34">
        <v>0</v>
      </c>
      <c r="AI33" s="34">
        <v>0</v>
      </c>
      <c r="AJ33" s="18">
        <v>1968897937</v>
      </c>
      <c r="AK33" s="34">
        <v>0</v>
      </c>
      <c r="AL33" s="18">
        <v>5660319</v>
      </c>
      <c r="AM33" s="18">
        <v>108922071</v>
      </c>
      <c r="AN33" s="34">
        <v>0</v>
      </c>
      <c r="AO33" s="18">
        <v>5660319</v>
      </c>
      <c r="AP33" s="18">
        <v>108922071</v>
      </c>
      <c r="AQ33" s="34">
        <v>0</v>
      </c>
      <c r="AR33" s="18">
        <f>AS33-SEPTIEMBRE!AS33</f>
        <v>5660319</v>
      </c>
      <c r="AS33" s="18">
        <v>106563098</v>
      </c>
      <c r="AT33" s="39">
        <f t="shared" si="7"/>
        <v>106563098</v>
      </c>
      <c r="AU33" s="18">
        <f t="shared" si="10"/>
        <v>1859975866</v>
      </c>
      <c r="AV33" s="34">
        <f t="shared" si="11"/>
        <v>0</v>
      </c>
      <c r="AW33" s="18">
        <f t="shared" si="12"/>
        <v>2358973</v>
      </c>
      <c r="AX33" s="32">
        <f t="shared" si="13"/>
        <v>5.5321339391499399E-2</v>
      </c>
    </row>
    <row r="34" spans="1:50" ht="18.75" customHeight="1" x14ac:dyDescent="0.2">
      <c r="A34" s="27" t="s">
        <v>49</v>
      </c>
      <c r="B34" s="27" t="s">
        <v>50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8" t="s">
        <v>87</v>
      </c>
      <c r="AB34" s="29" t="s">
        <v>88</v>
      </c>
      <c r="AC34" s="30" t="s">
        <v>37</v>
      </c>
      <c r="AD34" s="30">
        <f>AD35+AD36</f>
        <v>1181708951</v>
      </c>
      <c r="AE34" s="31">
        <f t="shared" ref="AE34:AS34" si="18">AE35+AE36</f>
        <v>0</v>
      </c>
      <c r="AF34" s="31">
        <f t="shared" si="18"/>
        <v>0</v>
      </c>
      <c r="AG34" s="31">
        <f t="shared" si="18"/>
        <v>26362492</v>
      </c>
      <c r="AH34" s="30">
        <f t="shared" si="18"/>
        <v>120000000</v>
      </c>
      <c r="AI34" s="30">
        <f t="shared" si="18"/>
        <v>-93637508</v>
      </c>
      <c r="AJ34" s="30">
        <f t="shared" si="18"/>
        <v>1088071443</v>
      </c>
      <c r="AK34" s="31">
        <f t="shared" si="18"/>
        <v>0</v>
      </c>
      <c r="AL34" s="30">
        <f t="shared" si="18"/>
        <v>117614644</v>
      </c>
      <c r="AM34" s="30">
        <f t="shared" si="18"/>
        <v>700763314</v>
      </c>
      <c r="AN34" s="31">
        <f t="shared" si="18"/>
        <v>0</v>
      </c>
      <c r="AO34" s="30">
        <f t="shared" si="18"/>
        <v>117614644</v>
      </c>
      <c r="AP34" s="30">
        <f t="shared" si="18"/>
        <v>700763314</v>
      </c>
      <c r="AQ34" s="31">
        <f t="shared" si="18"/>
        <v>0</v>
      </c>
      <c r="AR34" s="30">
        <f t="shared" si="18"/>
        <v>130311156</v>
      </c>
      <c r="AS34" s="30">
        <f t="shared" si="18"/>
        <v>690666181</v>
      </c>
      <c r="AT34" s="30">
        <f t="shared" si="7"/>
        <v>690666181</v>
      </c>
      <c r="AU34" s="176">
        <f t="shared" si="10"/>
        <v>387308129</v>
      </c>
      <c r="AV34" s="177">
        <f t="shared" si="11"/>
        <v>0</v>
      </c>
      <c r="AW34" s="176">
        <f t="shared" si="12"/>
        <v>10097133</v>
      </c>
      <c r="AX34" s="32">
        <f t="shared" si="13"/>
        <v>0.6440416376225031</v>
      </c>
    </row>
    <row r="35" spans="1:50" ht="18.75" customHeight="1" x14ac:dyDescent="0.2">
      <c r="A35" s="35" t="s">
        <v>55</v>
      </c>
      <c r="B35" s="36" t="s">
        <v>56</v>
      </c>
      <c r="C35" s="36"/>
      <c r="D35" s="36" t="s">
        <v>40</v>
      </c>
      <c r="E35" s="36"/>
      <c r="F35" s="36"/>
      <c r="G35" s="36" t="s">
        <v>41</v>
      </c>
      <c r="H35" s="36"/>
      <c r="I35" s="36" t="s">
        <v>936</v>
      </c>
      <c r="J35" s="36"/>
      <c r="K35" s="36" t="s">
        <v>932</v>
      </c>
      <c r="L35" s="36"/>
      <c r="M35" s="36" t="s">
        <v>933</v>
      </c>
      <c r="N35" s="36"/>
      <c r="O35" s="36" t="s">
        <v>938</v>
      </c>
      <c r="P35" s="36"/>
      <c r="Q35" s="36" t="s">
        <v>939</v>
      </c>
      <c r="R35" s="36"/>
      <c r="S35" s="36" t="s">
        <v>940</v>
      </c>
      <c r="T35" s="36">
        <v>0</v>
      </c>
      <c r="U35" s="36">
        <v>0</v>
      </c>
      <c r="V35" s="36">
        <v>0</v>
      </c>
      <c r="W35" s="36">
        <v>0</v>
      </c>
      <c r="X35" s="36" t="s">
        <v>937</v>
      </c>
      <c r="Y35" s="36"/>
      <c r="Z35" s="36"/>
      <c r="AA35" s="37" t="s">
        <v>89</v>
      </c>
      <c r="AB35" s="38" t="s">
        <v>88</v>
      </c>
      <c r="AC35" s="38" t="s">
        <v>58</v>
      </c>
      <c r="AD35" s="39">
        <v>1110945455</v>
      </c>
      <c r="AE35" s="40">
        <v>0</v>
      </c>
      <c r="AF35" s="40">
        <v>0</v>
      </c>
      <c r="AG35" s="40">
        <v>0</v>
      </c>
      <c r="AH35" s="39">
        <v>120000000</v>
      </c>
      <c r="AI35" s="18">
        <f>AE35-AF35+AG35-AH35</f>
        <v>-120000000</v>
      </c>
      <c r="AJ35" s="18">
        <f>AD35+AI35</f>
        <v>990945455</v>
      </c>
      <c r="AK35" s="40">
        <v>0</v>
      </c>
      <c r="AL35" s="39">
        <v>116887653</v>
      </c>
      <c r="AM35" s="39">
        <v>659481307</v>
      </c>
      <c r="AN35" s="40">
        <v>0</v>
      </c>
      <c r="AO35" s="39">
        <v>116887653</v>
      </c>
      <c r="AP35" s="39">
        <v>659481307</v>
      </c>
      <c r="AQ35" s="40">
        <v>0</v>
      </c>
      <c r="AR35" s="18">
        <f>AS35-SEPTIEMBRE!AS35</f>
        <v>116887653</v>
      </c>
      <c r="AS35" s="39">
        <v>649384174</v>
      </c>
      <c r="AT35" s="39">
        <f t="shared" si="7"/>
        <v>649384174</v>
      </c>
      <c r="AU35" s="18">
        <f t="shared" si="10"/>
        <v>331464148</v>
      </c>
      <c r="AV35" s="34">
        <f t="shared" si="11"/>
        <v>0</v>
      </c>
      <c r="AW35" s="18">
        <f t="shared" si="12"/>
        <v>10097133</v>
      </c>
      <c r="AX35" s="32">
        <f t="shared" si="13"/>
        <v>0.66550717163337714</v>
      </c>
    </row>
    <row r="36" spans="1:50" ht="18.75" customHeight="1" x14ac:dyDescent="0.2">
      <c r="A36" s="14" t="s">
        <v>55</v>
      </c>
      <c r="B36" s="15" t="s">
        <v>56</v>
      </c>
      <c r="C36" s="15"/>
      <c r="D36" s="15" t="s">
        <v>40</v>
      </c>
      <c r="E36" s="15"/>
      <c r="F36" s="15"/>
      <c r="G36" s="15" t="s">
        <v>41</v>
      </c>
      <c r="H36" s="15"/>
      <c r="I36" s="15" t="s">
        <v>941</v>
      </c>
      <c r="J36" s="15"/>
      <c r="K36" s="15" t="s">
        <v>932</v>
      </c>
      <c r="L36" s="15"/>
      <c r="M36" s="15" t="s">
        <v>933</v>
      </c>
      <c r="N36" s="15"/>
      <c r="O36" s="15" t="s">
        <v>938</v>
      </c>
      <c r="P36" s="15"/>
      <c r="Q36" s="15" t="s">
        <v>939</v>
      </c>
      <c r="R36" s="15"/>
      <c r="S36" s="15" t="s">
        <v>940</v>
      </c>
      <c r="T36" s="15">
        <v>0</v>
      </c>
      <c r="U36" s="15">
        <v>0</v>
      </c>
      <c r="V36" s="15">
        <v>0</v>
      </c>
      <c r="W36" s="15">
        <v>0</v>
      </c>
      <c r="X36" s="15" t="s">
        <v>937</v>
      </c>
      <c r="Y36" s="15"/>
      <c r="Z36" s="15"/>
      <c r="AA36" s="16" t="s">
        <v>90</v>
      </c>
      <c r="AB36" s="17" t="s">
        <v>91</v>
      </c>
      <c r="AC36" s="17" t="s">
        <v>61</v>
      </c>
      <c r="AD36" s="18">
        <v>70763496</v>
      </c>
      <c r="AE36" s="34">
        <v>0</v>
      </c>
      <c r="AF36" s="34">
        <v>0</v>
      </c>
      <c r="AG36" s="18">
        <v>26362492</v>
      </c>
      <c r="AH36" s="34">
        <v>0</v>
      </c>
      <c r="AI36" s="18">
        <f>AE36-AF36+AG36-AH36</f>
        <v>26362492</v>
      </c>
      <c r="AJ36" s="18">
        <f>AD36+AI36</f>
        <v>97125988</v>
      </c>
      <c r="AK36" s="34">
        <v>0</v>
      </c>
      <c r="AL36" s="39">
        <v>726991</v>
      </c>
      <c r="AM36" s="18">
        <v>41282007</v>
      </c>
      <c r="AN36" s="34">
        <v>0</v>
      </c>
      <c r="AO36" s="39">
        <v>726991</v>
      </c>
      <c r="AP36" s="18">
        <v>41282007</v>
      </c>
      <c r="AQ36" s="34">
        <v>0</v>
      </c>
      <c r="AR36" s="18">
        <f>AS36-SEPTIEMBRE!AS36</f>
        <v>13423503</v>
      </c>
      <c r="AS36" s="18">
        <v>41282007</v>
      </c>
      <c r="AT36" s="39">
        <f t="shared" si="7"/>
        <v>41282007</v>
      </c>
      <c r="AU36" s="18">
        <f t="shared" si="10"/>
        <v>55843981</v>
      </c>
      <c r="AV36" s="34">
        <f t="shared" si="11"/>
        <v>0</v>
      </c>
      <c r="AW36" s="34">
        <f t="shared" si="12"/>
        <v>0</v>
      </c>
      <c r="AX36" s="32">
        <f t="shared" si="13"/>
        <v>0.4250356454546439</v>
      </c>
    </row>
    <row r="37" spans="1:50" ht="18.75" customHeight="1" x14ac:dyDescent="0.2">
      <c r="A37" s="14" t="s">
        <v>49</v>
      </c>
      <c r="B37" s="15" t="s">
        <v>50</v>
      </c>
      <c r="C37" s="15"/>
      <c r="D37" s="15" t="s">
        <v>40</v>
      </c>
      <c r="E37" s="15"/>
      <c r="F37" s="15"/>
      <c r="G37" s="15" t="s">
        <v>41</v>
      </c>
      <c r="H37" s="15"/>
      <c r="I37" s="15" t="s">
        <v>936</v>
      </c>
      <c r="J37" s="15"/>
      <c r="K37" s="15" t="s">
        <v>932</v>
      </c>
      <c r="L37" s="15"/>
      <c r="M37" s="15" t="s">
        <v>933</v>
      </c>
      <c r="N37" s="15"/>
      <c r="O37" s="15" t="s">
        <v>938</v>
      </c>
      <c r="P37" s="15"/>
      <c r="Q37" s="15" t="s">
        <v>939</v>
      </c>
      <c r="R37" s="15"/>
      <c r="S37" s="15" t="s">
        <v>940</v>
      </c>
      <c r="T37" s="15">
        <v>0</v>
      </c>
      <c r="U37" s="15">
        <v>0</v>
      </c>
      <c r="V37" s="15">
        <v>0</v>
      </c>
      <c r="W37" s="15">
        <v>0</v>
      </c>
      <c r="X37" s="15" t="s">
        <v>937</v>
      </c>
      <c r="Y37" s="15"/>
      <c r="Z37" s="15"/>
      <c r="AA37" s="16" t="s">
        <v>92</v>
      </c>
      <c r="AB37" s="17" t="s">
        <v>93</v>
      </c>
      <c r="AC37" s="17" t="s">
        <v>58</v>
      </c>
      <c r="AD37" s="18">
        <v>128952600</v>
      </c>
      <c r="AE37" s="34">
        <v>0</v>
      </c>
      <c r="AF37" s="34">
        <v>0</v>
      </c>
      <c r="AG37" s="34">
        <v>0</v>
      </c>
      <c r="AH37" s="18">
        <v>72000000</v>
      </c>
      <c r="AI37" s="18">
        <f>AE37-AF37+AG37-AH37</f>
        <v>-72000000</v>
      </c>
      <c r="AJ37" s="18">
        <f>AD37+AI37</f>
        <v>56952600</v>
      </c>
      <c r="AK37" s="34">
        <v>0</v>
      </c>
      <c r="AL37" s="40">
        <v>0</v>
      </c>
      <c r="AM37" s="34">
        <v>0</v>
      </c>
      <c r="AN37" s="34">
        <v>0</v>
      </c>
      <c r="AO37" s="40">
        <v>0</v>
      </c>
      <c r="AP37" s="34">
        <v>0</v>
      </c>
      <c r="AQ37" s="34">
        <v>0</v>
      </c>
      <c r="AR37" s="34">
        <v>0</v>
      </c>
      <c r="AS37" s="34">
        <v>0</v>
      </c>
      <c r="AT37" s="40">
        <f t="shared" si="7"/>
        <v>0</v>
      </c>
      <c r="AU37" s="18">
        <f t="shared" si="10"/>
        <v>56952600</v>
      </c>
      <c r="AV37" s="34">
        <f t="shared" si="11"/>
        <v>0</v>
      </c>
      <c r="AW37" s="34">
        <f t="shared" si="12"/>
        <v>0</v>
      </c>
      <c r="AX37" s="32">
        <f t="shared" si="13"/>
        <v>0</v>
      </c>
    </row>
    <row r="38" spans="1:50" ht="18.75" customHeight="1" x14ac:dyDescent="0.2">
      <c r="A38" s="35" t="s">
        <v>49</v>
      </c>
      <c r="B38" s="36" t="s">
        <v>50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7" t="s">
        <v>94</v>
      </c>
      <c r="AB38" s="38" t="s">
        <v>95</v>
      </c>
      <c r="AC38" s="38" t="s">
        <v>56</v>
      </c>
      <c r="AD38" s="40">
        <v>0</v>
      </c>
      <c r="AE38" s="40">
        <v>0</v>
      </c>
      <c r="AF38" s="40">
        <v>0</v>
      </c>
      <c r="AG38" s="40">
        <v>0</v>
      </c>
      <c r="AH38" s="40">
        <v>0</v>
      </c>
      <c r="AI38" s="40">
        <v>0</v>
      </c>
      <c r="AJ38" s="40">
        <v>0</v>
      </c>
      <c r="AK38" s="40">
        <v>0</v>
      </c>
      <c r="AL38" s="40">
        <f>AM38-ABRIL!AM38</f>
        <v>0</v>
      </c>
      <c r="AM38" s="40">
        <v>0</v>
      </c>
      <c r="AN38" s="40">
        <v>0</v>
      </c>
      <c r="AO38" s="40">
        <f>AP38-ABRIL!AP38</f>
        <v>0</v>
      </c>
      <c r="AP38" s="40">
        <v>0</v>
      </c>
      <c r="AQ38" s="40">
        <v>0</v>
      </c>
      <c r="AR38" s="34">
        <f>AS38-ABRIL!AS38</f>
        <v>0</v>
      </c>
      <c r="AS38" s="40">
        <v>0</v>
      </c>
      <c r="AT38" s="40">
        <f t="shared" si="7"/>
        <v>0</v>
      </c>
      <c r="AU38" s="34">
        <f t="shared" si="10"/>
        <v>0</v>
      </c>
      <c r="AV38" s="34">
        <f t="shared" si="11"/>
        <v>0</v>
      </c>
      <c r="AW38" s="34">
        <f t="shared" si="12"/>
        <v>0</v>
      </c>
      <c r="AX38" s="32">
        <v>0</v>
      </c>
    </row>
    <row r="39" spans="1:50" s="25" customFormat="1" ht="18.75" customHeight="1" x14ac:dyDescent="0.2">
      <c r="A39" s="19" t="s">
        <v>49</v>
      </c>
      <c r="B39" s="19" t="s">
        <v>50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26" t="s">
        <v>96</v>
      </c>
      <c r="AB39" s="21" t="s">
        <v>97</v>
      </c>
      <c r="AC39" s="22" t="s">
        <v>37</v>
      </c>
      <c r="AD39" s="22">
        <f>AD40</f>
        <v>23412454</v>
      </c>
      <c r="AE39" s="23">
        <f t="shared" ref="AE39:AW40" si="19">AE40</f>
        <v>0</v>
      </c>
      <c r="AF39" s="23">
        <f t="shared" si="19"/>
        <v>0</v>
      </c>
      <c r="AG39" s="23">
        <f t="shared" si="19"/>
        <v>0</v>
      </c>
      <c r="AH39" s="23">
        <f t="shared" si="19"/>
        <v>0</v>
      </c>
      <c r="AI39" s="23">
        <f t="shared" si="19"/>
        <v>0</v>
      </c>
      <c r="AJ39" s="22">
        <f t="shared" si="19"/>
        <v>23412454</v>
      </c>
      <c r="AK39" s="23">
        <f t="shared" si="19"/>
        <v>0</v>
      </c>
      <c r="AL39" s="23">
        <f t="shared" si="19"/>
        <v>0</v>
      </c>
      <c r="AM39" s="23">
        <f t="shared" si="19"/>
        <v>0</v>
      </c>
      <c r="AN39" s="23">
        <f t="shared" si="19"/>
        <v>0</v>
      </c>
      <c r="AO39" s="23">
        <f t="shared" si="19"/>
        <v>0</v>
      </c>
      <c r="AP39" s="23">
        <f t="shared" si="19"/>
        <v>0</v>
      </c>
      <c r="AQ39" s="23">
        <f t="shared" si="19"/>
        <v>0</v>
      </c>
      <c r="AR39" s="23">
        <f t="shared" si="19"/>
        <v>0</v>
      </c>
      <c r="AS39" s="23">
        <f t="shared" si="19"/>
        <v>0</v>
      </c>
      <c r="AT39" s="23">
        <f>AQ39+AS39</f>
        <v>0</v>
      </c>
      <c r="AU39" s="22">
        <f t="shared" si="19"/>
        <v>23412454</v>
      </c>
      <c r="AV39" s="23">
        <f t="shared" si="19"/>
        <v>0</v>
      </c>
      <c r="AW39" s="23">
        <f t="shared" si="19"/>
        <v>0</v>
      </c>
      <c r="AX39" s="24">
        <f t="shared" ref="AX39:AX104" si="20">AP39/AJ39</f>
        <v>0</v>
      </c>
    </row>
    <row r="40" spans="1:50" ht="18.75" customHeight="1" x14ac:dyDescent="0.2">
      <c r="A40" s="27" t="s">
        <v>55</v>
      </c>
      <c r="B40" s="27" t="s">
        <v>56</v>
      </c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8" t="s">
        <v>98</v>
      </c>
      <c r="AB40" s="29" t="s">
        <v>99</v>
      </c>
      <c r="AC40" s="30" t="s">
        <v>37</v>
      </c>
      <c r="AD40" s="30">
        <f>AD41</f>
        <v>23412454</v>
      </c>
      <c r="AE40" s="31">
        <f t="shared" si="19"/>
        <v>0</v>
      </c>
      <c r="AF40" s="31">
        <f t="shared" si="19"/>
        <v>0</v>
      </c>
      <c r="AG40" s="31">
        <f t="shared" si="19"/>
        <v>0</v>
      </c>
      <c r="AH40" s="31">
        <f t="shared" si="19"/>
        <v>0</v>
      </c>
      <c r="AI40" s="31">
        <f t="shared" si="19"/>
        <v>0</v>
      </c>
      <c r="AJ40" s="30">
        <f t="shared" si="19"/>
        <v>23412454</v>
      </c>
      <c r="AK40" s="31">
        <f t="shared" si="19"/>
        <v>0</v>
      </c>
      <c r="AL40" s="31">
        <f t="shared" si="19"/>
        <v>0</v>
      </c>
      <c r="AM40" s="31">
        <f t="shared" si="19"/>
        <v>0</v>
      </c>
      <c r="AN40" s="31">
        <f t="shared" si="19"/>
        <v>0</v>
      </c>
      <c r="AO40" s="31">
        <f t="shared" si="19"/>
        <v>0</v>
      </c>
      <c r="AP40" s="31">
        <f t="shared" si="19"/>
        <v>0</v>
      </c>
      <c r="AQ40" s="31">
        <f t="shared" si="19"/>
        <v>0</v>
      </c>
      <c r="AR40" s="31">
        <f t="shared" si="19"/>
        <v>0</v>
      </c>
      <c r="AS40" s="31">
        <f t="shared" si="19"/>
        <v>0</v>
      </c>
      <c r="AT40" s="31">
        <f t="shared" ref="AT40:AT41" si="21">AQ40+AS40</f>
        <v>0</v>
      </c>
      <c r="AU40" s="18">
        <f>AJ40-AM40</f>
        <v>23412454</v>
      </c>
      <c r="AV40" s="34">
        <f>AM40-AP40</f>
        <v>0</v>
      </c>
      <c r="AW40" s="34">
        <f>AP40-AT40</f>
        <v>0</v>
      </c>
      <c r="AX40" s="32">
        <f t="shared" si="20"/>
        <v>0</v>
      </c>
    </row>
    <row r="41" spans="1:50" ht="18.75" customHeight="1" x14ac:dyDescent="0.2">
      <c r="A41" s="14" t="s">
        <v>55</v>
      </c>
      <c r="B41" s="15" t="s">
        <v>56</v>
      </c>
      <c r="C41" s="15"/>
      <c r="D41" s="15" t="s">
        <v>40</v>
      </c>
      <c r="E41" s="15"/>
      <c r="F41" s="15"/>
      <c r="G41" s="15" t="s">
        <v>41</v>
      </c>
      <c r="H41" s="15"/>
      <c r="I41" s="15" t="s">
        <v>936</v>
      </c>
      <c r="J41" s="15"/>
      <c r="K41" s="15" t="s">
        <v>932</v>
      </c>
      <c r="L41" s="15"/>
      <c r="M41" s="15" t="s">
        <v>933</v>
      </c>
      <c r="N41" s="15"/>
      <c r="O41" s="15" t="s">
        <v>938</v>
      </c>
      <c r="P41" s="15"/>
      <c r="Q41" s="15" t="s">
        <v>939</v>
      </c>
      <c r="R41" s="15"/>
      <c r="S41" s="15" t="s">
        <v>940</v>
      </c>
      <c r="T41" s="15">
        <v>0</v>
      </c>
      <c r="U41" s="15">
        <v>0</v>
      </c>
      <c r="V41" s="15">
        <v>0</v>
      </c>
      <c r="W41" s="15">
        <v>0</v>
      </c>
      <c r="X41" s="15" t="s">
        <v>937</v>
      </c>
      <c r="Y41" s="15"/>
      <c r="Z41" s="15"/>
      <c r="AA41" s="16" t="s">
        <v>100</v>
      </c>
      <c r="AB41" s="17" t="s">
        <v>101</v>
      </c>
      <c r="AC41" s="17" t="s">
        <v>58</v>
      </c>
      <c r="AD41" s="18">
        <v>23412454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18">
        <v>23412454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1">
        <f t="shared" si="21"/>
        <v>0</v>
      </c>
      <c r="AU41" s="18">
        <f>AJ41-AM41</f>
        <v>23412454</v>
      </c>
      <c r="AV41" s="34">
        <f>AM41-AP41</f>
        <v>0</v>
      </c>
      <c r="AW41" s="34">
        <f>AP41-AT41</f>
        <v>0</v>
      </c>
      <c r="AX41" s="32">
        <f t="shared" si="20"/>
        <v>0</v>
      </c>
    </row>
    <row r="42" spans="1:50" s="25" customFormat="1" ht="18.75" customHeight="1" x14ac:dyDescent="0.2">
      <c r="A42" s="19" t="s">
        <v>49</v>
      </c>
      <c r="B42" s="19" t="s">
        <v>50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6" t="s">
        <v>102</v>
      </c>
      <c r="AB42" s="21" t="s">
        <v>103</v>
      </c>
      <c r="AC42" s="22" t="s">
        <v>37</v>
      </c>
      <c r="AD42" s="22">
        <f>AD43+AD46+AD49+AD52+AD55+AD58+AD61+AD64+AD67</f>
        <v>9938807657</v>
      </c>
      <c r="AE42" s="23">
        <f t="shared" ref="AE42:AW42" si="22">AE43+AE46+AE49+AE52+AE55+AE58+AE61+AE64+AE67</f>
        <v>0</v>
      </c>
      <c r="AF42" s="23">
        <f t="shared" si="22"/>
        <v>0</v>
      </c>
      <c r="AG42" s="23">
        <f>AG43+AG46+AG49+AG52+AG55+AG58+AG61+AG64+AG67</f>
        <v>1570017</v>
      </c>
      <c r="AH42" s="22">
        <f>AH43+AH46+AH49+AH52+AH55+AH58+AH61+AH64+AH67</f>
        <v>532070017</v>
      </c>
      <c r="AI42" s="22">
        <f t="shared" si="22"/>
        <v>-530500000</v>
      </c>
      <c r="AJ42" s="22">
        <f t="shared" si="22"/>
        <v>9408307657</v>
      </c>
      <c r="AK42" s="23">
        <f t="shared" si="22"/>
        <v>0</v>
      </c>
      <c r="AL42" s="22">
        <f t="shared" si="22"/>
        <v>696479988</v>
      </c>
      <c r="AM42" s="22">
        <f t="shared" si="22"/>
        <v>6583012602</v>
      </c>
      <c r="AN42" s="23">
        <f t="shared" si="22"/>
        <v>0</v>
      </c>
      <c r="AO42" s="22">
        <f t="shared" si="22"/>
        <v>641301894</v>
      </c>
      <c r="AP42" s="22">
        <f t="shared" si="22"/>
        <v>6527834508</v>
      </c>
      <c r="AQ42" s="23">
        <f t="shared" si="22"/>
        <v>96839050</v>
      </c>
      <c r="AR42" s="22">
        <f t="shared" si="22"/>
        <v>547677567</v>
      </c>
      <c r="AS42" s="22">
        <f t="shared" si="22"/>
        <v>6430988358</v>
      </c>
      <c r="AT42" s="22">
        <f>AQ42+AS42</f>
        <v>6527827408</v>
      </c>
      <c r="AU42" s="22">
        <f t="shared" si="22"/>
        <v>2825295055</v>
      </c>
      <c r="AV42" s="22">
        <f t="shared" si="22"/>
        <v>55178094</v>
      </c>
      <c r="AW42" s="23">
        <f t="shared" si="22"/>
        <v>7100</v>
      </c>
      <c r="AX42" s="24">
        <f t="shared" si="20"/>
        <v>0.6938372708446815</v>
      </c>
    </row>
    <row r="43" spans="1:50" ht="18.75" customHeight="1" x14ac:dyDescent="0.2">
      <c r="A43" s="27" t="s">
        <v>49</v>
      </c>
      <c r="B43" s="27" t="s">
        <v>50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8" t="s">
        <v>104</v>
      </c>
      <c r="AB43" s="29" t="s">
        <v>105</v>
      </c>
      <c r="AC43" s="30" t="s">
        <v>37</v>
      </c>
      <c r="AD43" s="30">
        <f>AD44+AD45</f>
        <v>2694944550</v>
      </c>
      <c r="AE43" s="31">
        <f t="shared" ref="AE43:AS43" si="23">AE44+AE45</f>
        <v>0</v>
      </c>
      <c r="AF43" s="31">
        <f t="shared" si="23"/>
        <v>0</v>
      </c>
      <c r="AG43" s="31">
        <f t="shared" si="23"/>
        <v>0</v>
      </c>
      <c r="AH43" s="30">
        <f t="shared" si="23"/>
        <v>201570017</v>
      </c>
      <c r="AI43" s="30">
        <f t="shared" si="23"/>
        <v>-201570017</v>
      </c>
      <c r="AJ43" s="30">
        <f>AJ44+AJ45</f>
        <v>2493374533</v>
      </c>
      <c r="AK43" s="31">
        <f t="shared" si="23"/>
        <v>0</v>
      </c>
      <c r="AL43" s="30">
        <f t="shared" si="23"/>
        <v>268785556</v>
      </c>
      <c r="AM43" s="30">
        <f t="shared" si="23"/>
        <v>1850464356</v>
      </c>
      <c r="AN43" s="31">
        <f t="shared" si="23"/>
        <v>0</v>
      </c>
      <c r="AO43" s="30">
        <f t="shared" si="23"/>
        <v>226099558</v>
      </c>
      <c r="AP43" s="30">
        <f t="shared" si="23"/>
        <v>1807778358</v>
      </c>
      <c r="AQ43" s="31">
        <f t="shared" si="23"/>
        <v>35849250</v>
      </c>
      <c r="AR43" s="30">
        <f t="shared" si="23"/>
        <v>190250308</v>
      </c>
      <c r="AS43" s="30">
        <f t="shared" si="23"/>
        <v>1771929108</v>
      </c>
      <c r="AT43" s="30">
        <f t="shared" ref="AT43:AT69" si="24">AQ43+AS43</f>
        <v>1807778358</v>
      </c>
      <c r="AU43" s="18">
        <f t="shared" ref="AU43:AU69" si="25">AJ43-AM43</f>
        <v>642910177</v>
      </c>
      <c r="AV43" s="18">
        <f t="shared" ref="AV43:AV69" si="26">AM43-AP43</f>
        <v>42685998</v>
      </c>
      <c r="AW43" s="34">
        <f t="shared" ref="AW43:AW69" si="27">AP43-AT43</f>
        <v>0</v>
      </c>
      <c r="AX43" s="32">
        <f t="shared" si="20"/>
        <v>0.72503281559746324</v>
      </c>
    </row>
    <row r="44" spans="1:50" ht="18.75" customHeight="1" x14ac:dyDescent="0.2">
      <c r="A44" s="14" t="s">
        <v>55</v>
      </c>
      <c r="B44" s="15" t="s">
        <v>56</v>
      </c>
      <c r="C44" s="15"/>
      <c r="D44" s="15" t="s">
        <v>40</v>
      </c>
      <c r="E44" s="15"/>
      <c r="F44" s="15"/>
      <c r="G44" s="15" t="s">
        <v>41</v>
      </c>
      <c r="H44" s="15"/>
      <c r="I44" s="15" t="s">
        <v>936</v>
      </c>
      <c r="J44" s="15"/>
      <c r="K44" s="15" t="s">
        <v>932</v>
      </c>
      <c r="L44" s="15"/>
      <c r="M44" s="15" t="s">
        <v>933</v>
      </c>
      <c r="N44" s="15"/>
      <c r="O44" s="15" t="s">
        <v>938</v>
      </c>
      <c r="P44" s="15"/>
      <c r="Q44" s="15" t="s">
        <v>939</v>
      </c>
      <c r="R44" s="15"/>
      <c r="S44" s="15" t="s">
        <v>940</v>
      </c>
      <c r="T44" s="15">
        <v>0</v>
      </c>
      <c r="U44" s="15">
        <v>0</v>
      </c>
      <c r="V44" s="15">
        <v>0</v>
      </c>
      <c r="W44" s="15">
        <v>0</v>
      </c>
      <c r="X44" s="15" t="s">
        <v>937</v>
      </c>
      <c r="Y44" s="15"/>
      <c r="Z44" s="15"/>
      <c r="AA44" s="16" t="s">
        <v>106</v>
      </c>
      <c r="AB44" s="17" t="s">
        <v>105</v>
      </c>
      <c r="AC44" s="17" t="s">
        <v>58</v>
      </c>
      <c r="AD44" s="18">
        <v>2434081998</v>
      </c>
      <c r="AE44" s="34">
        <v>0</v>
      </c>
      <c r="AF44" s="34">
        <v>0</v>
      </c>
      <c r="AG44" s="34">
        <v>0</v>
      </c>
      <c r="AH44" s="18">
        <f>70000000+100000000+30000000</f>
        <v>200000000</v>
      </c>
      <c r="AI44" s="18">
        <f>AE44-AF44+AG44-AH44</f>
        <v>-200000000</v>
      </c>
      <c r="AJ44" s="18">
        <f>AD44+AI44</f>
        <v>2234081998</v>
      </c>
      <c r="AK44" s="34">
        <v>0</v>
      </c>
      <c r="AL44" s="18">
        <v>265658848</v>
      </c>
      <c r="AM44" s="18">
        <v>1722122048</v>
      </c>
      <c r="AN44" s="34">
        <v>0</v>
      </c>
      <c r="AO44" s="18">
        <v>222972850</v>
      </c>
      <c r="AP44" s="18">
        <v>1679436050</v>
      </c>
      <c r="AQ44" s="34">
        <v>35849250</v>
      </c>
      <c r="AR44" s="18">
        <f>AS44-SEPTIEMBRE!AS44</f>
        <v>187123600</v>
      </c>
      <c r="AS44" s="18">
        <v>1643586800</v>
      </c>
      <c r="AT44" s="39">
        <f t="shared" si="24"/>
        <v>1679436050</v>
      </c>
      <c r="AU44" s="18">
        <f t="shared" si="25"/>
        <v>511959950</v>
      </c>
      <c r="AV44" s="18">
        <f t="shared" si="26"/>
        <v>42685998</v>
      </c>
      <c r="AW44" s="34">
        <f t="shared" si="27"/>
        <v>0</v>
      </c>
      <c r="AX44" s="32">
        <f t="shared" si="20"/>
        <v>0.75173429243128431</v>
      </c>
    </row>
    <row r="45" spans="1:50" ht="27" customHeight="1" x14ac:dyDescent="0.2">
      <c r="A45" s="14" t="s">
        <v>55</v>
      </c>
      <c r="B45" s="15" t="s">
        <v>56</v>
      </c>
      <c r="C45" s="15"/>
      <c r="D45" s="15" t="s">
        <v>40</v>
      </c>
      <c r="E45" s="15"/>
      <c r="F45" s="15"/>
      <c r="G45" s="15" t="s">
        <v>41</v>
      </c>
      <c r="H45" s="15"/>
      <c r="I45" s="15" t="s">
        <v>941</v>
      </c>
      <c r="J45" s="15"/>
      <c r="K45" s="15" t="s">
        <v>932</v>
      </c>
      <c r="L45" s="15"/>
      <c r="M45" s="15" t="s">
        <v>933</v>
      </c>
      <c r="N45" s="15"/>
      <c r="O45" s="15" t="s">
        <v>938</v>
      </c>
      <c r="P45" s="15"/>
      <c r="Q45" s="15" t="s">
        <v>939</v>
      </c>
      <c r="R45" s="15"/>
      <c r="S45" s="15" t="s">
        <v>940</v>
      </c>
      <c r="T45" s="15">
        <v>0</v>
      </c>
      <c r="U45" s="15">
        <v>0</v>
      </c>
      <c r="V45" s="15">
        <v>0</v>
      </c>
      <c r="W45" s="15">
        <v>0</v>
      </c>
      <c r="X45" s="15" t="s">
        <v>937</v>
      </c>
      <c r="Y45" s="15"/>
      <c r="Z45" s="15"/>
      <c r="AA45" s="16" t="s">
        <v>107</v>
      </c>
      <c r="AB45" s="17" t="s">
        <v>108</v>
      </c>
      <c r="AC45" s="17" t="s">
        <v>61</v>
      </c>
      <c r="AD45" s="18">
        <v>260862552</v>
      </c>
      <c r="AE45" s="34">
        <v>0</v>
      </c>
      <c r="AF45" s="34">
        <v>0</v>
      </c>
      <c r="AG45" s="34">
        <v>0</v>
      </c>
      <c r="AH45" s="18">
        <v>1570017</v>
      </c>
      <c r="AI45" s="18">
        <f>AE45-AF45+AG45-AH45</f>
        <v>-1570017</v>
      </c>
      <c r="AJ45" s="18">
        <f>AD45+AI45</f>
        <v>259292535</v>
      </c>
      <c r="AK45" s="34">
        <v>0</v>
      </c>
      <c r="AL45" s="18">
        <v>3126708</v>
      </c>
      <c r="AM45" s="18">
        <v>128342308</v>
      </c>
      <c r="AN45" s="34">
        <v>0</v>
      </c>
      <c r="AO45" s="18">
        <v>3126708</v>
      </c>
      <c r="AP45" s="18">
        <v>128342308</v>
      </c>
      <c r="AQ45" s="34">
        <v>0</v>
      </c>
      <c r="AR45" s="18">
        <f>AS45-SEPTIEMBRE!AS45</f>
        <v>3126708</v>
      </c>
      <c r="AS45" s="18">
        <v>128342308</v>
      </c>
      <c r="AT45" s="39">
        <f t="shared" si="24"/>
        <v>128342308</v>
      </c>
      <c r="AU45" s="18">
        <f t="shared" si="25"/>
        <v>130950227</v>
      </c>
      <c r="AV45" s="34">
        <f t="shared" si="26"/>
        <v>0</v>
      </c>
      <c r="AW45" s="34">
        <f t="shared" si="27"/>
        <v>0</v>
      </c>
      <c r="AX45" s="32">
        <f t="shared" si="20"/>
        <v>0.49497108738591339</v>
      </c>
    </row>
    <row r="46" spans="1:50" ht="18.75" customHeight="1" x14ac:dyDescent="0.2">
      <c r="A46" s="27" t="s">
        <v>49</v>
      </c>
      <c r="B46" s="27" t="s">
        <v>50</v>
      </c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8" t="s">
        <v>109</v>
      </c>
      <c r="AB46" s="29" t="s">
        <v>110</v>
      </c>
      <c r="AC46" s="30" t="s">
        <v>37</v>
      </c>
      <c r="AD46" s="30">
        <f>AD47+AD48</f>
        <v>1966170915</v>
      </c>
      <c r="AE46" s="31">
        <f t="shared" ref="AE46:AS46" si="28">AE47+AE48</f>
        <v>0</v>
      </c>
      <c r="AF46" s="31">
        <f t="shared" si="28"/>
        <v>0</v>
      </c>
      <c r="AG46" s="31">
        <f t="shared" si="28"/>
        <v>0</v>
      </c>
      <c r="AH46" s="30">
        <f t="shared" si="28"/>
        <v>20000000</v>
      </c>
      <c r="AI46" s="30">
        <f t="shared" si="28"/>
        <v>-20000000</v>
      </c>
      <c r="AJ46" s="30">
        <f t="shared" si="28"/>
        <v>1946170915</v>
      </c>
      <c r="AK46" s="31">
        <f t="shared" si="28"/>
        <v>0</v>
      </c>
      <c r="AL46" s="30">
        <f t="shared" si="28"/>
        <v>160448506</v>
      </c>
      <c r="AM46" s="30">
        <f t="shared" si="28"/>
        <v>1310551306</v>
      </c>
      <c r="AN46" s="31">
        <f t="shared" si="28"/>
        <v>0</v>
      </c>
      <c r="AO46" s="30">
        <f t="shared" si="28"/>
        <v>160398310</v>
      </c>
      <c r="AP46" s="30">
        <f t="shared" si="28"/>
        <v>1310501110</v>
      </c>
      <c r="AQ46" s="31">
        <f t="shared" si="28"/>
        <v>26941000</v>
      </c>
      <c r="AR46" s="30">
        <f t="shared" si="28"/>
        <v>133450210</v>
      </c>
      <c r="AS46" s="109">
        <f t="shared" si="28"/>
        <v>1283553010</v>
      </c>
      <c r="AT46" s="39">
        <f t="shared" si="24"/>
        <v>1310494010</v>
      </c>
      <c r="AU46" s="18">
        <f t="shared" si="25"/>
        <v>635619609</v>
      </c>
      <c r="AV46" s="18">
        <f t="shared" si="26"/>
        <v>50196</v>
      </c>
      <c r="AW46" s="18">
        <f t="shared" si="27"/>
        <v>7100</v>
      </c>
      <c r="AX46" s="32">
        <f t="shared" si="20"/>
        <v>0.6733741111324747</v>
      </c>
    </row>
    <row r="47" spans="1:50" ht="18.75" customHeight="1" x14ac:dyDescent="0.2">
      <c r="A47" s="35" t="s">
        <v>55</v>
      </c>
      <c r="B47" s="36" t="s">
        <v>56</v>
      </c>
      <c r="C47" s="36"/>
      <c r="D47" s="36" t="s">
        <v>40</v>
      </c>
      <c r="E47" s="36"/>
      <c r="F47" s="36"/>
      <c r="G47" s="36" t="s">
        <v>41</v>
      </c>
      <c r="H47" s="36"/>
      <c r="I47" s="36" t="s">
        <v>936</v>
      </c>
      <c r="J47" s="36"/>
      <c r="K47" s="36" t="s">
        <v>932</v>
      </c>
      <c r="L47" s="36"/>
      <c r="M47" s="36" t="s">
        <v>933</v>
      </c>
      <c r="N47" s="36"/>
      <c r="O47" s="36" t="s">
        <v>938</v>
      </c>
      <c r="P47" s="36"/>
      <c r="Q47" s="36" t="s">
        <v>939</v>
      </c>
      <c r="R47" s="36"/>
      <c r="S47" s="36" t="s">
        <v>940</v>
      </c>
      <c r="T47" s="36">
        <v>0</v>
      </c>
      <c r="U47" s="36">
        <v>0</v>
      </c>
      <c r="V47" s="36">
        <v>0</v>
      </c>
      <c r="W47" s="36">
        <v>0</v>
      </c>
      <c r="X47" s="36" t="s">
        <v>937</v>
      </c>
      <c r="Y47" s="36"/>
      <c r="Z47" s="36"/>
      <c r="AA47" s="37" t="s">
        <v>111</v>
      </c>
      <c r="AB47" s="38" t="s">
        <v>110</v>
      </c>
      <c r="AC47" s="38" t="s">
        <v>58</v>
      </c>
      <c r="AD47" s="39">
        <v>1757106683</v>
      </c>
      <c r="AE47" s="40">
        <v>0</v>
      </c>
      <c r="AF47" s="40">
        <v>0</v>
      </c>
      <c r="AG47" s="40">
        <v>0</v>
      </c>
      <c r="AH47" s="39">
        <v>20000000</v>
      </c>
      <c r="AI47" s="18">
        <f>AE47-AF47+AG47-AH47</f>
        <v>-20000000</v>
      </c>
      <c r="AJ47" s="18">
        <f>AD47+AI47</f>
        <v>1737106683</v>
      </c>
      <c r="AK47" s="40">
        <v>0</v>
      </c>
      <c r="AL47" s="18">
        <v>158233520</v>
      </c>
      <c r="AM47" s="39">
        <v>1219633920</v>
      </c>
      <c r="AN47" s="40">
        <v>0</v>
      </c>
      <c r="AO47" s="18">
        <v>158183324</v>
      </c>
      <c r="AP47" s="39">
        <v>1219583724</v>
      </c>
      <c r="AQ47" s="40">
        <v>26941000</v>
      </c>
      <c r="AR47" s="18">
        <f>AS47-SEPTIEMBRE!AS47</f>
        <v>131235224</v>
      </c>
      <c r="AS47" s="111">
        <v>1192635624</v>
      </c>
      <c r="AT47" s="39">
        <f t="shared" si="24"/>
        <v>1219576624</v>
      </c>
      <c r="AU47" s="18">
        <f t="shared" si="25"/>
        <v>517472763</v>
      </c>
      <c r="AV47" s="18">
        <f t="shared" si="26"/>
        <v>50196</v>
      </c>
      <c r="AW47" s="18">
        <f t="shared" si="27"/>
        <v>7100</v>
      </c>
      <c r="AX47" s="32">
        <f t="shared" si="20"/>
        <v>0.70207761902899779</v>
      </c>
    </row>
    <row r="48" spans="1:50" ht="18.75" customHeight="1" x14ac:dyDescent="0.2">
      <c r="A48" s="14" t="s">
        <v>55</v>
      </c>
      <c r="B48" s="15" t="s">
        <v>56</v>
      </c>
      <c r="C48" s="15"/>
      <c r="D48" s="15" t="s">
        <v>40</v>
      </c>
      <c r="E48" s="15"/>
      <c r="F48" s="15"/>
      <c r="G48" s="15" t="s">
        <v>41</v>
      </c>
      <c r="H48" s="15"/>
      <c r="I48" s="15" t="s">
        <v>941</v>
      </c>
      <c r="J48" s="15"/>
      <c r="K48" s="15" t="s">
        <v>932</v>
      </c>
      <c r="L48" s="15"/>
      <c r="M48" s="15" t="s">
        <v>933</v>
      </c>
      <c r="N48" s="15"/>
      <c r="O48" s="15" t="s">
        <v>938</v>
      </c>
      <c r="P48" s="15"/>
      <c r="Q48" s="15" t="s">
        <v>939</v>
      </c>
      <c r="R48" s="15"/>
      <c r="S48" s="15" t="s">
        <v>940</v>
      </c>
      <c r="T48" s="15">
        <v>0</v>
      </c>
      <c r="U48" s="15">
        <v>0</v>
      </c>
      <c r="V48" s="15">
        <v>0</v>
      </c>
      <c r="W48" s="15">
        <v>0</v>
      </c>
      <c r="X48" s="15" t="s">
        <v>937</v>
      </c>
      <c r="Y48" s="15"/>
      <c r="Z48" s="15"/>
      <c r="AA48" s="16" t="s">
        <v>112</v>
      </c>
      <c r="AB48" s="17" t="s">
        <v>113</v>
      </c>
      <c r="AC48" s="17" t="s">
        <v>61</v>
      </c>
      <c r="AD48" s="18">
        <v>209064232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18">
        <v>209064232</v>
      </c>
      <c r="AK48" s="34">
        <v>0</v>
      </c>
      <c r="AL48" s="18">
        <v>2214986</v>
      </c>
      <c r="AM48" s="18">
        <v>90917386</v>
      </c>
      <c r="AN48" s="34">
        <v>0</v>
      </c>
      <c r="AO48" s="18">
        <v>2214986</v>
      </c>
      <c r="AP48" s="18">
        <v>90917386</v>
      </c>
      <c r="AQ48" s="34">
        <v>0</v>
      </c>
      <c r="AR48" s="18">
        <f>AS48-SEPTIEMBRE!AS48</f>
        <v>2214986</v>
      </c>
      <c r="AS48" s="110">
        <v>90917386</v>
      </c>
      <c r="AT48" s="39">
        <f t="shared" si="24"/>
        <v>90917386</v>
      </c>
      <c r="AU48" s="18">
        <f t="shared" si="25"/>
        <v>118146846</v>
      </c>
      <c r="AV48" s="34">
        <f t="shared" si="26"/>
        <v>0</v>
      </c>
      <c r="AW48" s="34">
        <f t="shared" si="27"/>
        <v>0</v>
      </c>
      <c r="AX48" s="32">
        <f t="shared" si="20"/>
        <v>0.43487776522193428</v>
      </c>
    </row>
    <row r="49" spans="1:50" ht="18.75" customHeight="1" x14ac:dyDescent="0.2">
      <c r="A49" s="27" t="s">
        <v>49</v>
      </c>
      <c r="B49" s="27" t="s">
        <v>50</v>
      </c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8" t="s">
        <v>114</v>
      </c>
      <c r="AB49" s="29" t="s">
        <v>115</v>
      </c>
      <c r="AC49" s="30" t="s">
        <v>37</v>
      </c>
      <c r="AD49" s="30">
        <f>AD50+AD51</f>
        <v>2387025947</v>
      </c>
      <c r="AE49" s="31">
        <f t="shared" ref="AE49:AS49" si="29">AE50+AE51</f>
        <v>0</v>
      </c>
      <c r="AF49" s="31">
        <f t="shared" si="29"/>
        <v>0</v>
      </c>
      <c r="AG49" s="31">
        <f t="shared" si="29"/>
        <v>0</v>
      </c>
      <c r="AH49" s="31">
        <f t="shared" si="29"/>
        <v>0</v>
      </c>
      <c r="AI49" s="31">
        <f t="shared" si="29"/>
        <v>0</v>
      </c>
      <c r="AJ49" s="30">
        <f t="shared" si="29"/>
        <v>2387025947</v>
      </c>
      <c r="AK49" s="31">
        <f t="shared" si="29"/>
        <v>0</v>
      </c>
      <c r="AL49" s="30">
        <f t="shared" si="29"/>
        <v>51091926</v>
      </c>
      <c r="AM49" s="30">
        <f t="shared" si="29"/>
        <v>1770929340</v>
      </c>
      <c r="AN49" s="31">
        <f t="shared" si="29"/>
        <v>0</v>
      </c>
      <c r="AO49" s="30">
        <f t="shared" si="29"/>
        <v>51091926</v>
      </c>
      <c r="AP49" s="30">
        <f t="shared" si="29"/>
        <v>1770929340</v>
      </c>
      <c r="AQ49" s="31">
        <f t="shared" si="29"/>
        <v>0</v>
      </c>
      <c r="AR49" s="30">
        <f t="shared" si="29"/>
        <v>54313749</v>
      </c>
      <c r="AS49" s="30">
        <f t="shared" si="29"/>
        <v>1770929340</v>
      </c>
      <c r="AT49" s="39">
        <f t="shared" si="24"/>
        <v>1770929340</v>
      </c>
      <c r="AU49" s="18">
        <f t="shared" si="25"/>
        <v>616096607</v>
      </c>
      <c r="AV49" s="34">
        <f t="shared" si="26"/>
        <v>0</v>
      </c>
      <c r="AW49" s="34">
        <f t="shared" si="27"/>
        <v>0</v>
      </c>
      <c r="AX49" s="32">
        <f t="shared" si="20"/>
        <v>0.74189781733445059</v>
      </c>
    </row>
    <row r="50" spans="1:50" ht="18.75" customHeight="1" x14ac:dyDescent="0.2">
      <c r="A50" s="14" t="s">
        <v>55</v>
      </c>
      <c r="B50" s="15" t="s">
        <v>56</v>
      </c>
      <c r="C50" s="15"/>
      <c r="D50" s="15" t="s">
        <v>40</v>
      </c>
      <c r="E50" s="15"/>
      <c r="F50" s="15"/>
      <c r="G50" s="15" t="s">
        <v>41</v>
      </c>
      <c r="H50" s="15"/>
      <c r="I50" s="15" t="s">
        <v>936</v>
      </c>
      <c r="J50" s="15"/>
      <c r="K50" s="15" t="s">
        <v>932</v>
      </c>
      <c r="L50" s="15"/>
      <c r="M50" s="15" t="s">
        <v>933</v>
      </c>
      <c r="N50" s="15"/>
      <c r="O50" s="15" t="s">
        <v>938</v>
      </c>
      <c r="P50" s="15"/>
      <c r="Q50" s="15" t="s">
        <v>939</v>
      </c>
      <c r="R50" s="15"/>
      <c r="S50" s="15" t="s">
        <v>940</v>
      </c>
      <c r="T50" s="15">
        <v>0</v>
      </c>
      <c r="U50" s="15">
        <v>0</v>
      </c>
      <c r="V50" s="15">
        <v>0</v>
      </c>
      <c r="W50" s="15">
        <v>0</v>
      </c>
      <c r="X50" s="15" t="s">
        <v>937</v>
      </c>
      <c r="Y50" s="15"/>
      <c r="Z50" s="15"/>
      <c r="AA50" s="16" t="s">
        <v>116</v>
      </c>
      <c r="AB50" s="17" t="s">
        <v>115</v>
      </c>
      <c r="AC50" s="17" t="s">
        <v>58</v>
      </c>
      <c r="AD50" s="18">
        <v>2208060292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18">
        <v>2208060292</v>
      </c>
      <c r="AK50" s="34">
        <v>0</v>
      </c>
      <c r="AL50" s="18">
        <v>50695651</v>
      </c>
      <c r="AM50" s="18">
        <v>1683124460</v>
      </c>
      <c r="AN50" s="34">
        <v>0</v>
      </c>
      <c r="AO50" s="18">
        <v>50695651</v>
      </c>
      <c r="AP50" s="18">
        <v>1683124460</v>
      </c>
      <c r="AQ50" s="34">
        <v>0</v>
      </c>
      <c r="AR50" s="18">
        <f>AS50-SEPTIEMBRE!AS50</f>
        <v>50695651</v>
      </c>
      <c r="AS50" s="110">
        <v>1683124460</v>
      </c>
      <c r="AT50" s="39">
        <f t="shared" si="24"/>
        <v>1683124460</v>
      </c>
      <c r="AU50" s="18">
        <f t="shared" si="25"/>
        <v>524935832</v>
      </c>
      <c r="AV50" s="34">
        <f t="shared" si="26"/>
        <v>0</v>
      </c>
      <c r="AW50" s="34">
        <f t="shared" si="27"/>
        <v>0</v>
      </c>
      <c r="AX50" s="32">
        <f t="shared" si="20"/>
        <v>0.76226381412595956</v>
      </c>
    </row>
    <row r="51" spans="1:50" ht="18.75" customHeight="1" x14ac:dyDescent="0.2">
      <c r="A51" s="14" t="s">
        <v>55</v>
      </c>
      <c r="B51" s="15" t="s">
        <v>56</v>
      </c>
      <c r="C51" s="15"/>
      <c r="D51" s="15" t="s">
        <v>40</v>
      </c>
      <c r="E51" s="15"/>
      <c r="F51" s="15"/>
      <c r="G51" s="15" t="s">
        <v>41</v>
      </c>
      <c r="H51" s="15"/>
      <c r="I51" s="15" t="s">
        <v>941</v>
      </c>
      <c r="J51" s="15"/>
      <c r="K51" s="15" t="s">
        <v>932</v>
      </c>
      <c r="L51" s="15"/>
      <c r="M51" s="15" t="s">
        <v>933</v>
      </c>
      <c r="N51" s="15"/>
      <c r="O51" s="15" t="s">
        <v>938</v>
      </c>
      <c r="P51" s="15"/>
      <c r="Q51" s="15" t="s">
        <v>939</v>
      </c>
      <c r="R51" s="15"/>
      <c r="S51" s="15" t="s">
        <v>940</v>
      </c>
      <c r="T51" s="15">
        <v>0</v>
      </c>
      <c r="U51" s="15">
        <v>0</v>
      </c>
      <c r="V51" s="15">
        <v>0</v>
      </c>
      <c r="W51" s="15">
        <v>0</v>
      </c>
      <c r="X51" s="15" t="s">
        <v>937</v>
      </c>
      <c r="Y51" s="15"/>
      <c r="Z51" s="15"/>
      <c r="AA51" s="16" t="s">
        <v>117</v>
      </c>
      <c r="AB51" s="17" t="s">
        <v>115</v>
      </c>
      <c r="AC51" s="17" t="s">
        <v>61</v>
      </c>
      <c r="AD51" s="18">
        <v>178965655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18">
        <v>178965655</v>
      </c>
      <c r="AK51" s="34">
        <v>0</v>
      </c>
      <c r="AL51" s="18">
        <v>396275</v>
      </c>
      <c r="AM51" s="18">
        <v>87804880</v>
      </c>
      <c r="AN51" s="34">
        <v>0</v>
      </c>
      <c r="AO51" s="18">
        <v>396275</v>
      </c>
      <c r="AP51" s="18">
        <v>87804880</v>
      </c>
      <c r="AQ51" s="34">
        <v>0</v>
      </c>
      <c r="AR51" s="18">
        <f>AS51-SEPTIEMBRE!AS51</f>
        <v>3618098</v>
      </c>
      <c r="AS51" s="110">
        <v>87804880</v>
      </c>
      <c r="AT51" s="39">
        <f t="shared" si="24"/>
        <v>87804880</v>
      </c>
      <c r="AU51" s="18">
        <f t="shared" si="25"/>
        <v>91160775</v>
      </c>
      <c r="AV51" s="34">
        <f t="shared" si="26"/>
        <v>0</v>
      </c>
      <c r="AW51" s="34">
        <f t="shared" si="27"/>
        <v>0</v>
      </c>
      <c r="AX51" s="32">
        <f t="shared" si="20"/>
        <v>0.49062419266981699</v>
      </c>
    </row>
    <row r="52" spans="1:50" ht="18.75" customHeight="1" x14ac:dyDescent="0.2">
      <c r="A52" s="27" t="s">
        <v>49</v>
      </c>
      <c r="B52" s="27" t="s">
        <v>50</v>
      </c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8" t="s">
        <v>118</v>
      </c>
      <c r="AB52" s="29" t="s">
        <v>119</v>
      </c>
      <c r="AC52" s="30" t="s">
        <v>37</v>
      </c>
      <c r="AD52" s="30">
        <f>AD53+AD54</f>
        <v>1154194065</v>
      </c>
      <c r="AE52" s="31">
        <f t="shared" ref="AE52:AS52" si="30">AE53+AE54</f>
        <v>0</v>
      </c>
      <c r="AF52" s="31">
        <f t="shared" si="30"/>
        <v>0</v>
      </c>
      <c r="AG52" s="31">
        <f t="shared" si="30"/>
        <v>684962</v>
      </c>
      <c r="AH52" s="30">
        <f t="shared" si="30"/>
        <v>153000000</v>
      </c>
      <c r="AI52" s="30">
        <f t="shared" si="30"/>
        <v>-152315038</v>
      </c>
      <c r="AJ52" s="30">
        <f t="shared" si="30"/>
        <v>1001879027</v>
      </c>
      <c r="AK52" s="31">
        <f t="shared" si="30"/>
        <v>0</v>
      </c>
      <c r="AL52" s="30">
        <f t="shared" si="30"/>
        <v>95744000</v>
      </c>
      <c r="AM52" s="30">
        <f t="shared" si="30"/>
        <v>679250000</v>
      </c>
      <c r="AN52" s="31">
        <f t="shared" si="30"/>
        <v>0</v>
      </c>
      <c r="AO52" s="30">
        <f t="shared" si="30"/>
        <v>83302100</v>
      </c>
      <c r="AP52" s="30">
        <f t="shared" si="30"/>
        <v>666808100</v>
      </c>
      <c r="AQ52" s="31">
        <f t="shared" si="30"/>
        <v>13993400</v>
      </c>
      <c r="AR52" s="30">
        <f t="shared" si="30"/>
        <v>69308700</v>
      </c>
      <c r="AS52" s="30">
        <f t="shared" si="30"/>
        <v>652814700</v>
      </c>
      <c r="AT52" s="30">
        <f t="shared" si="24"/>
        <v>666808100</v>
      </c>
      <c r="AU52" s="18">
        <f t="shared" si="25"/>
        <v>322629027</v>
      </c>
      <c r="AV52" s="18">
        <f t="shared" si="26"/>
        <v>12441900</v>
      </c>
      <c r="AW52" s="34">
        <f t="shared" si="27"/>
        <v>0</v>
      </c>
      <c r="AX52" s="32">
        <f t="shared" si="20"/>
        <v>0.66555749948840881</v>
      </c>
    </row>
    <row r="53" spans="1:50" ht="18.75" customHeight="1" x14ac:dyDescent="0.2">
      <c r="A53" s="14" t="s">
        <v>55</v>
      </c>
      <c r="B53" s="15" t="s">
        <v>56</v>
      </c>
      <c r="C53" s="15"/>
      <c r="D53" s="15" t="s">
        <v>40</v>
      </c>
      <c r="E53" s="15"/>
      <c r="F53" s="15"/>
      <c r="G53" s="15" t="s">
        <v>41</v>
      </c>
      <c r="H53" s="15"/>
      <c r="I53" s="15" t="s">
        <v>936</v>
      </c>
      <c r="J53" s="15"/>
      <c r="K53" s="15" t="s">
        <v>932</v>
      </c>
      <c r="L53" s="15"/>
      <c r="M53" s="15" t="s">
        <v>933</v>
      </c>
      <c r="N53" s="15"/>
      <c r="O53" s="15" t="s">
        <v>938</v>
      </c>
      <c r="P53" s="15"/>
      <c r="Q53" s="15" t="s">
        <v>939</v>
      </c>
      <c r="R53" s="15"/>
      <c r="S53" s="15" t="s">
        <v>940</v>
      </c>
      <c r="T53" s="15">
        <v>0</v>
      </c>
      <c r="U53" s="15">
        <v>0</v>
      </c>
      <c r="V53" s="15">
        <v>0</v>
      </c>
      <c r="W53" s="15">
        <v>0</v>
      </c>
      <c r="X53" s="15" t="s">
        <v>937</v>
      </c>
      <c r="Y53" s="15"/>
      <c r="Z53" s="15"/>
      <c r="AA53" s="16" t="s">
        <v>120</v>
      </c>
      <c r="AB53" s="17" t="s">
        <v>119</v>
      </c>
      <c r="AC53" s="17" t="s">
        <v>58</v>
      </c>
      <c r="AD53" s="18">
        <v>1088978427</v>
      </c>
      <c r="AE53" s="34">
        <v>0</v>
      </c>
      <c r="AF53" s="34">
        <v>0</v>
      </c>
      <c r="AG53" s="34">
        <v>0</v>
      </c>
      <c r="AH53" s="18">
        <f>79000000+24000000+50000000</f>
        <v>153000000</v>
      </c>
      <c r="AI53" s="18">
        <f>AE53-AF53+AG53-AH53</f>
        <v>-153000000</v>
      </c>
      <c r="AJ53" s="18">
        <f>AD53+AI53</f>
        <v>935978427</v>
      </c>
      <c r="AK53" s="34">
        <v>0</v>
      </c>
      <c r="AL53" s="18">
        <v>94560900</v>
      </c>
      <c r="AM53" s="18">
        <v>632428600</v>
      </c>
      <c r="AN53" s="34">
        <v>0</v>
      </c>
      <c r="AO53" s="18">
        <v>82119000</v>
      </c>
      <c r="AP53" s="18">
        <v>619986700</v>
      </c>
      <c r="AQ53" s="34">
        <v>13993400</v>
      </c>
      <c r="AR53" s="18">
        <f>AS53-SEPTIEMBRE!AS53</f>
        <v>68125600</v>
      </c>
      <c r="AS53" s="110">
        <v>605993300</v>
      </c>
      <c r="AT53" s="39">
        <f t="shared" si="24"/>
        <v>619986700</v>
      </c>
      <c r="AU53" s="18">
        <f t="shared" si="25"/>
        <v>303549827</v>
      </c>
      <c r="AV53" s="18">
        <f t="shared" si="26"/>
        <v>12441900</v>
      </c>
      <c r="AW53" s="34">
        <f t="shared" si="27"/>
        <v>0</v>
      </c>
      <c r="AX53" s="32">
        <f t="shared" si="20"/>
        <v>0.66239421990438674</v>
      </c>
    </row>
    <row r="54" spans="1:50" ht="28.5" customHeight="1" x14ac:dyDescent="0.2">
      <c r="A54" s="14" t="s">
        <v>55</v>
      </c>
      <c r="B54" s="15" t="s">
        <v>56</v>
      </c>
      <c r="C54" s="15"/>
      <c r="D54" s="15" t="s">
        <v>40</v>
      </c>
      <c r="E54" s="15"/>
      <c r="F54" s="15"/>
      <c r="G54" s="15" t="s">
        <v>41</v>
      </c>
      <c r="H54" s="15"/>
      <c r="I54" s="15" t="s">
        <v>941</v>
      </c>
      <c r="J54" s="15"/>
      <c r="K54" s="15" t="s">
        <v>932</v>
      </c>
      <c r="L54" s="15"/>
      <c r="M54" s="15" t="s">
        <v>933</v>
      </c>
      <c r="N54" s="15"/>
      <c r="O54" s="15" t="s">
        <v>938</v>
      </c>
      <c r="P54" s="15"/>
      <c r="Q54" s="15" t="s">
        <v>939</v>
      </c>
      <c r="R54" s="15"/>
      <c r="S54" s="15" t="s">
        <v>940</v>
      </c>
      <c r="T54" s="15">
        <v>0</v>
      </c>
      <c r="U54" s="15">
        <v>0</v>
      </c>
      <c r="V54" s="15">
        <v>0</v>
      </c>
      <c r="W54" s="15">
        <v>0</v>
      </c>
      <c r="X54" s="15" t="s">
        <v>937</v>
      </c>
      <c r="Y54" s="15"/>
      <c r="Z54" s="15"/>
      <c r="AA54" s="16" t="s">
        <v>121</v>
      </c>
      <c r="AB54" s="17" t="s">
        <v>122</v>
      </c>
      <c r="AC54" s="17" t="s">
        <v>61</v>
      </c>
      <c r="AD54" s="18">
        <v>65215638</v>
      </c>
      <c r="AE54" s="34">
        <v>0</v>
      </c>
      <c r="AF54" s="34">
        <v>0</v>
      </c>
      <c r="AG54" s="18">
        <v>684962</v>
      </c>
      <c r="AH54" s="34">
        <v>0</v>
      </c>
      <c r="AI54" s="18">
        <f>AE54-AF54+AG54-AH54</f>
        <v>684962</v>
      </c>
      <c r="AJ54" s="18">
        <f>AD54+AI54</f>
        <v>65900600</v>
      </c>
      <c r="AK54" s="34">
        <v>0</v>
      </c>
      <c r="AL54" s="18">
        <v>1183100</v>
      </c>
      <c r="AM54" s="18">
        <v>46821400</v>
      </c>
      <c r="AN54" s="34">
        <v>0</v>
      </c>
      <c r="AO54" s="18">
        <v>1183100</v>
      </c>
      <c r="AP54" s="18">
        <v>46821400</v>
      </c>
      <c r="AQ54" s="34">
        <v>0</v>
      </c>
      <c r="AR54" s="18">
        <f>AS54-SEPTIEMBRE!AS54</f>
        <v>1183100</v>
      </c>
      <c r="AS54" s="18">
        <v>46821400</v>
      </c>
      <c r="AT54" s="39">
        <f t="shared" si="24"/>
        <v>46821400</v>
      </c>
      <c r="AU54" s="18">
        <f t="shared" si="25"/>
        <v>19079200</v>
      </c>
      <c r="AV54" s="34">
        <f t="shared" si="26"/>
        <v>0</v>
      </c>
      <c r="AW54" s="34">
        <f t="shared" si="27"/>
        <v>0</v>
      </c>
      <c r="AX54" s="32">
        <f t="shared" si="20"/>
        <v>0.71048518526386706</v>
      </c>
    </row>
    <row r="55" spans="1:50" ht="18.75" customHeight="1" x14ac:dyDescent="0.2">
      <c r="A55" s="27" t="s">
        <v>49</v>
      </c>
      <c r="B55" s="27" t="s">
        <v>50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8" t="s">
        <v>123</v>
      </c>
      <c r="AB55" s="29" t="s">
        <v>124</v>
      </c>
      <c r="AC55" s="30" t="s">
        <v>37</v>
      </c>
      <c r="AD55" s="30">
        <f>AD56+AD57</f>
        <v>308515529</v>
      </c>
      <c r="AE55" s="31">
        <f t="shared" ref="AE55:AS55" si="31">AE56+AE57</f>
        <v>0</v>
      </c>
      <c r="AF55" s="31">
        <f t="shared" si="31"/>
        <v>0</v>
      </c>
      <c r="AG55" s="31">
        <f t="shared" si="31"/>
        <v>0</v>
      </c>
      <c r="AH55" s="30">
        <f t="shared" si="31"/>
        <v>37500000</v>
      </c>
      <c r="AI55" s="30">
        <f t="shared" si="31"/>
        <v>-37500000</v>
      </c>
      <c r="AJ55" s="30">
        <f t="shared" si="31"/>
        <v>271015529</v>
      </c>
      <c r="AK55" s="31">
        <f t="shared" si="31"/>
        <v>0</v>
      </c>
      <c r="AL55" s="30">
        <f t="shared" si="31"/>
        <v>16272100</v>
      </c>
      <c r="AM55" s="30">
        <f t="shared" si="31"/>
        <v>137897600</v>
      </c>
      <c r="AN55" s="31">
        <f t="shared" si="31"/>
        <v>0</v>
      </c>
      <c r="AO55" s="30">
        <f t="shared" si="31"/>
        <v>16272100</v>
      </c>
      <c r="AP55" s="30">
        <f t="shared" si="31"/>
        <v>137897600</v>
      </c>
      <c r="AQ55" s="31">
        <f t="shared" si="31"/>
        <v>2591000</v>
      </c>
      <c r="AR55" s="30">
        <f t="shared" si="31"/>
        <v>13681100</v>
      </c>
      <c r="AS55" s="30">
        <f t="shared" si="31"/>
        <v>135306600</v>
      </c>
      <c r="AT55" s="30">
        <f t="shared" si="24"/>
        <v>137897600</v>
      </c>
      <c r="AU55" s="18">
        <f t="shared" si="25"/>
        <v>133117929</v>
      </c>
      <c r="AV55" s="34">
        <f t="shared" si="26"/>
        <v>0</v>
      </c>
      <c r="AW55" s="34">
        <f t="shared" si="27"/>
        <v>0</v>
      </c>
      <c r="AX55" s="32">
        <f t="shared" si="20"/>
        <v>0.50881807588228645</v>
      </c>
    </row>
    <row r="56" spans="1:50" ht="18.75" customHeight="1" x14ac:dyDescent="0.2">
      <c r="A56" s="35" t="s">
        <v>55</v>
      </c>
      <c r="B56" s="36" t="s">
        <v>56</v>
      </c>
      <c r="C56" s="36"/>
      <c r="D56" s="36" t="s">
        <v>40</v>
      </c>
      <c r="E56" s="36"/>
      <c r="F56" s="36"/>
      <c r="G56" s="36" t="s">
        <v>41</v>
      </c>
      <c r="H56" s="36"/>
      <c r="I56" s="36" t="s">
        <v>936</v>
      </c>
      <c r="J56" s="36"/>
      <c r="K56" s="36" t="s">
        <v>932</v>
      </c>
      <c r="L56" s="36"/>
      <c r="M56" s="36" t="s">
        <v>933</v>
      </c>
      <c r="N56" s="36"/>
      <c r="O56" s="36" t="s">
        <v>938</v>
      </c>
      <c r="P56" s="36"/>
      <c r="Q56" s="36" t="s">
        <v>939</v>
      </c>
      <c r="R56" s="36"/>
      <c r="S56" s="36" t="s">
        <v>940</v>
      </c>
      <c r="T56" s="36">
        <v>0</v>
      </c>
      <c r="U56" s="36">
        <v>0</v>
      </c>
      <c r="V56" s="36">
        <v>0</v>
      </c>
      <c r="W56" s="36">
        <v>0</v>
      </c>
      <c r="X56" s="36" t="s">
        <v>937</v>
      </c>
      <c r="Y56" s="36"/>
      <c r="Z56" s="36"/>
      <c r="AA56" s="37" t="s">
        <v>125</v>
      </c>
      <c r="AB56" s="38" t="s">
        <v>124</v>
      </c>
      <c r="AC56" s="38" t="s">
        <v>58</v>
      </c>
      <c r="AD56" s="39">
        <v>299999998</v>
      </c>
      <c r="AE56" s="40">
        <v>0</v>
      </c>
      <c r="AF56" s="40">
        <v>0</v>
      </c>
      <c r="AG56" s="40">
        <v>0</v>
      </c>
      <c r="AH56" s="39">
        <v>37500000</v>
      </c>
      <c r="AI56" s="18">
        <f>AE56-AF56+AG56-AH56</f>
        <v>-37500000</v>
      </c>
      <c r="AJ56" s="18">
        <f>AD56+AI56</f>
        <v>262499998</v>
      </c>
      <c r="AK56" s="40">
        <v>0</v>
      </c>
      <c r="AL56" s="18">
        <v>16130700</v>
      </c>
      <c r="AM56" s="39">
        <v>132403000</v>
      </c>
      <c r="AN56" s="40">
        <v>0</v>
      </c>
      <c r="AO56" s="18">
        <v>16130700</v>
      </c>
      <c r="AP56" s="39">
        <v>132403000</v>
      </c>
      <c r="AQ56" s="40">
        <v>2591000</v>
      </c>
      <c r="AR56" s="18">
        <f>AS56-SEPTIEMBRE!AS56</f>
        <v>13539700</v>
      </c>
      <c r="AS56" s="111">
        <v>129812000</v>
      </c>
      <c r="AT56" s="39">
        <f t="shared" si="24"/>
        <v>132403000</v>
      </c>
      <c r="AU56" s="18">
        <f t="shared" si="25"/>
        <v>130096998</v>
      </c>
      <c r="AV56" s="34">
        <f t="shared" si="26"/>
        <v>0</v>
      </c>
      <c r="AW56" s="34">
        <f t="shared" si="27"/>
        <v>0</v>
      </c>
      <c r="AX56" s="32">
        <f t="shared" si="20"/>
        <v>0.50439238479537052</v>
      </c>
    </row>
    <row r="57" spans="1:50" ht="26.25" customHeight="1" x14ac:dyDescent="0.2">
      <c r="A57" s="35" t="s">
        <v>55</v>
      </c>
      <c r="B57" s="36" t="s">
        <v>56</v>
      </c>
      <c r="C57" s="36"/>
      <c r="D57" s="36" t="s">
        <v>40</v>
      </c>
      <c r="E57" s="36"/>
      <c r="F57" s="36"/>
      <c r="G57" s="36" t="s">
        <v>41</v>
      </c>
      <c r="H57" s="36"/>
      <c r="I57" s="36" t="s">
        <v>941</v>
      </c>
      <c r="J57" s="36"/>
      <c r="K57" s="36" t="s">
        <v>932</v>
      </c>
      <c r="L57" s="36"/>
      <c r="M57" s="36" t="s">
        <v>933</v>
      </c>
      <c r="N57" s="36"/>
      <c r="O57" s="36" t="s">
        <v>938</v>
      </c>
      <c r="P57" s="36"/>
      <c r="Q57" s="36" t="s">
        <v>939</v>
      </c>
      <c r="R57" s="36"/>
      <c r="S57" s="36" t="s">
        <v>940</v>
      </c>
      <c r="T57" s="36">
        <v>0</v>
      </c>
      <c r="U57" s="36">
        <v>0</v>
      </c>
      <c r="V57" s="36">
        <v>0</v>
      </c>
      <c r="W57" s="36">
        <v>0</v>
      </c>
      <c r="X57" s="36" t="s">
        <v>937</v>
      </c>
      <c r="Y57" s="36"/>
      <c r="Z57" s="36"/>
      <c r="AA57" s="37" t="s">
        <v>126</v>
      </c>
      <c r="AB57" s="38" t="s">
        <v>127</v>
      </c>
      <c r="AC57" s="38" t="s">
        <v>61</v>
      </c>
      <c r="AD57" s="39">
        <v>8515531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39">
        <v>8515531</v>
      </c>
      <c r="AK57" s="40">
        <v>0</v>
      </c>
      <c r="AL57" s="18">
        <v>141400</v>
      </c>
      <c r="AM57" s="39">
        <v>5494600</v>
      </c>
      <c r="AN57" s="40">
        <v>0</v>
      </c>
      <c r="AO57" s="18">
        <v>141400</v>
      </c>
      <c r="AP57" s="39">
        <v>5494600</v>
      </c>
      <c r="AQ57" s="40">
        <v>0</v>
      </c>
      <c r="AR57" s="18">
        <f>AS57-SEPTIEMBRE!AS57</f>
        <v>141400</v>
      </c>
      <c r="AS57" s="39">
        <v>5494600</v>
      </c>
      <c r="AT57" s="39">
        <f t="shared" si="24"/>
        <v>5494600</v>
      </c>
      <c r="AU57" s="18">
        <f t="shared" si="25"/>
        <v>3020931</v>
      </c>
      <c r="AV57" s="34">
        <f t="shared" si="26"/>
        <v>0</v>
      </c>
      <c r="AW57" s="34">
        <f t="shared" si="27"/>
        <v>0</v>
      </c>
      <c r="AX57" s="32">
        <f t="shared" si="20"/>
        <v>0.64524455374538592</v>
      </c>
    </row>
    <row r="58" spans="1:50" ht="18.75" customHeight="1" x14ac:dyDescent="0.2">
      <c r="A58" s="27" t="s">
        <v>49</v>
      </c>
      <c r="B58" s="27" t="s">
        <v>50</v>
      </c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8" t="s">
        <v>128</v>
      </c>
      <c r="AB58" s="29" t="s">
        <v>129</v>
      </c>
      <c r="AC58" s="30" t="s">
        <v>37</v>
      </c>
      <c r="AD58" s="30">
        <f>AD59+AD60</f>
        <v>865645548</v>
      </c>
      <c r="AE58" s="31">
        <f t="shared" ref="AE58:AS58" si="32">AE59+AE60</f>
        <v>0</v>
      </c>
      <c r="AF58" s="31">
        <f t="shared" si="32"/>
        <v>0</v>
      </c>
      <c r="AG58" s="30">
        <f t="shared" si="32"/>
        <v>513772</v>
      </c>
      <c r="AH58" s="30">
        <f t="shared" si="32"/>
        <v>100000000</v>
      </c>
      <c r="AI58" s="30">
        <f t="shared" si="32"/>
        <v>-99486228</v>
      </c>
      <c r="AJ58" s="30">
        <f t="shared" si="32"/>
        <v>766159320</v>
      </c>
      <c r="AK58" s="31">
        <f t="shared" si="32"/>
        <v>0</v>
      </c>
      <c r="AL58" s="30">
        <f t="shared" si="32"/>
        <v>62494200</v>
      </c>
      <c r="AM58" s="30">
        <f t="shared" si="32"/>
        <v>500130800</v>
      </c>
      <c r="AN58" s="31">
        <f t="shared" si="32"/>
        <v>0</v>
      </c>
      <c r="AO58" s="30">
        <f t="shared" si="32"/>
        <v>62494200</v>
      </c>
      <c r="AP58" s="30">
        <f t="shared" si="32"/>
        <v>500130800</v>
      </c>
      <c r="AQ58" s="31">
        <f t="shared" si="32"/>
        <v>10507400</v>
      </c>
      <c r="AR58" s="30">
        <f t="shared" si="32"/>
        <v>51986800</v>
      </c>
      <c r="AS58" s="30">
        <f t="shared" si="32"/>
        <v>489623400</v>
      </c>
      <c r="AT58" s="30">
        <f t="shared" si="24"/>
        <v>500130800</v>
      </c>
      <c r="AU58" s="176">
        <f t="shared" si="25"/>
        <v>266028520</v>
      </c>
      <c r="AV58" s="34">
        <f t="shared" si="26"/>
        <v>0</v>
      </c>
      <c r="AW58" s="34">
        <f t="shared" si="27"/>
        <v>0</v>
      </c>
      <c r="AX58" s="32">
        <f t="shared" si="20"/>
        <v>0.65277650084580319</v>
      </c>
    </row>
    <row r="59" spans="1:50" ht="18.75" customHeight="1" x14ac:dyDescent="0.2">
      <c r="A59" s="14" t="s">
        <v>55</v>
      </c>
      <c r="B59" s="15" t="s">
        <v>56</v>
      </c>
      <c r="C59" s="15"/>
      <c r="D59" s="15" t="s">
        <v>40</v>
      </c>
      <c r="E59" s="15"/>
      <c r="F59" s="15"/>
      <c r="G59" s="15" t="s">
        <v>41</v>
      </c>
      <c r="H59" s="15"/>
      <c r="I59" s="15" t="s">
        <v>936</v>
      </c>
      <c r="J59" s="15"/>
      <c r="K59" s="15" t="s">
        <v>932</v>
      </c>
      <c r="L59" s="15"/>
      <c r="M59" s="15" t="s">
        <v>933</v>
      </c>
      <c r="N59" s="15"/>
      <c r="O59" s="15" t="s">
        <v>938</v>
      </c>
      <c r="P59" s="15"/>
      <c r="Q59" s="15" t="s">
        <v>939</v>
      </c>
      <c r="R59" s="15"/>
      <c r="S59" s="15" t="s">
        <v>940</v>
      </c>
      <c r="T59" s="15">
        <v>0</v>
      </c>
      <c r="U59" s="15">
        <v>0</v>
      </c>
      <c r="V59" s="15">
        <v>0</v>
      </c>
      <c r="W59" s="15">
        <v>0</v>
      </c>
      <c r="X59" s="15" t="s">
        <v>937</v>
      </c>
      <c r="Y59" s="15"/>
      <c r="Z59" s="15"/>
      <c r="AA59" s="16" t="s">
        <v>130</v>
      </c>
      <c r="AB59" s="17" t="s">
        <v>129</v>
      </c>
      <c r="AC59" s="17" t="s">
        <v>58</v>
      </c>
      <c r="AD59" s="18">
        <v>816733820</v>
      </c>
      <c r="AE59" s="34">
        <v>0</v>
      </c>
      <c r="AF59" s="34">
        <v>0</v>
      </c>
      <c r="AG59" s="18">
        <v>0</v>
      </c>
      <c r="AH59" s="18">
        <v>100000000</v>
      </c>
      <c r="AI59" s="18">
        <f>AE59-AF59+AG59-AH59</f>
        <v>-100000000</v>
      </c>
      <c r="AJ59" s="18">
        <f>AD59+AI59</f>
        <v>716733820</v>
      </c>
      <c r="AK59" s="34">
        <v>0</v>
      </c>
      <c r="AL59" s="18">
        <v>61604200</v>
      </c>
      <c r="AM59" s="18">
        <v>465012100</v>
      </c>
      <c r="AN59" s="34">
        <v>0</v>
      </c>
      <c r="AO59" s="18">
        <v>61604200</v>
      </c>
      <c r="AP59" s="18">
        <v>465012100</v>
      </c>
      <c r="AQ59" s="34">
        <v>10507400</v>
      </c>
      <c r="AR59" s="18">
        <f>AS59-SEPTIEMBRE!AS59</f>
        <v>51096800</v>
      </c>
      <c r="AS59" s="18">
        <v>454504700</v>
      </c>
      <c r="AT59" s="39">
        <f t="shared" si="24"/>
        <v>465012100</v>
      </c>
      <c r="AU59" s="18">
        <f t="shared" si="25"/>
        <v>251721720</v>
      </c>
      <c r="AV59" s="34">
        <f t="shared" si="26"/>
        <v>0</v>
      </c>
      <c r="AW59" s="34">
        <f t="shared" si="27"/>
        <v>0</v>
      </c>
      <c r="AX59" s="32">
        <f t="shared" si="20"/>
        <v>0.64879329958226328</v>
      </c>
    </row>
    <row r="60" spans="1:50" ht="18.75" customHeight="1" x14ac:dyDescent="0.2">
      <c r="A60" s="14" t="s">
        <v>55</v>
      </c>
      <c r="B60" s="15" t="s">
        <v>56</v>
      </c>
      <c r="C60" s="15"/>
      <c r="D60" s="15" t="s">
        <v>40</v>
      </c>
      <c r="E60" s="15"/>
      <c r="F60" s="15"/>
      <c r="G60" s="15" t="s">
        <v>41</v>
      </c>
      <c r="H60" s="15"/>
      <c r="I60" s="15" t="s">
        <v>941</v>
      </c>
      <c r="J60" s="15"/>
      <c r="K60" s="15" t="s">
        <v>932</v>
      </c>
      <c r="L60" s="15"/>
      <c r="M60" s="15" t="s">
        <v>933</v>
      </c>
      <c r="N60" s="15"/>
      <c r="O60" s="15" t="s">
        <v>938</v>
      </c>
      <c r="P60" s="15"/>
      <c r="Q60" s="15" t="s">
        <v>939</v>
      </c>
      <c r="R60" s="15"/>
      <c r="S60" s="15" t="s">
        <v>940</v>
      </c>
      <c r="T60" s="15">
        <v>0</v>
      </c>
      <c r="U60" s="15">
        <v>0</v>
      </c>
      <c r="V60" s="15">
        <v>0</v>
      </c>
      <c r="W60" s="15">
        <v>0</v>
      </c>
      <c r="X60" s="15" t="s">
        <v>937</v>
      </c>
      <c r="Y60" s="15"/>
      <c r="Z60" s="15"/>
      <c r="AA60" s="16" t="s">
        <v>131</v>
      </c>
      <c r="AB60" s="17" t="s">
        <v>129</v>
      </c>
      <c r="AC60" s="17" t="s">
        <v>61</v>
      </c>
      <c r="AD60" s="18">
        <v>48911728</v>
      </c>
      <c r="AE60" s="34">
        <v>0</v>
      </c>
      <c r="AF60" s="34">
        <v>0</v>
      </c>
      <c r="AG60" s="18">
        <v>513772</v>
      </c>
      <c r="AH60" s="34">
        <v>0</v>
      </c>
      <c r="AI60" s="18">
        <f>AE60-AF60+AG60-AH60</f>
        <v>513772</v>
      </c>
      <c r="AJ60" s="18">
        <f>AD60+AI60</f>
        <v>49425500</v>
      </c>
      <c r="AK60" s="34">
        <v>0</v>
      </c>
      <c r="AL60" s="18">
        <v>890000</v>
      </c>
      <c r="AM60" s="18">
        <v>35118700</v>
      </c>
      <c r="AN60" s="34">
        <v>0</v>
      </c>
      <c r="AO60" s="18">
        <v>890000</v>
      </c>
      <c r="AP60" s="18">
        <v>35118700</v>
      </c>
      <c r="AQ60" s="34">
        <v>0</v>
      </c>
      <c r="AR60" s="18">
        <f>AS60-SEPTIEMBRE!AS60</f>
        <v>890000</v>
      </c>
      <c r="AS60" s="192">
        <v>35118700</v>
      </c>
      <c r="AT60" s="39">
        <f t="shared" si="24"/>
        <v>35118700</v>
      </c>
      <c r="AU60" s="18">
        <f t="shared" si="25"/>
        <v>14306800</v>
      </c>
      <c r="AV60" s="34">
        <f t="shared" si="26"/>
        <v>0</v>
      </c>
      <c r="AW60" s="34">
        <f t="shared" si="27"/>
        <v>0</v>
      </c>
      <c r="AX60" s="32">
        <f t="shared" si="20"/>
        <v>0.71053808256871454</v>
      </c>
    </row>
    <row r="61" spans="1:50" ht="18.75" customHeight="1" x14ac:dyDescent="0.2">
      <c r="A61" s="27" t="s">
        <v>49</v>
      </c>
      <c r="B61" s="27" t="s">
        <v>50</v>
      </c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8" t="s">
        <v>132</v>
      </c>
      <c r="AB61" s="29" t="s">
        <v>133</v>
      </c>
      <c r="AC61" s="30" t="s">
        <v>37</v>
      </c>
      <c r="AD61" s="30">
        <f>AD62+AD63</f>
        <v>144274257</v>
      </c>
      <c r="AE61" s="31">
        <f t="shared" ref="AE61:AS61" si="33">AE62+AE63</f>
        <v>0</v>
      </c>
      <c r="AF61" s="31">
        <f t="shared" si="33"/>
        <v>0</v>
      </c>
      <c r="AG61" s="31">
        <f t="shared" si="33"/>
        <v>96246</v>
      </c>
      <c r="AH61" s="30">
        <f t="shared" si="33"/>
        <v>20000000</v>
      </c>
      <c r="AI61" s="30">
        <f t="shared" si="33"/>
        <v>-19903754</v>
      </c>
      <c r="AJ61" s="30">
        <f t="shared" si="33"/>
        <v>124370503</v>
      </c>
      <c r="AK61" s="31">
        <f t="shared" si="33"/>
        <v>0</v>
      </c>
      <c r="AL61" s="30">
        <f t="shared" si="33"/>
        <v>10415900</v>
      </c>
      <c r="AM61" s="30">
        <f t="shared" si="33"/>
        <v>83492100</v>
      </c>
      <c r="AN61" s="31">
        <f t="shared" si="33"/>
        <v>0</v>
      </c>
      <c r="AO61" s="30">
        <f t="shared" si="33"/>
        <v>10415900</v>
      </c>
      <c r="AP61" s="30">
        <f t="shared" si="33"/>
        <v>83492100</v>
      </c>
      <c r="AQ61" s="31">
        <f t="shared" si="33"/>
        <v>1739600</v>
      </c>
      <c r="AR61" s="30">
        <f t="shared" si="33"/>
        <v>8676300</v>
      </c>
      <c r="AS61" s="30">
        <f t="shared" si="33"/>
        <v>81752500</v>
      </c>
      <c r="AT61" s="30">
        <f t="shared" si="24"/>
        <v>83492100</v>
      </c>
      <c r="AU61" s="176">
        <f t="shared" si="25"/>
        <v>40878403</v>
      </c>
      <c r="AV61" s="34">
        <f t="shared" si="26"/>
        <v>0</v>
      </c>
      <c r="AW61" s="34">
        <f t="shared" si="27"/>
        <v>0</v>
      </c>
      <c r="AX61" s="32">
        <f t="shared" si="20"/>
        <v>0.67131753901485791</v>
      </c>
    </row>
    <row r="62" spans="1:50" ht="18.75" customHeight="1" x14ac:dyDescent="0.2">
      <c r="A62" s="14" t="s">
        <v>55</v>
      </c>
      <c r="B62" s="15" t="s">
        <v>56</v>
      </c>
      <c r="C62" s="15"/>
      <c r="D62" s="15" t="s">
        <v>40</v>
      </c>
      <c r="E62" s="15"/>
      <c r="F62" s="15"/>
      <c r="G62" s="15" t="s">
        <v>41</v>
      </c>
      <c r="H62" s="15"/>
      <c r="I62" s="15" t="s">
        <v>936</v>
      </c>
      <c r="J62" s="15"/>
      <c r="K62" s="15" t="s">
        <v>932</v>
      </c>
      <c r="L62" s="15"/>
      <c r="M62" s="15" t="s">
        <v>933</v>
      </c>
      <c r="N62" s="15"/>
      <c r="O62" s="15" t="s">
        <v>938</v>
      </c>
      <c r="P62" s="15"/>
      <c r="Q62" s="15" t="s">
        <v>939</v>
      </c>
      <c r="R62" s="15"/>
      <c r="S62" s="15" t="s">
        <v>940</v>
      </c>
      <c r="T62" s="15">
        <v>0</v>
      </c>
      <c r="U62" s="15">
        <v>0</v>
      </c>
      <c r="V62" s="15">
        <v>0</v>
      </c>
      <c r="W62" s="15">
        <v>0</v>
      </c>
      <c r="X62" s="15" t="s">
        <v>937</v>
      </c>
      <c r="Y62" s="15"/>
      <c r="Z62" s="15"/>
      <c r="AA62" s="16" t="s">
        <v>134</v>
      </c>
      <c r="AB62" s="17" t="s">
        <v>133</v>
      </c>
      <c r="AC62" s="17" t="s">
        <v>58</v>
      </c>
      <c r="AD62" s="18">
        <v>136122303</v>
      </c>
      <c r="AE62" s="34">
        <v>0</v>
      </c>
      <c r="AF62" s="34">
        <v>0</v>
      </c>
      <c r="AG62" s="34">
        <v>0</v>
      </c>
      <c r="AH62" s="18">
        <v>20000000</v>
      </c>
      <c r="AI62" s="18">
        <f>AE62-AF62+AG62-AH62</f>
        <v>-20000000</v>
      </c>
      <c r="AJ62" s="18">
        <f>AD62+AI62</f>
        <v>116122303</v>
      </c>
      <c r="AK62" s="34">
        <v>0</v>
      </c>
      <c r="AL62" s="18">
        <v>10269200</v>
      </c>
      <c r="AM62" s="18">
        <v>77633400</v>
      </c>
      <c r="AN62" s="34">
        <v>0</v>
      </c>
      <c r="AO62" s="18">
        <v>10269200</v>
      </c>
      <c r="AP62" s="18">
        <v>77633400</v>
      </c>
      <c r="AQ62" s="34">
        <v>1739600</v>
      </c>
      <c r="AR62" s="18">
        <f>AS62-SEPTIEMBRE!AS62</f>
        <v>8529600</v>
      </c>
      <c r="AS62" s="18">
        <v>75893800</v>
      </c>
      <c r="AT62" s="39">
        <f t="shared" si="24"/>
        <v>77633400</v>
      </c>
      <c r="AU62" s="18">
        <f t="shared" si="25"/>
        <v>38488903</v>
      </c>
      <c r="AV62" s="34">
        <f t="shared" si="26"/>
        <v>0</v>
      </c>
      <c r="AW62" s="34">
        <f t="shared" si="27"/>
        <v>0</v>
      </c>
      <c r="AX62" s="32">
        <f t="shared" si="20"/>
        <v>0.66854857330895345</v>
      </c>
    </row>
    <row r="63" spans="1:50" ht="18.75" customHeight="1" x14ac:dyDescent="0.2">
      <c r="A63" s="14" t="s">
        <v>55</v>
      </c>
      <c r="B63" s="15" t="s">
        <v>56</v>
      </c>
      <c r="C63" s="15"/>
      <c r="D63" s="15" t="s">
        <v>40</v>
      </c>
      <c r="E63" s="15"/>
      <c r="F63" s="15"/>
      <c r="G63" s="15" t="s">
        <v>41</v>
      </c>
      <c r="H63" s="15"/>
      <c r="I63" s="15" t="s">
        <v>941</v>
      </c>
      <c r="J63" s="15"/>
      <c r="K63" s="15" t="s">
        <v>932</v>
      </c>
      <c r="L63" s="15"/>
      <c r="M63" s="15" t="s">
        <v>933</v>
      </c>
      <c r="N63" s="15"/>
      <c r="O63" s="15" t="s">
        <v>938</v>
      </c>
      <c r="P63" s="15"/>
      <c r="Q63" s="15" t="s">
        <v>939</v>
      </c>
      <c r="R63" s="15"/>
      <c r="S63" s="15" t="s">
        <v>940</v>
      </c>
      <c r="T63" s="15">
        <v>0</v>
      </c>
      <c r="U63" s="15">
        <v>0</v>
      </c>
      <c r="V63" s="15">
        <v>0</v>
      </c>
      <c r="W63" s="15">
        <v>0</v>
      </c>
      <c r="X63" s="15" t="s">
        <v>937</v>
      </c>
      <c r="Y63" s="15"/>
      <c r="Z63" s="15"/>
      <c r="AA63" s="16" t="s">
        <v>135</v>
      </c>
      <c r="AB63" s="17" t="s">
        <v>136</v>
      </c>
      <c r="AC63" s="17" t="s">
        <v>61</v>
      </c>
      <c r="AD63" s="18">
        <v>8151954</v>
      </c>
      <c r="AE63" s="34">
        <v>0</v>
      </c>
      <c r="AF63" s="34">
        <v>0</v>
      </c>
      <c r="AG63" s="18">
        <v>96246</v>
      </c>
      <c r="AH63" s="34">
        <v>0</v>
      </c>
      <c r="AI63" s="18">
        <f>AE63-AF63+AG63-AH63</f>
        <v>96246</v>
      </c>
      <c r="AJ63" s="18">
        <f>AD63+AI63</f>
        <v>8248200</v>
      </c>
      <c r="AK63" s="34">
        <v>0</v>
      </c>
      <c r="AL63" s="18">
        <v>146700</v>
      </c>
      <c r="AM63" s="18">
        <v>5858700</v>
      </c>
      <c r="AN63" s="34">
        <v>0</v>
      </c>
      <c r="AO63" s="18">
        <v>146700</v>
      </c>
      <c r="AP63" s="18">
        <v>5858700</v>
      </c>
      <c r="AQ63" s="34">
        <v>0</v>
      </c>
      <c r="AR63" s="18">
        <f>AS63-SEPTIEMBRE!AS63</f>
        <v>146700</v>
      </c>
      <c r="AS63" s="18">
        <v>5858700</v>
      </c>
      <c r="AT63" s="39">
        <f t="shared" si="24"/>
        <v>5858700</v>
      </c>
      <c r="AU63" s="18">
        <f t="shared" si="25"/>
        <v>2389500</v>
      </c>
      <c r="AV63" s="34">
        <f t="shared" si="26"/>
        <v>0</v>
      </c>
      <c r="AW63" s="34">
        <f t="shared" si="27"/>
        <v>0</v>
      </c>
      <c r="AX63" s="32">
        <f t="shared" si="20"/>
        <v>0.71030042918454939</v>
      </c>
    </row>
    <row r="64" spans="1:50" ht="18.75" customHeight="1" x14ac:dyDescent="0.2">
      <c r="A64" s="27" t="s">
        <v>49</v>
      </c>
      <c r="B64" s="27" t="s">
        <v>50</v>
      </c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8" t="s">
        <v>137</v>
      </c>
      <c r="AB64" s="29" t="s">
        <v>138</v>
      </c>
      <c r="AC64" s="30" t="s">
        <v>37</v>
      </c>
      <c r="AD64" s="30">
        <f>AD65+AD66</f>
        <v>144274257</v>
      </c>
      <c r="AE64" s="31">
        <f t="shared" ref="AE64:AS64" si="34">AE65+AE66</f>
        <v>0</v>
      </c>
      <c r="AF64" s="31">
        <f t="shared" si="34"/>
        <v>0</v>
      </c>
      <c r="AG64" s="31">
        <f t="shared" si="34"/>
        <v>96246</v>
      </c>
      <c r="AH64" s="31">
        <f t="shared" si="34"/>
        <v>0</v>
      </c>
      <c r="AI64" s="31">
        <f t="shared" si="34"/>
        <v>96246</v>
      </c>
      <c r="AJ64" s="30">
        <f t="shared" si="34"/>
        <v>144370503</v>
      </c>
      <c r="AK64" s="31">
        <f t="shared" si="34"/>
        <v>0</v>
      </c>
      <c r="AL64" s="30">
        <f t="shared" si="34"/>
        <v>10416700</v>
      </c>
      <c r="AM64" s="30">
        <f t="shared" si="34"/>
        <v>83492900</v>
      </c>
      <c r="AN64" s="31">
        <f t="shared" si="34"/>
        <v>0</v>
      </c>
      <c r="AO64" s="30">
        <f t="shared" si="34"/>
        <v>10416700</v>
      </c>
      <c r="AP64" s="30">
        <f t="shared" si="34"/>
        <v>83492900</v>
      </c>
      <c r="AQ64" s="31">
        <f t="shared" si="34"/>
        <v>1739600</v>
      </c>
      <c r="AR64" s="30">
        <f t="shared" si="34"/>
        <v>8677100</v>
      </c>
      <c r="AS64" s="30">
        <f t="shared" si="34"/>
        <v>81753300</v>
      </c>
      <c r="AT64" s="30">
        <f t="shared" si="24"/>
        <v>83492900</v>
      </c>
      <c r="AU64" s="83">
        <f t="shared" si="25"/>
        <v>60877603</v>
      </c>
      <c r="AV64" s="34">
        <f t="shared" si="26"/>
        <v>0</v>
      </c>
      <c r="AW64" s="34">
        <f t="shared" si="27"/>
        <v>0</v>
      </c>
      <c r="AX64" s="32">
        <f t="shared" si="20"/>
        <v>0.57832381452601855</v>
      </c>
    </row>
    <row r="65" spans="1:50" ht="18.75" customHeight="1" x14ac:dyDescent="0.2">
      <c r="A65" s="14" t="s">
        <v>55</v>
      </c>
      <c r="B65" s="15" t="s">
        <v>56</v>
      </c>
      <c r="C65" s="15"/>
      <c r="D65" s="15" t="s">
        <v>40</v>
      </c>
      <c r="E65" s="15"/>
      <c r="F65" s="15"/>
      <c r="G65" s="15" t="s">
        <v>41</v>
      </c>
      <c r="H65" s="15"/>
      <c r="I65" s="15" t="s">
        <v>936</v>
      </c>
      <c r="J65" s="15"/>
      <c r="K65" s="15" t="s">
        <v>932</v>
      </c>
      <c r="L65" s="15"/>
      <c r="M65" s="15" t="s">
        <v>933</v>
      </c>
      <c r="N65" s="15"/>
      <c r="O65" s="15" t="s">
        <v>938</v>
      </c>
      <c r="P65" s="15"/>
      <c r="Q65" s="15" t="s">
        <v>939</v>
      </c>
      <c r="R65" s="15"/>
      <c r="S65" s="15" t="s">
        <v>940</v>
      </c>
      <c r="T65" s="15">
        <v>0</v>
      </c>
      <c r="U65" s="15">
        <v>0</v>
      </c>
      <c r="V65" s="15">
        <v>0</v>
      </c>
      <c r="W65" s="15">
        <v>0</v>
      </c>
      <c r="X65" s="15" t="s">
        <v>937</v>
      </c>
      <c r="Y65" s="15"/>
      <c r="Z65" s="15"/>
      <c r="AA65" s="16" t="s">
        <v>139</v>
      </c>
      <c r="AB65" s="17" t="s">
        <v>138</v>
      </c>
      <c r="AC65" s="17" t="s">
        <v>58</v>
      </c>
      <c r="AD65" s="18">
        <v>136122303</v>
      </c>
      <c r="AE65" s="34">
        <v>0</v>
      </c>
      <c r="AF65" s="34">
        <v>0</v>
      </c>
      <c r="AG65" s="34">
        <v>0</v>
      </c>
      <c r="AH65" s="34">
        <v>0</v>
      </c>
      <c r="AI65" s="34">
        <v>0</v>
      </c>
      <c r="AJ65" s="18">
        <v>136122303</v>
      </c>
      <c r="AK65" s="34">
        <v>0</v>
      </c>
      <c r="AL65" s="18">
        <v>10270000</v>
      </c>
      <c r="AM65" s="18">
        <v>77634200</v>
      </c>
      <c r="AN65" s="34">
        <v>0</v>
      </c>
      <c r="AO65" s="18">
        <v>10270000</v>
      </c>
      <c r="AP65" s="18">
        <v>77634200</v>
      </c>
      <c r="AQ65" s="34">
        <v>1739600</v>
      </c>
      <c r="AR65" s="18">
        <f>AS65-SEPTIEMBRE!AS65</f>
        <v>8530400</v>
      </c>
      <c r="AS65" s="18">
        <v>75894600</v>
      </c>
      <c r="AT65" s="39">
        <f t="shared" si="24"/>
        <v>77634200</v>
      </c>
      <c r="AU65" s="18">
        <f t="shared" si="25"/>
        <v>58488103</v>
      </c>
      <c r="AV65" s="34">
        <f t="shared" si="26"/>
        <v>0</v>
      </c>
      <c r="AW65" s="34">
        <f t="shared" si="27"/>
        <v>0</v>
      </c>
      <c r="AX65" s="32">
        <f t="shared" si="20"/>
        <v>0.57032681852289846</v>
      </c>
    </row>
    <row r="66" spans="1:50" ht="18.75" customHeight="1" x14ac:dyDescent="0.2">
      <c r="A66" s="14" t="s">
        <v>55</v>
      </c>
      <c r="B66" s="15" t="s">
        <v>56</v>
      </c>
      <c r="C66" s="15"/>
      <c r="D66" s="15" t="s">
        <v>40</v>
      </c>
      <c r="E66" s="15"/>
      <c r="F66" s="15"/>
      <c r="G66" s="15" t="s">
        <v>41</v>
      </c>
      <c r="H66" s="15"/>
      <c r="I66" s="15" t="s">
        <v>941</v>
      </c>
      <c r="J66" s="15"/>
      <c r="K66" s="15" t="s">
        <v>932</v>
      </c>
      <c r="L66" s="15"/>
      <c r="M66" s="15" t="s">
        <v>933</v>
      </c>
      <c r="N66" s="15"/>
      <c r="O66" s="15" t="s">
        <v>938</v>
      </c>
      <c r="P66" s="15"/>
      <c r="Q66" s="15" t="s">
        <v>939</v>
      </c>
      <c r="R66" s="15"/>
      <c r="S66" s="15" t="s">
        <v>940</v>
      </c>
      <c r="T66" s="15">
        <v>0</v>
      </c>
      <c r="U66" s="15">
        <v>0</v>
      </c>
      <c r="V66" s="15">
        <v>0</v>
      </c>
      <c r="W66" s="15">
        <v>0</v>
      </c>
      <c r="X66" s="15" t="s">
        <v>937</v>
      </c>
      <c r="Y66" s="15"/>
      <c r="Z66" s="15"/>
      <c r="AA66" s="16" t="s">
        <v>140</v>
      </c>
      <c r="AB66" s="17" t="s">
        <v>141</v>
      </c>
      <c r="AC66" s="17" t="s">
        <v>61</v>
      </c>
      <c r="AD66" s="18">
        <v>8151954</v>
      </c>
      <c r="AE66" s="34">
        <v>0</v>
      </c>
      <c r="AF66" s="34">
        <v>0</v>
      </c>
      <c r="AG66" s="18">
        <v>96246</v>
      </c>
      <c r="AH66" s="34">
        <v>0</v>
      </c>
      <c r="AI66" s="18">
        <f>AE66-AF66+AG66-AH66</f>
        <v>96246</v>
      </c>
      <c r="AJ66" s="18">
        <f>AD66+AI66</f>
        <v>8248200</v>
      </c>
      <c r="AK66" s="34">
        <v>0</v>
      </c>
      <c r="AL66" s="18">
        <v>146700</v>
      </c>
      <c r="AM66" s="18">
        <v>5858700</v>
      </c>
      <c r="AN66" s="34">
        <v>0</v>
      </c>
      <c r="AO66" s="18">
        <v>146700</v>
      </c>
      <c r="AP66" s="18">
        <v>5858700</v>
      </c>
      <c r="AQ66" s="34">
        <v>0</v>
      </c>
      <c r="AR66" s="18">
        <f>AS66-SEPTIEMBRE!AS66</f>
        <v>146700</v>
      </c>
      <c r="AS66" s="18">
        <v>5858700</v>
      </c>
      <c r="AT66" s="39">
        <f t="shared" si="24"/>
        <v>5858700</v>
      </c>
      <c r="AU66" s="18">
        <f t="shared" si="25"/>
        <v>2389500</v>
      </c>
      <c r="AV66" s="34">
        <f t="shared" si="26"/>
        <v>0</v>
      </c>
      <c r="AW66" s="34">
        <f t="shared" si="27"/>
        <v>0</v>
      </c>
      <c r="AX66" s="32">
        <f t="shared" si="20"/>
        <v>0.71030042918454939</v>
      </c>
    </row>
    <row r="67" spans="1:50" ht="18.75" customHeight="1" x14ac:dyDescent="0.2">
      <c r="A67" s="27" t="s">
        <v>55</v>
      </c>
      <c r="B67" s="27" t="s">
        <v>56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8" t="s">
        <v>142</v>
      </c>
      <c r="AB67" s="29" t="s">
        <v>143</v>
      </c>
      <c r="AC67" s="30" t="s">
        <v>37</v>
      </c>
      <c r="AD67" s="30">
        <f>AD68+AD69</f>
        <v>273762589</v>
      </c>
      <c r="AE67" s="31">
        <f t="shared" ref="AE67:AS67" si="35">AE68+AE69</f>
        <v>0</v>
      </c>
      <c r="AF67" s="31">
        <f t="shared" si="35"/>
        <v>0</v>
      </c>
      <c r="AG67" s="31">
        <f t="shared" si="35"/>
        <v>178791</v>
      </c>
      <c r="AH67" s="31">
        <f t="shared" si="35"/>
        <v>0</v>
      </c>
      <c r="AI67" s="31">
        <f t="shared" si="35"/>
        <v>178791</v>
      </c>
      <c r="AJ67" s="30">
        <f t="shared" si="35"/>
        <v>273941380</v>
      </c>
      <c r="AK67" s="31">
        <f t="shared" si="35"/>
        <v>0</v>
      </c>
      <c r="AL67" s="30">
        <f t="shared" si="35"/>
        <v>20811100</v>
      </c>
      <c r="AM67" s="30">
        <f t="shared" si="35"/>
        <v>166804200</v>
      </c>
      <c r="AN67" s="31">
        <f t="shared" si="35"/>
        <v>0</v>
      </c>
      <c r="AO67" s="30">
        <f t="shared" si="35"/>
        <v>20811100</v>
      </c>
      <c r="AP67" s="30">
        <f t="shared" si="35"/>
        <v>166804200</v>
      </c>
      <c r="AQ67" s="31">
        <f t="shared" si="35"/>
        <v>3477800</v>
      </c>
      <c r="AR67" s="30">
        <f t="shared" si="35"/>
        <v>17333300</v>
      </c>
      <c r="AS67" s="30">
        <f t="shared" si="35"/>
        <v>163326400</v>
      </c>
      <c r="AT67" s="30">
        <f t="shared" si="24"/>
        <v>166804200</v>
      </c>
      <c r="AU67" s="176">
        <f t="shared" si="25"/>
        <v>107137180</v>
      </c>
      <c r="AV67" s="34">
        <f t="shared" si="26"/>
        <v>0</v>
      </c>
      <c r="AW67" s="34">
        <f t="shared" si="27"/>
        <v>0</v>
      </c>
      <c r="AX67" s="32">
        <f t="shared" si="20"/>
        <v>0.60890472260890272</v>
      </c>
    </row>
    <row r="68" spans="1:50" ht="27" customHeight="1" x14ac:dyDescent="0.2">
      <c r="A68" s="35" t="s">
        <v>55</v>
      </c>
      <c r="B68" s="36" t="s">
        <v>56</v>
      </c>
      <c r="C68" s="36"/>
      <c r="D68" s="36" t="s">
        <v>40</v>
      </c>
      <c r="E68" s="36"/>
      <c r="F68" s="36"/>
      <c r="G68" s="36" t="s">
        <v>41</v>
      </c>
      <c r="H68" s="36"/>
      <c r="I68" s="36" t="s">
        <v>936</v>
      </c>
      <c r="J68" s="36"/>
      <c r="K68" s="36" t="s">
        <v>932</v>
      </c>
      <c r="L68" s="36"/>
      <c r="M68" s="36" t="s">
        <v>933</v>
      </c>
      <c r="N68" s="36"/>
      <c r="O68" s="36" t="s">
        <v>938</v>
      </c>
      <c r="P68" s="36"/>
      <c r="Q68" s="36" t="s">
        <v>939</v>
      </c>
      <c r="R68" s="36"/>
      <c r="S68" s="36" t="s">
        <v>940</v>
      </c>
      <c r="T68" s="36">
        <v>0</v>
      </c>
      <c r="U68" s="36">
        <v>0</v>
      </c>
      <c r="V68" s="36">
        <v>0</v>
      </c>
      <c r="W68" s="36">
        <v>0</v>
      </c>
      <c r="X68" s="36" t="s">
        <v>937</v>
      </c>
      <c r="Y68" s="36"/>
      <c r="Z68" s="36"/>
      <c r="AA68" s="37" t="s">
        <v>144</v>
      </c>
      <c r="AB68" s="38" t="s">
        <v>145</v>
      </c>
      <c r="AC68" s="38" t="s">
        <v>58</v>
      </c>
      <c r="AD68" s="39">
        <v>257458680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  <c r="AJ68" s="39">
        <v>257458680</v>
      </c>
      <c r="AK68" s="40">
        <v>0</v>
      </c>
      <c r="AL68" s="18">
        <v>20520900</v>
      </c>
      <c r="AM68" s="39">
        <v>155099500</v>
      </c>
      <c r="AN68" s="40">
        <v>0</v>
      </c>
      <c r="AO68" s="18">
        <v>20520900</v>
      </c>
      <c r="AP68" s="39">
        <v>155099500</v>
      </c>
      <c r="AQ68" s="40">
        <v>3477800</v>
      </c>
      <c r="AR68" s="18">
        <f>AS68-SEPTIEMBRE!AS68</f>
        <v>17043100</v>
      </c>
      <c r="AS68" s="39">
        <v>151621700</v>
      </c>
      <c r="AT68" s="39">
        <f t="shared" si="24"/>
        <v>155099500</v>
      </c>
      <c r="AU68" s="18">
        <f t="shared" si="25"/>
        <v>102359180</v>
      </c>
      <c r="AV68" s="34">
        <f t="shared" si="26"/>
        <v>0</v>
      </c>
      <c r="AW68" s="34">
        <f t="shared" si="27"/>
        <v>0</v>
      </c>
      <c r="AX68" s="32">
        <f t="shared" si="20"/>
        <v>0.60242482405331998</v>
      </c>
    </row>
    <row r="69" spans="1:50" ht="31.5" customHeight="1" x14ac:dyDescent="0.2">
      <c r="A69" s="14" t="s">
        <v>55</v>
      </c>
      <c r="B69" s="15" t="s">
        <v>56</v>
      </c>
      <c r="C69" s="15"/>
      <c r="D69" s="15" t="s">
        <v>40</v>
      </c>
      <c r="E69" s="15"/>
      <c r="F69" s="15"/>
      <c r="G69" s="15" t="s">
        <v>41</v>
      </c>
      <c r="H69" s="15"/>
      <c r="I69" s="15" t="s">
        <v>941</v>
      </c>
      <c r="J69" s="15"/>
      <c r="K69" s="15" t="s">
        <v>932</v>
      </c>
      <c r="L69" s="15"/>
      <c r="M69" s="15" t="s">
        <v>933</v>
      </c>
      <c r="N69" s="15"/>
      <c r="O69" s="15" t="s">
        <v>938</v>
      </c>
      <c r="P69" s="15"/>
      <c r="Q69" s="15" t="s">
        <v>939</v>
      </c>
      <c r="R69" s="15"/>
      <c r="S69" s="15" t="s">
        <v>940</v>
      </c>
      <c r="T69" s="15">
        <v>0</v>
      </c>
      <c r="U69" s="15">
        <v>0</v>
      </c>
      <c r="V69" s="15">
        <v>0</v>
      </c>
      <c r="W69" s="15">
        <v>0</v>
      </c>
      <c r="X69" s="15" t="s">
        <v>937</v>
      </c>
      <c r="Y69" s="15"/>
      <c r="Z69" s="15"/>
      <c r="AA69" s="16" t="s">
        <v>146</v>
      </c>
      <c r="AB69" s="17" t="s">
        <v>147</v>
      </c>
      <c r="AC69" s="17" t="s">
        <v>61</v>
      </c>
      <c r="AD69" s="18">
        <v>16303909</v>
      </c>
      <c r="AE69" s="34">
        <v>0</v>
      </c>
      <c r="AF69" s="34">
        <v>0</v>
      </c>
      <c r="AG69" s="18">
        <v>178791</v>
      </c>
      <c r="AH69" s="34">
        <v>0</v>
      </c>
      <c r="AI69" s="18">
        <f>AE69-AF69+AG69-AH69</f>
        <v>178791</v>
      </c>
      <c r="AJ69" s="18">
        <f>AD69+AI69</f>
        <v>16482700</v>
      </c>
      <c r="AK69" s="34">
        <v>0</v>
      </c>
      <c r="AL69" s="18">
        <v>290200</v>
      </c>
      <c r="AM69" s="18">
        <v>11704700</v>
      </c>
      <c r="AN69" s="34">
        <v>0</v>
      </c>
      <c r="AO69" s="18">
        <v>290200</v>
      </c>
      <c r="AP69" s="18">
        <v>11704700</v>
      </c>
      <c r="AQ69" s="34">
        <v>0</v>
      </c>
      <c r="AR69" s="18">
        <f>AS69-SEPTIEMBRE!AS69</f>
        <v>290200</v>
      </c>
      <c r="AS69" s="18">
        <v>11704700</v>
      </c>
      <c r="AT69" s="39">
        <f t="shared" si="24"/>
        <v>11704700</v>
      </c>
      <c r="AU69" s="18">
        <f t="shared" si="25"/>
        <v>4778000</v>
      </c>
      <c r="AV69" s="34">
        <f t="shared" si="26"/>
        <v>0</v>
      </c>
      <c r="AW69" s="34">
        <f t="shared" si="27"/>
        <v>0</v>
      </c>
      <c r="AX69" s="32">
        <f t="shared" si="20"/>
        <v>0.71012030795925429</v>
      </c>
    </row>
    <row r="70" spans="1:50" s="25" customFormat="1" ht="18.75" customHeight="1" x14ac:dyDescent="0.2">
      <c r="A70" s="19" t="s">
        <v>49</v>
      </c>
      <c r="B70" s="19" t="s">
        <v>50</v>
      </c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26" t="s">
        <v>148</v>
      </c>
      <c r="AB70" s="21" t="s">
        <v>149</v>
      </c>
      <c r="AC70" s="22" t="s">
        <v>37</v>
      </c>
      <c r="AD70" s="22">
        <f>AD71+AD81+AD82+AD83+AD84+AD85</f>
        <v>2847587617</v>
      </c>
      <c r="AE70" s="23">
        <f t="shared" ref="AE70:AW70" si="36">AE71+AE81+AE82+AE83+AE84+AE85</f>
        <v>0</v>
      </c>
      <c r="AF70" s="23">
        <f t="shared" si="36"/>
        <v>0</v>
      </c>
      <c r="AG70" s="22">
        <f>AG71+AG81+AG82+AG83+AG84+AG85</f>
        <v>89698919</v>
      </c>
      <c r="AH70" s="22">
        <f>AH71+AH81+AH82+AH83+AH84+AH85</f>
        <v>312000000</v>
      </c>
      <c r="AI70" s="22">
        <f t="shared" si="36"/>
        <v>-222301081</v>
      </c>
      <c r="AJ70" s="22">
        <f>AJ71+AJ81+AJ82+AJ83+AJ84+AJ85</f>
        <v>2625286536</v>
      </c>
      <c r="AK70" s="23">
        <f t="shared" si="36"/>
        <v>0</v>
      </c>
      <c r="AL70" s="22">
        <f t="shared" si="36"/>
        <v>143897685</v>
      </c>
      <c r="AM70" s="22">
        <f t="shared" si="36"/>
        <v>1251718885</v>
      </c>
      <c r="AN70" s="23">
        <f t="shared" si="36"/>
        <v>0</v>
      </c>
      <c r="AO70" s="22">
        <f t="shared" si="36"/>
        <v>143897685</v>
      </c>
      <c r="AP70" s="22">
        <f t="shared" si="36"/>
        <v>1251718885</v>
      </c>
      <c r="AQ70" s="23">
        <f t="shared" si="36"/>
        <v>0</v>
      </c>
      <c r="AR70" s="22">
        <f t="shared" si="36"/>
        <v>159847346</v>
      </c>
      <c r="AS70" s="22">
        <f t="shared" si="36"/>
        <v>1214608952</v>
      </c>
      <c r="AT70" s="22">
        <f t="shared" si="36"/>
        <v>1214608952</v>
      </c>
      <c r="AU70" s="22">
        <f t="shared" si="36"/>
        <v>1373567651</v>
      </c>
      <c r="AV70" s="23">
        <f t="shared" si="36"/>
        <v>0</v>
      </c>
      <c r="AW70" s="22">
        <f t="shared" si="36"/>
        <v>37109933</v>
      </c>
      <c r="AX70" s="24">
        <f t="shared" si="20"/>
        <v>0.47679324440796966</v>
      </c>
    </row>
    <row r="71" spans="1:50" ht="18.75" customHeight="1" x14ac:dyDescent="0.2">
      <c r="A71" s="27" t="s">
        <v>49</v>
      </c>
      <c r="B71" s="27" t="s">
        <v>50</v>
      </c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8" t="s">
        <v>150</v>
      </c>
      <c r="AB71" s="29" t="s">
        <v>81</v>
      </c>
      <c r="AC71" s="30" t="s">
        <v>37</v>
      </c>
      <c r="AD71" s="30">
        <f>AD72+AD75+AD78</f>
        <v>2386452170</v>
      </c>
      <c r="AE71" s="31">
        <f t="shared" ref="AE71:AS71" si="37">AE72+AE75+AE78</f>
        <v>0</v>
      </c>
      <c r="AF71" s="31">
        <f t="shared" si="37"/>
        <v>0</v>
      </c>
      <c r="AG71" s="30">
        <f t="shared" si="37"/>
        <v>17698919</v>
      </c>
      <c r="AH71" s="30">
        <f t="shared" si="37"/>
        <v>312000000</v>
      </c>
      <c r="AI71" s="30">
        <f t="shared" si="37"/>
        <v>-294301081</v>
      </c>
      <c r="AJ71" s="30">
        <f t="shared" si="37"/>
        <v>2092151089</v>
      </c>
      <c r="AK71" s="31">
        <f t="shared" si="37"/>
        <v>0</v>
      </c>
      <c r="AL71" s="30">
        <f t="shared" si="37"/>
        <v>120710372</v>
      </c>
      <c r="AM71" s="30">
        <f t="shared" si="37"/>
        <v>869448054</v>
      </c>
      <c r="AN71" s="31">
        <f t="shared" si="37"/>
        <v>0</v>
      </c>
      <c r="AO71" s="30">
        <f t="shared" si="37"/>
        <v>120710372</v>
      </c>
      <c r="AP71" s="30">
        <f t="shared" si="37"/>
        <v>869448054</v>
      </c>
      <c r="AQ71" s="31">
        <f t="shared" si="37"/>
        <v>0</v>
      </c>
      <c r="AR71" s="30">
        <f t="shared" si="37"/>
        <v>136660033</v>
      </c>
      <c r="AS71" s="30">
        <f t="shared" si="37"/>
        <v>861245424</v>
      </c>
      <c r="AT71" s="30">
        <f t="shared" ref="AT71:AT93" si="38">AQ71+AS71</f>
        <v>861245424</v>
      </c>
      <c r="AU71" s="176">
        <f t="shared" ref="AU71:AU85" si="39">AJ71-AM71</f>
        <v>1222703035</v>
      </c>
      <c r="AV71" s="34">
        <f t="shared" ref="AV71:AV85" si="40">AM71-AP71</f>
        <v>0</v>
      </c>
      <c r="AW71" s="18">
        <f t="shared" ref="AW71:AW85" si="41">AP71-AT71</f>
        <v>8202630</v>
      </c>
      <c r="AX71" s="32">
        <f t="shared" si="20"/>
        <v>0.41557613050574477</v>
      </c>
    </row>
    <row r="72" spans="1:50" ht="18.75" customHeight="1" x14ac:dyDescent="0.2">
      <c r="A72" s="27" t="s">
        <v>49</v>
      </c>
      <c r="B72" s="27" t="s">
        <v>50</v>
      </c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8" t="s">
        <v>151</v>
      </c>
      <c r="AB72" s="29" t="s">
        <v>152</v>
      </c>
      <c r="AC72" s="30" t="s">
        <v>37</v>
      </c>
      <c r="AD72" s="30">
        <f>AD73+AD74</f>
        <v>1664997140</v>
      </c>
      <c r="AE72" s="31">
        <f t="shared" ref="AE72:AS72" si="42">AE73+AE74</f>
        <v>0</v>
      </c>
      <c r="AF72" s="31">
        <f t="shared" si="42"/>
        <v>0</v>
      </c>
      <c r="AG72" s="30">
        <f t="shared" si="42"/>
        <v>17698919</v>
      </c>
      <c r="AH72" s="31">
        <f t="shared" si="42"/>
        <v>0</v>
      </c>
      <c r="AI72" s="31">
        <f t="shared" si="42"/>
        <v>17698919</v>
      </c>
      <c r="AJ72" s="30">
        <f t="shared" si="42"/>
        <v>1682696059</v>
      </c>
      <c r="AK72" s="31">
        <f t="shared" si="42"/>
        <v>0</v>
      </c>
      <c r="AL72" s="30">
        <f t="shared" si="42"/>
        <v>91600010</v>
      </c>
      <c r="AM72" s="30">
        <f t="shared" si="42"/>
        <v>540920683</v>
      </c>
      <c r="AN72" s="31">
        <f t="shared" si="42"/>
        <v>0</v>
      </c>
      <c r="AO72" s="30">
        <f t="shared" si="42"/>
        <v>91600010</v>
      </c>
      <c r="AP72" s="30">
        <f t="shared" si="42"/>
        <v>540920683</v>
      </c>
      <c r="AQ72" s="31">
        <f t="shared" si="42"/>
        <v>0</v>
      </c>
      <c r="AR72" s="30">
        <f t="shared" si="42"/>
        <v>105951551</v>
      </c>
      <c r="AS72" s="30">
        <f t="shared" si="42"/>
        <v>532718053</v>
      </c>
      <c r="AT72" s="30">
        <f t="shared" si="38"/>
        <v>532718053</v>
      </c>
      <c r="AU72" s="176">
        <f t="shared" si="39"/>
        <v>1141775376</v>
      </c>
      <c r="AV72" s="34">
        <f t="shared" si="40"/>
        <v>0</v>
      </c>
      <c r="AW72" s="18">
        <f t="shared" si="41"/>
        <v>8202630</v>
      </c>
      <c r="AX72" s="32">
        <f t="shared" si="20"/>
        <v>0.32146071782057939</v>
      </c>
    </row>
    <row r="73" spans="1:50" ht="18.75" customHeight="1" x14ac:dyDescent="0.2">
      <c r="A73" s="14" t="s">
        <v>55</v>
      </c>
      <c r="B73" s="15" t="s">
        <v>56</v>
      </c>
      <c r="C73" s="15"/>
      <c r="D73" s="15" t="s">
        <v>40</v>
      </c>
      <c r="E73" s="15"/>
      <c r="F73" s="15"/>
      <c r="G73" s="15" t="s">
        <v>41</v>
      </c>
      <c r="H73" s="15"/>
      <c r="I73" s="15" t="s">
        <v>936</v>
      </c>
      <c r="J73" s="15"/>
      <c r="K73" s="15" t="s">
        <v>932</v>
      </c>
      <c r="L73" s="15"/>
      <c r="M73" s="15" t="s">
        <v>933</v>
      </c>
      <c r="N73" s="15"/>
      <c r="O73" s="15" t="s">
        <v>938</v>
      </c>
      <c r="P73" s="15"/>
      <c r="Q73" s="15" t="s">
        <v>939</v>
      </c>
      <c r="R73" s="15"/>
      <c r="S73" s="15" t="s">
        <v>940</v>
      </c>
      <c r="T73" s="15">
        <v>0</v>
      </c>
      <c r="U73" s="15">
        <v>0</v>
      </c>
      <c r="V73" s="15">
        <v>0</v>
      </c>
      <c r="W73" s="15">
        <v>0</v>
      </c>
      <c r="X73" s="15" t="s">
        <v>937</v>
      </c>
      <c r="Y73" s="15"/>
      <c r="Z73" s="15"/>
      <c r="AA73" s="16" t="s">
        <v>153</v>
      </c>
      <c r="AB73" s="17" t="s">
        <v>152</v>
      </c>
      <c r="AC73" s="17" t="s">
        <v>58</v>
      </c>
      <c r="AD73" s="18">
        <v>1564997140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18">
        <v>1564997140</v>
      </c>
      <c r="AK73" s="34">
        <v>0</v>
      </c>
      <c r="AL73" s="18">
        <v>90709444</v>
      </c>
      <c r="AM73" s="18">
        <v>480455620</v>
      </c>
      <c r="AN73" s="34">
        <v>0</v>
      </c>
      <c r="AO73" s="18">
        <v>90709444</v>
      </c>
      <c r="AP73" s="18">
        <v>480455620</v>
      </c>
      <c r="AQ73" s="34">
        <v>0</v>
      </c>
      <c r="AR73" s="43">
        <f>AS73-SEPTIEMBRE!AS73</f>
        <v>86444057</v>
      </c>
      <c r="AS73" s="18">
        <v>472252990</v>
      </c>
      <c r="AT73" s="39">
        <f t="shared" si="38"/>
        <v>472252990</v>
      </c>
      <c r="AU73" s="18">
        <f t="shared" si="39"/>
        <v>1084541520</v>
      </c>
      <c r="AV73" s="34">
        <f t="shared" si="40"/>
        <v>0</v>
      </c>
      <c r="AW73" s="18">
        <f t="shared" si="41"/>
        <v>8202630</v>
      </c>
      <c r="AX73" s="32">
        <f t="shared" si="20"/>
        <v>0.30700095720302722</v>
      </c>
    </row>
    <row r="74" spans="1:50" ht="18.75" customHeight="1" x14ac:dyDescent="0.2">
      <c r="A74" s="35" t="s">
        <v>55</v>
      </c>
      <c r="B74" s="36" t="s">
        <v>56</v>
      </c>
      <c r="C74" s="36"/>
      <c r="D74" s="36" t="s">
        <v>40</v>
      </c>
      <c r="E74" s="36"/>
      <c r="F74" s="36"/>
      <c r="G74" s="36" t="s">
        <v>41</v>
      </c>
      <c r="H74" s="36"/>
      <c r="I74" s="36" t="s">
        <v>941</v>
      </c>
      <c r="J74" s="36"/>
      <c r="K74" s="36" t="s">
        <v>932</v>
      </c>
      <c r="L74" s="36"/>
      <c r="M74" s="36" t="s">
        <v>933</v>
      </c>
      <c r="N74" s="36"/>
      <c r="O74" s="36" t="s">
        <v>938</v>
      </c>
      <c r="P74" s="36"/>
      <c r="Q74" s="36" t="s">
        <v>939</v>
      </c>
      <c r="R74" s="36"/>
      <c r="S74" s="36" t="s">
        <v>940</v>
      </c>
      <c r="T74" s="36">
        <v>0</v>
      </c>
      <c r="U74" s="36">
        <v>0</v>
      </c>
      <c r="V74" s="36">
        <v>0</v>
      </c>
      <c r="W74" s="36">
        <v>0</v>
      </c>
      <c r="X74" s="36" t="s">
        <v>937</v>
      </c>
      <c r="Y74" s="36"/>
      <c r="Z74" s="36"/>
      <c r="AA74" s="37" t="s">
        <v>154</v>
      </c>
      <c r="AB74" s="38" t="s">
        <v>155</v>
      </c>
      <c r="AC74" s="38" t="s">
        <v>61</v>
      </c>
      <c r="AD74" s="39">
        <v>100000000</v>
      </c>
      <c r="AE74" s="40">
        <v>0</v>
      </c>
      <c r="AF74" s="40">
        <v>0</v>
      </c>
      <c r="AG74" s="39">
        <v>17698919</v>
      </c>
      <c r="AH74" s="40">
        <v>0</v>
      </c>
      <c r="AI74" s="18">
        <f>AE74-AF74+AG74-AH74</f>
        <v>17698919</v>
      </c>
      <c r="AJ74" s="18">
        <f>AD74+AI74</f>
        <v>117698919</v>
      </c>
      <c r="AK74" s="40">
        <v>0</v>
      </c>
      <c r="AL74" s="18">
        <v>890566</v>
      </c>
      <c r="AM74" s="39">
        <v>60465063</v>
      </c>
      <c r="AN74" s="40">
        <v>0</v>
      </c>
      <c r="AO74" s="39">
        <v>890566</v>
      </c>
      <c r="AP74" s="39">
        <v>60465063</v>
      </c>
      <c r="AQ74" s="40">
        <v>0</v>
      </c>
      <c r="AR74" s="43">
        <f>AS74-SEPTIEMBRE!AS74</f>
        <v>19507494</v>
      </c>
      <c r="AS74" s="39">
        <v>60465063</v>
      </c>
      <c r="AT74" s="40">
        <f t="shared" si="38"/>
        <v>60465063</v>
      </c>
      <c r="AU74" s="18">
        <f t="shared" si="39"/>
        <v>57233856</v>
      </c>
      <c r="AV74" s="34">
        <f t="shared" si="40"/>
        <v>0</v>
      </c>
      <c r="AW74" s="34">
        <f t="shared" si="41"/>
        <v>0</v>
      </c>
      <c r="AX74" s="32">
        <f t="shared" si="20"/>
        <v>0.51372657891615814</v>
      </c>
    </row>
    <row r="75" spans="1:50" ht="18.75" customHeight="1" x14ac:dyDescent="0.2">
      <c r="A75" s="27" t="s">
        <v>49</v>
      </c>
      <c r="B75" s="27" t="s">
        <v>50</v>
      </c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8" t="s">
        <v>156</v>
      </c>
      <c r="AB75" s="29" t="s">
        <v>157</v>
      </c>
      <c r="AC75" s="30" t="s">
        <v>37</v>
      </c>
      <c r="AD75" s="30">
        <f>AD76+AD77</f>
        <v>608504027</v>
      </c>
      <c r="AE75" s="31">
        <f t="shared" ref="AE75:AS75" si="43">AE76+AE77</f>
        <v>0</v>
      </c>
      <c r="AF75" s="31">
        <f t="shared" si="43"/>
        <v>0</v>
      </c>
      <c r="AG75" s="31">
        <f t="shared" si="43"/>
        <v>0</v>
      </c>
      <c r="AH75" s="30">
        <f t="shared" si="43"/>
        <v>312000000</v>
      </c>
      <c r="AI75" s="30">
        <f t="shared" si="43"/>
        <v>-312000000</v>
      </c>
      <c r="AJ75" s="30">
        <f t="shared" si="43"/>
        <v>296504027</v>
      </c>
      <c r="AK75" s="31">
        <f t="shared" si="43"/>
        <v>0</v>
      </c>
      <c r="AL75" s="30">
        <f t="shared" si="43"/>
        <v>14911671</v>
      </c>
      <c r="AM75" s="30">
        <f t="shared" si="43"/>
        <v>251197186</v>
      </c>
      <c r="AN75" s="31">
        <f t="shared" si="43"/>
        <v>0</v>
      </c>
      <c r="AO75" s="30">
        <f t="shared" si="43"/>
        <v>14911671</v>
      </c>
      <c r="AP75" s="30">
        <f t="shared" si="43"/>
        <v>251197186</v>
      </c>
      <c r="AQ75" s="31">
        <f t="shared" si="43"/>
        <v>0</v>
      </c>
      <c r="AR75" s="30">
        <f t="shared" si="43"/>
        <v>14911671</v>
      </c>
      <c r="AS75" s="30">
        <f t="shared" si="43"/>
        <v>251197186</v>
      </c>
      <c r="AT75" s="30">
        <f t="shared" si="38"/>
        <v>251197186</v>
      </c>
      <c r="AU75" s="18">
        <f t="shared" si="39"/>
        <v>45306841</v>
      </c>
      <c r="AV75" s="34">
        <f t="shared" si="40"/>
        <v>0</v>
      </c>
      <c r="AW75" s="34">
        <f t="shared" si="41"/>
        <v>0</v>
      </c>
      <c r="AX75" s="32">
        <f t="shared" si="20"/>
        <v>0.84719654077413253</v>
      </c>
    </row>
    <row r="76" spans="1:50" ht="18.75" customHeight="1" x14ac:dyDescent="0.2">
      <c r="A76" s="14" t="s">
        <v>55</v>
      </c>
      <c r="B76" s="15" t="s">
        <v>56</v>
      </c>
      <c r="C76" s="15"/>
      <c r="D76" s="15" t="s">
        <v>40</v>
      </c>
      <c r="E76" s="15"/>
      <c r="F76" s="15"/>
      <c r="G76" s="15" t="s">
        <v>41</v>
      </c>
      <c r="H76" s="15"/>
      <c r="I76" s="15" t="s">
        <v>936</v>
      </c>
      <c r="J76" s="15"/>
      <c r="K76" s="15" t="s">
        <v>932</v>
      </c>
      <c r="L76" s="15"/>
      <c r="M76" s="15" t="s">
        <v>933</v>
      </c>
      <c r="N76" s="15"/>
      <c r="O76" s="15" t="s">
        <v>938</v>
      </c>
      <c r="P76" s="15"/>
      <c r="Q76" s="15" t="s">
        <v>939</v>
      </c>
      <c r="R76" s="15"/>
      <c r="S76" s="15" t="s">
        <v>940</v>
      </c>
      <c r="T76" s="15">
        <v>0</v>
      </c>
      <c r="U76" s="15">
        <v>0</v>
      </c>
      <c r="V76" s="15">
        <v>0</v>
      </c>
      <c r="W76" s="15">
        <v>0</v>
      </c>
      <c r="X76" s="15" t="s">
        <v>937</v>
      </c>
      <c r="Y76" s="15"/>
      <c r="Z76" s="15"/>
      <c r="AA76" s="16" t="s">
        <v>158</v>
      </c>
      <c r="AB76" s="17" t="s">
        <v>157</v>
      </c>
      <c r="AC76" s="17" t="s">
        <v>58</v>
      </c>
      <c r="AD76" s="18">
        <v>600000000</v>
      </c>
      <c r="AE76" s="34">
        <v>0</v>
      </c>
      <c r="AF76" s="34">
        <v>0</v>
      </c>
      <c r="AG76" s="34">
        <v>0</v>
      </c>
      <c r="AH76" s="18">
        <f>12000000+300000000</f>
        <v>312000000</v>
      </c>
      <c r="AI76" s="18">
        <f>AE76-AF76+AG76-AH76</f>
        <v>-312000000</v>
      </c>
      <c r="AJ76" s="18">
        <f>AD76+AI76</f>
        <v>288000000</v>
      </c>
      <c r="AK76" s="34">
        <v>0</v>
      </c>
      <c r="AL76" s="18">
        <v>14911671</v>
      </c>
      <c r="AM76" s="18">
        <v>251197186</v>
      </c>
      <c r="AN76" s="34">
        <v>0</v>
      </c>
      <c r="AO76" s="18">
        <v>14911671</v>
      </c>
      <c r="AP76" s="18">
        <v>251197186</v>
      </c>
      <c r="AQ76" s="34">
        <v>0</v>
      </c>
      <c r="AR76" s="43">
        <f>AS76-SEPTIEMBRE!AS76</f>
        <v>14911671</v>
      </c>
      <c r="AS76" s="18">
        <v>251197186</v>
      </c>
      <c r="AT76" s="30">
        <f t="shared" si="38"/>
        <v>251197186</v>
      </c>
      <c r="AU76" s="18">
        <f t="shared" si="39"/>
        <v>36802814</v>
      </c>
      <c r="AV76" s="34">
        <f t="shared" si="40"/>
        <v>0</v>
      </c>
      <c r="AW76" s="34">
        <f t="shared" si="41"/>
        <v>0</v>
      </c>
      <c r="AX76" s="32">
        <f t="shared" si="20"/>
        <v>0.87221245138888892</v>
      </c>
    </row>
    <row r="77" spans="1:50" ht="18.75" customHeight="1" x14ac:dyDescent="0.2">
      <c r="A77" s="14" t="s">
        <v>55</v>
      </c>
      <c r="B77" s="15" t="s">
        <v>56</v>
      </c>
      <c r="C77" s="15"/>
      <c r="D77" s="15" t="s">
        <v>40</v>
      </c>
      <c r="E77" s="15"/>
      <c r="F77" s="15"/>
      <c r="G77" s="15" t="s">
        <v>41</v>
      </c>
      <c r="H77" s="15"/>
      <c r="I77" s="15" t="s">
        <v>941</v>
      </c>
      <c r="J77" s="15"/>
      <c r="K77" s="15" t="s">
        <v>932</v>
      </c>
      <c r="L77" s="15"/>
      <c r="M77" s="15" t="s">
        <v>933</v>
      </c>
      <c r="N77" s="15"/>
      <c r="O77" s="15" t="s">
        <v>938</v>
      </c>
      <c r="P77" s="15"/>
      <c r="Q77" s="15" t="s">
        <v>939</v>
      </c>
      <c r="R77" s="15"/>
      <c r="S77" s="15" t="s">
        <v>940</v>
      </c>
      <c r="T77" s="15">
        <v>0</v>
      </c>
      <c r="U77" s="15">
        <v>0</v>
      </c>
      <c r="V77" s="15">
        <v>0</v>
      </c>
      <c r="W77" s="15">
        <v>0</v>
      </c>
      <c r="X77" s="15" t="s">
        <v>937</v>
      </c>
      <c r="Y77" s="15"/>
      <c r="Z77" s="15"/>
      <c r="AA77" s="16" t="s">
        <v>159</v>
      </c>
      <c r="AB77" s="17" t="s">
        <v>160</v>
      </c>
      <c r="AC77" s="17" t="s">
        <v>61</v>
      </c>
      <c r="AD77" s="18">
        <v>8504027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18">
        <v>8504027</v>
      </c>
      <c r="AK77" s="34">
        <v>0</v>
      </c>
      <c r="AL77" s="18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43">
        <f>AS77-SEPTIEMBRE!AS77</f>
        <v>0</v>
      </c>
      <c r="AS77" s="34">
        <v>0</v>
      </c>
      <c r="AT77" s="31">
        <f t="shared" si="38"/>
        <v>0</v>
      </c>
      <c r="AU77" s="18">
        <f t="shared" si="39"/>
        <v>8504027</v>
      </c>
      <c r="AV77" s="34">
        <f t="shared" si="40"/>
        <v>0</v>
      </c>
      <c r="AW77" s="34">
        <f t="shared" si="41"/>
        <v>0</v>
      </c>
      <c r="AX77" s="32">
        <f t="shared" si="20"/>
        <v>0</v>
      </c>
    </row>
    <row r="78" spans="1:50" ht="18.75" customHeight="1" x14ac:dyDescent="0.2">
      <c r="A78" s="27" t="s">
        <v>49</v>
      </c>
      <c r="B78" s="27" t="s">
        <v>50</v>
      </c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8" t="s">
        <v>161</v>
      </c>
      <c r="AB78" s="29" t="s">
        <v>162</v>
      </c>
      <c r="AC78" s="30" t="s">
        <v>37</v>
      </c>
      <c r="AD78" s="30">
        <f>AD79+AD80</f>
        <v>112951003</v>
      </c>
      <c r="AE78" s="31">
        <f t="shared" ref="AE78:AS78" si="44">AE79+AE80</f>
        <v>0</v>
      </c>
      <c r="AF78" s="31">
        <f t="shared" si="44"/>
        <v>0</v>
      </c>
      <c r="AG78" s="31">
        <f t="shared" si="44"/>
        <v>0</v>
      </c>
      <c r="AH78" s="31">
        <f t="shared" si="44"/>
        <v>0</v>
      </c>
      <c r="AI78" s="31">
        <f t="shared" si="44"/>
        <v>0</v>
      </c>
      <c r="AJ78" s="30">
        <f>AJ79+AJ80</f>
        <v>112951003</v>
      </c>
      <c r="AK78" s="31">
        <f t="shared" si="44"/>
        <v>0</v>
      </c>
      <c r="AL78" s="30">
        <f t="shared" si="44"/>
        <v>14198691</v>
      </c>
      <c r="AM78" s="30">
        <f t="shared" si="44"/>
        <v>77330185</v>
      </c>
      <c r="AN78" s="31">
        <f t="shared" si="44"/>
        <v>0</v>
      </c>
      <c r="AO78" s="30">
        <f t="shared" si="44"/>
        <v>14198691</v>
      </c>
      <c r="AP78" s="30">
        <f t="shared" si="44"/>
        <v>77330185</v>
      </c>
      <c r="AQ78" s="31">
        <f t="shared" si="44"/>
        <v>0</v>
      </c>
      <c r="AR78" s="30">
        <f>AR79+AR80</f>
        <v>15796811</v>
      </c>
      <c r="AS78" s="30">
        <f t="shared" si="44"/>
        <v>77330185</v>
      </c>
      <c r="AT78" s="30">
        <f t="shared" si="38"/>
        <v>77330185</v>
      </c>
      <c r="AU78" s="176">
        <f t="shared" si="39"/>
        <v>35620818</v>
      </c>
      <c r="AV78" s="177">
        <f t="shared" si="40"/>
        <v>0</v>
      </c>
      <c r="AW78" s="176">
        <f t="shared" si="41"/>
        <v>0</v>
      </c>
      <c r="AX78" s="32">
        <f t="shared" si="20"/>
        <v>0.68463477920598903</v>
      </c>
    </row>
    <row r="79" spans="1:50" ht="18.75" customHeight="1" x14ac:dyDescent="0.2">
      <c r="A79" s="14" t="s">
        <v>55</v>
      </c>
      <c r="B79" s="15" t="s">
        <v>56</v>
      </c>
      <c r="C79" s="15"/>
      <c r="D79" s="15" t="s">
        <v>40</v>
      </c>
      <c r="E79" s="15"/>
      <c r="F79" s="15"/>
      <c r="G79" s="15" t="s">
        <v>41</v>
      </c>
      <c r="H79" s="15"/>
      <c r="I79" s="15" t="s">
        <v>936</v>
      </c>
      <c r="J79" s="15"/>
      <c r="K79" s="15" t="s">
        <v>932</v>
      </c>
      <c r="L79" s="15"/>
      <c r="M79" s="15" t="s">
        <v>933</v>
      </c>
      <c r="N79" s="15"/>
      <c r="O79" s="15" t="s">
        <v>938</v>
      </c>
      <c r="P79" s="15"/>
      <c r="Q79" s="15" t="s">
        <v>939</v>
      </c>
      <c r="R79" s="15"/>
      <c r="S79" s="15" t="s">
        <v>940</v>
      </c>
      <c r="T79" s="15">
        <v>0</v>
      </c>
      <c r="U79" s="15">
        <v>0</v>
      </c>
      <c r="V79" s="15">
        <v>0</v>
      </c>
      <c r="W79" s="15">
        <v>0</v>
      </c>
      <c r="X79" s="15" t="s">
        <v>937</v>
      </c>
      <c r="Y79" s="15"/>
      <c r="Z79" s="15"/>
      <c r="AA79" s="16" t="s">
        <v>163</v>
      </c>
      <c r="AB79" s="17" t="s">
        <v>162</v>
      </c>
      <c r="AC79" s="17" t="s">
        <v>58</v>
      </c>
      <c r="AD79" s="18">
        <v>104149973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18">
        <v>104149973</v>
      </c>
      <c r="AK79" s="34">
        <v>0</v>
      </c>
      <c r="AL79" s="18">
        <v>14107145</v>
      </c>
      <c r="AM79" s="18">
        <v>72133030</v>
      </c>
      <c r="AN79" s="34">
        <v>0</v>
      </c>
      <c r="AO79" s="18">
        <v>14107145</v>
      </c>
      <c r="AP79" s="18">
        <v>72133030</v>
      </c>
      <c r="AQ79" s="34">
        <v>0</v>
      </c>
      <c r="AR79" s="43">
        <f>AS79-SEPTIEMBRE!AS79</f>
        <v>14107145</v>
      </c>
      <c r="AS79" s="18">
        <v>72133030</v>
      </c>
      <c r="AT79" s="39">
        <f t="shared" si="38"/>
        <v>72133030</v>
      </c>
      <c r="AU79" s="18">
        <f t="shared" si="39"/>
        <v>32016943</v>
      </c>
      <c r="AV79" s="34">
        <f t="shared" si="40"/>
        <v>0</v>
      </c>
      <c r="AW79" s="34">
        <f t="shared" si="41"/>
        <v>0</v>
      </c>
      <c r="AX79" s="32">
        <f t="shared" si="20"/>
        <v>0.69258808161188867</v>
      </c>
    </row>
    <row r="80" spans="1:50" ht="18.75" customHeight="1" x14ac:dyDescent="0.2">
      <c r="A80" s="14" t="s">
        <v>55</v>
      </c>
      <c r="B80" s="15" t="s">
        <v>56</v>
      </c>
      <c r="C80" s="15"/>
      <c r="D80" s="15" t="s">
        <v>40</v>
      </c>
      <c r="E80" s="15"/>
      <c r="F80" s="15"/>
      <c r="G80" s="15" t="s">
        <v>41</v>
      </c>
      <c r="H80" s="15"/>
      <c r="I80" s="15" t="s">
        <v>941</v>
      </c>
      <c r="J80" s="15"/>
      <c r="K80" s="15" t="s">
        <v>932</v>
      </c>
      <c r="L80" s="15"/>
      <c r="M80" s="15" t="s">
        <v>933</v>
      </c>
      <c r="N80" s="15"/>
      <c r="O80" s="15" t="s">
        <v>938</v>
      </c>
      <c r="P80" s="15"/>
      <c r="Q80" s="15" t="s">
        <v>939</v>
      </c>
      <c r="R80" s="15"/>
      <c r="S80" s="15" t="s">
        <v>940</v>
      </c>
      <c r="T80" s="15">
        <v>0</v>
      </c>
      <c r="U80" s="15">
        <v>0</v>
      </c>
      <c r="V80" s="15">
        <v>0</v>
      </c>
      <c r="W80" s="15">
        <v>0</v>
      </c>
      <c r="X80" s="15" t="s">
        <v>937</v>
      </c>
      <c r="Y80" s="15"/>
      <c r="Z80" s="15"/>
      <c r="AA80" s="16" t="s">
        <v>164</v>
      </c>
      <c r="AB80" s="17" t="s">
        <v>165</v>
      </c>
      <c r="AC80" s="17" t="s">
        <v>61</v>
      </c>
      <c r="AD80" s="18">
        <v>8801030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18">
        <v>8801030</v>
      </c>
      <c r="AK80" s="34">
        <v>0</v>
      </c>
      <c r="AL80" s="18">
        <v>91546</v>
      </c>
      <c r="AM80" s="34">
        <v>5197155</v>
      </c>
      <c r="AN80" s="34">
        <v>0</v>
      </c>
      <c r="AO80" s="18">
        <v>91546</v>
      </c>
      <c r="AP80" s="18">
        <v>5197155</v>
      </c>
      <c r="AQ80" s="34">
        <v>0</v>
      </c>
      <c r="AR80" s="43">
        <f>AS80-SEPTIEMBRE!AS80</f>
        <v>1689666</v>
      </c>
      <c r="AS80" s="18">
        <v>5197155</v>
      </c>
      <c r="AT80" s="39">
        <f t="shared" si="38"/>
        <v>5197155</v>
      </c>
      <c r="AU80" s="18">
        <f t="shared" si="39"/>
        <v>3603875</v>
      </c>
      <c r="AV80" s="34">
        <f t="shared" si="40"/>
        <v>0</v>
      </c>
      <c r="AW80" s="34">
        <f t="shared" si="41"/>
        <v>0</v>
      </c>
      <c r="AX80" s="32">
        <f t="shared" si="20"/>
        <v>0.59051667816153341</v>
      </c>
    </row>
    <row r="81" spans="1:50" ht="29.25" customHeight="1" x14ac:dyDescent="0.2">
      <c r="A81" s="14" t="s">
        <v>49</v>
      </c>
      <c r="B81" s="15" t="s">
        <v>50</v>
      </c>
      <c r="C81" s="15"/>
      <c r="D81" s="15" t="s">
        <v>40</v>
      </c>
      <c r="E81" s="15"/>
      <c r="F81" s="15"/>
      <c r="G81" s="15" t="s">
        <v>41</v>
      </c>
      <c r="H81" s="15"/>
      <c r="I81" s="15" t="s">
        <v>936</v>
      </c>
      <c r="J81" s="15"/>
      <c r="K81" s="15" t="s">
        <v>932</v>
      </c>
      <c r="L81" s="15"/>
      <c r="M81" s="15" t="s">
        <v>933</v>
      </c>
      <c r="N81" s="15"/>
      <c r="O81" s="15" t="s">
        <v>938</v>
      </c>
      <c r="P81" s="15"/>
      <c r="Q81" s="15" t="s">
        <v>939</v>
      </c>
      <c r="R81" s="15"/>
      <c r="S81" s="15" t="s">
        <v>940</v>
      </c>
      <c r="T81" s="15">
        <v>0</v>
      </c>
      <c r="U81" s="15">
        <v>0</v>
      </c>
      <c r="V81" s="15">
        <v>0</v>
      </c>
      <c r="W81" s="15">
        <v>0</v>
      </c>
      <c r="X81" s="15" t="s">
        <v>937</v>
      </c>
      <c r="Y81" s="15"/>
      <c r="Z81" s="15"/>
      <c r="AA81" s="16" t="s">
        <v>166</v>
      </c>
      <c r="AB81" s="17" t="s">
        <v>167</v>
      </c>
      <c r="AC81" s="17" t="s">
        <v>56</v>
      </c>
      <c r="AD81" s="18">
        <v>60643852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18">
        <v>60643852</v>
      </c>
      <c r="AK81" s="34">
        <v>0</v>
      </c>
      <c r="AL81" s="34">
        <v>0</v>
      </c>
      <c r="AM81" s="34">
        <v>38504032</v>
      </c>
      <c r="AN81" s="34">
        <v>0</v>
      </c>
      <c r="AO81" s="18">
        <v>0</v>
      </c>
      <c r="AP81" s="18">
        <v>38504032</v>
      </c>
      <c r="AQ81" s="34">
        <v>0</v>
      </c>
      <c r="AR81" s="44">
        <f>AS81-SEPTIEMBRE!AS81</f>
        <v>0</v>
      </c>
      <c r="AS81" s="34">
        <v>19252016</v>
      </c>
      <c r="AT81" s="40">
        <f t="shared" si="38"/>
        <v>19252016</v>
      </c>
      <c r="AU81" s="18">
        <f t="shared" si="39"/>
        <v>22139820</v>
      </c>
      <c r="AV81" s="34">
        <f t="shared" si="40"/>
        <v>0</v>
      </c>
      <c r="AW81" s="18">
        <f t="shared" si="41"/>
        <v>19252016</v>
      </c>
      <c r="AX81" s="32">
        <f t="shared" si="20"/>
        <v>0.63492061816917567</v>
      </c>
    </row>
    <row r="82" spans="1:50" ht="18.75" customHeight="1" x14ac:dyDescent="0.2">
      <c r="A82" s="35" t="s">
        <v>49</v>
      </c>
      <c r="B82" s="36" t="s">
        <v>50</v>
      </c>
      <c r="C82" s="36"/>
      <c r="D82" s="36" t="s">
        <v>40</v>
      </c>
      <c r="E82" s="36"/>
      <c r="F82" s="36"/>
      <c r="G82" s="36" t="s">
        <v>41</v>
      </c>
      <c r="H82" s="36"/>
      <c r="I82" s="36" t="s">
        <v>936</v>
      </c>
      <c r="J82" s="36"/>
      <c r="K82" s="36" t="s">
        <v>932</v>
      </c>
      <c r="L82" s="36"/>
      <c r="M82" s="36" t="s">
        <v>933</v>
      </c>
      <c r="N82" s="36"/>
      <c r="O82" s="36" t="s">
        <v>938</v>
      </c>
      <c r="P82" s="36"/>
      <c r="Q82" s="36" t="s">
        <v>939</v>
      </c>
      <c r="R82" s="36"/>
      <c r="S82" s="36" t="s">
        <v>940</v>
      </c>
      <c r="T82" s="36">
        <v>0</v>
      </c>
      <c r="U82" s="36">
        <v>0</v>
      </c>
      <c r="V82" s="36">
        <v>0</v>
      </c>
      <c r="W82" s="36">
        <v>0</v>
      </c>
      <c r="X82" s="36" t="s">
        <v>937</v>
      </c>
      <c r="Y82" s="36"/>
      <c r="Z82" s="36"/>
      <c r="AA82" s="37" t="s">
        <v>168</v>
      </c>
      <c r="AB82" s="38" t="s">
        <v>169</v>
      </c>
      <c r="AC82" s="38" t="s">
        <v>56</v>
      </c>
      <c r="AD82" s="39">
        <v>15160962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39">
        <v>15160962</v>
      </c>
      <c r="AK82" s="40">
        <v>0</v>
      </c>
      <c r="AL82" s="34">
        <v>0</v>
      </c>
      <c r="AM82" s="40">
        <v>7219506</v>
      </c>
      <c r="AN82" s="40">
        <v>0</v>
      </c>
      <c r="AO82" s="34">
        <v>0</v>
      </c>
      <c r="AP82" s="39">
        <v>7219506</v>
      </c>
      <c r="AQ82" s="40">
        <v>0</v>
      </c>
      <c r="AR82" s="44">
        <f>AS82-SEPTIEMBRE!AS82</f>
        <v>0</v>
      </c>
      <c r="AS82" s="39">
        <v>7219506</v>
      </c>
      <c r="AT82" s="39">
        <f t="shared" si="38"/>
        <v>7219506</v>
      </c>
      <c r="AU82" s="18">
        <f t="shared" si="39"/>
        <v>7941456</v>
      </c>
      <c r="AV82" s="34">
        <f t="shared" si="40"/>
        <v>0</v>
      </c>
      <c r="AW82" s="34">
        <f t="shared" si="41"/>
        <v>0</v>
      </c>
      <c r="AX82" s="32">
        <f t="shared" si="20"/>
        <v>0.47619049503586908</v>
      </c>
    </row>
    <row r="83" spans="1:50" ht="18.75" customHeight="1" x14ac:dyDescent="0.2">
      <c r="A83" s="14" t="s">
        <v>55</v>
      </c>
      <c r="B83" s="15" t="s">
        <v>56</v>
      </c>
      <c r="C83" s="15"/>
      <c r="D83" s="15" t="s">
        <v>40</v>
      </c>
      <c r="E83" s="15"/>
      <c r="F83" s="15"/>
      <c r="G83" s="15" t="s">
        <v>41</v>
      </c>
      <c r="H83" s="15"/>
      <c r="I83" s="15" t="s">
        <v>936</v>
      </c>
      <c r="J83" s="15"/>
      <c r="K83" s="15" t="s">
        <v>932</v>
      </c>
      <c r="L83" s="15"/>
      <c r="M83" s="15" t="s">
        <v>933</v>
      </c>
      <c r="N83" s="15"/>
      <c r="O83" s="15" t="s">
        <v>938</v>
      </c>
      <c r="P83" s="15"/>
      <c r="Q83" s="15" t="s">
        <v>939</v>
      </c>
      <c r="R83" s="15"/>
      <c r="S83" s="15" t="s">
        <v>940</v>
      </c>
      <c r="T83" s="15">
        <v>0</v>
      </c>
      <c r="U83" s="15">
        <v>0</v>
      </c>
      <c r="V83" s="15">
        <v>0</v>
      </c>
      <c r="W83" s="15">
        <v>0</v>
      </c>
      <c r="X83" s="15" t="s">
        <v>937</v>
      </c>
      <c r="Y83" s="15"/>
      <c r="Z83" s="15"/>
      <c r="AA83" s="16" t="s">
        <v>170</v>
      </c>
      <c r="AB83" s="17" t="s">
        <v>171</v>
      </c>
      <c r="AC83" s="17" t="s">
        <v>58</v>
      </c>
      <c r="AD83" s="18">
        <v>35475597</v>
      </c>
      <c r="AE83" s="34">
        <v>0</v>
      </c>
      <c r="AF83" s="34">
        <v>0</v>
      </c>
      <c r="AG83" s="34">
        <v>0</v>
      </c>
      <c r="AH83" s="34">
        <v>0</v>
      </c>
      <c r="AI83" s="34">
        <v>0</v>
      </c>
      <c r="AJ83" s="18">
        <v>35475597</v>
      </c>
      <c r="AK83" s="34">
        <v>0</v>
      </c>
      <c r="AL83" s="34">
        <v>371112</v>
      </c>
      <c r="AM83" s="34">
        <v>16619820</v>
      </c>
      <c r="AN83" s="34">
        <v>0</v>
      </c>
      <c r="AO83" s="34">
        <v>371112</v>
      </c>
      <c r="AP83" s="18">
        <v>16619820</v>
      </c>
      <c r="AQ83" s="34">
        <v>0</v>
      </c>
      <c r="AR83" s="43">
        <f>AS83-SEPTIEMBRE!AS83</f>
        <v>371112</v>
      </c>
      <c r="AS83" s="18">
        <v>16619820</v>
      </c>
      <c r="AT83" s="39">
        <f t="shared" si="38"/>
        <v>16619820</v>
      </c>
      <c r="AU83" s="18">
        <f t="shared" si="39"/>
        <v>18855777</v>
      </c>
      <c r="AV83" s="34">
        <f t="shared" si="40"/>
        <v>0</v>
      </c>
      <c r="AW83" s="34">
        <f t="shared" si="41"/>
        <v>0</v>
      </c>
      <c r="AX83" s="32">
        <f t="shared" si="20"/>
        <v>0.46848598488701965</v>
      </c>
    </row>
    <row r="84" spans="1:50" ht="18.75" customHeight="1" x14ac:dyDescent="0.2">
      <c r="A84" s="35" t="s">
        <v>55</v>
      </c>
      <c r="B84" s="36" t="s">
        <v>56</v>
      </c>
      <c r="C84" s="36"/>
      <c r="D84" s="36" t="s">
        <v>40</v>
      </c>
      <c r="E84" s="36"/>
      <c r="F84" s="36"/>
      <c r="G84" s="36" t="s">
        <v>41</v>
      </c>
      <c r="H84" s="36"/>
      <c r="I84" s="36" t="s">
        <v>936</v>
      </c>
      <c r="J84" s="36"/>
      <c r="K84" s="36" t="s">
        <v>932</v>
      </c>
      <c r="L84" s="36"/>
      <c r="M84" s="36" t="s">
        <v>933</v>
      </c>
      <c r="N84" s="36"/>
      <c r="O84" s="36" t="s">
        <v>938</v>
      </c>
      <c r="P84" s="36"/>
      <c r="Q84" s="36" t="s">
        <v>939</v>
      </c>
      <c r="R84" s="36"/>
      <c r="S84" s="36" t="s">
        <v>940</v>
      </c>
      <c r="T84" s="36">
        <v>0</v>
      </c>
      <c r="U84" s="36">
        <v>0</v>
      </c>
      <c r="V84" s="36">
        <v>0</v>
      </c>
      <c r="W84" s="36">
        <v>0</v>
      </c>
      <c r="X84" s="36" t="s">
        <v>937</v>
      </c>
      <c r="Y84" s="36"/>
      <c r="Z84" s="36"/>
      <c r="AA84" s="37" t="s">
        <v>172</v>
      </c>
      <c r="AB84" s="38" t="s">
        <v>173</v>
      </c>
      <c r="AC84" s="38" t="s">
        <v>58</v>
      </c>
      <c r="AD84" s="39">
        <v>49855036</v>
      </c>
      <c r="AE84" s="40">
        <v>0</v>
      </c>
      <c r="AF84" s="40">
        <v>0</v>
      </c>
      <c r="AG84" s="39">
        <v>72000000</v>
      </c>
      <c r="AI84" s="18">
        <f>AE84-AF84+AG84-AH84</f>
        <v>72000000</v>
      </c>
      <c r="AJ84" s="18">
        <f>AD84+AI84</f>
        <v>121855036</v>
      </c>
      <c r="AK84" s="40">
        <v>0</v>
      </c>
      <c r="AL84" s="18">
        <v>9188311</v>
      </c>
      <c r="AM84" s="39">
        <v>95309563</v>
      </c>
      <c r="AN84" s="40">
        <v>0</v>
      </c>
      <c r="AO84" s="18">
        <v>9188311</v>
      </c>
      <c r="AP84" s="39">
        <v>95309563</v>
      </c>
      <c r="AQ84" s="40">
        <v>0</v>
      </c>
      <c r="AR84" s="43">
        <f>AS84-SEPTIEMBRE!AS84</f>
        <v>9188311</v>
      </c>
      <c r="AS84" s="39">
        <v>85654276</v>
      </c>
      <c r="AT84" s="39">
        <f t="shared" si="38"/>
        <v>85654276</v>
      </c>
      <c r="AU84" s="18">
        <f t="shared" si="39"/>
        <v>26545473</v>
      </c>
      <c r="AV84" s="34">
        <f t="shared" si="40"/>
        <v>0</v>
      </c>
      <c r="AW84" s="18">
        <f t="shared" si="41"/>
        <v>9655287</v>
      </c>
      <c r="AX84" s="32">
        <f t="shared" si="20"/>
        <v>0.78215530624438045</v>
      </c>
    </row>
    <row r="85" spans="1:50" ht="18.75" customHeight="1" x14ac:dyDescent="0.2">
      <c r="A85" s="14" t="s">
        <v>55</v>
      </c>
      <c r="B85" s="15" t="s">
        <v>56</v>
      </c>
      <c r="C85" s="15"/>
      <c r="D85" s="15" t="s">
        <v>40</v>
      </c>
      <c r="E85" s="15"/>
      <c r="F85" s="15"/>
      <c r="G85" s="15" t="s">
        <v>41</v>
      </c>
      <c r="H85" s="15"/>
      <c r="I85" s="15" t="s">
        <v>936</v>
      </c>
      <c r="J85" s="15"/>
      <c r="K85" s="15" t="s">
        <v>932</v>
      </c>
      <c r="L85" s="15"/>
      <c r="M85" s="15" t="s">
        <v>933</v>
      </c>
      <c r="N85" s="15"/>
      <c r="O85" s="15" t="s">
        <v>938</v>
      </c>
      <c r="P85" s="15"/>
      <c r="Q85" s="15" t="s">
        <v>942</v>
      </c>
      <c r="R85" s="15"/>
      <c r="S85" s="15" t="s">
        <v>940</v>
      </c>
      <c r="T85" s="15">
        <v>0</v>
      </c>
      <c r="U85" s="15">
        <v>0</v>
      </c>
      <c r="V85" s="15">
        <v>0</v>
      </c>
      <c r="W85" s="15">
        <v>0</v>
      </c>
      <c r="X85" s="15" t="s">
        <v>937</v>
      </c>
      <c r="Y85" s="15"/>
      <c r="Z85" s="15"/>
      <c r="AA85" s="16" t="s">
        <v>174</v>
      </c>
      <c r="AB85" s="17" t="s">
        <v>175</v>
      </c>
      <c r="AC85" s="17" t="s">
        <v>58</v>
      </c>
      <c r="AD85" s="18">
        <v>300000000</v>
      </c>
      <c r="AE85" s="34">
        <v>0</v>
      </c>
      <c r="AF85" s="34">
        <v>0</v>
      </c>
      <c r="AG85" s="34">
        <v>0</v>
      </c>
      <c r="AH85" s="34">
        <v>0</v>
      </c>
      <c r="AI85" s="34">
        <v>0</v>
      </c>
      <c r="AJ85" s="18">
        <v>300000000</v>
      </c>
      <c r="AK85" s="34">
        <v>0</v>
      </c>
      <c r="AL85" s="18">
        <v>13627890</v>
      </c>
      <c r="AM85" s="18">
        <v>224617910</v>
      </c>
      <c r="AN85" s="34">
        <v>0</v>
      </c>
      <c r="AO85" s="18">
        <v>13627890</v>
      </c>
      <c r="AP85" s="18">
        <v>224617910</v>
      </c>
      <c r="AQ85" s="34">
        <v>0</v>
      </c>
      <c r="AR85" s="43">
        <f>AS85-SEPTIEMBRE!AS85</f>
        <v>13627890</v>
      </c>
      <c r="AS85" s="18">
        <v>224617910</v>
      </c>
      <c r="AT85" s="39">
        <f t="shared" si="38"/>
        <v>224617910</v>
      </c>
      <c r="AU85" s="18">
        <f t="shared" si="39"/>
        <v>75382090</v>
      </c>
      <c r="AV85" s="34">
        <f t="shared" si="40"/>
        <v>0</v>
      </c>
      <c r="AW85" s="34">
        <f t="shared" si="41"/>
        <v>0</v>
      </c>
      <c r="AX85" s="32">
        <f t="shared" si="20"/>
        <v>0.7487263666666667</v>
      </c>
    </row>
    <row r="86" spans="1:50" s="25" customFormat="1" ht="18.75" customHeight="1" x14ac:dyDescent="0.2">
      <c r="A86" s="19" t="s">
        <v>55</v>
      </c>
      <c r="B86" s="19" t="s">
        <v>56</v>
      </c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26" t="s">
        <v>176</v>
      </c>
      <c r="AB86" s="21" t="s">
        <v>177</v>
      </c>
      <c r="AC86" s="22" t="s">
        <v>37</v>
      </c>
      <c r="AD86" s="22">
        <f>AD87</f>
        <v>23932782621</v>
      </c>
      <c r="AE86" s="23">
        <f t="shared" ref="AE86:AW86" si="45">AE87</f>
        <v>0</v>
      </c>
      <c r="AF86" s="23">
        <f t="shared" si="45"/>
        <v>0</v>
      </c>
      <c r="AG86" s="22">
        <f t="shared" si="45"/>
        <v>5593692522</v>
      </c>
      <c r="AH86" s="22">
        <f t="shared" si="45"/>
        <v>2979275300</v>
      </c>
      <c r="AI86" s="22">
        <f>AI87</f>
        <v>2614417222</v>
      </c>
      <c r="AJ86" s="22">
        <f t="shared" si="45"/>
        <v>26547199843</v>
      </c>
      <c r="AK86" s="23">
        <f t="shared" si="45"/>
        <v>0</v>
      </c>
      <c r="AL86" s="22">
        <f t="shared" si="45"/>
        <v>711828828.14000022</v>
      </c>
      <c r="AM86" s="22">
        <f t="shared" si="45"/>
        <v>25084425639.560001</v>
      </c>
      <c r="AN86" s="22">
        <f t="shared" si="45"/>
        <v>40316666.670000002</v>
      </c>
      <c r="AO86" s="22">
        <f t="shared" si="45"/>
        <v>1524803278.6700001</v>
      </c>
      <c r="AP86" s="22">
        <f t="shared" si="45"/>
        <v>24201867391.460003</v>
      </c>
      <c r="AQ86" s="108">
        <f t="shared" si="45"/>
        <v>1352586791</v>
      </c>
      <c r="AR86" s="22">
        <f t="shared" si="45"/>
        <v>2429178504.0599999</v>
      </c>
      <c r="AS86" s="22">
        <f t="shared" si="45"/>
        <v>16571633045.43</v>
      </c>
      <c r="AT86" s="22">
        <f t="shared" si="38"/>
        <v>17924219836.43</v>
      </c>
      <c r="AU86" s="22">
        <f t="shared" si="45"/>
        <v>1462774203.4399984</v>
      </c>
      <c r="AV86" s="22">
        <f t="shared" si="45"/>
        <v>882558248.10000026</v>
      </c>
      <c r="AW86" s="22">
        <f t="shared" si="45"/>
        <v>6277647555.0300007</v>
      </c>
      <c r="AX86" s="24">
        <f t="shared" si="20"/>
        <v>0.91165424355825542</v>
      </c>
    </row>
    <row r="87" spans="1:50" s="25" customFormat="1" ht="18.75" customHeight="1" x14ac:dyDescent="0.2">
      <c r="A87" s="19" t="s">
        <v>55</v>
      </c>
      <c r="B87" s="19" t="s">
        <v>56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26" t="s">
        <v>178</v>
      </c>
      <c r="AB87" s="21" t="s">
        <v>179</v>
      </c>
      <c r="AC87" s="22" t="s">
        <v>37</v>
      </c>
      <c r="AD87" s="22">
        <f t="shared" ref="AD87:AS87" si="46">AD88+AD94</f>
        <v>23932782621</v>
      </c>
      <c r="AE87" s="23">
        <f t="shared" si="46"/>
        <v>0</v>
      </c>
      <c r="AF87" s="23">
        <f t="shared" si="46"/>
        <v>0</v>
      </c>
      <c r="AG87" s="22">
        <f t="shared" si="46"/>
        <v>5593692522</v>
      </c>
      <c r="AH87" s="22">
        <f t="shared" si="46"/>
        <v>2979275300</v>
      </c>
      <c r="AI87" s="22">
        <f t="shared" si="46"/>
        <v>2614417222</v>
      </c>
      <c r="AJ87" s="22">
        <f t="shared" si="46"/>
        <v>26547199843</v>
      </c>
      <c r="AK87" s="23">
        <f t="shared" si="46"/>
        <v>0</v>
      </c>
      <c r="AL87" s="22">
        <f t="shared" si="46"/>
        <v>711828828.14000022</v>
      </c>
      <c r="AM87" s="22">
        <f t="shared" si="46"/>
        <v>25084425639.560001</v>
      </c>
      <c r="AN87" s="22">
        <f t="shared" si="46"/>
        <v>40316666.670000002</v>
      </c>
      <c r="AO87" s="22">
        <f t="shared" si="46"/>
        <v>1524803278.6700001</v>
      </c>
      <c r="AP87" s="22">
        <f t="shared" si="46"/>
        <v>24201867391.460003</v>
      </c>
      <c r="AQ87" s="108">
        <f t="shared" si="46"/>
        <v>1352586791</v>
      </c>
      <c r="AR87" s="22">
        <f t="shared" si="46"/>
        <v>2429178504.0599999</v>
      </c>
      <c r="AS87" s="22">
        <f t="shared" si="46"/>
        <v>16571633045.43</v>
      </c>
      <c r="AT87" s="22">
        <f t="shared" si="38"/>
        <v>17924219836.43</v>
      </c>
      <c r="AU87" s="22">
        <f>AU88+AU94</f>
        <v>1462774203.4399984</v>
      </c>
      <c r="AV87" s="22">
        <f>AV88+AV94</f>
        <v>882558248.10000026</v>
      </c>
      <c r="AW87" s="22">
        <f>AW88+AW94</f>
        <v>6277647555.0300007</v>
      </c>
      <c r="AX87" s="24">
        <f t="shared" si="20"/>
        <v>0.91165424355825542</v>
      </c>
    </row>
    <row r="88" spans="1:50" s="25" customFormat="1" ht="18.75" customHeight="1" x14ac:dyDescent="0.2">
      <c r="A88" s="19" t="s">
        <v>55</v>
      </c>
      <c r="B88" s="19" t="s">
        <v>56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26" t="s">
        <v>180</v>
      </c>
      <c r="AB88" s="21" t="s">
        <v>181</v>
      </c>
      <c r="AC88" s="22" t="s">
        <v>37</v>
      </c>
      <c r="AD88" s="22">
        <f>AD89+AD90+AD91+AD92+AD93</f>
        <v>918000000</v>
      </c>
      <c r="AE88" s="23">
        <f t="shared" ref="AE88:AW88" si="47">AE89+AE90+AE91+AE92+AE93</f>
        <v>0</v>
      </c>
      <c r="AF88" s="23">
        <f t="shared" si="47"/>
        <v>0</v>
      </c>
      <c r="AG88" s="22">
        <f t="shared" si="47"/>
        <v>770697200</v>
      </c>
      <c r="AH88" s="22">
        <f t="shared" si="47"/>
        <v>376500000</v>
      </c>
      <c r="AI88" s="22">
        <f t="shared" si="47"/>
        <v>394197200</v>
      </c>
      <c r="AJ88" s="22">
        <f t="shared" si="47"/>
        <v>1312197200</v>
      </c>
      <c r="AK88" s="22">
        <f t="shared" si="47"/>
        <v>0</v>
      </c>
      <c r="AL88" s="22">
        <f t="shared" si="47"/>
        <v>125239065.80000007</v>
      </c>
      <c r="AM88" s="22">
        <f t="shared" si="47"/>
        <v>1164661966.2</v>
      </c>
      <c r="AN88" s="23">
        <f t="shared" si="47"/>
        <v>0</v>
      </c>
      <c r="AO88" s="22">
        <f t="shared" si="47"/>
        <v>32017092</v>
      </c>
      <c r="AP88" s="22">
        <f t="shared" si="47"/>
        <v>716239992.39999998</v>
      </c>
      <c r="AQ88" s="22">
        <f t="shared" si="47"/>
        <v>0</v>
      </c>
      <c r="AR88" s="22">
        <f t="shared" si="47"/>
        <v>80650036.370000005</v>
      </c>
      <c r="AS88" s="22">
        <f t="shared" si="47"/>
        <v>507802648.94999999</v>
      </c>
      <c r="AT88" s="22">
        <f t="shared" si="47"/>
        <v>507802648.94999999</v>
      </c>
      <c r="AU88" s="22">
        <f t="shared" si="47"/>
        <v>147535233.79999995</v>
      </c>
      <c r="AV88" s="22">
        <f t="shared" si="47"/>
        <v>448421973.80000007</v>
      </c>
      <c r="AW88" s="22">
        <f t="shared" si="47"/>
        <v>208437343.44999999</v>
      </c>
      <c r="AX88" s="24">
        <f t="shared" si="20"/>
        <v>0.54583258705322646</v>
      </c>
    </row>
    <row r="89" spans="1:50" ht="29.25" customHeight="1" x14ac:dyDescent="0.2">
      <c r="A89" s="35" t="s">
        <v>55</v>
      </c>
      <c r="B89" s="36" t="s">
        <v>56</v>
      </c>
      <c r="C89" s="36"/>
      <c r="D89" s="36" t="s">
        <v>40</v>
      </c>
      <c r="E89" s="36"/>
      <c r="F89" s="36"/>
      <c r="G89" s="36" t="s">
        <v>41</v>
      </c>
      <c r="H89" s="36"/>
      <c r="I89" s="36" t="s">
        <v>936</v>
      </c>
      <c r="J89" s="36"/>
      <c r="K89" s="36" t="s">
        <v>932</v>
      </c>
      <c r="L89" s="36"/>
      <c r="M89" s="36" t="s">
        <v>933</v>
      </c>
      <c r="N89" s="36"/>
      <c r="O89" s="36" t="s">
        <v>938</v>
      </c>
      <c r="P89" s="36"/>
      <c r="Q89" s="36" t="s">
        <v>942</v>
      </c>
      <c r="R89" s="36"/>
      <c r="S89" s="36" t="s">
        <v>940</v>
      </c>
      <c r="T89" s="36">
        <v>0</v>
      </c>
      <c r="U89" s="36">
        <v>0</v>
      </c>
      <c r="V89" s="36">
        <v>0</v>
      </c>
      <c r="W89" s="36">
        <v>0</v>
      </c>
      <c r="X89" s="36" t="s">
        <v>937</v>
      </c>
      <c r="Y89" s="36"/>
      <c r="Z89" s="36"/>
      <c r="AA89" s="37" t="s">
        <v>182</v>
      </c>
      <c r="AB89" s="38" t="s">
        <v>183</v>
      </c>
      <c r="AC89" s="38" t="s">
        <v>58</v>
      </c>
      <c r="AD89" s="39">
        <v>50000000</v>
      </c>
      <c r="AE89" s="40">
        <v>0</v>
      </c>
      <c r="AF89" s="40">
        <v>0</v>
      </c>
      <c r="AG89" s="39">
        <v>70000000</v>
      </c>
      <c r="AH89" s="40">
        <v>0</v>
      </c>
      <c r="AI89" s="18">
        <f>AE89-AF89+AG89-AH89</f>
        <v>70000000</v>
      </c>
      <c r="AJ89" s="18">
        <f>AD89+AI89</f>
        <v>120000000</v>
      </c>
      <c r="AK89" s="40">
        <v>0</v>
      </c>
      <c r="AL89" s="39">
        <f>AM89-SEPTIEMBRE!AM89</f>
        <v>7302633</v>
      </c>
      <c r="AM89" s="39">
        <v>81282633</v>
      </c>
      <c r="AN89" s="40">
        <v>0</v>
      </c>
      <c r="AO89" s="39">
        <v>22841092</v>
      </c>
      <c r="AP89" s="39">
        <v>51821092</v>
      </c>
      <c r="AQ89" s="40">
        <v>0</v>
      </c>
      <c r="AR89" s="39">
        <v>0</v>
      </c>
      <c r="AS89" s="39">
        <v>28980000</v>
      </c>
      <c r="AT89" s="30">
        <f t="shared" si="38"/>
        <v>28980000</v>
      </c>
      <c r="AU89" s="18">
        <f>AJ89-AM89</f>
        <v>38717367</v>
      </c>
      <c r="AV89" s="18">
        <f>AM89-AP89</f>
        <v>29461541</v>
      </c>
      <c r="AW89" s="18">
        <f>AP89-AT89</f>
        <v>22841092</v>
      </c>
      <c r="AX89" s="32">
        <f t="shared" si="20"/>
        <v>0.43184243333333333</v>
      </c>
    </row>
    <row r="90" spans="1:50" ht="32.25" customHeight="1" x14ac:dyDescent="0.2">
      <c r="A90" s="14" t="s">
        <v>55</v>
      </c>
      <c r="B90" s="15" t="s">
        <v>56</v>
      </c>
      <c r="C90" s="15"/>
      <c r="D90" s="15" t="s">
        <v>40</v>
      </c>
      <c r="E90" s="15"/>
      <c r="F90" s="15"/>
      <c r="G90" s="15" t="s">
        <v>41</v>
      </c>
      <c r="H90" s="15"/>
      <c r="I90" s="15" t="s">
        <v>936</v>
      </c>
      <c r="J90" s="15"/>
      <c r="K90" s="15" t="s">
        <v>932</v>
      </c>
      <c r="L90" s="15"/>
      <c r="M90" s="15" t="s">
        <v>933</v>
      </c>
      <c r="N90" s="15"/>
      <c r="O90" s="15" t="s">
        <v>938</v>
      </c>
      <c r="P90" s="15"/>
      <c r="Q90" s="15" t="s">
        <v>942</v>
      </c>
      <c r="R90" s="15"/>
      <c r="S90" s="15" t="s">
        <v>940</v>
      </c>
      <c r="T90" s="15">
        <v>0</v>
      </c>
      <c r="U90" s="15">
        <v>0</v>
      </c>
      <c r="V90" s="15">
        <v>0</v>
      </c>
      <c r="W90" s="15">
        <v>0</v>
      </c>
      <c r="X90" s="15" t="s">
        <v>937</v>
      </c>
      <c r="Y90" s="15"/>
      <c r="Z90" s="15"/>
      <c r="AA90" s="16" t="s">
        <v>184</v>
      </c>
      <c r="AB90" s="17" t="s">
        <v>185</v>
      </c>
      <c r="AC90" s="17" t="s">
        <v>58</v>
      </c>
      <c r="AD90" s="18">
        <v>758000000</v>
      </c>
      <c r="AE90" s="34">
        <v>0</v>
      </c>
      <c r="AF90" s="34">
        <v>0</v>
      </c>
      <c r="AG90" s="18">
        <v>24197200</v>
      </c>
      <c r="AH90" s="34">
        <v>0</v>
      </c>
      <c r="AI90" s="18">
        <f>AE90-AF90+AG90-AH90</f>
        <v>24197200</v>
      </c>
      <c r="AJ90" s="18">
        <f>AD90+AI90</f>
        <v>782197200</v>
      </c>
      <c r="AK90" s="34">
        <v>0</v>
      </c>
      <c r="AL90" s="39">
        <f>AM90-SEPTIEMBRE!AM90</f>
        <v>83554675.800000072</v>
      </c>
      <c r="AM90" s="18">
        <v>738997576.20000005</v>
      </c>
      <c r="AN90" s="34">
        <v>0</v>
      </c>
      <c r="AO90" s="18">
        <v>9176000</v>
      </c>
      <c r="AP90" s="18">
        <v>664418900.39999998</v>
      </c>
      <c r="AQ90" s="18">
        <v>0</v>
      </c>
      <c r="AR90" s="18">
        <v>80650036.370000005</v>
      </c>
      <c r="AS90" s="18">
        <v>478822648.94999999</v>
      </c>
      <c r="AT90" s="39">
        <f t="shared" si="38"/>
        <v>478822648.94999999</v>
      </c>
      <c r="AU90" s="18">
        <f>AJ90-AM90</f>
        <v>43199623.799999952</v>
      </c>
      <c r="AV90" s="18">
        <f>AM90-AP90</f>
        <v>74578675.800000072</v>
      </c>
      <c r="AW90" s="18">
        <f>AP90-AT90</f>
        <v>185596251.44999999</v>
      </c>
      <c r="AX90" s="32">
        <f t="shared" si="20"/>
        <v>0.84942633443331172</v>
      </c>
    </row>
    <row r="91" spans="1:50" ht="23.25" customHeight="1" x14ac:dyDescent="0.2">
      <c r="A91" s="14" t="s">
        <v>55</v>
      </c>
      <c r="B91" s="15" t="s">
        <v>56</v>
      </c>
      <c r="C91" s="15"/>
      <c r="D91" s="15" t="s">
        <v>40</v>
      </c>
      <c r="E91" s="15"/>
      <c r="F91" s="15"/>
      <c r="G91" s="15" t="s">
        <v>41</v>
      </c>
      <c r="H91" s="15"/>
      <c r="I91" s="15" t="s">
        <v>936</v>
      </c>
      <c r="J91" s="15"/>
      <c r="K91" s="15" t="s">
        <v>932</v>
      </c>
      <c r="L91" s="15"/>
      <c r="M91" s="15" t="s">
        <v>933</v>
      </c>
      <c r="N91" s="15"/>
      <c r="O91" s="15" t="s">
        <v>938</v>
      </c>
      <c r="P91" s="15"/>
      <c r="Q91" s="15" t="s">
        <v>942</v>
      </c>
      <c r="R91" s="15"/>
      <c r="S91" s="15" t="s">
        <v>940</v>
      </c>
      <c r="T91" s="15">
        <v>0</v>
      </c>
      <c r="U91" s="15">
        <v>0</v>
      </c>
      <c r="V91" s="15">
        <v>0</v>
      </c>
      <c r="W91" s="15">
        <v>0</v>
      </c>
      <c r="X91" s="15" t="s">
        <v>937</v>
      </c>
      <c r="Y91" s="15"/>
      <c r="Z91" s="15"/>
      <c r="AA91" s="16" t="s">
        <v>186</v>
      </c>
      <c r="AB91" s="17" t="s">
        <v>187</v>
      </c>
      <c r="AC91" s="17" t="s">
        <v>58</v>
      </c>
      <c r="AD91" s="18">
        <v>110000000</v>
      </c>
      <c r="AE91" s="34">
        <v>0</v>
      </c>
      <c r="AF91" s="34">
        <v>0</v>
      </c>
      <c r="AG91" s="18">
        <v>300000000</v>
      </c>
      <c r="AH91" s="34">
        <v>0</v>
      </c>
      <c r="AI91" s="18">
        <f>AE91-AF91+AG91-AH91</f>
        <v>300000000</v>
      </c>
      <c r="AJ91" s="18">
        <f>AD91+AI91</f>
        <v>410000000</v>
      </c>
      <c r="AK91" s="34">
        <v>0</v>
      </c>
      <c r="AL91" s="39">
        <f>AM91-SEPTIEMBRE!AM91</f>
        <v>34381757</v>
      </c>
      <c r="AM91" s="18">
        <v>344381757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1">
        <f t="shared" si="38"/>
        <v>0</v>
      </c>
      <c r="AU91" s="18">
        <f>AJ91-AM91</f>
        <v>65618243</v>
      </c>
      <c r="AV91" s="18">
        <f>AM91-AP91</f>
        <v>344381757</v>
      </c>
      <c r="AW91" s="34">
        <f>AP91-AT91</f>
        <v>0</v>
      </c>
      <c r="AX91" s="32">
        <f t="shared" si="20"/>
        <v>0</v>
      </c>
    </row>
    <row r="92" spans="1:50" ht="39" customHeight="1" x14ac:dyDescent="0.2">
      <c r="A92" s="14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41" t="s">
        <v>1269</v>
      </c>
      <c r="AB92" s="17" t="s">
        <v>1267</v>
      </c>
      <c r="AC92" s="17"/>
      <c r="AD92" s="34">
        <v>0</v>
      </c>
      <c r="AE92" s="34">
        <v>0</v>
      </c>
      <c r="AF92" s="34">
        <v>0</v>
      </c>
      <c r="AG92" s="18">
        <v>37500000</v>
      </c>
      <c r="AH92" s="18">
        <v>37500000</v>
      </c>
      <c r="AI92" s="18">
        <f>AE92-AF92+AG92-AH92</f>
        <v>0</v>
      </c>
      <c r="AJ92" s="34">
        <f>AD92+AI92</f>
        <v>0</v>
      </c>
      <c r="AK92" s="34">
        <v>0</v>
      </c>
      <c r="AL92" s="40">
        <f>AM92-AGOSTO!AM92</f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1">
        <f t="shared" si="38"/>
        <v>0</v>
      </c>
      <c r="AU92" s="34">
        <f t="shared" ref="AU92:AU93" si="48">AJ92-AM92</f>
        <v>0</v>
      </c>
      <c r="AV92" s="34">
        <f t="shared" ref="AV92:AV93" si="49">AM92-AP92</f>
        <v>0</v>
      </c>
      <c r="AW92" s="34">
        <f t="shared" ref="AW92:AW93" si="50">AP92-AT92</f>
        <v>0</v>
      </c>
      <c r="AX92" s="32">
        <v>0</v>
      </c>
    </row>
    <row r="93" spans="1:50" ht="31.5" customHeight="1" x14ac:dyDescent="0.2">
      <c r="A93" s="14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41" t="s">
        <v>1270</v>
      </c>
      <c r="AB93" s="17" t="s">
        <v>1268</v>
      </c>
      <c r="AC93" s="17"/>
      <c r="AD93" s="34">
        <v>0</v>
      </c>
      <c r="AE93" s="34">
        <v>0</v>
      </c>
      <c r="AF93" s="34">
        <v>0</v>
      </c>
      <c r="AG93" s="39">
        <f>260000000+79000000</f>
        <v>339000000</v>
      </c>
      <c r="AH93" s="43">
        <f>260000000+79000000</f>
        <v>339000000</v>
      </c>
      <c r="AI93" s="18">
        <f t="shared" ref="AI93" si="51">AE93-AF93+AG93-AH93</f>
        <v>0</v>
      </c>
      <c r="AJ93" s="34">
        <f t="shared" ref="AJ93" si="52">AD93+AI93</f>
        <v>0</v>
      </c>
      <c r="AK93" s="34">
        <v>0</v>
      </c>
      <c r="AL93" s="40">
        <f>AM93-AGOSTO!AM93</f>
        <v>0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1">
        <f t="shared" si="38"/>
        <v>0</v>
      </c>
      <c r="AU93" s="34">
        <f t="shared" si="48"/>
        <v>0</v>
      </c>
      <c r="AV93" s="34">
        <f t="shared" si="49"/>
        <v>0</v>
      </c>
      <c r="AW93" s="34">
        <f t="shared" si="50"/>
        <v>0</v>
      </c>
      <c r="AX93" s="32">
        <v>0</v>
      </c>
    </row>
    <row r="94" spans="1:50" s="25" customFormat="1" ht="18.75" customHeight="1" x14ac:dyDescent="0.2">
      <c r="A94" s="19" t="s">
        <v>55</v>
      </c>
      <c r="B94" s="19" t="s">
        <v>56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26" t="s">
        <v>188</v>
      </c>
      <c r="AB94" s="21" t="s">
        <v>189</v>
      </c>
      <c r="AC94" s="22" t="s">
        <v>56</v>
      </c>
      <c r="AD94" s="22">
        <f>SUM(AD95:AD100)</f>
        <v>23014782621</v>
      </c>
      <c r="AE94" s="23">
        <f t="shared" ref="AE94:AW94" si="53">SUM(AE95:AE100)</f>
        <v>0</v>
      </c>
      <c r="AF94" s="23">
        <f t="shared" si="53"/>
        <v>0</v>
      </c>
      <c r="AG94" s="22">
        <f>SUM(AG95:AG100)</f>
        <v>4822995322</v>
      </c>
      <c r="AH94" s="22">
        <f>SUM(AH95:AH100)</f>
        <v>2602775300</v>
      </c>
      <c r="AI94" s="22">
        <f>SUM(AI95:AI100)</f>
        <v>2220220022</v>
      </c>
      <c r="AJ94" s="22">
        <f>SUM(AJ95:AJ100)</f>
        <v>25235002643</v>
      </c>
      <c r="AK94" s="22">
        <f t="shared" si="53"/>
        <v>0</v>
      </c>
      <c r="AL94" s="22">
        <f t="shared" si="53"/>
        <v>586589762.34000015</v>
      </c>
      <c r="AM94" s="22">
        <f t="shared" si="53"/>
        <v>23919763673.360001</v>
      </c>
      <c r="AN94" s="22">
        <f t="shared" si="53"/>
        <v>40316666.670000002</v>
      </c>
      <c r="AO94" s="22">
        <f t="shared" si="53"/>
        <v>1492786186.6700001</v>
      </c>
      <c r="AP94" s="22">
        <f t="shared" si="53"/>
        <v>23485627399.060001</v>
      </c>
      <c r="AQ94" s="22">
        <f t="shared" si="53"/>
        <v>1352586791</v>
      </c>
      <c r="AR94" s="22">
        <f t="shared" si="53"/>
        <v>2348528467.6900001</v>
      </c>
      <c r="AS94" s="22">
        <f t="shared" si="53"/>
        <v>16063830396.48</v>
      </c>
      <c r="AT94" s="22">
        <f>AQ94+AS94</f>
        <v>17416417187.48</v>
      </c>
      <c r="AU94" s="22">
        <f t="shared" si="53"/>
        <v>1315238969.6399984</v>
      </c>
      <c r="AV94" s="22">
        <f t="shared" si="53"/>
        <v>434136274.30000019</v>
      </c>
      <c r="AW94" s="22">
        <f t="shared" si="53"/>
        <v>6069210211.5800009</v>
      </c>
      <c r="AX94" s="24">
        <f t="shared" si="20"/>
        <v>0.93067663718175742</v>
      </c>
    </row>
    <row r="95" spans="1:50" ht="18.75" customHeight="1" x14ac:dyDescent="0.2">
      <c r="A95" s="14" t="s">
        <v>55</v>
      </c>
      <c r="B95" s="15" t="s">
        <v>56</v>
      </c>
      <c r="C95" s="15"/>
      <c r="D95" s="15" t="s">
        <v>40</v>
      </c>
      <c r="E95" s="15"/>
      <c r="F95" s="15"/>
      <c r="G95" s="15" t="s">
        <v>41</v>
      </c>
      <c r="H95" s="15"/>
      <c r="I95" s="15" t="s">
        <v>936</v>
      </c>
      <c r="J95" s="15"/>
      <c r="K95" s="15" t="s">
        <v>932</v>
      </c>
      <c r="L95" s="15"/>
      <c r="M95" s="15" t="s">
        <v>933</v>
      </c>
      <c r="N95" s="15"/>
      <c r="O95" s="15" t="s">
        <v>938</v>
      </c>
      <c r="P95" s="15"/>
      <c r="Q95" s="15" t="s">
        <v>942</v>
      </c>
      <c r="R95" s="15"/>
      <c r="S95" s="15" t="s">
        <v>940</v>
      </c>
      <c r="T95" s="15">
        <v>0</v>
      </c>
      <c r="U95" s="15">
        <v>0</v>
      </c>
      <c r="V95" s="15">
        <v>0</v>
      </c>
      <c r="W95" s="15">
        <v>0</v>
      </c>
      <c r="X95" s="15" t="s">
        <v>937</v>
      </c>
      <c r="Y95" s="15"/>
      <c r="Z95" s="15"/>
      <c r="AA95" s="16" t="s">
        <v>190</v>
      </c>
      <c r="AB95" s="17" t="s">
        <v>191</v>
      </c>
      <c r="AC95" s="17" t="s">
        <v>58</v>
      </c>
      <c r="AD95" s="18">
        <v>200000000</v>
      </c>
      <c r="AE95" s="34">
        <v>0</v>
      </c>
      <c r="AF95" s="34">
        <v>0</v>
      </c>
      <c r="AG95" s="34">
        <v>0</v>
      </c>
      <c r="AH95" s="18">
        <f>90000000+20000000+12775300</f>
        <v>122775300</v>
      </c>
      <c r="AI95" s="18">
        <f t="shared" ref="AI95:AI100" si="54">AE95-AF95+AG95-AH95</f>
        <v>-122775300</v>
      </c>
      <c r="AJ95" s="18">
        <f t="shared" ref="AJ95:AJ100" si="55">AD95+AI95</f>
        <v>77224700</v>
      </c>
      <c r="AK95" s="34">
        <v>0</v>
      </c>
      <c r="AL95" s="43">
        <f>AM95-SEPTIEMBRE!AM95</f>
        <v>-9108174</v>
      </c>
      <c r="AM95" s="18">
        <v>68116526</v>
      </c>
      <c r="AN95" s="34">
        <v>0</v>
      </c>
      <c r="AO95" s="34">
        <v>68116526</v>
      </c>
      <c r="AP95" s="34">
        <v>68116526</v>
      </c>
      <c r="AQ95" s="34">
        <v>0</v>
      </c>
      <c r="AR95" s="34">
        <v>0</v>
      </c>
      <c r="AS95" s="34">
        <v>0</v>
      </c>
      <c r="AT95" s="31">
        <f t="shared" ref="AT95:AT116" si="56">AQ95+AS95</f>
        <v>0</v>
      </c>
      <c r="AU95" s="18">
        <f t="shared" ref="AU95:AU100" si="57">AJ95-AM95</f>
        <v>9108174</v>
      </c>
      <c r="AV95" s="18">
        <f t="shared" ref="AV95:AV100" si="58">AM95-AP95</f>
        <v>0</v>
      </c>
      <c r="AW95" s="34">
        <f t="shared" ref="AW95:AW100" si="59">AP95-AT95</f>
        <v>68116526</v>
      </c>
      <c r="AX95" s="32">
        <f t="shared" si="20"/>
        <v>0.88205620740514368</v>
      </c>
    </row>
    <row r="96" spans="1:50" ht="27.75" customHeight="1" x14ac:dyDescent="0.2">
      <c r="A96" s="35" t="s">
        <v>55</v>
      </c>
      <c r="B96" s="36" t="s">
        <v>56</v>
      </c>
      <c r="C96" s="36"/>
      <c r="D96" s="36" t="s">
        <v>40</v>
      </c>
      <c r="E96" s="36"/>
      <c r="F96" s="36"/>
      <c r="G96" s="36" t="s">
        <v>41</v>
      </c>
      <c r="H96" s="36"/>
      <c r="I96" s="36" t="s">
        <v>936</v>
      </c>
      <c r="J96" s="36"/>
      <c r="K96" s="36" t="s">
        <v>932</v>
      </c>
      <c r="L96" s="36"/>
      <c r="M96" s="36" t="s">
        <v>933</v>
      </c>
      <c r="N96" s="36"/>
      <c r="O96" s="36" t="s">
        <v>938</v>
      </c>
      <c r="P96" s="36"/>
      <c r="Q96" s="36" t="s">
        <v>942</v>
      </c>
      <c r="R96" s="36"/>
      <c r="S96" s="36" t="s">
        <v>940</v>
      </c>
      <c r="T96" s="36">
        <v>0</v>
      </c>
      <c r="U96" s="36">
        <v>0</v>
      </c>
      <c r="V96" s="36">
        <v>0</v>
      </c>
      <c r="W96" s="36">
        <v>0</v>
      </c>
      <c r="X96" s="36" t="s">
        <v>937</v>
      </c>
      <c r="Y96" s="36"/>
      <c r="Z96" s="36"/>
      <c r="AA96" s="37" t="s">
        <v>192</v>
      </c>
      <c r="AB96" s="38" t="s">
        <v>193</v>
      </c>
      <c r="AC96" s="38" t="s">
        <v>58</v>
      </c>
      <c r="AD96" s="39">
        <v>1740000000</v>
      </c>
      <c r="AE96" s="40">
        <v>0</v>
      </c>
      <c r="AF96" s="40">
        <v>0</v>
      </c>
      <c r="AG96" s="39">
        <f>200000000+37500000+79000000</f>
        <v>316500000</v>
      </c>
      <c r="AH96" s="39">
        <v>490000000</v>
      </c>
      <c r="AI96" s="18">
        <f t="shared" si="54"/>
        <v>-173500000</v>
      </c>
      <c r="AJ96" s="18">
        <f t="shared" si="55"/>
        <v>1566500000</v>
      </c>
      <c r="AK96" s="40">
        <v>0</v>
      </c>
      <c r="AL96" s="43">
        <f>AM96-SEPTIEMBRE!AM96</f>
        <v>148727542</v>
      </c>
      <c r="AM96" s="39">
        <v>1304169490</v>
      </c>
      <c r="AN96" s="40">
        <v>0</v>
      </c>
      <c r="AO96" s="18">
        <v>71503142</v>
      </c>
      <c r="AP96" s="39">
        <v>1226645090</v>
      </c>
      <c r="AQ96" s="40">
        <v>33914825</v>
      </c>
      <c r="AR96" s="18">
        <v>61600317.689999998</v>
      </c>
      <c r="AS96" s="39">
        <v>731744705.61000001</v>
      </c>
      <c r="AT96" s="30">
        <f t="shared" si="56"/>
        <v>765659530.61000001</v>
      </c>
      <c r="AU96" s="18">
        <f t="shared" si="57"/>
        <v>262330510</v>
      </c>
      <c r="AV96" s="18">
        <f t="shared" si="58"/>
        <v>77524400</v>
      </c>
      <c r="AW96" s="18">
        <f t="shared" si="59"/>
        <v>460985559.38999999</v>
      </c>
      <c r="AX96" s="32">
        <f t="shared" si="20"/>
        <v>0.78304825406958189</v>
      </c>
    </row>
    <row r="97" spans="1:50" ht="27.75" customHeight="1" x14ac:dyDescent="0.2">
      <c r="A97" s="35" t="s">
        <v>55</v>
      </c>
      <c r="B97" s="36" t="s">
        <v>56</v>
      </c>
      <c r="C97" s="36"/>
      <c r="D97" s="36" t="s">
        <v>40</v>
      </c>
      <c r="E97" s="36"/>
      <c r="F97" s="36"/>
      <c r="G97" s="36" t="s">
        <v>41</v>
      </c>
      <c r="H97" s="36"/>
      <c r="I97" s="36" t="s">
        <v>936</v>
      </c>
      <c r="J97" s="36"/>
      <c r="K97" s="36" t="s">
        <v>932</v>
      </c>
      <c r="L97" s="36"/>
      <c r="M97" s="36" t="s">
        <v>933</v>
      </c>
      <c r="N97" s="36"/>
      <c r="O97" s="36" t="s">
        <v>938</v>
      </c>
      <c r="P97" s="36"/>
      <c r="Q97" s="36" t="s">
        <v>942</v>
      </c>
      <c r="R97" s="36"/>
      <c r="S97" s="36" t="s">
        <v>940</v>
      </c>
      <c r="T97" s="36">
        <v>0</v>
      </c>
      <c r="U97" s="36">
        <v>0</v>
      </c>
      <c r="V97" s="36">
        <v>0</v>
      </c>
      <c r="W97" s="36">
        <v>0</v>
      </c>
      <c r="X97" s="36" t="s">
        <v>937</v>
      </c>
      <c r="Y97" s="36"/>
      <c r="Z97" s="36"/>
      <c r="AA97" s="37" t="s">
        <v>194</v>
      </c>
      <c r="AB97" s="38" t="s">
        <v>195</v>
      </c>
      <c r="AC97" s="38" t="s">
        <v>58</v>
      </c>
      <c r="AD97" s="39">
        <v>3623000000</v>
      </c>
      <c r="AE97" s="40">
        <v>0</v>
      </c>
      <c r="AF97" s="40">
        <v>0</v>
      </c>
      <c r="AG97" s="33">
        <v>260000000</v>
      </c>
      <c r="AH97" s="39">
        <v>10000000</v>
      </c>
      <c r="AI97" s="18">
        <f t="shared" si="54"/>
        <v>250000000</v>
      </c>
      <c r="AJ97" s="18">
        <f t="shared" si="55"/>
        <v>3873000000</v>
      </c>
      <c r="AK97" s="40">
        <v>0</v>
      </c>
      <c r="AL97" s="43">
        <f>AM97-SEPTIEMBRE!AM97</f>
        <v>42514258</v>
      </c>
      <c r="AM97" s="39">
        <v>3720203802</v>
      </c>
      <c r="AN97" s="40">
        <v>0</v>
      </c>
      <c r="AO97" s="18">
        <v>42330413</v>
      </c>
      <c r="AP97" s="39">
        <v>3718405224</v>
      </c>
      <c r="AQ97" s="40">
        <v>37164598</v>
      </c>
      <c r="AR97" s="18">
        <v>334104051</v>
      </c>
      <c r="AS97" s="39">
        <v>3638980626</v>
      </c>
      <c r="AT97" s="30">
        <f t="shared" si="56"/>
        <v>3676145224</v>
      </c>
      <c r="AU97" s="18">
        <f t="shared" si="57"/>
        <v>152796198</v>
      </c>
      <c r="AV97" s="18">
        <f t="shared" si="58"/>
        <v>1798578</v>
      </c>
      <c r="AW97" s="18">
        <f t="shared" si="59"/>
        <v>42260000</v>
      </c>
      <c r="AX97" s="32">
        <f t="shared" si="20"/>
        <v>0.96008397211463981</v>
      </c>
    </row>
    <row r="98" spans="1:50" ht="25.5" customHeight="1" x14ac:dyDescent="0.2">
      <c r="A98" s="14" t="s">
        <v>55</v>
      </c>
      <c r="B98" s="15" t="s">
        <v>56</v>
      </c>
      <c r="C98" s="15"/>
      <c r="D98" s="15" t="s">
        <v>40</v>
      </c>
      <c r="E98" s="15"/>
      <c r="F98" s="15"/>
      <c r="G98" s="15" t="s">
        <v>41</v>
      </c>
      <c r="H98" s="15"/>
      <c r="I98" s="15" t="s">
        <v>936</v>
      </c>
      <c r="J98" s="15"/>
      <c r="K98" s="15" t="s">
        <v>932</v>
      </c>
      <c r="L98" s="15"/>
      <c r="M98" s="15" t="s">
        <v>933</v>
      </c>
      <c r="N98" s="15"/>
      <c r="O98" s="15" t="s">
        <v>938</v>
      </c>
      <c r="P98" s="15"/>
      <c r="Q98" s="15" t="s">
        <v>942</v>
      </c>
      <c r="R98" s="15"/>
      <c r="S98" s="15" t="s">
        <v>940</v>
      </c>
      <c r="T98" s="15">
        <v>0</v>
      </c>
      <c r="U98" s="15">
        <v>0</v>
      </c>
      <c r="V98" s="15">
        <v>0</v>
      </c>
      <c r="W98" s="15">
        <v>0</v>
      </c>
      <c r="X98" s="15" t="s">
        <v>937</v>
      </c>
      <c r="Y98" s="15"/>
      <c r="Z98" s="15"/>
      <c r="AA98" s="134" t="s">
        <v>196</v>
      </c>
      <c r="AB98" s="70" t="s">
        <v>197</v>
      </c>
      <c r="AC98" s="17" t="s">
        <v>58</v>
      </c>
      <c r="AD98" s="18">
        <v>17003782621</v>
      </c>
      <c r="AE98" s="34">
        <v>0</v>
      </c>
      <c r="AF98" s="34">
        <v>0</v>
      </c>
      <c r="AG98" s="18">
        <f>1580000000+150000000+300000000+34200000+795800000+880000000</f>
        <v>3740000000</v>
      </c>
      <c r="AH98" s="18">
        <f>1000000000+450000000+300000000+34200000+195800000</f>
        <v>1980000000</v>
      </c>
      <c r="AI98" s="18">
        <f t="shared" si="54"/>
        <v>1760000000</v>
      </c>
      <c r="AJ98" s="18">
        <f t="shared" si="55"/>
        <v>18763782621</v>
      </c>
      <c r="AK98" s="18">
        <v>0</v>
      </c>
      <c r="AL98" s="43">
        <f>AM98-SEPTIEMBRE!AM98</f>
        <v>357133455.34000015</v>
      </c>
      <c r="AM98" s="110">
        <v>18132570512.900002</v>
      </c>
      <c r="AN98" s="18">
        <v>40316666.670000002</v>
      </c>
      <c r="AO98" s="18">
        <v>801995756.66999996</v>
      </c>
      <c r="AP98" s="18">
        <v>17781407809.560001</v>
      </c>
      <c r="AQ98" s="18">
        <v>1281507368</v>
      </c>
      <c r="AR98" s="18">
        <v>1460724938</v>
      </c>
      <c r="AS98" s="18">
        <v>11086404023.370001</v>
      </c>
      <c r="AT98" s="30">
        <f t="shared" si="56"/>
        <v>12367911391.370001</v>
      </c>
      <c r="AU98" s="18">
        <f t="shared" si="57"/>
        <v>631212108.09999847</v>
      </c>
      <c r="AV98" s="18">
        <f t="shared" si="58"/>
        <v>351162703.34000015</v>
      </c>
      <c r="AW98" s="18">
        <f t="shared" si="59"/>
        <v>5413496418.1900005</v>
      </c>
      <c r="AX98" s="32">
        <f t="shared" si="20"/>
        <v>0.94764516135778787</v>
      </c>
    </row>
    <row r="99" spans="1:50" ht="18.75" customHeight="1" x14ac:dyDescent="0.2">
      <c r="A99" s="14" t="s">
        <v>55</v>
      </c>
      <c r="B99" s="15" t="s">
        <v>56</v>
      </c>
      <c r="C99" s="15"/>
      <c r="D99" s="15" t="s">
        <v>40</v>
      </c>
      <c r="E99" s="15"/>
      <c r="F99" s="15"/>
      <c r="G99" s="15" t="s">
        <v>41</v>
      </c>
      <c r="H99" s="15"/>
      <c r="I99" s="15" t="s">
        <v>936</v>
      </c>
      <c r="J99" s="15"/>
      <c r="K99" s="15" t="s">
        <v>932</v>
      </c>
      <c r="L99" s="15"/>
      <c r="M99" s="15" t="s">
        <v>933</v>
      </c>
      <c r="N99" s="15"/>
      <c r="O99" s="15" t="s">
        <v>938</v>
      </c>
      <c r="P99" s="15"/>
      <c r="Q99" s="15" t="s">
        <v>942</v>
      </c>
      <c r="R99" s="15"/>
      <c r="S99" s="15" t="s">
        <v>940</v>
      </c>
      <c r="T99" s="15">
        <v>0</v>
      </c>
      <c r="U99" s="15">
        <v>0</v>
      </c>
      <c r="V99" s="15">
        <v>0</v>
      </c>
      <c r="W99" s="15">
        <v>0</v>
      </c>
      <c r="X99" s="15" t="s">
        <v>937</v>
      </c>
      <c r="Y99" s="15"/>
      <c r="Z99" s="15"/>
      <c r="AA99" s="16" t="s">
        <v>198</v>
      </c>
      <c r="AB99" s="17" t="s">
        <v>199</v>
      </c>
      <c r="AC99" s="17" t="s">
        <v>58</v>
      </c>
      <c r="AD99" s="18">
        <v>348000000</v>
      </c>
      <c r="AE99" s="34">
        <v>0</v>
      </c>
      <c r="AF99" s="34">
        <v>0</v>
      </c>
      <c r="AG99" s="18">
        <v>456495322</v>
      </c>
      <c r="AH99" s="34">
        <v>0</v>
      </c>
      <c r="AI99" s="18">
        <f t="shared" si="54"/>
        <v>456495322</v>
      </c>
      <c r="AJ99" s="18">
        <f t="shared" si="55"/>
        <v>804495322</v>
      </c>
      <c r="AK99" s="34">
        <v>0</v>
      </c>
      <c r="AL99" s="43">
        <f>AM99-SEPTIEMBRE!AM99</f>
        <v>25000000</v>
      </c>
      <c r="AM99" s="110">
        <v>567152658.96000004</v>
      </c>
      <c r="AN99" s="34">
        <v>0</v>
      </c>
      <c r="AO99" s="18">
        <v>481495322</v>
      </c>
      <c r="AP99" s="18">
        <v>566495322</v>
      </c>
      <c r="AQ99" s="34">
        <v>0</v>
      </c>
      <c r="AR99" s="18">
        <v>456495322</v>
      </c>
      <c r="AS99" s="18">
        <v>486495318</v>
      </c>
      <c r="AT99" s="30">
        <f t="shared" si="56"/>
        <v>486495318</v>
      </c>
      <c r="AU99" s="18">
        <f t="shared" si="57"/>
        <v>237342663.03999996</v>
      </c>
      <c r="AV99" s="34">
        <f t="shared" si="58"/>
        <v>657336.96000003815</v>
      </c>
      <c r="AW99" s="18">
        <f t="shared" si="59"/>
        <v>80000004</v>
      </c>
      <c r="AX99" s="32">
        <f t="shared" si="20"/>
        <v>0.70416235683220041</v>
      </c>
    </row>
    <row r="100" spans="1:50" ht="18.75" customHeight="1" x14ac:dyDescent="0.2">
      <c r="A100" s="14" t="s">
        <v>55</v>
      </c>
      <c r="B100" s="15" t="s">
        <v>56</v>
      </c>
      <c r="C100" s="15"/>
      <c r="D100" s="15" t="s">
        <v>40</v>
      </c>
      <c r="E100" s="15"/>
      <c r="F100" s="15"/>
      <c r="G100" s="15" t="s">
        <v>41</v>
      </c>
      <c r="H100" s="15"/>
      <c r="I100" s="15" t="s">
        <v>936</v>
      </c>
      <c r="J100" s="15"/>
      <c r="K100" s="15" t="s">
        <v>932</v>
      </c>
      <c r="L100" s="15"/>
      <c r="M100" s="15" t="s">
        <v>933</v>
      </c>
      <c r="N100" s="15"/>
      <c r="O100" s="15" t="s">
        <v>938</v>
      </c>
      <c r="P100" s="15"/>
      <c r="Q100" s="15" t="s">
        <v>942</v>
      </c>
      <c r="R100" s="15"/>
      <c r="S100" s="15" t="s">
        <v>940</v>
      </c>
      <c r="T100" s="15">
        <v>0</v>
      </c>
      <c r="U100" s="15">
        <v>0</v>
      </c>
      <c r="V100" s="15">
        <v>0</v>
      </c>
      <c r="W100" s="15">
        <v>0</v>
      </c>
      <c r="X100" s="15" t="s">
        <v>937</v>
      </c>
      <c r="Y100" s="15"/>
      <c r="Z100" s="15"/>
      <c r="AA100" s="16" t="s">
        <v>200</v>
      </c>
      <c r="AB100" s="17" t="s">
        <v>201</v>
      </c>
      <c r="AC100" s="17" t="s">
        <v>58</v>
      </c>
      <c r="AD100" s="18">
        <v>100000000</v>
      </c>
      <c r="AE100" s="34">
        <v>0</v>
      </c>
      <c r="AF100" s="34">
        <v>0</v>
      </c>
      <c r="AG100" s="18">
        <f>20000000+30000000</f>
        <v>50000000</v>
      </c>
      <c r="AH100" s="34">
        <v>0</v>
      </c>
      <c r="AI100" s="18">
        <f t="shared" si="54"/>
        <v>50000000</v>
      </c>
      <c r="AJ100" s="18">
        <f t="shared" si="55"/>
        <v>150000000</v>
      </c>
      <c r="AK100" s="34">
        <v>0</v>
      </c>
      <c r="AL100" s="43">
        <f>AM100-SEPTIEMBRE!AM100</f>
        <v>22322681</v>
      </c>
      <c r="AM100" s="110">
        <v>127550683.5</v>
      </c>
      <c r="AN100" s="18">
        <v>0</v>
      </c>
      <c r="AO100" s="18">
        <v>27345027</v>
      </c>
      <c r="AP100" s="18">
        <v>124557427.5</v>
      </c>
      <c r="AQ100" s="34">
        <v>0</v>
      </c>
      <c r="AR100" s="18">
        <v>35603839</v>
      </c>
      <c r="AS100" s="18">
        <v>120205723.5</v>
      </c>
      <c r="AT100" s="30">
        <f t="shared" si="56"/>
        <v>120205723.5</v>
      </c>
      <c r="AU100" s="18">
        <f t="shared" si="57"/>
        <v>22449316.5</v>
      </c>
      <c r="AV100" s="18">
        <f t="shared" si="58"/>
        <v>2993256</v>
      </c>
      <c r="AW100" s="18">
        <f t="shared" si="59"/>
        <v>4351704</v>
      </c>
      <c r="AX100" s="32">
        <f t="shared" si="20"/>
        <v>0.83038285000000001</v>
      </c>
    </row>
    <row r="101" spans="1:50" s="25" customFormat="1" ht="18.75" customHeight="1" x14ac:dyDescent="0.2">
      <c r="A101" s="19" t="s">
        <v>37</v>
      </c>
      <c r="B101" s="19" t="s">
        <v>37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26" t="s">
        <v>868</v>
      </c>
      <c r="AB101" s="21" t="s">
        <v>202</v>
      </c>
      <c r="AC101" s="22" t="s">
        <v>37</v>
      </c>
      <c r="AD101" s="22">
        <f t="shared" ref="AD101:AS101" si="60">AD102+AD123+AD139</f>
        <v>113142608950</v>
      </c>
      <c r="AE101" s="22">
        <f t="shared" si="60"/>
        <v>432574880.49000001</v>
      </c>
      <c r="AF101" s="23">
        <f t="shared" si="60"/>
        <v>0</v>
      </c>
      <c r="AG101" s="22">
        <f t="shared" si="60"/>
        <v>3634200000</v>
      </c>
      <c r="AH101" s="22">
        <f t="shared" si="60"/>
        <v>5256448768.7200003</v>
      </c>
      <c r="AI101" s="22">
        <f t="shared" si="60"/>
        <v>-1189673888.2299995</v>
      </c>
      <c r="AJ101" s="22">
        <f t="shared" si="60"/>
        <v>111952935061.76999</v>
      </c>
      <c r="AK101" s="23">
        <f t="shared" si="60"/>
        <v>0</v>
      </c>
      <c r="AL101" s="22">
        <f t="shared" si="60"/>
        <v>5971572430.5799999</v>
      </c>
      <c r="AM101" s="22">
        <f t="shared" si="60"/>
        <v>88884708334.75</v>
      </c>
      <c r="AN101" s="23">
        <f t="shared" si="60"/>
        <v>0</v>
      </c>
      <c r="AO101" s="22">
        <f t="shared" si="60"/>
        <v>5969142430.5799999</v>
      </c>
      <c r="AP101" s="22">
        <f t="shared" si="60"/>
        <v>88878978331.75</v>
      </c>
      <c r="AQ101" s="23">
        <f t="shared" si="60"/>
        <v>77965751</v>
      </c>
      <c r="AR101" s="22">
        <f t="shared" si="60"/>
        <v>7953414647.6199999</v>
      </c>
      <c r="AS101" s="22">
        <f t="shared" si="60"/>
        <v>88740042654.520004</v>
      </c>
      <c r="AT101" s="22">
        <f t="shared" si="56"/>
        <v>88818008405.520004</v>
      </c>
      <c r="AU101" s="22">
        <f>AU102+AU123+AU139</f>
        <v>23068226727.02</v>
      </c>
      <c r="AV101" s="22">
        <f>AV102+AV123+AV139</f>
        <v>5730003.0000000075</v>
      </c>
      <c r="AW101" s="22">
        <f>AW102+AW123+AW139</f>
        <v>60969926.229999997</v>
      </c>
      <c r="AX101" s="24">
        <f t="shared" si="20"/>
        <v>0.79389591959077321</v>
      </c>
    </row>
    <row r="102" spans="1:50" s="25" customFormat="1" ht="18.75" customHeight="1" x14ac:dyDescent="0.2">
      <c r="A102" s="19" t="s">
        <v>55</v>
      </c>
      <c r="B102" s="19" t="s">
        <v>56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26" t="s">
        <v>869</v>
      </c>
      <c r="AB102" s="21" t="s">
        <v>203</v>
      </c>
      <c r="AC102" s="22" t="s">
        <v>37</v>
      </c>
      <c r="AD102" s="22">
        <f t="shared" ref="AD102:AS102" si="61">AD103+AD117</f>
        <v>70789582622</v>
      </c>
      <c r="AE102" s="22">
        <f t="shared" si="61"/>
        <v>2649057.39</v>
      </c>
      <c r="AF102" s="23">
        <f t="shared" si="61"/>
        <v>0</v>
      </c>
      <c r="AG102" s="22">
        <f t="shared" si="61"/>
        <v>3450200000</v>
      </c>
      <c r="AH102" s="23">
        <f t="shared" si="61"/>
        <v>0</v>
      </c>
      <c r="AI102" s="22">
        <f t="shared" si="61"/>
        <v>3452849057.3900003</v>
      </c>
      <c r="AJ102" s="22">
        <f t="shared" si="61"/>
        <v>74242431679.389999</v>
      </c>
      <c r="AK102" s="23">
        <f t="shared" si="61"/>
        <v>0</v>
      </c>
      <c r="AL102" s="22">
        <f t="shared" si="61"/>
        <v>3767192896</v>
      </c>
      <c r="AM102" s="22">
        <f t="shared" si="61"/>
        <v>65078973945</v>
      </c>
      <c r="AN102" s="23">
        <f t="shared" si="61"/>
        <v>0</v>
      </c>
      <c r="AO102" s="22">
        <f t="shared" si="61"/>
        <v>3767192896</v>
      </c>
      <c r="AP102" s="22">
        <f t="shared" si="61"/>
        <v>65078973945</v>
      </c>
      <c r="AQ102" s="23">
        <f t="shared" si="61"/>
        <v>0</v>
      </c>
      <c r="AR102" s="22">
        <f t="shared" si="61"/>
        <v>3767192896</v>
      </c>
      <c r="AS102" s="22">
        <f t="shared" si="61"/>
        <v>65078973945</v>
      </c>
      <c r="AT102" s="22">
        <f t="shared" si="56"/>
        <v>65078973945</v>
      </c>
      <c r="AU102" s="22">
        <f>AU103+AU117</f>
        <v>9163457734.3899994</v>
      </c>
      <c r="AV102" s="23">
        <f>AV103+AV117</f>
        <v>0</v>
      </c>
      <c r="AW102" s="23">
        <f>AW103+AW117</f>
        <v>0</v>
      </c>
      <c r="AX102" s="24">
        <f t="shared" si="20"/>
        <v>0.87657384696177976</v>
      </c>
    </row>
    <row r="103" spans="1:50" s="25" customFormat="1" ht="18.75" customHeight="1" x14ac:dyDescent="0.2">
      <c r="A103" s="19" t="s">
        <v>55</v>
      </c>
      <c r="B103" s="19" t="s">
        <v>56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26" t="s">
        <v>870</v>
      </c>
      <c r="AB103" s="21" t="s">
        <v>204</v>
      </c>
      <c r="AC103" s="22" t="s">
        <v>56</v>
      </c>
      <c r="AD103" s="22">
        <f>AD104</f>
        <v>34789582622</v>
      </c>
      <c r="AE103" s="22">
        <f t="shared" ref="AE103:AW103" si="62">AE104</f>
        <v>2649057.39</v>
      </c>
      <c r="AF103" s="23">
        <f t="shared" si="62"/>
        <v>0</v>
      </c>
      <c r="AG103" s="22">
        <f>AG104</f>
        <v>3450200000</v>
      </c>
      <c r="AH103" s="23">
        <f t="shared" si="62"/>
        <v>0</v>
      </c>
      <c r="AI103" s="22">
        <f t="shared" si="62"/>
        <v>3452849057.3900003</v>
      </c>
      <c r="AJ103" s="22">
        <f t="shared" si="62"/>
        <v>38242431679.389999</v>
      </c>
      <c r="AK103" s="23">
        <f t="shared" si="62"/>
        <v>0</v>
      </c>
      <c r="AL103" s="22">
        <f t="shared" si="62"/>
        <v>1314228224</v>
      </c>
      <c r="AM103" s="22">
        <f t="shared" si="62"/>
        <v>35178664571</v>
      </c>
      <c r="AN103" s="23">
        <f t="shared" si="62"/>
        <v>0</v>
      </c>
      <c r="AO103" s="22">
        <f t="shared" si="62"/>
        <v>1314228224</v>
      </c>
      <c r="AP103" s="22">
        <f t="shared" si="62"/>
        <v>35178664571</v>
      </c>
      <c r="AQ103" s="23">
        <f t="shared" si="62"/>
        <v>0</v>
      </c>
      <c r="AR103" s="22">
        <f t="shared" si="62"/>
        <v>1314228224</v>
      </c>
      <c r="AS103" s="22">
        <f t="shared" si="62"/>
        <v>35178664571</v>
      </c>
      <c r="AT103" s="22">
        <f t="shared" si="56"/>
        <v>35178664571</v>
      </c>
      <c r="AU103" s="22">
        <f t="shared" si="62"/>
        <v>3063767108.3899999</v>
      </c>
      <c r="AV103" s="23">
        <f t="shared" si="62"/>
        <v>0</v>
      </c>
      <c r="AW103" s="23">
        <f t="shared" si="62"/>
        <v>0</v>
      </c>
      <c r="AX103" s="24">
        <f t="shared" si="20"/>
        <v>0.91988566171535702</v>
      </c>
    </row>
    <row r="104" spans="1:50" ht="28.5" customHeight="1" x14ac:dyDescent="0.2">
      <c r="A104" s="27" t="s">
        <v>55</v>
      </c>
      <c r="B104" s="27" t="s">
        <v>56</v>
      </c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101" t="s">
        <v>871</v>
      </c>
      <c r="AB104" s="38" t="s">
        <v>205</v>
      </c>
      <c r="AC104" s="30" t="s">
        <v>56</v>
      </c>
      <c r="AD104" s="30">
        <f t="shared" ref="AD104:AF104" si="63">SUM(AD105:AD115)</f>
        <v>34789582622</v>
      </c>
      <c r="AE104" s="30">
        <f t="shared" si="63"/>
        <v>2649057.39</v>
      </c>
      <c r="AF104" s="31">
        <f t="shared" si="63"/>
        <v>0</v>
      </c>
      <c r="AG104" s="30">
        <f>SUM(AG105:AG116)</f>
        <v>3450200000</v>
      </c>
      <c r="AH104" s="31">
        <f t="shared" ref="AH104:AW104" si="64">SUM(AH105:AH116)</f>
        <v>0</v>
      </c>
      <c r="AI104" s="30">
        <f t="shared" si="64"/>
        <v>3452849057.3900003</v>
      </c>
      <c r="AJ104" s="30">
        <f t="shared" si="64"/>
        <v>38242431679.389999</v>
      </c>
      <c r="AK104" s="31">
        <f t="shared" si="64"/>
        <v>0</v>
      </c>
      <c r="AL104" s="30">
        <f t="shared" si="64"/>
        <v>1314228224</v>
      </c>
      <c r="AM104" s="30">
        <f t="shared" si="64"/>
        <v>35178664571</v>
      </c>
      <c r="AN104" s="31">
        <f t="shared" si="64"/>
        <v>0</v>
      </c>
      <c r="AO104" s="30">
        <f t="shared" si="64"/>
        <v>1314228224</v>
      </c>
      <c r="AP104" s="30">
        <f t="shared" si="64"/>
        <v>35178664571</v>
      </c>
      <c r="AQ104" s="31">
        <f t="shared" si="64"/>
        <v>0</v>
      </c>
      <c r="AR104" s="30">
        <f t="shared" si="64"/>
        <v>1314228224</v>
      </c>
      <c r="AS104" s="30">
        <f t="shared" si="64"/>
        <v>35178664571</v>
      </c>
      <c r="AT104" s="30">
        <f t="shared" si="64"/>
        <v>35178664571</v>
      </c>
      <c r="AU104" s="30">
        <f t="shared" si="64"/>
        <v>3063767108.3899999</v>
      </c>
      <c r="AV104" s="31">
        <f t="shared" si="64"/>
        <v>0</v>
      </c>
      <c r="AW104" s="31">
        <f t="shared" si="64"/>
        <v>0</v>
      </c>
      <c r="AX104" s="32">
        <f t="shared" si="20"/>
        <v>0.91988566171535702</v>
      </c>
    </row>
    <row r="105" spans="1:50" ht="18.75" customHeight="1" x14ac:dyDescent="0.2">
      <c r="A105" s="35" t="s">
        <v>55</v>
      </c>
      <c r="B105" s="36" t="s">
        <v>56</v>
      </c>
      <c r="C105" s="36"/>
      <c r="D105" s="36" t="s">
        <v>40</v>
      </c>
      <c r="E105" s="36"/>
      <c r="F105" s="36"/>
      <c r="G105" s="36" t="s">
        <v>41</v>
      </c>
      <c r="H105" s="36"/>
      <c r="I105" s="36" t="s">
        <v>936</v>
      </c>
      <c r="J105" s="36"/>
      <c r="K105" s="36" t="s">
        <v>932</v>
      </c>
      <c r="L105" s="36"/>
      <c r="M105" s="36" t="s">
        <v>933</v>
      </c>
      <c r="N105" s="36"/>
      <c r="O105" s="36" t="s">
        <v>938</v>
      </c>
      <c r="P105" s="36"/>
      <c r="Q105" s="36" t="s">
        <v>942</v>
      </c>
      <c r="R105" s="36"/>
      <c r="S105" s="36" t="s">
        <v>940</v>
      </c>
      <c r="T105" s="36">
        <v>0</v>
      </c>
      <c r="U105" s="36">
        <v>0</v>
      </c>
      <c r="V105" s="36">
        <v>0</v>
      </c>
      <c r="W105" s="36">
        <v>0</v>
      </c>
      <c r="X105" s="36" t="s">
        <v>937</v>
      </c>
      <c r="Y105" s="36"/>
      <c r="Z105" s="36"/>
      <c r="AA105" s="101" t="s">
        <v>872</v>
      </c>
      <c r="AB105" s="38" t="s">
        <v>206</v>
      </c>
      <c r="AC105" s="38" t="s">
        <v>58</v>
      </c>
      <c r="AD105" s="39">
        <v>2500000000</v>
      </c>
      <c r="AE105" s="40">
        <v>0</v>
      </c>
      <c r="AF105" s="40">
        <v>0</v>
      </c>
      <c r="AG105" s="39">
        <v>80000000</v>
      </c>
      <c r="AH105" s="40">
        <v>0</v>
      </c>
      <c r="AI105" s="18">
        <f>AE105-AF105+AG105-AH105</f>
        <v>80000000</v>
      </c>
      <c r="AJ105" s="18">
        <f>AD105+AI105</f>
        <v>2580000000</v>
      </c>
      <c r="AK105" s="40">
        <v>0</v>
      </c>
      <c r="AL105" s="39">
        <v>416666666</v>
      </c>
      <c r="AM105" s="39">
        <v>2083333330</v>
      </c>
      <c r="AN105" s="40">
        <v>0</v>
      </c>
      <c r="AO105" s="39">
        <v>416666666</v>
      </c>
      <c r="AP105" s="39">
        <v>2083333330</v>
      </c>
      <c r="AQ105" s="40">
        <v>0</v>
      </c>
      <c r="AR105" s="39">
        <f>AS105-SEPTIEMBRE!AS105</f>
        <v>416666666</v>
      </c>
      <c r="AS105" s="39">
        <v>2083333330</v>
      </c>
      <c r="AT105" s="39">
        <f t="shared" si="56"/>
        <v>2083333330</v>
      </c>
      <c r="AU105" s="18">
        <f t="shared" ref="AU105:AU116" si="65">AJ105-AM105</f>
        <v>496666670</v>
      </c>
      <c r="AV105" s="34">
        <f t="shared" ref="AV105:AV116" si="66">AM105-AP105</f>
        <v>0</v>
      </c>
      <c r="AW105" s="34">
        <f t="shared" ref="AW105:AW116" si="67">AP105-AT105</f>
        <v>0</v>
      </c>
      <c r="AX105" s="32">
        <f t="shared" ref="AX105:AX135" si="68">AP105/AJ105</f>
        <v>0.80749353875968988</v>
      </c>
    </row>
    <row r="106" spans="1:50" ht="18.75" customHeight="1" x14ac:dyDescent="0.2">
      <c r="A106" s="14" t="s">
        <v>55</v>
      </c>
      <c r="B106" s="15" t="s">
        <v>56</v>
      </c>
      <c r="C106" s="15"/>
      <c r="D106" s="15" t="s">
        <v>40</v>
      </c>
      <c r="E106" s="15"/>
      <c r="F106" s="15"/>
      <c r="G106" s="15" t="s">
        <v>41</v>
      </c>
      <c r="H106" s="15"/>
      <c r="I106" s="15" t="s">
        <v>936</v>
      </c>
      <c r="J106" s="15"/>
      <c r="K106" s="15" t="s">
        <v>932</v>
      </c>
      <c r="L106" s="15"/>
      <c r="M106" s="15" t="s">
        <v>933</v>
      </c>
      <c r="N106" s="15"/>
      <c r="O106" s="15" t="s">
        <v>938</v>
      </c>
      <c r="P106" s="15"/>
      <c r="Q106" s="15" t="s">
        <v>942</v>
      </c>
      <c r="R106" s="15"/>
      <c r="S106" s="15" t="s">
        <v>940</v>
      </c>
      <c r="T106" s="15">
        <v>0</v>
      </c>
      <c r="U106" s="15">
        <v>0</v>
      </c>
      <c r="V106" s="15">
        <v>0</v>
      </c>
      <c r="W106" s="15">
        <v>0</v>
      </c>
      <c r="X106" s="15" t="s">
        <v>937</v>
      </c>
      <c r="Y106" s="15"/>
      <c r="Z106" s="15"/>
      <c r="AA106" s="41" t="s">
        <v>873</v>
      </c>
      <c r="AB106" s="17" t="s">
        <v>207</v>
      </c>
      <c r="AC106" s="17" t="s">
        <v>58</v>
      </c>
      <c r="AD106" s="18">
        <v>3557080000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18">
        <v>3557080000</v>
      </c>
      <c r="AK106" s="34">
        <v>0</v>
      </c>
      <c r="AL106" s="39">
        <v>296423334</v>
      </c>
      <c r="AM106" s="18">
        <v>2964233331</v>
      </c>
      <c r="AN106" s="34">
        <v>0</v>
      </c>
      <c r="AO106" s="18">
        <v>296423334</v>
      </c>
      <c r="AP106" s="18">
        <v>2964233331</v>
      </c>
      <c r="AQ106" s="34">
        <v>0</v>
      </c>
      <c r="AR106" s="39">
        <f>AS106-SEPTIEMBRE!AS106</f>
        <v>296423334</v>
      </c>
      <c r="AS106" s="18">
        <v>2964233331</v>
      </c>
      <c r="AT106" s="39">
        <f t="shared" si="56"/>
        <v>2964233331</v>
      </c>
      <c r="AU106" s="18">
        <f t="shared" si="65"/>
        <v>592846669</v>
      </c>
      <c r="AV106" s="34">
        <f t="shared" si="66"/>
        <v>0</v>
      </c>
      <c r="AW106" s="34">
        <f t="shared" si="67"/>
        <v>0</v>
      </c>
      <c r="AX106" s="32">
        <f t="shared" si="68"/>
        <v>0.83333333267736454</v>
      </c>
    </row>
    <row r="107" spans="1:50" ht="18.75" customHeight="1" x14ac:dyDescent="0.2">
      <c r="A107" s="35" t="s">
        <v>55</v>
      </c>
      <c r="B107" s="36" t="s">
        <v>56</v>
      </c>
      <c r="C107" s="36"/>
      <c r="D107" s="36" t="s">
        <v>40</v>
      </c>
      <c r="E107" s="36"/>
      <c r="F107" s="36"/>
      <c r="G107" s="36" t="s">
        <v>41</v>
      </c>
      <c r="H107" s="36"/>
      <c r="I107" s="36" t="s">
        <v>936</v>
      </c>
      <c r="J107" s="36"/>
      <c r="K107" s="36" t="s">
        <v>932</v>
      </c>
      <c r="L107" s="36"/>
      <c r="M107" s="36" t="s">
        <v>933</v>
      </c>
      <c r="N107" s="36"/>
      <c r="O107" s="36" t="s">
        <v>938</v>
      </c>
      <c r="P107" s="36"/>
      <c r="Q107" s="36" t="s">
        <v>942</v>
      </c>
      <c r="R107" s="36"/>
      <c r="S107" s="36" t="s">
        <v>940</v>
      </c>
      <c r="T107" s="36">
        <v>0</v>
      </c>
      <c r="U107" s="36">
        <v>0</v>
      </c>
      <c r="V107" s="36">
        <v>0</v>
      </c>
      <c r="W107" s="36">
        <v>0</v>
      </c>
      <c r="X107" s="36" t="s">
        <v>937</v>
      </c>
      <c r="Y107" s="36"/>
      <c r="Z107" s="36"/>
      <c r="AA107" s="101" t="s">
        <v>874</v>
      </c>
      <c r="AB107" s="38" t="s">
        <v>208</v>
      </c>
      <c r="AC107" s="38" t="s">
        <v>58</v>
      </c>
      <c r="AD107" s="39">
        <v>2747397800</v>
      </c>
      <c r="AE107" s="40">
        <v>0</v>
      </c>
      <c r="AF107" s="40">
        <v>0</v>
      </c>
      <c r="AG107" s="40">
        <v>0</v>
      </c>
      <c r="AH107" s="40">
        <v>0</v>
      </c>
      <c r="AI107" s="40">
        <v>0</v>
      </c>
      <c r="AJ107" s="39">
        <v>2747397800</v>
      </c>
      <c r="AK107" s="40">
        <v>0</v>
      </c>
      <c r="AL107" s="39">
        <v>228949817</v>
      </c>
      <c r="AM107" s="39">
        <v>2289498170</v>
      </c>
      <c r="AN107" s="40">
        <v>0</v>
      </c>
      <c r="AO107" s="18">
        <v>228949817</v>
      </c>
      <c r="AP107" s="39">
        <v>2289498170</v>
      </c>
      <c r="AQ107" s="40">
        <v>0</v>
      </c>
      <c r="AR107" s="39">
        <f>AS107-SEPTIEMBRE!AS107</f>
        <v>228949817</v>
      </c>
      <c r="AS107" s="39">
        <v>2289498170</v>
      </c>
      <c r="AT107" s="39">
        <f t="shared" si="56"/>
        <v>2289498170</v>
      </c>
      <c r="AU107" s="18">
        <f t="shared" si="65"/>
        <v>457899630</v>
      </c>
      <c r="AV107" s="34">
        <f t="shared" si="66"/>
        <v>0</v>
      </c>
      <c r="AW107" s="34">
        <f t="shared" si="67"/>
        <v>0</v>
      </c>
      <c r="AX107" s="32">
        <f t="shared" si="68"/>
        <v>0.83333333454660263</v>
      </c>
    </row>
    <row r="108" spans="1:50" ht="18.75" customHeight="1" x14ac:dyDescent="0.2">
      <c r="A108" s="14" t="s">
        <v>55</v>
      </c>
      <c r="B108" s="15" t="s">
        <v>56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41" t="s">
        <v>875</v>
      </c>
      <c r="AB108" s="17" t="s">
        <v>209</v>
      </c>
      <c r="AC108" s="17" t="s">
        <v>58</v>
      </c>
      <c r="AD108" s="18">
        <v>1627586535</v>
      </c>
      <c r="AE108" s="34">
        <v>0</v>
      </c>
      <c r="AF108" s="34">
        <v>0</v>
      </c>
      <c r="AG108" s="34">
        <v>0</v>
      </c>
      <c r="AH108" s="34">
        <v>0</v>
      </c>
      <c r="AI108" s="34">
        <v>0</v>
      </c>
      <c r="AJ108" s="18">
        <v>1627586535</v>
      </c>
      <c r="AK108" s="34">
        <v>0</v>
      </c>
      <c r="AL108" s="39">
        <v>59154410</v>
      </c>
      <c r="AM108" s="18">
        <v>1131494982</v>
      </c>
      <c r="AN108" s="34">
        <v>0</v>
      </c>
      <c r="AO108" s="18">
        <v>59154410</v>
      </c>
      <c r="AP108" s="18">
        <v>1131494982</v>
      </c>
      <c r="AQ108" s="34">
        <v>0</v>
      </c>
      <c r="AR108" s="39">
        <f>AS108-SEPTIEMBRE!AS108</f>
        <v>59154410</v>
      </c>
      <c r="AS108" s="18">
        <v>1131494982</v>
      </c>
      <c r="AT108" s="39">
        <f t="shared" si="56"/>
        <v>1131494982</v>
      </c>
      <c r="AU108" s="18">
        <f t="shared" si="65"/>
        <v>496091553</v>
      </c>
      <c r="AV108" s="34">
        <f t="shared" si="66"/>
        <v>0</v>
      </c>
      <c r="AW108" s="34">
        <f t="shared" si="67"/>
        <v>0</v>
      </c>
      <c r="AX108" s="32">
        <f t="shared" si="68"/>
        <v>0.69519804794895279</v>
      </c>
    </row>
    <row r="109" spans="1:50" ht="18.75" customHeight="1" x14ac:dyDescent="0.2">
      <c r="A109" s="14" t="s">
        <v>55</v>
      </c>
      <c r="B109" s="15" t="s">
        <v>56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41" t="s">
        <v>876</v>
      </c>
      <c r="AB109" s="17" t="s">
        <v>210</v>
      </c>
      <c r="AC109" s="17" t="s">
        <v>58</v>
      </c>
      <c r="AD109" s="18">
        <v>4565923897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18">
        <v>4565923897</v>
      </c>
      <c r="AK109" s="34">
        <v>0</v>
      </c>
      <c r="AL109" s="39">
        <v>0</v>
      </c>
      <c r="AM109" s="18">
        <v>4565923897</v>
      </c>
      <c r="AN109" s="34">
        <v>0</v>
      </c>
      <c r="AO109" s="18">
        <v>0</v>
      </c>
      <c r="AP109" s="18">
        <v>4565923897</v>
      </c>
      <c r="AQ109" s="34">
        <v>0</v>
      </c>
      <c r="AR109" s="40">
        <f>AS109-SEPTIEMBRE!AS109</f>
        <v>0</v>
      </c>
      <c r="AS109" s="18">
        <v>4565923897</v>
      </c>
      <c r="AT109" s="39">
        <f t="shared" si="56"/>
        <v>4565923897</v>
      </c>
      <c r="AU109" s="34">
        <f t="shared" si="65"/>
        <v>0</v>
      </c>
      <c r="AV109" s="34">
        <f t="shared" si="66"/>
        <v>0</v>
      </c>
      <c r="AW109" s="34">
        <f t="shared" si="67"/>
        <v>0</v>
      </c>
      <c r="AX109" s="32">
        <f t="shared" si="68"/>
        <v>1</v>
      </c>
    </row>
    <row r="110" spans="1:50" ht="18.75" customHeight="1" x14ac:dyDescent="0.2">
      <c r="A110" s="35" t="s">
        <v>55</v>
      </c>
      <c r="B110" s="36" t="s">
        <v>56</v>
      </c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101" t="s">
        <v>877</v>
      </c>
      <c r="AB110" s="38" t="s">
        <v>211</v>
      </c>
      <c r="AC110" s="38" t="s">
        <v>58</v>
      </c>
      <c r="AD110" s="39">
        <v>5174713749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  <c r="AJ110" s="39">
        <v>5174713749</v>
      </c>
      <c r="AK110" s="40">
        <v>0</v>
      </c>
      <c r="AL110" s="39">
        <v>0</v>
      </c>
      <c r="AM110" s="39">
        <v>5174713749</v>
      </c>
      <c r="AN110" s="40">
        <v>0</v>
      </c>
      <c r="AO110" s="18">
        <v>0</v>
      </c>
      <c r="AP110" s="39">
        <v>5174713749</v>
      </c>
      <c r="AQ110" s="40">
        <v>0</v>
      </c>
      <c r="AR110" s="40">
        <f>AS110-SEPTIEMBRE!AS110</f>
        <v>0</v>
      </c>
      <c r="AS110" s="39">
        <v>5174713749</v>
      </c>
      <c r="AT110" s="39">
        <f t="shared" si="56"/>
        <v>5174713749</v>
      </c>
      <c r="AU110" s="34">
        <f t="shared" si="65"/>
        <v>0</v>
      </c>
      <c r="AV110" s="34">
        <f t="shared" si="66"/>
        <v>0</v>
      </c>
      <c r="AW110" s="34">
        <f t="shared" si="67"/>
        <v>0</v>
      </c>
      <c r="AX110" s="32">
        <f t="shared" si="68"/>
        <v>1</v>
      </c>
    </row>
    <row r="111" spans="1:50" ht="18.75" customHeight="1" x14ac:dyDescent="0.2">
      <c r="A111" s="35" t="s">
        <v>55</v>
      </c>
      <c r="B111" s="36" t="s">
        <v>56</v>
      </c>
      <c r="C111" s="36"/>
      <c r="D111" s="36" t="s">
        <v>40</v>
      </c>
      <c r="E111" s="36"/>
      <c r="F111" s="36"/>
      <c r="G111" s="36" t="s">
        <v>41</v>
      </c>
      <c r="H111" s="36"/>
      <c r="I111" s="36" t="s">
        <v>936</v>
      </c>
      <c r="J111" s="36"/>
      <c r="K111" s="36" t="s">
        <v>932</v>
      </c>
      <c r="L111" s="36"/>
      <c r="M111" s="36" t="s">
        <v>933</v>
      </c>
      <c r="N111" s="36"/>
      <c r="O111" s="36" t="s">
        <v>943</v>
      </c>
      <c r="P111" s="36"/>
      <c r="Q111" s="36" t="s">
        <v>939</v>
      </c>
      <c r="R111" s="36"/>
      <c r="S111" s="36" t="s">
        <v>940</v>
      </c>
      <c r="T111" s="36">
        <v>0</v>
      </c>
      <c r="U111" s="36">
        <v>0</v>
      </c>
      <c r="V111" s="36">
        <v>0</v>
      </c>
      <c r="W111" s="36">
        <v>0</v>
      </c>
      <c r="X111" s="36" t="s">
        <v>937</v>
      </c>
      <c r="Y111" s="36"/>
      <c r="Z111" s="36"/>
      <c r="AA111" s="101" t="s">
        <v>878</v>
      </c>
      <c r="AB111" s="38" t="s">
        <v>212</v>
      </c>
      <c r="AC111" s="38" t="s">
        <v>58</v>
      </c>
      <c r="AD111" s="39">
        <v>286350464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39">
        <v>286350464</v>
      </c>
      <c r="AK111" s="40">
        <v>0</v>
      </c>
      <c r="AL111" s="40">
        <v>0</v>
      </c>
      <c r="AM111" s="40">
        <v>0</v>
      </c>
      <c r="AN111" s="40">
        <v>0</v>
      </c>
      <c r="AO111" s="34">
        <v>0</v>
      </c>
      <c r="AP111" s="40">
        <v>0</v>
      </c>
      <c r="AQ111" s="40">
        <v>0</v>
      </c>
      <c r="AR111" s="40">
        <f>AS111-SEPTIEMBRE!AS111</f>
        <v>0</v>
      </c>
      <c r="AS111" s="40">
        <v>0</v>
      </c>
      <c r="AT111" s="40">
        <f t="shared" si="56"/>
        <v>0</v>
      </c>
      <c r="AU111" s="18">
        <f t="shared" si="65"/>
        <v>286350464</v>
      </c>
      <c r="AV111" s="34">
        <f t="shared" si="66"/>
        <v>0</v>
      </c>
      <c r="AW111" s="34">
        <f t="shared" si="67"/>
        <v>0</v>
      </c>
      <c r="AX111" s="32">
        <f t="shared" si="68"/>
        <v>0</v>
      </c>
    </row>
    <row r="112" spans="1:50" ht="18.75" customHeight="1" x14ac:dyDescent="0.2">
      <c r="A112" s="14" t="s">
        <v>55</v>
      </c>
      <c r="B112" s="15" t="s">
        <v>56</v>
      </c>
      <c r="C112" s="15"/>
      <c r="D112" s="15" t="s">
        <v>40</v>
      </c>
      <c r="E112" s="15"/>
      <c r="F112" s="15"/>
      <c r="G112" s="15" t="s">
        <v>41</v>
      </c>
      <c r="H112" s="15"/>
      <c r="I112" s="15" t="s">
        <v>936</v>
      </c>
      <c r="J112" s="15"/>
      <c r="K112" s="15" t="s">
        <v>932</v>
      </c>
      <c r="L112" s="15"/>
      <c r="M112" s="15" t="s">
        <v>933</v>
      </c>
      <c r="N112" s="15"/>
      <c r="O112" s="15" t="s">
        <v>943</v>
      </c>
      <c r="P112" s="15"/>
      <c r="Q112" s="15" t="s">
        <v>939</v>
      </c>
      <c r="R112" s="15"/>
      <c r="S112" s="15" t="s">
        <v>940</v>
      </c>
      <c r="T112" s="15">
        <v>0</v>
      </c>
      <c r="U112" s="15">
        <v>0</v>
      </c>
      <c r="V112" s="15">
        <v>0</v>
      </c>
      <c r="W112" s="15">
        <v>0</v>
      </c>
      <c r="X112" s="15" t="s">
        <v>937</v>
      </c>
      <c r="Y112" s="15"/>
      <c r="Z112" s="15"/>
      <c r="AA112" s="41" t="s">
        <v>879</v>
      </c>
      <c r="AB112" s="17" t="s">
        <v>213</v>
      </c>
      <c r="AC112" s="17" t="s">
        <v>58</v>
      </c>
      <c r="AD112" s="18">
        <v>3748529000</v>
      </c>
      <c r="AE112" s="34">
        <v>0</v>
      </c>
      <c r="AF112" s="34">
        <v>0</v>
      </c>
      <c r="AG112" s="18">
        <v>1630200000</v>
      </c>
      <c r="AH112" s="34">
        <v>0</v>
      </c>
      <c r="AI112" s="18">
        <f>AE112-AF112+AG112-AH112</f>
        <v>1630200000</v>
      </c>
      <c r="AJ112" s="18">
        <f>AD112+AI112</f>
        <v>5378729000</v>
      </c>
      <c r="AK112" s="34">
        <v>0</v>
      </c>
      <c r="AL112" s="39">
        <v>312377417</v>
      </c>
      <c r="AM112" s="18">
        <v>4753974170</v>
      </c>
      <c r="AN112" s="34">
        <v>0</v>
      </c>
      <c r="AO112" s="34">
        <v>312377417</v>
      </c>
      <c r="AP112" s="18">
        <v>4753974170</v>
      </c>
      <c r="AQ112" s="34">
        <v>0</v>
      </c>
      <c r="AR112" s="39">
        <f>AS112-SEPTIEMBRE!AS112</f>
        <v>312377417</v>
      </c>
      <c r="AS112" s="18">
        <v>4753974170</v>
      </c>
      <c r="AT112" s="39">
        <f t="shared" si="56"/>
        <v>4753974170</v>
      </c>
      <c r="AU112" s="18">
        <f t="shared" si="65"/>
        <v>624754830</v>
      </c>
      <c r="AV112" s="34">
        <f t="shared" si="66"/>
        <v>0</v>
      </c>
      <c r="AW112" s="34">
        <f t="shared" si="67"/>
        <v>0</v>
      </c>
      <c r="AX112" s="32">
        <f t="shared" si="68"/>
        <v>0.88384712633783924</v>
      </c>
    </row>
    <row r="113" spans="1:50" ht="18.75" customHeight="1" x14ac:dyDescent="0.2">
      <c r="A113" s="35" t="s">
        <v>55</v>
      </c>
      <c r="B113" s="36" t="s">
        <v>56</v>
      </c>
      <c r="C113" s="36"/>
      <c r="D113" s="36" t="s">
        <v>40</v>
      </c>
      <c r="E113" s="36"/>
      <c r="F113" s="36"/>
      <c r="G113" s="36" t="s">
        <v>41</v>
      </c>
      <c r="H113" s="36"/>
      <c r="I113" s="36" t="s">
        <v>936</v>
      </c>
      <c r="J113" s="36"/>
      <c r="K113" s="36" t="s">
        <v>932</v>
      </c>
      <c r="L113" s="36"/>
      <c r="M113" s="36" t="s">
        <v>933</v>
      </c>
      <c r="N113" s="36"/>
      <c r="O113" s="36" t="s">
        <v>943</v>
      </c>
      <c r="P113" s="36"/>
      <c r="Q113" s="36" t="s">
        <v>944</v>
      </c>
      <c r="R113" s="36"/>
      <c r="S113" s="36" t="s">
        <v>940</v>
      </c>
      <c r="T113" s="36">
        <v>0</v>
      </c>
      <c r="U113" s="36">
        <v>0</v>
      </c>
      <c r="V113" s="36">
        <v>0</v>
      </c>
      <c r="W113" s="36">
        <v>0</v>
      </c>
      <c r="X113" s="36" t="s">
        <v>937</v>
      </c>
      <c r="Y113" s="36"/>
      <c r="Z113" s="36"/>
      <c r="AA113" s="101" t="s">
        <v>880</v>
      </c>
      <c r="AB113" s="38" t="s">
        <v>214</v>
      </c>
      <c r="AC113" s="38" t="s">
        <v>58</v>
      </c>
      <c r="AD113" s="39">
        <v>80525000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39">
        <v>80525000</v>
      </c>
      <c r="AK113" s="40">
        <v>0</v>
      </c>
      <c r="AL113" s="40">
        <v>0</v>
      </c>
      <c r="AM113" s="39">
        <v>80525000</v>
      </c>
      <c r="AN113" s="40">
        <v>0</v>
      </c>
      <c r="AO113" s="34">
        <v>0</v>
      </c>
      <c r="AP113" s="39">
        <v>80525000</v>
      </c>
      <c r="AQ113" s="40">
        <v>0</v>
      </c>
      <c r="AR113" s="40">
        <f>AS113-SEPTIEMBRE!AS113</f>
        <v>0</v>
      </c>
      <c r="AS113" s="39">
        <v>80525000</v>
      </c>
      <c r="AT113" s="39">
        <f t="shared" si="56"/>
        <v>80525000</v>
      </c>
      <c r="AU113" s="34">
        <f t="shared" si="65"/>
        <v>0</v>
      </c>
      <c r="AV113" s="34">
        <f t="shared" si="66"/>
        <v>0</v>
      </c>
      <c r="AW113" s="34">
        <f t="shared" si="67"/>
        <v>0</v>
      </c>
      <c r="AX113" s="32">
        <f t="shared" si="68"/>
        <v>1</v>
      </c>
    </row>
    <row r="114" spans="1:50" ht="18.75" customHeight="1" x14ac:dyDescent="0.2">
      <c r="A114" s="14" t="s">
        <v>55</v>
      </c>
      <c r="B114" s="15" t="s">
        <v>56</v>
      </c>
      <c r="C114" s="15"/>
      <c r="D114" s="15" t="s">
        <v>40</v>
      </c>
      <c r="E114" s="15"/>
      <c r="F114" s="15"/>
      <c r="G114" s="15" t="s">
        <v>41</v>
      </c>
      <c r="H114" s="15"/>
      <c r="I114" s="15" t="s">
        <v>936</v>
      </c>
      <c r="J114" s="15"/>
      <c r="K114" s="15" t="s">
        <v>932</v>
      </c>
      <c r="L114" s="15"/>
      <c r="M114" s="15" t="s">
        <v>933</v>
      </c>
      <c r="N114" s="15"/>
      <c r="O114" s="15" t="s">
        <v>945</v>
      </c>
      <c r="P114" s="15"/>
      <c r="Q114" s="15" t="s">
        <v>944</v>
      </c>
      <c r="R114" s="15"/>
      <c r="S114" s="15" t="s">
        <v>940</v>
      </c>
      <c r="T114" s="15">
        <v>0</v>
      </c>
      <c r="U114" s="15">
        <v>0</v>
      </c>
      <c r="V114" s="15">
        <v>0</v>
      </c>
      <c r="W114" s="15">
        <v>0</v>
      </c>
      <c r="X114" s="15" t="s">
        <v>937</v>
      </c>
      <c r="Y114" s="15"/>
      <c r="Z114" s="15"/>
      <c r="AA114" s="41" t="s">
        <v>881</v>
      </c>
      <c r="AB114" s="17" t="s">
        <v>214</v>
      </c>
      <c r="AC114" s="17" t="s">
        <v>215</v>
      </c>
      <c r="AD114" s="18">
        <v>10351476177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18">
        <v>10351476177</v>
      </c>
      <c r="AK114" s="34">
        <v>0</v>
      </c>
      <c r="AL114" s="40">
        <v>0</v>
      </c>
      <c r="AM114" s="39">
        <v>10351476177</v>
      </c>
      <c r="AN114" s="34">
        <v>0</v>
      </c>
      <c r="AO114" s="34">
        <v>0</v>
      </c>
      <c r="AP114" s="18">
        <v>10351476177</v>
      </c>
      <c r="AQ114" s="34">
        <v>0</v>
      </c>
      <c r="AR114" s="40">
        <f>AS114-SEPTIEMBRE!AS114</f>
        <v>0</v>
      </c>
      <c r="AS114" s="18">
        <v>10351476177</v>
      </c>
      <c r="AT114" s="39">
        <f t="shared" si="56"/>
        <v>10351476177</v>
      </c>
      <c r="AU114" s="34">
        <f t="shared" si="65"/>
        <v>0</v>
      </c>
      <c r="AV114" s="34">
        <f t="shared" si="66"/>
        <v>0</v>
      </c>
      <c r="AW114" s="34">
        <f t="shared" si="67"/>
        <v>0</v>
      </c>
      <c r="AX114" s="32">
        <f t="shared" si="68"/>
        <v>1</v>
      </c>
    </row>
    <row r="115" spans="1:50" ht="26.25" customHeight="1" x14ac:dyDescent="0.2">
      <c r="A115" s="14" t="s">
        <v>55</v>
      </c>
      <c r="B115" s="15" t="s">
        <v>56</v>
      </c>
      <c r="C115" s="15"/>
      <c r="D115" s="15" t="s">
        <v>40</v>
      </c>
      <c r="E115" s="15"/>
      <c r="F115" s="15"/>
      <c r="G115" s="15" t="s">
        <v>41</v>
      </c>
      <c r="H115" s="15"/>
      <c r="I115" s="15" t="s">
        <v>936</v>
      </c>
      <c r="J115" s="15"/>
      <c r="K115" s="15" t="s">
        <v>932</v>
      </c>
      <c r="L115" s="15"/>
      <c r="M115" s="15" t="s">
        <v>933</v>
      </c>
      <c r="N115" s="15"/>
      <c r="O115" s="15" t="s">
        <v>946</v>
      </c>
      <c r="P115" s="15"/>
      <c r="Q115" s="15" t="s">
        <v>944</v>
      </c>
      <c r="R115" s="15"/>
      <c r="S115" s="15" t="s">
        <v>940</v>
      </c>
      <c r="T115" s="15">
        <v>0</v>
      </c>
      <c r="U115" s="15">
        <v>0</v>
      </c>
      <c r="V115" s="15">
        <v>0</v>
      </c>
      <c r="W115" s="15">
        <v>0</v>
      </c>
      <c r="X115" s="15" t="s">
        <v>937</v>
      </c>
      <c r="Y115" s="15"/>
      <c r="Z115" s="15"/>
      <c r="AA115" s="41" t="s">
        <v>882</v>
      </c>
      <c r="AB115" s="17" t="s">
        <v>205</v>
      </c>
      <c r="AC115" s="17" t="s">
        <v>216</v>
      </c>
      <c r="AD115" s="18">
        <v>150000000</v>
      </c>
      <c r="AE115" s="18">
        <v>2649057.39</v>
      </c>
      <c r="AF115" s="34">
        <v>0</v>
      </c>
      <c r="AG115" s="34">
        <v>0</v>
      </c>
      <c r="AH115" s="34">
        <v>0</v>
      </c>
      <c r="AI115" s="18">
        <f>AE115-AF115+AG115-AH115</f>
        <v>2649057.39</v>
      </c>
      <c r="AJ115" s="18">
        <f>AD115+AI115</f>
        <v>152649057.38999999</v>
      </c>
      <c r="AK115" s="34">
        <v>0</v>
      </c>
      <c r="AL115" s="39">
        <v>656580</v>
      </c>
      <c r="AM115" s="39">
        <v>43491765</v>
      </c>
      <c r="AN115" s="34">
        <v>0</v>
      </c>
      <c r="AO115" s="18">
        <v>656580</v>
      </c>
      <c r="AP115" s="18">
        <v>43491765</v>
      </c>
      <c r="AQ115" s="34">
        <v>0</v>
      </c>
      <c r="AR115" s="39">
        <f>AS115-SEPTIEMBRE!AS115</f>
        <v>656580</v>
      </c>
      <c r="AS115" s="18">
        <v>43491765</v>
      </c>
      <c r="AT115" s="39">
        <f t="shared" si="56"/>
        <v>43491765</v>
      </c>
      <c r="AU115" s="18">
        <f t="shared" si="65"/>
        <v>109157292.38999999</v>
      </c>
      <c r="AV115" s="34">
        <f t="shared" si="66"/>
        <v>0</v>
      </c>
      <c r="AW115" s="34">
        <f t="shared" si="67"/>
        <v>0</v>
      </c>
      <c r="AX115" s="32">
        <f t="shared" si="68"/>
        <v>0.28491341999501357</v>
      </c>
    </row>
    <row r="116" spans="1:50" ht="26.25" customHeight="1" x14ac:dyDescent="0.2">
      <c r="A116" s="14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41" t="s">
        <v>984</v>
      </c>
      <c r="AB116" s="42" t="s">
        <v>985</v>
      </c>
      <c r="AC116" s="17"/>
      <c r="AD116" s="34">
        <v>0</v>
      </c>
      <c r="AE116" s="34">
        <v>0</v>
      </c>
      <c r="AF116" s="34">
        <v>0</v>
      </c>
      <c r="AG116" s="18">
        <f>700000000+1040000000</f>
        <v>1740000000</v>
      </c>
      <c r="AH116" s="34">
        <v>0</v>
      </c>
      <c r="AI116" s="18">
        <f>AE116-AF116+AG116-AH116</f>
        <v>1740000000</v>
      </c>
      <c r="AJ116" s="18">
        <f>AD116+AI116</f>
        <v>1740000000</v>
      </c>
      <c r="AK116" s="34">
        <v>0</v>
      </c>
      <c r="AL116" s="40">
        <v>0</v>
      </c>
      <c r="AM116" s="39">
        <v>1740000000</v>
      </c>
      <c r="AN116" s="34">
        <v>0</v>
      </c>
      <c r="AO116" s="34">
        <v>0</v>
      </c>
      <c r="AP116" s="18">
        <v>1740000000</v>
      </c>
      <c r="AQ116" s="34">
        <v>0</v>
      </c>
      <c r="AR116" s="39">
        <f>AS116-SEPTIEMBRE!AS116</f>
        <v>0</v>
      </c>
      <c r="AS116" s="18">
        <v>1740000000</v>
      </c>
      <c r="AT116" s="39">
        <f t="shared" si="56"/>
        <v>1740000000</v>
      </c>
      <c r="AU116" s="34">
        <f t="shared" si="65"/>
        <v>0</v>
      </c>
      <c r="AV116" s="34">
        <f t="shared" si="66"/>
        <v>0</v>
      </c>
      <c r="AW116" s="34">
        <f t="shared" si="67"/>
        <v>0</v>
      </c>
      <c r="AX116" s="32">
        <f t="shared" si="68"/>
        <v>1</v>
      </c>
    </row>
    <row r="117" spans="1:50" s="25" customFormat="1" ht="18.75" customHeight="1" x14ac:dyDescent="0.2">
      <c r="A117" s="19" t="s">
        <v>55</v>
      </c>
      <c r="B117" s="19" t="s">
        <v>56</v>
      </c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26" t="s">
        <v>883</v>
      </c>
      <c r="AB117" s="21" t="s">
        <v>217</v>
      </c>
      <c r="AC117" s="22" t="s">
        <v>37</v>
      </c>
      <c r="AD117" s="22">
        <f>AD118</f>
        <v>36000000000</v>
      </c>
      <c r="AE117" s="23">
        <f t="shared" ref="AE117:AW119" si="69">AE118</f>
        <v>0</v>
      </c>
      <c r="AF117" s="23">
        <f t="shared" si="69"/>
        <v>0</v>
      </c>
      <c r="AG117" s="23">
        <f t="shared" si="69"/>
        <v>0</v>
      </c>
      <c r="AH117" s="23">
        <f t="shared" si="69"/>
        <v>0</v>
      </c>
      <c r="AI117" s="23">
        <f t="shared" si="69"/>
        <v>0</v>
      </c>
      <c r="AJ117" s="22">
        <f t="shared" si="69"/>
        <v>36000000000</v>
      </c>
      <c r="AK117" s="23">
        <f t="shared" si="69"/>
        <v>0</v>
      </c>
      <c r="AL117" s="23">
        <f t="shared" si="69"/>
        <v>2452964672</v>
      </c>
      <c r="AM117" s="22">
        <f t="shared" si="69"/>
        <v>29900309374</v>
      </c>
      <c r="AN117" s="23">
        <f t="shared" si="69"/>
        <v>0</v>
      </c>
      <c r="AO117" s="23">
        <f t="shared" si="69"/>
        <v>2452964672</v>
      </c>
      <c r="AP117" s="22">
        <f t="shared" si="69"/>
        <v>29900309374</v>
      </c>
      <c r="AQ117" s="23">
        <f t="shared" si="69"/>
        <v>0</v>
      </c>
      <c r="AR117" s="23">
        <f t="shared" si="69"/>
        <v>2452964672</v>
      </c>
      <c r="AS117" s="22">
        <f t="shared" si="69"/>
        <v>29900309374</v>
      </c>
      <c r="AT117" s="22">
        <f>AQ117+AS117</f>
        <v>29900309374</v>
      </c>
      <c r="AU117" s="22">
        <f t="shared" si="69"/>
        <v>6099690626</v>
      </c>
      <c r="AV117" s="23">
        <f t="shared" si="69"/>
        <v>0</v>
      </c>
      <c r="AW117" s="23">
        <f t="shared" si="69"/>
        <v>0</v>
      </c>
      <c r="AX117" s="24">
        <f t="shared" si="68"/>
        <v>0.83056414927777777</v>
      </c>
    </row>
    <row r="118" spans="1:50" ht="18.75" customHeight="1" x14ac:dyDescent="0.2">
      <c r="A118" s="27" t="s">
        <v>55</v>
      </c>
      <c r="B118" s="27" t="s">
        <v>56</v>
      </c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8" t="s">
        <v>218</v>
      </c>
      <c r="AB118" s="29" t="s">
        <v>219</v>
      </c>
      <c r="AC118" s="30" t="s">
        <v>37</v>
      </c>
      <c r="AD118" s="30">
        <f>AD119</f>
        <v>36000000000</v>
      </c>
      <c r="AE118" s="31">
        <f t="shared" si="69"/>
        <v>0</v>
      </c>
      <c r="AF118" s="31">
        <f t="shared" si="69"/>
        <v>0</v>
      </c>
      <c r="AG118" s="31">
        <f t="shared" si="69"/>
        <v>0</v>
      </c>
      <c r="AH118" s="31">
        <f t="shared" si="69"/>
        <v>0</v>
      </c>
      <c r="AI118" s="31">
        <f t="shared" si="69"/>
        <v>0</v>
      </c>
      <c r="AJ118" s="30">
        <f t="shared" si="69"/>
        <v>36000000000</v>
      </c>
      <c r="AK118" s="31">
        <f t="shared" si="69"/>
        <v>0</v>
      </c>
      <c r="AL118" s="31">
        <f t="shared" si="69"/>
        <v>2452964672</v>
      </c>
      <c r="AM118" s="30">
        <f t="shared" si="69"/>
        <v>29900309374</v>
      </c>
      <c r="AN118" s="31">
        <f t="shared" si="69"/>
        <v>0</v>
      </c>
      <c r="AO118" s="31">
        <f t="shared" si="69"/>
        <v>2452964672</v>
      </c>
      <c r="AP118" s="30">
        <f t="shared" si="69"/>
        <v>29900309374</v>
      </c>
      <c r="AQ118" s="31">
        <f t="shared" si="69"/>
        <v>0</v>
      </c>
      <c r="AR118" s="31">
        <f t="shared" si="69"/>
        <v>2452964672</v>
      </c>
      <c r="AS118" s="30">
        <f t="shared" si="69"/>
        <v>29900309374</v>
      </c>
      <c r="AT118" s="30">
        <f t="shared" ref="AT118:AT122" si="70">AQ118+AS118</f>
        <v>29900309374</v>
      </c>
      <c r="AU118" s="18">
        <f>AJ118-AM118</f>
        <v>6099690626</v>
      </c>
      <c r="AV118" s="34">
        <f>AM118-AP118</f>
        <v>0</v>
      </c>
      <c r="AW118" s="34">
        <f>AP118-AT118</f>
        <v>0</v>
      </c>
      <c r="AX118" s="32">
        <f t="shared" si="68"/>
        <v>0.83056414927777777</v>
      </c>
    </row>
    <row r="119" spans="1:50" ht="22.5" customHeight="1" x14ac:dyDescent="0.2">
      <c r="A119" s="27" t="s">
        <v>55</v>
      </c>
      <c r="B119" s="27" t="s">
        <v>56</v>
      </c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8" t="s">
        <v>220</v>
      </c>
      <c r="AB119" s="29" t="s">
        <v>221</v>
      </c>
      <c r="AC119" s="30" t="s">
        <v>37</v>
      </c>
      <c r="AD119" s="30">
        <f>AD120</f>
        <v>36000000000</v>
      </c>
      <c r="AE119" s="31">
        <f t="shared" si="69"/>
        <v>0</v>
      </c>
      <c r="AF119" s="31">
        <f t="shared" si="69"/>
        <v>0</v>
      </c>
      <c r="AG119" s="31">
        <f t="shared" si="69"/>
        <v>0</v>
      </c>
      <c r="AH119" s="31">
        <f t="shared" si="69"/>
        <v>0</v>
      </c>
      <c r="AI119" s="31">
        <f t="shared" si="69"/>
        <v>0</v>
      </c>
      <c r="AJ119" s="30">
        <f t="shared" si="69"/>
        <v>36000000000</v>
      </c>
      <c r="AK119" s="31">
        <f t="shared" si="69"/>
        <v>0</v>
      </c>
      <c r="AL119" s="31">
        <f t="shared" si="69"/>
        <v>2452964672</v>
      </c>
      <c r="AM119" s="30">
        <f t="shared" si="69"/>
        <v>29900309374</v>
      </c>
      <c r="AN119" s="31">
        <f t="shared" si="69"/>
        <v>0</v>
      </c>
      <c r="AO119" s="31">
        <f t="shared" si="69"/>
        <v>2452964672</v>
      </c>
      <c r="AP119" s="30">
        <f t="shared" si="69"/>
        <v>29900309374</v>
      </c>
      <c r="AQ119" s="31">
        <f t="shared" si="69"/>
        <v>0</v>
      </c>
      <c r="AR119" s="31">
        <f t="shared" si="69"/>
        <v>2452964672</v>
      </c>
      <c r="AS119" s="30">
        <f t="shared" si="69"/>
        <v>29900309374</v>
      </c>
      <c r="AT119" s="30">
        <f t="shared" si="70"/>
        <v>29900309374</v>
      </c>
      <c r="AU119" s="18">
        <f>AJ119-AM119</f>
        <v>6099690626</v>
      </c>
      <c r="AV119" s="34">
        <f>AM119-AP119</f>
        <v>0</v>
      </c>
      <c r="AW119" s="34">
        <f>AP119-AT119</f>
        <v>0</v>
      </c>
      <c r="AX119" s="32">
        <f t="shared" si="68"/>
        <v>0.83056414927777777</v>
      </c>
    </row>
    <row r="120" spans="1:50" ht="27" customHeight="1" x14ac:dyDescent="0.2">
      <c r="A120" s="27" t="s">
        <v>55</v>
      </c>
      <c r="B120" s="27" t="s">
        <v>56</v>
      </c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8" t="s">
        <v>222</v>
      </c>
      <c r="AB120" s="29" t="s">
        <v>223</v>
      </c>
      <c r="AC120" s="30" t="s">
        <v>37</v>
      </c>
      <c r="AD120" s="30">
        <f>AD121+AD122</f>
        <v>36000000000</v>
      </c>
      <c r="AE120" s="31">
        <f t="shared" ref="AE120:AS120" si="71">AE121+AE122</f>
        <v>0</v>
      </c>
      <c r="AF120" s="31">
        <f t="shared" si="71"/>
        <v>0</v>
      </c>
      <c r="AG120" s="31">
        <f t="shared" si="71"/>
        <v>0</v>
      </c>
      <c r="AH120" s="31">
        <f t="shared" si="71"/>
        <v>0</v>
      </c>
      <c r="AI120" s="31">
        <f t="shared" si="71"/>
        <v>0</v>
      </c>
      <c r="AJ120" s="30">
        <f t="shared" si="71"/>
        <v>36000000000</v>
      </c>
      <c r="AK120" s="31">
        <f t="shared" si="71"/>
        <v>0</v>
      </c>
      <c r="AL120" s="31">
        <f t="shared" si="71"/>
        <v>2452964672</v>
      </c>
      <c r="AM120" s="30">
        <f t="shared" si="71"/>
        <v>29900309374</v>
      </c>
      <c r="AN120" s="31">
        <f t="shared" si="71"/>
        <v>0</v>
      </c>
      <c r="AO120" s="31">
        <f t="shared" si="71"/>
        <v>2452964672</v>
      </c>
      <c r="AP120" s="30">
        <f t="shared" si="71"/>
        <v>29900309374</v>
      </c>
      <c r="AQ120" s="31">
        <f t="shared" si="71"/>
        <v>0</v>
      </c>
      <c r="AR120" s="31">
        <f t="shared" si="71"/>
        <v>2452964672</v>
      </c>
      <c r="AS120" s="30">
        <f t="shared" si="71"/>
        <v>29900309374</v>
      </c>
      <c r="AT120" s="30">
        <f t="shared" si="70"/>
        <v>29900309374</v>
      </c>
      <c r="AU120" s="18">
        <f>AJ120-AM120</f>
        <v>6099690626</v>
      </c>
      <c r="AV120" s="34">
        <f>AM120-AP120</f>
        <v>0</v>
      </c>
      <c r="AW120" s="34">
        <f>AP120-AT120</f>
        <v>0</v>
      </c>
      <c r="AX120" s="32">
        <f t="shared" si="68"/>
        <v>0.83056414927777777</v>
      </c>
    </row>
    <row r="121" spans="1:50" ht="18.75" customHeight="1" x14ac:dyDescent="0.2">
      <c r="A121" s="14" t="s">
        <v>55</v>
      </c>
      <c r="B121" s="15" t="s">
        <v>56</v>
      </c>
      <c r="C121" s="15"/>
      <c r="D121" s="15" t="s">
        <v>40</v>
      </c>
      <c r="E121" s="15"/>
      <c r="F121" s="15"/>
      <c r="G121" s="15" t="s">
        <v>41</v>
      </c>
      <c r="H121" s="15"/>
      <c r="I121" s="15" t="s">
        <v>936</v>
      </c>
      <c r="J121" s="15"/>
      <c r="K121" s="15" t="s">
        <v>932</v>
      </c>
      <c r="L121" s="15"/>
      <c r="M121" s="15" t="s">
        <v>933</v>
      </c>
      <c r="N121" s="15"/>
      <c r="O121" s="15" t="s">
        <v>943</v>
      </c>
      <c r="P121" s="15"/>
      <c r="Q121" s="15" t="s">
        <v>939</v>
      </c>
      <c r="R121" s="15"/>
      <c r="S121" s="15" t="s">
        <v>940</v>
      </c>
      <c r="T121" s="15">
        <v>0</v>
      </c>
      <c r="U121" s="15">
        <v>0</v>
      </c>
      <c r="V121" s="15">
        <v>0</v>
      </c>
      <c r="W121" s="15">
        <v>0</v>
      </c>
      <c r="X121" s="15" t="s">
        <v>937</v>
      </c>
      <c r="Y121" s="15"/>
      <c r="Z121" s="15"/>
      <c r="AA121" s="16" t="s">
        <v>224</v>
      </c>
      <c r="AB121" s="17" t="s">
        <v>225</v>
      </c>
      <c r="AC121" s="17" t="s">
        <v>226</v>
      </c>
      <c r="AD121" s="18">
        <v>35280000000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18">
        <v>35280000000</v>
      </c>
      <c r="AK121" s="34">
        <v>0</v>
      </c>
      <c r="AL121" s="18">
        <v>2436508382</v>
      </c>
      <c r="AM121" s="18">
        <v>29713991943</v>
      </c>
      <c r="AN121" s="18">
        <v>0</v>
      </c>
      <c r="AO121" s="18">
        <v>2436508382</v>
      </c>
      <c r="AP121" s="18">
        <v>29713991943</v>
      </c>
      <c r="AQ121" s="18">
        <v>0</v>
      </c>
      <c r="AR121" s="18">
        <f>AS121-SEPTIEMBRE!AS121</f>
        <v>2436508382</v>
      </c>
      <c r="AS121" s="18">
        <v>29713991943</v>
      </c>
      <c r="AT121" s="39">
        <f t="shared" si="70"/>
        <v>29713991943</v>
      </c>
      <c r="AU121" s="18">
        <f>AJ121-AM121</f>
        <v>5566008057</v>
      </c>
      <c r="AV121" s="34">
        <f>AM121-AP121</f>
        <v>0</v>
      </c>
      <c r="AW121" s="34">
        <f>AP121-AT121</f>
        <v>0</v>
      </c>
      <c r="AX121" s="32">
        <f t="shared" si="68"/>
        <v>0.84223333171768711</v>
      </c>
    </row>
    <row r="122" spans="1:50" ht="18.75" customHeight="1" x14ac:dyDescent="0.2">
      <c r="A122" s="14" t="s">
        <v>55</v>
      </c>
      <c r="B122" s="15" t="s">
        <v>56</v>
      </c>
      <c r="C122" s="15"/>
      <c r="D122" s="15" t="s">
        <v>40</v>
      </c>
      <c r="E122" s="15"/>
      <c r="F122" s="15"/>
      <c r="G122" s="15" t="s">
        <v>41</v>
      </c>
      <c r="H122" s="15"/>
      <c r="I122" s="15" t="s">
        <v>936</v>
      </c>
      <c r="J122" s="15"/>
      <c r="K122" s="15" t="s">
        <v>932</v>
      </c>
      <c r="L122" s="15"/>
      <c r="M122" s="15" t="s">
        <v>933</v>
      </c>
      <c r="N122" s="15"/>
      <c r="O122" s="15" t="s">
        <v>943</v>
      </c>
      <c r="P122" s="15"/>
      <c r="Q122" s="15" t="s">
        <v>939</v>
      </c>
      <c r="R122" s="15"/>
      <c r="S122" s="15" t="s">
        <v>940</v>
      </c>
      <c r="T122" s="15">
        <v>0</v>
      </c>
      <c r="U122" s="15">
        <v>0</v>
      </c>
      <c r="V122" s="15">
        <v>0</v>
      </c>
      <c r="W122" s="15">
        <v>0</v>
      </c>
      <c r="X122" s="15" t="s">
        <v>937</v>
      </c>
      <c r="Y122" s="15"/>
      <c r="Z122" s="15"/>
      <c r="AA122" s="16" t="s">
        <v>227</v>
      </c>
      <c r="AB122" s="17" t="s">
        <v>228</v>
      </c>
      <c r="AC122" s="17" t="s">
        <v>226</v>
      </c>
      <c r="AD122" s="18">
        <v>720000000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18">
        <v>720000000</v>
      </c>
      <c r="AK122" s="34">
        <v>0</v>
      </c>
      <c r="AL122" s="18">
        <v>16456290</v>
      </c>
      <c r="AM122" s="18">
        <v>186317431</v>
      </c>
      <c r="AN122" s="18">
        <v>0</v>
      </c>
      <c r="AO122" s="18">
        <v>16456290</v>
      </c>
      <c r="AP122" s="18">
        <v>186317431</v>
      </c>
      <c r="AQ122" s="18">
        <v>0</v>
      </c>
      <c r="AR122" s="18">
        <f>AS122-SEPTIEMBRE!AS122</f>
        <v>16456290</v>
      </c>
      <c r="AS122" s="18">
        <v>186317431</v>
      </c>
      <c r="AT122" s="39">
        <f t="shared" si="70"/>
        <v>186317431</v>
      </c>
      <c r="AU122" s="18">
        <f>AJ122-AM122</f>
        <v>533682569</v>
      </c>
      <c r="AV122" s="34">
        <f>AM122-AP122</f>
        <v>0</v>
      </c>
      <c r="AW122" s="34">
        <f>AP122-AT122</f>
        <v>0</v>
      </c>
      <c r="AX122" s="32">
        <f t="shared" si="68"/>
        <v>0.2587742097222222</v>
      </c>
    </row>
    <row r="123" spans="1:50" s="25" customFormat="1" ht="18.75" customHeight="1" x14ac:dyDescent="0.2">
      <c r="A123" s="19" t="s">
        <v>55</v>
      </c>
      <c r="B123" s="19" t="s">
        <v>56</v>
      </c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26" t="s">
        <v>884</v>
      </c>
      <c r="AB123" s="21" t="s">
        <v>229</v>
      </c>
      <c r="AC123" s="22" t="s">
        <v>56</v>
      </c>
      <c r="AD123" s="22">
        <f>AD124</f>
        <v>42253026328</v>
      </c>
      <c r="AE123" s="22">
        <f t="shared" ref="AE123:AW123" si="72">AE124</f>
        <v>429925823.10000002</v>
      </c>
      <c r="AF123" s="23">
        <f t="shared" si="72"/>
        <v>0</v>
      </c>
      <c r="AG123" s="22">
        <f t="shared" si="72"/>
        <v>184000000</v>
      </c>
      <c r="AH123" s="22">
        <f t="shared" si="72"/>
        <v>5256448768.7200003</v>
      </c>
      <c r="AI123" s="22">
        <f t="shared" si="72"/>
        <v>-4642522945.6199999</v>
      </c>
      <c r="AJ123" s="22">
        <f t="shared" si="72"/>
        <v>37610503382.379997</v>
      </c>
      <c r="AK123" s="23">
        <f t="shared" si="72"/>
        <v>0</v>
      </c>
      <c r="AL123" s="22">
        <f t="shared" si="72"/>
        <v>2198019534.5799999</v>
      </c>
      <c r="AM123" s="22">
        <f t="shared" si="72"/>
        <v>23737848343.629997</v>
      </c>
      <c r="AN123" s="23">
        <f t="shared" si="72"/>
        <v>0</v>
      </c>
      <c r="AO123" s="22">
        <f t="shared" si="72"/>
        <v>2198019534.5799999</v>
      </c>
      <c r="AP123" s="22">
        <f t="shared" si="72"/>
        <v>23737848340.629997</v>
      </c>
      <c r="AQ123" s="23">
        <f t="shared" si="72"/>
        <v>77965751</v>
      </c>
      <c r="AR123" s="22">
        <f t="shared" si="72"/>
        <v>4182291751.6199999</v>
      </c>
      <c r="AS123" s="22">
        <f t="shared" si="72"/>
        <v>23600131508.629997</v>
      </c>
      <c r="AT123" s="22">
        <f>AQ123+AS123</f>
        <v>23678097259.629997</v>
      </c>
      <c r="AU123" s="22">
        <f t="shared" si="72"/>
        <v>13872655038.75</v>
      </c>
      <c r="AV123" s="23">
        <f t="shared" si="72"/>
        <v>3</v>
      </c>
      <c r="AW123" s="22">
        <f t="shared" si="72"/>
        <v>59751081</v>
      </c>
      <c r="AX123" s="24">
        <f t="shared" si="68"/>
        <v>0.63114944512417381</v>
      </c>
    </row>
    <row r="124" spans="1:50" ht="18.75" customHeight="1" x14ac:dyDescent="0.2">
      <c r="A124" s="27" t="s">
        <v>55</v>
      </c>
      <c r="B124" s="27" t="s">
        <v>56</v>
      </c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8" t="s">
        <v>885</v>
      </c>
      <c r="AB124" s="29" t="s">
        <v>230</v>
      </c>
      <c r="AC124" s="30" t="s">
        <v>56</v>
      </c>
      <c r="AD124" s="30">
        <f>AD125+AD131+AD134+AD136+AD137+AD138</f>
        <v>42253026328</v>
      </c>
      <c r="AE124" s="30">
        <f t="shared" ref="AE124:AS124" si="73">AE125+AE131+AE134+AE136+AE137+AE138</f>
        <v>429925823.10000002</v>
      </c>
      <c r="AF124" s="31">
        <f t="shared" si="73"/>
        <v>0</v>
      </c>
      <c r="AG124" s="30">
        <f t="shared" si="73"/>
        <v>184000000</v>
      </c>
      <c r="AH124" s="30">
        <f t="shared" si="73"/>
        <v>5256448768.7200003</v>
      </c>
      <c r="AI124" s="30">
        <f t="shared" si="73"/>
        <v>-4642522945.6199999</v>
      </c>
      <c r="AJ124" s="30">
        <f t="shared" si="73"/>
        <v>37610503382.379997</v>
      </c>
      <c r="AK124" s="31">
        <f t="shared" si="73"/>
        <v>0</v>
      </c>
      <c r="AL124" s="30">
        <f t="shared" si="73"/>
        <v>2198019534.5799999</v>
      </c>
      <c r="AM124" s="30">
        <f t="shared" si="73"/>
        <v>23737848343.629997</v>
      </c>
      <c r="AN124" s="31">
        <f t="shared" si="73"/>
        <v>0</v>
      </c>
      <c r="AO124" s="30">
        <f t="shared" si="73"/>
        <v>2198019534.5799999</v>
      </c>
      <c r="AP124" s="30">
        <f t="shared" si="73"/>
        <v>23737848340.629997</v>
      </c>
      <c r="AQ124" s="31">
        <f t="shared" si="73"/>
        <v>77965751</v>
      </c>
      <c r="AR124" s="30">
        <f t="shared" si="73"/>
        <v>4182291751.6199999</v>
      </c>
      <c r="AS124" s="30">
        <f t="shared" si="73"/>
        <v>23600131508.629997</v>
      </c>
      <c r="AT124" s="30">
        <f t="shared" ref="AT124:AT138" si="74">AQ124+AS124</f>
        <v>23678097259.629997</v>
      </c>
      <c r="AU124" s="18">
        <f>AJ124-AM124</f>
        <v>13872655038.75</v>
      </c>
      <c r="AV124" s="34">
        <f>AM124-AP124</f>
        <v>3</v>
      </c>
      <c r="AW124" s="18">
        <f>AP124-AT124</f>
        <v>59751081</v>
      </c>
      <c r="AX124" s="32">
        <f t="shared" si="68"/>
        <v>0.63114944512417381</v>
      </c>
    </row>
    <row r="125" spans="1:50" ht="18.75" customHeight="1" x14ac:dyDescent="0.2">
      <c r="A125" s="27" t="s">
        <v>55</v>
      </c>
      <c r="B125" s="27" t="s">
        <v>56</v>
      </c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8" t="s">
        <v>886</v>
      </c>
      <c r="AB125" s="29" t="s">
        <v>231</v>
      </c>
      <c r="AC125" s="30" t="s">
        <v>56</v>
      </c>
      <c r="AD125" s="30">
        <f>AD126</f>
        <v>40897026328</v>
      </c>
      <c r="AE125" s="30">
        <f>AE126</f>
        <v>429925823.10000002</v>
      </c>
      <c r="AF125" s="31">
        <f t="shared" ref="AF125:AS125" si="75">AF126</f>
        <v>0</v>
      </c>
      <c r="AG125" s="31">
        <f t="shared" si="75"/>
        <v>0</v>
      </c>
      <c r="AH125" s="30">
        <f t="shared" si="75"/>
        <v>5256448768.7200003</v>
      </c>
      <c r="AI125" s="30">
        <f t="shared" si="75"/>
        <v>-4826522945.6199999</v>
      </c>
      <c r="AJ125" s="30">
        <f t="shared" si="75"/>
        <v>36070503382.379997</v>
      </c>
      <c r="AK125" s="31">
        <f t="shared" si="75"/>
        <v>0</v>
      </c>
      <c r="AL125" s="30">
        <f t="shared" si="75"/>
        <v>2100226868</v>
      </c>
      <c r="AM125" s="30">
        <f t="shared" si="75"/>
        <v>22872489482.599998</v>
      </c>
      <c r="AN125" s="31">
        <f t="shared" si="75"/>
        <v>0</v>
      </c>
      <c r="AO125" s="30">
        <f t="shared" si="75"/>
        <v>2100226868</v>
      </c>
      <c r="AP125" s="30">
        <f t="shared" si="75"/>
        <v>22872489482.599998</v>
      </c>
      <c r="AQ125" s="31">
        <f t="shared" si="75"/>
        <v>0</v>
      </c>
      <c r="AR125" s="30">
        <f t="shared" si="75"/>
        <v>4151273192</v>
      </c>
      <c r="AS125" s="113">
        <f t="shared" si="75"/>
        <v>22833809962.599998</v>
      </c>
      <c r="AT125" s="30">
        <f t="shared" si="74"/>
        <v>22833809962.599998</v>
      </c>
      <c r="AU125" s="18">
        <f>AJ125-AM125</f>
        <v>13198013899.779999</v>
      </c>
      <c r="AV125" s="34">
        <f>AM125-AP125</f>
        <v>0</v>
      </c>
      <c r="AW125" s="18">
        <f>AP125-AT125</f>
        <v>38679520</v>
      </c>
      <c r="AX125" s="32">
        <f t="shared" si="68"/>
        <v>0.63410508137718236</v>
      </c>
    </row>
    <row r="126" spans="1:50" ht="29.25" customHeight="1" x14ac:dyDescent="0.2">
      <c r="A126" s="27" t="s">
        <v>55</v>
      </c>
      <c r="B126" s="27" t="s">
        <v>56</v>
      </c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8" t="s">
        <v>887</v>
      </c>
      <c r="AB126" s="29" t="s">
        <v>232</v>
      </c>
      <c r="AC126" s="30" t="s">
        <v>37</v>
      </c>
      <c r="AD126" s="30">
        <f>AD127+AD128+AD129+AD130</f>
        <v>40897026328</v>
      </c>
      <c r="AE126" s="30">
        <f t="shared" ref="AE126:AW126" si="76">AE127+AE128+AE129+AE130</f>
        <v>429925823.10000002</v>
      </c>
      <c r="AF126" s="31">
        <f t="shared" si="76"/>
        <v>0</v>
      </c>
      <c r="AG126" s="31">
        <f t="shared" si="76"/>
        <v>0</v>
      </c>
      <c r="AH126" s="30">
        <f t="shared" si="76"/>
        <v>5256448768.7200003</v>
      </c>
      <c r="AI126" s="30">
        <f t="shared" si="76"/>
        <v>-4826522945.6199999</v>
      </c>
      <c r="AJ126" s="30">
        <f t="shared" si="76"/>
        <v>36070503382.379997</v>
      </c>
      <c r="AK126" s="31">
        <f t="shared" si="76"/>
        <v>0</v>
      </c>
      <c r="AL126" s="30">
        <f t="shared" si="76"/>
        <v>2100226868</v>
      </c>
      <c r="AM126" s="30">
        <f t="shared" si="76"/>
        <v>22872489482.599998</v>
      </c>
      <c r="AN126" s="31">
        <f t="shared" si="76"/>
        <v>0</v>
      </c>
      <c r="AO126" s="30">
        <f t="shared" si="76"/>
        <v>2100226868</v>
      </c>
      <c r="AP126" s="30">
        <f t="shared" si="76"/>
        <v>22872489482.599998</v>
      </c>
      <c r="AQ126" s="31">
        <f t="shared" si="76"/>
        <v>0</v>
      </c>
      <c r="AR126" s="30">
        <f t="shared" si="76"/>
        <v>4151273192</v>
      </c>
      <c r="AS126" s="30">
        <f t="shared" si="76"/>
        <v>22833809962.599998</v>
      </c>
      <c r="AT126" s="30">
        <f t="shared" si="76"/>
        <v>22833809962.599998</v>
      </c>
      <c r="AU126" s="30">
        <f t="shared" si="76"/>
        <v>13198013899.779999</v>
      </c>
      <c r="AV126" s="31">
        <f t="shared" si="76"/>
        <v>0</v>
      </c>
      <c r="AW126" s="30">
        <f t="shared" si="76"/>
        <v>38679520</v>
      </c>
      <c r="AX126" s="32">
        <f t="shared" si="68"/>
        <v>0.63410508137718236</v>
      </c>
    </row>
    <row r="127" spans="1:50" ht="18.75" customHeight="1" x14ac:dyDescent="0.2">
      <c r="A127" s="14" t="s">
        <v>55</v>
      </c>
      <c r="B127" s="15" t="s">
        <v>56</v>
      </c>
      <c r="C127" s="15"/>
      <c r="D127" s="15" t="s">
        <v>40</v>
      </c>
      <c r="E127" s="15"/>
      <c r="F127" s="15"/>
      <c r="G127" s="15" t="s">
        <v>41</v>
      </c>
      <c r="H127" s="15"/>
      <c r="I127" s="15" t="s">
        <v>936</v>
      </c>
      <c r="J127" s="15"/>
      <c r="K127" s="15" t="s">
        <v>932</v>
      </c>
      <c r="L127" s="15"/>
      <c r="M127" s="15" t="s">
        <v>933</v>
      </c>
      <c r="N127" s="15"/>
      <c r="O127" s="15" t="s">
        <v>938</v>
      </c>
      <c r="P127" s="15"/>
      <c r="Q127" s="15" t="s">
        <v>939</v>
      </c>
      <c r="R127" s="15"/>
      <c r="S127" s="15" t="s">
        <v>940</v>
      </c>
      <c r="T127" s="15">
        <v>0</v>
      </c>
      <c r="U127" s="15">
        <v>0</v>
      </c>
      <c r="V127" s="15">
        <v>0</v>
      </c>
      <c r="W127" s="15">
        <v>0</v>
      </c>
      <c r="X127" s="15" t="s">
        <v>937</v>
      </c>
      <c r="Y127" s="15"/>
      <c r="Z127" s="15"/>
      <c r="AA127" s="41" t="s">
        <v>888</v>
      </c>
      <c r="AB127" s="17" t="s">
        <v>233</v>
      </c>
      <c r="AC127" s="17" t="s">
        <v>58</v>
      </c>
      <c r="AD127" s="18">
        <v>28000000000</v>
      </c>
      <c r="AE127" s="34">
        <v>0</v>
      </c>
      <c r="AF127" s="34">
        <v>0</v>
      </c>
      <c r="AG127" s="34">
        <v>0</v>
      </c>
      <c r="AH127" s="18">
        <f>900000000+80000000+2830200000+365556246.72+1056495322+24197200</f>
        <v>5256448768.7200003</v>
      </c>
      <c r="AI127" s="18">
        <f>AE127-AF127+AG127-AH127</f>
        <v>-5256448768.7200003</v>
      </c>
      <c r="AJ127" s="18">
        <f>AD127+AI127</f>
        <v>22743551231.279999</v>
      </c>
      <c r="AK127" s="34">
        <v>0</v>
      </c>
      <c r="AL127" s="18">
        <v>1941280465</v>
      </c>
      <c r="AM127" s="18">
        <v>10466034801.9</v>
      </c>
      <c r="AN127" s="34">
        <v>0</v>
      </c>
      <c r="AO127" s="18">
        <v>1941280465</v>
      </c>
      <c r="AP127" s="18">
        <v>10466034801.9</v>
      </c>
      <c r="AQ127" s="34">
        <v>0</v>
      </c>
      <c r="AR127" s="18">
        <f>AS127-SEPTIEMBRE!AS127</f>
        <v>3833380386</v>
      </c>
      <c r="AS127" s="18">
        <v>10466010501.9</v>
      </c>
      <c r="AT127" s="39">
        <f t="shared" si="74"/>
        <v>10466010501.9</v>
      </c>
      <c r="AU127" s="18">
        <f t="shared" ref="AU127:AU138" si="77">AJ127-AM127</f>
        <v>12277516429.379999</v>
      </c>
      <c r="AV127" s="34">
        <f t="shared" ref="AV127:AV138" si="78">AM127-AP127</f>
        <v>0</v>
      </c>
      <c r="AW127" s="18">
        <f t="shared" ref="AW127:AW138" si="79">AP127-AT127</f>
        <v>24300</v>
      </c>
      <c r="AX127" s="32">
        <f t="shared" si="68"/>
        <v>0.46017592835307519</v>
      </c>
    </row>
    <row r="128" spans="1:50" ht="28.5" customHeight="1" x14ac:dyDescent="0.2">
      <c r="A128" s="4" t="s">
        <v>55</v>
      </c>
      <c r="B128" s="4" t="s">
        <v>56</v>
      </c>
      <c r="C128" s="4"/>
      <c r="D128" s="4" t="s">
        <v>40</v>
      </c>
      <c r="E128" s="4"/>
      <c r="F128" s="4"/>
      <c r="G128" s="4" t="s">
        <v>41</v>
      </c>
      <c r="H128" s="4"/>
      <c r="I128" s="4" t="s">
        <v>936</v>
      </c>
      <c r="J128" s="4"/>
      <c r="K128" s="4" t="s">
        <v>932</v>
      </c>
      <c r="L128" s="4"/>
      <c r="M128" s="4" t="s">
        <v>933</v>
      </c>
      <c r="N128" s="4"/>
      <c r="O128" s="4" t="s">
        <v>938</v>
      </c>
      <c r="P128" s="4"/>
      <c r="Q128" s="4" t="s">
        <v>939</v>
      </c>
      <c r="R128" s="4"/>
      <c r="S128" s="4" t="s">
        <v>940</v>
      </c>
      <c r="T128" s="4">
        <v>0</v>
      </c>
      <c r="U128" s="4">
        <v>0</v>
      </c>
      <c r="V128" s="4">
        <v>0</v>
      </c>
      <c r="W128" s="4">
        <v>0</v>
      </c>
      <c r="X128" s="4" t="s">
        <v>937</v>
      </c>
      <c r="Y128" s="4"/>
      <c r="Z128" s="4"/>
      <c r="AA128" s="41" t="s">
        <v>889</v>
      </c>
      <c r="AB128" s="42" t="s">
        <v>234</v>
      </c>
      <c r="AC128" s="43" t="s">
        <v>235</v>
      </c>
      <c r="AD128" s="43">
        <v>10000000000</v>
      </c>
      <c r="AE128" s="44">
        <v>0</v>
      </c>
      <c r="AF128" s="44">
        <v>0</v>
      </c>
      <c r="AG128" s="44">
        <v>0</v>
      </c>
      <c r="AH128" s="44">
        <v>0</v>
      </c>
      <c r="AI128" s="44">
        <v>0</v>
      </c>
      <c r="AJ128" s="43">
        <v>10000000000</v>
      </c>
      <c r="AK128" s="44">
        <v>0</v>
      </c>
      <c r="AL128" s="34">
        <v>0</v>
      </c>
      <c r="AM128" s="43">
        <v>10000000000</v>
      </c>
      <c r="AN128" s="44">
        <v>0</v>
      </c>
      <c r="AO128" s="44">
        <v>0</v>
      </c>
      <c r="AP128" s="43">
        <v>10000000000</v>
      </c>
      <c r="AQ128" s="44">
        <v>0</v>
      </c>
      <c r="AR128" s="18">
        <f>AS128-SEPTIEMBRE!AS128</f>
        <v>0</v>
      </c>
      <c r="AS128" s="114">
        <v>10000000000</v>
      </c>
      <c r="AT128" s="39">
        <f t="shared" si="74"/>
        <v>10000000000</v>
      </c>
      <c r="AU128" s="34">
        <f t="shared" si="77"/>
        <v>0</v>
      </c>
      <c r="AV128" s="34">
        <f t="shared" si="78"/>
        <v>0</v>
      </c>
      <c r="AW128" s="34">
        <f t="shared" si="79"/>
        <v>0</v>
      </c>
      <c r="AX128" s="32">
        <f t="shared" si="68"/>
        <v>1</v>
      </c>
    </row>
    <row r="129" spans="1:50" ht="27" customHeight="1" x14ac:dyDescent="0.2">
      <c r="A129" s="4" t="s">
        <v>55</v>
      </c>
      <c r="B129" s="4" t="s">
        <v>56</v>
      </c>
      <c r="C129" s="4"/>
      <c r="D129" s="4" t="s">
        <v>40</v>
      </c>
      <c r="E129" s="4"/>
      <c r="F129" s="4"/>
      <c r="G129" s="4" t="s">
        <v>41</v>
      </c>
      <c r="H129" s="4"/>
      <c r="I129" s="4" t="s">
        <v>936</v>
      </c>
      <c r="J129" s="4"/>
      <c r="K129" s="4" t="s">
        <v>932</v>
      </c>
      <c r="L129" s="4"/>
      <c r="M129" s="4" t="s">
        <v>933</v>
      </c>
      <c r="N129" s="4"/>
      <c r="O129" s="4" t="s">
        <v>938</v>
      </c>
      <c r="P129" s="4"/>
      <c r="Q129" s="4" t="s">
        <v>939</v>
      </c>
      <c r="R129" s="4"/>
      <c r="S129" s="4" t="s">
        <v>940</v>
      </c>
      <c r="T129" s="4">
        <v>0</v>
      </c>
      <c r="U129" s="4">
        <v>0</v>
      </c>
      <c r="V129" s="4">
        <v>0</v>
      </c>
      <c r="W129" s="4">
        <v>0</v>
      </c>
      <c r="X129" s="4" t="s">
        <v>937</v>
      </c>
      <c r="Y129" s="4"/>
      <c r="Z129" s="4"/>
      <c r="AA129" s="41" t="s">
        <v>890</v>
      </c>
      <c r="AB129" s="42" t="s">
        <v>236</v>
      </c>
      <c r="AC129" s="38" t="s">
        <v>237</v>
      </c>
      <c r="AD129" s="39">
        <v>2897026328</v>
      </c>
      <c r="AE129" s="40">
        <v>0</v>
      </c>
      <c r="AF129" s="40">
        <v>0</v>
      </c>
      <c r="AG129" s="40">
        <v>0</v>
      </c>
      <c r="AH129" s="40">
        <v>0</v>
      </c>
      <c r="AI129" s="40">
        <v>0</v>
      </c>
      <c r="AJ129" s="39">
        <v>2897026328</v>
      </c>
      <c r="AK129" s="40">
        <v>0</v>
      </c>
      <c r="AL129" s="18">
        <v>158946403</v>
      </c>
      <c r="AM129" s="39">
        <v>1976528857.5999999</v>
      </c>
      <c r="AN129" s="40">
        <v>0</v>
      </c>
      <c r="AO129" s="39">
        <v>158946403</v>
      </c>
      <c r="AP129" s="39">
        <v>1976528857.5999999</v>
      </c>
      <c r="AQ129" s="40">
        <v>0</v>
      </c>
      <c r="AR129" s="18">
        <f>AS129-SEPTIEMBRE!AS129</f>
        <v>317892806</v>
      </c>
      <c r="AS129" s="39">
        <v>1937873637.5999999</v>
      </c>
      <c r="AT129" s="39">
        <f t="shared" si="74"/>
        <v>1937873637.5999999</v>
      </c>
      <c r="AU129" s="18">
        <f t="shared" si="77"/>
        <v>920497470.4000001</v>
      </c>
      <c r="AV129" s="34">
        <f t="shared" si="78"/>
        <v>0</v>
      </c>
      <c r="AW129" s="18">
        <f t="shared" si="79"/>
        <v>38655220</v>
      </c>
      <c r="AX129" s="32">
        <f t="shared" si="68"/>
        <v>0.68226126856241676</v>
      </c>
    </row>
    <row r="130" spans="1:50" ht="27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1" t="s">
        <v>994</v>
      </c>
      <c r="AB130" s="42" t="s">
        <v>995</v>
      </c>
      <c r="AC130" s="38"/>
      <c r="AD130" s="39">
        <v>0</v>
      </c>
      <c r="AE130" s="39">
        <v>429925823.10000002</v>
      </c>
      <c r="AF130" s="40">
        <v>0</v>
      </c>
      <c r="AG130" s="40">
        <v>0</v>
      </c>
      <c r="AH130" s="40">
        <v>0</v>
      </c>
      <c r="AI130" s="18">
        <f>AE130-AF130+AG130-AH130</f>
        <v>429925823.10000002</v>
      </c>
      <c r="AJ130" s="18">
        <f>AD130+AI130</f>
        <v>429925823.10000002</v>
      </c>
      <c r="AK130" s="40">
        <v>0</v>
      </c>
      <c r="AL130" s="34">
        <v>0</v>
      </c>
      <c r="AM130" s="39">
        <v>429925823.10000002</v>
      </c>
      <c r="AN130" s="40">
        <v>0</v>
      </c>
      <c r="AO130" s="40">
        <v>0</v>
      </c>
      <c r="AP130" s="40">
        <v>429925823.10000002</v>
      </c>
      <c r="AQ130" s="40">
        <v>0</v>
      </c>
      <c r="AR130" s="18">
        <f>AS130-SEPTIEMBRE!AS130</f>
        <v>0</v>
      </c>
      <c r="AS130" s="40">
        <v>429925823.10000002</v>
      </c>
      <c r="AT130" s="30">
        <f t="shared" si="74"/>
        <v>429925823.10000002</v>
      </c>
      <c r="AU130" s="34">
        <f t="shared" si="77"/>
        <v>0</v>
      </c>
      <c r="AV130" s="34">
        <f t="shared" si="78"/>
        <v>0</v>
      </c>
      <c r="AW130" s="34">
        <f t="shared" si="79"/>
        <v>0</v>
      </c>
      <c r="AX130" s="32">
        <f t="shared" si="68"/>
        <v>1</v>
      </c>
    </row>
    <row r="131" spans="1:50" ht="18.75" customHeight="1" x14ac:dyDescent="0.2">
      <c r="A131" s="27" t="s">
        <v>55</v>
      </c>
      <c r="B131" s="27" t="s">
        <v>56</v>
      </c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8" t="s">
        <v>891</v>
      </c>
      <c r="AB131" s="29" t="s">
        <v>238</v>
      </c>
      <c r="AC131" s="30" t="s">
        <v>37</v>
      </c>
      <c r="AD131" s="30">
        <f>AD132+AD133</f>
        <v>1000000000</v>
      </c>
      <c r="AE131" s="31">
        <f t="shared" ref="AE131:AS131" si="80">AE132+AE133</f>
        <v>0</v>
      </c>
      <c r="AF131" s="31">
        <f t="shared" si="80"/>
        <v>0</v>
      </c>
      <c r="AG131" s="31">
        <f t="shared" si="80"/>
        <v>0</v>
      </c>
      <c r="AH131" s="31">
        <f t="shared" si="80"/>
        <v>0</v>
      </c>
      <c r="AI131" s="31">
        <f t="shared" si="80"/>
        <v>0</v>
      </c>
      <c r="AJ131" s="30">
        <f t="shared" si="80"/>
        <v>1000000000</v>
      </c>
      <c r="AK131" s="31">
        <f t="shared" si="80"/>
        <v>0</v>
      </c>
      <c r="AL131" s="109">
        <f t="shared" si="80"/>
        <v>72058610.579999998</v>
      </c>
      <c r="AM131" s="109">
        <f t="shared" si="80"/>
        <v>494676594.02999997</v>
      </c>
      <c r="AN131" s="31">
        <f t="shared" si="80"/>
        <v>0</v>
      </c>
      <c r="AO131" s="109">
        <f t="shared" si="80"/>
        <v>72058610.579999998</v>
      </c>
      <c r="AP131" s="109">
        <f t="shared" si="80"/>
        <v>494676591.02999997</v>
      </c>
      <c r="AQ131" s="31">
        <f t="shared" si="80"/>
        <v>68880491</v>
      </c>
      <c r="AR131" s="109">
        <f t="shared" si="80"/>
        <v>8472087.6199999992</v>
      </c>
      <c r="AS131" s="109">
        <f t="shared" si="80"/>
        <v>425796100.02999997</v>
      </c>
      <c r="AT131" s="30">
        <f t="shared" si="74"/>
        <v>494676591.02999997</v>
      </c>
      <c r="AU131" s="176">
        <f t="shared" si="77"/>
        <v>505323405.97000003</v>
      </c>
      <c r="AV131" s="34">
        <f t="shared" si="78"/>
        <v>3</v>
      </c>
      <c r="AW131" s="18">
        <f t="shared" si="79"/>
        <v>0</v>
      </c>
      <c r="AX131" s="32">
        <f t="shared" si="68"/>
        <v>0.49467659102999995</v>
      </c>
    </row>
    <row r="132" spans="1:50" ht="18.75" customHeight="1" x14ac:dyDescent="0.2">
      <c r="A132" s="4" t="s">
        <v>55</v>
      </c>
      <c r="B132" s="4" t="s">
        <v>56</v>
      </c>
      <c r="C132" s="4"/>
      <c r="D132" s="4" t="s">
        <v>40</v>
      </c>
      <c r="E132" s="4"/>
      <c r="F132" s="4"/>
      <c r="G132" s="4" t="s">
        <v>41</v>
      </c>
      <c r="H132" s="4"/>
      <c r="I132" s="4" t="s">
        <v>936</v>
      </c>
      <c r="J132" s="4"/>
      <c r="K132" s="4" t="s">
        <v>932</v>
      </c>
      <c r="L132" s="4"/>
      <c r="M132" s="4" t="s">
        <v>933</v>
      </c>
      <c r="N132" s="4"/>
      <c r="O132" s="4" t="s">
        <v>938</v>
      </c>
      <c r="P132" s="4"/>
      <c r="Q132" s="4" t="s">
        <v>939</v>
      </c>
      <c r="R132" s="4"/>
      <c r="S132" s="4" t="s">
        <v>940</v>
      </c>
      <c r="T132" s="4">
        <v>0</v>
      </c>
      <c r="U132" s="4">
        <v>0</v>
      </c>
      <c r="V132" s="4">
        <v>0</v>
      </c>
      <c r="W132" s="4">
        <v>0</v>
      </c>
      <c r="X132" s="4" t="s">
        <v>937</v>
      </c>
      <c r="Y132" s="4"/>
      <c r="Z132" s="4"/>
      <c r="AA132" s="41" t="s">
        <v>893</v>
      </c>
      <c r="AB132" s="42" t="s">
        <v>233</v>
      </c>
      <c r="AC132" s="43" t="s">
        <v>58</v>
      </c>
      <c r="AD132" s="43">
        <v>500000000</v>
      </c>
      <c r="AE132" s="44">
        <v>0</v>
      </c>
      <c r="AF132" s="44">
        <v>0</v>
      </c>
      <c r="AG132" s="44">
        <v>0</v>
      </c>
      <c r="AH132" s="44">
        <v>0</v>
      </c>
      <c r="AI132" s="44">
        <v>0</v>
      </c>
      <c r="AJ132" s="43">
        <v>500000000</v>
      </c>
      <c r="AK132" s="44">
        <v>0</v>
      </c>
      <c r="AL132" s="18">
        <v>3178119.58</v>
      </c>
      <c r="AM132" s="43">
        <v>30140139.030000001</v>
      </c>
      <c r="AN132" s="44">
        <v>0</v>
      </c>
      <c r="AO132" s="43">
        <v>3178119.58</v>
      </c>
      <c r="AP132" s="43">
        <v>30140136.030000001</v>
      </c>
      <c r="AQ132" s="44">
        <v>0</v>
      </c>
      <c r="AR132" s="43">
        <v>8472087.6199999992</v>
      </c>
      <c r="AS132" s="43">
        <v>30140136.030000001</v>
      </c>
      <c r="AT132" s="39">
        <f t="shared" si="74"/>
        <v>30140136.030000001</v>
      </c>
      <c r="AU132" s="18">
        <f t="shared" si="77"/>
        <v>469859860.97000003</v>
      </c>
      <c r="AV132" s="34">
        <f t="shared" si="78"/>
        <v>3</v>
      </c>
      <c r="AW132" s="18">
        <f t="shared" si="79"/>
        <v>0</v>
      </c>
      <c r="AX132" s="32">
        <f t="shared" si="68"/>
        <v>6.0280272060000001E-2</v>
      </c>
    </row>
    <row r="133" spans="1:50" ht="18.75" customHeight="1" x14ac:dyDescent="0.2">
      <c r="A133" s="4" t="s">
        <v>55</v>
      </c>
      <c r="B133" s="4" t="s">
        <v>56</v>
      </c>
      <c r="C133" s="4"/>
      <c r="D133" s="4" t="s">
        <v>40</v>
      </c>
      <c r="E133" s="4"/>
      <c r="F133" s="4"/>
      <c r="G133" s="4" t="s">
        <v>41</v>
      </c>
      <c r="H133" s="4"/>
      <c r="I133" s="4" t="s">
        <v>936</v>
      </c>
      <c r="J133" s="4"/>
      <c r="K133" s="4" t="s">
        <v>932</v>
      </c>
      <c r="L133" s="4"/>
      <c r="M133" s="4" t="s">
        <v>933</v>
      </c>
      <c r="N133" s="4"/>
      <c r="O133" s="4" t="s">
        <v>938</v>
      </c>
      <c r="P133" s="4"/>
      <c r="Q133" s="4" t="s">
        <v>939</v>
      </c>
      <c r="R133" s="4"/>
      <c r="S133" s="4" t="s">
        <v>940</v>
      </c>
      <c r="T133" s="4">
        <v>0</v>
      </c>
      <c r="U133" s="4">
        <v>0</v>
      </c>
      <c r="V133" s="4">
        <v>0</v>
      </c>
      <c r="W133" s="4">
        <v>0</v>
      </c>
      <c r="X133" s="4" t="s">
        <v>937</v>
      </c>
      <c r="Y133" s="4"/>
      <c r="Z133" s="4"/>
      <c r="AA133" s="41" t="s">
        <v>892</v>
      </c>
      <c r="AB133" s="42" t="s">
        <v>239</v>
      </c>
      <c r="AC133" s="43" t="s">
        <v>240</v>
      </c>
      <c r="AD133" s="43">
        <v>500000000</v>
      </c>
      <c r="AE133" s="44">
        <v>0</v>
      </c>
      <c r="AF133" s="44">
        <v>0</v>
      </c>
      <c r="AG133" s="44">
        <v>0</v>
      </c>
      <c r="AH133" s="44">
        <v>0</v>
      </c>
      <c r="AI133" s="44">
        <v>0</v>
      </c>
      <c r="AJ133" s="43">
        <v>500000000</v>
      </c>
      <c r="AK133" s="44">
        <v>0</v>
      </c>
      <c r="AL133" s="115">
        <v>68880491</v>
      </c>
      <c r="AM133" s="114">
        <v>464536455</v>
      </c>
      <c r="AN133" s="44">
        <v>0</v>
      </c>
      <c r="AO133" s="114">
        <v>68880491</v>
      </c>
      <c r="AP133" s="114">
        <v>464536455</v>
      </c>
      <c r="AQ133" s="44">
        <v>68880491</v>
      </c>
      <c r="AR133" s="114">
        <v>0</v>
      </c>
      <c r="AS133" s="114">
        <v>395655964</v>
      </c>
      <c r="AT133" s="39">
        <f t="shared" si="74"/>
        <v>464536455</v>
      </c>
      <c r="AU133" s="18">
        <f t="shared" si="77"/>
        <v>35463545</v>
      </c>
      <c r="AV133" s="34">
        <f t="shared" si="78"/>
        <v>0</v>
      </c>
      <c r="AW133" s="34">
        <f t="shared" si="79"/>
        <v>0</v>
      </c>
      <c r="AX133" s="32">
        <f t="shared" si="68"/>
        <v>0.92907291000000003</v>
      </c>
    </row>
    <row r="134" spans="1:50" ht="18.75" customHeight="1" x14ac:dyDescent="0.2">
      <c r="A134" s="27" t="s">
        <v>55</v>
      </c>
      <c r="B134" s="27" t="s">
        <v>56</v>
      </c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8" t="s">
        <v>894</v>
      </c>
      <c r="AB134" s="29" t="s">
        <v>241</v>
      </c>
      <c r="AC134" s="30" t="s">
        <v>37</v>
      </c>
      <c r="AD134" s="30">
        <f>AD135</f>
        <v>80000000</v>
      </c>
      <c r="AE134" s="31">
        <f t="shared" ref="AE134:AS134" si="81">AE135</f>
        <v>0</v>
      </c>
      <c r="AF134" s="31">
        <f t="shared" si="81"/>
        <v>0</v>
      </c>
      <c r="AG134" s="30">
        <f t="shared" si="81"/>
        <v>160000000</v>
      </c>
      <c r="AH134" s="31">
        <f t="shared" si="81"/>
        <v>0</v>
      </c>
      <c r="AI134" s="30">
        <f t="shared" si="81"/>
        <v>160000000</v>
      </c>
      <c r="AJ134" s="30">
        <f t="shared" si="81"/>
        <v>240000000</v>
      </c>
      <c r="AK134" s="31">
        <f t="shared" si="81"/>
        <v>0</v>
      </c>
      <c r="AL134" s="30">
        <f t="shared" si="81"/>
        <v>18016905</v>
      </c>
      <c r="AM134" s="109">
        <f t="shared" si="81"/>
        <v>157609515</v>
      </c>
      <c r="AN134" s="31">
        <f t="shared" si="81"/>
        <v>0</v>
      </c>
      <c r="AO134" s="109">
        <f t="shared" si="81"/>
        <v>18016905</v>
      </c>
      <c r="AP134" s="109">
        <f t="shared" si="81"/>
        <v>157609515</v>
      </c>
      <c r="AQ134" s="31">
        <f t="shared" si="81"/>
        <v>4542630</v>
      </c>
      <c r="AR134" s="30">
        <f t="shared" si="81"/>
        <v>13474275</v>
      </c>
      <c r="AS134" s="109">
        <f t="shared" si="81"/>
        <v>153066885</v>
      </c>
      <c r="AT134" s="30">
        <f t="shared" si="74"/>
        <v>157609515</v>
      </c>
      <c r="AU134" s="176">
        <f t="shared" si="77"/>
        <v>82390485</v>
      </c>
      <c r="AV134" s="34">
        <f t="shared" si="78"/>
        <v>0</v>
      </c>
      <c r="AW134" s="34">
        <f t="shared" si="79"/>
        <v>0</v>
      </c>
      <c r="AX134" s="32">
        <f t="shared" si="68"/>
        <v>0.6567063125</v>
      </c>
    </row>
    <row r="135" spans="1:50" ht="18.75" customHeight="1" x14ac:dyDescent="0.2">
      <c r="A135" s="4" t="s">
        <v>55</v>
      </c>
      <c r="B135" s="4" t="s">
        <v>56</v>
      </c>
      <c r="C135" s="4"/>
      <c r="D135" s="4" t="s">
        <v>40</v>
      </c>
      <c r="E135" s="4"/>
      <c r="F135" s="4"/>
      <c r="G135" s="4" t="s">
        <v>41</v>
      </c>
      <c r="H135" s="4"/>
      <c r="I135" s="4" t="s">
        <v>936</v>
      </c>
      <c r="J135" s="4"/>
      <c r="K135" s="4" t="s">
        <v>932</v>
      </c>
      <c r="L135" s="4"/>
      <c r="M135" s="4" t="s">
        <v>933</v>
      </c>
      <c r="N135" s="4"/>
      <c r="O135" s="4" t="s">
        <v>938</v>
      </c>
      <c r="P135" s="4"/>
      <c r="Q135" s="4" t="s">
        <v>939</v>
      </c>
      <c r="R135" s="4"/>
      <c r="S135" s="4" t="s">
        <v>940</v>
      </c>
      <c r="T135" s="4">
        <v>0</v>
      </c>
      <c r="U135" s="4">
        <v>0</v>
      </c>
      <c r="V135" s="4">
        <v>0</v>
      </c>
      <c r="W135" s="4">
        <v>0</v>
      </c>
      <c r="X135" s="4" t="s">
        <v>937</v>
      </c>
      <c r="Y135" s="4"/>
      <c r="Z135" s="4"/>
      <c r="AA135" s="41" t="s">
        <v>895</v>
      </c>
      <c r="AB135" s="42" t="s">
        <v>242</v>
      </c>
      <c r="AC135" s="43" t="s">
        <v>58</v>
      </c>
      <c r="AD135" s="43">
        <v>80000000</v>
      </c>
      <c r="AE135" s="44">
        <v>0</v>
      </c>
      <c r="AF135" s="44">
        <v>0</v>
      </c>
      <c r="AG135" s="43">
        <v>160000000</v>
      </c>
      <c r="AH135" s="44">
        <v>0</v>
      </c>
      <c r="AI135" s="18">
        <f>AE135-AF135+AG135-AH135</f>
        <v>160000000</v>
      </c>
      <c r="AJ135" s="18">
        <f>AD135+AI135</f>
        <v>240000000</v>
      </c>
      <c r="AK135" s="44">
        <v>0</v>
      </c>
      <c r="AL135" s="18">
        <v>18016905</v>
      </c>
      <c r="AM135" s="114">
        <v>157609515</v>
      </c>
      <c r="AN135" s="44">
        <v>0</v>
      </c>
      <c r="AO135" s="114">
        <v>18016905</v>
      </c>
      <c r="AP135" s="114">
        <v>157609515</v>
      </c>
      <c r="AQ135" s="44">
        <v>4542630</v>
      </c>
      <c r="AR135" s="18">
        <f>AS135-SEPTIEMBRE!AS135</f>
        <v>13474275</v>
      </c>
      <c r="AS135" s="114">
        <v>153066885</v>
      </c>
      <c r="AT135" s="39">
        <f t="shared" si="74"/>
        <v>157609515</v>
      </c>
      <c r="AU135" s="18">
        <f t="shared" si="77"/>
        <v>82390485</v>
      </c>
      <c r="AV135" s="34">
        <f t="shared" si="78"/>
        <v>0</v>
      </c>
      <c r="AW135" s="34">
        <f t="shared" si="79"/>
        <v>0</v>
      </c>
      <c r="AX135" s="32">
        <f t="shared" si="68"/>
        <v>0.6567063125</v>
      </c>
    </row>
    <row r="136" spans="1:50" ht="18.75" customHeight="1" x14ac:dyDescent="0.2">
      <c r="A136" s="4" t="s">
        <v>55</v>
      </c>
      <c r="B136" s="4" t="s">
        <v>56</v>
      </c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1" t="s">
        <v>896</v>
      </c>
      <c r="AB136" s="42" t="s">
        <v>243</v>
      </c>
      <c r="AC136" s="43" t="s">
        <v>58</v>
      </c>
      <c r="AD136" s="44">
        <v>0</v>
      </c>
      <c r="AE136" s="44">
        <v>0</v>
      </c>
      <c r="AF136" s="44">
        <v>0</v>
      </c>
      <c r="AG136" s="44">
        <v>0</v>
      </c>
      <c r="AH136" s="44">
        <v>0</v>
      </c>
      <c r="AI136" s="44">
        <v>0</v>
      </c>
      <c r="AJ136" s="44">
        <v>0</v>
      </c>
      <c r="AK136" s="44">
        <v>0</v>
      </c>
      <c r="AL136" s="34">
        <v>0</v>
      </c>
      <c r="AM136" s="44">
        <v>0</v>
      </c>
      <c r="AN136" s="44">
        <v>0</v>
      </c>
      <c r="AO136" s="44">
        <v>0</v>
      </c>
      <c r="AP136" s="44">
        <v>0</v>
      </c>
      <c r="AQ136" s="44">
        <v>0</v>
      </c>
      <c r="AR136" s="34">
        <f>AS136-SEPTIEMBRE!AS136</f>
        <v>0</v>
      </c>
      <c r="AS136" s="44">
        <v>0</v>
      </c>
      <c r="AT136" s="40">
        <f t="shared" si="74"/>
        <v>0</v>
      </c>
      <c r="AU136" s="34">
        <f t="shared" si="77"/>
        <v>0</v>
      </c>
      <c r="AV136" s="34">
        <f t="shared" si="78"/>
        <v>0</v>
      </c>
      <c r="AW136" s="34">
        <f t="shared" si="79"/>
        <v>0</v>
      </c>
      <c r="AX136" s="32">
        <v>0</v>
      </c>
    </row>
    <row r="137" spans="1:50" ht="18.75" customHeight="1" x14ac:dyDescent="0.2">
      <c r="A137" s="4" t="s">
        <v>55</v>
      </c>
      <c r="B137" s="4" t="s">
        <v>56</v>
      </c>
      <c r="C137" s="4"/>
      <c r="D137" s="4" t="s">
        <v>40</v>
      </c>
      <c r="E137" s="4"/>
      <c r="F137" s="4"/>
      <c r="G137" s="4" t="s">
        <v>41</v>
      </c>
      <c r="H137" s="4"/>
      <c r="I137" s="4" t="s">
        <v>936</v>
      </c>
      <c r="J137" s="4"/>
      <c r="K137" s="4" t="s">
        <v>932</v>
      </c>
      <c r="L137" s="4"/>
      <c r="M137" s="4" t="s">
        <v>933</v>
      </c>
      <c r="N137" s="4"/>
      <c r="O137" s="4" t="s">
        <v>938</v>
      </c>
      <c r="P137" s="4"/>
      <c r="Q137" s="4" t="s">
        <v>939</v>
      </c>
      <c r="R137" s="4"/>
      <c r="S137" s="4" t="s">
        <v>940</v>
      </c>
      <c r="T137" s="4">
        <v>0</v>
      </c>
      <c r="U137" s="4">
        <v>0</v>
      </c>
      <c r="V137" s="4">
        <v>0</v>
      </c>
      <c r="W137" s="4">
        <v>0</v>
      </c>
      <c r="X137" s="4" t="s">
        <v>937</v>
      </c>
      <c r="Y137" s="4"/>
      <c r="Z137" s="4"/>
      <c r="AA137" s="41" t="s">
        <v>897</v>
      </c>
      <c r="AB137" s="42" t="s">
        <v>244</v>
      </c>
      <c r="AC137" s="43" t="s">
        <v>58</v>
      </c>
      <c r="AD137" s="43">
        <v>10000000</v>
      </c>
      <c r="AE137" s="44">
        <v>0</v>
      </c>
      <c r="AF137" s="44">
        <v>0</v>
      </c>
      <c r="AG137" s="43">
        <v>24000000</v>
      </c>
      <c r="AH137" s="44">
        <v>0</v>
      </c>
      <c r="AI137" s="18">
        <f>AE137-AF137+AG137-AH137</f>
        <v>24000000</v>
      </c>
      <c r="AJ137" s="18">
        <f>AD137+AI137</f>
        <v>34000000</v>
      </c>
      <c r="AK137" s="44">
        <v>0</v>
      </c>
      <c r="AL137" s="34">
        <v>0</v>
      </c>
      <c r="AM137" s="43">
        <v>11657223</v>
      </c>
      <c r="AN137" s="44">
        <v>0</v>
      </c>
      <c r="AO137" s="44">
        <v>0</v>
      </c>
      <c r="AP137" s="43">
        <v>11657223</v>
      </c>
      <c r="AQ137" s="44">
        <v>0</v>
      </c>
      <c r="AR137" s="34">
        <f>AS137-SEPTIEMBRE!AS137</f>
        <v>0</v>
      </c>
      <c r="AS137" s="43">
        <v>11657223</v>
      </c>
      <c r="AT137" s="39">
        <f t="shared" si="74"/>
        <v>11657223</v>
      </c>
      <c r="AU137" s="18">
        <f t="shared" si="77"/>
        <v>22342777</v>
      </c>
      <c r="AV137" s="34">
        <f t="shared" si="78"/>
        <v>0</v>
      </c>
      <c r="AW137" s="34">
        <f t="shared" si="79"/>
        <v>0</v>
      </c>
      <c r="AX137" s="32">
        <f t="shared" ref="AX137:AX143" si="82">AP137/AJ137</f>
        <v>0.34285949999999998</v>
      </c>
    </row>
    <row r="138" spans="1:50" ht="18.75" customHeight="1" x14ac:dyDescent="0.2">
      <c r="A138" s="4" t="s">
        <v>55</v>
      </c>
      <c r="B138" s="4" t="s">
        <v>56</v>
      </c>
      <c r="C138" s="4"/>
      <c r="D138" s="4" t="s">
        <v>40</v>
      </c>
      <c r="E138" s="4"/>
      <c r="F138" s="4"/>
      <c r="G138" s="4" t="s">
        <v>41</v>
      </c>
      <c r="H138" s="4"/>
      <c r="I138" s="4" t="s">
        <v>936</v>
      </c>
      <c r="J138" s="4"/>
      <c r="K138" s="4" t="s">
        <v>932</v>
      </c>
      <c r="L138" s="4"/>
      <c r="M138" s="4" t="s">
        <v>933</v>
      </c>
      <c r="N138" s="4"/>
      <c r="O138" s="4" t="s">
        <v>938</v>
      </c>
      <c r="P138" s="4"/>
      <c r="Q138" s="4" t="s">
        <v>942</v>
      </c>
      <c r="R138" s="4"/>
      <c r="S138" s="4" t="s">
        <v>940</v>
      </c>
      <c r="T138" s="4">
        <v>0</v>
      </c>
      <c r="U138" s="4">
        <v>0</v>
      </c>
      <c r="V138" s="4">
        <v>0</v>
      </c>
      <c r="W138" s="4">
        <v>0</v>
      </c>
      <c r="X138" s="4" t="s">
        <v>937</v>
      </c>
      <c r="Y138" s="4"/>
      <c r="Z138" s="4"/>
      <c r="AA138" s="41" t="s">
        <v>898</v>
      </c>
      <c r="AB138" s="42" t="s">
        <v>245</v>
      </c>
      <c r="AC138" s="43" t="s">
        <v>58</v>
      </c>
      <c r="AD138" s="43">
        <v>266000000</v>
      </c>
      <c r="AE138" s="44">
        <v>0</v>
      </c>
      <c r="AF138" s="44">
        <v>0</v>
      </c>
      <c r="AG138" s="44">
        <v>0</v>
      </c>
      <c r="AH138" s="44">
        <v>0</v>
      </c>
      <c r="AI138" s="44">
        <v>0</v>
      </c>
      <c r="AJ138" s="43">
        <v>266000000</v>
      </c>
      <c r="AK138" s="44">
        <v>0</v>
      </c>
      <c r="AL138" s="18">
        <v>7717151</v>
      </c>
      <c r="AM138" s="43">
        <v>201415529</v>
      </c>
      <c r="AN138" s="44">
        <v>0</v>
      </c>
      <c r="AO138" s="43">
        <v>7717151</v>
      </c>
      <c r="AP138" s="43">
        <v>201415529</v>
      </c>
      <c r="AQ138" s="44">
        <v>4542630</v>
      </c>
      <c r="AR138" s="18">
        <f>AS138-SEPTIEMBRE!AS138</f>
        <v>9072197</v>
      </c>
      <c r="AS138" s="114">
        <v>175801338</v>
      </c>
      <c r="AT138" s="39">
        <f t="shared" si="74"/>
        <v>180343968</v>
      </c>
      <c r="AU138" s="18">
        <f t="shared" si="77"/>
        <v>64584471</v>
      </c>
      <c r="AV138" s="34">
        <f t="shared" si="78"/>
        <v>0</v>
      </c>
      <c r="AW138" s="18">
        <f t="shared" si="79"/>
        <v>21071561</v>
      </c>
      <c r="AX138" s="32">
        <f t="shared" si="82"/>
        <v>0.75720123684210527</v>
      </c>
    </row>
    <row r="139" spans="1:50" s="25" customFormat="1" ht="18.75" customHeight="1" x14ac:dyDescent="0.2">
      <c r="A139" s="19" t="s">
        <v>55</v>
      </c>
      <c r="B139" s="19" t="s">
        <v>56</v>
      </c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26" t="s">
        <v>899</v>
      </c>
      <c r="AB139" s="21" t="s">
        <v>246</v>
      </c>
      <c r="AC139" s="22" t="s">
        <v>37</v>
      </c>
      <c r="AD139" s="22">
        <f>AD140</f>
        <v>100000000</v>
      </c>
      <c r="AE139" s="23">
        <f t="shared" ref="AE139:AW139" si="83">AE140</f>
        <v>0</v>
      </c>
      <c r="AF139" s="23">
        <f t="shared" si="83"/>
        <v>0</v>
      </c>
      <c r="AG139" s="23">
        <f t="shared" si="83"/>
        <v>0</v>
      </c>
      <c r="AH139" s="23">
        <f t="shared" si="83"/>
        <v>0</v>
      </c>
      <c r="AI139" s="23">
        <f t="shared" si="83"/>
        <v>0</v>
      </c>
      <c r="AJ139" s="22">
        <f t="shared" si="83"/>
        <v>100000000</v>
      </c>
      <c r="AK139" s="23">
        <f t="shared" si="83"/>
        <v>0</v>
      </c>
      <c r="AL139" s="22">
        <f t="shared" si="83"/>
        <v>6360000</v>
      </c>
      <c r="AM139" s="22">
        <f t="shared" si="83"/>
        <v>67886046.120000005</v>
      </c>
      <c r="AN139" s="23">
        <f t="shared" si="83"/>
        <v>0</v>
      </c>
      <c r="AO139" s="22">
        <f t="shared" si="83"/>
        <v>3930000</v>
      </c>
      <c r="AP139" s="22">
        <f t="shared" si="83"/>
        <v>62156046.119999997</v>
      </c>
      <c r="AQ139" s="23">
        <f t="shared" si="83"/>
        <v>0</v>
      </c>
      <c r="AR139" s="22">
        <f t="shared" si="83"/>
        <v>3930000</v>
      </c>
      <c r="AS139" s="22">
        <f t="shared" si="83"/>
        <v>60937200.890000001</v>
      </c>
      <c r="AT139" s="22">
        <f>AQ139+AS139</f>
        <v>60937200.890000001</v>
      </c>
      <c r="AU139" s="22">
        <f t="shared" si="83"/>
        <v>32113953.879999995</v>
      </c>
      <c r="AV139" s="22">
        <f t="shared" si="83"/>
        <v>5730000.0000000075</v>
      </c>
      <c r="AW139" s="22">
        <f t="shared" si="83"/>
        <v>1218845.2299999967</v>
      </c>
      <c r="AX139" s="24">
        <f t="shared" si="82"/>
        <v>0.62156046119999997</v>
      </c>
    </row>
    <row r="140" spans="1:50" ht="18.75" customHeight="1" x14ac:dyDescent="0.2">
      <c r="A140" s="27" t="s">
        <v>55</v>
      </c>
      <c r="B140" s="27" t="s">
        <v>56</v>
      </c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8" t="s">
        <v>900</v>
      </c>
      <c r="AB140" s="29" t="s">
        <v>247</v>
      </c>
      <c r="AC140" s="30" t="s">
        <v>37</v>
      </c>
      <c r="AD140" s="30">
        <f>AD141+AD142</f>
        <v>100000000</v>
      </c>
      <c r="AE140" s="31">
        <f t="shared" ref="AE140:AS140" si="84">AE141+AE142</f>
        <v>0</v>
      </c>
      <c r="AF140" s="31">
        <f t="shared" si="84"/>
        <v>0</v>
      </c>
      <c r="AG140" s="31">
        <f t="shared" si="84"/>
        <v>0</v>
      </c>
      <c r="AH140" s="31">
        <f t="shared" si="84"/>
        <v>0</v>
      </c>
      <c r="AI140" s="31">
        <f t="shared" si="84"/>
        <v>0</v>
      </c>
      <c r="AJ140" s="30">
        <f t="shared" si="84"/>
        <v>100000000</v>
      </c>
      <c r="AK140" s="31">
        <f t="shared" si="84"/>
        <v>0</v>
      </c>
      <c r="AL140" s="30">
        <f t="shared" si="84"/>
        <v>6360000</v>
      </c>
      <c r="AM140" s="30">
        <f t="shared" si="84"/>
        <v>67886046.120000005</v>
      </c>
      <c r="AN140" s="31">
        <f t="shared" si="84"/>
        <v>0</v>
      </c>
      <c r="AO140" s="30">
        <f t="shared" si="84"/>
        <v>3930000</v>
      </c>
      <c r="AP140" s="30">
        <f t="shared" si="84"/>
        <v>62156046.119999997</v>
      </c>
      <c r="AQ140" s="31">
        <f t="shared" si="84"/>
        <v>0</v>
      </c>
      <c r="AR140" s="30">
        <f t="shared" si="84"/>
        <v>3930000</v>
      </c>
      <c r="AS140" s="30">
        <f t="shared" si="84"/>
        <v>60937200.890000001</v>
      </c>
      <c r="AT140" s="30">
        <f t="shared" ref="AT140:AT142" si="85">AQ140+AS140</f>
        <v>60937200.890000001</v>
      </c>
      <c r="AU140" s="18">
        <f>AJ140-AM140</f>
        <v>32113953.879999995</v>
      </c>
      <c r="AV140" s="110">
        <f>AM140-AP140</f>
        <v>5730000.0000000075</v>
      </c>
      <c r="AW140" s="18">
        <f>AP140-AT140</f>
        <v>1218845.2299999967</v>
      </c>
      <c r="AX140" s="32">
        <f t="shared" si="82"/>
        <v>0.62156046119999997</v>
      </c>
    </row>
    <row r="141" spans="1:50" ht="18.75" customHeight="1" x14ac:dyDescent="0.2">
      <c r="A141" s="4" t="s">
        <v>55</v>
      </c>
      <c r="B141" s="4" t="s">
        <v>56</v>
      </c>
      <c r="C141" s="4"/>
      <c r="D141" s="4" t="s">
        <v>40</v>
      </c>
      <c r="E141" s="4"/>
      <c r="F141" s="4"/>
      <c r="G141" s="4" t="s">
        <v>41</v>
      </c>
      <c r="H141" s="4"/>
      <c r="I141" s="4" t="s">
        <v>936</v>
      </c>
      <c r="J141" s="4"/>
      <c r="K141" s="4" t="s">
        <v>932</v>
      </c>
      <c r="L141" s="4"/>
      <c r="M141" s="4" t="s">
        <v>933</v>
      </c>
      <c r="N141" s="4"/>
      <c r="O141" s="4" t="s">
        <v>938</v>
      </c>
      <c r="P141" s="4"/>
      <c r="Q141" s="4" t="s">
        <v>942</v>
      </c>
      <c r="R141" s="4"/>
      <c r="S141" s="4" t="s">
        <v>940</v>
      </c>
      <c r="T141" s="4">
        <v>0</v>
      </c>
      <c r="U141" s="4">
        <v>0</v>
      </c>
      <c r="V141" s="4">
        <v>0</v>
      </c>
      <c r="W141" s="4">
        <v>0</v>
      </c>
      <c r="X141" s="4" t="s">
        <v>937</v>
      </c>
      <c r="Y141" s="4"/>
      <c r="Z141" s="4"/>
      <c r="AA141" s="41" t="s">
        <v>901</v>
      </c>
      <c r="AB141" s="42" t="s">
        <v>248</v>
      </c>
      <c r="AC141" s="43" t="s">
        <v>58</v>
      </c>
      <c r="AD141" s="43">
        <v>70000000</v>
      </c>
      <c r="AE141" s="44">
        <v>0</v>
      </c>
      <c r="AF141" s="44">
        <v>0</v>
      </c>
      <c r="AG141" s="44">
        <v>0</v>
      </c>
      <c r="AH141" s="44">
        <v>0</v>
      </c>
      <c r="AI141" s="44">
        <v>0</v>
      </c>
      <c r="AJ141" s="43">
        <v>70000000</v>
      </c>
      <c r="AK141" s="44">
        <v>0</v>
      </c>
      <c r="AL141" s="43">
        <v>6360000</v>
      </c>
      <c r="AM141" s="43">
        <v>67886046.120000005</v>
      </c>
      <c r="AN141" s="44">
        <v>0</v>
      </c>
      <c r="AO141" s="43">
        <v>3930000</v>
      </c>
      <c r="AP141" s="43">
        <v>62156046.119999997</v>
      </c>
      <c r="AQ141" s="44">
        <v>0</v>
      </c>
      <c r="AR141" s="18">
        <f>AS141-SEPTIEMBRE!AS141</f>
        <v>3930000</v>
      </c>
      <c r="AS141" s="43">
        <v>60937200.890000001</v>
      </c>
      <c r="AT141" s="30">
        <f t="shared" si="85"/>
        <v>60937200.890000001</v>
      </c>
      <c r="AU141" s="18">
        <f>AJ141-AM141</f>
        <v>2113953.8799999952</v>
      </c>
      <c r="AV141" s="110">
        <f>AM141-AP141</f>
        <v>5730000.0000000075</v>
      </c>
      <c r="AW141" s="18">
        <f>AP141-AT141</f>
        <v>1218845.2299999967</v>
      </c>
      <c r="AX141" s="32">
        <f t="shared" si="82"/>
        <v>0.88794351599999999</v>
      </c>
    </row>
    <row r="142" spans="1:50" ht="18.75" customHeight="1" x14ac:dyDescent="0.2">
      <c r="A142" s="4" t="s">
        <v>55</v>
      </c>
      <c r="B142" s="4" t="s">
        <v>56</v>
      </c>
      <c r="C142" s="4"/>
      <c r="D142" s="4" t="s">
        <v>40</v>
      </c>
      <c r="E142" s="4"/>
      <c r="F142" s="4"/>
      <c r="G142" s="4" t="s">
        <v>41</v>
      </c>
      <c r="H142" s="4"/>
      <c r="I142" s="4" t="s">
        <v>936</v>
      </c>
      <c r="J142" s="4"/>
      <c r="K142" s="4" t="s">
        <v>932</v>
      </c>
      <c r="L142" s="4"/>
      <c r="M142" s="4" t="s">
        <v>933</v>
      </c>
      <c r="N142" s="4"/>
      <c r="O142" s="4" t="s">
        <v>938</v>
      </c>
      <c r="P142" s="4"/>
      <c r="Q142" s="4" t="s">
        <v>942</v>
      </c>
      <c r="R142" s="4"/>
      <c r="S142" s="4" t="s">
        <v>940</v>
      </c>
      <c r="T142" s="4">
        <v>0</v>
      </c>
      <c r="U142" s="4">
        <v>0</v>
      </c>
      <c r="V142" s="4">
        <v>0</v>
      </c>
      <c r="W142" s="4">
        <v>0</v>
      </c>
      <c r="X142" s="4" t="s">
        <v>937</v>
      </c>
      <c r="Y142" s="4"/>
      <c r="Z142" s="4"/>
      <c r="AA142" s="41" t="s">
        <v>902</v>
      </c>
      <c r="AB142" s="42" t="s">
        <v>249</v>
      </c>
      <c r="AC142" s="43" t="s">
        <v>58</v>
      </c>
      <c r="AD142" s="43">
        <v>30000000</v>
      </c>
      <c r="AE142" s="44">
        <v>0</v>
      </c>
      <c r="AF142" s="44">
        <v>0</v>
      </c>
      <c r="AG142" s="44">
        <v>0</v>
      </c>
      <c r="AH142" s="44">
        <v>0</v>
      </c>
      <c r="AI142" s="44">
        <v>0</v>
      </c>
      <c r="AJ142" s="43">
        <v>30000000</v>
      </c>
      <c r="AK142" s="44">
        <v>0</v>
      </c>
      <c r="AL142" s="44">
        <v>0</v>
      </c>
      <c r="AM142" s="44">
        <v>0</v>
      </c>
      <c r="AN142" s="44">
        <v>0</v>
      </c>
      <c r="AO142" s="44">
        <v>0</v>
      </c>
      <c r="AP142" s="44">
        <v>0</v>
      </c>
      <c r="AQ142" s="44">
        <v>0</v>
      </c>
      <c r="AR142" s="44">
        <v>0</v>
      </c>
      <c r="AS142" s="44">
        <v>0</v>
      </c>
      <c r="AT142" s="31">
        <f t="shared" si="85"/>
        <v>0</v>
      </c>
      <c r="AU142" s="18">
        <f>AJ142-AM142</f>
        <v>30000000</v>
      </c>
      <c r="AV142" s="34">
        <f>AM142-AP142</f>
        <v>0</v>
      </c>
      <c r="AW142" s="34">
        <f>AP142-AT142</f>
        <v>0</v>
      </c>
      <c r="AX142" s="32">
        <f t="shared" si="82"/>
        <v>0</v>
      </c>
    </row>
    <row r="143" spans="1:50" s="201" customFormat="1" ht="18.75" customHeight="1" x14ac:dyDescent="0.2">
      <c r="A143" s="199"/>
      <c r="B143" s="199"/>
      <c r="C143" s="199"/>
      <c r="D143" s="199"/>
      <c r="E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293" t="s">
        <v>996</v>
      </c>
      <c r="AB143" s="294" t="s">
        <v>997</v>
      </c>
      <c r="AC143" s="295"/>
      <c r="AD143" s="49">
        <f>AD148</f>
        <v>0</v>
      </c>
      <c r="AE143" s="48">
        <f>AE148+AE147</f>
        <v>265813663</v>
      </c>
      <c r="AF143" s="49">
        <f t="shared" ref="AF143:AW143" si="86">AF148+AF147</f>
        <v>0</v>
      </c>
      <c r="AG143" s="48">
        <f t="shared" si="86"/>
        <v>365556246.72000003</v>
      </c>
      <c r="AH143" s="49">
        <f t="shared" si="86"/>
        <v>0</v>
      </c>
      <c r="AI143" s="48">
        <f t="shared" si="86"/>
        <v>631369909.72000003</v>
      </c>
      <c r="AJ143" s="48">
        <f t="shared" si="86"/>
        <v>631369909.72000003</v>
      </c>
      <c r="AK143" s="49">
        <f t="shared" si="86"/>
        <v>0</v>
      </c>
      <c r="AL143" s="48">
        <f t="shared" si="86"/>
        <v>1600000</v>
      </c>
      <c r="AM143" s="48">
        <f t="shared" si="86"/>
        <v>319317437</v>
      </c>
      <c r="AN143" s="49">
        <f t="shared" si="86"/>
        <v>0</v>
      </c>
      <c r="AO143" s="48">
        <f t="shared" si="86"/>
        <v>1600000</v>
      </c>
      <c r="AP143" s="48">
        <f t="shared" si="86"/>
        <v>319317437</v>
      </c>
      <c r="AQ143" s="49">
        <f t="shared" si="86"/>
        <v>0</v>
      </c>
      <c r="AR143" s="48">
        <f t="shared" si="86"/>
        <v>1600000</v>
      </c>
      <c r="AS143" s="48">
        <f t="shared" si="86"/>
        <v>260840330</v>
      </c>
      <c r="AT143" s="48">
        <f t="shared" si="86"/>
        <v>260840330</v>
      </c>
      <c r="AU143" s="48">
        <f t="shared" si="86"/>
        <v>312052472.72000003</v>
      </c>
      <c r="AV143" s="48">
        <f t="shared" si="86"/>
        <v>0</v>
      </c>
      <c r="AW143" s="48">
        <f t="shared" si="86"/>
        <v>58477107</v>
      </c>
      <c r="AX143" s="24">
        <f t="shared" si="82"/>
        <v>0.50575333427215574</v>
      </c>
    </row>
    <row r="144" spans="1:50" ht="18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166" t="s">
        <v>998</v>
      </c>
      <c r="AB144" s="167" t="s">
        <v>999</v>
      </c>
      <c r="AC144" s="168"/>
      <c r="AD144" s="44"/>
      <c r="AE144" s="44"/>
      <c r="AF144" s="44"/>
      <c r="AG144" s="44"/>
      <c r="AH144" s="44"/>
      <c r="AI144" s="44"/>
      <c r="AJ144" s="43"/>
      <c r="AK144" s="44"/>
      <c r="AL144" s="44"/>
      <c r="AM144" s="44"/>
      <c r="AN144" s="44"/>
      <c r="AO144" s="43"/>
      <c r="AP144" s="43"/>
      <c r="AQ144" s="44"/>
      <c r="AR144" s="44"/>
      <c r="AS144" s="44"/>
      <c r="AT144" s="31"/>
      <c r="AU144" s="18"/>
      <c r="AV144" s="34"/>
      <c r="AW144" s="18"/>
      <c r="AX144" s="32"/>
    </row>
    <row r="145" spans="1:50" ht="18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166" t="s">
        <v>1000</v>
      </c>
      <c r="AB145" s="167" t="s">
        <v>1001</v>
      </c>
      <c r="AC145" s="168"/>
      <c r="AD145" s="44"/>
      <c r="AE145" s="44"/>
      <c r="AF145" s="44"/>
      <c r="AG145" s="44"/>
      <c r="AH145" s="44"/>
      <c r="AI145" s="44"/>
      <c r="AJ145" s="43"/>
      <c r="AK145" s="44"/>
      <c r="AL145" s="44"/>
      <c r="AM145" s="44"/>
      <c r="AN145" s="44"/>
      <c r="AO145" s="43"/>
      <c r="AP145" s="43"/>
      <c r="AQ145" s="44"/>
      <c r="AR145" s="44"/>
      <c r="AS145" s="44"/>
      <c r="AT145" s="31"/>
      <c r="AU145" s="18"/>
      <c r="AV145" s="34"/>
      <c r="AW145" s="18"/>
      <c r="AX145" s="32"/>
    </row>
    <row r="146" spans="1:50" ht="18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166" t="s">
        <v>1002</v>
      </c>
      <c r="AB146" s="167" t="s">
        <v>1003</v>
      </c>
      <c r="AC146" s="168"/>
      <c r="AD146" s="44"/>
      <c r="AE146" s="44"/>
      <c r="AF146" s="44"/>
      <c r="AG146" s="44"/>
      <c r="AH146" s="44"/>
      <c r="AI146" s="44"/>
      <c r="AJ146" s="43"/>
      <c r="AK146" s="44"/>
      <c r="AL146" s="44"/>
      <c r="AM146" s="44"/>
      <c r="AN146" s="44"/>
      <c r="AO146" s="43"/>
      <c r="AP146" s="43"/>
      <c r="AQ146" s="44"/>
      <c r="AR146" s="44"/>
      <c r="AS146" s="44"/>
      <c r="AT146" s="31"/>
      <c r="AU146" s="18"/>
      <c r="AV146" s="34"/>
      <c r="AW146" s="18"/>
      <c r="AX146" s="32"/>
    </row>
    <row r="147" spans="1:50" ht="18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318" t="s">
        <v>1384</v>
      </c>
      <c r="AB147" s="167" t="s">
        <v>1316</v>
      </c>
      <c r="AC147" s="161"/>
      <c r="AD147" s="34">
        <v>0</v>
      </c>
      <c r="AE147" s="34">
        <v>0</v>
      </c>
      <c r="AF147" s="34">
        <v>0</v>
      </c>
      <c r="AG147" s="18">
        <v>365556246.72000003</v>
      </c>
      <c r="AH147" s="44"/>
      <c r="AI147" s="18">
        <f>AE147-AF147+AG147-AH147</f>
        <v>365556246.72000003</v>
      </c>
      <c r="AJ147" s="18">
        <f>AD147+AI147</f>
        <v>365556246.72000003</v>
      </c>
      <c r="AK147" s="44">
        <v>0</v>
      </c>
      <c r="AL147" s="43">
        <v>1600000</v>
      </c>
      <c r="AM147" s="43">
        <v>60077107</v>
      </c>
      <c r="AN147" s="44">
        <v>0</v>
      </c>
      <c r="AO147" s="43">
        <v>1600000</v>
      </c>
      <c r="AP147" s="43">
        <v>60077107</v>
      </c>
      <c r="AQ147" s="44">
        <v>0</v>
      </c>
      <c r="AR147" s="44">
        <v>1600000</v>
      </c>
      <c r="AS147" s="44">
        <v>1600000</v>
      </c>
      <c r="AT147" s="30">
        <f t="shared" ref="AT147:AT148" si="87">AQ147+AS147</f>
        <v>1600000</v>
      </c>
      <c r="AU147" s="18">
        <f>AJ147-AM147</f>
        <v>305479139.72000003</v>
      </c>
      <c r="AV147" s="34">
        <f>AM147-AP147</f>
        <v>0</v>
      </c>
      <c r="AW147" s="18">
        <f>AP147-AT147</f>
        <v>58477107</v>
      </c>
      <c r="AX147" s="32">
        <f t="shared" ref="AX147:AX152" si="88">AP147/AJ147</f>
        <v>0.16434435887513751</v>
      </c>
    </row>
    <row r="148" spans="1:50" ht="18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166" t="s">
        <v>1004</v>
      </c>
      <c r="AB148" s="167" t="s">
        <v>1005</v>
      </c>
      <c r="AC148" s="168"/>
      <c r="AD148" s="44">
        <v>0</v>
      </c>
      <c r="AE148" s="43">
        <v>265813663</v>
      </c>
      <c r="AF148" s="44">
        <v>0</v>
      </c>
      <c r="AG148" s="44">
        <v>0</v>
      </c>
      <c r="AH148" s="44">
        <v>0</v>
      </c>
      <c r="AI148" s="18">
        <f>AE148-AF148+AG148-AH148</f>
        <v>265813663</v>
      </c>
      <c r="AJ148" s="18">
        <f>AD148+AI148</f>
        <v>265813663</v>
      </c>
      <c r="AK148" s="44">
        <v>0</v>
      </c>
      <c r="AL148" s="44">
        <v>0</v>
      </c>
      <c r="AM148" s="43">
        <v>259240330</v>
      </c>
      <c r="AN148" s="44">
        <v>0</v>
      </c>
      <c r="AO148" s="43">
        <v>0</v>
      </c>
      <c r="AP148" s="43">
        <v>259240330</v>
      </c>
      <c r="AQ148" s="44">
        <v>0</v>
      </c>
      <c r="AR148" s="44">
        <v>0</v>
      </c>
      <c r="AS148" s="44">
        <v>259240330</v>
      </c>
      <c r="AT148" s="30">
        <f t="shared" si="87"/>
        <v>259240330</v>
      </c>
      <c r="AU148" s="18">
        <f>AJ148-AM148</f>
        <v>6573333</v>
      </c>
      <c r="AV148" s="34">
        <f>AM148-AP148</f>
        <v>0</v>
      </c>
      <c r="AW148" s="34">
        <f>AP148-AT148</f>
        <v>0</v>
      </c>
      <c r="AX148" s="32">
        <f t="shared" si="88"/>
        <v>0.97527089869718242</v>
      </c>
    </row>
    <row r="149" spans="1:50" s="25" customFormat="1" ht="27.75" customHeight="1" x14ac:dyDescent="0.2">
      <c r="A149" s="19" t="s">
        <v>55</v>
      </c>
      <c r="B149" s="19" t="s">
        <v>56</v>
      </c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7" t="s">
        <v>903</v>
      </c>
      <c r="AB149" s="198" t="s">
        <v>250</v>
      </c>
      <c r="AC149" s="22" t="s">
        <v>37</v>
      </c>
      <c r="AD149" s="22">
        <f>AD150+AD154+AD159+AD152</f>
        <v>4677993416.5</v>
      </c>
      <c r="AE149" s="23">
        <f t="shared" ref="AE149:AK149" si="89">AE150+AE154+AE159+AE152</f>
        <v>0</v>
      </c>
      <c r="AF149" s="23">
        <f t="shared" si="89"/>
        <v>0</v>
      </c>
      <c r="AG149" s="22">
        <f>AG150+AG154+AG159+AG152+AG153</f>
        <v>94775300</v>
      </c>
      <c r="AH149" s="22">
        <f t="shared" ref="AH149:AJ149" si="90">AH150+AH154+AH159+AH152+AH153</f>
        <v>0</v>
      </c>
      <c r="AI149" s="22">
        <f t="shared" si="90"/>
        <v>94775300</v>
      </c>
      <c r="AJ149" s="22">
        <f t="shared" si="90"/>
        <v>4772768716.5</v>
      </c>
      <c r="AK149" s="23">
        <f t="shared" si="89"/>
        <v>0</v>
      </c>
      <c r="AL149" s="22">
        <f>AL150+AL154+AL159+AL152+AL153</f>
        <v>913000</v>
      </c>
      <c r="AM149" s="22">
        <f t="shared" ref="AM149:AW149" si="91">AM150+AM154+AM159+AM152+AM153</f>
        <v>4578206885.46</v>
      </c>
      <c r="AN149" s="22">
        <f t="shared" si="91"/>
        <v>0</v>
      </c>
      <c r="AO149" s="22">
        <f t="shared" si="91"/>
        <v>3754833</v>
      </c>
      <c r="AP149" s="22">
        <f t="shared" si="91"/>
        <v>4575935560.46</v>
      </c>
      <c r="AQ149" s="23">
        <f t="shared" si="91"/>
        <v>0</v>
      </c>
      <c r="AR149" s="22">
        <f t="shared" si="91"/>
        <v>3754833</v>
      </c>
      <c r="AS149" s="22">
        <f t="shared" si="91"/>
        <v>4575885260.46</v>
      </c>
      <c r="AT149" s="22">
        <f t="shared" si="91"/>
        <v>4575885260.46</v>
      </c>
      <c r="AU149" s="22">
        <f t="shared" si="91"/>
        <v>194561831.03999999</v>
      </c>
      <c r="AV149" s="22">
        <f t="shared" si="91"/>
        <v>2271325</v>
      </c>
      <c r="AW149" s="22">
        <f t="shared" si="91"/>
        <v>50300</v>
      </c>
      <c r="AX149" s="24">
        <f t="shared" si="88"/>
        <v>0.95875912541927177</v>
      </c>
    </row>
    <row r="150" spans="1:50" ht="18.75" customHeight="1" x14ac:dyDescent="0.2">
      <c r="A150" s="27" t="s">
        <v>55</v>
      </c>
      <c r="B150" s="27" t="s">
        <v>56</v>
      </c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8" t="s">
        <v>904</v>
      </c>
      <c r="AB150" s="29" t="s">
        <v>251</v>
      </c>
      <c r="AC150" s="30" t="s">
        <v>37</v>
      </c>
      <c r="AD150" s="30">
        <f>AD151</f>
        <v>50000000</v>
      </c>
      <c r="AE150" s="31">
        <f t="shared" ref="AE150:AW150" si="92">AE151</f>
        <v>0</v>
      </c>
      <c r="AF150" s="31">
        <f t="shared" si="92"/>
        <v>0</v>
      </c>
      <c r="AG150" s="31">
        <f t="shared" si="92"/>
        <v>0</v>
      </c>
      <c r="AH150" s="31">
        <f t="shared" si="92"/>
        <v>0</v>
      </c>
      <c r="AI150" s="31">
        <f t="shared" si="92"/>
        <v>0</v>
      </c>
      <c r="AJ150" s="30">
        <f>AJ151</f>
        <v>50000000</v>
      </c>
      <c r="AK150" s="31">
        <f t="shared" si="92"/>
        <v>0</v>
      </c>
      <c r="AL150" s="31">
        <f t="shared" si="92"/>
        <v>0</v>
      </c>
      <c r="AM150" s="31">
        <f t="shared" si="92"/>
        <v>0</v>
      </c>
      <c r="AN150" s="31">
        <f t="shared" si="92"/>
        <v>0</v>
      </c>
      <c r="AO150" s="31">
        <f t="shared" si="92"/>
        <v>0</v>
      </c>
      <c r="AP150" s="31">
        <f t="shared" si="92"/>
        <v>0</v>
      </c>
      <c r="AQ150" s="31">
        <f t="shared" si="92"/>
        <v>0</v>
      </c>
      <c r="AR150" s="31">
        <f t="shared" si="92"/>
        <v>0</v>
      </c>
      <c r="AS150" s="31">
        <f t="shared" si="92"/>
        <v>0</v>
      </c>
      <c r="AT150" s="40">
        <f t="shared" si="92"/>
        <v>0</v>
      </c>
      <c r="AU150" s="30">
        <f t="shared" si="92"/>
        <v>50000000</v>
      </c>
      <c r="AV150" s="31">
        <f t="shared" si="92"/>
        <v>0</v>
      </c>
      <c r="AW150" s="31">
        <f t="shared" si="92"/>
        <v>0</v>
      </c>
      <c r="AX150" s="32">
        <f t="shared" si="88"/>
        <v>0</v>
      </c>
    </row>
    <row r="151" spans="1:50" ht="18.75" customHeight="1" x14ac:dyDescent="0.2">
      <c r="A151" s="4" t="s">
        <v>55</v>
      </c>
      <c r="B151" s="4" t="s">
        <v>56</v>
      </c>
      <c r="C151" s="4"/>
      <c r="D151" s="4" t="s">
        <v>40</v>
      </c>
      <c r="E151" s="4"/>
      <c r="F151" s="4"/>
      <c r="G151" s="4" t="s">
        <v>41</v>
      </c>
      <c r="H151" s="4"/>
      <c r="I151" s="4" t="s">
        <v>936</v>
      </c>
      <c r="J151" s="4"/>
      <c r="K151" s="4" t="s">
        <v>932</v>
      </c>
      <c r="L151" s="4"/>
      <c r="M151" s="4" t="s">
        <v>933</v>
      </c>
      <c r="N151" s="4"/>
      <c r="O151" s="4" t="s">
        <v>938</v>
      </c>
      <c r="P151" s="4"/>
      <c r="Q151" s="4" t="s">
        <v>942</v>
      </c>
      <c r="R151" s="4"/>
      <c r="S151" s="4" t="s">
        <v>940</v>
      </c>
      <c r="T151" s="4">
        <v>0</v>
      </c>
      <c r="U151" s="4">
        <v>0</v>
      </c>
      <c r="V151" s="4">
        <v>0</v>
      </c>
      <c r="W151" s="4">
        <v>0</v>
      </c>
      <c r="X151" s="4" t="s">
        <v>937</v>
      </c>
      <c r="Y151" s="4"/>
      <c r="Z151" s="4"/>
      <c r="AA151" s="41" t="s">
        <v>905</v>
      </c>
      <c r="AB151" s="42" t="s">
        <v>252</v>
      </c>
      <c r="AC151" s="43" t="s">
        <v>58</v>
      </c>
      <c r="AD151" s="43">
        <v>50000000</v>
      </c>
      <c r="AE151" s="44">
        <v>0</v>
      </c>
      <c r="AF151" s="44">
        <v>0</v>
      </c>
      <c r="AG151" s="44">
        <v>0</v>
      </c>
      <c r="AH151" s="44">
        <v>0</v>
      </c>
      <c r="AI151" s="44">
        <v>0</v>
      </c>
      <c r="AJ151" s="43">
        <v>50000000</v>
      </c>
      <c r="AK151" s="44">
        <v>0</v>
      </c>
      <c r="AL151" s="44">
        <v>0</v>
      </c>
      <c r="AM151" s="44">
        <v>0</v>
      </c>
      <c r="AN151" s="44">
        <v>0</v>
      </c>
      <c r="AO151" s="44">
        <v>0</v>
      </c>
      <c r="AP151" s="44">
        <v>0</v>
      </c>
      <c r="AQ151" s="44">
        <v>0</v>
      </c>
      <c r="AR151" s="44">
        <v>0</v>
      </c>
      <c r="AS151" s="44">
        <v>0</v>
      </c>
      <c r="AT151" s="40">
        <f t="shared" ref="AT151:AT169" si="93">AQ151+AS151</f>
        <v>0</v>
      </c>
      <c r="AU151" s="18">
        <f t="shared" ref="AU151:AU162" si="94">AJ151-AM151</f>
        <v>50000000</v>
      </c>
      <c r="AV151" s="34">
        <f t="shared" ref="AV151:AV162" si="95">AM151-AP151</f>
        <v>0</v>
      </c>
      <c r="AW151" s="34">
        <f t="shared" ref="AW151:AW162" si="96">AP151-AT151</f>
        <v>0</v>
      </c>
      <c r="AX151" s="32">
        <f t="shared" si="88"/>
        <v>0</v>
      </c>
    </row>
    <row r="152" spans="1:50" ht="18.75" customHeight="1" x14ac:dyDescent="0.2">
      <c r="A152" s="4" t="s">
        <v>55</v>
      </c>
      <c r="B152" s="4" t="s">
        <v>56</v>
      </c>
      <c r="C152" s="4"/>
      <c r="D152" s="4" t="s">
        <v>40</v>
      </c>
      <c r="E152" s="4"/>
      <c r="F152" s="4"/>
      <c r="G152" s="4" t="s">
        <v>41</v>
      </c>
      <c r="H152" s="4"/>
      <c r="I152" s="4" t="s">
        <v>936</v>
      </c>
      <c r="J152" s="4"/>
      <c r="K152" s="4" t="s">
        <v>932</v>
      </c>
      <c r="L152" s="4"/>
      <c r="M152" s="4" t="s">
        <v>933</v>
      </c>
      <c r="N152" s="4"/>
      <c r="O152" s="4" t="s">
        <v>938</v>
      </c>
      <c r="P152" s="4"/>
      <c r="Q152" s="4" t="s">
        <v>942</v>
      </c>
      <c r="R152" s="4"/>
      <c r="S152" s="4" t="s">
        <v>940</v>
      </c>
      <c r="T152" s="4">
        <v>0</v>
      </c>
      <c r="U152" s="4">
        <v>0</v>
      </c>
      <c r="V152" s="4">
        <v>0</v>
      </c>
      <c r="W152" s="4">
        <v>0</v>
      </c>
      <c r="X152" s="4" t="s">
        <v>937</v>
      </c>
      <c r="Y152" s="4"/>
      <c r="Z152" s="4"/>
      <c r="AA152" s="41" t="s">
        <v>867</v>
      </c>
      <c r="AB152" s="42" t="s">
        <v>253</v>
      </c>
      <c r="AC152" s="43" t="s">
        <v>58</v>
      </c>
      <c r="AD152" s="43">
        <v>50000000</v>
      </c>
      <c r="AE152" s="44">
        <v>0</v>
      </c>
      <c r="AF152" s="44">
        <v>0</v>
      </c>
      <c r="AG152" s="44">
        <v>0</v>
      </c>
      <c r="AH152" s="44">
        <v>0</v>
      </c>
      <c r="AI152" s="44">
        <v>0</v>
      </c>
      <c r="AJ152" s="43">
        <v>50000000</v>
      </c>
      <c r="AK152" s="44">
        <v>0</v>
      </c>
      <c r="AL152" s="43">
        <v>0</v>
      </c>
      <c r="AM152" s="43">
        <v>914690</v>
      </c>
      <c r="AN152" s="115">
        <v>0</v>
      </c>
      <c r="AO152" s="44">
        <v>251790</v>
      </c>
      <c r="AP152" s="43">
        <v>914680</v>
      </c>
      <c r="AQ152" s="44">
        <v>0</v>
      </c>
      <c r="AR152" s="44">
        <v>251790</v>
      </c>
      <c r="AS152" s="43">
        <v>864380</v>
      </c>
      <c r="AT152" s="39">
        <f t="shared" si="93"/>
        <v>864380</v>
      </c>
      <c r="AU152" s="18">
        <f t="shared" si="94"/>
        <v>49085310</v>
      </c>
      <c r="AV152" s="110">
        <f t="shared" si="95"/>
        <v>10</v>
      </c>
      <c r="AW152" s="18">
        <f t="shared" si="96"/>
        <v>50300</v>
      </c>
      <c r="AX152" s="32">
        <f t="shared" si="88"/>
        <v>1.82936E-2</v>
      </c>
    </row>
    <row r="153" spans="1:50" ht="18.75" customHeight="1" x14ac:dyDescent="0.2">
      <c r="A153" s="4" t="s">
        <v>55</v>
      </c>
      <c r="B153" s="4" t="s">
        <v>56</v>
      </c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1" t="s">
        <v>866</v>
      </c>
      <c r="AB153" s="42" t="s">
        <v>254</v>
      </c>
      <c r="AC153" s="43" t="s">
        <v>58</v>
      </c>
      <c r="AD153" s="44">
        <v>0</v>
      </c>
      <c r="AE153" s="44">
        <v>0</v>
      </c>
      <c r="AF153" s="44">
        <v>0</v>
      </c>
      <c r="AG153" s="43">
        <f>10000000+12000000</f>
        <v>22000000</v>
      </c>
      <c r="AH153" s="44">
        <v>0</v>
      </c>
      <c r="AI153" s="18">
        <f>AE153-AF153+AG153-AH153</f>
        <v>22000000</v>
      </c>
      <c r="AJ153" s="18">
        <f>AD153+AI153</f>
        <v>22000000</v>
      </c>
      <c r="AK153" s="44">
        <v>0</v>
      </c>
      <c r="AL153" s="43">
        <v>913000</v>
      </c>
      <c r="AM153" s="43">
        <v>15148912.960000001</v>
      </c>
      <c r="AN153" s="44">
        <v>0</v>
      </c>
      <c r="AO153" s="43">
        <v>3503043</v>
      </c>
      <c r="AP153" s="43">
        <v>12877597.960000001</v>
      </c>
      <c r="AQ153" s="44">
        <v>0</v>
      </c>
      <c r="AR153" s="43">
        <v>3503043</v>
      </c>
      <c r="AS153" s="43">
        <v>12877597.960000001</v>
      </c>
      <c r="AT153" s="39">
        <f t="shared" si="93"/>
        <v>12877597.960000001</v>
      </c>
      <c r="AU153" s="18">
        <f t="shared" si="94"/>
        <v>6851087.0399999991</v>
      </c>
      <c r="AV153" s="18">
        <f t="shared" si="95"/>
        <v>2271315</v>
      </c>
      <c r="AW153" s="34">
        <f t="shared" si="96"/>
        <v>0</v>
      </c>
      <c r="AX153" s="32">
        <v>0</v>
      </c>
    </row>
    <row r="154" spans="1:50" ht="18.75" customHeight="1" x14ac:dyDescent="0.2">
      <c r="A154" s="27" t="s">
        <v>55</v>
      </c>
      <c r="B154" s="27" t="s">
        <v>56</v>
      </c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8" t="s">
        <v>865</v>
      </c>
      <c r="AB154" s="29" t="s">
        <v>255</v>
      </c>
      <c r="AC154" s="30" t="s">
        <v>37</v>
      </c>
      <c r="AD154" s="30">
        <f>AD155+AD158</f>
        <v>4527993416.5</v>
      </c>
      <c r="AE154" s="31">
        <f t="shared" ref="AE154:AS154" si="97">AE155+AE158</f>
        <v>0</v>
      </c>
      <c r="AF154" s="31">
        <f t="shared" si="97"/>
        <v>0</v>
      </c>
      <c r="AG154" s="30">
        <f t="shared" si="97"/>
        <v>72775300</v>
      </c>
      <c r="AH154" s="31">
        <f t="shared" si="97"/>
        <v>0</v>
      </c>
      <c r="AI154" s="18">
        <f>AE154-AF154+AG154-AH154</f>
        <v>72775300</v>
      </c>
      <c r="AJ154" s="18">
        <f>AD154+AI154</f>
        <v>4600768716.5</v>
      </c>
      <c r="AK154" s="31">
        <f t="shared" si="97"/>
        <v>0</v>
      </c>
      <c r="AL154" s="31">
        <f t="shared" si="97"/>
        <v>0</v>
      </c>
      <c r="AM154" s="30">
        <f t="shared" si="97"/>
        <v>4561893282.5</v>
      </c>
      <c r="AN154" s="31">
        <f t="shared" si="97"/>
        <v>0</v>
      </c>
      <c r="AO154" s="30">
        <f t="shared" si="97"/>
        <v>0</v>
      </c>
      <c r="AP154" s="30">
        <f t="shared" si="97"/>
        <v>4561893282.5</v>
      </c>
      <c r="AQ154" s="31">
        <f t="shared" si="97"/>
        <v>0</v>
      </c>
      <c r="AR154" s="30">
        <f t="shared" si="97"/>
        <v>0</v>
      </c>
      <c r="AS154" s="30">
        <f t="shared" si="97"/>
        <v>4561893282.5</v>
      </c>
      <c r="AT154" s="39">
        <f t="shared" si="93"/>
        <v>4561893282.5</v>
      </c>
      <c r="AU154" s="18">
        <f t="shared" si="94"/>
        <v>38875434</v>
      </c>
      <c r="AV154" s="34">
        <f t="shared" si="95"/>
        <v>0</v>
      </c>
      <c r="AW154" s="34">
        <f t="shared" si="96"/>
        <v>0</v>
      </c>
      <c r="AX154" s="32">
        <f t="shared" ref="AX154:AX189" si="98">AP154/AJ154</f>
        <v>0.99155023075587811</v>
      </c>
    </row>
    <row r="155" spans="1:50" ht="18.75" customHeight="1" x14ac:dyDescent="0.2">
      <c r="A155" s="27" t="s">
        <v>55</v>
      </c>
      <c r="B155" s="27" t="s">
        <v>56</v>
      </c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8" t="s">
        <v>864</v>
      </c>
      <c r="AB155" s="29" t="s">
        <v>256</v>
      </c>
      <c r="AC155" s="30" t="s">
        <v>37</v>
      </c>
      <c r="AD155" s="30">
        <f>AD156+AD157</f>
        <v>4477993416.5</v>
      </c>
      <c r="AE155" s="31">
        <f t="shared" ref="AE155:AS155" si="99">AE156+AE157</f>
        <v>0</v>
      </c>
      <c r="AF155" s="31">
        <f t="shared" si="99"/>
        <v>0</v>
      </c>
      <c r="AG155" s="31">
        <f t="shared" si="99"/>
        <v>0</v>
      </c>
      <c r="AH155" s="31">
        <f t="shared" si="99"/>
        <v>0</v>
      </c>
      <c r="AI155" s="31">
        <f t="shared" si="99"/>
        <v>0</v>
      </c>
      <c r="AJ155" s="30">
        <f t="shared" si="99"/>
        <v>4477993416.5</v>
      </c>
      <c r="AK155" s="31">
        <f t="shared" si="99"/>
        <v>0</v>
      </c>
      <c r="AL155" s="31">
        <f t="shared" si="99"/>
        <v>0</v>
      </c>
      <c r="AM155" s="30">
        <f t="shared" si="99"/>
        <v>4477993416.5</v>
      </c>
      <c r="AN155" s="31">
        <f t="shared" si="99"/>
        <v>0</v>
      </c>
      <c r="AO155" s="31">
        <f t="shared" si="99"/>
        <v>0</v>
      </c>
      <c r="AP155" s="30">
        <f t="shared" si="99"/>
        <v>4477993416.5</v>
      </c>
      <c r="AQ155" s="31">
        <f t="shared" si="99"/>
        <v>0</v>
      </c>
      <c r="AR155" s="31">
        <f t="shared" si="99"/>
        <v>0</v>
      </c>
      <c r="AS155" s="30">
        <f t="shared" si="99"/>
        <v>4477993416.5</v>
      </c>
      <c r="AT155" s="39">
        <f t="shared" si="93"/>
        <v>4477993416.5</v>
      </c>
      <c r="AU155" s="34">
        <f t="shared" si="94"/>
        <v>0</v>
      </c>
      <c r="AV155" s="34">
        <f t="shared" si="95"/>
        <v>0</v>
      </c>
      <c r="AW155" s="34">
        <f t="shared" si="96"/>
        <v>0</v>
      </c>
      <c r="AX155" s="32">
        <f t="shared" si="98"/>
        <v>1</v>
      </c>
    </row>
    <row r="156" spans="1:50" ht="18.75" customHeight="1" x14ac:dyDescent="0.2">
      <c r="A156" s="4" t="s">
        <v>55</v>
      </c>
      <c r="B156" s="4" t="s">
        <v>56</v>
      </c>
      <c r="C156" s="4"/>
      <c r="D156" s="4" t="s">
        <v>40</v>
      </c>
      <c r="E156" s="4"/>
      <c r="F156" s="4"/>
      <c r="G156" s="4" t="s">
        <v>41</v>
      </c>
      <c r="H156" s="4"/>
      <c r="I156" s="4" t="s">
        <v>936</v>
      </c>
      <c r="J156" s="4"/>
      <c r="K156" s="4" t="s">
        <v>932</v>
      </c>
      <c r="L156" s="4"/>
      <c r="M156" s="4" t="s">
        <v>933</v>
      </c>
      <c r="N156" s="4"/>
      <c r="O156" s="4" t="s">
        <v>938</v>
      </c>
      <c r="P156" s="4"/>
      <c r="Q156" s="4" t="s">
        <v>942</v>
      </c>
      <c r="R156" s="4"/>
      <c r="S156" s="4" t="s">
        <v>940</v>
      </c>
      <c r="T156" s="4">
        <v>0</v>
      </c>
      <c r="U156" s="4">
        <v>0</v>
      </c>
      <c r="V156" s="4">
        <v>0</v>
      </c>
      <c r="W156" s="4">
        <v>0</v>
      </c>
      <c r="X156" s="4" t="s">
        <v>937</v>
      </c>
      <c r="Y156" s="4"/>
      <c r="Z156" s="4"/>
      <c r="AA156" s="41" t="s">
        <v>863</v>
      </c>
      <c r="AB156" s="42" t="s">
        <v>233</v>
      </c>
      <c r="AC156" s="43" t="s">
        <v>58</v>
      </c>
      <c r="AD156" s="43">
        <v>3177230763</v>
      </c>
      <c r="AE156" s="44">
        <v>0</v>
      </c>
      <c r="AF156" s="44">
        <v>0</v>
      </c>
      <c r="AG156" s="44">
        <v>0</v>
      </c>
      <c r="AH156" s="44">
        <v>0</v>
      </c>
      <c r="AI156" s="44">
        <v>0</v>
      </c>
      <c r="AJ156" s="43">
        <v>3177230763</v>
      </c>
      <c r="AK156" s="44">
        <v>0</v>
      </c>
      <c r="AL156" s="44">
        <f>AM156-AGOSTO!AM156</f>
        <v>0</v>
      </c>
      <c r="AM156" s="43">
        <v>3177230763</v>
      </c>
      <c r="AN156" s="44">
        <v>0</v>
      </c>
      <c r="AO156" s="44">
        <v>0</v>
      </c>
      <c r="AP156" s="43">
        <v>3177230763</v>
      </c>
      <c r="AQ156" s="44">
        <v>0</v>
      </c>
      <c r="AR156" s="44">
        <v>0</v>
      </c>
      <c r="AS156" s="43">
        <v>3177230763</v>
      </c>
      <c r="AT156" s="39">
        <f t="shared" si="93"/>
        <v>3177230763</v>
      </c>
      <c r="AU156" s="34">
        <f t="shared" si="94"/>
        <v>0</v>
      </c>
      <c r="AV156" s="34">
        <f t="shared" si="95"/>
        <v>0</v>
      </c>
      <c r="AW156" s="34">
        <f t="shared" si="96"/>
        <v>0</v>
      </c>
      <c r="AX156" s="32">
        <f t="shared" si="98"/>
        <v>1</v>
      </c>
    </row>
    <row r="157" spans="1:50" ht="18.75" customHeight="1" x14ac:dyDescent="0.2">
      <c r="A157" s="4" t="s">
        <v>55</v>
      </c>
      <c r="B157" s="4" t="s">
        <v>56</v>
      </c>
      <c r="C157" s="4"/>
      <c r="D157" s="4" t="s">
        <v>40</v>
      </c>
      <c r="E157" s="4"/>
      <c r="F157" s="4"/>
      <c r="G157" s="4" t="s">
        <v>41</v>
      </c>
      <c r="H157" s="4"/>
      <c r="I157" s="4" t="s">
        <v>936</v>
      </c>
      <c r="J157" s="4"/>
      <c r="K157" s="4" t="s">
        <v>932</v>
      </c>
      <c r="L157" s="4"/>
      <c r="M157" s="4" t="s">
        <v>933</v>
      </c>
      <c r="N157" s="4"/>
      <c r="O157" s="4" t="s">
        <v>938</v>
      </c>
      <c r="P157" s="4"/>
      <c r="Q157" s="4" t="s">
        <v>942</v>
      </c>
      <c r="R157" s="4"/>
      <c r="S157" s="4" t="s">
        <v>940</v>
      </c>
      <c r="T157" s="4">
        <v>0</v>
      </c>
      <c r="U157" s="4">
        <v>0</v>
      </c>
      <c r="V157" s="4">
        <v>0</v>
      </c>
      <c r="W157" s="4">
        <v>0</v>
      </c>
      <c r="X157" s="4" t="s">
        <v>937</v>
      </c>
      <c r="Y157" s="4"/>
      <c r="Z157" s="4"/>
      <c r="AA157" s="41" t="s">
        <v>862</v>
      </c>
      <c r="AB157" s="42" t="s">
        <v>257</v>
      </c>
      <c r="AC157" s="43" t="s">
        <v>258</v>
      </c>
      <c r="AD157" s="43">
        <v>1300762653.5</v>
      </c>
      <c r="AE157" s="44">
        <v>0</v>
      </c>
      <c r="AF157" s="44">
        <v>0</v>
      </c>
      <c r="AG157" s="44">
        <v>0</v>
      </c>
      <c r="AH157" s="44">
        <v>0</v>
      </c>
      <c r="AI157" s="44">
        <v>0</v>
      </c>
      <c r="AJ157" s="43">
        <v>1300762653.5</v>
      </c>
      <c r="AK157" s="44">
        <v>0</v>
      </c>
      <c r="AL157" s="44">
        <f>AM157-AGOSTO!AM157</f>
        <v>0</v>
      </c>
      <c r="AM157" s="43">
        <v>1300762653.5</v>
      </c>
      <c r="AN157" s="44">
        <v>0</v>
      </c>
      <c r="AO157" s="44">
        <v>0</v>
      </c>
      <c r="AP157" s="43">
        <v>1300762653.5</v>
      </c>
      <c r="AQ157" s="44">
        <v>0</v>
      </c>
      <c r="AR157" s="44">
        <v>0</v>
      </c>
      <c r="AS157" s="43">
        <v>1300762653.5</v>
      </c>
      <c r="AT157" s="39">
        <f t="shared" si="93"/>
        <v>1300762653.5</v>
      </c>
      <c r="AU157" s="34">
        <f t="shared" si="94"/>
        <v>0</v>
      </c>
      <c r="AV157" s="34">
        <f t="shared" si="95"/>
        <v>0</v>
      </c>
      <c r="AW157" s="34">
        <f t="shared" si="96"/>
        <v>0</v>
      </c>
      <c r="AX157" s="32">
        <f t="shared" si="98"/>
        <v>1</v>
      </c>
    </row>
    <row r="158" spans="1:50" ht="18.75" customHeight="1" x14ac:dyDescent="0.2">
      <c r="A158" s="4" t="s">
        <v>55</v>
      </c>
      <c r="B158" s="4" t="s">
        <v>56</v>
      </c>
      <c r="C158" s="4"/>
      <c r="D158" s="4" t="s">
        <v>40</v>
      </c>
      <c r="E158" s="4"/>
      <c r="F158" s="4"/>
      <c r="G158" s="4" t="s">
        <v>41</v>
      </c>
      <c r="H158" s="4"/>
      <c r="I158" s="4" t="s">
        <v>936</v>
      </c>
      <c r="J158" s="4"/>
      <c r="K158" s="4" t="s">
        <v>932</v>
      </c>
      <c r="L158" s="4"/>
      <c r="M158" s="4" t="s">
        <v>933</v>
      </c>
      <c r="N158" s="4"/>
      <c r="O158" s="4" t="s">
        <v>938</v>
      </c>
      <c r="P158" s="4"/>
      <c r="Q158" s="4" t="s">
        <v>942</v>
      </c>
      <c r="R158" s="4"/>
      <c r="S158" s="4" t="s">
        <v>940</v>
      </c>
      <c r="T158" s="4">
        <v>0</v>
      </c>
      <c r="U158" s="4">
        <v>0</v>
      </c>
      <c r="V158" s="4">
        <v>0</v>
      </c>
      <c r="W158" s="4">
        <v>0</v>
      </c>
      <c r="X158" s="4" t="s">
        <v>937</v>
      </c>
      <c r="Y158" s="4"/>
      <c r="Z158" s="4"/>
      <c r="AA158" s="41" t="s">
        <v>861</v>
      </c>
      <c r="AB158" s="42" t="s">
        <v>259</v>
      </c>
      <c r="AC158" s="43" t="s">
        <v>58</v>
      </c>
      <c r="AD158" s="43">
        <v>50000000</v>
      </c>
      <c r="AE158" s="44">
        <v>0</v>
      </c>
      <c r="AF158" s="44">
        <v>0</v>
      </c>
      <c r="AG158" s="43">
        <f>20000000+20000000+32775300</f>
        <v>72775300</v>
      </c>
      <c r="AH158" s="44">
        <v>0</v>
      </c>
      <c r="AI158" s="18">
        <f>AE158-AF158+AG158-AH158</f>
        <v>72775300</v>
      </c>
      <c r="AJ158" s="18">
        <f>AD158+AI158</f>
        <v>122775300</v>
      </c>
      <c r="AK158" s="44">
        <v>0</v>
      </c>
      <c r="AL158" s="44">
        <f>AM158-AGOSTO!AM158</f>
        <v>0</v>
      </c>
      <c r="AM158" s="43">
        <v>83899866</v>
      </c>
      <c r="AN158" s="44">
        <v>0</v>
      </c>
      <c r="AO158" s="44">
        <v>0</v>
      </c>
      <c r="AP158" s="43">
        <v>83899866</v>
      </c>
      <c r="AQ158" s="44">
        <v>0</v>
      </c>
      <c r="AR158" s="44">
        <v>0</v>
      </c>
      <c r="AS158" s="43">
        <v>83899866</v>
      </c>
      <c r="AT158" s="39">
        <f t="shared" si="93"/>
        <v>83899866</v>
      </c>
      <c r="AU158" s="18">
        <f t="shared" si="94"/>
        <v>38875434</v>
      </c>
      <c r="AV158" s="34">
        <f t="shared" si="95"/>
        <v>0</v>
      </c>
      <c r="AW158" s="34">
        <f t="shared" si="96"/>
        <v>0</v>
      </c>
      <c r="AX158" s="32">
        <f t="shared" si="98"/>
        <v>0.68336111579446357</v>
      </c>
    </row>
    <row r="159" spans="1:50" ht="18.75" customHeight="1" x14ac:dyDescent="0.2">
      <c r="A159" s="27" t="s">
        <v>55</v>
      </c>
      <c r="B159" s="27" t="s">
        <v>56</v>
      </c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8" t="s">
        <v>860</v>
      </c>
      <c r="AB159" s="29" t="s">
        <v>260</v>
      </c>
      <c r="AC159" s="30" t="s">
        <v>37</v>
      </c>
      <c r="AD159" s="30">
        <f>AD160+AD162</f>
        <v>50000000</v>
      </c>
      <c r="AE159" s="31">
        <f t="shared" ref="AE159:AS159" si="100">AE160+AE162</f>
        <v>0</v>
      </c>
      <c r="AF159" s="31">
        <f t="shared" si="100"/>
        <v>0</v>
      </c>
      <c r="AG159" s="31">
        <f t="shared" si="100"/>
        <v>0</v>
      </c>
      <c r="AH159" s="31">
        <f t="shared" si="100"/>
        <v>0</v>
      </c>
      <c r="AI159" s="31">
        <f t="shared" si="100"/>
        <v>0</v>
      </c>
      <c r="AJ159" s="30">
        <f t="shared" si="100"/>
        <v>50000000</v>
      </c>
      <c r="AK159" s="31">
        <f t="shared" si="100"/>
        <v>0</v>
      </c>
      <c r="AL159" s="172">
        <f t="shared" si="100"/>
        <v>0</v>
      </c>
      <c r="AM159" s="109">
        <f t="shared" si="100"/>
        <v>250000</v>
      </c>
      <c r="AN159" s="31">
        <f t="shared" si="100"/>
        <v>0</v>
      </c>
      <c r="AO159" s="172">
        <f t="shared" si="100"/>
        <v>0</v>
      </c>
      <c r="AP159" s="109">
        <f t="shared" si="100"/>
        <v>250000</v>
      </c>
      <c r="AQ159" s="31">
        <f t="shared" si="100"/>
        <v>0</v>
      </c>
      <c r="AR159" s="31">
        <f t="shared" si="100"/>
        <v>0</v>
      </c>
      <c r="AS159" s="30">
        <f t="shared" si="100"/>
        <v>250000</v>
      </c>
      <c r="AT159" s="39">
        <f t="shared" si="93"/>
        <v>250000</v>
      </c>
      <c r="AU159" s="176">
        <f t="shared" si="94"/>
        <v>49750000</v>
      </c>
      <c r="AV159" s="34">
        <f t="shared" si="95"/>
        <v>0</v>
      </c>
      <c r="AW159" s="34">
        <f t="shared" si="96"/>
        <v>0</v>
      </c>
      <c r="AX159" s="32">
        <f t="shared" si="98"/>
        <v>5.0000000000000001E-3</v>
      </c>
    </row>
    <row r="160" spans="1:50" ht="18.75" customHeight="1" x14ac:dyDescent="0.2">
      <c r="A160" s="27" t="s">
        <v>55</v>
      </c>
      <c r="B160" s="27" t="s">
        <v>56</v>
      </c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8" t="s">
        <v>859</v>
      </c>
      <c r="AB160" s="29" t="s">
        <v>261</v>
      </c>
      <c r="AC160" s="30" t="s">
        <v>37</v>
      </c>
      <c r="AD160" s="30">
        <f>AD161</f>
        <v>10000000</v>
      </c>
      <c r="AE160" s="31">
        <f t="shared" ref="AE160:AS160" si="101">AE161</f>
        <v>0</v>
      </c>
      <c r="AF160" s="31">
        <f t="shared" si="101"/>
        <v>0</v>
      </c>
      <c r="AG160" s="31">
        <f t="shared" si="101"/>
        <v>0</v>
      </c>
      <c r="AH160" s="31">
        <f t="shared" si="101"/>
        <v>0</v>
      </c>
      <c r="AI160" s="31">
        <f t="shared" si="101"/>
        <v>0</v>
      </c>
      <c r="AJ160" s="30">
        <f t="shared" si="101"/>
        <v>10000000</v>
      </c>
      <c r="AK160" s="31">
        <f t="shared" si="101"/>
        <v>0</v>
      </c>
      <c r="AL160" s="172">
        <f t="shared" si="101"/>
        <v>0</v>
      </c>
      <c r="AM160" s="109">
        <f t="shared" si="101"/>
        <v>250000</v>
      </c>
      <c r="AN160" s="31">
        <f t="shared" si="101"/>
        <v>0</v>
      </c>
      <c r="AO160" s="172">
        <f t="shared" si="101"/>
        <v>0</v>
      </c>
      <c r="AP160" s="109">
        <f t="shared" si="101"/>
        <v>250000</v>
      </c>
      <c r="AQ160" s="31">
        <f t="shared" si="101"/>
        <v>0</v>
      </c>
      <c r="AR160" s="31">
        <f t="shared" si="101"/>
        <v>0</v>
      </c>
      <c r="AS160" s="30">
        <f t="shared" si="101"/>
        <v>250000</v>
      </c>
      <c r="AT160" s="39">
        <f t="shared" si="93"/>
        <v>250000</v>
      </c>
      <c r="AU160" s="176">
        <f t="shared" si="94"/>
        <v>9750000</v>
      </c>
      <c r="AV160" s="34">
        <f t="shared" si="95"/>
        <v>0</v>
      </c>
      <c r="AW160" s="34">
        <f t="shared" si="96"/>
        <v>0</v>
      </c>
      <c r="AX160" s="32">
        <f t="shared" si="98"/>
        <v>2.5000000000000001E-2</v>
      </c>
    </row>
    <row r="161" spans="1:50" ht="18.75" customHeight="1" x14ac:dyDescent="0.2">
      <c r="A161" s="4" t="s">
        <v>55</v>
      </c>
      <c r="B161" s="4" t="s">
        <v>56</v>
      </c>
      <c r="C161" s="4"/>
      <c r="D161" s="4" t="s">
        <v>40</v>
      </c>
      <c r="E161" s="4"/>
      <c r="F161" s="4"/>
      <c r="G161" s="4" t="s">
        <v>41</v>
      </c>
      <c r="H161" s="4"/>
      <c r="I161" s="4" t="s">
        <v>936</v>
      </c>
      <c r="J161" s="4"/>
      <c r="K161" s="4" t="s">
        <v>932</v>
      </c>
      <c r="L161" s="4"/>
      <c r="M161" s="4" t="s">
        <v>933</v>
      </c>
      <c r="N161" s="4"/>
      <c r="O161" s="4" t="s">
        <v>938</v>
      </c>
      <c r="P161" s="4"/>
      <c r="Q161" s="4" t="s">
        <v>942</v>
      </c>
      <c r="R161" s="4"/>
      <c r="S161" s="4" t="s">
        <v>940</v>
      </c>
      <c r="T161" s="4">
        <v>0</v>
      </c>
      <c r="U161" s="4">
        <v>0</v>
      </c>
      <c r="V161" s="4">
        <v>0</v>
      </c>
      <c r="W161" s="4">
        <v>0</v>
      </c>
      <c r="X161" s="4" t="s">
        <v>937</v>
      </c>
      <c r="Y161" s="4"/>
      <c r="Z161" s="4"/>
      <c r="AA161" s="41" t="s">
        <v>858</v>
      </c>
      <c r="AB161" s="42" t="s">
        <v>262</v>
      </c>
      <c r="AC161" s="43" t="s">
        <v>58</v>
      </c>
      <c r="AD161" s="43">
        <v>10000000</v>
      </c>
      <c r="AE161" s="44">
        <v>0</v>
      </c>
      <c r="AF161" s="44">
        <v>0</v>
      </c>
      <c r="AG161" s="44">
        <v>0</v>
      </c>
      <c r="AH161" s="44">
        <v>0</v>
      </c>
      <c r="AI161" s="44">
        <v>0</v>
      </c>
      <c r="AJ161" s="43">
        <v>10000000</v>
      </c>
      <c r="AK161" s="44">
        <v>0</v>
      </c>
      <c r="AL161" s="44">
        <f>AM161-AGOSTO!AM161</f>
        <v>0</v>
      </c>
      <c r="AM161" s="114">
        <v>250000</v>
      </c>
      <c r="AN161" s="44">
        <v>0</v>
      </c>
      <c r="AO161" s="115">
        <v>0</v>
      </c>
      <c r="AP161" s="114">
        <v>250000</v>
      </c>
      <c r="AQ161" s="44">
        <v>0</v>
      </c>
      <c r="AR161" s="44">
        <v>0</v>
      </c>
      <c r="AS161" s="43">
        <v>250000</v>
      </c>
      <c r="AT161" s="39">
        <f t="shared" si="93"/>
        <v>250000</v>
      </c>
      <c r="AU161" s="18">
        <f t="shared" si="94"/>
        <v>9750000</v>
      </c>
      <c r="AV161" s="34">
        <f t="shared" si="95"/>
        <v>0</v>
      </c>
      <c r="AW161" s="34">
        <f t="shared" si="96"/>
        <v>0</v>
      </c>
      <c r="AX161" s="32">
        <f t="shared" si="98"/>
        <v>2.5000000000000001E-2</v>
      </c>
    </row>
    <row r="162" spans="1:50" ht="18.75" customHeight="1" x14ac:dyDescent="0.2">
      <c r="A162" s="4" t="s">
        <v>55</v>
      </c>
      <c r="B162" s="4" t="s">
        <v>56</v>
      </c>
      <c r="C162" s="4"/>
      <c r="D162" s="4" t="s">
        <v>40</v>
      </c>
      <c r="E162" s="4"/>
      <c r="F162" s="4"/>
      <c r="G162" s="4" t="s">
        <v>41</v>
      </c>
      <c r="H162" s="4"/>
      <c r="I162" s="4" t="s">
        <v>936</v>
      </c>
      <c r="J162" s="4"/>
      <c r="K162" s="4" t="s">
        <v>932</v>
      </c>
      <c r="L162" s="4"/>
      <c r="M162" s="4" t="s">
        <v>933</v>
      </c>
      <c r="N162" s="4"/>
      <c r="O162" s="4" t="s">
        <v>938</v>
      </c>
      <c r="P162" s="4"/>
      <c r="Q162" s="4" t="s">
        <v>942</v>
      </c>
      <c r="R162" s="4"/>
      <c r="S162" s="4" t="s">
        <v>940</v>
      </c>
      <c r="T162" s="4">
        <v>0</v>
      </c>
      <c r="U162" s="4">
        <v>0</v>
      </c>
      <c r="V162" s="4">
        <v>0</v>
      </c>
      <c r="W162" s="4">
        <v>0</v>
      </c>
      <c r="X162" s="4" t="s">
        <v>937</v>
      </c>
      <c r="Y162" s="4"/>
      <c r="Z162" s="4"/>
      <c r="AA162" s="41" t="s">
        <v>857</v>
      </c>
      <c r="AB162" s="42" t="s">
        <v>263</v>
      </c>
      <c r="AC162" s="43" t="s">
        <v>58</v>
      </c>
      <c r="AD162" s="43">
        <v>40000000</v>
      </c>
      <c r="AE162" s="44">
        <v>0</v>
      </c>
      <c r="AF162" s="44">
        <v>0</v>
      </c>
      <c r="AG162" s="44">
        <v>0</v>
      </c>
      <c r="AH162" s="44">
        <v>0</v>
      </c>
      <c r="AI162" s="44">
        <v>0</v>
      </c>
      <c r="AJ162" s="43">
        <v>40000000</v>
      </c>
      <c r="AK162" s="44">
        <v>0</v>
      </c>
      <c r="AL162" s="44">
        <f>AM162-AGOSTO!AM162</f>
        <v>0</v>
      </c>
      <c r="AM162" s="44">
        <v>0</v>
      </c>
      <c r="AN162" s="44">
        <v>0</v>
      </c>
      <c r="AO162" s="44">
        <v>0</v>
      </c>
      <c r="AP162" s="44">
        <v>0</v>
      </c>
      <c r="AQ162" s="44">
        <v>0</v>
      </c>
      <c r="AR162" s="44">
        <v>0</v>
      </c>
      <c r="AS162" s="44">
        <v>0</v>
      </c>
      <c r="AT162" s="40">
        <f t="shared" si="93"/>
        <v>0</v>
      </c>
      <c r="AU162" s="18">
        <f t="shared" si="94"/>
        <v>40000000</v>
      </c>
      <c r="AV162" s="34">
        <f t="shared" si="95"/>
        <v>0</v>
      </c>
      <c r="AW162" s="34">
        <f t="shared" si="96"/>
        <v>0</v>
      </c>
      <c r="AX162" s="32">
        <f t="shared" si="98"/>
        <v>0</v>
      </c>
    </row>
    <row r="163" spans="1:50" s="25" customFormat="1" ht="18.75" customHeight="1" x14ac:dyDescent="0.2">
      <c r="A163" s="19" t="s">
        <v>49</v>
      </c>
      <c r="B163" s="19" t="s">
        <v>50</v>
      </c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26" t="s">
        <v>856</v>
      </c>
      <c r="AB163" s="21" t="s">
        <v>264</v>
      </c>
      <c r="AC163" s="22" t="s">
        <v>37</v>
      </c>
      <c r="AD163" s="22">
        <f>AD164</f>
        <v>58452467165</v>
      </c>
      <c r="AE163" s="22">
        <f t="shared" ref="AE163:AW163" si="102">AE164</f>
        <v>5987472683.25</v>
      </c>
      <c r="AF163" s="23">
        <f t="shared" si="102"/>
        <v>0</v>
      </c>
      <c r="AG163" s="23">
        <f t="shared" si="102"/>
        <v>0</v>
      </c>
      <c r="AH163" s="22">
        <f t="shared" si="102"/>
        <v>22838220315.34</v>
      </c>
      <c r="AI163" s="22">
        <f t="shared" si="102"/>
        <v>-16850747632.09</v>
      </c>
      <c r="AJ163" s="22">
        <f>AJ164</f>
        <v>41601719532.910004</v>
      </c>
      <c r="AK163" s="23">
        <f t="shared" si="102"/>
        <v>0</v>
      </c>
      <c r="AL163" s="22">
        <f t="shared" si="102"/>
        <v>1616474545.5899999</v>
      </c>
      <c r="AM163" s="22">
        <f t="shared" si="102"/>
        <v>27491949680.290001</v>
      </c>
      <c r="AN163" s="23">
        <f t="shared" si="102"/>
        <v>0</v>
      </c>
      <c r="AO163" s="22">
        <f t="shared" si="102"/>
        <v>1739844867.28</v>
      </c>
      <c r="AP163" s="22">
        <f t="shared" si="102"/>
        <v>27206740273.369999</v>
      </c>
      <c r="AQ163" s="23">
        <f t="shared" si="102"/>
        <v>67272174.299999997</v>
      </c>
      <c r="AR163" s="22">
        <f t="shared" si="102"/>
        <v>1672572692.98</v>
      </c>
      <c r="AS163" s="22">
        <f t="shared" si="102"/>
        <v>27054344103.210003</v>
      </c>
      <c r="AT163" s="22">
        <f t="shared" si="93"/>
        <v>27121616277.510002</v>
      </c>
      <c r="AU163" s="22">
        <f t="shared" si="102"/>
        <v>14109769852.620001</v>
      </c>
      <c r="AV163" s="108">
        <f t="shared" si="102"/>
        <v>285209406.92000031</v>
      </c>
      <c r="AW163" s="22">
        <f t="shared" si="102"/>
        <v>85123995.859999418</v>
      </c>
      <c r="AX163" s="24">
        <f t="shared" si="98"/>
        <v>0.65398114738616697</v>
      </c>
    </row>
    <row r="164" spans="1:50" s="25" customFormat="1" ht="18.75" customHeight="1" x14ac:dyDescent="0.2">
      <c r="A164" s="19" t="s">
        <v>55</v>
      </c>
      <c r="B164" s="19" t="s">
        <v>56</v>
      </c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26" t="s">
        <v>855</v>
      </c>
      <c r="AB164" s="21" t="s">
        <v>265</v>
      </c>
      <c r="AC164" s="22" t="s">
        <v>37</v>
      </c>
      <c r="AD164" s="22">
        <f>AD165+AD175+AD180+AD170+AD179</f>
        <v>58452467165</v>
      </c>
      <c r="AE164" s="22">
        <f t="shared" ref="AE164:AW164" si="103">AE165+AE175+AE180+AE170+AE179</f>
        <v>5987472683.25</v>
      </c>
      <c r="AF164" s="23">
        <f t="shared" si="103"/>
        <v>0</v>
      </c>
      <c r="AG164" s="23">
        <f t="shared" si="103"/>
        <v>0</v>
      </c>
      <c r="AH164" s="22">
        <f t="shared" si="103"/>
        <v>22838220315.34</v>
      </c>
      <c r="AI164" s="22">
        <f t="shared" si="103"/>
        <v>-16850747632.09</v>
      </c>
      <c r="AJ164" s="22">
        <f t="shared" si="103"/>
        <v>41601719532.910004</v>
      </c>
      <c r="AK164" s="23">
        <f t="shared" si="103"/>
        <v>0</v>
      </c>
      <c r="AL164" s="22">
        <f t="shared" si="103"/>
        <v>1616474545.5899999</v>
      </c>
      <c r="AM164" s="22">
        <f t="shared" si="103"/>
        <v>27491949680.290001</v>
      </c>
      <c r="AN164" s="23">
        <f t="shared" si="103"/>
        <v>0</v>
      </c>
      <c r="AO164" s="22">
        <f t="shared" si="103"/>
        <v>1739844867.28</v>
      </c>
      <c r="AP164" s="22">
        <f t="shared" si="103"/>
        <v>27206740273.369999</v>
      </c>
      <c r="AQ164" s="23">
        <f t="shared" si="103"/>
        <v>67272174.299999997</v>
      </c>
      <c r="AR164" s="22">
        <f t="shared" si="103"/>
        <v>1672572692.98</v>
      </c>
      <c r="AS164" s="22">
        <f t="shared" si="103"/>
        <v>27054344103.210003</v>
      </c>
      <c r="AT164" s="22">
        <f t="shared" si="103"/>
        <v>27121616277.509998</v>
      </c>
      <c r="AU164" s="22">
        <f t="shared" si="103"/>
        <v>14109769852.620001</v>
      </c>
      <c r="AV164" s="22">
        <f t="shared" si="103"/>
        <v>285209406.92000031</v>
      </c>
      <c r="AW164" s="22">
        <f t="shared" si="103"/>
        <v>85123995.859999418</v>
      </c>
      <c r="AX164" s="24">
        <f t="shared" si="98"/>
        <v>0.65398114738616697</v>
      </c>
    </row>
    <row r="165" spans="1:50" s="25" customFormat="1" ht="18.75" customHeight="1" x14ac:dyDescent="0.2">
      <c r="A165" s="19" t="s">
        <v>37</v>
      </c>
      <c r="B165" s="19" t="s">
        <v>37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26" t="s">
        <v>854</v>
      </c>
      <c r="AB165" s="21" t="s">
        <v>266</v>
      </c>
      <c r="AC165" s="22" t="s">
        <v>37</v>
      </c>
      <c r="AD165" s="22">
        <f>AD166</f>
        <v>28000000000.57</v>
      </c>
      <c r="AE165" s="23">
        <f t="shared" ref="AE165:AW168" si="104">AE166</f>
        <v>0</v>
      </c>
      <c r="AF165" s="23">
        <f t="shared" si="104"/>
        <v>0</v>
      </c>
      <c r="AG165" s="23">
        <f t="shared" si="104"/>
        <v>0</v>
      </c>
      <c r="AH165" s="22">
        <f t="shared" si="104"/>
        <v>15771684621.610001</v>
      </c>
      <c r="AI165" s="22">
        <f t="shared" si="104"/>
        <v>-15771684621.610001</v>
      </c>
      <c r="AJ165" s="22">
        <f t="shared" si="104"/>
        <v>12228315378.959999</v>
      </c>
      <c r="AK165" s="23">
        <f t="shared" si="104"/>
        <v>0</v>
      </c>
      <c r="AL165" s="23">
        <f t="shared" si="104"/>
        <v>0</v>
      </c>
      <c r="AM165" s="22">
        <f t="shared" si="104"/>
        <v>11388729168.42</v>
      </c>
      <c r="AN165" s="23">
        <f t="shared" si="104"/>
        <v>0</v>
      </c>
      <c r="AO165" s="22">
        <f t="shared" si="104"/>
        <v>0</v>
      </c>
      <c r="AP165" s="22">
        <f t="shared" si="104"/>
        <v>11388729168.42</v>
      </c>
      <c r="AQ165" s="23">
        <f t="shared" si="104"/>
        <v>0</v>
      </c>
      <c r="AR165" s="23">
        <f t="shared" si="104"/>
        <v>0</v>
      </c>
      <c r="AS165" s="22">
        <f t="shared" si="104"/>
        <v>11388729168.42</v>
      </c>
      <c r="AT165" s="22">
        <f t="shared" si="93"/>
        <v>11388729168.42</v>
      </c>
      <c r="AU165" s="22">
        <f t="shared" si="104"/>
        <v>839586210.53999901</v>
      </c>
      <c r="AV165" s="23">
        <f t="shared" si="104"/>
        <v>0</v>
      </c>
      <c r="AW165" s="23">
        <f t="shared" si="104"/>
        <v>0</v>
      </c>
      <c r="AX165" s="24">
        <f t="shared" si="98"/>
        <v>0.93134081150829751</v>
      </c>
    </row>
    <row r="166" spans="1:50" ht="18.75" customHeight="1" x14ac:dyDescent="0.2">
      <c r="A166" s="27" t="s">
        <v>37</v>
      </c>
      <c r="B166" s="27" t="s">
        <v>37</v>
      </c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8" t="s">
        <v>853</v>
      </c>
      <c r="AB166" s="29" t="s">
        <v>267</v>
      </c>
      <c r="AC166" s="30" t="s">
        <v>37</v>
      </c>
      <c r="AD166" s="30">
        <f>AD167</f>
        <v>28000000000.57</v>
      </c>
      <c r="AE166" s="31">
        <f t="shared" si="104"/>
        <v>0</v>
      </c>
      <c r="AF166" s="31">
        <f t="shared" si="104"/>
        <v>0</v>
      </c>
      <c r="AG166" s="31">
        <f t="shared" si="104"/>
        <v>0</v>
      </c>
      <c r="AH166" s="30">
        <f t="shared" si="104"/>
        <v>15771684621.610001</v>
      </c>
      <c r="AI166" s="30">
        <f t="shared" si="104"/>
        <v>-15771684621.610001</v>
      </c>
      <c r="AJ166" s="30">
        <f t="shared" si="104"/>
        <v>12228315378.959999</v>
      </c>
      <c r="AK166" s="31">
        <f t="shared" si="104"/>
        <v>0</v>
      </c>
      <c r="AL166" s="31">
        <f t="shared" si="104"/>
        <v>0</v>
      </c>
      <c r="AM166" s="30">
        <f t="shared" si="104"/>
        <v>11388729168.42</v>
      </c>
      <c r="AN166" s="31">
        <f t="shared" si="104"/>
        <v>0</v>
      </c>
      <c r="AO166" s="30">
        <f t="shared" si="104"/>
        <v>0</v>
      </c>
      <c r="AP166" s="30">
        <f t="shared" si="104"/>
        <v>11388729168.42</v>
      </c>
      <c r="AQ166" s="31">
        <f t="shared" si="104"/>
        <v>0</v>
      </c>
      <c r="AR166" s="31">
        <f t="shared" si="104"/>
        <v>0</v>
      </c>
      <c r="AS166" s="30">
        <f t="shared" si="104"/>
        <v>11388729168.42</v>
      </c>
      <c r="AT166" s="30">
        <f t="shared" si="93"/>
        <v>11388729168.42</v>
      </c>
      <c r="AU166" s="18">
        <f>AJ166-AM166</f>
        <v>839586210.53999901</v>
      </c>
      <c r="AV166" s="34">
        <f>AM166-AP166</f>
        <v>0</v>
      </c>
      <c r="AW166" s="34">
        <f>AP166-AT166</f>
        <v>0</v>
      </c>
      <c r="AX166" s="32">
        <f t="shared" si="98"/>
        <v>0.93134081150829751</v>
      </c>
    </row>
    <row r="167" spans="1:50" ht="18.75" customHeight="1" x14ac:dyDescent="0.2">
      <c r="A167" s="27" t="s">
        <v>37</v>
      </c>
      <c r="B167" s="27" t="s">
        <v>37</v>
      </c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8" t="s">
        <v>852</v>
      </c>
      <c r="AB167" s="29" t="s">
        <v>268</v>
      </c>
      <c r="AC167" s="30" t="s">
        <v>37</v>
      </c>
      <c r="AD167" s="30">
        <f>AD168</f>
        <v>28000000000.57</v>
      </c>
      <c r="AE167" s="31">
        <f t="shared" si="104"/>
        <v>0</v>
      </c>
      <c r="AF167" s="31">
        <f t="shared" si="104"/>
        <v>0</v>
      </c>
      <c r="AG167" s="31">
        <f t="shared" si="104"/>
        <v>0</v>
      </c>
      <c r="AH167" s="30">
        <f t="shared" si="104"/>
        <v>15771684621.610001</v>
      </c>
      <c r="AI167" s="30">
        <f t="shared" si="104"/>
        <v>-15771684621.610001</v>
      </c>
      <c r="AJ167" s="30">
        <f t="shared" si="104"/>
        <v>12228315378.959999</v>
      </c>
      <c r="AK167" s="31">
        <f t="shared" si="104"/>
        <v>0</v>
      </c>
      <c r="AL167" s="31">
        <f t="shared" si="104"/>
        <v>0</v>
      </c>
      <c r="AM167" s="30">
        <f t="shared" si="104"/>
        <v>11388729168.42</v>
      </c>
      <c r="AN167" s="31">
        <f t="shared" si="104"/>
        <v>0</v>
      </c>
      <c r="AO167" s="30">
        <f t="shared" si="104"/>
        <v>0</v>
      </c>
      <c r="AP167" s="30">
        <f t="shared" si="104"/>
        <v>11388729168.42</v>
      </c>
      <c r="AQ167" s="31">
        <f t="shared" si="104"/>
        <v>0</v>
      </c>
      <c r="AR167" s="31">
        <f t="shared" si="104"/>
        <v>0</v>
      </c>
      <c r="AS167" s="30">
        <f t="shared" si="104"/>
        <v>11388729168.42</v>
      </c>
      <c r="AT167" s="30">
        <f t="shared" si="93"/>
        <v>11388729168.42</v>
      </c>
      <c r="AU167" s="18">
        <f>AJ167-AM167</f>
        <v>839586210.53999901</v>
      </c>
      <c r="AV167" s="34">
        <f>AM167-AP167</f>
        <v>0</v>
      </c>
      <c r="AW167" s="34">
        <f>AP167-AT167</f>
        <v>0</v>
      </c>
      <c r="AX167" s="32">
        <f t="shared" si="98"/>
        <v>0.93134081150829751</v>
      </c>
    </row>
    <row r="168" spans="1:50" ht="18.75" customHeight="1" x14ac:dyDescent="0.2">
      <c r="A168" s="27" t="s">
        <v>37</v>
      </c>
      <c r="B168" s="27" t="s">
        <v>37</v>
      </c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8" t="s">
        <v>851</v>
      </c>
      <c r="AB168" s="29" t="s">
        <v>269</v>
      </c>
      <c r="AC168" s="30" t="s">
        <v>37</v>
      </c>
      <c r="AD168" s="30">
        <f>AD169</f>
        <v>28000000000.57</v>
      </c>
      <c r="AE168" s="31">
        <f t="shared" si="104"/>
        <v>0</v>
      </c>
      <c r="AF168" s="31">
        <f t="shared" si="104"/>
        <v>0</v>
      </c>
      <c r="AG168" s="31">
        <f t="shared" si="104"/>
        <v>0</v>
      </c>
      <c r="AH168" s="30">
        <f t="shared" si="104"/>
        <v>15771684621.610001</v>
      </c>
      <c r="AI168" s="30">
        <f t="shared" si="104"/>
        <v>-15771684621.610001</v>
      </c>
      <c r="AJ168" s="30">
        <f t="shared" si="104"/>
        <v>12228315378.959999</v>
      </c>
      <c r="AK168" s="31">
        <f t="shared" si="104"/>
        <v>0</v>
      </c>
      <c r="AL168" s="31">
        <f t="shared" si="104"/>
        <v>0</v>
      </c>
      <c r="AM168" s="30">
        <f t="shared" si="104"/>
        <v>11388729168.42</v>
      </c>
      <c r="AN168" s="31">
        <f t="shared" si="104"/>
        <v>0</v>
      </c>
      <c r="AO168" s="30">
        <f t="shared" si="104"/>
        <v>0</v>
      </c>
      <c r="AP168" s="30">
        <f t="shared" si="104"/>
        <v>11388729168.42</v>
      </c>
      <c r="AQ168" s="31">
        <f t="shared" si="104"/>
        <v>0</v>
      </c>
      <c r="AR168" s="31">
        <f t="shared" si="104"/>
        <v>0</v>
      </c>
      <c r="AS168" s="30">
        <f t="shared" si="104"/>
        <v>11388729168.42</v>
      </c>
      <c r="AT168" s="30">
        <f t="shared" si="93"/>
        <v>11388729168.42</v>
      </c>
      <c r="AU168" s="18">
        <f>AJ168-AM168</f>
        <v>839586210.53999901</v>
      </c>
      <c r="AV168" s="34">
        <f>AM168-AP168</f>
        <v>0</v>
      </c>
      <c r="AW168" s="34">
        <f>AP168-AT168</f>
        <v>0</v>
      </c>
      <c r="AX168" s="32">
        <f t="shared" si="98"/>
        <v>0.93134081150829751</v>
      </c>
    </row>
    <row r="169" spans="1:50" ht="18.75" customHeight="1" x14ac:dyDescent="0.2">
      <c r="A169" s="4" t="s">
        <v>55</v>
      </c>
      <c r="B169" s="4" t="s">
        <v>56</v>
      </c>
      <c r="C169" s="4"/>
      <c r="D169" s="4" t="s">
        <v>947</v>
      </c>
      <c r="E169" s="4"/>
      <c r="F169" s="4"/>
      <c r="G169" s="4" t="s">
        <v>41</v>
      </c>
      <c r="H169" s="4"/>
      <c r="I169" s="4" t="s">
        <v>936</v>
      </c>
      <c r="J169" s="4"/>
      <c r="K169" s="4" t="s">
        <v>932</v>
      </c>
      <c r="L169" s="4"/>
      <c r="M169" s="4" t="s">
        <v>933</v>
      </c>
      <c r="N169" s="4"/>
      <c r="O169" s="4" t="s">
        <v>934</v>
      </c>
      <c r="P169" s="4"/>
      <c r="Q169" s="4" t="s">
        <v>935</v>
      </c>
      <c r="R169" s="4"/>
      <c r="S169" s="4" t="s">
        <v>940</v>
      </c>
      <c r="T169" s="4">
        <v>0</v>
      </c>
      <c r="U169" s="4">
        <v>0</v>
      </c>
      <c r="V169" s="4">
        <v>0</v>
      </c>
      <c r="W169" s="4"/>
      <c r="X169" s="4" t="s">
        <v>937</v>
      </c>
      <c r="Y169" s="4"/>
      <c r="Z169" s="4"/>
      <c r="AA169" s="41" t="s">
        <v>850</v>
      </c>
      <c r="AB169" s="42" t="s">
        <v>269</v>
      </c>
      <c r="AC169" s="43" t="s">
        <v>58</v>
      </c>
      <c r="AD169" s="43">
        <v>28000000000.57</v>
      </c>
      <c r="AE169" s="44">
        <v>0</v>
      </c>
      <c r="AF169" s="44">
        <v>0</v>
      </c>
      <c r="AG169" s="44">
        <v>0</v>
      </c>
      <c r="AH169" s="43">
        <v>15771684621.610001</v>
      </c>
      <c r="AI169" s="18">
        <f>AE169-AF169+AG169-AH169</f>
        <v>-15771684621.610001</v>
      </c>
      <c r="AJ169" s="18">
        <f>AD169+AI169</f>
        <v>12228315378.959999</v>
      </c>
      <c r="AK169" s="44">
        <v>0</v>
      </c>
      <c r="AL169" s="44">
        <v>0</v>
      </c>
      <c r="AM169" s="43">
        <v>11388729168.42</v>
      </c>
      <c r="AN169" s="44">
        <v>0</v>
      </c>
      <c r="AO169" s="43">
        <v>0</v>
      </c>
      <c r="AP169" s="43">
        <v>11388729168.42</v>
      </c>
      <c r="AQ169" s="44">
        <v>0</v>
      </c>
      <c r="AR169" s="44">
        <v>0</v>
      </c>
      <c r="AS169" s="43">
        <v>11388729168.42</v>
      </c>
      <c r="AT169" s="39">
        <f t="shared" si="93"/>
        <v>11388729168.42</v>
      </c>
      <c r="AU169" s="18">
        <f>AJ169-AM169</f>
        <v>839586210.53999901</v>
      </c>
      <c r="AV169" s="34">
        <f>AM169-AP169</f>
        <v>0</v>
      </c>
      <c r="AW169" s="34">
        <f>AP169-AT169</f>
        <v>0</v>
      </c>
      <c r="AX169" s="32">
        <f t="shared" si="98"/>
        <v>0.93134081150829751</v>
      </c>
    </row>
    <row r="170" spans="1:50" s="25" customFormat="1" ht="18.75" customHeight="1" x14ac:dyDescent="0.2">
      <c r="A170" s="19" t="s">
        <v>37</v>
      </c>
      <c r="B170" s="19" t="s">
        <v>37</v>
      </c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26" t="s">
        <v>270</v>
      </c>
      <c r="AB170" s="21" t="s">
        <v>271</v>
      </c>
      <c r="AC170" s="22" t="s">
        <v>37</v>
      </c>
      <c r="AD170" s="22">
        <f>AD171</f>
        <v>21500000000</v>
      </c>
      <c r="AE170" s="23">
        <f t="shared" ref="AE170:AW173" si="105">AE171</f>
        <v>0</v>
      </c>
      <c r="AF170" s="23">
        <f t="shared" si="105"/>
        <v>0</v>
      </c>
      <c r="AG170" s="23">
        <f t="shared" si="105"/>
        <v>0</v>
      </c>
      <c r="AH170" s="22">
        <f t="shared" si="105"/>
        <v>7066535693.7299995</v>
      </c>
      <c r="AI170" s="22">
        <f t="shared" si="105"/>
        <v>-7066535693.7299995</v>
      </c>
      <c r="AJ170" s="22">
        <f t="shared" si="105"/>
        <v>14433464306.27</v>
      </c>
      <c r="AK170" s="23">
        <f t="shared" si="105"/>
        <v>0</v>
      </c>
      <c r="AL170" s="22">
        <f t="shared" si="105"/>
        <v>1359151154</v>
      </c>
      <c r="AM170" s="22">
        <f t="shared" si="105"/>
        <v>11740170079.389999</v>
      </c>
      <c r="AN170" s="23">
        <f t="shared" si="105"/>
        <v>0</v>
      </c>
      <c r="AO170" s="22">
        <f t="shared" si="105"/>
        <v>1359151154</v>
      </c>
      <c r="AP170" s="22">
        <f t="shared" si="105"/>
        <v>11740170079.389999</v>
      </c>
      <c r="AQ170" s="23">
        <f t="shared" si="105"/>
        <v>0</v>
      </c>
      <c r="AR170" s="22">
        <f t="shared" si="105"/>
        <v>1359151154</v>
      </c>
      <c r="AS170" s="22">
        <f t="shared" si="105"/>
        <v>11740170079.389999</v>
      </c>
      <c r="AT170" s="22">
        <f t="shared" si="105"/>
        <v>11740170079.389999</v>
      </c>
      <c r="AU170" s="22">
        <f t="shared" si="105"/>
        <v>2693294226.8800011</v>
      </c>
      <c r="AV170" s="23">
        <f t="shared" si="105"/>
        <v>0</v>
      </c>
      <c r="AW170" s="23">
        <f t="shared" si="105"/>
        <v>0</v>
      </c>
      <c r="AX170" s="24">
        <f t="shared" si="98"/>
        <v>0.81339932190014741</v>
      </c>
    </row>
    <row r="171" spans="1:50" ht="18.75" customHeight="1" x14ac:dyDescent="0.2">
      <c r="A171" s="27" t="s">
        <v>37</v>
      </c>
      <c r="B171" s="27" t="s">
        <v>37</v>
      </c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8" t="s">
        <v>849</v>
      </c>
      <c r="AB171" s="29" t="s">
        <v>272</v>
      </c>
      <c r="AC171" s="30" t="s">
        <v>56</v>
      </c>
      <c r="AD171" s="30">
        <f>AD172</f>
        <v>21500000000</v>
      </c>
      <c r="AE171" s="31">
        <f t="shared" si="105"/>
        <v>0</v>
      </c>
      <c r="AF171" s="31">
        <f t="shared" si="105"/>
        <v>0</v>
      </c>
      <c r="AG171" s="31">
        <f t="shared" si="105"/>
        <v>0</v>
      </c>
      <c r="AH171" s="30">
        <f t="shared" si="105"/>
        <v>7066535693.7299995</v>
      </c>
      <c r="AI171" s="30">
        <f t="shared" si="105"/>
        <v>-7066535693.7299995</v>
      </c>
      <c r="AJ171" s="30">
        <f t="shared" si="105"/>
        <v>14433464306.27</v>
      </c>
      <c r="AK171" s="31">
        <f t="shared" si="105"/>
        <v>0</v>
      </c>
      <c r="AL171" s="30">
        <f t="shared" si="105"/>
        <v>1359151154</v>
      </c>
      <c r="AM171" s="30">
        <f t="shared" si="105"/>
        <v>11740170079.389999</v>
      </c>
      <c r="AN171" s="31">
        <f t="shared" si="105"/>
        <v>0</v>
      </c>
      <c r="AO171" s="30">
        <f t="shared" si="105"/>
        <v>1359151154</v>
      </c>
      <c r="AP171" s="30">
        <f t="shared" si="105"/>
        <v>11740170079.389999</v>
      </c>
      <c r="AQ171" s="31">
        <f t="shared" si="105"/>
        <v>0</v>
      </c>
      <c r="AR171" s="30">
        <f t="shared" si="105"/>
        <v>1359151154</v>
      </c>
      <c r="AS171" s="30">
        <f t="shared" si="105"/>
        <v>11740170079.389999</v>
      </c>
      <c r="AT171" s="30">
        <f t="shared" ref="AT171:AT174" si="106">AQ171+AS171</f>
        <v>11740170079.389999</v>
      </c>
      <c r="AU171" s="18">
        <f>AJ171-AM171</f>
        <v>2693294226.8800011</v>
      </c>
      <c r="AV171" s="34">
        <f>AM171-AP171</f>
        <v>0</v>
      </c>
      <c r="AW171" s="34">
        <f>AP171-AT171</f>
        <v>0</v>
      </c>
      <c r="AX171" s="32">
        <f t="shared" si="98"/>
        <v>0.81339932190014741</v>
      </c>
    </row>
    <row r="172" spans="1:50" ht="18.75" customHeight="1" x14ac:dyDescent="0.2">
      <c r="A172" s="27" t="s">
        <v>37</v>
      </c>
      <c r="B172" s="27" t="s">
        <v>37</v>
      </c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8" t="s">
        <v>848</v>
      </c>
      <c r="AB172" s="29" t="s">
        <v>268</v>
      </c>
      <c r="AC172" s="30" t="s">
        <v>37</v>
      </c>
      <c r="AD172" s="30">
        <f>AD173</f>
        <v>21500000000</v>
      </c>
      <c r="AE172" s="31">
        <f t="shared" si="105"/>
        <v>0</v>
      </c>
      <c r="AF172" s="31">
        <f t="shared" si="105"/>
        <v>0</v>
      </c>
      <c r="AG172" s="31">
        <f t="shared" si="105"/>
        <v>0</v>
      </c>
      <c r="AH172" s="30">
        <f t="shared" si="105"/>
        <v>7066535693.7299995</v>
      </c>
      <c r="AI172" s="30">
        <f t="shared" si="105"/>
        <v>-7066535693.7299995</v>
      </c>
      <c r="AJ172" s="30">
        <f t="shared" si="105"/>
        <v>14433464306.27</v>
      </c>
      <c r="AK172" s="31">
        <f t="shared" si="105"/>
        <v>0</v>
      </c>
      <c r="AL172" s="30">
        <f t="shared" si="105"/>
        <v>1359151154</v>
      </c>
      <c r="AM172" s="30">
        <f t="shared" si="105"/>
        <v>11740170079.389999</v>
      </c>
      <c r="AN172" s="31">
        <f t="shared" si="105"/>
        <v>0</v>
      </c>
      <c r="AO172" s="30">
        <f t="shared" si="105"/>
        <v>1359151154</v>
      </c>
      <c r="AP172" s="30">
        <f t="shared" si="105"/>
        <v>11740170079.389999</v>
      </c>
      <c r="AQ172" s="31">
        <f t="shared" si="105"/>
        <v>0</v>
      </c>
      <c r="AR172" s="30">
        <f t="shared" si="105"/>
        <v>1359151154</v>
      </c>
      <c r="AS172" s="30">
        <f t="shared" si="105"/>
        <v>11740170079.389999</v>
      </c>
      <c r="AT172" s="30">
        <f t="shared" si="106"/>
        <v>11740170079.389999</v>
      </c>
      <c r="AU172" s="18">
        <f>AJ172-AM172</f>
        <v>2693294226.8800011</v>
      </c>
      <c r="AV172" s="34">
        <f>AM172-AP172</f>
        <v>0</v>
      </c>
      <c r="AW172" s="34">
        <f>AP172-AT172</f>
        <v>0</v>
      </c>
      <c r="AX172" s="32">
        <f t="shared" si="98"/>
        <v>0.81339932190014741</v>
      </c>
    </row>
    <row r="173" spans="1:50" ht="18.75" customHeight="1" x14ac:dyDescent="0.2">
      <c r="A173" s="27" t="s">
        <v>37</v>
      </c>
      <c r="B173" s="27" t="s">
        <v>37</v>
      </c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8" t="s">
        <v>847</v>
      </c>
      <c r="AB173" s="29" t="s">
        <v>269</v>
      </c>
      <c r="AC173" s="30" t="s">
        <v>37</v>
      </c>
      <c r="AD173" s="30">
        <f>AD174</f>
        <v>21500000000</v>
      </c>
      <c r="AE173" s="31">
        <f t="shared" si="105"/>
        <v>0</v>
      </c>
      <c r="AF173" s="31">
        <f t="shared" si="105"/>
        <v>0</v>
      </c>
      <c r="AG173" s="31">
        <f t="shared" si="105"/>
        <v>0</v>
      </c>
      <c r="AH173" s="30">
        <f t="shared" si="105"/>
        <v>7066535693.7299995</v>
      </c>
      <c r="AI173" s="30">
        <f t="shared" si="105"/>
        <v>-7066535693.7299995</v>
      </c>
      <c r="AJ173" s="30">
        <f t="shared" si="105"/>
        <v>14433464306.27</v>
      </c>
      <c r="AK173" s="31">
        <f t="shared" si="105"/>
        <v>0</v>
      </c>
      <c r="AL173" s="30">
        <f t="shared" si="105"/>
        <v>1359151154</v>
      </c>
      <c r="AM173" s="30">
        <f t="shared" si="105"/>
        <v>11740170079.389999</v>
      </c>
      <c r="AN173" s="31">
        <f t="shared" si="105"/>
        <v>0</v>
      </c>
      <c r="AO173" s="30">
        <f t="shared" si="105"/>
        <v>1359151154</v>
      </c>
      <c r="AP173" s="30">
        <f t="shared" si="105"/>
        <v>11740170079.389999</v>
      </c>
      <c r="AQ173" s="31">
        <f t="shared" si="105"/>
        <v>0</v>
      </c>
      <c r="AR173" s="30">
        <f t="shared" si="105"/>
        <v>1359151154</v>
      </c>
      <c r="AS173" s="30">
        <f t="shared" si="105"/>
        <v>11740170079.389999</v>
      </c>
      <c r="AT173" s="30">
        <f t="shared" si="106"/>
        <v>11740170079.389999</v>
      </c>
      <c r="AU173" s="18">
        <f>AJ173-AM173</f>
        <v>2693294226.8800011</v>
      </c>
      <c r="AV173" s="34">
        <f>AM173-AP173</f>
        <v>0</v>
      </c>
      <c r="AW173" s="34">
        <f>AP173-AT173</f>
        <v>0</v>
      </c>
      <c r="AX173" s="32">
        <f t="shared" si="98"/>
        <v>0.81339932190014741</v>
      </c>
    </row>
    <row r="174" spans="1:50" ht="18.75" customHeight="1" x14ac:dyDescent="0.2">
      <c r="A174" s="4" t="s">
        <v>55</v>
      </c>
      <c r="B174" s="4" t="s">
        <v>56</v>
      </c>
      <c r="C174" s="4"/>
      <c r="D174" s="4" t="s">
        <v>947</v>
      </c>
      <c r="E174" s="4"/>
      <c r="F174" s="4"/>
      <c r="G174" s="4" t="s">
        <v>41</v>
      </c>
      <c r="H174" s="4"/>
      <c r="I174" s="4" t="s">
        <v>936</v>
      </c>
      <c r="J174" s="4"/>
      <c r="K174" s="4" t="s">
        <v>932</v>
      </c>
      <c r="L174" s="4"/>
      <c r="M174" s="4" t="s">
        <v>933</v>
      </c>
      <c r="N174" s="4"/>
      <c r="O174" s="4" t="s">
        <v>934</v>
      </c>
      <c r="P174" s="4"/>
      <c r="Q174" s="4" t="s">
        <v>935</v>
      </c>
      <c r="R174" s="4"/>
      <c r="S174" s="4" t="s">
        <v>940</v>
      </c>
      <c r="T174" s="4">
        <v>0</v>
      </c>
      <c r="U174" s="4">
        <v>0</v>
      </c>
      <c r="V174" s="4">
        <v>0</v>
      </c>
      <c r="W174" s="4"/>
      <c r="X174" s="4" t="s">
        <v>937</v>
      </c>
      <c r="Y174" s="4"/>
      <c r="Z174" s="4"/>
      <c r="AA174" s="41" t="s">
        <v>846</v>
      </c>
      <c r="AB174" s="42" t="s">
        <v>269</v>
      </c>
      <c r="AC174" s="43" t="s">
        <v>58</v>
      </c>
      <c r="AD174" s="43">
        <v>21500000000</v>
      </c>
      <c r="AE174" s="44">
        <v>0</v>
      </c>
      <c r="AF174" s="44">
        <v>0</v>
      </c>
      <c r="AG174" s="44">
        <v>0</v>
      </c>
      <c r="AH174" s="43">
        <v>7066535693.7299995</v>
      </c>
      <c r="AI174" s="18">
        <f>AE174-AF174+AG174-AH174</f>
        <v>-7066535693.7299995</v>
      </c>
      <c r="AJ174" s="18">
        <f>AD174+AI174</f>
        <v>14433464306.27</v>
      </c>
      <c r="AK174" s="44">
        <v>0</v>
      </c>
      <c r="AL174" s="43">
        <v>1359151154</v>
      </c>
      <c r="AM174" s="43">
        <v>11740170079.389999</v>
      </c>
      <c r="AN174" s="44">
        <v>0</v>
      </c>
      <c r="AO174" s="43">
        <v>1359151154</v>
      </c>
      <c r="AP174" s="43">
        <v>11740170079.389999</v>
      </c>
      <c r="AQ174" s="44">
        <v>0</v>
      </c>
      <c r="AR174" s="43">
        <v>1359151154</v>
      </c>
      <c r="AS174" s="43">
        <v>11740170079.389999</v>
      </c>
      <c r="AT174" s="39">
        <f t="shared" si="106"/>
        <v>11740170079.389999</v>
      </c>
      <c r="AU174" s="18">
        <f>AJ174-AM174</f>
        <v>2693294226.8800011</v>
      </c>
      <c r="AV174" s="34">
        <f>AM174-AP174</f>
        <v>0</v>
      </c>
      <c r="AW174" s="34">
        <f>AP174-AT174</f>
        <v>0</v>
      </c>
      <c r="AX174" s="32">
        <f t="shared" si="98"/>
        <v>0.81339932190014741</v>
      </c>
    </row>
    <row r="175" spans="1:50" s="25" customFormat="1" ht="18.75" customHeight="1" x14ac:dyDescent="0.2">
      <c r="A175" s="19" t="s">
        <v>37</v>
      </c>
      <c r="B175" s="19" t="s">
        <v>37</v>
      </c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26" t="s">
        <v>273</v>
      </c>
      <c r="AB175" s="21" t="s">
        <v>274</v>
      </c>
      <c r="AC175" s="22" t="s">
        <v>37</v>
      </c>
      <c r="AD175" s="22">
        <f>AD176</f>
        <v>200000000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2">
        <f>AJ176</f>
        <v>200000000</v>
      </c>
      <c r="AK175" s="23">
        <f t="shared" ref="AK175:AW177" si="107">AK176</f>
        <v>0</v>
      </c>
      <c r="AL175" s="23">
        <f t="shared" si="107"/>
        <v>0</v>
      </c>
      <c r="AM175" s="23">
        <f t="shared" si="107"/>
        <v>0</v>
      </c>
      <c r="AN175" s="23">
        <f t="shared" si="107"/>
        <v>0</v>
      </c>
      <c r="AO175" s="23">
        <f t="shared" si="107"/>
        <v>0</v>
      </c>
      <c r="AP175" s="23">
        <f t="shared" si="107"/>
        <v>0</v>
      </c>
      <c r="AQ175" s="23">
        <f t="shared" si="107"/>
        <v>0</v>
      </c>
      <c r="AR175" s="23">
        <f t="shared" si="107"/>
        <v>0</v>
      </c>
      <c r="AS175" s="23">
        <f t="shared" si="107"/>
        <v>0</v>
      </c>
      <c r="AT175" s="23">
        <f t="shared" si="107"/>
        <v>0</v>
      </c>
      <c r="AU175" s="22">
        <f t="shared" si="107"/>
        <v>200000000</v>
      </c>
      <c r="AV175" s="23">
        <f t="shared" si="107"/>
        <v>0</v>
      </c>
      <c r="AW175" s="23">
        <f t="shared" si="107"/>
        <v>0</v>
      </c>
      <c r="AX175" s="24">
        <f t="shared" si="98"/>
        <v>0</v>
      </c>
    </row>
    <row r="176" spans="1:50" ht="18.75" customHeight="1" x14ac:dyDescent="0.2">
      <c r="A176" s="27" t="s">
        <v>37</v>
      </c>
      <c r="B176" s="27" t="s">
        <v>37</v>
      </c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8" t="s">
        <v>843</v>
      </c>
      <c r="AB176" s="29" t="s">
        <v>267</v>
      </c>
      <c r="AC176" s="30" t="s">
        <v>37</v>
      </c>
      <c r="AD176" s="30">
        <f>AD177</f>
        <v>200000000</v>
      </c>
      <c r="AE176" s="31">
        <v>0</v>
      </c>
      <c r="AF176" s="31">
        <v>0</v>
      </c>
      <c r="AG176" s="31">
        <v>0</v>
      </c>
      <c r="AH176" s="31">
        <v>0</v>
      </c>
      <c r="AI176" s="31">
        <v>0</v>
      </c>
      <c r="AJ176" s="30">
        <f t="shared" ref="AJ176:AJ177" si="108">AJ177</f>
        <v>200000000</v>
      </c>
      <c r="AK176" s="31">
        <f t="shared" si="107"/>
        <v>0</v>
      </c>
      <c r="AL176" s="31">
        <f t="shared" si="107"/>
        <v>0</v>
      </c>
      <c r="AM176" s="31">
        <f t="shared" si="107"/>
        <v>0</v>
      </c>
      <c r="AN176" s="31">
        <f t="shared" si="107"/>
        <v>0</v>
      </c>
      <c r="AO176" s="31">
        <f t="shared" si="107"/>
        <v>0</v>
      </c>
      <c r="AP176" s="31">
        <f t="shared" si="107"/>
        <v>0</v>
      </c>
      <c r="AQ176" s="31">
        <f t="shared" si="107"/>
        <v>0</v>
      </c>
      <c r="AR176" s="31">
        <f t="shared" si="107"/>
        <v>0</v>
      </c>
      <c r="AS176" s="31">
        <f t="shared" si="107"/>
        <v>0</v>
      </c>
      <c r="AT176" s="40">
        <f t="shared" si="107"/>
        <v>0</v>
      </c>
      <c r="AU176" s="30">
        <f t="shared" si="107"/>
        <v>200000000</v>
      </c>
      <c r="AV176" s="31">
        <f t="shared" si="107"/>
        <v>0</v>
      </c>
      <c r="AW176" s="31">
        <f t="shared" si="107"/>
        <v>0</v>
      </c>
      <c r="AX176" s="32">
        <f t="shared" si="98"/>
        <v>0</v>
      </c>
    </row>
    <row r="177" spans="1:50" ht="18.75" customHeight="1" x14ac:dyDescent="0.2">
      <c r="A177" s="27" t="s">
        <v>37</v>
      </c>
      <c r="B177" s="27" t="s">
        <v>37</v>
      </c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8" t="s">
        <v>845</v>
      </c>
      <c r="AB177" s="29" t="s">
        <v>268</v>
      </c>
      <c r="AC177" s="30" t="s">
        <v>37</v>
      </c>
      <c r="AD177" s="30">
        <f>AD178</f>
        <v>200000000</v>
      </c>
      <c r="AE177" s="31">
        <v>0</v>
      </c>
      <c r="AF177" s="31">
        <v>0</v>
      </c>
      <c r="AG177" s="31">
        <v>0</v>
      </c>
      <c r="AH177" s="31">
        <v>0</v>
      </c>
      <c r="AI177" s="31">
        <v>0</v>
      </c>
      <c r="AJ177" s="30">
        <f t="shared" si="108"/>
        <v>200000000</v>
      </c>
      <c r="AK177" s="31">
        <f t="shared" si="107"/>
        <v>0</v>
      </c>
      <c r="AL177" s="31">
        <f t="shared" si="107"/>
        <v>0</v>
      </c>
      <c r="AM177" s="31">
        <f t="shared" si="107"/>
        <v>0</v>
      </c>
      <c r="AN177" s="31">
        <f t="shared" si="107"/>
        <v>0</v>
      </c>
      <c r="AO177" s="31">
        <f t="shared" si="107"/>
        <v>0</v>
      </c>
      <c r="AP177" s="31">
        <f t="shared" si="107"/>
        <v>0</v>
      </c>
      <c r="AQ177" s="31">
        <f t="shared" si="107"/>
        <v>0</v>
      </c>
      <c r="AR177" s="31">
        <f t="shared" si="107"/>
        <v>0</v>
      </c>
      <c r="AS177" s="31">
        <f t="shared" si="107"/>
        <v>0</v>
      </c>
      <c r="AT177" s="40">
        <f t="shared" si="107"/>
        <v>0</v>
      </c>
      <c r="AU177" s="30">
        <f t="shared" si="107"/>
        <v>200000000</v>
      </c>
      <c r="AV177" s="31">
        <f t="shared" si="107"/>
        <v>0</v>
      </c>
      <c r="AW177" s="31">
        <f t="shared" si="107"/>
        <v>0</v>
      </c>
      <c r="AX177" s="32">
        <f t="shared" si="98"/>
        <v>0</v>
      </c>
    </row>
    <row r="178" spans="1:50" ht="18.75" customHeight="1" x14ac:dyDescent="0.2">
      <c r="A178" s="4" t="s">
        <v>55</v>
      </c>
      <c r="B178" s="4" t="s">
        <v>56</v>
      </c>
      <c r="C178" s="4"/>
      <c r="D178" s="4" t="s">
        <v>947</v>
      </c>
      <c r="E178" s="4"/>
      <c r="F178" s="4"/>
      <c r="G178" s="4" t="s">
        <v>41</v>
      </c>
      <c r="H178" s="4"/>
      <c r="I178" s="4" t="s">
        <v>936</v>
      </c>
      <c r="J178" s="4"/>
      <c r="K178" s="4" t="s">
        <v>932</v>
      </c>
      <c r="L178" s="4"/>
      <c r="M178" s="4" t="s">
        <v>933</v>
      </c>
      <c r="N178" s="4"/>
      <c r="O178" s="4" t="s">
        <v>934</v>
      </c>
      <c r="P178" s="4"/>
      <c r="Q178" s="4" t="s">
        <v>935</v>
      </c>
      <c r="R178" s="4"/>
      <c r="S178" s="4" t="s">
        <v>940</v>
      </c>
      <c r="T178" s="4">
        <v>0</v>
      </c>
      <c r="U178" s="4">
        <v>0</v>
      </c>
      <c r="V178" s="4">
        <v>0</v>
      </c>
      <c r="W178" s="4"/>
      <c r="X178" s="4" t="s">
        <v>937</v>
      </c>
      <c r="Y178" s="4"/>
      <c r="Z178" s="4"/>
      <c r="AA178" s="41" t="s">
        <v>844</v>
      </c>
      <c r="AB178" s="42" t="s">
        <v>269</v>
      </c>
      <c r="AC178" s="43" t="s">
        <v>58</v>
      </c>
      <c r="AD178" s="43">
        <v>200000000</v>
      </c>
      <c r="AE178" s="44">
        <v>0</v>
      </c>
      <c r="AF178" s="44">
        <v>0</v>
      </c>
      <c r="AG178" s="44">
        <v>0</v>
      </c>
      <c r="AH178" s="44">
        <v>0</v>
      </c>
      <c r="AI178" s="44">
        <v>0</v>
      </c>
      <c r="AJ178" s="43">
        <v>200000000</v>
      </c>
      <c r="AK178" s="44">
        <v>0</v>
      </c>
      <c r="AL178" s="44">
        <v>0</v>
      </c>
      <c r="AM178" s="44">
        <v>0</v>
      </c>
      <c r="AN178" s="44">
        <v>0</v>
      </c>
      <c r="AO178" s="44">
        <v>0</v>
      </c>
      <c r="AP178" s="44">
        <v>0</v>
      </c>
      <c r="AQ178" s="44">
        <v>0</v>
      </c>
      <c r="AR178" s="44">
        <v>0</v>
      </c>
      <c r="AS178" s="44">
        <v>0</v>
      </c>
      <c r="AT178" s="40">
        <f t="shared" ref="AT178:AT189" si="109">AQ178+AS178</f>
        <v>0</v>
      </c>
      <c r="AU178" s="18">
        <f>AJ178-AM178</f>
        <v>200000000</v>
      </c>
      <c r="AV178" s="34">
        <f>AM178-AP178</f>
        <v>0</v>
      </c>
      <c r="AW178" s="34">
        <f>AP178-AT178</f>
        <v>0</v>
      </c>
      <c r="AX178" s="32">
        <f t="shared" si="98"/>
        <v>0</v>
      </c>
    </row>
    <row r="179" spans="1:50" s="79" customFormat="1" ht="18.75" customHeight="1" x14ac:dyDescent="0.2">
      <c r="A179" s="117" t="s">
        <v>55</v>
      </c>
      <c r="B179" s="117" t="s">
        <v>56</v>
      </c>
      <c r="C179" s="117"/>
      <c r="D179" s="117" t="s">
        <v>947</v>
      </c>
      <c r="E179" s="117"/>
      <c r="F179" s="117"/>
      <c r="G179" s="117" t="s">
        <v>41</v>
      </c>
      <c r="H179" s="117"/>
      <c r="I179" s="117" t="s">
        <v>936</v>
      </c>
      <c r="J179" s="117"/>
      <c r="K179" s="117" t="s">
        <v>932</v>
      </c>
      <c r="L179" s="117"/>
      <c r="M179" s="117" t="s">
        <v>933</v>
      </c>
      <c r="N179" s="117"/>
      <c r="O179" s="117" t="s">
        <v>934</v>
      </c>
      <c r="P179" s="117"/>
      <c r="Q179" s="117" t="s">
        <v>935</v>
      </c>
      <c r="R179" s="117"/>
      <c r="S179" s="117" t="s">
        <v>940</v>
      </c>
      <c r="T179" s="117">
        <v>0</v>
      </c>
      <c r="U179" s="117">
        <v>0</v>
      </c>
      <c r="V179" s="117">
        <v>0</v>
      </c>
      <c r="W179" s="117"/>
      <c r="X179" s="117" t="s">
        <v>937</v>
      </c>
      <c r="Y179" s="117"/>
      <c r="Z179" s="117"/>
      <c r="AA179" s="81" t="s">
        <v>842</v>
      </c>
      <c r="AB179" s="82" t="s">
        <v>275</v>
      </c>
      <c r="AC179" s="83" t="s">
        <v>58</v>
      </c>
      <c r="AD179" s="83">
        <v>5000000000</v>
      </c>
      <c r="AE179" s="79">
        <f>5188937855.29+310221537.39</f>
        <v>5499159392.6800003</v>
      </c>
      <c r="AF179" s="118">
        <v>0</v>
      </c>
      <c r="AG179" s="118">
        <v>0</v>
      </c>
      <c r="AH179" s="118">
        <v>0</v>
      </c>
      <c r="AI179" s="18">
        <f t="shared" ref="AI179" si="110">AE179-AF179+AG179-AH179</f>
        <v>5499159392.6800003</v>
      </c>
      <c r="AJ179" s="176">
        <f>AD179+AI179</f>
        <v>10499159392.68</v>
      </c>
      <c r="AK179" s="145">
        <v>0</v>
      </c>
      <c r="AL179" s="148">
        <v>45722025.020000003</v>
      </c>
      <c r="AM179" s="148">
        <v>1740194847.3099999</v>
      </c>
      <c r="AN179" s="145">
        <v>0</v>
      </c>
      <c r="AO179" s="147">
        <v>169092346.71000001</v>
      </c>
      <c r="AP179" s="147">
        <v>1455833039.99</v>
      </c>
      <c r="AQ179" s="145">
        <v>0</v>
      </c>
      <c r="AR179" s="147">
        <v>169092346.71000001</v>
      </c>
      <c r="AS179" s="147">
        <v>1407046316.1300001</v>
      </c>
      <c r="AT179" s="147">
        <f t="shared" si="109"/>
        <v>1407046316.1300001</v>
      </c>
      <c r="AU179" s="119">
        <f>AJ179-AM179</f>
        <v>8758964545.3700008</v>
      </c>
      <c r="AV179" s="119">
        <f>AM179-AP179</f>
        <v>284361807.31999993</v>
      </c>
      <c r="AW179" s="83">
        <f>AP179-AT179</f>
        <v>48786723.859999895</v>
      </c>
      <c r="AX179" s="118">
        <f t="shared" si="98"/>
        <v>0.13866186668287034</v>
      </c>
    </row>
    <row r="180" spans="1:50" s="25" customFormat="1" ht="18.75" customHeight="1" x14ac:dyDescent="0.2">
      <c r="A180" s="19" t="s">
        <v>37</v>
      </c>
      <c r="B180" s="19" t="s">
        <v>37</v>
      </c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7" t="s">
        <v>841</v>
      </c>
      <c r="AB180" s="198" t="s">
        <v>276</v>
      </c>
      <c r="AC180" s="22" t="s">
        <v>37</v>
      </c>
      <c r="AD180" s="22">
        <f t="shared" ref="AD180:AS180" si="111">AD181+AD188</f>
        <v>3752467164.4300003</v>
      </c>
      <c r="AE180" s="22">
        <f t="shared" si="111"/>
        <v>488313290.56999999</v>
      </c>
      <c r="AF180" s="23">
        <f t="shared" si="111"/>
        <v>0</v>
      </c>
      <c r="AG180" s="23">
        <f t="shared" si="111"/>
        <v>0</v>
      </c>
      <c r="AH180" s="23">
        <f t="shared" si="111"/>
        <v>0</v>
      </c>
      <c r="AI180" s="22">
        <f t="shared" si="111"/>
        <v>488313290.56999999</v>
      </c>
      <c r="AJ180" s="22">
        <f t="shared" si="111"/>
        <v>4240780455.0000005</v>
      </c>
      <c r="AK180" s="23">
        <f t="shared" si="111"/>
        <v>0</v>
      </c>
      <c r="AL180" s="22">
        <f t="shared" si="111"/>
        <v>211601366.56999999</v>
      </c>
      <c r="AM180" s="22">
        <f t="shared" si="111"/>
        <v>2622855585.1700001</v>
      </c>
      <c r="AN180" s="23">
        <f t="shared" si="111"/>
        <v>0</v>
      </c>
      <c r="AO180" s="22">
        <f t="shared" si="111"/>
        <v>211601366.56999999</v>
      </c>
      <c r="AP180" s="22">
        <f t="shared" si="111"/>
        <v>2622007985.5699997</v>
      </c>
      <c r="AQ180" s="23">
        <f t="shared" si="111"/>
        <v>67272174.299999997</v>
      </c>
      <c r="AR180" s="22">
        <f t="shared" si="111"/>
        <v>144329192.26999998</v>
      </c>
      <c r="AS180" s="22">
        <f t="shared" si="111"/>
        <v>2518398539.27</v>
      </c>
      <c r="AT180" s="121">
        <f t="shared" si="109"/>
        <v>2585670713.5700002</v>
      </c>
      <c r="AU180" s="121">
        <f>AJ180-AM180</f>
        <v>1617924869.8300004</v>
      </c>
      <c r="AV180" s="122">
        <f>AM180-AP180</f>
        <v>847599.60000038147</v>
      </c>
      <c r="AW180" s="121">
        <f>AP180-AT180</f>
        <v>36337271.999999523</v>
      </c>
      <c r="AX180" s="49">
        <f t="shared" si="98"/>
        <v>0.61828430247516775</v>
      </c>
    </row>
    <row r="181" spans="1:50" ht="18.75" customHeight="1" x14ac:dyDescent="0.2">
      <c r="A181" s="27" t="s">
        <v>37</v>
      </c>
      <c r="B181" s="27" t="s">
        <v>37</v>
      </c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8" t="s">
        <v>840</v>
      </c>
      <c r="AB181" s="29" t="s">
        <v>277</v>
      </c>
      <c r="AC181" s="30" t="s">
        <v>37</v>
      </c>
      <c r="AD181" s="30">
        <f t="shared" ref="AD181:AW181" si="112">AD182+AD183+AD184+AD185+AD187+AD186</f>
        <v>3552467164.4300003</v>
      </c>
      <c r="AE181" s="30">
        <f t="shared" si="112"/>
        <v>488313290.56999999</v>
      </c>
      <c r="AF181" s="31">
        <f t="shared" si="112"/>
        <v>0</v>
      </c>
      <c r="AG181" s="31">
        <f t="shared" si="112"/>
        <v>0</v>
      </c>
      <c r="AH181" s="31">
        <f t="shared" si="112"/>
        <v>0</v>
      </c>
      <c r="AI181" s="30">
        <f t="shared" si="112"/>
        <v>488313290.56999999</v>
      </c>
      <c r="AJ181" s="30">
        <f t="shared" si="112"/>
        <v>4040780455.0000005</v>
      </c>
      <c r="AK181" s="31">
        <f t="shared" si="112"/>
        <v>0</v>
      </c>
      <c r="AL181" s="30">
        <f t="shared" si="112"/>
        <v>211601366.56999999</v>
      </c>
      <c r="AM181" s="30">
        <f t="shared" si="112"/>
        <v>2622855585.1700001</v>
      </c>
      <c r="AN181" s="31">
        <f t="shared" si="112"/>
        <v>0</v>
      </c>
      <c r="AO181" s="30">
        <f t="shared" si="112"/>
        <v>211601366.56999999</v>
      </c>
      <c r="AP181" s="30">
        <f t="shared" si="112"/>
        <v>2622007985.5699997</v>
      </c>
      <c r="AQ181" s="31">
        <f t="shared" si="112"/>
        <v>67272174.299999997</v>
      </c>
      <c r="AR181" s="30">
        <f t="shared" si="112"/>
        <v>144329192.26999998</v>
      </c>
      <c r="AS181" s="30">
        <f t="shared" si="112"/>
        <v>2518398539.27</v>
      </c>
      <c r="AT181" s="30">
        <f t="shared" si="112"/>
        <v>2585670713.5699997</v>
      </c>
      <c r="AU181" s="30">
        <f t="shared" si="112"/>
        <v>1417924869.8299999</v>
      </c>
      <c r="AV181" s="30">
        <f t="shared" si="112"/>
        <v>847599.59999990463</v>
      </c>
      <c r="AW181" s="30">
        <f t="shared" si="112"/>
        <v>36337272</v>
      </c>
      <c r="AX181" s="123">
        <f t="shared" si="98"/>
        <v>0.64888652446473971</v>
      </c>
    </row>
    <row r="182" spans="1:50" ht="18.75" customHeight="1" x14ac:dyDescent="0.2">
      <c r="A182" s="4" t="s">
        <v>55</v>
      </c>
      <c r="B182" s="4" t="s">
        <v>56</v>
      </c>
      <c r="C182" s="4"/>
      <c r="D182" s="4" t="s">
        <v>947</v>
      </c>
      <c r="E182" s="4"/>
      <c r="F182" s="4"/>
      <c r="G182" s="4" t="s">
        <v>41</v>
      </c>
      <c r="H182" s="4"/>
      <c r="I182" s="4" t="s">
        <v>936</v>
      </c>
      <c r="J182" s="4"/>
      <c r="K182" s="4" t="s">
        <v>932</v>
      </c>
      <c r="L182" s="4"/>
      <c r="M182" s="4" t="s">
        <v>933</v>
      </c>
      <c r="N182" s="4"/>
      <c r="O182" s="4" t="s">
        <v>934</v>
      </c>
      <c r="P182" s="4"/>
      <c r="Q182" s="4" t="s">
        <v>935</v>
      </c>
      <c r="R182" s="4"/>
      <c r="S182" s="4" t="s">
        <v>940</v>
      </c>
      <c r="T182" s="4">
        <v>0</v>
      </c>
      <c r="U182" s="4">
        <v>0</v>
      </c>
      <c r="V182" s="4">
        <v>0</v>
      </c>
      <c r="W182" s="4"/>
      <c r="X182" s="4" t="s">
        <v>937</v>
      </c>
      <c r="Y182" s="4"/>
      <c r="Z182" s="4"/>
      <c r="AA182" s="41" t="s">
        <v>839</v>
      </c>
      <c r="AB182" s="42" t="s">
        <v>233</v>
      </c>
      <c r="AC182" s="43" t="s">
        <v>58</v>
      </c>
      <c r="AD182" s="43">
        <v>530000000</v>
      </c>
      <c r="AE182" s="44">
        <v>0</v>
      </c>
      <c r="AF182" s="44">
        <v>0</v>
      </c>
      <c r="AG182" s="44">
        <v>0</v>
      </c>
      <c r="AH182" s="44">
        <v>0</v>
      </c>
      <c r="AI182" s="44">
        <v>0</v>
      </c>
      <c r="AJ182" s="43">
        <v>530000000</v>
      </c>
      <c r="AK182" s="44">
        <v>0</v>
      </c>
      <c r="AL182" s="44">
        <v>0</v>
      </c>
      <c r="AM182" s="44">
        <v>0</v>
      </c>
      <c r="AN182" s="44">
        <v>0</v>
      </c>
      <c r="AO182" s="44">
        <v>0</v>
      </c>
      <c r="AP182" s="44">
        <v>0</v>
      </c>
      <c r="AQ182" s="44">
        <v>0</v>
      </c>
      <c r="AR182" s="44">
        <v>0</v>
      </c>
      <c r="AS182" s="44">
        <v>0</v>
      </c>
      <c r="AT182" s="40">
        <f t="shared" si="109"/>
        <v>0</v>
      </c>
      <c r="AU182" s="18">
        <f t="shared" ref="AU182:AU189" si="113">AJ182-AM182</f>
        <v>530000000</v>
      </c>
      <c r="AV182" s="34">
        <f t="shared" ref="AV182:AV189" si="114">AM182-AP182</f>
        <v>0</v>
      </c>
      <c r="AW182" s="34">
        <f t="shared" ref="AW182:AW189" si="115">AP182-AT182</f>
        <v>0</v>
      </c>
      <c r="AX182" s="123">
        <f t="shared" si="98"/>
        <v>0</v>
      </c>
    </row>
    <row r="183" spans="1:50" s="150" customFormat="1" ht="18.75" customHeight="1" x14ac:dyDescent="0.2">
      <c r="A183" s="140" t="s">
        <v>55</v>
      </c>
      <c r="B183" s="140" t="s">
        <v>56</v>
      </c>
      <c r="C183" s="140"/>
      <c r="D183" s="140" t="s">
        <v>947</v>
      </c>
      <c r="E183" s="140"/>
      <c r="F183" s="140"/>
      <c r="G183" s="140" t="s">
        <v>41</v>
      </c>
      <c r="H183" s="140"/>
      <c r="I183" s="140" t="s">
        <v>936</v>
      </c>
      <c r="J183" s="140"/>
      <c r="K183" s="140" t="s">
        <v>932</v>
      </c>
      <c r="L183" s="140"/>
      <c r="M183" s="140" t="s">
        <v>933</v>
      </c>
      <c r="N183" s="140"/>
      <c r="O183" s="140" t="s">
        <v>934</v>
      </c>
      <c r="P183" s="140"/>
      <c r="Q183" s="140" t="s">
        <v>935</v>
      </c>
      <c r="R183" s="140"/>
      <c r="S183" s="140" t="s">
        <v>940</v>
      </c>
      <c r="T183" s="140">
        <v>0</v>
      </c>
      <c r="U183" s="140">
        <v>0</v>
      </c>
      <c r="V183" s="140">
        <v>0</v>
      </c>
      <c r="W183" s="140"/>
      <c r="X183" s="140" t="s">
        <v>937</v>
      </c>
      <c r="Y183" s="140"/>
      <c r="Z183" s="140"/>
      <c r="AA183" s="134" t="s">
        <v>838</v>
      </c>
      <c r="AB183" s="69" t="s">
        <v>278</v>
      </c>
      <c r="AC183" s="142" t="s">
        <v>253</v>
      </c>
      <c r="AD183" s="142">
        <v>600000000</v>
      </c>
      <c r="AE183" s="143">
        <v>0</v>
      </c>
      <c r="AF183" s="143">
        <v>0</v>
      </c>
      <c r="AG183" s="143">
        <v>0</v>
      </c>
      <c r="AH183" s="143">
        <v>0</v>
      </c>
      <c r="AI183" s="143">
        <v>0</v>
      </c>
      <c r="AJ183" s="142">
        <v>600000000</v>
      </c>
      <c r="AK183" s="143">
        <v>0</v>
      </c>
      <c r="AL183" s="43">
        <v>63754057.140000001</v>
      </c>
      <c r="AM183" s="142">
        <v>586234834.13999999</v>
      </c>
      <c r="AN183" s="143">
        <v>0</v>
      </c>
      <c r="AO183" s="143">
        <v>63754057.140000001</v>
      </c>
      <c r="AP183" s="142">
        <v>586234834.13999999</v>
      </c>
      <c r="AQ183" s="143">
        <v>63754057.140000001</v>
      </c>
      <c r="AR183" s="142">
        <v>0</v>
      </c>
      <c r="AS183" s="142">
        <v>522480777</v>
      </c>
      <c r="AT183" s="267">
        <f t="shared" si="109"/>
        <v>586234834.13999999</v>
      </c>
      <c r="AU183" s="147">
        <f t="shared" si="113"/>
        <v>13765165.860000014</v>
      </c>
      <c r="AV183" s="145">
        <f t="shared" si="114"/>
        <v>0</v>
      </c>
      <c r="AW183" s="145">
        <f t="shared" si="115"/>
        <v>0</v>
      </c>
      <c r="AX183" s="149">
        <f t="shared" si="98"/>
        <v>0.97705805690000003</v>
      </c>
    </row>
    <row r="184" spans="1:50" ht="25.5" customHeight="1" x14ac:dyDescent="0.2">
      <c r="A184" s="4" t="s">
        <v>55</v>
      </c>
      <c r="B184" s="4" t="s">
        <v>56</v>
      </c>
      <c r="C184" s="4"/>
      <c r="D184" s="4" t="s">
        <v>947</v>
      </c>
      <c r="E184" s="4"/>
      <c r="F184" s="4"/>
      <c r="G184" s="4" t="s">
        <v>41</v>
      </c>
      <c r="H184" s="4"/>
      <c r="I184" s="4" t="s">
        <v>936</v>
      </c>
      <c r="J184" s="4"/>
      <c r="K184" s="4" t="s">
        <v>932</v>
      </c>
      <c r="L184" s="4"/>
      <c r="M184" s="4" t="s">
        <v>933</v>
      </c>
      <c r="N184" s="4"/>
      <c r="O184" s="4" t="s">
        <v>934</v>
      </c>
      <c r="P184" s="4"/>
      <c r="Q184" s="4" t="s">
        <v>935</v>
      </c>
      <c r="R184" s="4"/>
      <c r="S184" s="4" t="s">
        <v>940</v>
      </c>
      <c r="T184" s="4">
        <v>0</v>
      </c>
      <c r="U184" s="4">
        <v>0</v>
      </c>
      <c r="V184" s="4">
        <v>0</v>
      </c>
      <c r="W184" s="4"/>
      <c r="X184" s="4" t="s">
        <v>937</v>
      </c>
      <c r="Y184" s="4"/>
      <c r="Z184" s="4"/>
      <c r="AA184" s="134" t="s">
        <v>837</v>
      </c>
      <c r="AB184" s="69" t="s">
        <v>279</v>
      </c>
      <c r="AC184" s="142" t="s">
        <v>253</v>
      </c>
      <c r="AD184" s="142">
        <v>961836799</v>
      </c>
      <c r="AE184" s="44">
        <v>0</v>
      </c>
      <c r="AF184" s="44">
        <v>0</v>
      </c>
      <c r="AG184" s="44">
        <v>0</v>
      </c>
      <c r="AH184" s="44">
        <v>0</v>
      </c>
      <c r="AI184" s="44">
        <v>0</v>
      </c>
      <c r="AJ184" s="43">
        <v>961836799</v>
      </c>
      <c r="AK184" s="44">
        <v>0</v>
      </c>
      <c r="AL184" s="43">
        <v>70253566.200000003</v>
      </c>
      <c r="AM184" s="43">
        <v>704914501.78999996</v>
      </c>
      <c r="AN184" s="44">
        <v>0</v>
      </c>
      <c r="AO184" s="43">
        <v>70253566.200000003</v>
      </c>
      <c r="AP184" s="43">
        <v>704914501.78999996</v>
      </c>
      <c r="AQ184" s="44">
        <v>0</v>
      </c>
      <c r="AR184" s="43">
        <v>70253566.200000003</v>
      </c>
      <c r="AS184" s="43">
        <v>668577229.78999996</v>
      </c>
      <c r="AT184" s="39">
        <f t="shared" si="109"/>
        <v>668577229.78999996</v>
      </c>
      <c r="AU184" s="18">
        <f t="shared" si="113"/>
        <v>256922297.21000004</v>
      </c>
      <c r="AV184" s="34">
        <f t="shared" si="114"/>
        <v>0</v>
      </c>
      <c r="AW184" s="18">
        <f t="shared" si="115"/>
        <v>36337272</v>
      </c>
      <c r="AX184" s="123">
        <f t="shared" si="98"/>
        <v>0.73288368933574144</v>
      </c>
    </row>
    <row r="185" spans="1:50" ht="18.75" customHeight="1" x14ac:dyDescent="0.2">
      <c r="A185" s="4" t="s">
        <v>55</v>
      </c>
      <c r="B185" s="4" t="s">
        <v>56</v>
      </c>
      <c r="C185" s="4"/>
      <c r="D185" s="4" t="s">
        <v>947</v>
      </c>
      <c r="E185" s="4"/>
      <c r="F185" s="4"/>
      <c r="G185" s="4" t="s">
        <v>41</v>
      </c>
      <c r="H185" s="4"/>
      <c r="I185" s="4" t="s">
        <v>936</v>
      </c>
      <c r="J185" s="4"/>
      <c r="K185" s="4" t="s">
        <v>932</v>
      </c>
      <c r="L185" s="4"/>
      <c r="M185" s="4" t="s">
        <v>933</v>
      </c>
      <c r="N185" s="4"/>
      <c r="O185" s="4" t="s">
        <v>934</v>
      </c>
      <c r="P185" s="4"/>
      <c r="Q185" s="4" t="s">
        <v>935</v>
      </c>
      <c r="R185" s="4"/>
      <c r="S185" s="4" t="s">
        <v>940</v>
      </c>
      <c r="T185" s="4">
        <v>0</v>
      </c>
      <c r="U185" s="4">
        <v>0</v>
      </c>
      <c r="V185" s="4">
        <v>0</v>
      </c>
      <c r="W185" s="4"/>
      <c r="X185" s="4" t="s">
        <v>937</v>
      </c>
      <c r="Y185" s="4"/>
      <c r="Z185" s="4"/>
      <c r="AA185" s="134" t="s">
        <v>836</v>
      </c>
      <c r="AB185" s="69" t="s">
        <v>239</v>
      </c>
      <c r="AC185" s="142" t="s">
        <v>240</v>
      </c>
      <c r="AD185" s="142">
        <v>1460630365.4300001</v>
      </c>
      <c r="AE185" s="44">
        <v>0</v>
      </c>
      <c r="AF185" s="44">
        <v>0</v>
      </c>
      <c r="AG185" s="44">
        <v>0</v>
      </c>
      <c r="AH185" s="44">
        <v>0</v>
      </c>
      <c r="AI185" s="44">
        <v>0</v>
      </c>
      <c r="AJ185" s="43">
        <v>1460630365.4300001</v>
      </c>
      <c r="AK185" s="44">
        <v>0</v>
      </c>
      <c r="AL185" s="43">
        <v>77593743.230000004</v>
      </c>
      <c r="AM185" s="43">
        <v>1331706249.24</v>
      </c>
      <c r="AN185" s="44">
        <v>0</v>
      </c>
      <c r="AO185" s="43">
        <v>77593743.230000004</v>
      </c>
      <c r="AP185" s="43">
        <v>1330858649.6400001</v>
      </c>
      <c r="AQ185" s="44">
        <v>3518117.16</v>
      </c>
      <c r="AR185" s="43">
        <v>74075626.069999993</v>
      </c>
      <c r="AS185" s="43">
        <v>1327340532.48</v>
      </c>
      <c r="AT185" s="39">
        <f t="shared" si="109"/>
        <v>1330858649.6400001</v>
      </c>
      <c r="AU185" s="18">
        <f t="shared" si="113"/>
        <v>128924116.19000006</v>
      </c>
      <c r="AV185" s="34">
        <f t="shared" si="114"/>
        <v>847599.59999990463</v>
      </c>
      <c r="AW185" s="34">
        <f t="shared" si="115"/>
        <v>0</v>
      </c>
      <c r="AX185" s="123">
        <f t="shared" si="98"/>
        <v>0.91115362321541493</v>
      </c>
    </row>
    <row r="186" spans="1:50" ht="18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166" t="s">
        <v>1012</v>
      </c>
      <c r="AB186" s="167" t="s">
        <v>1013</v>
      </c>
      <c r="AC186" s="203"/>
      <c r="AD186" s="143">
        <v>0</v>
      </c>
      <c r="AE186" s="43">
        <v>69321334.879999995</v>
      </c>
      <c r="AF186" s="44"/>
      <c r="AG186" s="44"/>
      <c r="AH186" s="44"/>
      <c r="AI186" s="18">
        <f>AE186-AF186+AG186-AH186</f>
        <v>69321334.879999995</v>
      </c>
      <c r="AJ186" s="18">
        <f>AD186+AI186</f>
        <v>69321334.879999995</v>
      </c>
      <c r="AK186" s="44">
        <v>0</v>
      </c>
      <c r="AL186" s="44">
        <f>AM186-AGOSTO!AM186</f>
        <v>0</v>
      </c>
      <c r="AM186" s="44">
        <v>0</v>
      </c>
      <c r="AN186" s="44">
        <v>0</v>
      </c>
      <c r="AO186" s="44">
        <v>0</v>
      </c>
      <c r="AP186" s="44">
        <v>0</v>
      </c>
      <c r="AQ186" s="44">
        <v>0</v>
      </c>
      <c r="AR186" s="44">
        <v>0</v>
      </c>
      <c r="AS186" s="44">
        <v>0</v>
      </c>
      <c r="AT186" s="40">
        <f t="shared" si="109"/>
        <v>0</v>
      </c>
      <c r="AU186" s="18">
        <f t="shared" si="113"/>
        <v>69321334.879999995</v>
      </c>
      <c r="AV186" s="34">
        <f t="shared" si="114"/>
        <v>0</v>
      </c>
      <c r="AW186" s="34">
        <f t="shared" si="115"/>
        <v>0</v>
      </c>
      <c r="AX186" s="123">
        <f t="shared" si="98"/>
        <v>0</v>
      </c>
    </row>
    <row r="187" spans="1:50" ht="26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166" t="s">
        <v>1010</v>
      </c>
      <c r="AB187" s="167" t="s">
        <v>1011</v>
      </c>
      <c r="AC187" s="203"/>
      <c r="AD187" s="143">
        <v>0</v>
      </c>
      <c r="AE187" s="43">
        <v>418991955.69</v>
      </c>
      <c r="AF187" s="44">
        <v>0</v>
      </c>
      <c r="AG187" s="44">
        <v>0</v>
      </c>
      <c r="AH187" s="44">
        <v>0</v>
      </c>
      <c r="AI187" s="18">
        <f t="shared" ref="AI187" si="116">AE187-AF187+AG187-AH187</f>
        <v>418991955.69</v>
      </c>
      <c r="AJ187" s="18">
        <f t="shared" ref="AJ187" si="117">AD187+AI187</f>
        <v>418991955.69</v>
      </c>
      <c r="AK187" s="44">
        <v>0</v>
      </c>
      <c r="AL187" s="44">
        <f>AM187-AGOSTO!AM187</f>
        <v>0</v>
      </c>
      <c r="AM187" s="44">
        <v>0</v>
      </c>
      <c r="AN187" s="44">
        <v>0</v>
      </c>
      <c r="AO187" s="44">
        <v>0</v>
      </c>
      <c r="AP187" s="44">
        <v>0</v>
      </c>
      <c r="AQ187" s="44">
        <v>0</v>
      </c>
      <c r="AR187" s="44">
        <v>0</v>
      </c>
      <c r="AS187" s="44">
        <v>0</v>
      </c>
      <c r="AT187" s="40">
        <f t="shared" si="109"/>
        <v>0</v>
      </c>
      <c r="AU187" s="18">
        <f t="shared" si="113"/>
        <v>418991955.69</v>
      </c>
      <c r="AV187" s="34">
        <f t="shared" si="114"/>
        <v>0</v>
      </c>
      <c r="AW187" s="34">
        <f t="shared" si="115"/>
        <v>0</v>
      </c>
      <c r="AX187" s="123">
        <f t="shared" si="98"/>
        <v>0</v>
      </c>
    </row>
    <row r="188" spans="1:50" ht="18.75" customHeight="1" x14ac:dyDescent="0.2">
      <c r="A188" s="27" t="s">
        <v>37</v>
      </c>
      <c r="B188" s="27" t="s">
        <v>37</v>
      </c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04" t="s">
        <v>835</v>
      </c>
      <c r="AB188" s="205" t="s">
        <v>280</v>
      </c>
      <c r="AC188" s="187" t="s">
        <v>37</v>
      </c>
      <c r="AD188" s="187">
        <f>AD189</f>
        <v>200000000</v>
      </c>
      <c r="AE188" s="31">
        <f t="shared" ref="AE188:AS188" si="118">AE189</f>
        <v>0</v>
      </c>
      <c r="AF188" s="31">
        <f t="shared" si="118"/>
        <v>0</v>
      </c>
      <c r="AG188" s="31">
        <f t="shared" si="118"/>
        <v>0</v>
      </c>
      <c r="AH188" s="31">
        <f t="shared" si="118"/>
        <v>0</v>
      </c>
      <c r="AI188" s="31">
        <f t="shared" si="118"/>
        <v>0</v>
      </c>
      <c r="AJ188" s="30">
        <f t="shared" si="118"/>
        <v>200000000</v>
      </c>
      <c r="AK188" s="31">
        <f t="shared" si="118"/>
        <v>0</v>
      </c>
      <c r="AL188" s="31">
        <f t="shared" si="118"/>
        <v>0</v>
      </c>
      <c r="AM188" s="31">
        <f t="shared" si="118"/>
        <v>0</v>
      </c>
      <c r="AN188" s="31">
        <f t="shared" si="118"/>
        <v>0</v>
      </c>
      <c r="AO188" s="31">
        <f t="shared" si="118"/>
        <v>0</v>
      </c>
      <c r="AP188" s="31">
        <f t="shared" si="118"/>
        <v>0</v>
      </c>
      <c r="AQ188" s="31">
        <f t="shared" si="118"/>
        <v>0</v>
      </c>
      <c r="AR188" s="31">
        <f t="shared" si="118"/>
        <v>0</v>
      </c>
      <c r="AS188" s="31">
        <f t="shared" si="118"/>
        <v>0</v>
      </c>
      <c r="AT188" s="40">
        <f t="shared" si="109"/>
        <v>0</v>
      </c>
      <c r="AU188" s="18">
        <f t="shared" si="113"/>
        <v>200000000</v>
      </c>
      <c r="AV188" s="34">
        <f t="shared" si="114"/>
        <v>0</v>
      </c>
      <c r="AW188" s="34">
        <f t="shared" si="115"/>
        <v>0</v>
      </c>
      <c r="AX188" s="123">
        <f t="shared" si="98"/>
        <v>0</v>
      </c>
    </row>
    <row r="189" spans="1:50" s="150" customFormat="1" ht="18.75" customHeight="1" x14ac:dyDescent="0.2">
      <c r="A189" s="140" t="s">
        <v>55</v>
      </c>
      <c r="B189" s="140" t="s">
        <v>56</v>
      </c>
      <c r="C189" s="140"/>
      <c r="D189" s="140" t="s">
        <v>947</v>
      </c>
      <c r="E189" s="140"/>
      <c r="F189" s="140"/>
      <c r="G189" s="140" t="s">
        <v>41</v>
      </c>
      <c r="H189" s="140"/>
      <c r="I189" s="140" t="s">
        <v>936</v>
      </c>
      <c r="J189" s="140"/>
      <c r="K189" s="140" t="s">
        <v>932</v>
      </c>
      <c r="L189" s="140"/>
      <c r="M189" s="140" t="s">
        <v>933</v>
      </c>
      <c r="N189" s="140"/>
      <c r="O189" s="140" t="s">
        <v>934</v>
      </c>
      <c r="P189" s="140"/>
      <c r="Q189" s="140" t="s">
        <v>935</v>
      </c>
      <c r="R189" s="140"/>
      <c r="S189" s="140" t="s">
        <v>940</v>
      </c>
      <c r="T189" s="140">
        <v>0</v>
      </c>
      <c r="U189" s="140">
        <v>0</v>
      </c>
      <c r="V189" s="140">
        <v>0</v>
      </c>
      <c r="W189" s="140"/>
      <c r="X189" s="140" t="s">
        <v>937</v>
      </c>
      <c r="Y189" s="140"/>
      <c r="Z189" s="140"/>
      <c r="AA189" s="134" t="s">
        <v>834</v>
      </c>
      <c r="AB189" s="69" t="s">
        <v>281</v>
      </c>
      <c r="AC189" s="142" t="s">
        <v>253</v>
      </c>
      <c r="AD189" s="142">
        <v>200000000</v>
      </c>
      <c r="AE189" s="143">
        <v>0</v>
      </c>
      <c r="AF189" s="143">
        <v>0</v>
      </c>
      <c r="AG189" s="143">
        <v>0</v>
      </c>
      <c r="AH189" s="143">
        <v>0</v>
      </c>
      <c r="AI189" s="143">
        <v>0</v>
      </c>
      <c r="AJ189" s="142">
        <v>200000000</v>
      </c>
      <c r="AK189" s="143">
        <v>0</v>
      </c>
      <c r="AL189" s="143">
        <f>AM189-AGOSTO!AM189</f>
        <v>0</v>
      </c>
      <c r="AM189" s="143">
        <v>0</v>
      </c>
      <c r="AN189" s="143">
        <v>0</v>
      </c>
      <c r="AO189" s="143">
        <v>0</v>
      </c>
      <c r="AP189" s="143">
        <v>0</v>
      </c>
      <c r="AQ189" s="143">
        <v>0</v>
      </c>
      <c r="AR189" s="143">
        <v>0</v>
      </c>
      <c r="AS189" s="143">
        <v>0</v>
      </c>
      <c r="AT189" s="146">
        <f t="shared" si="109"/>
        <v>0</v>
      </c>
      <c r="AU189" s="147">
        <f t="shared" si="113"/>
        <v>200000000</v>
      </c>
      <c r="AV189" s="145">
        <f t="shared" si="114"/>
        <v>0</v>
      </c>
      <c r="AW189" s="145">
        <f t="shared" si="115"/>
        <v>0</v>
      </c>
      <c r="AX189" s="149">
        <f t="shared" si="98"/>
        <v>0</v>
      </c>
    </row>
    <row r="190" spans="1:50" ht="18.75" customHeight="1" x14ac:dyDescent="0.2">
      <c r="AA190" s="16"/>
      <c r="AB190" s="17"/>
      <c r="AC190" s="17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34"/>
      <c r="AT190" s="39"/>
      <c r="AU190" s="18"/>
      <c r="AV190" s="34"/>
      <c r="AW190" s="34"/>
      <c r="AX190" s="123"/>
    </row>
    <row r="191" spans="1:50" s="124" customFormat="1" ht="18.75" customHeigh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7" t="s">
        <v>282</v>
      </c>
      <c r="AB191" s="128" t="s">
        <v>283</v>
      </c>
      <c r="AC191" s="128"/>
      <c r="AD191" s="129">
        <f t="shared" ref="AD191:AS191" si="119">AD251+AD538+AD744+AD851+AD1141+AD1178+AD1234+AD1253+AD1296+AD1309+AD1326+AD1341+AD1442+AD1089</f>
        <v>778687617478</v>
      </c>
      <c r="AE191" s="129">
        <f t="shared" si="119"/>
        <v>234343881731.91006</v>
      </c>
      <c r="AF191" s="130">
        <f t="shared" si="119"/>
        <v>0</v>
      </c>
      <c r="AG191" s="129">
        <f t="shared" si="119"/>
        <v>188559190695.33005</v>
      </c>
      <c r="AH191" s="129">
        <f t="shared" si="119"/>
        <v>165720970379.99002</v>
      </c>
      <c r="AI191" s="129">
        <f t="shared" si="119"/>
        <v>257182102047.25003</v>
      </c>
      <c r="AJ191" s="129">
        <f t="shared" si="119"/>
        <v>1035869719525.25</v>
      </c>
      <c r="AK191" s="129">
        <f t="shared" si="119"/>
        <v>1963924431</v>
      </c>
      <c r="AL191" s="129">
        <f t="shared" si="119"/>
        <v>19602743778.159996</v>
      </c>
      <c r="AM191" s="129">
        <f t="shared" si="119"/>
        <v>734281681438.92004</v>
      </c>
      <c r="AN191" s="129">
        <f t="shared" si="119"/>
        <v>176452856.34</v>
      </c>
      <c r="AO191" s="129">
        <f t="shared" si="119"/>
        <v>47635696284.210007</v>
      </c>
      <c r="AP191" s="129">
        <f t="shared" si="119"/>
        <v>651702043728.76001</v>
      </c>
      <c r="AQ191" s="129">
        <f t="shared" si="119"/>
        <v>2984502987.02</v>
      </c>
      <c r="AR191" s="129">
        <f t="shared" si="119"/>
        <v>80808749533.459991</v>
      </c>
      <c r="AS191" s="129">
        <f t="shared" si="119"/>
        <v>486609643487.79999</v>
      </c>
      <c r="AT191" s="131">
        <f>AQ191+AS191</f>
        <v>489594146474.82001</v>
      </c>
      <c r="AU191" s="129">
        <f>AU251+AU538+AU744+AU851+AU1141+AU1178+AU1234+AU1253+AU1296+AU1309+AU1326+AU1341+AU1442+AU1089</f>
        <v>301588038086.33008</v>
      </c>
      <c r="AV191" s="129">
        <f>AV251+AV538+AV744+AV851+AV1141+AV1178+AV1234+AV1253+AV1296+AV1309+AV1326+AV1341+AV1442+AV1089</f>
        <v>82579637710.160004</v>
      </c>
      <c r="AW191" s="129">
        <f>AW251+AW538+AW744+AW851+AW1141+AW1178+AW1234+AW1253+AW1296+AW1309+AW1326+AW1341+AW1442+AW1089</f>
        <v>162107897253.94003</v>
      </c>
      <c r="AX191" s="132">
        <f>AP191/AJ191</f>
        <v>0.62913514261951964</v>
      </c>
    </row>
    <row r="192" spans="1:50" ht="18.75" customHeight="1" x14ac:dyDescent="0.2">
      <c r="AA192" s="16"/>
      <c r="AB192" s="17"/>
      <c r="AC192" s="17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</row>
    <row r="193" spans="1:50" s="25" customFormat="1" ht="18.75" customHeight="1" x14ac:dyDescent="0.2">
      <c r="A193" s="58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60"/>
      <c r="AB193" s="21" t="s">
        <v>284</v>
      </c>
      <c r="AC193" s="61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3"/>
    </row>
    <row r="194" spans="1:50" ht="18.75" customHeight="1" x14ac:dyDescent="0.2">
      <c r="A194" s="35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7"/>
      <c r="AB194" s="29" t="s">
        <v>285</v>
      </c>
      <c r="AC194" s="38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0"/>
      <c r="AU194" s="39"/>
      <c r="AV194" s="39"/>
      <c r="AW194" s="39"/>
      <c r="AX194" s="18"/>
    </row>
    <row r="195" spans="1:50" ht="18.75" customHeight="1" x14ac:dyDescent="0.2">
      <c r="A195" s="35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7"/>
      <c r="AB195" s="29" t="s">
        <v>286</v>
      </c>
      <c r="AC195" s="38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0"/>
      <c r="AU195" s="39"/>
      <c r="AV195" s="39"/>
      <c r="AW195" s="39"/>
      <c r="AX195" s="18"/>
    </row>
    <row r="196" spans="1:50" ht="18.75" customHeight="1" x14ac:dyDescent="0.2">
      <c r="A196" s="35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7"/>
      <c r="AB196" s="29" t="s">
        <v>179</v>
      </c>
      <c r="AC196" s="38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0"/>
      <c r="AU196" s="39"/>
      <c r="AV196" s="39"/>
      <c r="AW196" s="39"/>
      <c r="AX196" s="18"/>
    </row>
    <row r="197" spans="1:50" ht="18.75" customHeight="1" x14ac:dyDescent="0.2">
      <c r="A197" s="14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6"/>
      <c r="AB197" s="29" t="s">
        <v>181</v>
      </c>
      <c r="AC197" s="17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30"/>
      <c r="AU197" s="18"/>
      <c r="AV197" s="18"/>
      <c r="AW197" s="18"/>
      <c r="AX197" s="18"/>
    </row>
    <row r="198" spans="1:50" ht="18.75" customHeight="1" x14ac:dyDescent="0.2">
      <c r="A198" s="14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6"/>
      <c r="AB198" s="29" t="s">
        <v>287</v>
      </c>
      <c r="AC198" s="17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30"/>
      <c r="AU198" s="18"/>
      <c r="AV198" s="18"/>
      <c r="AW198" s="18"/>
      <c r="AX198" s="18"/>
    </row>
    <row r="199" spans="1:50" ht="25.5" x14ac:dyDescent="0.2">
      <c r="A199" s="35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28" t="s">
        <v>288</v>
      </c>
      <c r="AB199" s="29" t="s">
        <v>289</v>
      </c>
      <c r="AC199" s="38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0"/>
      <c r="AU199" s="39"/>
      <c r="AV199" s="39"/>
      <c r="AW199" s="39"/>
      <c r="AX199" s="18"/>
    </row>
    <row r="200" spans="1:50" ht="18.75" customHeight="1" x14ac:dyDescent="0.2">
      <c r="A200" s="14" t="s">
        <v>55</v>
      </c>
      <c r="B200" s="15" t="s">
        <v>56</v>
      </c>
      <c r="C200" s="15"/>
      <c r="D200" s="15"/>
      <c r="E200" s="15"/>
      <c r="F200" s="15"/>
      <c r="G200" s="15" t="s">
        <v>41</v>
      </c>
      <c r="H200" s="15"/>
      <c r="I200" s="15" t="s">
        <v>936</v>
      </c>
      <c r="J200" s="15"/>
      <c r="K200" s="15" t="s">
        <v>932</v>
      </c>
      <c r="L200" s="15"/>
      <c r="M200" s="15" t="s">
        <v>933</v>
      </c>
      <c r="N200" s="15"/>
      <c r="O200" s="15" t="s">
        <v>948</v>
      </c>
      <c r="P200" s="15"/>
      <c r="Q200" s="15" t="s">
        <v>942</v>
      </c>
      <c r="R200" s="15"/>
      <c r="S200" s="15" t="s">
        <v>940</v>
      </c>
      <c r="T200" s="15">
        <v>0</v>
      </c>
      <c r="U200" s="15">
        <v>0</v>
      </c>
      <c r="V200" s="15">
        <v>0</v>
      </c>
      <c r="W200" s="15"/>
      <c r="X200" s="15" t="s">
        <v>937</v>
      </c>
      <c r="Y200" s="15"/>
      <c r="Z200" s="15"/>
      <c r="AA200" s="16" t="s">
        <v>290</v>
      </c>
      <c r="AB200" s="17" t="s">
        <v>233</v>
      </c>
      <c r="AC200" s="17" t="s">
        <v>58</v>
      </c>
      <c r="AD200" s="18">
        <v>100000000</v>
      </c>
      <c r="AE200" s="34">
        <v>0</v>
      </c>
      <c r="AF200" s="34">
        <v>0</v>
      </c>
      <c r="AG200" s="34">
        <v>0</v>
      </c>
      <c r="AH200" s="18">
        <v>40000000</v>
      </c>
      <c r="AI200" s="18">
        <f>AE200-AF200+AG200-AH200</f>
        <v>-40000000</v>
      </c>
      <c r="AJ200" s="18">
        <f>AD200+AI200</f>
        <v>60000000</v>
      </c>
      <c r="AK200" s="34">
        <v>0</v>
      </c>
      <c r="AL200" s="34">
        <f>AM200-AGOSTO!AM200</f>
        <v>0</v>
      </c>
      <c r="AM200" s="18">
        <v>59063618</v>
      </c>
      <c r="AN200" s="18">
        <v>0</v>
      </c>
      <c r="AO200" s="18">
        <v>50140186</v>
      </c>
      <c r="AP200" s="18">
        <v>50140186</v>
      </c>
      <c r="AQ200" s="34">
        <v>0</v>
      </c>
      <c r="AR200" s="34">
        <v>0</v>
      </c>
      <c r="AS200" s="34">
        <v>0</v>
      </c>
      <c r="AT200" s="40">
        <f t="shared" ref="AT200" si="120">AQ200+AS200</f>
        <v>0</v>
      </c>
      <c r="AU200" s="18">
        <f>AJ200-AM200</f>
        <v>936382</v>
      </c>
      <c r="AV200" s="18">
        <f>AM200-AP200</f>
        <v>8923432</v>
      </c>
      <c r="AW200" s="18">
        <f>AP200-AT200</f>
        <v>50140186</v>
      </c>
      <c r="AX200" s="123">
        <f>AP200/AJ200</f>
        <v>0.8356697666666667</v>
      </c>
    </row>
    <row r="201" spans="1:50" ht="18.75" customHeight="1" x14ac:dyDescent="0.2">
      <c r="A201" s="14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41" t="s">
        <v>288</v>
      </c>
      <c r="AB201" s="29" t="s">
        <v>291</v>
      </c>
      <c r="AC201" s="17"/>
      <c r="AD201" s="18"/>
      <c r="AE201" s="18"/>
      <c r="AF201" s="18"/>
      <c r="AG201" s="18"/>
      <c r="AH201" s="18"/>
      <c r="AI201" s="18"/>
      <c r="AJ201" s="18"/>
      <c r="AK201" s="18"/>
      <c r="AL201" s="18"/>
      <c r="AM201" s="34"/>
      <c r="AN201" s="34"/>
      <c r="AO201" s="34"/>
      <c r="AP201" s="34"/>
      <c r="AQ201" s="34"/>
      <c r="AR201" s="34"/>
      <c r="AS201" s="34"/>
      <c r="AT201" s="31"/>
      <c r="AU201" s="18"/>
      <c r="AV201" s="34"/>
      <c r="AW201" s="34"/>
      <c r="AX201" s="18"/>
    </row>
    <row r="202" spans="1:50" ht="18.75" customHeight="1" x14ac:dyDescent="0.2">
      <c r="A202" s="14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41" t="s">
        <v>1217</v>
      </c>
      <c r="AB202" s="38" t="s">
        <v>1015</v>
      </c>
      <c r="AC202" s="17"/>
      <c r="AD202" s="34">
        <v>0</v>
      </c>
      <c r="AE202" s="34">
        <v>0</v>
      </c>
      <c r="AF202" s="34">
        <v>0</v>
      </c>
      <c r="AG202" s="18">
        <v>1252674808</v>
      </c>
      <c r="AH202" s="34">
        <v>0</v>
      </c>
      <c r="AI202" s="18">
        <f>AE202-AF202+AG202-AH202</f>
        <v>1252674808</v>
      </c>
      <c r="AJ202" s="18">
        <f>AD202+AI202</f>
        <v>1252674808</v>
      </c>
      <c r="AK202" s="34">
        <v>0</v>
      </c>
      <c r="AL202" s="18">
        <v>0</v>
      </c>
      <c r="AM202" s="18">
        <v>1219640391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40">
        <f t="shared" ref="AT202" si="121">AQ202+AS202</f>
        <v>0</v>
      </c>
      <c r="AU202" s="18">
        <f>AJ202-AM202</f>
        <v>33034417</v>
      </c>
      <c r="AV202" s="18">
        <f>AM202-AP202</f>
        <v>1219640391</v>
      </c>
      <c r="AW202" s="34">
        <f>AP202-AT202</f>
        <v>0</v>
      </c>
      <c r="AX202" s="123">
        <f>AP202/AJ202</f>
        <v>0</v>
      </c>
    </row>
    <row r="203" spans="1:50" ht="18.75" customHeight="1" x14ac:dyDescent="0.2">
      <c r="A203" s="14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28" t="s">
        <v>288</v>
      </c>
      <c r="AB203" s="29" t="s">
        <v>292</v>
      </c>
      <c r="AC203" s="17"/>
      <c r="AD203" s="18"/>
      <c r="AE203" s="34"/>
      <c r="AF203" s="34"/>
      <c r="AG203" s="34"/>
      <c r="AH203" s="34"/>
      <c r="AI203" s="34"/>
      <c r="AJ203" s="18"/>
      <c r="AK203" s="18"/>
      <c r="AL203" s="18"/>
      <c r="AM203" s="34"/>
      <c r="AN203" s="34"/>
      <c r="AO203" s="34"/>
      <c r="AP203" s="34"/>
      <c r="AQ203" s="34"/>
      <c r="AR203" s="34"/>
      <c r="AS203" s="34"/>
      <c r="AT203" s="31"/>
      <c r="AU203" s="18"/>
      <c r="AV203" s="34"/>
      <c r="AW203" s="34"/>
      <c r="AX203" s="18"/>
    </row>
    <row r="204" spans="1:50" ht="18.75" customHeight="1" x14ac:dyDescent="0.2">
      <c r="A204" s="14" t="s">
        <v>55</v>
      </c>
      <c r="B204" s="15" t="s">
        <v>56</v>
      </c>
      <c r="C204" s="15"/>
      <c r="D204" s="15"/>
      <c r="E204" s="15"/>
      <c r="F204" s="15"/>
      <c r="G204" s="15" t="s">
        <v>41</v>
      </c>
      <c r="H204" s="15"/>
      <c r="I204" s="15" t="s">
        <v>936</v>
      </c>
      <c r="J204" s="15"/>
      <c r="K204" s="15" t="s">
        <v>932</v>
      </c>
      <c r="L204" s="15"/>
      <c r="M204" s="15" t="s">
        <v>933</v>
      </c>
      <c r="N204" s="15"/>
      <c r="O204" s="15" t="s">
        <v>948</v>
      </c>
      <c r="P204" s="15"/>
      <c r="Q204" s="15" t="s">
        <v>942</v>
      </c>
      <c r="R204" s="15"/>
      <c r="S204" s="15" t="s">
        <v>940</v>
      </c>
      <c r="T204" s="15">
        <v>0</v>
      </c>
      <c r="U204" s="15">
        <v>0</v>
      </c>
      <c r="V204" s="15">
        <v>0</v>
      </c>
      <c r="W204" s="15"/>
      <c r="X204" s="15" t="s">
        <v>937</v>
      </c>
      <c r="Y204" s="15"/>
      <c r="Z204" s="15"/>
      <c r="AA204" s="16" t="s">
        <v>293</v>
      </c>
      <c r="AB204" s="17" t="s">
        <v>233</v>
      </c>
      <c r="AC204" s="161" t="s">
        <v>58</v>
      </c>
      <c r="AD204" s="18">
        <v>500000000</v>
      </c>
      <c r="AE204" s="34">
        <v>0</v>
      </c>
      <c r="AF204" s="34">
        <v>0</v>
      </c>
      <c r="AG204" s="18"/>
      <c r="AI204" s="34">
        <f t="shared" ref="AI204" si="122">AE204-AF204+AG204-AH204</f>
        <v>0</v>
      </c>
      <c r="AJ204" s="18">
        <f t="shared" ref="AJ204" si="123">AD204+AI204</f>
        <v>500000000</v>
      </c>
      <c r="AK204" s="34">
        <v>0</v>
      </c>
      <c r="AL204" s="34">
        <f>AM204-AGOSTO!AM204</f>
        <v>0</v>
      </c>
      <c r="AM204" s="18">
        <v>500000000</v>
      </c>
      <c r="AN204" s="34">
        <v>0</v>
      </c>
      <c r="AO204" s="34">
        <v>0</v>
      </c>
      <c r="AP204" s="18">
        <v>500000000</v>
      </c>
      <c r="AQ204" s="34">
        <v>0</v>
      </c>
      <c r="AR204" s="34">
        <v>0</v>
      </c>
      <c r="AS204" s="34">
        <v>0</v>
      </c>
      <c r="AT204" s="40">
        <f t="shared" ref="AT204:AT205" si="124">AQ204+AS204</f>
        <v>0</v>
      </c>
      <c r="AU204" s="34">
        <f>AJ204-AM204</f>
        <v>0</v>
      </c>
      <c r="AV204" s="34">
        <f>AM204-AP204</f>
        <v>0</v>
      </c>
      <c r="AW204" s="18">
        <f>AP204-AT204</f>
        <v>500000000</v>
      </c>
      <c r="AX204" s="123">
        <f>AP204/AJ204</f>
        <v>1</v>
      </c>
    </row>
    <row r="205" spans="1:50" ht="18.75" customHeight="1" x14ac:dyDescent="0.2">
      <c r="A205" s="14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66" t="s">
        <v>1014</v>
      </c>
      <c r="AB205" s="167" t="s">
        <v>1015</v>
      </c>
      <c r="AC205" s="161"/>
      <c r="AD205" s="34">
        <v>0</v>
      </c>
      <c r="AE205" s="18">
        <v>3410000000</v>
      </c>
      <c r="AF205" s="34">
        <v>0</v>
      </c>
      <c r="AG205" s="34">
        <v>0</v>
      </c>
      <c r="AH205" s="18">
        <f>3410000000</f>
        <v>3410000000</v>
      </c>
      <c r="AI205" s="34">
        <f t="shared" ref="AI205" si="125">AE205-AF205+AG205-AH205</f>
        <v>0</v>
      </c>
      <c r="AJ205" s="18">
        <f t="shared" ref="AJ205" si="126">AD205+AI205</f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0</v>
      </c>
      <c r="AS205" s="34">
        <v>0</v>
      </c>
      <c r="AT205" s="40">
        <f t="shared" si="124"/>
        <v>0</v>
      </c>
      <c r="AU205" s="34">
        <f>AJ205-AM205</f>
        <v>0</v>
      </c>
      <c r="AV205" s="34">
        <f>AM205-AP205</f>
        <v>0</v>
      </c>
      <c r="AW205" s="34">
        <f>AP205-AT205</f>
        <v>0</v>
      </c>
      <c r="AX205" s="123">
        <v>0</v>
      </c>
    </row>
    <row r="206" spans="1:50" ht="27" customHeight="1" x14ac:dyDescent="0.2">
      <c r="A206" s="14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69" t="s">
        <v>288</v>
      </c>
      <c r="AB206" s="163" t="s">
        <v>294</v>
      </c>
      <c r="AC206" s="17"/>
      <c r="AD206" s="18"/>
      <c r="AE206" s="34"/>
      <c r="AF206" s="34"/>
      <c r="AG206" s="34"/>
      <c r="AH206" s="34"/>
      <c r="AI206" s="34"/>
      <c r="AJ206" s="18"/>
      <c r="AK206" s="34"/>
      <c r="AL206" s="34"/>
      <c r="AM206" s="34"/>
      <c r="AN206" s="34"/>
      <c r="AO206" s="34"/>
      <c r="AP206" s="34"/>
      <c r="AQ206" s="34"/>
      <c r="AR206" s="145"/>
      <c r="AS206" s="34"/>
      <c r="AT206" s="31"/>
      <c r="AU206" s="18"/>
      <c r="AV206" s="34"/>
      <c r="AW206" s="34"/>
      <c r="AX206" s="18"/>
    </row>
    <row r="207" spans="1:50" ht="18.75" customHeight="1" x14ac:dyDescent="0.2">
      <c r="A207" s="14" t="s">
        <v>55</v>
      </c>
      <c r="B207" s="15" t="s">
        <v>56</v>
      </c>
      <c r="C207" s="15"/>
      <c r="D207" s="15"/>
      <c r="E207" s="15"/>
      <c r="F207" s="15"/>
      <c r="G207" s="15" t="s">
        <v>41</v>
      </c>
      <c r="H207" s="15"/>
      <c r="I207" s="15" t="s">
        <v>936</v>
      </c>
      <c r="J207" s="15"/>
      <c r="K207" s="15" t="s">
        <v>932</v>
      </c>
      <c r="L207" s="15"/>
      <c r="M207" s="15" t="s">
        <v>933</v>
      </c>
      <c r="N207" s="15"/>
      <c r="O207" s="15" t="s">
        <v>948</v>
      </c>
      <c r="P207" s="15"/>
      <c r="Q207" s="15" t="s">
        <v>942</v>
      </c>
      <c r="R207" s="15"/>
      <c r="S207" s="15" t="s">
        <v>940</v>
      </c>
      <c r="T207" s="15">
        <v>0</v>
      </c>
      <c r="U207" s="15">
        <v>0</v>
      </c>
      <c r="V207" s="15">
        <v>0</v>
      </c>
      <c r="W207" s="15"/>
      <c r="X207" s="15" t="s">
        <v>937</v>
      </c>
      <c r="Y207" s="15"/>
      <c r="Z207" s="15"/>
      <c r="AA207" s="16" t="s">
        <v>295</v>
      </c>
      <c r="AB207" s="17" t="s">
        <v>233</v>
      </c>
      <c r="AC207" s="17" t="s">
        <v>58</v>
      </c>
      <c r="AD207" s="18">
        <v>400000000</v>
      </c>
      <c r="AE207" s="34">
        <v>0</v>
      </c>
      <c r="AF207" s="34">
        <v>0</v>
      </c>
      <c r="AG207" s="34">
        <v>0</v>
      </c>
      <c r="AH207" s="34">
        <v>0</v>
      </c>
      <c r="AI207" s="34">
        <f>AE207-AF207+AG207-AH207</f>
        <v>0</v>
      </c>
      <c r="AJ207" s="18">
        <f>AD207+AI207</f>
        <v>400000000</v>
      </c>
      <c r="AK207" s="34">
        <v>0</v>
      </c>
      <c r="AL207" s="34">
        <f>AM207-AGOSTO!AM207</f>
        <v>0</v>
      </c>
      <c r="AM207" s="110">
        <v>181975926.59999999</v>
      </c>
      <c r="AN207" s="34">
        <v>0</v>
      </c>
      <c r="AO207" s="133">
        <v>0</v>
      </c>
      <c r="AP207" s="110">
        <v>175143459.59999999</v>
      </c>
      <c r="AQ207" s="18">
        <v>4000000</v>
      </c>
      <c r="AR207" s="147">
        <v>12533333</v>
      </c>
      <c r="AS207" s="18">
        <v>112252302</v>
      </c>
      <c r="AT207" s="39">
        <f t="shared" ref="AT207" si="127">AQ207+AS207</f>
        <v>116252302</v>
      </c>
      <c r="AU207" s="18">
        <f>AJ207-AM207</f>
        <v>218024073.40000001</v>
      </c>
      <c r="AV207" s="110">
        <f>AM207-AP207</f>
        <v>6832467</v>
      </c>
      <c r="AW207" s="18">
        <f>AP207-AT207</f>
        <v>58891157.599999994</v>
      </c>
      <c r="AX207" s="123">
        <f>AP207/AJ207</f>
        <v>0.43785864899999999</v>
      </c>
    </row>
    <row r="208" spans="1:50" ht="18.75" customHeight="1" x14ac:dyDescent="0.2">
      <c r="A208" s="14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41" t="s">
        <v>1416</v>
      </c>
      <c r="AB208" s="42" t="s">
        <v>233</v>
      </c>
      <c r="AC208" s="17"/>
      <c r="AD208" s="18"/>
      <c r="AE208" s="34"/>
      <c r="AF208" s="34">
        <v>0</v>
      </c>
      <c r="AG208" s="18">
        <v>50000000</v>
      </c>
      <c r="AH208" s="34">
        <v>0</v>
      </c>
      <c r="AI208" s="18">
        <f t="shared" ref="AI208" si="128">AE208-AF208+AG208-AH208</f>
        <v>50000000</v>
      </c>
      <c r="AJ208" s="18">
        <f t="shared" ref="AJ208" si="129">AD208+AI208</f>
        <v>50000000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145">
        <v>0</v>
      </c>
      <c r="AS208" s="34">
        <v>0</v>
      </c>
      <c r="AT208" s="40">
        <f t="shared" ref="AT208" si="130">AQ208+AS208</f>
        <v>0</v>
      </c>
      <c r="AU208" s="18">
        <f>AJ208-AM208</f>
        <v>50000000</v>
      </c>
      <c r="AV208" s="133">
        <f>AM208-AP208</f>
        <v>0</v>
      </c>
      <c r="AW208" s="34">
        <f>AP208-AT208</f>
        <v>0</v>
      </c>
      <c r="AX208" s="123">
        <f>AP208/AJ208</f>
        <v>0</v>
      </c>
    </row>
    <row r="209" spans="1:50" ht="18.75" customHeight="1" x14ac:dyDescent="0.2">
      <c r="A209" s="14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6"/>
      <c r="AB209" s="29" t="s">
        <v>189</v>
      </c>
      <c r="AC209" s="17"/>
      <c r="AD209" s="18"/>
      <c r="AE209" s="34"/>
      <c r="AF209" s="34"/>
      <c r="AG209" s="34"/>
      <c r="AH209" s="34"/>
      <c r="AI209" s="34"/>
      <c r="AJ209" s="18"/>
      <c r="AK209" s="34"/>
      <c r="AL209" s="34"/>
      <c r="AM209" s="34"/>
      <c r="AN209" s="34"/>
      <c r="AO209" s="34"/>
      <c r="AP209" s="34"/>
      <c r="AQ209" s="34"/>
      <c r="AR209" s="145"/>
      <c r="AS209" s="18"/>
      <c r="AT209" s="30"/>
      <c r="AU209" s="18"/>
      <c r="AV209" s="18"/>
      <c r="AW209" s="18"/>
      <c r="AX209" s="18"/>
    </row>
    <row r="210" spans="1:50" ht="18.75" customHeight="1" x14ac:dyDescent="0.2">
      <c r="A210" s="14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6"/>
      <c r="AB210" s="29" t="s">
        <v>191</v>
      </c>
      <c r="AC210" s="17"/>
      <c r="AD210" s="18"/>
      <c r="AE210" s="34"/>
      <c r="AF210" s="34"/>
      <c r="AG210" s="34"/>
      <c r="AH210" s="34"/>
      <c r="AI210" s="34"/>
      <c r="AJ210" s="18"/>
      <c r="AK210" s="34"/>
      <c r="AL210" s="34"/>
      <c r="AM210" s="34"/>
      <c r="AN210" s="34"/>
      <c r="AO210" s="34"/>
      <c r="AP210" s="34"/>
      <c r="AQ210" s="34"/>
      <c r="AR210" s="145"/>
      <c r="AS210" s="18"/>
      <c r="AT210" s="30"/>
      <c r="AU210" s="18"/>
      <c r="AV210" s="18"/>
      <c r="AW210" s="18"/>
      <c r="AX210" s="18"/>
    </row>
    <row r="211" spans="1:50" ht="18.75" customHeight="1" x14ac:dyDescent="0.2">
      <c r="A211" s="14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28" t="s">
        <v>288</v>
      </c>
      <c r="AB211" s="29" t="s">
        <v>296</v>
      </c>
      <c r="AC211" s="17"/>
      <c r="AD211" s="18"/>
      <c r="AE211" s="34"/>
      <c r="AF211" s="34"/>
      <c r="AG211" s="34"/>
      <c r="AH211" s="34"/>
      <c r="AI211" s="34"/>
      <c r="AJ211" s="18"/>
      <c r="AK211" s="34"/>
      <c r="AL211" s="34"/>
      <c r="AM211" s="34"/>
      <c r="AN211" s="34"/>
      <c r="AO211" s="34"/>
      <c r="AP211" s="34"/>
      <c r="AQ211" s="34"/>
      <c r="AR211" s="34"/>
      <c r="AS211" s="18"/>
      <c r="AT211" s="30"/>
      <c r="AU211" s="18"/>
      <c r="AV211" s="18"/>
      <c r="AW211" s="18"/>
      <c r="AX211" s="18"/>
    </row>
    <row r="212" spans="1:50" ht="18.75" customHeight="1" x14ac:dyDescent="0.2">
      <c r="A212" s="14" t="s">
        <v>55</v>
      </c>
      <c r="B212" s="15" t="s">
        <v>56</v>
      </c>
      <c r="C212" s="15"/>
      <c r="D212" s="15"/>
      <c r="E212" s="15"/>
      <c r="F212" s="15"/>
      <c r="G212" s="15" t="s">
        <v>41</v>
      </c>
      <c r="H212" s="15"/>
      <c r="I212" s="15" t="s">
        <v>936</v>
      </c>
      <c r="J212" s="15"/>
      <c r="K212" s="15" t="s">
        <v>932</v>
      </c>
      <c r="L212" s="15"/>
      <c r="M212" s="15" t="s">
        <v>933</v>
      </c>
      <c r="N212" s="15"/>
      <c r="O212" s="15" t="s">
        <v>948</v>
      </c>
      <c r="P212" s="15"/>
      <c r="Q212" s="15" t="s">
        <v>942</v>
      </c>
      <c r="R212" s="15"/>
      <c r="S212" s="15" t="s">
        <v>940</v>
      </c>
      <c r="T212" s="15">
        <v>0</v>
      </c>
      <c r="U212" s="15">
        <v>0</v>
      </c>
      <c r="V212" s="15">
        <v>0</v>
      </c>
      <c r="W212" s="15"/>
      <c r="X212" s="15" t="s">
        <v>937</v>
      </c>
      <c r="Y212" s="15"/>
      <c r="Z212" s="15"/>
      <c r="AA212" s="16" t="s">
        <v>297</v>
      </c>
      <c r="AB212" s="17" t="s">
        <v>233</v>
      </c>
      <c r="AC212" s="17" t="s">
        <v>58</v>
      </c>
      <c r="AD212" s="18">
        <v>200000000</v>
      </c>
      <c r="AE212" s="34">
        <v>0</v>
      </c>
      <c r="AF212" s="34">
        <v>0</v>
      </c>
      <c r="AG212" s="18">
        <f>40000000+20000000</f>
        <v>60000000</v>
      </c>
      <c r="AH212" s="34">
        <v>0</v>
      </c>
      <c r="AI212" s="18">
        <f>AE212-AF212+AG212-AH212</f>
        <v>60000000</v>
      </c>
      <c r="AJ212" s="18">
        <f>AD212+AI212</f>
        <v>260000000</v>
      </c>
      <c r="AK212" s="34">
        <v>0</v>
      </c>
      <c r="AL212" s="18">
        <v>212000000</v>
      </c>
      <c r="AM212" s="18">
        <v>212000000</v>
      </c>
      <c r="AN212" s="18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40">
        <f t="shared" ref="AT212" si="131">AQ212+AS212</f>
        <v>0</v>
      </c>
      <c r="AU212" s="18">
        <f>AJ212-AM212</f>
        <v>48000000</v>
      </c>
      <c r="AV212" s="18">
        <f>AM212-AP212</f>
        <v>212000000</v>
      </c>
      <c r="AW212" s="34">
        <f>AP212-AT212</f>
        <v>0</v>
      </c>
      <c r="AX212" s="123">
        <f>AP212/AJ212</f>
        <v>0</v>
      </c>
    </row>
    <row r="213" spans="1:50" ht="18.75" customHeight="1" x14ac:dyDescent="0.2">
      <c r="A213" s="14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41" t="s">
        <v>1418</v>
      </c>
      <c r="AB213" s="42" t="s">
        <v>1015</v>
      </c>
      <c r="AC213" s="17"/>
      <c r="AD213" s="34">
        <v>0</v>
      </c>
      <c r="AE213" s="34">
        <v>0</v>
      </c>
      <c r="AF213" s="34">
        <v>0</v>
      </c>
      <c r="AG213" s="18">
        <v>40000000</v>
      </c>
      <c r="AH213" s="34"/>
      <c r="AI213" s="18">
        <f>AE213-AF213+AG213-AH213</f>
        <v>40000000</v>
      </c>
      <c r="AJ213" s="18">
        <f>AD213+AI213</f>
        <v>40000000</v>
      </c>
      <c r="AK213" s="34">
        <v>0</v>
      </c>
      <c r="AL213" s="18">
        <v>0</v>
      </c>
      <c r="AM213" s="18">
        <v>0</v>
      </c>
      <c r="AN213" s="18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40">
        <f t="shared" ref="AT213" si="132">AQ213+AS213</f>
        <v>0</v>
      </c>
      <c r="AU213" s="18">
        <f>AJ213-AM213</f>
        <v>40000000</v>
      </c>
      <c r="AV213" s="34">
        <f>AM213-AP213</f>
        <v>0</v>
      </c>
      <c r="AW213" s="34">
        <f>AP213-AT213</f>
        <v>0</v>
      </c>
      <c r="AX213" s="123">
        <f>AP213/AJ213</f>
        <v>0</v>
      </c>
    </row>
    <row r="214" spans="1:50" ht="24" customHeight="1" x14ac:dyDescent="0.2">
      <c r="A214" s="14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6"/>
      <c r="AB214" s="29" t="s">
        <v>298</v>
      </c>
      <c r="AC214" s="17"/>
      <c r="AD214" s="34"/>
      <c r="AE214" s="34"/>
      <c r="AF214" s="34"/>
      <c r="AG214" s="34"/>
      <c r="AH214" s="34"/>
      <c r="AI214" s="34"/>
      <c r="AJ214" s="18"/>
      <c r="AK214" s="18"/>
      <c r="AL214" s="18"/>
      <c r="AM214" s="18"/>
      <c r="AN214" s="18"/>
      <c r="AO214" s="18"/>
      <c r="AP214" s="18"/>
      <c r="AQ214" s="18"/>
      <c r="AR214" s="18"/>
      <c r="AS214" s="34"/>
      <c r="AT214" s="31"/>
      <c r="AU214" s="18"/>
      <c r="AV214" s="18"/>
      <c r="AW214" s="18"/>
      <c r="AX214" s="18"/>
    </row>
    <row r="215" spans="1:50" ht="24" customHeight="1" x14ac:dyDescent="0.2">
      <c r="A215" s="14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73" t="s">
        <v>288</v>
      </c>
      <c r="AB215" s="29" t="s">
        <v>1387</v>
      </c>
      <c r="AC215" s="17"/>
      <c r="AD215" s="34"/>
      <c r="AE215" s="34"/>
      <c r="AF215" s="34"/>
      <c r="AG215" s="34"/>
      <c r="AH215" s="34"/>
      <c r="AI215" s="34"/>
      <c r="AJ215" s="18"/>
      <c r="AK215" s="18"/>
      <c r="AL215" s="18"/>
      <c r="AM215" s="18"/>
      <c r="AN215" s="18"/>
      <c r="AO215" s="18"/>
      <c r="AP215" s="18"/>
      <c r="AQ215" s="18"/>
      <c r="AR215" s="18"/>
      <c r="AS215" s="34"/>
      <c r="AT215" s="31"/>
      <c r="AU215" s="18"/>
      <c r="AV215" s="18"/>
      <c r="AW215" s="18"/>
      <c r="AX215" s="18"/>
    </row>
    <row r="216" spans="1:50" ht="24" customHeight="1" x14ac:dyDescent="0.2">
      <c r="A216" s="14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41" t="s">
        <v>1388</v>
      </c>
      <c r="AB216" s="38" t="s">
        <v>233</v>
      </c>
      <c r="AC216" s="17"/>
      <c r="AD216" s="34">
        <v>0</v>
      </c>
      <c r="AE216" s="34">
        <v>0</v>
      </c>
      <c r="AF216" s="34">
        <v>0</v>
      </c>
      <c r="AG216" s="18">
        <v>26243023</v>
      </c>
      <c r="AH216" s="34"/>
      <c r="AI216" s="18">
        <f t="shared" ref="AI216:AI217" si="133">AE216-AF216+AG216-AH216</f>
        <v>26243023</v>
      </c>
      <c r="AJ216" s="18">
        <f t="shared" ref="AJ216:AJ217" si="134">AD216+AI216</f>
        <v>26243023</v>
      </c>
      <c r="AK216" s="34">
        <v>0</v>
      </c>
      <c r="AL216" s="34">
        <v>0</v>
      </c>
      <c r="AM216" s="34">
        <v>0</v>
      </c>
      <c r="AN216" s="34">
        <v>0</v>
      </c>
      <c r="AO216" s="34"/>
      <c r="AP216" s="34">
        <v>0</v>
      </c>
      <c r="AQ216" s="34">
        <v>0</v>
      </c>
      <c r="AR216" s="34">
        <v>0</v>
      </c>
      <c r="AS216" s="34">
        <v>0</v>
      </c>
      <c r="AT216" s="40">
        <f t="shared" ref="AT216:AT217" si="135">AQ216+AS216</f>
        <v>0</v>
      </c>
      <c r="AU216" s="18">
        <f t="shared" ref="AU216:AU217" si="136">AJ216-AM216</f>
        <v>26243023</v>
      </c>
      <c r="AV216" s="34">
        <f t="shared" ref="AV216:AV217" si="137">AM216-AP216</f>
        <v>0</v>
      </c>
      <c r="AW216" s="34">
        <f t="shared" ref="AW216:AW217" si="138">AP216-AT216</f>
        <v>0</v>
      </c>
      <c r="AX216" s="123">
        <f t="shared" ref="AX216:AX217" si="139">AP216/AJ216</f>
        <v>0</v>
      </c>
    </row>
    <row r="217" spans="1:50" ht="24" customHeight="1" x14ac:dyDescent="0.2">
      <c r="A217" s="14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41" t="s">
        <v>1389</v>
      </c>
      <c r="AB217" s="38" t="s">
        <v>1015</v>
      </c>
      <c r="AC217" s="17"/>
      <c r="AD217" s="34">
        <v>0</v>
      </c>
      <c r="AE217" s="34">
        <v>0</v>
      </c>
      <c r="AF217" s="34">
        <v>0</v>
      </c>
      <c r="AG217" s="18">
        <v>68383715</v>
      </c>
      <c r="AH217" s="34"/>
      <c r="AI217" s="18">
        <f t="shared" si="133"/>
        <v>68383715</v>
      </c>
      <c r="AJ217" s="18">
        <f t="shared" si="134"/>
        <v>68383715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40">
        <f t="shared" si="135"/>
        <v>0</v>
      </c>
      <c r="AU217" s="18">
        <f t="shared" si="136"/>
        <v>68383715</v>
      </c>
      <c r="AV217" s="34">
        <f t="shared" si="137"/>
        <v>0</v>
      </c>
      <c r="AW217" s="34">
        <f t="shared" si="138"/>
        <v>0</v>
      </c>
      <c r="AX217" s="123">
        <f t="shared" si="139"/>
        <v>0</v>
      </c>
    </row>
    <row r="218" spans="1:50" ht="18.75" customHeight="1" x14ac:dyDescent="0.2">
      <c r="A218" s="14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28" t="s">
        <v>288</v>
      </c>
      <c r="AB218" s="29" t="s">
        <v>299</v>
      </c>
      <c r="AC218" s="17"/>
      <c r="AD218" s="18"/>
      <c r="AE218" s="34"/>
      <c r="AF218" s="34"/>
      <c r="AG218" s="34"/>
      <c r="AH218" s="34"/>
      <c r="AI218" s="34"/>
      <c r="AJ218" s="18"/>
      <c r="AK218" s="18"/>
      <c r="AL218" s="18"/>
      <c r="AM218" s="18"/>
      <c r="AN218" s="18"/>
      <c r="AO218" s="147"/>
      <c r="AP218" s="18"/>
      <c r="AQ218" s="18"/>
      <c r="AR218" s="147"/>
      <c r="AS218" s="34"/>
      <c r="AT218" s="31"/>
      <c r="AU218" s="18"/>
      <c r="AV218" s="18"/>
      <c r="AW218" s="18"/>
      <c r="AX218" s="18"/>
    </row>
    <row r="219" spans="1:50" ht="18.75" customHeight="1" x14ac:dyDescent="0.2">
      <c r="A219" s="14" t="s">
        <v>55</v>
      </c>
      <c r="B219" s="15" t="s">
        <v>56</v>
      </c>
      <c r="C219" s="15"/>
      <c r="D219" s="15"/>
      <c r="E219" s="15"/>
      <c r="F219" s="15"/>
      <c r="G219" s="15" t="s">
        <v>41</v>
      </c>
      <c r="H219" s="15"/>
      <c r="I219" s="15" t="s">
        <v>936</v>
      </c>
      <c r="J219" s="15"/>
      <c r="K219" s="15" t="s">
        <v>932</v>
      </c>
      <c r="L219" s="15"/>
      <c r="M219" s="15" t="s">
        <v>933</v>
      </c>
      <c r="N219" s="15"/>
      <c r="O219" s="15" t="s">
        <v>948</v>
      </c>
      <c r="P219" s="15"/>
      <c r="Q219" s="15" t="s">
        <v>942</v>
      </c>
      <c r="R219" s="15"/>
      <c r="S219" s="15" t="s">
        <v>940</v>
      </c>
      <c r="T219" s="15">
        <v>0</v>
      </c>
      <c r="U219" s="15">
        <v>0</v>
      </c>
      <c r="V219" s="15">
        <v>0</v>
      </c>
      <c r="W219" s="15"/>
      <c r="X219" s="15" t="s">
        <v>937</v>
      </c>
      <c r="Y219" s="15"/>
      <c r="Z219" s="15"/>
      <c r="AA219" s="16" t="s">
        <v>300</v>
      </c>
      <c r="AB219" s="17" t="s">
        <v>233</v>
      </c>
      <c r="AC219" s="17" t="s">
        <v>58</v>
      </c>
      <c r="AD219" s="18">
        <v>250000000</v>
      </c>
      <c r="AE219" s="34">
        <v>0</v>
      </c>
      <c r="AF219" s="34">
        <v>0</v>
      </c>
      <c r="AG219" s="18">
        <v>200000000</v>
      </c>
      <c r="AH219" s="34">
        <v>0</v>
      </c>
      <c r="AI219" s="18">
        <f>AE219-AF219+AG219-AH219</f>
        <v>200000000</v>
      </c>
      <c r="AJ219" s="18">
        <f>AD219+AI219</f>
        <v>450000000</v>
      </c>
      <c r="AK219" s="34">
        <v>0</v>
      </c>
      <c r="AL219" s="18">
        <v>0</v>
      </c>
      <c r="AM219" s="18">
        <v>333216667.33999997</v>
      </c>
      <c r="AN219" s="34">
        <v>0</v>
      </c>
      <c r="AO219" s="147">
        <v>0</v>
      </c>
      <c r="AP219" s="18">
        <v>319816667.33999997</v>
      </c>
      <c r="AQ219" s="18">
        <v>15266667</v>
      </c>
      <c r="AR219" s="147">
        <v>26316667</v>
      </c>
      <c r="AS219" s="18">
        <v>245400000</v>
      </c>
      <c r="AT219" s="39">
        <f t="shared" ref="AT219:AT235" si="140">AQ219+AS219</f>
        <v>260666667</v>
      </c>
      <c r="AU219" s="18">
        <f>AJ219-AM219</f>
        <v>116783332.66000003</v>
      </c>
      <c r="AV219" s="110">
        <f>AM219-AP219</f>
        <v>13400000</v>
      </c>
      <c r="AW219" s="110">
        <f>AP219-AT219</f>
        <v>59150000.339999974</v>
      </c>
      <c r="AX219" s="123">
        <f>AP219/AJ219</f>
        <v>0.71070370519999992</v>
      </c>
    </row>
    <row r="220" spans="1:50" ht="18.75" customHeight="1" x14ac:dyDescent="0.2">
      <c r="A220" s="14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28" t="s">
        <v>288</v>
      </c>
      <c r="AB220" s="29" t="s">
        <v>292</v>
      </c>
      <c r="AC220" s="17"/>
      <c r="AD220" s="18"/>
      <c r="AE220" s="34"/>
      <c r="AF220" s="34"/>
      <c r="AG220" s="34"/>
      <c r="AH220" s="34"/>
      <c r="AI220" s="34"/>
      <c r="AJ220" s="18"/>
      <c r="AK220" s="34"/>
      <c r="AL220" s="18"/>
      <c r="AM220" s="18"/>
      <c r="AN220" s="34"/>
      <c r="AO220" s="145"/>
      <c r="AP220" s="18"/>
      <c r="AQ220" s="18"/>
      <c r="AR220" s="147"/>
      <c r="AS220" s="34"/>
      <c r="AT220" s="31"/>
      <c r="AU220" s="18"/>
      <c r="AV220" s="18"/>
      <c r="AW220" s="18"/>
      <c r="AX220" s="18"/>
    </row>
    <row r="221" spans="1:50" ht="18.75" customHeight="1" x14ac:dyDescent="0.2">
      <c r="A221" s="35" t="s">
        <v>55</v>
      </c>
      <c r="B221" s="36" t="s">
        <v>56</v>
      </c>
      <c r="C221" s="36"/>
      <c r="D221" s="36"/>
      <c r="E221" s="36"/>
      <c r="F221" s="36"/>
      <c r="G221" s="36" t="s">
        <v>41</v>
      </c>
      <c r="H221" s="36"/>
      <c r="I221" s="36" t="s">
        <v>936</v>
      </c>
      <c r="J221" s="36"/>
      <c r="K221" s="36" t="s">
        <v>932</v>
      </c>
      <c r="L221" s="36"/>
      <c r="M221" s="36" t="s">
        <v>933</v>
      </c>
      <c r="N221" s="36"/>
      <c r="O221" s="36" t="s">
        <v>948</v>
      </c>
      <c r="P221" s="36"/>
      <c r="Q221" s="36" t="s">
        <v>942</v>
      </c>
      <c r="R221" s="36"/>
      <c r="S221" s="36" t="s">
        <v>940</v>
      </c>
      <c r="T221" s="36">
        <v>0</v>
      </c>
      <c r="U221" s="36">
        <v>0</v>
      </c>
      <c r="V221" s="36">
        <v>0</v>
      </c>
      <c r="W221" s="36"/>
      <c r="X221" s="36" t="s">
        <v>937</v>
      </c>
      <c r="Y221" s="36"/>
      <c r="Z221" s="36"/>
      <c r="AA221" s="37" t="s">
        <v>301</v>
      </c>
      <c r="AB221" s="38" t="s">
        <v>233</v>
      </c>
      <c r="AC221" s="38" t="s">
        <v>58</v>
      </c>
      <c r="AD221" s="39">
        <v>200000000</v>
      </c>
      <c r="AE221" s="40">
        <v>0</v>
      </c>
      <c r="AF221" s="40">
        <v>0</v>
      </c>
      <c r="AG221" s="18">
        <v>64995888</v>
      </c>
      <c r="AH221" s="18">
        <v>26243023</v>
      </c>
      <c r="AI221" s="18">
        <f t="shared" ref="AI221" si="141">AE221-AF221+AG221-AH221</f>
        <v>38752865</v>
      </c>
      <c r="AJ221" s="18">
        <f t="shared" ref="AJ221" si="142">AD221+AI221</f>
        <v>238752865</v>
      </c>
      <c r="AK221" s="40">
        <v>0</v>
      </c>
      <c r="AL221" s="18">
        <v>7000000</v>
      </c>
      <c r="AM221" s="39">
        <v>189151269.00999999</v>
      </c>
      <c r="AN221" s="39">
        <v>0</v>
      </c>
      <c r="AO221" s="267">
        <v>28033333.32</v>
      </c>
      <c r="AP221" s="39">
        <v>167678541.40000001</v>
      </c>
      <c r="AQ221" s="39">
        <v>5200000</v>
      </c>
      <c r="AR221" s="267">
        <v>3733333</v>
      </c>
      <c r="AS221" s="39">
        <v>95149867</v>
      </c>
      <c r="AT221" s="39">
        <f t="shared" ref="AT221:AT224" si="143">AQ221+AS221</f>
        <v>100349867</v>
      </c>
      <c r="AU221" s="18">
        <f>AJ221-AM221</f>
        <v>49601595.99000001</v>
      </c>
      <c r="AV221" s="18">
        <f>AM221-AP221</f>
        <v>21472727.609999985</v>
      </c>
      <c r="AW221" s="18">
        <f>AP221-AT221</f>
        <v>67328674.400000006</v>
      </c>
      <c r="AX221" s="123">
        <f>AP221/AJ221</f>
        <v>0.70231007028962777</v>
      </c>
    </row>
    <row r="222" spans="1:50" ht="18.75" customHeight="1" x14ac:dyDescent="0.2">
      <c r="A222" s="35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101" t="s">
        <v>1234</v>
      </c>
      <c r="AB222" s="251" t="s">
        <v>1015</v>
      </c>
      <c r="AC222" s="38"/>
      <c r="AD222" s="40">
        <v>0</v>
      </c>
      <c r="AE222" s="40"/>
      <c r="AF222" s="40"/>
      <c r="AG222" s="18">
        <v>2307325192</v>
      </c>
      <c r="AH222" s="39">
        <v>268386035</v>
      </c>
      <c r="AI222" s="18">
        <f t="shared" ref="AI222" si="144">AE222-AF222+AG222-AH222</f>
        <v>2038939157</v>
      </c>
      <c r="AJ222" s="18">
        <f t="shared" ref="AJ222" si="145">AD222+AI222</f>
        <v>2038939157</v>
      </c>
      <c r="AK222" s="40">
        <v>0</v>
      </c>
      <c r="AL222" s="18">
        <v>-14620145.529999999</v>
      </c>
      <c r="AM222" s="39">
        <v>1845351915.47</v>
      </c>
      <c r="AN222" s="39">
        <v>0</v>
      </c>
      <c r="AO222" s="146">
        <v>288871373.47000003</v>
      </c>
      <c r="AP222" s="40">
        <v>288871373.47000003</v>
      </c>
      <c r="AQ222" s="40">
        <v>0</v>
      </c>
      <c r="AR222" s="146">
        <v>0</v>
      </c>
      <c r="AS222" s="40">
        <v>0</v>
      </c>
      <c r="AT222" s="40">
        <f t="shared" si="143"/>
        <v>0</v>
      </c>
      <c r="AU222" s="18">
        <f>AJ222-AM222</f>
        <v>193587241.52999997</v>
      </c>
      <c r="AV222" s="18">
        <f>AM222-AP222</f>
        <v>1556480542</v>
      </c>
      <c r="AW222" s="18">
        <f>AP222-AT222</f>
        <v>288871373.47000003</v>
      </c>
      <c r="AX222" s="123">
        <f>AP222/AJ222</f>
        <v>0.14167728962301743</v>
      </c>
    </row>
    <row r="223" spans="1:50" ht="26.25" customHeight="1" x14ac:dyDescent="0.2">
      <c r="A223" s="35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28" t="s">
        <v>288</v>
      </c>
      <c r="AB223" s="29" t="s">
        <v>298</v>
      </c>
      <c r="AC223" s="38"/>
      <c r="AD223" s="40"/>
      <c r="AE223" s="40"/>
      <c r="AF223" s="40"/>
      <c r="AG223" s="40"/>
      <c r="AH223" s="40"/>
      <c r="AI223" s="40"/>
      <c r="AJ223" s="39"/>
      <c r="AK223" s="40"/>
      <c r="AL223" s="40"/>
      <c r="AM223" s="40"/>
      <c r="AN223" s="40"/>
      <c r="AO223" s="146"/>
      <c r="AP223" s="40"/>
      <c r="AQ223" s="40"/>
      <c r="AR223" s="146"/>
      <c r="AS223" s="40"/>
      <c r="AT223" s="40">
        <f t="shared" si="143"/>
        <v>0</v>
      </c>
      <c r="AU223" s="34">
        <f>AJ223-AM223</f>
        <v>0</v>
      </c>
      <c r="AV223" s="34">
        <f>AM223-AP223</f>
        <v>0</v>
      </c>
      <c r="AW223" s="34">
        <f>AP223-AT223</f>
        <v>0</v>
      </c>
      <c r="AX223" s="123">
        <v>0</v>
      </c>
    </row>
    <row r="224" spans="1:50" ht="18.75" customHeight="1" x14ac:dyDescent="0.2">
      <c r="A224" s="35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101" t="s">
        <v>1218</v>
      </c>
      <c r="AB224" s="251" t="s">
        <v>233</v>
      </c>
      <c r="AC224" s="38"/>
      <c r="AD224" s="40">
        <v>0</v>
      </c>
      <c r="AE224" s="40">
        <v>0</v>
      </c>
      <c r="AF224" s="40">
        <v>0</v>
      </c>
      <c r="AG224" s="39">
        <v>4935004112</v>
      </c>
      <c r="AH224" s="40">
        <v>0</v>
      </c>
      <c r="AI224" s="18">
        <f>AE224-AF224+AG224-AH224</f>
        <v>4935004112</v>
      </c>
      <c r="AJ224" s="18">
        <f>AD224+AI224</f>
        <v>4935004112</v>
      </c>
      <c r="AK224" s="40">
        <v>0</v>
      </c>
      <c r="AL224" s="34">
        <v>0</v>
      </c>
      <c r="AM224" s="39">
        <v>4935004112</v>
      </c>
      <c r="AN224" s="40">
        <v>0</v>
      </c>
      <c r="AO224" s="40">
        <v>0</v>
      </c>
      <c r="AP224" s="39">
        <v>4933250584</v>
      </c>
      <c r="AQ224" s="40">
        <v>0</v>
      </c>
      <c r="AR224" s="146">
        <v>0</v>
      </c>
      <c r="AS224" s="40">
        <v>0</v>
      </c>
      <c r="AT224" s="40">
        <f t="shared" si="143"/>
        <v>0</v>
      </c>
      <c r="AU224" s="34">
        <f>AJ224-AM224</f>
        <v>0</v>
      </c>
      <c r="AV224" s="18">
        <f>AM224-AP224</f>
        <v>1753528</v>
      </c>
      <c r="AW224" s="18">
        <f>AP224-AT224</f>
        <v>4933250584</v>
      </c>
      <c r="AX224" s="123">
        <f>AP224/AJ224</f>
        <v>0.99964467547337277</v>
      </c>
    </row>
    <row r="225" spans="1:50" ht="18.75" customHeight="1" x14ac:dyDescent="0.2">
      <c r="A225" s="35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101" t="s">
        <v>1386</v>
      </c>
      <c r="AB225" s="251" t="s">
        <v>1015</v>
      </c>
      <c r="AC225" s="38"/>
      <c r="AD225" s="40">
        <v>0</v>
      </c>
      <c r="AE225" s="40">
        <v>0</v>
      </c>
      <c r="AF225" s="40">
        <v>0</v>
      </c>
      <c r="AG225" s="39">
        <v>200002320</v>
      </c>
      <c r="AH225" s="40"/>
      <c r="AI225" s="18">
        <f>AE225-AF225+AG225-AH225</f>
        <v>200002320</v>
      </c>
      <c r="AJ225" s="18">
        <f>AD225+AI225</f>
        <v>200002320</v>
      </c>
      <c r="AK225" s="40">
        <v>0</v>
      </c>
      <c r="AL225" s="34">
        <v>0</v>
      </c>
      <c r="AM225" s="39">
        <v>0</v>
      </c>
      <c r="AN225" s="40">
        <v>0</v>
      </c>
      <c r="AO225" s="40">
        <v>0</v>
      </c>
      <c r="AP225" s="39">
        <v>0</v>
      </c>
      <c r="AQ225" s="40">
        <v>0</v>
      </c>
      <c r="AR225" s="146">
        <v>0</v>
      </c>
      <c r="AS225" s="40">
        <v>0</v>
      </c>
      <c r="AT225" s="40">
        <f t="shared" ref="AT225" si="146">AQ225+AS225</f>
        <v>0</v>
      </c>
      <c r="AU225" s="18">
        <f>AJ225-AM225</f>
        <v>200002320</v>
      </c>
      <c r="AV225" s="34">
        <f>AM225-AP225</f>
        <v>0</v>
      </c>
      <c r="AW225" s="34">
        <f>AP225-AT225</f>
        <v>0</v>
      </c>
      <c r="AX225" s="123">
        <f>AP225/AJ225</f>
        <v>0</v>
      </c>
    </row>
    <row r="226" spans="1:50" ht="24.75" customHeight="1" x14ac:dyDescent="0.2">
      <c r="A226" s="14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28" t="s">
        <v>288</v>
      </c>
      <c r="AB226" s="29" t="s">
        <v>302</v>
      </c>
      <c r="AC226" s="17"/>
      <c r="AD226" s="18"/>
      <c r="AE226" s="34"/>
      <c r="AF226" s="34"/>
      <c r="AG226" s="34"/>
      <c r="AH226" s="34"/>
      <c r="AI226" s="34"/>
      <c r="AJ226" s="18"/>
      <c r="AK226" s="34"/>
      <c r="AL226" s="34"/>
      <c r="AM226" s="34"/>
      <c r="AN226" s="34"/>
      <c r="AO226" s="34"/>
      <c r="AP226" s="34"/>
      <c r="AQ226" s="34"/>
      <c r="AR226" s="145"/>
      <c r="AS226" s="34"/>
      <c r="AT226" s="31"/>
      <c r="AU226" s="18"/>
      <c r="AV226" s="34"/>
      <c r="AW226" s="34"/>
      <c r="AX226" s="18"/>
    </row>
    <row r="227" spans="1:50" ht="18.75" customHeight="1" x14ac:dyDescent="0.2">
      <c r="A227" s="14" t="s">
        <v>55</v>
      </c>
      <c r="B227" s="15" t="s">
        <v>56</v>
      </c>
      <c r="C227" s="15"/>
      <c r="D227" s="15"/>
      <c r="E227" s="15"/>
      <c r="F227" s="15"/>
      <c r="G227" s="15" t="s">
        <v>41</v>
      </c>
      <c r="H227" s="15"/>
      <c r="I227" s="15" t="s">
        <v>936</v>
      </c>
      <c r="J227" s="15"/>
      <c r="K227" s="15" t="s">
        <v>932</v>
      </c>
      <c r="L227" s="15"/>
      <c r="M227" s="15" t="s">
        <v>933</v>
      </c>
      <c r="N227" s="15"/>
      <c r="O227" s="15" t="s">
        <v>948</v>
      </c>
      <c r="P227" s="15"/>
      <c r="Q227" s="15" t="s">
        <v>942</v>
      </c>
      <c r="R227" s="15"/>
      <c r="S227" s="15" t="s">
        <v>940</v>
      </c>
      <c r="T227" s="15">
        <v>0</v>
      </c>
      <c r="U227" s="15">
        <v>0</v>
      </c>
      <c r="V227" s="15">
        <v>0</v>
      </c>
      <c r="W227" s="15"/>
      <c r="X227" s="15" t="s">
        <v>937</v>
      </c>
      <c r="Y227" s="15"/>
      <c r="Z227" s="15"/>
      <c r="AA227" s="16" t="s">
        <v>303</v>
      </c>
      <c r="AB227" s="17" t="s">
        <v>233</v>
      </c>
      <c r="AC227" s="17" t="s">
        <v>58</v>
      </c>
      <c r="AD227" s="18">
        <v>850000000</v>
      </c>
      <c r="AE227" s="34">
        <v>0</v>
      </c>
      <c r="AF227" s="34">
        <v>0</v>
      </c>
      <c r="AG227" s="34">
        <v>0</v>
      </c>
      <c r="AH227" s="34">
        <v>0</v>
      </c>
      <c r="AI227" s="34">
        <f>AE227-AF227+AG227-AH227</f>
        <v>0</v>
      </c>
      <c r="AJ227" s="18">
        <f>AD227+AI227</f>
        <v>850000000</v>
      </c>
      <c r="AK227" s="34">
        <v>0</v>
      </c>
      <c r="AL227" s="18">
        <v>7000000</v>
      </c>
      <c r="AM227" s="110">
        <v>776280430</v>
      </c>
      <c r="AN227" s="133">
        <v>0</v>
      </c>
      <c r="AO227" s="286">
        <v>107940000</v>
      </c>
      <c r="AP227" s="110">
        <v>772619430</v>
      </c>
      <c r="AQ227" s="18">
        <v>41333333</v>
      </c>
      <c r="AR227" s="147">
        <v>34563644</v>
      </c>
      <c r="AS227" s="18">
        <v>505760233.64999998</v>
      </c>
      <c r="AT227" s="39">
        <f t="shared" ref="AT227" si="147">AQ227+AS227</f>
        <v>547093566.64999998</v>
      </c>
      <c r="AU227" s="18">
        <f>AJ227-AM227</f>
        <v>73719570</v>
      </c>
      <c r="AV227" s="110">
        <f>AM227-AP227</f>
        <v>3661000</v>
      </c>
      <c r="AW227" s="110">
        <f>AP227-AT227</f>
        <v>225525863.35000002</v>
      </c>
      <c r="AX227" s="123">
        <f>AP227/AJ227</f>
        <v>0.90896403529411762</v>
      </c>
    </row>
    <row r="228" spans="1:50" ht="18.75" customHeight="1" x14ac:dyDescent="0.2">
      <c r="A228" s="35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28" t="s">
        <v>288</v>
      </c>
      <c r="AB228" s="29" t="s">
        <v>304</v>
      </c>
      <c r="AC228" s="38"/>
      <c r="AD228" s="39"/>
      <c r="AE228" s="40"/>
      <c r="AF228" s="40"/>
      <c r="AG228" s="40"/>
      <c r="AH228" s="40"/>
      <c r="AI228" s="40"/>
      <c r="AJ228" s="39"/>
      <c r="AK228" s="39"/>
      <c r="AL228" s="39"/>
      <c r="AM228" s="40"/>
      <c r="AN228" s="40"/>
      <c r="AO228" s="40"/>
      <c r="AP228" s="40"/>
      <c r="AQ228" s="39"/>
      <c r="AR228" s="146"/>
      <c r="AS228" s="39"/>
      <c r="AT228" s="31"/>
      <c r="AU228" s="39"/>
      <c r="AV228" s="40"/>
      <c r="AW228" s="40"/>
      <c r="AX228" s="18"/>
    </row>
    <row r="229" spans="1:50" ht="18.75" customHeight="1" x14ac:dyDescent="0.2">
      <c r="A229" s="14" t="s">
        <v>55</v>
      </c>
      <c r="B229" s="15" t="s">
        <v>56</v>
      </c>
      <c r="C229" s="15"/>
      <c r="D229" s="15"/>
      <c r="E229" s="15"/>
      <c r="F229" s="15"/>
      <c r="G229" s="15" t="s">
        <v>41</v>
      </c>
      <c r="H229" s="15"/>
      <c r="I229" s="15" t="s">
        <v>936</v>
      </c>
      <c r="J229" s="15"/>
      <c r="K229" s="15" t="s">
        <v>932</v>
      </c>
      <c r="L229" s="15"/>
      <c r="M229" s="15" t="s">
        <v>933</v>
      </c>
      <c r="N229" s="15"/>
      <c r="O229" s="15" t="s">
        <v>948</v>
      </c>
      <c r="P229" s="15"/>
      <c r="Q229" s="15" t="s">
        <v>942</v>
      </c>
      <c r="R229" s="15"/>
      <c r="S229" s="15" t="s">
        <v>940</v>
      </c>
      <c r="T229" s="15">
        <v>0</v>
      </c>
      <c r="U229" s="15">
        <v>0</v>
      </c>
      <c r="V229" s="15">
        <v>0</v>
      </c>
      <c r="W229" s="15"/>
      <c r="X229" s="15" t="s">
        <v>937</v>
      </c>
      <c r="Y229" s="15"/>
      <c r="Z229" s="15"/>
      <c r="AA229" s="16" t="s">
        <v>305</v>
      </c>
      <c r="AB229" s="17" t="s">
        <v>233</v>
      </c>
      <c r="AC229" s="17" t="s">
        <v>58</v>
      </c>
      <c r="AD229" s="18">
        <v>100000000</v>
      </c>
      <c r="AE229" s="34">
        <v>0</v>
      </c>
      <c r="AF229" s="34">
        <v>0</v>
      </c>
      <c r="AG229" s="34">
        <v>0</v>
      </c>
      <c r="AH229" s="34">
        <v>0</v>
      </c>
      <c r="AI229" s="34">
        <f>AE229-AF229+AG229-AH229</f>
        <v>0</v>
      </c>
      <c r="AJ229" s="18">
        <f>AD229+AI229</f>
        <v>100000000</v>
      </c>
      <c r="AK229" s="34">
        <v>0</v>
      </c>
      <c r="AL229" s="34">
        <f>AM229-AGOSTO!AM224</f>
        <v>0</v>
      </c>
      <c r="AM229" s="18">
        <v>36000000</v>
      </c>
      <c r="AN229" s="34">
        <v>0</v>
      </c>
      <c r="AO229" s="18">
        <v>0</v>
      </c>
      <c r="AP229" s="18">
        <v>36000000</v>
      </c>
      <c r="AQ229" s="18">
        <v>0</v>
      </c>
      <c r="AR229" s="18">
        <v>10800000</v>
      </c>
      <c r="AS229" s="18">
        <v>12600000</v>
      </c>
      <c r="AT229" s="39">
        <f t="shared" ref="AT229:AT231" si="148">AQ229+AS229</f>
        <v>12600000</v>
      </c>
      <c r="AU229" s="18">
        <f>AJ229-AM229</f>
        <v>64000000</v>
      </c>
      <c r="AV229" s="34">
        <f>AM229-AP229</f>
        <v>0</v>
      </c>
      <c r="AW229" s="18">
        <f>AP229-AT229</f>
        <v>23400000</v>
      </c>
      <c r="AX229" s="123">
        <f>AP229/AJ229</f>
        <v>0.36</v>
      </c>
    </row>
    <row r="230" spans="1:50" ht="40.5" customHeight="1" x14ac:dyDescent="0.2">
      <c r="A230" s="14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73" t="s">
        <v>288</v>
      </c>
      <c r="AB230" s="247" t="s">
        <v>958</v>
      </c>
      <c r="AC230" s="17"/>
      <c r="AD230" s="18"/>
      <c r="AE230" s="34"/>
      <c r="AF230" s="34"/>
      <c r="AG230" s="34"/>
      <c r="AH230" s="34"/>
      <c r="AI230" s="34"/>
      <c r="AJ230" s="18"/>
      <c r="AK230" s="34"/>
      <c r="AL230" s="34"/>
      <c r="AM230" s="34"/>
      <c r="AN230" s="34"/>
      <c r="AO230" s="34"/>
      <c r="AP230" s="34"/>
      <c r="AQ230" s="34"/>
      <c r="AR230" s="34"/>
      <c r="AS230" s="34"/>
      <c r="AT230" s="40"/>
      <c r="AU230" s="18"/>
      <c r="AV230" s="34"/>
      <c r="AW230" s="34"/>
      <c r="AX230" s="123"/>
    </row>
    <row r="231" spans="1:50" ht="30" customHeight="1" x14ac:dyDescent="0.2">
      <c r="A231" s="14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250" t="s">
        <v>765</v>
      </c>
      <c r="AB231" s="248" t="s">
        <v>233</v>
      </c>
      <c r="AC231" s="17"/>
      <c r="AD231" s="34">
        <v>0</v>
      </c>
      <c r="AE231" s="34">
        <v>0</v>
      </c>
      <c r="AF231" s="34">
        <v>0</v>
      </c>
      <c r="AG231" s="18">
        <v>200000000</v>
      </c>
      <c r="AH231" s="18">
        <v>200000000</v>
      </c>
      <c r="AI231" s="34">
        <f>AE231-AF231+AG231-AH231</f>
        <v>0</v>
      </c>
      <c r="AJ231" s="34">
        <f>AD231+AI231</f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40">
        <f t="shared" si="148"/>
        <v>0</v>
      </c>
      <c r="AU231" s="34">
        <f>AJ231-AM231</f>
        <v>0</v>
      </c>
      <c r="AV231" s="34">
        <f>AM231-AP231</f>
        <v>0</v>
      </c>
      <c r="AW231" s="34">
        <f>AP231-AT231</f>
        <v>0</v>
      </c>
      <c r="AX231" s="123">
        <v>0</v>
      </c>
    </row>
    <row r="232" spans="1:50" ht="18.75" customHeight="1" x14ac:dyDescent="0.2">
      <c r="A232" s="35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28" t="s">
        <v>288</v>
      </c>
      <c r="AB232" s="249" t="s">
        <v>306</v>
      </c>
      <c r="AC232" s="38"/>
      <c r="AD232" s="39"/>
      <c r="AE232" s="40"/>
      <c r="AF232" s="40"/>
      <c r="AG232" s="40"/>
      <c r="AH232" s="40"/>
      <c r="AI232" s="40"/>
      <c r="AJ232" s="39"/>
      <c r="AK232" s="40"/>
      <c r="AL232" s="40"/>
      <c r="AM232" s="40"/>
      <c r="AN232" s="40"/>
      <c r="AO232" s="40"/>
      <c r="AP232" s="40"/>
      <c r="AQ232" s="40"/>
      <c r="AR232" s="40"/>
      <c r="AS232" s="39"/>
      <c r="AT232" s="30"/>
      <c r="AU232" s="39"/>
      <c r="AV232" s="39"/>
      <c r="AW232" s="40"/>
      <c r="AX232" s="18"/>
    </row>
    <row r="233" spans="1:50" ht="18.75" customHeight="1" x14ac:dyDescent="0.2">
      <c r="A233" s="14" t="s">
        <v>55</v>
      </c>
      <c r="B233" s="15" t="s">
        <v>56</v>
      </c>
      <c r="C233" s="15"/>
      <c r="D233" s="15"/>
      <c r="E233" s="15"/>
      <c r="F233" s="15"/>
      <c r="G233" s="15" t="s">
        <v>41</v>
      </c>
      <c r="H233" s="15"/>
      <c r="I233" s="15" t="s">
        <v>936</v>
      </c>
      <c r="J233" s="15"/>
      <c r="K233" s="15" t="s">
        <v>932</v>
      </c>
      <c r="L233" s="15"/>
      <c r="M233" s="15" t="s">
        <v>933</v>
      </c>
      <c r="N233" s="15"/>
      <c r="O233" s="15" t="s">
        <v>948</v>
      </c>
      <c r="P233" s="15"/>
      <c r="Q233" s="15" t="s">
        <v>942</v>
      </c>
      <c r="R233" s="15"/>
      <c r="S233" s="15" t="s">
        <v>940</v>
      </c>
      <c r="T233" s="15">
        <v>0</v>
      </c>
      <c r="U233" s="15">
        <v>0</v>
      </c>
      <c r="V233" s="15">
        <v>0</v>
      </c>
      <c r="W233" s="15"/>
      <c r="X233" s="15" t="s">
        <v>937</v>
      </c>
      <c r="Y233" s="15"/>
      <c r="Z233" s="15"/>
      <c r="AA233" s="16" t="s">
        <v>307</v>
      </c>
      <c r="AB233" s="17" t="s">
        <v>233</v>
      </c>
      <c r="AC233" s="17" t="s">
        <v>58</v>
      </c>
      <c r="AD233" s="18">
        <v>50000000</v>
      </c>
      <c r="AE233" s="34">
        <v>0</v>
      </c>
      <c r="AF233" s="34">
        <v>0</v>
      </c>
      <c r="AG233" s="34">
        <v>0</v>
      </c>
      <c r="AH233" s="18">
        <v>50000000</v>
      </c>
      <c r="AI233" s="34">
        <f>AE233-AF233+AG233-AH233</f>
        <v>-50000000</v>
      </c>
      <c r="AJ233" s="18">
        <f>AD233+AI233</f>
        <v>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40">
        <f t="shared" si="140"/>
        <v>0</v>
      </c>
      <c r="AU233" s="34">
        <f>AJ233-AM233</f>
        <v>0</v>
      </c>
      <c r="AV233" s="34">
        <f>AM233-AP233</f>
        <v>0</v>
      </c>
      <c r="AW233" s="34">
        <f>AP233-AT233</f>
        <v>0</v>
      </c>
      <c r="AX233" s="123">
        <v>0</v>
      </c>
    </row>
    <row r="234" spans="1:50" ht="18.75" customHeight="1" x14ac:dyDescent="0.2">
      <c r="A234" s="14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28" t="s">
        <v>288</v>
      </c>
      <c r="AB234" s="29" t="s">
        <v>308</v>
      </c>
      <c r="AC234" s="17"/>
      <c r="AD234" s="18"/>
      <c r="AE234" s="34"/>
      <c r="AF234" s="34"/>
      <c r="AG234" s="34"/>
      <c r="AH234" s="34"/>
      <c r="AI234" s="34"/>
      <c r="AJ234" s="18"/>
      <c r="AK234" s="34"/>
      <c r="AL234" s="34"/>
      <c r="AM234" s="34"/>
      <c r="AN234" s="34"/>
      <c r="AO234" s="34"/>
      <c r="AP234" s="34"/>
      <c r="AQ234" s="34"/>
      <c r="AR234" s="34"/>
      <c r="AS234" s="34"/>
      <c r="AT234" s="31"/>
      <c r="AU234" s="34"/>
      <c r="AV234" s="18"/>
      <c r="AW234" s="34"/>
      <c r="AX234" s="18"/>
    </row>
    <row r="235" spans="1:50" ht="18.75" customHeight="1" x14ac:dyDescent="0.2">
      <c r="A235" s="35" t="s">
        <v>55</v>
      </c>
      <c r="B235" s="36" t="s">
        <v>56</v>
      </c>
      <c r="C235" s="36"/>
      <c r="D235" s="36"/>
      <c r="E235" s="36"/>
      <c r="F235" s="36"/>
      <c r="G235" s="36" t="s">
        <v>41</v>
      </c>
      <c r="H235" s="36"/>
      <c r="I235" s="36" t="s">
        <v>936</v>
      </c>
      <c r="J235" s="36"/>
      <c r="K235" s="36" t="s">
        <v>932</v>
      </c>
      <c r="L235" s="36"/>
      <c r="M235" s="36" t="s">
        <v>933</v>
      </c>
      <c r="N235" s="36"/>
      <c r="O235" s="36" t="s">
        <v>948</v>
      </c>
      <c r="P235" s="36"/>
      <c r="Q235" s="36" t="s">
        <v>942</v>
      </c>
      <c r="R235" s="36"/>
      <c r="S235" s="36" t="s">
        <v>940</v>
      </c>
      <c r="T235" s="36">
        <v>0</v>
      </c>
      <c r="U235" s="36">
        <v>0</v>
      </c>
      <c r="V235" s="36">
        <v>0</v>
      </c>
      <c r="W235" s="36"/>
      <c r="X235" s="36" t="s">
        <v>937</v>
      </c>
      <c r="Y235" s="36"/>
      <c r="Z235" s="36"/>
      <c r="AA235" s="37" t="s">
        <v>309</v>
      </c>
      <c r="AB235" s="38" t="s">
        <v>233</v>
      </c>
      <c r="AC235" s="38" t="s">
        <v>58</v>
      </c>
      <c r="AD235" s="39">
        <v>50000000</v>
      </c>
      <c r="AE235" s="40">
        <v>0</v>
      </c>
      <c r="AF235" s="40">
        <v>0</v>
      </c>
      <c r="AG235" s="40">
        <v>0</v>
      </c>
      <c r="AH235" s="39">
        <f>20000000+30000000</f>
        <v>50000000</v>
      </c>
      <c r="AI235" s="18">
        <f>AE235-AF235+AG235-AH235</f>
        <v>-50000000</v>
      </c>
      <c r="AJ235" s="18">
        <f>AD235+AI235</f>
        <v>0</v>
      </c>
      <c r="AK235" s="40">
        <v>0</v>
      </c>
      <c r="AL235" s="40">
        <v>0</v>
      </c>
      <c r="AM235" s="40">
        <v>0</v>
      </c>
      <c r="AN235" s="40">
        <v>0</v>
      </c>
      <c r="AO235" s="40">
        <v>0</v>
      </c>
      <c r="AP235" s="40">
        <v>0</v>
      </c>
      <c r="AQ235" s="40">
        <v>0</v>
      </c>
      <c r="AR235" s="40">
        <v>0</v>
      </c>
      <c r="AS235" s="40">
        <v>0</v>
      </c>
      <c r="AT235" s="40">
        <f t="shared" si="140"/>
        <v>0</v>
      </c>
      <c r="AU235" s="34">
        <f>AJ235-AM235</f>
        <v>0</v>
      </c>
      <c r="AV235" s="34">
        <f>AM235-AP235</f>
        <v>0</v>
      </c>
      <c r="AW235" s="34">
        <f>AP235-AT235</f>
        <v>0</v>
      </c>
      <c r="AX235" s="123">
        <v>0</v>
      </c>
    </row>
    <row r="236" spans="1:50" ht="18.75" customHeight="1" x14ac:dyDescent="0.2">
      <c r="A236" s="14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28" t="s">
        <v>288</v>
      </c>
      <c r="AB236" s="29" t="s">
        <v>310</v>
      </c>
      <c r="AC236" s="17"/>
      <c r="AD236" s="18"/>
      <c r="AE236" s="34"/>
      <c r="AF236" s="34"/>
      <c r="AG236" s="34"/>
      <c r="AH236" s="34"/>
      <c r="AI236" s="34"/>
      <c r="AJ236" s="18"/>
      <c r="AK236" s="18"/>
      <c r="AL236" s="18"/>
      <c r="AM236" s="18"/>
      <c r="AN236" s="18"/>
      <c r="AO236" s="18"/>
      <c r="AP236" s="18"/>
      <c r="AQ236" s="18"/>
      <c r="AR236" s="147"/>
      <c r="AS236" s="34"/>
      <c r="AT236" s="31"/>
      <c r="AU236" s="18"/>
      <c r="AV236" s="18"/>
      <c r="AW236" s="18"/>
      <c r="AX236" s="18"/>
    </row>
    <row r="237" spans="1:50" ht="18.75" customHeight="1" x14ac:dyDescent="0.2">
      <c r="A237" s="14" t="s">
        <v>55</v>
      </c>
      <c r="B237" s="15" t="s">
        <v>56</v>
      </c>
      <c r="C237" s="15"/>
      <c r="D237" s="15"/>
      <c r="E237" s="15"/>
      <c r="F237" s="15"/>
      <c r="G237" s="15" t="s">
        <v>41</v>
      </c>
      <c r="H237" s="15"/>
      <c r="I237" s="15" t="s">
        <v>936</v>
      </c>
      <c r="J237" s="15"/>
      <c r="K237" s="15" t="s">
        <v>932</v>
      </c>
      <c r="L237" s="15"/>
      <c r="M237" s="15" t="s">
        <v>933</v>
      </c>
      <c r="N237" s="15"/>
      <c r="O237" s="15" t="s">
        <v>948</v>
      </c>
      <c r="P237" s="15"/>
      <c r="Q237" s="15" t="s">
        <v>942</v>
      </c>
      <c r="R237" s="15"/>
      <c r="S237" s="15" t="s">
        <v>940</v>
      </c>
      <c r="T237" s="15">
        <v>0</v>
      </c>
      <c r="U237" s="15">
        <v>0</v>
      </c>
      <c r="V237" s="15">
        <v>0</v>
      </c>
      <c r="W237" s="15"/>
      <c r="X237" s="15" t="s">
        <v>937</v>
      </c>
      <c r="Y237" s="15"/>
      <c r="Z237" s="15"/>
      <c r="AA237" s="16" t="s">
        <v>311</v>
      </c>
      <c r="AB237" s="17" t="s">
        <v>233</v>
      </c>
      <c r="AC237" s="17" t="s">
        <v>58</v>
      </c>
      <c r="AD237" s="18">
        <v>1400000000</v>
      </c>
      <c r="AE237" s="34">
        <v>0</v>
      </c>
      <c r="AF237" s="34">
        <v>0</v>
      </c>
      <c r="AG237" s="34">
        <v>0</v>
      </c>
      <c r="AH237" s="34">
        <v>0</v>
      </c>
      <c r="AI237" s="18">
        <f t="shared" ref="AI237:AI238" si="149">AE237-AF237+AG237-AH237</f>
        <v>0</v>
      </c>
      <c r="AJ237" s="18">
        <f t="shared" ref="AJ237:AJ238" si="150">AD237+AI237</f>
        <v>1400000000</v>
      </c>
      <c r="AK237" s="34">
        <v>0</v>
      </c>
      <c r="AL237" s="18">
        <v>3600000</v>
      </c>
      <c r="AM237" s="18">
        <v>1313555399</v>
      </c>
      <c r="AN237" s="34">
        <v>0</v>
      </c>
      <c r="AO237" s="18">
        <v>0</v>
      </c>
      <c r="AP237" s="18">
        <v>1276180346</v>
      </c>
      <c r="AQ237" s="18">
        <v>0</v>
      </c>
      <c r="AR237" s="147">
        <v>37200000</v>
      </c>
      <c r="AS237" s="18">
        <v>516836770.94999999</v>
      </c>
      <c r="AT237" s="111">
        <f t="shared" ref="AT237:AT238" si="151">AQ237+AS237</f>
        <v>516836770.94999999</v>
      </c>
      <c r="AU237" s="18">
        <f>AJ237-AM237</f>
        <v>86444601</v>
      </c>
      <c r="AV237" s="110">
        <f>AM237-AP237</f>
        <v>37375053</v>
      </c>
      <c r="AW237" s="18">
        <f>AP237-AT237</f>
        <v>759343575.04999995</v>
      </c>
      <c r="AX237" s="123">
        <f>AP237/AJ237</f>
        <v>0.91155739000000002</v>
      </c>
    </row>
    <row r="238" spans="1:50" ht="18.75" customHeight="1" x14ac:dyDescent="0.2">
      <c r="A238" s="14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41" t="s">
        <v>1262</v>
      </c>
      <c r="AB238" s="42" t="s">
        <v>1015</v>
      </c>
      <c r="AC238" s="17"/>
      <c r="AD238" s="34">
        <v>0</v>
      </c>
      <c r="AE238" s="34">
        <v>0</v>
      </c>
      <c r="AF238" s="34">
        <v>0</v>
      </c>
      <c r="AG238" s="18">
        <v>200000000</v>
      </c>
      <c r="AH238" s="18">
        <v>40000000</v>
      </c>
      <c r="AI238" s="18">
        <f t="shared" si="149"/>
        <v>160000000</v>
      </c>
      <c r="AJ238" s="18">
        <f t="shared" si="150"/>
        <v>160000000</v>
      </c>
      <c r="AK238" s="34">
        <v>0</v>
      </c>
      <c r="AL238" s="34">
        <v>0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145">
        <v>0</v>
      </c>
      <c r="AS238" s="34">
        <v>0</v>
      </c>
      <c r="AT238" s="135">
        <f t="shared" si="151"/>
        <v>0</v>
      </c>
      <c r="AU238" s="18">
        <f>AJ238-AM238</f>
        <v>160000000</v>
      </c>
      <c r="AV238" s="133">
        <f>AM238-AP238</f>
        <v>0</v>
      </c>
      <c r="AW238" s="34">
        <f>AP238-AT238</f>
        <v>0</v>
      </c>
      <c r="AX238" s="123">
        <f>AP238/AJ238</f>
        <v>0</v>
      </c>
    </row>
    <row r="239" spans="1:50" ht="18.75" customHeight="1" x14ac:dyDescent="0.2">
      <c r="A239" s="14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73" t="s">
        <v>288</v>
      </c>
      <c r="AB239" s="74" t="s">
        <v>1383</v>
      </c>
      <c r="AC239" s="17"/>
      <c r="AD239" s="34"/>
      <c r="AE239" s="34"/>
      <c r="AF239" s="34"/>
      <c r="AG239" s="18"/>
      <c r="AH239" s="34"/>
      <c r="AI239" s="18"/>
      <c r="AJ239" s="18"/>
      <c r="AK239" s="34"/>
      <c r="AL239" s="34"/>
      <c r="AM239" s="34"/>
      <c r="AN239" s="34"/>
      <c r="AO239" s="34"/>
      <c r="AP239" s="34"/>
      <c r="AQ239" s="34"/>
      <c r="AR239" s="145"/>
      <c r="AS239" s="34"/>
      <c r="AT239" s="135"/>
      <c r="AU239" s="18"/>
      <c r="AV239" s="110"/>
      <c r="AW239" s="18"/>
      <c r="AX239" s="123"/>
    </row>
    <row r="240" spans="1:50" ht="18.75" customHeight="1" x14ac:dyDescent="0.2">
      <c r="A240" s="14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41" t="s">
        <v>1370</v>
      </c>
      <c r="AB240" s="42" t="s">
        <v>233</v>
      </c>
      <c r="AC240" s="17"/>
      <c r="AD240" s="34">
        <v>0</v>
      </c>
      <c r="AE240" s="34">
        <v>0</v>
      </c>
      <c r="AF240" s="34">
        <v>0</v>
      </c>
      <c r="AG240" s="18">
        <v>30000000</v>
      </c>
      <c r="AH240" s="34">
        <v>0</v>
      </c>
      <c r="AI240" s="18">
        <f t="shared" ref="AI240" si="152">AE240-AF240+AG240-AH240</f>
        <v>30000000</v>
      </c>
      <c r="AJ240" s="18">
        <f t="shared" ref="AJ240" si="153">AD240+AI240</f>
        <v>30000000</v>
      </c>
      <c r="AK240" s="34">
        <v>0</v>
      </c>
      <c r="AL240" s="18">
        <v>8000000</v>
      </c>
      <c r="AM240" s="18">
        <v>28000000</v>
      </c>
      <c r="AN240" s="34">
        <v>0</v>
      </c>
      <c r="AO240" s="34">
        <v>15197500</v>
      </c>
      <c r="AP240" s="34">
        <v>15197500</v>
      </c>
      <c r="AQ240" s="34">
        <v>0</v>
      </c>
      <c r="AR240" s="34">
        <v>0</v>
      </c>
      <c r="AS240" s="34">
        <v>0</v>
      </c>
      <c r="AT240" s="135">
        <f t="shared" ref="AT240" si="154">AQ240+AS240</f>
        <v>0</v>
      </c>
      <c r="AU240" s="18">
        <f>AJ240-AM240</f>
        <v>2000000</v>
      </c>
      <c r="AV240" s="110">
        <f>AM240-AP240</f>
        <v>12802500</v>
      </c>
      <c r="AW240" s="18">
        <f>AP240-AT240</f>
        <v>15197500</v>
      </c>
      <c r="AX240" s="123">
        <f>AP240/AJ240</f>
        <v>0.50658333333333339</v>
      </c>
    </row>
    <row r="241" spans="1:50" ht="18.75" customHeight="1" x14ac:dyDescent="0.2">
      <c r="A241" s="35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7"/>
      <c r="AB241" s="29" t="s">
        <v>199</v>
      </c>
      <c r="AC241" s="38"/>
      <c r="AD241" s="39"/>
      <c r="AE241" s="40"/>
      <c r="AF241" s="40"/>
      <c r="AG241" s="40"/>
      <c r="AH241" s="40"/>
      <c r="AI241" s="40"/>
      <c r="AJ241" s="39"/>
      <c r="AK241" s="40"/>
      <c r="AL241" s="39"/>
      <c r="AM241" s="39"/>
      <c r="AN241" s="39"/>
      <c r="AO241" s="39"/>
      <c r="AP241" s="39"/>
      <c r="AQ241" s="40"/>
      <c r="AR241" s="40"/>
      <c r="AS241" s="40"/>
      <c r="AT241" s="31"/>
      <c r="AU241" s="39"/>
      <c r="AV241" s="39"/>
      <c r="AW241" s="39"/>
      <c r="AX241" s="18"/>
    </row>
    <row r="242" spans="1:50" ht="26.25" customHeight="1" x14ac:dyDescent="0.2">
      <c r="A242" s="14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28" t="s">
        <v>288</v>
      </c>
      <c r="AB242" s="29" t="s">
        <v>312</v>
      </c>
      <c r="AC242" s="17"/>
      <c r="AD242" s="18"/>
      <c r="AE242" s="34"/>
      <c r="AF242" s="34"/>
      <c r="AG242" s="34"/>
      <c r="AH242" s="34"/>
      <c r="AI242" s="34"/>
      <c r="AJ242" s="18"/>
      <c r="AK242" s="34"/>
      <c r="AL242" s="18"/>
      <c r="AM242" s="18"/>
      <c r="AN242" s="18"/>
      <c r="AO242" s="18"/>
      <c r="AP242" s="18"/>
      <c r="AQ242" s="34"/>
      <c r="AR242" s="34"/>
      <c r="AS242" s="34"/>
      <c r="AT242" s="31"/>
      <c r="AU242" s="18"/>
      <c r="AV242" s="18"/>
      <c r="AW242" s="18"/>
      <c r="AX242" s="18"/>
    </row>
    <row r="243" spans="1:50" ht="18.75" customHeight="1" x14ac:dyDescent="0.2">
      <c r="A243" s="14" t="s">
        <v>55</v>
      </c>
      <c r="B243" s="15" t="s">
        <v>56</v>
      </c>
      <c r="C243" s="15"/>
      <c r="D243" s="15"/>
      <c r="E243" s="15"/>
      <c r="F243" s="15"/>
      <c r="G243" s="15" t="s">
        <v>41</v>
      </c>
      <c r="H243" s="15"/>
      <c r="I243" s="15" t="s">
        <v>936</v>
      </c>
      <c r="J243" s="15"/>
      <c r="K243" s="15" t="s">
        <v>932</v>
      </c>
      <c r="L243" s="15"/>
      <c r="M243" s="15" t="s">
        <v>933</v>
      </c>
      <c r="N243" s="15"/>
      <c r="O243" s="15" t="s">
        <v>948</v>
      </c>
      <c r="P243" s="15"/>
      <c r="Q243" s="15" t="s">
        <v>942</v>
      </c>
      <c r="R243" s="15"/>
      <c r="S243" s="15" t="s">
        <v>940</v>
      </c>
      <c r="T243" s="15">
        <v>0</v>
      </c>
      <c r="U243" s="15">
        <v>0</v>
      </c>
      <c r="V243" s="15">
        <v>0</v>
      </c>
      <c r="W243" s="15"/>
      <c r="X243" s="15" t="s">
        <v>937</v>
      </c>
      <c r="Y243" s="15"/>
      <c r="Z243" s="15"/>
      <c r="AA243" s="16" t="s">
        <v>313</v>
      </c>
      <c r="AB243" s="17" t="s">
        <v>233</v>
      </c>
      <c r="AC243" s="17" t="s">
        <v>58</v>
      </c>
      <c r="AD243" s="18">
        <v>400000000</v>
      </c>
      <c r="AE243" s="34">
        <v>0</v>
      </c>
      <c r="AF243" s="34">
        <v>0</v>
      </c>
      <c r="AG243" s="34">
        <v>0</v>
      </c>
      <c r="AH243" s="18">
        <v>400000000</v>
      </c>
      <c r="AI243" s="18">
        <f>AE243-AF243+AG243-AH243</f>
        <v>-400000000</v>
      </c>
      <c r="AJ243" s="34">
        <f>AD243+AI243</f>
        <v>0</v>
      </c>
      <c r="AK243" s="34">
        <v>0</v>
      </c>
      <c r="AL243" s="34">
        <v>0</v>
      </c>
      <c r="AM243" s="34">
        <v>0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  <c r="AS243" s="34">
        <v>0</v>
      </c>
      <c r="AT243" s="40">
        <f t="shared" ref="AT243" si="155">AQ243+AS243</f>
        <v>0</v>
      </c>
      <c r="AU243" s="18">
        <f>AJ243-AM243</f>
        <v>0</v>
      </c>
      <c r="AV243" s="34">
        <f>AM243-AP243</f>
        <v>0</v>
      </c>
      <c r="AW243" s="34">
        <f>AP243-AT243</f>
        <v>0</v>
      </c>
      <c r="AX243" s="123">
        <v>0</v>
      </c>
    </row>
    <row r="244" spans="1:50" ht="18.75" customHeight="1" x14ac:dyDescent="0.2">
      <c r="A244" s="14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6"/>
      <c r="AB244" s="17"/>
      <c r="AC244" s="17"/>
      <c r="AD244" s="18"/>
      <c r="AE244" s="34"/>
      <c r="AF244" s="34"/>
      <c r="AG244" s="34"/>
      <c r="AH244" s="18"/>
      <c r="AI244" s="18"/>
      <c r="AJ244" s="18"/>
      <c r="AK244" s="34"/>
      <c r="AL244" s="34"/>
      <c r="AM244" s="34"/>
      <c r="AN244" s="34"/>
      <c r="AO244" s="34"/>
      <c r="AP244" s="34"/>
      <c r="AQ244" s="34"/>
      <c r="AR244" s="34"/>
      <c r="AS244" s="34"/>
      <c r="AT244" s="40"/>
      <c r="AU244" s="18"/>
      <c r="AV244" s="34"/>
      <c r="AW244" s="34"/>
      <c r="AX244" s="123"/>
    </row>
    <row r="245" spans="1:50" ht="27" customHeight="1" x14ac:dyDescent="0.2">
      <c r="A245" s="14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73" t="s">
        <v>288</v>
      </c>
      <c r="AB245" s="74" t="s">
        <v>312</v>
      </c>
      <c r="AC245" s="17"/>
      <c r="AD245" s="18"/>
      <c r="AE245" s="34"/>
      <c r="AF245" s="34"/>
      <c r="AG245" s="34"/>
      <c r="AH245" s="18"/>
      <c r="AI245" s="18"/>
      <c r="AJ245" s="18"/>
      <c r="AK245" s="34"/>
      <c r="AL245" s="34"/>
      <c r="AM245" s="34"/>
      <c r="AN245" s="34"/>
      <c r="AO245" s="34"/>
      <c r="AP245" s="34"/>
      <c r="AQ245" s="34"/>
      <c r="AR245" s="34"/>
      <c r="AS245" s="34"/>
      <c r="AT245" s="40"/>
      <c r="AU245" s="18"/>
      <c r="AV245" s="34"/>
      <c r="AW245" s="34"/>
      <c r="AX245" s="123"/>
    </row>
    <row r="246" spans="1:50" ht="18.75" customHeight="1" x14ac:dyDescent="0.2">
      <c r="A246" s="14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41" t="s">
        <v>1240</v>
      </c>
      <c r="AB246" s="42" t="s">
        <v>233</v>
      </c>
      <c r="AC246" s="17"/>
      <c r="AD246" s="34">
        <v>0</v>
      </c>
      <c r="AE246" s="34">
        <v>0</v>
      </c>
      <c r="AF246" s="34">
        <v>0</v>
      </c>
      <c r="AG246" s="18">
        <v>400000000</v>
      </c>
      <c r="AH246" s="44">
        <v>0</v>
      </c>
      <c r="AI246" s="18">
        <f>AE246-AF246+AG246-AH246</f>
        <v>400000000</v>
      </c>
      <c r="AJ246" s="18">
        <f>AD246+AI246</f>
        <v>400000000</v>
      </c>
      <c r="AK246" s="34">
        <v>0</v>
      </c>
      <c r="AL246" s="34">
        <v>0</v>
      </c>
      <c r="AM246" s="18">
        <v>339281000</v>
      </c>
      <c r="AN246" s="34">
        <v>0</v>
      </c>
      <c r="AO246" s="34">
        <v>0</v>
      </c>
      <c r="AP246" s="18">
        <v>339281000</v>
      </c>
      <c r="AQ246" s="34">
        <v>0</v>
      </c>
      <c r="AR246" s="18">
        <v>43677130</v>
      </c>
      <c r="AS246" s="18">
        <v>72172115</v>
      </c>
      <c r="AT246" s="39">
        <f t="shared" ref="AT246" si="156">AQ246+AS246</f>
        <v>72172115</v>
      </c>
      <c r="AU246" s="18">
        <f>AJ246-AM246</f>
        <v>60719000</v>
      </c>
      <c r="AV246" s="34">
        <f>AM246-AP246</f>
        <v>0</v>
      </c>
      <c r="AW246" s="18">
        <f>AP246-AT246</f>
        <v>267108885</v>
      </c>
      <c r="AX246" s="123">
        <v>0</v>
      </c>
    </row>
    <row r="247" spans="1:50" ht="18.75" customHeight="1" x14ac:dyDescent="0.2">
      <c r="A247" s="14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70" t="s">
        <v>1016</v>
      </c>
      <c r="AB247" s="165" t="s">
        <v>997</v>
      </c>
      <c r="AC247" s="161"/>
      <c r="AD247" s="18"/>
      <c r="AE247" s="34"/>
      <c r="AF247" s="34"/>
      <c r="AG247" s="34"/>
      <c r="AH247" s="34"/>
      <c r="AI247" s="34"/>
      <c r="AJ247" s="18"/>
      <c r="AK247" s="34"/>
      <c r="AL247" s="34"/>
      <c r="AM247" s="34"/>
      <c r="AN247" s="34"/>
      <c r="AO247" s="34"/>
      <c r="AP247" s="34"/>
      <c r="AQ247" s="34"/>
      <c r="AR247" s="34"/>
      <c r="AS247" s="34"/>
      <c r="AT247" s="40"/>
      <c r="AU247" s="18"/>
      <c r="AV247" s="34"/>
      <c r="AW247" s="34"/>
      <c r="AX247" s="123"/>
    </row>
    <row r="248" spans="1:50" ht="18.75" customHeight="1" x14ac:dyDescent="0.2">
      <c r="A248" s="14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70" t="s">
        <v>1017</v>
      </c>
      <c r="AB248" s="165" t="s">
        <v>999</v>
      </c>
      <c r="AC248" s="161"/>
      <c r="AD248" s="18"/>
      <c r="AE248" s="34"/>
      <c r="AF248" s="34"/>
      <c r="AG248" s="34"/>
      <c r="AH248" s="34"/>
      <c r="AI248" s="34"/>
      <c r="AJ248" s="18"/>
      <c r="AK248" s="34"/>
      <c r="AL248" s="34"/>
      <c r="AM248" s="34"/>
      <c r="AN248" s="34"/>
      <c r="AO248" s="34"/>
      <c r="AP248" s="34"/>
      <c r="AQ248" s="34"/>
      <c r="AR248" s="34"/>
      <c r="AS248" s="34"/>
      <c r="AT248" s="40"/>
      <c r="AU248" s="18"/>
      <c r="AV248" s="34"/>
      <c r="AW248" s="34"/>
      <c r="AX248" s="123"/>
    </row>
    <row r="249" spans="1:50" ht="18.75" customHeight="1" x14ac:dyDescent="0.2">
      <c r="A249" s="14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70" t="s">
        <v>1018</v>
      </c>
      <c r="AB249" s="165" t="s">
        <v>1001</v>
      </c>
      <c r="AC249" s="161"/>
      <c r="AD249" s="18"/>
      <c r="AE249" s="34"/>
      <c r="AF249" s="34"/>
      <c r="AG249" s="34"/>
      <c r="AH249" s="34"/>
      <c r="AI249" s="34"/>
      <c r="AJ249" s="18"/>
      <c r="AK249" s="34"/>
      <c r="AL249" s="34"/>
      <c r="AM249" s="34"/>
      <c r="AN249" s="34"/>
      <c r="AO249" s="34"/>
      <c r="AP249" s="34"/>
      <c r="AQ249" s="34"/>
      <c r="AR249" s="34"/>
      <c r="AS249" s="34"/>
      <c r="AT249" s="40"/>
      <c r="AU249" s="18"/>
      <c r="AV249" s="34"/>
      <c r="AW249" s="34"/>
      <c r="AX249" s="123"/>
    </row>
    <row r="250" spans="1:50" ht="18.75" customHeight="1" x14ac:dyDescent="0.2">
      <c r="A250" s="14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66" t="s">
        <v>1019</v>
      </c>
      <c r="AB250" s="167" t="s">
        <v>1005</v>
      </c>
      <c r="AC250" s="161"/>
      <c r="AD250" s="34">
        <v>0</v>
      </c>
      <c r="AE250" s="18">
        <v>390355846.72000003</v>
      </c>
      <c r="AF250" s="34">
        <v>0</v>
      </c>
      <c r="AG250" s="34">
        <v>0</v>
      </c>
      <c r="AH250" s="34">
        <v>0</v>
      </c>
      <c r="AI250" s="18">
        <f>AE250-AF250+AG250-AH250</f>
        <v>390355846.72000003</v>
      </c>
      <c r="AJ250" s="18">
        <f>AD250+AI250</f>
        <v>390355846.72000003</v>
      </c>
      <c r="AK250" s="34">
        <v>0</v>
      </c>
      <c r="AL250" s="34">
        <v>0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0</v>
      </c>
      <c r="AT250" s="40">
        <f t="shared" ref="AT250" si="157">AQ250+AS250</f>
        <v>0</v>
      </c>
      <c r="AU250" s="18">
        <f>AJ250-AM250</f>
        <v>390355846.72000003</v>
      </c>
      <c r="AV250" s="34">
        <f>AM250-AP250</f>
        <v>0</v>
      </c>
      <c r="AW250" s="34">
        <f>AP250-AT250</f>
        <v>0</v>
      </c>
      <c r="AX250" s="123">
        <f>AP250/AJ250</f>
        <v>0</v>
      </c>
    </row>
    <row r="251" spans="1:50" s="25" customFormat="1" ht="18.75" customHeight="1" x14ac:dyDescent="0.2">
      <c r="A251" s="64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5"/>
      <c r="Z251" s="65"/>
      <c r="AA251" s="66"/>
      <c r="AB251" s="47" t="s">
        <v>314</v>
      </c>
      <c r="AC251" s="22" t="s">
        <v>315</v>
      </c>
      <c r="AD251" s="22">
        <f t="shared" ref="AD251:AV251" si="158">SUM(AD199:AD250)</f>
        <v>4500000000</v>
      </c>
      <c r="AE251" s="22">
        <f t="shared" si="158"/>
        <v>3800355846.7200003</v>
      </c>
      <c r="AF251" s="23">
        <f t="shared" si="158"/>
        <v>0</v>
      </c>
      <c r="AG251" s="22">
        <f t="shared" si="158"/>
        <v>10034629058</v>
      </c>
      <c r="AH251" s="22">
        <f t="shared" si="158"/>
        <v>4484629058</v>
      </c>
      <c r="AI251" s="22">
        <f t="shared" si="158"/>
        <v>9350355846.7199993</v>
      </c>
      <c r="AJ251" s="22">
        <f t="shared" si="158"/>
        <v>13850355846.719999</v>
      </c>
      <c r="AK251" s="23">
        <f t="shared" si="158"/>
        <v>0</v>
      </c>
      <c r="AL251" s="22">
        <f t="shared" si="158"/>
        <v>222979854.47</v>
      </c>
      <c r="AM251" s="22">
        <f t="shared" si="158"/>
        <v>11968520728.42</v>
      </c>
      <c r="AN251" s="22">
        <f t="shared" si="158"/>
        <v>0</v>
      </c>
      <c r="AO251" s="22">
        <f t="shared" si="158"/>
        <v>490182392.79000002</v>
      </c>
      <c r="AP251" s="22">
        <f t="shared" si="158"/>
        <v>8874179087.8100014</v>
      </c>
      <c r="AQ251" s="22">
        <f t="shared" si="158"/>
        <v>65800000</v>
      </c>
      <c r="AR251" s="22">
        <f t="shared" si="158"/>
        <v>168824107</v>
      </c>
      <c r="AS251" s="22">
        <f t="shared" si="158"/>
        <v>1560171288.5999999</v>
      </c>
      <c r="AT251" s="22">
        <f t="shared" si="158"/>
        <v>1625971288.5999999</v>
      </c>
      <c r="AU251" s="22">
        <f t="shared" si="158"/>
        <v>1881835118.3</v>
      </c>
      <c r="AV251" s="22">
        <f t="shared" si="158"/>
        <v>3094341640.6099997</v>
      </c>
      <c r="AW251" s="22">
        <f>SUM(AW199:AW250)</f>
        <v>7248207799.210001</v>
      </c>
      <c r="AX251" s="24">
        <f>AP251/AJ251</f>
        <v>0.64071849026980476</v>
      </c>
    </row>
    <row r="252" spans="1:50" ht="18.75" customHeight="1" x14ac:dyDescent="0.2">
      <c r="A252" s="14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6"/>
      <c r="AB252" s="17"/>
      <c r="AC252" s="17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</row>
    <row r="253" spans="1:50" s="25" customFormat="1" ht="18.75" customHeight="1" x14ac:dyDescent="0.2">
      <c r="A253" s="64"/>
      <c r="B253" s="65"/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5"/>
      <c r="Z253" s="65"/>
      <c r="AA253" s="66"/>
      <c r="AB253" s="21" t="s">
        <v>316</v>
      </c>
      <c r="AC253" s="67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3"/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</row>
    <row r="254" spans="1:50" ht="18.75" customHeight="1" x14ac:dyDescent="0.2">
      <c r="A254" s="14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6"/>
      <c r="AB254" s="29" t="s">
        <v>317</v>
      </c>
      <c r="AC254" s="17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30"/>
      <c r="AU254" s="18"/>
      <c r="AV254" s="18"/>
      <c r="AW254" s="18"/>
      <c r="AX254" s="18"/>
    </row>
    <row r="255" spans="1:50" ht="18.75" customHeight="1" x14ac:dyDescent="0.2">
      <c r="A255" s="14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6"/>
      <c r="AB255" s="29" t="s">
        <v>318</v>
      </c>
      <c r="AC255" s="17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30"/>
      <c r="AU255" s="18"/>
      <c r="AV255" s="18"/>
      <c r="AW255" s="18"/>
      <c r="AX255" s="18"/>
    </row>
    <row r="256" spans="1:50" ht="25.5" x14ac:dyDescent="0.2">
      <c r="A256" s="35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7"/>
      <c r="AB256" s="29" t="s">
        <v>319</v>
      </c>
      <c r="AC256" s="38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0"/>
      <c r="AU256" s="39"/>
      <c r="AV256" s="39"/>
      <c r="AW256" s="39"/>
      <c r="AX256" s="18"/>
    </row>
    <row r="257" spans="1:50" ht="18.75" customHeight="1" x14ac:dyDescent="0.2">
      <c r="A257" s="35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7"/>
      <c r="AB257" s="29" t="s">
        <v>320</v>
      </c>
      <c r="AC257" s="38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0"/>
      <c r="AU257" s="39"/>
      <c r="AV257" s="39"/>
      <c r="AW257" s="39"/>
      <c r="AX257" s="18"/>
    </row>
    <row r="258" spans="1:50" ht="18.75" customHeight="1" x14ac:dyDescent="0.2">
      <c r="A258" s="14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6"/>
      <c r="AB258" s="29" t="s">
        <v>46</v>
      </c>
      <c r="AC258" s="17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30"/>
      <c r="AU258" s="18"/>
      <c r="AV258" s="18"/>
      <c r="AW258" s="18"/>
      <c r="AX258" s="18"/>
    </row>
    <row r="259" spans="1:50" ht="18.75" customHeight="1" x14ac:dyDescent="0.2">
      <c r="A259" s="14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6"/>
      <c r="AB259" s="29" t="s">
        <v>48</v>
      </c>
      <c r="AC259" s="17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30"/>
      <c r="AU259" s="18"/>
      <c r="AV259" s="18"/>
      <c r="AW259" s="18"/>
      <c r="AX259" s="18"/>
    </row>
    <row r="260" spans="1:50" ht="18.75" customHeight="1" x14ac:dyDescent="0.2">
      <c r="A260" s="14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6"/>
      <c r="AB260" s="29" t="s">
        <v>52</v>
      </c>
      <c r="AC260" s="17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30"/>
      <c r="AU260" s="18"/>
      <c r="AV260" s="18"/>
      <c r="AW260" s="18"/>
      <c r="AX260" s="18"/>
    </row>
    <row r="261" spans="1:50" ht="18.75" customHeight="1" x14ac:dyDescent="0.2">
      <c r="AA261" s="28" t="s">
        <v>288</v>
      </c>
      <c r="AB261" s="29" t="s">
        <v>54</v>
      </c>
      <c r="AC261" s="17"/>
      <c r="AD261" s="18"/>
      <c r="AE261" s="18"/>
      <c r="AF261" s="18"/>
      <c r="AG261" s="18"/>
      <c r="AH261" s="18"/>
      <c r="AI261" s="18"/>
      <c r="AJ261" s="18"/>
      <c r="AK261" s="18"/>
      <c r="AL261" s="147"/>
      <c r="AM261" s="18"/>
      <c r="AN261" s="18"/>
      <c r="AO261" s="18"/>
      <c r="AP261" s="18"/>
      <c r="AQ261" s="18"/>
      <c r="AR261" s="18"/>
      <c r="AS261" s="18"/>
      <c r="AT261" s="30"/>
      <c r="AU261" s="18"/>
      <c r="AV261" s="18"/>
      <c r="AW261" s="18"/>
      <c r="AX261" s="18"/>
    </row>
    <row r="262" spans="1:50" ht="18.75" customHeight="1" x14ac:dyDescent="0.2">
      <c r="A262" s="4" t="s">
        <v>55</v>
      </c>
      <c r="B262" s="4" t="s">
        <v>56</v>
      </c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1" t="s">
        <v>321</v>
      </c>
      <c r="AB262" s="42" t="s">
        <v>322</v>
      </c>
      <c r="AC262" s="38" t="s">
        <v>58</v>
      </c>
      <c r="AD262" s="39">
        <v>1139356981</v>
      </c>
      <c r="AE262" s="40">
        <v>0</v>
      </c>
      <c r="AF262" s="40">
        <v>0</v>
      </c>
      <c r="AG262" s="40">
        <v>0</v>
      </c>
      <c r="AH262" s="40">
        <v>0</v>
      </c>
      <c r="AI262" s="34">
        <f>AE262-AF262+AG262-AH358</f>
        <v>0</v>
      </c>
      <c r="AJ262" s="18">
        <f>AD262+AI262</f>
        <v>1139356981</v>
      </c>
      <c r="AK262" s="40">
        <v>0</v>
      </c>
      <c r="AL262" s="267">
        <v>529494</v>
      </c>
      <c r="AM262" s="39">
        <v>35505029</v>
      </c>
      <c r="AN262" s="40">
        <v>0</v>
      </c>
      <c r="AO262" s="39">
        <v>1817052</v>
      </c>
      <c r="AP262" s="39">
        <v>29070116</v>
      </c>
      <c r="AQ262" s="40">
        <v>454263</v>
      </c>
      <c r="AR262" s="39">
        <f>AS262-SEPTIEMBRE!AS257</f>
        <v>1362789</v>
      </c>
      <c r="AS262" s="39">
        <v>28615853</v>
      </c>
      <c r="AT262" s="39">
        <f t="shared" ref="AT262:AT263" si="159">AQ262+AS262</f>
        <v>29070116</v>
      </c>
      <c r="AU262" s="18">
        <f>AJ262-AM262</f>
        <v>1103851952</v>
      </c>
      <c r="AV262" s="110">
        <f>AM262-AP262</f>
        <v>6434913</v>
      </c>
      <c r="AW262" s="34">
        <f>AP262-AT262</f>
        <v>0</v>
      </c>
      <c r="AX262" s="123">
        <f>AP262/AJ262</f>
        <v>2.5514493249065368E-2</v>
      </c>
    </row>
    <row r="263" spans="1:50" ht="18.75" customHeight="1" x14ac:dyDescent="0.2">
      <c r="A263" s="4" t="s">
        <v>55</v>
      </c>
      <c r="B263" s="4" t="s">
        <v>56</v>
      </c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211" t="s">
        <v>323</v>
      </c>
      <c r="AB263" s="212" t="s">
        <v>324</v>
      </c>
      <c r="AC263" s="244" t="s">
        <v>61</v>
      </c>
      <c r="AD263" s="244">
        <v>9000660718</v>
      </c>
      <c r="AE263" s="233">
        <v>0</v>
      </c>
      <c r="AF263" s="44">
        <v>0</v>
      </c>
      <c r="AG263" s="18">
        <v>0</v>
      </c>
      <c r="AH263" s="18">
        <v>1168019605</v>
      </c>
      <c r="AI263" s="18">
        <f t="shared" ref="AI263" si="160">AE263-AF263+AG263-AH263</f>
        <v>-1168019605</v>
      </c>
      <c r="AJ263" s="18">
        <f t="shared" ref="AJ263" si="161">AD263+AI263</f>
        <v>7832641113</v>
      </c>
      <c r="AK263" s="44">
        <v>0</v>
      </c>
      <c r="AL263" s="267">
        <v>141685843</v>
      </c>
      <c r="AM263" s="43">
        <v>6320803347</v>
      </c>
      <c r="AN263" s="44">
        <v>0</v>
      </c>
      <c r="AO263" s="43">
        <v>141685843</v>
      </c>
      <c r="AP263" s="43">
        <v>6319784993</v>
      </c>
      <c r="AQ263" s="44">
        <v>0</v>
      </c>
      <c r="AR263" s="39">
        <f>AS263-SEPTIEMBRE!AS258</f>
        <v>870839939</v>
      </c>
      <c r="AS263" s="43">
        <v>6319784993</v>
      </c>
      <c r="AT263" s="39">
        <f t="shared" si="159"/>
        <v>6319784993</v>
      </c>
      <c r="AU263" s="18">
        <f>AJ263-AM263</f>
        <v>1511837766</v>
      </c>
      <c r="AV263" s="110">
        <f>AM263-AP263</f>
        <v>1018354</v>
      </c>
      <c r="AW263" s="34">
        <f>AP263-AT263</f>
        <v>0</v>
      </c>
      <c r="AX263" s="123">
        <f>AP263/AJ263</f>
        <v>0.80685236331215526</v>
      </c>
    </row>
    <row r="264" spans="1:50" x14ac:dyDescent="0.2">
      <c r="AA264" s="16"/>
      <c r="AB264" s="17"/>
      <c r="AC264" s="17"/>
      <c r="AD264" s="18"/>
      <c r="AE264" s="18"/>
      <c r="AF264" s="18"/>
      <c r="AG264" s="18"/>
      <c r="AH264" s="18"/>
      <c r="AI264" s="34"/>
      <c r="AL264" s="150"/>
      <c r="AR264" s="137"/>
      <c r="AW264" s="137"/>
    </row>
    <row r="265" spans="1:50" ht="18.75" customHeight="1" x14ac:dyDescent="0.2">
      <c r="AA265" s="28" t="s">
        <v>288</v>
      </c>
      <c r="AB265" s="29" t="s">
        <v>71</v>
      </c>
      <c r="AC265" s="17"/>
      <c r="AD265" s="18"/>
      <c r="AE265" s="34"/>
      <c r="AF265" s="34"/>
      <c r="AG265" s="34"/>
      <c r="AH265" s="34"/>
      <c r="AI265" s="34"/>
      <c r="AJ265" s="18"/>
      <c r="AK265" s="34"/>
      <c r="AL265" s="147"/>
      <c r="AM265" s="18"/>
      <c r="AN265" s="34"/>
      <c r="AO265" s="18"/>
      <c r="AP265" s="18"/>
      <c r="AQ265" s="34"/>
      <c r="AR265" s="34"/>
      <c r="AS265" s="18"/>
      <c r="AT265" s="30"/>
      <c r="AU265" s="18"/>
      <c r="AV265" s="18"/>
      <c r="AW265" s="34"/>
      <c r="AX265" s="18"/>
    </row>
    <row r="266" spans="1:50" ht="18.75" customHeight="1" x14ac:dyDescent="0.2">
      <c r="A266" s="4" t="s">
        <v>325</v>
      </c>
      <c r="B266" s="4" t="s">
        <v>326</v>
      </c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1" t="s">
        <v>327</v>
      </c>
      <c r="AB266" s="42" t="s">
        <v>328</v>
      </c>
      <c r="AC266" s="43" t="s">
        <v>61</v>
      </c>
      <c r="AD266" s="43">
        <v>391454539</v>
      </c>
      <c r="AE266" s="44">
        <v>0</v>
      </c>
      <c r="AF266" s="44">
        <v>0</v>
      </c>
      <c r="AG266" s="43">
        <v>8684431</v>
      </c>
      <c r="AH266" s="44">
        <v>0</v>
      </c>
      <c r="AI266" s="34">
        <f>AE266-AF266+AG266-AH362</f>
        <v>8684431</v>
      </c>
      <c r="AJ266" s="18">
        <f>AD266+AI266</f>
        <v>400138970</v>
      </c>
      <c r="AK266" s="44">
        <v>0</v>
      </c>
      <c r="AL266" s="142">
        <v>8684431</v>
      </c>
      <c r="AM266" s="43">
        <v>346269521</v>
      </c>
      <c r="AN266" s="44">
        <v>0</v>
      </c>
      <c r="AO266" s="142">
        <v>8684431</v>
      </c>
      <c r="AP266" s="43">
        <v>346269521</v>
      </c>
      <c r="AQ266" s="44">
        <v>0</v>
      </c>
      <c r="AR266" s="43">
        <f>AS266-SEPTIEMBRE!AS261</f>
        <v>331312141</v>
      </c>
      <c r="AS266" s="43">
        <v>346269521</v>
      </c>
      <c r="AT266" s="39">
        <f t="shared" ref="AT266" si="162">AQ266+AS266</f>
        <v>346269521</v>
      </c>
      <c r="AU266" s="18">
        <f>AJ266-AM266</f>
        <v>53869449</v>
      </c>
      <c r="AV266" s="34">
        <f>AM266-AP266</f>
        <v>0</v>
      </c>
      <c r="AW266" s="34">
        <f>AP266-AT266</f>
        <v>0</v>
      </c>
      <c r="AX266" s="123">
        <f>AP266/AJ266</f>
        <v>0.86537315023328021</v>
      </c>
    </row>
    <row r="267" spans="1:50" ht="18.75" customHeight="1" x14ac:dyDescent="0.2">
      <c r="AA267" s="28" t="s">
        <v>288</v>
      </c>
      <c r="AB267" s="29" t="s">
        <v>76</v>
      </c>
      <c r="AC267" s="17"/>
      <c r="AD267" s="18"/>
      <c r="AE267" s="18"/>
      <c r="AF267" s="18"/>
      <c r="AG267" s="18"/>
      <c r="AH267" s="18"/>
      <c r="AI267" s="18"/>
      <c r="AJ267" s="18"/>
      <c r="AK267" s="34"/>
      <c r="AL267" s="147"/>
      <c r="AM267" s="18"/>
      <c r="AN267" s="34"/>
      <c r="AO267" s="147"/>
      <c r="AP267" s="18"/>
      <c r="AQ267" s="34"/>
      <c r="AR267" s="34"/>
      <c r="AS267" s="18"/>
      <c r="AT267" s="30"/>
      <c r="AU267" s="18"/>
      <c r="AV267" s="18"/>
      <c r="AW267" s="34"/>
      <c r="AX267" s="18"/>
    </row>
    <row r="268" spans="1:50" ht="18.75" customHeight="1" x14ac:dyDescent="0.2">
      <c r="A268" s="4" t="s">
        <v>325</v>
      </c>
      <c r="B268" s="4" t="s">
        <v>326</v>
      </c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1" t="s">
        <v>329</v>
      </c>
      <c r="AB268" s="42" t="s">
        <v>328</v>
      </c>
      <c r="AC268" s="43" t="s">
        <v>61</v>
      </c>
      <c r="AD268" s="43">
        <v>277293782</v>
      </c>
      <c r="AE268" s="44">
        <v>0</v>
      </c>
      <c r="AF268" s="44">
        <v>0</v>
      </c>
      <c r="AG268" s="44">
        <v>0</v>
      </c>
      <c r="AH268" s="44">
        <v>0</v>
      </c>
      <c r="AI268" s="44">
        <v>0</v>
      </c>
      <c r="AJ268" s="43">
        <v>277293782</v>
      </c>
      <c r="AK268" s="44">
        <v>0</v>
      </c>
      <c r="AL268" s="142">
        <v>4566159</v>
      </c>
      <c r="AM268" s="43">
        <v>201718379</v>
      </c>
      <c r="AN268" s="44">
        <v>0</v>
      </c>
      <c r="AO268" s="142">
        <v>4566159</v>
      </c>
      <c r="AP268" s="43">
        <v>201718379</v>
      </c>
      <c r="AQ268" s="44">
        <v>0</v>
      </c>
      <c r="AR268" s="43">
        <f>AS268-SEPTIEMBRE!AS263</f>
        <v>26706350</v>
      </c>
      <c r="AS268" s="43">
        <v>201718379</v>
      </c>
      <c r="AT268" s="39">
        <f t="shared" ref="AT268" si="163">AQ268+AS268</f>
        <v>201718379</v>
      </c>
      <c r="AU268" s="18">
        <f>AJ268-AM268</f>
        <v>75575403</v>
      </c>
      <c r="AV268" s="34">
        <f>AM268-AP268</f>
        <v>0</v>
      </c>
      <c r="AW268" s="34">
        <f>AP268-AT268</f>
        <v>0</v>
      </c>
      <c r="AX268" s="123">
        <f>AP268/AJ268</f>
        <v>0.7274536686148988</v>
      </c>
    </row>
    <row r="269" spans="1:50" ht="18.75" customHeight="1" x14ac:dyDescent="0.2">
      <c r="AA269" s="16"/>
      <c r="AB269" s="29" t="s">
        <v>81</v>
      </c>
      <c r="AC269" s="17"/>
      <c r="AD269" s="18"/>
      <c r="AE269" s="34"/>
      <c r="AF269" s="34"/>
      <c r="AG269" s="34"/>
      <c r="AH269" s="34"/>
      <c r="AI269" s="34"/>
      <c r="AJ269" s="18"/>
      <c r="AK269" s="34"/>
      <c r="AL269" s="147"/>
      <c r="AM269" s="18"/>
      <c r="AN269" s="34"/>
      <c r="AO269" s="147"/>
      <c r="AP269" s="18"/>
      <c r="AQ269" s="34"/>
      <c r="AR269" s="34"/>
      <c r="AS269" s="18"/>
      <c r="AT269" s="30"/>
      <c r="AU269" s="18"/>
      <c r="AV269" s="18"/>
      <c r="AW269" s="34"/>
      <c r="AX269" s="18"/>
    </row>
    <row r="270" spans="1:50" ht="18.75" customHeight="1" x14ac:dyDescent="0.2">
      <c r="AA270" s="28" t="s">
        <v>288</v>
      </c>
      <c r="AB270" s="29" t="s">
        <v>83</v>
      </c>
      <c r="AC270" s="17"/>
      <c r="AD270" s="18"/>
      <c r="AE270" s="34"/>
      <c r="AF270" s="34"/>
      <c r="AG270" s="34"/>
      <c r="AH270" s="34"/>
      <c r="AI270" s="34"/>
      <c r="AJ270" s="18"/>
      <c r="AK270" s="34"/>
      <c r="AL270" s="147"/>
      <c r="AM270" s="18"/>
      <c r="AN270" s="34"/>
      <c r="AO270" s="18"/>
      <c r="AP270" s="18"/>
      <c r="AQ270" s="34"/>
      <c r="AR270" s="34"/>
      <c r="AS270" s="18"/>
      <c r="AT270" s="30"/>
      <c r="AU270" s="18"/>
      <c r="AV270" s="18"/>
      <c r="AW270" s="34"/>
      <c r="AX270" s="18"/>
    </row>
    <row r="271" spans="1:50" ht="18.75" customHeight="1" x14ac:dyDescent="0.2">
      <c r="A271" s="4" t="s">
        <v>325</v>
      </c>
      <c r="B271" s="4" t="s">
        <v>326</v>
      </c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1" t="s">
        <v>330</v>
      </c>
      <c r="AB271" s="42" t="s">
        <v>328</v>
      </c>
      <c r="AC271" s="43" t="s">
        <v>61</v>
      </c>
      <c r="AD271" s="43">
        <v>863231353</v>
      </c>
      <c r="AE271" s="44">
        <v>0</v>
      </c>
      <c r="AF271" s="44">
        <v>0</v>
      </c>
      <c r="AG271" s="44">
        <v>0</v>
      </c>
      <c r="AH271" s="44">
        <v>0</v>
      </c>
      <c r="AI271" s="44">
        <v>0</v>
      </c>
      <c r="AJ271" s="43">
        <v>863231353</v>
      </c>
      <c r="AK271" s="44">
        <v>0</v>
      </c>
      <c r="AL271" s="142">
        <v>712378</v>
      </c>
      <c r="AM271" s="43">
        <v>40955949</v>
      </c>
      <c r="AN271" s="44">
        <v>0</v>
      </c>
      <c r="AO271" s="142">
        <v>712378</v>
      </c>
      <c r="AP271" s="43">
        <v>40955949</v>
      </c>
      <c r="AQ271" s="44">
        <v>0</v>
      </c>
      <c r="AR271" s="43">
        <f>AS271-SEPTIEMBRE!AS266</f>
        <v>11260753</v>
      </c>
      <c r="AS271" s="43">
        <v>40955949</v>
      </c>
      <c r="AT271" s="39">
        <f t="shared" ref="AT271" si="164">AQ271+AS271</f>
        <v>40955949</v>
      </c>
      <c r="AU271" s="18">
        <f>AJ271-AM271</f>
        <v>822275404</v>
      </c>
      <c r="AV271" s="34">
        <f>AM271-AP271</f>
        <v>0</v>
      </c>
      <c r="AW271" s="34">
        <f>AP271-AT271</f>
        <v>0</v>
      </c>
      <c r="AX271" s="123">
        <f>AP271/AJ271</f>
        <v>4.7444927547713851E-2</v>
      </c>
    </row>
    <row r="272" spans="1:50" ht="18.75" customHeight="1" x14ac:dyDescent="0.2">
      <c r="AA272" s="28" t="s">
        <v>288</v>
      </c>
      <c r="AB272" s="29" t="s">
        <v>88</v>
      </c>
      <c r="AC272" s="17"/>
      <c r="AD272" s="18"/>
      <c r="AE272" s="34"/>
      <c r="AF272" s="34"/>
      <c r="AG272" s="34"/>
      <c r="AH272" s="34"/>
      <c r="AI272" s="34"/>
      <c r="AJ272" s="18"/>
      <c r="AK272" s="18"/>
      <c r="AL272" s="147"/>
      <c r="AM272" s="18"/>
      <c r="AN272" s="18"/>
      <c r="AO272" s="147"/>
      <c r="AP272" s="18"/>
      <c r="AQ272" s="34"/>
      <c r="AR272" s="34"/>
      <c r="AS272" s="18"/>
      <c r="AT272" s="30"/>
      <c r="AU272" s="18"/>
      <c r="AV272" s="18"/>
      <c r="AW272" s="18"/>
      <c r="AX272" s="18"/>
    </row>
    <row r="273" spans="1:50" ht="18.75" customHeight="1" x14ac:dyDescent="0.2">
      <c r="A273" s="4" t="s">
        <v>325</v>
      </c>
      <c r="B273" s="4" t="s">
        <v>326</v>
      </c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1" t="s">
        <v>331</v>
      </c>
      <c r="AB273" s="42" t="s">
        <v>328</v>
      </c>
      <c r="AC273" s="43" t="s">
        <v>61</v>
      </c>
      <c r="AD273" s="43">
        <v>240951939</v>
      </c>
      <c r="AE273" s="44">
        <v>0</v>
      </c>
      <c r="AF273" s="44">
        <v>0</v>
      </c>
      <c r="AG273" s="43">
        <v>184728231</v>
      </c>
      <c r="AH273" s="44">
        <v>0</v>
      </c>
      <c r="AI273" s="18">
        <f t="shared" ref="AI273" si="165">AE273-AF273+AG273-AH273</f>
        <v>184728231</v>
      </c>
      <c r="AJ273" s="18">
        <f t="shared" ref="AJ273" si="166">AD273+AI273</f>
        <v>425680170</v>
      </c>
      <c r="AK273" s="44">
        <v>0</v>
      </c>
      <c r="AL273" s="142">
        <v>1356146</v>
      </c>
      <c r="AM273" s="43">
        <v>71704071</v>
      </c>
      <c r="AN273" s="44">
        <v>0</v>
      </c>
      <c r="AO273" s="142">
        <v>1356146</v>
      </c>
      <c r="AP273" s="43">
        <v>71704071</v>
      </c>
      <c r="AQ273" s="44">
        <v>0</v>
      </c>
      <c r="AR273" s="43">
        <f>AS273-SEPTIEMBRE!AS268</f>
        <v>12395443</v>
      </c>
      <c r="AS273" s="43">
        <v>71704071</v>
      </c>
      <c r="AT273" s="39">
        <f t="shared" ref="AT273" si="167">AQ273+AS273</f>
        <v>71704071</v>
      </c>
      <c r="AU273" s="18">
        <f>AJ273-AM273</f>
        <v>353976099</v>
      </c>
      <c r="AV273" s="34">
        <f>AM273-AP273</f>
        <v>0</v>
      </c>
      <c r="AW273" s="18">
        <f>AP273-AT273</f>
        <v>0</v>
      </c>
      <c r="AX273" s="123">
        <f>AP273/AJ273</f>
        <v>0.16844588038949523</v>
      </c>
    </row>
    <row r="274" spans="1:50" ht="18.75" customHeight="1" x14ac:dyDescent="0.2">
      <c r="AA274" s="16"/>
      <c r="AB274" s="29" t="s">
        <v>103</v>
      </c>
      <c r="AC274" s="17"/>
      <c r="AD274" s="18"/>
      <c r="AE274" s="34"/>
      <c r="AF274" s="34"/>
      <c r="AG274" s="34"/>
      <c r="AH274" s="34"/>
      <c r="AI274" s="34"/>
      <c r="AJ274" s="18"/>
      <c r="AK274" s="34"/>
      <c r="AL274" s="147"/>
      <c r="AM274" s="18"/>
      <c r="AN274" s="18"/>
      <c r="AO274" s="147"/>
      <c r="AP274" s="18"/>
      <c r="AQ274" s="18"/>
      <c r="AR274" s="18"/>
      <c r="AS274" s="18"/>
      <c r="AT274" s="30"/>
      <c r="AU274" s="18"/>
      <c r="AV274" s="18"/>
      <c r="AW274" s="34"/>
      <c r="AX274" s="18"/>
    </row>
    <row r="275" spans="1:50" ht="18.75" customHeight="1" x14ac:dyDescent="0.2">
      <c r="AA275" s="28" t="s">
        <v>288</v>
      </c>
      <c r="AB275" s="29" t="s">
        <v>105</v>
      </c>
      <c r="AC275" s="17"/>
      <c r="AD275" s="18"/>
      <c r="AE275" s="34"/>
      <c r="AF275" s="34"/>
      <c r="AG275" s="34"/>
      <c r="AH275" s="34"/>
      <c r="AI275" s="34"/>
      <c r="AJ275" s="18"/>
      <c r="AK275" s="34"/>
      <c r="AL275" s="147"/>
      <c r="AM275" s="18"/>
      <c r="AN275" s="18"/>
      <c r="AO275" s="147"/>
      <c r="AP275" s="18"/>
      <c r="AQ275" s="18"/>
      <c r="AR275" s="18"/>
      <c r="AS275" s="18"/>
      <c r="AT275" s="30"/>
      <c r="AU275" s="18"/>
      <c r="AV275" s="18"/>
      <c r="AW275" s="34"/>
      <c r="AX275" s="18"/>
    </row>
    <row r="276" spans="1:50" ht="18.75" customHeight="1" x14ac:dyDescent="0.2">
      <c r="A276" s="4" t="s">
        <v>325</v>
      </c>
      <c r="B276" s="4" t="s">
        <v>326</v>
      </c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1" t="s">
        <v>332</v>
      </c>
      <c r="AB276" s="42" t="s">
        <v>328</v>
      </c>
      <c r="AC276" s="43" t="s">
        <v>61</v>
      </c>
      <c r="AD276" s="43">
        <v>1112875275</v>
      </c>
      <c r="AE276" s="44">
        <v>0</v>
      </c>
      <c r="AF276" s="44">
        <v>0</v>
      </c>
      <c r="AG276" s="44">
        <v>0</v>
      </c>
      <c r="AH276" s="44">
        <v>0</v>
      </c>
      <c r="AI276" s="44">
        <v>0</v>
      </c>
      <c r="AJ276" s="43">
        <v>1112875275</v>
      </c>
      <c r="AK276" s="44">
        <v>0</v>
      </c>
      <c r="AL276" s="142">
        <v>18205828</v>
      </c>
      <c r="AM276" s="43">
        <v>797683828</v>
      </c>
      <c r="AN276" s="44">
        <v>0</v>
      </c>
      <c r="AO276" s="142">
        <v>18604028</v>
      </c>
      <c r="AP276" s="43">
        <v>797210028</v>
      </c>
      <c r="AQ276" s="133">
        <v>0</v>
      </c>
      <c r="AR276" s="43">
        <f>AS276-SEPTIEMBRE!AS271</f>
        <v>18604028</v>
      </c>
      <c r="AS276" s="110">
        <v>797210028</v>
      </c>
      <c r="AT276" s="39">
        <f t="shared" ref="AT276" si="168">AQ276+AS276</f>
        <v>797210028</v>
      </c>
      <c r="AU276" s="18">
        <f>AJ276-AM276</f>
        <v>315191447</v>
      </c>
      <c r="AV276" s="110">
        <f>AM276-AP276</f>
        <v>473800</v>
      </c>
      <c r="AW276" s="34">
        <f>AP276-AT276</f>
        <v>0</v>
      </c>
      <c r="AX276" s="123">
        <f>AP276/AJ276</f>
        <v>0.71635163967498516</v>
      </c>
    </row>
    <row r="277" spans="1:50" ht="18.75" customHeight="1" x14ac:dyDescent="0.2">
      <c r="AA277" s="28" t="s">
        <v>288</v>
      </c>
      <c r="AB277" s="29" t="s">
        <v>333</v>
      </c>
      <c r="AC277" s="17"/>
      <c r="AD277" s="18"/>
      <c r="AE277" s="34"/>
      <c r="AF277" s="34"/>
      <c r="AG277" s="34"/>
      <c r="AH277" s="34"/>
      <c r="AI277" s="34"/>
      <c r="AJ277" s="18"/>
      <c r="AK277" s="34"/>
      <c r="AL277" s="147"/>
      <c r="AM277" s="18"/>
      <c r="AN277" s="34"/>
      <c r="AO277" s="147"/>
      <c r="AP277" s="18"/>
      <c r="AQ277" s="133"/>
      <c r="AR277" s="148"/>
      <c r="AS277" s="110"/>
      <c r="AT277" s="40"/>
      <c r="AU277" s="18"/>
      <c r="AV277" s="110"/>
      <c r="AW277" s="34"/>
      <c r="AX277" s="18"/>
    </row>
    <row r="278" spans="1:50" ht="18.75" customHeight="1" x14ac:dyDescent="0.2">
      <c r="A278" s="4" t="s">
        <v>325</v>
      </c>
      <c r="B278" s="4" t="s">
        <v>326</v>
      </c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1" t="s">
        <v>334</v>
      </c>
      <c r="AB278" s="42" t="s">
        <v>328</v>
      </c>
      <c r="AC278" s="43" t="s">
        <v>61</v>
      </c>
      <c r="AD278" s="43">
        <v>785176343</v>
      </c>
      <c r="AE278" s="44">
        <v>0</v>
      </c>
      <c r="AF278" s="44">
        <v>0</v>
      </c>
      <c r="AG278" s="44">
        <v>0</v>
      </c>
      <c r="AH278" s="44">
        <v>0</v>
      </c>
      <c r="AI278" s="44">
        <v>0</v>
      </c>
      <c r="AJ278" s="43">
        <v>785176343</v>
      </c>
      <c r="AK278" s="44">
        <v>0</v>
      </c>
      <c r="AL278" s="142">
        <v>12946972</v>
      </c>
      <c r="AM278" s="43">
        <v>567264172</v>
      </c>
      <c r="AN278" s="44">
        <v>0</v>
      </c>
      <c r="AO278" s="142">
        <v>13258072</v>
      </c>
      <c r="AP278" s="43">
        <v>566893972</v>
      </c>
      <c r="AQ278" s="133">
        <v>0</v>
      </c>
      <c r="AR278" s="43">
        <f>AS278-SEPTIEMBRE!AS273</f>
        <v>13258072</v>
      </c>
      <c r="AS278" s="110">
        <v>566893972</v>
      </c>
      <c r="AT278" s="39">
        <f t="shared" ref="AT278" si="169">AQ278+AS278</f>
        <v>566893972</v>
      </c>
      <c r="AU278" s="18">
        <f>AJ278-AM278</f>
        <v>217912171</v>
      </c>
      <c r="AV278" s="110">
        <f>AM278-AP278</f>
        <v>370200</v>
      </c>
      <c r="AW278" s="34">
        <f>AP278-AT278</f>
        <v>0</v>
      </c>
      <c r="AX278" s="123">
        <f>AP278/AJ278</f>
        <v>0.7219957364405718</v>
      </c>
    </row>
    <row r="279" spans="1:50" ht="18.75" customHeight="1" x14ac:dyDescent="0.2">
      <c r="AA279" s="28" t="s">
        <v>288</v>
      </c>
      <c r="AB279" s="29" t="s">
        <v>115</v>
      </c>
      <c r="AC279" s="17"/>
      <c r="AD279" s="18"/>
      <c r="AE279" s="34"/>
      <c r="AF279" s="34"/>
      <c r="AG279" s="34"/>
      <c r="AH279" s="34"/>
      <c r="AI279" s="34"/>
      <c r="AJ279" s="18"/>
      <c r="AK279" s="34"/>
      <c r="AL279" s="147"/>
      <c r="AM279" s="18"/>
      <c r="AN279" s="34"/>
      <c r="AO279" s="147"/>
      <c r="AP279" s="18"/>
      <c r="AQ279" s="133"/>
      <c r="AR279" s="148"/>
      <c r="AS279" s="110"/>
      <c r="AT279" s="30"/>
      <c r="AU279" s="18"/>
      <c r="AV279" s="18"/>
      <c r="AW279" s="18"/>
      <c r="AX279" s="18"/>
    </row>
    <row r="280" spans="1:50" ht="18.75" customHeight="1" x14ac:dyDescent="0.2">
      <c r="A280" s="4" t="s">
        <v>325</v>
      </c>
      <c r="B280" s="4" t="s">
        <v>326</v>
      </c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1" t="s">
        <v>335</v>
      </c>
      <c r="AB280" s="42" t="s">
        <v>328</v>
      </c>
      <c r="AC280" s="43" t="s">
        <v>61</v>
      </c>
      <c r="AD280" s="43">
        <v>1074031411</v>
      </c>
      <c r="AE280" s="44">
        <v>0</v>
      </c>
      <c r="AF280" s="44">
        <v>0</v>
      </c>
      <c r="AG280" s="43">
        <v>181660833</v>
      </c>
      <c r="AH280" s="44">
        <v>0</v>
      </c>
      <c r="AI280" s="18">
        <f t="shared" ref="AI280" si="170">AE280-AF280+AG280-AH280</f>
        <v>181660833</v>
      </c>
      <c r="AJ280" s="18">
        <f t="shared" ref="AJ280" si="171">AD280+AI280</f>
        <v>1255692244</v>
      </c>
      <c r="AK280" s="44">
        <v>0</v>
      </c>
      <c r="AL280" s="142">
        <v>38304447</v>
      </c>
      <c r="AM280" s="43">
        <v>959198008.16999996</v>
      </c>
      <c r="AN280" s="44">
        <v>0</v>
      </c>
      <c r="AO280" s="142">
        <v>129629872</v>
      </c>
      <c r="AP280" s="43">
        <v>958869061.22000003</v>
      </c>
      <c r="AQ280" s="115">
        <v>0</v>
      </c>
      <c r="AR280" s="43">
        <f>AS280-SEPTIEMBRE!AS275</f>
        <v>141783769</v>
      </c>
      <c r="AS280" s="114">
        <v>958869061.22000003</v>
      </c>
      <c r="AT280" s="39">
        <f t="shared" ref="AT280" si="172">AQ280+AS280</f>
        <v>958869061.22000003</v>
      </c>
      <c r="AU280" s="18">
        <f>AJ280-AM280</f>
        <v>296494235.83000004</v>
      </c>
      <c r="AV280" s="34">
        <f>AM280-AP280</f>
        <v>328946.94999992847</v>
      </c>
      <c r="AW280" s="18">
        <f>AP280-AT280</f>
        <v>0</v>
      </c>
      <c r="AX280" s="123">
        <f>AP280/AJ280</f>
        <v>0.76361788949617815</v>
      </c>
    </row>
    <row r="281" spans="1:50" ht="18.75" customHeight="1" x14ac:dyDescent="0.2">
      <c r="AA281" s="28" t="s">
        <v>288</v>
      </c>
      <c r="AB281" s="29" t="s">
        <v>119</v>
      </c>
      <c r="AC281" s="17"/>
      <c r="AD281" s="18"/>
      <c r="AE281" s="34"/>
      <c r="AF281" s="34"/>
      <c r="AG281" s="34"/>
      <c r="AH281" s="34"/>
      <c r="AI281" s="34"/>
      <c r="AJ281" s="18"/>
      <c r="AK281" s="18"/>
      <c r="AL281" s="147"/>
      <c r="AM281" s="18"/>
      <c r="AN281" s="34"/>
      <c r="AO281" s="147"/>
      <c r="AP281" s="18"/>
      <c r="AQ281" s="110"/>
      <c r="AR281" s="148"/>
      <c r="AS281" s="110"/>
      <c r="AT281" s="30"/>
      <c r="AU281" s="18"/>
      <c r="AV281" s="18"/>
      <c r="AW281" s="18"/>
      <c r="AX281" s="18"/>
    </row>
    <row r="282" spans="1:50" ht="18.75" customHeight="1" x14ac:dyDescent="0.2">
      <c r="A282" s="4" t="s">
        <v>325</v>
      </c>
      <c r="B282" s="4" t="s">
        <v>326</v>
      </c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1" t="s">
        <v>336</v>
      </c>
      <c r="AB282" s="42" t="s">
        <v>328</v>
      </c>
      <c r="AC282" s="43" t="s">
        <v>61</v>
      </c>
      <c r="AD282" s="43">
        <v>438243332</v>
      </c>
      <c r="AE282" s="44">
        <v>0</v>
      </c>
      <c r="AF282" s="44">
        <v>0</v>
      </c>
      <c r="AG282" s="43">
        <v>55410568</v>
      </c>
      <c r="AH282" s="44">
        <v>0</v>
      </c>
      <c r="AI282" s="18">
        <f t="shared" ref="AI282" si="173">AE282-AF282+AG282-AH282</f>
        <v>55410568</v>
      </c>
      <c r="AJ282" s="18">
        <f t="shared" ref="AJ282" si="174">AD282+AI282</f>
        <v>493653900</v>
      </c>
      <c r="AK282" s="44">
        <v>0</v>
      </c>
      <c r="AL282" s="142">
        <v>6844100</v>
      </c>
      <c r="AM282" s="43">
        <v>283422900</v>
      </c>
      <c r="AN282" s="44">
        <v>0</v>
      </c>
      <c r="AO282" s="142">
        <v>6844100</v>
      </c>
      <c r="AP282" s="43">
        <v>283422900</v>
      </c>
      <c r="AQ282" s="133">
        <v>0</v>
      </c>
      <c r="AR282" s="43">
        <f>AS282-SEPTIEMBRE!AS277</f>
        <v>6844100</v>
      </c>
      <c r="AS282" s="110">
        <v>283422900</v>
      </c>
      <c r="AT282" s="39">
        <f t="shared" ref="AT282:AT296" si="175">AQ282+AS282</f>
        <v>283422900</v>
      </c>
      <c r="AU282" s="18">
        <f>AJ282-AM282</f>
        <v>210231000</v>
      </c>
      <c r="AV282" s="34">
        <f>AM282-AP282</f>
        <v>0</v>
      </c>
      <c r="AW282" s="34">
        <f>AP282-AT282</f>
        <v>0</v>
      </c>
      <c r="AX282" s="123">
        <f>AP282/AJ282</f>
        <v>0.57413280843117009</v>
      </c>
    </row>
    <row r="283" spans="1:50" ht="18.75" customHeight="1" x14ac:dyDescent="0.2">
      <c r="AA283" s="28" t="s">
        <v>288</v>
      </c>
      <c r="AB283" s="29" t="s">
        <v>124</v>
      </c>
      <c r="AC283" s="17"/>
      <c r="AD283" s="18"/>
      <c r="AE283" s="34"/>
      <c r="AF283" s="34"/>
      <c r="AG283" s="34"/>
      <c r="AH283" s="34"/>
      <c r="AI283" s="34"/>
      <c r="AJ283" s="18"/>
      <c r="AK283" s="34"/>
      <c r="AL283" s="147"/>
      <c r="AM283" s="18"/>
      <c r="AN283" s="34"/>
      <c r="AO283" s="147"/>
      <c r="AP283" s="18"/>
      <c r="AQ283" s="34"/>
      <c r="AR283" s="145"/>
      <c r="AS283" s="34"/>
      <c r="AT283" s="40">
        <f t="shared" si="175"/>
        <v>0</v>
      </c>
      <c r="AU283" s="18"/>
      <c r="AV283" s="18"/>
      <c r="AW283" s="34"/>
      <c r="AX283" s="18"/>
    </row>
    <row r="284" spans="1:50" ht="18.75" customHeight="1" x14ac:dyDescent="0.2">
      <c r="A284" s="4" t="s">
        <v>325</v>
      </c>
      <c r="B284" s="4" t="s">
        <v>326</v>
      </c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1" t="s">
        <v>337</v>
      </c>
      <c r="AB284" s="42" t="s">
        <v>328</v>
      </c>
      <c r="AC284" s="43" t="s">
        <v>61</v>
      </c>
      <c r="AD284" s="43">
        <v>46632075</v>
      </c>
      <c r="AE284" s="44">
        <v>0</v>
      </c>
      <c r="AF284" s="44">
        <v>0</v>
      </c>
      <c r="AG284" s="43">
        <v>9321725</v>
      </c>
      <c r="AH284" s="44">
        <v>0</v>
      </c>
      <c r="AI284" s="18">
        <f t="shared" ref="AI284" si="176">AE284-AF284+AG284-AH284</f>
        <v>9321725</v>
      </c>
      <c r="AJ284" s="18">
        <f t="shared" ref="AJ284" si="177">AD284+AI284</f>
        <v>55953800</v>
      </c>
      <c r="AK284" s="44">
        <v>0</v>
      </c>
      <c r="AL284" s="142">
        <v>806200</v>
      </c>
      <c r="AM284" s="43">
        <v>33981500</v>
      </c>
      <c r="AN284" s="44">
        <v>0</v>
      </c>
      <c r="AO284" s="142">
        <v>806200</v>
      </c>
      <c r="AP284" s="43">
        <v>33981500</v>
      </c>
      <c r="AQ284" s="133">
        <v>0</v>
      </c>
      <c r="AR284" s="43">
        <f>AS284-SEPTIEMBRE!AS279</f>
        <v>806200</v>
      </c>
      <c r="AS284" s="110">
        <v>33981500</v>
      </c>
      <c r="AT284" s="39">
        <f t="shared" si="175"/>
        <v>33981500</v>
      </c>
      <c r="AU284" s="18">
        <f>AJ284-AM284</f>
        <v>21972300</v>
      </c>
      <c r="AV284" s="34">
        <f>AM284-AP284</f>
        <v>0</v>
      </c>
      <c r="AW284" s="34">
        <f>AP284-AT284</f>
        <v>0</v>
      </c>
      <c r="AX284" s="123">
        <f>AP284/AJ284</f>
        <v>0.60731353366527385</v>
      </c>
    </row>
    <row r="285" spans="1:50" ht="18.75" customHeight="1" x14ac:dyDescent="0.2">
      <c r="AA285" s="28" t="s">
        <v>288</v>
      </c>
      <c r="AB285" s="29" t="s">
        <v>129</v>
      </c>
      <c r="AC285" s="17"/>
      <c r="AD285" s="18"/>
      <c r="AE285" s="34"/>
      <c r="AF285" s="34"/>
      <c r="AG285" s="34"/>
      <c r="AH285" s="34"/>
      <c r="AI285" s="34"/>
      <c r="AJ285" s="18"/>
      <c r="AK285" s="34"/>
      <c r="AL285" s="147"/>
      <c r="AM285" s="18"/>
      <c r="AN285" s="34"/>
      <c r="AO285" s="147"/>
      <c r="AP285" s="18"/>
      <c r="AQ285" s="133"/>
      <c r="AR285" s="148"/>
      <c r="AS285" s="110"/>
      <c r="AT285" s="40">
        <f t="shared" si="175"/>
        <v>0</v>
      </c>
      <c r="AU285" s="18"/>
      <c r="AV285" s="18"/>
      <c r="AW285" s="34"/>
      <c r="AX285" s="18"/>
    </row>
    <row r="286" spans="1:50" ht="18.75" customHeight="1" x14ac:dyDescent="0.2">
      <c r="A286" s="4" t="s">
        <v>325</v>
      </c>
      <c r="B286" s="4" t="s">
        <v>326</v>
      </c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1" t="s">
        <v>338</v>
      </c>
      <c r="AB286" s="42" t="s">
        <v>328</v>
      </c>
      <c r="AC286" s="43" t="s">
        <v>61</v>
      </c>
      <c r="AD286" s="43">
        <v>328682499</v>
      </c>
      <c r="AE286" s="44">
        <v>0</v>
      </c>
      <c r="AF286" s="44">
        <v>0</v>
      </c>
      <c r="AG286" s="43">
        <v>41630901</v>
      </c>
      <c r="AH286" s="44">
        <v>0</v>
      </c>
      <c r="AI286" s="18">
        <f t="shared" ref="AI286" si="178">AE286-AF286+AG286-AH286</f>
        <v>41630901</v>
      </c>
      <c r="AJ286" s="18">
        <f t="shared" ref="AJ286" si="179">AD286+AI286</f>
        <v>370313400</v>
      </c>
      <c r="AK286" s="44">
        <v>0</v>
      </c>
      <c r="AL286" s="142">
        <v>5150600</v>
      </c>
      <c r="AM286" s="43">
        <v>212614200</v>
      </c>
      <c r="AN286" s="44">
        <v>0</v>
      </c>
      <c r="AO286" s="142">
        <v>5150600</v>
      </c>
      <c r="AP286" s="43">
        <v>212614200</v>
      </c>
      <c r="AQ286" s="133">
        <v>0</v>
      </c>
      <c r="AR286" s="43">
        <f>AS286-SEPTIEMBRE!AS281</f>
        <v>5150600</v>
      </c>
      <c r="AS286" s="110">
        <v>212614200</v>
      </c>
      <c r="AT286" s="39">
        <f t="shared" si="175"/>
        <v>212614200</v>
      </c>
      <c r="AU286" s="18">
        <f>AJ286-AM286</f>
        <v>157699200</v>
      </c>
      <c r="AV286" s="34">
        <f>AM286-AP286</f>
        <v>0</v>
      </c>
      <c r="AW286" s="34">
        <f>AP286-AT286</f>
        <v>0</v>
      </c>
      <c r="AX286" s="123">
        <f>AP286/AJ286</f>
        <v>0.57414665523850883</v>
      </c>
    </row>
    <row r="287" spans="1:50" ht="18.75" customHeight="1" x14ac:dyDescent="0.2">
      <c r="AA287" s="28" t="s">
        <v>288</v>
      </c>
      <c r="AB287" s="29" t="s">
        <v>133</v>
      </c>
      <c r="AC287" s="17"/>
      <c r="AD287" s="18"/>
      <c r="AE287" s="34"/>
      <c r="AF287" s="34"/>
      <c r="AG287" s="34"/>
      <c r="AH287" s="34"/>
      <c r="AI287" s="34"/>
      <c r="AJ287" s="18"/>
      <c r="AK287" s="34"/>
      <c r="AL287" s="147"/>
      <c r="AM287" s="18"/>
      <c r="AN287" s="34"/>
      <c r="AO287" s="147"/>
      <c r="AP287" s="18"/>
      <c r="AQ287" s="133"/>
      <c r="AR287" s="148"/>
      <c r="AS287" s="110"/>
      <c r="AT287" s="40">
        <f t="shared" si="175"/>
        <v>0</v>
      </c>
      <c r="AU287" s="18"/>
      <c r="AV287" s="18"/>
      <c r="AW287" s="34"/>
      <c r="AX287" s="18"/>
    </row>
    <row r="288" spans="1:50" ht="18.75" customHeight="1" x14ac:dyDescent="0.2">
      <c r="A288" s="4" t="s">
        <v>325</v>
      </c>
      <c r="B288" s="4" t="s">
        <v>326</v>
      </c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1" t="s">
        <v>339</v>
      </c>
      <c r="AB288" s="42" t="s">
        <v>328</v>
      </c>
      <c r="AC288" s="43" t="s">
        <v>61</v>
      </c>
      <c r="AD288" s="43">
        <v>54780417</v>
      </c>
      <c r="AE288" s="44">
        <v>0</v>
      </c>
      <c r="AF288" s="44">
        <v>0</v>
      </c>
      <c r="AG288" s="43">
        <v>7109883</v>
      </c>
      <c r="AH288" s="44">
        <v>0</v>
      </c>
      <c r="AI288" s="18">
        <f t="shared" ref="AI288" si="180">AE288-AF288+AG288-AH288</f>
        <v>7109883</v>
      </c>
      <c r="AJ288" s="18">
        <f t="shared" ref="AJ288" si="181">AD288+AI288</f>
        <v>61890300</v>
      </c>
      <c r="AK288" s="44">
        <v>0</v>
      </c>
      <c r="AL288" s="142">
        <v>847100</v>
      </c>
      <c r="AM288" s="43">
        <v>35532600</v>
      </c>
      <c r="AN288" s="44">
        <v>0</v>
      </c>
      <c r="AO288" s="142">
        <v>847100</v>
      </c>
      <c r="AP288" s="43">
        <v>35532600</v>
      </c>
      <c r="AQ288" s="133">
        <v>0</v>
      </c>
      <c r="AR288" s="43">
        <f>AS288-SEPTIEMBRE!AS283</f>
        <v>847100</v>
      </c>
      <c r="AS288" s="110">
        <v>35532600</v>
      </c>
      <c r="AT288" s="39">
        <f t="shared" si="175"/>
        <v>35532600</v>
      </c>
      <c r="AU288" s="18">
        <f>AJ288-AM288</f>
        <v>26357700</v>
      </c>
      <c r="AV288" s="34">
        <f>AM288-AP288</f>
        <v>0</v>
      </c>
      <c r="AW288" s="34">
        <f>AP288-AT288</f>
        <v>0</v>
      </c>
      <c r="AX288" s="123">
        <f>AP288/AJ288</f>
        <v>0.57412227764286161</v>
      </c>
    </row>
    <row r="289" spans="1:50" ht="18.75" customHeight="1" x14ac:dyDescent="0.2">
      <c r="AA289" s="28" t="s">
        <v>288</v>
      </c>
      <c r="AB289" s="29" t="s">
        <v>138</v>
      </c>
      <c r="AC289" s="17"/>
      <c r="AD289" s="18"/>
      <c r="AE289" s="34"/>
      <c r="AF289" s="34"/>
      <c r="AG289" s="18"/>
      <c r="AH289" s="34"/>
      <c r="AI289" s="34"/>
      <c r="AJ289" s="18"/>
      <c r="AK289" s="34"/>
      <c r="AL289" s="147"/>
      <c r="AM289" s="18"/>
      <c r="AN289" s="34"/>
      <c r="AO289" s="147"/>
      <c r="AP289" s="18"/>
      <c r="AQ289" s="133"/>
      <c r="AR289" s="148"/>
      <c r="AS289" s="110"/>
      <c r="AT289" s="40">
        <f t="shared" si="175"/>
        <v>0</v>
      </c>
      <c r="AU289" s="18"/>
      <c r="AV289" s="18"/>
      <c r="AW289" s="34"/>
      <c r="AX289" s="18"/>
    </row>
    <row r="290" spans="1:50" ht="18.75" customHeight="1" x14ac:dyDescent="0.2">
      <c r="A290" s="4" t="s">
        <v>325</v>
      </c>
      <c r="B290" s="4" t="s">
        <v>326</v>
      </c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1" t="s">
        <v>340</v>
      </c>
      <c r="AB290" s="42" t="s">
        <v>328</v>
      </c>
      <c r="AC290" s="43" t="s">
        <v>61</v>
      </c>
      <c r="AD290" s="43">
        <v>54780417</v>
      </c>
      <c r="AE290" s="44">
        <v>0</v>
      </c>
      <c r="AF290" s="44">
        <v>0</v>
      </c>
      <c r="AG290" s="43">
        <v>7109883</v>
      </c>
      <c r="AH290" s="44">
        <v>0</v>
      </c>
      <c r="AI290" s="18">
        <f t="shared" ref="AI290" si="182">AE290-AF290+AG290-AH290</f>
        <v>7109883</v>
      </c>
      <c r="AJ290" s="18">
        <f t="shared" ref="AJ290" si="183">AD290+AI290</f>
        <v>61890300</v>
      </c>
      <c r="AK290" s="44">
        <v>0</v>
      </c>
      <c r="AL290" s="142">
        <v>847100</v>
      </c>
      <c r="AM290" s="43">
        <v>35532600</v>
      </c>
      <c r="AN290" s="44">
        <v>0</v>
      </c>
      <c r="AO290" s="142">
        <v>847100</v>
      </c>
      <c r="AP290" s="43">
        <v>35532600</v>
      </c>
      <c r="AQ290" s="133">
        <v>0</v>
      </c>
      <c r="AR290" s="43">
        <f>AS290-SEPTIEMBRE!AS285</f>
        <v>847100</v>
      </c>
      <c r="AS290" s="110">
        <v>35532600</v>
      </c>
      <c r="AT290" s="39">
        <f t="shared" si="175"/>
        <v>35532600</v>
      </c>
      <c r="AU290" s="18">
        <f>AJ290-AM290</f>
        <v>26357700</v>
      </c>
      <c r="AV290" s="34">
        <f>AM290-AP290</f>
        <v>0</v>
      </c>
      <c r="AW290" s="34">
        <f>AP290-AT290</f>
        <v>0</v>
      </c>
      <c r="AX290" s="123">
        <f>AP290/AJ290</f>
        <v>0.57412227764286161</v>
      </c>
    </row>
    <row r="291" spans="1:50" ht="25.5" x14ac:dyDescent="0.2">
      <c r="AA291" s="28" t="s">
        <v>288</v>
      </c>
      <c r="AB291" s="29" t="s">
        <v>145</v>
      </c>
      <c r="AC291" s="17"/>
      <c r="AD291" s="18"/>
      <c r="AE291" s="34"/>
      <c r="AF291" s="34"/>
      <c r="AG291" s="34"/>
      <c r="AH291" s="34"/>
      <c r="AI291" s="34"/>
      <c r="AJ291" s="18"/>
      <c r="AK291" s="34"/>
      <c r="AL291" s="147"/>
      <c r="AM291" s="18"/>
      <c r="AN291" s="34"/>
      <c r="AO291" s="147"/>
      <c r="AP291" s="18"/>
      <c r="AQ291" s="34"/>
      <c r="AR291" s="145"/>
      <c r="AS291" s="34"/>
      <c r="AT291" s="40">
        <f t="shared" si="175"/>
        <v>0</v>
      </c>
      <c r="AU291" s="18"/>
      <c r="AV291" s="18"/>
      <c r="AW291" s="18"/>
      <c r="AX291" s="18"/>
    </row>
    <row r="292" spans="1:50" ht="18.75" customHeight="1" x14ac:dyDescent="0.2">
      <c r="A292" s="4" t="s">
        <v>325</v>
      </c>
      <c r="B292" s="4" t="s">
        <v>326</v>
      </c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1" t="s">
        <v>341</v>
      </c>
      <c r="AB292" s="42" t="s">
        <v>328</v>
      </c>
      <c r="AC292" s="43" t="s">
        <v>61</v>
      </c>
      <c r="AD292" s="43">
        <v>109560833</v>
      </c>
      <c r="AE292" s="44">
        <v>0</v>
      </c>
      <c r="AF292" s="44">
        <v>0</v>
      </c>
      <c r="AG292" s="43">
        <v>14002167</v>
      </c>
      <c r="AH292" s="44">
        <v>0</v>
      </c>
      <c r="AI292" s="18">
        <f t="shared" ref="AI292" si="184">AE292-AF292+AG292-AH292</f>
        <v>14002167</v>
      </c>
      <c r="AJ292" s="18">
        <f t="shared" ref="AJ292" si="185">AD292+AI292</f>
        <v>123563000</v>
      </c>
      <c r="AK292" s="44">
        <v>0</v>
      </c>
      <c r="AL292" s="142">
        <v>1678600</v>
      </c>
      <c r="AM292" s="43">
        <v>70932200</v>
      </c>
      <c r="AN292" s="44">
        <v>0</v>
      </c>
      <c r="AO292" s="142">
        <v>1678600</v>
      </c>
      <c r="AP292" s="43">
        <v>70932200</v>
      </c>
      <c r="AQ292" s="34">
        <v>0</v>
      </c>
      <c r="AR292" s="43">
        <f>AS292-SEPTIEMBRE!AS287</f>
        <v>1678600</v>
      </c>
      <c r="AS292" s="110">
        <v>70932200</v>
      </c>
      <c r="AT292" s="39">
        <f t="shared" si="175"/>
        <v>70932200</v>
      </c>
      <c r="AU292" s="18">
        <f>AJ292-AM292</f>
        <v>52630800</v>
      </c>
      <c r="AV292" s="34">
        <f>AM292-AP292</f>
        <v>0</v>
      </c>
      <c r="AW292" s="34">
        <f>AP292-AT292</f>
        <v>0</v>
      </c>
      <c r="AX292" s="123">
        <f>AP292/AJ292</f>
        <v>0.57405695879834573</v>
      </c>
    </row>
    <row r="293" spans="1:50" ht="18.75" customHeight="1" x14ac:dyDescent="0.2">
      <c r="AA293" s="16"/>
      <c r="AB293" s="29" t="s">
        <v>149</v>
      </c>
      <c r="AC293" s="17"/>
      <c r="AD293" s="18"/>
      <c r="AE293" s="34"/>
      <c r="AF293" s="34"/>
      <c r="AG293" s="34"/>
      <c r="AH293" s="34"/>
      <c r="AI293" s="34"/>
      <c r="AJ293" s="18"/>
      <c r="AK293" s="34"/>
      <c r="AL293" s="147"/>
      <c r="AM293" s="18"/>
      <c r="AN293" s="34"/>
      <c r="AO293" s="147"/>
      <c r="AP293" s="18"/>
      <c r="AQ293" s="34"/>
      <c r="AR293" s="34"/>
      <c r="AS293" s="34"/>
      <c r="AT293" s="40"/>
      <c r="AU293" s="18"/>
      <c r="AV293" s="18"/>
      <c r="AW293" s="34"/>
      <c r="AX293" s="18"/>
    </row>
    <row r="294" spans="1:50" ht="18.75" customHeight="1" x14ac:dyDescent="0.2">
      <c r="AA294" s="16"/>
      <c r="AB294" s="29" t="s">
        <v>81</v>
      </c>
      <c r="AC294" s="17"/>
      <c r="AD294" s="18"/>
      <c r="AE294" s="34"/>
      <c r="AF294" s="34"/>
      <c r="AG294" s="34"/>
      <c r="AH294" s="34"/>
      <c r="AI294" s="34"/>
      <c r="AJ294" s="18"/>
      <c r="AK294" s="34"/>
      <c r="AL294" s="147"/>
      <c r="AM294" s="18"/>
      <c r="AN294" s="34"/>
      <c r="AO294" s="147"/>
      <c r="AP294" s="18"/>
      <c r="AQ294" s="34"/>
      <c r="AR294" s="34"/>
      <c r="AS294" s="34"/>
      <c r="AT294" s="40"/>
      <c r="AU294" s="18"/>
      <c r="AV294" s="18"/>
      <c r="AW294" s="34"/>
      <c r="AX294" s="18"/>
    </row>
    <row r="295" spans="1:50" ht="18.75" customHeight="1" x14ac:dyDescent="0.2">
      <c r="AA295" s="28" t="s">
        <v>288</v>
      </c>
      <c r="AB295" s="29" t="s">
        <v>152</v>
      </c>
      <c r="AC295" s="17"/>
      <c r="AD295" s="18"/>
      <c r="AE295" s="34"/>
      <c r="AF295" s="34"/>
      <c r="AG295" s="34"/>
      <c r="AH295" s="34"/>
      <c r="AI295" s="34"/>
      <c r="AJ295" s="18"/>
      <c r="AK295" s="34"/>
      <c r="AL295" s="18"/>
      <c r="AM295" s="18"/>
      <c r="AN295" s="34"/>
      <c r="AO295" s="147"/>
      <c r="AP295" s="18"/>
      <c r="AQ295" s="34"/>
      <c r="AR295" s="34"/>
      <c r="AS295" s="34"/>
      <c r="AT295" s="40"/>
      <c r="AU295" s="18"/>
      <c r="AV295" s="18"/>
      <c r="AW295" s="34"/>
      <c r="AX295" s="18"/>
    </row>
    <row r="296" spans="1:50" ht="18.75" customHeight="1" x14ac:dyDescent="0.2">
      <c r="A296" s="4" t="s">
        <v>325</v>
      </c>
      <c r="B296" s="4" t="s">
        <v>326</v>
      </c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1" t="s">
        <v>342</v>
      </c>
      <c r="AB296" s="42" t="s">
        <v>328</v>
      </c>
      <c r="AC296" s="43" t="s">
        <v>61</v>
      </c>
      <c r="AD296" s="43">
        <v>229777776</v>
      </c>
      <c r="AE296" s="44">
        <v>0</v>
      </c>
      <c r="AF296" s="44">
        <v>0</v>
      </c>
      <c r="AG296" s="43">
        <v>658360983</v>
      </c>
      <c r="AH296" s="44">
        <v>0</v>
      </c>
      <c r="AI296" s="18">
        <f t="shared" ref="AI296" si="186">AE296-AF296+AG296-AH296</f>
        <v>658360983</v>
      </c>
      <c r="AJ296" s="18">
        <f t="shared" ref="AJ296" si="187">AD296+AI296</f>
        <v>888138759</v>
      </c>
      <c r="AK296" s="44">
        <v>0</v>
      </c>
      <c r="AL296" s="43">
        <v>4295030</v>
      </c>
      <c r="AM296" s="43">
        <v>113151477</v>
      </c>
      <c r="AN296" s="44">
        <v>0</v>
      </c>
      <c r="AO296" s="142">
        <v>4295030</v>
      </c>
      <c r="AP296" s="43">
        <v>113151477</v>
      </c>
      <c r="AQ296" s="34">
        <v>0</v>
      </c>
      <c r="AR296" s="18">
        <f>AS296-SEPTIEMBRE!AS291</f>
        <v>19719090</v>
      </c>
      <c r="AS296" s="110">
        <v>113151477</v>
      </c>
      <c r="AT296" s="39">
        <f t="shared" si="175"/>
        <v>113151477</v>
      </c>
      <c r="AU296" s="18">
        <f>AJ296-AM296</f>
        <v>774987282</v>
      </c>
      <c r="AV296" s="34">
        <f>AM296-AP296</f>
        <v>0</v>
      </c>
      <c r="AW296" s="34">
        <f>AP296-AT296</f>
        <v>0</v>
      </c>
      <c r="AX296" s="123">
        <f>AP296/AJ296</f>
        <v>0.12740292646095405</v>
      </c>
    </row>
    <row r="297" spans="1:50" ht="18.75" customHeight="1" x14ac:dyDescent="0.2">
      <c r="AA297" s="28" t="s">
        <v>288</v>
      </c>
      <c r="AB297" s="29" t="s">
        <v>343</v>
      </c>
      <c r="AC297" s="17"/>
      <c r="AD297" s="18"/>
      <c r="AE297" s="34"/>
      <c r="AF297" s="34"/>
      <c r="AG297" s="34"/>
      <c r="AH297" s="34"/>
      <c r="AI297" s="34"/>
      <c r="AJ297" s="18"/>
      <c r="AK297" s="34"/>
      <c r="AL297" s="18"/>
      <c r="AM297" s="18"/>
      <c r="AN297" s="34"/>
      <c r="AO297" s="147"/>
      <c r="AP297" s="18"/>
      <c r="AQ297" s="34"/>
      <c r="AR297" s="34"/>
      <c r="AS297" s="34"/>
      <c r="AT297" s="40"/>
      <c r="AU297" s="18"/>
      <c r="AV297" s="18"/>
      <c r="AW297" s="34"/>
      <c r="AX297" s="18"/>
    </row>
    <row r="298" spans="1:50" ht="18.75" customHeight="1" x14ac:dyDescent="0.2">
      <c r="A298" s="4" t="s">
        <v>325</v>
      </c>
      <c r="B298" s="4" t="s">
        <v>326</v>
      </c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1" t="s">
        <v>344</v>
      </c>
      <c r="AB298" s="42" t="s">
        <v>328</v>
      </c>
      <c r="AC298" s="43" t="s">
        <v>61</v>
      </c>
      <c r="AD298" s="43">
        <v>10000000</v>
      </c>
      <c r="AE298" s="44">
        <v>0</v>
      </c>
      <c r="AF298" s="44">
        <v>0</v>
      </c>
      <c r="AG298" s="44">
        <v>0</v>
      </c>
      <c r="AH298" s="44">
        <v>0</v>
      </c>
      <c r="AI298" s="44">
        <v>0</v>
      </c>
      <c r="AJ298" s="43">
        <v>10000000</v>
      </c>
      <c r="AK298" s="44">
        <v>0</v>
      </c>
      <c r="AL298" s="44">
        <v>0</v>
      </c>
      <c r="AM298" s="44">
        <v>0</v>
      </c>
      <c r="AN298" s="44">
        <v>0</v>
      </c>
      <c r="AO298" s="143">
        <v>0</v>
      </c>
      <c r="AP298" s="44">
        <v>0</v>
      </c>
      <c r="AQ298" s="34">
        <v>0</v>
      </c>
      <c r="AR298" s="34">
        <v>0</v>
      </c>
      <c r="AS298" s="34">
        <v>0</v>
      </c>
      <c r="AT298" s="40">
        <f t="shared" ref="AT298" si="188">AQ298+AS298</f>
        <v>0</v>
      </c>
      <c r="AU298" s="18">
        <f>AJ298-AM298</f>
        <v>10000000</v>
      </c>
      <c r="AV298" s="34">
        <f>AM298-AP298</f>
        <v>0</v>
      </c>
      <c r="AW298" s="34">
        <f>AP298-AT298</f>
        <v>0</v>
      </c>
      <c r="AX298" s="123">
        <f>AP298/AJ298</f>
        <v>0</v>
      </c>
    </row>
    <row r="299" spans="1:50" ht="18.75" customHeight="1" x14ac:dyDescent="0.2">
      <c r="AA299" s="28" t="s">
        <v>288</v>
      </c>
      <c r="AB299" s="29" t="s">
        <v>162</v>
      </c>
      <c r="AC299" s="17"/>
      <c r="AD299" s="18"/>
      <c r="AE299" s="34"/>
      <c r="AF299" s="34"/>
      <c r="AG299" s="34"/>
      <c r="AH299" s="34"/>
      <c r="AI299" s="34"/>
      <c r="AJ299" s="18"/>
      <c r="AK299" s="34"/>
      <c r="AL299" s="18"/>
      <c r="AM299" s="18"/>
      <c r="AN299" s="34"/>
      <c r="AO299" s="147"/>
      <c r="AP299" s="18"/>
      <c r="AQ299" s="34"/>
      <c r="AR299" s="34"/>
      <c r="AS299" s="34"/>
      <c r="AT299" s="40"/>
      <c r="AU299" s="18"/>
      <c r="AV299" s="18"/>
      <c r="AW299" s="34"/>
      <c r="AX299" s="18"/>
    </row>
    <row r="300" spans="1:50" ht="18.75" customHeight="1" x14ac:dyDescent="0.2">
      <c r="A300" s="4" t="s">
        <v>325</v>
      </c>
      <c r="B300" s="4" t="s">
        <v>326</v>
      </c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1" t="s">
        <v>345</v>
      </c>
      <c r="AB300" s="42" t="s">
        <v>328</v>
      </c>
      <c r="AC300" s="43" t="s">
        <v>61</v>
      </c>
      <c r="AD300" s="43">
        <v>31208419</v>
      </c>
      <c r="AE300" s="44">
        <v>0</v>
      </c>
      <c r="AF300" s="44">
        <v>0</v>
      </c>
      <c r="AG300" s="44">
        <v>0</v>
      </c>
      <c r="AH300" s="44">
        <v>0</v>
      </c>
      <c r="AI300" s="44">
        <v>0</v>
      </c>
      <c r="AJ300" s="43">
        <v>31208419</v>
      </c>
      <c r="AK300" s="44">
        <v>0</v>
      </c>
      <c r="AL300" s="43">
        <v>174940</v>
      </c>
      <c r="AM300" s="43">
        <v>9171288</v>
      </c>
      <c r="AN300" s="44">
        <v>0</v>
      </c>
      <c r="AO300" s="142">
        <v>174940</v>
      </c>
      <c r="AP300" s="43">
        <v>9171288</v>
      </c>
      <c r="AQ300" s="34">
        <v>0</v>
      </c>
      <c r="AR300" s="18">
        <f>AS300-SEPTIEMBRE!AS295</f>
        <v>1602671</v>
      </c>
      <c r="AS300" s="110">
        <v>9171288</v>
      </c>
      <c r="AT300" s="39">
        <f t="shared" ref="AT300" si="189">AQ300+AS300</f>
        <v>9171288</v>
      </c>
      <c r="AU300" s="18">
        <f>AJ300-AM300</f>
        <v>22037131</v>
      </c>
      <c r="AV300" s="34">
        <f>AM300-AP300</f>
        <v>0</v>
      </c>
      <c r="AW300" s="34">
        <f>AP300-AT300</f>
        <v>0</v>
      </c>
      <c r="AX300" s="123">
        <f>AP300/AJ300</f>
        <v>0.29387224005163476</v>
      </c>
    </row>
    <row r="301" spans="1:50" ht="18.75" customHeight="1" x14ac:dyDescent="0.2">
      <c r="AA301" s="28" t="s">
        <v>288</v>
      </c>
      <c r="AB301" s="29" t="s">
        <v>346</v>
      </c>
      <c r="AC301" s="17"/>
      <c r="AD301" s="18"/>
      <c r="AE301" s="34"/>
      <c r="AF301" s="34"/>
      <c r="AG301" s="34"/>
      <c r="AH301" s="34"/>
      <c r="AI301" s="34"/>
      <c r="AJ301" s="18"/>
      <c r="AK301" s="34"/>
      <c r="AL301" s="18"/>
      <c r="AM301" s="18"/>
      <c r="AN301" s="34"/>
      <c r="AO301" s="147"/>
      <c r="AP301" s="18"/>
      <c r="AQ301" s="34"/>
      <c r="AR301" s="133"/>
      <c r="AS301" s="110"/>
      <c r="AT301" s="40"/>
      <c r="AU301" s="18"/>
      <c r="AV301" s="18"/>
      <c r="AW301" s="34"/>
      <c r="AX301" s="18"/>
    </row>
    <row r="302" spans="1:50" ht="18.75" customHeight="1" x14ac:dyDescent="0.2">
      <c r="A302" s="4" t="s">
        <v>325</v>
      </c>
      <c r="B302" s="4" t="s">
        <v>326</v>
      </c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1" t="s">
        <v>347</v>
      </c>
      <c r="AB302" s="42" t="s">
        <v>328</v>
      </c>
      <c r="AC302" s="43" t="s">
        <v>61</v>
      </c>
      <c r="AD302" s="43">
        <v>1108512330</v>
      </c>
      <c r="AE302" s="44">
        <v>0</v>
      </c>
      <c r="AF302" s="44">
        <v>0</v>
      </c>
      <c r="AG302" s="44">
        <v>0</v>
      </c>
      <c r="AH302" s="44">
        <v>0</v>
      </c>
      <c r="AI302" s="44">
        <v>0</v>
      </c>
      <c r="AJ302" s="43">
        <v>1108512330</v>
      </c>
      <c r="AK302" s="44">
        <v>0</v>
      </c>
      <c r="AL302" s="43">
        <v>15402784</v>
      </c>
      <c r="AM302" s="43">
        <v>662318864</v>
      </c>
      <c r="AN302" s="44">
        <v>0</v>
      </c>
      <c r="AO302" s="142">
        <v>15402784</v>
      </c>
      <c r="AP302" s="43">
        <v>661882868</v>
      </c>
      <c r="AQ302" s="34">
        <v>0</v>
      </c>
      <c r="AR302" s="18">
        <f>AS302-SEPTIEMBRE!AS297</f>
        <v>86231985</v>
      </c>
      <c r="AS302" s="110">
        <v>661882868</v>
      </c>
      <c r="AT302" s="39">
        <f t="shared" ref="AT302" si="190">AQ302+AS302</f>
        <v>661882868</v>
      </c>
      <c r="AU302" s="18">
        <f>AJ302-AM302</f>
        <v>446193466</v>
      </c>
      <c r="AV302" s="110">
        <f>AM302-AP302</f>
        <v>435996</v>
      </c>
      <c r="AW302" s="34">
        <f>AP302-AT302</f>
        <v>0</v>
      </c>
      <c r="AX302" s="123">
        <f>AP302/AJ302</f>
        <v>0.59709111941046245</v>
      </c>
    </row>
    <row r="303" spans="1:50" ht="18.75" customHeight="1" x14ac:dyDescent="0.2">
      <c r="AA303" s="16"/>
      <c r="AB303" s="29" t="s">
        <v>348</v>
      </c>
      <c r="AC303" s="17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34"/>
      <c r="AO303" s="147"/>
      <c r="AP303" s="18"/>
      <c r="AQ303" s="18"/>
      <c r="AR303" s="18"/>
      <c r="AS303" s="18"/>
      <c r="AT303" s="30"/>
      <c r="AU303" s="18"/>
      <c r="AV303" s="18"/>
      <c r="AW303" s="18"/>
      <c r="AX303" s="18"/>
    </row>
    <row r="304" spans="1:50" ht="18.75" customHeight="1" x14ac:dyDescent="0.2">
      <c r="AA304" s="16"/>
      <c r="AB304" s="29" t="s">
        <v>318</v>
      </c>
      <c r="AC304" s="17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34"/>
      <c r="AO304" s="147"/>
      <c r="AP304" s="18"/>
      <c r="AQ304" s="18"/>
      <c r="AR304" s="18"/>
      <c r="AS304" s="18"/>
      <c r="AT304" s="30"/>
      <c r="AU304" s="18"/>
      <c r="AV304" s="18"/>
      <c r="AW304" s="18"/>
      <c r="AX304" s="18"/>
    </row>
    <row r="305" spans="1:50" ht="25.5" x14ac:dyDescent="0.2">
      <c r="AA305" s="16"/>
      <c r="AB305" s="29" t="s">
        <v>319</v>
      </c>
      <c r="AC305" s="17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34"/>
      <c r="AO305" s="147"/>
      <c r="AP305" s="18"/>
      <c r="AQ305" s="18"/>
      <c r="AR305" s="18"/>
      <c r="AS305" s="18"/>
      <c r="AT305" s="30"/>
      <c r="AU305" s="18"/>
      <c r="AV305" s="18"/>
      <c r="AW305" s="18"/>
      <c r="AX305" s="18"/>
    </row>
    <row r="306" spans="1:50" ht="18.75" customHeight="1" x14ac:dyDescent="0.2">
      <c r="AA306" s="16"/>
      <c r="AB306" s="29" t="s">
        <v>320</v>
      </c>
      <c r="AC306" s="17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34"/>
      <c r="AO306" s="147"/>
      <c r="AP306" s="18"/>
      <c r="AQ306" s="18"/>
      <c r="AR306" s="18"/>
      <c r="AS306" s="18"/>
      <c r="AT306" s="30"/>
      <c r="AU306" s="18"/>
      <c r="AV306" s="18"/>
      <c r="AW306" s="18"/>
      <c r="AX306" s="18"/>
    </row>
    <row r="307" spans="1:50" ht="18.75" customHeight="1" x14ac:dyDescent="0.2">
      <c r="AA307" s="16"/>
      <c r="AB307" s="29" t="s">
        <v>46</v>
      </c>
      <c r="AC307" s="17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34"/>
      <c r="AO307" s="147"/>
      <c r="AP307" s="18"/>
      <c r="AQ307" s="18"/>
      <c r="AR307" s="18"/>
      <c r="AS307" s="18"/>
      <c r="AT307" s="30"/>
      <c r="AU307" s="18"/>
      <c r="AV307" s="18"/>
      <c r="AW307" s="18"/>
      <c r="AX307" s="18"/>
    </row>
    <row r="308" spans="1:50" ht="18.75" customHeight="1" x14ac:dyDescent="0.2">
      <c r="AA308" s="16"/>
      <c r="AB308" s="29" t="s">
        <v>48</v>
      </c>
      <c r="AC308" s="17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34"/>
      <c r="AO308" s="18"/>
      <c r="AP308" s="18"/>
      <c r="AQ308" s="18"/>
      <c r="AR308" s="18"/>
      <c r="AS308" s="18"/>
      <c r="AT308" s="30"/>
      <c r="AU308" s="18"/>
      <c r="AV308" s="18"/>
      <c r="AW308" s="18"/>
      <c r="AX308" s="18"/>
    </row>
    <row r="309" spans="1:50" ht="18.75" customHeight="1" x14ac:dyDescent="0.2">
      <c r="AA309" s="16"/>
      <c r="AB309" s="29" t="s">
        <v>52</v>
      </c>
      <c r="AC309" s="17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34"/>
      <c r="AO309" s="18"/>
      <c r="AP309" s="18"/>
      <c r="AQ309" s="18"/>
      <c r="AR309" s="18"/>
      <c r="AS309" s="18"/>
      <c r="AT309" s="30"/>
      <c r="AU309" s="18"/>
      <c r="AV309" s="18"/>
      <c r="AW309" s="18"/>
      <c r="AX309" s="18"/>
    </row>
    <row r="310" spans="1:50" ht="18.75" customHeight="1" x14ac:dyDescent="0.2">
      <c r="AA310" s="28" t="s">
        <v>288</v>
      </c>
      <c r="AB310" s="29" t="s">
        <v>54</v>
      </c>
      <c r="AC310" s="17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34"/>
      <c r="AO310" s="18"/>
      <c r="AP310" s="18"/>
      <c r="AQ310" s="18"/>
      <c r="AR310" s="18"/>
      <c r="AS310" s="18"/>
      <c r="AT310" s="30"/>
      <c r="AU310" s="18"/>
      <c r="AV310" s="18"/>
      <c r="AW310" s="18"/>
      <c r="AX310" s="18"/>
    </row>
    <row r="311" spans="1:50" ht="18.75" customHeight="1" x14ac:dyDescent="0.2">
      <c r="A311" s="4" t="s">
        <v>55</v>
      </c>
      <c r="B311" s="4" t="s">
        <v>56</v>
      </c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1" t="s">
        <v>323</v>
      </c>
      <c r="AB311" s="42" t="s">
        <v>324</v>
      </c>
      <c r="AC311" s="43" t="s">
        <v>61</v>
      </c>
      <c r="AD311" s="43">
        <v>111646949658</v>
      </c>
      <c r="AE311" s="44">
        <v>0</v>
      </c>
      <c r="AF311" s="44">
        <v>0</v>
      </c>
      <c r="AG311" s="244">
        <v>18397564.699999999</v>
      </c>
      <c r="AH311" s="43">
        <f>316940531.7+7537936770</f>
        <v>7854877301.6999998</v>
      </c>
      <c r="AI311" s="18">
        <f t="shared" ref="AI311:AI313" si="191">AE311-AF311+AG311-AH311</f>
        <v>-7836479737</v>
      </c>
      <c r="AJ311" s="18">
        <f t="shared" ref="AJ311:AJ313" si="192">AD311+AI311</f>
        <v>103810469921</v>
      </c>
      <c r="AK311" s="44">
        <v>0</v>
      </c>
      <c r="AL311" s="43">
        <v>0</v>
      </c>
      <c r="AM311" s="43">
        <v>72570454574.5</v>
      </c>
      <c r="AN311" s="44">
        <v>0</v>
      </c>
      <c r="AO311" s="44">
        <v>0</v>
      </c>
      <c r="AP311" s="43">
        <v>72565527163.5</v>
      </c>
      <c r="AQ311" s="44">
        <v>0</v>
      </c>
      <c r="AR311" s="43">
        <f>AS311-SEPTIEMBRE!AS306</f>
        <v>16999746856.5</v>
      </c>
      <c r="AS311" s="43">
        <v>72565527163.5</v>
      </c>
      <c r="AT311" s="253">
        <f t="shared" ref="AT311:AT313" si="193">AQ311+AS311</f>
        <v>72565527163.5</v>
      </c>
      <c r="AU311" s="18">
        <f>AJ311-AM311</f>
        <v>31240015346.5</v>
      </c>
      <c r="AV311" s="18">
        <f>AM311-AP311</f>
        <v>4927411</v>
      </c>
      <c r="AW311" s="18">
        <f>AP311-AT311</f>
        <v>0</v>
      </c>
      <c r="AX311" s="123">
        <f>AP311/AJ311</f>
        <v>0.69901934957738399</v>
      </c>
    </row>
    <row r="312" spans="1:50" ht="18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173" t="s">
        <v>962</v>
      </c>
      <c r="AB312" s="42" t="s">
        <v>963</v>
      </c>
      <c r="AC312" s="43"/>
      <c r="AD312" s="44">
        <v>0</v>
      </c>
      <c r="AE312" s="44">
        <v>0</v>
      </c>
      <c r="AF312" s="44">
        <v>0</v>
      </c>
      <c r="AG312" s="43">
        <v>280746171.69999999</v>
      </c>
      <c r="AH312" s="44">
        <v>0</v>
      </c>
      <c r="AI312" s="18">
        <f t="shared" si="191"/>
        <v>280746171.69999999</v>
      </c>
      <c r="AJ312" s="18">
        <f t="shared" si="192"/>
        <v>280746171.69999999</v>
      </c>
      <c r="AK312" s="44">
        <v>0</v>
      </c>
      <c r="AL312" s="44">
        <v>0</v>
      </c>
      <c r="AM312" s="44">
        <v>0</v>
      </c>
      <c r="AN312" s="44">
        <v>0</v>
      </c>
      <c r="AO312" s="44">
        <v>0</v>
      </c>
      <c r="AP312" s="44">
        <v>0</v>
      </c>
      <c r="AQ312" s="44">
        <v>0</v>
      </c>
      <c r="AR312" s="43">
        <f>AS312-SEPTIEMBRE!AS307</f>
        <v>0</v>
      </c>
      <c r="AS312" s="44">
        <v>0</v>
      </c>
      <c r="AT312" s="275">
        <f t="shared" si="193"/>
        <v>0</v>
      </c>
      <c r="AU312" s="18">
        <f>AJ312-AM312</f>
        <v>280746171.69999999</v>
      </c>
      <c r="AV312" s="133">
        <f>AM312-AP312</f>
        <v>0</v>
      </c>
      <c r="AW312" s="34">
        <f>AP312-AT312</f>
        <v>0</v>
      </c>
      <c r="AX312" s="123">
        <f>AP312/AJ312</f>
        <v>0</v>
      </c>
    </row>
    <row r="313" spans="1:50" ht="26.2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245" t="s">
        <v>1199</v>
      </c>
      <c r="AB313" s="42" t="s">
        <v>1200</v>
      </c>
      <c r="AC313" s="43"/>
      <c r="AD313" s="44">
        <v>0</v>
      </c>
      <c r="AE313" s="43">
        <v>3259928918.5</v>
      </c>
      <c r="AF313" s="44">
        <v>0</v>
      </c>
      <c r="AG313" s="44">
        <v>0</v>
      </c>
      <c r="AH313" s="34">
        <v>0</v>
      </c>
      <c r="AI313" s="18">
        <f t="shared" si="191"/>
        <v>3259928918.5</v>
      </c>
      <c r="AJ313" s="18">
        <f t="shared" si="192"/>
        <v>3259928918.5</v>
      </c>
      <c r="AK313" s="44">
        <v>0</v>
      </c>
      <c r="AL313" s="44">
        <v>0</v>
      </c>
      <c r="AM313" s="43">
        <v>3259928918.5</v>
      </c>
      <c r="AN313" s="44">
        <v>0</v>
      </c>
      <c r="AO313" s="44">
        <v>0</v>
      </c>
      <c r="AP313" s="44">
        <v>3259928918.5</v>
      </c>
      <c r="AQ313" s="44">
        <v>0</v>
      </c>
      <c r="AR313" s="43">
        <f>AS313-SEPTIEMBRE!AS308</f>
        <v>3259928918.5</v>
      </c>
      <c r="AS313" s="43">
        <v>3259928918.5</v>
      </c>
      <c r="AT313" s="275">
        <f t="shared" si="193"/>
        <v>3259928918.5</v>
      </c>
      <c r="AU313" s="34">
        <f>AJ313-AM313</f>
        <v>0</v>
      </c>
      <c r="AV313" s="133">
        <f>AM313-AP313</f>
        <v>0</v>
      </c>
      <c r="AW313" s="34">
        <f>AP313-AT313</f>
        <v>0</v>
      </c>
      <c r="AX313" s="123">
        <f>AP313/AJ313</f>
        <v>1</v>
      </c>
    </row>
    <row r="314" spans="1:50" ht="18.75" customHeight="1" x14ac:dyDescent="0.2">
      <c r="AA314" s="28" t="s">
        <v>288</v>
      </c>
      <c r="AB314" s="29" t="s">
        <v>63</v>
      </c>
      <c r="AC314" s="17"/>
      <c r="AD314" s="18"/>
      <c r="AE314" s="34"/>
      <c r="AF314" s="34"/>
      <c r="AG314" s="34"/>
      <c r="AH314" s="34"/>
      <c r="AI314" s="34"/>
      <c r="AJ314" s="18"/>
      <c r="AK314" s="34"/>
      <c r="AL314" s="18"/>
      <c r="AM314" s="18"/>
      <c r="AN314" s="34"/>
      <c r="AO314" s="34"/>
      <c r="AP314" s="18"/>
      <c r="AQ314" s="18"/>
      <c r="AR314" s="34"/>
      <c r="AS314" s="18"/>
      <c r="AT314" s="30"/>
      <c r="AU314" s="18"/>
      <c r="AV314" s="34"/>
      <c r="AW314" s="34"/>
      <c r="AX314" s="18"/>
    </row>
    <row r="315" spans="1:50" ht="18.75" customHeight="1" x14ac:dyDescent="0.2">
      <c r="A315" s="4" t="s">
        <v>325</v>
      </c>
      <c r="B315" s="4" t="s">
        <v>326</v>
      </c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1" t="s">
        <v>349</v>
      </c>
      <c r="AB315" s="42" t="s">
        <v>328</v>
      </c>
      <c r="AC315" s="43" t="s">
        <v>61</v>
      </c>
      <c r="AD315" s="43">
        <v>1252925726</v>
      </c>
      <c r="AE315" s="44">
        <v>0</v>
      </c>
      <c r="AF315" s="44">
        <v>0</v>
      </c>
      <c r="AG315" s="43">
        <v>6200000</v>
      </c>
      <c r="AH315" s="44">
        <v>0</v>
      </c>
      <c r="AI315" s="18">
        <f>AE315-AF315+AG315-AH315</f>
        <v>6200000</v>
      </c>
      <c r="AJ315" s="18">
        <f>AD315+AI315</f>
        <v>1259125726</v>
      </c>
      <c r="AK315" s="44">
        <v>0</v>
      </c>
      <c r="AL315" s="44">
        <v>0</v>
      </c>
      <c r="AM315" s="43">
        <v>914776630</v>
      </c>
      <c r="AN315" s="44">
        <v>0</v>
      </c>
      <c r="AO315" s="44">
        <v>0</v>
      </c>
      <c r="AP315" s="43">
        <v>914776630</v>
      </c>
      <c r="AQ315" s="44">
        <v>0</v>
      </c>
      <c r="AR315" s="43">
        <f>AS315-SEPTIEMBRE!AS310</f>
        <v>317050525</v>
      </c>
      <c r="AS315" s="43">
        <v>914776630</v>
      </c>
      <c r="AT315" s="39">
        <f t="shared" ref="AT315" si="194">AQ315+AS315</f>
        <v>914776630</v>
      </c>
      <c r="AU315" s="18">
        <f>AJ315-AM315</f>
        <v>344349096</v>
      </c>
      <c r="AV315" s="34">
        <f>AM315-AP315</f>
        <v>0</v>
      </c>
      <c r="AW315" s="34">
        <f>AP315-AT315</f>
        <v>0</v>
      </c>
      <c r="AX315" s="123">
        <f>AP315/AJ315</f>
        <v>0.72651730570708706</v>
      </c>
    </row>
    <row r="316" spans="1:50" ht="18.75" customHeight="1" x14ac:dyDescent="0.2">
      <c r="AA316" s="28" t="s">
        <v>288</v>
      </c>
      <c r="AB316" s="29" t="s">
        <v>67</v>
      </c>
      <c r="AC316" s="17"/>
      <c r="AD316" s="18"/>
      <c r="AE316" s="34"/>
      <c r="AF316" s="34"/>
      <c r="AG316" s="34"/>
      <c r="AH316" s="34"/>
      <c r="AI316" s="34"/>
      <c r="AJ316" s="18"/>
      <c r="AK316" s="34"/>
      <c r="AL316" s="34"/>
      <c r="AM316" s="18"/>
      <c r="AN316" s="34"/>
      <c r="AO316" s="34"/>
      <c r="AP316" s="18"/>
      <c r="AQ316" s="34"/>
      <c r="AR316" s="34"/>
      <c r="AS316" s="18"/>
      <c r="AT316" s="39"/>
      <c r="AU316" s="18"/>
      <c r="AV316" s="34"/>
      <c r="AW316" s="34"/>
      <c r="AX316" s="18"/>
    </row>
    <row r="317" spans="1:50" ht="18.75" customHeight="1" x14ac:dyDescent="0.2">
      <c r="A317" s="4" t="s">
        <v>325</v>
      </c>
      <c r="B317" s="4" t="s">
        <v>326</v>
      </c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1" t="s">
        <v>350</v>
      </c>
      <c r="AB317" s="42" t="s">
        <v>328</v>
      </c>
      <c r="AC317" s="43" t="s">
        <v>61</v>
      </c>
      <c r="AD317" s="43">
        <v>29846525</v>
      </c>
      <c r="AE317" s="44">
        <v>0</v>
      </c>
      <c r="AF317" s="44">
        <v>0</v>
      </c>
      <c r="AG317" s="44">
        <v>0</v>
      </c>
      <c r="AH317" s="44">
        <v>0</v>
      </c>
      <c r="AI317" s="34">
        <f>AE317-AF317+AG317-AH317</f>
        <v>0</v>
      </c>
      <c r="AJ317" s="18">
        <f>AD317+AI317</f>
        <v>29846525</v>
      </c>
      <c r="AK317" s="44">
        <v>0</v>
      </c>
      <c r="AL317" s="44">
        <v>0</v>
      </c>
      <c r="AM317" s="43">
        <v>20829287</v>
      </c>
      <c r="AN317" s="44">
        <v>0</v>
      </c>
      <c r="AO317" s="44">
        <v>0</v>
      </c>
      <c r="AP317" s="43">
        <v>20829287</v>
      </c>
      <c r="AQ317" s="44">
        <v>0</v>
      </c>
      <c r="AR317" s="43">
        <f>AS317-SEPTIEMBRE!AS312</f>
        <v>5836079</v>
      </c>
      <c r="AS317" s="43">
        <v>20829287</v>
      </c>
      <c r="AT317" s="39">
        <f t="shared" ref="AT317" si="195">AQ317+AS317</f>
        <v>20829287</v>
      </c>
      <c r="AU317" s="18">
        <f>AJ317-AM317</f>
        <v>9017238</v>
      </c>
      <c r="AV317" s="34">
        <f>AM317-AP317</f>
        <v>0</v>
      </c>
      <c r="AW317" s="34">
        <f>AP317-AT317</f>
        <v>0</v>
      </c>
      <c r="AX317" s="123">
        <f>AP317/AJ317</f>
        <v>0.69787980342770217</v>
      </c>
    </row>
    <row r="318" spans="1:50" ht="18.75" customHeight="1" x14ac:dyDescent="0.2">
      <c r="AA318" s="28" t="s">
        <v>288</v>
      </c>
      <c r="AB318" s="29" t="s">
        <v>69</v>
      </c>
      <c r="AC318" s="17"/>
      <c r="AD318" s="18"/>
      <c r="AE318" s="34"/>
      <c r="AF318" s="34"/>
      <c r="AG318" s="34"/>
      <c r="AH318" s="34"/>
      <c r="AI318" s="34"/>
      <c r="AJ318" s="18"/>
      <c r="AK318" s="34"/>
      <c r="AL318" s="34"/>
      <c r="AM318" s="18"/>
      <c r="AN318" s="34"/>
      <c r="AO318" s="34"/>
      <c r="AP318" s="18"/>
      <c r="AQ318" s="34"/>
      <c r="AR318" s="18"/>
      <c r="AS318" s="18"/>
      <c r="AT318" s="39"/>
      <c r="AU318" s="18"/>
      <c r="AV318" s="18"/>
      <c r="AW318" s="34"/>
      <c r="AX318" s="18"/>
    </row>
    <row r="319" spans="1:50" ht="18.75" customHeight="1" x14ac:dyDescent="0.2">
      <c r="A319" s="4" t="s">
        <v>325</v>
      </c>
      <c r="B319" s="4" t="s">
        <v>326</v>
      </c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1" t="s">
        <v>351</v>
      </c>
      <c r="AB319" s="42" t="s">
        <v>328</v>
      </c>
      <c r="AC319" s="43" t="s">
        <v>61</v>
      </c>
      <c r="AD319" s="43">
        <v>8723052</v>
      </c>
      <c r="AE319" s="44">
        <v>0</v>
      </c>
      <c r="AF319" s="44">
        <v>0</v>
      </c>
      <c r="AG319" s="43">
        <v>36194360</v>
      </c>
      <c r="AH319" s="44">
        <v>0</v>
      </c>
      <c r="AI319" s="18">
        <f>AE319-AF319+AG319-AH319</f>
        <v>36194360</v>
      </c>
      <c r="AJ319" s="18">
        <f>AD319+AI319</f>
        <v>44917412</v>
      </c>
      <c r="AK319" s="44">
        <v>0</v>
      </c>
      <c r="AL319" s="44">
        <v>0</v>
      </c>
      <c r="AM319" s="43">
        <v>28000924</v>
      </c>
      <c r="AN319" s="44">
        <v>0</v>
      </c>
      <c r="AO319" s="44">
        <v>0</v>
      </c>
      <c r="AP319" s="43">
        <v>28000924</v>
      </c>
      <c r="AQ319" s="44">
        <v>0</v>
      </c>
      <c r="AR319" s="43">
        <f>AS319-SEPTIEMBRE!AS314</f>
        <v>4513650</v>
      </c>
      <c r="AS319" s="43">
        <v>28000924</v>
      </c>
      <c r="AT319" s="39">
        <f t="shared" ref="AT319" si="196">AQ319+AS319</f>
        <v>28000924</v>
      </c>
      <c r="AU319" s="18">
        <f>AJ319-AM319</f>
        <v>16916488</v>
      </c>
      <c r="AV319" s="34">
        <f>AM319-AP319</f>
        <v>0</v>
      </c>
      <c r="AW319" s="34">
        <f>AP319-AT319</f>
        <v>0</v>
      </c>
      <c r="AX319" s="123">
        <f>AP319/AJ319</f>
        <v>0.62338685051578657</v>
      </c>
    </row>
    <row r="320" spans="1:50" ht="18.75" customHeight="1" x14ac:dyDescent="0.2">
      <c r="AA320" s="28" t="s">
        <v>288</v>
      </c>
      <c r="AB320" s="29" t="s">
        <v>71</v>
      </c>
      <c r="AC320" s="17"/>
      <c r="AD320" s="18"/>
      <c r="AE320" s="34"/>
      <c r="AF320" s="34"/>
      <c r="AG320" s="34"/>
      <c r="AH320" s="34"/>
      <c r="AI320" s="34"/>
      <c r="AJ320" s="18"/>
      <c r="AK320" s="34"/>
      <c r="AL320" s="34"/>
      <c r="AM320" s="18"/>
      <c r="AN320" s="34"/>
      <c r="AO320" s="34"/>
      <c r="AP320" s="18"/>
      <c r="AQ320" s="34"/>
      <c r="AR320" s="18"/>
      <c r="AS320" s="18"/>
      <c r="AT320" s="39"/>
      <c r="AU320" s="18"/>
      <c r="AV320" s="18"/>
      <c r="AW320" s="18"/>
      <c r="AX320" s="18"/>
    </row>
    <row r="321" spans="1:50" ht="18.75" customHeight="1" x14ac:dyDescent="0.2">
      <c r="A321" s="4" t="s">
        <v>325</v>
      </c>
      <c r="B321" s="4" t="s">
        <v>326</v>
      </c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1" t="s">
        <v>327</v>
      </c>
      <c r="AB321" s="42" t="s">
        <v>328</v>
      </c>
      <c r="AC321" s="43" t="s">
        <v>61</v>
      </c>
      <c r="AD321" s="43">
        <v>5466979223</v>
      </c>
      <c r="AE321" s="44">
        <v>0</v>
      </c>
      <c r="AF321" s="44">
        <v>0</v>
      </c>
      <c r="AG321" s="44">
        <v>0</v>
      </c>
      <c r="AH321" s="44">
        <v>0</v>
      </c>
      <c r="AI321" s="34">
        <f>AE321-AF321+AG321-AH321</f>
        <v>0</v>
      </c>
      <c r="AJ321" s="18">
        <f>AD321+AI321</f>
        <v>5466979223</v>
      </c>
      <c r="AK321" s="44">
        <v>0</v>
      </c>
      <c r="AL321" s="44">
        <v>0</v>
      </c>
      <c r="AM321" s="43">
        <v>5162669454</v>
      </c>
      <c r="AN321" s="44">
        <v>0</v>
      </c>
      <c r="AO321" s="44">
        <v>0</v>
      </c>
      <c r="AP321" s="43">
        <v>5162669454</v>
      </c>
      <c r="AQ321" s="44">
        <v>0</v>
      </c>
      <c r="AR321" s="43">
        <f>AS321-SEPTIEMBRE!AS316</f>
        <v>5035762386</v>
      </c>
      <c r="AS321" s="43">
        <v>5162669454</v>
      </c>
      <c r="AT321" s="39">
        <f t="shared" ref="AT321" si="197">AQ321+AS321</f>
        <v>5162669454</v>
      </c>
      <c r="AU321" s="18">
        <f>AJ321-AM321</f>
        <v>304309769</v>
      </c>
      <c r="AV321" s="34">
        <f>AM321-AP321</f>
        <v>0</v>
      </c>
      <c r="AW321" s="34">
        <f>AP321-AT321</f>
        <v>0</v>
      </c>
      <c r="AX321" s="123">
        <f>AP321/AJ321</f>
        <v>0.94433676138373723</v>
      </c>
    </row>
    <row r="322" spans="1:50" ht="18.75" customHeight="1" x14ac:dyDescent="0.2">
      <c r="AA322" s="28" t="s">
        <v>288</v>
      </c>
      <c r="AB322" s="29" t="s">
        <v>76</v>
      </c>
      <c r="AC322" s="17"/>
      <c r="AD322" s="18"/>
      <c r="AE322" s="34"/>
      <c r="AF322" s="34"/>
      <c r="AG322" s="34"/>
      <c r="AH322" s="34"/>
      <c r="AI322" s="34"/>
      <c r="AJ322" s="18"/>
      <c r="AK322" s="34"/>
      <c r="AL322" s="34"/>
      <c r="AM322" s="18"/>
      <c r="AN322" s="34"/>
      <c r="AO322" s="34"/>
      <c r="AP322" s="18"/>
      <c r="AQ322" s="18"/>
      <c r="AR322" s="34"/>
      <c r="AS322" s="18"/>
      <c r="AT322" s="39"/>
      <c r="AU322" s="18"/>
      <c r="AV322" s="18"/>
      <c r="AW322" s="34"/>
      <c r="AX322" s="18"/>
    </row>
    <row r="323" spans="1:50" ht="18.75" customHeight="1" x14ac:dyDescent="0.2">
      <c r="A323" s="4" t="s">
        <v>325</v>
      </c>
      <c r="B323" s="4" t="s">
        <v>326</v>
      </c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1" t="s">
        <v>329</v>
      </c>
      <c r="AB323" s="42" t="s">
        <v>328</v>
      </c>
      <c r="AC323" s="43" t="s">
        <v>61</v>
      </c>
      <c r="AD323" s="43">
        <v>3964855703</v>
      </c>
      <c r="AE323" s="44">
        <v>0</v>
      </c>
      <c r="AF323" s="44">
        <v>0</v>
      </c>
      <c r="AG323" s="43">
        <v>759162061</v>
      </c>
      <c r="AH323" s="44">
        <v>0</v>
      </c>
      <c r="AI323" s="286">
        <f>AE323-AF323+AG323-AH323</f>
        <v>759162061</v>
      </c>
      <c r="AJ323" s="18">
        <f>AD323+AI323</f>
        <v>4724017764</v>
      </c>
      <c r="AK323" s="44">
        <v>0</v>
      </c>
      <c r="AL323" s="44">
        <v>0</v>
      </c>
      <c r="AM323" s="43">
        <v>3824606722</v>
      </c>
      <c r="AN323" s="44">
        <v>0</v>
      </c>
      <c r="AO323" s="44">
        <v>0</v>
      </c>
      <c r="AP323" s="43">
        <v>3824606722</v>
      </c>
      <c r="AQ323" s="44">
        <v>0</v>
      </c>
      <c r="AR323" s="43">
        <f>AS323-SEPTIEMBRE!AS318</f>
        <v>1750958165</v>
      </c>
      <c r="AS323" s="43">
        <v>3824606722</v>
      </c>
      <c r="AT323" s="39">
        <f t="shared" ref="AT323" si="198">AQ323+AS323</f>
        <v>3824606722</v>
      </c>
      <c r="AU323" s="18">
        <f>AJ323-AM323</f>
        <v>899411042</v>
      </c>
      <c r="AV323" s="34">
        <f>AM323-AP323</f>
        <v>0</v>
      </c>
      <c r="AW323" s="34">
        <f>AP323-AT323</f>
        <v>0</v>
      </c>
      <c r="AX323" s="123">
        <f>AP323/AJ323</f>
        <v>0.80960887809227133</v>
      </c>
    </row>
    <row r="324" spans="1:50" ht="18.75" customHeight="1" x14ac:dyDescent="0.2">
      <c r="AA324" s="16"/>
      <c r="AB324" s="29" t="s">
        <v>81</v>
      </c>
      <c r="AC324" s="17"/>
      <c r="AD324" s="18"/>
      <c r="AE324" s="34"/>
      <c r="AF324" s="34"/>
      <c r="AG324" s="34"/>
      <c r="AH324" s="34"/>
      <c r="AI324" s="34"/>
      <c r="AJ324" s="18"/>
      <c r="AK324" s="34"/>
      <c r="AL324" s="34"/>
      <c r="AM324" s="18"/>
      <c r="AN324" s="34"/>
      <c r="AO324" s="34"/>
      <c r="AP324" s="18"/>
      <c r="AQ324" s="34"/>
      <c r="AR324" s="34"/>
      <c r="AS324" s="18"/>
      <c r="AT324" s="30"/>
      <c r="AU324" s="18"/>
      <c r="AV324" s="18"/>
      <c r="AW324" s="34"/>
      <c r="AX324" s="18"/>
    </row>
    <row r="325" spans="1:50" ht="18.75" customHeight="1" x14ac:dyDescent="0.2">
      <c r="AA325" s="28" t="s">
        <v>288</v>
      </c>
      <c r="AB325" s="29" t="s">
        <v>83</v>
      </c>
      <c r="AC325" s="17"/>
      <c r="AD325" s="18"/>
      <c r="AE325" s="34"/>
      <c r="AF325" s="34"/>
      <c r="AG325" s="34"/>
      <c r="AH325" s="34"/>
      <c r="AI325" s="34"/>
      <c r="AJ325" s="18"/>
      <c r="AK325" s="34"/>
      <c r="AL325" s="34"/>
      <c r="AM325" s="18"/>
      <c r="AN325" s="34"/>
      <c r="AO325" s="34"/>
      <c r="AP325" s="18"/>
      <c r="AQ325" s="34"/>
      <c r="AR325" s="34"/>
      <c r="AS325" s="18"/>
      <c r="AT325" s="30"/>
      <c r="AU325" s="18"/>
      <c r="AV325" s="18"/>
      <c r="AW325" s="34"/>
      <c r="AX325" s="18"/>
    </row>
    <row r="326" spans="1:50" ht="18.75" customHeight="1" x14ac:dyDescent="0.2">
      <c r="A326" s="4" t="s">
        <v>325</v>
      </c>
      <c r="B326" s="4" t="s">
        <v>326</v>
      </c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1" t="s">
        <v>330</v>
      </c>
      <c r="AB326" s="42" t="s">
        <v>328</v>
      </c>
      <c r="AC326" s="43" t="s">
        <v>61</v>
      </c>
      <c r="AD326" s="43">
        <v>11363953497</v>
      </c>
      <c r="AE326" s="44">
        <v>0</v>
      </c>
      <c r="AF326" s="44">
        <v>0</v>
      </c>
      <c r="AG326" s="44">
        <v>0</v>
      </c>
      <c r="AH326" s="44">
        <v>0</v>
      </c>
      <c r="AI326" s="34">
        <f>AE326-AF326+AG326-AH326</f>
        <v>0</v>
      </c>
      <c r="AJ326" s="18">
        <f>AD326+AI326</f>
        <v>11363953497</v>
      </c>
      <c r="AK326" s="44">
        <v>0</v>
      </c>
      <c r="AL326" s="44">
        <v>0</v>
      </c>
      <c r="AM326" s="43">
        <v>174172400</v>
      </c>
      <c r="AN326" s="44">
        <v>0</v>
      </c>
      <c r="AO326" s="44">
        <v>0</v>
      </c>
      <c r="AP326" s="43">
        <v>174172400</v>
      </c>
      <c r="AQ326" s="44">
        <v>0</v>
      </c>
      <c r="AR326" s="43">
        <f>AS326-SEPTIEMBRE!AS321</f>
        <v>53079042</v>
      </c>
      <c r="AS326" s="43">
        <v>174172400</v>
      </c>
      <c r="AT326" s="39">
        <f t="shared" ref="AT326" si="199">AQ326+AS326</f>
        <v>174172400</v>
      </c>
      <c r="AU326" s="18">
        <f>AJ326-AM326</f>
        <v>11189781097</v>
      </c>
      <c r="AV326" s="34">
        <f>AM326-AP326</f>
        <v>0</v>
      </c>
      <c r="AW326" s="34">
        <f>AP326-AT326</f>
        <v>0</v>
      </c>
      <c r="AX326" s="123">
        <f>AP326/AJ326</f>
        <v>1.5326743465289632E-2</v>
      </c>
    </row>
    <row r="327" spans="1:50" ht="18.75" customHeight="1" x14ac:dyDescent="0.2">
      <c r="AA327" s="28" t="s">
        <v>288</v>
      </c>
      <c r="AB327" s="29" t="s">
        <v>88</v>
      </c>
      <c r="AC327" s="17"/>
      <c r="AD327" s="18"/>
      <c r="AE327" s="34"/>
      <c r="AF327" s="34"/>
      <c r="AG327" s="34"/>
      <c r="AH327" s="34"/>
      <c r="AI327" s="34"/>
      <c r="AJ327" s="18"/>
      <c r="AK327" s="34"/>
      <c r="AL327" s="18"/>
      <c r="AM327" s="18"/>
      <c r="AN327" s="34"/>
      <c r="AO327" s="34"/>
      <c r="AP327" s="18"/>
      <c r="AQ327" s="34"/>
      <c r="AR327" s="18"/>
      <c r="AS327" s="18"/>
      <c r="AT327" s="30"/>
      <c r="AU327" s="18"/>
      <c r="AV327" s="18"/>
      <c r="AW327" s="18"/>
      <c r="AX327" s="18"/>
    </row>
    <row r="328" spans="1:50" ht="18.75" customHeight="1" x14ac:dyDescent="0.2">
      <c r="A328" s="4" t="s">
        <v>325</v>
      </c>
      <c r="B328" s="4" t="s">
        <v>326</v>
      </c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1" t="s">
        <v>331</v>
      </c>
      <c r="AB328" s="42" t="s">
        <v>328</v>
      </c>
      <c r="AC328" s="43" t="s">
        <v>61</v>
      </c>
      <c r="AD328" s="43">
        <v>5983405720</v>
      </c>
      <c r="AE328" s="44">
        <v>0</v>
      </c>
      <c r="AF328" s="44">
        <v>0</v>
      </c>
      <c r="AG328" s="44">
        <v>0</v>
      </c>
      <c r="AH328" s="44">
        <v>0</v>
      </c>
      <c r="AI328" s="34">
        <f>AE328-AF328+AG328-AH328</f>
        <v>0</v>
      </c>
      <c r="AJ328" s="18">
        <f>AD328+AI328</f>
        <v>5983405720</v>
      </c>
      <c r="AK328" s="44">
        <v>0</v>
      </c>
      <c r="AL328" s="44">
        <f>AM328-AGOSTO!AM321</f>
        <v>0</v>
      </c>
      <c r="AM328" s="43">
        <v>4225408</v>
      </c>
      <c r="AN328" s="44">
        <v>0</v>
      </c>
      <c r="AO328" s="44">
        <v>0</v>
      </c>
      <c r="AP328" s="43">
        <v>4225408</v>
      </c>
      <c r="AQ328" s="44">
        <v>0</v>
      </c>
      <c r="AR328" s="43">
        <f>AS328-SEPTIEMBRE!AS323</f>
        <v>0</v>
      </c>
      <c r="AS328" s="43">
        <v>4225408</v>
      </c>
      <c r="AT328" s="39">
        <f t="shared" ref="AT328" si="200">AQ328+AS328</f>
        <v>4225408</v>
      </c>
      <c r="AU328" s="18">
        <f>AJ328-AM328</f>
        <v>5979180312</v>
      </c>
      <c r="AV328" s="34">
        <f>AM328-AP328</f>
        <v>0</v>
      </c>
      <c r="AW328" s="34">
        <f>AP328-AT328</f>
        <v>0</v>
      </c>
      <c r="AX328" s="123">
        <f>AP328/AJ328</f>
        <v>7.0618777962461155E-4</v>
      </c>
    </row>
    <row r="329" spans="1:50" ht="18.75" customHeight="1" x14ac:dyDescent="0.2">
      <c r="AA329" s="16"/>
      <c r="AB329" s="29" t="s">
        <v>103</v>
      </c>
      <c r="AC329" s="17"/>
      <c r="AD329" s="18"/>
      <c r="AE329" s="34"/>
      <c r="AF329" s="34"/>
      <c r="AG329" s="34"/>
      <c r="AH329" s="34"/>
      <c r="AI329" s="34"/>
      <c r="AJ329" s="18"/>
      <c r="AK329" s="34"/>
      <c r="AL329" s="18"/>
      <c r="AM329" s="18"/>
      <c r="AN329" s="34"/>
      <c r="AO329" s="34"/>
      <c r="AP329" s="18"/>
      <c r="AQ329" s="18"/>
      <c r="AR329" s="18"/>
      <c r="AS329" s="18"/>
      <c r="AT329" s="30"/>
      <c r="AU329" s="18"/>
      <c r="AV329" s="18"/>
      <c r="AW329" s="34"/>
      <c r="AX329" s="18"/>
    </row>
    <row r="330" spans="1:50" ht="18.75" customHeight="1" x14ac:dyDescent="0.2">
      <c r="AA330" s="28" t="s">
        <v>288</v>
      </c>
      <c r="AB330" s="29" t="s">
        <v>352</v>
      </c>
      <c r="AC330" s="17"/>
      <c r="AD330" s="18"/>
      <c r="AE330" s="34"/>
      <c r="AF330" s="34"/>
      <c r="AG330" s="34"/>
      <c r="AH330" s="34"/>
      <c r="AI330" s="34"/>
      <c r="AJ330" s="18"/>
      <c r="AK330" s="34"/>
      <c r="AL330" s="18"/>
      <c r="AM330" s="18"/>
      <c r="AN330" s="34"/>
      <c r="AO330" s="34"/>
      <c r="AP330" s="18"/>
      <c r="AQ330" s="18"/>
      <c r="AR330" s="18"/>
      <c r="AS330" s="18"/>
      <c r="AT330" s="30"/>
      <c r="AU330" s="18"/>
      <c r="AV330" s="18"/>
      <c r="AW330" s="34"/>
      <c r="AX330" s="18"/>
    </row>
    <row r="331" spans="1:50" ht="18.75" customHeight="1" x14ac:dyDescent="0.2">
      <c r="A331" s="4" t="s">
        <v>325</v>
      </c>
      <c r="B331" s="4" t="s">
        <v>326</v>
      </c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1" t="s">
        <v>332</v>
      </c>
      <c r="AB331" s="42" t="s">
        <v>328</v>
      </c>
      <c r="AC331" s="43" t="s">
        <v>61</v>
      </c>
      <c r="AD331" s="43">
        <v>13134738179</v>
      </c>
      <c r="AE331" s="44">
        <v>0</v>
      </c>
      <c r="AF331" s="44">
        <v>0</v>
      </c>
      <c r="AG331" s="44">
        <v>0</v>
      </c>
      <c r="AH331" s="43">
        <v>2591422632</v>
      </c>
      <c r="AI331" s="18">
        <f>AE331-AF331+AG331-AH331</f>
        <v>-2591422632</v>
      </c>
      <c r="AJ331" s="18">
        <f>AD331+AI331</f>
        <v>10543315547</v>
      </c>
      <c r="AK331" s="44">
        <v>0</v>
      </c>
      <c r="AL331" s="44">
        <v>0</v>
      </c>
      <c r="AM331" s="43">
        <v>7655934948.96</v>
      </c>
      <c r="AN331" s="44">
        <v>0</v>
      </c>
      <c r="AO331" s="44">
        <v>0</v>
      </c>
      <c r="AP331" s="43">
        <v>7655934948.96</v>
      </c>
      <c r="AQ331" s="44">
        <v>0</v>
      </c>
      <c r="AR331" s="43">
        <f>AS331-SEPTIEMBRE!AS326</f>
        <v>1159705118</v>
      </c>
      <c r="AS331" s="43">
        <v>7655934948.96</v>
      </c>
      <c r="AT331" s="39">
        <f t="shared" ref="AT331" si="201">AQ331+AS331</f>
        <v>7655934948.96</v>
      </c>
      <c r="AU331" s="18">
        <f>AJ331-AM331</f>
        <v>2887380598.04</v>
      </c>
      <c r="AV331" s="34">
        <f>AM331-AP331</f>
        <v>0</v>
      </c>
      <c r="AW331" s="34">
        <f>AP331-AT331</f>
        <v>0</v>
      </c>
      <c r="AX331" s="123">
        <f>AP331/AJ331</f>
        <v>0.72614111897072298</v>
      </c>
    </row>
    <row r="332" spans="1:50" ht="18.75" customHeight="1" x14ac:dyDescent="0.2">
      <c r="AA332" s="28" t="s">
        <v>288</v>
      </c>
      <c r="AB332" s="29" t="s">
        <v>353</v>
      </c>
      <c r="AC332" s="17"/>
      <c r="AD332" s="18"/>
      <c r="AE332" s="34"/>
      <c r="AF332" s="34"/>
      <c r="AG332" s="34"/>
      <c r="AH332" s="34"/>
      <c r="AI332" s="34"/>
      <c r="AJ332" s="18"/>
      <c r="AK332" s="34"/>
      <c r="AL332" s="34"/>
      <c r="AM332" s="18"/>
      <c r="AN332" s="34"/>
      <c r="AO332" s="34"/>
      <c r="AP332" s="18"/>
      <c r="AQ332" s="34"/>
      <c r="AR332" s="18"/>
      <c r="AS332" s="18"/>
      <c r="AT332" s="30"/>
      <c r="AU332" s="18"/>
      <c r="AV332" s="18"/>
      <c r="AW332" s="34"/>
      <c r="AX332" s="18"/>
    </row>
    <row r="333" spans="1:50" ht="18.75" customHeight="1" x14ac:dyDescent="0.2">
      <c r="A333" s="4" t="s">
        <v>325</v>
      </c>
      <c r="B333" s="4" t="s">
        <v>326</v>
      </c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1" t="s">
        <v>334</v>
      </c>
      <c r="AB333" s="42" t="s">
        <v>328</v>
      </c>
      <c r="AC333" s="43" t="s">
        <v>61</v>
      </c>
      <c r="AD333" s="43">
        <v>9662336131</v>
      </c>
      <c r="AE333" s="44">
        <v>0</v>
      </c>
      <c r="AF333" s="44">
        <v>0</v>
      </c>
      <c r="AG333" s="43">
        <v>791422632</v>
      </c>
      <c r="AH333" s="44">
        <v>0</v>
      </c>
      <c r="AI333" s="18">
        <f>AE333-AF333+AG333-AH333</f>
        <v>791422632</v>
      </c>
      <c r="AJ333" s="18">
        <f>AD333+AI333</f>
        <v>10453758763</v>
      </c>
      <c r="AK333" s="44">
        <v>0</v>
      </c>
      <c r="AL333" s="44">
        <v>0</v>
      </c>
      <c r="AM333" s="43">
        <v>7932730912.04</v>
      </c>
      <c r="AN333" s="44">
        <v>0</v>
      </c>
      <c r="AO333" s="44">
        <v>0</v>
      </c>
      <c r="AP333" s="43">
        <v>7932730912.04</v>
      </c>
      <c r="AQ333" s="44">
        <v>0</v>
      </c>
      <c r="AR333" s="43">
        <f>AS333-SEPTIEMBRE!AS328</f>
        <v>1232195240</v>
      </c>
      <c r="AS333" s="43">
        <v>7932730912.04</v>
      </c>
      <c r="AT333" s="39">
        <f t="shared" ref="AT333" si="202">AQ333+AS333</f>
        <v>7932730912.04</v>
      </c>
      <c r="AU333" s="18">
        <f>AJ333-AM333</f>
        <v>2521027850.96</v>
      </c>
      <c r="AV333" s="34">
        <f>AM333-AP333</f>
        <v>0</v>
      </c>
      <c r="AW333" s="34">
        <f>AP333-AT333</f>
        <v>0</v>
      </c>
      <c r="AX333" s="123">
        <f>AP333/AJ333</f>
        <v>0.75884005857463266</v>
      </c>
    </row>
    <row r="334" spans="1:50" ht="18.75" customHeight="1" x14ac:dyDescent="0.2">
      <c r="AA334" s="28" t="s">
        <v>288</v>
      </c>
      <c r="AB334" s="29" t="s">
        <v>354</v>
      </c>
      <c r="AC334" s="17"/>
      <c r="AD334" s="18"/>
      <c r="AE334" s="34"/>
      <c r="AF334" s="34"/>
      <c r="AG334" s="34"/>
      <c r="AH334" s="34"/>
      <c r="AI334" s="34"/>
      <c r="AJ334" s="18"/>
      <c r="AK334" s="34"/>
      <c r="AL334" s="34"/>
      <c r="AM334" s="18"/>
      <c r="AN334" s="34"/>
      <c r="AO334" s="34"/>
      <c r="AP334" s="18"/>
      <c r="AQ334" s="34"/>
      <c r="AR334" s="18"/>
      <c r="AS334" s="18"/>
      <c r="AT334" s="30"/>
      <c r="AU334" s="18"/>
      <c r="AV334" s="18"/>
      <c r="AW334" s="34"/>
      <c r="AX334" s="18"/>
    </row>
    <row r="335" spans="1:50" ht="18.75" customHeight="1" x14ac:dyDescent="0.2">
      <c r="A335" s="4" t="s">
        <v>325</v>
      </c>
      <c r="B335" s="4" t="s">
        <v>326</v>
      </c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1" t="s">
        <v>335</v>
      </c>
      <c r="AB335" s="42" t="s">
        <v>328</v>
      </c>
      <c r="AC335" s="43" t="s">
        <v>61</v>
      </c>
      <c r="AD335" s="43">
        <v>8037478566</v>
      </c>
      <c r="AE335" s="44">
        <v>0</v>
      </c>
      <c r="AF335" s="44">
        <v>0</v>
      </c>
      <c r="AG335" s="43">
        <v>1800000000</v>
      </c>
      <c r="AH335" s="44">
        <v>0</v>
      </c>
      <c r="AI335" s="18">
        <f>AE335-AF335+AG335-AH335</f>
        <v>1800000000</v>
      </c>
      <c r="AJ335" s="18">
        <f>AD335+AI335</f>
        <v>9837478566</v>
      </c>
      <c r="AK335" s="44">
        <v>0</v>
      </c>
      <c r="AL335" s="44">
        <v>0</v>
      </c>
      <c r="AM335" s="43">
        <v>8037478566</v>
      </c>
      <c r="AN335" s="44">
        <v>0</v>
      </c>
      <c r="AO335" s="44">
        <v>0</v>
      </c>
      <c r="AP335" s="43">
        <v>8037478566</v>
      </c>
      <c r="AQ335" s="44">
        <v>0</v>
      </c>
      <c r="AR335" s="43">
        <f>AS335-SEPTIEMBRE!AS330</f>
        <v>946692271</v>
      </c>
      <c r="AS335" s="43">
        <v>8037478566</v>
      </c>
      <c r="AT335" s="39">
        <f t="shared" ref="AT335" si="203">AQ335+AS335</f>
        <v>8037478566</v>
      </c>
      <c r="AU335" s="18">
        <f>AJ335-AM335</f>
        <v>1800000000</v>
      </c>
      <c r="AV335" s="34">
        <f>AM335-AP335</f>
        <v>0</v>
      </c>
      <c r="AW335" s="34">
        <f>AP335-AT335</f>
        <v>0</v>
      </c>
      <c r="AX335" s="123">
        <f>AP335/AJ335</f>
        <v>0.81702628494448704</v>
      </c>
    </row>
    <row r="336" spans="1:50" ht="18.75" customHeight="1" x14ac:dyDescent="0.2">
      <c r="AA336" s="28" t="s">
        <v>288</v>
      </c>
      <c r="AB336" s="29" t="s">
        <v>119</v>
      </c>
      <c r="AC336" s="17"/>
      <c r="AD336" s="18"/>
      <c r="AE336" s="34"/>
      <c r="AF336" s="34"/>
      <c r="AG336" s="34"/>
      <c r="AH336" s="34"/>
      <c r="AI336" s="34"/>
      <c r="AJ336" s="18"/>
      <c r="AK336" s="34"/>
      <c r="AL336" s="34"/>
      <c r="AM336" s="18"/>
      <c r="AN336" s="34"/>
      <c r="AO336" s="34"/>
      <c r="AP336" s="18"/>
      <c r="AQ336" s="110"/>
      <c r="AR336" s="110"/>
      <c r="AS336" s="110"/>
      <c r="AT336" s="30"/>
      <c r="AU336" s="18"/>
      <c r="AV336" s="18"/>
      <c r="AW336" s="133"/>
      <c r="AX336" s="18"/>
    </row>
    <row r="337" spans="1:50" ht="18.75" customHeight="1" x14ac:dyDescent="0.2">
      <c r="A337" s="4" t="s">
        <v>325</v>
      </c>
      <c r="B337" s="4" t="s">
        <v>326</v>
      </c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1" t="s">
        <v>336</v>
      </c>
      <c r="AB337" s="42" t="s">
        <v>328</v>
      </c>
      <c r="AC337" s="43" t="s">
        <v>61</v>
      </c>
      <c r="AD337" s="43">
        <v>5595577790</v>
      </c>
      <c r="AE337" s="44">
        <v>0</v>
      </c>
      <c r="AF337" s="44">
        <v>0</v>
      </c>
      <c r="AG337" s="44">
        <v>0</v>
      </c>
      <c r="AH337" s="44">
        <v>0</v>
      </c>
      <c r="AI337" s="44">
        <v>0</v>
      </c>
      <c r="AJ337" s="43">
        <v>5595577790</v>
      </c>
      <c r="AK337" s="44">
        <v>0</v>
      </c>
      <c r="AL337" s="44">
        <v>0</v>
      </c>
      <c r="AM337" s="43">
        <v>3946648266</v>
      </c>
      <c r="AN337" s="44">
        <v>0</v>
      </c>
      <c r="AO337" s="44">
        <v>0</v>
      </c>
      <c r="AP337" s="43">
        <v>3946648266</v>
      </c>
      <c r="AQ337" s="115">
        <v>0</v>
      </c>
      <c r="AR337" s="114">
        <f>AS337-SEPTIEMBRE!AS332</f>
        <v>0</v>
      </c>
      <c r="AS337" s="114">
        <v>3946648266</v>
      </c>
      <c r="AT337" s="39">
        <f t="shared" ref="AT337" si="204">AQ337+AS337</f>
        <v>3946648266</v>
      </c>
      <c r="AU337" s="18">
        <f>AJ337-AM337</f>
        <v>1648929524</v>
      </c>
      <c r="AV337" s="34">
        <f>AM337-AP337</f>
        <v>0</v>
      </c>
      <c r="AW337" s="133">
        <f>AP337-AT337</f>
        <v>0</v>
      </c>
      <c r="AX337" s="123">
        <f>AP337/AJ337</f>
        <v>0.70531559279779044</v>
      </c>
    </row>
    <row r="338" spans="1:50" ht="18.75" customHeight="1" x14ac:dyDescent="0.2">
      <c r="AA338" s="28"/>
      <c r="AB338" s="29" t="s">
        <v>124</v>
      </c>
      <c r="AC338" s="17"/>
      <c r="AD338" s="18"/>
      <c r="AE338" s="34"/>
      <c r="AF338" s="34"/>
      <c r="AG338" s="34"/>
      <c r="AH338" s="34"/>
      <c r="AI338" s="34"/>
      <c r="AJ338" s="18"/>
      <c r="AK338" s="34"/>
      <c r="AL338" s="34"/>
      <c r="AM338" s="18"/>
      <c r="AN338" s="34"/>
      <c r="AO338" s="34"/>
      <c r="AP338" s="18"/>
      <c r="AQ338" s="110"/>
      <c r="AR338" s="110"/>
      <c r="AS338" s="110"/>
      <c r="AT338" s="31"/>
      <c r="AU338" s="18"/>
      <c r="AV338" s="18"/>
      <c r="AW338" s="18"/>
      <c r="AX338" s="18"/>
    </row>
    <row r="339" spans="1:50" ht="18.75" customHeight="1" x14ac:dyDescent="0.2">
      <c r="AA339" s="28" t="s">
        <v>288</v>
      </c>
      <c r="AB339" s="29" t="s">
        <v>129</v>
      </c>
      <c r="AC339" s="17"/>
      <c r="AD339" s="18"/>
      <c r="AE339" s="34"/>
      <c r="AF339" s="34"/>
      <c r="AG339" s="34"/>
      <c r="AH339" s="34"/>
      <c r="AI339" s="34"/>
      <c r="AJ339" s="18"/>
      <c r="AK339" s="34"/>
      <c r="AL339" s="34"/>
      <c r="AM339" s="18"/>
      <c r="AN339" s="34"/>
      <c r="AO339" s="34"/>
      <c r="AP339" s="18"/>
      <c r="AQ339" s="110"/>
      <c r="AR339" s="110"/>
      <c r="AS339" s="110"/>
      <c r="AT339" s="31"/>
      <c r="AU339" s="18"/>
      <c r="AV339" s="18"/>
      <c r="AW339" s="18"/>
      <c r="AX339" s="18"/>
    </row>
    <row r="340" spans="1:50" ht="18.75" customHeight="1" x14ac:dyDescent="0.2">
      <c r="A340" s="4" t="s">
        <v>325</v>
      </c>
      <c r="B340" s="4" t="s">
        <v>326</v>
      </c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1" t="s">
        <v>338</v>
      </c>
      <c r="AB340" s="42" t="s">
        <v>328</v>
      </c>
      <c r="AC340" s="43" t="s">
        <v>61</v>
      </c>
      <c r="AD340" s="43">
        <v>4197626620</v>
      </c>
      <c r="AE340" s="44">
        <v>0</v>
      </c>
      <c r="AF340" s="44">
        <v>0</v>
      </c>
      <c r="AG340" s="44">
        <v>0</v>
      </c>
      <c r="AH340" s="44">
        <v>0</v>
      </c>
      <c r="AI340" s="44">
        <v>0</v>
      </c>
      <c r="AJ340" s="43">
        <v>4197626620</v>
      </c>
      <c r="AK340" s="44">
        <v>0</v>
      </c>
      <c r="AL340" s="44">
        <v>0</v>
      </c>
      <c r="AM340" s="43">
        <v>2960532253</v>
      </c>
      <c r="AN340" s="44">
        <v>0</v>
      </c>
      <c r="AO340" s="44">
        <v>0</v>
      </c>
      <c r="AP340" s="43">
        <v>2960532253</v>
      </c>
      <c r="AQ340" s="115">
        <v>0</v>
      </c>
      <c r="AR340" s="114">
        <f>AS340-SEPTIEMBRE!AS335</f>
        <v>0</v>
      </c>
      <c r="AS340" s="114">
        <v>2960532253</v>
      </c>
      <c r="AT340" s="39">
        <f t="shared" ref="AT340" si="205">AQ340+AS340</f>
        <v>2960532253</v>
      </c>
      <c r="AU340" s="18">
        <f>AJ340-AM340</f>
        <v>1237094367</v>
      </c>
      <c r="AV340" s="34">
        <f>AM340-AP340</f>
        <v>0</v>
      </c>
      <c r="AW340" s="34">
        <f>AP340-AT340</f>
        <v>0</v>
      </c>
      <c r="AX340" s="123">
        <f>AP340/AJ340</f>
        <v>0.70528718273661029</v>
      </c>
    </row>
    <row r="341" spans="1:50" ht="18.75" customHeight="1" x14ac:dyDescent="0.2">
      <c r="AA341" s="28" t="s">
        <v>288</v>
      </c>
      <c r="AB341" s="29" t="s">
        <v>133</v>
      </c>
      <c r="AC341" s="17"/>
      <c r="AD341" s="18"/>
      <c r="AE341" s="34"/>
      <c r="AF341" s="34"/>
      <c r="AG341" s="34"/>
      <c r="AH341" s="34"/>
      <c r="AI341" s="34"/>
      <c r="AJ341" s="18"/>
      <c r="AK341" s="34"/>
      <c r="AL341" s="34"/>
      <c r="AM341" s="18"/>
      <c r="AN341" s="34"/>
      <c r="AO341" s="34"/>
      <c r="AP341" s="18"/>
      <c r="AQ341" s="133"/>
      <c r="AR341" s="110"/>
      <c r="AS341" s="110"/>
      <c r="AT341" s="31"/>
      <c r="AU341" s="18"/>
      <c r="AV341" s="18"/>
      <c r="AW341" s="34"/>
      <c r="AX341" s="18"/>
    </row>
    <row r="342" spans="1:50" ht="18.75" customHeight="1" x14ac:dyDescent="0.2">
      <c r="A342" s="4" t="s">
        <v>325</v>
      </c>
      <c r="B342" s="4" t="s">
        <v>326</v>
      </c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1" t="s">
        <v>339</v>
      </c>
      <c r="AB342" s="42" t="s">
        <v>328</v>
      </c>
      <c r="AC342" s="43" t="s">
        <v>61</v>
      </c>
      <c r="AD342" s="43">
        <v>701459880</v>
      </c>
      <c r="AE342" s="44">
        <v>0</v>
      </c>
      <c r="AF342" s="44">
        <v>0</v>
      </c>
      <c r="AG342" s="44">
        <v>0</v>
      </c>
      <c r="AH342" s="44">
        <v>0</v>
      </c>
      <c r="AI342" s="44">
        <v>0</v>
      </c>
      <c r="AJ342" s="43">
        <v>701459880</v>
      </c>
      <c r="AK342" s="44">
        <v>0</v>
      </c>
      <c r="AL342" s="44">
        <v>0</v>
      </c>
      <c r="AM342" s="43">
        <v>494959431</v>
      </c>
      <c r="AN342" s="44">
        <v>0</v>
      </c>
      <c r="AO342" s="44">
        <v>0</v>
      </c>
      <c r="AP342" s="43">
        <v>494959431</v>
      </c>
      <c r="AQ342" s="115">
        <v>0</v>
      </c>
      <c r="AR342" s="114">
        <f>AS342-SEPTIEMBRE!AS337</f>
        <v>0</v>
      </c>
      <c r="AS342" s="114">
        <v>494959431</v>
      </c>
      <c r="AT342" s="39">
        <f t="shared" ref="AT342" si="206">AQ342+AS342</f>
        <v>494959431</v>
      </c>
      <c r="AU342" s="18">
        <f>AJ342-AM342</f>
        <v>206500449</v>
      </c>
      <c r="AV342" s="34">
        <f>AM342-AP342</f>
        <v>0</v>
      </c>
      <c r="AW342" s="34">
        <f>AP342-AT342</f>
        <v>0</v>
      </c>
      <c r="AX342" s="123">
        <f>AP342/AJ342</f>
        <v>0.70561331462036003</v>
      </c>
    </row>
    <row r="343" spans="1:50" ht="18.75" customHeight="1" x14ac:dyDescent="0.2">
      <c r="AA343" s="28" t="s">
        <v>288</v>
      </c>
      <c r="AB343" s="29" t="s">
        <v>138</v>
      </c>
      <c r="AC343" s="17"/>
      <c r="AD343" s="18"/>
      <c r="AE343" s="34"/>
      <c r="AF343" s="34"/>
      <c r="AG343" s="34"/>
      <c r="AH343" s="34"/>
      <c r="AI343" s="34"/>
      <c r="AJ343" s="18"/>
      <c r="AK343" s="34"/>
      <c r="AL343" s="34"/>
      <c r="AM343" s="18"/>
      <c r="AN343" s="34"/>
      <c r="AO343" s="34"/>
      <c r="AP343" s="18"/>
      <c r="AQ343" s="133"/>
      <c r="AR343" s="110"/>
      <c r="AS343" s="110"/>
      <c r="AT343" s="31"/>
      <c r="AU343" s="18"/>
      <c r="AV343" s="18"/>
      <c r="AW343" s="34"/>
      <c r="AX343" s="18"/>
    </row>
    <row r="344" spans="1:50" ht="18.75" customHeight="1" x14ac:dyDescent="0.2">
      <c r="A344" s="4" t="s">
        <v>325</v>
      </c>
      <c r="B344" s="4" t="s">
        <v>326</v>
      </c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1" t="s">
        <v>340</v>
      </c>
      <c r="AB344" s="42" t="s">
        <v>328</v>
      </c>
      <c r="AC344" s="43" t="s">
        <v>61</v>
      </c>
      <c r="AD344" s="43">
        <v>701459880</v>
      </c>
      <c r="AE344" s="44">
        <v>0</v>
      </c>
      <c r="AF344" s="44">
        <v>0</v>
      </c>
      <c r="AG344" s="44">
        <v>0</v>
      </c>
      <c r="AH344" s="44">
        <v>0</v>
      </c>
      <c r="AI344" s="44">
        <v>0</v>
      </c>
      <c r="AJ344" s="43">
        <v>701459880</v>
      </c>
      <c r="AK344" s="44">
        <v>0</v>
      </c>
      <c r="AL344" s="44">
        <v>0</v>
      </c>
      <c r="AM344" s="43">
        <v>494959431</v>
      </c>
      <c r="AN344" s="44">
        <v>0</v>
      </c>
      <c r="AO344" s="44">
        <v>0</v>
      </c>
      <c r="AP344" s="43">
        <v>494959431</v>
      </c>
      <c r="AQ344" s="115">
        <v>0</v>
      </c>
      <c r="AR344" s="114">
        <f>AS344-SEPTIEMBRE!AS339</f>
        <v>0</v>
      </c>
      <c r="AS344" s="114">
        <v>494959431</v>
      </c>
      <c r="AT344" s="39">
        <f t="shared" ref="AT344:AT381" si="207">AQ344+AS344</f>
        <v>494959431</v>
      </c>
      <c r="AU344" s="18">
        <f>AJ344-AM344</f>
        <v>206500449</v>
      </c>
      <c r="AV344" s="34">
        <f>AM344-AP344</f>
        <v>0</v>
      </c>
      <c r="AW344" s="34">
        <f>AP344-AT344</f>
        <v>0</v>
      </c>
      <c r="AX344" s="123">
        <f>AP344/AJ344</f>
        <v>0.70561331462036003</v>
      </c>
    </row>
    <row r="345" spans="1:50" ht="25.5" x14ac:dyDescent="0.2">
      <c r="AA345" s="28" t="s">
        <v>288</v>
      </c>
      <c r="AB345" s="29" t="s">
        <v>145</v>
      </c>
      <c r="AC345" s="17"/>
      <c r="AD345" s="18"/>
      <c r="AE345" s="34"/>
      <c r="AF345" s="34"/>
      <c r="AG345" s="34"/>
      <c r="AH345" s="34"/>
      <c r="AI345" s="34"/>
      <c r="AJ345" s="18"/>
      <c r="AK345" s="34"/>
      <c r="AL345" s="34"/>
      <c r="AM345" s="18"/>
      <c r="AN345" s="34"/>
      <c r="AO345" s="34"/>
      <c r="AP345" s="18"/>
      <c r="AQ345" s="133"/>
      <c r="AR345" s="110"/>
      <c r="AS345" s="110"/>
      <c r="AT345" s="31"/>
      <c r="AU345" s="18"/>
      <c r="AV345" s="18"/>
      <c r="AW345" s="34"/>
      <c r="AX345" s="18"/>
    </row>
    <row r="346" spans="1:50" ht="18.75" customHeight="1" x14ac:dyDescent="0.2">
      <c r="A346" s="4" t="s">
        <v>325</v>
      </c>
      <c r="B346" s="4" t="s">
        <v>326</v>
      </c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1" t="s">
        <v>341</v>
      </c>
      <c r="AB346" s="42" t="s">
        <v>328</v>
      </c>
      <c r="AC346" s="43" t="s">
        <v>61</v>
      </c>
      <c r="AD346" s="43">
        <v>1400409285</v>
      </c>
      <c r="AE346" s="44">
        <v>0</v>
      </c>
      <c r="AF346" s="44">
        <v>0</v>
      </c>
      <c r="AG346" s="44">
        <v>0</v>
      </c>
      <c r="AH346" s="44">
        <v>0</v>
      </c>
      <c r="AI346" s="44">
        <v>0</v>
      </c>
      <c r="AJ346" s="43">
        <v>1400409285</v>
      </c>
      <c r="AK346" s="44">
        <v>0</v>
      </c>
      <c r="AL346" s="44">
        <v>0</v>
      </c>
      <c r="AM346" s="43">
        <v>988082692</v>
      </c>
      <c r="AN346" s="44">
        <v>0</v>
      </c>
      <c r="AO346" s="44">
        <v>0</v>
      </c>
      <c r="AP346" s="43">
        <v>988082692</v>
      </c>
      <c r="AQ346" s="115">
        <v>0</v>
      </c>
      <c r="AR346" s="114">
        <f>AS346-SEPTIEMBRE!AS341</f>
        <v>0</v>
      </c>
      <c r="AS346" s="114">
        <v>988082692</v>
      </c>
      <c r="AT346" s="39">
        <f t="shared" si="207"/>
        <v>988082692</v>
      </c>
      <c r="AU346" s="18">
        <f>AJ346-AM346</f>
        <v>412326593</v>
      </c>
      <c r="AV346" s="34">
        <f>AM346-AP346</f>
        <v>0</v>
      </c>
      <c r="AW346" s="34">
        <f>AP346-AT346</f>
        <v>0</v>
      </c>
      <c r="AX346" s="123">
        <f>AP346/AJ346</f>
        <v>0.70556708141220303</v>
      </c>
    </row>
    <row r="347" spans="1:50" ht="28.5" customHeight="1" x14ac:dyDescent="0.2">
      <c r="AA347" s="16"/>
      <c r="AB347" s="29" t="s">
        <v>149</v>
      </c>
      <c r="AC347" s="17"/>
      <c r="AD347" s="18"/>
      <c r="AE347" s="34"/>
      <c r="AF347" s="34"/>
      <c r="AG347" s="34"/>
      <c r="AH347" s="34"/>
      <c r="AI347" s="34"/>
      <c r="AJ347" s="18"/>
      <c r="AK347" s="34"/>
      <c r="AL347" s="18"/>
      <c r="AM347" s="18"/>
      <c r="AN347" s="34"/>
      <c r="AO347" s="34"/>
      <c r="AP347" s="18"/>
      <c r="AQ347" s="34"/>
      <c r="AR347" s="34"/>
      <c r="AS347" s="34"/>
      <c r="AT347" s="31"/>
      <c r="AU347" s="18"/>
      <c r="AV347" s="18"/>
      <c r="AW347" s="18"/>
      <c r="AX347" s="18"/>
    </row>
    <row r="348" spans="1:50" ht="18.75" customHeight="1" x14ac:dyDescent="0.2">
      <c r="AA348" s="16"/>
      <c r="AB348" s="29" t="s">
        <v>81</v>
      </c>
      <c r="AC348" s="17"/>
      <c r="AD348" s="18"/>
      <c r="AE348" s="34"/>
      <c r="AF348" s="34"/>
      <c r="AG348" s="34"/>
      <c r="AH348" s="34"/>
      <c r="AI348" s="34"/>
      <c r="AJ348" s="18"/>
      <c r="AK348" s="34"/>
      <c r="AL348" s="18"/>
      <c r="AM348" s="18"/>
      <c r="AN348" s="34"/>
      <c r="AO348" s="34"/>
      <c r="AP348" s="18"/>
      <c r="AQ348" s="34"/>
      <c r="AR348" s="34"/>
      <c r="AS348" s="34"/>
      <c r="AT348" s="31"/>
      <c r="AU348" s="18"/>
      <c r="AV348" s="18"/>
      <c r="AW348" s="18"/>
      <c r="AX348" s="18"/>
    </row>
    <row r="349" spans="1:50" ht="18.75" customHeight="1" x14ac:dyDescent="0.2">
      <c r="AA349" s="28" t="s">
        <v>288</v>
      </c>
      <c r="AB349" s="29" t="s">
        <v>152</v>
      </c>
      <c r="AC349" s="17"/>
      <c r="AD349" s="18"/>
      <c r="AE349" s="34"/>
      <c r="AF349" s="34"/>
      <c r="AG349" s="34"/>
      <c r="AH349" s="34"/>
      <c r="AI349" s="34"/>
      <c r="AJ349" s="18"/>
      <c r="AK349" s="34"/>
      <c r="AL349" s="18"/>
      <c r="AM349" s="18"/>
      <c r="AN349" s="34"/>
      <c r="AO349" s="34"/>
      <c r="AP349" s="18"/>
      <c r="AQ349" s="34"/>
      <c r="AR349" s="34"/>
      <c r="AS349" s="34"/>
      <c r="AT349" s="31"/>
      <c r="AU349" s="18"/>
      <c r="AV349" s="18"/>
      <c r="AW349" s="18"/>
      <c r="AX349" s="18"/>
    </row>
    <row r="350" spans="1:50" ht="18.75" customHeight="1" x14ac:dyDescent="0.2">
      <c r="A350" s="4" t="s">
        <v>325</v>
      </c>
      <c r="B350" s="4" t="s">
        <v>326</v>
      </c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1" t="s">
        <v>342</v>
      </c>
      <c r="AB350" s="42" t="s">
        <v>328</v>
      </c>
      <c r="AC350" s="43" t="s">
        <v>61</v>
      </c>
      <c r="AD350" s="43">
        <v>10068147601</v>
      </c>
      <c r="AE350" s="44">
        <v>0</v>
      </c>
      <c r="AF350" s="44">
        <v>0</v>
      </c>
      <c r="AG350" s="43">
        <v>6772574709</v>
      </c>
      <c r="AH350" s="44">
        <v>0</v>
      </c>
      <c r="AI350" s="18">
        <f>AE350-AF350+AG350-AH350</f>
        <v>6772574709</v>
      </c>
      <c r="AJ350" s="18">
        <f>AD350+AI350</f>
        <v>16840722310</v>
      </c>
      <c r="AK350" s="44">
        <v>0</v>
      </c>
      <c r="AL350" s="43">
        <v>0</v>
      </c>
      <c r="AM350" s="43">
        <v>8589811870</v>
      </c>
      <c r="AN350" s="44">
        <v>0</v>
      </c>
      <c r="AO350" s="44">
        <v>0</v>
      </c>
      <c r="AP350" s="43">
        <v>8589811870</v>
      </c>
      <c r="AQ350" s="44">
        <v>0</v>
      </c>
      <c r="AR350" s="114">
        <f>AS350-SEPTIEMBRE!AS345</f>
        <v>442352333</v>
      </c>
      <c r="AS350" s="114">
        <v>8589811870</v>
      </c>
      <c r="AT350" s="39">
        <f t="shared" ref="AT350" si="208">AQ350+AS350</f>
        <v>8589811870</v>
      </c>
      <c r="AU350" s="18">
        <f>AJ350-AM350</f>
        <v>8250910440</v>
      </c>
      <c r="AV350" s="34">
        <f>AM350-AP350</f>
        <v>0</v>
      </c>
      <c r="AW350" s="18">
        <f>AP350-AT350</f>
        <v>0</v>
      </c>
      <c r="AX350" s="123">
        <f>AP350/AJ350</f>
        <v>0.51006196241947299</v>
      </c>
    </row>
    <row r="351" spans="1:50" ht="18.75" customHeight="1" x14ac:dyDescent="0.2">
      <c r="AA351" s="28" t="s">
        <v>288</v>
      </c>
      <c r="AB351" s="29" t="s">
        <v>343</v>
      </c>
      <c r="AC351" s="17"/>
      <c r="AD351" s="18"/>
      <c r="AE351" s="34"/>
      <c r="AF351" s="34"/>
      <c r="AG351" s="34"/>
      <c r="AH351" s="34"/>
      <c r="AI351" s="34"/>
      <c r="AJ351" s="18"/>
      <c r="AK351" s="34"/>
      <c r="AL351" s="18"/>
      <c r="AM351" s="18"/>
      <c r="AN351" s="34"/>
      <c r="AO351" s="34"/>
      <c r="AP351" s="18"/>
      <c r="AQ351" s="34"/>
      <c r="AR351" s="34"/>
      <c r="AS351" s="34"/>
      <c r="AT351" s="31"/>
      <c r="AU351" s="18"/>
      <c r="AV351" s="18"/>
      <c r="AW351" s="34"/>
      <c r="AX351" s="18"/>
    </row>
    <row r="352" spans="1:50" ht="18.75" customHeight="1" x14ac:dyDescent="0.2">
      <c r="A352" s="4" t="s">
        <v>325</v>
      </c>
      <c r="B352" s="4" t="s">
        <v>326</v>
      </c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1" t="s">
        <v>344</v>
      </c>
      <c r="AB352" s="42" t="s">
        <v>328</v>
      </c>
      <c r="AC352" s="43" t="s">
        <v>61</v>
      </c>
      <c r="AD352" s="43">
        <v>10000000</v>
      </c>
      <c r="AE352" s="44">
        <v>0</v>
      </c>
      <c r="AF352" s="44">
        <v>0</v>
      </c>
      <c r="AG352" s="44">
        <v>0</v>
      </c>
      <c r="AH352" s="44">
        <v>0</v>
      </c>
      <c r="AI352" s="44">
        <v>0</v>
      </c>
      <c r="AJ352" s="43">
        <v>10000000</v>
      </c>
      <c r="AK352" s="44">
        <v>0</v>
      </c>
      <c r="AL352" s="44">
        <v>0</v>
      </c>
      <c r="AM352" s="44">
        <v>0</v>
      </c>
      <c r="AN352" s="44">
        <v>0</v>
      </c>
      <c r="AO352" s="44">
        <v>0</v>
      </c>
      <c r="AP352" s="44">
        <v>0</v>
      </c>
      <c r="AQ352" s="44">
        <v>0</v>
      </c>
      <c r="AR352" s="44">
        <v>0</v>
      </c>
      <c r="AS352" s="44">
        <v>0</v>
      </c>
      <c r="AT352" s="40">
        <f t="shared" ref="AT352" si="209">AQ352+AS352</f>
        <v>0</v>
      </c>
      <c r="AU352" s="18">
        <f>AJ352-AM352</f>
        <v>10000000</v>
      </c>
      <c r="AV352" s="34">
        <f>AM352-AP352</f>
        <v>0</v>
      </c>
      <c r="AW352" s="34">
        <f>AP352-AT352</f>
        <v>0</v>
      </c>
      <c r="AX352" s="123">
        <f>AP352/AJ352</f>
        <v>0</v>
      </c>
    </row>
    <row r="353" spans="1:50" ht="18.75" customHeight="1" x14ac:dyDescent="0.2">
      <c r="AA353" s="16"/>
      <c r="AB353" s="29" t="s">
        <v>355</v>
      </c>
      <c r="AC353" s="17"/>
      <c r="AD353" s="18"/>
      <c r="AE353" s="34"/>
      <c r="AF353" s="34"/>
      <c r="AG353" s="34"/>
      <c r="AH353" s="34"/>
      <c r="AI353" s="34"/>
      <c r="AJ353" s="18"/>
      <c r="AK353" s="18"/>
      <c r="AL353" s="34"/>
      <c r="AM353" s="18"/>
      <c r="AN353" s="18"/>
      <c r="AO353" s="34"/>
      <c r="AP353" s="18"/>
      <c r="AQ353" s="18"/>
      <c r="AR353" s="18"/>
      <c r="AS353" s="18"/>
      <c r="AT353" s="30"/>
      <c r="AU353" s="18"/>
      <c r="AV353" s="18"/>
      <c r="AW353" s="18"/>
      <c r="AX353" s="18"/>
    </row>
    <row r="354" spans="1:50" ht="18.75" customHeight="1" x14ac:dyDescent="0.2">
      <c r="AA354" s="16"/>
      <c r="AB354" s="29" t="s">
        <v>320</v>
      </c>
      <c r="AC354" s="17"/>
      <c r="AD354" s="18"/>
      <c r="AE354" s="34"/>
      <c r="AF354" s="34"/>
      <c r="AG354" s="34"/>
      <c r="AH354" s="34"/>
      <c r="AI354" s="34"/>
      <c r="AJ354" s="18"/>
      <c r="AK354" s="18"/>
      <c r="AL354" s="34"/>
      <c r="AM354" s="18"/>
      <c r="AN354" s="18"/>
      <c r="AO354" s="34"/>
      <c r="AP354" s="18"/>
      <c r="AQ354" s="18"/>
      <c r="AR354" s="18"/>
      <c r="AS354" s="18"/>
      <c r="AT354" s="30"/>
      <c r="AU354" s="18"/>
      <c r="AV354" s="18"/>
      <c r="AW354" s="18"/>
      <c r="AX354" s="18"/>
    </row>
    <row r="355" spans="1:50" ht="18.75" customHeight="1" x14ac:dyDescent="0.2">
      <c r="AA355" s="16"/>
      <c r="AB355" s="29" t="s">
        <v>46</v>
      </c>
      <c r="AC355" s="17"/>
      <c r="AD355" s="18"/>
      <c r="AE355" s="34"/>
      <c r="AF355" s="34"/>
      <c r="AG355" s="34"/>
      <c r="AH355" s="34"/>
      <c r="AI355" s="34"/>
      <c r="AJ355" s="18"/>
      <c r="AK355" s="18"/>
      <c r="AL355" s="34"/>
      <c r="AM355" s="18"/>
      <c r="AN355" s="18"/>
      <c r="AO355" s="34"/>
      <c r="AP355" s="18"/>
      <c r="AQ355" s="18"/>
      <c r="AR355" s="18"/>
      <c r="AS355" s="18"/>
      <c r="AT355" s="30"/>
      <c r="AU355" s="18"/>
      <c r="AV355" s="18"/>
      <c r="AW355" s="18"/>
      <c r="AX355" s="18"/>
    </row>
    <row r="356" spans="1:50" ht="18.75" customHeight="1" x14ac:dyDescent="0.2">
      <c r="AA356" s="16"/>
      <c r="AB356" s="29" t="s">
        <v>48</v>
      </c>
      <c r="AC356" s="17"/>
      <c r="AD356" s="18"/>
      <c r="AE356" s="34"/>
      <c r="AF356" s="34"/>
      <c r="AG356" s="34"/>
      <c r="AH356" s="34"/>
      <c r="AI356" s="34"/>
      <c r="AJ356" s="18"/>
      <c r="AK356" s="18"/>
      <c r="AL356" s="34"/>
      <c r="AM356" s="18"/>
      <c r="AN356" s="18"/>
      <c r="AO356" s="34"/>
      <c r="AP356" s="18"/>
      <c r="AQ356" s="18"/>
      <c r="AR356" s="18"/>
      <c r="AS356" s="18"/>
      <c r="AT356" s="30"/>
      <c r="AU356" s="18"/>
      <c r="AV356" s="18"/>
      <c r="AW356" s="18"/>
      <c r="AX356" s="18"/>
    </row>
    <row r="357" spans="1:50" ht="18.75" customHeight="1" x14ac:dyDescent="0.2">
      <c r="AA357" s="16"/>
      <c r="AB357" s="29" t="s">
        <v>52</v>
      </c>
      <c r="AC357" s="17"/>
      <c r="AD357" s="18"/>
      <c r="AE357" s="34"/>
      <c r="AF357" s="34"/>
      <c r="AG357" s="34"/>
      <c r="AH357" s="34"/>
      <c r="AI357" s="34"/>
      <c r="AJ357" s="18"/>
      <c r="AK357" s="18"/>
      <c r="AL357" s="34"/>
      <c r="AM357" s="18"/>
      <c r="AN357" s="18"/>
      <c r="AO357" s="34"/>
      <c r="AP357" s="18"/>
      <c r="AQ357" s="18"/>
      <c r="AR357" s="18"/>
      <c r="AS357" s="18"/>
      <c r="AT357" s="30"/>
      <c r="AU357" s="18"/>
      <c r="AV357" s="18"/>
      <c r="AW357" s="18"/>
      <c r="AX357" s="18"/>
    </row>
    <row r="358" spans="1:50" ht="18.75" customHeight="1" x14ac:dyDescent="0.2">
      <c r="AA358" s="28" t="s">
        <v>288</v>
      </c>
      <c r="AB358" s="29" t="s">
        <v>54</v>
      </c>
      <c r="AC358" s="17"/>
      <c r="AD358" s="18"/>
      <c r="AE358" s="34"/>
      <c r="AF358" s="34"/>
      <c r="AG358" s="34"/>
      <c r="AH358" s="34"/>
      <c r="AI358" s="34"/>
      <c r="AJ358" s="18"/>
      <c r="AK358" s="18"/>
      <c r="AL358" s="34"/>
      <c r="AM358" s="18"/>
      <c r="AN358" s="18"/>
      <c r="AO358" s="34"/>
      <c r="AP358" s="18"/>
      <c r="AQ358" s="18"/>
      <c r="AR358" s="18"/>
      <c r="AS358" s="18"/>
      <c r="AT358" s="30"/>
      <c r="AU358" s="18"/>
      <c r="AV358" s="18"/>
      <c r="AW358" s="18"/>
      <c r="AX358" s="18"/>
    </row>
    <row r="359" spans="1:50" ht="18.75" customHeight="1" x14ac:dyDescent="0.2">
      <c r="A359" s="4" t="s">
        <v>55</v>
      </c>
      <c r="B359" s="4" t="s">
        <v>56</v>
      </c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1" t="s">
        <v>323</v>
      </c>
      <c r="AB359" s="42" t="s">
        <v>324</v>
      </c>
      <c r="AC359" s="43" t="s">
        <v>61</v>
      </c>
      <c r="AD359" s="43">
        <v>10521612007</v>
      </c>
      <c r="AE359" s="44">
        <v>0</v>
      </c>
      <c r="AF359" s="44">
        <v>0</v>
      </c>
      <c r="AG359" s="44">
        <v>0</v>
      </c>
      <c r="AH359" s="33">
        <v>342310654</v>
      </c>
      <c r="AI359" s="18">
        <f>AE359-AF359+AG359-AH359</f>
        <v>-342310654</v>
      </c>
      <c r="AJ359" s="18">
        <f>AD359+AI359</f>
        <v>10179301353</v>
      </c>
      <c r="AK359" s="44">
        <v>0</v>
      </c>
      <c r="AL359" s="43">
        <v>0</v>
      </c>
      <c r="AM359" s="43">
        <v>6537488628</v>
      </c>
      <c r="AN359" s="44">
        <v>0</v>
      </c>
      <c r="AO359" s="44">
        <v>0</v>
      </c>
      <c r="AP359" s="43">
        <v>6537488628</v>
      </c>
      <c r="AQ359" s="44">
        <v>4244314</v>
      </c>
      <c r="AR359" s="43">
        <f>AS359-SEPTIEMBRE!AS354</f>
        <v>1142259428</v>
      </c>
      <c r="AS359" s="43">
        <v>6533244314</v>
      </c>
      <c r="AT359" s="39">
        <f t="shared" ref="AT359" si="210">AQ359+AS359</f>
        <v>6537488628</v>
      </c>
      <c r="AU359" s="18">
        <f>AJ359-AM359</f>
        <v>3641812725</v>
      </c>
      <c r="AV359" s="34">
        <f>AM359-AP359</f>
        <v>0</v>
      </c>
      <c r="AW359" s="34">
        <f>AP359-AT359</f>
        <v>0</v>
      </c>
      <c r="AX359" s="123">
        <f>AP359/AJ359</f>
        <v>0.64223352873557471</v>
      </c>
    </row>
    <row r="360" spans="1:50" x14ac:dyDescent="0.2">
      <c r="AA360" s="28" t="s">
        <v>288</v>
      </c>
      <c r="AB360" s="29" t="s">
        <v>63</v>
      </c>
      <c r="AC360" s="17"/>
      <c r="AD360" s="18"/>
      <c r="AE360" s="34"/>
      <c r="AF360" s="34"/>
      <c r="AG360" s="34"/>
      <c r="AH360" s="34"/>
      <c r="AI360" s="34"/>
      <c r="AJ360" s="18"/>
      <c r="AK360" s="34"/>
      <c r="AL360" s="18"/>
      <c r="AM360" s="18"/>
      <c r="AN360" s="34"/>
      <c r="AO360" s="34"/>
      <c r="AP360" s="18"/>
      <c r="AQ360" s="34"/>
      <c r="AR360" s="34"/>
      <c r="AS360" s="18"/>
      <c r="AT360" s="30"/>
      <c r="AU360" s="18"/>
      <c r="AV360" s="18"/>
      <c r="AW360" s="34"/>
      <c r="AX360" s="18"/>
    </row>
    <row r="361" spans="1:50" ht="18.75" customHeight="1" x14ac:dyDescent="0.2">
      <c r="A361" s="4" t="s">
        <v>325</v>
      </c>
      <c r="B361" s="4" t="s">
        <v>326</v>
      </c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1" t="s">
        <v>349</v>
      </c>
      <c r="AB361" s="42" t="s">
        <v>328</v>
      </c>
      <c r="AC361" s="43" t="s">
        <v>61</v>
      </c>
      <c r="AD361" s="43">
        <v>112494898</v>
      </c>
      <c r="AE361" s="44">
        <v>0</v>
      </c>
      <c r="AF361" s="44">
        <v>0</v>
      </c>
      <c r="AG361" s="44">
        <v>0</v>
      </c>
      <c r="AH361" s="44">
        <v>0</v>
      </c>
      <c r="AI361" s="44">
        <v>0</v>
      </c>
      <c r="AJ361" s="43">
        <v>112494898</v>
      </c>
      <c r="AK361" s="44">
        <v>0</v>
      </c>
      <c r="AL361" s="43">
        <v>0</v>
      </c>
      <c r="AM361" s="43">
        <v>97848237</v>
      </c>
      <c r="AN361" s="44">
        <v>0</v>
      </c>
      <c r="AO361" s="44">
        <v>0</v>
      </c>
      <c r="AP361" s="43">
        <v>97848237</v>
      </c>
      <c r="AQ361" s="44">
        <v>0</v>
      </c>
      <c r="AR361" s="43">
        <f>AS361-SEPTIEMBRE!AS356</f>
        <v>2674546</v>
      </c>
      <c r="AS361" s="43">
        <v>97848237</v>
      </c>
      <c r="AT361" s="39">
        <f t="shared" si="207"/>
        <v>97848237</v>
      </c>
      <c r="AU361" s="18">
        <f>AJ361-AM361</f>
        <v>14646661</v>
      </c>
      <c r="AV361" s="34">
        <f>AM361-AP361</f>
        <v>0</v>
      </c>
      <c r="AW361" s="34">
        <f>AP361-AT361</f>
        <v>0</v>
      </c>
      <c r="AX361" s="123">
        <f>AP361/AJ361</f>
        <v>0.86980155313354746</v>
      </c>
    </row>
    <row r="362" spans="1:50" ht="18.75" customHeight="1" x14ac:dyDescent="0.2">
      <c r="AA362" s="28" t="s">
        <v>288</v>
      </c>
      <c r="AB362" s="29" t="s">
        <v>71</v>
      </c>
      <c r="AC362" s="17"/>
      <c r="AD362" s="18"/>
      <c r="AE362" s="34"/>
      <c r="AF362" s="34"/>
      <c r="AG362" s="34"/>
      <c r="AH362" s="34"/>
      <c r="AI362" s="34"/>
      <c r="AJ362" s="18"/>
      <c r="AK362" s="34"/>
      <c r="AL362" s="18"/>
      <c r="AM362" s="18"/>
      <c r="AN362" s="34"/>
      <c r="AO362" s="18"/>
      <c r="AP362" s="18"/>
      <c r="AQ362" s="34"/>
      <c r="AR362" s="34"/>
      <c r="AS362" s="18"/>
      <c r="AT362" s="30"/>
      <c r="AU362" s="18"/>
      <c r="AV362" s="18"/>
      <c r="AW362" s="34"/>
      <c r="AX362" s="18"/>
    </row>
    <row r="363" spans="1:50" ht="18.75" customHeight="1" x14ac:dyDescent="0.2">
      <c r="A363" s="4" t="s">
        <v>325</v>
      </c>
      <c r="B363" s="4" t="s">
        <v>326</v>
      </c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1" t="s">
        <v>327</v>
      </c>
      <c r="AB363" s="42" t="s">
        <v>328</v>
      </c>
      <c r="AC363" s="43" t="s">
        <v>61</v>
      </c>
      <c r="AD363" s="43">
        <v>532969656</v>
      </c>
      <c r="AE363" s="44">
        <v>0</v>
      </c>
      <c r="AF363" s="44">
        <v>0</v>
      </c>
      <c r="AG363" s="44">
        <v>0</v>
      </c>
      <c r="AH363" s="44">
        <v>0</v>
      </c>
      <c r="AI363" s="44">
        <v>0</v>
      </c>
      <c r="AJ363" s="43">
        <v>532969656</v>
      </c>
      <c r="AK363" s="44">
        <v>0</v>
      </c>
      <c r="AL363" s="43">
        <v>0</v>
      </c>
      <c r="AM363" s="43">
        <v>487521626</v>
      </c>
      <c r="AN363" s="44">
        <v>0</v>
      </c>
      <c r="AO363" s="44">
        <v>0</v>
      </c>
      <c r="AP363" s="43">
        <v>487521626</v>
      </c>
      <c r="AQ363" s="44">
        <v>0</v>
      </c>
      <c r="AR363" s="43">
        <f>AS363-SEPTIEMBRE!AS358</f>
        <v>478178631</v>
      </c>
      <c r="AS363" s="43">
        <v>487521626</v>
      </c>
      <c r="AT363" s="39">
        <f t="shared" si="207"/>
        <v>487521626</v>
      </c>
      <c r="AU363" s="18">
        <f>AJ363-AM363</f>
        <v>45448030</v>
      </c>
      <c r="AV363" s="34">
        <f>AM363-AP363</f>
        <v>0</v>
      </c>
      <c r="AW363" s="34">
        <f>AP363-AT363</f>
        <v>0</v>
      </c>
      <c r="AX363" s="123">
        <f>AP363/AJ363</f>
        <v>0.91472679637881671</v>
      </c>
    </row>
    <row r="364" spans="1:50" ht="18.75" customHeight="1" x14ac:dyDescent="0.2">
      <c r="AA364" s="28" t="s">
        <v>288</v>
      </c>
      <c r="AB364" s="29" t="s">
        <v>76</v>
      </c>
      <c r="AC364" s="17"/>
      <c r="AD364" s="18"/>
      <c r="AE364" s="34"/>
      <c r="AF364" s="34"/>
      <c r="AG364" s="34"/>
      <c r="AH364" s="34"/>
      <c r="AI364" s="34"/>
      <c r="AJ364" s="18"/>
      <c r="AK364" s="34"/>
      <c r="AL364" s="18"/>
      <c r="AM364" s="18"/>
      <c r="AN364" s="34"/>
      <c r="AO364" s="34"/>
      <c r="AP364" s="18"/>
      <c r="AQ364" s="34"/>
      <c r="AR364" s="34"/>
      <c r="AS364" s="18"/>
      <c r="AT364" s="30"/>
      <c r="AU364" s="18"/>
      <c r="AV364" s="18"/>
      <c r="AW364" s="34"/>
      <c r="AX364" s="18"/>
    </row>
    <row r="365" spans="1:50" ht="18.75" customHeight="1" x14ac:dyDescent="0.2">
      <c r="A365" s="4" t="s">
        <v>325</v>
      </c>
      <c r="B365" s="4" t="s">
        <v>326</v>
      </c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1" t="s">
        <v>329</v>
      </c>
      <c r="AB365" s="42" t="s">
        <v>328</v>
      </c>
      <c r="AC365" s="43" t="s">
        <v>61</v>
      </c>
      <c r="AD365" s="43">
        <v>318686698</v>
      </c>
      <c r="AE365" s="44">
        <v>0</v>
      </c>
      <c r="AF365" s="44">
        <v>0</v>
      </c>
      <c r="AG365" s="44">
        <v>0</v>
      </c>
      <c r="AH365" s="44">
        <v>0</v>
      </c>
      <c r="AI365" s="44">
        <v>0</v>
      </c>
      <c r="AJ365" s="43">
        <v>318686698</v>
      </c>
      <c r="AK365" s="44">
        <v>0</v>
      </c>
      <c r="AL365" s="43">
        <v>0</v>
      </c>
      <c r="AM365" s="43">
        <v>315588723</v>
      </c>
      <c r="AN365" s="44">
        <v>0</v>
      </c>
      <c r="AO365" s="44">
        <v>0</v>
      </c>
      <c r="AP365" s="43">
        <v>315588723</v>
      </c>
      <c r="AQ365" s="44">
        <v>0</v>
      </c>
      <c r="AR365" s="43">
        <f>AS365-SEPTIEMBRE!AS360</f>
        <v>112707544</v>
      </c>
      <c r="AS365" s="43">
        <v>315588723</v>
      </c>
      <c r="AT365" s="39">
        <f t="shared" si="207"/>
        <v>315588723</v>
      </c>
      <c r="AU365" s="18">
        <f>AJ365-AM365</f>
        <v>3097975</v>
      </c>
      <c r="AV365" s="34">
        <f>AM365-AP365</f>
        <v>0</v>
      </c>
      <c r="AW365" s="34">
        <f>AP365-AT365</f>
        <v>0</v>
      </c>
      <c r="AX365" s="123">
        <f>AP365/AJ365</f>
        <v>0.99027893219440244</v>
      </c>
    </row>
    <row r="366" spans="1:50" ht="18.75" customHeight="1" x14ac:dyDescent="0.2">
      <c r="AA366" s="16"/>
      <c r="AB366" s="17"/>
      <c r="AC366" s="17"/>
      <c r="AD366" s="18"/>
      <c r="AE366" s="34"/>
      <c r="AF366" s="34"/>
      <c r="AG366" s="34"/>
      <c r="AH366" s="34"/>
      <c r="AI366" s="34"/>
      <c r="AJ366" s="18"/>
      <c r="AK366" s="18"/>
      <c r="AL366" s="18"/>
      <c r="AM366" s="18"/>
      <c r="AN366" s="34"/>
      <c r="AO366" s="34"/>
      <c r="AP366" s="18"/>
      <c r="AQ366" s="18"/>
      <c r="AR366" s="34"/>
      <c r="AS366" s="18"/>
      <c r="AT366" s="30"/>
      <c r="AU366" s="18"/>
      <c r="AV366" s="18"/>
      <c r="AW366" s="18"/>
      <c r="AX366" s="18"/>
    </row>
    <row r="367" spans="1:50" ht="18.75" customHeight="1" x14ac:dyDescent="0.2">
      <c r="AA367" s="16"/>
      <c r="AB367" s="29" t="s">
        <v>81</v>
      </c>
      <c r="AC367" s="17"/>
      <c r="AD367" s="18"/>
      <c r="AE367" s="34"/>
      <c r="AF367" s="34"/>
      <c r="AG367" s="34"/>
      <c r="AH367" s="34"/>
      <c r="AI367" s="34"/>
      <c r="AJ367" s="18"/>
      <c r="AK367" s="18"/>
      <c r="AL367" s="18"/>
      <c r="AM367" s="18"/>
      <c r="AN367" s="34"/>
      <c r="AO367" s="34"/>
      <c r="AP367" s="18"/>
      <c r="AQ367" s="18"/>
      <c r="AR367" s="34"/>
      <c r="AS367" s="18"/>
      <c r="AT367" s="30"/>
      <c r="AU367" s="18"/>
      <c r="AV367" s="18"/>
      <c r="AW367" s="18"/>
      <c r="AX367" s="18"/>
    </row>
    <row r="368" spans="1:50" ht="18.75" customHeight="1" x14ac:dyDescent="0.2">
      <c r="AA368" s="28" t="s">
        <v>288</v>
      </c>
      <c r="AB368" s="29" t="s">
        <v>83</v>
      </c>
      <c r="AC368" s="17"/>
      <c r="AD368" s="18"/>
      <c r="AE368" s="34"/>
      <c r="AF368" s="34"/>
      <c r="AG368" s="34"/>
      <c r="AH368" s="34"/>
      <c r="AI368" s="34"/>
      <c r="AJ368" s="18"/>
      <c r="AK368" s="18"/>
      <c r="AL368" s="18"/>
      <c r="AM368" s="18"/>
      <c r="AN368" s="34"/>
      <c r="AO368" s="34"/>
      <c r="AP368" s="18"/>
      <c r="AQ368" s="18"/>
      <c r="AR368" s="34"/>
      <c r="AS368" s="18"/>
      <c r="AT368" s="30"/>
      <c r="AU368" s="18"/>
      <c r="AV368" s="18"/>
      <c r="AW368" s="18"/>
      <c r="AX368" s="18"/>
    </row>
    <row r="369" spans="1:50" ht="18.75" customHeight="1" x14ac:dyDescent="0.2">
      <c r="A369" s="4" t="s">
        <v>325</v>
      </c>
      <c r="B369" s="4" t="s">
        <v>326</v>
      </c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1" t="s">
        <v>330</v>
      </c>
      <c r="AB369" s="42" t="s">
        <v>328</v>
      </c>
      <c r="AC369" s="43" t="s">
        <v>61</v>
      </c>
      <c r="AD369" s="43">
        <v>1177756920</v>
      </c>
      <c r="AE369" s="44">
        <v>0</v>
      </c>
      <c r="AF369" s="44">
        <v>0</v>
      </c>
      <c r="AG369" s="44">
        <v>0</v>
      </c>
      <c r="AH369" s="44">
        <v>0</v>
      </c>
      <c r="AI369" s="44">
        <v>0</v>
      </c>
      <c r="AJ369" s="43">
        <v>1177756920</v>
      </c>
      <c r="AK369" s="44">
        <v>0</v>
      </c>
      <c r="AL369" s="43">
        <v>0</v>
      </c>
      <c r="AM369" s="43">
        <v>30569096</v>
      </c>
      <c r="AN369" s="44">
        <v>0</v>
      </c>
      <c r="AO369" s="44">
        <v>0</v>
      </c>
      <c r="AP369" s="110">
        <v>30569096</v>
      </c>
      <c r="AQ369" s="34">
        <v>0</v>
      </c>
      <c r="AR369" s="18">
        <f>AS369-SEPTIEMBRE!AS364</f>
        <v>10131324</v>
      </c>
      <c r="AS369" s="110">
        <v>30569096</v>
      </c>
      <c r="AT369" s="39">
        <f t="shared" ref="AT369" si="211">AQ369+AS369</f>
        <v>30569096</v>
      </c>
      <c r="AU369" s="18">
        <f>AJ369-AM369</f>
        <v>1147187824</v>
      </c>
      <c r="AV369" s="34">
        <f>AM369-AP369</f>
        <v>0</v>
      </c>
      <c r="AW369" s="34">
        <f>AP369-AT369</f>
        <v>0</v>
      </c>
      <c r="AX369" s="123">
        <f>AP369/AJ369</f>
        <v>2.5955352484789477E-2</v>
      </c>
    </row>
    <row r="370" spans="1:50" ht="18.75" customHeight="1" x14ac:dyDescent="0.2">
      <c r="AA370" s="28" t="s">
        <v>288</v>
      </c>
      <c r="AB370" s="29" t="s">
        <v>88</v>
      </c>
      <c r="AC370" s="17"/>
      <c r="AD370" s="18"/>
      <c r="AE370" s="34"/>
      <c r="AF370" s="34"/>
      <c r="AG370" s="34"/>
      <c r="AH370" s="34"/>
      <c r="AI370" s="34"/>
      <c r="AJ370" s="18"/>
      <c r="AK370" s="34"/>
      <c r="AL370" s="34"/>
      <c r="AM370" s="18"/>
      <c r="AN370" s="34"/>
      <c r="AO370" s="34"/>
      <c r="AP370" s="18"/>
      <c r="AQ370" s="18"/>
      <c r="AR370" s="34"/>
      <c r="AS370" s="18"/>
      <c r="AT370" s="30"/>
      <c r="AU370" s="18"/>
      <c r="AV370" s="18"/>
      <c r="AW370" s="34"/>
      <c r="AX370" s="18"/>
    </row>
    <row r="371" spans="1:50" ht="18.75" customHeight="1" x14ac:dyDescent="0.2">
      <c r="A371" s="4" t="s">
        <v>325</v>
      </c>
      <c r="B371" s="4" t="s">
        <v>326</v>
      </c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1" t="s">
        <v>331</v>
      </c>
      <c r="AB371" s="42" t="s">
        <v>328</v>
      </c>
      <c r="AC371" s="43" t="s">
        <v>61</v>
      </c>
      <c r="AD371" s="43">
        <v>565323320</v>
      </c>
      <c r="AE371" s="44">
        <v>0</v>
      </c>
      <c r="AF371" s="44">
        <v>0</v>
      </c>
      <c r="AG371" s="44">
        <v>0</v>
      </c>
      <c r="AH371" s="44">
        <v>0</v>
      </c>
      <c r="AI371" s="44">
        <v>0</v>
      </c>
      <c r="AJ371" s="43">
        <v>565323320</v>
      </c>
      <c r="AK371" s="44">
        <v>0</v>
      </c>
      <c r="AL371" s="44">
        <v>0</v>
      </c>
      <c r="AM371" s="43">
        <v>1527575</v>
      </c>
      <c r="AN371" s="44">
        <v>0</v>
      </c>
      <c r="AO371" s="44">
        <v>0</v>
      </c>
      <c r="AP371" s="43">
        <v>1527575</v>
      </c>
      <c r="AQ371" s="44">
        <v>0</v>
      </c>
      <c r="AR371" s="44">
        <f>AS371-SEPTIEMBRE!AS366</f>
        <v>0</v>
      </c>
      <c r="AS371" s="43">
        <v>1527575</v>
      </c>
      <c r="AT371" s="39">
        <f t="shared" si="207"/>
        <v>1527575</v>
      </c>
      <c r="AU371" s="18">
        <f>AJ371-AM371</f>
        <v>563795745</v>
      </c>
      <c r="AV371" s="34">
        <f>AM371-AP371</f>
        <v>0</v>
      </c>
      <c r="AW371" s="34">
        <f>AP371-AT371</f>
        <v>0</v>
      </c>
      <c r="AX371" s="123">
        <f>AP371/AJ371</f>
        <v>2.7021262805857716E-3</v>
      </c>
    </row>
    <row r="372" spans="1:50" ht="18.75" customHeight="1" x14ac:dyDescent="0.2">
      <c r="AA372" s="16"/>
      <c r="AB372" s="17"/>
      <c r="AC372" s="17"/>
      <c r="AD372" s="18"/>
      <c r="AE372" s="34"/>
      <c r="AF372" s="34"/>
      <c r="AG372" s="34"/>
      <c r="AH372" s="34"/>
      <c r="AI372" s="34"/>
      <c r="AJ372" s="18"/>
      <c r="AK372" s="34"/>
      <c r="AL372" s="18"/>
      <c r="AM372" s="18"/>
      <c r="AN372" s="18"/>
      <c r="AO372" s="34"/>
      <c r="AP372" s="18"/>
      <c r="AQ372" s="34"/>
      <c r="AR372" s="18"/>
      <c r="AS372" s="18"/>
      <c r="AT372" s="30"/>
      <c r="AU372" s="18"/>
      <c r="AV372" s="18"/>
      <c r="AW372" s="34"/>
      <c r="AX372" s="18"/>
    </row>
    <row r="373" spans="1:50" ht="18.75" customHeight="1" x14ac:dyDescent="0.2">
      <c r="AA373" s="16"/>
      <c r="AB373" s="29" t="s">
        <v>103</v>
      </c>
      <c r="AC373" s="17"/>
      <c r="AD373" s="18"/>
      <c r="AE373" s="34"/>
      <c r="AF373" s="34"/>
      <c r="AG373" s="34"/>
      <c r="AH373" s="34"/>
      <c r="AI373" s="34"/>
      <c r="AJ373" s="18"/>
      <c r="AK373" s="34"/>
      <c r="AL373" s="18"/>
      <c r="AM373" s="18"/>
      <c r="AN373" s="18"/>
      <c r="AO373" s="34"/>
      <c r="AP373" s="18"/>
      <c r="AQ373" s="34"/>
      <c r="AR373" s="18"/>
      <c r="AS373" s="18"/>
      <c r="AT373" s="30"/>
      <c r="AU373" s="18"/>
      <c r="AV373" s="18"/>
      <c r="AW373" s="34"/>
      <c r="AX373" s="18"/>
    </row>
    <row r="374" spans="1:50" ht="24.75" customHeight="1" x14ac:dyDescent="0.2">
      <c r="AA374" s="28" t="s">
        <v>288</v>
      </c>
      <c r="AB374" s="29" t="s">
        <v>352</v>
      </c>
      <c r="AC374" s="17"/>
      <c r="AD374" s="18"/>
      <c r="AE374" s="34"/>
      <c r="AF374" s="34"/>
      <c r="AG374" s="34"/>
      <c r="AH374" s="34"/>
      <c r="AI374" s="34"/>
      <c r="AJ374" s="18"/>
      <c r="AK374" s="34"/>
      <c r="AL374" s="18"/>
      <c r="AM374" s="18"/>
      <c r="AN374" s="18"/>
      <c r="AO374" s="34"/>
      <c r="AP374" s="18"/>
      <c r="AQ374" s="34"/>
      <c r="AR374" s="18"/>
      <c r="AS374" s="18"/>
      <c r="AT374" s="39"/>
      <c r="AU374" s="18"/>
      <c r="AV374" s="18"/>
      <c r="AW374" s="34"/>
      <c r="AX374" s="18"/>
    </row>
    <row r="375" spans="1:50" ht="18.75" customHeight="1" x14ac:dyDescent="0.2">
      <c r="A375" s="4" t="s">
        <v>325</v>
      </c>
      <c r="B375" s="4" t="s">
        <v>326</v>
      </c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1" t="s">
        <v>332</v>
      </c>
      <c r="AB375" s="42" t="s">
        <v>328</v>
      </c>
      <c r="AC375" s="43" t="s">
        <v>61</v>
      </c>
      <c r="AD375" s="43">
        <v>1248245788</v>
      </c>
      <c r="AE375" s="44">
        <v>0</v>
      </c>
      <c r="AF375" s="44">
        <v>0</v>
      </c>
      <c r="AG375" s="44">
        <v>0</v>
      </c>
      <c r="AH375" s="43">
        <v>254649135</v>
      </c>
      <c r="AI375" s="18">
        <f>AE375-AF375+AG375-AH375</f>
        <v>-254649135</v>
      </c>
      <c r="AJ375" s="18">
        <f>AD375+AI375</f>
        <v>993596653</v>
      </c>
      <c r="AK375" s="44">
        <v>0</v>
      </c>
      <c r="AL375" s="43">
        <v>0</v>
      </c>
      <c r="AM375" s="43">
        <v>729066347.03999996</v>
      </c>
      <c r="AN375" s="44">
        <v>0</v>
      </c>
      <c r="AO375" s="44">
        <v>0</v>
      </c>
      <c r="AP375" s="43">
        <v>729066347.03999996</v>
      </c>
      <c r="AQ375" s="44">
        <v>0</v>
      </c>
      <c r="AR375" s="43">
        <f>AS375-SEPTIEMBRE!AS370</f>
        <v>115823821</v>
      </c>
      <c r="AS375" s="43">
        <v>729066347.03999996</v>
      </c>
      <c r="AT375" s="39">
        <f t="shared" ref="AT375" si="212">AQ375+AS375</f>
        <v>729066347.03999996</v>
      </c>
      <c r="AU375" s="18">
        <f>AJ375-AM375</f>
        <v>264530305.96000004</v>
      </c>
      <c r="AV375" s="34">
        <f>AM375-AP375</f>
        <v>0</v>
      </c>
      <c r="AW375" s="34">
        <f>AP375-AT375</f>
        <v>0</v>
      </c>
      <c r="AX375" s="123">
        <f>AP375/AJ375</f>
        <v>0.73376489830023606</v>
      </c>
    </row>
    <row r="376" spans="1:50" ht="18.75" customHeight="1" x14ac:dyDescent="0.2">
      <c r="AA376" s="28" t="s">
        <v>288</v>
      </c>
      <c r="AB376" s="29" t="s">
        <v>353</v>
      </c>
      <c r="AC376" s="17"/>
      <c r="AD376" s="18"/>
      <c r="AE376" s="34"/>
      <c r="AF376" s="34"/>
      <c r="AG376" s="34"/>
      <c r="AH376" s="34"/>
      <c r="AI376" s="34"/>
      <c r="AJ376" s="18"/>
      <c r="AK376" s="34"/>
      <c r="AL376" s="43"/>
      <c r="AM376" s="18"/>
      <c r="AN376" s="34"/>
      <c r="AO376" s="34"/>
      <c r="AP376" s="18"/>
      <c r="AQ376" s="18"/>
      <c r="AR376" s="34"/>
      <c r="AS376" s="18"/>
      <c r="AT376" s="39"/>
      <c r="AU376" s="18"/>
      <c r="AV376" s="18"/>
      <c r="AW376" s="34"/>
      <c r="AX376" s="18"/>
    </row>
    <row r="377" spans="1:50" ht="18.75" customHeight="1" x14ac:dyDescent="0.2">
      <c r="A377" s="4" t="s">
        <v>325</v>
      </c>
      <c r="B377" s="4" t="s">
        <v>326</v>
      </c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1" t="s">
        <v>334</v>
      </c>
      <c r="AB377" s="42" t="s">
        <v>328</v>
      </c>
      <c r="AC377" s="43" t="s">
        <v>61</v>
      </c>
      <c r="AD377" s="43">
        <v>918279775</v>
      </c>
      <c r="AE377" s="44">
        <v>0</v>
      </c>
      <c r="AF377" s="44">
        <v>0</v>
      </c>
      <c r="AG377" s="43">
        <v>83102969</v>
      </c>
      <c r="AH377" s="44">
        <v>0</v>
      </c>
      <c r="AI377" s="18">
        <f>AE377-AF377+AG377-AH377</f>
        <v>83102969</v>
      </c>
      <c r="AJ377" s="18">
        <f>AD377+AI377</f>
        <v>1001382744</v>
      </c>
      <c r="AK377" s="44">
        <v>0</v>
      </c>
      <c r="AL377" s="43">
        <v>0</v>
      </c>
      <c r="AM377" s="43">
        <v>745188144.96000004</v>
      </c>
      <c r="AN377" s="44">
        <v>0</v>
      </c>
      <c r="AO377" s="44">
        <v>0</v>
      </c>
      <c r="AP377" s="43">
        <v>745188144.96000004</v>
      </c>
      <c r="AQ377" s="44">
        <v>0</v>
      </c>
      <c r="AR377" s="43">
        <f>AS377-SEPTIEMBRE!AS372</f>
        <v>112901139</v>
      </c>
      <c r="AS377" s="43">
        <v>745188144.96000004</v>
      </c>
      <c r="AT377" s="39">
        <f t="shared" si="207"/>
        <v>745188144.96000004</v>
      </c>
      <c r="AU377" s="18">
        <f>AJ377-AM377</f>
        <v>256194599.03999996</v>
      </c>
      <c r="AV377" s="34">
        <f>AM377-AP377</f>
        <v>0</v>
      </c>
      <c r="AW377" s="34">
        <f>AP377-AT377</f>
        <v>0</v>
      </c>
      <c r="AX377" s="123">
        <f>AP377/AJ377</f>
        <v>0.74415916334184407</v>
      </c>
    </row>
    <row r="378" spans="1:50" ht="18.75" customHeight="1" x14ac:dyDescent="0.2">
      <c r="AA378" s="28" t="s">
        <v>288</v>
      </c>
      <c r="AB378" s="29" t="s">
        <v>354</v>
      </c>
      <c r="AC378" s="17"/>
      <c r="AD378" s="18"/>
      <c r="AE378" s="34"/>
      <c r="AF378" s="34"/>
      <c r="AG378" s="34"/>
      <c r="AH378" s="34"/>
      <c r="AI378" s="34"/>
      <c r="AJ378" s="18"/>
      <c r="AK378" s="18"/>
      <c r="AL378" s="43"/>
      <c r="AM378" s="18"/>
      <c r="AN378" s="34"/>
      <c r="AO378" s="34"/>
      <c r="AP378" s="18"/>
      <c r="AQ378" s="34"/>
      <c r="AR378" s="34"/>
      <c r="AS378" s="18"/>
      <c r="AT378" s="39"/>
      <c r="AU378" s="18"/>
      <c r="AV378" s="18"/>
      <c r="AW378" s="34"/>
      <c r="AX378" s="18"/>
    </row>
    <row r="379" spans="1:50" ht="18.75" customHeight="1" x14ac:dyDescent="0.2">
      <c r="A379" s="4" t="s">
        <v>325</v>
      </c>
      <c r="B379" s="4" t="s">
        <v>326</v>
      </c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1" t="s">
        <v>335</v>
      </c>
      <c r="AB379" s="42" t="s">
        <v>328</v>
      </c>
      <c r="AC379" s="43" t="s">
        <v>61</v>
      </c>
      <c r="AD379" s="43">
        <v>956127578</v>
      </c>
      <c r="AE379" s="44">
        <v>0</v>
      </c>
      <c r="AF379" s="44">
        <v>0</v>
      </c>
      <c r="AG379" s="43">
        <v>171546166</v>
      </c>
      <c r="AH379" s="44">
        <v>0</v>
      </c>
      <c r="AI379" s="18">
        <f>AE379-AF379+AG379-AH379</f>
        <v>171546166</v>
      </c>
      <c r="AJ379" s="18">
        <f>AD379+AI379</f>
        <v>1127673744</v>
      </c>
      <c r="AK379" s="44">
        <v>0</v>
      </c>
      <c r="AL379" s="43">
        <v>0</v>
      </c>
      <c r="AM379" s="43">
        <v>956127578</v>
      </c>
      <c r="AN379" s="44">
        <v>0</v>
      </c>
      <c r="AO379" s="44">
        <v>0</v>
      </c>
      <c r="AP379" s="43">
        <v>956127578</v>
      </c>
      <c r="AQ379" s="44">
        <v>0</v>
      </c>
      <c r="AR379" s="43">
        <f>AS379-SEPTIEMBRE!AS374</f>
        <v>285886603</v>
      </c>
      <c r="AS379" s="43">
        <v>956127578</v>
      </c>
      <c r="AT379" s="39">
        <f t="shared" si="207"/>
        <v>956127578</v>
      </c>
      <c r="AU379" s="18">
        <f>AJ379-AM379</f>
        <v>171546166</v>
      </c>
      <c r="AV379" s="34">
        <f>AM379-AP379</f>
        <v>0</v>
      </c>
      <c r="AW379" s="34">
        <f>AP379-AT379</f>
        <v>0</v>
      </c>
      <c r="AX379" s="123">
        <f>AP379/AJ379</f>
        <v>0.84787606618248978</v>
      </c>
    </row>
    <row r="380" spans="1:50" ht="18.75" customHeight="1" x14ac:dyDescent="0.2">
      <c r="AA380" s="28" t="s">
        <v>288</v>
      </c>
      <c r="AB380" s="29" t="s">
        <v>119</v>
      </c>
      <c r="AC380" s="17"/>
      <c r="AD380" s="18"/>
      <c r="AE380" s="34"/>
      <c r="AF380" s="34"/>
      <c r="AG380" s="34"/>
      <c r="AH380" s="34"/>
      <c r="AI380" s="34"/>
      <c r="AJ380" s="18"/>
      <c r="AK380" s="34"/>
      <c r="AL380" s="43"/>
      <c r="AM380" s="18"/>
      <c r="AN380" s="34"/>
      <c r="AO380" s="18"/>
      <c r="AP380" s="18"/>
      <c r="AQ380" s="18"/>
      <c r="AR380" s="18"/>
      <c r="AS380" s="18"/>
      <c r="AT380" s="39"/>
      <c r="AU380" s="18"/>
      <c r="AV380" s="18"/>
      <c r="AW380" s="34"/>
      <c r="AX380" s="18"/>
    </row>
    <row r="381" spans="1:50" ht="18.75" customHeight="1" x14ac:dyDescent="0.2">
      <c r="A381" s="4" t="s">
        <v>325</v>
      </c>
      <c r="B381" s="4" t="s">
        <v>326</v>
      </c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1" t="s">
        <v>336</v>
      </c>
      <c r="AB381" s="42" t="s">
        <v>328</v>
      </c>
      <c r="AC381" s="43" t="s">
        <v>61</v>
      </c>
      <c r="AD381" s="43">
        <v>527278620</v>
      </c>
      <c r="AE381" s="44">
        <v>0</v>
      </c>
      <c r="AF381" s="44">
        <v>0</v>
      </c>
      <c r="AG381" s="44">
        <v>0</v>
      </c>
      <c r="AH381" s="44">
        <v>0</v>
      </c>
      <c r="AI381" s="44">
        <v>0</v>
      </c>
      <c r="AJ381" s="43">
        <v>527278620</v>
      </c>
      <c r="AK381" s="44">
        <v>0</v>
      </c>
      <c r="AL381" s="43">
        <v>0</v>
      </c>
      <c r="AM381" s="43">
        <v>370721434</v>
      </c>
      <c r="AN381" s="44">
        <v>0</v>
      </c>
      <c r="AO381" s="44">
        <v>0</v>
      </c>
      <c r="AP381" s="43">
        <v>370721434</v>
      </c>
      <c r="AQ381" s="115">
        <v>0</v>
      </c>
      <c r="AR381" s="44">
        <f>AS381-SEPTIEMBRE!AS376</f>
        <v>0</v>
      </c>
      <c r="AS381" s="114">
        <v>370721434</v>
      </c>
      <c r="AT381" s="39">
        <f t="shared" si="207"/>
        <v>370721434</v>
      </c>
      <c r="AU381" s="18">
        <f>AJ381-AM381</f>
        <v>156557186</v>
      </c>
      <c r="AV381" s="34">
        <f>AM381-AP381</f>
        <v>0</v>
      </c>
      <c r="AW381" s="34">
        <f>AP381-AT381</f>
        <v>0</v>
      </c>
      <c r="AX381" s="123">
        <f>AP381/AJ381</f>
        <v>0.70308451725199861</v>
      </c>
    </row>
    <row r="382" spans="1:50" ht="18.75" customHeight="1" x14ac:dyDescent="0.2">
      <c r="AA382" s="28" t="s">
        <v>288</v>
      </c>
      <c r="AB382" s="29" t="s">
        <v>124</v>
      </c>
      <c r="AC382" s="17"/>
      <c r="AD382" s="18"/>
      <c r="AE382" s="34"/>
      <c r="AF382" s="34"/>
      <c r="AG382" s="34"/>
      <c r="AH382" s="34"/>
      <c r="AI382" s="34"/>
      <c r="AJ382" s="18"/>
      <c r="AK382" s="34"/>
      <c r="AL382" s="18"/>
      <c r="AM382" s="18"/>
      <c r="AN382" s="34"/>
      <c r="AO382" s="34"/>
      <c r="AP382" s="18"/>
      <c r="AQ382" s="34"/>
      <c r="AR382" s="34"/>
      <c r="AS382" s="34"/>
      <c r="AT382" s="40"/>
      <c r="AU382" s="18"/>
      <c r="AV382" s="18"/>
      <c r="AW382" s="18"/>
      <c r="AX382" s="18"/>
    </row>
    <row r="383" spans="1:50" ht="18.75" customHeight="1" x14ac:dyDescent="0.2">
      <c r="AA383" s="28" t="s">
        <v>288</v>
      </c>
      <c r="AB383" s="29" t="s">
        <v>129</v>
      </c>
      <c r="AC383" s="17"/>
      <c r="AD383" s="18"/>
      <c r="AE383" s="34"/>
      <c r="AF383" s="34"/>
      <c r="AG383" s="34"/>
      <c r="AH383" s="34"/>
      <c r="AI383" s="34"/>
      <c r="AJ383" s="18"/>
      <c r="AK383" s="34"/>
      <c r="AL383" s="18"/>
      <c r="AM383" s="18"/>
      <c r="AN383" s="34"/>
      <c r="AO383" s="34"/>
      <c r="AP383" s="18"/>
      <c r="AQ383" s="34"/>
      <c r="AR383" s="34"/>
      <c r="AS383" s="34"/>
      <c r="AT383" s="40"/>
      <c r="AU383" s="18"/>
      <c r="AV383" s="18"/>
      <c r="AW383" s="18"/>
      <c r="AX383" s="18"/>
    </row>
    <row r="384" spans="1:50" ht="18.75" customHeight="1" x14ac:dyDescent="0.2">
      <c r="A384" s="4" t="s">
        <v>325</v>
      </c>
      <c r="B384" s="4" t="s">
        <v>326</v>
      </c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1" t="s">
        <v>338</v>
      </c>
      <c r="AB384" s="42" t="s">
        <v>328</v>
      </c>
      <c r="AC384" s="43" t="s">
        <v>61</v>
      </c>
      <c r="AD384" s="43">
        <v>395516000</v>
      </c>
      <c r="AE384" s="44">
        <v>0</v>
      </c>
      <c r="AF384" s="44">
        <v>0</v>
      </c>
      <c r="AG384" s="44">
        <v>0</v>
      </c>
      <c r="AH384" s="44">
        <v>0</v>
      </c>
      <c r="AI384" s="44">
        <v>0</v>
      </c>
      <c r="AJ384" s="43">
        <v>395516000</v>
      </c>
      <c r="AK384" s="44">
        <v>0</v>
      </c>
      <c r="AL384" s="43">
        <v>0</v>
      </c>
      <c r="AM384" s="43">
        <v>278152847</v>
      </c>
      <c r="AN384" s="44">
        <v>0</v>
      </c>
      <c r="AO384" s="44">
        <v>0</v>
      </c>
      <c r="AP384" s="43">
        <v>278152847</v>
      </c>
      <c r="AQ384" s="115">
        <v>0</v>
      </c>
      <c r="AR384" s="44">
        <f>AS384-SEPTIEMBRE!AS379</f>
        <v>0</v>
      </c>
      <c r="AS384" s="114">
        <v>278152847</v>
      </c>
      <c r="AT384" s="39">
        <f t="shared" ref="AT384" si="213">AQ384+AS384</f>
        <v>278152847</v>
      </c>
      <c r="AU384" s="18">
        <f>AJ384-AM384</f>
        <v>117363153</v>
      </c>
      <c r="AV384" s="34">
        <f>AM384-AP384</f>
        <v>0</v>
      </c>
      <c r="AW384" s="34">
        <f>AP384-AT384</f>
        <v>0</v>
      </c>
      <c r="AX384" s="123">
        <f>AP384/AJ384</f>
        <v>0.70326572629173034</v>
      </c>
    </row>
    <row r="385" spans="1:50" ht="18.75" customHeight="1" x14ac:dyDescent="0.2">
      <c r="AA385" s="28" t="s">
        <v>288</v>
      </c>
      <c r="AB385" s="29" t="s">
        <v>133</v>
      </c>
      <c r="AC385" s="17"/>
      <c r="AD385" s="18"/>
      <c r="AE385" s="34"/>
      <c r="AF385" s="34"/>
      <c r="AG385" s="34"/>
      <c r="AH385" s="34"/>
      <c r="AI385" s="34"/>
      <c r="AJ385" s="18"/>
      <c r="AK385" s="34"/>
      <c r="AL385" s="43"/>
      <c r="AM385" s="18"/>
      <c r="AN385" s="34"/>
      <c r="AO385" s="34"/>
      <c r="AP385" s="18"/>
      <c r="AQ385" s="34"/>
      <c r="AR385" s="34"/>
      <c r="AS385" s="34"/>
      <c r="AT385" s="40"/>
      <c r="AU385" s="18"/>
      <c r="AV385" s="18"/>
      <c r="AW385" s="34"/>
      <c r="AX385" s="18"/>
    </row>
    <row r="386" spans="1:50" ht="18.75" customHeight="1" x14ac:dyDescent="0.2">
      <c r="A386" s="4" t="s">
        <v>325</v>
      </c>
      <c r="B386" s="4" t="s">
        <v>326</v>
      </c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1" t="s">
        <v>339</v>
      </c>
      <c r="AB386" s="42" t="s">
        <v>328</v>
      </c>
      <c r="AC386" s="43" t="s">
        <v>61</v>
      </c>
      <c r="AD386" s="43">
        <v>66047960</v>
      </c>
      <c r="AE386" s="44">
        <v>0</v>
      </c>
      <c r="AF386" s="44">
        <v>0</v>
      </c>
      <c r="AG386" s="44">
        <v>0</v>
      </c>
      <c r="AH386" s="44">
        <v>0</v>
      </c>
      <c r="AI386" s="44">
        <v>0</v>
      </c>
      <c r="AJ386" s="43">
        <v>66047960</v>
      </c>
      <c r="AK386" s="44">
        <v>0</v>
      </c>
      <c r="AL386" s="43">
        <v>0</v>
      </c>
      <c r="AM386" s="43">
        <v>46289069</v>
      </c>
      <c r="AN386" s="44">
        <v>0</v>
      </c>
      <c r="AO386" s="44">
        <v>0</v>
      </c>
      <c r="AP386" s="43">
        <v>46289069</v>
      </c>
      <c r="AQ386" s="115">
        <v>0</v>
      </c>
      <c r="AR386" s="44">
        <f>AS386-SEPTIEMBRE!AS381</f>
        <v>0</v>
      </c>
      <c r="AS386" s="114">
        <v>46289069</v>
      </c>
      <c r="AT386" s="39">
        <f t="shared" ref="AT386" si="214">AQ386+AS386</f>
        <v>46289069</v>
      </c>
      <c r="AU386" s="18">
        <f>AJ386-AM386</f>
        <v>19758891</v>
      </c>
      <c r="AV386" s="34">
        <f>AM386-AP386</f>
        <v>0</v>
      </c>
      <c r="AW386" s="34">
        <f>AP386-AT386</f>
        <v>0</v>
      </c>
      <c r="AX386" s="123">
        <f>AP386/AJ386</f>
        <v>0.70084025305247888</v>
      </c>
    </row>
    <row r="387" spans="1:50" ht="18.75" customHeight="1" x14ac:dyDescent="0.2">
      <c r="AA387" s="28" t="s">
        <v>288</v>
      </c>
      <c r="AB387" s="29" t="s">
        <v>138</v>
      </c>
      <c r="AC387" s="17"/>
      <c r="AD387" s="18"/>
      <c r="AE387" s="34"/>
      <c r="AF387" s="34"/>
      <c r="AG387" s="34"/>
      <c r="AH387" s="34"/>
      <c r="AI387" s="34"/>
      <c r="AJ387" s="18"/>
      <c r="AK387" s="34"/>
      <c r="AL387" s="43"/>
      <c r="AM387" s="18"/>
      <c r="AN387" s="34"/>
      <c r="AO387" s="34"/>
      <c r="AP387" s="18"/>
      <c r="AQ387" s="133"/>
      <c r="AR387" s="133"/>
      <c r="AS387" s="110"/>
      <c r="AT387" s="40"/>
      <c r="AU387" s="18"/>
      <c r="AV387" s="18"/>
      <c r="AW387" s="34"/>
      <c r="AX387" s="18"/>
    </row>
    <row r="388" spans="1:50" ht="18.75" customHeight="1" x14ac:dyDescent="0.2">
      <c r="A388" s="4" t="s">
        <v>325</v>
      </c>
      <c r="B388" s="4" t="s">
        <v>326</v>
      </c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1" t="s">
        <v>340</v>
      </c>
      <c r="AB388" s="42" t="s">
        <v>328</v>
      </c>
      <c r="AC388" s="43" t="s">
        <v>61</v>
      </c>
      <c r="AD388" s="43">
        <v>66047960</v>
      </c>
      <c r="AE388" s="44">
        <v>0</v>
      </c>
      <c r="AF388" s="44">
        <v>0</v>
      </c>
      <c r="AG388" s="44">
        <v>0</v>
      </c>
      <c r="AH388" s="44">
        <v>0</v>
      </c>
      <c r="AI388" s="44">
        <v>0</v>
      </c>
      <c r="AJ388" s="43">
        <v>66047960</v>
      </c>
      <c r="AK388" s="44">
        <v>0</v>
      </c>
      <c r="AL388" s="43">
        <v>0</v>
      </c>
      <c r="AM388" s="43">
        <v>46289069</v>
      </c>
      <c r="AN388" s="44">
        <v>0</v>
      </c>
      <c r="AO388" s="44">
        <v>0</v>
      </c>
      <c r="AP388" s="43">
        <v>46289069</v>
      </c>
      <c r="AQ388" s="115">
        <v>0</v>
      </c>
      <c r="AR388" s="44">
        <f>AS388-SEPTIEMBRE!AS383</f>
        <v>0</v>
      </c>
      <c r="AS388" s="114">
        <v>46289069</v>
      </c>
      <c r="AT388" s="39">
        <f t="shared" ref="AT388" si="215">AQ388+AS388</f>
        <v>46289069</v>
      </c>
      <c r="AU388" s="18">
        <f>AJ388-AM388</f>
        <v>19758891</v>
      </c>
      <c r="AV388" s="34">
        <f>AM388-AP388</f>
        <v>0</v>
      </c>
      <c r="AW388" s="34">
        <f>AP388-AT388</f>
        <v>0</v>
      </c>
      <c r="AX388" s="123">
        <f>AP388/AJ388</f>
        <v>0.70084025305247888</v>
      </c>
    </row>
    <row r="389" spans="1:50" ht="25.5" x14ac:dyDescent="0.2">
      <c r="AA389" s="28" t="s">
        <v>288</v>
      </c>
      <c r="AB389" s="29" t="s">
        <v>145</v>
      </c>
      <c r="AC389" s="17"/>
      <c r="AD389" s="18"/>
      <c r="AE389" s="34"/>
      <c r="AF389" s="34"/>
      <c r="AG389" s="34"/>
      <c r="AH389" s="34"/>
      <c r="AI389" s="34"/>
      <c r="AJ389" s="18"/>
      <c r="AK389" s="34"/>
      <c r="AL389" s="43"/>
      <c r="AM389" s="18"/>
      <c r="AN389" s="34"/>
      <c r="AO389" s="34"/>
      <c r="AP389" s="18"/>
      <c r="AQ389" s="133"/>
      <c r="AR389" s="133"/>
      <c r="AS389" s="110"/>
      <c r="AT389" s="40"/>
      <c r="AU389" s="18"/>
      <c r="AV389" s="18"/>
      <c r="AW389" s="34"/>
      <c r="AX389" s="18"/>
    </row>
    <row r="390" spans="1:50" ht="18.75" customHeight="1" x14ac:dyDescent="0.2">
      <c r="A390" s="4" t="s">
        <v>325</v>
      </c>
      <c r="B390" s="4" t="s">
        <v>326</v>
      </c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1" t="s">
        <v>341</v>
      </c>
      <c r="AB390" s="42" t="s">
        <v>328</v>
      </c>
      <c r="AC390" s="43" t="s">
        <v>61</v>
      </c>
      <c r="AD390" s="43">
        <v>131938455</v>
      </c>
      <c r="AE390" s="44">
        <v>0</v>
      </c>
      <c r="AF390" s="44">
        <v>0</v>
      </c>
      <c r="AG390" s="44">
        <v>0</v>
      </c>
      <c r="AH390" s="44">
        <v>0</v>
      </c>
      <c r="AI390" s="44">
        <v>0</v>
      </c>
      <c r="AJ390" s="43">
        <v>131938455</v>
      </c>
      <c r="AK390" s="44">
        <v>0</v>
      </c>
      <c r="AL390" s="43">
        <v>0</v>
      </c>
      <c r="AM390" s="43">
        <v>92508508</v>
      </c>
      <c r="AN390" s="44">
        <v>0</v>
      </c>
      <c r="AO390" s="44">
        <v>0</v>
      </c>
      <c r="AP390" s="43">
        <v>92508508</v>
      </c>
      <c r="AQ390" s="115">
        <v>0</v>
      </c>
      <c r="AR390" s="44">
        <f>AS390-SEPTIEMBRE!AS385</f>
        <v>0</v>
      </c>
      <c r="AS390" s="114">
        <v>92508508</v>
      </c>
      <c r="AT390" s="39">
        <f t="shared" ref="AT390" si="216">AQ390+AS390</f>
        <v>92508508</v>
      </c>
      <c r="AU390" s="18">
        <f>AJ390-AM390</f>
        <v>39429947</v>
      </c>
      <c r="AV390" s="34">
        <f>AM390-AP390</f>
        <v>0</v>
      </c>
      <c r="AW390" s="34">
        <f>AP390-AT390</f>
        <v>0</v>
      </c>
      <c r="AX390" s="123">
        <f>AP390/AJ390</f>
        <v>0.70114894099677005</v>
      </c>
    </row>
    <row r="391" spans="1:50" ht="18.75" customHeight="1" x14ac:dyDescent="0.2">
      <c r="AA391" s="16"/>
      <c r="AB391" s="17"/>
      <c r="AC391" s="17"/>
      <c r="AD391" s="18"/>
      <c r="AE391" s="34"/>
      <c r="AF391" s="34"/>
      <c r="AG391" s="34"/>
      <c r="AH391" s="34"/>
      <c r="AI391" s="34"/>
      <c r="AJ391" s="18"/>
      <c r="AK391" s="34"/>
      <c r="AL391" s="18"/>
      <c r="AM391" s="18"/>
      <c r="AN391" s="34"/>
      <c r="AO391" s="18"/>
      <c r="AP391" s="18"/>
      <c r="AQ391" s="34"/>
      <c r="AR391" s="34"/>
      <c r="AS391" s="34"/>
      <c r="AT391" s="40"/>
      <c r="AU391" s="18"/>
      <c r="AV391" s="18"/>
      <c r="AW391" s="18"/>
      <c r="AX391" s="18"/>
    </row>
    <row r="392" spans="1:50" ht="18.75" customHeight="1" x14ac:dyDescent="0.2">
      <c r="AA392" s="16"/>
      <c r="AB392" s="29" t="s">
        <v>149</v>
      </c>
      <c r="AC392" s="17"/>
      <c r="AD392" s="18"/>
      <c r="AE392" s="34"/>
      <c r="AF392" s="34"/>
      <c r="AG392" s="34"/>
      <c r="AH392" s="34"/>
      <c r="AI392" s="34"/>
      <c r="AJ392" s="18"/>
      <c r="AK392" s="34"/>
      <c r="AL392" s="18"/>
      <c r="AM392" s="18"/>
      <c r="AN392" s="34"/>
      <c r="AO392" s="18"/>
      <c r="AP392" s="18"/>
      <c r="AQ392" s="34"/>
      <c r="AR392" s="34"/>
      <c r="AS392" s="34"/>
      <c r="AT392" s="40"/>
      <c r="AU392" s="18"/>
      <c r="AV392" s="18"/>
      <c r="AW392" s="18"/>
      <c r="AX392" s="18"/>
    </row>
    <row r="393" spans="1:50" ht="18.75" customHeight="1" x14ac:dyDescent="0.2">
      <c r="AA393" s="16"/>
      <c r="AB393" s="29" t="s">
        <v>81</v>
      </c>
      <c r="AC393" s="17"/>
      <c r="AD393" s="18"/>
      <c r="AE393" s="34"/>
      <c r="AF393" s="34"/>
      <c r="AG393" s="34"/>
      <c r="AH393" s="34"/>
      <c r="AI393" s="34"/>
      <c r="AJ393" s="18"/>
      <c r="AK393" s="34"/>
      <c r="AL393" s="18"/>
      <c r="AM393" s="18"/>
      <c r="AN393" s="34"/>
      <c r="AO393" s="18"/>
      <c r="AP393" s="18"/>
      <c r="AQ393" s="34"/>
      <c r="AR393" s="34"/>
      <c r="AS393" s="34"/>
      <c r="AT393" s="40"/>
      <c r="AU393" s="18"/>
      <c r="AV393" s="18"/>
      <c r="AW393" s="18"/>
      <c r="AX393" s="18"/>
    </row>
    <row r="394" spans="1:50" ht="18.75" customHeight="1" x14ac:dyDescent="0.2">
      <c r="AA394" s="28" t="s">
        <v>288</v>
      </c>
      <c r="AB394" s="29" t="s">
        <v>152</v>
      </c>
      <c r="AC394" s="17"/>
      <c r="AD394" s="18"/>
      <c r="AE394" s="34"/>
      <c r="AF394" s="34"/>
      <c r="AG394" s="34"/>
      <c r="AH394" s="34"/>
      <c r="AI394" s="34"/>
      <c r="AJ394" s="18"/>
      <c r="AK394" s="34"/>
      <c r="AL394" s="18"/>
      <c r="AM394" s="18"/>
      <c r="AN394" s="34"/>
      <c r="AO394" s="18"/>
      <c r="AP394" s="18"/>
      <c r="AQ394" s="34"/>
      <c r="AR394" s="34"/>
      <c r="AS394" s="34"/>
      <c r="AT394" s="40"/>
      <c r="AU394" s="18"/>
      <c r="AV394" s="18"/>
      <c r="AW394" s="18"/>
      <c r="AX394" s="18"/>
    </row>
    <row r="395" spans="1:50" ht="18.75" customHeight="1" x14ac:dyDescent="0.2">
      <c r="A395" s="4" t="s">
        <v>325</v>
      </c>
      <c r="B395" s="4" t="s">
        <v>326</v>
      </c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1" t="s">
        <v>342</v>
      </c>
      <c r="AB395" s="42" t="s">
        <v>328</v>
      </c>
      <c r="AC395" s="43" t="s">
        <v>61</v>
      </c>
      <c r="AD395" s="43">
        <v>1121217736</v>
      </c>
      <c r="AE395" s="44">
        <v>0</v>
      </c>
      <c r="AF395" s="44">
        <v>0</v>
      </c>
      <c r="AG395" s="43">
        <v>342310654</v>
      </c>
      <c r="AH395" s="44">
        <v>0</v>
      </c>
      <c r="AI395" s="18">
        <f>AE395-AF395+AG395-AH395</f>
        <v>342310654</v>
      </c>
      <c r="AJ395" s="18">
        <f>AD395+AI395</f>
        <v>1463528390</v>
      </c>
      <c r="AK395" s="44">
        <v>0</v>
      </c>
      <c r="AL395" s="43">
        <v>0</v>
      </c>
      <c r="AM395" s="43">
        <v>661014652</v>
      </c>
      <c r="AN395" s="44">
        <v>0</v>
      </c>
      <c r="AO395" s="43">
        <v>0</v>
      </c>
      <c r="AP395" s="43">
        <v>661014652</v>
      </c>
      <c r="AQ395" s="44">
        <v>0</v>
      </c>
      <c r="AR395" s="43">
        <f>AS395-SEPTIEMBRE!AS390</f>
        <v>39074405</v>
      </c>
      <c r="AS395" s="114">
        <v>661014652</v>
      </c>
      <c r="AT395" s="39">
        <f t="shared" ref="AT395" si="217">AQ395+AS395</f>
        <v>661014652</v>
      </c>
      <c r="AU395" s="18">
        <f>AJ395-AM395</f>
        <v>802513738</v>
      </c>
      <c r="AV395" s="34">
        <f>AM395-AP395</f>
        <v>0</v>
      </c>
      <c r="AW395" s="18">
        <f>AP395-AT395</f>
        <v>0</v>
      </c>
      <c r="AX395" s="123">
        <f>AP395/AJ395</f>
        <v>0.45165823670834293</v>
      </c>
    </row>
    <row r="396" spans="1:50" ht="18.75" customHeight="1" x14ac:dyDescent="0.2">
      <c r="AA396" s="28" t="s">
        <v>288</v>
      </c>
      <c r="AB396" s="29" t="s">
        <v>343</v>
      </c>
      <c r="AC396" s="17"/>
      <c r="AD396" s="18"/>
      <c r="AE396" s="34"/>
      <c r="AF396" s="34"/>
      <c r="AG396" s="34"/>
      <c r="AH396" s="34"/>
      <c r="AI396" s="34"/>
      <c r="AJ396" s="18"/>
      <c r="AK396" s="34"/>
      <c r="AL396" s="43"/>
      <c r="AM396" s="18"/>
      <c r="AN396" s="34"/>
      <c r="AO396" s="18"/>
      <c r="AP396" s="18"/>
      <c r="AQ396" s="18"/>
      <c r="AR396" s="18"/>
      <c r="AS396" s="18"/>
      <c r="AT396" s="39"/>
      <c r="AU396" s="18"/>
      <c r="AV396" s="18"/>
      <c r="AW396" s="34"/>
      <c r="AX396" s="18"/>
    </row>
    <row r="397" spans="1:50" ht="18.75" customHeight="1" x14ac:dyDescent="0.2">
      <c r="A397" s="4" t="s">
        <v>325</v>
      </c>
      <c r="B397" s="4" t="s">
        <v>326</v>
      </c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1" t="s">
        <v>344</v>
      </c>
      <c r="AB397" s="42" t="s">
        <v>328</v>
      </c>
      <c r="AC397" s="43" t="s">
        <v>61</v>
      </c>
      <c r="AD397" s="43">
        <v>10000000</v>
      </c>
      <c r="AE397" s="44">
        <v>0</v>
      </c>
      <c r="AF397" s="44">
        <v>0</v>
      </c>
      <c r="AG397" s="44">
        <v>0</v>
      </c>
      <c r="AH397" s="44">
        <v>0</v>
      </c>
      <c r="AI397" s="44">
        <v>0</v>
      </c>
      <c r="AJ397" s="43">
        <v>10000000</v>
      </c>
      <c r="AK397" s="44">
        <v>0</v>
      </c>
      <c r="AL397" s="44">
        <f>AM397-AGOSTO!AM390</f>
        <v>0</v>
      </c>
      <c r="AM397" s="44">
        <v>0</v>
      </c>
      <c r="AN397" s="44">
        <v>0</v>
      </c>
      <c r="AO397" s="44">
        <v>0</v>
      </c>
      <c r="AP397" s="44">
        <v>0</v>
      </c>
      <c r="AQ397" s="44">
        <v>0</v>
      </c>
      <c r="AR397" s="44">
        <v>0</v>
      </c>
      <c r="AS397" s="44">
        <v>0</v>
      </c>
      <c r="AT397" s="40">
        <f t="shared" ref="AT397:AT431" si="218">AQ397+AS397</f>
        <v>0</v>
      </c>
      <c r="AU397" s="18">
        <f>AJ397-AM397</f>
        <v>10000000</v>
      </c>
      <c r="AV397" s="34">
        <f>AM397-AP397</f>
        <v>0</v>
      </c>
      <c r="AW397" s="34">
        <f>AP397-AT397</f>
        <v>0</v>
      </c>
      <c r="AX397" s="123">
        <f>AP397/AJ397</f>
        <v>0</v>
      </c>
    </row>
    <row r="398" spans="1:50" ht="18.75" customHeight="1" x14ac:dyDescent="0.2">
      <c r="AA398" s="16"/>
      <c r="AB398" s="17"/>
      <c r="AC398" s="17"/>
      <c r="AD398" s="18"/>
      <c r="AE398" s="34"/>
      <c r="AF398" s="34"/>
      <c r="AG398" s="34"/>
      <c r="AH398" s="34"/>
      <c r="AI398" s="34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30"/>
      <c r="AU398" s="18"/>
      <c r="AV398" s="18"/>
      <c r="AW398" s="18"/>
      <c r="AX398" s="18"/>
    </row>
    <row r="399" spans="1:50" ht="18.75" customHeight="1" x14ac:dyDescent="0.2">
      <c r="AA399" s="16"/>
      <c r="AB399" s="29" t="s">
        <v>356</v>
      </c>
      <c r="AC399" s="17"/>
      <c r="AD399" s="18"/>
      <c r="AE399" s="34"/>
      <c r="AF399" s="34"/>
      <c r="AG399" s="34"/>
      <c r="AH399" s="34"/>
      <c r="AI399" s="34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30"/>
      <c r="AU399" s="18"/>
      <c r="AV399" s="18"/>
      <c r="AW399" s="18"/>
      <c r="AX399" s="18"/>
    </row>
    <row r="400" spans="1:50" ht="18.75" customHeight="1" x14ac:dyDescent="0.2">
      <c r="AA400" s="16"/>
      <c r="AB400" s="29" t="s">
        <v>286</v>
      </c>
      <c r="AC400" s="17"/>
      <c r="AD400" s="18"/>
      <c r="AE400" s="34"/>
      <c r="AF400" s="34"/>
      <c r="AG400" s="34"/>
      <c r="AH400" s="34"/>
      <c r="AI400" s="34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30"/>
      <c r="AU400" s="18"/>
      <c r="AV400" s="18"/>
      <c r="AW400" s="18"/>
      <c r="AX400" s="18"/>
    </row>
    <row r="401" spans="1:50" ht="18.75" customHeight="1" x14ac:dyDescent="0.2">
      <c r="AA401" s="16"/>
      <c r="AB401" s="29" t="s">
        <v>179</v>
      </c>
      <c r="AC401" s="17"/>
      <c r="AD401" s="18"/>
      <c r="AE401" s="34"/>
      <c r="AF401" s="34"/>
      <c r="AG401" s="34"/>
      <c r="AH401" s="34"/>
      <c r="AI401" s="34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30"/>
      <c r="AU401" s="18"/>
      <c r="AV401" s="18"/>
      <c r="AW401" s="18"/>
      <c r="AX401" s="18"/>
    </row>
    <row r="402" spans="1:50" ht="18.75" customHeight="1" x14ac:dyDescent="0.2">
      <c r="AA402" s="16"/>
      <c r="AB402" s="29" t="s">
        <v>181</v>
      </c>
      <c r="AC402" s="17"/>
      <c r="AD402" s="18"/>
      <c r="AE402" s="34"/>
      <c r="AF402" s="34"/>
      <c r="AG402" s="34"/>
      <c r="AH402" s="34"/>
      <c r="AI402" s="34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30"/>
      <c r="AU402" s="18"/>
      <c r="AV402" s="18"/>
      <c r="AW402" s="18"/>
      <c r="AX402" s="18"/>
    </row>
    <row r="403" spans="1:50" ht="25.5" x14ac:dyDescent="0.2">
      <c r="AA403" s="16"/>
      <c r="AB403" s="29" t="s">
        <v>183</v>
      </c>
      <c r="AC403" s="17"/>
      <c r="AD403" s="18"/>
      <c r="AE403" s="34"/>
      <c r="AF403" s="34"/>
      <c r="AG403" s="34"/>
      <c r="AH403" s="34"/>
      <c r="AI403" s="34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30"/>
      <c r="AU403" s="18"/>
      <c r="AV403" s="18"/>
      <c r="AW403" s="18"/>
      <c r="AX403" s="18"/>
    </row>
    <row r="404" spans="1:50" ht="18.75" customHeight="1" x14ac:dyDescent="0.2">
      <c r="AA404" s="28" t="s">
        <v>288</v>
      </c>
      <c r="AB404" s="29" t="s">
        <v>320</v>
      </c>
      <c r="AC404" s="17"/>
      <c r="AD404" s="18"/>
      <c r="AE404" s="34"/>
      <c r="AF404" s="34"/>
      <c r="AG404" s="34"/>
      <c r="AH404" s="34"/>
      <c r="AI404" s="34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30"/>
      <c r="AU404" s="18"/>
      <c r="AV404" s="18"/>
      <c r="AW404" s="18"/>
      <c r="AX404" s="18"/>
    </row>
    <row r="405" spans="1:50" ht="18.75" customHeight="1" x14ac:dyDescent="0.2">
      <c r="A405" s="4" t="s">
        <v>55</v>
      </c>
      <c r="B405" s="4" t="s">
        <v>56</v>
      </c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1" t="s">
        <v>357</v>
      </c>
      <c r="AB405" s="42" t="s">
        <v>328</v>
      </c>
      <c r="AC405" s="43" t="s">
        <v>61</v>
      </c>
      <c r="AD405" s="43">
        <v>33040051</v>
      </c>
      <c r="AE405" s="44">
        <v>0</v>
      </c>
      <c r="AF405" s="44">
        <v>0</v>
      </c>
      <c r="AG405" s="44">
        <v>0</v>
      </c>
      <c r="AH405" s="44">
        <v>0</v>
      </c>
      <c r="AI405" s="44">
        <v>0</v>
      </c>
      <c r="AJ405" s="43">
        <v>33040051</v>
      </c>
      <c r="AK405" s="44">
        <v>0</v>
      </c>
      <c r="AL405" s="44">
        <v>2982014.13</v>
      </c>
      <c r="AM405" s="44">
        <v>2982014.13</v>
      </c>
      <c r="AN405" s="44">
        <v>0</v>
      </c>
      <c r="AO405" s="44">
        <v>0</v>
      </c>
      <c r="AP405" s="44">
        <v>0</v>
      </c>
      <c r="AQ405" s="44">
        <v>0</v>
      </c>
      <c r="AR405" s="44">
        <v>0</v>
      </c>
      <c r="AS405" s="44">
        <v>0</v>
      </c>
      <c r="AT405" s="40">
        <f t="shared" ref="AT405" si="219">AQ405+AS405</f>
        <v>0</v>
      </c>
      <c r="AU405" s="18">
        <f>AJ405-AM405</f>
        <v>30058036.870000001</v>
      </c>
      <c r="AV405" s="34">
        <f>AM405-AP405</f>
        <v>2982014.13</v>
      </c>
      <c r="AW405" s="34">
        <f>AP405-AT405</f>
        <v>0</v>
      </c>
      <c r="AX405" s="123">
        <f>AP405/AJ405</f>
        <v>0</v>
      </c>
    </row>
    <row r="406" spans="1:50" ht="18.75" customHeight="1" x14ac:dyDescent="0.2">
      <c r="AA406" s="16"/>
      <c r="AB406" s="17"/>
      <c r="AC406" s="17"/>
      <c r="AD406" s="18"/>
      <c r="AE406" s="34"/>
      <c r="AF406" s="34"/>
      <c r="AG406" s="34"/>
      <c r="AH406" s="34"/>
      <c r="AI406" s="34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31"/>
      <c r="AU406" s="18"/>
      <c r="AV406" s="18"/>
      <c r="AW406" s="34"/>
      <c r="AX406" s="18"/>
    </row>
    <row r="407" spans="1:50" ht="18.75" customHeight="1" x14ac:dyDescent="0.2">
      <c r="AA407" s="16"/>
      <c r="AB407" s="29" t="s">
        <v>187</v>
      </c>
      <c r="AC407" s="17"/>
      <c r="AD407" s="18"/>
      <c r="AE407" s="34"/>
      <c r="AF407" s="34"/>
      <c r="AG407" s="34"/>
      <c r="AH407" s="34"/>
      <c r="AI407" s="34"/>
      <c r="AJ407" s="18"/>
      <c r="AK407" s="18"/>
      <c r="AL407" s="147"/>
      <c r="AM407" s="18"/>
      <c r="AN407" s="18"/>
      <c r="AO407" s="147"/>
      <c r="AP407" s="18"/>
      <c r="AQ407" s="18"/>
      <c r="AR407" s="18"/>
      <c r="AS407" s="18"/>
      <c r="AT407" s="31"/>
      <c r="AU407" s="18"/>
      <c r="AV407" s="18"/>
      <c r="AW407" s="34"/>
      <c r="AX407" s="18"/>
    </row>
    <row r="408" spans="1:50" ht="25.5" x14ac:dyDescent="0.2">
      <c r="AA408" s="28" t="s">
        <v>288</v>
      </c>
      <c r="AB408" s="68" t="s">
        <v>358</v>
      </c>
      <c r="AC408" s="17"/>
      <c r="AD408" s="18"/>
      <c r="AE408" s="34"/>
      <c r="AF408" s="34"/>
      <c r="AG408" s="34"/>
      <c r="AH408" s="34"/>
      <c r="AI408" s="34"/>
      <c r="AJ408" s="18"/>
      <c r="AK408" s="18"/>
      <c r="AL408" s="147"/>
      <c r="AM408" s="18"/>
      <c r="AN408" s="18"/>
      <c r="AO408" s="147"/>
      <c r="AP408" s="18"/>
      <c r="AQ408" s="18"/>
      <c r="AR408" s="18"/>
      <c r="AS408" s="18"/>
      <c r="AT408" s="31"/>
      <c r="AU408" s="18"/>
      <c r="AV408" s="18"/>
      <c r="AW408" s="34"/>
      <c r="AX408" s="18"/>
    </row>
    <row r="409" spans="1:50" ht="18.75" customHeight="1" x14ac:dyDescent="0.2">
      <c r="AA409" s="41" t="s">
        <v>908</v>
      </c>
      <c r="AB409" s="69" t="s">
        <v>233</v>
      </c>
      <c r="AC409" s="17"/>
      <c r="AD409" s="34">
        <v>0</v>
      </c>
      <c r="AE409" s="34">
        <v>0</v>
      </c>
      <c r="AF409" s="34">
        <v>0</v>
      </c>
      <c r="AG409" s="18">
        <f>2000000000+68793982.7</f>
        <v>2068793982.7</v>
      </c>
      <c r="AH409" s="34">
        <v>0</v>
      </c>
      <c r="AI409" s="18">
        <f>AE409-AF409+AG409-AH409</f>
        <v>2068793982.7</v>
      </c>
      <c r="AJ409" s="18">
        <f>AD409+AI409</f>
        <v>2068793982.7</v>
      </c>
      <c r="AK409" s="34">
        <v>0</v>
      </c>
      <c r="AL409" s="142">
        <v>0</v>
      </c>
      <c r="AM409" s="18">
        <v>2067028385.8900001</v>
      </c>
      <c r="AN409" s="34">
        <v>0</v>
      </c>
      <c r="AO409" s="147">
        <v>0</v>
      </c>
      <c r="AP409" s="18">
        <v>2067028385.8900001</v>
      </c>
      <c r="AQ409" s="18">
        <v>0</v>
      </c>
      <c r="AR409" s="18">
        <v>68656819.170000002</v>
      </c>
      <c r="AS409" s="18">
        <v>68656819.170000002</v>
      </c>
      <c r="AT409" s="39">
        <f>AQ409+AS409</f>
        <v>68656819.170000002</v>
      </c>
      <c r="AU409" s="18">
        <f>AJ409-AM409</f>
        <v>1765596.8099999428</v>
      </c>
      <c r="AV409" s="133">
        <f>AM409-AP409</f>
        <v>0</v>
      </c>
      <c r="AW409" s="18">
        <f>AP409-AT409</f>
        <v>1998371566.72</v>
      </c>
      <c r="AX409" s="123">
        <f>AP409/AJ409</f>
        <v>0.99914655745097647</v>
      </c>
    </row>
    <row r="410" spans="1:50" ht="24.75" customHeight="1" x14ac:dyDescent="0.2">
      <c r="A410" s="4" t="s">
        <v>55</v>
      </c>
      <c r="B410" s="4" t="s">
        <v>56</v>
      </c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134" t="s">
        <v>359</v>
      </c>
      <c r="AB410" s="69" t="s">
        <v>360</v>
      </c>
      <c r="AC410" s="43" t="s">
        <v>361</v>
      </c>
      <c r="AD410" s="43">
        <v>800000000</v>
      </c>
      <c r="AE410" s="44">
        <v>0</v>
      </c>
      <c r="AF410" s="44">
        <v>0</v>
      </c>
      <c r="AG410" s="44">
        <v>0</v>
      </c>
      <c r="AH410" s="44">
        <v>0</v>
      </c>
      <c r="AI410" s="34">
        <f t="shared" ref="AI410" si="220">AE410-AF410+AG410-AH410</f>
        <v>0</v>
      </c>
      <c r="AJ410" s="18">
        <f t="shared" ref="AJ410" si="221">AD410+AI410</f>
        <v>800000000</v>
      </c>
      <c r="AK410" s="44">
        <v>0</v>
      </c>
      <c r="AL410" s="143">
        <v>0</v>
      </c>
      <c r="AM410" s="43">
        <v>800000000</v>
      </c>
      <c r="AN410" s="44">
        <v>0</v>
      </c>
      <c r="AO410" s="143">
        <v>0</v>
      </c>
      <c r="AP410" s="43">
        <v>800000000</v>
      </c>
      <c r="AQ410" s="44">
        <v>0</v>
      </c>
      <c r="AR410" s="44">
        <v>0</v>
      </c>
      <c r="AS410" s="44">
        <v>0</v>
      </c>
      <c r="AT410" s="40">
        <f t="shared" ref="AT410" si="222">AQ410+AS410</f>
        <v>0</v>
      </c>
      <c r="AU410" s="34">
        <f>AJ410-AM410</f>
        <v>0</v>
      </c>
      <c r="AV410" s="133">
        <f>AM410-AP410</f>
        <v>0</v>
      </c>
      <c r="AW410" s="18">
        <f>AP410-AT410</f>
        <v>800000000</v>
      </c>
      <c r="AX410" s="123">
        <f>AP410/AJ410</f>
        <v>1</v>
      </c>
    </row>
    <row r="411" spans="1:50" x14ac:dyDescent="0.2">
      <c r="AL411" s="150"/>
      <c r="AO411" s="150"/>
    </row>
    <row r="412" spans="1:50" ht="18.75" customHeight="1" x14ac:dyDescent="0.2">
      <c r="AA412" s="16"/>
      <c r="AB412" s="68" t="s">
        <v>189</v>
      </c>
      <c r="AC412" s="17"/>
      <c r="AD412" s="18"/>
      <c r="AE412" s="34"/>
      <c r="AF412" s="34"/>
      <c r="AG412" s="34"/>
      <c r="AH412" s="34"/>
      <c r="AI412" s="34"/>
      <c r="AJ412" s="18"/>
      <c r="AK412" s="18"/>
      <c r="AL412" s="147"/>
      <c r="AM412" s="18"/>
      <c r="AN412" s="18"/>
      <c r="AO412" s="147"/>
      <c r="AP412" s="18"/>
      <c r="AQ412" s="18"/>
      <c r="AR412" s="18"/>
      <c r="AS412" s="18"/>
      <c r="AT412" s="31"/>
      <c r="AU412" s="18"/>
      <c r="AV412" s="18"/>
      <c r="AW412" s="34"/>
      <c r="AX412" s="18"/>
    </row>
    <row r="413" spans="1:50" ht="18.75" customHeight="1" x14ac:dyDescent="0.2">
      <c r="AA413" s="16"/>
      <c r="AB413" s="68" t="s">
        <v>191</v>
      </c>
      <c r="AC413" s="17"/>
      <c r="AD413" s="18"/>
      <c r="AE413" s="34"/>
      <c r="AF413" s="34"/>
      <c r="AG413" s="34"/>
      <c r="AH413" s="34"/>
      <c r="AI413" s="34"/>
      <c r="AJ413" s="18"/>
      <c r="AK413" s="18"/>
      <c r="AL413" s="18"/>
      <c r="AM413" s="18"/>
      <c r="AN413" s="18"/>
      <c r="AO413" s="147"/>
      <c r="AP413" s="18"/>
      <c r="AQ413" s="18"/>
      <c r="AR413" s="18"/>
      <c r="AS413" s="18"/>
      <c r="AT413" s="31"/>
      <c r="AU413" s="18"/>
      <c r="AV413" s="18"/>
      <c r="AW413" s="34"/>
      <c r="AX413" s="18"/>
    </row>
    <row r="414" spans="1:50" ht="18.75" customHeight="1" x14ac:dyDescent="0.2">
      <c r="AA414" s="28" t="s">
        <v>288</v>
      </c>
      <c r="AB414" s="68" t="s">
        <v>362</v>
      </c>
      <c r="AC414" s="17"/>
      <c r="AD414" s="18"/>
      <c r="AE414" s="34"/>
      <c r="AF414" s="34"/>
      <c r="AG414" s="34"/>
      <c r="AH414" s="34"/>
      <c r="AI414" s="34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31"/>
      <c r="AU414" s="18"/>
      <c r="AV414" s="18"/>
      <c r="AW414" s="34"/>
      <c r="AX414" s="18"/>
    </row>
    <row r="415" spans="1:50" ht="18.75" customHeight="1" x14ac:dyDescent="0.2">
      <c r="A415" s="4" t="s">
        <v>55</v>
      </c>
      <c r="B415" s="4" t="s">
        <v>56</v>
      </c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1" t="s">
        <v>363</v>
      </c>
      <c r="AB415" s="69" t="s">
        <v>233</v>
      </c>
      <c r="AC415" s="43" t="s">
        <v>58</v>
      </c>
      <c r="AD415" s="43">
        <v>295200000</v>
      </c>
      <c r="AE415" s="44">
        <v>0</v>
      </c>
      <c r="AF415" s="44">
        <v>0</v>
      </c>
      <c r="AG415" s="44">
        <v>0</v>
      </c>
      <c r="AH415" s="44">
        <v>0</v>
      </c>
      <c r="AI415" s="34">
        <f t="shared" ref="AI415:AI421" si="223">AE415-AF415+AG415-AH415</f>
        <v>0</v>
      </c>
      <c r="AJ415" s="18">
        <f t="shared" ref="AJ415:AJ421" si="224">AD415+AI415</f>
        <v>295200000</v>
      </c>
      <c r="AK415" s="44">
        <v>0</v>
      </c>
      <c r="AL415" s="44">
        <v>9000000</v>
      </c>
      <c r="AM415" s="43">
        <v>242808278</v>
      </c>
      <c r="AN415" s="44">
        <v>0</v>
      </c>
      <c r="AO415" s="44">
        <v>170824252.27000001</v>
      </c>
      <c r="AP415" s="44">
        <v>170824252.27000001</v>
      </c>
      <c r="AQ415" s="44">
        <v>0</v>
      </c>
      <c r="AR415" s="44">
        <f>AS415-SEPTIEMBRE!AS411</f>
        <v>0</v>
      </c>
      <c r="AS415" s="44">
        <v>0</v>
      </c>
      <c r="AT415" s="40">
        <f t="shared" ref="AT415:AT421" si="225">AQ415+AS415</f>
        <v>0</v>
      </c>
      <c r="AU415" s="18">
        <f t="shared" ref="AU415:AU421" si="226">AJ415-AM415</f>
        <v>52391722</v>
      </c>
      <c r="AV415" s="18">
        <f t="shared" ref="AV415:AV421" si="227">AM415-AP415</f>
        <v>71984025.729999989</v>
      </c>
      <c r="AW415" s="18">
        <f t="shared" ref="AW415:AW421" si="228">AP415-AT415</f>
        <v>170824252.27000001</v>
      </c>
      <c r="AX415" s="123">
        <f t="shared" ref="AX415:AX421" si="229">AP415/AJ415</f>
        <v>0.57867294129403801</v>
      </c>
    </row>
    <row r="416" spans="1:50" ht="18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1" t="s">
        <v>1339</v>
      </c>
      <c r="AB416" s="69" t="s">
        <v>379</v>
      </c>
      <c r="AC416" s="43"/>
      <c r="AD416" s="43"/>
      <c r="AE416" s="43">
        <v>1011332097</v>
      </c>
      <c r="AF416" s="44">
        <v>0</v>
      </c>
      <c r="AG416" s="44">
        <v>0</v>
      </c>
      <c r="AH416" s="44">
        <v>0</v>
      </c>
      <c r="AI416" s="18">
        <f t="shared" si="223"/>
        <v>1011332097</v>
      </c>
      <c r="AJ416" s="18">
        <f t="shared" si="224"/>
        <v>1011332097</v>
      </c>
      <c r="AK416" s="44">
        <v>0</v>
      </c>
      <c r="AL416" s="44">
        <v>0</v>
      </c>
      <c r="AM416" s="43">
        <v>0</v>
      </c>
      <c r="AN416" s="44">
        <v>0</v>
      </c>
      <c r="AO416" s="44">
        <v>0</v>
      </c>
      <c r="AP416" s="44">
        <v>0</v>
      </c>
      <c r="AQ416" s="44">
        <v>0</v>
      </c>
      <c r="AR416" s="43">
        <f>AS416-SEPTIEMBRE!AS412</f>
        <v>0</v>
      </c>
      <c r="AS416" s="44">
        <v>0</v>
      </c>
      <c r="AT416" s="40">
        <f t="shared" si="225"/>
        <v>0</v>
      </c>
      <c r="AU416" s="18">
        <f t="shared" si="226"/>
        <v>1011332097</v>
      </c>
      <c r="AV416" s="34">
        <f t="shared" si="227"/>
        <v>0</v>
      </c>
      <c r="AW416" s="18">
        <f t="shared" si="228"/>
        <v>0</v>
      </c>
      <c r="AX416" s="123">
        <f t="shared" si="229"/>
        <v>0</v>
      </c>
    </row>
    <row r="417" spans="1:50" ht="18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1" t="s">
        <v>1263</v>
      </c>
      <c r="AB417" s="69" t="s">
        <v>1264</v>
      </c>
      <c r="AC417" s="43"/>
      <c r="AD417" s="43">
        <v>0</v>
      </c>
      <c r="AE417" s="44">
        <v>0</v>
      </c>
      <c r="AF417" s="44">
        <v>0</v>
      </c>
      <c r="AG417" s="43">
        <v>563696519</v>
      </c>
      <c r="AH417" s="43">
        <v>95676637</v>
      </c>
      <c r="AI417" s="18">
        <f t="shared" si="223"/>
        <v>468019882</v>
      </c>
      <c r="AJ417" s="18">
        <f t="shared" si="224"/>
        <v>468019882</v>
      </c>
      <c r="AK417" s="44">
        <v>0</v>
      </c>
      <c r="AL417" s="44">
        <v>14168997.09</v>
      </c>
      <c r="AM417" s="43">
        <v>259875284.08000001</v>
      </c>
      <c r="AN417" s="44">
        <v>0</v>
      </c>
      <c r="AO417" s="44">
        <v>259875284.08000001</v>
      </c>
      <c r="AP417" s="44">
        <v>259875284.08000001</v>
      </c>
      <c r="AQ417" s="44">
        <v>0</v>
      </c>
      <c r="AR417" s="43">
        <f>AS417-SEPTIEMBRE!AS413</f>
        <v>14168997.09</v>
      </c>
      <c r="AS417" s="43">
        <v>14168997.09</v>
      </c>
      <c r="AT417" s="40">
        <f t="shared" si="225"/>
        <v>14168997.09</v>
      </c>
      <c r="AU417" s="18">
        <f t="shared" si="226"/>
        <v>208144597.91999999</v>
      </c>
      <c r="AV417" s="34">
        <f t="shared" si="227"/>
        <v>0</v>
      </c>
      <c r="AW417" s="18">
        <f t="shared" si="228"/>
        <v>245706286.99000001</v>
      </c>
      <c r="AX417" s="123">
        <f t="shared" si="229"/>
        <v>0.55526547925585779</v>
      </c>
    </row>
    <row r="418" spans="1:50" ht="18.75" customHeight="1" x14ac:dyDescent="0.2">
      <c r="A418" s="4" t="s">
        <v>55</v>
      </c>
      <c r="B418" s="4" t="s">
        <v>56</v>
      </c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1" t="s">
        <v>364</v>
      </c>
      <c r="AB418" s="69" t="s">
        <v>360</v>
      </c>
      <c r="AC418" s="43" t="s">
        <v>361</v>
      </c>
      <c r="AD418" s="43">
        <v>1948457402</v>
      </c>
      <c r="AE418" s="44">
        <v>0</v>
      </c>
      <c r="AF418" s="44">
        <v>0</v>
      </c>
      <c r="AG418" s="44">
        <v>0</v>
      </c>
      <c r="AH418" s="43">
        <v>1040144569</v>
      </c>
      <c r="AI418" s="34">
        <f t="shared" si="223"/>
        <v>-1040144569</v>
      </c>
      <c r="AJ418" s="18">
        <f t="shared" si="224"/>
        <v>908312833</v>
      </c>
      <c r="AK418" s="44">
        <v>0</v>
      </c>
      <c r="AL418" s="44">
        <v>0</v>
      </c>
      <c r="AM418" s="44">
        <v>0</v>
      </c>
      <c r="AN418" s="44">
        <v>0</v>
      </c>
      <c r="AO418" s="44">
        <v>0</v>
      </c>
      <c r="AP418" s="44">
        <v>0</v>
      </c>
      <c r="AQ418" s="44">
        <v>0</v>
      </c>
      <c r="AR418" s="44">
        <f>AS418-SEPTIEMBRE!AS414</f>
        <v>0</v>
      </c>
      <c r="AS418" s="44">
        <v>0</v>
      </c>
      <c r="AT418" s="40">
        <f t="shared" si="225"/>
        <v>0</v>
      </c>
      <c r="AU418" s="18">
        <f t="shared" si="226"/>
        <v>908312833</v>
      </c>
      <c r="AV418" s="34">
        <f t="shared" si="227"/>
        <v>0</v>
      </c>
      <c r="AW418" s="18">
        <f t="shared" si="228"/>
        <v>0</v>
      </c>
      <c r="AX418" s="123">
        <f t="shared" si="229"/>
        <v>0</v>
      </c>
    </row>
    <row r="419" spans="1:50" ht="18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245" t="s">
        <v>1206</v>
      </c>
      <c r="AB419" s="69" t="s">
        <v>1204</v>
      </c>
      <c r="AC419" s="43"/>
      <c r="AD419" s="44">
        <v>0</v>
      </c>
      <c r="AE419" s="43">
        <v>1243761503.24</v>
      </c>
      <c r="AF419" s="44">
        <v>0</v>
      </c>
      <c r="AG419" s="44">
        <v>0</v>
      </c>
      <c r="AH419" s="44">
        <v>0</v>
      </c>
      <c r="AI419" s="18">
        <f t="shared" si="223"/>
        <v>1243761503.24</v>
      </c>
      <c r="AJ419" s="18">
        <f t="shared" si="224"/>
        <v>1243761503.24</v>
      </c>
      <c r="AK419" s="44">
        <v>0</v>
      </c>
      <c r="AL419" s="44">
        <v>0</v>
      </c>
      <c r="AM419" s="43">
        <v>1243761503.24</v>
      </c>
      <c r="AN419" s="44">
        <v>0</v>
      </c>
      <c r="AO419" s="44">
        <v>1243761503.24</v>
      </c>
      <c r="AP419" s="44">
        <v>1243761503.24</v>
      </c>
      <c r="AQ419" s="44">
        <v>0</v>
      </c>
      <c r="AR419" s="44">
        <f>AS419-SEPTIEMBRE!AS415</f>
        <v>0</v>
      </c>
      <c r="AS419" s="44">
        <v>0</v>
      </c>
      <c r="AT419" s="40">
        <f t="shared" si="225"/>
        <v>0</v>
      </c>
      <c r="AU419" s="34">
        <f t="shared" si="226"/>
        <v>0</v>
      </c>
      <c r="AV419" s="34">
        <f t="shared" si="227"/>
        <v>0</v>
      </c>
      <c r="AW419" s="18">
        <f t="shared" si="228"/>
        <v>1243761503.24</v>
      </c>
      <c r="AX419" s="123">
        <f t="shared" si="229"/>
        <v>1</v>
      </c>
    </row>
    <row r="420" spans="1:50" ht="18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245" t="s">
        <v>1207</v>
      </c>
      <c r="AB420" s="69" t="s">
        <v>1208</v>
      </c>
      <c r="AC420" s="43"/>
      <c r="AD420" s="44">
        <v>0</v>
      </c>
      <c r="AE420" s="43">
        <v>33301512</v>
      </c>
      <c r="AF420" s="44">
        <v>0</v>
      </c>
      <c r="AG420" s="44">
        <v>0</v>
      </c>
      <c r="AH420" s="44">
        <v>0</v>
      </c>
      <c r="AI420" s="18">
        <f t="shared" si="223"/>
        <v>33301512</v>
      </c>
      <c r="AJ420" s="18">
        <f t="shared" si="224"/>
        <v>33301512</v>
      </c>
      <c r="AK420" s="44">
        <v>0</v>
      </c>
      <c r="AL420" s="44">
        <v>0</v>
      </c>
      <c r="AM420" s="43">
        <v>33301512</v>
      </c>
      <c r="AN420" s="44">
        <v>0</v>
      </c>
      <c r="AO420" s="44">
        <v>0</v>
      </c>
      <c r="AP420" s="43">
        <v>33301512</v>
      </c>
      <c r="AQ420" s="44">
        <v>0</v>
      </c>
      <c r="AR420" s="44">
        <f>AS420-SEPTIEMBRE!AS416</f>
        <v>0</v>
      </c>
      <c r="AS420" s="43">
        <v>33301512</v>
      </c>
      <c r="AT420" s="39">
        <f t="shared" si="225"/>
        <v>33301512</v>
      </c>
      <c r="AU420" s="34">
        <f t="shared" si="226"/>
        <v>0</v>
      </c>
      <c r="AV420" s="34">
        <f t="shared" si="227"/>
        <v>0</v>
      </c>
      <c r="AW420" s="18">
        <f t="shared" si="228"/>
        <v>0</v>
      </c>
      <c r="AX420" s="123">
        <f t="shared" si="229"/>
        <v>1</v>
      </c>
    </row>
    <row r="421" spans="1:50" ht="18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245" t="s">
        <v>1209</v>
      </c>
      <c r="AB421" s="69" t="s">
        <v>1271</v>
      </c>
      <c r="AC421" s="43"/>
      <c r="AD421" s="44">
        <v>0</v>
      </c>
      <c r="AE421" s="43">
        <v>299273185.5</v>
      </c>
      <c r="AF421" s="44">
        <v>0</v>
      </c>
      <c r="AG421" s="44">
        <v>0</v>
      </c>
      <c r="AH421" s="44">
        <v>0</v>
      </c>
      <c r="AI421" s="18">
        <f t="shared" si="223"/>
        <v>299273185.5</v>
      </c>
      <c r="AJ421" s="18">
        <f t="shared" si="224"/>
        <v>299273185.5</v>
      </c>
      <c r="AK421" s="44">
        <v>0</v>
      </c>
      <c r="AL421" s="44">
        <v>0</v>
      </c>
      <c r="AM421" s="43">
        <v>299273185.5</v>
      </c>
      <c r="AN421" s="44">
        <v>0</v>
      </c>
      <c r="AO421" s="44">
        <v>21049985.5</v>
      </c>
      <c r="AP421" s="43">
        <v>299273185.5</v>
      </c>
      <c r="AQ421" s="44">
        <v>0</v>
      </c>
      <c r="AR421" s="44">
        <f>AS421-SEPTIEMBRE!AS417</f>
        <v>0</v>
      </c>
      <c r="AS421" s="43">
        <v>124621932.45</v>
      </c>
      <c r="AT421" s="39">
        <f t="shared" si="225"/>
        <v>124621932.45</v>
      </c>
      <c r="AU421" s="34">
        <f t="shared" si="226"/>
        <v>0</v>
      </c>
      <c r="AV421" s="34">
        <f t="shared" si="227"/>
        <v>0</v>
      </c>
      <c r="AW421" s="18">
        <f t="shared" si="228"/>
        <v>174651253.05000001</v>
      </c>
      <c r="AX421" s="123">
        <f t="shared" si="229"/>
        <v>1</v>
      </c>
    </row>
    <row r="422" spans="1:50" ht="18.75" customHeight="1" x14ac:dyDescent="0.2">
      <c r="AA422" s="28" t="s">
        <v>288</v>
      </c>
      <c r="AB422" s="68" t="s">
        <v>365</v>
      </c>
      <c r="AC422" s="17"/>
      <c r="AD422" s="18"/>
      <c r="AE422" s="34"/>
      <c r="AF422" s="34"/>
      <c r="AG422" s="34"/>
      <c r="AH422" s="34"/>
      <c r="AI422" s="34"/>
      <c r="AJ422" s="18"/>
      <c r="AK422" s="34"/>
      <c r="AL422" s="34"/>
      <c r="AM422" s="34"/>
      <c r="AN422" s="34"/>
      <c r="AO422" s="34"/>
      <c r="AP422" s="34"/>
      <c r="AQ422" s="34"/>
      <c r="AR422" s="34"/>
      <c r="AS422" s="34"/>
      <c r="AT422" s="40"/>
      <c r="AU422" s="18"/>
      <c r="AV422" s="18"/>
      <c r="AW422" s="18"/>
      <c r="AX422" s="18"/>
    </row>
    <row r="423" spans="1:50" ht="18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173" t="s">
        <v>1320</v>
      </c>
      <c r="AB423" s="69" t="s">
        <v>1264</v>
      </c>
      <c r="AC423" s="43"/>
      <c r="AD423" s="44">
        <v>0</v>
      </c>
      <c r="AE423" s="43">
        <v>0</v>
      </c>
      <c r="AF423" s="44">
        <v>0</v>
      </c>
      <c r="AG423" s="43">
        <v>95676637</v>
      </c>
      <c r="AH423" s="44">
        <v>0</v>
      </c>
      <c r="AI423" s="18">
        <f>AE423-AF423+AG423-AH423</f>
        <v>95676637</v>
      </c>
      <c r="AJ423" s="18">
        <f>AD423+AI423</f>
        <v>95676637</v>
      </c>
      <c r="AK423" s="43">
        <v>0</v>
      </c>
      <c r="AL423" s="43">
        <v>95676637</v>
      </c>
      <c r="AM423" s="43">
        <v>95676637</v>
      </c>
      <c r="AN423" s="43">
        <v>0</v>
      </c>
      <c r="AO423" s="43">
        <v>95676637</v>
      </c>
      <c r="AP423" s="43">
        <v>95676637</v>
      </c>
      <c r="AQ423" s="44">
        <v>0</v>
      </c>
      <c r="AR423" s="44">
        <f>AS423-SEPTIEMBRE!AS419</f>
        <v>0</v>
      </c>
      <c r="AS423" s="44">
        <v>0</v>
      </c>
      <c r="AT423" s="40">
        <f>AQ423+AS423</f>
        <v>0</v>
      </c>
      <c r="AU423" s="18">
        <f>AJ423-AM423</f>
        <v>0</v>
      </c>
      <c r="AV423" s="34">
        <f>AM423-AP423</f>
        <v>0</v>
      </c>
      <c r="AW423" s="18">
        <f>AP423-AT423</f>
        <v>95676637</v>
      </c>
      <c r="AX423" s="123">
        <f>AP423/AJ423</f>
        <v>1</v>
      </c>
    </row>
    <row r="424" spans="1:50" ht="18.75" customHeight="1" x14ac:dyDescent="0.2">
      <c r="A424" s="4" t="s">
        <v>55</v>
      </c>
      <c r="B424" s="4" t="s">
        <v>56</v>
      </c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1" t="s">
        <v>366</v>
      </c>
      <c r="AB424" s="69" t="s">
        <v>367</v>
      </c>
      <c r="AC424" s="43" t="s">
        <v>368</v>
      </c>
      <c r="AD424" s="43">
        <v>229393430</v>
      </c>
      <c r="AE424" s="44">
        <v>0</v>
      </c>
      <c r="AF424" s="44">
        <v>0</v>
      </c>
      <c r="AG424" s="44">
        <v>0</v>
      </c>
      <c r="AH424" s="44">
        <v>0</v>
      </c>
      <c r="AI424" s="34">
        <f t="shared" ref="AI424:AI426" si="230">AE424-AF424+AG424-AH424</f>
        <v>0</v>
      </c>
      <c r="AJ424" s="18">
        <f t="shared" ref="AJ424:AJ426" si="231">AD424+AI424</f>
        <v>229393430</v>
      </c>
      <c r="AK424" s="43">
        <v>0</v>
      </c>
      <c r="AL424" s="43">
        <v>21919432.030000001</v>
      </c>
      <c r="AM424" s="43">
        <v>21919432.030000001</v>
      </c>
      <c r="AN424" s="43">
        <v>0</v>
      </c>
      <c r="AO424" s="43">
        <v>21919432.030000001</v>
      </c>
      <c r="AP424" s="43">
        <v>21919432.030000001</v>
      </c>
      <c r="AQ424" s="44">
        <v>0</v>
      </c>
      <c r="AR424" s="44">
        <f>AS424-SEPTIEMBRE!AS420</f>
        <v>0</v>
      </c>
      <c r="AS424" s="44">
        <v>0</v>
      </c>
      <c r="AT424" s="40">
        <f t="shared" si="218"/>
        <v>0</v>
      </c>
      <c r="AU424" s="18">
        <f>AJ424-AM424</f>
        <v>207473997.97</v>
      </c>
      <c r="AV424" s="34">
        <f>AM424-AP424</f>
        <v>0</v>
      </c>
      <c r="AW424" s="18">
        <f>AP424-AT424</f>
        <v>21919432.030000001</v>
      </c>
      <c r="AX424" s="123">
        <f>AP424/AJ424</f>
        <v>9.5553878897054731E-2</v>
      </c>
    </row>
    <row r="425" spans="1:50" ht="18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173" t="s">
        <v>1319</v>
      </c>
      <c r="AB425" s="69" t="s">
        <v>360</v>
      </c>
      <c r="AC425" s="43"/>
      <c r="AD425" s="44">
        <v>0</v>
      </c>
      <c r="AE425" s="43">
        <v>0</v>
      </c>
      <c r="AF425" s="44">
        <v>0</v>
      </c>
      <c r="AG425" s="43">
        <v>1040144569</v>
      </c>
      <c r="AH425" s="44">
        <v>0</v>
      </c>
      <c r="AI425" s="18">
        <f>AE425-AF425+AG425-AH425</f>
        <v>1040144569</v>
      </c>
      <c r="AJ425" s="18">
        <f>AD425+AI425</f>
        <v>1040144569</v>
      </c>
      <c r="AK425" s="43">
        <v>0</v>
      </c>
      <c r="AL425" s="43">
        <v>1040144569</v>
      </c>
      <c r="AM425" s="43">
        <v>1040144569</v>
      </c>
      <c r="AN425" s="43">
        <v>0</v>
      </c>
      <c r="AO425" s="43">
        <v>1040144569</v>
      </c>
      <c r="AP425" s="43">
        <v>1040144569</v>
      </c>
      <c r="AQ425" s="44">
        <v>0</v>
      </c>
      <c r="AR425" s="44">
        <f>AS425-SEPTIEMBRE!AS421</f>
        <v>0</v>
      </c>
      <c r="AS425" s="44">
        <v>0</v>
      </c>
      <c r="AT425" s="40">
        <f>AQ425+AS425</f>
        <v>0</v>
      </c>
      <c r="AU425" s="18">
        <f>AJ425-AM425</f>
        <v>0</v>
      </c>
      <c r="AV425" s="34">
        <f>AM425-AP425</f>
        <v>0</v>
      </c>
      <c r="AW425" s="18">
        <f>AP425-AT425</f>
        <v>1040144569</v>
      </c>
      <c r="AX425" s="123">
        <f>AP425/AJ425</f>
        <v>1</v>
      </c>
    </row>
    <row r="426" spans="1:50" ht="18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173" t="s">
        <v>1203</v>
      </c>
      <c r="AB426" s="69" t="s">
        <v>1204</v>
      </c>
      <c r="AC426" s="43"/>
      <c r="AD426" s="44">
        <v>0</v>
      </c>
      <c r="AE426" s="43">
        <v>500000000</v>
      </c>
      <c r="AF426" s="44">
        <v>0</v>
      </c>
      <c r="AG426" s="44">
        <v>0</v>
      </c>
      <c r="AH426" s="44">
        <v>0</v>
      </c>
      <c r="AI426" s="18">
        <f t="shared" si="230"/>
        <v>500000000</v>
      </c>
      <c r="AJ426" s="18">
        <f t="shared" si="231"/>
        <v>500000000</v>
      </c>
      <c r="AK426" s="43">
        <v>0</v>
      </c>
      <c r="AL426" s="43">
        <v>0</v>
      </c>
      <c r="AM426" s="43">
        <v>0</v>
      </c>
      <c r="AN426" s="43">
        <v>0</v>
      </c>
      <c r="AO426" s="44">
        <v>0</v>
      </c>
      <c r="AP426" s="44">
        <v>0</v>
      </c>
      <c r="AQ426" s="44">
        <v>0</v>
      </c>
      <c r="AR426" s="44">
        <f>AS426-SEPTIEMBRE!AS422</f>
        <v>0</v>
      </c>
      <c r="AS426" s="44">
        <v>0</v>
      </c>
      <c r="AT426" s="40">
        <f t="shared" si="218"/>
        <v>0</v>
      </c>
      <c r="AU426" s="18">
        <f>AJ426-AM426</f>
        <v>500000000</v>
      </c>
      <c r="AV426" s="34">
        <f>AM426-AP426</f>
        <v>0</v>
      </c>
      <c r="AW426" s="18">
        <f>AP426-AT426</f>
        <v>0</v>
      </c>
      <c r="AX426" s="123">
        <f>AP426/AJ426</f>
        <v>0</v>
      </c>
    </row>
    <row r="428" spans="1:50" ht="18.75" customHeight="1" x14ac:dyDescent="0.2">
      <c r="AA428" s="28" t="s">
        <v>288</v>
      </c>
      <c r="AB428" s="68" t="s">
        <v>369</v>
      </c>
      <c r="AC428" s="17"/>
      <c r="AD428" s="18"/>
      <c r="AE428" s="34"/>
      <c r="AF428" s="34"/>
      <c r="AG428" s="34"/>
      <c r="AH428" s="34"/>
      <c r="AI428" s="34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40"/>
      <c r="AU428" s="18"/>
      <c r="AV428" s="18"/>
      <c r="AW428" s="18"/>
      <c r="AX428" s="18"/>
    </row>
    <row r="429" spans="1:50" ht="18.75" customHeight="1" x14ac:dyDescent="0.2">
      <c r="A429" s="4" t="s">
        <v>55</v>
      </c>
      <c r="B429" s="4" t="s">
        <v>56</v>
      </c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1" t="s">
        <v>370</v>
      </c>
      <c r="AB429" s="69" t="s">
        <v>233</v>
      </c>
      <c r="AC429" s="43" t="s">
        <v>58</v>
      </c>
      <c r="AD429" s="43">
        <v>209880000</v>
      </c>
      <c r="AE429" s="44">
        <v>0</v>
      </c>
      <c r="AF429" s="44">
        <v>0</v>
      </c>
      <c r="AG429" s="44">
        <v>0</v>
      </c>
      <c r="AH429" s="44">
        <v>0</v>
      </c>
      <c r="AI429" s="18">
        <f>AE429-AF429+AG429-AH429</f>
        <v>0</v>
      </c>
      <c r="AJ429" s="18">
        <f>AD429+AI429</f>
        <v>209880000</v>
      </c>
      <c r="AK429" s="44">
        <v>0</v>
      </c>
      <c r="AL429" s="43">
        <v>-3200000</v>
      </c>
      <c r="AM429" s="43">
        <v>142733335.31</v>
      </c>
      <c r="AN429" s="44">
        <v>0</v>
      </c>
      <c r="AO429" s="43">
        <v>29933335.309999999</v>
      </c>
      <c r="AP429" s="43">
        <v>142733335.31</v>
      </c>
      <c r="AQ429" s="43">
        <v>0</v>
      </c>
      <c r="AR429" s="43">
        <f>AS429-SEPTIEMBRE!AS424</f>
        <v>16000000</v>
      </c>
      <c r="AS429" s="43">
        <v>101799997</v>
      </c>
      <c r="AT429" s="39">
        <f t="shared" si="218"/>
        <v>101799997</v>
      </c>
      <c r="AU429" s="18">
        <f>AJ429-AM429</f>
        <v>67146664.689999998</v>
      </c>
      <c r="AV429" s="18">
        <f>AM429-AP429</f>
        <v>0</v>
      </c>
      <c r="AW429" s="18">
        <f>AP429-AT429</f>
        <v>40933338.310000002</v>
      </c>
      <c r="AX429" s="123">
        <f>AP429/AJ429</f>
        <v>0.68007116118734512</v>
      </c>
    </row>
    <row r="430" spans="1:50" ht="18.75" customHeight="1" x14ac:dyDescent="0.2">
      <c r="AA430" s="28" t="s">
        <v>288</v>
      </c>
      <c r="AB430" s="68" t="s">
        <v>371</v>
      </c>
      <c r="AC430" s="17"/>
      <c r="AD430" s="18"/>
      <c r="AE430" s="34"/>
      <c r="AF430" s="34"/>
      <c r="AG430" s="34"/>
      <c r="AH430" s="34"/>
      <c r="AI430" s="34"/>
      <c r="AJ430" s="18"/>
      <c r="AK430" s="18"/>
      <c r="AL430" s="34"/>
      <c r="AM430" s="18"/>
      <c r="AN430" s="18"/>
      <c r="AO430" s="18"/>
      <c r="AP430" s="18"/>
      <c r="AQ430" s="18"/>
      <c r="AR430" s="18"/>
      <c r="AS430" s="18"/>
      <c r="AT430" s="40"/>
      <c r="AU430" s="18"/>
      <c r="AV430" s="18"/>
      <c r="AW430" s="18"/>
      <c r="AX430" s="18"/>
    </row>
    <row r="431" spans="1:50" ht="18.75" customHeight="1" x14ac:dyDescent="0.2">
      <c r="A431" s="4" t="s">
        <v>55</v>
      </c>
      <c r="B431" s="4" t="s">
        <v>56</v>
      </c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1" t="s">
        <v>372</v>
      </c>
      <c r="AB431" s="69" t="s">
        <v>233</v>
      </c>
      <c r="AC431" s="43" t="s">
        <v>58</v>
      </c>
      <c r="AD431" s="43">
        <v>290120000</v>
      </c>
      <c r="AE431" s="44">
        <v>0</v>
      </c>
      <c r="AF431" s="44">
        <v>0</v>
      </c>
      <c r="AG431" s="44">
        <v>0</v>
      </c>
      <c r="AH431" s="43">
        <f>169996000+20000000</f>
        <v>189996000</v>
      </c>
      <c r="AI431" s="18">
        <f>AE431-AF431+AG431-AH431</f>
        <v>-189996000</v>
      </c>
      <c r="AJ431" s="18">
        <f>AD431+AI431</f>
        <v>100124000</v>
      </c>
      <c r="AK431" s="44">
        <v>0</v>
      </c>
      <c r="AL431" s="44">
        <v>0</v>
      </c>
      <c r="AM431" s="43">
        <v>100124000</v>
      </c>
      <c r="AN431" s="44">
        <v>0</v>
      </c>
      <c r="AO431" s="44">
        <v>0</v>
      </c>
      <c r="AP431" s="43">
        <v>100124000</v>
      </c>
      <c r="AQ431" s="44">
        <v>0</v>
      </c>
      <c r="AR431" s="43">
        <f>AS431-SEPTIEMBRE!AS426</f>
        <v>16687334</v>
      </c>
      <c r="AS431" s="43">
        <v>50062002</v>
      </c>
      <c r="AT431" s="40">
        <f t="shared" si="218"/>
        <v>50062002</v>
      </c>
      <c r="AU431" s="34">
        <f>AJ431-AM431</f>
        <v>0</v>
      </c>
      <c r="AV431" s="34">
        <f>AM431-AP431</f>
        <v>0</v>
      </c>
      <c r="AW431" s="18">
        <f>AP431-AT431</f>
        <v>50061998</v>
      </c>
      <c r="AX431" s="123">
        <f>AP431/AJ431</f>
        <v>1</v>
      </c>
    </row>
    <row r="432" spans="1:50" ht="18.75" customHeight="1" x14ac:dyDescent="0.2">
      <c r="AA432" s="16"/>
      <c r="AB432" s="70"/>
      <c r="AC432" s="17"/>
      <c r="AD432" s="18"/>
      <c r="AE432" s="34"/>
      <c r="AF432" s="34"/>
      <c r="AG432" s="34"/>
      <c r="AH432" s="34"/>
      <c r="AI432" s="34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40"/>
      <c r="AU432" s="18"/>
      <c r="AV432" s="18"/>
      <c r="AW432" s="18"/>
      <c r="AX432" s="18"/>
    </row>
    <row r="433" spans="1:50" ht="38.25" x14ac:dyDescent="0.2">
      <c r="AA433" s="16"/>
      <c r="AB433" s="68" t="s">
        <v>373</v>
      </c>
      <c r="AC433" s="17"/>
      <c r="AD433" s="18"/>
      <c r="AE433" s="34"/>
      <c r="AF433" s="34"/>
      <c r="AG433" s="34"/>
      <c r="AH433" s="34"/>
      <c r="AI433" s="34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40"/>
      <c r="AU433" s="18"/>
      <c r="AV433" s="18"/>
      <c r="AW433" s="18"/>
      <c r="AX433" s="18"/>
    </row>
    <row r="434" spans="1:50" ht="25.5" x14ac:dyDescent="0.2">
      <c r="AA434" s="28"/>
      <c r="AB434" s="68" t="s">
        <v>374</v>
      </c>
      <c r="AC434" s="17"/>
      <c r="AD434" s="18"/>
      <c r="AE434" s="34"/>
      <c r="AF434" s="34"/>
      <c r="AG434" s="34"/>
      <c r="AH434" s="34"/>
      <c r="AI434" s="34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40"/>
      <c r="AU434" s="18"/>
      <c r="AV434" s="18"/>
      <c r="AW434" s="18"/>
      <c r="AX434" s="18"/>
    </row>
    <row r="435" spans="1:50" ht="25.5" x14ac:dyDescent="0.2">
      <c r="AA435" s="28" t="s">
        <v>288</v>
      </c>
      <c r="AB435" s="68" t="s">
        <v>375</v>
      </c>
      <c r="AC435" s="17"/>
      <c r="AD435" s="18"/>
      <c r="AE435" s="34"/>
      <c r="AF435" s="34"/>
      <c r="AG435" s="34"/>
      <c r="AH435" s="34"/>
      <c r="AI435" s="34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40"/>
      <c r="AU435" s="18"/>
      <c r="AV435" s="18"/>
      <c r="AW435" s="18"/>
      <c r="AX435" s="18"/>
    </row>
    <row r="436" spans="1:50" x14ac:dyDescent="0.2">
      <c r="A436" s="4" t="s">
        <v>55</v>
      </c>
      <c r="B436" s="4" t="s">
        <v>56</v>
      </c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1" t="s">
        <v>376</v>
      </c>
      <c r="AB436" s="69" t="s">
        <v>233</v>
      </c>
      <c r="AC436" s="43" t="s">
        <v>58</v>
      </c>
      <c r="AD436" s="43">
        <v>3416292195</v>
      </c>
      <c r="AE436" s="44">
        <v>0</v>
      </c>
      <c r="AF436" s="44">
        <v>0</v>
      </c>
      <c r="AG436" s="44">
        <v>0</v>
      </c>
      <c r="AH436" s="43">
        <v>94960977</v>
      </c>
      <c r="AI436" s="18">
        <f>AE436-AF436+AG436-AH436</f>
        <v>-94960977</v>
      </c>
      <c r="AJ436" s="18">
        <f>AD436+AI436</f>
        <v>3321331218</v>
      </c>
      <c r="AK436" s="44">
        <v>0</v>
      </c>
      <c r="AL436" s="44">
        <f>AM436-AGOSTO!AM428</f>
        <v>0</v>
      </c>
      <c r="AM436" s="43">
        <v>3321331218</v>
      </c>
      <c r="AN436" s="44">
        <v>0</v>
      </c>
      <c r="AO436" s="44">
        <v>0</v>
      </c>
      <c r="AP436" s="43">
        <v>3321331218</v>
      </c>
      <c r="AQ436" s="44">
        <v>0</v>
      </c>
      <c r="AR436" s="44">
        <v>0</v>
      </c>
      <c r="AS436" s="43">
        <v>21176441</v>
      </c>
      <c r="AT436" s="39">
        <f t="shared" ref="AT436" si="232">AQ436+AS436</f>
        <v>21176441</v>
      </c>
      <c r="AU436" s="34">
        <f>AJ436-AM436</f>
        <v>0</v>
      </c>
      <c r="AV436" s="133">
        <f>AM436-AP436</f>
        <v>0</v>
      </c>
      <c r="AW436" s="18">
        <f>AP436-AT436</f>
        <v>3300154777</v>
      </c>
      <c r="AX436" s="123">
        <f>AP436/AJ436</f>
        <v>1</v>
      </c>
    </row>
    <row r="437" spans="1:50" ht="18.75" customHeight="1" x14ac:dyDescent="0.2">
      <c r="AA437" s="28" t="s">
        <v>288</v>
      </c>
      <c r="AB437" s="29" t="s">
        <v>320</v>
      </c>
      <c r="AC437" s="17"/>
      <c r="AD437" s="18"/>
      <c r="AE437" s="34"/>
      <c r="AF437" s="34"/>
      <c r="AG437" s="34"/>
      <c r="AH437" s="34"/>
      <c r="AI437" s="34"/>
      <c r="AJ437" s="18"/>
      <c r="AK437" s="34"/>
      <c r="AL437" s="34"/>
      <c r="AM437" s="18"/>
      <c r="AN437" s="34"/>
      <c r="AO437" s="34"/>
      <c r="AP437" s="18"/>
      <c r="AQ437" s="34"/>
      <c r="AR437" s="34"/>
      <c r="AS437" s="34"/>
      <c r="AT437" s="40"/>
      <c r="AU437" s="18"/>
      <c r="AV437" s="18"/>
      <c r="AW437" s="18"/>
      <c r="AX437" s="18"/>
    </row>
    <row r="438" spans="1:50" ht="18.75" customHeight="1" x14ac:dyDescent="0.2">
      <c r="A438" s="4" t="s">
        <v>55</v>
      </c>
      <c r="B438" s="4" t="s">
        <v>56</v>
      </c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1" t="s">
        <v>377</v>
      </c>
      <c r="AB438" s="42" t="s">
        <v>328</v>
      </c>
      <c r="AC438" s="43" t="s">
        <v>61</v>
      </c>
      <c r="AD438" s="43">
        <v>10632000</v>
      </c>
      <c r="AE438" s="44">
        <v>0</v>
      </c>
      <c r="AF438" s="44">
        <v>0</v>
      </c>
      <c r="AG438" s="44">
        <v>0</v>
      </c>
      <c r="AH438" s="44">
        <v>0</v>
      </c>
      <c r="AI438" s="18">
        <f t="shared" ref="AI438:AI440" si="233">AE438-AF438+AG438-AH438</f>
        <v>0</v>
      </c>
      <c r="AJ438" s="18">
        <f t="shared" ref="AJ438:AJ440" si="234">AD438+AI438</f>
        <v>10632000</v>
      </c>
      <c r="AK438" s="44">
        <v>0</v>
      </c>
      <c r="AL438" s="43">
        <v>0</v>
      </c>
      <c r="AM438" s="43">
        <v>1060000</v>
      </c>
      <c r="AN438" s="44">
        <v>0</v>
      </c>
      <c r="AO438" s="44">
        <v>931920</v>
      </c>
      <c r="AP438" s="44">
        <v>931920</v>
      </c>
      <c r="AQ438" s="44">
        <v>0</v>
      </c>
      <c r="AR438" s="44">
        <v>0</v>
      </c>
      <c r="AS438" s="44">
        <v>0</v>
      </c>
      <c r="AT438" s="40">
        <f t="shared" ref="AT438:AT440" si="235">AQ438+AS438</f>
        <v>0</v>
      </c>
      <c r="AU438" s="18">
        <f>AJ438-AM438</f>
        <v>9572000</v>
      </c>
      <c r="AV438" s="18">
        <f>AM438-AP438</f>
        <v>128080</v>
      </c>
      <c r="AW438" s="34">
        <f>AP438-AT438</f>
        <v>931920</v>
      </c>
      <c r="AX438" s="123">
        <f>AP438/AJ438</f>
        <v>8.7652370203160274E-2</v>
      </c>
    </row>
    <row r="439" spans="1:50" ht="18.75" customHeight="1" x14ac:dyDescent="0.2">
      <c r="A439" s="4" t="s">
        <v>55</v>
      </c>
      <c r="B439" s="4" t="s">
        <v>56</v>
      </c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1" t="s">
        <v>378</v>
      </c>
      <c r="AB439" s="42" t="s">
        <v>379</v>
      </c>
      <c r="AC439" s="43" t="s">
        <v>380</v>
      </c>
      <c r="AD439" s="43">
        <v>2835585455</v>
      </c>
      <c r="AE439" s="44">
        <v>0</v>
      </c>
      <c r="AF439" s="44">
        <v>0</v>
      </c>
      <c r="AG439" s="44">
        <v>0</v>
      </c>
      <c r="AH439" s="44">
        <v>0</v>
      </c>
      <c r="AI439" s="18">
        <f t="shared" si="233"/>
        <v>0</v>
      </c>
      <c r="AJ439" s="18">
        <f t="shared" si="234"/>
        <v>2835585455</v>
      </c>
      <c r="AK439" s="44">
        <v>0</v>
      </c>
      <c r="AL439" s="43">
        <v>273707499</v>
      </c>
      <c r="AM439" s="43">
        <v>1772632273</v>
      </c>
      <c r="AN439" s="44">
        <v>0</v>
      </c>
      <c r="AO439" s="43">
        <v>273707499</v>
      </c>
      <c r="AP439" s="43">
        <v>1772632273</v>
      </c>
      <c r="AQ439" s="115">
        <v>61099759</v>
      </c>
      <c r="AR439" s="43">
        <f>AS439-SEPTIEMBRE!AS434</f>
        <v>212607740</v>
      </c>
      <c r="AS439" s="43">
        <v>1711532514</v>
      </c>
      <c r="AT439" s="39">
        <f t="shared" si="235"/>
        <v>1772632273</v>
      </c>
      <c r="AU439" s="18">
        <f>AJ439-AM439</f>
        <v>1062953182</v>
      </c>
      <c r="AV439" s="34">
        <f>AM439-AP439</f>
        <v>0</v>
      </c>
      <c r="AW439" s="18">
        <f>AP439-AT439</f>
        <v>0</v>
      </c>
      <c r="AX439" s="123">
        <f>AP439/AJ439</f>
        <v>0.62513801863185248</v>
      </c>
    </row>
    <row r="440" spans="1:50" ht="18.75" customHeight="1" x14ac:dyDescent="0.2">
      <c r="A440" s="4" t="s">
        <v>55</v>
      </c>
      <c r="B440" s="4" t="s">
        <v>56</v>
      </c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1" t="s">
        <v>381</v>
      </c>
      <c r="AB440" s="42" t="s">
        <v>382</v>
      </c>
      <c r="AC440" s="43" t="s">
        <v>383</v>
      </c>
      <c r="AD440" s="43">
        <v>1274304912</v>
      </c>
      <c r="AE440" s="44">
        <v>0</v>
      </c>
      <c r="AF440" s="44">
        <v>0</v>
      </c>
      <c r="AG440" s="44">
        <v>0</v>
      </c>
      <c r="AH440" s="43">
        <v>563696519</v>
      </c>
      <c r="AI440" s="18">
        <f t="shared" si="233"/>
        <v>-563696519</v>
      </c>
      <c r="AJ440" s="18">
        <f t="shared" si="234"/>
        <v>710608393</v>
      </c>
      <c r="AK440" s="44">
        <v>0</v>
      </c>
      <c r="AL440" s="44">
        <v>0</v>
      </c>
      <c r="AM440" s="44">
        <v>0</v>
      </c>
      <c r="AN440" s="44">
        <v>0</v>
      </c>
      <c r="AO440" s="44">
        <v>0</v>
      </c>
      <c r="AP440" s="44">
        <v>0</v>
      </c>
      <c r="AQ440" s="44">
        <v>0</v>
      </c>
      <c r="AR440" s="43">
        <f>AS440-SEPTIEMBRE!AS435</f>
        <v>0</v>
      </c>
      <c r="AS440" s="44">
        <v>0</v>
      </c>
      <c r="AT440" s="40">
        <f t="shared" si="235"/>
        <v>0</v>
      </c>
      <c r="AU440" s="18">
        <f>AJ440-AM440</f>
        <v>710608393</v>
      </c>
      <c r="AV440" s="34">
        <f>AM440-AP440</f>
        <v>0</v>
      </c>
      <c r="AW440" s="34">
        <f>AP440-AT440</f>
        <v>0</v>
      </c>
      <c r="AX440" s="123">
        <f>AP440/AJ440</f>
        <v>0</v>
      </c>
    </row>
    <row r="441" spans="1:50" ht="38.25" x14ac:dyDescent="0.2">
      <c r="AA441" s="28" t="s">
        <v>288</v>
      </c>
      <c r="AB441" s="29" t="s">
        <v>384</v>
      </c>
      <c r="AC441" s="17"/>
      <c r="AD441" s="18"/>
      <c r="AE441" s="34"/>
      <c r="AF441" s="34"/>
      <c r="AG441" s="34"/>
      <c r="AH441" s="34"/>
      <c r="AI441" s="34"/>
      <c r="AJ441" s="18"/>
      <c r="AK441" s="18"/>
      <c r="AL441" s="18"/>
      <c r="AM441" s="18"/>
      <c r="AN441" s="34"/>
      <c r="AO441" s="34"/>
      <c r="AP441" s="18"/>
      <c r="AQ441" s="18"/>
      <c r="AR441" s="18"/>
      <c r="AS441" s="18"/>
      <c r="AT441" s="39"/>
      <c r="AU441" s="18"/>
      <c r="AV441" s="18"/>
      <c r="AW441" s="18"/>
      <c r="AX441" s="18"/>
    </row>
    <row r="442" spans="1:50" ht="18.75" customHeight="1" x14ac:dyDescent="0.2">
      <c r="A442" s="4" t="s">
        <v>55</v>
      </c>
      <c r="B442" s="4" t="s">
        <v>56</v>
      </c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1" t="s">
        <v>385</v>
      </c>
      <c r="AB442" s="42" t="s">
        <v>233</v>
      </c>
      <c r="AC442" s="43" t="s">
        <v>58</v>
      </c>
      <c r="AD442" s="43">
        <v>9793380820</v>
      </c>
      <c r="AE442" s="44">
        <v>0</v>
      </c>
      <c r="AF442" s="44">
        <v>0</v>
      </c>
      <c r="AG442" s="44">
        <v>0</v>
      </c>
      <c r="AH442" s="43">
        <f>210000000+7000000</f>
        <v>217000000</v>
      </c>
      <c r="AI442" s="18">
        <f t="shared" ref="AI442:AI448" si="236">AE442-AF442+AG442-AH442</f>
        <v>-217000000</v>
      </c>
      <c r="AJ442" s="18">
        <f t="shared" ref="AJ442:AJ448" si="237">AD442+AI442</f>
        <v>9576380820</v>
      </c>
      <c r="AK442" s="44">
        <v>0</v>
      </c>
      <c r="AL442" s="43">
        <v>43350000</v>
      </c>
      <c r="AM442" s="43">
        <v>9016270147.4599991</v>
      </c>
      <c r="AN442" s="44">
        <v>5000000</v>
      </c>
      <c r="AO442" s="43">
        <v>86166666.659999996</v>
      </c>
      <c r="AP442" s="43">
        <v>8966103480.7900009</v>
      </c>
      <c r="AQ442" s="43">
        <v>4350000</v>
      </c>
      <c r="AR442" s="43">
        <f>AS442-SEPTIEMBRE!AS437</f>
        <v>119831247.5</v>
      </c>
      <c r="AS442" s="43">
        <v>849305682</v>
      </c>
      <c r="AT442" s="39">
        <f t="shared" ref="AT442:AT449" si="238">AQ442+AS442</f>
        <v>853655682</v>
      </c>
      <c r="AU442" s="18">
        <f t="shared" ref="AU442:AU449" si="239">AJ442-AM442</f>
        <v>560110672.54000092</v>
      </c>
      <c r="AV442" s="18">
        <f t="shared" ref="AV442:AV449" si="240">AM442-AP442</f>
        <v>50166666.669998169</v>
      </c>
      <c r="AW442" s="110">
        <f t="shared" ref="AW442:AW449" si="241">AP442-AT442</f>
        <v>8112447798.7900009</v>
      </c>
      <c r="AX442" s="123">
        <f t="shared" ref="AX442:AX449" si="242">AP442/AJ442</f>
        <v>0.93627265345009547</v>
      </c>
    </row>
    <row r="443" spans="1:50" ht="18.75" customHeight="1" x14ac:dyDescent="0.2">
      <c r="A443" s="4" t="s">
        <v>55</v>
      </c>
      <c r="B443" s="4" t="s">
        <v>56</v>
      </c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1" t="s">
        <v>386</v>
      </c>
      <c r="AB443" s="42" t="s">
        <v>382</v>
      </c>
      <c r="AC443" s="43" t="s">
        <v>383</v>
      </c>
      <c r="AD443" s="43">
        <v>8000000000</v>
      </c>
      <c r="AE443" s="44">
        <v>0</v>
      </c>
      <c r="AF443" s="44">
        <v>0</v>
      </c>
      <c r="AG443" s="44">
        <v>0</v>
      </c>
      <c r="AH443" s="44">
        <v>0</v>
      </c>
      <c r="AI443" s="18">
        <f t="shared" si="236"/>
        <v>0</v>
      </c>
      <c r="AJ443" s="18">
        <f t="shared" si="237"/>
        <v>8000000000</v>
      </c>
      <c r="AK443" s="44">
        <v>0</v>
      </c>
      <c r="AL443" s="44">
        <v>0</v>
      </c>
      <c r="AM443" s="43">
        <v>8000000000</v>
      </c>
      <c r="AN443" s="44">
        <v>0</v>
      </c>
      <c r="AO443" s="44">
        <v>0</v>
      </c>
      <c r="AP443" s="43">
        <v>8000000000</v>
      </c>
      <c r="AQ443" s="44">
        <v>652653516</v>
      </c>
      <c r="AR443" s="43">
        <f>AS443-SEPTIEMBRE!AS438</f>
        <v>609089460.00000024</v>
      </c>
      <c r="AS443" s="44">
        <v>2293224404.3000002</v>
      </c>
      <c r="AT443" s="40">
        <f t="shared" si="238"/>
        <v>2945877920.3000002</v>
      </c>
      <c r="AU443" s="34">
        <f t="shared" si="239"/>
        <v>0</v>
      </c>
      <c r="AV443" s="34">
        <f t="shared" si="240"/>
        <v>0</v>
      </c>
      <c r="AW443" s="18">
        <f t="shared" si="241"/>
        <v>5054122079.6999998</v>
      </c>
      <c r="AX443" s="123">
        <f t="shared" si="242"/>
        <v>1</v>
      </c>
    </row>
    <row r="444" spans="1:50" ht="18.75" customHeight="1" x14ac:dyDescent="0.2">
      <c r="A444" s="4" t="s">
        <v>55</v>
      </c>
      <c r="B444" s="4" t="s">
        <v>56</v>
      </c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1" t="s">
        <v>387</v>
      </c>
      <c r="AB444" s="42" t="s">
        <v>388</v>
      </c>
      <c r="AC444" s="43" t="s">
        <v>389</v>
      </c>
      <c r="AD444" s="43">
        <v>951016677</v>
      </c>
      <c r="AE444" s="43">
        <v>94431074</v>
      </c>
      <c r="AF444" s="44">
        <v>0</v>
      </c>
      <c r="AG444" s="44">
        <v>0</v>
      </c>
      <c r="AH444" s="44">
        <v>0</v>
      </c>
      <c r="AI444" s="18">
        <f t="shared" si="236"/>
        <v>94431074</v>
      </c>
      <c r="AJ444" s="18">
        <f t="shared" si="237"/>
        <v>1045447751</v>
      </c>
      <c r="AK444" s="44">
        <v>0</v>
      </c>
      <c r="AL444" s="44">
        <v>0</v>
      </c>
      <c r="AM444" s="43">
        <v>934080451</v>
      </c>
      <c r="AN444" s="44">
        <v>0</v>
      </c>
      <c r="AO444" s="44">
        <v>0</v>
      </c>
      <c r="AP444" s="43">
        <v>934080451</v>
      </c>
      <c r="AQ444" s="44">
        <v>0</v>
      </c>
      <c r="AR444" s="44">
        <f>AS444-SEPTIEMBRE!AS439</f>
        <v>0</v>
      </c>
      <c r="AS444" s="43">
        <v>934080451</v>
      </c>
      <c r="AT444" s="39">
        <f t="shared" si="238"/>
        <v>934080451</v>
      </c>
      <c r="AU444" s="18">
        <f t="shared" si="239"/>
        <v>111367300</v>
      </c>
      <c r="AV444" s="34">
        <f t="shared" si="240"/>
        <v>0</v>
      </c>
      <c r="AW444" s="34">
        <f t="shared" si="241"/>
        <v>0</v>
      </c>
      <c r="AX444" s="123">
        <f t="shared" si="242"/>
        <v>0.89347406420505082</v>
      </c>
    </row>
    <row r="445" spans="1:50" ht="18.75" customHeight="1" x14ac:dyDescent="0.2">
      <c r="A445" s="4" t="s">
        <v>55</v>
      </c>
      <c r="B445" s="4" t="s">
        <v>56</v>
      </c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1" t="s">
        <v>390</v>
      </c>
      <c r="AB445" s="42" t="s">
        <v>391</v>
      </c>
      <c r="AC445" s="43" t="s">
        <v>392</v>
      </c>
      <c r="AD445" s="43">
        <v>2011708314</v>
      </c>
      <c r="AE445" s="44">
        <v>0</v>
      </c>
      <c r="AF445" s="44">
        <v>0</v>
      </c>
      <c r="AG445" s="44">
        <v>0</v>
      </c>
      <c r="AH445" s="44">
        <v>0</v>
      </c>
      <c r="AI445" s="34">
        <f t="shared" si="236"/>
        <v>0</v>
      </c>
      <c r="AJ445" s="18">
        <f t="shared" si="237"/>
        <v>2011708314</v>
      </c>
      <c r="AK445" s="44">
        <v>0</v>
      </c>
      <c r="AL445" s="44">
        <v>0</v>
      </c>
      <c r="AM445" s="43">
        <v>1978725412.5</v>
      </c>
      <c r="AN445" s="44">
        <v>0</v>
      </c>
      <c r="AO445" s="44">
        <v>0</v>
      </c>
      <c r="AP445" s="43">
        <v>1978725412.5</v>
      </c>
      <c r="AQ445" s="44">
        <v>0</v>
      </c>
      <c r="AR445" s="44">
        <f>AS445-SEPTIEMBRE!AS440</f>
        <v>0</v>
      </c>
      <c r="AS445" s="43">
        <v>1945742510</v>
      </c>
      <c r="AT445" s="39">
        <f t="shared" si="238"/>
        <v>1945742510</v>
      </c>
      <c r="AU445" s="18">
        <f t="shared" si="239"/>
        <v>32982901.5</v>
      </c>
      <c r="AV445" s="34">
        <f t="shared" si="240"/>
        <v>0</v>
      </c>
      <c r="AW445" s="18">
        <f t="shared" si="241"/>
        <v>32982902.5</v>
      </c>
      <c r="AX445" s="123">
        <f t="shared" si="242"/>
        <v>0.98360453090019884</v>
      </c>
    </row>
    <row r="446" spans="1:50" ht="18.75" customHeight="1" x14ac:dyDescent="0.2">
      <c r="A446" s="4" t="s">
        <v>55</v>
      </c>
      <c r="B446" s="4" t="s">
        <v>56</v>
      </c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1" t="s">
        <v>393</v>
      </c>
      <c r="AB446" s="42" t="s">
        <v>394</v>
      </c>
      <c r="AC446" s="43" t="s">
        <v>368</v>
      </c>
      <c r="AD446" s="43">
        <v>64817304.240000002</v>
      </c>
      <c r="AE446" s="44">
        <v>0</v>
      </c>
      <c r="AF446" s="44">
        <v>0</v>
      </c>
      <c r="AG446" s="44">
        <v>0</v>
      </c>
      <c r="AH446" s="44">
        <v>0</v>
      </c>
      <c r="AI446" s="34">
        <f t="shared" si="236"/>
        <v>0</v>
      </c>
      <c r="AJ446" s="18">
        <f t="shared" si="237"/>
        <v>64817304.240000002</v>
      </c>
      <c r="AK446" s="44">
        <v>0</v>
      </c>
      <c r="AL446" s="44">
        <v>0</v>
      </c>
      <c r="AM446" s="43">
        <v>64817304.240000002</v>
      </c>
      <c r="AN446" s="44">
        <v>0</v>
      </c>
      <c r="AO446" s="44">
        <v>0</v>
      </c>
      <c r="AP446" s="43">
        <v>64817304.240000002</v>
      </c>
      <c r="AQ446" s="44">
        <v>0</v>
      </c>
      <c r="AR446" s="44">
        <f>AS446-SEPTIEMBRE!AS441</f>
        <v>0</v>
      </c>
      <c r="AS446" s="43">
        <v>64817304.240000002</v>
      </c>
      <c r="AT446" s="39">
        <f t="shared" si="238"/>
        <v>64817304.240000002</v>
      </c>
      <c r="AU446" s="34">
        <f t="shared" si="239"/>
        <v>0</v>
      </c>
      <c r="AV446" s="34">
        <f t="shared" si="240"/>
        <v>0</v>
      </c>
      <c r="AW446" s="34">
        <f t="shared" si="241"/>
        <v>0</v>
      </c>
      <c r="AX446" s="123">
        <f t="shared" si="242"/>
        <v>1</v>
      </c>
    </row>
    <row r="447" spans="1:50" ht="18.75" customHeight="1" x14ac:dyDescent="0.2">
      <c r="AA447" s="245" t="s">
        <v>1213</v>
      </c>
      <c r="AB447" s="42" t="s">
        <v>1214</v>
      </c>
      <c r="AC447" s="17"/>
      <c r="AD447" s="34">
        <v>0</v>
      </c>
      <c r="AE447" s="18">
        <v>437225610.45999998</v>
      </c>
      <c r="AF447" s="34">
        <v>0</v>
      </c>
      <c r="AG447" s="34">
        <v>0</v>
      </c>
      <c r="AH447" s="34">
        <v>0</v>
      </c>
      <c r="AI447" s="18">
        <f t="shared" si="236"/>
        <v>437225610.45999998</v>
      </c>
      <c r="AJ447" s="18">
        <f t="shared" si="237"/>
        <v>437225610.45999998</v>
      </c>
      <c r="AK447" s="44">
        <v>0</v>
      </c>
      <c r="AL447" s="44">
        <v>0</v>
      </c>
      <c r="AM447" s="43">
        <v>437225610.45999998</v>
      </c>
      <c r="AN447" s="44">
        <v>0</v>
      </c>
      <c r="AO447" s="44">
        <v>0</v>
      </c>
      <c r="AP447" s="43">
        <v>437225610.45999998</v>
      </c>
      <c r="AQ447" s="44">
        <v>0</v>
      </c>
      <c r="AR447" s="44">
        <f>AS447-SEPTIEMBRE!AS442</f>
        <v>0</v>
      </c>
      <c r="AS447" s="44">
        <v>437225610.45999998</v>
      </c>
      <c r="AT447" s="40">
        <f t="shared" si="238"/>
        <v>437225610.45999998</v>
      </c>
      <c r="AU447" s="34">
        <f t="shared" si="239"/>
        <v>0</v>
      </c>
      <c r="AV447" s="34">
        <f t="shared" si="240"/>
        <v>0</v>
      </c>
      <c r="AW447" s="34">
        <f t="shared" si="241"/>
        <v>0</v>
      </c>
      <c r="AX447" s="123">
        <f t="shared" si="242"/>
        <v>1</v>
      </c>
    </row>
    <row r="448" spans="1:50" ht="27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245" t="s">
        <v>1211</v>
      </c>
      <c r="AB448" s="42" t="s">
        <v>1212</v>
      </c>
      <c r="AC448" s="43"/>
      <c r="AD448" s="44">
        <v>0</v>
      </c>
      <c r="AE448" s="43">
        <v>17631990</v>
      </c>
      <c r="AF448" s="44">
        <v>0</v>
      </c>
      <c r="AG448" s="44">
        <v>0</v>
      </c>
      <c r="AH448" s="44">
        <v>0</v>
      </c>
      <c r="AI448" s="18">
        <f t="shared" si="236"/>
        <v>17631990</v>
      </c>
      <c r="AJ448" s="18">
        <f t="shared" si="237"/>
        <v>17631990</v>
      </c>
      <c r="AK448" s="44">
        <v>0</v>
      </c>
      <c r="AL448" s="44">
        <v>0</v>
      </c>
      <c r="AM448" s="43">
        <v>17631990</v>
      </c>
      <c r="AN448" s="44">
        <v>0</v>
      </c>
      <c r="AO448" s="44">
        <v>0</v>
      </c>
      <c r="AP448" s="43">
        <v>17631990</v>
      </c>
      <c r="AQ448" s="44">
        <v>0</v>
      </c>
      <c r="AR448" s="44">
        <f>AS448-SEPTIEMBRE!AS443</f>
        <v>0</v>
      </c>
      <c r="AS448" s="43">
        <v>17631990</v>
      </c>
      <c r="AT448" s="39">
        <f t="shared" si="238"/>
        <v>17631990</v>
      </c>
      <c r="AU448" s="34">
        <f t="shared" si="239"/>
        <v>0</v>
      </c>
      <c r="AV448" s="34">
        <f t="shared" si="240"/>
        <v>0</v>
      </c>
      <c r="AW448" s="34">
        <f t="shared" si="241"/>
        <v>0</v>
      </c>
      <c r="AX448" s="123">
        <f t="shared" si="242"/>
        <v>1</v>
      </c>
    </row>
    <row r="449" spans="1:50" ht="30" customHeight="1" x14ac:dyDescent="0.2">
      <c r="AA449" s="246" t="s">
        <v>1215</v>
      </c>
      <c r="AB449" s="42" t="s">
        <v>1216</v>
      </c>
      <c r="AC449" s="17"/>
      <c r="AD449" s="34">
        <v>0</v>
      </c>
      <c r="AE449" s="18">
        <v>288008146</v>
      </c>
      <c r="AF449" s="34">
        <v>0</v>
      </c>
      <c r="AG449" s="34">
        <v>0</v>
      </c>
      <c r="AH449" s="34">
        <v>0</v>
      </c>
      <c r="AI449" s="18">
        <f>AE449-AF449+AG449-AH449</f>
        <v>288008146</v>
      </c>
      <c r="AJ449" s="18">
        <f>AD449+AI449</f>
        <v>288008146</v>
      </c>
      <c r="AK449" s="44">
        <v>0</v>
      </c>
      <c r="AL449" s="44">
        <v>0</v>
      </c>
      <c r="AM449" s="43">
        <v>288008146</v>
      </c>
      <c r="AN449" s="44">
        <v>0</v>
      </c>
      <c r="AO449" s="44">
        <v>0</v>
      </c>
      <c r="AP449" s="43">
        <v>288008146</v>
      </c>
      <c r="AQ449" s="44">
        <v>0</v>
      </c>
      <c r="AR449" s="44">
        <f>AS449-SEPTIEMBRE!AS444</f>
        <v>0</v>
      </c>
      <c r="AS449" s="43">
        <v>288008146</v>
      </c>
      <c r="AT449" s="39">
        <f t="shared" si="238"/>
        <v>288008146</v>
      </c>
      <c r="AU449" s="34">
        <f t="shared" si="239"/>
        <v>0</v>
      </c>
      <c r="AV449" s="34">
        <f t="shared" si="240"/>
        <v>0</v>
      </c>
      <c r="AW449" s="18">
        <f t="shared" si="241"/>
        <v>0</v>
      </c>
      <c r="AX449" s="123">
        <f t="shared" si="242"/>
        <v>1</v>
      </c>
    </row>
    <row r="450" spans="1:50" ht="12.75" customHeight="1" x14ac:dyDescent="0.2">
      <c r="AA450" s="173"/>
      <c r="AB450" s="207"/>
      <c r="AC450" s="17"/>
      <c r="AD450" s="18"/>
      <c r="AE450" s="34"/>
      <c r="AF450" s="34"/>
      <c r="AG450" s="34"/>
      <c r="AH450" s="34"/>
      <c r="AI450" s="34"/>
      <c r="AJ450" s="18"/>
      <c r="AK450" s="18"/>
      <c r="AL450" s="18"/>
      <c r="AM450" s="18"/>
      <c r="AN450" s="34"/>
      <c r="AO450" s="34"/>
      <c r="AP450" s="18"/>
      <c r="AQ450" s="18"/>
      <c r="AR450" s="18"/>
      <c r="AS450" s="18"/>
      <c r="AT450" s="39"/>
      <c r="AU450" s="18"/>
      <c r="AV450" s="18"/>
      <c r="AW450" s="18"/>
      <c r="AX450" s="18"/>
    </row>
    <row r="451" spans="1:50" ht="25.5" x14ac:dyDescent="0.2">
      <c r="AA451" s="16"/>
      <c r="AB451" s="29" t="s">
        <v>195</v>
      </c>
      <c r="AC451" s="17"/>
      <c r="AD451" s="18"/>
      <c r="AE451" s="34"/>
      <c r="AF451" s="34"/>
      <c r="AG451" s="34"/>
      <c r="AH451" s="34"/>
      <c r="AI451" s="34"/>
      <c r="AJ451" s="18"/>
      <c r="AK451" s="18"/>
      <c r="AL451" s="18"/>
      <c r="AM451" s="18"/>
      <c r="AN451" s="34"/>
      <c r="AO451" s="34"/>
      <c r="AP451" s="18"/>
      <c r="AQ451" s="18"/>
      <c r="AR451" s="18"/>
      <c r="AS451" s="18"/>
      <c r="AT451" s="39"/>
      <c r="AU451" s="18"/>
      <c r="AV451" s="18"/>
      <c r="AW451" s="18"/>
      <c r="AX451" s="18"/>
    </row>
    <row r="452" spans="1:50" ht="18.75" customHeight="1" x14ac:dyDescent="0.2">
      <c r="AA452" s="28" t="s">
        <v>288</v>
      </c>
      <c r="AB452" s="29" t="s">
        <v>320</v>
      </c>
      <c r="AC452" s="17"/>
      <c r="AD452" s="18"/>
      <c r="AE452" s="34"/>
      <c r="AF452" s="34"/>
      <c r="AG452" s="34"/>
      <c r="AH452" s="34"/>
      <c r="AI452" s="34"/>
      <c r="AJ452" s="18"/>
      <c r="AK452" s="18"/>
      <c r="AL452" s="18"/>
      <c r="AM452" s="18"/>
      <c r="AN452" s="34"/>
      <c r="AO452" s="34"/>
      <c r="AP452" s="18"/>
      <c r="AQ452" s="18"/>
      <c r="AR452" s="18"/>
      <c r="AS452" s="18"/>
      <c r="AT452" s="39"/>
      <c r="AU452" s="18"/>
      <c r="AV452" s="18"/>
      <c r="AW452" s="18"/>
      <c r="AX452" s="18"/>
    </row>
    <row r="453" spans="1:50" ht="18.75" customHeight="1" x14ac:dyDescent="0.2">
      <c r="A453" s="4" t="s">
        <v>55</v>
      </c>
      <c r="B453" s="4" t="s">
        <v>56</v>
      </c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1" t="s">
        <v>395</v>
      </c>
      <c r="AB453" s="42" t="s">
        <v>233</v>
      </c>
      <c r="AC453" s="43" t="s">
        <v>58</v>
      </c>
      <c r="AD453" s="43">
        <v>77302510</v>
      </c>
      <c r="AE453" s="44">
        <v>0</v>
      </c>
      <c r="AF453" s="44">
        <v>0</v>
      </c>
      <c r="AG453" s="44">
        <v>0</v>
      </c>
      <c r="AH453" s="43">
        <v>736198</v>
      </c>
      <c r="AI453" s="18">
        <f>AE453-AF453+AG453-AH453</f>
        <v>-736198</v>
      </c>
      <c r="AJ453" s="18">
        <f>AD453+AI453</f>
        <v>76566312</v>
      </c>
      <c r="AK453" s="44">
        <v>0</v>
      </c>
      <c r="AL453" s="44">
        <f>AM453-AGOSTO!AM445</f>
        <v>0</v>
      </c>
      <c r="AM453" s="43">
        <v>76566312</v>
      </c>
      <c r="AN453" s="44">
        <v>0</v>
      </c>
      <c r="AO453" s="44">
        <v>0</v>
      </c>
      <c r="AP453" s="43">
        <v>76566312</v>
      </c>
      <c r="AQ453" s="43">
        <v>10365732</v>
      </c>
      <c r="AR453" s="43">
        <f>AS453-SEPTIEMBRE!AS448</f>
        <v>1538354</v>
      </c>
      <c r="AS453" s="43">
        <v>39933183</v>
      </c>
      <c r="AT453" s="39">
        <f t="shared" ref="AT453" si="243">AQ453+AS453</f>
        <v>50298915</v>
      </c>
      <c r="AU453" s="34">
        <f>AJ453-AM453</f>
        <v>0</v>
      </c>
      <c r="AV453" s="34">
        <f>AM453-AP453</f>
        <v>0</v>
      </c>
      <c r="AW453" s="18">
        <f>AP453-AT453</f>
        <v>26267397</v>
      </c>
      <c r="AX453" s="123">
        <f>AP453/AJ453</f>
        <v>1</v>
      </c>
    </row>
    <row r="454" spans="1:50" ht="18.75" customHeight="1" x14ac:dyDescent="0.2">
      <c r="AA454" s="16"/>
      <c r="AB454" s="17"/>
      <c r="AC454" s="17"/>
      <c r="AD454" s="18"/>
      <c r="AE454" s="34"/>
      <c r="AF454" s="34"/>
      <c r="AG454" s="34"/>
      <c r="AH454" s="34"/>
      <c r="AI454" s="34"/>
      <c r="AJ454" s="18"/>
      <c r="AK454" s="18"/>
      <c r="AL454" s="18"/>
      <c r="AM454" s="18"/>
      <c r="AN454" s="18"/>
      <c r="AO454" s="18"/>
      <c r="AP454" s="18"/>
      <c r="AQ454" s="34"/>
      <c r="AR454" s="34"/>
      <c r="AS454" s="34"/>
      <c r="AT454" s="40"/>
      <c r="AU454" s="18"/>
      <c r="AV454" s="18"/>
      <c r="AW454" s="18"/>
      <c r="AX454" s="18"/>
    </row>
    <row r="455" spans="1:50" ht="25.5" x14ac:dyDescent="0.2">
      <c r="AA455" s="16"/>
      <c r="AB455" s="29" t="s">
        <v>197</v>
      </c>
      <c r="AC455" s="17"/>
      <c r="AD455" s="18"/>
      <c r="AE455" s="34"/>
      <c r="AF455" s="34"/>
      <c r="AG455" s="34"/>
      <c r="AH455" s="34"/>
      <c r="AI455" s="34"/>
      <c r="AJ455" s="18"/>
      <c r="AK455" s="18"/>
      <c r="AL455" s="18"/>
      <c r="AM455" s="18"/>
      <c r="AN455" s="18"/>
      <c r="AO455" s="18"/>
      <c r="AP455" s="18"/>
      <c r="AQ455" s="34"/>
      <c r="AR455" s="34"/>
      <c r="AS455" s="34"/>
      <c r="AT455" s="40"/>
      <c r="AU455" s="18"/>
      <c r="AV455" s="18"/>
      <c r="AW455" s="18"/>
      <c r="AX455" s="18"/>
    </row>
    <row r="456" spans="1:50" ht="25.5" x14ac:dyDescent="0.2">
      <c r="AA456" s="28" t="s">
        <v>288</v>
      </c>
      <c r="AB456" s="29" t="s">
        <v>396</v>
      </c>
      <c r="AC456" s="17"/>
      <c r="AD456" s="18"/>
      <c r="AE456" s="34"/>
      <c r="AF456" s="34"/>
      <c r="AG456" s="34"/>
      <c r="AH456" s="34"/>
      <c r="AI456" s="34"/>
      <c r="AJ456" s="18"/>
      <c r="AK456" s="18"/>
      <c r="AL456" s="18"/>
      <c r="AM456" s="18"/>
      <c r="AN456" s="18"/>
      <c r="AO456" s="18"/>
      <c r="AP456" s="18"/>
      <c r="AQ456" s="34"/>
      <c r="AR456" s="34"/>
      <c r="AS456" s="34"/>
      <c r="AT456" s="40"/>
      <c r="AU456" s="18"/>
      <c r="AV456" s="18"/>
      <c r="AW456" s="18"/>
      <c r="AX456" s="18"/>
    </row>
    <row r="457" spans="1:50" ht="18.75" customHeight="1" x14ac:dyDescent="0.2">
      <c r="A457" s="4" t="s">
        <v>55</v>
      </c>
      <c r="B457" s="4" t="s">
        <v>56</v>
      </c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1" t="s">
        <v>397</v>
      </c>
      <c r="AB457" s="42" t="s">
        <v>328</v>
      </c>
      <c r="AC457" s="43" t="s">
        <v>61</v>
      </c>
      <c r="AD457" s="43">
        <v>838526678</v>
      </c>
      <c r="AE457" s="44">
        <v>0</v>
      </c>
      <c r="AF457" s="44">
        <v>0</v>
      </c>
      <c r="AG457" s="43">
        <v>27102938</v>
      </c>
      <c r="AH457" s="44">
        <v>0</v>
      </c>
      <c r="AI457" s="18">
        <f>AE457-AF457+AG457-AH457</f>
        <v>27102938</v>
      </c>
      <c r="AJ457" s="18">
        <f>AD457+AI457</f>
        <v>865629616</v>
      </c>
      <c r="AK457" s="44">
        <v>0</v>
      </c>
      <c r="AL457" s="44">
        <f>AM457-AGOSTO!AM449</f>
        <v>0</v>
      </c>
      <c r="AM457" s="43">
        <v>864293138.00999999</v>
      </c>
      <c r="AN457" s="44">
        <v>0</v>
      </c>
      <c r="AO457" s="44">
        <v>0</v>
      </c>
      <c r="AP457" s="43">
        <v>853521647</v>
      </c>
      <c r="AQ457" s="44">
        <v>0</v>
      </c>
      <c r="AR457" s="44">
        <v>0</v>
      </c>
      <c r="AS457" s="44">
        <v>0</v>
      </c>
      <c r="AT457" s="40">
        <f t="shared" ref="AT457" si="244">AQ457+AS457</f>
        <v>0</v>
      </c>
      <c r="AU457" s="18">
        <f>AJ457-AM457</f>
        <v>1336477.9900000095</v>
      </c>
      <c r="AV457" s="18">
        <f>AM457-AP457</f>
        <v>10771491.00999999</v>
      </c>
      <c r="AW457" s="18">
        <f>AP457-AT457</f>
        <v>853521647</v>
      </c>
      <c r="AX457" s="123">
        <f>AP457/AJ457</f>
        <v>0.98601252917390936</v>
      </c>
    </row>
    <row r="458" spans="1:50" ht="18.75" customHeight="1" x14ac:dyDescent="0.2">
      <c r="AA458" s="28" t="s">
        <v>288</v>
      </c>
      <c r="AB458" s="29" t="s">
        <v>320</v>
      </c>
      <c r="AC458" s="17"/>
      <c r="AD458" s="18"/>
      <c r="AE458" s="34"/>
      <c r="AF458" s="34"/>
      <c r="AG458" s="34"/>
      <c r="AH458" s="34"/>
      <c r="AI458" s="34"/>
      <c r="AJ458" s="18"/>
      <c r="AK458" s="18"/>
      <c r="AL458" s="18"/>
      <c r="AM458" s="18"/>
      <c r="AN458" s="34"/>
      <c r="AO458" s="18"/>
      <c r="AP458" s="18"/>
      <c r="AQ458" s="34"/>
      <c r="AR458" s="34"/>
      <c r="AS458" s="34"/>
      <c r="AT458" s="40"/>
      <c r="AU458" s="18"/>
      <c r="AV458" s="18"/>
      <c r="AW458" s="18"/>
      <c r="AX458" s="18"/>
    </row>
    <row r="459" spans="1:50" ht="18.75" customHeight="1" x14ac:dyDescent="0.2">
      <c r="A459" s="4" t="s">
        <v>55</v>
      </c>
      <c r="B459" s="4" t="s">
        <v>56</v>
      </c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1" t="s">
        <v>398</v>
      </c>
      <c r="AB459" s="42" t="s">
        <v>233</v>
      </c>
      <c r="AC459" s="43" t="s">
        <v>58</v>
      </c>
      <c r="AD459" s="43">
        <v>9048558947</v>
      </c>
      <c r="AE459" s="143">
        <v>0</v>
      </c>
      <c r="AF459" s="44">
        <v>0</v>
      </c>
      <c r="AG459" s="43">
        <v>5000000</v>
      </c>
      <c r="AH459" s="44">
        <v>0</v>
      </c>
      <c r="AI459" s="18">
        <f t="shared" ref="AI459:AI460" si="245">AE459-AF459+AG459-AH459</f>
        <v>5000000</v>
      </c>
      <c r="AJ459" s="18">
        <f t="shared" ref="AJ459:AJ460" si="246">AD459+AI459</f>
        <v>9053558947</v>
      </c>
      <c r="AK459" s="44">
        <v>0</v>
      </c>
      <c r="AL459" s="44">
        <v>0</v>
      </c>
      <c r="AM459" s="43">
        <v>9048558947</v>
      </c>
      <c r="AN459" s="44">
        <v>0</v>
      </c>
      <c r="AO459" s="44">
        <v>0</v>
      </c>
      <c r="AP459" s="43">
        <v>9001641826</v>
      </c>
      <c r="AQ459" s="44">
        <v>0</v>
      </c>
      <c r="AR459" s="43">
        <f>AS459-SEPTIEMBRE!AS454</f>
        <v>0</v>
      </c>
      <c r="AS459" s="43">
        <v>6834352002.1599998</v>
      </c>
      <c r="AT459" s="39">
        <f t="shared" ref="AT459:AT462" si="247">AQ459+AS459</f>
        <v>6834352002.1599998</v>
      </c>
      <c r="AU459" s="18">
        <f>AJ459-AM459</f>
        <v>5000000</v>
      </c>
      <c r="AV459" s="18">
        <f>AM459-AP459</f>
        <v>46917121</v>
      </c>
      <c r="AW459" s="18">
        <f>AP459-AT459</f>
        <v>2167289823.8400002</v>
      </c>
      <c r="AX459" s="123">
        <f>AP459/AJ459</f>
        <v>0.99426555663867378</v>
      </c>
    </row>
    <row r="460" spans="1:50" ht="18.75" customHeight="1" x14ac:dyDescent="0.2">
      <c r="A460" s="4" t="s">
        <v>55</v>
      </c>
      <c r="B460" s="4" t="s">
        <v>56</v>
      </c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1" t="s">
        <v>399</v>
      </c>
      <c r="AB460" s="42" t="s">
        <v>382</v>
      </c>
      <c r="AC460" s="43" t="s">
        <v>383</v>
      </c>
      <c r="AD460" s="43">
        <v>1274304910</v>
      </c>
      <c r="AE460" s="143">
        <v>0</v>
      </c>
      <c r="AF460" s="44">
        <v>0</v>
      </c>
      <c r="AG460" s="44">
        <v>0</v>
      </c>
      <c r="AH460" s="44">
        <v>0</v>
      </c>
      <c r="AI460" s="18">
        <f t="shared" si="245"/>
        <v>0</v>
      </c>
      <c r="AJ460" s="18">
        <f t="shared" si="246"/>
        <v>1274304910</v>
      </c>
      <c r="AK460" s="44">
        <v>0</v>
      </c>
      <c r="AL460" s="44">
        <v>0</v>
      </c>
      <c r="AM460" s="43">
        <v>1274304910</v>
      </c>
      <c r="AN460" s="44">
        <v>0</v>
      </c>
      <c r="AO460" s="44">
        <v>0</v>
      </c>
      <c r="AP460" s="43">
        <v>1274304910</v>
      </c>
      <c r="AQ460" s="43">
        <v>0</v>
      </c>
      <c r="AR460" s="43">
        <f>AS460-SEPTIEMBRE!AS455</f>
        <v>1084547875.0999999</v>
      </c>
      <c r="AS460" s="44">
        <v>1084547875.0999999</v>
      </c>
      <c r="AT460" s="39">
        <f t="shared" si="247"/>
        <v>1084547875.0999999</v>
      </c>
      <c r="AU460" s="34">
        <f>AJ460-AM460</f>
        <v>0</v>
      </c>
      <c r="AV460" s="34">
        <f>AM460-AP460</f>
        <v>0</v>
      </c>
      <c r="AW460" s="18">
        <f>AP460-AT460</f>
        <v>189757034.9000001</v>
      </c>
      <c r="AX460" s="123">
        <f>AP460/AJ460</f>
        <v>1</v>
      </c>
    </row>
    <row r="461" spans="1:50" ht="18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1" t="s">
        <v>986</v>
      </c>
      <c r="AB461" s="42" t="s">
        <v>987</v>
      </c>
      <c r="AC461" s="43"/>
      <c r="AD461" s="44">
        <v>0</v>
      </c>
      <c r="AE461" s="143">
        <v>0</v>
      </c>
      <c r="AF461" s="44">
        <v>0</v>
      </c>
      <c r="AG461" s="43">
        <v>417383651.70999998</v>
      </c>
      <c r="AH461" s="44">
        <v>0</v>
      </c>
      <c r="AI461" s="18">
        <f>AE461-AF461+AG461-AH461</f>
        <v>417383651.70999998</v>
      </c>
      <c r="AJ461" s="18">
        <f>AD461+AI461</f>
        <v>417383651.70999998</v>
      </c>
      <c r="AK461" s="44">
        <v>0</v>
      </c>
      <c r="AL461" s="44">
        <v>0</v>
      </c>
      <c r="AM461" s="43">
        <v>417383651.70999998</v>
      </c>
      <c r="AN461" s="44">
        <v>0</v>
      </c>
      <c r="AO461" s="44">
        <v>0</v>
      </c>
      <c r="AP461" s="43">
        <v>417383651.70999998</v>
      </c>
      <c r="AQ461" s="44">
        <v>0</v>
      </c>
      <c r="AR461" s="43">
        <f>AS461-SEPTIEMBRE!AS456</f>
        <v>0</v>
      </c>
      <c r="AS461" s="44">
        <v>0</v>
      </c>
      <c r="AT461" s="40">
        <f t="shared" si="247"/>
        <v>0</v>
      </c>
      <c r="AU461" s="34">
        <f>AJ461-AM461</f>
        <v>0</v>
      </c>
      <c r="AV461" s="34">
        <f>AM461-AP461</f>
        <v>0</v>
      </c>
      <c r="AW461" s="18">
        <f>AP461-AT461</f>
        <v>417383651.70999998</v>
      </c>
      <c r="AX461" s="123">
        <f>AP461/AJ461</f>
        <v>1</v>
      </c>
    </row>
    <row r="462" spans="1:50" ht="18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166" t="s">
        <v>1020</v>
      </c>
      <c r="AB462" s="167" t="s">
        <v>1015</v>
      </c>
      <c r="AC462" s="168"/>
      <c r="AD462" s="44">
        <v>0</v>
      </c>
      <c r="AE462" s="142">
        <v>4862312815</v>
      </c>
      <c r="AF462" s="44"/>
      <c r="AG462" s="43"/>
      <c r="AH462" s="43">
        <f>1416953380+371588553</f>
        <v>1788541933</v>
      </c>
      <c r="AI462" s="18">
        <f>AE462-AF462+AG462-AH462</f>
        <v>3073770882</v>
      </c>
      <c r="AJ462" s="18">
        <f>AD462+AI462</f>
        <v>3073770882</v>
      </c>
      <c r="AK462" s="44">
        <v>0</v>
      </c>
      <c r="AL462" s="44">
        <v>-145782310</v>
      </c>
      <c r="AM462" s="43">
        <v>2927988572</v>
      </c>
      <c r="AN462" s="44">
        <v>0</v>
      </c>
      <c r="AO462" s="43">
        <v>0</v>
      </c>
      <c r="AP462" s="43">
        <v>2927988572</v>
      </c>
      <c r="AQ462" s="44">
        <v>0</v>
      </c>
      <c r="AR462" s="43">
        <f>AS462-SEPTIEMBRE!AS457</f>
        <v>18463410</v>
      </c>
      <c r="AS462" s="44">
        <v>18463410</v>
      </c>
      <c r="AT462" s="40">
        <f t="shared" si="247"/>
        <v>18463410</v>
      </c>
      <c r="AU462" s="18">
        <f>AJ462-AM462</f>
        <v>145782310</v>
      </c>
      <c r="AV462" s="18">
        <f>AM462-AP462</f>
        <v>0</v>
      </c>
      <c r="AW462" s="18">
        <f>AP462-AT462</f>
        <v>2909525162</v>
      </c>
      <c r="AX462" s="123">
        <f>AP462/AJ462</f>
        <v>0.95257216116734622</v>
      </c>
    </row>
    <row r="463" spans="1:50" ht="18.75" customHeight="1" x14ac:dyDescent="0.2">
      <c r="AA463" s="169" t="s">
        <v>288</v>
      </c>
      <c r="AB463" s="163" t="s">
        <v>400</v>
      </c>
      <c r="AC463" s="17"/>
      <c r="AD463" s="18"/>
      <c r="AE463" s="145"/>
      <c r="AF463" s="34"/>
      <c r="AG463" s="34"/>
      <c r="AH463" s="34"/>
      <c r="AI463" s="34"/>
      <c r="AJ463" s="18"/>
      <c r="AK463" s="18"/>
      <c r="AL463" s="18"/>
      <c r="AM463" s="18"/>
      <c r="AN463" s="34"/>
      <c r="AO463" s="18"/>
      <c r="AP463" s="18"/>
      <c r="AQ463" s="18"/>
      <c r="AR463" s="34"/>
      <c r="AS463" s="34"/>
      <c r="AT463" s="40"/>
      <c r="AU463" s="18"/>
      <c r="AV463" s="18"/>
      <c r="AW463" s="18"/>
      <c r="AX463" s="18"/>
    </row>
    <row r="464" spans="1:50" ht="18.75" customHeight="1" x14ac:dyDescent="0.2">
      <c r="A464" s="4" t="s">
        <v>55</v>
      </c>
      <c r="B464" s="4" t="s">
        <v>56</v>
      </c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1" t="s">
        <v>401</v>
      </c>
      <c r="AB464" s="42" t="s">
        <v>233</v>
      </c>
      <c r="AC464" s="43" t="s">
        <v>58</v>
      </c>
      <c r="AD464" s="43">
        <v>1000000000</v>
      </c>
      <c r="AE464" s="143">
        <v>0</v>
      </c>
      <c r="AF464" s="44">
        <v>0</v>
      </c>
      <c r="AG464" s="43">
        <v>210000000</v>
      </c>
      <c r="AH464" s="44">
        <v>0</v>
      </c>
      <c r="AI464" s="18">
        <f>AE464-AF464+AG464-AH464</f>
        <v>210000000</v>
      </c>
      <c r="AJ464" s="18">
        <f>AD464+AI464</f>
        <v>1210000000</v>
      </c>
      <c r="AK464" s="44">
        <v>0</v>
      </c>
      <c r="AL464" s="43">
        <v>40603333</v>
      </c>
      <c r="AM464" s="43">
        <v>1074403332.6700001</v>
      </c>
      <c r="AN464" s="43">
        <v>0</v>
      </c>
      <c r="AO464" s="43">
        <v>49933333</v>
      </c>
      <c r="AP464" s="43">
        <v>1054253332.67</v>
      </c>
      <c r="AQ464" s="43">
        <v>7770000</v>
      </c>
      <c r="AR464" s="114">
        <f>AS464-SEPTIEMBRE!AS459</f>
        <v>93700000</v>
      </c>
      <c r="AS464" s="114">
        <v>767940000</v>
      </c>
      <c r="AT464" s="39">
        <f t="shared" ref="AT464:AT506" si="248">AQ464+AS464</f>
        <v>775710000</v>
      </c>
      <c r="AU464" s="110">
        <f>AJ464-AM464</f>
        <v>135596667.32999992</v>
      </c>
      <c r="AV464" s="110">
        <f>AM464-AP464</f>
        <v>20150000.000000119</v>
      </c>
      <c r="AW464" s="18">
        <f>AP464-AT464</f>
        <v>278543332.66999996</v>
      </c>
      <c r="AX464" s="123">
        <f>AP464/AJ464</f>
        <v>0.87128374600826441</v>
      </c>
    </row>
    <row r="465" spans="1:50" s="201" customFormat="1" ht="28.5" customHeight="1" x14ac:dyDescent="0.2">
      <c r="B465" s="323"/>
      <c r="C465" s="323"/>
      <c r="D465" s="323"/>
      <c r="E465" s="323"/>
      <c r="F465" s="323"/>
      <c r="G465" s="323"/>
      <c r="H465" s="323"/>
      <c r="I465" s="323"/>
      <c r="J465" s="323"/>
      <c r="K465" s="323"/>
      <c r="L465" s="323"/>
      <c r="M465" s="323"/>
      <c r="N465" s="323"/>
      <c r="O465" s="323"/>
      <c r="P465" s="323"/>
      <c r="Q465" s="323"/>
      <c r="R465" s="323"/>
      <c r="S465" s="323"/>
      <c r="T465" s="323"/>
      <c r="U465" s="323"/>
      <c r="V465" s="323"/>
      <c r="W465" s="323"/>
      <c r="X465" s="323"/>
      <c r="Y465" s="323"/>
      <c r="Z465" s="323"/>
      <c r="AA465" s="73" t="s">
        <v>288</v>
      </c>
      <c r="AB465" s="74" t="s">
        <v>1414</v>
      </c>
      <c r="AC465" s="74"/>
      <c r="AD465" s="176"/>
      <c r="AE465" s="118"/>
      <c r="AF465" s="177"/>
      <c r="AG465" s="177"/>
      <c r="AH465" s="177"/>
      <c r="AI465" s="177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30"/>
      <c r="AU465" s="176"/>
      <c r="AV465" s="176"/>
      <c r="AW465" s="176"/>
      <c r="AX465" s="176"/>
    </row>
    <row r="466" spans="1:50" ht="18.75" customHeight="1" x14ac:dyDescent="0.2">
      <c r="AA466" s="324" t="s">
        <v>1415</v>
      </c>
      <c r="AB466" s="42" t="s">
        <v>961</v>
      </c>
      <c r="AC466" s="161"/>
      <c r="AD466" s="18"/>
      <c r="AE466" s="145"/>
      <c r="AF466" s="34"/>
      <c r="AG466" s="18">
        <v>2000000</v>
      </c>
      <c r="AH466" s="34"/>
      <c r="AI466" s="18">
        <f>AE466-AF466+AG466-AH466</f>
        <v>2000000</v>
      </c>
      <c r="AJ466" s="18">
        <f>AD466+AI466</f>
        <v>2000000</v>
      </c>
      <c r="AK466" s="18">
        <v>0</v>
      </c>
      <c r="AL466" s="18">
        <v>2000000</v>
      </c>
      <c r="AM466" s="18">
        <v>2000000</v>
      </c>
      <c r="AN466" s="18">
        <v>0</v>
      </c>
      <c r="AO466" s="18">
        <v>2000000</v>
      </c>
      <c r="AP466" s="18">
        <v>2000000</v>
      </c>
      <c r="AQ466" s="34">
        <v>0</v>
      </c>
      <c r="AR466" s="34">
        <v>0</v>
      </c>
      <c r="AS466" s="34">
        <v>0</v>
      </c>
      <c r="AT466" s="40">
        <f t="shared" ref="AT466" si="249">AQ466+AS466</f>
        <v>0</v>
      </c>
      <c r="AU466" s="133">
        <f>AJ466-AM466</f>
        <v>0</v>
      </c>
      <c r="AV466" s="133">
        <f>AM466-AP466</f>
        <v>0</v>
      </c>
      <c r="AW466" s="18">
        <f>AP466-AT466</f>
        <v>2000000</v>
      </c>
      <c r="AX466" s="123">
        <f>AP466/AJ466</f>
        <v>1</v>
      </c>
    </row>
    <row r="467" spans="1:50" ht="26.25" customHeight="1" x14ac:dyDescent="0.2">
      <c r="AA467" s="170" t="s">
        <v>288</v>
      </c>
      <c r="AB467" s="165" t="s">
        <v>964</v>
      </c>
      <c r="AC467" s="161"/>
      <c r="AD467" s="18"/>
      <c r="AE467" s="34"/>
      <c r="AF467" s="34"/>
      <c r="AG467" s="34"/>
      <c r="AH467" s="34"/>
      <c r="AI467" s="34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30"/>
      <c r="AU467" s="18"/>
      <c r="AV467" s="18"/>
      <c r="AW467" s="18"/>
      <c r="AX467" s="18"/>
    </row>
    <row r="468" spans="1:50" ht="18.75" customHeight="1" x14ac:dyDescent="0.2">
      <c r="AA468" s="166" t="s">
        <v>965</v>
      </c>
      <c r="AB468" s="167" t="s">
        <v>966</v>
      </c>
      <c r="AC468" s="161"/>
      <c r="AD468" s="34">
        <v>0</v>
      </c>
      <c r="AE468" s="34">
        <v>0</v>
      </c>
      <c r="AF468" s="34">
        <v>0</v>
      </c>
      <c r="AG468" s="18">
        <v>155990000</v>
      </c>
      <c r="AH468" s="34">
        <v>0</v>
      </c>
      <c r="AI468" s="18">
        <f>AE468-AF468+AG468-AH468</f>
        <v>155990000</v>
      </c>
      <c r="AJ468" s="18">
        <f>AD468+AI468</f>
        <v>155990000</v>
      </c>
      <c r="AK468" s="34">
        <v>0</v>
      </c>
      <c r="AL468" s="44">
        <v>0</v>
      </c>
      <c r="AM468" s="18">
        <v>155829436</v>
      </c>
      <c r="AN468" s="34">
        <v>0</v>
      </c>
      <c r="AO468" s="18">
        <v>0</v>
      </c>
      <c r="AP468" s="18">
        <v>155829436</v>
      </c>
      <c r="AQ468" s="34">
        <v>0</v>
      </c>
      <c r="AR468" s="34">
        <v>0</v>
      </c>
      <c r="AS468" s="34">
        <v>0</v>
      </c>
      <c r="AT468" s="40">
        <f t="shared" ref="AT468" si="250">AQ468+AS468</f>
        <v>0</v>
      </c>
      <c r="AU468" s="110">
        <f>AJ468-AM468</f>
        <v>160564</v>
      </c>
      <c r="AV468" s="133">
        <f>AM468-AP468</f>
        <v>0</v>
      </c>
      <c r="AW468" s="18">
        <f>AP468-AT468</f>
        <v>155829436</v>
      </c>
      <c r="AX468" s="123">
        <f>AP468/AJ468</f>
        <v>0.99897067760753899</v>
      </c>
    </row>
    <row r="469" spans="1:50" ht="25.5" x14ac:dyDescent="0.2">
      <c r="AA469" s="28" t="s">
        <v>288</v>
      </c>
      <c r="AB469" s="29" t="s">
        <v>402</v>
      </c>
      <c r="AC469" s="17"/>
      <c r="AD469" s="18"/>
      <c r="AE469" s="34"/>
      <c r="AF469" s="34"/>
      <c r="AG469" s="34"/>
      <c r="AH469" s="34"/>
      <c r="AI469" s="34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30"/>
      <c r="AU469" s="18"/>
      <c r="AV469" s="18"/>
      <c r="AW469" s="18"/>
      <c r="AX469" s="18"/>
    </row>
    <row r="470" spans="1:50" ht="18.75" customHeight="1" x14ac:dyDescent="0.2">
      <c r="A470" s="4" t="s">
        <v>55</v>
      </c>
      <c r="B470" s="4" t="s">
        <v>56</v>
      </c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1" t="s">
        <v>403</v>
      </c>
      <c r="AB470" s="42" t="s">
        <v>233</v>
      </c>
      <c r="AC470" s="43" t="s">
        <v>58</v>
      </c>
      <c r="AD470" s="43">
        <v>206000002.94</v>
      </c>
      <c r="AE470" s="44">
        <v>0</v>
      </c>
      <c r="AF470" s="44">
        <v>0</v>
      </c>
      <c r="AG470" s="44">
        <v>0</v>
      </c>
      <c r="AH470" s="44">
        <v>0</v>
      </c>
      <c r="AI470" s="44">
        <v>0</v>
      </c>
      <c r="AJ470" s="43">
        <v>206000002.94</v>
      </c>
      <c r="AK470" s="44">
        <v>0</v>
      </c>
      <c r="AL470" s="43">
        <v>21916800</v>
      </c>
      <c r="AM470" s="114">
        <v>172267200</v>
      </c>
      <c r="AN470" s="44">
        <v>0</v>
      </c>
      <c r="AO470" s="43">
        <v>21916800</v>
      </c>
      <c r="AP470" s="43">
        <v>172267200</v>
      </c>
      <c r="AQ470" s="44">
        <v>0</v>
      </c>
      <c r="AR470" s="44">
        <v>0</v>
      </c>
      <c r="AS470" s="43">
        <v>150350400</v>
      </c>
      <c r="AT470" s="39">
        <f t="shared" ref="AT470" si="251">AQ470+AS470</f>
        <v>150350400</v>
      </c>
      <c r="AU470" s="18">
        <f>AJ470-AM470</f>
        <v>33732802.939999998</v>
      </c>
      <c r="AV470" s="34">
        <f>AM470-AP470</f>
        <v>0</v>
      </c>
      <c r="AW470" s="34">
        <f>AP470-AT470</f>
        <v>21916800</v>
      </c>
      <c r="AX470" s="123">
        <f>AP470/AJ470</f>
        <v>0.8362485317545113</v>
      </c>
    </row>
    <row r="471" spans="1:50" ht="18.75" customHeight="1" x14ac:dyDescent="0.2">
      <c r="AA471" s="28" t="s">
        <v>288</v>
      </c>
      <c r="AB471" s="29" t="s">
        <v>404</v>
      </c>
      <c r="AC471" s="17"/>
      <c r="AD471" s="18"/>
      <c r="AE471" s="34"/>
      <c r="AF471" s="34"/>
      <c r="AG471" s="34"/>
      <c r="AH471" s="34"/>
      <c r="AI471" s="34"/>
      <c r="AJ471" s="18"/>
      <c r="AK471" s="34"/>
      <c r="AL471" s="34"/>
      <c r="AM471" s="34"/>
      <c r="AN471" s="34"/>
      <c r="AO471" s="34"/>
      <c r="AP471" s="18"/>
      <c r="AQ471" s="34"/>
      <c r="AR471" s="34"/>
      <c r="AS471" s="34"/>
      <c r="AT471" s="31"/>
      <c r="AU471" s="18"/>
      <c r="AV471" s="34"/>
      <c r="AW471" s="133"/>
      <c r="AX471" s="18"/>
    </row>
    <row r="472" spans="1:50" ht="18.75" customHeight="1" x14ac:dyDescent="0.2">
      <c r="A472" s="4" t="s">
        <v>55</v>
      </c>
      <c r="B472" s="4" t="s">
        <v>56</v>
      </c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1" t="s">
        <v>405</v>
      </c>
      <c r="AB472" s="42" t="s">
        <v>233</v>
      </c>
      <c r="AC472" s="43" t="s">
        <v>58</v>
      </c>
      <c r="AD472" s="43">
        <v>50000000</v>
      </c>
      <c r="AE472" s="44">
        <v>0</v>
      </c>
      <c r="AF472" s="44">
        <v>0</v>
      </c>
      <c r="AG472" s="44">
        <v>0</v>
      </c>
      <c r="AH472" s="44">
        <v>0</v>
      </c>
      <c r="AI472" s="44">
        <v>0</v>
      </c>
      <c r="AJ472" s="43">
        <v>50000000</v>
      </c>
      <c r="AK472" s="44">
        <v>0</v>
      </c>
      <c r="AL472" s="44">
        <v>10034202</v>
      </c>
      <c r="AM472" s="43">
        <v>44716552</v>
      </c>
      <c r="AN472" s="44">
        <v>0</v>
      </c>
      <c r="AO472" s="44">
        <v>10034202</v>
      </c>
      <c r="AP472" s="43">
        <v>44716552</v>
      </c>
      <c r="AQ472" s="44">
        <v>0</v>
      </c>
      <c r="AR472" s="44">
        <v>0</v>
      </c>
      <c r="AS472" s="44">
        <v>0</v>
      </c>
      <c r="AT472" s="40">
        <f t="shared" si="248"/>
        <v>0</v>
      </c>
      <c r="AU472" s="18">
        <f>AJ472-AM472</f>
        <v>5283448</v>
      </c>
      <c r="AV472" s="34">
        <f>AM472-AP472</f>
        <v>0</v>
      </c>
      <c r="AW472" s="18">
        <f>AP472-AT472</f>
        <v>44716552</v>
      </c>
      <c r="AX472" s="123">
        <f>AP472/AJ472</f>
        <v>0.89433103999999997</v>
      </c>
    </row>
    <row r="473" spans="1:50" ht="18.75" customHeight="1" x14ac:dyDescent="0.2">
      <c r="AA473" s="28" t="s">
        <v>288</v>
      </c>
      <c r="AB473" s="29" t="s">
        <v>362</v>
      </c>
      <c r="AC473" s="17"/>
      <c r="AD473" s="18"/>
      <c r="AE473" s="34"/>
      <c r="AF473" s="34"/>
      <c r="AG473" s="34"/>
      <c r="AH473" s="34"/>
      <c r="AI473" s="34"/>
      <c r="AJ473" s="18"/>
      <c r="AK473" s="34"/>
      <c r="AL473" s="34"/>
      <c r="AM473" s="34"/>
      <c r="AN473" s="34"/>
      <c r="AO473" s="34"/>
      <c r="AP473" s="34"/>
      <c r="AQ473" s="34"/>
      <c r="AR473" s="34"/>
      <c r="AS473" s="34"/>
      <c r="AT473" s="31"/>
      <c r="AU473" s="18"/>
      <c r="AV473" s="34"/>
      <c r="AW473" s="133"/>
      <c r="AX473" s="18"/>
    </row>
    <row r="474" spans="1:50" ht="18.75" customHeight="1" x14ac:dyDescent="0.2">
      <c r="A474" s="4" t="s">
        <v>55</v>
      </c>
      <c r="B474" s="4" t="s">
        <v>56</v>
      </c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1" t="s">
        <v>406</v>
      </c>
      <c r="AB474" s="69" t="s">
        <v>379</v>
      </c>
      <c r="AC474" s="43" t="s">
        <v>380</v>
      </c>
      <c r="AD474" s="43">
        <v>155990000</v>
      </c>
      <c r="AF474" s="44">
        <v>0</v>
      </c>
      <c r="AG474" s="44">
        <v>0</v>
      </c>
      <c r="AH474" s="43">
        <v>155990000</v>
      </c>
      <c r="AI474" s="18">
        <f t="shared" ref="AI474:AI475" si="252">AE474-AF474+AG474-AH474</f>
        <v>-155990000</v>
      </c>
      <c r="AJ474" s="34">
        <f t="shared" ref="AJ474:AJ475" si="253">AD474+AI474</f>
        <v>0</v>
      </c>
      <c r="AK474" s="44">
        <v>0</v>
      </c>
      <c r="AL474" s="44">
        <v>0</v>
      </c>
      <c r="AM474" s="44">
        <v>0</v>
      </c>
      <c r="AN474" s="44">
        <v>0</v>
      </c>
      <c r="AO474" s="44">
        <v>0</v>
      </c>
      <c r="AP474" s="44">
        <v>0</v>
      </c>
      <c r="AQ474" s="44">
        <v>0</v>
      </c>
      <c r="AR474" s="44">
        <v>0</v>
      </c>
      <c r="AS474" s="44">
        <v>0</v>
      </c>
      <c r="AT474" s="40">
        <f t="shared" si="248"/>
        <v>0</v>
      </c>
      <c r="AU474" s="18">
        <f>AJ474-AM474</f>
        <v>0</v>
      </c>
      <c r="AV474" s="34">
        <f>AM474-AP474</f>
        <v>0</v>
      </c>
      <c r="AW474" s="133">
        <f>AP474-AT474</f>
        <v>0</v>
      </c>
      <c r="AX474" s="123">
        <v>0</v>
      </c>
    </row>
    <row r="475" spans="1:50" ht="18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1" t="s">
        <v>1340</v>
      </c>
      <c r="AB475" s="69" t="s">
        <v>987</v>
      </c>
      <c r="AC475" s="43"/>
      <c r="AD475" s="43">
        <v>0</v>
      </c>
      <c r="AE475" s="33">
        <v>584691222</v>
      </c>
      <c r="AF475" s="44">
        <v>0</v>
      </c>
      <c r="AG475" s="43">
        <v>504551896.50999999</v>
      </c>
      <c r="AH475" s="43">
        <v>0</v>
      </c>
      <c r="AI475" s="18">
        <f t="shared" si="252"/>
        <v>1089243118.51</v>
      </c>
      <c r="AJ475" s="18">
        <f t="shared" si="253"/>
        <v>1089243118.51</v>
      </c>
      <c r="AK475" s="44">
        <v>0</v>
      </c>
      <c r="AL475" s="44">
        <v>0</v>
      </c>
      <c r="AM475" s="44">
        <v>0</v>
      </c>
      <c r="AN475" s="44">
        <v>0</v>
      </c>
      <c r="AO475" s="44">
        <v>0</v>
      </c>
      <c r="AP475" s="44">
        <v>0</v>
      </c>
      <c r="AQ475" s="44">
        <v>0</v>
      </c>
      <c r="AR475" s="44">
        <v>0</v>
      </c>
      <c r="AS475" s="44">
        <v>0</v>
      </c>
      <c r="AT475" s="40">
        <f t="shared" si="248"/>
        <v>0</v>
      </c>
      <c r="AU475" s="18">
        <f>AJ475-AM475</f>
        <v>1089243118.51</v>
      </c>
      <c r="AV475" s="34">
        <f>AM475-AP475</f>
        <v>0</v>
      </c>
      <c r="AW475" s="133">
        <f>AP475-AT475</f>
        <v>0</v>
      </c>
      <c r="AX475" s="123">
        <v>0</v>
      </c>
    </row>
    <row r="476" spans="1:50" ht="18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73" t="s">
        <v>288</v>
      </c>
      <c r="AB476" s="82" t="s">
        <v>1321</v>
      </c>
      <c r="AC476" s="43"/>
      <c r="AD476" s="43"/>
      <c r="AE476" s="44"/>
      <c r="AF476" s="44"/>
      <c r="AG476" s="44"/>
      <c r="AH476" s="43"/>
      <c r="AI476" s="18"/>
      <c r="AJ476" s="3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0"/>
      <c r="AU476" s="18"/>
      <c r="AV476" s="34"/>
      <c r="AW476" s="133"/>
      <c r="AX476" s="123"/>
    </row>
    <row r="477" spans="1:50" ht="18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1" t="s">
        <v>1322</v>
      </c>
      <c r="AB477" s="69" t="s">
        <v>233</v>
      </c>
      <c r="AC477" s="43"/>
      <c r="AD477" s="43">
        <v>0</v>
      </c>
      <c r="AE477" s="44">
        <v>0</v>
      </c>
      <c r="AF477" s="44">
        <v>0</v>
      </c>
      <c r="AG477" s="43">
        <v>20000000</v>
      </c>
      <c r="AH477" s="43">
        <v>20000000</v>
      </c>
      <c r="AI477" s="18">
        <f>AE477-AF477+AG477-AH477</f>
        <v>0</v>
      </c>
      <c r="AJ477" s="34">
        <f>AD477+AI477</f>
        <v>0</v>
      </c>
      <c r="AK477" s="44">
        <v>0</v>
      </c>
      <c r="AL477" s="44">
        <v>0</v>
      </c>
      <c r="AM477" s="44">
        <v>0</v>
      </c>
      <c r="AN477" s="44">
        <v>0</v>
      </c>
      <c r="AO477" s="143">
        <v>0</v>
      </c>
      <c r="AP477" s="44">
        <v>0</v>
      </c>
      <c r="AQ477" s="44">
        <v>0</v>
      </c>
      <c r="AR477" s="44">
        <v>0</v>
      </c>
      <c r="AS477" s="44">
        <v>0</v>
      </c>
      <c r="AT477" s="40">
        <f t="shared" ref="AT477" si="254">AQ477+AS477</f>
        <v>0</v>
      </c>
      <c r="AU477" s="18">
        <f>AJ477-AM477</f>
        <v>0</v>
      </c>
      <c r="AV477" s="34">
        <f>AM477-AP477</f>
        <v>0</v>
      </c>
      <c r="AW477" s="133">
        <f>AP477-AT477</f>
        <v>0</v>
      </c>
      <c r="AX477" s="123">
        <v>0</v>
      </c>
    </row>
    <row r="478" spans="1:50" ht="18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73" t="s">
        <v>288</v>
      </c>
      <c r="AB478" s="82" t="s">
        <v>365</v>
      </c>
      <c r="AC478" s="43"/>
      <c r="AD478" s="43"/>
      <c r="AE478" s="44"/>
      <c r="AF478" s="44"/>
      <c r="AG478" s="44"/>
      <c r="AH478" s="43"/>
      <c r="AI478" s="18"/>
      <c r="AJ478" s="18"/>
      <c r="AK478" s="44"/>
      <c r="AL478" s="44"/>
      <c r="AM478" s="44"/>
      <c r="AN478" s="44"/>
      <c r="AO478" s="143"/>
      <c r="AP478" s="44"/>
      <c r="AQ478" s="44"/>
      <c r="AR478" s="44"/>
      <c r="AS478" s="44"/>
      <c r="AT478" s="40"/>
      <c r="AU478" s="18"/>
      <c r="AV478" s="34"/>
      <c r="AW478" s="133"/>
      <c r="AX478" s="123"/>
    </row>
    <row r="479" spans="1:50" ht="18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1" t="s">
        <v>988</v>
      </c>
      <c r="AB479" s="69" t="s">
        <v>978</v>
      </c>
      <c r="AC479" s="43"/>
      <c r="AD479" s="44">
        <v>0</v>
      </c>
      <c r="AE479" s="43">
        <v>1006706985</v>
      </c>
      <c r="AF479" s="44">
        <v>0</v>
      </c>
      <c r="AG479" s="43">
        <v>1227570664.1400001</v>
      </c>
      <c r="AH479" s="43">
        <v>504551896.50999999</v>
      </c>
      <c r="AI479" s="18">
        <f>AE479-AF479+AG479-AH479</f>
        <v>1729725752.6300004</v>
      </c>
      <c r="AJ479" s="18">
        <f>AD479+AI479</f>
        <v>1729725752.6300004</v>
      </c>
      <c r="AK479" s="44">
        <v>0</v>
      </c>
      <c r="AL479" s="44">
        <v>0</v>
      </c>
      <c r="AM479" s="43">
        <v>690626434.63</v>
      </c>
      <c r="AN479" s="44">
        <v>0</v>
      </c>
      <c r="AO479" s="142">
        <v>0</v>
      </c>
      <c r="AP479" s="43">
        <v>690625719.45000005</v>
      </c>
      <c r="AQ479" s="44">
        <v>3687179.16</v>
      </c>
      <c r="AR479" s="44">
        <f>AS479-SEPTIEMBRE!AS473</f>
        <v>0</v>
      </c>
      <c r="AS479" s="43">
        <v>324849221</v>
      </c>
      <c r="AT479" s="40">
        <f t="shared" ref="AT479:AT480" si="255">AQ479+AS479</f>
        <v>328536400.16000003</v>
      </c>
      <c r="AU479" s="18">
        <f>AJ479-AM479</f>
        <v>1039099318.0000004</v>
      </c>
      <c r="AV479" s="18">
        <f>AM479-AP479</f>
        <v>715.17999994754791</v>
      </c>
      <c r="AW479" s="18">
        <f>AP479-AT479</f>
        <v>362089319.29000002</v>
      </c>
      <c r="AX479" s="123">
        <v>0</v>
      </c>
    </row>
    <row r="480" spans="1:50" ht="18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1" t="s">
        <v>1298</v>
      </c>
      <c r="AB480" s="69" t="s">
        <v>978</v>
      </c>
      <c r="AC480" s="43"/>
      <c r="AD480" s="44"/>
      <c r="AE480" s="44">
        <v>0</v>
      </c>
      <c r="AF480" s="44">
        <v>0</v>
      </c>
      <c r="AG480" s="43">
        <v>60900682</v>
      </c>
      <c r="AH480" s="43"/>
      <c r="AI480" s="18">
        <f>AE480-AF480+AG480-AH480</f>
        <v>60900682</v>
      </c>
      <c r="AJ480" s="18">
        <f>AD480+AI480</f>
        <v>60900682</v>
      </c>
      <c r="AK480" s="44">
        <v>0</v>
      </c>
      <c r="AL480" s="44">
        <v>0</v>
      </c>
      <c r="AM480" s="44">
        <v>0</v>
      </c>
      <c r="AN480" s="44">
        <v>0</v>
      </c>
      <c r="AO480" s="143">
        <v>0</v>
      </c>
      <c r="AP480" s="44">
        <v>0</v>
      </c>
      <c r="AQ480" s="44">
        <v>0</v>
      </c>
      <c r="AR480" s="44">
        <v>0</v>
      </c>
      <c r="AS480" s="44">
        <v>0</v>
      </c>
      <c r="AT480" s="40">
        <f t="shared" si="255"/>
        <v>0</v>
      </c>
      <c r="AU480" s="18">
        <f>AJ480-AM480</f>
        <v>60900682</v>
      </c>
      <c r="AV480" s="34">
        <f>AM480-AP480</f>
        <v>0</v>
      </c>
      <c r="AW480" s="34">
        <f>AP480-AT480</f>
        <v>0</v>
      </c>
      <c r="AX480" s="123">
        <v>0</v>
      </c>
    </row>
    <row r="481" spans="1:50" ht="25.5" x14ac:dyDescent="0.2">
      <c r="AA481" s="28" t="s">
        <v>288</v>
      </c>
      <c r="AB481" s="29" t="s">
        <v>407</v>
      </c>
      <c r="AC481" s="17"/>
      <c r="AD481" s="18"/>
      <c r="AE481" s="34"/>
      <c r="AF481" s="34"/>
      <c r="AG481" s="34"/>
      <c r="AH481" s="34"/>
      <c r="AI481" s="34"/>
      <c r="AJ481" s="18"/>
      <c r="AK481" s="34"/>
      <c r="AL481" s="34"/>
      <c r="AM481" s="34"/>
      <c r="AN481" s="34"/>
      <c r="AO481" s="145"/>
      <c r="AP481" s="34"/>
      <c r="AQ481" s="34"/>
      <c r="AR481" s="34"/>
      <c r="AS481" s="34"/>
      <c r="AT481" s="31"/>
      <c r="AU481" s="18"/>
      <c r="AV481" s="34"/>
      <c r="AW481" s="133"/>
      <c r="AX481" s="18"/>
    </row>
    <row r="482" spans="1:50" ht="18.75" customHeight="1" x14ac:dyDescent="0.2">
      <c r="A482" s="4" t="s">
        <v>55</v>
      </c>
      <c r="B482" s="4" t="s">
        <v>56</v>
      </c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1" t="s">
        <v>408</v>
      </c>
      <c r="AB482" s="42" t="s">
        <v>233</v>
      </c>
      <c r="AC482" s="43" t="s">
        <v>58</v>
      </c>
      <c r="AD482" s="43">
        <v>126488672</v>
      </c>
      <c r="AE482" s="44">
        <v>0</v>
      </c>
      <c r="AF482" s="44">
        <v>0</v>
      </c>
      <c r="AG482" s="44">
        <v>0</v>
      </c>
      <c r="AH482" s="44">
        <v>0</v>
      </c>
      <c r="AI482" s="44">
        <v>0</v>
      </c>
      <c r="AJ482" s="43">
        <v>126488672</v>
      </c>
      <c r="AK482" s="44">
        <v>0</v>
      </c>
      <c r="AL482" s="44">
        <f>AM482-AGOSTO!AM472</f>
        <v>0</v>
      </c>
      <c r="AM482" s="43">
        <v>126488672</v>
      </c>
      <c r="AN482" s="44">
        <v>0</v>
      </c>
      <c r="AO482" s="143">
        <v>0</v>
      </c>
      <c r="AP482" s="43">
        <v>126488672</v>
      </c>
      <c r="AQ482" s="44">
        <v>0</v>
      </c>
      <c r="AR482" s="44">
        <v>0</v>
      </c>
      <c r="AS482" s="44">
        <v>0</v>
      </c>
      <c r="AT482" s="40">
        <f t="shared" ref="AT482:AT483" si="256">AQ482+AS482</f>
        <v>0</v>
      </c>
      <c r="AU482" s="34">
        <f>AJ482-AM482</f>
        <v>0</v>
      </c>
      <c r="AV482" s="34">
        <f>AM482-AP482</f>
        <v>0</v>
      </c>
      <c r="AW482" s="18">
        <f>AP482-AT482</f>
        <v>126488672</v>
      </c>
      <c r="AX482" s="123">
        <f>AP482/AJ482</f>
        <v>1</v>
      </c>
    </row>
    <row r="483" spans="1:50" ht="18.75" customHeight="1" x14ac:dyDescent="0.2">
      <c r="A483" s="4" t="s">
        <v>55</v>
      </c>
      <c r="B483" s="4" t="s">
        <v>56</v>
      </c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1" t="s">
        <v>409</v>
      </c>
      <c r="AB483" s="42" t="s">
        <v>379</v>
      </c>
      <c r="AC483" s="43" t="s">
        <v>380</v>
      </c>
      <c r="AD483" s="43">
        <v>373511328</v>
      </c>
      <c r="AE483" s="44">
        <v>0</v>
      </c>
      <c r="AF483" s="44">
        <v>0</v>
      </c>
      <c r="AG483" s="44">
        <v>0</v>
      </c>
      <c r="AH483" s="44">
        <v>0</v>
      </c>
      <c r="AI483" s="44">
        <v>0</v>
      </c>
      <c r="AJ483" s="43">
        <v>373511328</v>
      </c>
      <c r="AK483" s="44">
        <v>0</v>
      </c>
      <c r="AL483" s="44">
        <f>AM483-AGOSTO!AM473</f>
        <v>0</v>
      </c>
      <c r="AM483" s="43">
        <v>373511328</v>
      </c>
      <c r="AN483" s="44">
        <v>0</v>
      </c>
      <c r="AO483" s="143">
        <v>0</v>
      </c>
      <c r="AP483" s="43">
        <v>373511328</v>
      </c>
      <c r="AQ483" s="44">
        <v>0</v>
      </c>
      <c r="AR483" s="43">
        <f>AS483-SEPTIEMBRE!AS477</f>
        <v>150000000</v>
      </c>
      <c r="AS483" s="43">
        <v>150000000</v>
      </c>
      <c r="AT483" s="39">
        <f t="shared" si="256"/>
        <v>150000000</v>
      </c>
      <c r="AU483" s="34">
        <f>AJ483-AM483</f>
        <v>0</v>
      </c>
      <c r="AV483" s="34">
        <f>AM483-AP483</f>
        <v>0</v>
      </c>
      <c r="AW483" s="18">
        <f>AP483-AT483</f>
        <v>223511328</v>
      </c>
      <c r="AX483" s="123">
        <f>AP483/AJ483</f>
        <v>1</v>
      </c>
    </row>
    <row r="484" spans="1:50" ht="25.5" x14ac:dyDescent="0.2">
      <c r="AA484" s="28" t="s">
        <v>288</v>
      </c>
      <c r="AB484" s="29" t="s">
        <v>410</v>
      </c>
      <c r="AC484" s="17"/>
      <c r="AD484" s="18"/>
      <c r="AE484" s="145"/>
      <c r="AF484" s="34"/>
      <c r="AG484" s="34"/>
      <c r="AH484" s="34"/>
      <c r="AI484" s="34"/>
      <c r="AJ484" s="18"/>
      <c r="AK484" s="34"/>
      <c r="AL484" s="34"/>
      <c r="AM484" s="34"/>
      <c r="AN484" s="34"/>
      <c r="AO484" s="145"/>
      <c r="AP484" s="34"/>
      <c r="AQ484" s="34"/>
      <c r="AR484" s="34"/>
      <c r="AS484" s="34"/>
      <c r="AT484" s="31"/>
      <c r="AU484" s="18"/>
      <c r="AV484" s="34"/>
      <c r="AW484" s="18"/>
      <c r="AX484" s="18"/>
    </row>
    <row r="485" spans="1:50" ht="18.75" customHeight="1" x14ac:dyDescent="0.2">
      <c r="A485" s="4" t="s">
        <v>55</v>
      </c>
      <c r="B485" s="4" t="s">
        <v>56</v>
      </c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1" t="s">
        <v>411</v>
      </c>
      <c r="AB485" s="42" t="s">
        <v>412</v>
      </c>
      <c r="AC485" s="43" t="s">
        <v>380</v>
      </c>
      <c r="AD485" s="43">
        <v>6161937303</v>
      </c>
      <c r="AE485" s="143">
        <v>0</v>
      </c>
      <c r="AF485" s="44">
        <v>0</v>
      </c>
      <c r="AG485" s="44">
        <v>0</v>
      </c>
      <c r="AH485" s="44">
        <v>0</v>
      </c>
      <c r="AI485" s="44">
        <v>0</v>
      </c>
      <c r="AJ485" s="43">
        <v>6161937303</v>
      </c>
      <c r="AK485" s="43">
        <v>1317307558</v>
      </c>
      <c r="AL485" s="44">
        <v>0</v>
      </c>
      <c r="AM485" s="43">
        <v>4844629745</v>
      </c>
      <c r="AN485" s="44">
        <v>0</v>
      </c>
      <c r="AO485" s="143">
        <v>0</v>
      </c>
      <c r="AP485" s="43">
        <v>4844629745</v>
      </c>
      <c r="AQ485" s="43">
        <v>0</v>
      </c>
      <c r="AR485" s="44">
        <f>AS485-SEPTIEMBRE!AS479</f>
        <v>0</v>
      </c>
      <c r="AS485" s="43">
        <v>4844629745</v>
      </c>
      <c r="AT485" s="39">
        <f t="shared" ref="AT485:AT487" si="257">AQ485+AS485</f>
        <v>4844629745</v>
      </c>
      <c r="AU485" s="18">
        <f>AJ485-AM485</f>
        <v>1317307558</v>
      </c>
      <c r="AV485" s="34">
        <f>AM485-AP485</f>
        <v>0</v>
      </c>
      <c r="AW485" s="34">
        <f>AP485-AT485</f>
        <v>0</v>
      </c>
      <c r="AX485" s="123">
        <f>AP485/AJ485</f>
        <v>0.78621860411357058</v>
      </c>
    </row>
    <row r="486" spans="1:50" ht="18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1" t="s">
        <v>977</v>
      </c>
      <c r="AB486" s="42" t="s">
        <v>978</v>
      </c>
      <c r="AC486" s="43"/>
      <c r="AD486" s="43"/>
      <c r="AE486" s="142">
        <v>2137085601</v>
      </c>
      <c r="AF486" s="44">
        <v>0</v>
      </c>
      <c r="AG486" s="44">
        <v>0</v>
      </c>
      <c r="AH486" s="43">
        <v>1644954315.8499999</v>
      </c>
      <c r="AI486" s="18">
        <f>AE486-AF486+AG486-AH486</f>
        <v>492131285.1500001</v>
      </c>
      <c r="AJ486" s="18">
        <f>AD486+AI486</f>
        <v>492131285.1500001</v>
      </c>
      <c r="AK486" s="44">
        <v>0</v>
      </c>
      <c r="AL486" s="44">
        <v>0</v>
      </c>
      <c r="AM486" s="43">
        <v>492131285.14999998</v>
      </c>
      <c r="AN486" s="44">
        <v>0</v>
      </c>
      <c r="AO486" s="142">
        <v>0</v>
      </c>
      <c r="AP486" s="43">
        <v>492131285.14999998</v>
      </c>
      <c r="AQ486" s="43">
        <v>102435192.04000001</v>
      </c>
      <c r="AR486" s="44">
        <f>AS486-SEPTIEMBRE!AS480</f>
        <v>0</v>
      </c>
      <c r="AS486" s="43">
        <v>308965152.69999999</v>
      </c>
      <c r="AT486" s="39">
        <f t="shared" si="257"/>
        <v>411400344.74000001</v>
      </c>
      <c r="AU486" s="34">
        <f>AJ486-AM486</f>
        <v>0</v>
      </c>
      <c r="AV486" s="34">
        <f>AM486-AP486</f>
        <v>0</v>
      </c>
      <c r="AW486" s="18">
        <f>AP486-AT486</f>
        <v>80730940.409999967</v>
      </c>
      <c r="AX486" s="123">
        <f>AP486/AJ486</f>
        <v>0.99999999999999978</v>
      </c>
    </row>
    <row r="487" spans="1:50" ht="18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173" t="s">
        <v>1201</v>
      </c>
      <c r="AB487" s="42" t="s">
        <v>1202</v>
      </c>
      <c r="AC487" s="43"/>
      <c r="AD487" s="44">
        <v>0</v>
      </c>
      <c r="AE487" s="142">
        <v>60900682</v>
      </c>
      <c r="AF487" s="44"/>
      <c r="AG487" s="44"/>
      <c r="AH487" s="43">
        <v>60900682</v>
      </c>
      <c r="AI487" s="18">
        <f>AE487-AF487+AG487-AH487</f>
        <v>0</v>
      </c>
      <c r="AJ487" s="34">
        <f>AD487+AI487</f>
        <v>0</v>
      </c>
      <c r="AK487" s="44">
        <v>0</v>
      </c>
      <c r="AL487" s="44">
        <v>0</v>
      </c>
      <c r="AM487" s="44">
        <v>0</v>
      </c>
      <c r="AN487" s="44">
        <v>0</v>
      </c>
      <c r="AO487" s="143">
        <v>0</v>
      </c>
      <c r="AP487" s="43">
        <v>0</v>
      </c>
      <c r="AQ487" s="44">
        <v>0</v>
      </c>
      <c r="AR487" s="44">
        <f>AS487-SEPTIEMBRE!AS481</f>
        <v>0</v>
      </c>
      <c r="AS487" s="44">
        <v>0</v>
      </c>
      <c r="AT487" s="40">
        <f t="shared" si="257"/>
        <v>0</v>
      </c>
      <c r="AU487" s="34">
        <f>AJ487-AM487</f>
        <v>0</v>
      </c>
      <c r="AV487" s="34">
        <f>AM487-AP487</f>
        <v>0</v>
      </c>
      <c r="AW487" s="34">
        <f>AP487-AT487</f>
        <v>0</v>
      </c>
      <c r="AX487" s="123">
        <v>0</v>
      </c>
    </row>
    <row r="488" spans="1:50" ht="18.75" customHeight="1" x14ac:dyDescent="0.2">
      <c r="AA488" s="28" t="s">
        <v>288</v>
      </c>
      <c r="AB488" s="29" t="s">
        <v>320</v>
      </c>
      <c r="AC488" s="17"/>
      <c r="AD488" s="18"/>
      <c r="AE488" s="145"/>
      <c r="AF488" s="34"/>
      <c r="AG488" s="34"/>
      <c r="AH488" s="34"/>
      <c r="AI488" s="34"/>
      <c r="AJ488" s="18"/>
      <c r="AK488" s="18"/>
      <c r="AL488" s="18"/>
      <c r="AM488" s="18"/>
      <c r="AN488" s="18"/>
      <c r="AO488" s="147"/>
      <c r="AP488" s="18"/>
      <c r="AQ488" s="18"/>
      <c r="AR488" s="34"/>
      <c r="AS488" s="34"/>
      <c r="AT488" s="31"/>
      <c r="AU488" s="18"/>
      <c r="AV488" s="34"/>
      <c r="AW488" s="18"/>
      <c r="AX488" s="18"/>
    </row>
    <row r="489" spans="1:50" ht="18.75" customHeight="1" x14ac:dyDescent="0.2">
      <c r="A489" s="4" t="s">
        <v>37</v>
      </c>
      <c r="B489" s="4" t="s">
        <v>37</v>
      </c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1" t="s">
        <v>413</v>
      </c>
      <c r="AB489" s="42" t="s">
        <v>233</v>
      </c>
      <c r="AC489" s="43" t="s">
        <v>58</v>
      </c>
      <c r="AD489" s="43">
        <v>1212000000</v>
      </c>
      <c r="AE489" s="143">
        <v>0</v>
      </c>
      <c r="AF489" s="44">
        <v>0</v>
      </c>
      <c r="AG489" s="44">
        <v>0</v>
      </c>
      <c r="AH489" s="44">
        <v>0</v>
      </c>
      <c r="AI489" s="44">
        <v>0</v>
      </c>
      <c r="AJ489" s="43">
        <v>1212000000</v>
      </c>
      <c r="AK489" s="44">
        <v>0</v>
      </c>
      <c r="AL489" s="44">
        <v>0</v>
      </c>
      <c r="AM489" s="43">
        <v>1161315332</v>
      </c>
      <c r="AN489" s="44">
        <v>0</v>
      </c>
      <c r="AO489" s="143">
        <v>0</v>
      </c>
      <c r="AP489" s="43">
        <v>1161315332</v>
      </c>
      <c r="AQ489" s="44">
        <v>0</v>
      </c>
      <c r="AR489" s="142">
        <f>AS489-SEPTIEMBRE!AS483</f>
        <v>0</v>
      </c>
      <c r="AS489" s="43">
        <v>196705860</v>
      </c>
      <c r="AT489" s="39">
        <f t="shared" ref="AT489:AT490" si="258">AQ489+AS489</f>
        <v>196705860</v>
      </c>
      <c r="AU489" s="18">
        <f>AJ489-AM489</f>
        <v>50684668</v>
      </c>
      <c r="AV489" s="34">
        <f>AM489-AP489</f>
        <v>0</v>
      </c>
      <c r="AW489" s="18">
        <f>AP489-AT489</f>
        <v>964609472</v>
      </c>
      <c r="AX489" s="123">
        <f>AP489/AJ489</f>
        <v>0.95818096699669963</v>
      </c>
    </row>
    <row r="490" spans="1:50" ht="18.75" customHeight="1" x14ac:dyDescent="0.2">
      <c r="A490" s="4" t="s">
        <v>55</v>
      </c>
      <c r="B490" s="4" t="s">
        <v>56</v>
      </c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1" t="s">
        <v>414</v>
      </c>
      <c r="AB490" s="42" t="s">
        <v>328</v>
      </c>
      <c r="AC490" s="43" t="s">
        <v>61</v>
      </c>
      <c r="AD490" s="43">
        <v>13807166550</v>
      </c>
      <c r="AE490" s="44">
        <v>0</v>
      </c>
      <c r="AF490" s="44">
        <v>0</v>
      </c>
      <c r="AG490" s="44">
        <v>0</v>
      </c>
      <c r="AH490" s="43">
        <f>23257108+31152316</f>
        <v>54409424</v>
      </c>
      <c r="AI490" s="18">
        <f>AE490-AF490+AG490-AH490</f>
        <v>-54409424</v>
      </c>
      <c r="AJ490" s="18">
        <f>AD490+AI490</f>
        <v>13752757126</v>
      </c>
      <c r="AK490" s="44">
        <v>0</v>
      </c>
      <c r="AL490" s="44">
        <v>0</v>
      </c>
      <c r="AM490" s="43">
        <v>13147919116</v>
      </c>
      <c r="AN490" s="44">
        <v>0</v>
      </c>
      <c r="AO490" s="43">
        <v>0</v>
      </c>
      <c r="AP490" s="43">
        <v>13147919116</v>
      </c>
      <c r="AQ490" s="44">
        <v>0</v>
      </c>
      <c r="AR490" s="142">
        <f>AS490-SEPTIEMBRE!AS484</f>
        <v>2788677942</v>
      </c>
      <c r="AS490" s="43">
        <v>9122911540</v>
      </c>
      <c r="AT490" s="39">
        <f t="shared" si="258"/>
        <v>9122911540</v>
      </c>
      <c r="AU490" s="18">
        <f>AJ490-AM490</f>
        <v>604838010</v>
      </c>
      <c r="AV490" s="34">
        <f>AM490-AP490</f>
        <v>0</v>
      </c>
      <c r="AW490" s="18">
        <f>AP490-AT490</f>
        <v>4025007576</v>
      </c>
      <c r="AX490" s="123">
        <f>AP490/AJ490</f>
        <v>0.95602059976348053</v>
      </c>
    </row>
    <row r="491" spans="1:50" ht="38.25" x14ac:dyDescent="0.2">
      <c r="AA491" s="28" t="s">
        <v>288</v>
      </c>
      <c r="AB491" s="29" t="s">
        <v>415</v>
      </c>
      <c r="AC491" s="17"/>
      <c r="AD491" s="18"/>
      <c r="AE491" s="34"/>
      <c r="AF491" s="34"/>
      <c r="AG491" s="34"/>
      <c r="AH491" s="34"/>
      <c r="AI491" s="34"/>
      <c r="AJ491" s="18"/>
      <c r="AK491" s="34"/>
      <c r="AL491" s="34"/>
      <c r="AM491" s="18"/>
      <c r="AN491" s="18"/>
      <c r="AO491" s="18"/>
      <c r="AP491" s="18"/>
      <c r="AQ491" s="34"/>
      <c r="AR491" s="34"/>
      <c r="AS491" s="34"/>
      <c r="AT491" s="40"/>
      <c r="AU491" s="18"/>
      <c r="AV491" s="34"/>
      <c r="AW491" s="18"/>
      <c r="AX491" s="18"/>
    </row>
    <row r="492" spans="1:50" ht="18.75" customHeight="1" x14ac:dyDescent="0.2">
      <c r="A492" s="4" t="s">
        <v>55</v>
      </c>
      <c r="B492" s="4" t="s">
        <v>56</v>
      </c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1" t="s">
        <v>416</v>
      </c>
      <c r="AB492" s="42" t="s">
        <v>379</v>
      </c>
      <c r="AC492" s="43" t="s">
        <v>380</v>
      </c>
      <c r="AD492" s="43">
        <v>50000000</v>
      </c>
      <c r="AE492" s="44">
        <v>0</v>
      </c>
      <c r="AF492" s="44">
        <v>0</v>
      </c>
      <c r="AG492" s="44">
        <v>0</v>
      </c>
      <c r="AH492" s="44">
        <v>0</v>
      </c>
      <c r="AI492" s="44">
        <v>0</v>
      </c>
      <c r="AJ492" s="43">
        <v>50000000</v>
      </c>
      <c r="AK492" s="44">
        <v>0</v>
      </c>
      <c r="AL492" s="44">
        <v>0</v>
      </c>
      <c r="AM492" s="43">
        <v>50000000</v>
      </c>
      <c r="AN492" s="44">
        <v>0</v>
      </c>
      <c r="AO492" s="44">
        <v>0</v>
      </c>
      <c r="AP492" s="43">
        <v>50000000</v>
      </c>
      <c r="AQ492" s="44">
        <v>0</v>
      </c>
      <c r="AR492" s="43">
        <v>20000000</v>
      </c>
      <c r="AS492" s="43">
        <v>20000000</v>
      </c>
      <c r="AT492" s="39">
        <f t="shared" ref="AT492:AT494" si="259">AQ492+AS492</f>
        <v>20000000</v>
      </c>
      <c r="AU492" s="34">
        <f>AJ492-AM492</f>
        <v>0</v>
      </c>
      <c r="AV492" s="34">
        <f>AM492-AP492</f>
        <v>0</v>
      </c>
      <c r="AW492" s="18">
        <f>AP492-AT492</f>
        <v>30000000</v>
      </c>
      <c r="AX492" s="123">
        <f>AP492/AJ492</f>
        <v>1</v>
      </c>
    </row>
    <row r="493" spans="1:50" ht="18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173" t="s">
        <v>1205</v>
      </c>
      <c r="AB493" s="42" t="s">
        <v>1204</v>
      </c>
      <c r="AC493" s="43"/>
      <c r="AD493" s="44">
        <v>0</v>
      </c>
      <c r="AE493" s="43">
        <v>200000000</v>
      </c>
      <c r="AF493" s="44"/>
      <c r="AG493" s="44"/>
      <c r="AH493" s="44"/>
      <c r="AI493" s="18">
        <f>AE493-AF493+AG493-AH493</f>
        <v>200000000</v>
      </c>
      <c r="AJ493" s="18">
        <f>AD493+AI493</f>
        <v>200000000</v>
      </c>
      <c r="AK493" s="44">
        <v>0</v>
      </c>
      <c r="AL493" s="43">
        <v>139265053</v>
      </c>
      <c r="AM493" s="43">
        <v>139265053</v>
      </c>
      <c r="AN493" s="44">
        <v>0</v>
      </c>
      <c r="AO493" s="44">
        <v>750000</v>
      </c>
      <c r="AP493" s="44">
        <v>750000</v>
      </c>
      <c r="AQ493" s="44">
        <v>0</v>
      </c>
      <c r="AR493" s="44">
        <v>0</v>
      </c>
      <c r="AS493" s="44">
        <v>0</v>
      </c>
      <c r="AT493" s="40">
        <f t="shared" si="259"/>
        <v>0</v>
      </c>
      <c r="AU493" s="18">
        <f>AJ493-AM493</f>
        <v>60734947</v>
      </c>
      <c r="AV493" s="34">
        <f>AM493-AP493</f>
        <v>138515053</v>
      </c>
      <c r="AW493" s="34">
        <f>AP493-AT493</f>
        <v>750000</v>
      </c>
      <c r="AX493" s="123">
        <f>AP493/AJ493</f>
        <v>3.7499999999999999E-3</v>
      </c>
    </row>
    <row r="494" spans="1:50" ht="18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173" t="s">
        <v>1297</v>
      </c>
      <c r="AB494" s="42" t="s">
        <v>328</v>
      </c>
      <c r="AC494" s="43"/>
      <c r="AD494" s="44"/>
      <c r="AE494" s="43">
        <v>0</v>
      </c>
      <c r="AF494" s="44">
        <v>0</v>
      </c>
      <c r="AG494" s="43">
        <v>31152316</v>
      </c>
      <c r="AH494" s="44">
        <v>0</v>
      </c>
      <c r="AI494" s="18">
        <f>AE494-AF494+AG494-AH494</f>
        <v>31152316</v>
      </c>
      <c r="AJ494" s="18">
        <f>AD494+AI494</f>
        <v>31152316</v>
      </c>
      <c r="AK494" s="44">
        <v>0</v>
      </c>
      <c r="AL494" s="44">
        <f>AM494-AGOSTO!AM484</f>
        <v>0</v>
      </c>
      <c r="AM494" s="43">
        <v>31152316</v>
      </c>
      <c r="AN494" s="44">
        <v>0</v>
      </c>
      <c r="AO494" s="326">
        <v>0</v>
      </c>
      <c r="AP494" s="43">
        <v>31152316</v>
      </c>
      <c r="AQ494" s="44">
        <v>0</v>
      </c>
      <c r="AR494" s="44">
        <v>0</v>
      </c>
      <c r="AS494" s="44">
        <v>0</v>
      </c>
      <c r="AT494" s="40">
        <f t="shared" si="259"/>
        <v>0</v>
      </c>
      <c r="AU494" s="34">
        <f>AJ494-AM494</f>
        <v>0</v>
      </c>
      <c r="AV494" s="18">
        <f>AM494-AP494</f>
        <v>0</v>
      </c>
      <c r="AW494" s="18">
        <f>AP494-AT494</f>
        <v>31152316</v>
      </c>
      <c r="AX494" s="123">
        <f>AP494/AJ494</f>
        <v>1</v>
      </c>
    </row>
    <row r="495" spans="1:50" ht="25.5" x14ac:dyDescent="0.2">
      <c r="AA495" s="28" t="s">
        <v>288</v>
      </c>
      <c r="AB495" s="29" t="s">
        <v>418</v>
      </c>
      <c r="AC495" s="17"/>
      <c r="AD495" s="18"/>
      <c r="AE495" s="34"/>
      <c r="AF495" s="34"/>
      <c r="AG495" s="34"/>
      <c r="AH495" s="34"/>
      <c r="AI495" s="34"/>
      <c r="AJ495" s="18"/>
      <c r="AK495" s="34"/>
      <c r="AL495" s="34"/>
      <c r="AM495" s="34"/>
      <c r="AN495" s="34"/>
      <c r="AO495" s="100"/>
      <c r="AP495" s="34"/>
      <c r="AQ495" s="34"/>
      <c r="AR495" s="34"/>
      <c r="AS495" s="34"/>
      <c r="AT495" s="40"/>
      <c r="AU495" s="34"/>
      <c r="AV495" s="34"/>
      <c r="AW495" s="34"/>
      <c r="AX495" s="18"/>
    </row>
    <row r="496" spans="1:50" x14ac:dyDescent="0.2">
      <c r="A496" s="4" t="s">
        <v>55</v>
      </c>
      <c r="B496" s="4" t="s">
        <v>56</v>
      </c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1" t="s">
        <v>419</v>
      </c>
      <c r="AB496" s="42" t="s">
        <v>233</v>
      </c>
      <c r="AC496" s="43" t="s">
        <v>58</v>
      </c>
      <c r="AD496" s="43">
        <v>200000000</v>
      </c>
      <c r="AE496" s="44">
        <v>0</v>
      </c>
      <c r="AF496" s="44">
        <v>0</v>
      </c>
      <c r="AG496" s="44">
        <v>0</v>
      </c>
      <c r="AH496" s="43">
        <v>97910418</v>
      </c>
      <c r="AI496" s="18">
        <f>AE496-AF496+AG496-AH496</f>
        <v>-97910418</v>
      </c>
      <c r="AJ496" s="18">
        <f>AD496+AI496</f>
        <v>102089582</v>
      </c>
      <c r="AK496" s="44">
        <v>0</v>
      </c>
      <c r="AL496" s="44">
        <f>AM496-AGOSTO!AM486</f>
        <v>0</v>
      </c>
      <c r="AM496" s="43">
        <v>102089582</v>
      </c>
      <c r="AN496" s="44">
        <v>0</v>
      </c>
      <c r="AO496" s="326">
        <v>0</v>
      </c>
      <c r="AP496" s="43">
        <v>102089582</v>
      </c>
      <c r="AQ496" s="44">
        <v>0</v>
      </c>
      <c r="AR496" s="44">
        <v>0</v>
      </c>
      <c r="AS496" s="43">
        <v>101553680.63</v>
      </c>
      <c r="AT496" s="39">
        <f t="shared" si="248"/>
        <v>101553680.63</v>
      </c>
      <c r="AU496" s="34">
        <f>AJ496-AM496</f>
        <v>0</v>
      </c>
      <c r="AV496" s="34">
        <f>AM496-AP496</f>
        <v>0</v>
      </c>
      <c r="AW496" s="18">
        <f>AP496-AT496</f>
        <v>535901.37000000477</v>
      </c>
      <c r="AX496" s="123">
        <f>AP496/AJ496</f>
        <v>1</v>
      </c>
    </row>
    <row r="497" spans="1:50" ht="25.5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73" t="s">
        <v>288</v>
      </c>
      <c r="AB497" s="74" t="s">
        <v>1364</v>
      </c>
      <c r="AC497" s="43"/>
      <c r="AD497" s="43"/>
      <c r="AE497" s="44"/>
      <c r="AF497" s="44"/>
      <c r="AG497" s="44"/>
      <c r="AH497" s="43"/>
      <c r="AI497" s="18"/>
      <c r="AJ497" s="18"/>
      <c r="AK497" s="44"/>
      <c r="AL497" s="43"/>
      <c r="AM497" s="43"/>
      <c r="AN497" s="44"/>
      <c r="AO497" s="43"/>
      <c r="AP497" s="43"/>
      <c r="AQ497" s="43"/>
      <c r="AR497" s="43"/>
      <c r="AS497" s="43"/>
      <c r="AT497" s="40"/>
      <c r="AU497" s="18"/>
      <c r="AV497" s="34"/>
      <c r="AW497" s="18"/>
      <c r="AX497" s="123"/>
    </row>
    <row r="498" spans="1:50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1" t="s">
        <v>1365</v>
      </c>
      <c r="AB498" s="42" t="s">
        <v>233</v>
      </c>
      <c r="AC498" s="43"/>
      <c r="AD498" s="44">
        <v>0</v>
      </c>
      <c r="AE498" s="44">
        <v>0</v>
      </c>
      <c r="AF498" s="44">
        <v>0</v>
      </c>
      <c r="AG498" s="43">
        <v>100000000</v>
      </c>
      <c r="AH498" s="43">
        <v>0</v>
      </c>
      <c r="AI498" s="18">
        <f>AE498-AF498+AG498-AH498</f>
        <v>100000000</v>
      </c>
      <c r="AJ498" s="18">
        <f>AD498+AI498</f>
        <v>100000000</v>
      </c>
      <c r="AK498" s="44">
        <v>0</v>
      </c>
      <c r="AL498" s="44">
        <v>7000000</v>
      </c>
      <c r="AM498" s="44">
        <v>7000000</v>
      </c>
      <c r="AN498" s="44">
        <v>0</v>
      </c>
      <c r="AO498" s="43">
        <v>6066666.6600000001</v>
      </c>
      <c r="AP498" s="43">
        <v>6066666.6600000001</v>
      </c>
      <c r="AQ498" s="44">
        <v>0</v>
      </c>
      <c r="AR498" s="44">
        <v>0</v>
      </c>
      <c r="AS498" s="44">
        <v>0</v>
      </c>
      <c r="AT498" s="40">
        <f t="shared" ref="AT498" si="260">AQ498+AS498</f>
        <v>0</v>
      </c>
      <c r="AU498" s="18">
        <f>AJ498-AM498</f>
        <v>93000000</v>
      </c>
      <c r="AV498" s="18">
        <f>AM498-AP498</f>
        <v>933333.33999999985</v>
      </c>
      <c r="AW498" s="18">
        <f>AP498-AT498</f>
        <v>6066666.6600000001</v>
      </c>
      <c r="AX498" s="123">
        <f>AP498/AJ498</f>
        <v>6.0666666600000002E-2</v>
      </c>
    </row>
    <row r="499" spans="1:50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73" t="s">
        <v>288</v>
      </c>
      <c r="AB499" s="74" t="s">
        <v>1362</v>
      </c>
      <c r="AC499" s="43"/>
      <c r="AD499" s="44"/>
      <c r="AE499" s="44"/>
      <c r="AF499" s="44"/>
      <c r="AG499" s="44"/>
      <c r="AH499" s="43"/>
      <c r="AI499" s="18"/>
      <c r="AJ499" s="18"/>
      <c r="AK499" s="44"/>
      <c r="AL499" s="44"/>
      <c r="AM499" s="44"/>
      <c r="AN499" s="44"/>
      <c r="AO499" s="44"/>
      <c r="AP499" s="44"/>
      <c r="AQ499" s="44"/>
      <c r="AR499" s="44"/>
      <c r="AS499" s="44"/>
      <c r="AT499" s="40"/>
      <c r="AU499" s="18"/>
      <c r="AV499" s="34"/>
      <c r="AW499" s="34"/>
      <c r="AX499" s="123"/>
    </row>
    <row r="500" spans="1:50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1" t="s">
        <v>1363</v>
      </c>
      <c r="AB500" s="42" t="s">
        <v>233</v>
      </c>
      <c r="AC500" s="43"/>
      <c r="AD500" s="44">
        <v>0</v>
      </c>
      <c r="AE500" s="44">
        <v>0</v>
      </c>
      <c r="AF500" s="44">
        <v>0</v>
      </c>
      <c r="AG500" s="43">
        <v>400000000</v>
      </c>
      <c r="AH500" s="43"/>
      <c r="AI500" s="18">
        <f>AE500-AF500+AG500-AH500</f>
        <v>400000000</v>
      </c>
      <c r="AJ500" s="18">
        <f>AD500+AI500</f>
        <v>400000000</v>
      </c>
      <c r="AK500" s="44">
        <v>0</v>
      </c>
      <c r="AL500" s="44">
        <v>0</v>
      </c>
      <c r="AM500" s="44">
        <v>0</v>
      </c>
      <c r="AN500" s="44">
        <v>0</v>
      </c>
      <c r="AO500" s="44">
        <v>0</v>
      </c>
      <c r="AP500" s="44">
        <v>0</v>
      </c>
      <c r="AQ500" s="44">
        <v>0</v>
      </c>
      <c r="AR500" s="44">
        <v>0</v>
      </c>
      <c r="AS500" s="44">
        <v>0</v>
      </c>
      <c r="AT500" s="40">
        <f t="shared" ref="AT500" si="261">AQ500+AS500</f>
        <v>0</v>
      </c>
      <c r="AU500" s="18">
        <f>AJ500-AM500</f>
        <v>400000000</v>
      </c>
      <c r="AV500" s="34">
        <f>AM500-AP500</f>
        <v>0</v>
      </c>
      <c r="AW500" s="34">
        <f>AP500-AT500</f>
        <v>0</v>
      </c>
      <c r="AX500" s="123">
        <f>AP500/AJ500</f>
        <v>0</v>
      </c>
    </row>
    <row r="501" spans="1:50" ht="51" x14ac:dyDescent="0.2">
      <c r="AA501" s="28" t="s">
        <v>288</v>
      </c>
      <c r="AB501" s="29" t="s">
        <v>420</v>
      </c>
      <c r="AC501" s="17"/>
      <c r="AD501" s="18"/>
      <c r="AE501" s="34"/>
      <c r="AF501" s="34"/>
      <c r="AG501" s="34"/>
      <c r="AH501" s="34"/>
      <c r="AI501" s="34"/>
      <c r="AJ501" s="18"/>
      <c r="AK501" s="34"/>
      <c r="AL501" s="147"/>
      <c r="AM501" s="18"/>
      <c r="AN501" s="34"/>
      <c r="AO501" s="147"/>
      <c r="AP501" s="18"/>
      <c r="AQ501" s="18"/>
      <c r="AR501" s="147"/>
      <c r="AS501" s="18"/>
      <c r="AT501" s="40"/>
      <c r="AU501" s="18"/>
      <c r="AV501" s="18"/>
      <c r="AW501" s="18"/>
      <c r="AX501" s="18"/>
    </row>
    <row r="502" spans="1:50" x14ac:dyDescent="0.2">
      <c r="A502" s="4" t="s">
        <v>55</v>
      </c>
      <c r="B502" s="4" t="s">
        <v>56</v>
      </c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1" t="s">
        <v>421</v>
      </c>
      <c r="AB502" s="42" t="s">
        <v>328</v>
      </c>
      <c r="AC502" s="43" t="s">
        <v>61</v>
      </c>
      <c r="AD502" s="43">
        <v>501573828</v>
      </c>
      <c r="AE502" s="44">
        <v>0</v>
      </c>
      <c r="AF502" s="44">
        <v>0</v>
      </c>
      <c r="AG502" s="43">
        <v>280746171.69999999</v>
      </c>
      <c r="AH502" s="43">
        <f>3845830+18397564.7</f>
        <v>22243394.699999999</v>
      </c>
      <c r="AI502" s="18">
        <f>AE502-AF502+AG502-AH502</f>
        <v>258502777</v>
      </c>
      <c r="AJ502" s="18">
        <f>AD502+AI502</f>
        <v>760076605</v>
      </c>
      <c r="AK502" s="44">
        <v>0</v>
      </c>
      <c r="AL502" s="142">
        <v>5693333.3200000003</v>
      </c>
      <c r="AM502" s="43">
        <v>728949107.65999997</v>
      </c>
      <c r="AN502" s="44">
        <v>0</v>
      </c>
      <c r="AO502" s="142">
        <v>40224999.979999997</v>
      </c>
      <c r="AP502" s="43">
        <v>714360774.34000003</v>
      </c>
      <c r="AQ502" s="43">
        <v>125440000</v>
      </c>
      <c r="AR502" s="142">
        <f>AS502-SEPTIEMBRE!AS496</f>
        <v>73990000</v>
      </c>
      <c r="AS502" s="43">
        <v>394776666</v>
      </c>
      <c r="AT502" s="39">
        <f t="shared" si="248"/>
        <v>520216666</v>
      </c>
      <c r="AU502" s="18">
        <f>AJ502-AM502</f>
        <v>31127497.340000033</v>
      </c>
      <c r="AV502" s="18">
        <f>AM502-AP502</f>
        <v>14588333.319999933</v>
      </c>
      <c r="AW502" s="18">
        <f>AP502-AT502</f>
        <v>194144108.34000003</v>
      </c>
      <c r="AX502" s="123">
        <f>AP502/AJ502</f>
        <v>0.93985365375112428</v>
      </c>
    </row>
    <row r="503" spans="1:50" ht="25.5" x14ac:dyDescent="0.2">
      <c r="A503" s="4" t="s">
        <v>55</v>
      </c>
      <c r="B503" s="4" t="s">
        <v>56</v>
      </c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1" t="s">
        <v>422</v>
      </c>
      <c r="AB503" s="42" t="s">
        <v>423</v>
      </c>
      <c r="AC503" s="43" t="s">
        <v>424</v>
      </c>
      <c r="AD503" s="43">
        <v>370346171.69999999</v>
      </c>
      <c r="AE503" s="44">
        <v>0</v>
      </c>
      <c r="AF503" s="44">
        <v>0</v>
      </c>
      <c r="AG503" s="44">
        <v>0</v>
      </c>
      <c r="AH503" s="43">
        <v>280746171.69999999</v>
      </c>
      <c r="AI503" s="18">
        <f>AE503-AF503+AG503-AH503</f>
        <v>-280746171.69999999</v>
      </c>
      <c r="AJ503" s="18">
        <f>AD503+AI503</f>
        <v>89600000</v>
      </c>
      <c r="AK503" s="44">
        <v>0</v>
      </c>
      <c r="AL503" s="143">
        <v>0</v>
      </c>
      <c r="AM503" s="43">
        <v>89600000</v>
      </c>
      <c r="AN503" s="43">
        <v>0</v>
      </c>
      <c r="AO503" s="143">
        <v>0</v>
      </c>
      <c r="AP503" s="43">
        <v>89600000</v>
      </c>
      <c r="AQ503" s="43">
        <v>33413333</v>
      </c>
      <c r="AR503" s="142">
        <f>AS503-SEPTIEMBRE!AS497</f>
        <v>19600000</v>
      </c>
      <c r="AS503" s="43">
        <v>55066668</v>
      </c>
      <c r="AT503" s="39">
        <f t="shared" si="248"/>
        <v>88480001</v>
      </c>
      <c r="AU503" s="34">
        <f>AJ503-AM503</f>
        <v>0</v>
      </c>
      <c r="AV503" s="34">
        <f>AM503-AP503</f>
        <v>0</v>
      </c>
      <c r="AW503" s="18">
        <f>AP503-AT503</f>
        <v>1119999</v>
      </c>
      <c r="AX503" s="123">
        <f>AP503/AJ503</f>
        <v>1</v>
      </c>
    </row>
    <row r="504" spans="1:50" ht="18.75" customHeight="1" x14ac:dyDescent="0.2">
      <c r="AA504" s="28" t="s">
        <v>288</v>
      </c>
      <c r="AB504" s="29" t="s">
        <v>400</v>
      </c>
      <c r="AC504" s="17"/>
      <c r="AD504" s="18"/>
      <c r="AE504" s="34"/>
      <c r="AF504" s="34"/>
      <c r="AG504" s="34"/>
      <c r="AH504" s="34"/>
      <c r="AI504" s="34"/>
      <c r="AJ504" s="18"/>
      <c r="AK504" s="34"/>
      <c r="AL504" s="147"/>
      <c r="AM504" s="18"/>
      <c r="AN504" s="34"/>
      <c r="AO504" s="18"/>
      <c r="AP504" s="18"/>
      <c r="AQ504" s="34"/>
      <c r="AR504" s="145"/>
      <c r="AS504" s="34"/>
      <c r="AT504" s="40"/>
      <c r="AU504" s="18"/>
      <c r="AV504" s="18"/>
      <c r="AW504" s="18"/>
      <c r="AX504" s="18"/>
    </row>
    <row r="505" spans="1:50" ht="18.75" customHeight="1" x14ac:dyDescent="0.2">
      <c r="A505" s="4" t="s">
        <v>55</v>
      </c>
      <c r="B505" s="4" t="s">
        <v>56</v>
      </c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1" t="s">
        <v>425</v>
      </c>
      <c r="AB505" s="42" t="s">
        <v>233</v>
      </c>
      <c r="AC505" s="43" t="s">
        <v>58</v>
      </c>
      <c r="AD505" s="43">
        <v>318078211</v>
      </c>
      <c r="AE505" s="44">
        <v>0</v>
      </c>
      <c r="AF505" s="44">
        <v>0</v>
      </c>
      <c r="AG505" s="44">
        <v>0</v>
      </c>
      <c r="AH505" s="43">
        <v>68793982.700000003</v>
      </c>
      <c r="AI505" s="18">
        <f>AE505-AF505+AG505-AH505</f>
        <v>-68793982.700000003</v>
      </c>
      <c r="AJ505" s="18">
        <f>AD505+AI505</f>
        <v>249284228.30000001</v>
      </c>
      <c r="AK505" s="44">
        <v>0</v>
      </c>
      <c r="AL505" s="142">
        <v>0</v>
      </c>
      <c r="AM505" s="43">
        <v>249284228.30000001</v>
      </c>
      <c r="AN505" s="315">
        <v>0</v>
      </c>
      <c r="AO505" s="43">
        <v>0</v>
      </c>
      <c r="AP505" s="43">
        <v>249284228.30000001</v>
      </c>
      <c r="AQ505" s="44">
        <v>2210000</v>
      </c>
      <c r="AR505" s="142">
        <f>AS505-SEPTIEMBRE!AS499</f>
        <v>23410000</v>
      </c>
      <c r="AS505" s="114">
        <v>216566667</v>
      </c>
      <c r="AT505" s="39">
        <f t="shared" si="248"/>
        <v>218776667</v>
      </c>
      <c r="AU505" s="18">
        <f>AJ505-AM505</f>
        <v>0</v>
      </c>
      <c r="AV505" s="34">
        <f>AM505-AP505</f>
        <v>0</v>
      </c>
      <c r="AW505" s="18">
        <f>AP505-AT505</f>
        <v>30507561.300000012</v>
      </c>
      <c r="AX505" s="123">
        <f>AP505/AJ505</f>
        <v>1</v>
      </c>
    </row>
    <row r="506" spans="1:50" ht="18.75" customHeight="1" x14ac:dyDescent="0.2">
      <c r="A506" s="4" t="s">
        <v>55</v>
      </c>
      <c r="B506" s="4" t="s">
        <v>56</v>
      </c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1" t="s">
        <v>426</v>
      </c>
      <c r="AB506" s="42" t="s">
        <v>427</v>
      </c>
      <c r="AC506" s="43" t="s">
        <v>428</v>
      </c>
      <c r="AD506" s="43">
        <v>12674978.119999999</v>
      </c>
      <c r="AE506" s="44">
        <v>0</v>
      </c>
      <c r="AF506" s="44">
        <v>0</v>
      </c>
      <c r="AG506" s="44">
        <v>0</v>
      </c>
      <c r="AH506" s="44">
        <v>0</v>
      </c>
      <c r="AI506" s="44">
        <v>0</v>
      </c>
      <c r="AJ506" s="43">
        <v>12674978.119999999</v>
      </c>
      <c r="AK506" s="44">
        <v>0</v>
      </c>
      <c r="AL506" s="143">
        <v>0</v>
      </c>
      <c r="AM506" s="44">
        <v>0</v>
      </c>
      <c r="AN506" s="44">
        <v>0</v>
      </c>
      <c r="AO506" s="44">
        <v>0</v>
      </c>
      <c r="AP506" s="44">
        <v>0</v>
      </c>
      <c r="AQ506" s="44">
        <v>0</v>
      </c>
      <c r="AR506" s="143">
        <v>0</v>
      </c>
      <c r="AS506" s="44">
        <v>0</v>
      </c>
      <c r="AT506" s="40">
        <f t="shared" si="248"/>
        <v>0</v>
      </c>
      <c r="AU506" s="18">
        <f>AJ506-AM506</f>
        <v>12674978.119999999</v>
      </c>
      <c r="AV506" s="34">
        <f>AM506-AP506</f>
        <v>0</v>
      </c>
      <c r="AW506" s="34">
        <f>AP506-AT506</f>
        <v>0</v>
      </c>
      <c r="AX506" s="123">
        <f>AP506/AJ506</f>
        <v>0</v>
      </c>
    </row>
    <row r="507" spans="1:50" ht="18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73" t="s">
        <v>288</v>
      </c>
      <c r="AB507" s="74" t="s">
        <v>1366</v>
      </c>
      <c r="AC507" s="168"/>
      <c r="AD507" s="43"/>
      <c r="AE507" s="44"/>
      <c r="AF507" s="44"/>
      <c r="AG507" s="44"/>
      <c r="AH507" s="44"/>
      <c r="AI507" s="44"/>
      <c r="AJ507" s="43"/>
      <c r="AK507" s="44"/>
      <c r="AL507" s="143"/>
      <c r="AM507" s="44"/>
      <c r="AN507" s="44"/>
      <c r="AO507" s="44"/>
      <c r="AP507" s="44"/>
      <c r="AQ507" s="44"/>
      <c r="AR507" s="143"/>
      <c r="AS507" s="44"/>
      <c r="AT507" s="40"/>
      <c r="AU507" s="18"/>
      <c r="AV507" s="34"/>
      <c r="AW507" s="34"/>
      <c r="AX507" s="123"/>
    </row>
    <row r="508" spans="1:50" ht="18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1" t="s">
        <v>1367</v>
      </c>
      <c r="AB508" s="42" t="s">
        <v>233</v>
      </c>
      <c r="AC508" s="168"/>
      <c r="AD508" s="43">
        <v>0</v>
      </c>
      <c r="AE508" s="44">
        <v>0</v>
      </c>
      <c r="AF508" s="44">
        <v>0</v>
      </c>
      <c r="AG508" s="43">
        <v>20000000</v>
      </c>
      <c r="AH508" s="44">
        <v>0</v>
      </c>
      <c r="AI508" s="18">
        <f>AE508-AF508+AG508-AH508</f>
        <v>20000000</v>
      </c>
      <c r="AJ508" s="18">
        <f>AD508+AI508</f>
        <v>20000000</v>
      </c>
      <c r="AK508" s="44">
        <v>0</v>
      </c>
      <c r="AL508" s="44">
        <v>20000000</v>
      </c>
      <c r="AM508" s="44">
        <v>20000000</v>
      </c>
      <c r="AN508" s="44">
        <v>0</v>
      </c>
      <c r="AO508" s="44">
        <v>0</v>
      </c>
      <c r="AP508" s="44">
        <v>0</v>
      </c>
      <c r="AQ508" s="44">
        <v>0</v>
      </c>
      <c r="AR508" s="143">
        <v>0</v>
      </c>
      <c r="AS508" s="44">
        <v>0</v>
      </c>
      <c r="AT508" s="40">
        <f t="shared" ref="AT508" si="262">AQ508+AS508</f>
        <v>0</v>
      </c>
      <c r="AU508" s="18">
        <f>AJ508-AM508</f>
        <v>0</v>
      </c>
      <c r="AV508" s="18">
        <f>AM508-AP508</f>
        <v>20000000</v>
      </c>
      <c r="AW508" s="34">
        <f>AP508-AT508</f>
        <v>0</v>
      </c>
      <c r="AX508" s="123">
        <f>AP508/AJ508</f>
        <v>0</v>
      </c>
    </row>
    <row r="509" spans="1:50" ht="18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1"/>
      <c r="AB509" s="42"/>
      <c r="AC509" s="168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0"/>
      <c r="AU509" s="18"/>
      <c r="AV509" s="34"/>
      <c r="AW509" s="34"/>
      <c r="AX509" s="123"/>
    </row>
    <row r="510" spans="1:50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170" t="s">
        <v>1016</v>
      </c>
      <c r="AB510" s="170" t="s">
        <v>997</v>
      </c>
      <c r="AC510" s="168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0"/>
      <c r="AU510" s="18"/>
      <c r="AV510" s="34"/>
      <c r="AW510" s="34"/>
      <c r="AX510" s="123"/>
    </row>
    <row r="511" spans="1:50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170" t="s">
        <v>1017</v>
      </c>
      <c r="AB511" s="170" t="s">
        <v>999</v>
      </c>
      <c r="AC511" s="168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0"/>
      <c r="AU511" s="18"/>
      <c r="AV511" s="34"/>
      <c r="AW511" s="34"/>
      <c r="AX511" s="123"/>
    </row>
    <row r="512" spans="1:50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170" t="s">
        <v>1018</v>
      </c>
      <c r="AB512" s="170" t="s">
        <v>1001</v>
      </c>
      <c r="AC512" s="168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0"/>
      <c r="AU512" s="18"/>
      <c r="AV512" s="34"/>
      <c r="AW512" s="34"/>
      <c r="AX512" s="123"/>
    </row>
    <row r="513" spans="1:50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170" t="s">
        <v>1021</v>
      </c>
      <c r="AB513" s="165" t="s">
        <v>1003</v>
      </c>
      <c r="AC513" s="168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0"/>
      <c r="AU513" s="18"/>
      <c r="AV513" s="34"/>
      <c r="AW513" s="34"/>
      <c r="AX513" s="123"/>
    </row>
    <row r="514" spans="1:50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166" t="s">
        <v>1019</v>
      </c>
      <c r="AB514" s="167" t="s">
        <v>1005</v>
      </c>
      <c r="AC514" s="168"/>
      <c r="AD514" s="44">
        <v>0</v>
      </c>
      <c r="AE514" s="43">
        <v>289968755.39999998</v>
      </c>
      <c r="AF514" s="44">
        <v>0</v>
      </c>
      <c r="AG514" s="44">
        <v>0</v>
      </c>
      <c r="AH514" s="44">
        <v>0</v>
      </c>
      <c r="AI514" s="18">
        <f t="shared" ref="AI514:AI515" si="263">AE514-AF514+AG514-AH514</f>
        <v>289968755.39999998</v>
      </c>
      <c r="AJ514" s="18">
        <f t="shared" ref="AJ514:AJ515" si="264">AD514+AI514</f>
        <v>289968755.39999998</v>
      </c>
      <c r="AK514" s="44">
        <v>0</v>
      </c>
      <c r="AL514" s="44">
        <f>AM514-AGOSTO!AM498</f>
        <v>0</v>
      </c>
      <c r="AM514" s="43">
        <v>97697299.079999998</v>
      </c>
      <c r="AN514" s="44">
        <v>0</v>
      </c>
      <c r="AO514" s="44">
        <v>0</v>
      </c>
      <c r="AP514" s="43">
        <v>97697299.079999998</v>
      </c>
      <c r="AQ514" s="44">
        <v>0</v>
      </c>
      <c r="AR514" s="44">
        <v>0</v>
      </c>
      <c r="AS514" s="43">
        <v>2031817</v>
      </c>
      <c r="AT514" s="39">
        <f t="shared" ref="AT514:AT515" si="265">AQ514+AS514</f>
        <v>2031817</v>
      </c>
      <c r="AU514" s="18">
        <f>AJ514-AM514</f>
        <v>192271456.31999999</v>
      </c>
      <c r="AV514" s="34">
        <f>AM514-AP514</f>
        <v>0</v>
      </c>
      <c r="AW514" s="18">
        <f>AP514-AT514</f>
        <v>95665482.079999998</v>
      </c>
      <c r="AX514" s="123">
        <f>AP514/AJ514</f>
        <v>0.33692353834891831</v>
      </c>
    </row>
    <row r="515" spans="1:50" ht="25.5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166" t="s">
        <v>1022</v>
      </c>
      <c r="AB515" s="167" t="s">
        <v>1023</v>
      </c>
      <c r="AC515" s="168"/>
      <c r="AD515" s="44">
        <v>0</v>
      </c>
      <c r="AE515" s="43">
        <v>185022377.55000001</v>
      </c>
      <c r="AF515" s="44">
        <v>0</v>
      </c>
      <c r="AG515" s="44">
        <v>0</v>
      </c>
      <c r="AH515" s="44">
        <v>0</v>
      </c>
      <c r="AI515" s="18">
        <f t="shared" si="263"/>
        <v>185022377.55000001</v>
      </c>
      <c r="AJ515" s="18">
        <f t="shared" si="264"/>
        <v>185022377.55000001</v>
      </c>
      <c r="AK515" s="44">
        <v>0</v>
      </c>
      <c r="AL515" s="44">
        <v>0</v>
      </c>
      <c r="AM515" s="43">
        <v>185022377.55000001</v>
      </c>
      <c r="AN515" s="44">
        <v>0</v>
      </c>
      <c r="AO515" s="44">
        <v>0</v>
      </c>
      <c r="AP515" s="43">
        <v>185022377.55000001</v>
      </c>
      <c r="AQ515" s="44">
        <v>0</v>
      </c>
      <c r="AR515" s="44">
        <v>0</v>
      </c>
      <c r="AS515" s="43">
        <v>185022377.55000001</v>
      </c>
      <c r="AT515" s="39">
        <f t="shared" si="265"/>
        <v>185022377.55000001</v>
      </c>
      <c r="AU515" s="34">
        <f>AJ515-AM515</f>
        <v>0</v>
      </c>
      <c r="AV515" s="34">
        <f>AM515-AP515</f>
        <v>0</v>
      </c>
      <c r="AW515" s="34">
        <f>AP515-AT515</f>
        <v>0</v>
      </c>
      <c r="AX515" s="123">
        <f>AP515/AJ515</f>
        <v>1</v>
      </c>
    </row>
    <row r="516" spans="1:50" ht="18.75" customHeight="1" x14ac:dyDescent="0.2">
      <c r="AA516" s="16"/>
      <c r="AB516" s="17"/>
      <c r="AC516" s="17"/>
      <c r="AD516" s="18"/>
      <c r="AE516" s="34"/>
      <c r="AF516" s="34"/>
      <c r="AG516" s="34"/>
      <c r="AH516" s="34"/>
      <c r="AI516" s="34"/>
      <c r="AJ516" s="18"/>
      <c r="AK516" s="34"/>
      <c r="AL516" s="18"/>
      <c r="AM516" s="18"/>
      <c r="AN516" s="18"/>
      <c r="AO516" s="18"/>
      <c r="AP516" s="18"/>
      <c r="AQ516" s="18"/>
      <c r="AR516" s="18"/>
      <c r="AS516" s="18"/>
      <c r="AT516" s="40"/>
      <c r="AU516" s="18"/>
      <c r="AV516" s="18"/>
      <c r="AW516" s="18"/>
      <c r="AX516" s="18"/>
    </row>
    <row r="517" spans="1:50" ht="18.75" customHeight="1" x14ac:dyDescent="0.2">
      <c r="AA517" s="16"/>
      <c r="AB517" s="29" t="s">
        <v>429</v>
      </c>
      <c r="AC517" s="17"/>
      <c r="AD517" s="18"/>
      <c r="AE517" s="34"/>
      <c r="AF517" s="34"/>
      <c r="AG517" s="34"/>
      <c r="AH517" s="34"/>
      <c r="AI517" s="34"/>
      <c r="AJ517" s="18"/>
      <c r="AK517" s="34"/>
      <c r="AL517" s="18"/>
      <c r="AM517" s="18"/>
      <c r="AN517" s="18"/>
      <c r="AO517" s="18"/>
      <c r="AP517" s="18"/>
      <c r="AQ517" s="18"/>
      <c r="AR517" s="18"/>
      <c r="AS517" s="18"/>
      <c r="AT517" s="40"/>
      <c r="AU517" s="18"/>
      <c r="AV517" s="18"/>
      <c r="AW517" s="18"/>
      <c r="AX517" s="18"/>
    </row>
    <row r="518" spans="1:50" ht="18.75" customHeight="1" x14ac:dyDescent="0.2">
      <c r="AA518" s="16"/>
      <c r="AB518" s="29" t="s">
        <v>286</v>
      </c>
      <c r="AC518" s="17"/>
      <c r="AD518" s="18"/>
      <c r="AE518" s="34"/>
      <c r="AF518" s="34"/>
      <c r="AG518" s="34"/>
      <c r="AH518" s="34"/>
      <c r="AI518" s="34"/>
      <c r="AJ518" s="18"/>
      <c r="AK518" s="34"/>
      <c r="AL518" s="18"/>
      <c r="AM518" s="18"/>
      <c r="AN518" s="18"/>
      <c r="AO518" s="18"/>
      <c r="AP518" s="18"/>
      <c r="AQ518" s="18"/>
      <c r="AR518" s="18"/>
      <c r="AS518" s="18"/>
      <c r="AT518" s="40"/>
      <c r="AU518" s="18"/>
      <c r="AV518" s="18"/>
      <c r="AW518" s="18"/>
      <c r="AX518" s="18"/>
    </row>
    <row r="519" spans="1:50" ht="18.75" customHeight="1" x14ac:dyDescent="0.2">
      <c r="AA519" s="16"/>
      <c r="AB519" s="29" t="s">
        <v>179</v>
      </c>
      <c r="AC519" s="17"/>
      <c r="AD519" s="18"/>
      <c r="AE519" s="34"/>
      <c r="AF519" s="34"/>
      <c r="AG519" s="34"/>
      <c r="AH519" s="34"/>
      <c r="AI519" s="34"/>
      <c r="AJ519" s="18"/>
      <c r="AK519" s="34"/>
      <c r="AL519" s="18"/>
      <c r="AM519" s="18"/>
      <c r="AN519" s="18"/>
      <c r="AO519" s="18"/>
      <c r="AP519" s="18"/>
      <c r="AQ519" s="18"/>
      <c r="AR519" s="18"/>
      <c r="AS519" s="18"/>
      <c r="AT519" s="40"/>
      <c r="AU519" s="18"/>
      <c r="AV519" s="18"/>
      <c r="AW519" s="18"/>
      <c r="AX519" s="18"/>
    </row>
    <row r="520" spans="1:50" ht="18.75" customHeight="1" x14ac:dyDescent="0.2">
      <c r="AA520" s="16"/>
      <c r="AB520" s="29" t="s">
        <v>189</v>
      </c>
      <c r="AC520" s="17"/>
      <c r="AD520" s="18"/>
      <c r="AE520" s="34"/>
      <c r="AF520" s="34"/>
      <c r="AG520" s="34"/>
      <c r="AH520" s="34"/>
      <c r="AI520" s="34"/>
      <c r="AJ520" s="18"/>
      <c r="AK520" s="34"/>
      <c r="AL520" s="18"/>
      <c r="AM520" s="18"/>
      <c r="AN520" s="18"/>
      <c r="AO520" s="18"/>
      <c r="AP520" s="18"/>
      <c r="AQ520" s="18"/>
      <c r="AR520" s="18"/>
      <c r="AS520" s="18"/>
      <c r="AT520" s="40"/>
      <c r="AU520" s="18"/>
      <c r="AV520" s="18"/>
      <c r="AW520" s="18"/>
      <c r="AX520" s="18"/>
    </row>
    <row r="521" spans="1:50" ht="18.75" customHeight="1" x14ac:dyDescent="0.2">
      <c r="AA521" s="16"/>
      <c r="AB521" s="29" t="s">
        <v>199</v>
      </c>
      <c r="AC521" s="17"/>
      <c r="AD521" s="18"/>
      <c r="AE521" s="34"/>
      <c r="AF521" s="34"/>
      <c r="AG521" s="34"/>
      <c r="AH521" s="34"/>
      <c r="AI521" s="34"/>
      <c r="AJ521" s="18"/>
      <c r="AK521" s="34"/>
      <c r="AL521" s="18"/>
      <c r="AM521" s="18"/>
      <c r="AN521" s="18"/>
      <c r="AO521" s="18"/>
      <c r="AP521" s="18"/>
      <c r="AQ521" s="18"/>
      <c r="AR521" s="18"/>
      <c r="AS521" s="18"/>
      <c r="AT521" s="40"/>
      <c r="AU521" s="18"/>
      <c r="AV521" s="18"/>
      <c r="AW521" s="18"/>
      <c r="AX521" s="18"/>
    </row>
    <row r="522" spans="1:50" ht="25.5" x14ac:dyDescent="0.2">
      <c r="AA522" s="28" t="s">
        <v>288</v>
      </c>
      <c r="AB522" s="29" t="s">
        <v>418</v>
      </c>
      <c r="AC522" s="17"/>
      <c r="AD522" s="18"/>
      <c r="AE522" s="34"/>
      <c r="AF522" s="34"/>
      <c r="AG522" s="34"/>
      <c r="AH522" s="34"/>
      <c r="AI522" s="34"/>
      <c r="AJ522" s="18"/>
      <c r="AK522" s="34"/>
      <c r="AL522" s="18"/>
      <c r="AM522" s="18"/>
      <c r="AN522" s="18"/>
      <c r="AO522" s="18"/>
      <c r="AP522" s="18"/>
      <c r="AQ522" s="18"/>
      <c r="AR522" s="18"/>
      <c r="AS522" s="18"/>
      <c r="AT522" s="40"/>
      <c r="AU522" s="18"/>
      <c r="AV522" s="18"/>
      <c r="AW522" s="18"/>
      <c r="AX522" s="18"/>
    </row>
    <row r="523" spans="1:50" ht="18.75" customHeight="1" x14ac:dyDescent="0.2">
      <c r="A523" s="4" t="s">
        <v>55</v>
      </c>
      <c r="B523" s="4" t="s">
        <v>56</v>
      </c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1" t="s">
        <v>419</v>
      </c>
      <c r="AB523" s="42" t="s">
        <v>233</v>
      </c>
      <c r="AC523" s="43" t="s">
        <v>58</v>
      </c>
      <c r="AD523" s="43">
        <v>2364833525</v>
      </c>
      <c r="AE523" s="44">
        <v>0</v>
      </c>
      <c r="AF523" s="44">
        <v>0</v>
      </c>
      <c r="AG523" s="44">
        <v>0</v>
      </c>
      <c r="AH523" s="18">
        <v>1500000000</v>
      </c>
      <c r="AI523" s="18">
        <f>AE523-AF523+AG523-AH523</f>
        <v>-1500000000</v>
      </c>
      <c r="AJ523" s="18">
        <f>AD523+AI523</f>
        <v>864833525</v>
      </c>
      <c r="AK523" s="44">
        <v>0</v>
      </c>
      <c r="AL523" s="44">
        <v>0</v>
      </c>
      <c r="AM523" s="43">
        <v>864833525</v>
      </c>
      <c r="AN523" s="44">
        <v>0</v>
      </c>
      <c r="AO523" s="44">
        <v>0</v>
      </c>
      <c r="AP523" s="43">
        <v>864832420</v>
      </c>
      <c r="AQ523" s="44">
        <v>0</v>
      </c>
      <c r="AR523" s="43">
        <f>AS523-SEPTIEMBRE!AS517</f>
        <v>0</v>
      </c>
      <c r="AS523" s="43">
        <v>565092476</v>
      </c>
      <c r="AT523" s="39">
        <f t="shared" ref="AT523:AT526" si="266">AQ523+AS523</f>
        <v>565092476</v>
      </c>
      <c r="AU523" s="34">
        <f>AJ523-AM523</f>
        <v>0</v>
      </c>
      <c r="AV523" s="18">
        <f>AM523-AP523</f>
        <v>1105</v>
      </c>
      <c r="AW523" s="18">
        <f>AP523-AT523</f>
        <v>299739944</v>
      </c>
      <c r="AX523" s="123">
        <f>AP523/AJ523</f>
        <v>0.99999872229745024</v>
      </c>
    </row>
    <row r="524" spans="1:50" ht="18.75" customHeight="1" x14ac:dyDescent="0.2">
      <c r="A524" s="4" t="s">
        <v>55</v>
      </c>
      <c r="B524" s="4" t="s">
        <v>56</v>
      </c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1" t="s">
        <v>430</v>
      </c>
      <c r="AB524" s="42" t="s">
        <v>431</v>
      </c>
      <c r="AC524" s="43" t="s">
        <v>432</v>
      </c>
      <c r="AD524" s="43">
        <v>1269842288</v>
      </c>
      <c r="AE524" s="44">
        <v>0</v>
      </c>
      <c r="AF524" s="44">
        <v>0</v>
      </c>
      <c r="AG524" s="44">
        <v>0</v>
      </c>
      <c r="AH524" s="44">
        <v>0</v>
      </c>
      <c r="AI524" s="44">
        <v>0</v>
      </c>
      <c r="AJ524" s="43">
        <v>1269842288</v>
      </c>
      <c r="AK524" s="44">
        <v>0</v>
      </c>
      <c r="AL524" s="44">
        <v>0</v>
      </c>
      <c r="AM524" s="43">
        <v>1269842288</v>
      </c>
      <c r="AN524" s="44">
        <v>0</v>
      </c>
      <c r="AO524" s="43">
        <v>0</v>
      </c>
      <c r="AP524" s="43">
        <v>1269842288</v>
      </c>
      <c r="AQ524" s="43">
        <v>17834783</v>
      </c>
      <c r="AR524" s="43">
        <f>AS524-SEPTIEMBRE!AS518</f>
        <v>50184960</v>
      </c>
      <c r="AS524" s="43">
        <v>625772448</v>
      </c>
      <c r="AT524" s="39">
        <f t="shared" si="266"/>
        <v>643607231</v>
      </c>
      <c r="AU524" s="34">
        <f>AJ524-AM524</f>
        <v>0</v>
      </c>
      <c r="AV524" s="18">
        <f>AM524-AP524</f>
        <v>0</v>
      </c>
      <c r="AW524" s="18">
        <f>AP524-AT524</f>
        <v>626235057</v>
      </c>
      <c r="AX524" s="123">
        <f>AP524/AJ524</f>
        <v>1</v>
      </c>
    </row>
    <row r="525" spans="1:50" ht="18.75" customHeight="1" x14ac:dyDescent="0.2">
      <c r="A525" s="4" t="s">
        <v>55</v>
      </c>
      <c r="B525" s="4" t="s">
        <v>56</v>
      </c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1" t="s">
        <v>433</v>
      </c>
      <c r="AB525" s="42" t="s">
        <v>434</v>
      </c>
      <c r="AC525" s="43" t="s">
        <v>428</v>
      </c>
      <c r="AD525" s="43">
        <v>1185147617</v>
      </c>
      <c r="AE525" s="44">
        <v>0</v>
      </c>
      <c r="AF525" s="44">
        <v>0</v>
      </c>
      <c r="AG525" s="44">
        <v>0</v>
      </c>
      <c r="AH525" s="44">
        <v>0</v>
      </c>
      <c r="AI525" s="44">
        <v>0</v>
      </c>
      <c r="AJ525" s="43">
        <v>1185147617</v>
      </c>
      <c r="AK525" s="44">
        <v>0</v>
      </c>
      <c r="AL525" s="44">
        <v>0</v>
      </c>
      <c r="AM525" s="43">
        <v>799588657</v>
      </c>
      <c r="AN525" s="44">
        <v>0</v>
      </c>
      <c r="AO525" s="44">
        <v>0</v>
      </c>
      <c r="AP525" s="43">
        <v>799580047</v>
      </c>
      <c r="AQ525" s="44">
        <v>107646652</v>
      </c>
      <c r="AR525" s="43">
        <f>AS525-SEPTIEMBRE!AS519</f>
        <v>224672040</v>
      </c>
      <c r="AS525" s="44">
        <v>368200909</v>
      </c>
      <c r="AT525" s="39">
        <f t="shared" si="266"/>
        <v>475847561</v>
      </c>
      <c r="AU525" s="18">
        <f>AJ525-AM525</f>
        <v>385558960</v>
      </c>
      <c r="AV525" s="18">
        <f>AM525-AP525</f>
        <v>8610</v>
      </c>
      <c r="AW525" s="18">
        <f>AP525-AT525</f>
        <v>323732486</v>
      </c>
      <c r="AX525" s="123">
        <f>AP525/AJ525</f>
        <v>0.67466705035782892</v>
      </c>
    </row>
    <row r="526" spans="1:50" ht="18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166" t="s">
        <v>1024</v>
      </c>
      <c r="AB526" s="167" t="s">
        <v>1025</v>
      </c>
      <c r="AC526" s="168"/>
      <c r="AD526" s="44">
        <v>0</v>
      </c>
      <c r="AE526" s="43">
        <v>860456218.52999997</v>
      </c>
      <c r="AF526" s="44">
        <v>0</v>
      </c>
      <c r="AG526" s="44">
        <v>0</v>
      </c>
      <c r="AH526" s="44">
        <v>0</v>
      </c>
      <c r="AI526" s="18">
        <f>AE526-AF526+AG526-AH526</f>
        <v>860456218.52999997</v>
      </c>
      <c r="AJ526" s="18">
        <f>AD526+AI526</f>
        <v>860456218.52999997</v>
      </c>
      <c r="AK526" s="44">
        <v>0</v>
      </c>
      <c r="AL526" s="44">
        <v>0</v>
      </c>
      <c r="AM526" s="43">
        <v>374888075</v>
      </c>
      <c r="AN526" s="44">
        <v>0</v>
      </c>
      <c r="AO526" s="44">
        <v>0</v>
      </c>
      <c r="AP526" s="43">
        <v>374888075</v>
      </c>
      <c r="AQ526" s="43">
        <v>0</v>
      </c>
      <c r="AR526" s="43">
        <f>AS526-SEPTIEMBRE!AS520</f>
        <v>69637548</v>
      </c>
      <c r="AS526" s="44">
        <v>69637548</v>
      </c>
      <c r="AT526" s="39">
        <f t="shared" si="266"/>
        <v>69637548</v>
      </c>
      <c r="AU526" s="18">
        <f>AJ526-AM526</f>
        <v>485568143.52999997</v>
      </c>
      <c r="AV526" s="18">
        <f>AM526-AP526</f>
        <v>0</v>
      </c>
      <c r="AW526" s="18">
        <f>AP526-AT526</f>
        <v>305250527</v>
      </c>
      <c r="AX526" s="123">
        <f>AP526/AJ526</f>
        <v>0.43568524106950768</v>
      </c>
    </row>
    <row r="527" spans="1:50" ht="25.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208" t="s">
        <v>288</v>
      </c>
      <c r="AB527" s="209" t="s">
        <v>959</v>
      </c>
      <c r="AC527" s="43"/>
      <c r="AD527" s="43"/>
      <c r="AE527" s="44"/>
      <c r="AF527" s="44"/>
      <c r="AG527" s="44"/>
      <c r="AH527" s="44"/>
      <c r="AI527" s="44"/>
      <c r="AJ527" s="43"/>
      <c r="AK527" s="44"/>
      <c r="AL527" s="44"/>
      <c r="AM527" s="44"/>
      <c r="AN527" s="44"/>
      <c r="AO527" s="44"/>
      <c r="AP527" s="44"/>
      <c r="AQ527" s="44"/>
      <c r="AR527" s="44"/>
      <c r="AS527" s="44"/>
      <c r="AT527" s="40"/>
      <c r="AU527" s="18"/>
      <c r="AV527" s="34"/>
      <c r="AW527" s="34"/>
      <c r="AX527" s="123"/>
    </row>
    <row r="528" spans="1:50" ht="18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160" t="s">
        <v>960</v>
      </c>
      <c r="AB528" s="42" t="s">
        <v>961</v>
      </c>
      <c r="AC528" s="43"/>
      <c r="AD528" s="44">
        <v>0</v>
      </c>
      <c r="AE528" s="44">
        <v>0</v>
      </c>
      <c r="AF528" s="44">
        <v>0</v>
      </c>
      <c r="AG528" s="43">
        <v>1500000000</v>
      </c>
      <c r="AH528" s="43">
        <v>1500000000</v>
      </c>
      <c r="AI528" s="18">
        <f>AE528-AF528+AG528-AH528</f>
        <v>0</v>
      </c>
      <c r="AJ528" s="18">
        <f>AD528+AI528</f>
        <v>0</v>
      </c>
      <c r="AK528" s="44">
        <v>0</v>
      </c>
      <c r="AL528" s="44">
        <v>0</v>
      </c>
      <c r="AM528" s="44">
        <v>0</v>
      </c>
      <c r="AN528" s="44">
        <v>0</v>
      </c>
      <c r="AO528" s="44">
        <v>0</v>
      </c>
      <c r="AP528" s="44">
        <v>0</v>
      </c>
      <c r="AQ528" s="44">
        <v>0</v>
      </c>
      <c r="AR528" s="44">
        <v>0</v>
      </c>
      <c r="AS528" s="44">
        <v>0</v>
      </c>
      <c r="AT528" s="40">
        <f t="shared" ref="AT528" si="267">AQ528+AS528</f>
        <v>0</v>
      </c>
      <c r="AU528" s="18">
        <f>AJ528-AM528</f>
        <v>0</v>
      </c>
      <c r="AV528" s="34">
        <f>AM528-AP528</f>
        <v>0</v>
      </c>
      <c r="AW528" s="34">
        <f>AP528-AT528</f>
        <v>0</v>
      </c>
      <c r="AX528" s="123">
        <v>0</v>
      </c>
    </row>
    <row r="529" spans="1:50" ht="18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160"/>
      <c r="AB529" s="42"/>
      <c r="AC529" s="43"/>
      <c r="AD529" s="44"/>
      <c r="AE529" s="44"/>
      <c r="AF529" s="44"/>
      <c r="AG529" s="43"/>
      <c r="AH529" s="44"/>
      <c r="AI529" s="18"/>
      <c r="AJ529" s="18"/>
      <c r="AK529" s="44"/>
      <c r="AL529" s="44"/>
      <c r="AM529" s="44"/>
      <c r="AN529" s="44"/>
      <c r="AO529" s="44"/>
      <c r="AP529" s="44"/>
      <c r="AQ529" s="44"/>
      <c r="AR529" s="44"/>
      <c r="AS529" s="44"/>
      <c r="AT529" s="40"/>
      <c r="AU529" s="18"/>
      <c r="AV529" s="34"/>
      <c r="AW529" s="34"/>
      <c r="AX529" s="123"/>
    </row>
    <row r="530" spans="1:50" ht="18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166"/>
      <c r="AB530" s="165" t="s">
        <v>1026</v>
      </c>
      <c r="AC530" s="168"/>
      <c r="AD530" s="44"/>
      <c r="AE530" s="44"/>
      <c r="AF530" s="44"/>
      <c r="AG530" s="43"/>
      <c r="AH530" s="44"/>
      <c r="AI530" s="18"/>
      <c r="AJ530" s="18"/>
      <c r="AK530" s="44"/>
      <c r="AL530" s="44"/>
      <c r="AM530" s="44"/>
      <c r="AN530" s="44"/>
      <c r="AO530" s="44"/>
      <c r="AP530" s="44"/>
      <c r="AQ530" s="44"/>
      <c r="AR530" s="44"/>
      <c r="AS530" s="44"/>
      <c r="AT530" s="40"/>
      <c r="AU530" s="18"/>
      <c r="AV530" s="34"/>
      <c r="AW530" s="34"/>
      <c r="AX530" s="123"/>
    </row>
    <row r="531" spans="1:50" ht="25.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166" t="s">
        <v>991</v>
      </c>
      <c r="AB531" s="167" t="s">
        <v>992</v>
      </c>
      <c r="AC531" s="168"/>
      <c r="AD531" s="44">
        <v>0</v>
      </c>
      <c r="AE531" s="43">
        <v>720712175</v>
      </c>
      <c r="AF531" s="44">
        <v>0</v>
      </c>
      <c r="AG531" s="44">
        <v>0</v>
      </c>
      <c r="AH531" s="44">
        <v>0</v>
      </c>
      <c r="AI531" s="18">
        <f>AE531-AF531+AG531-AH531</f>
        <v>720712175</v>
      </c>
      <c r="AJ531" s="18">
        <f>AD531+AI531</f>
        <v>720712175</v>
      </c>
      <c r="AK531" s="44">
        <v>0</v>
      </c>
      <c r="AL531" s="44">
        <v>0</v>
      </c>
      <c r="AM531" s="44">
        <v>0</v>
      </c>
      <c r="AN531" s="44">
        <v>0</v>
      </c>
      <c r="AO531" s="44">
        <v>0</v>
      </c>
      <c r="AP531" s="44">
        <v>0</v>
      </c>
      <c r="AQ531" s="44">
        <v>0</v>
      </c>
      <c r="AR531" s="44">
        <v>0</v>
      </c>
      <c r="AS531" s="44">
        <v>0</v>
      </c>
      <c r="AT531" s="40">
        <f t="shared" ref="AT531" si="268">AQ531+AS531</f>
        <v>0</v>
      </c>
      <c r="AU531" s="18">
        <f>AJ531-AM531</f>
        <v>720712175</v>
      </c>
      <c r="AV531" s="34">
        <f>AM531-AP531</f>
        <v>0</v>
      </c>
      <c r="AW531" s="34">
        <f>AP531-AT531</f>
        <v>0</v>
      </c>
      <c r="AX531" s="123">
        <f>AP531/AJ531</f>
        <v>0</v>
      </c>
    </row>
    <row r="532" spans="1:50" ht="18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210"/>
      <c r="AB532" s="207"/>
      <c r="AC532" s="43"/>
      <c r="AD532" s="44"/>
      <c r="AE532" s="44"/>
      <c r="AF532" s="44"/>
      <c r="AG532" s="43"/>
      <c r="AH532" s="44"/>
      <c r="AI532" s="18"/>
      <c r="AJ532" s="18"/>
      <c r="AK532" s="44"/>
      <c r="AL532" s="44"/>
      <c r="AM532" s="44"/>
      <c r="AN532" s="44"/>
      <c r="AO532" s="44"/>
      <c r="AP532" s="44"/>
      <c r="AQ532" s="44"/>
      <c r="AR532" s="44"/>
      <c r="AS532" s="44"/>
      <c r="AT532" s="40"/>
      <c r="AU532" s="18"/>
      <c r="AV532" s="34"/>
      <c r="AW532" s="18"/>
      <c r="AX532" s="123"/>
    </row>
    <row r="533" spans="1:50" ht="18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170" t="s">
        <v>1016</v>
      </c>
      <c r="AB533" s="170" t="s">
        <v>997</v>
      </c>
      <c r="AC533" s="168"/>
      <c r="AD533" s="44"/>
      <c r="AE533" s="44"/>
      <c r="AF533" s="44"/>
      <c r="AG533" s="43"/>
      <c r="AH533" s="44"/>
      <c r="AI533" s="18"/>
      <c r="AJ533" s="18"/>
      <c r="AK533" s="44"/>
      <c r="AL533" s="44"/>
      <c r="AM533" s="44"/>
      <c r="AN533" s="44"/>
      <c r="AO533" s="44"/>
      <c r="AP533" s="44"/>
      <c r="AQ533" s="44"/>
      <c r="AR533" s="44"/>
      <c r="AS533" s="44"/>
      <c r="AT533" s="40"/>
      <c r="AU533" s="18"/>
      <c r="AV533" s="34"/>
      <c r="AW533" s="18"/>
      <c r="AX533" s="123"/>
    </row>
    <row r="534" spans="1:50" ht="18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170" t="s">
        <v>1017</v>
      </c>
      <c r="AB534" s="170" t="s">
        <v>999</v>
      </c>
      <c r="AC534" s="168"/>
      <c r="AD534" s="44"/>
      <c r="AE534" s="44"/>
      <c r="AF534" s="44"/>
      <c r="AG534" s="43"/>
      <c r="AH534" s="44"/>
      <c r="AI534" s="18"/>
      <c r="AJ534" s="18"/>
      <c r="AK534" s="44"/>
      <c r="AL534" s="44"/>
      <c r="AM534" s="44"/>
      <c r="AN534" s="44"/>
      <c r="AO534" s="44"/>
      <c r="AP534" s="44"/>
      <c r="AQ534" s="44"/>
      <c r="AR534" s="44"/>
      <c r="AS534" s="44"/>
      <c r="AT534" s="40"/>
      <c r="AU534" s="18"/>
      <c r="AV534" s="34"/>
      <c r="AW534" s="18"/>
      <c r="AX534" s="123"/>
    </row>
    <row r="535" spans="1:50" ht="18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170" t="s">
        <v>1018</v>
      </c>
      <c r="AB535" s="170" t="s">
        <v>1001</v>
      </c>
      <c r="AC535" s="168"/>
      <c r="AD535" s="44"/>
      <c r="AE535" s="44"/>
      <c r="AF535" s="44"/>
      <c r="AG535" s="43"/>
      <c r="AH535" s="44"/>
      <c r="AI535" s="18"/>
      <c r="AJ535" s="18"/>
      <c r="AK535" s="44"/>
      <c r="AL535" s="44"/>
      <c r="AM535" s="44"/>
      <c r="AN535" s="44"/>
      <c r="AO535" s="44"/>
      <c r="AP535" s="44"/>
      <c r="AQ535" s="44"/>
      <c r="AR535" s="44"/>
      <c r="AS535" s="44"/>
      <c r="AT535" s="40"/>
      <c r="AU535" s="18"/>
      <c r="AV535" s="34"/>
      <c r="AW535" s="18"/>
      <c r="AX535" s="123"/>
    </row>
    <row r="536" spans="1:50" ht="18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170" t="s">
        <v>1021</v>
      </c>
      <c r="AB536" s="165" t="s">
        <v>1003</v>
      </c>
      <c r="AC536" s="168"/>
      <c r="AD536" s="44"/>
      <c r="AE536" s="44"/>
      <c r="AF536" s="44"/>
      <c r="AG536" s="43"/>
      <c r="AH536" s="44"/>
      <c r="AI536" s="18"/>
      <c r="AJ536" s="18"/>
      <c r="AK536" s="44"/>
      <c r="AL536" s="44"/>
      <c r="AM536" s="44"/>
      <c r="AN536" s="44"/>
      <c r="AO536" s="44"/>
      <c r="AP536" s="44"/>
      <c r="AQ536" s="44"/>
      <c r="AR536" s="44"/>
      <c r="AS536" s="44"/>
      <c r="AT536" s="40"/>
      <c r="AU536" s="18"/>
      <c r="AV536" s="34"/>
      <c r="AW536" s="18"/>
      <c r="AX536" s="123"/>
    </row>
    <row r="537" spans="1:50" ht="18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166" t="s">
        <v>1027</v>
      </c>
      <c r="AB537" s="167" t="s">
        <v>1028</v>
      </c>
      <c r="AC537" s="168"/>
      <c r="AD537" s="44">
        <v>0</v>
      </c>
      <c r="AE537" s="43">
        <v>20398035</v>
      </c>
      <c r="AF537" s="44">
        <v>0</v>
      </c>
      <c r="AG537" s="44">
        <v>0</v>
      </c>
      <c r="AH537" s="44">
        <v>0</v>
      </c>
      <c r="AI537" s="18">
        <f>AE537-AF537+AG537-AH537</f>
        <v>20398035</v>
      </c>
      <c r="AJ537" s="18">
        <f>AD537+AI537</f>
        <v>20398035</v>
      </c>
      <c r="AK537" s="44">
        <v>0</v>
      </c>
      <c r="AL537" s="44">
        <v>0</v>
      </c>
      <c r="AM537" s="43">
        <v>20398035</v>
      </c>
      <c r="AN537" s="44">
        <v>0</v>
      </c>
      <c r="AO537" s="43">
        <v>0</v>
      </c>
      <c r="AP537" s="43">
        <v>20398035</v>
      </c>
      <c r="AQ537" s="44">
        <v>0</v>
      </c>
      <c r="AR537" s="44">
        <v>0</v>
      </c>
      <c r="AS537" s="43">
        <v>20398035</v>
      </c>
      <c r="AT537" s="39">
        <f t="shared" ref="AT537" si="269">AQ537+AS537</f>
        <v>20398035</v>
      </c>
      <c r="AU537" s="34">
        <f>AJ537-AM537</f>
        <v>0</v>
      </c>
      <c r="AV537" s="34">
        <f>AM537-AP537</f>
        <v>0</v>
      </c>
      <c r="AW537" s="34">
        <f>AP537-AT537</f>
        <v>0</v>
      </c>
      <c r="AX537" s="123">
        <f>AP537/AJ537</f>
        <v>1</v>
      </c>
    </row>
    <row r="538" spans="1:50" s="50" customFormat="1" ht="18.75" customHeight="1" x14ac:dyDescent="0.2">
      <c r="A538" s="45"/>
      <c r="B538" s="45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6"/>
      <c r="AB538" s="47" t="s">
        <v>435</v>
      </c>
      <c r="AC538" s="48"/>
      <c r="AD538" s="48">
        <f t="shared" ref="AD538:AW538" si="270">SUM(AD259:AD537)</f>
        <v>301961738926</v>
      </c>
      <c r="AE538" s="48">
        <f t="shared" si="270"/>
        <v>18113148903.18</v>
      </c>
      <c r="AF538" s="49">
        <f t="shared" si="270"/>
        <v>0</v>
      </c>
      <c r="AG538" s="48">
        <f t="shared" si="270"/>
        <v>20960386920.16</v>
      </c>
      <c r="AH538" s="48">
        <f t="shared" si="270"/>
        <v>22112532446.160004</v>
      </c>
      <c r="AI538" s="48">
        <f t="shared" si="270"/>
        <v>16961003377.179996</v>
      </c>
      <c r="AJ538" s="48">
        <f t="shared" si="270"/>
        <v>318922742303.18005</v>
      </c>
      <c r="AK538" s="48">
        <f t="shared" si="270"/>
        <v>1317307558</v>
      </c>
      <c r="AL538" s="48">
        <f t="shared" si="270"/>
        <v>1861517711.5699999</v>
      </c>
      <c r="AM538" s="48">
        <f t="shared" si="270"/>
        <v>223360419351.76993</v>
      </c>
      <c r="AN538" s="49">
        <f t="shared" si="270"/>
        <v>5000000</v>
      </c>
      <c r="AO538" s="48">
        <f t="shared" si="270"/>
        <v>3731277520.73</v>
      </c>
      <c r="AP538" s="48">
        <f t="shared" si="270"/>
        <v>222969283182.43994</v>
      </c>
      <c r="AQ538" s="48">
        <f t="shared" si="270"/>
        <v>1133604723.1999998</v>
      </c>
      <c r="AR538" s="48">
        <f t="shared" si="270"/>
        <v>40734172481.859993</v>
      </c>
      <c r="AS538" s="48">
        <f t="shared" si="270"/>
        <v>184658899951.07001</v>
      </c>
      <c r="AT538" s="48">
        <f t="shared" si="270"/>
        <v>185792504674.26999</v>
      </c>
      <c r="AU538" s="48">
        <f t="shared" si="270"/>
        <v>95562322951.409988</v>
      </c>
      <c r="AV538" s="48">
        <f t="shared" si="270"/>
        <v>391136169.32999808</v>
      </c>
      <c r="AW538" s="48">
        <f t="shared" si="270"/>
        <v>37176778508.170006</v>
      </c>
      <c r="AX538" s="24">
        <f>AP538/AJ538</f>
        <v>0.69913259108526316</v>
      </c>
    </row>
    <row r="539" spans="1:50" ht="18.75" customHeight="1" x14ac:dyDescent="0.2">
      <c r="AA539" s="16"/>
      <c r="AB539" s="17"/>
      <c r="AC539" s="17"/>
      <c r="AD539" s="18"/>
      <c r="AE539" s="34"/>
      <c r="AF539" s="34"/>
      <c r="AG539" s="34"/>
      <c r="AH539" s="34"/>
      <c r="AI539" s="34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</row>
    <row r="540" spans="1:50" s="25" customFormat="1" ht="18.75" customHeight="1" x14ac:dyDescent="0.2"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66"/>
      <c r="AB540" s="21" t="s">
        <v>436</v>
      </c>
      <c r="AC540" s="67"/>
      <c r="AD540" s="63"/>
      <c r="AE540" s="72"/>
      <c r="AF540" s="72"/>
      <c r="AG540" s="72"/>
      <c r="AH540" s="72"/>
      <c r="AI540" s="72"/>
      <c r="AJ540" s="63"/>
      <c r="AK540" s="63"/>
      <c r="AL540" s="63"/>
      <c r="AM540" s="63"/>
      <c r="AN540" s="63"/>
      <c r="AO540" s="63"/>
      <c r="AP540" s="63"/>
      <c r="AQ540" s="63"/>
      <c r="AR540" s="63"/>
      <c r="AS540" s="63"/>
      <c r="AT540" s="63"/>
      <c r="AU540" s="63"/>
      <c r="AV540" s="63"/>
      <c r="AW540" s="63"/>
      <c r="AX540" s="63"/>
    </row>
    <row r="541" spans="1:50" ht="18.75" customHeight="1" x14ac:dyDescent="0.2">
      <c r="AA541" s="16"/>
      <c r="AB541" s="29" t="s">
        <v>38</v>
      </c>
      <c r="AC541" s="17"/>
      <c r="AD541" s="18"/>
      <c r="AE541" s="34"/>
      <c r="AF541" s="34"/>
      <c r="AG541" s="34"/>
      <c r="AH541" s="34"/>
      <c r="AI541" s="34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</row>
    <row r="542" spans="1:50" ht="18.75" customHeight="1" x14ac:dyDescent="0.2">
      <c r="AA542" s="16"/>
      <c r="AB542" s="29" t="s">
        <v>285</v>
      </c>
      <c r="AC542" s="17"/>
      <c r="AD542" s="18"/>
      <c r="AE542" s="34"/>
      <c r="AF542" s="34"/>
      <c r="AG542" s="34"/>
      <c r="AH542" s="34"/>
      <c r="AI542" s="34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</row>
    <row r="543" spans="1:50" ht="18.75" customHeight="1" x14ac:dyDescent="0.2">
      <c r="AA543" s="16"/>
      <c r="AB543" s="29" t="s">
        <v>286</v>
      </c>
      <c r="AC543" s="17"/>
      <c r="AD543" s="18"/>
      <c r="AE543" s="34"/>
      <c r="AF543" s="34"/>
      <c r="AG543" s="34"/>
      <c r="AH543" s="34"/>
      <c r="AI543" s="34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</row>
    <row r="544" spans="1:50" ht="18.75" customHeight="1" x14ac:dyDescent="0.2">
      <c r="AA544" s="16"/>
      <c r="AB544" s="29" t="s">
        <v>179</v>
      </c>
      <c r="AC544" s="17"/>
      <c r="AD544" s="18"/>
      <c r="AE544" s="34"/>
      <c r="AF544" s="34"/>
      <c r="AG544" s="34"/>
      <c r="AH544" s="34"/>
      <c r="AI544" s="34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</row>
    <row r="545" spans="1:50" ht="18.75" customHeight="1" x14ac:dyDescent="0.2">
      <c r="AA545" s="16"/>
      <c r="AB545" s="29" t="s">
        <v>181</v>
      </c>
      <c r="AC545" s="17"/>
      <c r="AD545" s="18"/>
      <c r="AE545" s="34"/>
      <c r="AF545" s="34"/>
      <c r="AG545" s="34"/>
      <c r="AH545" s="34"/>
      <c r="AI545" s="34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</row>
    <row r="546" spans="1:50" ht="18.75" customHeight="1" x14ac:dyDescent="0.2">
      <c r="AA546" s="73" t="s">
        <v>1348</v>
      </c>
      <c r="AB546" s="29" t="s">
        <v>1349</v>
      </c>
      <c r="AC546" s="17"/>
      <c r="AD546" s="18"/>
      <c r="AE546" s="34"/>
      <c r="AF546" s="34"/>
      <c r="AG546" s="34"/>
      <c r="AH546" s="34"/>
      <c r="AI546" s="34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</row>
    <row r="547" spans="1:50" ht="25.5" customHeight="1" x14ac:dyDescent="0.2">
      <c r="AA547" s="73" t="s">
        <v>288</v>
      </c>
      <c r="AB547" s="29" t="s">
        <v>1350</v>
      </c>
      <c r="AC547" s="17"/>
      <c r="AD547" s="18"/>
      <c r="AE547" s="34"/>
      <c r="AF547" s="34"/>
      <c r="AG547" s="34"/>
      <c r="AH547" s="34"/>
      <c r="AI547" s="34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</row>
    <row r="548" spans="1:50" ht="18.75" customHeight="1" x14ac:dyDescent="0.2">
      <c r="AA548" s="41" t="s">
        <v>1351</v>
      </c>
      <c r="AB548" s="38" t="s">
        <v>233</v>
      </c>
      <c r="AC548" s="17"/>
      <c r="AD548" s="18">
        <v>0</v>
      </c>
      <c r="AE548" s="34">
        <v>0</v>
      </c>
      <c r="AF548" s="34">
        <v>0</v>
      </c>
      <c r="AG548" s="18">
        <v>3000000000</v>
      </c>
      <c r="AH548" s="18">
        <v>1500000000</v>
      </c>
      <c r="AI548" s="43">
        <f t="shared" ref="AI548" si="271">AE548-AF548+AG548-AH548</f>
        <v>1500000000</v>
      </c>
      <c r="AJ548" s="142">
        <f t="shared" ref="AJ548" si="272">AD548+AI548</f>
        <v>1500000000</v>
      </c>
      <c r="AK548" s="34">
        <v>0</v>
      </c>
      <c r="AL548" s="34">
        <v>0</v>
      </c>
      <c r="AM548" s="34">
        <v>0</v>
      </c>
      <c r="AN548" s="34">
        <v>0</v>
      </c>
      <c r="AO548" s="34">
        <v>0</v>
      </c>
      <c r="AP548" s="34">
        <v>0</v>
      </c>
      <c r="AQ548" s="34">
        <v>0</v>
      </c>
      <c r="AR548" s="34">
        <v>0</v>
      </c>
      <c r="AS548" s="34">
        <v>0</v>
      </c>
      <c r="AT548" s="267">
        <f t="shared" ref="AT548" si="273">AQ548+AS548</f>
        <v>0</v>
      </c>
      <c r="AU548" s="147">
        <f>AJ548-AM548</f>
        <v>1500000000</v>
      </c>
      <c r="AV548" s="145">
        <f>AM548-AP548</f>
        <v>0</v>
      </c>
      <c r="AW548" s="145">
        <f>AP548-AT548</f>
        <v>0</v>
      </c>
      <c r="AX548" s="149">
        <f>AP548/AJ548</f>
        <v>0</v>
      </c>
    </row>
    <row r="549" spans="1:50" ht="25.5" x14ac:dyDescent="0.2">
      <c r="AA549" s="16"/>
      <c r="AB549" s="29" t="s">
        <v>437</v>
      </c>
      <c r="AC549" s="17"/>
      <c r="AD549" s="18"/>
      <c r="AE549" s="34"/>
      <c r="AF549" s="34"/>
      <c r="AG549" s="34"/>
      <c r="AH549" s="34"/>
      <c r="AI549" s="34"/>
      <c r="AJ549" s="18"/>
      <c r="AK549" s="34"/>
      <c r="AL549" s="145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</row>
    <row r="550" spans="1:50" s="150" customFormat="1" ht="18.75" customHeight="1" x14ac:dyDescent="0.2">
      <c r="A550" s="140" t="s">
        <v>55</v>
      </c>
      <c r="B550" s="140" t="s">
        <v>56</v>
      </c>
      <c r="C550" s="140"/>
      <c r="D550" s="140"/>
      <c r="E550" s="140"/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  <c r="Z550" s="140"/>
      <c r="AA550" s="134" t="s">
        <v>438</v>
      </c>
      <c r="AB550" s="69" t="s">
        <v>439</v>
      </c>
      <c r="AC550" s="142" t="s">
        <v>428</v>
      </c>
      <c r="AD550" s="142">
        <v>43946996</v>
      </c>
      <c r="AE550" s="143">
        <v>0</v>
      </c>
      <c r="AF550" s="143">
        <v>0</v>
      </c>
      <c r="AG550" s="143">
        <v>0</v>
      </c>
      <c r="AH550" s="143">
        <v>0</v>
      </c>
      <c r="AI550" s="43">
        <f t="shared" ref="AI550:AI551" si="274">AE550-AF550+AG550-AH550</f>
        <v>0</v>
      </c>
      <c r="AJ550" s="142">
        <f t="shared" ref="AJ550:AJ551" si="275">AD550+AI550</f>
        <v>43946996</v>
      </c>
      <c r="AK550" s="143">
        <v>0</v>
      </c>
      <c r="AL550" s="143">
        <v>0</v>
      </c>
      <c r="AM550" s="142">
        <v>11998508.08</v>
      </c>
      <c r="AN550" s="143">
        <v>0</v>
      </c>
      <c r="AO550" s="142">
        <f>AP550-SEPTIEMBRE!AP544</f>
        <v>0</v>
      </c>
      <c r="AP550" s="142">
        <v>9684443</v>
      </c>
      <c r="AQ550" s="143">
        <v>0</v>
      </c>
      <c r="AR550" s="143">
        <v>0</v>
      </c>
      <c r="AS550" s="142">
        <v>2006443</v>
      </c>
      <c r="AT550" s="267">
        <f t="shared" ref="AT550:AT551" si="276">AQ550+AS550</f>
        <v>2006443</v>
      </c>
      <c r="AU550" s="147">
        <f>AJ550-AM550</f>
        <v>31948487.920000002</v>
      </c>
      <c r="AV550" s="147">
        <f>AM550-AP550</f>
        <v>2314065.08</v>
      </c>
      <c r="AW550" s="147">
        <f>AP550-AT550</f>
        <v>7678000</v>
      </c>
      <c r="AX550" s="149">
        <f>AP550/AJ550</f>
        <v>0.22036643869810807</v>
      </c>
    </row>
    <row r="551" spans="1:50" s="150" customFormat="1" ht="18.75" customHeight="1" x14ac:dyDescent="0.2">
      <c r="A551" s="140"/>
      <c r="B551" s="140"/>
      <c r="C551" s="140"/>
      <c r="D551" s="140"/>
      <c r="E551" s="140"/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34" t="s">
        <v>1331</v>
      </c>
      <c r="AB551" s="69" t="s">
        <v>1074</v>
      </c>
      <c r="AC551" s="142"/>
      <c r="AD551" s="142">
        <v>0</v>
      </c>
      <c r="AE551" s="143">
        <v>0</v>
      </c>
      <c r="AF551" s="143">
        <v>0</v>
      </c>
      <c r="AG551" s="142">
        <v>62000000</v>
      </c>
      <c r="AH551" s="143">
        <v>0</v>
      </c>
      <c r="AI551" s="43">
        <f t="shared" si="274"/>
        <v>62000000</v>
      </c>
      <c r="AJ551" s="142">
        <f t="shared" si="275"/>
        <v>62000000</v>
      </c>
      <c r="AK551" s="143">
        <v>0</v>
      </c>
      <c r="AL551" s="143">
        <v>0</v>
      </c>
      <c r="AM551" s="142">
        <v>51447403.130000003</v>
      </c>
      <c r="AN551" s="143">
        <v>0</v>
      </c>
      <c r="AO551" s="143">
        <v>0</v>
      </c>
      <c r="AP551" s="143">
        <v>0</v>
      </c>
      <c r="AQ551" s="143">
        <v>0</v>
      </c>
      <c r="AR551" s="143">
        <v>0</v>
      </c>
      <c r="AS551" s="143">
        <v>0</v>
      </c>
      <c r="AT551" s="146">
        <f t="shared" si="276"/>
        <v>0</v>
      </c>
      <c r="AU551" s="147">
        <f>AJ551-AM551</f>
        <v>10552596.869999997</v>
      </c>
      <c r="AV551" s="147">
        <f>AM551-AP551</f>
        <v>51447403.130000003</v>
      </c>
      <c r="AW551" s="147">
        <f>AP551-AT551</f>
        <v>0</v>
      </c>
      <c r="AX551" s="149">
        <f>AP551/AJ551</f>
        <v>0</v>
      </c>
    </row>
    <row r="552" spans="1:50" ht="43.5" customHeight="1" x14ac:dyDescent="0.2">
      <c r="AA552" s="28" t="s">
        <v>288</v>
      </c>
      <c r="AB552" s="29" t="s">
        <v>440</v>
      </c>
      <c r="AC552" s="17"/>
      <c r="AD552" s="18"/>
      <c r="AE552" s="34"/>
      <c r="AF552" s="34"/>
      <c r="AG552" s="34"/>
      <c r="AH552" s="34"/>
      <c r="AI552" s="34"/>
      <c r="AJ552" s="18"/>
      <c r="AK552" s="34"/>
      <c r="AL552" s="145"/>
      <c r="AM552" s="34"/>
      <c r="AN552" s="34"/>
      <c r="AO552" s="34"/>
      <c r="AP552" s="34"/>
      <c r="AQ552" s="34"/>
      <c r="AR552" s="34"/>
      <c r="AS552" s="34"/>
      <c r="AT552" s="40"/>
      <c r="AU552" s="18"/>
      <c r="AV552" s="34"/>
      <c r="AW552" s="18"/>
      <c r="AX552" s="18"/>
    </row>
    <row r="553" spans="1:50" ht="18.75" customHeight="1" x14ac:dyDescent="0.2">
      <c r="A553" s="4" t="s">
        <v>55</v>
      </c>
      <c r="B553" s="4" t="s">
        <v>56</v>
      </c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1" t="s">
        <v>441</v>
      </c>
      <c r="AB553" s="42" t="s">
        <v>439</v>
      </c>
      <c r="AC553" s="43" t="s">
        <v>428</v>
      </c>
      <c r="AD553" s="43">
        <v>3500000</v>
      </c>
      <c r="AE553" s="44">
        <v>0</v>
      </c>
      <c r="AF553" s="44">
        <v>0</v>
      </c>
      <c r="AG553" s="44">
        <v>0</v>
      </c>
      <c r="AH553" s="44">
        <v>0</v>
      </c>
      <c r="AI553" s="44">
        <v>0</v>
      </c>
      <c r="AJ553" s="43">
        <v>3500000</v>
      </c>
      <c r="AK553" s="44">
        <v>0</v>
      </c>
      <c r="AL553" s="143">
        <v>0</v>
      </c>
      <c r="AM553" s="44">
        <v>0</v>
      </c>
      <c r="AN553" s="44">
        <v>0</v>
      </c>
      <c r="AO553" s="44">
        <v>0</v>
      </c>
      <c r="AP553" s="44">
        <v>0</v>
      </c>
      <c r="AQ553" s="44">
        <v>0</v>
      </c>
      <c r="AR553" s="44">
        <v>0</v>
      </c>
      <c r="AS553" s="44">
        <v>0</v>
      </c>
      <c r="AT553" s="40">
        <f>AQ553+AS553</f>
        <v>0</v>
      </c>
      <c r="AU553" s="18">
        <f>AJ553-AM553</f>
        <v>3500000</v>
      </c>
      <c r="AV553" s="34">
        <f>AM553-AP553</f>
        <v>0</v>
      </c>
      <c r="AW553" s="34">
        <f>AP553-AT553</f>
        <v>0</v>
      </c>
      <c r="AX553" s="123">
        <f>AP553/AJ553</f>
        <v>0</v>
      </c>
    </row>
    <row r="554" spans="1:50" ht="18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73" t="s">
        <v>288</v>
      </c>
      <c r="AB554" s="74" t="s">
        <v>291</v>
      </c>
      <c r="AC554" s="43"/>
      <c r="AD554" s="43"/>
      <c r="AE554" s="44"/>
      <c r="AF554" s="44"/>
      <c r="AG554" s="44"/>
      <c r="AH554" s="44"/>
      <c r="AI554" s="44"/>
      <c r="AJ554" s="43"/>
      <c r="AK554" s="44"/>
      <c r="AL554" s="143"/>
      <c r="AM554" s="43"/>
      <c r="AN554" s="43"/>
      <c r="AO554" s="43"/>
      <c r="AP554" s="43"/>
      <c r="AQ554" s="44"/>
      <c r="AR554" s="44"/>
      <c r="AS554" s="44"/>
      <c r="AT554" s="40"/>
      <c r="AU554" s="43"/>
      <c r="AV554" s="44"/>
      <c r="AW554" s="44"/>
      <c r="AX554" s="43"/>
    </row>
    <row r="555" spans="1:50" ht="18.75" customHeight="1" x14ac:dyDescent="0.2">
      <c r="A555" s="4" t="s">
        <v>55</v>
      </c>
      <c r="B555" s="4" t="s">
        <v>56</v>
      </c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1" t="s">
        <v>442</v>
      </c>
      <c r="AB555" s="42" t="s">
        <v>439</v>
      </c>
      <c r="AC555" s="43" t="s">
        <v>428</v>
      </c>
      <c r="AD555" s="43">
        <v>105900000</v>
      </c>
      <c r="AE555" s="44">
        <v>0</v>
      </c>
      <c r="AF555" s="44">
        <v>0</v>
      </c>
      <c r="AG555" s="44">
        <v>0</v>
      </c>
      <c r="AH555" s="44">
        <v>0</v>
      </c>
      <c r="AI555" s="44">
        <v>0</v>
      </c>
      <c r="AJ555" s="43">
        <v>105900000</v>
      </c>
      <c r="AK555" s="44">
        <v>0</v>
      </c>
      <c r="AL555" s="143">
        <v>0</v>
      </c>
      <c r="AM555" s="142">
        <v>96844010.140000001</v>
      </c>
      <c r="AN555" s="43">
        <v>0</v>
      </c>
      <c r="AO555" s="44">
        <v>0</v>
      </c>
      <c r="AP555" s="43">
        <v>150434</v>
      </c>
      <c r="AQ555" s="44">
        <v>0</v>
      </c>
      <c r="AR555" s="44">
        <v>0</v>
      </c>
      <c r="AS555" s="43">
        <v>150434</v>
      </c>
      <c r="AT555" s="40">
        <f>AQ555+AS555</f>
        <v>150434</v>
      </c>
      <c r="AU555" s="18">
        <f>AJ555-AM555</f>
        <v>9055989.8599999994</v>
      </c>
      <c r="AV555" s="18">
        <f>AM555-AP555</f>
        <v>96693576.140000001</v>
      </c>
      <c r="AW555" s="34">
        <f>AP555-AT555</f>
        <v>0</v>
      </c>
      <c r="AX555" s="123">
        <f>AP555/AJ555</f>
        <v>1.4205288007554297E-3</v>
      </c>
    </row>
    <row r="556" spans="1:50" ht="18.75" customHeight="1" x14ac:dyDescent="0.2">
      <c r="AA556" s="16"/>
      <c r="AB556" s="29" t="s">
        <v>189</v>
      </c>
      <c r="AC556" s="17"/>
      <c r="AD556" s="18"/>
      <c r="AE556" s="34"/>
      <c r="AF556" s="34"/>
      <c r="AG556" s="34"/>
      <c r="AH556" s="34"/>
      <c r="AI556" s="34"/>
      <c r="AJ556" s="18"/>
      <c r="AK556" s="34"/>
      <c r="AL556" s="145"/>
      <c r="AM556" s="18"/>
      <c r="AN556" s="18"/>
      <c r="AO556" s="18"/>
      <c r="AP556" s="18"/>
      <c r="AQ556" s="18"/>
      <c r="AR556" s="18"/>
      <c r="AS556" s="18"/>
      <c r="AT556" s="39"/>
      <c r="AU556" s="18"/>
      <c r="AV556" s="34"/>
      <c r="AW556" s="18"/>
      <c r="AX556" s="18"/>
    </row>
    <row r="557" spans="1:50" ht="18.75" customHeight="1" x14ac:dyDescent="0.2">
      <c r="AA557" s="16"/>
      <c r="AB557" s="29" t="s">
        <v>191</v>
      </c>
      <c r="AC557" s="17"/>
      <c r="AD557" s="18"/>
      <c r="AE557" s="34"/>
      <c r="AF557" s="34"/>
      <c r="AG557" s="34"/>
      <c r="AH557" s="34"/>
      <c r="AI557" s="34"/>
      <c r="AJ557" s="18"/>
      <c r="AK557" s="34"/>
      <c r="AL557" s="34"/>
      <c r="AM557" s="18"/>
      <c r="AN557" s="18"/>
      <c r="AO557" s="18"/>
      <c r="AP557" s="18"/>
      <c r="AQ557" s="18"/>
      <c r="AR557" s="18"/>
      <c r="AS557" s="18"/>
      <c r="AT557" s="39"/>
      <c r="AU557" s="18"/>
      <c r="AV557" s="34"/>
      <c r="AW557" s="18"/>
      <c r="AX557" s="18"/>
    </row>
    <row r="558" spans="1:50" ht="18.75" customHeight="1" x14ac:dyDescent="0.2">
      <c r="AA558" s="28" t="s">
        <v>288</v>
      </c>
      <c r="AB558" s="29" t="s">
        <v>443</v>
      </c>
      <c r="AC558" s="17"/>
      <c r="AD558" s="18"/>
      <c r="AE558" s="34"/>
      <c r="AF558" s="34"/>
      <c r="AG558" s="34"/>
      <c r="AH558" s="34"/>
      <c r="AI558" s="34"/>
      <c r="AJ558" s="147"/>
      <c r="AK558" s="34"/>
      <c r="AL558" s="34"/>
      <c r="AM558" s="18"/>
      <c r="AN558" s="18"/>
      <c r="AO558" s="18"/>
      <c r="AP558" s="18"/>
      <c r="AQ558" s="18"/>
      <c r="AR558" s="18"/>
      <c r="AS558" s="18"/>
      <c r="AT558" s="39"/>
      <c r="AU558" s="18"/>
      <c r="AV558" s="34"/>
      <c r="AW558" s="18"/>
      <c r="AX558" s="18"/>
    </row>
    <row r="559" spans="1:50" ht="18.75" customHeight="1" x14ac:dyDescent="0.2">
      <c r="A559" s="4" t="s">
        <v>55</v>
      </c>
      <c r="B559" s="4" t="s">
        <v>56</v>
      </c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1" t="s">
        <v>444</v>
      </c>
      <c r="AB559" s="42" t="s">
        <v>233</v>
      </c>
      <c r="AC559" s="43" t="s">
        <v>58</v>
      </c>
      <c r="AD559" s="43">
        <v>530557116</v>
      </c>
      <c r="AE559" s="44">
        <v>0</v>
      </c>
      <c r="AF559" s="44">
        <v>0</v>
      </c>
      <c r="AG559" s="44">
        <v>0</v>
      </c>
      <c r="AH559" s="43">
        <v>530557116</v>
      </c>
      <c r="AI559" s="43">
        <f>AE559-AF559+AG559-AH559</f>
        <v>-530557116</v>
      </c>
      <c r="AJ559" s="143">
        <f>AD559+AI559</f>
        <v>0</v>
      </c>
      <c r="AK559" s="44">
        <v>0</v>
      </c>
      <c r="AL559" s="44">
        <v>0</v>
      </c>
      <c r="AM559" s="44">
        <v>0</v>
      </c>
      <c r="AN559" s="44">
        <v>0</v>
      </c>
      <c r="AO559" s="44">
        <v>0</v>
      </c>
      <c r="AP559" s="44">
        <v>0</v>
      </c>
      <c r="AQ559" s="44">
        <v>0</v>
      </c>
      <c r="AR559" s="44">
        <v>0</v>
      </c>
      <c r="AS559" s="44">
        <v>0</v>
      </c>
      <c r="AT559" s="40">
        <f>AQ559+AS559</f>
        <v>0</v>
      </c>
      <c r="AU559" s="18">
        <f>AJ559-AM559</f>
        <v>0</v>
      </c>
      <c r="AV559" s="34">
        <f>AM559-AP559</f>
        <v>0</v>
      </c>
      <c r="AW559" s="34">
        <f>AP559-AT559</f>
        <v>0</v>
      </c>
      <c r="AX559" s="123">
        <v>0</v>
      </c>
    </row>
    <row r="560" spans="1:50" ht="18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1" t="s">
        <v>1233</v>
      </c>
      <c r="AB560" s="42" t="s">
        <v>453</v>
      </c>
      <c r="AC560" s="43"/>
      <c r="AD560" s="44">
        <v>0</v>
      </c>
      <c r="AE560" s="43">
        <v>11666787329</v>
      </c>
      <c r="AF560" s="44">
        <v>0</v>
      </c>
      <c r="AG560" s="44">
        <v>0</v>
      </c>
      <c r="AH560" s="44">
        <v>0</v>
      </c>
      <c r="AI560" s="43">
        <f>AE560-AF560+AG560-AH560</f>
        <v>11666787329</v>
      </c>
      <c r="AJ560" s="142">
        <f>AD560+AI560</f>
        <v>11666787329</v>
      </c>
      <c r="AK560" s="44">
        <v>0</v>
      </c>
      <c r="AL560" s="44">
        <v>0</v>
      </c>
      <c r="AM560" s="44">
        <v>0</v>
      </c>
      <c r="AN560" s="44">
        <v>0</v>
      </c>
      <c r="AO560" s="44">
        <v>0</v>
      </c>
      <c r="AP560" s="44">
        <v>0</v>
      </c>
      <c r="AQ560" s="44">
        <v>0</v>
      </c>
      <c r="AR560" s="44">
        <v>0</v>
      </c>
      <c r="AS560" s="44">
        <v>0</v>
      </c>
      <c r="AT560" s="40">
        <f>AQ560+AS560</f>
        <v>0</v>
      </c>
      <c r="AU560" s="18">
        <f>AJ560-AM560</f>
        <v>11666787329</v>
      </c>
      <c r="AV560" s="34">
        <f>AM560-AP560</f>
        <v>0</v>
      </c>
      <c r="AW560" s="34">
        <f>AP560-AT560</f>
        <v>0</v>
      </c>
      <c r="AX560" s="123">
        <f>AP560/AJ560</f>
        <v>0</v>
      </c>
    </row>
    <row r="561" spans="1:50" ht="28.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1" t="s">
        <v>1317</v>
      </c>
      <c r="AB561" s="42" t="s">
        <v>1304</v>
      </c>
      <c r="AC561" s="43"/>
      <c r="AD561" s="44">
        <v>0</v>
      </c>
      <c r="AE561" s="43">
        <v>0</v>
      </c>
      <c r="AF561" s="44">
        <v>0</v>
      </c>
      <c r="AG561" s="43">
        <v>100000000</v>
      </c>
      <c r="AH561" s="44">
        <v>0</v>
      </c>
      <c r="AI561" s="43">
        <f>AE561-AF561+AG561-AH561</f>
        <v>100000000</v>
      </c>
      <c r="AJ561" s="142">
        <f>AD561+AI561</f>
        <v>100000000</v>
      </c>
      <c r="AK561" s="44">
        <v>0</v>
      </c>
      <c r="AL561" s="44">
        <v>0</v>
      </c>
      <c r="AM561" s="43">
        <v>80312448.849999994</v>
      </c>
      <c r="AN561" s="44">
        <v>0</v>
      </c>
      <c r="AO561" s="44">
        <v>0</v>
      </c>
      <c r="AP561" s="44">
        <v>0</v>
      </c>
      <c r="AQ561" s="44">
        <v>0</v>
      </c>
      <c r="AR561" s="44">
        <v>0</v>
      </c>
      <c r="AS561" s="44">
        <v>0</v>
      </c>
      <c r="AT561" s="40">
        <f>AQ561+AS561</f>
        <v>0</v>
      </c>
      <c r="AU561" s="18">
        <f>AJ561-AM561</f>
        <v>19687551.150000006</v>
      </c>
      <c r="AV561" s="18">
        <f>AM561-AP561</f>
        <v>80312448.849999994</v>
      </c>
      <c r="AW561" s="34">
        <f>AP561-AT561</f>
        <v>0</v>
      </c>
      <c r="AX561" s="123">
        <f>AP561/AJ561</f>
        <v>0</v>
      </c>
    </row>
    <row r="562" spans="1:50" ht="18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73" t="s">
        <v>288</v>
      </c>
      <c r="AB562" s="74" t="s">
        <v>362</v>
      </c>
      <c r="AC562" s="43"/>
      <c r="AD562" s="44"/>
      <c r="AE562" s="44"/>
      <c r="AF562" s="44"/>
      <c r="AG562" s="44"/>
      <c r="AH562" s="44"/>
      <c r="AI562" s="44"/>
      <c r="AJ562" s="142"/>
      <c r="AK562" s="44"/>
      <c r="AL562" s="44"/>
      <c r="AM562" s="44"/>
      <c r="AN562" s="44"/>
      <c r="AO562" s="44"/>
      <c r="AP562" s="44"/>
      <c r="AQ562" s="44"/>
      <c r="AR562" s="44"/>
      <c r="AS562" s="44"/>
      <c r="AT562" s="40"/>
      <c r="AU562" s="18"/>
      <c r="AV562" s="34"/>
      <c r="AW562" s="34"/>
      <c r="AX562" s="123"/>
    </row>
    <row r="563" spans="1:50" ht="18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1" t="s">
        <v>363</v>
      </c>
      <c r="AB563" s="42" t="s">
        <v>233</v>
      </c>
      <c r="AC563" s="43"/>
      <c r="AD563" s="44">
        <v>0</v>
      </c>
      <c r="AE563" s="44">
        <v>0</v>
      </c>
      <c r="AF563" s="44">
        <v>0</v>
      </c>
      <c r="AG563" s="43">
        <v>2658700461.6999998</v>
      </c>
      <c r="AH563" s="44">
        <v>0</v>
      </c>
      <c r="AI563" s="43">
        <f>AE563-AF563+AG563-AH563</f>
        <v>2658700461.6999998</v>
      </c>
      <c r="AJ563" s="142">
        <f>AD563+AI563</f>
        <v>2658700461.6999998</v>
      </c>
      <c r="AK563" s="44">
        <v>0</v>
      </c>
      <c r="AL563" s="44">
        <f>AM563-AGOSTO!AM545</f>
        <v>0</v>
      </c>
      <c r="AM563" s="43">
        <v>2658700461.6999998</v>
      </c>
      <c r="AN563" s="44">
        <v>0</v>
      </c>
      <c r="AO563" s="143">
        <f>AP563-SEPTIEMBRE!AP558</f>
        <v>0</v>
      </c>
      <c r="AP563" s="43">
        <v>2658700461.6999998</v>
      </c>
      <c r="AQ563" s="44">
        <v>0</v>
      </c>
      <c r="AR563" s="43">
        <v>0</v>
      </c>
      <c r="AS563" s="43">
        <v>2658700461.6999998</v>
      </c>
      <c r="AT563" s="39">
        <f>AQ563+AS563</f>
        <v>2658700461.6999998</v>
      </c>
      <c r="AU563" s="34">
        <f>AJ563-AM563</f>
        <v>0</v>
      </c>
      <c r="AV563" s="34">
        <f>AM563-AP563</f>
        <v>0</v>
      </c>
      <c r="AW563" s="34">
        <f>AP563-AT563</f>
        <v>0</v>
      </c>
      <c r="AX563" s="123">
        <f>AP563/AJ563</f>
        <v>1</v>
      </c>
    </row>
    <row r="564" spans="1:50" ht="18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1" t="s">
        <v>975</v>
      </c>
      <c r="AB564" s="42" t="s">
        <v>453</v>
      </c>
      <c r="AC564" s="43"/>
      <c r="AD564" s="44">
        <v>0</v>
      </c>
      <c r="AE564" s="44">
        <v>0</v>
      </c>
      <c r="AF564" s="44">
        <v>0</v>
      </c>
      <c r="AG564" s="43">
        <v>11046667966</v>
      </c>
      <c r="AH564" s="44"/>
      <c r="AI564" s="43">
        <f>AE564-AF564+AG564-AH564</f>
        <v>11046667966</v>
      </c>
      <c r="AJ564" s="142">
        <f>AD564+AI564</f>
        <v>11046667966</v>
      </c>
      <c r="AK564" s="44">
        <v>0</v>
      </c>
      <c r="AL564" s="44">
        <f>AM564-AGOSTO!AM544</f>
        <v>0</v>
      </c>
      <c r="AM564" s="43">
        <v>10699323813</v>
      </c>
      <c r="AN564" s="44">
        <v>0</v>
      </c>
      <c r="AO564" s="44">
        <f>AP564-SEPTIEMBRE!AP557</f>
        <v>0</v>
      </c>
      <c r="AP564" s="43">
        <v>10699323813</v>
      </c>
      <c r="AQ564" s="44">
        <v>0</v>
      </c>
      <c r="AR564" s="43">
        <v>222689133.47999999</v>
      </c>
      <c r="AS564" s="43">
        <v>222689133.47999999</v>
      </c>
      <c r="AT564" s="39">
        <f>AQ564+AS564</f>
        <v>222689133.47999999</v>
      </c>
      <c r="AU564" s="18">
        <f>AJ564-AM564</f>
        <v>347344153</v>
      </c>
      <c r="AV564" s="34">
        <f>AM564-AP564</f>
        <v>0</v>
      </c>
      <c r="AW564" s="18">
        <f>AP564-AT564</f>
        <v>10476634679.52</v>
      </c>
      <c r="AX564" s="123">
        <f>AP564/AJ564</f>
        <v>0.96855665852643769</v>
      </c>
    </row>
    <row r="565" spans="1:50" ht="25.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1" t="s">
        <v>1301</v>
      </c>
      <c r="AB565" s="42" t="s">
        <v>1302</v>
      </c>
      <c r="AC565" s="43"/>
      <c r="AD565" s="44">
        <v>0</v>
      </c>
      <c r="AE565" s="44">
        <v>0</v>
      </c>
      <c r="AF565" s="44">
        <v>0</v>
      </c>
      <c r="AG565" s="43">
        <v>478121018</v>
      </c>
      <c r="AH565" s="44"/>
      <c r="AI565" s="43">
        <f t="shared" ref="AI565" si="277">AE565-AF565+AG565-AH565</f>
        <v>478121018</v>
      </c>
      <c r="AJ565" s="142">
        <f t="shared" ref="AJ565" si="278">AD565+AI565</f>
        <v>478121018</v>
      </c>
      <c r="AK565" s="44">
        <v>0</v>
      </c>
      <c r="AL565" s="44">
        <f>AM565-AGOSTO!AM546</f>
        <v>0</v>
      </c>
      <c r="AM565" s="43">
        <v>463121018</v>
      </c>
      <c r="AN565" s="44">
        <v>0</v>
      </c>
      <c r="AO565" s="143">
        <f>AP565-SEPTIEMBRE!AP559</f>
        <v>0</v>
      </c>
      <c r="AP565" s="43">
        <v>463121018</v>
      </c>
      <c r="AQ565" s="44">
        <v>0</v>
      </c>
      <c r="AR565" s="43">
        <v>0</v>
      </c>
      <c r="AS565" s="43">
        <v>389732468</v>
      </c>
      <c r="AT565" s="39">
        <f t="shared" ref="AT565" si="279">AQ565+AS565</f>
        <v>389732468</v>
      </c>
      <c r="AU565" s="18">
        <f t="shared" ref="AU565" si="280">AJ565-AM565</f>
        <v>15000000</v>
      </c>
      <c r="AV565" s="34">
        <f t="shared" ref="AV565" si="281">AM565-AP565</f>
        <v>0</v>
      </c>
      <c r="AW565" s="18">
        <f t="shared" ref="AW565" si="282">AP565-AT565</f>
        <v>73388550</v>
      </c>
      <c r="AX565" s="123">
        <f t="shared" ref="AX565" si="283">AP565/AJ565</f>
        <v>0.96862718969614514</v>
      </c>
    </row>
    <row r="566" spans="1:50" ht="18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73" t="s">
        <v>288</v>
      </c>
      <c r="AB566" s="74" t="s">
        <v>296</v>
      </c>
      <c r="AC566" s="43"/>
      <c r="AD566" s="44"/>
      <c r="AE566" s="44"/>
      <c r="AF566" s="44"/>
      <c r="AG566" s="44"/>
      <c r="AH566" s="44"/>
      <c r="AI566" s="44"/>
      <c r="AJ566" s="142"/>
      <c r="AK566" s="44"/>
      <c r="AL566" s="44"/>
      <c r="AM566" s="44"/>
      <c r="AN566" s="44"/>
      <c r="AO566" s="143"/>
      <c r="AP566" s="44"/>
      <c r="AQ566" s="44"/>
      <c r="AR566" s="44"/>
      <c r="AS566" s="44"/>
      <c r="AT566" s="40"/>
      <c r="AU566" s="18"/>
      <c r="AV566" s="34"/>
      <c r="AW566" s="34"/>
      <c r="AX566" s="123"/>
    </row>
    <row r="567" spans="1:50" ht="18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1" t="s">
        <v>973</v>
      </c>
      <c r="AB567" s="42" t="s">
        <v>453</v>
      </c>
      <c r="AC567" s="43"/>
      <c r="AD567" s="44">
        <v>0</v>
      </c>
      <c r="AE567" s="43">
        <f>11046667966+38953332034</f>
        <v>50000000000</v>
      </c>
      <c r="AF567" s="44">
        <v>0</v>
      </c>
      <c r="AG567" s="44">
        <v>0</v>
      </c>
      <c r="AH567" s="43">
        <v>11046667966</v>
      </c>
      <c r="AI567" s="43">
        <f>AE567-AF567+AG567-AH567</f>
        <v>38953332034</v>
      </c>
      <c r="AJ567" s="142">
        <f>AD567+AI567</f>
        <v>38953332034</v>
      </c>
      <c r="AK567" s="44">
        <v>0</v>
      </c>
      <c r="AL567" s="44">
        <v>0</v>
      </c>
      <c r="AM567" s="44">
        <v>0</v>
      </c>
      <c r="AN567" s="44">
        <v>0</v>
      </c>
      <c r="AO567" s="143">
        <v>0</v>
      </c>
      <c r="AP567" s="44">
        <v>0</v>
      </c>
      <c r="AQ567" s="44">
        <v>0</v>
      </c>
      <c r="AR567" s="44">
        <v>0</v>
      </c>
      <c r="AS567" s="44">
        <v>0</v>
      </c>
      <c r="AT567" s="40">
        <f>AQ567+AS567</f>
        <v>0</v>
      </c>
      <c r="AU567" s="18">
        <f>AJ567-AM567</f>
        <v>38953332034</v>
      </c>
      <c r="AV567" s="34">
        <f>AM567-AP567</f>
        <v>0</v>
      </c>
      <c r="AW567" s="34">
        <f>AP567-AT567</f>
        <v>0</v>
      </c>
      <c r="AX567" s="123">
        <v>0</v>
      </c>
    </row>
    <row r="568" spans="1:50" ht="18.75" customHeight="1" x14ac:dyDescent="0.2">
      <c r="AA568" s="28" t="s">
        <v>288</v>
      </c>
      <c r="AB568" s="29" t="s">
        <v>445</v>
      </c>
      <c r="AC568" s="17"/>
      <c r="AD568" s="18"/>
      <c r="AE568" s="18"/>
      <c r="AF568" s="18"/>
      <c r="AG568" s="18"/>
      <c r="AH568" s="18"/>
      <c r="AI568" s="18"/>
      <c r="AJ568" s="147"/>
      <c r="AK568" s="34"/>
      <c r="AL568" s="34"/>
      <c r="AM568" s="34"/>
      <c r="AN568" s="34"/>
      <c r="AO568" s="34"/>
      <c r="AP568" s="34"/>
      <c r="AQ568" s="34"/>
      <c r="AR568" s="34"/>
      <c r="AS568" s="34"/>
      <c r="AT568" s="40"/>
      <c r="AU568" s="18"/>
      <c r="AV568" s="34"/>
      <c r="AW568" s="18"/>
      <c r="AX568" s="18"/>
    </row>
    <row r="569" spans="1:50" ht="18.75" customHeight="1" x14ac:dyDescent="0.2">
      <c r="A569" s="4" t="s">
        <v>55</v>
      </c>
      <c r="B569" s="4" t="s">
        <v>56</v>
      </c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1" t="s">
        <v>446</v>
      </c>
      <c r="AB569" s="42" t="s">
        <v>233</v>
      </c>
      <c r="AC569" s="43" t="s">
        <v>58</v>
      </c>
      <c r="AD569" s="43">
        <v>1315360000</v>
      </c>
      <c r="AE569" s="44">
        <v>0</v>
      </c>
      <c r="AF569" s="44">
        <v>0</v>
      </c>
      <c r="AG569" s="43">
        <f>24165016+458969140</f>
        <v>483134156</v>
      </c>
      <c r="AH569" s="43">
        <v>200000000</v>
      </c>
      <c r="AI569" s="43">
        <f>AE569-AF569+AG569-AH569</f>
        <v>283134156</v>
      </c>
      <c r="AJ569" s="142">
        <f>AD569+AI569</f>
        <v>1598494156</v>
      </c>
      <c r="AK569" s="44">
        <v>0</v>
      </c>
      <c r="AL569" s="43">
        <v>-102104715</v>
      </c>
      <c r="AM569" s="114">
        <v>1491103998</v>
      </c>
      <c r="AN569" s="44">
        <v>0</v>
      </c>
      <c r="AO569" s="114">
        <f>AP569-SEPTIEMBRE!AP563</f>
        <v>1466938982</v>
      </c>
      <c r="AP569" s="114">
        <v>1491103998</v>
      </c>
      <c r="AQ569" s="44">
        <v>0</v>
      </c>
      <c r="AR569" s="114"/>
      <c r="AS569" s="114">
        <v>24165016</v>
      </c>
      <c r="AT569" s="111">
        <f>AQ569+AS569</f>
        <v>24165016</v>
      </c>
      <c r="AU569" s="18">
        <f>AJ569-AM569</f>
        <v>107390158</v>
      </c>
      <c r="AV569" s="18">
        <f>AM569-AP569</f>
        <v>0</v>
      </c>
      <c r="AW569" s="18">
        <f>AP569-AT569</f>
        <v>1466938982</v>
      </c>
      <c r="AX569" s="123">
        <f>AP569/AJ569</f>
        <v>0.93281792266996566</v>
      </c>
    </row>
    <row r="570" spans="1:50" ht="18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73" t="s">
        <v>288</v>
      </c>
      <c r="AB570" s="74" t="s">
        <v>1352</v>
      </c>
      <c r="AC570" s="43"/>
      <c r="AD570" s="43"/>
      <c r="AE570" s="44"/>
      <c r="AF570" s="44"/>
      <c r="AG570" s="43"/>
      <c r="AH570" s="43"/>
      <c r="AI570" s="43"/>
      <c r="AJ570" s="142"/>
      <c r="AK570" s="44"/>
      <c r="AL570" s="115"/>
      <c r="AM570" s="114"/>
      <c r="AN570" s="44"/>
      <c r="AO570" s="114"/>
      <c r="AP570" s="114"/>
      <c r="AQ570" s="44"/>
      <c r="AR570" s="114"/>
      <c r="AS570" s="114"/>
      <c r="AT570" s="111"/>
      <c r="AU570" s="18"/>
      <c r="AV570" s="18"/>
      <c r="AW570" s="34"/>
      <c r="AX570" s="123"/>
    </row>
    <row r="571" spans="1:50" ht="18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1" t="s">
        <v>1353</v>
      </c>
      <c r="AB571" s="42" t="s">
        <v>233</v>
      </c>
      <c r="AC571" s="43"/>
      <c r="AD571" s="44">
        <v>0</v>
      </c>
      <c r="AE571" s="44">
        <v>0</v>
      </c>
      <c r="AF571" s="44">
        <v>0</v>
      </c>
      <c r="AG571" s="43">
        <v>1100000000</v>
      </c>
      <c r="AH571" s="43">
        <f>915000000+185000000</f>
        <v>1100000000</v>
      </c>
      <c r="AI571" s="43">
        <f>AE571-AF571+AG571-AH571</f>
        <v>0</v>
      </c>
      <c r="AJ571" s="142">
        <f>AD571+AI571</f>
        <v>0</v>
      </c>
      <c r="AK571" s="44">
        <v>0</v>
      </c>
      <c r="AL571" s="115">
        <v>0</v>
      </c>
      <c r="AM571" s="115">
        <v>0</v>
      </c>
      <c r="AN571" s="44">
        <v>0</v>
      </c>
      <c r="AO571" s="115">
        <v>0</v>
      </c>
      <c r="AP571" s="115">
        <v>0</v>
      </c>
      <c r="AQ571" s="44">
        <v>0</v>
      </c>
      <c r="AR571" s="115">
        <v>0</v>
      </c>
      <c r="AS571" s="115">
        <v>0</v>
      </c>
      <c r="AT571" s="135">
        <f>AQ571+AS571</f>
        <v>0</v>
      </c>
      <c r="AU571" s="18">
        <f>AJ571-AM571</f>
        <v>0</v>
      </c>
      <c r="AV571" s="34">
        <f>AM571-AP571</f>
        <v>0</v>
      </c>
      <c r="AW571" s="34">
        <f>AP571-AT571</f>
        <v>0</v>
      </c>
      <c r="AX571" s="123">
        <v>0</v>
      </c>
    </row>
    <row r="572" spans="1:50" ht="18.75" customHeight="1" x14ac:dyDescent="0.2">
      <c r="AA572" s="28" t="s">
        <v>288</v>
      </c>
      <c r="AB572" s="29" t="s">
        <v>447</v>
      </c>
      <c r="AC572" s="17"/>
      <c r="AD572" s="18"/>
      <c r="AE572" s="34"/>
      <c r="AF572" s="34"/>
      <c r="AG572" s="18"/>
      <c r="AH572" s="76"/>
      <c r="AI572" s="18"/>
      <c r="AJ572" s="18"/>
      <c r="AK572" s="34"/>
      <c r="AL572" s="34"/>
      <c r="AM572" s="34"/>
      <c r="AN572" s="34"/>
      <c r="AO572" s="34"/>
      <c r="AP572" s="34"/>
      <c r="AQ572" s="34"/>
      <c r="AR572" s="34"/>
      <c r="AS572" s="34"/>
      <c r="AT572" s="40"/>
      <c r="AU572" s="18"/>
      <c r="AV572" s="34"/>
      <c r="AW572" s="34"/>
      <c r="AX572" s="18"/>
    </row>
    <row r="573" spans="1:50" ht="18.75" customHeight="1" x14ac:dyDescent="0.2">
      <c r="A573" s="4" t="s">
        <v>55</v>
      </c>
      <c r="B573" s="4" t="s">
        <v>56</v>
      </c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1" t="s">
        <v>448</v>
      </c>
      <c r="AB573" s="42" t="s">
        <v>449</v>
      </c>
      <c r="AC573" s="43" t="s">
        <v>428</v>
      </c>
      <c r="AD573" s="43">
        <v>1568183063</v>
      </c>
      <c r="AE573" s="44">
        <v>0</v>
      </c>
      <c r="AF573" s="44">
        <v>0</v>
      </c>
      <c r="AG573" s="75">
        <v>0</v>
      </c>
      <c r="AH573" s="43">
        <v>1200000000</v>
      </c>
      <c r="AI573" s="43">
        <f>AE573-AF573+AG573-AH573</f>
        <v>-1200000000</v>
      </c>
      <c r="AJ573" s="43">
        <f>AD573+AI573</f>
        <v>368183063</v>
      </c>
      <c r="AK573" s="44">
        <v>0</v>
      </c>
      <c r="AL573" s="44">
        <f>AM573-AGOSTO!AM552</f>
        <v>0</v>
      </c>
      <c r="AM573" s="44">
        <v>0</v>
      </c>
      <c r="AN573" s="44">
        <v>0</v>
      </c>
      <c r="AO573" s="44">
        <f>AP573-SEPTIEMBRE!AP567</f>
        <v>0</v>
      </c>
      <c r="AP573" s="44">
        <v>0</v>
      </c>
      <c r="AQ573" s="44">
        <v>0</v>
      </c>
      <c r="AR573" s="44">
        <v>0</v>
      </c>
      <c r="AS573" s="44">
        <v>0</v>
      </c>
      <c r="AT573" s="40">
        <f t="shared" ref="AT573:AT680" si="284">AQ573+AS573</f>
        <v>0</v>
      </c>
      <c r="AU573" s="18">
        <f>AJ573-AM573</f>
        <v>368183063</v>
      </c>
      <c r="AV573" s="34">
        <f>AM573-AP573</f>
        <v>0</v>
      </c>
      <c r="AW573" s="34">
        <f>AP573-AT573</f>
        <v>0</v>
      </c>
      <c r="AX573" s="123">
        <f>AP573/AJ573</f>
        <v>0</v>
      </c>
    </row>
    <row r="574" spans="1:50" ht="18.75" customHeight="1" x14ac:dyDescent="0.2">
      <c r="A574" s="4" t="s">
        <v>55</v>
      </c>
      <c r="B574" s="4" t="s">
        <v>56</v>
      </c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1" t="s">
        <v>450</v>
      </c>
      <c r="AB574" s="42" t="s">
        <v>451</v>
      </c>
      <c r="AC574" s="43" t="s">
        <v>428</v>
      </c>
      <c r="AD574" s="43">
        <v>54121641</v>
      </c>
      <c r="AE574" s="44">
        <v>0</v>
      </c>
      <c r="AF574" s="44">
        <v>0</v>
      </c>
      <c r="AG574" s="75">
        <v>0</v>
      </c>
      <c r="AH574" s="75">
        <v>0</v>
      </c>
      <c r="AI574" s="44">
        <v>0</v>
      </c>
      <c r="AJ574" s="43">
        <v>54121641</v>
      </c>
      <c r="AK574" s="44">
        <v>0</v>
      </c>
      <c r="AL574" s="44">
        <v>0</v>
      </c>
      <c r="AM574" s="44">
        <v>0</v>
      </c>
      <c r="AN574" s="44">
        <v>0</v>
      </c>
      <c r="AO574" s="44">
        <f>AP574-SEPTIEMBRE!AP568</f>
        <v>0</v>
      </c>
      <c r="AP574" s="44">
        <v>0</v>
      </c>
      <c r="AQ574" s="44">
        <v>0</v>
      </c>
      <c r="AR574" s="44">
        <v>0</v>
      </c>
      <c r="AS574" s="44">
        <v>0</v>
      </c>
      <c r="AT574" s="40">
        <f t="shared" si="284"/>
        <v>0</v>
      </c>
      <c r="AU574" s="18">
        <f>AJ574-AM574</f>
        <v>54121641</v>
      </c>
      <c r="AV574" s="34">
        <f>AM574-AP574</f>
        <v>0</v>
      </c>
      <c r="AW574" s="34">
        <f>AP574-AT574</f>
        <v>0</v>
      </c>
      <c r="AX574" s="123">
        <f>AP574/AJ574</f>
        <v>0</v>
      </c>
    </row>
    <row r="575" spans="1:50" ht="18.75" customHeight="1" x14ac:dyDescent="0.2">
      <c r="A575" s="4" t="s">
        <v>55</v>
      </c>
      <c r="B575" s="4" t="s">
        <v>56</v>
      </c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1" t="s">
        <v>452</v>
      </c>
      <c r="AB575" s="42" t="s">
        <v>453</v>
      </c>
      <c r="AC575" s="43" t="s">
        <v>454</v>
      </c>
      <c r="AD575" s="43">
        <v>13500000000</v>
      </c>
      <c r="AE575" s="44">
        <v>0</v>
      </c>
      <c r="AF575" s="44">
        <v>0</v>
      </c>
      <c r="AG575" s="75">
        <v>0</v>
      </c>
      <c r="AH575" s="43">
        <v>10658999538</v>
      </c>
      <c r="AI575" s="43">
        <f>AE575-AF575+AG575-AH575</f>
        <v>-10658999538</v>
      </c>
      <c r="AJ575" s="43">
        <f>AD575+AI575</f>
        <v>2841000462</v>
      </c>
      <c r="AK575" s="44">
        <v>0</v>
      </c>
      <c r="AL575" s="44">
        <v>0</v>
      </c>
      <c r="AM575" s="44">
        <v>0</v>
      </c>
      <c r="AN575" s="44">
        <v>0</v>
      </c>
      <c r="AO575" s="44">
        <f>AP575-SEPTIEMBRE!AP569</f>
        <v>0</v>
      </c>
      <c r="AP575" s="44">
        <v>0</v>
      </c>
      <c r="AQ575" s="44">
        <v>0</v>
      </c>
      <c r="AR575" s="44">
        <v>0</v>
      </c>
      <c r="AS575" s="44">
        <v>0</v>
      </c>
      <c r="AT575" s="40">
        <f t="shared" si="284"/>
        <v>0</v>
      </c>
      <c r="AU575" s="18">
        <f>AJ575-AM575</f>
        <v>2841000462</v>
      </c>
      <c r="AV575" s="34">
        <f>AM575-AP575</f>
        <v>0</v>
      </c>
      <c r="AW575" s="34">
        <f>AP575-AT575</f>
        <v>0</v>
      </c>
      <c r="AX575" s="123">
        <f>AP575/AJ575</f>
        <v>0</v>
      </c>
    </row>
    <row r="576" spans="1:50" ht="18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166" t="s">
        <v>1035</v>
      </c>
      <c r="AB576" s="167" t="s">
        <v>1036</v>
      </c>
      <c r="AC576" s="168"/>
      <c r="AD576" s="43">
        <v>0</v>
      </c>
      <c r="AE576" s="43">
        <v>3208930754.3099999</v>
      </c>
      <c r="AF576" s="44">
        <v>0</v>
      </c>
      <c r="AG576" s="75">
        <v>0</v>
      </c>
      <c r="AH576" s="43">
        <v>0</v>
      </c>
      <c r="AI576" s="43">
        <f>AE576-AF576+AG576-AH576</f>
        <v>3208930754.3099999</v>
      </c>
      <c r="AJ576" s="43">
        <f>AD576+AI576</f>
        <v>3208930754.3099999</v>
      </c>
      <c r="AK576" s="44">
        <v>0</v>
      </c>
      <c r="AL576" s="44">
        <v>0</v>
      </c>
      <c r="AM576" s="44">
        <v>0</v>
      </c>
      <c r="AN576" s="44">
        <v>0</v>
      </c>
      <c r="AO576" s="44">
        <f>AP576-SEPTIEMBRE!AP570</f>
        <v>0</v>
      </c>
      <c r="AP576" s="44">
        <v>0</v>
      </c>
      <c r="AQ576" s="44">
        <v>0</v>
      </c>
      <c r="AR576" s="44">
        <v>0</v>
      </c>
      <c r="AS576" s="44">
        <v>0</v>
      </c>
      <c r="AT576" s="40">
        <f t="shared" si="284"/>
        <v>0</v>
      </c>
      <c r="AU576" s="18">
        <f>AJ576-AM576</f>
        <v>3208930754.3099999</v>
      </c>
      <c r="AV576" s="34">
        <f>AM576-AP576</f>
        <v>0</v>
      </c>
      <c r="AW576" s="34">
        <f>AP576-AT576</f>
        <v>0</v>
      </c>
      <c r="AX576" s="123">
        <f>AP576/AJ576</f>
        <v>0</v>
      </c>
    </row>
    <row r="577" spans="1:50" ht="18.75" customHeight="1" x14ac:dyDescent="0.2">
      <c r="AA577" s="169" t="s">
        <v>288</v>
      </c>
      <c r="AB577" s="163" t="s">
        <v>455</v>
      </c>
      <c r="AC577" s="17"/>
      <c r="AD577" s="18"/>
      <c r="AE577" s="34"/>
      <c r="AF577" s="34"/>
      <c r="AG577" s="76"/>
      <c r="AH577" s="18"/>
      <c r="AI577" s="18"/>
      <c r="AJ577" s="18"/>
      <c r="AK577" s="34"/>
      <c r="AL577" s="34"/>
      <c r="AM577" s="34"/>
      <c r="AN577" s="34"/>
      <c r="AO577" s="34"/>
      <c r="AP577" s="34"/>
      <c r="AQ577" s="34"/>
      <c r="AR577" s="34"/>
      <c r="AS577" s="34"/>
      <c r="AT577" s="40"/>
      <c r="AU577" s="18"/>
      <c r="AV577" s="34"/>
      <c r="AW577" s="34"/>
      <c r="AX577" s="18"/>
    </row>
    <row r="578" spans="1:50" ht="18.75" customHeight="1" x14ac:dyDescent="0.2">
      <c r="A578" s="4" t="s">
        <v>55</v>
      </c>
      <c r="B578" s="4" t="s">
        <v>56</v>
      </c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1" t="s">
        <v>456</v>
      </c>
      <c r="AB578" s="42" t="s">
        <v>233</v>
      </c>
      <c r="AC578" s="43" t="s">
        <v>58</v>
      </c>
      <c r="AD578" s="43">
        <v>1983597115.25</v>
      </c>
      <c r="AE578" s="44">
        <v>0</v>
      </c>
      <c r="AF578" s="44">
        <v>0</v>
      </c>
      <c r="AG578" s="43">
        <f>15401381+3051706945.3+915000000</f>
        <v>3982108326.3000002</v>
      </c>
      <c r="AH578" s="43">
        <v>547969140</v>
      </c>
      <c r="AI578" s="43">
        <f>AE578-AF578+AG578-AH578</f>
        <v>3434139186.3000002</v>
      </c>
      <c r="AJ578" s="43">
        <f>AD578+AI578</f>
        <v>5417736301.5500002</v>
      </c>
      <c r="AK578" s="43">
        <v>0</v>
      </c>
      <c r="AL578" s="143">
        <v>15401381</v>
      </c>
      <c r="AM578" s="43">
        <v>3767108326.3000002</v>
      </c>
      <c r="AN578" s="44">
        <v>0</v>
      </c>
      <c r="AO578" s="44">
        <f>AP578-SEPTIEMBRE!AP572</f>
        <v>0</v>
      </c>
      <c r="AP578" s="43">
        <v>3751706945.3000002</v>
      </c>
      <c r="AQ578" s="44">
        <v>0</v>
      </c>
      <c r="AR578" s="44">
        <v>0</v>
      </c>
      <c r="AS578" s="43">
        <v>3751706945.3000002</v>
      </c>
      <c r="AT578" s="39">
        <f t="shared" si="284"/>
        <v>3751706945.3000002</v>
      </c>
      <c r="AU578" s="18">
        <f>AJ578-AM578</f>
        <v>1650627975.25</v>
      </c>
      <c r="AV578" s="18">
        <f>AM578-AP578</f>
        <v>15401381</v>
      </c>
      <c r="AW578" s="34">
        <f>AP578-AT578</f>
        <v>0</v>
      </c>
      <c r="AX578" s="123">
        <f>AP578/AJ578</f>
        <v>0.69248607471475621</v>
      </c>
    </row>
    <row r="579" spans="1:50" ht="18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1" t="s">
        <v>1341</v>
      </c>
      <c r="AB579" s="42" t="s">
        <v>1342</v>
      </c>
      <c r="AC579" s="43"/>
      <c r="AD579" s="43">
        <v>0</v>
      </c>
      <c r="AE579" s="43">
        <v>1712498186</v>
      </c>
      <c r="AF579" s="44"/>
      <c r="AG579" s="43"/>
      <c r="AH579" s="43"/>
      <c r="AI579" s="43">
        <f>AE579-AF579+AG579-AH579</f>
        <v>1712498186</v>
      </c>
      <c r="AJ579" s="43">
        <f>AD579+AI579</f>
        <v>1712498186</v>
      </c>
      <c r="AK579" s="44">
        <v>0</v>
      </c>
      <c r="AL579" s="143">
        <v>0</v>
      </c>
      <c r="AM579" s="44">
        <v>0</v>
      </c>
      <c r="AN579" s="44">
        <v>0</v>
      </c>
      <c r="AO579" s="44">
        <f>AP579-SEPTIEMBRE!AP573</f>
        <v>0</v>
      </c>
      <c r="AP579" s="43">
        <v>0</v>
      </c>
      <c r="AQ579" s="44">
        <v>0</v>
      </c>
      <c r="AR579" s="44">
        <v>0</v>
      </c>
      <c r="AS579" s="44">
        <v>0</v>
      </c>
      <c r="AT579" s="40">
        <f t="shared" si="284"/>
        <v>0</v>
      </c>
      <c r="AU579" s="18">
        <f>AJ579-AM579</f>
        <v>1712498186</v>
      </c>
      <c r="AV579" s="34">
        <f>AM579-AP579</f>
        <v>0</v>
      </c>
      <c r="AW579" s="34">
        <f>AP579-AT579</f>
        <v>0</v>
      </c>
      <c r="AX579" s="123">
        <f>AP579/AJ579</f>
        <v>0</v>
      </c>
    </row>
    <row r="580" spans="1:50" ht="18.75" customHeight="1" x14ac:dyDescent="0.2">
      <c r="A580" s="4" t="s">
        <v>55</v>
      </c>
      <c r="B580" s="4" t="s">
        <v>56</v>
      </c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1" t="s">
        <v>457</v>
      </c>
      <c r="AB580" s="42" t="s">
        <v>458</v>
      </c>
      <c r="AC580" s="43" t="s">
        <v>454</v>
      </c>
      <c r="AD580" s="44">
        <v>0</v>
      </c>
      <c r="AE580" s="43">
        <v>14100000000</v>
      </c>
      <c r="AF580" s="44">
        <v>0</v>
      </c>
      <c r="AG580" s="43">
        <v>20296364215</v>
      </c>
      <c r="AH580" s="44">
        <v>0</v>
      </c>
      <c r="AI580" s="43">
        <f>AE580-AF580+AG580-AH580</f>
        <v>34396364215</v>
      </c>
      <c r="AJ580" s="43">
        <f>AD580+AI580</f>
        <v>34396364215</v>
      </c>
      <c r="AK580" s="44">
        <v>0</v>
      </c>
      <c r="AL580" s="143">
        <v>0</v>
      </c>
      <c r="AM580" s="43">
        <v>19256924334</v>
      </c>
      <c r="AN580" s="44">
        <v>0</v>
      </c>
      <c r="AO580" s="44">
        <f>AP580-SEPTIEMBRE!AP574</f>
        <v>0</v>
      </c>
      <c r="AP580" s="43">
        <v>19256924334</v>
      </c>
      <c r="AQ580" s="44">
        <v>0</v>
      </c>
      <c r="AR580" s="44">
        <v>2094136581.03</v>
      </c>
      <c r="AS580" s="44">
        <v>2094136581.03</v>
      </c>
      <c r="AT580" s="39">
        <f t="shared" si="284"/>
        <v>2094136581.03</v>
      </c>
      <c r="AU580" s="18">
        <f>AJ580-AM580</f>
        <v>15139439881</v>
      </c>
      <c r="AV580" s="133">
        <f>AM580-AP580</f>
        <v>0</v>
      </c>
      <c r="AW580" s="18">
        <f>AP580-AT580</f>
        <v>17162787752.969999</v>
      </c>
      <c r="AX580" s="123">
        <f>AP580/AJ580</f>
        <v>0.55985348374704669</v>
      </c>
    </row>
    <row r="581" spans="1:50" ht="18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1" t="s">
        <v>1300</v>
      </c>
      <c r="AB581" s="42" t="s">
        <v>1015</v>
      </c>
      <c r="AC581" s="43"/>
      <c r="AD581" s="44">
        <v>0</v>
      </c>
      <c r="AE581" s="43">
        <v>0</v>
      </c>
      <c r="AF581" s="44">
        <v>0</v>
      </c>
      <c r="AG581" s="43">
        <v>1743353380</v>
      </c>
      <c r="AH581" s="44">
        <v>0</v>
      </c>
      <c r="AI581" s="43">
        <f>AE581-AF581+AG581-AH581</f>
        <v>1743353380</v>
      </c>
      <c r="AJ581" s="43">
        <f>AD581+AI581</f>
        <v>1743353380</v>
      </c>
      <c r="AK581" s="44">
        <v>0</v>
      </c>
      <c r="AL581" s="143">
        <v>0</v>
      </c>
      <c r="AM581" s="43">
        <v>1727085164.7</v>
      </c>
      <c r="AN581" s="44">
        <v>0</v>
      </c>
      <c r="AO581" s="44">
        <f>AP581-SEPTIEMBRE!AP575</f>
        <v>0</v>
      </c>
      <c r="AP581" s="43">
        <v>1727085164.7</v>
      </c>
      <c r="AQ581" s="44">
        <v>0</v>
      </c>
      <c r="AR581" s="43">
        <v>0</v>
      </c>
      <c r="AS581" s="43">
        <v>1723222063.1199999</v>
      </c>
      <c r="AT581" s="39">
        <f t="shared" si="284"/>
        <v>1723222063.1199999</v>
      </c>
      <c r="AU581" s="18">
        <f>AJ581-AM581</f>
        <v>16268215.299999952</v>
      </c>
      <c r="AV581" s="34">
        <f>AM581-AP581</f>
        <v>0</v>
      </c>
      <c r="AW581" s="18">
        <f>AP581-AT581</f>
        <v>3863101.5800001621</v>
      </c>
      <c r="AX581" s="123">
        <f>AP581/AJ581</f>
        <v>0.99066843504786162</v>
      </c>
    </row>
    <row r="582" spans="1:50" ht="18.75" customHeight="1" x14ac:dyDescent="0.2">
      <c r="AA582" s="28" t="s">
        <v>288</v>
      </c>
      <c r="AB582" s="29" t="s">
        <v>459</v>
      </c>
      <c r="AC582" s="17"/>
      <c r="AD582" s="18"/>
      <c r="AE582" s="34"/>
      <c r="AF582" s="34"/>
      <c r="AG582" s="18"/>
      <c r="AH582" s="34"/>
      <c r="AI582" s="18"/>
      <c r="AJ582" s="18"/>
      <c r="AK582" s="34"/>
      <c r="AL582" s="34"/>
      <c r="AM582" s="18"/>
      <c r="AN582" s="34"/>
      <c r="AO582" s="145"/>
      <c r="AP582" s="18"/>
      <c r="AQ582" s="34"/>
      <c r="AR582" s="34"/>
      <c r="AS582" s="34"/>
      <c r="AT582" s="40"/>
      <c r="AU582" s="18"/>
      <c r="AV582" s="18"/>
      <c r="AW582" s="18"/>
      <c r="AX582" s="18"/>
    </row>
    <row r="583" spans="1:50" ht="18.75" customHeight="1" x14ac:dyDescent="0.2">
      <c r="A583" s="4" t="s">
        <v>55</v>
      </c>
      <c r="B583" s="4" t="s">
        <v>56</v>
      </c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1" t="s">
        <v>460</v>
      </c>
      <c r="AB583" s="42" t="s">
        <v>233</v>
      </c>
      <c r="AC583" s="43" t="s">
        <v>58</v>
      </c>
      <c r="AD583" s="43">
        <v>867728401</v>
      </c>
      <c r="AE583" s="44">
        <v>0</v>
      </c>
      <c r="AF583" s="44">
        <v>0</v>
      </c>
      <c r="AG583" s="44">
        <v>0</v>
      </c>
      <c r="AH583" s="44">
        <v>0</v>
      </c>
      <c r="AI583" s="44">
        <v>0</v>
      </c>
      <c r="AJ583" s="43">
        <v>867728401</v>
      </c>
      <c r="AK583" s="44">
        <v>0</v>
      </c>
      <c r="AL583" s="44">
        <v>0</v>
      </c>
      <c r="AM583" s="43">
        <v>867728401</v>
      </c>
      <c r="AN583" s="44">
        <v>0</v>
      </c>
      <c r="AO583" s="44">
        <f>AP583-SEPTIEMBRE!AP577</f>
        <v>0</v>
      </c>
      <c r="AP583" s="43">
        <v>829015863.20000005</v>
      </c>
      <c r="AQ583" s="44">
        <v>0</v>
      </c>
      <c r="AR583" s="43">
        <v>0</v>
      </c>
      <c r="AS583" s="43">
        <v>790343041.20000005</v>
      </c>
      <c r="AT583" s="39">
        <f t="shared" si="284"/>
        <v>790343041.20000005</v>
      </c>
      <c r="AU583" s="34">
        <f>AJ583-AM583</f>
        <v>0</v>
      </c>
      <c r="AV583" s="18">
        <f>AM583-AP583</f>
        <v>38712537.799999952</v>
      </c>
      <c r="AW583" s="18">
        <f>AP583-AT583</f>
        <v>38672822</v>
      </c>
      <c r="AX583" s="123">
        <f>AP583/AJ583</f>
        <v>0.95538634236774289</v>
      </c>
    </row>
    <row r="584" spans="1:50" ht="18.75" customHeight="1" x14ac:dyDescent="0.2">
      <c r="A584" s="4" t="s">
        <v>55</v>
      </c>
      <c r="B584" s="4" t="s">
        <v>56</v>
      </c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1" t="s">
        <v>461</v>
      </c>
      <c r="AB584" s="42" t="s">
        <v>462</v>
      </c>
      <c r="AC584" s="43" t="s">
        <v>428</v>
      </c>
      <c r="AD584" s="43">
        <v>208691582</v>
      </c>
      <c r="AE584" s="44">
        <v>0</v>
      </c>
      <c r="AF584" s="44">
        <v>0</v>
      </c>
      <c r="AG584" s="44">
        <v>0</v>
      </c>
      <c r="AH584" s="44">
        <v>0</v>
      </c>
      <c r="AI584" s="44">
        <v>0</v>
      </c>
      <c r="AJ584" s="43">
        <v>208691582</v>
      </c>
      <c r="AK584" s="44">
        <v>0</v>
      </c>
      <c r="AL584" s="44">
        <v>0</v>
      </c>
      <c r="AM584" s="44">
        <v>0</v>
      </c>
      <c r="AN584" s="44">
        <v>0</v>
      </c>
      <c r="AO584" s="44">
        <f>AP584-SEPTIEMBRE!AP578</f>
        <v>0</v>
      </c>
      <c r="AP584" s="44">
        <v>0</v>
      </c>
      <c r="AQ584" s="44">
        <v>0</v>
      </c>
      <c r="AR584" s="44">
        <v>0</v>
      </c>
      <c r="AS584" s="44">
        <v>0</v>
      </c>
      <c r="AT584" s="40">
        <f t="shared" si="284"/>
        <v>0</v>
      </c>
      <c r="AU584" s="18">
        <f>AJ584-AM584</f>
        <v>208691582</v>
      </c>
      <c r="AV584" s="34">
        <f>AM584-AP584</f>
        <v>0</v>
      </c>
      <c r="AW584" s="34">
        <f>AP584-AT584</f>
        <v>0</v>
      </c>
      <c r="AX584" s="123">
        <f>AP584/AJ584</f>
        <v>0</v>
      </c>
    </row>
    <row r="585" spans="1:50" ht="24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166" t="s">
        <v>1045</v>
      </c>
      <c r="AB585" s="167" t="s">
        <v>1044</v>
      </c>
      <c r="AC585" s="168"/>
      <c r="AD585" s="44">
        <v>0</v>
      </c>
      <c r="AE585" s="43">
        <v>439408481</v>
      </c>
      <c r="AF585" s="44">
        <v>0</v>
      </c>
      <c r="AG585" s="43">
        <v>1681878981.2</v>
      </c>
      <c r="AH585" s="44">
        <v>0</v>
      </c>
      <c r="AI585" s="43">
        <f>AE585-AF585+AG585-AH585</f>
        <v>2121287462.2</v>
      </c>
      <c r="AJ585" s="43">
        <f>AD585+AI585</f>
        <v>2121287462.2</v>
      </c>
      <c r="AK585" s="44">
        <v>0</v>
      </c>
      <c r="AL585" s="44">
        <v>0</v>
      </c>
      <c r="AM585" s="43">
        <v>2121287462.2</v>
      </c>
      <c r="AN585" s="44">
        <v>0</v>
      </c>
      <c r="AO585" s="44">
        <f>AP585-SEPTIEMBRE!AP579</f>
        <v>0</v>
      </c>
      <c r="AP585" s="44">
        <v>0</v>
      </c>
      <c r="AQ585" s="44">
        <v>0</v>
      </c>
      <c r="AR585" s="44">
        <v>0</v>
      </c>
      <c r="AS585" s="44">
        <v>0</v>
      </c>
      <c r="AT585" s="40">
        <f t="shared" si="284"/>
        <v>0</v>
      </c>
      <c r="AU585" s="34">
        <f>AJ585-AM585</f>
        <v>0</v>
      </c>
      <c r="AV585" s="18">
        <f>AM585-AP585</f>
        <v>2121287462.2</v>
      </c>
      <c r="AW585" s="34">
        <f>AP585-AT585</f>
        <v>0</v>
      </c>
      <c r="AX585" s="123">
        <f>AP585/AJ585</f>
        <v>0</v>
      </c>
    </row>
    <row r="586" spans="1:50" ht="21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171" t="s">
        <v>288</v>
      </c>
      <c r="AB586" s="213" t="s">
        <v>1040</v>
      </c>
      <c r="AC586" s="168"/>
      <c r="AD586" s="44"/>
      <c r="AE586" s="44"/>
      <c r="AF586" s="44"/>
      <c r="AG586" s="44"/>
      <c r="AH586" s="44"/>
      <c r="AI586" s="44"/>
      <c r="AJ586" s="43"/>
      <c r="AK586" s="44"/>
      <c r="AL586" s="44"/>
      <c r="AM586" s="44"/>
      <c r="AN586" s="44"/>
      <c r="AO586" s="44"/>
      <c r="AP586" s="44"/>
      <c r="AQ586" s="44"/>
      <c r="AR586" s="44"/>
      <c r="AS586" s="44"/>
      <c r="AT586" s="40"/>
      <c r="AU586" s="18"/>
      <c r="AV586" s="34"/>
      <c r="AW586" s="34"/>
      <c r="AX586" s="123"/>
    </row>
    <row r="587" spans="1:50" ht="21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229" t="s">
        <v>1398</v>
      </c>
      <c r="AB587" s="230" t="s">
        <v>233</v>
      </c>
      <c r="AC587" s="168"/>
      <c r="AD587" s="44"/>
      <c r="AE587" s="44"/>
      <c r="AF587" s="44"/>
      <c r="AG587" s="43">
        <v>127000000</v>
      </c>
      <c r="AH587" s="44"/>
      <c r="AI587" s="43">
        <f>AE587-AF587+AG587-AH587</f>
        <v>127000000</v>
      </c>
      <c r="AJ587" s="43">
        <f>AD587+AI587</f>
        <v>127000000</v>
      </c>
      <c r="AK587" s="44">
        <v>0</v>
      </c>
      <c r="AL587" s="44">
        <v>0</v>
      </c>
      <c r="AM587" s="44">
        <v>0</v>
      </c>
      <c r="AN587" s="44">
        <v>0</v>
      </c>
      <c r="AO587" s="44"/>
      <c r="AP587" s="44">
        <v>0</v>
      </c>
      <c r="AQ587" s="44">
        <v>0</v>
      </c>
      <c r="AR587" s="44">
        <v>0</v>
      </c>
      <c r="AS587" s="44">
        <v>0</v>
      </c>
      <c r="AT587" s="40">
        <f t="shared" ref="AT587" si="285">AQ587+AS587</f>
        <v>0</v>
      </c>
      <c r="AU587" s="18">
        <f>AJ587-AM587</f>
        <v>127000000</v>
      </c>
      <c r="AV587" s="34">
        <f>AM587-AP587</f>
        <v>0</v>
      </c>
      <c r="AW587" s="18">
        <f>AP587-AT587</f>
        <v>0</v>
      </c>
      <c r="AX587" s="123">
        <f>AP587/AJ587</f>
        <v>0</v>
      </c>
    </row>
    <row r="588" spans="1:50" ht="18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166" t="s">
        <v>1041</v>
      </c>
      <c r="AB588" s="167" t="s">
        <v>1015</v>
      </c>
      <c r="AC588" s="168"/>
      <c r="AD588" s="44">
        <v>0</v>
      </c>
      <c r="AE588" s="43">
        <v>117329833</v>
      </c>
      <c r="AF588" s="44">
        <v>0</v>
      </c>
      <c r="AG588" s="43">
        <v>8000000</v>
      </c>
      <c r="AH588" s="44">
        <v>0</v>
      </c>
      <c r="AI588" s="43">
        <f>AE588-AF588+AG588-AH588</f>
        <v>125329833</v>
      </c>
      <c r="AJ588" s="43">
        <f>AD588+AI588</f>
        <v>125329833</v>
      </c>
      <c r="AK588" s="44">
        <v>0</v>
      </c>
      <c r="AL588" s="44">
        <v>0</v>
      </c>
      <c r="AM588" s="43">
        <v>64761400</v>
      </c>
      <c r="AN588" s="44">
        <v>0</v>
      </c>
      <c r="AO588" s="44">
        <f>AP588-SEPTIEMBRE!AP581</f>
        <v>0</v>
      </c>
      <c r="AP588" s="43">
        <v>64761400</v>
      </c>
      <c r="AQ588" s="44">
        <v>0</v>
      </c>
      <c r="AR588" s="44">
        <v>0</v>
      </c>
      <c r="AS588" s="44">
        <v>0</v>
      </c>
      <c r="AT588" s="40">
        <f t="shared" ref="AT588:AT589" si="286">AQ588+AS588</f>
        <v>0</v>
      </c>
      <c r="AU588" s="18">
        <f>AJ588-AM588</f>
        <v>60568433</v>
      </c>
      <c r="AV588" s="34">
        <f>AM588-AP588</f>
        <v>0</v>
      </c>
      <c r="AW588" s="18">
        <f>AP588-AT588</f>
        <v>64761400</v>
      </c>
      <c r="AX588" s="123">
        <f>AP588/AJ588</f>
        <v>0.51672772914330778</v>
      </c>
    </row>
    <row r="589" spans="1:50" ht="28.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229" t="s">
        <v>1303</v>
      </c>
      <c r="AB589" s="230" t="s">
        <v>1304</v>
      </c>
      <c r="AC589" s="168"/>
      <c r="AD589" s="44">
        <v>0</v>
      </c>
      <c r="AE589" s="43">
        <v>0</v>
      </c>
      <c r="AF589" s="44">
        <v>0</v>
      </c>
      <c r="AG589" s="43">
        <v>130000000</v>
      </c>
      <c r="AH589" s="44">
        <v>0</v>
      </c>
      <c r="AI589" s="43">
        <f>AE589-AF589+AG589-AH589</f>
        <v>130000000</v>
      </c>
      <c r="AJ589" s="43">
        <f>AD589+AI589</f>
        <v>130000000</v>
      </c>
      <c r="AK589" s="44">
        <v>0</v>
      </c>
      <c r="AL589" s="44">
        <v>0</v>
      </c>
      <c r="AM589" s="44">
        <v>0</v>
      </c>
      <c r="AN589" s="44">
        <v>0</v>
      </c>
      <c r="AO589" s="44">
        <f>AP589-SEPTIEMBRE!AP583</f>
        <v>0</v>
      </c>
      <c r="AP589" s="44">
        <v>0</v>
      </c>
      <c r="AQ589" s="44">
        <v>0</v>
      </c>
      <c r="AR589" s="44">
        <v>0</v>
      </c>
      <c r="AS589" s="44">
        <v>0</v>
      </c>
      <c r="AT589" s="40">
        <f t="shared" si="286"/>
        <v>0</v>
      </c>
      <c r="AU589" s="18">
        <f>AJ589-AM589</f>
        <v>130000000</v>
      </c>
      <c r="AV589" s="34">
        <f>AM589-AP589</f>
        <v>0</v>
      </c>
      <c r="AW589" s="34">
        <f>AP589-AT589</f>
        <v>0</v>
      </c>
      <c r="AX589" s="123">
        <f>AP589/AJ589</f>
        <v>0</v>
      </c>
    </row>
    <row r="590" spans="1:50" ht="22.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208" t="s">
        <v>288</v>
      </c>
      <c r="AB590" s="209" t="s">
        <v>463</v>
      </c>
      <c r="AC590" s="43"/>
      <c r="AD590" s="43"/>
      <c r="AE590" s="44"/>
      <c r="AF590" s="44"/>
      <c r="AG590" s="43"/>
      <c r="AH590" s="44"/>
      <c r="AI590" s="43"/>
      <c r="AJ590" s="142"/>
      <c r="AK590" s="44"/>
      <c r="AL590" s="44"/>
      <c r="AM590" s="44"/>
      <c r="AN590" s="44"/>
      <c r="AO590" s="44"/>
      <c r="AP590" s="44"/>
      <c r="AQ590" s="44"/>
      <c r="AR590" s="44"/>
      <c r="AS590" s="44"/>
      <c r="AT590" s="40"/>
      <c r="AU590" s="43"/>
      <c r="AV590" s="44"/>
      <c r="AW590" s="44"/>
      <c r="AX590" s="43"/>
    </row>
    <row r="591" spans="1:50" ht="18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134" t="s">
        <v>464</v>
      </c>
      <c r="AB591" s="17" t="s">
        <v>458</v>
      </c>
      <c r="AC591" s="43"/>
      <c r="AD591" s="44">
        <v>0</v>
      </c>
      <c r="AE591" s="44">
        <v>0</v>
      </c>
      <c r="AF591" s="44">
        <v>0</v>
      </c>
      <c r="AG591" s="43">
        <v>1555449996</v>
      </c>
      <c r="AH591" s="44">
        <v>0</v>
      </c>
      <c r="AI591" s="43">
        <f>AE591-AF591+AG591-AH591</f>
        <v>1555449996</v>
      </c>
      <c r="AJ591" s="142">
        <f>AD591+AI591</f>
        <v>1555449996</v>
      </c>
      <c r="AK591" s="44">
        <v>0</v>
      </c>
      <c r="AL591" s="44">
        <v>0</v>
      </c>
      <c r="AM591" s="44">
        <v>0</v>
      </c>
      <c r="AN591" s="44">
        <v>0</v>
      </c>
      <c r="AO591" s="44">
        <v>0</v>
      </c>
      <c r="AP591" s="44">
        <v>0</v>
      </c>
      <c r="AQ591" s="44">
        <v>0</v>
      </c>
      <c r="AR591" s="44">
        <v>0</v>
      </c>
      <c r="AS591" s="44">
        <v>0</v>
      </c>
      <c r="AT591" s="40">
        <f>AQ591+AS591</f>
        <v>0</v>
      </c>
      <c r="AU591" s="18">
        <f>AJ591-AM591</f>
        <v>1555449996</v>
      </c>
      <c r="AV591" s="34">
        <f>AM591-AP591</f>
        <v>0</v>
      </c>
      <c r="AW591" s="34">
        <f>AP591-AT591</f>
        <v>0</v>
      </c>
      <c r="AX591" s="123">
        <f>AP591/AJ591</f>
        <v>0</v>
      </c>
    </row>
    <row r="592" spans="1:50" ht="18.75" customHeight="1" x14ac:dyDescent="0.2">
      <c r="AA592" s="28" t="s">
        <v>288</v>
      </c>
      <c r="AB592" s="29" t="s">
        <v>465</v>
      </c>
      <c r="AC592" s="17"/>
      <c r="AD592" s="18"/>
      <c r="AE592" s="34"/>
      <c r="AF592" s="34"/>
      <c r="AG592" s="18"/>
      <c r="AH592" s="34"/>
      <c r="AI592" s="18"/>
      <c r="AJ592" s="147"/>
      <c r="AK592" s="34"/>
      <c r="AL592" s="34"/>
      <c r="AM592" s="34"/>
      <c r="AN592" s="34"/>
      <c r="AO592" s="34"/>
      <c r="AP592" s="34"/>
      <c r="AQ592" s="34"/>
      <c r="AR592" s="34"/>
      <c r="AS592" s="34"/>
      <c r="AT592" s="40"/>
      <c r="AU592" s="18"/>
      <c r="AV592" s="34"/>
      <c r="AW592" s="34"/>
      <c r="AX592" s="18"/>
    </row>
    <row r="593" spans="1:50" ht="18.75" customHeight="1" x14ac:dyDescent="0.2">
      <c r="A593" s="4" t="s">
        <v>55</v>
      </c>
      <c r="B593" s="4" t="s">
        <v>56</v>
      </c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1" t="s">
        <v>466</v>
      </c>
      <c r="AB593" s="42" t="s">
        <v>233</v>
      </c>
      <c r="AC593" s="43" t="s">
        <v>58</v>
      </c>
      <c r="AD593" s="44">
        <v>0</v>
      </c>
      <c r="AE593" s="44">
        <v>0</v>
      </c>
      <c r="AF593" s="44">
        <v>0</v>
      </c>
      <c r="AG593" s="43">
        <v>95000000</v>
      </c>
      <c r="AH593" s="44">
        <v>0</v>
      </c>
      <c r="AI593" s="43">
        <f>AE593-AF593+AG593-AH593</f>
        <v>95000000</v>
      </c>
      <c r="AJ593" s="142">
        <f>AD593+AI593</f>
        <v>95000000</v>
      </c>
      <c r="AK593" s="44">
        <v>0</v>
      </c>
      <c r="AL593" s="115">
        <f>AM593-AGOSTO!AM570</f>
        <v>0</v>
      </c>
      <c r="AM593" s="114">
        <v>94976390.849999994</v>
      </c>
      <c r="AN593" s="44">
        <v>0</v>
      </c>
      <c r="AO593" s="115">
        <f>AP593-SEPTIEMBRE!AP586</f>
        <v>0</v>
      </c>
      <c r="AP593" s="114">
        <v>94976390.849999994</v>
      </c>
      <c r="AQ593" s="44">
        <v>0</v>
      </c>
      <c r="AR593" s="44">
        <v>0</v>
      </c>
      <c r="AS593" s="44">
        <v>0</v>
      </c>
      <c r="AT593" s="40">
        <f>AQ593+AS593</f>
        <v>0</v>
      </c>
      <c r="AU593" s="18">
        <f>AJ593-AM593</f>
        <v>23609.15000000596</v>
      </c>
      <c r="AV593" s="34">
        <f>AM593-AP593</f>
        <v>0</v>
      </c>
      <c r="AW593" s="110">
        <f>AP593-AT593</f>
        <v>94976390.849999994</v>
      </c>
      <c r="AX593" s="123">
        <f>AP593/AJ593</f>
        <v>0.99975148263157887</v>
      </c>
    </row>
    <row r="594" spans="1:50" ht="18.75" customHeight="1" x14ac:dyDescent="0.2">
      <c r="AA594" s="16"/>
      <c r="AB594" s="29" t="s">
        <v>467</v>
      </c>
      <c r="AC594" s="17"/>
      <c r="AD594" s="34"/>
      <c r="AE594" s="34"/>
      <c r="AF594" s="34"/>
      <c r="AG594" s="18"/>
      <c r="AH594" s="34"/>
      <c r="AI594" s="18"/>
      <c r="AJ594" s="147"/>
      <c r="AK594" s="34"/>
      <c r="AL594" s="34"/>
      <c r="AM594" s="34"/>
      <c r="AN594" s="34"/>
      <c r="AO594" s="34"/>
      <c r="AP594" s="34"/>
      <c r="AQ594" s="34"/>
      <c r="AR594" s="34"/>
      <c r="AS594" s="34"/>
      <c r="AT594" s="40"/>
      <c r="AU594" s="18"/>
      <c r="AV594" s="34"/>
      <c r="AW594" s="34"/>
      <c r="AX594" s="18"/>
    </row>
    <row r="595" spans="1:50" ht="18.75" customHeight="1" x14ac:dyDescent="0.2">
      <c r="A595" s="4" t="s">
        <v>55</v>
      </c>
      <c r="B595" s="4" t="s">
        <v>56</v>
      </c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1" t="s">
        <v>468</v>
      </c>
      <c r="AB595" s="42" t="s">
        <v>458</v>
      </c>
      <c r="AC595" s="43" t="s">
        <v>454</v>
      </c>
      <c r="AD595" s="44">
        <v>0</v>
      </c>
      <c r="AE595" s="44">
        <v>0</v>
      </c>
      <c r="AF595" s="44">
        <v>0</v>
      </c>
      <c r="AG595" s="43">
        <v>1331864802</v>
      </c>
      <c r="AH595" s="44">
        <v>0</v>
      </c>
      <c r="AI595" s="43">
        <f>AE595-AF595+AG595-AH595</f>
        <v>1331864802</v>
      </c>
      <c r="AJ595" s="43">
        <f>AD595+AI595</f>
        <v>1331864802</v>
      </c>
      <c r="AK595" s="44">
        <v>0</v>
      </c>
      <c r="AL595" s="43">
        <v>-37613622.859999999</v>
      </c>
      <c r="AM595" s="43">
        <v>1162835095</v>
      </c>
      <c r="AN595" s="43">
        <v>0</v>
      </c>
      <c r="AO595" s="43">
        <f>AP595-SEPTIEMBRE!AP588</f>
        <v>982239854</v>
      </c>
      <c r="AP595" s="43">
        <v>1162835095</v>
      </c>
      <c r="AQ595" s="44">
        <v>0</v>
      </c>
      <c r="AR595" s="44">
        <v>0</v>
      </c>
      <c r="AS595" s="44">
        <v>0</v>
      </c>
      <c r="AT595" s="40">
        <f>AQ595+AS595</f>
        <v>0</v>
      </c>
      <c r="AU595" s="18">
        <f>AJ595-AM595</f>
        <v>169029707</v>
      </c>
      <c r="AV595" s="18">
        <f>AM595-AP595</f>
        <v>0</v>
      </c>
      <c r="AW595" s="18">
        <f>AP595-AT595</f>
        <v>1162835095</v>
      </c>
      <c r="AX595" s="123">
        <f>AP595/AJ595</f>
        <v>0.87308793899637871</v>
      </c>
    </row>
    <row r="596" spans="1:50" ht="18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170" t="s">
        <v>288</v>
      </c>
      <c r="AB596" s="170" t="s">
        <v>970</v>
      </c>
      <c r="AC596" s="168"/>
      <c r="AD596" s="44"/>
      <c r="AE596" s="44"/>
      <c r="AF596" s="44"/>
      <c r="AG596" s="43"/>
      <c r="AH596" s="44"/>
      <c r="AI596" s="43"/>
      <c r="AJ596" s="43"/>
      <c r="AK596" s="44"/>
      <c r="AL596" s="44"/>
      <c r="AM596" s="44"/>
      <c r="AN596" s="44"/>
      <c r="AO596" s="44"/>
      <c r="AP596" s="44"/>
      <c r="AQ596" s="44"/>
      <c r="AR596" s="44"/>
      <c r="AS596" s="44"/>
      <c r="AT596" s="40"/>
      <c r="AU596" s="18"/>
      <c r="AV596" s="34"/>
      <c r="AW596" s="34"/>
      <c r="AX596" s="123"/>
    </row>
    <row r="597" spans="1:50" ht="18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166" t="s">
        <v>969</v>
      </c>
      <c r="AB597" s="166" t="s">
        <v>233</v>
      </c>
      <c r="AC597" s="168"/>
      <c r="AD597" s="44">
        <v>0</v>
      </c>
      <c r="AE597" s="44">
        <v>0</v>
      </c>
      <c r="AF597" s="44">
        <v>0</v>
      </c>
      <c r="AG597" s="43">
        <v>138279379</v>
      </c>
      <c r="AH597" s="43">
        <v>4993574</v>
      </c>
      <c r="AI597" s="43">
        <f>AE597-AF597+AG597-AH597</f>
        <v>133285805</v>
      </c>
      <c r="AJ597" s="43">
        <f>AD597+AI597</f>
        <v>133285805</v>
      </c>
      <c r="AK597" s="44">
        <v>0</v>
      </c>
      <c r="AL597" s="43">
        <v>0</v>
      </c>
      <c r="AM597" s="43">
        <v>133285804.41</v>
      </c>
      <c r="AN597" s="43">
        <v>0</v>
      </c>
      <c r="AO597" s="43">
        <f>AP597-SEPTIEMBRE!AP590</f>
        <v>0</v>
      </c>
      <c r="AP597" s="43">
        <v>133285804.41</v>
      </c>
      <c r="AQ597" s="44">
        <v>0</v>
      </c>
      <c r="AR597" s="44">
        <v>0</v>
      </c>
      <c r="AS597" s="44">
        <v>0</v>
      </c>
      <c r="AT597" s="40">
        <f>AQ597+AS597</f>
        <v>0</v>
      </c>
      <c r="AU597" s="18">
        <f>AJ597-AM597</f>
        <v>0.59000000357627869</v>
      </c>
      <c r="AV597" s="34">
        <f>AM597-AP597</f>
        <v>0</v>
      </c>
      <c r="AW597" s="18">
        <f>AP597-AT597</f>
        <v>133285804.41</v>
      </c>
      <c r="AX597" s="123">
        <f>AP597/AJ597</f>
        <v>0.99999999557342212</v>
      </c>
    </row>
    <row r="598" spans="1:50" ht="22.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166" t="s">
        <v>1042</v>
      </c>
      <c r="AB598" s="167" t="s">
        <v>1015</v>
      </c>
      <c r="AC598" s="168"/>
      <c r="AD598" s="44">
        <v>0</v>
      </c>
      <c r="AE598" s="43">
        <v>20000000</v>
      </c>
      <c r="AF598" s="44">
        <v>0</v>
      </c>
      <c r="AG598" s="43">
        <f>50000000+50000000</f>
        <v>100000000</v>
      </c>
      <c r="AH598" s="44">
        <v>0</v>
      </c>
      <c r="AI598" s="43">
        <f t="shared" ref="AI598:AI600" si="287">AE598-AF598+AG598-AH598</f>
        <v>120000000</v>
      </c>
      <c r="AJ598" s="43">
        <f t="shared" ref="AJ598:AJ600" si="288">AD598+AI598</f>
        <v>120000000</v>
      </c>
      <c r="AK598" s="44">
        <v>0</v>
      </c>
      <c r="AL598" s="43">
        <v>120000000</v>
      </c>
      <c r="AM598" s="43">
        <v>120000000</v>
      </c>
      <c r="AN598" s="43">
        <v>0</v>
      </c>
      <c r="AO598" s="44">
        <v>0</v>
      </c>
      <c r="AP598" s="44">
        <v>0</v>
      </c>
      <c r="AQ598" s="44">
        <v>0</v>
      </c>
      <c r="AR598" s="44">
        <v>0</v>
      </c>
      <c r="AS598" s="44">
        <v>0</v>
      </c>
      <c r="AT598" s="40">
        <f t="shared" ref="AT598:AT600" si="289">AQ598+AS598</f>
        <v>0</v>
      </c>
      <c r="AU598" s="18">
        <f>AJ598-AM598</f>
        <v>0</v>
      </c>
      <c r="AV598" s="18">
        <f>AM598-AP598</f>
        <v>120000000</v>
      </c>
      <c r="AW598" s="34">
        <f>AP598-AT598</f>
        <v>0</v>
      </c>
      <c r="AX598" s="123">
        <f>AP598/AJ598</f>
        <v>0</v>
      </c>
    </row>
    <row r="599" spans="1:50" ht="27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229" t="s">
        <v>1305</v>
      </c>
      <c r="AB599" s="230" t="s">
        <v>1304</v>
      </c>
      <c r="AC599" s="168"/>
      <c r="AD599" s="44">
        <v>0</v>
      </c>
      <c r="AE599" s="43">
        <v>0</v>
      </c>
      <c r="AF599" s="44">
        <v>0</v>
      </c>
      <c r="AG599" s="43">
        <v>60000000</v>
      </c>
      <c r="AH599" s="43">
        <v>0</v>
      </c>
      <c r="AI599" s="43">
        <f>AE599-AF599+AG599-AH599</f>
        <v>60000000</v>
      </c>
      <c r="AJ599" s="43">
        <f>AD599+AI599</f>
        <v>60000000</v>
      </c>
      <c r="AK599" s="44">
        <v>0</v>
      </c>
      <c r="AL599" s="43">
        <v>20279244.800000001</v>
      </c>
      <c r="AM599" s="43">
        <v>20279244.800000001</v>
      </c>
      <c r="AN599" s="43">
        <v>0</v>
      </c>
      <c r="AO599" s="143">
        <v>0</v>
      </c>
      <c r="AP599" s="44">
        <v>0</v>
      </c>
      <c r="AQ599" s="44">
        <v>0</v>
      </c>
      <c r="AR599" s="44">
        <v>0</v>
      </c>
      <c r="AS599" s="44">
        <v>0</v>
      </c>
      <c r="AT599" s="40">
        <f>AQ599+AS599</f>
        <v>0</v>
      </c>
      <c r="AU599" s="18">
        <f>AJ599-AM599</f>
        <v>39720755.200000003</v>
      </c>
      <c r="AV599" s="34">
        <f>AM599-AP599</f>
        <v>20279244.800000001</v>
      </c>
      <c r="AW599" s="34">
        <f>AP599-AT599</f>
        <v>0</v>
      </c>
      <c r="AX599" s="123">
        <f>AP599/AJ599</f>
        <v>0</v>
      </c>
    </row>
    <row r="600" spans="1:50" ht="27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166" t="s">
        <v>1043</v>
      </c>
      <c r="AB600" s="167" t="s">
        <v>1044</v>
      </c>
      <c r="AC600" s="168"/>
      <c r="AD600" s="44">
        <v>0</v>
      </c>
      <c r="AE600" s="43">
        <v>2160000000</v>
      </c>
      <c r="AF600" s="44">
        <v>0</v>
      </c>
      <c r="AG600" s="44">
        <v>0</v>
      </c>
      <c r="AH600" s="43">
        <f>1681878981.2+478121018</f>
        <v>2159999999.1999998</v>
      </c>
      <c r="AI600" s="43">
        <f t="shared" si="287"/>
        <v>0.80000019073486328</v>
      </c>
      <c r="AJ600" s="43">
        <f t="shared" si="288"/>
        <v>0.80000019073486328</v>
      </c>
      <c r="AK600" s="44">
        <v>0</v>
      </c>
      <c r="AL600" s="43">
        <v>0</v>
      </c>
      <c r="AM600" s="43">
        <v>0</v>
      </c>
      <c r="AN600" s="43">
        <v>0</v>
      </c>
      <c r="AO600" s="143">
        <v>0</v>
      </c>
      <c r="AP600" s="44">
        <v>0</v>
      </c>
      <c r="AQ600" s="44">
        <v>0</v>
      </c>
      <c r="AR600" s="44">
        <v>0</v>
      </c>
      <c r="AS600" s="44">
        <v>0</v>
      </c>
      <c r="AT600" s="40">
        <f t="shared" si="289"/>
        <v>0</v>
      </c>
      <c r="AU600" s="18">
        <f>AJ600-AM600</f>
        <v>0.80000019073486328</v>
      </c>
      <c r="AV600" s="34">
        <f>AM600-AP600</f>
        <v>0</v>
      </c>
      <c r="AW600" s="34">
        <f>AP600-AT600</f>
        <v>0</v>
      </c>
      <c r="AX600" s="123">
        <f>AP600/AJ600</f>
        <v>0</v>
      </c>
    </row>
    <row r="601" spans="1:50" ht="18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171" t="s">
        <v>288</v>
      </c>
      <c r="AB601" s="171" t="s">
        <v>971</v>
      </c>
      <c r="AC601" s="168"/>
      <c r="AD601" s="44"/>
      <c r="AE601" s="44"/>
      <c r="AF601" s="44"/>
      <c r="AG601" s="43"/>
      <c r="AH601" s="44"/>
      <c r="AI601" s="43"/>
      <c r="AJ601" s="43"/>
      <c r="AK601" s="44"/>
      <c r="AL601" s="44"/>
      <c r="AM601" s="44"/>
      <c r="AN601" s="44"/>
      <c r="AO601" s="143"/>
      <c r="AP601" s="44"/>
      <c r="AQ601" s="44"/>
      <c r="AR601" s="44"/>
      <c r="AS601" s="44"/>
      <c r="AT601" s="40"/>
      <c r="AU601" s="18"/>
      <c r="AV601" s="34"/>
      <c r="AW601" s="34"/>
      <c r="AX601" s="123"/>
    </row>
    <row r="602" spans="1:50" ht="18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166" t="s">
        <v>968</v>
      </c>
      <c r="AB602" s="166" t="s">
        <v>233</v>
      </c>
      <c r="AC602" s="168"/>
      <c r="AD602" s="44">
        <v>0</v>
      </c>
      <c r="AE602" s="44">
        <v>0</v>
      </c>
      <c r="AF602" s="44">
        <v>0</v>
      </c>
      <c r="AG602" s="43">
        <v>610000000</v>
      </c>
      <c r="AH602" s="44"/>
      <c r="AI602" s="43">
        <f>AE602-AF602+AG602-AH602</f>
        <v>610000000</v>
      </c>
      <c r="AJ602" s="43">
        <f>AD602+AI602</f>
        <v>610000000</v>
      </c>
      <c r="AK602" s="44">
        <v>0</v>
      </c>
      <c r="AL602" s="43">
        <v>-137074589</v>
      </c>
      <c r="AM602" s="43">
        <v>315483673.32999998</v>
      </c>
      <c r="AN602" s="44">
        <v>0</v>
      </c>
      <c r="AO602" s="142">
        <f>AP602-SEPTIEMBRE!AP595</f>
        <v>247590340</v>
      </c>
      <c r="AP602" s="43">
        <v>315483673.32999998</v>
      </c>
      <c r="AQ602" s="43">
        <v>0</v>
      </c>
      <c r="AR602" s="43">
        <v>12343333</v>
      </c>
      <c r="AS602" s="43">
        <v>21389998</v>
      </c>
      <c r="AT602" s="39">
        <f>AQ602+AS602</f>
        <v>21389998</v>
      </c>
      <c r="AU602" s="18">
        <f>AJ602-AM602</f>
        <v>294516326.67000002</v>
      </c>
      <c r="AV602" s="18">
        <f>AM602-AP602</f>
        <v>0</v>
      </c>
      <c r="AW602" s="18">
        <f>AP602-AT602</f>
        <v>294093675.32999998</v>
      </c>
      <c r="AX602" s="123">
        <f>AP602/AJ602</f>
        <v>0.5171863497213115</v>
      </c>
    </row>
    <row r="603" spans="1:50" ht="18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171" t="s">
        <v>288</v>
      </c>
      <c r="AB603" s="171" t="s">
        <v>1346</v>
      </c>
      <c r="AC603" s="168"/>
      <c r="AD603" s="44"/>
      <c r="AE603" s="44"/>
      <c r="AF603" s="44"/>
      <c r="AG603" s="43"/>
      <c r="AH603" s="44"/>
      <c r="AI603" s="43"/>
      <c r="AJ603" s="43"/>
      <c r="AK603" s="44"/>
      <c r="AL603" s="43"/>
      <c r="AM603" s="43"/>
      <c r="AN603" s="43"/>
      <c r="AO603" s="142"/>
      <c r="AP603" s="43"/>
      <c r="AQ603" s="43"/>
      <c r="AR603" s="43"/>
      <c r="AS603" s="43"/>
      <c r="AT603" s="39"/>
      <c r="AU603" s="18"/>
      <c r="AV603" s="18"/>
      <c r="AW603" s="18"/>
      <c r="AX603" s="123"/>
    </row>
    <row r="604" spans="1:50" ht="18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229" t="s">
        <v>1347</v>
      </c>
      <c r="AB604" s="229" t="s">
        <v>233</v>
      </c>
      <c r="AC604" s="168"/>
      <c r="AD604" s="44">
        <v>0</v>
      </c>
      <c r="AE604" s="44">
        <v>0</v>
      </c>
      <c r="AF604" s="44">
        <v>0</v>
      </c>
      <c r="AG604" s="43">
        <v>7000000000</v>
      </c>
      <c r="AH604" s="43">
        <v>7000000000</v>
      </c>
      <c r="AI604" s="43">
        <f>AE604-AF604+AG604-AH604</f>
        <v>0</v>
      </c>
      <c r="AJ604" s="43">
        <f>AD604+AI604</f>
        <v>0</v>
      </c>
      <c r="AK604" s="44">
        <v>0</v>
      </c>
      <c r="AL604" s="44">
        <v>0</v>
      </c>
      <c r="AM604" s="44">
        <v>0</v>
      </c>
      <c r="AN604" s="44">
        <v>0</v>
      </c>
      <c r="AO604" s="143">
        <v>0</v>
      </c>
      <c r="AP604" s="44">
        <v>0</v>
      </c>
      <c r="AQ604" s="44">
        <v>0</v>
      </c>
      <c r="AR604" s="44">
        <v>0</v>
      </c>
      <c r="AS604" s="44">
        <v>0</v>
      </c>
      <c r="AT604" s="40">
        <f>AQ604+AS604</f>
        <v>0</v>
      </c>
      <c r="AU604" s="18">
        <f>AJ604-AM604</f>
        <v>0</v>
      </c>
      <c r="AV604" s="34">
        <f>AM604-AP604</f>
        <v>0</v>
      </c>
      <c r="AW604" s="34">
        <f>AP604-AT604</f>
        <v>0</v>
      </c>
      <c r="AX604" s="123">
        <v>0</v>
      </c>
    </row>
    <row r="605" spans="1:50" ht="18.75" customHeight="1" x14ac:dyDescent="0.2">
      <c r="AA605" s="169" t="s">
        <v>288</v>
      </c>
      <c r="AB605" s="205" t="s">
        <v>469</v>
      </c>
      <c r="AC605" s="17"/>
      <c r="AD605" s="18"/>
      <c r="AE605" s="18"/>
      <c r="AF605" s="18"/>
      <c r="AG605" s="18"/>
      <c r="AH605" s="34"/>
      <c r="AI605" s="18"/>
      <c r="AJ605" s="18"/>
      <c r="AK605" s="34"/>
      <c r="AL605" s="34"/>
      <c r="AM605" s="34"/>
      <c r="AN605" s="34"/>
      <c r="AO605" s="145"/>
      <c r="AP605" s="34"/>
      <c r="AQ605" s="34"/>
      <c r="AR605" s="34"/>
      <c r="AS605" s="34"/>
      <c r="AT605" s="40"/>
      <c r="AU605" s="18"/>
      <c r="AV605" s="34"/>
      <c r="AW605" s="18"/>
      <c r="AX605" s="18"/>
    </row>
    <row r="606" spans="1:50" ht="18.75" customHeight="1" x14ac:dyDescent="0.2">
      <c r="A606" s="4" t="s">
        <v>55</v>
      </c>
      <c r="B606" s="4" t="s">
        <v>56</v>
      </c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211" t="s">
        <v>470</v>
      </c>
      <c r="AB606" s="265" t="s">
        <v>233</v>
      </c>
      <c r="AC606" s="43" t="s">
        <v>58</v>
      </c>
      <c r="AD606" s="43">
        <v>128000000</v>
      </c>
      <c r="AE606" s="44">
        <v>0</v>
      </c>
      <c r="AF606" s="44">
        <v>0</v>
      </c>
      <c r="AG606" s="43">
        <v>89000000</v>
      </c>
      <c r="AH606" s="43">
        <v>127000000</v>
      </c>
      <c r="AI606" s="43">
        <f>AE606-AF606+AG606-AH606</f>
        <v>-38000000</v>
      </c>
      <c r="AJ606" s="43">
        <f>AD606+AI606</f>
        <v>90000000</v>
      </c>
      <c r="AK606" s="44">
        <v>0</v>
      </c>
      <c r="AL606" s="44">
        <v>0</v>
      </c>
      <c r="AM606" s="44">
        <v>0</v>
      </c>
      <c r="AN606" s="44">
        <v>0</v>
      </c>
      <c r="AO606" s="44">
        <v>0</v>
      </c>
      <c r="AP606" s="44">
        <v>0</v>
      </c>
      <c r="AQ606" s="44">
        <v>0</v>
      </c>
      <c r="AR606" s="44">
        <v>0</v>
      </c>
      <c r="AS606" s="44">
        <v>0</v>
      </c>
      <c r="AT606" s="40">
        <f>AQ606+AS606</f>
        <v>0</v>
      </c>
      <c r="AU606" s="18">
        <f>AJ606-AM606</f>
        <v>90000000</v>
      </c>
      <c r="AV606" s="34">
        <f>AM606-AP606</f>
        <v>0</v>
      </c>
      <c r="AW606" s="34">
        <f>AP606-AT606</f>
        <v>0</v>
      </c>
      <c r="AX606" s="123">
        <f>AP606/AJ606</f>
        <v>0</v>
      </c>
    </row>
    <row r="607" spans="1:50" ht="28.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166" t="s">
        <v>1029</v>
      </c>
      <c r="AB607" s="266" t="s">
        <v>1030</v>
      </c>
      <c r="AC607" s="168"/>
      <c r="AD607" s="44">
        <v>0</v>
      </c>
      <c r="AE607" s="43">
        <v>451451337.30000001</v>
      </c>
      <c r="AF607" s="44">
        <v>0</v>
      </c>
      <c r="AG607" s="44">
        <v>0</v>
      </c>
      <c r="AH607" s="43">
        <v>451451337.30000001</v>
      </c>
      <c r="AI607" s="44">
        <f t="shared" ref="AI607:AI609" si="290">AE607-AF607+AG607-AH607</f>
        <v>0</v>
      </c>
      <c r="AJ607" s="44">
        <f t="shared" ref="AJ607:AJ609" si="291">AD607+AI607</f>
        <v>0</v>
      </c>
      <c r="AK607" s="44">
        <v>0</v>
      </c>
      <c r="AL607" s="44">
        <v>0</v>
      </c>
      <c r="AM607" s="44">
        <v>0</v>
      </c>
      <c r="AN607" s="44">
        <v>0</v>
      </c>
      <c r="AO607" s="44">
        <v>0</v>
      </c>
      <c r="AP607" s="44">
        <v>0</v>
      </c>
      <c r="AQ607" s="44">
        <v>0</v>
      </c>
      <c r="AR607" s="44">
        <v>0</v>
      </c>
      <c r="AS607" s="44">
        <v>0</v>
      </c>
      <c r="AT607" s="40">
        <f t="shared" ref="AT607:AT609" si="292">AQ607+AS607</f>
        <v>0</v>
      </c>
      <c r="AU607" s="34">
        <f>AJ607-AM607</f>
        <v>0</v>
      </c>
      <c r="AV607" s="34">
        <f>AM607-AP607</f>
        <v>0</v>
      </c>
      <c r="AW607" s="34">
        <f>AP607-AT607</f>
        <v>0</v>
      </c>
      <c r="AX607" s="123">
        <v>0</v>
      </c>
    </row>
    <row r="608" spans="1:50" ht="18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166" t="s">
        <v>1031</v>
      </c>
      <c r="AB608" s="266" t="s">
        <v>1032</v>
      </c>
      <c r="AC608" s="168"/>
      <c r="AD608" s="44">
        <v>0</v>
      </c>
      <c r="AE608" s="43">
        <v>700000000</v>
      </c>
      <c r="AF608" s="44">
        <v>0</v>
      </c>
      <c r="AG608" s="44">
        <v>0</v>
      </c>
      <c r="AH608" s="43">
        <v>700000000</v>
      </c>
      <c r="AI608" s="44">
        <f t="shared" si="290"/>
        <v>0</v>
      </c>
      <c r="AJ608" s="44">
        <f t="shared" si="291"/>
        <v>0</v>
      </c>
      <c r="AK608" s="44">
        <v>0</v>
      </c>
      <c r="AL608" s="44">
        <v>0</v>
      </c>
      <c r="AM608" s="44">
        <v>0</v>
      </c>
      <c r="AN608" s="44">
        <v>0</v>
      </c>
      <c r="AO608" s="44">
        <v>0</v>
      </c>
      <c r="AP608" s="44">
        <v>0</v>
      </c>
      <c r="AQ608" s="44">
        <v>0</v>
      </c>
      <c r="AR608" s="44">
        <v>0</v>
      </c>
      <c r="AS608" s="44">
        <v>0</v>
      </c>
      <c r="AT608" s="40">
        <f t="shared" si="292"/>
        <v>0</v>
      </c>
      <c r="AU608" s="34">
        <f>AJ608-AM608</f>
        <v>0</v>
      </c>
      <c r="AV608" s="34">
        <f>AM608-AP608</f>
        <v>0</v>
      </c>
      <c r="AW608" s="34">
        <f>AP608-AT608</f>
        <v>0</v>
      </c>
      <c r="AX608" s="123">
        <v>0</v>
      </c>
    </row>
    <row r="609" spans="1:50" ht="18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166" t="s">
        <v>1033</v>
      </c>
      <c r="AB609" s="167" t="s">
        <v>1034</v>
      </c>
      <c r="AC609" s="168"/>
      <c r="AD609" s="44">
        <v>0</v>
      </c>
      <c r="AE609" s="43">
        <v>1040743</v>
      </c>
      <c r="AF609" s="44">
        <v>0</v>
      </c>
      <c r="AG609" s="44">
        <v>0</v>
      </c>
      <c r="AH609" s="43">
        <v>1040743</v>
      </c>
      <c r="AI609" s="44">
        <f t="shared" si="290"/>
        <v>0</v>
      </c>
      <c r="AJ609" s="44">
        <f t="shared" si="291"/>
        <v>0</v>
      </c>
      <c r="AK609" s="44">
        <v>0</v>
      </c>
      <c r="AL609" s="44">
        <v>0</v>
      </c>
      <c r="AM609" s="44">
        <v>0</v>
      </c>
      <c r="AN609" s="44">
        <v>0</v>
      </c>
      <c r="AO609" s="44">
        <v>0</v>
      </c>
      <c r="AP609" s="44">
        <v>0</v>
      </c>
      <c r="AQ609" s="44">
        <v>0</v>
      </c>
      <c r="AR609" s="44">
        <v>0</v>
      </c>
      <c r="AS609" s="44">
        <v>0</v>
      </c>
      <c r="AT609" s="40">
        <f t="shared" si="292"/>
        <v>0</v>
      </c>
      <c r="AU609" s="34">
        <f>AJ609-AM609</f>
        <v>0</v>
      </c>
      <c r="AV609" s="34">
        <f>AM609-AP609</f>
        <v>0</v>
      </c>
      <c r="AW609" s="34">
        <f>AP609-AT609</f>
        <v>0</v>
      </c>
      <c r="AX609" s="123">
        <v>0</v>
      </c>
    </row>
    <row r="610" spans="1:50" ht="18.75" customHeight="1" x14ac:dyDescent="0.2">
      <c r="AA610" s="169" t="s">
        <v>288</v>
      </c>
      <c r="AB610" s="163" t="s">
        <v>471</v>
      </c>
      <c r="AC610" s="17"/>
      <c r="AD610" s="18"/>
      <c r="AE610" s="34"/>
      <c r="AF610" s="34"/>
      <c r="AG610" s="34"/>
      <c r="AH610" s="18"/>
      <c r="AI610" s="18"/>
      <c r="AJ610" s="18"/>
      <c r="AK610" s="34"/>
      <c r="AL610" s="34"/>
      <c r="AM610" s="34"/>
      <c r="AN610" s="34"/>
      <c r="AO610" s="34"/>
      <c r="AP610" s="34"/>
      <c r="AQ610" s="34"/>
      <c r="AR610" s="34"/>
      <c r="AS610" s="34"/>
      <c r="AT610" s="40"/>
      <c r="AU610" s="18"/>
      <c r="AV610" s="34"/>
      <c r="AW610" s="34"/>
      <c r="AX610" s="18"/>
    </row>
    <row r="611" spans="1:50" ht="18.75" customHeight="1" x14ac:dyDescent="0.2">
      <c r="A611" s="4" t="s">
        <v>55</v>
      </c>
      <c r="B611" s="4" t="s">
        <v>56</v>
      </c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1" t="s">
        <v>472</v>
      </c>
      <c r="AB611" s="42" t="s">
        <v>453</v>
      </c>
      <c r="AC611" s="43" t="s">
        <v>454</v>
      </c>
      <c r="AD611" s="43">
        <v>16500000000</v>
      </c>
      <c r="AE611" s="44">
        <v>0</v>
      </c>
      <c r="AF611" s="44">
        <v>0</v>
      </c>
      <c r="AG611" s="44">
        <v>0</v>
      </c>
      <c r="AH611" s="43">
        <v>16500000000</v>
      </c>
      <c r="AI611" s="43">
        <f>AE611-AF611+AG611-AH611</f>
        <v>-16500000000</v>
      </c>
      <c r="AJ611" s="44">
        <f>AD611+AI611</f>
        <v>0</v>
      </c>
      <c r="AK611" s="44">
        <v>0</v>
      </c>
      <c r="AL611" s="44">
        <v>0</v>
      </c>
      <c r="AM611" s="44">
        <v>0</v>
      </c>
      <c r="AN611" s="44">
        <v>0</v>
      </c>
      <c r="AO611" s="44">
        <v>0</v>
      </c>
      <c r="AP611" s="44">
        <v>0</v>
      </c>
      <c r="AQ611" s="44">
        <v>0</v>
      </c>
      <c r="AR611" s="44">
        <v>0</v>
      </c>
      <c r="AS611" s="44">
        <v>0</v>
      </c>
      <c r="AT611" s="40">
        <f>AQ611+AS611</f>
        <v>0</v>
      </c>
      <c r="AU611" s="34">
        <f>AJ611-AM611</f>
        <v>0</v>
      </c>
      <c r="AV611" s="34">
        <f>AM611-AP611</f>
        <v>0</v>
      </c>
      <c r="AW611" s="34">
        <f>AP611-AT611</f>
        <v>0</v>
      </c>
      <c r="AX611" s="123">
        <v>0</v>
      </c>
    </row>
    <row r="612" spans="1:50" ht="25.5" x14ac:dyDescent="0.2">
      <c r="AA612" s="28" t="s">
        <v>288</v>
      </c>
      <c r="AB612" s="29" t="s">
        <v>473</v>
      </c>
      <c r="AC612" s="17"/>
      <c r="AD612" s="18"/>
      <c r="AE612" s="18"/>
      <c r="AF612" s="18"/>
      <c r="AG612" s="18"/>
      <c r="AH612" s="18"/>
      <c r="AI612" s="18"/>
      <c r="AJ612" s="18"/>
      <c r="AK612" s="34"/>
      <c r="AL612" s="34"/>
      <c r="AM612" s="34"/>
      <c r="AN612" s="34"/>
      <c r="AO612" s="34"/>
      <c r="AP612" s="34"/>
      <c r="AQ612" s="18"/>
      <c r="AR612" s="18"/>
      <c r="AS612" s="18"/>
      <c r="AT612" s="40"/>
      <c r="AU612" s="18"/>
      <c r="AV612" s="34"/>
      <c r="AW612" s="34"/>
      <c r="AX612" s="18"/>
    </row>
    <row r="613" spans="1:50" ht="18.75" customHeight="1" x14ac:dyDescent="0.2">
      <c r="A613" s="4" t="s">
        <v>55</v>
      </c>
      <c r="B613" s="4" t="s">
        <v>56</v>
      </c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1" t="s">
        <v>474</v>
      </c>
      <c r="AB613" s="42" t="s">
        <v>233</v>
      </c>
      <c r="AC613" s="43" t="s">
        <v>58</v>
      </c>
      <c r="AD613" s="44">
        <v>0</v>
      </c>
      <c r="AE613" s="44">
        <v>0</v>
      </c>
      <c r="AF613" s="44">
        <v>0</v>
      </c>
      <c r="AG613" s="43">
        <v>22204778</v>
      </c>
      <c r="AH613" s="43">
        <v>22204778</v>
      </c>
      <c r="AI613" s="43">
        <f>AE613-AF613+AG613-AH613</f>
        <v>0</v>
      </c>
      <c r="AJ613" s="43">
        <f>AD613+AI613</f>
        <v>0</v>
      </c>
      <c r="AK613" s="44">
        <v>0</v>
      </c>
      <c r="AL613" s="44">
        <v>0</v>
      </c>
      <c r="AM613" s="44">
        <v>0</v>
      </c>
      <c r="AN613" s="44">
        <v>0</v>
      </c>
      <c r="AO613" s="44">
        <v>0</v>
      </c>
      <c r="AP613" s="44">
        <v>0</v>
      </c>
      <c r="AQ613" s="44">
        <v>0</v>
      </c>
      <c r="AR613" s="44">
        <v>0</v>
      </c>
      <c r="AS613" s="44">
        <v>0</v>
      </c>
      <c r="AT613" s="40">
        <f>AQ613+AS613</f>
        <v>0</v>
      </c>
      <c r="AU613" s="18">
        <f>AJ613-AM613</f>
        <v>0</v>
      </c>
      <c r="AV613" s="34">
        <f>AM613-AP613</f>
        <v>0</v>
      </c>
      <c r="AW613" s="34">
        <f>AP613-AT613</f>
        <v>0</v>
      </c>
      <c r="AX613" s="123">
        <v>0</v>
      </c>
    </row>
    <row r="614" spans="1:50" ht="18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1" t="s">
        <v>1279</v>
      </c>
      <c r="AB614" s="42" t="s">
        <v>1280</v>
      </c>
      <c r="AC614" s="168"/>
      <c r="AD614" s="44">
        <v>0</v>
      </c>
      <c r="AE614" s="44">
        <v>0</v>
      </c>
      <c r="AF614" s="44">
        <v>0</v>
      </c>
      <c r="AG614" s="43">
        <v>451451337.30000001</v>
      </c>
      <c r="AH614" s="44"/>
      <c r="AI614" s="43">
        <f t="shared" ref="AI614:AI618" si="293">AE614-AF614+AG614-AH614</f>
        <v>451451337.30000001</v>
      </c>
      <c r="AJ614" s="43">
        <f t="shared" ref="AJ614:AJ618" si="294">AD614+AI614</f>
        <v>451451337.30000001</v>
      </c>
      <c r="AK614" s="44">
        <v>0</v>
      </c>
      <c r="AL614" s="43">
        <v>0</v>
      </c>
      <c r="AM614" s="43">
        <v>451451337</v>
      </c>
      <c r="AN614" s="44">
        <v>0</v>
      </c>
      <c r="AO614" s="43">
        <f>AP614-SEPTIEMBRE!AP607</f>
        <v>451451337</v>
      </c>
      <c r="AP614" s="43">
        <v>451451337</v>
      </c>
      <c r="AQ614" s="44">
        <v>0</v>
      </c>
      <c r="AR614" s="44">
        <v>0</v>
      </c>
      <c r="AS614" s="44">
        <v>0</v>
      </c>
      <c r="AT614" s="40">
        <f t="shared" ref="AT614:AT617" si="295">AQ614+AS614</f>
        <v>0</v>
      </c>
      <c r="AU614" s="18">
        <f t="shared" ref="AU614:AU617" si="296">AJ614-AM614</f>
        <v>0.30000001192092896</v>
      </c>
      <c r="AV614" s="34">
        <f t="shared" ref="AV614:AV617" si="297">AM614-AP614</f>
        <v>0</v>
      </c>
      <c r="AW614" s="18">
        <f t="shared" ref="AW614:AW617" si="298">AP614-AT614</f>
        <v>451451337</v>
      </c>
      <c r="AX614" s="123">
        <f t="shared" ref="AX614:AX617" si="299">AP614/AJ614</f>
        <v>0.99999999933547656</v>
      </c>
    </row>
    <row r="615" spans="1:50" ht="18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1" t="s">
        <v>1281</v>
      </c>
      <c r="AB615" s="42" t="s">
        <v>1032</v>
      </c>
      <c r="AC615" s="168"/>
      <c r="AD615" s="44">
        <v>0</v>
      </c>
      <c r="AE615" s="44">
        <v>0</v>
      </c>
      <c r="AF615" s="44">
        <v>0</v>
      </c>
      <c r="AG615" s="43">
        <v>700000000</v>
      </c>
      <c r="AH615" s="43">
        <v>266610214</v>
      </c>
      <c r="AI615" s="43">
        <f t="shared" si="293"/>
        <v>433389786</v>
      </c>
      <c r="AJ615" s="43">
        <f t="shared" si="294"/>
        <v>433389786</v>
      </c>
      <c r="AK615" s="44">
        <v>0</v>
      </c>
      <c r="AL615" s="43">
        <v>-36673684.060000002</v>
      </c>
      <c r="AM615" s="43">
        <v>396716101</v>
      </c>
      <c r="AN615" s="44">
        <v>0</v>
      </c>
      <c r="AO615" s="43">
        <f>AP615-SEPTIEMBRE!AP608</f>
        <v>396716101</v>
      </c>
      <c r="AP615" s="43">
        <v>396716101</v>
      </c>
      <c r="AQ615" s="44">
        <v>0</v>
      </c>
      <c r="AR615" s="44">
        <v>0</v>
      </c>
      <c r="AS615" s="44">
        <v>0</v>
      </c>
      <c r="AT615" s="40">
        <f t="shared" si="295"/>
        <v>0</v>
      </c>
      <c r="AU615" s="18">
        <f t="shared" si="296"/>
        <v>36673685</v>
      </c>
      <c r="AV615" s="34">
        <f t="shared" si="297"/>
        <v>0</v>
      </c>
      <c r="AW615" s="18">
        <f t="shared" si="298"/>
        <v>396716101</v>
      </c>
      <c r="AX615" s="123">
        <f t="shared" si="299"/>
        <v>0.91537944320635189</v>
      </c>
    </row>
    <row r="616" spans="1:50" ht="29.2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1" t="s">
        <v>1282</v>
      </c>
      <c r="AB616" s="42" t="s">
        <v>1047</v>
      </c>
      <c r="AC616" s="168"/>
      <c r="AD616" s="44">
        <v>0</v>
      </c>
      <c r="AE616" s="44">
        <v>0</v>
      </c>
      <c r="AF616" s="44">
        <v>0</v>
      </c>
      <c r="AG616" s="43">
        <v>186255799.66</v>
      </c>
      <c r="AH616" s="44"/>
      <c r="AI616" s="43">
        <f t="shared" si="293"/>
        <v>186255799.66</v>
      </c>
      <c r="AJ616" s="43">
        <f t="shared" si="294"/>
        <v>186255799.66</v>
      </c>
      <c r="AK616" s="44">
        <v>0</v>
      </c>
      <c r="AL616" s="44">
        <v>0</v>
      </c>
      <c r="AM616" s="44">
        <v>0</v>
      </c>
      <c r="AN616" s="44">
        <v>0</v>
      </c>
      <c r="AO616" s="44">
        <f>AP616-SEPTIEMBRE!AP609</f>
        <v>0</v>
      </c>
      <c r="AP616" s="44">
        <v>0</v>
      </c>
      <c r="AQ616" s="44">
        <v>0</v>
      </c>
      <c r="AR616" s="44">
        <v>0</v>
      </c>
      <c r="AS616" s="44">
        <v>0</v>
      </c>
      <c r="AT616" s="40">
        <f t="shared" si="295"/>
        <v>0</v>
      </c>
      <c r="AU616" s="18">
        <f t="shared" si="296"/>
        <v>186255799.66</v>
      </c>
      <c r="AV616" s="34">
        <f t="shared" si="297"/>
        <v>0</v>
      </c>
      <c r="AW616" s="34">
        <f t="shared" si="298"/>
        <v>0</v>
      </c>
      <c r="AX616" s="123">
        <f t="shared" si="299"/>
        <v>0</v>
      </c>
    </row>
    <row r="617" spans="1:50" ht="18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1" t="s">
        <v>1283</v>
      </c>
      <c r="AB617" s="42" t="s">
        <v>1284</v>
      </c>
      <c r="AC617" s="168"/>
      <c r="AD617" s="44">
        <v>0</v>
      </c>
      <c r="AE617" s="44">
        <v>0</v>
      </c>
      <c r="AF617" s="44">
        <v>0</v>
      </c>
      <c r="AG617" s="43">
        <v>1040743</v>
      </c>
      <c r="AH617" s="44"/>
      <c r="AI617" s="43">
        <f t="shared" si="293"/>
        <v>1040743</v>
      </c>
      <c r="AJ617" s="43">
        <f t="shared" si="294"/>
        <v>1040743</v>
      </c>
      <c r="AK617" s="44">
        <v>0</v>
      </c>
      <c r="AL617" s="44">
        <v>0</v>
      </c>
      <c r="AM617" s="44">
        <v>0</v>
      </c>
      <c r="AN617" s="44">
        <v>0</v>
      </c>
      <c r="AO617" s="44">
        <v>0</v>
      </c>
      <c r="AP617" s="44">
        <v>0</v>
      </c>
      <c r="AQ617" s="44">
        <v>0</v>
      </c>
      <c r="AR617" s="44">
        <v>0</v>
      </c>
      <c r="AS617" s="44">
        <v>0</v>
      </c>
      <c r="AT617" s="40">
        <f t="shared" si="295"/>
        <v>0</v>
      </c>
      <c r="AU617" s="18">
        <f t="shared" si="296"/>
        <v>1040743</v>
      </c>
      <c r="AV617" s="34">
        <f t="shared" si="297"/>
        <v>0</v>
      </c>
      <c r="AW617" s="34">
        <f t="shared" si="298"/>
        <v>0</v>
      </c>
      <c r="AX617" s="123">
        <f t="shared" si="299"/>
        <v>0</v>
      </c>
    </row>
    <row r="618" spans="1:50" ht="27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166" t="s">
        <v>1046</v>
      </c>
      <c r="AB618" s="167" t="s">
        <v>1047</v>
      </c>
      <c r="AC618" s="168"/>
      <c r="AD618" s="44">
        <v>0</v>
      </c>
      <c r="AE618" s="43">
        <v>186255799.66</v>
      </c>
      <c r="AF618" s="44">
        <v>0</v>
      </c>
      <c r="AG618" s="44">
        <v>0</v>
      </c>
      <c r="AH618" s="43">
        <v>186255799.66</v>
      </c>
      <c r="AI618" s="43">
        <f t="shared" si="293"/>
        <v>0</v>
      </c>
      <c r="AJ618" s="43">
        <f t="shared" si="294"/>
        <v>0</v>
      </c>
      <c r="AK618" s="44">
        <v>0</v>
      </c>
      <c r="AL618" s="44">
        <v>0</v>
      </c>
      <c r="AM618" s="44">
        <v>0</v>
      </c>
      <c r="AN618" s="44">
        <v>0</v>
      </c>
      <c r="AO618" s="44">
        <v>0</v>
      </c>
      <c r="AP618" s="44">
        <v>0</v>
      </c>
      <c r="AQ618" s="44">
        <v>0</v>
      </c>
      <c r="AR618" s="44">
        <v>0</v>
      </c>
      <c r="AS618" s="44">
        <v>0</v>
      </c>
      <c r="AT618" s="40">
        <f>AQ618+AS618</f>
        <v>0</v>
      </c>
      <c r="AU618" s="34">
        <f>AJ618-AM618</f>
        <v>0</v>
      </c>
      <c r="AV618" s="34">
        <f>AM618-AP618</f>
        <v>0</v>
      </c>
      <c r="AW618" s="34">
        <f>AP618-AT618</f>
        <v>0</v>
      </c>
      <c r="AX618" s="123">
        <v>0</v>
      </c>
    </row>
    <row r="619" spans="1:50" ht="25.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171" t="s">
        <v>288</v>
      </c>
      <c r="AB619" s="213" t="s">
        <v>1037</v>
      </c>
      <c r="AC619" s="168"/>
      <c r="AD619" s="44"/>
      <c r="AE619" s="44"/>
      <c r="AF619" s="44"/>
      <c r="AG619" s="43"/>
      <c r="AH619" s="44"/>
      <c r="AI619" s="43"/>
      <c r="AJ619" s="43"/>
      <c r="AK619" s="44"/>
      <c r="AL619" s="44"/>
      <c r="AM619" s="44"/>
      <c r="AN619" s="44"/>
      <c r="AO619" s="44"/>
      <c r="AP619" s="44"/>
      <c r="AQ619" s="44"/>
      <c r="AR619" s="44"/>
      <c r="AS619" s="44"/>
      <c r="AT619" s="40"/>
      <c r="AU619" s="18"/>
      <c r="AV619" s="34"/>
      <c r="AW619" s="34"/>
      <c r="AX619" s="123"/>
    </row>
    <row r="620" spans="1:50" ht="28.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166" t="s">
        <v>1038</v>
      </c>
      <c r="AB620" s="167" t="s">
        <v>1039</v>
      </c>
      <c r="AC620" s="168"/>
      <c r="AD620" s="44">
        <v>0</v>
      </c>
      <c r="AE620" s="43">
        <v>266733201.66</v>
      </c>
      <c r="AF620" s="44">
        <v>0</v>
      </c>
      <c r="AG620" s="44">
        <v>0</v>
      </c>
      <c r="AH620" s="44">
        <v>0</v>
      </c>
      <c r="AI620" s="43">
        <f>AE620-AF620+AG620-AH620</f>
        <v>266733201.66</v>
      </c>
      <c r="AJ620" s="43">
        <f>AD620+AI620</f>
        <v>266733201.66</v>
      </c>
      <c r="AK620" s="44">
        <v>0</v>
      </c>
      <c r="AL620" s="44">
        <v>0</v>
      </c>
      <c r="AM620" s="44">
        <v>0</v>
      </c>
      <c r="AN620" s="44">
        <v>0</v>
      </c>
      <c r="AO620" s="44">
        <v>0</v>
      </c>
      <c r="AP620" s="44">
        <v>0</v>
      </c>
      <c r="AQ620" s="44">
        <v>0</v>
      </c>
      <c r="AR620" s="44">
        <v>0</v>
      </c>
      <c r="AS620" s="44">
        <v>0</v>
      </c>
      <c r="AT620" s="40">
        <f>AQ620+AS620</f>
        <v>0</v>
      </c>
      <c r="AU620" s="18">
        <f>AJ620-AM620</f>
        <v>266733201.66</v>
      </c>
      <c r="AV620" s="34">
        <f>AM620-AP620</f>
        <v>0</v>
      </c>
      <c r="AW620" s="34">
        <f>AP620-AT620</f>
        <v>0</v>
      </c>
      <c r="AX620" s="123">
        <f>AP620/AJ620</f>
        <v>0</v>
      </c>
    </row>
    <row r="621" spans="1:50" x14ac:dyDescent="0.2">
      <c r="AA621" s="162"/>
      <c r="AB621" s="163" t="s">
        <v>475</v>
      </c>
      <c r="AC621" s="17"/>
      <c r="AD621" s="34"/>
      <c r="AE621" s="34"/>
      <c r="AF621" s="34"/>
      <c r="AG621" s="18"/>
      <c r="AH621" s="34"/>
      <c r="AI621" s="18"/>
      <c r="AJ621" s="18"/>
      <c r="AK621" s="34"/>
      <c r="AL621" s="34"/>
      <c r="AM621" s="34"/>
      <c r="AN621" s="34"/>
      <c r="AO621" s="34"/>
      <c r="AP621" s="34"/>
      <c r="AQ621" s="34"/>
      <c r="AR621" s="34"/>
      <c r="AS621" s="34"/>
      <c r="AT621" s="40"/>
      <c r="AU621" s="18"/>
      <c r="AV621" s="34"/>
      <c r="AW621" s="18"/>
      <c r="AX621" s="18"/>
    </row>
    <row r="622" spans="1:50" x14ac:dyDescent="0.2">
      <c r="A622" s="4" t="s">
        <v>55</v>
      </c>
      <c r="B622" s="4" t="s">
        <v>56</v>
      </c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1" t="s">
        <v>476</v>
      </c>
      <c r="AB622" s="42" t="s">
        <v>458</v>
      </c>
      <c r="AC622" s="43" t="s">
        <v>454</v>
      </c>
      <c r="AD622" s="44">
        <v>0</v>
      </c>
      <c r="AE622" s="44">
        <v>0</v>
      </c>
      <c r="AF622" s="44">
        <v>0</v>
      </c>
      <c r="AG622" s="43">
        <v>3975320525</v>
      </c>
      <c r="AH622" s="44">
        <v>0</v>
      </c>
      <c r="AI622" s="43">
        <f>AE622-AF622+AG622-AH622</f>
        <v>3975320525</v>
      </c>
      <c r="AJ622" s="43">
        <f>AD622+AI622</f>
        <v>3975320525</v>
      </c>
      <c r="AK622" s="115">
        <v>0</v>
      </c>
      <c r="AL622" s="43">
        <v>0</v>
      </c>
      <c r="AM622" s="114">
        <v>3461849211</v>
      </c>
      <c r="AN622" s="44">
        <v>0</v>
      </c>
      <c r="AO622" s="44">
        <f>AP622-SEPTIEMBRE!AP615</f>
        <v>0</v>
      </c>
      <c r="AP622" s="43">
        <v>3461849211</v>
      </c>
      <c r="AQ622" s="43">
        <v>0</v>
      </c>
      <c r="AR622" s="43">
        <v>1174562644</v>
      </c>
      <c r="AS622" s="43">
        <v>1174562644</v>
      </c>
      <c r="AT622" s="39">
        <f>AQ622+AS622</f>
        <v>1174562644</v>
      </c>
      <c r="AU622" s="18">
        <f>AJ622-AM622</f>
        <v>513471314</v>
      </c>
      <c r="AV622" s="133">
        <f>AM622-AP622</f>
        <v>0</v>
      </c>
      <c r="AW622" s="18">
        <f>AP622-AT622</f>
        <v>2287286567</v>
      </c>
      <c r="AX622" s="123">
        <f>AP622/AJ622</f>
        <v>0.87083524189536887</v>
      </c>
    </row>
    <row r="623" spans="1:50" ht="25.5" x14ac:dyDescent="0.2">
      <c r="AA623" s="28" t="s">
        <v>288</v>
      </c>
      <c r="AB623" s="29" t="s">
        <v>477</v>
      </c>
      <c r="AC623" s="17"/>
      <c r="AD623" s="18"/>
      <c r="AE623" s="18"/>
      <c r="AF623" s="18"/>
      <c r="AG623" s="18"/>
      <c r="AH623" s="18"/>
      <c r="AI623" s="18"/>
      <c r="AJ623" s="18"/>
      <c r="AK623" s="34"/>
      <c r="AL623" s="145"/>
      <c r="AM623" s="18"/>
      <c r="AN623" s="18"/>
      <c r="AO623" s="18"/>
      <c r="AP623" s="18"/>
      <c r="AQ623" s="34"/>
      <c r="AR623" s="34"/>
      <c r="AS623" s="34"/>
      <c r="AT623" s="40"/>
      <c r="AU623" s="18"/>
      <c r="AV623" s="34"/>
      <c r="AW623" s="18"/>
      <c r="AX623" s="18"/>
    </row>
    <row r="624" spans="1:50" x14ac:dyDescent="0.2">
      <c r="A624" s="4" t="s">
        <v>55</v>
      </c>
      <c r="B624" s="4" t="s">
        <v>56</v>
      </c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1" t="s">
        <v>478</v>
      </c>
      <c r="AB624" s="42" t="s">
        <v>233</v>
      </c>
      <c r="AC624" s="43" t="s">
        <v>58</v>
      </c>
      <c r="AD624" s="43">
        <v>389814494</v>
      </c>
      <c r="AE624" s="44">
        <v>0</v>
      </c>
      <c r="AF624" s="44">
        <v>0</v>
      </c>
      <c r="AG624" s="43">
        <v>50860045</v>
      </c>
      <c r="AH624" s="44">
        <v>0</v>
      </c>
      <c r="AI624" s="43">
        <f>AE624-AF624+AG624-AH624</f>
        <v>50860045</v>
      </c>
      <c r="AJ624" s="43">
        <f>AD624+AI624</f>
        <v>440674539</v>
      </c>
      <c r="AK624" s="44">
        <v>0</v>
      </c>
      <c r="AL624" s="143">
        <v>0</v>
      </c>
      <c r="AM624" s="43">
        <v>440674539</v>
      </c>
      <c r="AN624" s="44">
        <v>0</v>
      </c>
      <c r="AO624" s="44">
        <v>0</v>
      </c>
      <c r="AP624" s="43">
        <v>440674539</v>
      </c>
      <c r="AQ624" s="44">
        <v>0</v>
      </c>
      <c r="AR624" s="44">
        <v>0</v>
      </c>
      <c r="AS624" s="43">
        <v>305702683.25</v>
      </c>
      <c r="AT624" s="39">
        <f>AQ624+AS624</f>
        <v>305702683.25</v>
      </c>
      <c r="AU624" s="34">
        <f>AJ624-AM624</f>
        <v>0</v>
      </c>
      <c r="AV624" s="34">
        <f>AM624-AP624</f>
        <v>0</v>
      </c>
      <c r="AW624" s="18">
        <f>AP624-AT624</f>
        <v>134971855.75</v>
      </c>
      <c r="AX624" s="123">
        <f>AP624/AJ624</f>
        <v>1</v>
      </c>
    </row>
    <row r="625" spans="1:50" ht="25.5" x14ac:dyDescent="0.2">
      <c r="A625" s="4" t="s">
        <v>55</v>
      </c>
      <c r="B625" s="4" t="s">
        <v>56</v>
      </c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1" t="s">
        <v>479</v>
      </c>
      <c r="AB625" s="42" t="s">
        <v>480</v>
      </c>
      <c r="AC625" s="43" t="s">
        <v>368</v>
      </c>
      <c r="AD625" s="43">
        <v>88687399.159999996</v>
      </c>
      <c r="AE625" s="44">
        <v>0</v>
      </c>
      <c r="AF625" s="44">
        <v>0</v>
      </c>
      <c r="AG625" s="44">
        <v>0</v>
      </c>
      <c r="AH625" s="44">
        <v>0</v>
      </c>
      <c r="AI625" s="44">
        <v>0</v>
      </c>
      <c r="AJ625" s="142">
        <v>88687399.159999996</v>
      </c>
      <c r="AK625" s="44">
        <v>0</v>
      </c>
      <c r="AL625" s="143">
        <v>0</v>
      </c>
      <c r="AM625" s="43">
        <v>88687399</v>
      </c>
      <c r="AN625" s="44">
        <v>0</v>
      </c>
      <c r="AO625" s="44">
        <v>0</v>
      </c>
      <c r="AP625" s="43">
        <v>88687399</v>
      </c>
      <c r="AQ625" s="44">
        <v>0</v>
      </c>
      <c r="AR625" s="44">
        <v>0</v>
      </c>
      <c r="AS625" s="43">
        <v>82109841</v>
      </c>
      <c r="AT625" s="39">
        <f>AQ625+AS625</f>
        <v>82109841</v>
      </c>
      <c r="AU625" s="18">
        <f>AJ625-AM625</f>
        <v>0.15999999642372131</v>
      </c>
      <c r="AV625" s="34">
        <f>AM625-AP625</f>
        <v>0</v>
      </c>
      <c r="AW625" s="18">
        <f>AP625-AT625</f>
        <v>6577558</v>
      </c>
      <c r="AX625" s="123">
        <f>AP625/AJ625</f>
        <v>0.99999999819591057</v>
      </c>
    </row>
    <row r="626" spans="1:50" ht="25.5" x14ac:dyDescent="0.2">
      <c r="AA626" s="28" t="s">
        <v>288</v>
      </c>
      <c r="AB626" s="29" t="s">
        <v>481</v>
      </c>
      <c r="AC626" s="17"/>
      <c r="AD626" s="18"/>
      <c r="AE626" s="18"/>
      <c r="AF626" s="18"/>
      <c r="AG626" s="18"/>
      <c r="AH626" s="18"/>
      <c r="AI626" s="18"/>
      <c r="AJ626" s="147"/>
      <c r="AK626" s="34"/>
      <c r="AL626" s="145"/>
      <c r="AM626" s="18"/>
      <c r="AN626" s="34"/>
      <c r="AO626" s="18"/>
      <c r="AP626" s="18"/>
      <c r="AQ626" s="34"/>
      <c r="AR626" s="34"/>
      <c r="AS626" s="34"/>
      <c r="AT626" s="40"/>
      <c r="AU626" s="18"/>
      <c r="AV626" s="34"/>
      <c r="AW626" s="18"/>
      <c r="AX626" s="18"/>
    </row>
    <row r="627" spans="1:50" x14ac:dyDescent="0.2">
      <c r="A627" s="4" t="s">
        <v>55</v>
      </c>
      <c r="B627" s="4" t="s">
        <v>56</v>
      </c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1" t="s">
        <v>482</v>
      </c>
      <c r="AB627" s="42" t="s">
        <v>233</v>
      </c>
      <c r="AC627" s="43" t="s">
        <v>58</v>
      </c>
      <c r="AD627" s="43">
        <v>732098782</v>
      </c>
      <c r="AE627" s="44">
        <v>0</v>
      </c>
      <c r="AF627" s="44">
        <v>0</v>
      </c>
      <c r="AG627" s="43">
        <f>96486764+3167867568.08</f>
        <v>3264354332.0799999</v>
      </c>
      <c r="AH627" s="44">
        <v>0</v>
      </c>
      <c r="AI627" s="43">
        <f>AE627-AF627+AG627-AH627</f>
        <v>3264354332.0799999</v>
      </c>
      <c r="AJ627" s="142">
        <f>AD627+AI627</f>
        <v>3996453114.0799999</v>
      </c>
      <c r="AK627" s="44">
        <v>0</v>
      </c>
      <c r="AL627" s="143">
        <v>0</v>
      </c>
      <c r="AM627" s="43">
        <v>828287647.5</v>
      </c>
      <c r="AN627" s="44">
        <v>0</v>
      </c>
      <c r="AO627" s="143">
        <v>0</v>
      </c>
      <c r="AP627" s="43">
        <v>828287647.5</v>
      </c>
      <c r="AQ627" s="44">
        <v>0</v>
      </c>
      <c r="AR627" s="44">
        <v>0</v>
      </c>
      <c r="AS627" s="43">
        <v>588667166.63999999</v>
      </c>
      <c r="AT627" s="39">
        <f>AQ627+AS627</f>
        <v>588667166.63999999</v>
      </c>
      <c r="AU627" s="18">
        <f>AJ627-AM627</f>
        <v>3168165466.5799999</v>
      </c>
      <c r="AV627" s="34">
        <f>AM627-AP627</f>
        <v>0</v>
      </c>
      <c r="AW627" s="18">
        <f>AP627-AT627</f>
        <v>239620480.86000001</v>
      </c>
      <c r="AX627" s="123">
        <f>AP627/AJ627</f>
        <v>0.20725568994712834</v>
      </c>
    </row>
    <row r="628" spans="1:50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1" t="s">
        <v>1385</v>
      </c>
      <c r="AB628" s="42" t="s">
        <v>453</v>
      </c>
      <c r="AC628" s="43"/>
      <c r="AD628" s="44">
        <v>0</v>
      </c>
      <c r="AE628" s="43">
        <f>17804659196+8428553475</f>
        <v>26233212671</v>
      </c>
      <c r="AF628" s="44">
        <v>0</v>
      </c>
      <c r="AG628" s="44">
        <v>0</v>
      </c>
      <c r="AH628" s="44">
        <v>0</v>
      </c>
      <c r="AI628" s="43">
        <f>AE628-AF628+AG628-AH628</f>
        <v>26233212671</v>
      </c>
      <c r="AJ628" s="142">
        <f>AD628+AI628</f>
        <v>26233212671</v>
      </c>
      <c r="AK628" s="44">
        <v>0</v>
      </c>
      <c r="AL628" s="143">
        <v>0</v>
      </c>
      <c r="AM628" s="43">
        <v>16145424861</v>
      </c>
      <c r="AN628" s="43">
        <v>0</v>
      </c>
      <c r="AO628" s="142">
        <v>0</v>
      </c>
      <c r="AP628" s="43">
        <v>16145424861</v>
      </c>
      <c r="AQ628" s="43">
        <v>0</v>
      </c>
      <c r="AR628" s="44">
        <v>2745098680.6999998</v>
      </c>
      <c r="AS628" s="44">
        <v>2745098680.6999998</v>
      </c>
      <c r="AT628" s="39">
        <f>AQ628+AS628</f>
        <v>2745098680.6999998</v>
      </c>
      <c r="AU628" s="18">
        <f>AJ628-AM628</f>
        <v>10087787810</v>
      </c>
      <c r="AV628" s="34">
        <f>AM628-AP628</f>
        <v>0</v>
      </c>
      <c r="AW628" s="18">
        <f>AP628-AT628</f>
        <v>13400326180.299999</v>
      </c>
      <c r="AX628" s="327">
        <f>AP628/AJ628</f>
        <v>0.61545739988027715</v>
      </c>
    </row>
    <row r="629" spans="1:50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73" t="s">
        <v>288</v>
      </c>
      <c r="AB629" s="74" t="s">
        <v>1391</v>
      </c>
      <c r="AC629" s="43"/>
      <c r="AD629" s="44"/>
      <c r="AE629" s="43"/>
      <c r="AF629" s="44"/>
      <c r="AG629" s="44"/>
      <c r="AH629" s="44"/>
      <c r="AI629" s="43"/>
      <c r="AJ629" s="142"/>
      <c r="AK629" s="44"/>
      <c r="AL629" s="143"/>
      <c r="AM629" s="43"/>
      <c r="AN629" s="43"/>
      <c r="AO629" s="142"/>
      <c r="AP629" s="43"/>
      <c r="AQ629" s="43"/>
      <c r="AR629" s="44"/>
      <c r="AS629" s="44"/>
      <c r="AT629" s="39"/>
      <c r="AU629" s="18"/>
      <c r="AV629" s="34"/>
      <c r="AW629" s="18"/>
      <c r="AX629" s="40"/>
    </row>
    <row r="630" spans="1:50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1" t="s">
        <v>1392</v>
      </c>
      <c r="AB630" s="42" t="s">
        <v>233</v>
      </c>
      <c r="AC630" s="43"/>
      <c r="AD630" s="44">
        <v>0</v>
      </c>
      <c r="AE630" s="43"/>
      <c r="AF630" s="44">
        <v>0</v>
      </c>
      <c r="AG630" s="43">
        <v>5265449112.3999996</v>
      </c>
      <c r="AH630" s="44">
        <v>0</v>
      </c>
      <c r="AI630" s="43">
        <f>AE630-AF630+AG630-AH630</f>
        <v>5265449112.3999996</v>
      </c>
      <c r="AJ630" s="142">
        <f>AD630+AI630</f>
        <v>5265449112.3999996</v>
      </c>
      <c r="AK630" s="44">
        <v>0</v>
      </c>
      <c r="AL630" s="143">
        <v>0</v>
      </c>
      <c r="AM630" s="43">
        <v>0</v>
      </c>
      <c r="AN630" s="43">
        <v>0</v>
      </c>
      <c r="AO630" s="143">
        <v>0</v>
      </c>
      <c r="AP630" s="44">
        <v>0</v>
      </c>
      <c r="AQ630" s="44">
        <v>0</v>
      </c>
      <c r="AR630" s="44">
        <v>0</v>
      </c>
      <c r="AS630" s="44">
        <v>0</v>
      </c>
      <c r="AT630" s="39">
        <f>AQ630+AS630</f>
        <v>0</v>
      </c>
      <c r="AU630" s="18">
        <f>AJ630-AM630</f>
        <v>5265449112.3999996</v>
      </c>
      <c r="AV630" s="34">
        <f>AM630-AP630</f>
        <v>0</v>
      </c>
      <c r="AW630" s="18">
        <f>AP630-AT630</f>
        <v>0</v>
      </c>
      <c r="AX630" s="327">
        <f>AP630/AJ630</f>
        <v>0</v>
      </c>
    </row>
    <row r="631" spans="1:50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1"/>
      <c r="AB631" s="42"/>
      <c r="AC631" s="43"/>
      <c r="AD631" s="44"/>
      <c r="AE631" s="43"/>
      <c r="AF631" s="44"/>
      <c r="AG631" s="44"/>
      <c r="AH631" s="44"/>
      <c r="AI631" s="43"/>
      <c r="AJ631" s="142"/>
      <c r="AK631" s="44"/>
      <c r="AL631" s="143"/>
      <c r="AM631" s="43"/>
      <c r="AN631" s="43"/>
      <c r="AO631" s="142"/>
      <c r="AP631" s="43"/>
      <c r="AQ631" s="43"/>
      <c r="AR631" s="44"/>
      <c r="AS631" s="44"/>
      <c r="AT631" s="39"/>
      <c r="AU631" s="18"/>
      <c r="AV631" s="34"/>
      <c r="AW631" s="18"/>
      <c r="AX631" s="40"/>
    </row>
    <row r="632" spans="1:50" x14ac:dyDescent="0.2">
      <c r="AA632" s="28" t="s">
        <v>288</v>
      </c>
      <c r="AB632" s="29" t="s">
        <v>483</v>
      </c>
      <c r="AC632" s="17"/>
      <c r="AD632" s="18"/>
      <c r="AE632" s="34"/>
      <c r="AF632" s="34"/>
      <c r="AG632" s="18"/>
      <c r="AH632" s="34"/>
      <c r="AI632" s="18"/>
      <c r="AJ632" s="147"/>
      <c r="AK632" s="34"/>
      <c r="AL632" s="145"/>
      <c r="AM632" s="18"/>
      <c r="AN632" s="34"/>
      <c r="AO632" s="145"/>
      <c r="AP632" s="18"/>
      <c r="AQ632" s="34"/>
      <c r="AR632" s="34"/>
      <c r="AS632" s="34"/>
      <c r="AT632" s="40"/>
      <c r="AU632" s="18"/>
      <c r="AV632" s="34"/>
      <c r="AW632" s="18"/>
      <c r="AX632" s="18"/>
    </row>
    <row r="633" spans="1:50" x14ac:dyDescent="0.2">
      <c r="A633" s="4" t="s">
        <v>55</v>
      </c>
      <c r="B633" s="4" t="s">
        <v>56</v>
      </c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1" t="s">
        <v>484</v>
      </c>
      <c r="AB633" s="42" t="s">
        <v>233</v>
      </c>
      <c r="AC633" s="43" t="s">
        <v>58</v>
      </c>
      <c r="AD633" s="44">
        <v>0</v>
      </c>
      <c r="AE633" s="44">
        <v>0</v>
      </c>
      <c r="AF633" s="44">
        <v>0</v>
      </c>
      <c r="AG633" s="43">
        <f>60325921.15+40465552+22204778</f>
        <v>122996251.15000001</v>
      </c>
      <c r="AH633" s="44">
        <v>0</v>
      </c>
      <c r="AI633" s="43">
        <f>AE633-AF633+AG633-AH633</f>
        <v>122996251.15000001</v>
      </c>
      <c r="AJ633" s="142">
        <f>AD633+AI633</f>
        <v>122996251.15000001</v>
      </c>
      <c r="AK633" s="44">
        <v>0</v>
      </c>
      <c r="AL633" s="143">
        <v>0</v>
      </c>
      <c r="AM633" s="43">
        <v>100758121.22</v>
      </c>
      <c r="AN633" s="44">
        <v>0</v>
      </c>
      <c r="AO633" s="143">
        <v>0</v>
      </c>
      <c r="AP633" s="43">
        <v>100758121.22</v>
      </c>
      <c r="AQ633" s="44">
        <v>0</v>
      </c>
      <c r="AR633" s="44">
        <v>12325921.15</v>
      </c>
      <c r="AS633" s="43">
        <v>52143967.32</v>
      </c>
      <c r="AT633" s="39">
        <f>AQ633+AS633</f>
        <v>52143967.32</v>
      </c>
      <c r="AU633" s="18">
        <f>AJ633-AM633</f>
        <v>22238129.930000007</v>
      </c>
      <c r="AV633" s="34">
        <f>AM633-AP633</f>
        <v>0</v>
      </c>
      <c r="AW633" s="18">
        <f>AP633-AT633</f>
        <v>48614153.899999999</v>
      </c>
      <c r="AX633" s="123">
        <f>AP633/AJ633</f>
        <v>0.81919668508530796</v>
      </c>
    </row>
    <row r="634" spans="1:50" x14ac:dyDescent="0.2">
      <c r="AA634" s="28" t="s">
        <v>288</v>
      </c>
      <c r="AB634" s="29" t="s">
        <v>485</v>
      </c>
      <c r="AC634" s="17"/>
      <c r="AD634" s="18"/>
      <c r="AE634" s="34"/>
      <c r="AF634" s="34"/>
      <c r="AG634" s="18"/>
      <c r="AH634" s="34"/>
      <c r="AI634" s="18"/>
      <c r="AJ634" s="147"/>
      <c r="AK634" s="34"/>
      <c r="AL634" s="147"/>
      <c r="AM634" s="18"/>
      <c r="AN634" s="34"/>
      <c r="AO634" s="145"/>
      <c r="AP634" s="18"/>
      <c r="AQ634" s="34"/>
      <c r="AR634" s="34"/>
      <c r="AS634" s="34"/>
      <c r="AT634" s="40"/>
      <c r="AU634" s="18"/>
      <c r="AV634" s="34"/>
      <c r="AW634" s="34"/>
      <c r="AX634" s="18"/>
    </row>
    <row r="635" spans="1:50" x14ac:dyDescent="0.2">
      <c r="A635" s="4" t="s">
        <v>55</v>
      </c>
      <c r="B635" s="4" t="s">
        <v>56</v>
      </c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1" t="s">
        <v>972</v>
      </c>
      <c r="AB635" s="42" t="s">
        <v>233</v>
      </c>
      <c r="AC635" s="43" t="s">
        <v>58</v>
      </c>
      <c r="AD635" s="43">
        <v>530557116</v>
      </c>
      <c r="AE635" s="44">
        <v>0</v>
      </c>
      <c r="AF635" s="44">
        <v>0</v>
      </c>
      <c r="AG635" s="43">
        <v>66683319.520000003</v>
      </c>
      <c r="AH635" s="43">
        <v>530557116</v>
      </c>
      <c r="AI635" s="43">
        <f>AE635-AF635+AG635-AH635</f>
        <v>-463873796.48000002</v>
      </c>
      <c r="AJ635" s="142">
        <f>AD635+AI635</f>
        <v>66683319.519999981</v>
      </c>
      <c r="AK635" s="44">
        <v>0</v>
      </c>
      <c r="AL635" s="143">
        <v>0</v>
      </c>
      <c r="AM635" s="44">
        <v>0</v>
      </c>
      <c r="AN635" s="44">
        <v>0</v>
      </c>
      <c r="AO635" s="143">
        <v>0</v>
      </c>
      <c r="AP635" s="44">
        <v>0</v>
      </c>
      <c r="AQ635" s="44">
        <v>0</v>
      </c>
      <c r="AR635" s="44">
        <v>0</v>
      </c>
      <c r="AS635" s="44">
        <v>0</v>
      </c>
      <c r="AT635" s="40">
        <f>AQ635+AS635</f>
        <v>0</v>
      </c>
      <c r="AU635" s="18">
        <f>AJ635-AM635</f>
        <v>66683319.519999981</v>
      </c>
      <c r="AV635" s="34">
        <f>AM635-AP635</f>
        <v>0</v>
      </c>
      <c r="AW635" s="34">
        <f>AP635-AT635</f>
        <v>0</v>
      </c>
      <c r="AX635" s="123">
        <v>0</v>
      </c>
    </row>
    <row r="636" spans="1:50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1" t="s">
        <v>1393</v>
      </c>
      <c r="AB636" s="42" t="s">
        <v>1032</v>
      </c>
      <c r="AC636" s="43"/>
      <c r="AD636" s="43"/>
      <c r="AE636" s="44"/>
      <c r="AF636" s="44"/>
      <c r="AG636" s="43">
        <v>190248626.05000001</v>
      </c>
      <c r="AH636" s="43">
        <v>0</v>
      </c>
      <c r="AI636" s="43">
        <f>AE636-AF636+AG636-AH636</f>
        <v>190248626.05000001</v>
      </c>
      <c r="AJ636" s="142">
        <f>AD636+AI636</f>
        <v>190248626.05000001</v>
      </c>
      <c r="AK636" s="44">
        <v>0</v>
      </c>
      <c r="AL636" s="143">
        <v>0</v>
      </c>
      <c r="AM636" s="44">
        <v>0</v>
      </c>
      <c r="AN636" s="44">
        <v>0</v>
      </c>
      <c r="AO636" s="143">
        <v>0</v>
      </c>
      <c r="AP636" s="44">
        <v>0</v>
      </c>
      <c r="AQ636" s="44">
        <v>0</v>
      </c>
      <c r="AR636" s="44">
        <v>0</v>
      </c>
      <c r="AS636" s="44">
        <v>0</v>
      </c>
      <c r="AT636" s="40">
        <f>AQ636+AS636</f>
        <v>0</v>
      </c>
      <c r="AU636" s="18">
        <f>AJ636-AM636</f>
        <v>190248626.05000001</v>
      </c>
      <c r="AV636" s="34">
        <f>AM636-AP636</f>
        <v>0</v>
      </c>
      <c r="AW636" s="34">
        <f>AP636-AT636</f>
        <v>0</v>
      </c>
      <c r="AX636" s="123">
        <v>0</v>
      </c>
    </row>
    <row r="637" spans="1:50" ht="38.25" x14ac:dyDescent="0.2">
      <c r="AA637" s="16"/>
      <c r="AB637" s="29" t="s">
        <v>193</v>
      </c>
      <c r="AC637" s="17"/>
      <c r="AD637" s="18"/>
      <c r="AE637" s="34"/>
      <c r="AF637" s="34"/>
      <c r="AG637" s="18"/>
      <c r="AH637" s="18"/>
      <c r="AI637" s="18"/>
      <c r="AJ637" s="147"/>
      <c r="AK637" s="34"/>
      <c r="AL637" s="145"/>
      <c r="AM637" s="34"/>
      <c r="AN637" s="34"/>
      <c r="AO637" s="145"/>
      <c r="AP637" s="34"/>
      <c r="AQ637" s="34"/>
      <c r="AR637" s="145"/>
      <c r="AS637" s="34"/>
      <c r="AT637" s="40"/>
      <c r="AU637" s="18"/>
      <c r="AV637" s="34"/>
      <c r="AW637" s="18"/>
      <c r="AX637" s="18"/>
    </row>
    <row r="638" spans="1:50" ht="18.75" customHeight="1" x14ac:dyDescent="0.2">
      <c r="AA638" s="28" t="s">
        <v>288</v>
      </c>
      <c r="AB638" s="29" t="s">
        <v>487</v>
      </c>
      <c r="AC638" s="17"/>
      <c r="AD638" s="18"/>
      <c r="AE638" s="34"/>
      <c r="AF638" s="34"/>
      <c r="AG638" s="18"/>
      <c r="AH638" s="18"/>
      <c r="AI638" s="18"/>
      <c r="AJ638" s="147"/>
      <c r="AK638" s="34"/>
      <c r="AL638" s="145"/>
      <c r="AM638" s="34"/>
      <c r="AN638" s="34"/>
      <c r="AO638" s="145"/>
      <c r="AP638" s="34"/>
      <c r="AQ638" s="34"/>
      <c r="AR638" s="145"/>
      <c r="AS638" s="34"/>
      <c r="AT638" s="40"/>
      <c r="AU638" s="18"/>
      <c r="AV638" s="34"/>
      <c r="AW638" s="18"/>
      <c r="AX638" s="18"/>
    </row>
    <row r="639" spans="1:50" ht="18.75" customHeight="1" x14ac:dyDescent="0.2">
      <c r="A639" s="4" t="s">
        <v>55</v>
      </c>
      <c r="B639" s="4" t="s">
        <v>56</v>
      </c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1" t="s">
        <v>488</v>
      </c>
      <c r="AB639" s="42" t="s">
        <v>439</v>
      </c>
      <c r="AC639" s="43" t="s">
        <v>428</v>
      </c>
      <c r="AD639" s="43">
        <v>14800000000</v>
      </c>
      <c r="AE639" s="44">
        <v>0</v>
      </c>
      <c r="AF639" s="44">
        <v>0</v>
      </c>
      <c r="AG639" s="44">
        <v>0</v>
      </c>
      <c r="AH639" s="43">
        <f>265538240+219103236.8</f>
        <v>484641476.80000001</v>
      </c>
      <c r="AI639" s="43">
        <f>AE639-AF639+AG639-AH639</f>
        <v>-484641476.80000001</v>
      </c>
      <c r="AJ639" s="43">
        <f>AD639+AI639</f>
        <v>14315358523.200001</v>
      </c>
      <c r="AK639" s="44">
        <v>0</v>
      </c>
      <c r="AL639" s="144">
        <v>907128761</v>
      </c>
      <c r="AM639" s="114">
        <v>9030657663</v>
      </c>
      <c r="AN639" s="44">
        <v>0</v>
      </c>
      <c r="AO639" s="144">
        <f>AP639-SEPTIEMBRE!AP628</f>
        <v>907128761</v>
      </c>
      <c r="AP639" s="114">
        <v>9030657663</v>
      </c>
      <c r="AQ639" s="44">
        <v>0</v>
      </c>
      <c r="AR639" s="144">
        <v>907128761</v>
      </c>
      <c r="AS639" s="114">
        <v>9030657663</v>
      </c>
      <c r="AT639" s="111">
        <f t="shared" si="284"/>
        <v>9030657663</v>
      </c>
      <c r="AU639" s="18">
        <f t="shared" ref="AU639:AU644" si="300">AJ639-AM639</f>
        <v>5284700860.2000008</v>
      </c>
      <c r="AV639" s="34">
        <f t="shared" ref="AV639:AV644" si="301">AM639-AP639</f>
        <v>0</v>
      </c>
      <c r="AW639" s="34">
        <f t="shared" ref="AW639:AW644" si="302">AP639-AT639</f>
        <v>0</v>
      </c>
      <c r="AX639" s="123">
        <f t="shared" ref="AX639:AX644" si="303">AP639/AJ639</f>
        <v>0.63083698870444505</v>
      </c>
    </row>
    <row r="640" spans="1:50" ht="18.75" customHeight="1" x14ac:dyDescent="0.2">
      <c r="A640" s="4" t="s">
        <v>55</v>
      </c>
      <c r="B640" s="4" t="s">
        <v>56</v>
      </c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1" t="s">
        <v>489</v>
      </c>
      <c r="AB640" s="42" t="s">
        <v>490</v>
      </c>
      <c r="AC640" s="43" t="s">
        <v>368</v>
      </c>
      <c r="AD640" s="43">
        <v>28000000.199999999</v>
      </c>
      <c r="AE640" s="44">
        <v>0</v>
      </c>
      <c r="AF640" s="44">
        <v>0</v>
      </c>
      <c r="AG640" s="44">
        <v>0</v>
      </c>
      <c r="AH640" s="44">
        <v>0</v>
      </c>
      <c r="AI640" s="43">
        <f>AE640-AF640+AG640-AH640</f>
        <v>0</v>
      </c>
      <c r="AJ640" s="43">
        <f>AD640+AI640</f>
        <v>28000000.199999999</v>
      </c>
      <c r="AK640" s="44">
        <v>0</v>
      </c>
      <c r="AL640" s="144">
        <v>5471730</v>
      </c>
      <c r="AM640" s="114">
        <v>23521933</v>
      </c>
      <c r="AN640" s="44">
        <v>0</v>
      </c>
      <c r="AO640" s="144">
        <f>AP640-SEPTIEMBRE!AP629</f>
        <v>5471730</v>
      </c>
      <c r="AP640" s="114">
        <v>23521933</v>
      </c>
      <c r="AQ640" s="44">
        <v>5471730</v>
      </c>
      <c r="AR640" s="144">
        <v>0</v>
      </c>
      <c r="AS640" s="114">
        <v>18050203</v>
      </c>
      <c r="AT640" s="111">
        <f t="shared" si="284"/>
        <v>23521933</v>
      </c>
      <c r="AU640" s="18">
        <f t="shared" si="300"/>
        <v>4478067.1999999993</v>
      </c>
      <c r="AV640" s="34">
        <f t="shared" si="301"/>
        <v>0</v>
      </c>
      <c r="AW640" s="34">
        <f t="shared" si="302"/>
        <v>0</v>
      </c>
      <c r="AX640" s="123">
        <f t="shared" si="303"/>
        <v>0.84006902971379271</v>
      </c>
    </row>
    <row r="641" spans="1:50" ht="18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166" t="s">
        <v>1073</v>
      </c>
      <c r="AB641" s="167" t="s">
        <v>1074</v>
      </c>
      <c r="AC641" s="168"/>
      <c r="AD641" s="44">
        <v>0</v>
      </c>
      <c r="AE641" s="43">
        <v>505000000</v>
      </c>
      <c r="AF641" s="44">
        <v>0</v>
      </c>
      <c r="AG641" s="44">
        <v>0</v>
      </c>
      <c r="AH641" s="44">
        <v>0</v>
      </c>
      <c r="AI641" s="43">
        <f t="shared" ref="AI641:AI643" si="304">AE641-AF641+AG641-AH641</f>
        <v>505000000</v>
      </c>
      <c r="AJ641" s="43">
        <f t="shared" ref="AJ641:AJ644" si="305">AD641+AI641</f>
        <v>505000000</v>
      </c>
      <c r="AK641" s="44">
        <v>0</v>
      </c>
      <c r="AL641" s="142">
        <v>0</v>
      </c>
      <c r="AM641" s="43">
        <v>474423566.54000002</v>
      </c>
      <c r="AN641" s="44">
        <v>0</v>
      </c>
      <c r="AO641" s="258">
        <v>0</v>
      </c>
      <c r="AP641" s="115">
        <v>0</v>
      </c>
      <c r="AQ641" s="44">
        <v>0</v>
      </c>
      <c r="AR641" s="258">
        <v>0</v>
      </c>
      <c r="AS641" s="115">
        <v>0</v>
      </c>
      <c r="AT641" s="135">
        <f t="shared" si="284"/>
        <v>0</v>
      </c>
      <c r="AU641" s="18">
        <f t="shared" si="300"/>
        <v>30576433.459999979</v>
      </c>
      <c r="AV641" s="18">
        <f t="shared" si="301"/>
        <v>474423566.54000002</v>
      </c>
      <c r="AW641" s="34">
        <f t="shared" si="302"/>
        <v>0</v>
      </c>
      <c r="AX641" s="123">
        <f t="shared" si="303"/>
        <v>0</v>
      </c>
    </row>
    <row r="642" spans="1:50" ht="18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166" t="s">
        <v>1075</v>
      </c>
      <c r="AB642" s="167" t="s">
        <v>1074</v>
      </c>
      <c r="AC642" s="168"/>
      <c r="AD642" s="44">
        <v>0</v>
      </c>
      <c r="AE642" s="43">
        <v>13000000</v>
      </c>
      <c r="AF642" s="44">
        <v>0</v>
      </c>
      <c r="AG642" s="44">
        <v>0</v>
      </c>
      <c r="AH642" s="44">
        <v>0</v>
      </c>
      <c r="AI642" s="43">
        <f t="shared" si="304"/>
        <v>13000000</v>
      </c>
      <c r="AJ642" s="43">
        <f t="shared" si="305"/>
        <v>13000000</v>
      </c>
      <c r="AK642" s="44">
        <v>0</v>
      </c>
      <c r="AL642" s="258">
        <v>0</v>
      </c>
      <c r="AM642" s="115">
        <v>0</v>
      </c>
      <c r="AN642" s="44">
        <v>0</v>
      </c>
      <c r="AO642" s="258">
        <v>0</v>
      </c>
      <c r="AP642" s="115">
        <v>0</v>
      </c>
      <c r="AQ642" s="44">
        <v>0</v>
      </c>
      <c r="AR642" s="258">
        <v>0</v>
      </c>
      <c r="AS642" s="115">
        <v>0</v>
      </c>
      <c r="AT642" s="135">
        <f t="shared" si="284"/>
        <v>0</v>
      </c>
      <c r="AU642" s="18">
        <f t="shared" si="300"/>
        <v>13000000</v>
      </c>
      <c r="AV642" s="34">
        <f t="shared" si="301"/>
        <v>0</v>
      </c>
      <c r="AW642" s="34">
        <f t="shared" si="302"/>
        <v>0</v>
      </c>
      <c r="AX642" s="123">
        <f t="shared" si="303"/>
        <v>0</v>
      </c>
    </row>
    <row r="643" spans="1:50" ht="18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166" t="s">
        <v>1076</v>
      </c>
      <c r="AB643" s="167" t="s">
        <v>1074</v>
      </c>
      <c r="AC643" s="168"/>
      <c r="AD643" s="44">
        <v>0</v>
      </c>
      <c r="AE643" s="43">
        <v>30358521.859999999</v>
      </c>
      <c r="AF643" s="44">
        <v>0</v>
      </c>
      <c r="AG643" s="44">
        <v>0</v>
      </c>
      <c r="AH643" s="44">
        <v>0</v>
      </c>
      <c r="AI643" s="43">
        <f t="shared" si="304"/>
        <v>30358521.859999999</v>
      </c>
      <c r="AJ643" s="43">
        <f t="shared" si="305"/>
        <v>30358521.859999999</v>
      </c>
      <c r="AK643" s="44">
        <v>0</v>
      </c>
      <c r="AL643" s="258">
        <v>0</v>
      </c>
      <c r="AM643" s="115">
        <v>0</v>
      </c>
      <c r="AN643" s="44">
        <v>0</v>
      </c>
      <c r="AO643" s="258">
        <v>0</v>
      </c>
      <c r="AP643" s="115">
        <v>0</v>
      </c>
      <c r="AQ643" s="44">
        <v>0</v>
      </c>
      <c r="AR643" s="258">
        <v>0</v>
      </c>
      <c r="AS643" s="115">
        <v>0</v>
      </c>
      <c r="AT643" s="135">
        <f t="shared" si="284"/>
        <v>0</v>
      </c>
      <c r="AU643" s="18">
        <f t="shared" si="300"/>
        <v>30358521.859999999</v>
      </c>
      <c r="AV643" s="34">
        <f t="shared" si="301"/>
        <v>0</v>
      </c>
      <c r="AW643" s="34">
        <f t="shared" si="302"/>
        <v>0</v>
      </c>
      <c r="AX643" s="123">
        <f t="shared" si="303"/>
        <v>0</v>
      </c>
    </row>
    <row r="644" spans="1:50" ht="18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166" t="s">
        <v>1077</v>
      </c>
      <c r="AB644" s="167" t="s">
        <v>1074</v>
      </c>
      <c r="AC644" s="168"/>
      <c r="AD644" s="44">
        <v>0</v>
      </c>
      <c r="AE644" s="43">
        <v>4485910634</v>
      </c>
      <c r="AF644" s="44">
        <v>0</v>
      </c>
      <c r="AG644" s="43">
        <v>524000000</v>
      </c>
      <c r="AH644" s="43">
        <v>1886000000</v>
      </c>
      <c r="AI644" s="43">
        <f>AE644-AF644+AG644-AH644</f>
        <v>3123910634</v>
      </c>
      <c r="AJ644" s="142">
        <f t="shared" si="305"/>
        <v>3123910634</v>
      </c>
      <c r="AK644" s="44">
        <v>0</v>
      </c>
      <c r="AL644" s="142">
        <v>7367221.2199999997</v>
      </c>
      <c r="AM644" s="43">
        <v>2835868666.04</v>
      </c>
      <c r="AN644" s="44">
        <v>0</v>
      </c>
      <c r="AO644" s="142">
        <f>AP644-SEPTIEMBRE!AP633</f>
        <v>60162507.180000007</v>
      </c>
      <c r="AP644" s="43">
        <v>73200364.040000007</v>
      </c>
      <c r="AQ644" s="43">
        <v>1902392.18</v>
      </c>
      <c r="AR644" s="142">
        <v>7619289.4500000002</v>
      </c>
      <c r="AS644" s="43">
        <v>18502685.899999999</v>
      </c>
      <c r="AT644" s="39">
        <f t="shared" si="284"/>
        <v>20405078.079999998</v>
      </c>
      <c r="AU644" s="18">
        <f t="shared" si="300"/>
        <v>288041967.96000004</v>
      </c>
      <c r="AV644" s="18">
        <f t="shared" si="301"/>
        <v>2762668302</v>
      </c>
      <c r="AW644" s="325">
        <f t="shared" si="302"/>
        <v>52795285.960000008</v>
      </c>
      <c r="AX644" s="123">
        <f t="shared" si="303"/>
        <v>2.3432284919838078E-2</v>
      </c>
    </row>
    <row r="645" spans="1:50" ht="25.5" x14ac:dyDescent="0.2">
      <c r="AA645" s="162"/>
      <c r="AB645" s="163" t="s">
        <v>195</v>
      </c>
      <c r="AC645" s="17"/>
      <c r="AD645" s="18"/>
      <c r="AE645" s="34"/>
      <c r="AF645" s="34"/>
      <c r="AG645" s="34"/>
      <c r="AH645" s="34"/>
      <c r="AI645" s="34"/>
      <c r="AJ645" s="18"/>
      <c r="AK645" s="34"/>
      <c r="AL645" s="147"/>
      <c r="AM645" s="18"/>
      <c r="AN645" s="34"/>
      <c r="AO645" s="147"/>
      <c r="AP645" s="18"/>
      <c r="AQ645" s="18"/>
      <c r="AR645" s="147"/>
      <c r="AS645" s="18"/>
      <c r="AT645" s="30"/>
      <c r="AU645" s="18"/>
      <c r="AV645" s="18"/>
      <c r="AW645" s="18"/>
      <c r="AX645" s="18"/>
    </row>
    <row r="646" spans="1:50" ht="18.75" customHeight="1" x14ac:dyDescent="0.2">
      <c r="AA646" s="28" t="s">
        <v>288</v>
      </c>
      <c r="AB646" s="29" t="s">
        <v>487</v>
      </c>
      <c r="AC646" s="17"/>
      <c r="AD646" s="18"/>
      <c r="AE646" s="34"/>
      <c r="AF646" s="34"/>
      <c r="AG646" s="34"/>
      <c r="AH646" s="34"/>
      <c r="AI646" s="34"/>
      <c r="AJ646" s="18"/>
      <c r="AK646" s="34"/>
      <c r="AL646" s="147"/>
      <c r="AM646" s="18"/>
      <c r="AN646" s="34"/>
      <c r="AO646" s="18"/>
      <c r="AP646" s="18"/>
      <c r="AQ646" s="18"/>
      <c r="AR646" s="147"/>
      <c r="AS646" s="18"/>
      <c r="AT646" s="30"/>
      <c r="AU646" s="18"/>
      <c r="AV646" s="18"/>
      <c r="AW646" s="18"/>
      <c r="AX646" s="18"/>
    </row>
    <row r="647" spans="1:50" ht="18.75" customHeight="1" x14ac:dyDescent="0.2">
      <c r="A647" s="4" t="s">
        <v>55</v>
      </c>
      <c r="B647" s="4" t="s">
        <v>56</v>
      </c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1" t="s">
        <v>491</v>
      </c>
      <c r="AB647" s="42" t="s">
        <v>490</v>
      </c>
      <c r="AC647" s="43" t="s">
        <v>368</v>
      </c>
      <c r="AD647" s="43">
        <v>192000000</v>
      </c>
      <c r="AE647" s="44">
        <v>0</v>
      </c>
      <c r="AF647" s="44">
        <v>0</v>
      </c>
      <c r="AG647" s="44">
        <v>0</v>
      </c>
      <c r="AH647" s="44">
        <v>0</v>
      </c>
      <c r="AI647" s="44">
        <v>0</v>
      </c>
      <c r="AJ647" s="43">
        <v>192000000</v>
      </c>
      <c r="AK647" s="44">
        <v>0</v>
      </c>
      <c r="AL647" s="143">
        <f>AM647-AGOSTO!AM618</f>
        <v>0</v>
      </c>
      <c r="AM647" s="43">
        <v>166971871</v>
      </c>
      <c r="AN647" s="44">
        <v>0</v>
      </c>
      <c r="AO647" s="44">
        <v>0</v>
      </c>
      <c r="AP647" s="43">
        <v>166971871</v>
      </c>
      <c r="AQ647" s="44">
        <v>0</v>
      </c>
      <c r="AR647" s="142">
        <v>15179261</v>
      </c>
      <c r="AS647" s="43">
        <v>120928113</v>
      </c>
      <c r="AT647" s="39">
        <f>AQ647+AS647</f>
        <v>120928113</v>
      </c>
      <c r="AU647" s="18">
        <f>AJ647-AM647</f>
        <v>25028129</v>
      </c>
      <c r="AV647" s="34">
        <f>AM647-AP647</f>
        <v>0</v>
      </c>
      <c r="AW647" s="18">
        <f>AP647-AT647</f>
        <v>46043758</v>
      </c>
      <c r="AX647" s="123">
        <f>AP647/AJ647</f>
        <v>0.86964516145833337</v>
      </c>
    </row>
    <row r="648" spans="1:50" ht="25.5" x14ac:dyDescent="0.2">
      <c r="AA648" s="16"/>
      <c r="AB648" s="29" t="s">
        <v>197</v>
      </c>
      <c r="AC648" s="17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34"/>
      <c r="AO648" s="34"/>
      <c r="AP648" s="18"/>
      <c r="AQ648" s="34"/>
      <c r="AR648" s="145"/>
      <c r="AS648" s="34"/>
      <c r="AT648" s="40"/>
      <c r="AU648" s="18"/>
      <c r="AV648" s="18"/>
      <c r="AW648" s="18"/>
      <c r="AX648" s="18"/>
    </row>
    <row r="649" spans="1:50" ht="17.25" customHeight="1" x14ac:dyDescent="0.2">
      <c r="AA649" s="170" t="s">
        <v>288</v>
      </c>
      <c r="AB649" s="165" t="s">
        <v>1048</v>
      </c>
      <c r="AC649" s="161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34"/>
      <c r="AO649" s="34"/>
      <c r="AP649" s="18"/>
      <c r="AQ649" s="34"/>
      <c r="AR649" s="145"/>
      <c r="AS649" s="34"/>
      <c r="AT649" s="40"/>
      <c r="AU649" s="18"/>
      <c r="AV649" s="18"/>
      <c r="AW649" s="18"/>
      <c r="AX649" s="18"/>
    </row>
    <row r="650" spans="1:50" ht="16.5" customHeight="1" x14ac:dyDescent="0.2">
      <c r="AA650" s="166" t="s">
        <v>1049</v>
      </c>
      <c r="AB650" s="167" t="s">
        <v>1015</v>
      </c>
      <c r="AC650" s="161"/>
      <c r="AD650" s="34">
        <v>0</v>
      </c>
      <c r="AE650" s="18">
        <v>40000000</v>
      </c>
      <c r="AF650" s="34">
        <v>0</v>
      </c>
      <c r="AG650" s="34">
        <v>0</v>
      </c>
      <c r="AH650" s="18">
        <v>40000000</v>
      </c>
      <c r="AI650" s="43">
        <f>AE650-AF650+AG650-AH650</f>
        <v>0</v>
      </c>
      <c r="AJ650" s="44">
        <f>AD650+AI650</f>
        <v>0</v>
      </c>
      <c r="AK650" s="34">
        <v>0</v>
      </c>
      <c r="AL650" s="34">
        <v>0</v>
      </c>
      <c r="AM650" s="34">
        <v>0</v>
      </c>
      <c r="AN650" s="34">
        <v>0</v>
      </c>
      <c r="AO650" s="34">
        <v>0</v>
      </c>
      <c r="AP650" s="34">
        <v>0</v>
      </c>
      <c r="AQ650" s="34">
        <v>0</v>
      </c>
      <c r="AR650" s="145">
        <v>0</v>
      </c>
      <c r="AS650" s="34">
        <v>0</v>
      </c>
      <c r="AT650" s="135">
        <f t="shared" ref="AT650" si="306">AQ650+AS650</f>
        <v>0</v>
      </c>
      <c r="AU650" s="34">
        <f>AJ650-AM650</f>
        <v>0</v>
      </c>
      <c r="AV650" s="34">
        <f>AM650-AP650</f>
        <v>0</v>
      </c>
      <c r="AW650" s="34">
        <f>AP650-AT650</f>
        <v>0</v>
      </c>
      <c r="AX650" s="123">
        <v>0</v>
      </c>
    </row>
    <row r="651" spans="1:50" ht="18.75" customHeight="1" x14ac:dyDescent="0.2">
      <c r="AA651" s="162"/>
      <c r="AB651" s="163" t="s">
        <v>492</v>
      </c>
      <c r="AC651" s="17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34"/>
      <c r="AO651" s="34"/>
      <c r="AP651" s="18"/>
      <c r="AQ651" s="34"/>
      <c r="AR651" s="145"/>
      <c r="AS651" s="34"/>
      <c r="AT651" s="40"/>
      <c r="AU651" s="18"/>
      <c r="AV651" s="18"/>
      <c r="AW651" s="18"/>
      <c r="AX651" s="18"/>
    </row>
    <row r="652" spans="1:50" ht="18.75" customHeight="1" x14ac:dyDescent="0.2">
      <c r="A652" s="4" t="s">
        <v>55</v>
      </c>
      <c r="B652" s="4" t="s">
        <v>56</v>
      </c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1" t="s">
        <v>493</v>
      </c>
      <c r="AB652" s="42" t="s">
        <v>233</v>
      </c>
      <c r="AC652" s="43" t="s">
        <v>58</v>
      </c>
      <c r="AD652" s="44">
        <v>0</v>
      </c>
      <c r="AE652" s="44">
        <v>0</v>
      </c>
      <c r="AF652" s="44">
        <v>0</v>
      </c>
      <c r="AG652" s="43">
        <v>503000000</v>
      </c>
      <c r="AH652" s="43">
        <v>21088294</v>
      </c>
      <c r="AI652" s="43">
        <f>AE652-AF652+AG652-AH652</f>
        <v>481911706</v>
      </c>
      <c r="AJ652" s="43">
        <f>AD652+AI652</f>
        <v>481911706</v>
      </c>
      <c r="AK652" s="44">
        <v>0</v>
      </c>
      <c r="AL652" s="44">
        <f>AM652-AGOSTO!AM623</f>
        <v>0</v>
      </c>
      <c r="AM652" s="43">
        <v>481911706</v>
      </c>
      <c r="AN652" s="44">
        <v>0</v>
      </c>
      <c r="AO652" s="44">
        <v>0</v>
      </c>
      <c r="AP652" s="43">
        <v>481911706</v>
      </c>
      <c r="AQ652" s="44">
        <v>0</v>
      </c>
      <c r="AR652" s="142">
        <v>0</v>
      </c>
      <c r="AS652" s="43">
        <v>395271867.51999998</v>
      </c>
      <c r="AT652" s="39">
        <f>AQ652+AS652</f>
        <v>395271867.51999998</v>
      </c>
      <c r="AU652" s="34">
        <f>AJ652-AM652</f>
        <v>0</v>
      </c>
      <c r="AV652" s="34">
        <f>AM652-AP652</f>
        <v>0</v>
      </c>
      <c r="AW652" s="18">
        <f>AP652-AT652</f>
        <v>86639838.480000019</v>
      </c>
      <c r="AX652" s="123">
        <f>AP652/AJ652</f>
        <v>1</v>
      </c>
    </row>
    <row r="653" spans="1:50" ht="18.75" customHeight="1" x14ac:dyDescent="0.2">
      <c r="AA653" s="28" t="s">
        <v>288</v>
      </c>
      <c r="AB653" s="29" t="s">
        <v>494</v>
      </c>
      <c r="AC653" s="17"/>
      <c r="AD653" s="18"/>
      <c r="AE653" s="34"/>
      <c r="AF653" s="34"/>
      <c r="AG653" s="18"/>
      <c r="AH653" s="34"/>
      <c r="AI653" s="18"/>
      <c r="AJ653" s="18"/>
      <c r="AK653" s="34"/>
      <c r="AL653" s="34"/>
      <c r="AM653" s="18"/>
      <c r="AN653" s="34"/>
      <c r="AO653" s="18"/>
      <c r="AP653" s="18"/>
      <c r="AQ653" s="34"/>
      <c r="AR653" s="145"/>
      <c r="AS653" s="34"/>
      <c r="AT653" s="40"/>
      <c r="AU653" s="34"/>
      <c r="AV653" s="34"/>
      <c r="AW653" s="18"/>
      <c r="AX653" s="18"/>
    </row>
    <row r="654" spans="1:50" ht="18.75" customHeight="1" x14ac:dyDescent="0.2">
      <c r="A654" s="4" t="s">
        <v>55</v>
      </c>
      <c r="B654" s="4" t="s">
        <v>56</v>
      </c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1" t="s">
        <v>495</v>
      </c>
      <c r="AB654" s="42" t="s">
        <v>233</v>
      </c>
      <c r="AC654" s="43" t="s">
        <v>58</v>
      </c>
      <c r="AD654" s="43">
        <v>100000000</v>
      </c>
      <c r="AE654" s="44">
        <v>0</v>
      </c>
      <c r="AF654" s="44">
        <v>0</v>
      </c>
      <c r="AG654" s="44">
        <v>0</v>
      </c>
      <c r="AH654" s="43">
        <v>30591703</v>
      </c>
      <c r="AI654" s="44">
        <f>AE654-AF654+AG654-AH654</f>
        <v>-30591703</v>
      </c>
      <c r="AJ654" s="43">
        <f>AD654+AI654</f>
        <v>69408297</v>
      </c>
      <c r="AK654" s="44">
        <v>0</v>
      </c>
      <c r="AL654" s="44">
        <v>0</v>
      </c>
      <c r="AM654" s="43">
        <v>69408297</v>
      </c>
      <c r="AN654" s="44">
        <v>0</v>
      </c>
      <c r="AO654" s="44">
        <v>0</v>
      </c>
      <c r="AP654" s="43">
        <v>69408297</v>
      </c>
      <c r="AQ654" s="43">
        <v>0</v>
      </c>
      <c r="AR654" s="143">
        <v>0</v>
      </c>
      <c r="AS654" s="43">
        <v>69408297</v>
      </c>
      <c r="AT654" s="39">
        <f>AQ654+AS654</f>
        <v>69408297</v>
      </c>
      <c r="AU654" s="34">
        <f>AJ654-AM654</f>
        <v>0</v>
      </c>
      <c r="AV654" s="34">
        <f>AM654-AP654</f>
        <v>0</v>
      </c>
      <c r="AW654" s="34">
        <f>AP654-AT654</f>
        <v>0</v>
      </c>
      <c r="AX654" s="123">
        <f>AP654/AJ654</f>
        <v>1</v>
      </c>
    </row>
    <row r="655" spans="1:50" ht="18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1" t="s">
        <v>976</v>
      </c>
      <c r="AB655" s="42" t="s">
        <v>449</v>
      </c>
      <c r="AC655" s="43"/>
      <c r="AD655" s="44">
        <v>0</v>
      </c>
      <c r="AE655" s="44">
        <v>0</v>
      </c>
      <c r="AF655" s="44">
        <v>0</v>
      </c>
      <c r="AG655" s="43">
        <v>1200000000</v>
      </c>
      <c r="AH655" s="44"/>
      <c r="AI655" s="43">
        <f>AE655-AF655+AG655-AH655</f>
        <v>1200000000</v>
      </c>
      <c r="AJ655" s="43">
        <f>AD655+AI655</f>
        <v>1200000000</v>
      </c>
      <c r="AK655" s="44">
        <v>0</v>
      </c>
      <c r="AL655" s="43">
        <v>-1114130436</v>
      </c>
      <c r="AM655" s="43">
        <v>0</v>
      </c>
      <c r="AN655" s="44">
        <v>0</v>
      </c>
      <c r="AO655" s="44">
        <v>0</v>
      </c>
      <c r="AP655" s="43">
        <v>0</v>
      </c>
      <c r="AQ655" s="44">
        <v>0</v>
      </c>
      <c r="AR655" s="143">
        <v>0</v>
      </c>
      <c r="AS655" s="44">
        <v>0</v>
      </c>
      <c r="AT655" s="40">
        <f>AQ655+AS655</f>
        <v>0</v>
      </c>
      <c r="AU655" s="18">
        <f>AJ655-AM655</f>
        <v>1200000000</v>
      </c>
      <c r="AV655" s="18">
        <f>AM655-AP655</f>
        <v>0</v>
      </c>
      <c r="AW655" s="34">
        <f>AP655-AT655</f>
        <v>0</v>
      </c>
      <c r="AX655" s="123">
        <f>AP655/AJ655</f>
        <v>0</v>
      </c>
    </row>
    <row r="656" spans="1:50" ht="18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1" t="s">
        <v>288</v>
      </c>
      <c r="AB656" s="74" t="s">
        <v>463</v>
      </c>
      <c r="AC656" s="43"/>
      <c r="AD656" s="43"/>
      <c r="AE656" s="44"/>
      <c r="AF656" s="44"/>
      <c r="AG656" s="43"/>
      <c r="AH656" s="44"/>
      <c r="AI656" s="43"/>
      <c r="AJ656" s="43"/>
      <c r="AK656" s="44"/>
      <c r="AL656" s="44"/>
      <c r="AM656" s="43"/>
      <c r="AN656" s="44"/>
      <c r="AO656" s="44"/>
      <c r="AP656" s="43"/>
      <c r="AQ656" s="44"/>
      <c r="AR656" s="143"/>
      <c r="AS656" s="44"/>
      <c r="AT656" s="40"/>
      <c r="AU656" s="43"/>
      <c r="AV656" s="43"/>
      <c r="AW656" s="43"/>
      <c r="AX656" s="32"/>
    </row>
    <row r="657" spans="1:50" ht="18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139" t="s">
        <v>909</v>
      </c>
      <c r="AB657" s="42" t="s">
        <v>233</v>
      </c>
      <c r="AC657" s="43"/>
      <c r="AD657" s="44">
        <v>0</v>
      </c>
      <c r="AE657" s="44">
        <v>0</v>
      </c>
      <c r="AF657" s="44">
        <v>0</v>
      </c>
      <c r="AG657" s="43">
        <v>1556000000</v>
      </c>
      <c r="AH657" s="44">
        <v>0</v>
      </c>
      <c r="AI657" s="43">
        <f>AE657-AF657+AG657-AH657</f>
        <v>1556000000</v>
      </c>
      <c r="AJ657" s="43">
        <f>AD657+AI657</f>
        <v>1556000000</v>
      </c>
      <c r="AK657" s="44">
        <v>0</v>
      </c>
      <c r="AL657" s="44">
        <f>AM657-AGOSTO!AM628</f>
        <v>0</v>
      </c>
      <c r="AM657" s="43">
        <v>1555449996</v>
      </c>
      <c r="AN657" s="44">
        <v>0</v>
      </c>
      <c r="AO657" s="44">
        <v>0</v>
      </c>
      <c r="AP657" s="43">
        <v>1555449996</v>
      </c>
      <c r="AQ657" s="44">
        <v>0</v>
      </c>
      <c r="AR657" s="143">
        <f>AS657-MAYO!AS605</f>
        <v>0</v>
      </c>
      <c r="AS657" s="43">
        <v>1555449996</v>
      </c>
      <c r="AT657" s="39">
        <f>AQ657+AS657</f>
        <v>1555449996</v>
      </c>
      <c r="AU657" s="18">
        <f>AJ657-AM657</f>
        <v>550004</v>
      </c>
      <c r="AV657" s="34">
        <f>AM657-AP657</f>
        <v>0</v>
      </c>
      <c r="AW657" s="34">
        <f>AP657-AT657</f>
        <v>0</v>
      </c>
      <c r="AX657" s="123">
        <f>AP657/AJ657</f>
        <v>0.99964652699228795</v>
      </c>
    </row>
    <row r="658" spans="1:50" ht="26.2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170" t="s">
        <v>288</v>
      </c>
      <c r="AB658" s="165" t="s">
        <v>1050</v>
      </c>
      <c r="AC658" s="168"/>
      <c r="AD658" s="44"/>
      <c r="AE658" s="44"/>
      <c r="AF658" s="44"/>
      <c r="AG658" s="43"/>
      <c r="AH658" s="44"/>
      <c r="AI658" s="43"/>
      <c r="AJ658" s="43"/>
      <c r="AK658" s="44"/>
      <c r="AL658" s="44"/>
      <c r="AM658" s="43"/>
      <c r="AN658" s="44"/>
      <c r="AO658" s="44"/>
      <c r="AP658" s="43"/>
      <c r="AQ658" s="44"/>
      <c r="AR658" s="143"/>
      <c r="AS658" s="43"/>
      <c r="AT658" s="39"/>
      <c r="AU658" s="18"/>
      <c r="AV658" s="34"/>
      <c r="AW658" s="34"/>
      <c r="AX658" s="123"/>
    </row>
    <row r="659" spans="1:50" ht="18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166" t="s">
        <v>1051</v>
      </c>
      <c r="AB659" s="167" t="s">
        <v>1015</v>
      </c>
      <c r="AC659" s="168"/>
      <c r="AD659" s="44">
        <v>0</v>
      </c>
      <c r="AE659" s="43">
        <v>40000000</v>
      </c>
      <c r="AF659" s="44">
        <v>0</v>
      </c>
      <c r="AG659" s="44">
        <v>0</v>
      </c>
      <c r="AH659" s="43">
        <v>40000000</v>
      </c>
      <c r="AI659" s="44">
        <f>AE659-AF659+AG659-AH659</f>
        <v>0</v>
      </c>
      <c r="AJ659" s="44">
        <f>AD659+AI659</f>
        <v>0</v>
      </c>
      <c r="AK659" s="44">
        <v>0</v>
      </c>
      <c r="AL659" s="44">
        <v>0</v>
      </c>
      <c r="AM659" s="44">
        <v>0</v>
      </c>
      <c r="AN659" s="44">
        <v>0</v>
      </c>
      <c r="AO659" s="44">
        <v>0</v>
      </c>
      <c r="AP659" s="43">
        <v>0</v>
      </c>
      <c r="AQ659" s="44">
        <v>0</v>
      </c>
      <c r="AR659" s="143">
        <v>0</v>
      </c>
      <c r="AS659" s="44">
        <v>0</v>
      </c>
      <c r="AT659" s="135">
        <f t="shared" ref="AT659" si="307">AQ659+AS659</f>
        <v>0</v>
      </c>
      <c r="AU659" s="34">
        <f>AJ659-AM659</f>
        <v>0</v>
      </c>
      <c r="AV659" s="34">
        <f>AM659-AP659</f>
        <v>0</v>
      </c>
      <c r="AW659" s="34">
        <f>AP659-AT659</f>
        <v>0</v>
      </c>
      <c r="AX659" s="123">
        <v>0</v>
      </c>
    </row>
    <row r="660" spans="1:50" ht="18.75" customHeight="1" x14ac:dyDescent="0.2">
      <c r="AA660" s="169" t="s">
        <v>288</v>
      </c>
      <c r="AB660" s="163" t="s">
        <v>496</v>
      </c>
      <c r="AC660" s="17"/>
      <c r="AD660" s="34"/>
      <c r="AE660" s="34"/>
      <c r="AF660" s="34"/>
      <c r="AG660" s="18"/>
      <c r="AH660" s="34"/>
      <c r="AI660" s="18"/>
      <c r="AJ660" s="18"/>
      <c r="AK660" s="18"/>
      <c r="AL660" s="18"/>
      <c r="AM660" s="18"/>
      <c r="AN660" s="18"/>
      <c r="AO660" s="18"/>
      <c r="AP660" s="18"/>
      <c r="AQ660" s="34"/>
      <c r="AR660" s="145"/>
      <c r="AS660" s="34"/>
      <c r="AT660" s="40"/>
      <c r="AU660" s="18"/>
      <c r="AV660" s="18"/>
      <c r="AW660" s="18"/>
      <c r="AX660" s="18"/>
    </row>
    <row r="661" spans="1:50" ht="18.75" customHeight="1" x14ac:dyDescent="0.2">
      <c r="A661" s="4" t="s">
        <v>55</v>
      </c>
      <c r="B661" s="4" t="s">
        <v>56</v>
      </c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1" t="s">
        <v>497</v>
      </c>
      <c r="AB661" s="42" t="s">
        <v>233</v>
      </c>
      <c r="AC661" s="43" t="s">
        <v>58</v>
      </c>
      <c r="AD661" s="44">
        <v>0</v>
      </c>
      <c r="AE661" s="44">
        <v>0</v>
      </c>
      <c r="AF661" s="44">
        <v>0</v>
      </c>
      <c r="AG661" s="43">
        <f>91680424+36720621</f>
        <v>128401045</v>
      </c>
      <c r="AH661" s="43">
        <v>11419181</v>
      </c>
      <c r="AI661" s="43">
        <f>AE661-AF661+AG661-AH661</f>
        <v>116981864</v>
      </c>
      <c r="AJ661" s="43">
        <f>AD661+AI661</f>
        <v>116981864</v>
      </c>
      <c r="AK661" s="44">
        <v>0</v>
      </c>
      <c r="AL661" s="115">
        <f>AM661-AGOSTO!AM632</f>
        <v>0</v>
      </c>
      <c r="AM661" s="114">
        <v>116981864</v>
      </c>
      <c r="AN661" s="44">
        <v>0</v>
      </c>
      <c r="AO661" s="44">
        <v>0</v>
      </c>
      <c r="AP661" s="114">
        <v>116981864</v>
      </c>
      <c r="AQ661" s="44">
        <v>0</v>
      </c>
      <c r="AR661" s="142">
        <v>0</v>
      </c>
      <c r="AS661" s="114">
        <v>116981864</v>
      </c>
      <c r="AT661" s="39">
        <f>AQ661+AS661</f>
        <v>116981864</v>
      </c>
      <c r="AU661" s="34">
        <f>AJ661-AM661</f>
        <v>0</v>
      </c>
      <c r="AV661" s="34">
        <f>AM661-AP661</f>
        <v>0</v>
      </c>
      <c r="AW661" s="34">
        <f>AP661-AT661</f>
        <v>0</v>
      </c>
      <c r="AX661" s="123">
        <f>AP661/AJ661</f>
        <v>1</v>
      </c>
    </row>
    <row r="662" spans="1:50" ht="18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73" t="s">
        <v>288</v>
      </c>
      <c r="AB662" s="74" t="s">
        <v>970</v>
      </c>
      <c r="AC662" s="43"/>
      <c r="AD662" s="44"/>
      <c r="AE662" s="44"/>
      <c r="AF662" s="44"/>
      <c r="AG662" s="43"/>
      <c r="AH662" s="43"/>
      <c r="AI662" s="43"/>
      <c r="AJ662" s="43"/>
      <c r="AK662" s="44"/>
      <c r="AL662" s="115"/>
      <c r="AM662" s="114"/>
      <c r="AN662" s="44"/>
      <c r="AO662" s="44"/>
      <c r="AP662" s="114"/>
      <c r="AQ662" s="44"/>
      <c r="AR662" s="142"/>
      <c r="AS662" s="114"/>
      <c r="AT662" s="39"/>
      <c r="AU662" s="34"/>
      <c r="AV662" s="34"/>
      <c r="AW662" s="34"/>
      <c r="AX662" s="123"/>
    </row>
    <row r="663" spans="1:50" ht="18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1" t="s">
        <v>1369</v>
      </c>
      <c r="AB663" s="42" t="s">
        <v>233</v>
      </c>
      <c r="AC663" s="43"/>
      <c r="AD663" s="44">
        <v>0</v>
      </c>
      <c r="AE663" s="44">
        <v>0</v>
      </c>
      <c r="AF663" s="44">
        <v>0</v>
      </c>
      <c r="AG663" s="43">
        <v>1097910418</v>
      </c>
      <c r="AH663" s="44">
        <v>0</v>
      </c>
      <c r="AI663" s="43">
        <f>AE663-AF663+AG663-AH663</f>
        <v>1097910418</v>
      </c>
      <c r="AJ663" s="43">
        <f>AD663+AI663</f>
        <v>1097910418</v>
      </c>
      <c r="AK663" s="44">
        <v>0</v>
      </c>
      <c r="AL663" s="115">
        <v>0</v>
      </c>
      <c r="AM663" s="115">
        <v>0</v>
      </c>
      <c r="AN663" s="44">
        <v>0</v>
      </c>
      <c r="AO663" s="44">
        <v>0</v>
      </c>
      <c r="AP663" s="115">
        <v>0</v>
      </c>
      <c r="AQ663" s="44">
        <v>0</v>
      </c>
      <c r="AR663" s="143">
        <v>0</v>
      </c>
      <c r="AS663" s="115">
        <v>0</v>
      </c>
      <c r="AT663" s="40">
        <f t="shared" ref="AT663:AT664" si="308">AQ663+AS663</f>
        <v>0</v>
      </c>
      <c r="AU663" s="18">
        <f t="shared" ref="AU663:AU664" si="309">AJ663-AM663</f>
        <v>1097910418</v>
      </c>
      <c r="AV663" s="34">
        <f t="shared" ref="AV663:AV664" si="310">AM663-AP663</f>
        <v>0</v>
      </c>
      <c r="AW663" s="34">
        <f t="shared" ref="AW663:AW664" si="311">AP663-AT663</f>
        <v>0</v>
      </c>
      <c r="AX663" s="123">
        <f t="shared" ref="AX663:AX664" si="312">AP663/AJ663</f>
        <v>0</v>
      </c>
    </row>
    <row r="664" spans="1:50" ht="18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1" t="s">
        <v>1368</v>
      </c>
      <c r="AB664" s="42" t="s">
        <v>1015</v>
      </c>
      <c r="AC664" s="43"/>
      <c r="AD664" s="44">
        <v>0</v>
      </c>
      <c r="AE664" s="44">
        <v>0</v>
      </c>
      <c r="AF664" s="44">
        <v>0</v>
      </c>
      <c r="AG664" s="43">
        <v>702089582</v>
      </c>
      <c r="AH664" s="44">
        <v>0</v>
      </c>
      <c r="AI664" s="43">
        <f>AE664-AF664+AG664-AH664</f>
        <v>702089582</v>
      </c>
      <c r="AJ664" s="43">
        <f>AD664+AI664</f>
        <v>702089582</v>
      </c>
      <c r="AK664" s="44">
        <v>0</v>
      </c>
      <c r="AL664" s="115">
        <v>0</v>
      </c>
      <c r="AM664" s="115">
        <v>0</v>
      </c>
      <c r="AN664" s="44">
        <v>0</v>
      </c>
      <c r="AO664" s="143">
        <v>0</v>
      </c>
      <c r="AP664" s="115">
        <v>0</v>
      </c>
      <c r="AQ664" s="44">
        <v>0</v>
      </c>
      <c r="AR664" s="143">
        <v>0</v>
      </c>
      <c r="AS664" s="115">
        <v>0</v>
      </c>
      <c r="AT664" s="40">
        <f t="shared" si="308"/>
        <v>0</v>
      </c>
      <c r="AU664" s="18">
        <f t="shared" si="309"/>
        <v>702089582</v>
      </c>
      <c r="AV664" s="34">
        <f t="shared" si="310"/>
        <v>0</v>
      </c>
      <c r="AW664" s="34">
        <f t="shared" si="311"/>
        <v>0</v>
      </c>
      <c r="AX664" s="123">
        <f t="shared" si="312"/>
        <v>0</v>
      </c>
    </row>
    <row r="665" spans="1:50" ht="18.75" customHeight="1" x14ac:dyDescent="0.2">
      <c r="AA665" s="28" t="s">
        <v>288</v>
      </c>
      <c r="AB665" s="29" t="s">
        <v>498</v>
      </c>
      <c r="AC665" s="17"/>
      <c r="AD665" s="18"/>
      <c r="AE665" s="34"/>
      <c r="AF665" s="34"/>
      <c r="AG665" s="18"/>
      <c r="AH665" s="18"/>
      <c r="AI665" s="18"/>
      <c r="AJ665" s="18"/>
      <c r="AK665" s="34"/>
      <c r="AL665" s="34"/>
      <c r="AM665" s="34"/>
      <c r="AN665" s="34"/>
      <c r="AO665" s="145"/>
      <c r="AP665" s="34"/>
      <c r="AQ665" s="34"/>
      <c r="AR665" s="145"/>
      <c r="AS665" s="34"/>
      <c r="AT665" s="40"/>
      <c r="AU665" s="18"/>
      <c r="AV665" s="18"/>
      <c r="AW665" s="18"/>
      <c r="AX665" s="18"/>
    </row>
    <row r="666" spans="1:50" ht="18.75" customHeight="1" x14ac:dyDescent="0.2">
      <c r="A666" s="4" t="s">
        <v>55</v>
      </c>
      <c r="B666" s="4" t="s">
        <v>56</v>
      </c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1" t="s">
        <v>499</v>
      </c>
      <c r="AB666" s="42" t="s">
        <v>233</v>
      </c>
      <c r="AC666" s="43" t="s">
        <v>58</v>
      </c>
      <c r="AD666" s="43">
        <v>5000000000</v>
      </c>
      <c r="AE666" s="44">
        <v>0</v>
      </c>
      <c r="AF666" s="44">
        <v>0</v>
      </c>
      <c r="AG666" s="44">
        <v>0</v>
      </c>
      <c r="AH666" s="43">
        <f>2332895811.15+800401381+119719609</f>
        <v>3253016801.1500001</v>
      </c>
      <c r="AI666" s="43">
        <f>AE666-AF666+AG666-AH666</f>
        <v>-3253016801.1500001</v>
      </c>
      <c r="AJ666" s="142">
        <f>AD666+AI666</f>
        <v>1746983198.8499999</v>
      </c>
      <c r="AK666" s="44">
        <v>0</v>
      </c>
      <c r="AL666" s="43">
        <f>AM666-SEPTIEMBRE!AM655</f>
        <v>-11088837.859999895</v>
      </c>
      <c r="AM666" s="43">
        <v>1735894360.8800001</v>
      </c>
      <c r="AN666" s="43">
        <v>0</v>
      </c>
      <c r="AO666" s="142">
        <f>AP666-SEPTIEMBRE!AP655</f>
        <v>301193434.88000011</v>
      </c>
      <c r="AP666" s="43">
        <v>1735894360.8800001</v>
      </c>
      <c r="AQ666" s="43">
        <v>358675231.5</v>
      </c>
      <c r="AR666" s="142">
        <v>0</v>
      </c>
      <c r="AS666" s="43">
        <v>1076025694.5</v>
      </c>
      <c r="AT666" s="39">
        <f>AQ666+AS666</f>
        <v>1434700926</v>
      </c>
      <c r="AU666" s="18">
        <f>AJ666-AM666</f>
        <v>11088837.96999979</v>
      </c>
      <c r="AV666" s="18">
        <f>AM666-AP666</f>
        <v>0</v>
      </c>
      <c r="AW666" s="18">
        <f>AP666-AT666</f>
        <v>301193434.88000011</v>
      </c>
      <c r="AX666" s="123">
        <f>AP666/AJ666</f>
        <v>0.99365257892731917</v>
      </c>
    </row>
    <row r="667" spans="1:50" ht="18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166" t="s">
        <v>1052</v>
      </c>
      <c r="AB667" s="167" t="s">
        <v>1015</v>
      </c>
      <c r="AC667" s="168"/>
      <c r="AD667" s="44">
        <v>0</v>
      </c>
      <c r="AE667" s="43">
        <v>3500000000</v>
      </c>
      <c r="AF667" s="44"/>
      <c r="AG667" s="44"/>
      <c r="AH667" s="43">
        <f>769916142.32+86300000+1100000000</f>
        <v>1956216142.3200002</v>
      </c>
      <c r="AI667" s="43">
        <f>AE667-AF667+AG667-AH667</f>
        <v>1543783857.6799998</v>
      </c>
      <c r="AJ667" s="142">
        <f>AD667+AI667</f>
        <v>1543783857.6799998</v>
      </c>
      <c r="AK667" s="44">
        <v>0</v>
      </c>
      <c r="AL667" s="43">
        <f>AM667-SEPTIEMBRE!AM656</f>
        <v>7155000</v>
      </c>
      <c r="AM667" s="43">
        <v>1229474338.1900001</v>
      </c>
      <c r="AN667" s="43">
        <v>8775000</v>
      </c>
      <c r="AO667" s="142">
        <f>AP667-SEPTIEMBRE!AP656</f>
        <v>69030000</v>
      </c>
      <c r="AP667" s="43">
        <v>1185734338.1900001</v>
      </c>
      <c r="AQ667" s="43">
        <v>8820000</v>
      </c>
      <c r="AR667" s="142">
        <v>88007778</v>
      </c>
      <c r="AS667" s="43">
        <v>101522778</v>
      </c>
      <c r="AT667" s="39">
        <f t="shared" ref="AT667:AT668" si="313">AQ667+AS667</f>
        <v>110342778</v>
      </c>
      <c r="AU667" s="18">
        <f>AJ667-AM667</f>
        <v>314309519.48999977</v>
      </c>
      <c r="AV667" s="18">
        <f>AM667-AP667</f>
        <v>43740000</v>
      </c>
      <c r="AW667" s="18">
        <f>AP667-AT667</f>
        <v>1075391560.1900001</v>
      </c>
      <c r="AX667" s="123">
        <f>AP667/AJ667</f>
        <v>0.76807017529767607</v>
      </c>
    </row>
    <row r="668" spans="1:50" ht="24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229" t="s">
        <v>1224</v>
      </c>
      <c r="AB668" s="230" t="s">
        <v>1055</v>
      </c>
      <c r="AC668" s="168"/>
      <c r="AD668" s="44">
        <v>0</v>
      </c>
      <c r="AE668" s="44">
        <v>0</v>
      </c>
      <c r="AF668" s="44">
        <v>0</v>
      </c>
      <c r="AG668" s="43">
        <v>769916142.32000005</v>
      </c>
      <c r="AH668" s="43">
        <f>290000000+53638412.05</f>
        <v>343638412.05000001</v>
      </c>
      <c r="AI668" s="43">
        <f>AE668-AF668+AG668-AH668</f>
        <v>426277730.27000004</v>
      </c>
      <c r="AJ668" s="142">
        <f>AD668+AI668</f>
        <v>426277730.27000004</v>
      </c>
      <c r="AK668" s="44">
        <v>0</v>
      </c>
      <c r="AL668" s="43">
        <f>AM668-SEPTIEMBRE!AM657</f>
        <v>-4436619</v>
      </c>
      <c r="AM668" s="43">
        <v>400790450</v>
      </c>
      <c r="AN668" s="43">
        <v>0</v>
      </c>
      <c r="AO668" s="142">
        <f>AP668-SEPTIEMBRE!AP657</f>
        <v>400790450</v>
      </c>
      <c r="AP668" s="43">
        <v>400790450</v>
      </c>
      <c r="AQ668" s="44">
        <v>0</v>
      </c>
      <c r="AR668" s="143">
        <v>0</v>
      </c>
      <c r="AS668" s="44">
        <v>0</v>
      </c>
      <c r="AT668" s="135">
        <f t="shared" si="313"/>
        <v>0</v>
      </c>
      <c r="AU668" s="18">
        <f>AJ668-AM668</f>
        <v>25487280.270000041</v>
      </c>
      <c r="AV668" s="18">
        <f>AM668-AP668</f>
        <v>0</v>
      </c>
      <c r="AW668" s="18">
        <f>AP668-AT668</f>
        <v>400790450</v>
      </c>
      <c r="AX668" s="123">
        <f>AP668/AJ668</f>
        <v>0.94020968382782588</v>
      </c>
    </row>
    <row r="669" spans="1:50" ht="18.75" customHeight="1" x14ac:dyDescent="0.2">
      <c r="AA669" s="169" t="s">
        <v>288</v>
      </c>
      <c r="AB669" s="163" t="s">
        <v>483</v>
      </c>
      <c r="AC669" s="17"/>
      <c r="AD669" s="18"/>
      <c r="AE669" s="34"/>
      <c r="AF669" s="34"/>
      <c r="AG669" s="18"/>
      <c r="AH669" s="18"/>
      <c r="AI669" s="18"/>
      <c r="AJ669" s="147"/>
      <c r="AK669" s="34"/>
      <c r="AL669" s="34"/>
      <c r="AM669" s="34"/>
      <c r="AN669" s="34"/>
      <c r="AO669" s="145"/>
      <c r="AP669" s="34"/>
      <c r="AQ669" s="34"/>
      <c r="AR669" s="145"/>
      <c r="AS669" s="34"/>
      <c r="AT669" s="40"/>
      <c r="AU669" s="18"/>
      <c r="AV669" s="18"/>
      <c r="AW669" s="18"/>
      <c r="AX669" s="18"/>
    </row>
    <row r="670" spans="1:50" ht="18.75" customHeight="1" x14ac:dyDescent="0.2">
      <c r="A670" s="4" t="s">
        <v>55</v>
      </c>
      <c r="B670" s="4" t="s">
        <v>56</v>
      </c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1" t="s">
        <v>500</v>
      </c>
      <c r="AB670" s="42" t="s">
        <v>233</v>
      </c>
      <c r="AC670" s="43" t="s">
        <v>58</v>
      </c>
      <c r="AD670" s="44">
        <v>0</v>
      </c>
      <c r="AE670" s="44">
        <v>0</v>
      </c>
      <c r="AF670" s="44">
        <v>0</v>
      </c>
      <c r="AG670" s="43">
        <f>36519672</f>
        <v>36519672</v>
      </c>
      <c r="AH670" s="44">
        <v>0</v>
      </c>
      <c r="AI670" s="43">
        <f>AE670-AF670+AG670-AH670</f>
        <v>36519672</v>
      </c>
      <c r="AJ670" s="142">
        <f>AD670+AI670</f>
        <v>36519672</v>
      </c>
      <c r="AK670" s="44">
        <v>0</v>
      </c>
      <c r="AL670" s="44">
        <v>0</v>
      </c>
      <c r="AM670" s="43">
        <v>36519672</v>
      </c>
      <c r="AN670" s="44">
        <v>0</v>
      </c>
      <c r="AO670" s="44">
        <v>0</v>
      </c>
      <c r="AP670" s="43">
        <v>36519672</v>
      </c>
      <c r="AQ670" s="44">
        <v>0</v>
      </c>
      <c r="AR670" s="143">
        <v>0</v>
      </c>
      <c r="AS670" s="43">
        <v>36519672</v>
      </c>
      <c r="AT670" s="39">
        <f>AQ670+AS670</f>
        <v>36519672</v>
      </c>
      <c r="AU670" s="34">
        <f>AJ670-AM670</f>
        <v>0</v>
      </c>
      <c r="AV670" s="34">
        <f>AM670-AP670</f>
        <v>0</v>
      </c>
      <c r="AW670" s="34">
        <f>AP670-AT670</f>
        <v>0</v>
      </c>
      <c r="AX670" s="123">
        <f>AP670/AJ670</f>
        <v>1</v>
      </c>
    </row>
    <row r="671" spans="1:50" ht="18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1" t="s">
        <v>1278</v>
      </c>
      <c r="AB671" s="42" t="s">
        <v>1015</v>
      </c>
      <c r="AC671" s="43"/>
      <c r="AD671" s="44">
        <v>0</v>
      </c>
      <c r="AE671" s="44">
        <v>0</v>
      </c>
      <c r="AF671" s="44">
        <v>0</v>
      </c>
      <c r="AG671" s="43">
        <v>25000000</v>
      </c>
      <c r="AH671" s="44">
        <v>0</v>
      </c>
      <c r="AI671" s="43">
        <f>AE671-AF671+AG671-AH671</f>
        <v>25000000</v>
      </c>
      <c r="AJ671" s="142">
        <f>AD671+AI671</f>
        <v>25000000</v>
      </c>
      <c r="AK671" s="44">
        <v>0</v>
      </c>
      <c r="AL671" s="44">
        <v>0</v>
      </c>
      <c r="AM671" s="43">
        <v>25000000</v>
      </c>
      <c r="AN671" s="44">
        <v>0</v>
      </c>
      <c r="AO671" s="43">
        <v>0</v>
      </c>
      <c r="AP671" s="43">
        <v>25000000</v>
      </c>
      <c r="AQ671" s="44">
        <v>0</v>
      </c>
      <c r="AR671" s="143">
        <v>0</v>
      </c>
      <c r="AS671" s="44">
        <v>0</v>
      </c>
      <c r="AT671" s="40">
        <f>AQ671+AS671</f>
        <v>0</v>
      </c>
      <c r="AU671" s="34">
        <f>AJ671-AM671</f>
        <v>0</v>
      </c>
      <c r="AV671" s="18">
        <f>AM671-AP671</f>
        <v>0</v>
      </c>
      <c r="AW671" s="18">
        <f>AP671-AT671</f>
        <v>25000000</v>
      </c>
      <c r="AX671" s="123">
        <f>AP671/AJ671</f>
        <v>1</v>
      </c>
    </row>
    <row r="672" spans="1:50" ht="18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73" t="s">
        <v>1249</v>
      </c>
      <c r="AB672" s="74" t="s">
        <v>1265</v>
      </c>
      <c r="AC672" s="43"/>
      <c r="AD672" s="44"/>
      <c r="AE672" s="44"/>
      <c r="AF672" s="44"/>
      <c r="AG672" s="43"/>
      <c r="AH672" s="44"/>
      <c r="AI672" s="43"/>
      <c r="AJ672" s="142"/>
      <c r="AK672" s="44"/>
      <c r="AL672" s="44"/>
      <c r="AM672" s="43"/>
      <c r="AN672" s="44"/>
      <c r="AO672" s="44"/>
      <c r="AP672" s="43"/>
      <c r="AQ672" s="44"/>
      <c r="AR672" s="143"/>
      <c r="AS672" s="44"/>
      <c r="AT672" s="40"/>
      <c r="AU672" s="18"/>
      <c r="AV672" s="34"/>
      <c r="AW672" s="34"/>
      <c r="AX672" s="123"/>
    </row>
    <row r="673" spans="1:50" ht="18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1" t="s">
        <v>1266</v>
      </c>
      <c r="AB673" s="42" t="s">
        <v>1015</v>
      </c>
      <c r="AC673" s="43"/>
      <c r="AD673" s="44">
        <v>0</v>
      </c>
      <c r="AE673" s="44">
        <v>0</v>
      </c>
      <c r="AF673" s="44">
        <v>0</v>
      </c>
      <c r="AG673" s="43">
        <f>22000000+11300000</f>
        <v>33300000</v>
      </c>
      <c r="AH673" s="44"/>
      <c r="AI673" s="43">
        <f>AE673-AF673+AG673-AH673</f>
        <v>33300000</v>
      </c>
      <c r="AJ673" s="142">
        <f>AD673+AI673</f>
        <v>33300000</v>
      </c>
      <c r="AK673" s="44">
        <v>0</v>
      </c>
      <c r="AL673" s="44">
        <v>0</v>
      </c>
      <c r="AM673" s="43">
        <v>33295751.84</v>
      </c>
      <c r="AN673" s="44">
        <v>29901647</v>
      </c>
      <c r="AO673" s="44">
        <v>0</v>
      </c>
      <c r="AP673" s="44">
        <v>0</v>
      </c>
      <c r="AQ673" s="44">
        <v>0</v>
      </c>
      <c r="AR673" s="143">
        <v>0</v>
      </c>
      <c r="AS673" s="44">
        <v>0</v>
      </c>
      <c r="AT673" s="40">
        <f>AQ673+AS673</f>
        <v>0</v>
      </c>
      <c r="AU673" s="18">
        <f>AJ673-AM673</f>
        <v>4248.160000000149</v>
      </c>
      <c r="AV673" s="18">
        <f>AM673-AP673</f>
        <v>33295751.84</v>
      </c>
      <c r="AW673" s="34">
        <f>AP673-AT673</f>
        <v>0</v>
      </c>
      <c r="AX673" s="123">
        <f>AP673/AJ673</f>
        <v>0</v>
      </c>
    </row>
    <row r="674" spans="1:50" ht="27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1" t="s">
        <v>1397</v>
      </c>
      <c r="AB674" s="42" t="s">
        <v>1055</v>
      </c>
      <c r="AC674" s="43"/>
      <c r="AD674" s="44"/>
      <c r="AE674" s="44"/>
      <c r="AF674" s="44"/>
      <c r="AG674" s="43">
        <v>30000000</v>
      </c>
      <c r="AH674" s="44"/>
      <c r="AI674" s="43">
        <f>AE674-AF674+AG674-AH674</f>
        <v>30000000</v>
      </c>
      <c r="AJ674" s="142">
        <f>AD674+AI674</f>
        <v>30000000</v>
      </c>
      <c r="AK674" s="44">
        <v>0</v>
      </c>
      <c r="AL674" s="44">
        <v>0</v>
      </c>
      <c r="AM674" s="44">
        <v>0</v>
      </c>
      <c r="AN674" s="44">
        <v>0</v>
      </c>
      <c r="AO674" s="44">
        <v>0</v>
      </c>
      <c r="AP674" s="44">
        <v>0</v>
      </c>
      <c r="AQ674" s="44">
        <v>0</v>
      </c>
      <c r="AR674" s="143">
        <v>0</v>
      </c>
      <c r="AS674" s="44">
        <v>0</v>
      </c>
      <c r="AT674" s="40">
        <f>AQ674+AS674</f>
        <v>0</v>
      </c>
      <c r="AU674" s="18">
        <f>AJ674-AM674</f>
        <v>30000000</v>
      </c>
      <c r="AV674" s="34">
        <f>AM674-AP674</f>
        <v>0</v>
      </c>
      <c r="AW674" s="34">
        <f>AP674-AT674</f>
        <v>0</v>
      </c>
      <c r="AX674" s="123">
        <f>AP674/AJ674</f>
        <v>0</v>
      </c>
    </row>
    <row r="675" spans="1:50" ht="18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73" t="s">
        <v>288</v>
      </c>
      <c r="AB675" s="74" t="s">
        <v>1394</v>
      </c>
      <c r="AC675" s="43"/>
      <c r="AD675" s="44"/>
      <c r="AE675" s="44"/>
      <c r="AF675" s="44"/>
      <c r="AG675" s="43"/>
      <c r="AH675" s="44"/>
      <c r="AI675" s="43"/>
      <c r="AJ675" s="142"/>
      <c r="AK675" s="44"/>
      <c r="AL675" s="44"/>
      <c r="AM675" s="44"/>
      <c r="AN675" s="44"/>
      <c r="AO675" s="44"/>
      <c r="AP675" s="44"/>
      <c r="AQ675" s="44"/>
      <c r="AR675" s="143"/>
      <c r="AS675" s="44"/>
      <c r="AT675" s="40"/>
      <c r="AU675" s="18"/>
      <c r="AV675" s="34"/>
      <c r="AW675" s="34"/>
      <c r="AX675" s="123"/>
    </row>
    <row r="676" spans="1:50" ht="28.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1" t="s">
        <v>1395</v>
      </c>
      <c r="AB676" s="42" t="s">
        <v>1055</v>
      </c>
      <c r="AC676" s="43"/>
      <c r="AD676" s="44"/>
      <c r="AE676" s="44">
        <v>0</v>
      </c>
      <c r="AF676" s="44">
        <v>0</v>
      </c>
      <c r="AG676" s="43">
        <v>23638412.050000001</v>
      </c>
      <c r="AH676" s="44">
        <v>0</v>
      </c>
      <c r="AI676" s="43">
        <f>AE676-AF676+AG676-AH676</f>
        <v>23638412.050000001</v>
      </c>
      <c r="AJ676" s="142">
        <f>AD676+AI676</f>
        <v>23638412.050000001</v>
      </c>
      <c r="AK676" s="44">
        <v>0</v>
      </c>
      <c r="AL676" s="44">
        <v>0</v>
      </c>
      <c r="AM676" s="44">
        <v>0</v>
      </c>
      <c r="AN676" s="44">
        <v>0</v>
      </c>
      <c r="AO676" s="44">
        <v>0</v>
      </c>
      <c r="AP676" s="44">
        <v>0</v>
      </c>
      <c r="AQ676" s="44">
        <v>0</v>
      </c>
      <c r="AR676" s="143">
        <v>0</v>
      </c>
      <c r="AS676" s="44">
        <v>0</v>
      </c>
      <c r="AT676" s="40">
        <f t="shared" ref="AT676:AT677" si="314">AQ676+AS676</f>
        <v>0</v>
      </c>
      <c r="AU676" s="18">
        <f t="shared" ref="AU676:AU677" si="315">AJ676-AM676</f>
        <v>23638412.050000001</v>
      </c>
      <c r="AV676" s="34">
        <f t="shared" ref="AV676:AV677" si="316">AM676-AP676</f>
        <v>0</v>
      </c>
      <c r="AW676" s="34">
        <f t="shared" ref="AW676:AW677" si="317">AP676-AT676</f>
        <v>0</v>
      </c>
      <c r="AX676" s="123">
        <f t="shared" ref="AX676:AX677" si="318">AP676/AJ676</f>
        <v>0</v>
      </c>
    </row>
    <row r="677" spans="1:50" ht="18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1" t="s">
        <v>1396</v>
      </c>
      <c r="AB677" s="42" t="s">
        <v>1032</v>
      </c>
      <c r="AC677" s="43"/>
      <c r="AD677" s="44"/>
      <c r="AE677" s="44"/>
      <c r="AF677" s="44">
        <v>0</v>
      </c>
      <c r="AG677" s="43">
        <v>76361587.950000003</v>
      </c>
      <c r="AH677" s="44"/>
      <c r="AI677" s="43">
        <f>AE677-AF677+AG677-AH677</f>
        <v>76361587.950000003</v>
      </c>
      <c r="AJ677" s="142">
        <f>AD677+AI677</f>
        <v>76361587.950000003</v>
      </c>
      <c r="AK677" s="44">
        <v>0</v>
      </c>
      <c r="AL677" s="44">
        <v>0</v>
      </c>
      <c r="AM677" s="44">
        <v>0</v>
      </c>
      <c r="AN677" s="44">
        <v>0</v>
      </c>
      <c r="AO677" s="44">
        <v>0</v>
      </c>
      <c r="AP677" s="44">
        <v>0</v>
      </c>
      <c r="AQ677" s="44">
        <v>0</v>
      </c>
      <c r="AR677" s="143">
        <v>0</v>
      </c>
      <c r="AS677" s="44">
        <v>0</v>
      </c>
      <c r="AT677" s="40">
        <f t="shared" si="314"/>
        <v>0</v>
      </c>
      <c r="AU677" s="18">
        <f t="shared" si="315"/>
        <v>76361587.950000003</v>
      </c>
      <c r="AV677" s="34">
        <f t="shared" si="316"/>
        <v>0</v>
      </c>
      <c r="AW677" s="34">
        <f t="shared" si="317"/>
        <v>0</v>
      </c>
      <c r="AX677" s="123">
        <f t="shared" si="318"/>
        <v>0</v>
      </c>
    </row>
    <row r="678" spans="1:50" ht="18.75" customHeight="1" x14ac:dyDescent="0.2">
      <c r="AA678" s="28" t="s">
        <v>288</v>
      </c>
      <c r="AB678" s="29" t="s">
        <v>487</v>
      </c>
      <c r="AC678" s="17"/>
      <c r="AD678" s="18"/>
      <c r="AE678" s="34"/>
      <c r="AF678" s="34"/>
      <c r="AG678" s="18"/>
      <c r="AH678" s="18"/>
      <c r="AI678" s="18"/>
      <c r="AJ678" s="147"/>
      <c r="AK678" s="18"/>
      <c r="AL678" s="147"/>
      <c r="AM678" s="18"/>
      <c r="AN678" s="34"/>
      <c r="AO678" s="145"/>
      <c r="AP678" s="18"/>
      <c r="AQ678" s="18"/>
      <c r="AR678" s="147"/>
      <c r="AS678" s="18"/>
      <c r="AT678" s="39"/>
      <c r="AU678" s="18"/>
      <c r="AV678" s="18"/>
      <c r="AW678" s="18"/>
      <c r="AX678" s="18"/>
    </row>
    <row r="679" spans="1:50" ht="18.75" customHeight="1" x14ac:dyDescent="0.2">
      <c r="A679" s="4" t="s">
        <v>55</v>
      </c>
      <c r="B679" s="4" t="s">
        <v>56</v>
      </c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1" t="s">
        <v>501</v>
      </c>
      <c r="AB679" s="42" t="s">
        <v>439</v>
      </c>
      <c r="AC679" s="43" t="s">
        <v>428</v>
      </c>
      <c r="AD679" s="43">
        <v>4549743506</v>
      </c>
      <c r="AE679" s="44">
        <v>0</v>
      </c>
      <c r="AF679" s="44">
        <v>0</v>
      </c>
      <c r="AG679" s="43">
        <v>265538240</v>
      </c>
      <c r="AH679" s="44">
        <v>0</v>
      </c>
      <c r="AI679" s="43">
        <f>AE679-AF679+AG679-AH679</f>
        <v>265538240</v>
      </c>
      <c r="AJ679" s="142">
        <f>AD679+AI679</f>
        <v>4815281746</v>
      </c>
      <c r="AK679" s="44">
        <v>0</v>
      </c>
      <c r="AL679" s="142">
        <f>AM679-SEPTIEMBRE!AM664</f>
        <v>-27149447.150000095</v>
      </c>
      <c r="AM679" s="43">
        <v>3862688885.6500001</v>
      </c>
      <c r="AN679" s="43">
        <v>0</v>
      </c>
      <c r="AO679" s="142">
        <v>727261248.62</v>
      </c>
      <c r="AP679" s="43">
        <v>3856999733.6500001</v>
      </c>
      <c r="AQ679" s="43">
        <v>124582812.86</v>
      </c>
      <c r="AR679" s="142">
        <v>333361827.49000001</v>
      </c>
      <c r="AS679" s="43">
        <v>1333959312.4300001</v>
      </c>
      <c r="AT679" s="39">
        <f t="shared" si="284"/>
        <v>1458542125.29</v>
      </c>
      <c r="AU679" s="18">
        <f>AJ679-AM679</f>
        <v>952592860.3499999</v>
      </c>
      <c r="AV679" s="110">
        <f>AM679-AP679</f>
        <v>5689152</v>
      </c>
      <c r="AW679" s="18">
        <f>AP679-AT679</f>
        <v>2398457608.3600001</v>
      </c>
      <c r="AX679" s="123">
        <f>AP679/AJ679</f>
        <v>0.80099149688467686</v>
      </c>
    </row>
    <row r="680" spans="1:50" ht="18.75" customHeight="1" x14ac:dyDescent="0.2">
      <c r="A680" s="4" t="s">
        <v>55</v>
      </c>
      <c r="B680" s="4" t="s">
        <v>56</v>
      </c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1" t="s">
        <v>502</v>
      </c>
      <c r="AB680" s="42" t="s">
        <v>490</v>
      </c>
      <c r="AC680" s="43" t="s">
        <v>368</v>
      </c>
      <c r="AD680" s="43">
        <v>104829219</v>
      </c>
      <c r="AE680" s="44">
        <v>0</v>
      </c>
      <c r="AF680" s="44">
        <v>0</v>
      </c>
      <c r="AG680" s="44">
        <v>0</v>
      </c>
      <c r="AH680" s="43">
        <v>53364831</v>
      </c>
      <c r="AI680" s="43">
        <f>AE680-AF680+AG680-AH680</f>
        <v>-53364831</v>
      </c>
      <c r="AJ680" s="142">
        <f>AD680+AI680</f>
        <v>51464388</v>
      </c>
      <c r="AK680" s="44">
        <v>0</v>
      </c>
      <c r="AL680" s="143">
        <v>0</v>
      </c>
      <c r="AM680" s="43">
        <v>51464387.640000001</v>
      </c>
      <c r="AN680" s="44">
        <v>0</v>
      </c>
      <c r="AO680" s="142">
        <v>0</v>
      </c>
      <c r="AP680" s="43">
        <v>51464387.640000001</v>
      </c>
      <c r="AQ680" s="44">
        <v>0</v>
      </c>
      <c r="AR680" s="142">
        <v>0</v>
      </c>
      <c r="AS680" s="43">
        <v>51464387.640000001</v>
      </c>
      <c r="AT680" s="39">
        <f t="shared" si="284"/>
        <v>51464387.640000001</v>
      </c>
      <c r="AU680" s="18">
        <f>AJ680-AM680</f>
        <v>0.35999999940395355</v>
      </c>
      <c r="AV680" s="34">
        <f>AM680-AP680</f>
        <v>0</v>
      </c>
      <c r="AW680" s="34">
        <f>AP680-AT680</f>
        <v>0</v>
      </c>
      <c r="AX680" s="123">
        <f>AP680/AJ680</f>
        <v>0.99999999300487163</v>
      </c>
    </row>
    <row r="681" spans="1:50" ht="18.75" customHeight="1" x14ac:dyDescent="0.2">
      <c r="AA681" s="28" t="s">
        <v>288</v>
      </c>
      <c r="AB681" s="29" t="s">
        <v>400</v>
      </c>
      <c r="AC681" s="17"/>
      <c r="AD681" s="18"/>
      <c r="AE681" s="34"/>
      <c r="AF681" s="34"/>
      <c r="AG681" s="18"/>
      <c r="AH681" s="18"/>
      <c r="AI681" s="18"/>
      <c r="AJ681" s="147"/>
      <c r="AK681" s="34"/>
      <c r="AL681" s="145"/>
      <c r="AM681" s="18"/>
      <c r="AN681" s="18"/>
      <c r="AO681" s="147"/>
      <c r="AP681" s="18"/>
      <c r="AQ681" s="18"/>
      <c r="AR681" s="147"/>
      <c r="AS681" s="18"/>
      <c r="AT681" s="39"/>
      <c r="AU681" s="18"/>
      <c r="AV681" s="18"/>
      <c r="AW681" s="18"/>
      <c r="AX681" s="18"/>
    </row>
    <row r="682" spans="1:50" ht="18.75" customHeight="1" x14ac:dyDescent="0.2">
      <c r="A682" s="4" t="s">
        <v>55</v>
      </c>
      <c r="B682" s="4" t="s">
        <v>56</v>
      </c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1" t="s">
        <v>401</v>
      </c>
      <c r="AB682" s="42" t="s">
        <v>233</v>
      </c>
      <c r="AC682" s="43" t="s">
        <v>58</v>
      </c>
      <c r="AD682" s="43">
        <v>2673811725</v>
      </c>
      <c r="AE682" s="44">
        <v>0</v>
      </c>
      <c r="AF682" s="44">
        <v>0</v>
      </c>
      <c r="AG682" s="43">
        <v>1500000000</v>
      </c>
      <c r="AH682" s="44">
        <v>0</v>
      </c>
      <c r="AI682" s="43">
        <f>AE682-AF682+AG682-AH682</f>
        <v>1500000000</v>
      </c>
      <c r="AJ682" s="43">
        <f>AD682+AI682</f>
        <v>4173811725</v>
      </c>
      <c r="AK682" s="44">
        <v>0</v>
      </c>
      <c r="AL682" s="142">
        <f>AM682-SEPTIEMBRE!AM667</f>
        <v>-4500000</v>
      </c>
      <c r="AM682" s="43">
        <v>4108400000</v>
      </c>
      <c r="AN682" s="44">
        <v>0</v>
      </c>
      <c r="AO682" s="142">
        <f>AP682-SEPTIEMBRE!AP667</f>
        <v>-4500000</v>
      </c>
      <c r="AP682" s="43">
        <v>4096400000</v>
      </c>
      <c r="AQ682" s="114">
        <v>118626668</v>
      </c>
      <c r="AR682" s="144">
        <v>401626668</v>
      </c>
      <c r="AS682" s="114">
        <v>3772063331</v>
      </c>
      <c r="AT682" s="111">
        <f t="shared" ref="AT682:AT712" si="319">AQ682+AS682</f>
        <v>3890689999</v>
      </c>
      <c r="AU682" s="18">
        <f>AJ682-AM682</f>
        <v>65411725</v>
      </c>
      <c r="AV682" s="110">
        <f>AM682-AP682</f>
        <v>12000000</v>
      </c>
      <c r="AW682" s="18">
        <f>AP682-AT682</f>
        <v>205710001</v>
      </c>
      <c r="AX682" s="123">
        <f>AP682/AJ682</f>
        <v>0.98145299067125502</v>
      </c>
    </row>
    <row r="683" spans="1:50" ht="18.75" customHeight="1" x14ac:dyDescent="0.2">
      <c r="A683" s="4" t="s">
        <v>55</v>
      </c>
      <c r="B683" s="4" t="s">
        <v>56</v>
      </c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1" t="s">
        <v>503</v>
      </c>
      <c r="AB683" s="42" t="s">
        <v>439</v>
      </c>
      <c r="AC683" s="43" t="s">
        <v>428</v>
      </c>
      <c r="AD683" s="43">
        <v>1237500000</v>
      </c>
      <c r="AE683" s="44">
        <v>0</v>
      </c>
      <c r="AF683" s="44">
        <v>0</v>
      </c>
      <c r="AG683" s="44">
        <v>0</v>
      </c>
      <c r="AH683" s="44">
        <v>0</v>
      </c>
      <c r="AI683" s="44">
        <v>0</v>
      </c>
      <c r="AJ683" s="43">
        <v>1237500000</v>
      </c>
      <c r="AK683" s="43">
        <v>0</v>
      </c>
      <c r="AL683" s="142">
        <f>AM683-SEPTIEMBRE!AM668</f>
        <v>5416666.6700000763</v>
      </c>
      <c r="AM683" s="43">
        <v>1155283333</v>
      </c>
      <c r="AN683" s="44">
        <v>0</v>
      </c>
      <c r="AO683" s="142">
        <f>AP683-SEPTIEMBRE!AP668</f>
        <v>10816666.670000076</v>
      </c>
      <c r="AP683" s="43">
        <v>1155283333</v>
      </c>
      <c r="AQ683" s="114">
        <v>59800000</v>
      </c>
      <c r="AR683" s="144">
        <v>89709999</v>
      </c>
      <c r="AS683" s="114">
        <v>975503334</v>
      </c>
      <c r="AT683" s="111">
        <f t="shared" si="319"/>
        <v>1035303334</v>
      </c>
      <c r="AU683" s="18">
        <f>AJ683-AM683</f>
        <v>82216667</v>
      </c>
      <c r="AV683" s="110">
        <f>AM683-AP683</f>
        <v>0</v>
      </c>
      <c r="AW683" s="18">
        <f>AP683-AT683</f>
        <v>119979999</v>
      </c>
      <c r="AX683" s="123">
        <f>AP683/AJ683</f>
        <v>0.93356228929292928</v>
      </c>
    </row>
    <row r="684" spans="1:50" ht="23.2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166" t="s">
        <v>1053</v>
      </c>
      <c r="AB684" s="167" t="s">
        <v>1015</v>
      </c>
      <c r="AC684" s="168"/>
      <c r="AD684" s="44">
        <v>0</v>
      </c>
      <c r="AE684" s="43">
        <v>230083857.68000001</v>
      </c>
      <c r="AF684" s="44">
        <v>0</v>
      </c>
      <c r="AG684" s="43">
        <f>769916142.32+1100000000</f>
        <v>1869916142.3200002</v>
      </c>
      <c r="AH684" s="44">
        <v>0</v>
      </c>
      <c r="AI684" s="43">
        <f t="shared" ref="AI684:AI686" si="320">AE684-AF684+AG684-AH684</f>
        <v>2100000000.0000002</v>
      </c>
      <c r="AJ684" s="43">
        <f t="shared" ref="AJ684:AJ686" si="321">AD684+AI684</f>
        <v>2100000000.0000002</v>
      </c>
      <c r="AK684" s="44">
        <v>0</v>
      </c>
      <c r="AL684" s="142">
        <f>AM684-SEPTIEMBRE!AM669</f>
        <v>192118333.2900002</v>
      </c>
      <c r="AM684" s="43">
        <v>1867501666.6500001</v>
      </c>
      <c r="AN684" s="43">
        <v>37633333.329999998</v>
      </c>
      <c r="AO684" s="142">
        <f>AP684-SEPTIEMBRE!AP669</f>
        <v>199893333.28999996</v>
      </c>
      <c r="AP684" s="43">
        <v>1786029999.98</v>
      </c>
      <c r="AQ684" s="43">
        <v>29766666</v>
      </c>
      <c r="AR684" s="142">
        <v>190186666</v>
      </c>
      <c r="AS684" s="43">
        <v>307028334</v>
      </c>
      <c r="AT684" s="39">
        <f t="shared" si="319"/>
        <v>336795000</v>
      </c>
      <c r="AU684" s="18">
        <f>AJ684-AM684</f>
        <v>232498333.35000014</v>
      </c>
      <c r="AV684" s="18">
        <f>AM684-AP684</f>
        <v>81471666.670000076</v>
      </c>
      <c r="AW684" s="18">
        <f>AP684-AT684</f>
        <v>1449234999.98</v>
      </c>
      <c r="AX684" s="123">
        <f>AP684/AJ684</f>
        <v>0.8504904761809523</v>
      </c>
    </row>
    <row r="685" spans="1:50" ht="25.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214" t="s">
        <v>1054</v>
      </c>
      <c r="AB685" s="215" t="s">
        <v>1055</v>
      </c>
      <c r="AC685" s="168"/>
      <c r="AD685" s="44">
        <v>0</v>
      </c>
      <c r="AE685" s="43">
        <v>769916142.32000005</v>
      </c>
      <c r="AF685" s="44">
        <v>0</v>
      </c>
      <c r="AG685" s="44">
        <v>0</v>
      </c>
      <c r="AH685" s="43">
        <v>769916142.32000005</v>
      </c>
      <c r="AI685" s="44">
        <f t="shared" si="320"/>
        <v>0</v>
      </c>
      <c r="AJ685" s="44">
        <f t="shared" si="321"/>
        <v>0</v>
      </c>
      <c r="AK685" s="44">
        <v>0</v>
      </c>
      <c r="AL685" s="143">
        <v>0</v>
      </c>
      <c r="AM685" s="44">
        <v>0</v>
      </c>
      <c r="AN685" s="44">
        <v>0</v>
      </c>
      <c r="AO685" s="142">
        <f>AP685-SEPTIEMBRE!AP670</f>
        <v>0</v>
      </c>
      <c r="AP685" s="44">
        <v>0</v>
      </c>
      <c r="AQ685" s="115">
        <v>0</v>
      </c>
      <c r="AR685" s="258">
        <v>0</v>
      </c>
      <c r="AS685" s="115">
        <v>0</v>
      </c>
      <c r="AT685" s="135">
        <f t="shared" si="319"/>
        <v>0</v>
      </c>
      <c r="AU685" s="34">
        <f>AJ685-AM685</f>
        <v>0</v>
      </c>
      <c r="AV685" s="34">
        <f>AM685-AP685</f>
        <v>0</v>
      </c>
      <c r="AW685" s="34">
        <f>AP685-AT685</f>
        <v>0</v>
      </c>
      <c r="AX685" s="123">
        <v>0</v>
      </c>
    </row>
    <row r="686" spans="1:50" ht="25.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166" t="s">
        <v>1078</v>
      </c>
      <c r="AB686" s="167" t="s">
        <v>1074</v>
      </c>
      <c r="AC686" s="168"/>
      <c r="AD686" s="44">
        <v>0</v>
      </c>
      <c r="AE686" s="43">
        <v>1200000000</v>
      </c>
      <c r="AF686" s="216">
        <v>0</v>
      </c>
      <c r="AG686" s="44">
        <v>0</v>
      </c>
      <c r="AH686" s="33">
        <v>86000000</v>
      </c>
      <c r="AI686" s="43">
        <f t="shared" si="320"/>
        <v>1114000000</v>
      </c>
      <c r="AJ686" s="142">
        <f t="shared" si="321"/>
        <v>1114000000</v>
      </c>
      <c r="AK686" s="44">
        <v>0</v>
      </c>
      <c r="AL686" s="143">
        <v>0</v>
      </c>
      <c r="AM686" s="43">
        <v>335933333.32999998</v>
      </c>
      <c r="AN686" s="44">
        <v>0</v>
      </c>
      <c r="AO686" s="142">
        <f>AP686-SEPTIEMBRE!AP671</f>
        <v>27650000</v>
      </c>
      <c r="AP686" s="43">
        <v>335933333.32999998</v>
      </c>
      <c r="AQ686" s="43">
        <v>5900000</v>
      </c>
      <c r="AR686" s="142">
        <v>38050001</v>
      </c>
      <c r="AS686" s="43">
        <v>38050001</v>
      </c>
      <c r="AT686" s="39">
        <f t="shared" si="319"/>
        <v>43950001</v>
      </c>
      <c r="AU686" s="18">
        <f>AJ686-AM686</f>
        <v>778066666.67000008</v>
      </c>
      <c r="AV686" s="34">
        <f>AM686-AP686</f>
        <v>0</v>
      </c>
      <c r="AW686" s="18">
        <f>AP686-AT686</f>
        <v>291983332.32999998</v>
      </c>
      <c r="AX686" s="123">
        <f>AP686/AJ686</f>
        <v>0.30155595451526029</v>
      </c>
    </row>
    <row r="687" spans="1:50" ht="17.2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219"/>
      <c r="AB687" s="220"/>
      <c r="AC687" s="168"/>
      <c r="AD687" s="43"/>
      <c r="AE687" s="43"/>
      <c r="AF687" s="44"/>
      <c r="AG687" s="44"/>
      <c r="AH687" s="44"/>
      <c r="AI687" s="44"/>
      <c r="AJ687" s="43"/>
      <c r="AK687" s="44"/>
      <c r="AL687" s="142"/>
      <c r="AM687" s="43"/>
      <c r="AN687" s="43"/>
      <c r="AO687" s="142"/>
      <c r="AP687" s="43"/>
      <c r="AQ687" s="114"/>
      <c r="AR687" s="144"/>
      <c r="AS687" s="114"/>
      <c r="AT687" s="111"/>
      <c r="AU687" s="18"/>
      <c r="AV687" s="110"/>
      <c r="AW687" s="18"/>
      <c r="AX687" s="123"/>
    </row>
    <row r="688" spans="1:50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170" t="s">
        <v>1016</v>
      </c>
      <c r="AB688" s="170" t="s">
        <v>1068</v>
      </c>
      <c r="AC688" s="168"/>
      <c r="AD688" s="43"/>
      <c r="AE688" s="43"/>
      <c r="AF688" s="44"/>
      <c r="AG688" s="44"/>
      <c r="AH688" s="44"/>
      <c r="AI688" s="44"/>
      <c r="AJ688" s="43"/>
      <c r="AK688" s="44"/>
      <c r="AL688" s="43"/>
      <c r="AM688" s="43"/>
      <c r="AN688" s="43"/>
      <c r="AO688" s="142"/>
      <c r="AP688" s="43"/>
      <c r="AQ688" s="114"/>
      <c r="AR688" s="144"/>
      <c r="AS688" s="114"/>
      <c r="AT688" s="111"/>
      <c r="AU688" s="18"/>
      <c r="AV688" s="110"/>
      <c r="AW688" s="18"/>
      <c r="AX688" s="123"/>
    </row>
    <row r="689" spans="1:50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170" t="s">
        <v>1017</v>
      </c>
      <c r="AB689" s="170" t="s">
        <v>1069</v>
      </c>
      <c r="AC689" s="168"/>
      <c r="AD689" s="43"/>
      <c r="AE689" s="43"/>
      <c r="AF689" s="44"/>
      <c r="AG689" s="44"/>
      <c r="AH689" s="44"/>
      <c r="AI689" s="44"/>
      <c r="AJ689" s="43"/>
      <c r="AK689" s="44"/>
      <c r="AL689" s="43"/>
      <c r="AM689" s="43"/>
      <c r="AN689" s="43"/>
      <c r="AO689" s="142"/>
      <c r="AP689" s="43"/>
      <c r="AQ689" s="114"/>
      <c r="AR689" s="144"/>
      <c r="AS689" s="114"/>
      <c r="AT689" s="111"/>
      <c r="AU689" s="18"/>
      <c r="AV689" s="110"/>
      <c r="AW689" s="18"/>
      <c r="AX689" s="123"/>
    </row>
    <row r="690" spans="1:50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170" t="s">
        <v>1018</v>
      </c>
      <c r="AB690" s="170" t="s">
        <v>286</v>
      </c>
      <c r="AC690" s="168"/>
      <c r="AD690" s="43"/>
      <c r="AE690" s="43"/>
      <c r="AF690" s="44"/>
      <c r="AG690" s="44"/>
      <c r="AH690" s="44"/>
      <c r="AI690" s="44"/>
      <c r="AJ690" s="43"/>
      <c r="AK690" s="44"/>
      <c r="AL690" s="43"/>
      <c r="AM690" s="43"/>
      <c r="AN690" s="43"/>
      <c r="AO690" s="142"/>
      <c r="AP690" s="43"/>
      <c r="AQ690" s="114"/>
      <c r="AR690" s="144"/>
      <c r="AS690" s="114"/>
      <c r="AT690" s="111"/>
      <c r="AU690" s="18"/>
      <c r="AV690" s="110"/>
      <c r="AW690" s="18"/>
      <c r="AX690" s="123"/>
    </row>
    <row r="691" spans="1:50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170" t="s">
        <v>1021</v>
      </c>
      <c r="AB691" s="165" t="s">
        <v>1070</v>
      </c>
      <c r="AC691" s="168"/>
      <c r="AD691" s="43"/>
      <c r="AE691" s="43"/>
      <c r="AF691" s="44"/>
      <c r="AG691" s="44"/>
      <c r="AH691" s="44"/>
      <c r="AI691" s="44"/>
      <c r="AJ691" s="43"/>
      <c r="AK691" s="44"/>
      <c r="AL691" s="43"/>
      <c r="AM691" s="43"/>
      <c r="AN691" s="43"/>
      <c r="AO691" s="142"/>
      <c r="AP691" s="43"/>
      <c r="AQ691" s="114"/>
      <c r="AR691" s="144"/>
      <c r="AS691" s="114"/>
      <c r="AT691" s="111"/>
      <c r="AU691" s="18"/>
      <c r="AV691" s="110"/>
      <c r="AW691" s="18"/>
      <c r="AX691" s="123"/>
    </row>
    <row r="692" spans="1:50" ht="25.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166" t="s">
        <v>1019</v>
      </c>
      <c r="AB692" s="167" t="s">
        <v>1005</v>
      </c>
      <c r="AC692" s="168"/>
      <c r="AD692" s="44">
        <v>0</v>
      </c>
      <c r="AE692" s="217">
        <v>7731979438.25</v>
      </c>
      <c r="AF692" s="216">
        <v>0</v>
      </c>
      <c r="AG692" s="44">
        <v>0</v>
      </c>
      <c r="AH692" s="44">
        <v>0</v>
      </c>
      <c r="AI692" s="43">
        <f t="shared" ref="AI692:AI699" si="322">AE692-AF692+AG692-AH692</f>
        <v>7731979438.25</v>
      </c>
      <c r="AJ692" s="43">
        <f t="shared" ref="AJ692:AJ699" si="323">AD692+AI692</f>
        <v>7731979438.25</v>
      </c>
      <c r="AK692" s="44">
        <v>0</v>
      </c>
      <c r="AL692" s="142">
        <f>AM692-SEPTIEMBRE!AM677</f>
        <v>113549779.96000004</v>
      </c>
      <c r="AM692" s="43">
        <v>6071236070.9399996</v>
      </c>
      <c r="AN692" s="44">
        <v>0</v>
      </c>
      <c r="AO692" s="142">
        <f>AP692-SEPTIEMBRE!AP677</f>
        <v>113549779.96000004</v>
      </c>
      <c r="AP692" s="43">
        <v>6071236070.9399996</v>
      </c>
      <c r="AQ692" s="114">
        <v>0</v>
      </c>
      <c r="AR692" s="144">
        <v>216784349.47</v>
      </c>
      <c r="AS692" s="114">
        <v>1985461317.26</v>
      </c>
      <c r="AT692" s="111">
        <f t="shared" ref="AT692:AT699" si="324">AQ692+AS692</f>
        <v>1985461317.26</v>
      </c>
      <c r="AU692" s="18">
        <f t="shared" ref="AU692:AU699" si="325">AJ692-AM692</f>
        <v>1660743367.3100004</v>
      </c>
      <c r="AV692" s="34">
        <f t="shared" ref="AV692:AV699" si="326">AM692-AP692</f>
        <v>0</v>
      </c>
      <c r="AW692" s="18">
        <f t="shared" ref="AW692:AW699" si="327">AP692-AT692</f>
        <v>4085774753.6799994</v>
      </c>
      <c r="AX692" s="123">
        <f t="shared" ref="AX692:AX699" si="328">AP692/AJ692</f>
        <v>0.78521109884303042</v>
      </c>
    </row>
    <row r="693" spans="1:50" ht="25.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166" t="s">
        <v>1056</v>
      </c>
      <c r="AB693" s="167" t="s">
        <v>1057</v>
      </c>
      <c r="AC693" s="168"/>
      <c r="AD693" s="44">
        <v>0</v>
      </c>
      <c r="AE693" s="217">
        <v>427067817.00999999</v>
      </c>
      <c r="AF693" s="216">
        <v>0</v>
      </c>
      <c r="AG693" s="44">
        <v>0</v>
      </c>
      <c r="AH693" s="44">
        <v>0</v>
      </c>
      <c r="AI693" s="43">
        <f t="shared" si="322"/>
        <v>427067817.00999999</v>
      </c>
      <c r="AJ693" s="43">
        <f t="shared" si="323"/>
        <v>427067817.00999999</v>
      </c>
      <c r="AK693" s="44">
        <v>0</v>
      </c>
      <c r="AL693" s="143">
        <v>0</v>
      </c>
      <c r="AM693" s="43">
        <v>427067817.00999999</v>
      </c>
      <c r="AN693" s="44">
        <v>0</v>
      </c>
      <c r="AO693" s="143">
        <v>0</v>
      </c>
      <c r="AP693" s="43">
        <v>427067817.00999999</v>
      </c>
      <c r="AQ693" s="115">
        <v>0</v>
      </c>
      <c r="AR693" s="143">
        <v>0</v>
      </c>
      <c r="AS693" s="43">
        <v>425039138.57999998</v>
      </c>
      <c r="AT693" s="39">
        <f t="shared" si="324"/>
        <v>425039138.57999998</v>
      </c>
      <c r="AU693" s="34">
        <f t="shared" si="325"/>
        <v>0</v>
      </c>
      <c r="AV693" s="34">
        <f t="shared" si="326"/>
        <v>0</v>
      </c>
      <c r="AW693" s="18">
        <f t="shared" si="327"/>
        <v>2028678.4300000072</v>
      </c>
      <c r="AX693" s="123">
        <f t="shared" si="328"/>
        <v>1</v>
      </c>
    </row>
    <row r="694" spans="1:50" ht="25.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166" t="s">
        <v>1060</v>
      </c>
      <c r="AB694" s="167" t="s">
        <v>1061</v>
      </c>
      <c r="AC694" s="168"/>
      <c r="AD694" s="44">
        <v>0</v>
      </c>
      <c r="AE694" s="217">
        <v>255374883.63</v>
      </c>
      <c r="AF694" s="216">
        <v>0</v>
      </c>
      <c r="AG694" s="44">
        <v>0</v>
      </c>
      <c r="AH694" s="44">
        <v>0</v>
      </c>
      <c r="AI694" s="43">
        <f>AE694-AF694+AG694-AH694</f>
        <v>255374883.63</v>
      </c>
      <c r="AJ694" s="43">
        <f>AD694+AI694</f>
        <v>255374883.63</v>
      </c>
      <c r="AK694" s="44">
        <v>0</v>
      </c>
      <c r="AL694" s="143">
        <v>0</v>
      </c>
      <c r="AM694" s="43">
        <v>255374883.63</v>
      </c>
      <c r="AN694" s="44">
        <v>0</v>
      </c>
      <c r="AO694" s="143">
        <v>0</v>
      </c>
      <c r="AP694" s="43">
        <v>255374883.63</v>
      </c>
      <c r="AQ694" s="115">
        <v>0</v>
      </c>
      <c r="AR694" s="143">
        <v>0</v>
      </c>
      <c r="AS694" s="43">
        <v>254437726.47999999</v>
      </c>
      <c r="AT694" s="39">
        <f>AQ694+AS694</f>
        <v>254437726.47999999</v>
      </c>
      <c r="AU694" s="34">
        <f t="shared" si="325"/>
        <v>0</v>
      </c>
      <c r="AV694" s="34">
        <f t="shared" si="326"/>
        <v>0</v>
      </c>
      <c r="AW694" s="18">
        <f t="shared" si="327"/>
        <v>937157.15000000596</v>
      </c>
      <c r="AX694" s="123">
        <f t="shared" si="328"/>
        <v>1</v>
      </c>
    </row>
    <row r="695" spans="1:50" ht="25.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166" t="s">
        <v>1058</v>
      </c>
      <c r="AB695" s="167" t="s">
        <v>1059</v>
      </c>
      <c r="AC695" s="168"/>
      <c r="AD695" s="44">
        <v>0</v>
      </c>
      <c r="AE695" s="217">
        <v>4369426346.8800001</v>
      </c>
      <c r="AF695" s="216">
        <v>0</v>
      </c>
      <c r="AG695" s="44">
        <v>0</v>
      </c>
      <c r="AH695" s="44">
        <v>0</v>
      </c>
      <c r="AI695" s="43">
        <f t="shared" si="322"/>
        <v>4369426346.8800001</v>
      </c>
      <c r="AJ695" s="43">
        <f t="shared" si="323"/>
        <v>4369426346.8800001</v>
      </c>
      <c r="AK695" s="44">
        <v>0</v>
      </c>
      <c r="AL695" s="142">
        <f>AM695-SEPTIEMBRE!AM680</f>
        <v>38314168.159999847</v>
      </c>
      <c r="AM695" s="43">
        <v>2896488940.7199998</v>
      </c>
      <c r="AN695" s="44">
        <v>0</v>
      </c>
      <c r="AO695" s="142">
        <v>38314168.159999996</v>
      </c>
      <c r="AP695" s="43">
        <v>2896488940.7199998</v>
      </c>
      <c r="AQ695" s="43">
        <v>0</v>
      </c>
      <c r="AR695" s="143">
        <v>203446095</v>
      </c>
      <c r="AS695" s="43">
        <v>2043154144.6400001</v>
      </c>
      <c r="AT695" s="39">
        <f t="shared" si="324"/>
        <v>2043154144.6400001</v>
      </c>
      <c r="AU695" s="18">
        <f t="shared" si="325"/>
        <v>1472937406.1600003</v>
      </c>
      <c r="AV695" s="34">
        <f t="shared" si="326"/>
        <v>0</v>
      </c>
      <c r="AW695" s="18">
        <f t="shared" si="327"/>
        <v>853334796.07999969</v>
      </c>
      <c r="AX695" s="123">
        <f t="shared" si="328"/>
        <v>0.66289913383898669</v>
      </c>
    </row>
    <row r="696" spans="1:50" ht="25.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166" t="s">
        <v>1062</v>
      </c>
      <c r="AB696" s="167" t="s">
        <v>1063</v>
      </c>
      <c r="AC696" s="168"/>
      <c r="AD696" s="44">
        <v>0</v>
      </c>
      <c r="AE696" s="217">
        <v>116816300</v>
      </c>
      <c r="AF696" s="216">
        <v>0</v>
      </c>
      <c r="AG696" s="44">
        <v>0</v>
      </c>
      <c r="AH696" s="44">
        <v>0</v>
      </c>
      <c r="AI696" s="43">
        <f t="shared" si="322"/>
        <v>116816300</v>
      </c>
      <c r="AJ696" s="43">
        <f t="shared" si="323"/>
        <v>116816300</v>
      </c>
      <c r="AK696" s="44">
        <v>0</v>
      </c>
      <c r="AL696" s="143">
        <v>0</v>
      </c>
      <c r="AM696" s="44">
        <v>0</v>
      </c>
      <c r="AN696" s="44">
        <v>0</v>
      </c>
      <c r="AO696" s="143">
        <v>0</v>
      </c>
      <c r="AP696" s="43">
        <v>0</v>
      </c>
      <c r="AQ696" s="115">
        <v>0</v>
      </c>
      <c r="AR696" s="143">
        <v>0</v>
      </c>
      <c r="AS696" s="44">
        <v>0</v>
      </c>
      <c r="AT696" s="40">
        <f t="shared" si="324"/>
        <v>0</v>
      </c>
      <c r="AU696" s="18">
        <f t="shared" si="325"/>
        <v>116816300</v>
      </c>
      <c r="AV696" s="34">
        <f t="shared" si="326"/>
        <v>0</v>
      </c>
      <c r="AW696" s="34">
        <f t="shared" si="327"/>
        <v>0</v>
      </c>
      <c r="AX696" s="123">
        <f t="shared" si="328"/>
        <v>0</v>
      </c>
    </row>
    <row r="697" spans="1:50" ht="25.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166" t="s">
        <v>1064</v>
      </c>
      <c r="AB697" s="167" t="s">
        <v>1065</v>
      </c>
      <c r="AC697" s="168"/>
      <c r="AD697" s="44">
        <v>0</v>
      </c>
      <c r="AE697" s="217">
        <v>122396604.84999999</v>
      </c>
      <c r="AF697" s="216">
        <v>0</v>
      </c>
      <c r="AG697" s="44">
        <v>0</v>
      </c>
      <c r="AH697" s="44">
        <v>0</v>
      </c>
      <c r="AI697" s="43">
        <f t="shared" si="322"/>
        <v>122396604.84999999</v>
      </c>
      <c r="AJ697" s="43">
        <f t="shared" si="323"/>
        <v>122396604.84999999</v>
      </c>
      <c r="AK697" s="44">
        <v>0</v>
      </c>
      <c r="AL697" s="143">
        <v>0</v>
      </c>
      <c r="AM697" s="43">
        <v>122396604.84999999</v>
      </c>
      <c r="AN697" s="44">
        <v>0</v>
      </c>
      <c r="AO697" s="143">
        <f>AP697-SEPTIEMBRE!AP682</f>
        <v>0</v>
      </c>
      <c r="AP697" s="43">
        <v>122396604.84999999</v>
      </c>
      <c r="AQ697" s="115">
        <v>0</v>
      </c>
      <c r="AR697" s="143">
        <v>0</v>
      </c>
      <c r="AS697" s="43">
        <v>122396604.84999999</v>
      </c>
      <c r="AT697" s="39">
        <f t="shared" si="324"/>
        <v>122396604.84999999</v>
      </c>
      <c r="AU697" s="18">
        <f t="shared" si="325"/>
        <v>0</v>
      </c>
      <c r="AV697" s="34">
        <f t="shared" si="326"/>
        <v>0</v>
      </c>
      <c r="AW697" s="34">
        <f t="shared" si="327"/>
        <v>0</v>
      </c>
      <c r="AX697" s="123">
        <f t="shared" si="328"/>
        <v>1</v>
      </c>
    </row>
    <row r="698" spans="1:50" ht="25.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166" t="s">
        <v>1066</v>
      </c>
      <c r="AB698" s="167" t="s">
        <v>1067</v>
      </c>
      <c r="AC698" s="168"/>
      <c r="AD698" s="44">
        <v>0</v>
      </c>
      <c r="AE698" s="217">
        <v>256369955.99000001</v>
      </c>
      <c r="AF698" s="216">
        <v>0</v>
      </c>
      <c r="AG698" s="44">
        <v>0</v>
      </c>
      <c r="AH698" s="44">
        <v>0</v>
      </c>
      <c r="AI698" s="43">
        <f t="shared" si="322"/>
        <v>256369955.99000001</v>
      </c>
      <c r="AJ698" s="43">
        <f t="shared" si="323"/>
        <v>256369955.99000001</v>
      </c>
      <c r="AK698" s="44">
        <v>0</v>
      </c>
      <c r="AL698" s="143">
        <v>0</v>
      </c>
      <c r="AM698" s="43">
        <v>232210009.36000001</v>
      </c>
      <c r="AN698" s="44">
        <v>0</v>
      </c>
      <c r="AO698" s="143">
        <v>0</v>
      </c>
      <c r="AP698" s="43">
        <v>232210009.36000001</v>
      </c>
      <c r="AQ698" s="115">
        <v>0</v>
      </c>
      <c r="AR698" s="143">
        <v>0</v>
      </c>
      <c r="AS698" s="43">
        <v>232210009.36000001</v>
      </c>
      <c r="AT698" s="39">
        <f t="shared" si="324"/>
        <v>232210009.36000001</v>
      </c>
      <c r="AU698" s="18">
        <f t="shared" si="325"/>
        <v>24159946.629999995</v>
      </c>
      <c r="AV698" s="34">
        <f t="shared" si="326"/>
        <v>0</v>
      </c>
      <c r="AW698" s="34">
        <f t="shared" si="327"/>
        <v>0</v>
      </c>
      <c r="AX698" s="123">
        <f t="shared" si="328"/>
        <v>0.90576139650723198</v>
      </c>
    </row>
    <row r="699" spans="1:50" ht="25.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229" t="s">
        <v>1381</v>
      </c>
      <c r="AB699" s="230" t="s">
        <v>1382</v>
      </c>
      <c r="AC699" s="168"/>
      <c r="AD699" s="44">
        <v>0</v>
      </c>
      <c r="AE699" s="217">
        <v>200000000</v>
      </c>
      <c r="AF699" s="216">
        <v>0</v>
      </c>
      <c r="AG699" s="44">
        <v>0</v>
      </c>
      <c r="AH699" s="44">
        <v>0</v>
      </c>
      <c r="AI699" s="43">
        <f t="shared" si="322"/>
        <v>200000000</v>
      </c>
      <c r="AJ699" s="43">
        <f t="shared" si="323"/>
        <v>200000000</v>
      </c>
      <c r="AK699" s="44">
        <v>0</v>
      </c>
      <c r="AL699" s="142">
        <f>AM699-SEPTIEMBRE!AM684</f>
        <v>198234786.47999999</v>
      </c>
      <c r="AM699" s="43">
        <v>198234786.47999999</v>
      </c>
      <c r="AN699" s="44">
        <v>0</v>
      </c>
      <c r="AO699" s="43">
        <f>AP699-SEPTIEMBRE!AP684</f>
        <v>198234786.47999999</v>
      </c>
      <c r="AP699" s="43">
        <v>198234786.47999999</v>
      </c>
      <c r="AQ699" s="115">
        <v>0</v>
      </c>
      <c r="AR699" s="143">
        <v>198234786.47999999</v>
      </c>
      <c r="AS699" s="44">
        <v>198234786.47999999</v>
      </c>
      <c r="AT699" s="40">
        <f t="shared" si="324"/>
        <v>198234786.47999999</v>
      </c>
      <c r="AU699" s="18">
        <f t="shared" si="325"/>
        <v>1765213.5200000107</v>
      </c>
      <c r="AV699" s="34">
        <f t="shared" si="326"/>
        <v>0</v>
      </c>
      <c r="AW699" s="34">
        <f t="shared" si="327"/>
        <v>0</v>
      </c>
      <c r="AX699" s="123">
        <f t="shared" si="328"/>
        <v>0.99117393239999996</v>
      </c>
    </row>
    <row r="700" spans="1:50" ht="18.75" customHeight="1" x14ac:dyDescent="0.2">
      <c r="AA700" s="162"/>
      <c r="AB700" s="163" t="s">
        <v>199</v>
      </c>
      <c r="AC700" s="17"/>
      <c r="AD700" s="18"/>
      <c r="AE700" s="34"/>
      <c r="AF700" s="34"/>
      <c r="AG700" s="34"/>
      <c r="AH700" s="34"/>
      <c r="AI700" s="34"/>
      <c r="AJ700" s="18"/>
      <c r="AK700" s="18"/>
      <c r="AL700" s="18"/>
      <c r="AM700" s="18"/>
      <c r="AN700" s="18"/>
      <c r="AO700" s="18"/>
      <c r="AP700" s="18"/>
      <c r="AQ700" s="34"/>
      <c r="AR700" s="34"/>
      <c r="AS700" s="34"/>
      <c r="AT700" s="40"/>
      <c r="AU700" s="18"/>
      <c r="AV700" s="18"/>
      <c r="AW700" s="18"/>
      <c r="AX700" s="18"/>
    </row>
    <row r="701" spans="1:50" ht="18.75" customHeight="1" x14ac:dyDescent="0.2">
      <c r="AA701" s="28" t="s">
        <v>288</v>
      </c>
      <c r="AB701" s="29" t="s">
        <v>1079</v>
      </c>
      <c r="AC701" s="17"/>
      <c r="AD701" s="18"/>
      <c r="AE701" s="34"/>
      <c r="AF701" s="34"/>
      <c r="AG701" s="34"/>
      <c r="AH701" s="34"/>
      <c r="AI701" s="34"/>
      <c r="AJ701" s="18"/>
      <c r="AK701" s="18"/>
      <c r="AL701" s="18"/>
      <c r="AM701" s="18"/>
      <c r="AN701" s="18"/>
      <c r="AO701" s="18"/>
      <c r="AP701" s="18"/>
      <c r="AQ701" s="34"/>
      <c r="AR701" s="34"/>
      <c r="AS701" s="34"/>
      <c r="AT701" s="40"/>
      <c r="AU701" s="18"/>
      <c r="AV701" s="18"/>
      <c r="AW701" s="18"/>
      <c r="AX701" s="18"/>
    </row>
    <row r="702" spans="1:50" ht="18.75" customHeight="1" x14ac:dyDescent="0.2">
      <c r="A702" s="4" t="s">
        <v>55</v>
      </c>
      <c r="B702" s="4" t="s">
        <v>56</v>
      </c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1" t="s">
        <v>505</v>
      </c>
      <c r="AB702" s="42" t="s">
        <v>439</v>
      </c>
      <c r="AC702" s="43" t="s">
        <v>428</v>
      </c>
      <c r="AD702" s="43">
        <v>1896134100.8599999</v>
      </c>
      <c r="AE702" s="44">
        <v>0</v>
      </c>
      <c r="AF702" s="44">
        <v>0</v>
      </c>
      <c r="AG702" s="44">
        <v>0</v>
      </c>
      <c r="AH702" s="44">
        <v>0</v>
      </c>
      <c r="AI702" s="44">
        <v>0</v>
      </c>
      <c r="AJ702" s="43">
        <v>1896134100.8599999</v>
      </c>
      <c r="AK702" s="44">
        <v>0</v>
      </c>
      <c r="AL702" s="43">
        <v>0</v>
      </c>
      <c r="AM702" s="114">
        <v>1827225023</v>
      </c>
      <c r="AN702" s="44">
        <v>0</v>
      </c>
      <c r="AO702" s="44">
        <v>0</v>
      </c>
      <c r="AP702" s="43">
        <v>1827225023</v>
      </c>
      <c r="AQ702" s="43">
        <v>0</v>
      </c>
      <c r="AR702" s="43">
        <v>70026145</v>
      </c>
      <c r="AS702" s="43">
        <v>579568423.64999998</v>
      </c>
      <c r="AT702" s="39">
        <f>AQ702+AS702</f>
        <v>579568423.64999998</v>
      </c>
      <c r="AU702" s="18">
        <f>AJ702-AM702</f>
        <v>68909077.859999895</v>
      </c>
      <c r="AV702" s="133">
        <f>AM702-AP702</f>
        <v>0</v>
      </c>
      <c r="AW702" s="18">
        <f>AP702-AT702</f>
        <v>1247656599.3499999</v>
      </c>
      <c r="AX702" s="123">
        <f>AP702/AJ702</f>
        <v>0.96365812005134766</v>
      </c>
    </row>
    <row r="703" spans="1:50" ht="18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214" t="s">
        <v>1080</v>
      </c>
      <c r="AB703" s="215" t="s">
        <v>1074</v>
      </c>
      <c r="AC703" s="168"/>
      <c r="AD703" s="44">
        <v>0</v>
      </c>
      <c r="AE703" s="43">
        <v>100000000</v>
      </c>
      <c r="AF703" s="44">
        <v>0</v>
      </c>
      <c r="AG703" s="44">
        <v>0</v>
      </c>
      <c r="AH703" s="44">
        <v>0</v>
      </c>
      <c r="AI703" s="43">
        <f>AE703-AF703+AG703-AH703</f>
        <v>100000000</v>
      </c>
      <c r="AJ703" s="43">
        <f>AD703+AI703</f>
        <v>100000000</v>
      </c>
      <c r="AK703" s="44">
        <v>0</v>
      </c>
      <c r="AL703" s="115">
        <v>0</v>
      </c>
      <c r="AM703" s="115">
        <v>0</v>
      </c>
      <c r="AN703" s="44">
        <v>0</v>
      </c>
      <c r="AO703" s="44">
        <v>0</v>
      </c>
      <c r="AP703" s="44">
        <v>0</v>
      </c>
      <c r="AQ703" s="44">
        <v>0</v>
      </c>
      <c r="AR703" s="44">
        <v>0</v>
      </c>
      <c r="AS703" s="44">
        <v>0</v>
      </c>
      <c r="AT703" s="40">
        <f t="shared" ref="AT703" si="329">AQ703+AS703</f>
        <v>0</v>
      </c>
      <c r="AU703" s="18">
        <f>AJ703-AM703</f>
        <v>100000000</v>
      </c>
      <c r="AV703" s="34">
        <f>AM703-AP703</f>
        <v>0</v>
      </c>
      <c r="AW703" s="34">
        <f>AP703-AT703</f>
        <v>0</v>
      </c>
      <c r="AX703" s="123">
        <f>AP703/AJ703</f>
        <v>0</v>
      </c>
    </row>
    <row r="704" spans="1:50" ht="18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170" t="s">
        <v>288</v>
      </c>
      <c r="AB704" s="165" t="s">
        <v>1084</v>
      </c>
      <c r="AC704" s="168"/>
      <c r="AD704" s="44"/>
      <c r="AE704" s="43"/>
      <c r="AF704" s="44"/>
      <c r="AG704" s="44"/>
      <c r="AH704" s="44"/>
      <c r="AI704" s="44"/>
      <c r="AJ704" s="43"/>
      <c r="AK704" s="44"/>
      <c r="AL704" s="115"/>
      <c r="AM704" s="115"/>
      <c r="AN704" s="44"/>
      <c r="AO704" s="44"/>
      <c r="AP704" s="44"/>
      <c r="AQ704" s="44"/>
      <c r="AR704" s="44"/>
      <c r="AS704" s="44"/>
      <c r="AT704" s="40"/>
      <c r="AU704" s="18"/>
      <c r="AV704" s="133"/>
      <c r="AW704" s="34"/>
      <c r="AX704" s="123"/>
    </row>
    <row r="705" spans="1:50" ht="18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166" t="s">
        <v>1085</v>
      </c>
      <c r="AB705" s="167" t="s">
        <v>1074</v>
      </c>
      <c r="AC705" s="168"/>
      <c r="AD705" s="44">
        <v>0</v>
      </c>
      <c r="AE705" s="43">
        <v>3115350000</v>
      </c>
      <c r="AF705" s="44">
        <v>0</v>
      </c>
      <c r="AG705" s="44">
        <v>0</v>
      </c>
      <c r="AH705" s="43">
        <f>466710000+2648640000</f>
        <v>3115350000</v>
      </c>
      <c r="AI705" s="43">
        <f>AE705-AF705+AG705-AH705</f>
        <v>0</v>
      </c>
      <c r="AJ705" s="142">
        <f>AD705+AI705</f>
        <v>0</v>
      </c>
      <c r="AK705" s="44">
        <v>0</v>
      </c>
      <c r="AL705" s="115">
        <v>0</v>
      </c>
      <c r="AM705" s="115">
        <v>0</v>
      </c>
      <c r="AN705" s="44">
        <v>0</v>
      </c>
      <c r="AO705" s="44">
        <v>0</v>
      </c>
      <c r="AP705" s="44">
        <v>0</v>
      </c>
      <c r="AQ705" s="44">
        <v>0</v>
      </c>
      <c r="AR705" s="44">
        <v>0</v>
      </c>
      <c r="AS705" s="44">
        <v>0</v>
      </c>
      <c r="AT705" s="40">
        <f t="shared" ref="AT705" si="330">AQ705+AS705</f>
        <v>0</v>
      </c>
      <c r="AU705" s="18">
        <f>AJ705-AM705</f>
        <v>0</v>
      </c>
      <c r="AV705" s="34">
        <f>AM705-AP705</f>
        <v>0</v>
      </c>
      <c r="AW705" s="34">
        <f>AP705-AT705</f>
        <v>0</v>
      </c>
      <c r="AX705" s="123">
        <v>0</v>
      </c>
    </row>
    <row r="706" spans="1:50" ht="18.75" customHeight="1" x14ac:dyDescent="0.2">
      <c r="AA706" s="169" t="s">
        <v>288</v>
      </c>
      <c r="AB706" s="163" t="s">
        <v>506</v>
      </c>
      <c r="AC706" s="17"/>
      <c r="AD706" s="18"/>
      <c r="AE706" s="34"/>
      <c r="AF706" s="34"/>
      <c r="AG706" s="34"/>
      <c r="AH706" s="34"/>
      <c r="AI706" s="34"/>
      <c r="AJ706" s="18"/>
      <c r="AK706" s="34"/>
      <c r="AL706" s="133"/>
      <c r="AM706" s="110"/>
      <c r="AN706" s="34"/>
      <c r="AO706" s="145"/>
      <c r="AP706" s="34"/>
      <c r="AQ706" s="34"/>
      <c r="AR706" s="34"/>
      <c r="AS706" s="34"/>
      <c r="AT706" s="40"/>
      <c r="AU706" s="18"/>
      <c r="AV706" s="34"/>
      <c r="AW706" s="18"/>
      <c r="AX706" s="18"/>
    </row>
    <row r="707" spans="1:50" ht="18.75" customHeight="1" x14ac:dyDescent="0.2">
      <c r="A707" s="4" t="s">
        <v>55</v>
      </c>
      <c r="B707" s="4" t="s">
        <v>56</v>
      </c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1" t="s">
        <v>507</v>
      </c>
      <c r="AB707" s="42" t="s">
        <v>439</v>
      </c>
      <c r="AC707" s="43" t="s">
        <v>428</v>
      </c>
      <c r="AD707" s="43">
        <v>6191009183.8000002</v>
      </c>
      <c r="AE707" s="44">
        <v>0</v>
      </c>
      <c r="AF707" s="44">
        <v>0</v>
      </c>
      <c r="AG707" s="44">
        <v>0</v>
      </c>
      <c r="AH707" s="43">
        <f>4680084481.8+76000000+907367029.2</f>
        <v>5663451511</v>
      </c>
      <c r="AI707" s="43">
        <f>AE707-AF707+AG707-AH707</f>
        <v>-5663451511</v>
      </c>
      <c r="AJ707" s="43">
        <f>AD707+AI707</f>
        <v>527557672.80000019</v>
      </c>
      <c r="AK707" s="44">
        <v>0</v>
      </c>
      <c r="AL707" s="115">
        <f>AM707-AGOSTO!AM670</f>
        <v>0</v>
      </c>
      <c r="AM707" s="114">
        <v>527557672.80000001</v>
      </c>
      <c r="AN707" s="44">
        <v>0</v>
      </c>
      <c r="AO707" s="143">
        <v>0</v>
      </c>
      <c r="AP707" s="114">
        <v>527557672.80000001</v>
      </c>
      <c r="AQ707" s="44">
        <v>0</v>
      </c>
      <c r="AR707" s="44">
        <v>0</v>
      </c>
      <c r="AS707" s="43">
        <v>527557672.80000001</v>
      </c>
      <c r="AT707" s="39">
        <f>AQ707+AS707</f>
        <v>527557672.80000001</v>
      </c>
      <c r="AU707" s="34">
        <f>AJ707-AM707</f>
        <v>0</v>
      </c>
      <c r="AV707" s="34">
        <f>AM707-AP707</f>
        <v>0</v>
      </c>
      <c r="AW707" s="34">
        <f>AP707-AT707</f>
        <v>0</v>
      </c>
      <c r="AX707" s="123">
        <f>AP707/AJ707</f>
        <v>0.99999999999999967</v>
      </c>
    </row>
    <row r="708" spans="1:50" ht="18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166" t="s">
        <v>1081</v>
      </c>
      <c r="AB708" s="167" t="s">
        <v>1074</v>
      </c>
      <c r="AC708" s="168"/>
      <c r="AD708" s="43">
        <v>0</v>
      </c>
      <c r="AE708" s="43">
        <v>12071695000</v>
      </c>
      <c r="AF708" s="44">
        <v>0</v>
      </c>
      <c r="AG708" s="43">
        <v>2648640000</v>
      </c>
      <c r="AH708" s="44">
        <v>0</v>
      </c>
      <c r="AI708" s="43">
        <f>AE708-AF708+AG708-AH708</f>
        <v>14720335000</v>
      </c>
      <c r="AJ708" s="142">
        <f>AD708+AI708</f>
        <v>14720335000</v>
      </c>
      <c r="AK708" s="44">
        <v>0</v>
      </c>
      <c r="AL708" s="43">
        <f>AM708-SEPTIEMBRE!AM693</f>
        <v>-2348496128</v>
      </c>
      <c r="AM708" s="43">
        <v>7212894457.9300003</v>
      </c>
      <c r="AN708" s="43">
        <v>0</v>
      </c>
      <c r="AO708" s="142">
        <f>AP708-SEPTIEMBRE!AP693</f>
        <v>5238000000</v>
      </c>
      <c r="AP708" s="43">
        <v>7212894457.9300003</v>
      </c>
      <c r="AQ708" s="44">
        <v>0</v>
      </c>
      <c r="AR708" s="43">
        <v>398097222.30000001</v>
      </c>
      <c r="AS708" s="43">
        <v>665494321.32000005</v>
      </c>
      <c r="AT708" s="111">
        <f t="shared" ref="AT708" si="331">AQ708+AS708</f>
        <v>665494321.32000005</v>
      </c>
      <c r="AU708" s="18">
        <f>AJ708-AM708</f>
        <v>7507440542.0699997</v>
      </c>
      <c r="AV708" s="18">
        <f>AM708-AP708</f>
        <v>0</v>
      </c>
      <c r="AW708" s="18">
        <f>AP708-AT708</f>
        <v>6547400136.6100006</v>
      </c>
      <c r="AX708" s="123">
        <f>AP708/AJ708</f>
        <v>0.48999526559212142</v>
      </c>
    </row>
    <row r="709" spans="1:50" ht="18.75" customHeight="1" x14ac:dyDescent="0.2">
      <c r="AA709" s="169" t="s">
        <v>288</v>
      </c>
      <c r="AB709" s="163" t="s">
        <v>508</v>
      </c>
      <c r="AC709" s="17"/>
      <c r="AD709" s="18"/>
      <c r="AE709" s="34"/>
      <c r="AF709" s="34"/>
      <c r="AG709" s="34"/>
      <c r="AH709" s="34"/>
      <c r="AI709" s="34"/>
      <c r="AJ709" s="18"/>
      <c r="AK709" s="34"/>
      <c r="AL709" s="34"/>
      <c r="AM709" s="34"/>
      <c r="AN709" s="34"/>
      <c r="AO709" s="145"/>
      <c r="AP709" s="34"/>
      <c r="AQ709" s="34"/>
      <c r="AR709" s="34"/>
      <c r="AS709" s="34"/>
      <c r="AT709" s="40"/>
      <c r="AU709" s="18"/>
      <c r="AV709" s="34"/>
      <c r="AW709" s="18"/>
      <c r="AX709" s="18"/>
    </row>
    <row r="710" spans="1:50" ht="18.75" customHeight="1" x14ac:dyDescent="0.2">
      <c r="A710" s="4" t="s">
        <v>55</v>
      </c>
      <c r="B710" s="4" t="s">
        <v>56</v>
      </c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1" t="s">
        <v>509</v>
      </c>
      <c r="AB710" s="42" t="s">
        <v>439</v>
      </c>
      <c r="AC710" s="43" t="s">
        <v>428</v>
      </c>
      <c r="AD710" s="43">
        <v>9340881185.3400002</v>
      </c>
      <c r="AE710" s="44">
        <v>0</v>
      </c>
      <c r="AF710" s="44">
        <v>0</v>
      </c>
      <c r="AG710" s="43">
        <f>4680084481.8+1126470266</f>
        <v>5806554747.8000002</v>
      </c>
      <c r="AH710" s="44">
        <v>0</v>
      </c>
      <c r="AI710" s="43">
        <f>AE710-AF710+AG710-AH710</f>
        <v>5806554747.8000002</v>
      </c>
      <c r="AJ710" s="43">
        <f>AD710+AI710</f>
        <v>15147435933.139999</v>
      </c>
      <c r="AK710" s="44">
        <v>0</v>
      </c>
      <c r="AL710" s="142">
        <v>0</v>
      </c>
      <c r="AM710" s="43">
        <v>14766414723.66</v>
      </c>
      <c r="AN710" s="44">
        <v>0</v>
      </c>
      <c r="AO710" s="143">
        <f>AP710-SEPTIEMBRE!AP695</f>
        <v>0</v>
      </c>
      <c r="AP710" s="43">
        <v>14766414723.66</v>
      </c>
      <c r="AQ710" s="43">
        <v>80421695</v>
      </c>
      <c r="AR710" s="44">
        <v>0</v>
      </c>
      <c r="AS710" s="44">
        <v>0</v>
      </c>
      <c r="AT710" s="40">
        <f t="shared" si="319"/>
        <v>80421695</v>
      </c>
      <c r="AU710" s="18">
        <f>AJ710-AM710</f>
        <v>381021209.47999954</v>
      </c>
      <c r="AV710" s="34">
        <f>AM710-AP710</f>
        <v>0</v>
      </c>
      <c r="AW710" s="18">
        <f>AP710-AT710</f>
        <v>14685993028.66</v>
      </c>
      <c r="AX710" s="123">
        <f>AP710/AJ710</f>
        <v>0.97484582795650643</v>
      </c>
    </row>
    <row r="711" spans="1:50" ht="18.75" customHeight="1" x14ac:dyDescent="0.2">
      <c r="A711" s="4" t="s">
        <v>55</v>
      </c>
      <c r="B711" s="4" t="s">
        <v>56</v>
      </c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1" t="s">
        <v>510</v>
      </c>
      <c r="AB711" s="42" t="s">
        <v>490</v>
      </c>
      <c r="AC711" s="43" t="s">
        <v>368</v>
      </c>
      <c r="AD711" s="43">
        <v>659690762</v>
      </c>
      <c r="AE711" s="44">
        <v>0</v>
      </c>
      <c r="AF711" s="44">
        <v>0</v>
      </c>
      <c r="AG711" s="44">
        <v>0</v>
      </c>
      <c r="AH711" s="44">
        <v>0</v>
      </c>
      <c r="AI711" s="44">
        <v>0</v>
      </c>
      <c r="AJ711" s="43">
        <v>659690762</v>
      </c>
      <c r="AK711" s="44">
        <v>0</v>
      </c>
      <c r="AL711" s="142">
        <v>0</v>
      </c>
      <c r="AM711" s="43">
        <v>582174687</v>
      </c>
      <c r="AN711" s="44">
        <v>0</v>
      </c>
      <c r="AO711" s="143">
        <f>AP711-SEPTIEMBRE!AP696</f>
        <v>0</v>
      </c>
      <c r="AP711" s="43">
        <v>582174687</v>
      </c>
      <c r="AQ711" s="44">
        <v>0</v>
      </c>
      <c r="AR711" s="44">
        <v>0</v>
      </c>
      <c r="AS711" s="44">
        <v>0</v>
      </c>
      <c r="AT711" s="40">
        <f t="shared" si="319"/>
        <v>0</v>
      </c>
      <c r="AU711" s="18">
        <f>AJ711-AM711</f>
        <v>77516075</v>
      </c>
      <c r="AV711" s="34">
        <f>AM711-AP711</f>
        <v>0</v>
      </c>
      <c r="AW711" s="34">
        <f>AP711-AT711</f>
        <v>582174687</v>
      </c>
      <c r="AX711" s="123">
        <f>AP711/AJ711</f>
        <v>0.88249634606828098</v>
      </c>
    </row>
    <row r="712" spans="1:50" ht="18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166" t="s">
        <v>1086</v>
      </c>
      <c r="AB712" s="167" t="s">
        <v>1074</v>
      </c>
      <c r="AC712" s="168"/>
      <c r="AD712" s="44">
        <v>0</v>
      </c>
      <c r="AE712" s="43">
        <v>7500000000</v>
      </c>
      <c r="AF712" s="44">
        <v>0</v>
      </c>
      <c r="AG712" s="44">
        <v>0</v>
      </c>
      <c r="AH712" s="43">
        <v>500000000</v>
      </c>
      <c r="AI712" s="43">
        <f>AE712-AF712+AG712-AH712</f>
        <v>7000000000</v>
      </c>
      <c r="AJ712" s="43">
        <f>AD712+AI712</f>
        <v>7000000000</v>
      </c>
      <c r="AK712" s="44">
        <v>0</v>
      </c>
      <c r="AL712" s="142">
        <v>0</v>
      </c>
      <c r="AM712" s="43">
        <v>1998289237</v>
      </c>
      <c r="AN712" s="44">
        <v>0</v>
      </c>
      <c r="AO712" s="143">
        <f>AP712-SEPTIEMBRE!AP697</f>
        <v>0</v>
      </c>
      <c r="AP712" s="43">
        <v>1998289237</v>
      </c>
      <c r="AQ712" s="44">
        <v>0</v>
      </c>
      <c r="AR712" s="43">
        <v>0</v>
      </c>
      <c r="AS712" s="43">
        <v>10839399</v>
      </c>
      <c r="AT712" s="135">
        <f t="shared" si="319"/>
        <v>10839399</v>
      </c>
      <c r="AU712" s="18">
        <f>AJ712-AM712</f>
        <v>5001710763</v>
      </c>
      <c r="AV712" s="34">
        <f>AM712-AP712</f>
        <v>0</v>
      </c>
      <c r="AW712" s="18">
        <f>AP712-AT712</f>
        <v>1987449838</v>
      </c>
      <c r="AX712" s="123">
        <f>AP712/AJ712</f>
        <v>0.28546989099999998</v>
      </c>
    </row>
    <row r="713" spans="1:50" ht="18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171" t="s">
        <v>288</v>
      </c>
      <c r="AB713" s="213" t="s">
        <v>1082</v>
      </c>
      <c r="AC713" s="168"/>
      <c r="AD713" s="44"/>
      <c r="AE713" s="44"/>
      <c r="AF713" s="44"/>
      <c r="AG713" s="44"/>
      <c r="AH713" s="44"/>
      <c r="AI713" s="44"/>
      <c r="AJ713" s="43"/>
      <c r="AK713" s="44"/>
      <c r="AL713" s="143"/>
      <c r="AM713" s="44"/>
      <c r="AN713" s="44"/>
      <c r="AO713" s="143"/>
      <c r="AP713" s="44"/>
      <c r="AQ713" s="44"/>
      <c r="AR713" s="44"/>
      <c r="AS713" s="44"/>
      <c r="AT713" s="40"/>
      <c r="AU713" s="18"/>
      <c r="AV713" s="34"/>
      <c r="AW713" s="34"/>
      <c r="AX713" s="123"/>
    </row>
    <row r="714" spans="1:50" ht="18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166" t="s">
        <v>1083</v>
      </c>
      <c r="AB714" s="167" t="s">
        <v>1074</v>
      </c>
      <c r="AC714" s="168"/>
      <c r="AD714" s="44">
        <v>0</v>
      </c>
      <c r="AE714" s="43">
        <v>926394000</v>
      </c>
      <c r="AF714" s="44">
        <v>0</v>
      </c>
      <c r="AG714" s="43">
        <f>1886000000+466710000</f>
        <v>2352710000</v>
      </c>
      <c r="AH714" s="44">
        <v>0</v>
      </c>
      <c r="AI714" s="43">
        <f>AE714-AF714+AG714-AH714</f>
        <v>3279104000</v>
      </c>
      <c r="AJ714" s="43">
        <f>AD714+AI714</f>
        <v>3279104000</v>
      </c>
      <c r="AK714" s="44">
        <v>0</v>
      </c>
      <c r="AL714" s="142">
        <v>0</v>
      </c>
      <c r="AM714" s="43">
        <v>2941786693</v>
      </c>
      <c r="AN714" s="43">
        <v>0</v>
      </c>
      <c r="AO714" s="142">
        <f>AP714-SEPTIEMBRE!AP699</f>
        <v>0</v>
      </c>
      <c r="AP714" s="43">
        <v>2941786693</v>
      </c>
      <c r="AQ714" s="44">
        <v>0</v>
      </c>
      <c r="AR714" s="43">
        <v>268025648</v>
      </c>
      <c r="AS714" s="43">
        <v>268025648</v>
      </c>
      <c r="AT714" s="39">
        <f t="shared" ref="AT714:AT715" si="332">AQ714+AS714</f>
        <v>268025648</v>
      </c>
      <c r="AU714" s="18">
        <f>AJ714-AM714</f>
        <v>337317307</v>
      </c>
      <c r="AV714" s="34">
        <f>AM714-AP714</f>
        <v>0</v>
      </c>
      <c r="AW714" s="18">
        <f>AP714-AT714</f>
        <v>2673761045</v>
      </c>
      <c r="AX714" s="123">
        <f>AP714/AJ714</f>
        <v>0.89713125689212658</v>
      </c>
    </row>
    <row r="715" spans="1:50" ht="18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229" t="s">
        <v>1261</v>
      </c>
      <c r="AB715" s="230" t="s">
        <v>490</v>
      </c>
      <c r="AC715" s="168"/>
      <c r="AD715" s="44">
        <v>0</v>
      </c>
      <c r="AE715" s="43">
        <v>0</v>
      </c>
      <c r="AF715" s="44">
        <v>0</v>
      </c>
      <c r="AG715" s="43">
        <v>53364831</v>
      </c>
      <c r="AH715" s="44">
        <v>0</v>
      </c>
      <c r="AI715" s="43">
        <f>AE715-AF715+AG715-AH715</f>
        <v>53364831</v>
      </c>
      <c r="AJ715" s="43">
        <f>AD715+AI715</f>
        <v>53364831</v>
      </c>
      <c r="AK715" s="43">
        <v>0</v>
      </c>
      <c r="AL715" s="142">
        <f>AM715-SEPTIEMBRE!AM700</f>
        <v>-37233935</v>
      </c>
      <c r="AM715" s="43">
        <v>16130896</v>
      </c>
      <c r="AN715" s="43">
        <v>0</v>
      </c>
      <c r="AO715" s="142">
        <f>AP715-SEPTIEMBRE!AP700</f>
        <v>0</v>
      </c>
      <c r="AP715" s="43">
        <v>16130896</v>
      </c>
      <c r="AQ715" s="43">
        <v>0</v>
      </c>
      <c r="AR715" s="43">
        <v>0</v>
      </c>
      <c r="AS715" s="43">
        <v>0</v>
      </c>
      <c r="AT715" s="135">
        <f t="shared" si="332"/>
        <v>0</v>
      </c>
      <c r="AU715" s="18">
        <f>AJ715-AM715</f>
        <v>37233935</v>
      </c>
      <c r="AV715" s="18">
        <f>AM715-AP715</f>
        <v>0</v>
      </c>
      <c r="AW715" s="18">
        <f>AP715-AT715</f>
        <v>16130896</v>
      </c>
      <c r="AX715" s="123">
        <f>AP715/AJ715</f>
        <v>0.30227578159106322</v>
      </c>
    </row>
    <row r="716" spans="1:50" ht="18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206"/>
      <c r="AB716" s="207"/>
      <c r="AC716" s="43"/>
      <c r="AD716" s="44"/>
      <c r="AE716" s="44"/>
      <c r="AF716" s="44"/>
      <c r="AG716" s="44"/>
      <c r="AH716" s="44"/>
      <c r="AI716" s="44"/>
      <c r="AJ716" s="43"/>
      <c r="AK716" s="44"/>
      <c r="AL716" s="143"/>
      <c r="AM716" s="44"/>
      <c r="AN716" s="44"/>
      <c r="AO716" s="143"/>
      <c r="AP716" s="44"/>
      <c r="AQ716" s="44"/>
      <c r="AR716" s="44"/>
      <c r="AS716" s="44"/>
      <c r="AT716" s="40"/>
      <c r="AU716" s="34"/>
      <c r="AV716" s="34"/>
      <c r="AW716" s="34"/>
      <c r="AX716" s="123"/>
    </row>
    <row r="717" spans="1:50" ht="24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73" t="s">
        <v>288</v>
      </c>
      <c r="AB717" s="74" t="s">
        <v>197</v>
      </c>
      <c r="AC717" s="43"/>
      <c r="AD717" s="44"/>
      <c r="AE717" s="44"/>
      <c r="AF717" s="44"/>
      <c r="AG717" s="44"/>
      <c r="AH717" s="44"/>
      <c r="AI717" s="44"/>
      <c r="AJ717" s="43"/>
      <c r="AK717" s="44"/>
      <c r="AL717" s="44"/>
      <c r="AM717" s="44"/>
      <c r="AN717" s="44"/>
      <c r="AO717" s="143"/>
      <c r="AP717" s="44"/>
      <c r="AQ717" s="44"/>
      <c r="AR717" s="44"/>
      <c r="AS717" s="44"/>
      <c r="AT717" s="40"/>
      <c r="AU717" s="34"/>
      <c r="AV717" s="34"/>
      <c r="AW717" s="34"/>
      <c r="AX717" s="123"/>
    </row>
    <row r="718" spans="1:50" ht="18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159" t="s">
        <v>967</v>
      </c>
      <c r="AB718" s="42" t="s">
        <v>439</v>
      </c>
      <c r="AC718" s="43"/>
      <c r="AD718" s="44">
        <v>0</v>
      </c>
      <c r="AE718" s="44">
        <v>0</v>
      </c>
      <c r="AF718" s="44">
        <v>0</v>
      </c>
      <c r="AG718" s="43">
        <v>76000000</v>
      </c>
      <c r="AH718" s="44">
        <v>0</v>
      </c>
      <c r="AI718" s="43">
        <f>AE718-AF718+AG718-AH718</f>
        <v>76000000</v>
      </c>
      <c r="AJ718" s="43">
        <f>AD718+AI718</f>
        <v>76000000</v>
      </c>
      <c r="AK718" s="44">
        <v>0</v>
      </c>
      <c r="AL718" s="44">
        <v>0</v>
      </c>
      <c r="AM718" s="44">
        <v>0</v>
      </c>
      <c r="AN718" s="44">
        <v>0</v>
      </c>
      <c r="AO718" s="44">
        <v>0</v>
      </c>
      <c r="AP718" s="44">
        <v>0</v>
      </c>
      <c r="AQ718" s="44">
        <v>0</v>
      </c>
      <c r="AR718" s="44">
        <v>0</v>
      </c>
      <c r="AS718" s="44">
        <v>0</v>
      </c>
      <c r="AT718" s="40">
        <f t="shared" ref="AT718" si="333">AQ718+AS718</f>
        <v>0</v>
      </c>
      <c r="AU718" s="18">
        <f>AJ718-AM718</f>
        <v>76000000</v>
      </c>
      <c r="AV718" s="34">
        <f>AM718-AP718</f>
        <v>0</v>
      </c>
      <c r="AW718" s="34">
        <f>AP718-AT718</f>
        <v>0</v>
      </c>
      <c r="AX718" s="123">
        <f>AP718/AJ718</f>
        <v>0</v>
      </c>
    </row>
    <row r="719" spans="1:50" ht="25.5" x14ac:dyDescent="0.2">
      <c r="AA719" s="16"/>
      <c r="AB719" s="29" t="s">
        <v>511</v>
      </c>
      <c r="AC719" s="17"/>
      <c r="AD719" s="18"/>
      <c r="AE719" s="18"/>
      <c r="AF719" s="18"/>
      <c r="AG719" s="18"/>
      <c r="AH719" s="18"/>
      <c r="AI719" s="18"/>
      <c r="AJ719" s="18"/>
      <c r="AK719" s="18"/>
      <c r="AL719" s="34"/>
      <c r="AM719" s="18"/>
      <c r="AN719" s="18"/>
      <c r="AO719" s="18"/>
      <c r="AP719" s="18"/>
      <c r="AQ719" s="34"/>
      <c r="AR719" s="34"/>
      <c r="AS719" s="34"/>
      <c r="AT719" s="40"/>
      <c r="AU719" s="18"/>
      <c r="AV719" s="18"/>
      <c r="AW719" s="18"/>
      <c r="AX719" s="18"/>
    </row>
    <row r="720" spans="1:50" ht="18.75" customHeight="1" x14ac:dyDescent="0.2">
      <c r="AA720" s="16"/>
      <c r="AB720" s="29" t="s">
        <v>285</v>
      </c>
      <c r="AC720" s="17"/>
      <c r="AD720" s="18"/>
      <c r="AE720" s="18"/>
      <c r="AF720" s="18"/>
      <c r="AG720" s="18"/>
      <c r="AH720" s="18"/>
      <c r="AI720" s="18"/>
      <c r="AJ720" s="18"/>
      <c r="AK720" s="18"/>
      <c r="AL720" s="34"/>
      <c r="AM720" s="18"/>
      <c r="AN720" s="18"/>
      <c r="AO720" s="18"/>
      <c r="AP720" s="18"/>
      <c r="AQ720" s="18"/>
      <c r="AR720" s="18"/>
      <c r="AS720" s="18"/>
      <c r="AT720" s="30"/>
      <c r="AU720" s="18"/>
      <c r="AV720" s="18"/>
      <c r="AW720" s="18"/>
      <c r="AX720" s="18"/>
    </row>
    <row r="721" spans="1:50" ht="18.75" customHeight="1" x14ac:dyDescent="0.2">
      <c r="AA721" s="16"/>
      <c r="AB721" s="29" t="s">
        <v>286</v>
      </c>
      <c r="AC721" s="17"/>
      <c r="AD721" s="18"/>
      <c r="AE721" s="18"/>
      <c r="AF721" s="18"/>
      <c r="AG721" s="18"/>
      <c r="AH721" s="18"/>
      <c r="AI721" s="18"/>
      <c r="AJ721" s="18"/>
      <c r="AK721" s="18"/>
      <c r="AL721" s="34"/>
      <c r="AM721" s="18"/>
      <c r="AN721" s="18"/>
      <c r="AO721" s="18"/>
      <c r="AP721" s="18"/>
      <c r="AQ721" s="18"/>
      <c r="AR721" s="18"/>
      <c r="AS721" s="18"/>
      <c r="AT721" s="30"/>
      <c r="AU721" s="18"/>
      <c r="AV721" s="18"/>
      <c r="AW721" s="18"/>
      <c r="AX721" s="18"/>
    </row>
    <row r="722" spans="1:50" ht="18.75" customHeight="1" x14ac:dyDescent="0.2">
      <c r="AA722" s="16"/>
      <c r="AB722" s="29" t="s">
        <v>179</v>
      </c>
      <c r="AC722" s="17"/>
      <c r="AD722" s="18"/>
      <c r="AE722" s="18"/>
      <c r="AF722" s="18"/>
      <c r="AG722" s="18"/>
      <c r="AH722" s="18"/>
      <c r="AI722" s="18"/>
      <c r="AJ722" s="18"/>
      <c r="AK722" s="18"/>
      <c r="AL722" s="34"/>
      <c r="AM722" s="18"/>
      <c r="AN722" s="18"/>
      <c r="AO722" s="18"/>
      <c r="AP722" s="18"/>
      <c r="AQ722" s="18"/>
      <c r="AR722" s="18"/>
      <c r="AS722" s="18"/>
      <c r="AT722" s="30"/>
      <c r="AU722" s="18"/>
      <c r="AV722" s="18"/>
      <c r="AW722" s="18"/>
      <c r="AX722" s="18"/>
    </row>
    <row r="723" spans="1:50" ht="18.75" customHeight="1" x14ac:dyDescent="0.2">
      <c r="AA723" s="16"/>
      <c r="AB723" s="29" t="s">
        <v>189</v>
      </c>
      <c r="AC723" s="17"/>
      <c r="AD723" s="18"/>
      <c r="AE723" s="18"/>
      <c r="AF723" s="18"/>
      <c r="AG723" s="18"/>
      <c r="AH723" s="18"/>
      <c r="AI723" s="18"/>
      <c r="AJ723" s="18"/>
      <c r="AK723" s="18"/>
      <c r="AL723" s="34"/>
      <c r="AM723" s="18"/>
      <c r="AN723" s="18"/>
      <c r="AO723" s="18"/>
      <c r="AP723" s="18"/>
      <c r="AQ723" s="18"/>
      <c r="AR723" s="18"/>
      <c r="AS723" s="18"/>
      <c r="AT723" s="30"/>
      <c r="AU723" s="18"/>
      <c r="AV723" s="18"/>
      <c r="AW723" s="18"/>
      <c r="AX723" s="18"/>
    </row>
    <row r="724" spans="1:50" ht="18.75" customHeight="1" x14ac:dyDescent="0.2">
      <c r="AA724" s="16"/>
      <c r="AB724" s="29" t="s">
        <v>199</v>
      </c>
      <c r="AC724" s="17"/>
      <c r="AD724" s="18"/>
      <c r="AE724" s="18"/>
      <c r="AF724" s="18"/>
      <c r="AG724" s="18"/>
      <c r="AH724" s="18"/>
      <c r="AI724" s="18"/>
      <c r="AJ724" s="18"/>
      <c r="AK724" s="18"/>
      <c r="AL724" s="34"/>
      <c r="AM724" s="18"/>
      <c r="AN724" s="18"/>
      <c r="AO724" s="18"/>
      <c r="AP724" s="18"/>
      <c r="AQ724" s="18"/>
      <c r="AR724" s="18"/>
      <c r="AS724" s="18"/>
      <c r="AT724" s="30"/>
      <c r="AU724" s="18"/>
      <c r="AV724" s="18"/>
      <c r="AW724" s="18"/>
      <c r="AX724" s="18"/>
    </row>
    <row r="725" spans="1:50" ht="25.5" x14ac:dyDescent="0.2">
      <c r="AA725" s="28" t="s">
        <v>288</v>
      </c>
      <c r="AB725" s="29" t="s">
        <v>512</v>
      </c>
      <c r="AC725" s="17"/>
      <c r="AD725" s="18"/>
      <c r="AE725" s="18"/>
      <c r="AF725" s="18"/>
      <c r="AG725" s="18"/>
      <c r="AH725" s="18"/>
      <c r="AI725" s="18"/>
      <c r="AJ725" s="18"/>
      <c r="AK725" s="18"/>
      <c r="AL725" s="34"/>
      <c r="AM725" s="18"/>
      <c r="AN725" s="18"/>
      <c r="AO725" s="18"/>
      <c r="AP725" s="18"/>
      <c r="AQ725" s="18"/>
      <c r="AR725" s="18"/>
      <c r="AS725" s="18"/>
      <c r="AT725" s="30"/>
      <c r="AU725" s="18"/>
      <c r="AV725" s="18"/>
      <c r="AW725" s="18"/>
      <c r="AX725" s="18"/>
    </row>
    <row r="726" spans="1:50" ht="18.75" customHeight="1" x14ac:dyDescent="0.2">
      <c r="A726" s="4" t="s">
        <v>55</v>
      </c>
      <c r="B726" s="4" t="s">
        <v>56</v>
      </c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1" t="s">
        <v>513</v>
      </c>
      <c r="AB726" s="42" t="s">
        <v>233</v>
      </c>
      <c r="AC726" s="43" t="s">
        <v>58</v>
      </c>
      <c r="AD726" s="43">
        <v>331060322</v>
      </c>
      <c r="AE726" s="44">
        <v>0</v>
      </c>
      <c r="AF726" s="44">
        <v>0</v>
      </c>
      <c r="AG726" s="44">
        <v>0</v>
      </c>
      <c r="AH726" s="44">
        <v>0</v>
      </c>
      <c r="AI726" s="44">
        <v>0</v>
      </c>
      <c r="AJ726" s="43">
        <v>331060322</v>
      </c>
      <c r="AK726" s="44">
        <v>0</v>
      </c>
      <c r="AL726" s="44">
        <f>AM726-AGOSTO!AM689</f>
        <v>0</v>
      </c>
      <c r="AM726" s="43">
        <v>326730531</v>
      </c>
      <c r="AN726" s="44">
        <v>0</v>
      </c>
      <c r="AO726" s="143">
        <v>0</v>
      </c>
      <c r="AP726" s="43">
        <v>326730531</v>
      </c>
      <c r="AQ726" s="34">
        <v>0</v>
      </c>
      <c r="AR726" s="145">
        <v>0</v>
      </c>
      <c r="AS726" s="18">
        <v>326730531</v>
      </c>
      <c r="AT726" s="39">
        <f t="shared" ref="AT726:AT731" si="334">AQ726+AS726</f>
        <v>326730531</v>
      </c>
      <c r="AU726" s="18">
        <f t="shared" ref="AU726:AU731" si="335">AJ726-AM726</f>
        <v>4329791</v>
      </c>
      <c r="AV726" s="34">
        <f t="shared" ref="AV726:AV731" si="336">AM726-AP726</f>
        <v>0</v>
      </c>
      <c r="AW726" s="34">
        <f t="shared" ref="AW726:AW731" si="337">AP726-AT726</f>
        <v>0</v>
      </c>
      <c r="AX726" s="123">
        <f t="shared" ref="AX726:AX731" si="338">AP726/AJ726</f>
        <v>0.98692144388115466</v>
      </c>
    </row>
    <row r="727" spans="1:50" ht="18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1" t="s">
        <v>1343</v>
      </c>
      <c r="AB727" s="42" t="s">
        <v>1264</v>
      </c>
      <c r="AC727" s="43"/>
      <c r="AD727" s="43">
        <v>0</v>
      </c>
      <c r="AE727" s="252">
        <v>646616873</v>
      </c>
      <c r="AF727" s="44">
        <v>0</v>
      </c>
      <c r="AG727" s="44">
        <v>0</v>
      </c>
      <c r="AH727" s="44">
        <v>0</v>
      </c>
      <c r="AI727" s="43">
        <f>AE727-AF727+AG727-AH727</f>
        <v>646616873</v>
      </c>
      <c r="AJ727" s="43">
        <f>AD727+AI727</f>
        <v>646616873</v>
      </c>
      <c r="AK727" s="44">
        <v>0</v>
      </c>
      <c r="AL727" s="44">
        <v>0</v>
      </c>
      <c r="AM727" s="43">
        <v>604641981</v>
      </c>
      <c r="AN727" s="44"/>
      <c r="AO727" s="143">
        <f>AP727-SEPTIEMBRE!AP712</f>
        <v>0</v>
      </c>
      <c r="AP727" s="43">
        <v>604641981</v>
      </c>
      <c r="AQ727" s="18">
        <v>0</v>
      </c>
      <c r="AR727" s="147">
        <v>604641981</v>
      </c>
      <c r="AS727" s="18">
        <v>604641981</v>
      </c>
      <c r="AT727" s="39">
        <f t="shared" si="334"/>
        <v>604641981</v>
      </c>
      <c r="AU727" s="18">
        <f t="shared" si="335"/>
        <v>41974892</v>
      </c>
      <c r="AV727" s="34">
        <f t="shared" si="336"/>
        <v>0</v>
      </c>
      <c r="AW727" s="34">
        <f t="shared" si="337"/>
        <v>0</v>
      </c>
      <c r="AX727" s="123">
        <f t="shared" si="338"/>
        <v>0.93508537473626985</v>
      </c>
    </row>
    <row r="728" spans="1:50" ht="18.75" customHeight="1" x14ac:dyDescent="0.2">
      <c r="A728" s="4" t="s">
        <v>55</v>
      </c>
      <c r="B728" s="4" t="s">
        <v>56</v>
      </c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1" t="s">
        <v>514</v>
      </c>
      <c r="AB728" s="42" t="s">
        <v>515</v>
      </c>
      <c r="AC728" s="43" t="s">
        <v>516</v>
      </c>
      <c r="AD728" s="43">
        <v>6887333116</v>
      </c>
      <c r="AE728" s="44">
        <v>0</v>
      </c>
      <c r="AF728" s="44">
        <v>0</v>
      </c>
      <c r="AG728" s="44">
        <v>0</v>
      </c>
      <c r="AH728" s="44">
        <v>0</v>
      </c>
      <c r="AI728" s="44">
        <v>0</v>
      </c>
      <c r="AJ728" s="43">
        <v>6887333116</v>
      </c>
      <c r="AK728" s="43">
        <v>646616873</v>
      </c>
      <c r="AL728" s="143">
        <v>0</v>
      </c>
      <c r="AM728" s="43">
        <v>5394160152</v>
      </c>
      <c r="AN728" s="114">
        <v>0</v>
      </c>
      <c r="AO728" s="258">
        <f>AP728-SEPTIEMBRE!AP713</f>
        <v>0</v>
      </c>
      <c r="AP728" s="114">
        <v>5394160152</v>
      </c>
      <c r="AQ728" s="18">
        <v>0</v>
      </c>
      <c r="AR728" s="148">
        <v>1016617124</v>
      </c>
      <c r="AS728" s="110">
        <v>5394160152</v>
      </c>
      <c r="AT728" s="39">
        <f t="shared" si="334"/>
        <v>5394160152</v>
      </c>
      <c r="AU728" s="18">
        <f t="shared" si="335"/>
        <v>1493172964</v>
      </c>
      <c r="AV728" s="34">
        <f t="shared" si="336"/>
        <v>0</v>
      </c>
      <c r="AW728" s="18">
        <f t="shared" si="337"/>
        <v>0</v>
      </c>
      <c r="AX728" s="123">
        <f t="shared" si="338"/>
        <v>0.78320012422062146</v>
      </c>
    </row>
    <row r="729" spans="1:50" x14ac:dyDescent="0.2">
      <c r="A729" s="4" t="s">
        <v>55</v>
      </c>
      <c r="B729" s="4" t="s">
        <v>56</v>
      </c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1" t="s">
        <v>517</v>
      </c>
      <c r="AB729" s="42" t="s">
        <v>518</v>
      </c>
      <c r="AC729" s="43" t="s">
        <v>428</v>
      </c>
      <c r="AD729" s="43">
        <v>263626220</v>
      </c>
      <c r="AE729" s="44">
        <v>0</v>
      </c>
      <c r="AF729" s="44">
        <v>0</v>
      </c>
      <c r="AG729" s="44">
        <v>0</v>
      </c>
      <c r="AH729" s="44">
        <v>0</v>
      </c>
      <c r="AI729" s="44">
        <v>0</v>
      </c>
      <c r="AJ729" s="43">
        <v>263626220</v>
      </c>
      <c r="AK729" s="44">
        <v>0</v>
      </c>
      <c r="AL729" s="44">
        <v>0</v>
      </c>
      <c r="AM729" s="44">
        <v>0</v>
      </c>
      <c r="AN729" s="44">
        <v>0</v>
      </c>
      <c r="AO729" s="143">
        <v>0</v>
      </c>
      <c r="AP729" s="44">
        <v>0</v>
      </c>
      <c r="AQ729" s="34">
        <v>0</v>
      </c>
      <c r="AR729" s="145">
        <v>0</v>
      </c>
      <c r="AS729" s="34">
        <v>0</v>
      </c>
      <c r="AT729" s="40">
        <f t="shared" si="334"/>
        <v>0</v>
      </c>
      <c r="AU729" s="18">
        <f t="shared" si="335"/>
        <v>263626220</v>
      </c>
      <c r="AV729" s="34">
        <f t="shared" si="336"/>
        <v>0</v>
      </c>
      <c r="AW729" s="34">
        <f t="shared" si="337"/>
        <v>0</v>
      </c>
      <c r="AX729" s="123">
        <f t="shared" si="338"/>
        <v>0</v>
      </c>
    </row>
    <row r="730" spans="1:50" ht="25.5" x14ac:dyDescent="0.2">
      <c r="A730" s="4" t="s">
        <v>55</v>
      </c>
      <c r="B730" s="4" t="s">
        <v>56</v>
      </c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1" t="s">
        <v>519</v>
      </c>
      <c r="AB730" s="42" t="s">
        <v>520</v>
      </c>
      <c r="AC730" s="43" t="s">
        <v>368</v>
      </c>
      <c r="AD730" s="43">
        <v>6200094.4000000004</v>
      </c>
      <c r="AE730" s="44">
        <v>0</v>
      </c>
      <c r="AF730" s="44">
        <v>0</v>
      </c>
      <c r="AG730" s="44">
        <v>0</v>
      </c>
      <c r="AH730" s="44">
        <v>0</v>
      </c>
      <c r="AI730" s="44">
        <v>0</v>
      </c>
      <c r="AJ730" s="43">
        <v>6200094.4000000004</v>
      </c>
      <c r="AK730" s="44">
        <v>0</v>
      </c>
      <c r="AL730" s="44">
        <v>0</v>
      </c>
      <c r="AM730" s="44">
        <v>0</v>
      </c>
      <c r="AN730" s="44">
        <v>0</v>
      </c>
      <c r="AO730" s="143">
        <v>0</v>
      </c>
      <c r="AP730" s="44">
        <v>0</v>
      </c>
      <c r="AQ730" s="34">
        <v>0</v>
      </c>
      <c r="AR730" s="145">
        <v>0</v>
      </c>
      <c r="AS730" s="34">
        <v>0</v>
      </c>
      <c r="AT730" s="40">
        <f t="shared" si="334"/>
        <v>0</v>
      </c>
      <c r="AU730" s="18">
        <f t="shared" si="335"/>
        <v>6200094.4000000004</v>
      </c>
      <c r="AV730" s="34">
        <f t="shared" si="336"/>
        <v>0</v>
      </c>
      <c r="AW730" s="34">
        <f t="shared" si="337"/>
        <v>0</v>
      </c>
      <c r="AX730" s="123">
        <f t="shared" si="338"/>
        <v>0</v>
      </c>
    </row>
    <row r="731" spans="1:50" ht="25.5" x14ac:dyDescent="0.2">
      <c r="A731" s="4" t="s">
        <v>55</v>
      </c>
      <c r="B731" s="4" t="s">
        <v>56</v>
      </c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1" t="s">
        <v>521</v>
      </c>
      <c r="AB731" s="42" t="s">
        <v>522</v>
      </c>
      <c r="AC731" s="43" t="s">
        <v>368</v>
      </c>
      <c r="AD731" s="43">
        <v>112310609.13</v>
      </c>
      <c r="AE731" s="44">
        <v>0</v>
      </c>
      <c r="AF731" s="44">
        <v>0</v>
      </c>
      <c r="AG731" s="44">
        <v>0</v>
      </c>
      <c r="AH731" s="44">
        <v>0</v>
      </c>
      <c r="AI731" s="44">
        <v>0</v>
      </c>
      <c r="AJ731" s="43">
        <v>112310609.13</v>
      </c>
      <c r="AK731" s="44">
        <v>0</v>
      </c>
      <c r="AL731" s="44">
        <v>0</v>
      </c>
      <c r="AM731" s="44">
        <v>0</v>
      </c>
      <c r="AN731" s="44">
        <v>0</v>
      </c>
      <c r="AO731" s="44">
        <v>0</v>
      </c>
      <c r="AP731" s="44">
        <v>0</v>
      </c>
      <c r="AQ731" s="34">
        <v>0</v>
      </c>
      <c r="AR731" s="145">
        <v>0</v>
      </c>
      <c r="AS731" s="34">
        <v>0</v>
      </c>
      <c r="AT731" s="40">
        <f t="shared" si="334"/>
        <v>0</v>
      </c>
      <c r="AU731" s="18">
        <f t="shared" si="335"/>
        <v>112310609.13</v>
      </c>
      <c r="AV731" s="34">
        <f t="shared" si="336"/>
        <v>0</v>
      </c>
      <c r="AW731" s="34">
        <f t="shared" si="337"/>
        <v>0</v>
      </c>
      <c r="AX731" s="123">
        <f t="shared" si="338"/>
        <v>0</v>
      </c>
    </row>
    <row r="732" spans="1:50" ht="18.75" customHeight="1" x14ac:dyDescent="0.2">
      <c r="AA732" s="16"/>
      <c r="AB732" s="17"/>
      <c r="AC732" s="17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34"/>
      <c r="AR732" s="34"/>
      <c r="AS732" s="34"/>
      <c r="AT732" s="40"/>
      <c r="AU732" s="18"/>
      <c r="AV732" s="18"/>
      <c r="AW732" s="18"/>
      <c r="AX732" s="18"/>
    </row>
    <row r="733" spans="1:50" ht="18.75" customHeight="1" x14ac:dyDescent="0.2">
      <c r="AA733" s="16"/>
      <c r="AB733" s="29" t="s">
        <v>523</v>
      </c>
      <c r="AC733" s="17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34"/>
      <c r="AR733" s="34"/>
      <c r="AS733" s="34"/>
      <c r="AT733" s="40"/>
      <c r="AU733" s="18"/>
      <c r="AV733" s="18"/>
      <c r="AW733" s="18"/>
      <c r="AX733" s="18"/>
    </row>
    <row r="734" spans="1:50" ht="18.75" customHeight="1" x14ac:dyDescent="0.2">
      <c r="AA734" s="16"/>
      <c r="AB734" s="29" t="s">
        <v>285</v>
      </c>
      <c r="AC734" s="17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34"/>
      <c r="AR734" s="34"/>
      <c r="AS734" s="34"/>
      <c r="AT734" s="40"/>
      <c r="AU734" s="18"/>
      <c r="AV734" s="18"/>
      <c r="AW734" s="18"/>
      <c r="AX734" s="18"/>
    </row>
    <row r="735" spans="1:50" ht="18.75" customHeight="1" x14ac:dyDescent="0.2">
      <c r="AA735" s="16"/>
      <c r="AB735" s="29" t="s">
        <v>286</v>
      </c>
      <c r="AC735" s="17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34"/>
      <c r="AR735" s="34"/>
      <c r="AS735" s="34"/>
      <c r="AT735" s="40"/>
      <c r="AU735" s="18"/>
      <c r="AV735" s="18"/>
      <c r="AW735" s="18"/>
      <c r="AX735" s="18"/>
    </row>
    <row r="736" spans="1:50" ht="18.75" customHeight="1" x14ac:dyDescent="0.2">
      <c r="AA736" s="16"/>
      <c r="AB736" s="29" t="s">
        <v>179</v>
      </c>
      <c r="AC736" s="17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34"/>
      <c r="AR736" s="34"/>
      <c r="AS736" s="34"/>
      <c r="AT736" s="40"/>
      <c r="AU736" s="18"/>
      <c r="AV736" s="18"/>
      <c r="AW736" s="18"/>
      <c r="AX736" s="18"/>
    </row>
    <row r="737" spans="1:50" ht="18.75" customHeight="1" x14ac:dyDescent="0.2">
      <c r="AA737" s="16"/>
      <c r="AB737" s="29" t="s">
        <v>189</v>
      </c>
      <c r="AC737" s="17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34"/>
      <c r="AR737" s="34"/>
      <c r="AS737" s="34"/>
      <c r="AT737" s="40"/>
      <c r="AU737" s="18"/>
      <c r="AV737" s="18"/>
      <c r="AW737" s="18"/>
      <c r="AX737" s="18"/>
    </row>
    <row r="738" spans="1:50" ht="18.75" customHeight="1" x14ac:dyDescent="0.2">
      <c r="AA738" s="16"/>
      <c r="AB738" s="29" t="s">
        <v>191</v>
      </c>
      <c r="AC738" s="17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34"/>
      <c r="AR738" s="34"/>
      <c r="AS738" s="34"/>
      <c r="AT738" s="40"/>
      <c r="AU738" s="18"/>
      <c r="AV738" s="18"/>
      <c r="AW738" s="18"/>
      <c r="AX738" s="18"/>
    </row>
    <row r="739" spans="1:50" ht="18.75" customHeight="1" x14ac:dyDescent="0.2">
      <c r="AA739" s="28" t="s">
        <v>288</v>
      </c>
      <c r="AB739" s="29" t="s">
        <v>459</v>
      </c>
      <c r="AC739" s="17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34"/>
      <c r="AR739" s="34"/>
      <c r="AS739" s="34"/>
      <c r="AT739" s="40"/>
      <c r="AU739" s="18"/>
      <c r="AV739" s="18"/>
      <c r="AW739" s="18"/>
      <c r="AX739" s="18"/>
    </row>
    <row r="740" spans="1:50" ht="25.5" x14ac:dyDescent="0.2">
      <c r="A740" s="4" t="s">
        <v>55</v>
      </c>
      <c r="B740" s="4" t="s">
        <v>56</v>
      </c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1" t="s">
        <v>524</v>
      </c>
      <c r="AB740" s="42" t="s">
        <v>525</v>
      </c>
      <c r="AC740" s="43" t="s">
        <v>428</v>
      </c>
      <c r="AD740" s="43">
        <v>47990790</v>
      </c>
      <c r="AE740" s="44">
        <v>0</v>
      </c>
      <c r="AF740" s="44">
        <v>0</v>
      </c>
      <c r="AG740" s="44">
        <v>0</v>
      </c>
      <c r="AH740" s="44">
        <v>0</v>
      </c>
      <c r="AI740" s="44">
        <v>0</v>
      </c>
      <c r="AJ740" s="43">
        <v>47990790</v>
      </c>
      <c r="AK740" s="44">
        <v>0</v>
      </c>
      <c r="AL740" s="44">
        <v>0</v>
      </c>
      <c r="AM740" s="44">
        <v>0</v>
      </c>
      <c r="AN740" s="44">
        <v>0</v>
      </c>
      <c r="AO740" s="44">
        <v>0</v>
      </c>
      <c r="AP740" s="44">
        <v>0</v>
      </c>
      <c r="AQ740" s="34">
        <v>0</v>
      </c>
      <c r="AR740" s="145">
        <v>0</v>
      </c>
      <c r="AS740" s="34">
        <v>0</v>
      </c>
      <c r="AT740" s="40">
        <f t="shared" ref="AT740:AT742" si="339">AQ740+AS740</f>
        <v>0</v>
      </c>
      <c r="AU740" s="18">
        <f>AJ740-AM740</f>
        <v>47990790</v>
      </c>
      <c r="AV740" s="34">
        <f>AM740-AP740</f>
        <v>0</v>
      </c>
      <c r="AW740" s="34">
        <f>AP740-AT740</f>
        <v>0</v>
      </c>
      <c r="AX740" s="123">
        <f>AP740/AJ740</f>
        <v>0</v>
      </c>
    </row>
    <row r="741" spans="1:50" ht="25.5" x14ac:dyDescent="0.2">
      <c r="A741" s="4" t="s">
        <v>55</v>
      </c>
      <c r="B741" s="4" t="s">
        <v>56</v>
      </c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1" t="s">
        <v>526</v>
      </c>
      <c r="AB741" s="42" t="s">
        <v>527</v>
      </c>
      <c r="AC741" s="43" t="s">
        <v>428</v>
      </c>
      <c r="AD741" s="43">
        <v>1098509998.8599999</v>
      </c>
      <c r="AE741" s="44">
        <v>0</v>
      </c>
      <c r="AF741" s="44">
        <v>0</v>
      </c>
      <c r="AG741" s="44">
        <v>0</v>
      </c>
      <c r="AH741" s="44">
        <v>0</v>
      </c>
      <c r="AI741" s="44">
        <v>0</v>
      </c>
      <c r="AJ741" s="43">
        <v>1098509998.8599999</v>
      </c>
      <c r="AK741" s="44">
        <v>0</v>
      </c>
      <c r="AL741" s="44">
        <v>0</v>
      </c>
      <c r="AM741" s="44">
        <v>0</v>
      </c>
      <c r="AN741" s="44">
        <v>0</v>
      </c>
      <c r="AO741" s="44">
        <v>0</v>
      </c>
      <c r="AP741" s="44">
        <v>0</v>
      </c>
      <c r="AQ741" s="34">
        <v>0</v>
      </c>
      <c r="AR741" s="145">
        <v>0</v>
      </c>
      <c r="AS741" s="34">
        <v>0</v>
      </c>
      <c r="AT741" s="40">
        <f t="shared" si="339"/>
        <v>0</v>
      </c>
      <c r="AU741" s="18">
        <f>AJ741-AM741</f>
        <v>1098509998.8599999</v>
      </c>
      <c r="AV741" s="34">
        <f>AM741-AP741</f>
        <v>0</v>
      </c>
      <c r="AW741" s="34">
        <f>AP741-AT741</f>
        <v>0</v>
      </c>
      <c r="AX741" s="123">
        <f>AP741/AJ741</f>
        <v>0</v>
      </c>
    </row>
    <row r="742" spans="1:50" ht="25.5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173" t="s">
        <v>1071</v>
      </c>
      <c r="AB742" s="218" t="s">
        <v>1072</v>
      </c>
      <c r="AC742" s="43"/>
      <c r="AD742" s="44">
        <v>0</v>
      </c>
      <c r="AE742" s="43">
        <v>1788940976.47</v>
      </c>
      <c r="AF742" s="44">
        <v>0</v>
      </c>
      <c r="AG742" s="44">
        <v>0</v>
      </c>
      <c r="AH742" s="44">
        <v>0</v>
      </c>
      <c r="AI742" s="43">
        <f>AE742-AF742+AG742-AH742</f>
        <v>1788940976.47</v>
      </c>
      <c r="AJ742" s="43">
        <f>AD742+AI742</f>
        <v>1788940976.47</v>
      </c>
      <c r="AK742" s="44">
        <v>0</v>
      </c>
      <c r="AL742" s="142">
        <v>0</v>
      </c>
      <c r="AM742" s="43">
        <v>1181913982.9200001</v>
      </c>
      <c r="AN742" s="44">
        <v>0</v>
      </c>
      <c r="AO742" s="43">
        <v>0</v>
      </c>
      <c r="AP742" s="43">
        <v>1070473875.92</v>
      </c>
      <c r="AQ742" s="34">
        <v>0</v>
      </c>
      <c r="AR742" s="147">
        <v>441058250</v>
      </c>
      <c r="AS742" s="18">
        <v>816062786.69000006</v>
      </c>
      <c r="AT742" s="39">
        <f t="shared" si="339"/>
        <v>816062786.69000006</v>
      </c>
      <c r="AU742" s="18">
        <f>AJ742-AM742</f>
        <v>607026993.54999995</v>
      </c>
      <c r="AV742" s="18">
        <f>AM742-AP742</f>
        <v>111440107.00000012</v>
      </c>
      <c r="AW742" s="18">
        <f>AP742-AT742</f>
        <v>254411089.2299999</v>
      </c>
      <c r="AX742" s="123">
        <f>AP742/AJ742</f>
        <v>0.59838412222648951</v>
      </c>
    </row>
    <row r="743" spans="1:50" x14ac:dyDescent="0.2">
      <c r="AA743" s="16"/>
      <c r="AB743" s="17"/>
      <c r="AC743" s="17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30"/>
      <c r="AU743" s="18"/>
      <c r="AV743" s="18"/>
      <c r="AW743" s="18"/>
      <c r="AX743" s="18"/>
    </row>
    <row r="744" spans="1:50" s="50" customFormat="1" ht="18.75" customHeight="1" x14ac:dyDescent="0.2"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46"/>
      <c r="AB744" s="47" t="s">
        <v>528</v>
      </c>
      <c r="AC744" s="47"/>
      <c r="AD744" s="48">
        <f t="shared" ref="AD744:AW744" si="340">SUM(AD544:AD742)</f>
        <v>94071374538</v>
      </c>
      <c r="AE744" s="48">
        <f t="shared" si="340"/>
        <v>161706345687.87003</v>
      </c>
      <c r="AF744" s="48">
        <f t="shared" si="340"/>
        <v>0</v>
      </c>
      <c r="AG744" s="48">
        <f t="shared" si="340"/>
        <v>93452648370.800018</v>
      </c>
      <c r="AH744" s="48">
        <f t="shared" si="340"/>
        <v>72989001815.800018</v>
      </c>
      <c r="AI744" s="48">
        <f t="shared" si="340"/>
        <v>182169992242.87</v>
      </c>
      <c r="AJ744" s="48">
        <f t="shared" si="340"/>
        <v>276241366780.86993</v>
      </c>
      <c r="AK744" s="48">
        <f t="shared" si="340"/>
        <v>646616873</v>
      </c>
      <c r="AL744" s="48">
        <f t="shared" si="340"/>
        <v>-2230064941.3499999</v>
      </c>
      <c r="AM744" s="48">
        <f t="shared" si="340"/>
        <v>144298827066.26999</v>
      </c>
      <c r="AN744" s="48">
        <f t="shared" si="340"/>
        <v>76309980.329999998</v>
      </c>
      <c r="AO744" s="48">
        <f t="shared" si="340"/>
        <v>11837933480.24</v>
      </c>
      <c r="AP744" s="48">
        <f t="shared" si="340"/>
        <v>138227650401.22</v>
      </c>
      <c r="AQ744" s="48">
        <f t="shared" si="340"/>
        <v>793967195.53999996</v>
      </c>
      <c r="AR744" s="48">
        <f t="shared" si="340"/>
        <v>11748958145.549997</v>
      </c>
      <c r="AS744" s="48">
        <f t="shared" si="340"/>
        <v>50097929744.840019</v>
      </c>
      <c r="AT744" s="48">
        <f t="shared" si="340"/>
        <v>50891896940.38002</v>
      </c>
      <c r="AU744" s="48">
        <f t="shared" si="340"/>
        <v>131942539714.60005</v>
      </c>
      <c r="AV744" s="48">
        <f t="shared" si="340"/>
        <v>6071176665.0500002</v>
      </c>
      <c r="AW744" s="48">
        <f t="shared" si="340"/>
        <v>87335753460.839996</v>
      </c>
      <c r="AX744" s="24">
        <f>AP744/AJ744</f>
        <v>0.50038722300005811</v>
      </c>
    </row>
    <row r="745" spans="1:50" ht="18.75" customHeight="1" x14ac:dyDescent="0.2">
      <c r="AA745" s="16"/>
      <c r="AB745" s="17"/>
      <c r="AC745" s="17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</row>
    <row r="746" spans="1:50" s="25" customFormat="1" ht="18.75" customHeight="1" x14ac:dyDescent="0.2"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66"/>
      <c r="AB746" s="21" t="s">
        <v>529</v>
      </c>
      <c r="AC746" s="67"/>
      <c r="AD746" s="63"/>
      <c r="AE746" s="63"/>
      <c r="AF746" s="63"/>
      <c r="AG746" s="63"/>
      <c r="AH746" s="63"/>
      <c r="AI746" s="63"/>
      <c r="AJ746" s="63"/>
      <c r="AK746" s="63"/>
      <c r="AL746" s="63"/>
      <c r="AM746" s="63"/>
      <c r="AN746" s="63"/>
      <c r="AO746" s="63"/>
      <c r="AP746" s="63"/>
      <c r="AQ746" s="63"/>
      <c r="AR746" s="63"/>
      <c r="AS746" s="63"/>
      <c r="AT746" s="63"/>
      <c r="AU746" s="63"/>
      <c r="AV746" s="63"/>
      <c r="AW746" s="63"/>
      <c r="AX746" s="63"/>
    </row>
    <row r="747" spans="1:50" ht="18.75" customHeight="1" x14ac:dyDescent="0.2">
      <c r="AA747" s="16"/>
      <c r="AB747" s="29" t="s">
        <v>286</v>
      </c>
      <c r="AC747" s="17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</row>
    <row r="748" spans="1:50" ht="18.75" customHeight="1" x14ac:dyDescent="0.2">
      <c r="AA748" s="41" t="s">
        <v>1219</v>
      </c>
      <c r="AB748" s="29" t="s">
        <v>575</v>
      </c>
      <c r="AC748" s="17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</row>
    <row r="749" spans="1:50" ht="18.75" customHeight="1" x14ac:dyDescent="0.2">
      <c r="AA749" s="73" t="s">
        <v>288</v>
      </c>
      <c r="AB749" s="29" t="s">
        <v>1220</v>
      </c>
      <c r="AC749" s="17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</row>
    <row r="750" spans="1:50" ht="18.75" customHeight="1" x14ac:dyDescent="0.2">
      <c r="AA750" s="41" t="s">
        <v>1221</v>
      </c>
      <c r="AB750" s="38" t="s">
        <v>961</v>
      </c>
      <c r="AC750" s="17"/>
      <c r="AD750" s="34">
        <v>0</v>
      </c>
      <c r="AE750" s="34">
        <v>0</v>
      </c>
      <c r="AF750" s="34">
        <v>0</v>
      </c>
      <c r="AG750" s="18">
        <v>374200000</v>
      </c>
      <c r="AH750" s="34">
        <v>0</v>
      </c>
      <c r="AI750" s="43">
        <f>AE750-AF750+AG750-AH750</f>
        <v>374200000</v>
      </c>
      <c r="AJ750" s="43">
        <f>AD750+AI750</f>
        <v>374200000</v>
      </c>
      <c r="AK750" s="34">
        <v>0</v>
      </c>
      <c r="AL750" s="18">
        <v>-35033672</v>
      </c>
      <c r="AM750" s="18">
        <v>116627136.73</v>
      </c>
      <c r="AN750" s="34">
        <v>0</v>
      </c>
      <c r="AO750" s="34">
        <v>116627136.73</v>
      </c>
      <c r="AP750" s="34">
        <v>116627136.73</v>
      </c>
      <c r="AQ750" s="34">
        <v>0</v>
      </c>
      <c r="AR750" s="34">
        <v>0</v>
      </c>
      <c r="AS750" s="34">
        <v>0</v>
      </c>
      <c r="AT750" s="40">
        <f t="shared" ref="AT750" si="341">AQ750+AS750</f>
        <v>0</v>
      </c>
      <c r="AU750" s="18">
        <f>AJ750-AM750</f>
        <v>257572863.26999998</v>
      </c>
      <c r="AV750" s="18">
        <f>AM750-AP750</f>
        <v>0</v>
      </c>
      <c r="AW750" s="18">
        <f>AP750-AT750</f>
        <v>116627136.73</v>
      </c>
      <c r="AX750" s="123">
        <f>AP750/AJ750</f>
        <v>0.31167059521646179</v>
      </c>
    </row>
    <row r="751" spans="1:50" ht="18.75" customHeight="1" x14ac:dyDescent="0.2">
      <c r="AA751" s="73" t="s">
        <v>288</v>
      </c>
      <c r="AB751" s="29" t="s">
        <v>1306</v>
      </c>
      <c r="AC751" s="17"/>
      <c r="AD751" s="34"/>
      <c r="AE751" s="34"/>
      <c r="AF751" s="34"/>
      <c r="AG751" s="18"/>
      <c r="AH751" s="34"/>
      <c r="AI751" s="43"/>
      <c r="AJ751" s="43"/>
      <c r="AK751" s="18"/>
      <c r="AL751" s="18"/>
      <c r="AM751" s="18"/>
      <c r="AN751" s="18"/>
      <c r="AO751" s="18"/>
      <c r="AP751" s="18"/>
      <c r="AQ751" s="18"/>
      <c r="AR751" s="18"/>
      <c r="AS751" s="18"/>
      <c r="AT751" s="40"/>
      <c r="AU751" s="18"/>
      <c r="AV751" s="34"/>
      <c r="AW751" s="34"/>
      <c r="AX751" s="123"/>
    </row>
    <row r="752" spans="1:50" ht="18.75" customHeight="1" x14ac:dyDescent="0.2">
      <c r="AA752" s="41" t="s">
        <v>1307</v>
      </c>
      <c r="AB752" s="251" t="s">
        <v>1015</v>
      </c>
      <c r="AC752" s="17"/>
      <c r="AD752" s="34">
        <v>0</v>
      </c>
      <c r="AE752" s="34">
        <v>0</v>
      </c>
      <c r="AF752" s="34">
        <v>0</v>
      </c>
      <c r="AG752" s="18">
        <v>204000000</v>
      </c>
      <c r="AH752" s="34">
        <v>0</v>
      </c>
      <c r="AI752" s="43">
        <f>AE752-AF752+AG752-AH752</f>
        <v>204000000</v>
      </c>
      <c r="AJ752" s="43">
        <f>AD752+AI752</f>
        <v>204000000</v>
      </c>
      <c r="AK752" s="34">
        <v>0</v>
      </c>
      <c r="AL752" s="18">
        <v>0</v>
      </c>
      <c r="AM752" s="18">
        <v>204000000</v>
      </c>
      <c r="AN752" s="34">
        <v>0</v>
      </c>
      <c r="AO752" s="34">
        <v>0</v>
      </c>
      <c r="AP752" s="34">
        <v>0</v>
      </c>
      <c r="AQ752" s="34">
        <v>0</v>
      </c>
      <c r="AR752" s="34">
        <v>0</v>
      </c>
      <c r="AS752" s="34">
        <v>0</v>
      </c>
      <c r="AT752" s="40">
        <f t="shared" ref="AT752" si="342">AQ752+AS752</f>
        <v>0</v>
      </c>
      <c r="AU752" s="18">
        <f>AJ752-AM752</f>
        <v>0</v>
      </c>
      <c r="AV752" s="18">
        <f>AM752-AP752</f>
        <v>204000000</v>
      </c>
      <c r="AW752" s="34">
        <f>AP752-AT752</f>
        <v>0</v>
      </c>
      <c r="AX752" s="123">
        <f>AP752/AJ752</f>
        <v>0</v>
      </c>
    </row>
    <row r="753" spans="1:50" ht="39.75" customHeight="1" x14ac:dyDescent="0.2">
      <c r="AA753" s="73" t="s">
        <v>288</v>
      </c>
      <c r="AB753" s="29" t="s">
        <v>1372</v>
      </c>
      <c r="AC753" s="17"/>
      <c r="AD753" s="34"/>
      <c r="AE753" s="34"/>
      <c r="AF753" s="34"/>
      <c r="AG753" s="18"/>
      <c r="AH753" s="34"/>
      <c r="AI753" s="43"/>
      <c r="AJ753" s="43"/>
      <c r="AK753" s="34"/>
      <c r="AL753" s="34"/>
      <c r="AM753" s="34"/>
      <c r="AN753" s="34"/>
      <c r="AO753" s="34"/>
      <c r="AP753" s="34"/>
      <c r="AQ753" s="34"/>
      <c r="AR753" s="34"/>
      <c r="AS753" s="34"/>
      <c r="AT753" s="40"/>
      <c r="AU753" s="18"/>
      <c r="AV753" s="34"/>
      <c r="AW753" s="34"/>
      <c r="AX753" s="123"/>
    </row>
    <row r="754" spans="1:50" ht="18.75" customHeight="1" x14ac:dyDescent="0.2">
      <c r="AA754" s="41" t="s">
        <v>1373</v>
      </c>
      <c r="AB754" s="251" t="s">
        <v>1015</v>
      </c>
      <c r="AC754" s="17"/>
      <c r="AD754" s="34">
        <v>0</v>
      </c>
      <c r="AE754" s="34">
        <v>0</v>
      </c>
      <c r="AF754" s="34">
        <v>0</v>
      </c>
      <c r="AG754" s="18">
        <v>15000000</v>
      </c>
      <c r="AH754" s="18">
        <v>15000000</v>
      </c>
      <c r="AI754" s="44">
        <f>AE754-AF754+AG754-AH754</f>
        <v>0</v>
      </c>
      <c r="AJ754" s="44">
        <f>AD754+AI754</f>
        <v>0</v>
      </c>
      <c r="AK754" s="34">
        <v>0</v>
      </c>
      <c r="AL754" s="34">
        <v>0</v>
      </c>
      <c r="AM754" s="34">
        <v>0</v>
      </c>
      <c r="AN754" s="34">
        <v>0</v>
      </c>
      <c r="AO754" s="34">
        <v>0</v>
      </c>
      <c r="AP754" s="34">
        <v>0</v>
      </c>
      <c r="AQ754" s="34">
        <v>0</v>
      </c>
      <c r="AR754" s="34">
        <v>0</v>
      </c>
      <c r="AS754" s="34">
        <v>0</v>
      </c>
      <c r="AT754" s="40">
        <f t="shared" ref="AT754" si="343">AQ754+AS754</f>
        <v>0</v>
      </c>
      <c r="AU754" s="18">
        <f>AJ754-AM754</f>
        <v>0</v>
      </c>
      <c r="AV754" s="34">
        <f>AM754-AP754</f>
        <v>0</v>
      </c>
      <c r="AW754" s="34">
        <f>AP754-AT754</f>
        <v>0</v>
      </c>
      <c r="AX754" s="123">
        <v>0</v>
      </c>
    </row>
    <row r="755" spans="1:50" ht="30" customHeight="1" x14ac:dyDescent="0.2">
      <c r="AA755" s="73" t="s">
        <v>288</v>
      </c>
      <c r="AB755" s="29" t="s">
        <v>531</v>
      </c>
      <c r="AC755" s="17"/>
      <c r="AD755" s="34"/>
      <c r="AE755" s="34"/>
      <c r="AF755" s="34"/>
      <c r="AG755" s="18"/>
      <c r="AH755" s="34"/>
      <c r="AI755" s="43"/>
      <c r="AJ755" s="43"/>
      <c r="AK755" s="34"/>
      <c r="AL755" s="34"/>
      <c r="AM755" s="34"/>
      <c r="AN755" s="34"/>
      <c r="AO755" s="34"/>
      <c r="AP755" s="34"/>
      <c r="AQ755" s="34"/>
      <c r="AR755" s="34"/>
      <c r="AS755" s="34"/>
      <c r="AT755" s="40"/>
      <c r="AU755" s="18"/>
      <c r="AV755" s="34"/>
      <c r="AW755" s="34"/>
      <c r="AX755" s="123"/>
    </row>
    <row r="756" spans="1:50" ht="18.75" customHeight="1" x14ac:dyDescent="0.2">
      <c r="AA756" s="41" t="s">
        <v>1325</v>
      </c>
      <c r="AB756" s="251" t="s">
        <v>233</v>
      </c>
      <c r="AC756" s="17"/>
      <c r="AD756" s="34"/>
      <c r="AE756" s="34">
        <v>0</v>
      </c>
      <c r="AF756" s="34">
        <v>0</v>
      </c>
      <c r="AG756" s="18">
        <v>60000000</v>
      </c>
      <c r="AH756" s="34">
        <v>0</v>
      </c>
      <c r="AI756" s="43">
        <f>AE756-AF756+AG756-AH756</f>
        <v>60000000</v>
      </c>
      <c r="AJ756" s="43">
        <f>AD756+AI756</f>
        <v>60000000</v>
      </c>
      <c r="AK756" s="34">
        <v>0</v>
      </c>
      <c r="AL756" s="34">
        <v>0</v>
      </c>
      <c r="AM756" s="34">
        <v>0</v>
      </c>
      <c r="AN756" s="34">
        <v>0</v>
      </c>
      <c r="AO756" s="34">
        <v>0</v>
      </c>
      <c r="AP756" s="34">
        <v>0</v>
      </c>
      <c r="AQ756" s="34">
        <v>0</v>
      </c>
      <c r="AR756" s="34">
        <v>0</v>
      </c>
      <c r="AS756" s="34">
        <v>0</v>
      </c>
      <c r="AT756" s="40">
        <f t="shared" ref="AT756" si="344">AQ756+AS756</f>
        <v>0</v>
      </c>
      <c r="AU756" s="18">
        <f>AJ756-AM756</f>
        <v>60000000</v>
      </c>
      <c r="AV756" s="34">
        <f>AM756-AP756</f>
        <v>0</v>
      </c>
      <c r="AW756" s="34">
        <f>AP756-AT756</f>
        <v>0</v>
      </c>
      <c r="AX756" s="123">
        <f>AP756/AJ756</f>
        <v>0</v>
      </c>
    </row>
    <row r="757" spans="1:50" ht="27" customHeight="1" x14ac:dyDescent="0.2">
      <c r="AA757" s="41"/>
      <c r="AB757" s="29" t="s">
        <v>1248</v>
      </c>
      <c r="AC757" s="17"/>
      <c r="AD757" s="34"/>
      <c r="AE757" s="34"/>
      <c r="AF757" s="34"/>
      <c r="AG757" s="18"/>
      <c r="AH757" s="34"/>
      <c r="AI757" s="43"/>
      <c r="AJ757" s="43"/>
      <c r="AK757" s="34"/>
      <c r="AL757" s="34"/>
      <c r="AM757" s="34"/>
      <c r="AN757" s="34"/>
      <c r="AO757" s="34"/>
      <c r="AP757" s="34"/>
      <c r="AQ757" s="34"/>
      <c r="AR757" s="34"/>
      <c r="AS757" s="34"/>
      <c r="AT757" s="40"/>
      <c r="AU757" s="18"/>
      <c r="AV757" s="34"/>
      <c r="AW757" s="34"/>
      <c r="AX757" s="123"/>
    </row>
    <row r="758" spans="1:50" ht="18.75" customHeight="1" x14ac:dyDescent="0.2">
      <c r="AA758" s="41" t="s">
        <v>1308</v>
      </c>
      <c r="AB758" s="38" t="s">
        <v>1015</v>
      </c>
      <c r="AC758" s="17"/>
      <c r="AD758" s="34">
        <v>0</v>
      </c>
      <c r="AE758" s="34">
        <v>0</v>
      </c>
      <c r="AF758" s="34">
        <v>0</v>
      </c>
      <c r="AG758" s="18">
        <v>212000000</v>
      </c>
      <c r="AH758" s="34">
        <v>0</v>
      </c>
      <c r="AI758" s="43">
        <f>AE758-AF758+AG758-AH758</f>
        <v>212000000</v>
      </c>
      <c r="AJ758" s="43">
        <f>AD758+AI758</f>
        <v>212000000</v>
      </c>
      <c r="AK758" s="18">
        <v>0</v>
      </c>
      <c r="AL758" s="18">
        <v>208300000</v>
      </c>
      <c r="AM758" s="18">
        <v>208300000</v>
      </c>
      <c r="AN758" s="18">
        <v>0</v>
      </c>
      <c r="AO758" s="34">
        <v>0</v>
      </c>
      <c r="AP758" s="34">
        <v>0</v>
      </c>
      <c r="AQ758" s="34">
        <v>0</v>
      </c>
      <c r="AR758" s="34">
        <v>0</v>
      </c>
      <c r="AS758" s="34">
        <v>0</v>
      </c>
      <c r="AT758" s="40">
        <f t="shared" ref="AT758" si="345">AQ758+AS758</f>
        <v>0</v>
      </c>
      <c r="AU758" s="18">
        <f>AJ758-AM758</f>
        <v>3700000</v>
      </c>
      <c r="AV758" s="286">
        <f>AM758-AP758</f>
        <v>208300000</v>
      </c>
      <c r="AW758" s="34">
        <f>AP758-AT758</f>
        <v>0</v>
      </c>
      <c r="AX758" s="123">
        <f>AP758/AJ758</f>
        <v>0</v>
      </c>
    </row>
    <row r="759" spans="1:50" ht="18.75" customHeight="1" x14ac:dyDescent="0.2">
      <c r="AA759" s="16"/>
      <c r="AB759" s="29" t="s">
        <v>179</v>
      </c>
      <c r="AC759" s="17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</row>
    <row r="760" spans="1:50" ht="18.75" customHeight="1" x14ac:dyDescent="0.2">
      <c r="AA760" s="16"/>
      <c r="AB760" s="29" t="s">
        <v>181</v>
      </c>
      <c r="AC760" s="17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</row>
    <row r="761" spans="1:50" x14ac:dyDescent="0.2">
      <c r="AA761" s="16"/>
      <c r="AB761" s="29" t="s">
        <v>530</v>
      </c>
      <c r="AC761" s="17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30"/>
      <c r="AU761" s="18"/>
      <c r="AV761" s="18"/>
      <c r="AW761" s="18"/>
      <c r="AX761" s="18"/>
    </row>
    <row r="762" spans="1:50" ht="25.5" x14ac:dyDescent="0.2">
      <c r="AA762" s="28" t="s">
        <v>288</v>
      </c>
      <c r="AB762" s="29" t="s">
        <v>531</v>
      </c>
      <c r="AC762" s="17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30"/>
      <c r="AU762" s="18"/>
      <c r="AV762" s="18"/>
      <c r="AW762" s="18"/>
      <c r="AX762" s="18"/>
    </row>
    <row r="763" spans="1:50" x14ac:dyDescent="0.2">
      <c r="A763" s="4" t="s">
        <v>55</v>
      </c>
      <c r="B763" s="4" t="s">
        <v>56</v>
      </c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1" t="s">
        <v>532</v>
      </c>
      <c r="AB763" s="42" t="s">
        <v>233</v>
      </c>
      <c r="AC763" s="43" t="s">
        <v>58</v>
      </c>
      <c r="AD763" s="43">
        <v>40000000.659999996</v>
      </c>
      <c r="AE763" s="44">
        <v>0</v>
      </c>
      <c r="AF763" s="44">
        <v>0</v>
      </c>
      <c r="AG763" s="43">
        <f>250000000+102000000</f>
        <v>352000000</v>
      </c>
      <c r="AH763" s="43">
        <f>70000000+32962480</f>
        <v>102962480</v>
      </c>
      <c r="AI763" s="43">
        <f>AE763-AF763+AG763-AH763</f>
        <v>249037520</v>
      </c>
      <c r="AJ763" s="43">
        <f>AD763+AI763</f>
        <v>289037520.65999997</v>
      </c>
      <c r="AK763" s="44">
        <v>0</v>
      </c>
      <c r="AL763" s="43">
        <v>6150000</v>
      </c>
      <c r="AM763" s="43">
        <v>185687520</v>
      </c>
      <c r="AN763" s="44">
        <v>0</v>
      </c>
      <c r="AO763" s="44">
        <v>0</v>
      </c>
      <c r="AP763" s="43">
        <v>179537520</v>
      </c>
      <c r="AQ763" s="18">
        <v>55800000</v>
      </c>
      <c r="AR763" s="34">
        <v>0</v>
      </c>
      <c r="AS763" s="34">
        <v>0</v>
      </c>
      <c r="AT763" s="40">
        <f t="shared" ref="AT763" si="346">AQ763+AS763</f>
        <v>55800000</v>
      </c>
      <c r="AU763" s="18">
        <f>AJ763-AM763</f>
        <v>103350000.65999997</v>
      </c>
      <c r="AV763" s="286">
        <f>AM763-AP763</f>
        <v>6150000</v>
      </c>
      <c r="AW763" s="34">
        <f>AP763-AT763</f>
        <v>123737520</v>
      </c>
      <c r="AX763" s="123">
        <f>AP763/AJ763</f>
        <v>0.62115644913517376</v>
      </c>
    </row>
    <row r="764" spans="1:50" ht="25.5" x14ac:dyDescent="0.2">
      <c r="AA764" s="28" t="s">
        <v>288</v>
      </c>
      <c r="AB764" s="29" t="s">
        <v>533</v>
      </c>
      <c r="AC764" s="17"/>
      <c r="AD764" s="18"/>
      <c r="AE764" s="34"/>
      <c r="AF764" s="34"/>
      <c r="AG764" s="34"/>
      <c r="AH764" s="34"/>
      <c r="AI764" s="34"/>
      <c r="AJ764" s="18"/>
      <c r="AK764" s="18"/>
      <c r="AL764" s="18"/>
      <c r="AM764" s="18"/>
      <c r="AN764" s="18"/>
      <c r="AO764" s="34"/>
      <c r="AP764" s="18"/>
      <c r="AQ764" s="34"/>
      <c r="AR764" s="34"/>
      <c r="AS764" s="34"/>
      <c r="AT764" s="40"/>
      <c r="AU764" s="18"/>
      <c r="AV764" s="18"/>
      <c r="AW764" s="18"/>
      <c r="AX764" s="123"/>
    </row>
    <row r="765" spans="1:50" x14ac:dyDescent="0.2">
      <c r="A765" s="4" t="s">
        <v>55</v>
      </c>
      <c r="B765" s="4" t="s">
        <v>56</v>
      </c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1" t="s">
        <v>534</v>
      </c>
      <c r="AB765" s="42" t="s">
        <v>233</v>
      </c>
      <c r="AC765" s="43" t="s">
        <v>58</v>
      </c>
      <c r="AD765" s="43">
        <v>100000000</v>
      </c>
      <c r="AE765" s="44">
        <v>0</v>
      </c>
      <c r="AF765" s="44">
        <v>0</v>
      </c>
      <c r="AG765" s="44">
        <v>0</v>
      </c>
      <c r="AH765" s="43">
        <v>4654516</v>
      </c>
      <c r="AI765" s="43">
        <f>AE765-AF765+AG765-AH765</f>
        <v>-4654516</v>
      </c>
      <c r="AJ765" s="43">
        <f>AD765+AI765</f>
        <v>95345484</v>
      </c>
      <c r="AK765" s="44">
        <v>0</v>
      </c>
      <c r="AL765" s="44">
        <v>47672742</v>
      </c>
      <c r="AM765" s="43">
        <v>95345484</v>
      </c>
      <c r="AN765" s="44">
        <v>0</v>
      </c>
      <c r="AO765" s="44">
        <v>0</v>
      </c>
      <c r="AP765" s="43">
        <v>47672742</v>
      </c>
      <c r="AQ765" s="34">
        <v>47672742</v>
      </c>
      <c r="AR765" s="34">
        <v>0</v>
      </c>
      <c r="AS765" s="34">
        <v>0</v>
      </c>
      <c r="AT765" s="40">
        <f t="shared" ref="AT765" si="347">AQ765+AS765</f>
        <v>47672742</v>
      </c>
      <c r="AU765" s="18">
        <f>AJ765-AM765</f>
        <v>0</v>
      </c>
      <c r="AV765" s="286">
        <f>AM765-AP765</f>
        <v>47672742</v>
      </c>
      <c r="AW765" s="34">
        <f>AP765-AT765</f>
        <v>0</v>
      </c>
      <c r="AX765" s="123">
        <f>AP765/AJ765</f>
        <v>0.5</v>
      </c>
    </row>
    <row r="766" spans="1:50" ht="25.5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73" t="s">
        <v>288</v>
      </c>
      <c r="AB766" s="74" t="s">
        <v>1257</v>
      </c>
      <c r="AC766" s="43"/>
      <c r="AD766" s="43"/>
      <c r="AE766" s="44"/>
      <c r="AF766" s="44"/>
      <c r="AG766" s="44"/>
      <c r="AH766" s="44"/>
      <c r="AI766" s="44"/>
      <c r="AJ766" s="43"/>
      <c r="AK766" s="44"/>
      <c r="AL766" s="44"/>
      <c r="AM766" s="43"/>
      <c r="AN766" s="44"/>
      <c r="AO766" s="44"/>
      <c r="AP766" s="44"/>
      <c r="AQ766" s="34"/>
      <c r="AR766" s="34"/>
      <c r="AS766" s="34"/>
      <c r="AT766" s="40"/>
      <c r="AU766" s="18"/>
      <c r="AV766" s="34"/>
      <c r="AW766" s="34"/>
      <c r="AX766" s="123"/>
    </row>
    <row r="767" spans="1:50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1" t="s">
        <v>1258</v>
      </c>
      <c r="AB767" s="42" t="s">
        <v>961</v>
      </c>
      <c r="AC767" s="43"/>
      <c r="AD767" s="43">
        <v>0</v>
      </c>
      <c r="AE767" s="44">
        <v>0</v>
      </c>
      <c r="AF767" s="44">
        <v>0</v>
      </c>
      <c r="AG767" s="43">
        <v>200000000</v>
      </c>
      <c r="AH767" s="43">
        <v>100000000</v>
      </c>
      <c r="AI767" s="43">
        <f>AE767-AF767+AG767-AH767</f>
        <v>100000000</v>
      </c>
      <c r="AJ767" s="142">
        <f>AD767+AI767</f>
        <v>100000000</v>
      </c>
      <c r="AK767" s="44">
        <v>0</v>
      </c>
      <c r="AL767" s="43">
        <v>100000000</v>
      </c>
      <c r="AM767" s="43">
        <v>100000000</v>
      </c>
      <c r="AN767" s="43">
        <v>0</v>
      </c>
      <c r="AO767" s="44">
        <v>0</v>
      </c>
      <c r="AP767" s="44">
        <v>0</v>
      </c>
      <c r="AQ767" s="34">
        <v>0</v>
      </c>
      <c r="AR767" s="34">
        <v>0</v>
      </c>
      <c r="AS767" s="34">
        <v>0</v>
      </c>
      <c r="AT767" s="40">
        <f t="shared" ref="AT767" si="348">AQ767+AS767</f>
        <v>0</v>
      </c>
      <c r="AU767" s="18">
        <f>AJ767-AM767</f>
        <v>0</v>
      </c>
      <c r="AV767" s="18">
        <f>AM767-AP767</f>
        <v>100000000</v>
      </c>
      <c r="AW767" s="34">
        <f>AP767-AT767</f>
        <v>0</v>
      </c>
      <c r="AX767" s="123">
        <f>AP767/AJ767</f>
        <v>0</v>
      </c>
    </row>
    <row r="768" spans="1:50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1" t="s">
        <v>1405</v>
      </c>
      <c r="AB768" s="42" t="s">
        <v>1015</v>
      </c>
      <c r="AC768" s="43"/>
      <c r="AD768" s="43"/>
      <c r="AE768" s="44"/>
      <c r="AF768" s="44"/>
      <c r="AG768" s="43">
        <v>108000000</v>
      </c>
      <c r="AH768" s="43">
        <v>0</v>
      </c>
      <c r="AI768" s="43">
        <f>AE768-AF768+AG768-AH768</f>
        <v>108000000</v>
      </c>
      <c r="AJ768" s="142">
        <f>AD768+AI768</f>
        <v>108000000</v>
      </c>
      <c r="AK768" s="44">
        <v>0</v>
      </c>
      <c r="AL768" s="43">
        <v>107997610</v>
      </c>
      <c r="AM768" s="43">
        <v>107997610</v>
      </c>
      <c r="AN768" s="44">
        <v>0</v>
      </c>
      <c r="AO768" s="44">
        <v>0</v>
      </c>
      <c r="AP768" s="44">
        <v>0</v>
      </c>
      <c r="AQ768" s="34">
        <v>0</v>
      </c>
      <c r="AR768" s="34">
        <v>0</v>
      </c>
      <c r="AS768" s="34">
        <v>0</v>
      </c>
      <c r="AT768" s="40">
        <f t="shared" ref="AT768" si="349">AQ768+AS768</f>
        <v>0</v>
      </c>
      <c r="AU768" s="18">
        <f>AJ768-AM768</f>
        <v>2390</v>
      </c>
      <c r="AV768" s="18">
        <f>AM768-AP768</f>
        <v>107997610</v>
      </c>
      <c r="AW768" s="34">
        <f>AP768-AT768</f>
        <v>0</v>
      </c>
      <c r="AX768" s="123">
        <f>AP768/AJ768</f>
        <v>0</v>
      </c>
    </row>
    <row r="769" spans="1:50" x14ac:dyDescent="0.2">
      <c r="AA769" s="16"/>
      <c r="AB769" s="17"/>
      <c r="AC769" s="17"/>
      <c r="AD769" s="18"/>
      <c r="AE769" s="34"/>
      <c r="AF769" s="34"/>
      <c r="AG769" s="34"/>
      <c r="AH769" s="34"/>
      <c r="AI769" s="34"/>
      <c r="AJ769" s="18"/>
      <c r="AK769" s="34"/>
      <c r="AL769" s="34"/>
      <c r="AM769" s="34"/>
      <c r="AN769" s="34"/>
      <c r="AO769" s="34"/>
      <c r="AP769" s="34"/>
      <c r="AQ769" s="18"/>
      <c r="AR769" s="18"/>
      <c r="AS769" s="18"/>
      <c r="AT769" s="31"/>
      <c r="AU769" s="18"/>
      <c r="AV769" s="34"/>
      <c r="AW769" s="34"/>
      <c r="AX769" s="18"/>
    </row>
    <row r="770" spans="1:50" ht="25.5" x14ac:dyDescent="0.2">
      <c r="AA770" s="16"/>
      <c r="AB770" s="29" t="s">
        <v>183</v>
      </c>
      <c r="AC770" s="17"/>
      <c r="AD770" s="18"/>
      <c r="AE770" s="34"/>
      <c r="AF770" s="34"/>
      <c r="AG770" s="34"/>
      <c r="AH770" s="34"/>
      <c r="AI770" s="34"/>
      <c r="AJ770" s="18"/>
      <c r="AK770" s="34"/>
      <c r="AL770" s="34"/>
      <c r="AM770" s="34"/>
      <c r="AN770" s="34"/>
      <c r="AO770" s="34"/>
      <c r="AP770" s="34"/>
      <c r="AQ770" s="18"/>
      <c r="AR770" s="18"/>
      <c r="AS770" s="18"/>
      <c r="AT770" s="31"/>
      <c r="AU770" s="18"/>
      <c r="AV770" s="34"/>
      <c r="AW770" s="34"/>
      <c r="AX770" s="18"/>
    </row>
    <row r="771" spans="1:50" ht="25.5" x14ac:dyDescent="0.2">
      <c r="AA771" s="28" t="s">
        <v>288</v>
      </c>
      <c r="AB771" s="29" t="s">
        <v>535</v>
      </c>
      <c r="AC771" s="17"/>
      <c r="AD771" s="18"/>
      <c r="AE771" s="34"/>
      <c r="AF771" s="34"/>
      <c r="AG771" s="34"/>
      <c r="AH771" s="34"/>
      <c r="AI771" s="34"/>
      <c r="AJ771" s="18"/>
      <c r="AK771" s="34"/>
      <c r="AL771" s="34"/>
      <c r="AM771" s="34"/>
      <c r="AN771" s="34"/>
      <c r="AO771" s="34"/>
      <c r="AP771" s="34"/>
      <c r="AQ771" s="18"/>
      <c r="AR771" s="18"/>
      <c r="AS771" s="18"/>
      <c r="AT771" s="31"/>
      <c r="AU771" s="18"/>
      <c r="AV771" s="34"/>
      <c r="AW771" s="34"/>
      <c r="AX771" s="18"/>
    </row>
    <row r="772" spans="1:50" x14ac:dyDescent="0.2">
      <c r="A772" s="4" t="s">
        <v>55</v>
      </c>
      <c r="B772" s="4" t="s">
        <v>56</v>
      </c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1" t="s">
        <v>536</v>
      </c>
      <c r="AB772" s="42" t="s">
        <v>233</v>
      </c>
      <c r="AC772" s="43" t="s">
        <v>58</v>
      </c>
      <c r="AD772" s="43">
        <v>246000000</v>
      </c>
      <c r="AE772" s="44">
        <v>0</v>
      </c>
      <c r="AF772" s="44">
        <v>0</v>
      </c>
      <c r="AG772" s="43">
        <f>200000000+187705246</f>
        <v>387705246</v>
      </c>
      <c r="AH772" s="44">
        <v>0</v>
      </c>
      <c r="AI772" s="43">
        <f>AE772-AF772+AG772-AH772</f>
        <v>387705246</v>
      </c>
      <c r="AJ772" s="43">
        <f>AD772+AI772</f>
        <v>633705246</v>
      </c>
      <c r="AK772" s="44">
        <v>0</v>
      </c>
      <c r="AL772" s="43">
        <v>141645703.83000001</v>
      </c>
      <c r="AM772" s="43">
        <v>587645703.83000004</v>
      </c>
      <c r="AN772" s="44">
        <v>0</v>
      </c>
      <c r="AO772" s="44">
        <v>0</v>
      </c>
      <c r="AP772" s="43">
        <v>446000000</v>
      </c>
      <c r="AQ772" s="44">
        <v>0</v>
      </c>
      <c r="AR772" s="43">
        <v>20842853.68</v>
      </c>
      <c r="AS772" s="43">
        <v>391729951.25999999</v>
      </c>
      <c r="AT772" s="40">
        <f t="shared" ref="AT772:AT775" si="350">AQ772+AS772</f>
        <v>391729951.25999999</v>
      </c>
      <c r="AU772" s="18">
        <f t="shared" ref="AU772:AU775" si="351">AJ772-AM772</f>
        <v>46059542.169999957</v>
      </c>
      <c r="AV772" s="286">
        <f t="shared" ref="AV772:AV775" si="352">AM772-AP772</f>
        <v>141645703.83000004</v>
      </c>
      <c r="AW772" s="18">
        <f t="shared" ref="AW772:AW775" si="353">AP772-AT772</f>
        <v>54270048.74000001</v>
      </c>
      <c r="AX772" s="123">
        <f t="shared" ref="AX772:AX775" si="354">AP772/AJ772</f>
        <v>0.70379723509500502</v>
      </c>
    </row>
    <row r="773" spans="1:50" x14ac:dyDescent="0.2">
      <c r="A773" s="4" t="s">
        <v>55</v>
      </c>
      <c r="B773" s="4" t="s">
        <v>56</v>
      </c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1" t="s">
        <v>537</v>
      </c>
      <c r="AB773" s="42" t="s">
        <v>538</v>
      </c>
      <c r="AC773" s="43" t="s">
        <v>253</v>
      </c>
      <c r="AD773" s="43">
        <v>603350727</v>
      </c>
      <c r="AE773" s="44">
        <v>0</v>
      </c>
      <c r="AF773" s="44">
        <v>0</v>
      </c>
      <c r="AG773" s="44">
        <v>0</v>
      </c>
      <c r="AH773" s="44">
        <v>0</v>
      </c>
      <c r="AI773" s="44">
        <v>0</v>
      </c>
      <c r="AJ773" s="43">
        <v>603350727</v>
      </c>
      <c r="AK773" s="44">
        <v>0</v>
      </c>
      <c r="AL773" s="44">
        <v>0</v>
      </c>
      <c r="AM773" s="43">
        <v>603350726</v>
      </c>
      <c r="AN773" s="44">
        <v>0</v>
      </c>
      <c r="AO773" s="44">
        <v>0</v>
      </c>
      <c r="AP773" s="43">
        <v>603350726</v>
      </c>
      <c r="AQ773" s="44">
        <v>0</v>
      </c>
      <c r="AR773" s="43">
        <v>227174566.41</v>
      </c>
      <c r="AS773" s="43">
        <v>451011219.08999997</v>
      </c>
      <c r="AT773" s="40">
        <f t="shared" si="350"/>
        <v>451011219.08999997</v>
      </c>
      <c r="AU773" s="18">
        <f t="shared" si="351"/>
        <v>1</v>
      </c>
      <c r="AV773" s="34">
        <f t="shared" si="352"/>
        <v>0</v>
      </c>
      <c r="AW773" s="18">
        <f t="shared" si="353"/>
        <v>152339506.91000003</v>
      </c>
      <c r="AX773" s="123">
        <f t="shared" si="354"/>
        <v>0.99999999834258924</v>
      </c>
    </row>
    <row r="774" spans="1:50" ht="25.5" x14ac:dyDescent="0.2">
      <c r="A774" s="4" t="s">
        <v>55</v>
      </c>
      <c r="B774" s="4" t="s">
        <v>56</v>
      </c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1" t="s">
        <v>539</v>
      </c>
      <c r="AB774" s="42" t="s">
        <v>540</v>
      </c>
      <c r="AC774" s="43" t="s">
        <v>253</v>
      </c>
      <c r="AD774" s="43">
        <v>850649274</v>
      </c>
      <c r="AE774" s="44">
        <v>0</v>
      </c>
      <c r="AF774" s="44">
        <v>0</v>
      </c>
      <c r="AG774" s="44">
        <v>0</v>
      </c>
      <c r="AH774" s="44">
        <v>0</v>
      </c>
      <c r="AI774" s="44">
        <v>0</v>
      </c>
      <c r="AJ774" s="43">
        <v>850649274</v>
      </c>
      <c r="AK774" s="44">
        <v>0</v>
      </c>
      <c r="AL774" s="44">
        <v>0</v>
      </c>
      <c r="AM774" s="43">
        <v>369641575.10000002</v>
      </c>
      <c r="AN774" s="44">
        <v>0</v>
      </c>
      <c r="AO774" s="44">
        <v>0</v>
      </c>
      <c r="AP774" s="43">
        <v>369641575.10000002</v>
      </c>
      <c r="AQ774" s="44">
        <v>0</v>
      </c>
      <c r="AR774" s="43">
        <v>100467220.79000001</v>
      </c>
      <c r="AS774" s="43">
        <v>214258430.99000001</v>
      </c>
      <c r="AT774" s="40">
        <f t="shared" si="350"/>
        <v>214258430.99000001</v>
      </c>
      <c r="AU774" s="18">
        <f t="shared" si="351"/>
        <v>481007698.89999998</v>
      </c>
      <c r="AV774" s="34">
        <f t="shared" si="352"/>
        <v>0</v>
      </c>
      <c r="AW774" s="18">
        <f t="shared" si="353"/>
        <v>155383144.11000001</v>
      </c>
      <c r="AX774" s="123">
        <f t="shared" si="354"/>
        <v>0.43454051675355926</v>
      </c>
    </row>
    <row r="775" spans="1:50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1" t="s">
        <v>1087</v>
      </c>
      <c r="AB775" s="42" t="s">
        <v>1015</v>
      </c>
      <c r="AC775" s="43"/>
      <c r="AD775" s="44">
        <v>0</v>
      </c>
      <c r="AE775" s="43">
        <v>800000000</v>
      </c>
      <c r="AF775" s="44">
        <v>0</v>
      </c>
      <c r="AG775" s="44">
        <v>0</v>
      </c>
      <c r="AH775" s="43">
        <v>166521000</v>
      </c>
      <c r="AI775" s="43">
        <f>AE775-AF775+AG775-AH775</f>
        <v>633479000</v>
      </c>
      <c r="AJ775" s="43">
        <f>AD775+AI775</f>
        <v>633479000</v>
      </c>
      <c r="AK775" s="44">
        <v>0</v>
      </c>
      <c r="AL775" s="44">
        <v>0</v>
      </c>
      <c r="AM775" s="43">
        <v>633396745</v>
      </c>
      <c r="AN775" s="44">
        <v>0</v>
      </c>
      <c r="AO775" s="44">
        <v>0</v>
      </c>
      <c r="AP775" s="44">
        <v>0</v>
      </c>
      <c r="AQ775" s="44">
        <v>0</v>
      </c>
      <c r="AR775" s="44">
        <v>0</v>
      </c>
      <c r="AS775" s="44">
        <v>0</v>
      </c>
      <c r="AT775" s="40">
        <f t="shared" si="350"/>
        <v>0</v>
      </c>
      <c r="AU775" s="18">
        <f t="shared" si="351"/>
        <v>82255</v>
      </c>
      <c r="AV775" s="286">
        <f t="shared" si="352"/>
        <v>633396745</v>
      </c>
      <c r="AW775" s="34">
        <f t="shared" si="353"/>
        <v>0</v>
      </c>
      <c r="AX775" s="123">
        <f t="shared" si="354"/>
        <v>0</v>
      </c>
    </row>
    <row r="776" spans="1:50" ht="25.5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1" t="s">
        <v>1323</v>
      </c>
      <c r="AB776" s="42" t="s">
        <v>1324</v>
      </c>
      <c r="AC776" s="43"/>
      <c r="AD776" s="44">
        <v>0</v>
      </c>
      <c r="AE776" s="44">
        <v>0</v>
      </c>
      <c r="AF776" s="44">
        <v>0</v>
      </c>
      <c r="AG776" s="43">
        <f>443349582+74942912</f>
        <v>518292494</v>
      </c>
      <c r="AH776" s="43">
        <v>0</v>
      </c>
      <c r="AI776" s="43">
        <f>AE776-AF776+AG776-AH776</f>
        <v>518292494</v>
      </c>
      <c r="AJ776" s="43">
        <f>AD776+AI776</f>
        <v>518292494</v>
      </c>
      <c r="AK776" s="44">
        <v>0</v>
      </c>
      <c r="AL776" s="43">
        <v>518292494</v>
      </c>
      <c r="AM776" s="43">
        <v>518292494</v>
      </c>
      <c r="AN776" s="44">
        <v>0</v>
      </c>
      <c r="AO776" s="44">
        <v>0</v>
      </c>
      <c r="AP776" s="44">
        <v>0</v>
      </c>
      <c r="AQ776" s="44">
        <v>0</v>
      </c>
      <c r="AR776" s="44">
        <v>0</v>
      </c>
      <c r="AS776" s="44">
        <v>0</v>
      </c>
      <c r="AT776" s="40">
        <f t="shared" ref="AT776" si="355">AQ776+AS776</f>
        <v>0</v>
      </c>
      <c r="AU776" s="34">
        <f>AJ776-AM776</f>
        <v>0</v>
      </c>
      <c r="AV776" s="18">
        <f>AM776-AP776</f>
        <v>518292494</v>
      </c>
      <c r="AW776" s="34">
        <f>AP776-AT776</f>
        <v>0</v>
      </c>
      <c r="AX776" s="123">
        <f>AP776/AJ776</f>
        <v>0</v>
      </c>
    </row>
    <row r="777" spans="1:50" ht="25.5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1" t="s">
        <v>1406</v>
      </c>
      <c r="AB777" s="42" t="s">
        <v>1407</v>
      </c>
      <c r="AC777" s="43"/>
      <c r="AD777" s="44">
        <v>0</v>
      </c>
      <c r="AE777" s="44">
        <v>0</v>
      </c>
      <c r="AF777" s="44">
        <v>0</v>
      </c>
      <c r="AG777" s="43">
        <v>49245310</v>
      </c>
      <c r="AH777" s="43">
        <v>0</v>
      </c>
      <c r="AI777" s="43">
        <f>AE777-AF777+AG777-AH777</f>
        <v>49245310</v>
      </c>
      <c r="AJ777" s="43">
        <f>AD777+AI777</f>
        <v>49245310</v>
      </c>
      <c r="AK777" s="44">
        <v>0</v>
      </c>
      <c r="AL777" s="43">
        <v>49245310</v>
      </c>
      <c r="AM777" s="43">
        <v>49245310</v>
      </c>
      <c r="AN777" s="44">
        <v>0</v>
      </c>
      <c r="AO777" s="44">
        <v>0</v>
      </c>
      <c r="AP777" s="44">
        <v>0</v>
      </c>
      <c r="AQ777" s="44">
        <v>0</v>
      </c>
      <c r="AR777" s="44">
        <v>0</v>
      </c>
      <c r="AS777" s="44">
        <v>0</v>
      </c>
      <c r="AT777" s="40">
        <f t="shared" ref="AT777" si="356">AQ777+AS777</f>
        <v>0</v>
      </c>
      <c r="AU777" s="34">
        <f>AJ777-AM777</f>
        <v>0</v>
      </c>
      <c r="AV777" s="18">
        <f>AM777-AP777</f>
        <v>49245310</v>
      </c>
      <c r="AW777" s="34">
        <f>AP777-AT777</f>
        <v>0</v>
      </c>
      <c r="AX777" s="123">
        <f>AP777/AJ777</f>
        <v>0</v>
      </c>
    </row>
    <row r="778" spans="1:50" ht="25.5" customHeight="1" x14ac:dyDescent="0.2">
      <c r="AA778" s="41"/>
      <c r="AB778" s="29" t="s">
        <v>1309</v>
      </c>
      <c r="AC778" s="17"/>
      <c r="AD778" s="34"/>
      <c r="AE778" s="34"/>
      <c r="AF778" s="34"/>
      <c r="AG778" s="18"/>
      <c r="AH778" s="34"/>
      <c r="AI778" s="43"/>
      <c r="AJ778" s="43"/>
      <c r="AK778" s="18"/>
      <c r="AL778" s="18"/>
      <c r="AM778" s="18"/>
      <c r="AN778" s="18"/>
      <c r="AO778" s="18"/>
      <c r="AP778" s="18"/>
      <c r="AQ778" s="18"/>
      <c r="AR778" s="18"/>
      <c r="AS778" s="18"/>
      <c r="AT778" s="40"/>
      <c r="AU778" s="18"/>
      <c r="AV778" s="34"/>
      <c r="AW778" s="34"/>
      <c r="AX778" s="123"/>
    </row>
    <row r="779" spans="1:50" ht="18.75" customHeight="1" x14ac:dyDescent="0.2">
      <c r="AA779" s="41" t="s">
        <v>1310</v>
      </c>
      <c r="AB779" s="38" t="s">
        <v>1015</v>
      </c>
      <c r="AC779" s="17"/>
      <c r="AD779" s="34">
        <v>0</v>
      </c>
      <c r="AE779" s="34"/>
      <c r="AF779" s="34"/>
      <c r="AG779" s="18">
        <v>50521000</v>
      </c>
      <c r="AH779" s="34">
        <v>0</v>
      </c>
      <c r="AI779" s="43">
        <f t="shared" ref="AI779:AI780" si="357">AE779-AF779+AG779-AH779</f>
        <v>50521000</v>
      </c>
      <c r="AJ779" s="43">
        <f t="shared" ref="AJ779:AJ780" si="358">AD779+AI779</f>
        <v>50521000</v>
      </c>
      <c r="AK779" s="44">
        <v>0</v>
      </c>
      <c r="AL779" s="44">
        <v>0</v>
      </c>
      <c r="AM779" s="43">
        <v>43784325</v>
      </c>
      <c r="AN779" s="44">
        <v>0</v>
      </c>
      <c r="AO779" s="44">
        <v>0</v>
      </c>
      <c r="AP779" s="44">
        <v>0</v>
      </c>
      <c r="AQ779" s="44">
        <v>0</v>
      </c>
      <c r="AR779" s="44">
        <v>0</v>
      </c>
      <c r="AS779" s="34">
        <v>0</v>
      </c>
      <c r="AT779" s="40">
        <f t="shared" ref="AT779:AT780" si="359">AQ779+AS779</f>
        <v>0</v>
      </c>
      <c r="AU779" s="18">
        <f t="shared" ref="AU779:AU780" si="360">AJ779-AM779</f>
        <v>6736675</v>
      </c>
      <c r="AV779" s="18">
        <f t="shared" ref="AV779:AV780" si="361">AM779-AP779</f>
        <v>43784325</v>
      </c>
      <c r="AW779" s="34">
        <f t="shared" ref="AW779:AW780" si="362">AP779-AT779</f>
        <v>0</v>
      </c>
      <c r="AX779" s="123">
        <f t="shared" ref="AX779:AX780" si="363">AP779/AJ779</f>
        <v>0</v>
      </c>
    </row>
    <row r="780" spans="1:50" ht="28.5" customHeight="1" x14ac:dyDescent="0.2">
      <c r="AA780" s="41" t="s">
        <v>1311</v>
      </c>
      <c r="AB780" s="251" t="s">
        <v>1312</v>
      </c>
      <c r="AC780" s="17"/>
      <c r="AD780" s="34">
        <v>0</v>
      </c>
      <c r="AE780" s="34"/>
      <c r="AF780" s="34"/>
      <c r="AG780" s="18">
        <v>18479000</v>
      </c>
      <c r="AH780" s="34"/>
      <c r="AI780" s="43">
        <f t="shared" si="357"/>
        <v>18479000</v>
      </c>
      <c r="AJ780" s="43">
        <f t="shared" si="358"/>
        <v>18479000</v>
      </c>
      <c r="AK780" s="44">
        <v>0</v>
      </c>
      <c r="AL780" s="44">
        <v>0</v>
      </c>
      <c r="AM780" s="43">
        <v>18383120</v>
      </c>
      <c r="AN780" s="44">
        <v>0</v>
      </c>
      <c r="AO780" s="44">
        <v>0</v>
      </c>
      <c r="AP780" s="44">
        <v>0</v>
      </c>
      <c r="AQ780" s="44">
        <v>0</v>
      </c>
      <c r="AR780" s="44">
        <v>0</v>
      </c>
      <c r="AS780" s="34">
        <v>0</v>
      </c>
      <c r="AT780" s="40">
        <f t="shared" si="359"/>
        <v>0</v>
      </c>
      <c r="AU780" s="18">
        <f t="shared" si="360"/>
        <v>95880</v>
      </c>
      <c r="AV780" s="18">
        <f t="shared" si="361"/>
        <v>18383120</v>
      </c>
      <c r="AW780" s="34">
        <f t="shared" si="362"/>
        <v>0</v>
      </c>
      <c r="AX780" s="123">
        <f t="shared" si="363"/>
        <v>0</v>
      </c>
    </row>
    <row r="781" spans="1:50" x14ac:dyDescent="0.2">
      <c r="AA781" s="41"/>
      <c r="AB781" s="29" t="s">
        <v>1313</v>
      </c>
      <c r="AC781" s="17"/>
      <c r="AD781" s="34"/>
      <c r="AE781" s="34"/>
      <c r="AF781" s="34"/>
      <c r="AG781" s="18"/>
      <c r="AH781" s="34"/>
      <c r="AI781" s="43"/>
      <c r="AJ781" s="43"/>
      <c r="AK781" s="18"/>
      <c r="AL781" s="34"/>
      <c r="AM781" s="18"/>
      <c r="AN781" s="18"/>
      <c r="AO781" s="18"/>
      <c r="AP781" s="18"/>
      <c r="AQ781" s="18"/>
      <c r="AR781" s="18"/>
      <c r="AS781" s="34"/>
      <c r="AT781" s="40"/>
      <c r="AU781" s="18"/>
      <c r="AV781" s="34"/>
      <c r="AW781" s="34"/>
      <c r="AX781" s="123"/>
    </row>
    <row r="782" spans="1:50" ht="28.5" customHeight="1" x14ac:dyDescent="0.2">
      <c r="AA782" s="41" t="s">
        <v>1314</v>
      </c>
      <c r="AB782" s="251" t="s">
        <v>1312</v>
      </c>
      <c r="AC782" s="17"/>
      <c r="AD782" s="34">
        <v>0</v>
      </c>
      <c r="AE782" s="34"/>
      <c r="AF782" s="34"/>
      <c r="AG782" s="18">
        <v>25000000</v>
      </c>
      <c r="AH782" s="34"/>
      <c r="AI782" s="43">
        <f t="shared" ref="AI782" si="364">AE782-AF782+AG782-AH782</f>
        <v>25000000</v>
      </c>
      <c r="AJ782" s="43">
        <f t="shared" ref="AJ782" si="365">AD782+AI782</f>
        <v>25000000</v>
      </c>
      <c r="AK782" s="34">
        <v>0</v>
      </c>
      <c r="AL782" s="34">
        <v>0</v>
      </c>
      <c r="AM782" s="18">
        <v>23821836</v>
      </c>
      <c r="AN782" s="34">
        <v>0</v>
      </c>
      <c r="AO782" s="34">
        <v>0</v>
      </c>
      <c r="AP782" s="34">
        <v>0</v>
      </c>
      <c r="AQ782" s="34">
        <v>0</v>
      </c>
      <c r="AR782" s="34">
        <v>0</v>
      </c>
      <c r="AS782" s="34">
        <v>0</v>
      </c>
      <c r="AT782" s="40">
        <f t="shared" ref="AT782" si="366">AQ782+AS782</f>
        <v>0</v>
      </c>
      <c r="AU782" s="18">
        <f t="shared" ref="AU782" si="367">AJ782-AM782</f>
        <v>1178164</v>
      </c>
      <c r="AV782" s="18">
        <f t="shared" ref="AV782" si="368">AM782-AP782</f>
        <v>23821836</v>
      </c>
      <c r="AW782" s="34">
        <f t="shared" ref="AW782" si="369">AP782-AT782</f>
        <v>0</v>
      </c>
      <c r="AX782" s="123">
        <f t="shared" ref="AX782" si="370">AP782/AJ782</f>
        <v>0</v>
      </c>
    </row>
    <row r="783" spans="1:50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1"/>
      <c r="AB783" s="42"/>
      <c r="AC783" s="43"/>
      <c r="AD783" s="44"/>
      <c r="AE783" s="43"/>
      <c r="AF783" s="44"/>
      <c r="AG783" s="44"/>
      <c r="AH783" s="43"/>
      <c r="AI783" s="43"/>
      <c r="AJ783" s="43"/>
      <c r="AK783" s="44"/>
      <c r="AL783" s="44"/>
      <c r="AM783" s="44"/>
      <c r="AN783" s="44"/>
      <c r="AO783" s="44"/>
      <c r="AP783" s="44"/>
      <c r="AQ783" s="44"/>
      <c r="AR783" s="44"/>
      <c r="AS783" s="44"/>
      <c r="AT783" s="40"/>
      <c r="AU783" s="18"/>
      <c r="AV783" s="34"/>
      <c r="AW783" s="34"/>
      <c r="AX783" s="123"/>
    </row>
    <row r="784" spans="1:50" ht="25.5" x14ac:dyDescent="0.2">
      <c r="AA784" s="73" t="s">
        <v>288</v>
      </c>
      <c r="AB784" s="74" t="s">
        <v>1222</v>
      </c>
      <c r="AC784" s="17"/>
      <c r="AD784" s="34"/>
      <c r="AE784" s="34"/>
      <c r="AF784" s="34"/>
      <c r="AG784" s="34"/>
      <c r="AH784" s="34"/>
      <c r="AI784" s="34"/>
      <c r="AJ784" s="18"/>
      <c r="AK784" s="34"/>
      <c r="AL784" s="34"/>
      <c r="AM784" s="34"/>
      <c r="AN784" s="34"/>
      <c r="AO784" s="34"/>
      <c r="AP784" s="34"/>
      <c r="AQ784" s="34"/>
      <c r="AR784" s="34"/>
      <c r="AS784" s="18"/>
      <c r="AT784" s="30"/>
      <c r="AU784" s="18"/>
      <c r="AV784" s="34"/>
      <c r="AW784" s="18"/>
      <c r="AX784" s="18"/>
    </row>
    <row r="785" spans="1:50" x14ac:dyDescent="0.2">
      <c r="AA785" s="41" t="s">
        <v>1223</v>
      </c>
      <c r="AB785" s="42" t="s">
        <v>961</v>
      </c>
      <c r="AC785" s="17"/>
      <c r="AD785" s="34">
        <v>0</v>
      </c>
      <c r="AE785" s="34">
        <v>0</v>
      </c>
      <c r="AF785" s="34">
        <v>0</v>
      </c>
      <c r="AG785" s="18">
        <v>115200000</v>
      </c>
      <c r="AH785" s="34">
        <v>0</v>
      </c>
      <c r="AI785" s="43">
        <f>AE785-AF785+AG785-AH785</f>
        <v>115200000</v>
      </c>
      <c r="AJ785" s="43">
        <f>AD785+AI785</f>
        <v>115200000</v>
      </c>
      <c r="AK785" s="34">
        <v>0</v>
      </c>
      <c r="AL785" s="18">
        <v>-3250318</v>
      </c>
      <c r="AM785" s="18">
        <v>32864331</v>
      </c>
      <c r="AN785" s="34">
        <v>0</v>
      </c>
      <c r="AO785" s="34">
        <v>32864331</v>
      </c>
      <c r="AP785" s="34">
        <v>32864331</v>
      </c>
      <c r="AQ785" s="34">
        <v>0</v>
      </c>
      <c r="AR785" s="34">
        <v>0</v>
      </c>
      <c r="AS785" s="34">
        <v>0</v>
      </c>
      <c r="AT785" s="40">
        <f t="shared" ref="AT785" si="371">AQ785+AS785</f>
        <v>0</v>
      </c>
      <c r="AU785" s="18">
        <f>AJ785-AM785</f>
        <v>82335669</v>
      </c>
      <c r="AV785" s="18">
        <f>AM785-AP785</f>
        <v>0</v>
      </c>
      <c r="AW785" s="18">
        <f>AP785-AT785</f>
        <v>32864331</v>
      </c>
      <c r="AX785" s="123">
        <f>AP785/AJ785</f>
        <v>0.28528065104166667</v>
      </c>
    </row>
    <row r="786" spans="1:50" ht="25.5" x14ac:dyDescent="0.2">
      <c r="AA786" s="41"/>
      <c r="AB786" s="74" t="s">
        <v>1326</v>
      </c>
      <c r="AC786" s="17"/>
      <c r="AD786" s="34"/>
      <c r="AE786" s="34"/>
      <c r="AF786" s="34"/>
      <c r="AG786" s="18"/>
      <c r="AH786" s="34"/>
      <c r="AI786" s="43"/>
      <c r="AJ786" s="43"/>
      <c r="AK786" s="34"/>
      <c r="AL786" s="34"/>
      <c r="AM786" s="34"/>
      <c r="AN786" s="34"/>
      <c r="AO786" s="34"/>
      <c r="AP786" s="34"/>
      <c r="AQ786" s="34"/>
      <c r="AR786" s="34"/>
      <c r="AS786" s="34"/>
      <c r="AT786" s="40"/>
      <c r="AU786" s="18"/>
      <c r="AV786" s="34"/>
      <c r="AW786" s="34"/>
      <c r="AX786" s="123"/>
    </row>
    <row r="787" spans="1:50" x14ac:dyDescent="0.2">
      <c r="AA787" s="73" t="s">
        <v>288</v>
      </c>
      <c r="AB787" s="74" t="s">
        <v>1327</v>
      </c>
      <c r="AC787" s="17"/>
      <c r="AD787" s="34"/>
      <c r="AE787" s="34"/>
      <c r="AF787" s="34"/>
      <c r="AG787" s="18"/>
      <c r="AH787" s="34"/>
      <c r="AI787" s="43"/>
      <c r="AJ787" s="43"/>
      <c r="AK787" s="34"/>
      <c r="AL787" s="34"/>
      <c r="AM787" s="34"/>
      <c r="AN787" s="34"/>
      <c r="AO787" s="34"/>
      <c r="AP787" s="34"/>
      <c r="AQ787" s="34"/>
      <c r="AR787" s="34"/>
      <c r="AS787" s="34"/>
      <c r="AT787" s="40"/>
      <c r="AU787" s="18"/>
      <c r="AV787" s="34"/>
      <c r="AW787" s="34"/>
      <c r="AX787" s="123"/>
    </row>
    <row r="788" spans="1:50" x14ac:dyDescent="0.2">
      <c r="AA788" s="41" t="s">
        <v>311</v>
      </c>
      <c r="AB788" s="42" t="s">
        <v>961</v>
      </c>
      <c r="AC788" s="17"/>
      <c r="AD788" s="34">
        <v>0</v>
      </c>
      <c r="AE788" s="34">
        <v>0</v>
      </c>
      <c r="AF788" s="34">
        <v>0</v>
      </c>
      <c r="AG788" s="18">
        <v>100000000</v>
      </c>
      <c r="AH788" s="34">
        <v>0</v>
      </c>
      <c r="AI788" s="43">
        <f>AE788-AF788+AG788-AH788</f>
        <v>100000000</v>
      </c>
      <c r="AJ788" s="142">
        <f>AD788+AI788</f>
        <v>100000000</v>
      </c>
      <c r="AK788" s="18">
        <v>0</v>
      </c>
      <c r="AL788" s="18">
        <v>50000000</v>
      </c>
      <c r="AM788" s="18">
        <v>50000000</v>
      </c>
      <c r="AN788" s="18">
        <v>0</v>
      </c>
      <c r="AO788" s="34">
        <v>0</v>
      </c>
      <c r="AP788" s="34">
        <v>0</v>
      </c>
      <c r="AQ788" s="34">
        <v>0</v>
      </c>
      <c r="AR788" s="34">
        <v>0</v>
      </c>
      <c r="AS788" s="34">
        <v>0</v>
      </c>
      <c r="AT788" s="40">
        <f t="shared" ref="AT788" si="372">AQ788+AS788</f>
        <v>0</v>
      </c>
      <c r="AU788" s="18">
        <f>AJ788-AM788</f>
        <v>50000000</v>
      </c>
      <c r="AV788" s="18">
        <f>AM788-AP788</f>
        <v>50000000</v>
      </c>
      <c r="AW788" s="34">
        <f>AP788-AT788</f>
        <v>0</v>
      </c>
      <c r="AX788" s="123">
        <f>AP788/AJ788</f>
        <v>0</v>
      </c>
    </row>
    <row r="789" spans="1:50" x14ac:dyDescent="0.2">
      <c r="AA789" s="16"/>
      <c r="AB789" s="29" t="s">
        <v>199</v>
      </c>
      <c r="AC789" s="17"/>
      <c r="AD789" s="18"/>
      <c r="AE789" s="34"/>
      <c r="AF789" s="34"/>
      <c r="AG789" s="34"/>
      <c r="AH789" s="34"/>
      <c r="AI789" s="34"/>
      <c r="AJ789" s="18"/>
      <c r="AK789" s="34"/>
      <c r="AL789" s="34"/>
      <c r="AM789" s="18"/>
      <c r="AN789" s="18"/>
      <c r="AO789" s="18"/>
      <c r="AP789" s="18"/>
      <c r="AQ789" s="18"/>
      <c r="AR789" s="18"/>
      <c r="AS789" s="18"/>
      <c r="AT789" s="30"/>
      <c r="AU789" s="18"/>
      <c r="AV789" s="34"/>
      <c r="AW789" s="18"/>
      <c r="AX789" s="18"/>
    </row>
    <row r="790" spans="1:50" ht="25.5" x14ac:dyDescent="0.2">
      <c r="AA790" s="28" t="s">
        <v>288</v>
      </c>
      <c r="AB790" s="29" t="s">
        <v>531</v>
      </c>
      <c r="AC790" s="17"/>
      <c r="AD790" s="18"/>
      <c r="AE790" s="34"/>
      <c r="AF790" s="34"/>
      <c r="AG790" s="34"/>
      <c r="AH790" s="34"/>
      <c r="AI790" s="34"/>
      <c r="AJ790" s="18"/>
      <c r="AK790" s="34"/>
      <c r="AL790" s="34"/>
      <c r="AM790" s="18"/>
      <c r="AN790" s="18"/>
      <c r="AO790" s="18"/>
      <c r="AP790" s="18"/>
      <c r="AQ790" s="18"/>
      <c r="AR790" s="18"/>
      <c r="AS790" s="18"/>
      <c r="AT790" s="30"/>
      <c r="AU790" s="18"/>
      <c r="AV790" s="34"/>
      <c r="AW790" s="18"/>
      <c r="AX790" s="18"/>
    </row>
    <row r="791" spans="1:50" x14ac:dyDescent="0.2">
      <c r="A791" s="4" t="s">
        <v>55</v>
      </c>
      <c r="B791" s="4" t="s">
        <v>56</v>
      </c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1" t="s">
        <v>541</v>
      </c>
      <c r="AB791" s="42" t="s">
        <v>233</v>
      </c>
      <c r="AC791" s="43" t="s">
        <v>58</v>
      </c>
      <c r="AD791" s="43">
        <v>190000000</v>
      </c>
      <c r="AE791" s="44">
        <v>0</v>
      </c>
      <c r="AF791" s="44">
        <v>0</v>
      </c>
      <c r="AG791" s="43">
        <v>37616996</v>
      </c>
      <c r="AH791" s="43">
        <v>60000000</v>
      </c>
      <c r="AI791" s="43">
        <f>AE791-AF791+AG791-AH791</f>
        <v>-22383004</v>
      </c>
      <c r="AJ791" s="43">
        <f>AD791+AI791</f>
        <v>167616996</v>
      </c>
      <c r="AK791" s="43">
        <v>0</v>
      </c>
      <c r="AL791" s="43">
        <v>13466711</v>
      </c>
      <c r="AM791" s="43">
        <v>164970044</v>
      </c>
      <c r="AN791" s="44">
        <v>0</v>
      </c>
      <c r="AO791" s="43">
        <v>10866698</v>
      </c>
      <c r="AP791" s="43">
        <v>107200031</v>
      </c>
      <c r="AQ791" s="43">
        <v>0</v>
      </c>
      <c r="AR791" s="43">
        <v>12833333</v>
      </c>
      <c r="AS791" s="43">
        <v>77266667</v>
      </c>
      <c r="AT791" s="40">
        <f t="shared" ref="AT791" si="373">AQ791+AS791</f>
        <v>77266667</v>
      </c>
      <c r="AU791" s="18">
        <f>AJ791-AM791</f>
        <v>2646952</v>
      </c>
      <c r="AV791" s="286">
        <f>AM791-AP791</f>
        <v>57770013</v>
      </c>
      <c r="AW791" s="34">
        <f>AP791-AT791</f>
        <v>29933364</v>
      </c>
      <c r="AX791" s="123">
        <f>AP791/AJ791</f>
        <v>0.63955346747772523</v>
      </c>
    </row>
    <row r="792" spans="1:50" ht="38.25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73" t="s">
        <v>288</v>
      </c>
      <c r="AB792" s="74" t="s">
        <v>1371</v>
      </c>
      <c r="AC792" s="43"/>
      <c r="AD792" s="43"/>
      <c r="AE792" s="44"/>
      <c r="AF792" s="44"/>
      <c r="AG792" s="43"/>
      <c r="AH792" s="43"/>
      <c r="AI792" s="43"/>
      <c r="AJ792" s="43"/>
      <c r="AK792" s="43"/>
      <c r="AL792" s="43"/>
      <c r="AM792" s="43"/>
      <c r="AN792" s="44"/>
      <c r="AO792" s="44"/>
      <c r="AP792" s="43"/>
      <c r="AQ792" s="43"/>
      <c r="AR792" s="43"/>
      <c r="AS792" s="43"/>
      <c r="AT792" s="39"/>
      <c r="AU792" s="18"/>
      <c r="AV792" s="18"/>
      <c r="AW792" s="18"/>
      <c r="AX792" s="123"/>
    </row>
    <row r="793" spans="1:50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1" t="s">
        <v>913</v>
      </c>
      <c r="AB793" s="42" t="s">
        <v>233</v>
      </c>
      <c r="AC793" s="43"/>
      <c r="AD793" s="43">
        <v>0</v>
      </c>
      <c r="AE793" s="44">
        <v>0</v>
      </c>
      <c r="AF793" s="44">
        <v>0</v>
      </c>
      <c r="AG793" s="43">
        <v>60000000</v>
      </c>
      <c r="AH793" s="43">
        <v>60000000</v>
      </c>
      <c r="AI793" s="44">
        <f>AE793-AF793+AG793-AH793</f>
        <v>0</v>
      </c>
      <c r="AJ793" s="44">
        <f>AD793+AI793</f>
        <v>0</v>
      </c>
      <c r="AK793" s="44">
        <v>0</v>
      </c>
      <c r="AL793" s="44">
        <v>0</v>
      </c>
      <c r="AM793" s="44">
        <v>0</v>
      </c>
      <c r="AN793" s="44">
        <v>0</v>
      </c>
      <c r="AO793" s="44">
        <v>0</v>
      </c>
      <c r="AP793" s="44">
        <v>0</v>
      </c>
      <c r="AQ793" s="44">
        <v>0</v>
      </c>
      <c r="AR793" s="44">
        <v>0</v>
      </c>
      <c r="AS793" s="44">
        <v>0</v>
      </c>
      <c r="AT793" s="40">
        <v>0</v>
      </c>
      <c r="AU793" s="18">
        <f t="shared" ref="AU793:AU794" si="374">AJ793-AM793</f>
        <v>0</v>
      </c>
      <c r="AV793" s="34">
        <f t="shared" ref="AV793:AV794" si="375">AM793-AP793</f>
        <v>0</v>
      </c>
      <c r="AW793" s="34">
        <f t="shared" ref="AW793:AW794" si="376">AP793-AT793</f>
        <v>0</v>
      </c>
      <c r="AX793" s="123">
        <v>0</v>
      </c>
    </row>
    <row r="794" spans="1:50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1" t="s">
        <v>1286</v>
      </c>
      <c r="AB794" s="42" t="s">
        <v>1015</v>
      </c>
      <c r="AC794" s="43"/>
      <c r="AD794" s="43"/>
      <c r="AE794" s="44"/>
      <c r="AF794" s="44"/>
      <c r="AG794" s="43">
        <v>15000000</v>
      </c>
      <c r="AH794" s="43">
        <v>15000000</v>
      </c>
      <c r="AI794" s="44">
        <f>AE794-AF794+AG794-AH794</f>
        <v>0</v>
      </c>
      <c r="AJ794" s="44">
        <f>AD794+AI794</f>
        <v>0</v>
      </c>
      <c r="AK794" s="44">
        <v>0</v>
      </c>
      <c r="AL794" s="44">
        <v>0</v>
      </c>
      <c r="AM794" s="44">
        <v>0</v>
      </c>
      <c r="AN794" s="44">
        <v>0</v>
      </c>
      <c r="AO794" s="44">
        <v>0</v>
      </c>
      <c r="AP794" s="44">
        <v>0</v>
      </c>
      <c r="AQ794" s="44">
        <v>0</v>
      </c>
      <c r="AR794" s="44">
        <v>0</v>
      </c>
      <c r="AS794" s="44">
        <v>0</v>
      </c>
      <c r="AT794" s="40">
        <f t="shared" ref="AT794" si="377">AQ794+AS794</f>
        <v>0</v>
      </c>
      <c r="AU794" s="18">
        <f t="shared" si="374"/>
        <v>0</v>
      </c>
      <c r="AV794" s="34">
        <f t="shared" si="375"/>
        <v>0</v>
      </c>
      <c r="AW794" s="34">
        <f t="shared" si="376"/>
        <v>0</v>
      </c>
      <c r="AX794" s="123">
        <v>0</v>
      </c>
    </row>
    <row r="795" spans="1:50" x14ac:dyDescent="0.2">
      <c r="AA795" s="28" t="s">
        <v>288</v>
      </c>
      <c r="AB795" s="29" t="s">
        <v>542</v>
      </c>
      <c r="AC795" s="17"/>
      <c r="AD795" s="18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1"/>
      <c r="AU795" s="18"/>
      <c r="AV795" s="34"/>
      <c r="AW795" s="34"/>
      <c r="AX795" s="18"/>
    </row>
    <row r="796" spans="1:50" x14ac:dyDescent="0.2">
      <c r="A796" s="4" t="s">
        <v>55</v>
      </c>
      <c r="B796" s="4" t="s">
        <v>56</v>
      </c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1" t="s">
        <v>543</v>
      </c>
      <c r="AB796" s="42" t="s">
        <v>233</v>
      </c>
      <c r="AC796" s="43" t="s">
        <v>58</v>
      </c>
      <c r="AD796" s="43">
        <v>229000000</v>
      </c>
      <c r="AE796" s="44">
        <v>0</v>
      </c>
      <c r="AF796" s="44">
        <v>0</v>
      </c>
      <c r="AG796" s="44">
        <v>0</v>
      </c>
      <c r="AH796" s="43">
        <v>229000000</v>
      </c>
      <c r="AI796" s="43">
        <f>AE796-AF796+AG796-AH796</f>
        <v>-229000000</v>
      </c>
      <c r="AJ796" s="44">
        <f>AD796+AI796</f>
        <v>0</v>
      </c>
      <c r="AK796" s="44">
        <v>0</v>
      </c>
      <c r="AL796" s="44">
        <v>0</v>
      </c>
      <c r="AM796" s="44">
        <v>0</v>
      </c>
      <c r="AN796" s="44">
        <v>0</v>
      </c>
      <c r="AO796" s="44">
        <v>0</v>
      </c>
      <c r="AP796" s="44">
        <v>0</v>
      </c>
      <c r="AQ796" s="44">
        <v>0</v>
      </c>
      <c r="AR796" s="44">
        <v>0</v>
      </c>
      <c r="AS796" s="44">
        <v>0</v>
      </c>
      <c r="AT796" s="40">
        <f t="shared" ref="AT796" si="378">AQ796+AS796</f>
        <v>0</v>
      </c>
      <c r="AU796" s="34">
        <f>AJ796-AM796</f>
        <v>0</v>
      </c>
      <c r="AV796" s="34">
        <f>AM796-AP796</f>
        <v>0</v>
      </c>
      <c r="AW796" s="34">
        <f>AP796-AT796</f>
        <v>0</v>
      </c>
      <c r="AX796" s="123">
        <v>0</v>
      </c>
    </row>
    <row r="797" spans="1:50" ht="25.5" x14ac:dyDescent="0.2">
      <c r="AA797" s="28" t="s">
        <v>288</v>
      </c>
      <c r="AB797" s="29" t="s">
        <v>544</v>
      </c>
      <c r="AC797" s="17"/>
      <c r="AD797" s="18"/>
      <c r="AE797" s="34"/>
      <c r="AF797" s="34"/>
      <c r="AG797" s="34"/>
      <c r="AH797" s="34"/>
      <c r="AI797" s="34"/>
      <c r="AJ797" s="18"/>
      <c r="AK797" s="34"/>
      <c r="AL797" s="34"/>
      <c r="AM797" s="34"/>
      <c r="AN797" s="34"/>
      <c r="AO797" s="34"/>
      <c r="AP797" s="34"/>
      <c r="AQ797" s="34"/>
      <c r="AR797" s="34"/>
      <c r="AS797" s="34"/>
      <c r="AT797" s="31"/>
      <c r="AU797" s="34"/>
      <c r="AV797" s="34"/>
      <c r="AW797" s="34"/>
      <c r="AX797" s="18"/>
    </row>
    <row r="798" spans="1:50" x14ac:dyDescent="0.2">
      <c r="A798" s="4" t="s">
        <v>55</v>
      </c>
      <c r="B798" s="4" t="s">
        <v>56</v>
      </c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1" t="s">
        <v>545</v>
      </c>
      <c r="AB798" s="42" t="s">
        <v>233</v>
      </c>
      <c r="AC798" s="43" t="s">
        <v>58</v>
      </c>
      <c r="AD798" s="43">
        <v>150000000</v>
      </c>
      <c r="AE798" s="44">
        <v>0</v>
      </c>
      <c r="AF798" s="44">
        <v>0</v>
      </c>
      <c r="AG798" s="44">
        <v>0</v>
      </c>
      <c r="AH798" s="44">
        <v>0</v>
      </c>
      <c r="AI798" s="44">
        <v>0</v>
      </c>
      <c r="AJ798" s="43">
        <v>150000000</v>
      </c>
      <c r="AK798" s="44">
        <v>0</v>
      </c>
      <c r="AL798" s="44">
        <v>0</v>
      </c>
      <c r="AM798" s="43">
        <v>150000000</v>
      </c>
      <c r="AN798" s="44">
        <v>0</v>
      </c>
      <c r="AO798" s="44">
        <v>0</v>
      </c>
      <c r="AP798" s="43">
        <v>150000000</v>
      </c>
      <c r="AQ798" s="44">
        <v>0</v>
      </c>
      <c r="AR798" s="43">
        <v>54933570</v>
      </c>
      <c r="AS798" s="43">
        <v>150000000</v>
      </c>
      <c r="AT798" s="39">
        <f t="shared" ref="AT798" si="379">AQ798+AS798</f>
        <v>150000000</v>
      </c>
      <c r="AU798" s="34">
        <f>AJ798-AM798</f>
        <v>0</v>
      </c>
      <c r="AV798" s="34">
        <f>AM798-AP798</f>
        <v>0</v>
      </c>
      <c r="AW798" s="34">
        <f>AP798-AT798</f>
        <v>0</v>
      </c>
      <c r="AX798" s="123">
        <f>AP798/AJ798</f>
        <v>1</v>
      </c>
    </row>
    <row r="799" spans="1:50" ht="38.25" x14ac:dyDescent="0.2">
      <c r="AA799" s="28" t="s">
        <v>288</v>
      </c>
      <c r="AB799" s="29" t="s">
        <v>546</v>
      </c>
      <c r="AC799" s="17"/>
      <c r="AD799" s="18"/>
      <c r="AE799" s="34"/>
      <c r="AF799" s="34"/>
      <c r="AG799" s="34"/>
      <c r="AH799" s="34"/>
      <c r="AI799" s="34"/>
      <c r="AJ799" s="18"/>
      <c r="AK799" s="34"/>
      <c r="AL799" s="34"/>
      <c r="AM799" s="18"/>
      <c r="AN799" s="18"/>
      <c r="AO799" s="18"/>
      <c r="AP799" s="18"/>
      <c r="AQ799" s="34"/>
      <c r="AR799" s="18"/>
      <c r="AS799" s="18"/>
      <c r="AT799" s="30"/>
      <c r="AU799" s="18"/>
      <c r="AV799" s="18"/>
      <c r="AW799" s="18"/>
      <c r="AX799" s="18"/>
    </row>
    <row r="800" spans="1:50" x14ac:dyDescent="0.2">
      <c r="A800" s="4" t="s">
        <v>55</v>
      </c>
      <c r="B800" s="4" t="s">
        <v>56</v>
      </c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1" t="s">
        <v>547</v>
      </c>
      <c r="AB800" s="42" t="s">
        <v>233</v>
      </c>
      <c r="AC800" s="43" t="s">
        <v>58</v>
      </c>
      <c r="AD800" s="43">
        <v>80000000</v>
      </c>
      <c r="AE800" s="44">
        <v>0</v>
      </c>
      <c r="AF800" s="44">
        <v>0</v>
      </c>
      <c r="AG800" s="44">
        <v>0</v>
      </c>
      <c r="AH800" s="44">
        <v>0</v>
      </c>
      <c r="AI800" s="44">
        <v>0</v>
      </c>
      <c r="AJ800" s="43">
        <v>80000000</v>
      </c>
      <c r="AK800" s="44">
        <v>0</v>
      </c>
      <c r="AL800" s="44">
        <v>0</v>
      </c>
      <c r="AM800" s="43">
        <v>80000000</v>
      </c>
      <c r="AN800" s="44">
        <v>0</v>
      </c>
      <c r="AO800" s="44">
        <v>0</v>
      </c>
      <c r="AP800" s="110">
        <v>80000000</v>
      </c>
      <c r="AQ800" s="34">
        <v>0</v>
      </c>
      <c r="AR800" s="18">
        <v>14500000</v>
      </c>
      <c r="AS800" s="18">
        <v>77666666</v>
      </c>
      <c r="AT800" s="39">
        <f t="shared" ref="AT800:AT835" si="380">AQ800+AS800</f>
        <v>77666666</v>
      </c>
      <c r="AU800" s="34">
        <f>AJ800-AM800</f>
        <v>0</v>
      </c>
      <c r="AV800" s="34">
        <f>AM800-AP800</f>
        <v>0</v>
      </c>
      <c r="AW800" s="18">
        <f>AP800-AT800</f>
        <v>2333334</v>
      </c>
      <c r="AX800" s="123">
        <f>AP800/AJ800</f>
        <v>1</v>
      </c>
    </row>
    <row r="801" spans="1:50" ht="38.25" x14ac:dyDescent="0.2">
      <c r="AA801" s="28" t="s">
        <v>288</v>
      </c>
      <c r="AB801" s="29" t="s">
        <v>548</v>
      </c>
      <c r="AC801" s="17"/>
      <c r="AD801" s="18"/>
      <c r="AE801" s="34"/>
      <c r="AF801" s="34"/>
      <c r="AG801" s="34"/>
      <c r="AH801" s="34"/>
      <c r="AI801" s="34"/>
      <c r="AJ801" s="18"/>
      <c r="AK801" s="18"/>
      <c r="AL801" s="34"/>
      <c r="AM801" s="18"/>
      <c r="AN801" s="18"/>
      <c r="AO801" s="18"/>
      <c r="AP801" s="34"/>
      <c r="AQ801" s="34"/>
      <c r="AR801" s="34"/>
      <c r="AS801" s="34"/>
      <c r="AT801" s="40"/>
      <c r="AU801" s="18"/>
      <c r="AV801" s="18"/>
      <c r="AW801" s="18"/>
      <c r="AX801" s="18"/>
    </row>
    <row r="802" spans="1:50" x14ac:dyDescent="0.2">
      <c r="A802" s="4" t="s">
        <v>55</v>
      </c>
      <c r="B802" s="4" t="s">
        <v>56</v>
      </c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1" t="s">
        <v>549</v>
      </c>
      <c r="AB802" s="42" t="s">
        <v>233</v>
      </c>
      <c r="AC802" s="43" t="s">
        <v>58</v>
      </c>
      <c r="AD802" s="43">
        <v>40000000</v>
      </c>
      <c r="AE802" s="44">
        <v>0</v>
      </c>
      <c r="AF802" s="44">
        <v>0</v>
      </c>
      <c r="AG802" s="44">
        <v>0</v>
      </c>
      <c r="AH802" s="44">
        <v>0</v>
      </c>
      <c r="AI802" s="44">
        <v>0</v>
      </c>
      <c r="AJ802" s="43">
        <v>40000000</v>
      </c>
      <c r="AK802" s="44">
        <v>0</v>
      </c>
      <c r="AL802" s="44">
        <v>0</v>
      </c>
      <c r="AM802" s="43">
        <v>30989019</v>
      </c>
      <c r="AN802" s="44">
        <v>0</v>
      </c>
      <c r="AO802" s="43">
        <v>0</v>
      </c>
      <c r="AP802" s="18">
        <v>30989019</v>
      </c>
      <c r="AQ802" s="34">
        <v>0</v>
      </c>
      <c r="AR802" s="34">
        <v>4187474.09</v>
      </c>
      <c r="AS802" s="34">
        <v>4187474.09</v>
      </c>
      <c r="AT802" s="40">
        <f t="shared" si="380"/>
        <v>4187474.09</v>
      </c>
      <c r="AU802" s="18">
        <f>AJ802-AM802</f>
        <v>9010981</v>
      </c>
      <c r="AV802" s="34">
        <f>AM802-AP802</f>
        <v>0</v>
      </c>
      <c r="AW802" s="18">
        <f>AP802-AT802</f>
        <v>26801544.91</v>
      </c>
      <c r="AX802" s="123">
        <f>AP802/AJ802</f>
        <v>0.774725475</v>
      </c>
    </row>
    <row r="803" spans="1:50" ht="25.5" x14ac:dyDescent="0.2">
      <c r="AA803" s="28" t="s">
        <v>288</v>
      </c>
      <c r="AB803" s="29" t="s">
        <v>550</v>
      </c>
      <c r="AC803" s="17"/>
      <c r="AD803" s="18"/>
      <c r="AE803" s="34"/>
      <c r="AF803" s="34"/>
      <c r="AG803" s="34"/>
      <c r="AH803" s="34"/>
      <c r="AI803" s="34"/>
      <c r="AJ803" s="18"/>
      <c r="AK803" s="34"/>
      <c r="AL803" s="18"/>
      <c r="AM803" s="18"/>
      <c r="AN803" s="34"/>
      <c r="AO803" s="34"/>
      <c r="AP803" s="34"/>
      <c r="AQ803" s="34"/>
      <c r="AR803" s="34"/>
      <c r="AS803" s="34"/>
      <c r="AT803" s="40"/>
      <c r="AU803" s="18"/>
      <c r="AV803" s="34"/>
      <c r="AW803" s="18"/>
      <c r="AX803" s="18"/>
    </row>
    <row r="804" spans="1:50" x14ac:dyDescent="0.2">
      <c r="A804" s="4" t="s">
        <v>55</v>
      </c>
      <c r="B804" s="4" t="s">
        <v>56</v>
      </c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1" t="s">
        <v>551</v>
      </c>
      <c r="AB804" s="42" t="s">
        <v>233</v>
      </c>
      <c r="AC804" s="43" t="s">
        <v>58</v>
      </c>
      <c r="AD804" s="43">
        <v>670000000</v>
      </c>
      <c r="AE804" s="44">
        <v>0</v>
      </c>
      <c r="AF804" s="44">
        <v>0</v>
      </c>
      <c r="AG804" s="43">
        <v>932000000</v>
      </c>
      <c r="AH804" s="43">
        <f>782000000+60000000+3900000</f>
        <v>845900000</v>
      </c>
      <c r="AI804" s="43">
        <f>AE804-AF804+AG804-AH804</f>
        <v>86100000</v>
      </c>
      <c r="AJ804" s="43">
        <f>AD804+AI804</f>
        <v>756100000</v>
      </c>
      <c r="AK804" s="44">
        <v>0</v>
      </c>
      <c r="AL804" s="142">
        <v>73643372</v>
      </c>
      <c r="AM804" s="43">
        <v>751548522</v>
      </c>
      <c r="AN804" s="44">
        <v>0</v>
      </c>
      <c r="AO804" s="43">
        <v>227885564</v>
      </c>
      <c r="AP804" s="18">
        <v>751548522</v>
      </c>
      <c r="AQ804" s="34">
        <v>0</v>
      </c>
      <c r="AR804" s="18">
        <v>58905972.420000002</v>
      </c>
      <c r="AS804" s="18">
        <v>465942495.73000002</v>
      </c>
      <c r="AT804" s="39">
        <f t="shared" ref="AT804:AT808" si="381">AQ804+AS804</f>
        <v>465942495.73000002</v>
      </c>
      <c r="AU804" s="18">
        <f>AJ804-AM804</f>
        <v>4551478</v>
      </c>
      <c r="AV804" s="34">
        <f>AM804-AP804</f>
        <v>0</v>
      </c>
      <c r="AW804" s="18">
        <f>AP804-AT804</f>
        <v>285606026.26999998</v>
      </c>
      <c r="AX804" s="123">
        <f>AP804/AJ804</f>
        <v>0.99398032270863645</v>
      </c>
    </row>
    <row r="805" spans="1:50" x14ac:dyDescent="0.2">
      <c r="A805" s="4" t="s">
        <v>55</v>
      </c>
      <c r="B805" s="4" t="s">
        <v>56</v>
      </c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1" t="s">
        <v>552</v>
      </c>
      <c r="AB805" s="42" t="s">
        <v>382</v>
      </c>
      <c r="AC805" s="43" t="s">
        <v>383</v>
      </c>
      <c r="AD805" s="43">
        <v>120000000</v>
      </c>
      <c r="AE805" s="44">
        <v>0</v>
      </c>
      <c r="AF805" s="44">
        <v>0</v>
      </c>
      <c r="AG805" s="44">
        <v>0</v>
      </c>
      <c r="AH805" s="44">
        <v>0</v>
      </c>
      <c r="AI805" s="43">
        <f t="shared" ref="AI805:AI808" si="382">AE805-AF805+AG805-AH805</f>
        <v>0</v>
      </c>
      <c r="AJ805" s="43">
        <f t="shared" ref="AJ805:AJ808" si="383">AD805+AI805</f>
        <v>120000000</v>
      </c>
      <c r="AK805" s="44">
        <v>0</v>
      </c>
      <c r="AL805" s="142">
        <v>42856900</v>
      </c>
      <c r="AM805" s="43">
        <v>117768033</v>
      </c>
      <c r="AN805" s="44">
        <v>0</v>
      </c>
      <c r="AO805" s="43">
        <v>0</v>
      </c>
      <c r="AP805" s="18">
        <v>1886133</v>
      </c>
      <c r="AQ805" s="34">
        <v>1472517</v>
      </c>
      <c r="AR805" s="34">
        <v>0</v>
      </c>
      <c r="AS805" s="34">
        <v>0</v>
      </c>
      <c r="AT805" s="39">
        <f t="shared" si="381"/>
        <v>1472517</v>
      </c>
      <c r="AU805" s="18">
        <f>AJ805-AM805</f>
        <v>2231967</v>
      </c>
      <c r="AV805" s="18">
        <f>AM805-AP805</f>
        <v>115881900</v>
      </c>
      <c r="AW805" s="18">
        <f>AP805-AT805</f>
        <v>413616</v>
      </c>
      <c r="AX805" s="123">
        <f>AP805/AJ805</f>
        <v>1.5717775E-2</v>
      </c>
    </row>
    <row r="806" spans="1:50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1" t="s">
        <v>1092</v>
      </c>
      <c r="AB806" s="42" t="s">
        <v>1095</v>
      </c>
      <c r="AC806" s="43"/>
      <c r="AD806" s="44">
        <v>0</v>
      </c>
      <c r="AE806" s="43">
        <v>28189.13</v>
      </c>
      <c r="AF806" s="44">
        <v>0</v>
      </c>
      <c r="AG806" s="44">
        <v>0</v>
      </c>
      <c r="AH806" s="44">
        <v>0</v>
      </c>
      <c r="AI806" s="43">
        <f t="shared" si="382"/>
        <v>28189.13</v>
      </c>
      <c r="AJ806" s="43">
        <f t="shared" si="383"/>
        <v>28189.13</v>
      </c>
      <c r="AK806" s="44">
        <v>0</v>
      </c>
      <c r="AL806" s="143">
        <v>0</v>
      </c>
      <c r="AM806" s="43">
        <v>28189.13</v>
      </c>
      <c r="AN806" s="44">
        <v>0</v>
      </c>
      <c r="AO806" s="44">
        <v>28189.13</v>
      </c>
      <c r="AP806" s="34">
        <v>28189.13</v>
      </c>
      <c r="AQ806" s="34">
        <v>0</v>
      </c>
      <c r="AR806" s="34">
        <v>0</v>
      </c>
      <c r="AS806" s="34">
        <v>0</v>
      </c>
      <c r="AT806" s="40">
        <f t="shared" si="381"/>
        <v>0</v>
      </c>
      <c r="AU806" s="34">
        <f>AJ806-AM806</f>
        <v>0</v>
      </c>
      <c r="AV806" s="34">
        <f>AM806-AP806</f>
        <v>0</v>
      </c>
      <c r="AW806" s="18">
        <f>AP806-AT806</f>
        <v>28189.13</v>
      </c>
      <c r="AX806" s="123">
        <f>AP806/AJ806</f>
        <v>1</v>
      </c>
    </row>
    <row r="807" spans="1:50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1" t="s">
        <v>1093</v>
      </c>
      <c r="AB807" s="42" t="s">
        <v>1096</v>
      </c>
      <c r="AC807" s="43"/>
      <c r="AD807" s="44">
        <v>0</v>
      </c>
      <c r="AE807" s="43">
        <v>5349132</v>
      </c>
      <c r="AF807" s="44">
        <v>0</v>
      </c>
      <c r="AG807" s="43">
        <v>5349132</v>
      </c>
      <c r="AH807" s="43">
        <v>5349132</v>
      </c>
      <c r="AI807" s="43">
        <f t="shared" si="382"/>
        <v>5349132</v>
      </c>
      <c r="AJ807" s="43">
        <f t="shared" si="383"/>
        <v>5349132</v>
      </c>
      <c r="AK807" s="44">
        <v>0</v>
      </c>
      <c r="AL807" s="143">
        <v>0</v>
      </c>
      <c r="AM807" s="43">
        <v>5349132</v>
      </c>
      <c r="AN807" s="44">
        <v>0</v>
      </c>
      <c r="AO807" s="44">
        <v>5349132</v>
      </c>
      <c r="AP807" s="34">
        <v>5349132</v>
      </c>
      <c r="AQ807" s="34">
        <v>0</v>
      </c>
      <c r="AR807" s="34">
        <v>0</v>
      </c>
      <c r="AS807" s="34">
        <v>0</v>
      </c>
      <c r="AT807" s="40">
        <f t="shared" si="381"/>
        <v>0</v>
      </c>
      <c r="AU807" s="34">
        <f>AJ807-AM807</f>
        <v>0</v>
      </c>
      <c r="AV807" s="34">
        <f>AM807-AP807</f>
        <v>0</v>
      </c>
      <c r="AW807" s="18">
        <f>AP807-AT807</f>
        <v>5349132</v>
      </c>
      <c r="AX807" s="123">
        <f>AP807/AJ807</f>
        <v>1</v>
      </c>
    </row>
    <row r="808" spans="1:50" ht="25.5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1" t="s">
        <v>1094</v>
      </c>
      <c r="AB808" s="42" t="s">
        <v>1097</v>
      </c>
      <c r="AC808" s="43"/>
      <c r="AD808" s="44">
        <v>0</v>
      </c>
      <c r="AE808" s="43">
        <v>11995542.140000001</v>
      </c>
      <c r="AF808" s="44">
        <v>0</v>
      </c>
      <c r="AG808" s="43">
        <v>11995542.140000001</v>
      </c>
      <c r="AH808" s="43">
        <v>11995542.140000001</v>
      </c>
      <c r="AI808" s="43">
        <f t="shared" si="382"/>
        <v>11995542.140000001</v>
      </c>
      <c r="AJ808" s="43">
        <f t="shared" si="383"/>
        <v>11995542.140000001</v>
      </c>
      <c r="AK808" s="44">
        <v>0</v>
      </c>
      <c r="AL808" s="143">
        <v>0</v>
      </c>
      <c r="AM808" s="43">
        <v>11995542.140000001</v>
      </c>
      <c r="AN808" s="44">
        <v>0</v>
      </c>
      <c r="AO808" s="143">
        <v>11995542.140000001</v>
      </c>
      <c r="AP808" s="145">
        <v>11995542.140000001</v>
      </c>
      <c r="AQ808" s="145">
        <v>0</v>
      </c>
      <c r="AR808" s="145">
        <v>0</v>
      </c>
      <c r="AS808" s="34">
        <v>0</v>
      </c>
      <c r="AT808" s="40">
        <f t="shared" si="381"/>
        <v>0</v>
      </c>
      <c r="AU808" s="34">
        <f>AJ808-AM808</f>
        <v>0</v>
      </c>
      <c r="AV808" s="34">
        <f>AM808-AP808</f>
        <v>0</v>
      </c>
      <c r="AW808" s="18">
        <f>AP808-AT808</f>
        <v>11995542.140000001</v>
      </c>
      <c r="AX808" s="123">
        <f>AP808/AJ808</f>
        <v>1</v>
      </c>
    </row>
    <row r="809" spans="1:50" ht="25.5" x14ac:dyDescent="0.2">
      <c r="AA809" s="28"/>
      <c r="AB809" s="29" t="s">
        <v>553</v>
      </c>
      <c r="AC809" s="17"/>
      <c r="AD809" s="18"/>
      <c r="AE809" s="34"/>
      <c r="AF809" s="34"/>
      <c r="AG809" s="34"/>
      <c r="AH809" s="34"/>
      <c r="AI809" s="34"/>
      <c r="AJ809" s="18"/>
      <c r="AK809" s="34"/>
      <c r="AL809" s="147"/>
      <c r="AM809" s="18"/>
      <c r="AN809" s="18"/>
      <c r="AO809" s="147"/>
      <c r="AP809" s="147"/>
      <c r="AQ809" s="147"/>
      <c r="AR809" s="147"/>
      <c r="AS809" s="18"/>
      <c r="AT809" s="30"/>
      <c r="AU809" s="18"/>
      <c r="AV809" s="18"/>
      <c r="AW809" s="18"/>
      <c r="AX809" s="18"/>
    </row>
    <row r="810" spans="1:50" x14ac:dyDescent="0.2">
      <c r="A810" s="4" t="s">
        <v>55</v>
      </c>
      <c r="B810" s="4" t="s">
        <v>56</v>
      </c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1" t="s">
        <v>554</v>
      </c>
      <c r="AB810" s="42" t="s">
        <v>233</v>
      </c>
      <c r="AC810" s="43" t="s">
        <v>58</v>
      </c>
      <c r="AD810" s="43">
        <v>200000000</v>
      </c>
      <c r="AE810" s="44">
        <v>0</v>
      </c>
      <c r="AF810" s="44">
        <v>0</v>
      </c>
      <c r="AG810" s="44">
        <v>0</v>
      </c>
      <c r="AH810" s="43">
        <v>22300000</v>
      </c>
      <c r="AI810" s="43">
        <f t="shared" ref="AI810" si="384">AE810-AF810+AG810-AH810</f>
        <v>-22300000</v>
      </c>
      <c r="AJ810" s="43">
        <f t="shared" ref="AJ810" si="385">AD810+AI810</f>
        <v>177700000</v>
      </c>
      <c r="AK810" s="44">
        <v>0</v>
      </c>
      <c r="AL810" s="142">
        <v>27420903.359999999</v>
      </c>
      <c r="AM810" s="43">
        <v>172038029.28</v>
      </c>
      <c r="AN810" s="44">
        <v>0</v>
      </c>
      <c r="AO810" s="142">
        <v>27420903.359999999</v>
      </c>
      <c r="AP810" s="142">
        <v>172038029.28</v>
      </c>
      <c r="AQ810" s="143">
        <v>0</v>
      </c>
      <c r="AR810" s="142">
        <v>12760890.359999999</v>
      </c>
      <c r="AS810" s="43">
        <v>133552644.28</v>
      </c>
      <c r="AT810" s="39">
        <f t="shared" si="380"/>
        <v>133552644.28</v>
      </c>
      <c r="AU810" s="18">
        <f>AJ810-AM810</f>
        <v>5661970.7199999988</v>
      </c>
      <c r="AV810" s="34">
        <f>AM810-AP810</f>
        <v>0</v>
      </c>
      <c r="AW810" s="18">
        <f>AP810-AT810</f>
        <v>38485385</v>
      </c>
      <c r="AX810" s="123">
        <f>AP810/AJ810</f>
        <v>0.96813747484524482</v>
      </c>
    </row>
    <row r="811" spans="1:50" x14ac:dyDescent="0.2">
      <c r="A811" s="316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1" t="s">
        <v>1236</v>
      </c>
      <c r="AB811" s="42" t="s">
        <v>1015</v>
      </c>
      <c r="AC811" s="43"/>
      <c r="AD811" s="43">
        <v>0</v>
      </c>
      <c r="AE811" s="43">
        <v>200000000</v>
      </c>
      <c r="AF811" s="44">
        <v>0</v>
      </c>
      <c r="AG811" s="44">
        <v>0</v>
      </c>
      <c r="AH811" s="43">
        <v>145000000</v>
      </c>
      <c r="AI811" s="43">
        <f t="shared" ref="AI811" si="386">AE811-AF811+AG811-AH811</f>
        <v>55000000</v>
      </c>
      <c r="AJ811" s="43">
        <f t="shared" ref="AJ811" si="387">AD811+AI811</f>
        <v>55000000</v>
      </c>
      <c r="AK811" s="44">
        <v>0</v>
      </c>
      <c r="AL811" s="142">
        <v>30000000</v>
      </c>
      <c r="AM811" s="43">
        <v>47000000</v>
      </c>
      <c r="AN811" s="44">
        <v>0</v>
      </c>
      <c r="AO811" s="142">
        <v>0</v>
      </c>
      <c r="AP811" s="142">
        <v>17000000</v>
      </c>
      <c r="AQ811" s="143">
        <v>0</v>
      </c>
      <c r="AR811" s="142">
        <v>4000000</v>
      </c>
      <c r="AS811" s="43">
        <v>6600000</v>
      </c>
      <c r="AT811" s="39">
        <f t="shared" si="380"/>
        <v>6600000</v>
      </c>
      <c r="AU811" s="18">
        <f>AJ811-AM811</f>
        <v>8000000</v>
      </c>
      <c r="AV811" s="18">
        <f>AM811-AP811</f>
        <v>30000000</v>
      </c>
      <c r="AW811" s="18">
        <f>AP811-AT811</f>
        <v>10400000</v>
      </c>
      <c r="AX811" s="123">
        <f>AP811/AJ811</f>
        <v>0.30909090909090908</v>
      </c>
    </row>
    <row r="812" spans="1:50" ht="25.5" x14ac:dyDescent="0.2">
      <c r="AA812" s="28" t="s">
        <v>288</v>
      </c>
      <c r="AB812" s="29" t="s">
        <v>535</v>
      </c>
      <c r="AC812" s="17"/>
      <c r="AD812" s="18"/>
      <c r="AE812" s="34"/>
      <c r="AF812" s="34"/>
      <c r="AG812" s="34"/>
      <c r="AH812" s="34"/>
      <c r="AI812" s="34"/>
      <c r="AJ812" s="18"/>
      <c r="AK812" s="34"/>
      <c r="AL812" s="145"/>
      <c r="AM812" s="18"/>
      <c r="AN812" s="34"/>
      <c r="AO812" s="147"/>
      <c r="AP812" s="147"/>
      <c r="AQ812" s="145"/>
      <c r="AR812" s="147"/>
      <c r="AS812" s="18"/>
      <c r="AT812" s="30"/>
      <c r="AU812" s="18"/>
      <c r="AV812" s="18"/>
      <c r="AW812" s="18"/>
      <c r="AX812" s="18"/>
    </row>
    <row r="813" spans="1:50" x14ac:dyDescent="0.2">
      <c r="A813" s="4" t="s">
        <v>55</v>
      </c>
      <c r="B813" s="4" t="s">
        <v>56</v>
      </c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1" t="s">
        <v>555</v>
      </c>
      <c r="AB813" s="42" t="s">
        <v>233</v>
      </c>
      <c r="AC813" s="43" t="s">
        <v>58</v>
      </c>
      <c r="AD813" s="43">
        <v>1154000000</v>
      </c>
      <c r="AE813" s="44">
        <v>0</v>
      </c>
      <c r="AF813" s="44">
        <v>0</v>
      </c>
      <c r="AG813" s="43">
        <f>32000000+60000000</f>
        <v>92000000</v>
      </c>
      <c r="AH813" s="43">
        <v>187705246</v>
      </c>
      <c r="AI813" s="43">
        <f t="shared" ref="AI813:AI819" si="388">AE813-AF813+AG813-AH813</f>
        <v>-95705246</v>
      </c>
      <c r="AJ813" s="43">
        <f t="shared" ref="AJ813:AJ819" si="389">AD813+AI813</f>
        <v>1058294754</v>
      </c>
      <c r="AK813" s="44">
        <v>0</v>
      </c>
      <c r="AL813" s="142">
        <v>31996667</v>
      </c>
      <c r="AM813" s="43">
        <v>1047041396</v>
      </c>
      <c r="AN813" s="44">
        <v>0</v>
      </c>
      <c r="AO813" s="142">
        <v>30779975</v>
      </c>
      <c r="AP813" s="142">
        <v>1043291396</v>
      </c>
      <c r="AQ813" s="142">
        <v>0</v>
      </c>
      <c r="AR813" s="142">
        <v>112704155</v>
      </c>
      <c r="AS813" s="43">
        <v>693168143</v>
      </c>
      <c r="AT813" s="39">
        <f t="shared" si="380"/>
        <v>693168143</v>
      </c>
      <c r="AU813" s="18">
        <f t="shared" ref="AU813:AU819" si="390">AJ813-AM813</f>
        <v>11253358</v>
      </c>
      <c r="AV813" s="18">
        <f t="shared" ref="AV813:AV819" si="391">AM813-AP813</f>
        <v>3750000</v>
      </c>
      <c r="AW813" s="18">
        <f t="shared" ref="AW813:AW819" si="392">AP813-AT813</f>
        <v>350123253</v>
      </c>
      <c r="AX813" s="123">
        <f t="shared" ref="AX813:AX817" si="393">AP813/AJ813</f>
        <v>0.98582308195019175</v>
      </c>
    </row>
    <row r="814" spans="1:50" ht="25.5" x14ac:dyDescent="0.2">
      <c r="A814" s="4" t="s">
        <v>55</v>
      </c>
      <c r="B814" s="4" t="s">
        <v>56</v>
      </c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1" t="s">
        <v>556</v>
      </c>
      <c r="AB814" s="42" t="s">
        <v>279</v>
      </c>
      <c r="AC814" s="43" t="s">
        <v>253</v>
      </c>
      <c r="AD814" s="43">
        <v>3243996468</v>
      </c>
      <c r="AE814" s="44">
        <v>0</v>
      </c>
      <c r="AF814" s="44">
        <v>0</v>
      </c>
      <c r="AG814" s="44">
        <v>0</v>
      </c>
      <c r="AH814" s="44">
        <v>0</v>
      </c>
      <c r="AI814" s="44">
        <f t="shared" si="388"/>
        <v>0</v>
      </c>
      <c r="AJ814" s="43">
        <f t="shared" si="389"/>
        <v>3243996468</v>
      </c>
      <c r="AK814" s="44">
        <v>0</v>
      </c>
      <c r="AL814" s="142">
        <v>44244515.520000003</v>
      </c>
      <c r="AM814" s="43">
        <v>3161636693.0799999</v>
      </c>
      <c r="AN814" s="44">
        <v>0</v>
      </c>
      <c r="AO814" s="142">
        <v>44244515.520000003</v>
      </c>
      <c r="AP814" s="142">
        <v>3156136693.0799999</v>
      </c>
      <c r="AQ814" s="142">
        <v>40998619</v>
      </c>
      <c r="AR814" s="142">
        <v>194062141.52000001</v>
      </c>
      <c r="AS814" s="43">
        <v>2139353153.0799999</v>
      </c>
      <c r="AT814" s="39">
        <f t="shared" si="380"/>
        <v>2180351772.0799999</v>
      </c>
      <c r="AU814" s="18">
        <f t="shared" si="390"/>
        <v>82359774.920000076</v>
      </c>
      <c r="AV814" s="133">
        <f t="shared" si="391"/>
        <v>5500000</v>
      </c>
      <c r="AW814" s="18">
        <f t="shared" si="392"/>
        <v>975784921</v>
      </c>
      <c r="AX814" s="123">
        <f t="shared" si="393"/>
        <v>0.97291619279284614</v>
      </c>
    </row>
    <row r="815" spans="1:50" ht="38.25" x14ac:dyDescent="0.2">
      <c r="A815" s="4" t="s">
        <v>55</v>
      </c>
      <c r="B815" s="4" t="s">
        <v>56</v>
      </c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1" t="s">
        <v>557</v>
      </c>
      <c r="AB815" s="42" t="s">
        <v>558</v>
      </c>
      <c r="AC815" s="43" t="s">
        <v>368</v>
      </c>
      <c r="AD815" s="43">
        <v>101429564.34</v>
      </c>
      <c r="AE815" s="44">
        <v>0</v>
      </c>
      <c r="AF815" s="44">
        <v>0</v>
      </c>
      <c r="AG815" s="44">
        <v>0</v>
      </c>
      <c r="AH815" s="44">
        <v>0</v>
      </c>
      <c r="AI815" s="44">
        <f t="shared" si="388"/>
        <v>0</v>
      </c>
      <c r="AJ815" s="43">
        <f t="shared" si="389"/>
        <v>101429564.34</v>
      </c>
      <c r="AK815" s="44">
        <v>0</v>
      </c>
      <c r="AL815" s="44">
        <v>0</v>
      </c>
      <c r="AM815" s="43">
        <v>40000000</v>
      </c>
      <c r="AN815" s="44">
        <v>0</v>
      </c>
      <c r="AO815" s="143">
        <v>0</v>
      </c>
      <c r="AP815" s="142">
        <v>40000000</v>
      </c>
      <c r="AQ815" s="143">
        <v>0</v>
      </c>
      <c r="AR815" s="143">
        <v>0</v>
      </c>
      <c r="AS815" s="44">
        <v>0</v>
      </c>
      <c r="AT815" s="40">
        <f t="shared" si="380"/>
        <v>0</v>
      </c>
      <c r="AU815" s="18">
        <f t="shared" si="390"/>
        <v>61429564.340000004</v>
      </c>
      <c r="AV815" s="34">
        <f t="shared" si="391"/>
        <v>0</v>
      </c>
      <c r="AW815" s="18">
        <f t="shared" si="392"/>
        <v>40000000</v>
      </c>
      <c r="AX815" s="123">
        <f t="shared" si="393"/>
        <v>0.39436233666465137</v>
      </c>
    </row>
    <row r="816" spans="1:50" ht="25.5" x14ac:dyDescent="0.2">
      <c r="A816" s="4" t="s">
        <v>55</v>
      </c>
      <c r="B816" s="4" t="s">
        <v>56</v>
      </c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1" t="s">
        <v>559</v>
      </c>
      <c r="AB816" s="42" t="s">
        <v>540</v>
      </c>
      <c r="AC816" s="43" t="s">
        <v>253</v>
      </c>
      <c r="AD816" s="43">
        <v>1690003316</v>
      </c>
      <c r="AE816" s="44">
        <v>0</v>
      </c>
      <c r="AF816" s="44">
        <v>0</v>
      </c>
      <c r="AG816" s="44">
        <v>0</v>
      </c>
      <c r="AH816" s="44">
        <v>0</v>
      </c>
      <c r="AI816" s="44">
        <f t="shared" si="388"/>
        <v>0</v>
      </c>
      <c r="AJ816" s="43">
        <f t="shared" si="389"/>
        <v>1690003316</v>
      </c>
      <c r="AK816" s="44">
        <v>0</v>
      </c>
      <c r="AL816" s="44">
        <v>0</v>
      </c>
      <c r="AM816" s="43">
        <v>1661510016</v>
      </c>
      <c r="AN816" s="44">
        <v>0</v>
      </c>
      <c r="AO816" s="143">
        <v>0</v>
      </c>
      <c r="AP816" s="142">
        <v>1661510016</v>
      </c>
      <c r="AQ816" s="145">
        <v>0</v>
      </c>
      <c r="AR816" s="142">
        <v>0</v>
      </c>
      <c r="AS816" s="18">
        <v>1021011288</v>
      </c>
      <c r="AT816" s="39">
        <f t="shared" si="380"/>
        <v>1021011288</v>
      </c>
      <c r="AU816" s="18">
        <f t="shared" si="390"/>
        <v>28493300</v>
      </c>
      <c r="AV816" s="34">
        <f t="shared" si="391"/>
        <v>0</v>
      </c>
      <c r="AW816" s="18">
        <f t="shared" si="392"/>
        <v>640498728</v>
      </c>
      <c r="AX816" s="123">
        <f t="shared" si="393"/>
        <v>0.98314009225293142</v>
      </c>
    </row>
    <row r="817" spans="1:50" ht="38.25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1" t="s">
        <v>1088</v>
      </c>
      <c r="AB817" s="42" t="s">
        <v>1089</v>
      </c>
      <c r="AC817" s="43"/>
      <c r="AD817" s="44">
        <v>0</v>
      </c>
      <c r="AE817" s="43">
        <v>56264221.140000001</v>
      </c>
      <c r="AF817" s="44">
        <v>0</v>
      </c>
      <c r="AG817" s="44">
        <v>0</v>
      </c>
      <c r="AH817" s="43">
        <v>49245310</v>
      </c>
      <c r="AI817" s="43">
        <f t="shared" si="388"/>
        <v>7018911.1400000006</v>
      </c>
      <c r="AJ817" s="43">
        <f t="shared" si="389"/>
        <v>7018911.1400000006</v>
      </c>
      <c r="AK817" s="44">
        <v>0</v>
      </c>
      <c r="AL817" s="44">
        <f>AM817-JULIO!AM745</f>
        <v>0</v>
      </c>
      <c r="AM817" s="44">
        <v>0</v>
      </c>
      <c r="AN817" s="44">
        <v>0</v>
      </c>
      <c r="AO817" s="143">
        <f>AP817-JULIO!AP745</f>
        <v>0</v>
      </c>
      <c r="AP817" s="143">
        <v>0</v>
      </c>
      <c r="AQ817" s="145">
        <v>0</v>
      </c>
      <c r="AR817" s="143">
        <f>AS817-JULIO!AS745</f>
        <v>0</v>
      </c>
      <c r="AS817" s="34">
        <v>0</v>
      </c>
      <c r="AT817" s="40">
        <f t="shared" si="380"/>
        <v>0</v>
      </c>
      <c r="AU817" s="18">
        <f t="shared" si="390"/>
        <v>7018911.1400000006</v>
      </c>
      <c r="AV817" s="34">
        <f t="shared" si="391"/>
        <v>0</v>
      </c>
      <c r="AW817" s="34">
        <f t="shared" si="392"/>
        <v>0</v>
      </c>
      <c r="AX817" s="123">
        <f t="shared" si="393"/>
        <v>0</v>
      </c>
    </row>
    <row r="818" spans="1:50" ht="25.5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1" t="s">
        <v>1090</v>
      </c>
      <c r="AB818" s="42" t="s">
        <v>1011</v>
      </c>
      <c r="AC818" s="43"/>
      <c r="AD818" s="44">
        <v>0</v>
      </c>
      <c r="AE818" s="43">
        <v>1134339181.01</v>
      </c>
      <c r="AF818" s="44">
        <v>0</v>
      </c>
      <c r="AG818" s="44">
        <v>0</v>
      </c>
      <c r="AH818" s="43">
        <f>486828582+74942912</f>
        <v>561771494</v>
      </c>
      <c r="AI818" s="43">
        <f t="shared" si="388"/>
        <v>572567687.00999999</v>
      </c>
      <c r="AJ818" s="43">
        <f t="shared" si="389"/>
        <v>572567687.00999999</v>
      </c>
      <c r="AK818" s="43">
        <v>0</v>
      </c>
      <c r="AL818" s="142">
        <v>-1666666.67</v>
      </c>
      <c r="AM818" s="43">
        <v>204850007.33000001</v>
      </c>
      <c r="AN818" s="44">
        <v>0</v>
      </c>
      <c r="AO818" s="142">
        <v>4583333.33</v>
      </c>
      <c r="AP818" s="142">
        <v>204850007.33000001</v>
      </c>
      <c r="AQ818" s="145">
        <v>0</v>
      </c>
      <c r="AR818" s="142">
        <v>66800000</v>
      </c>
      <c r="AS818" s="18">
        <v>66800000</v>
      </c>
      <c r="AT818" s="39">
        <f t="shared" ref="AT818" si="394">AQ818+AS818</f>
        <v>66800000</v>
      </c>
      <c r="AU818" s="18">
        <f t="shared" ref="AU818" si="395">AJ818-AM818</f>
        <v>367717679.67999995</v>
      </c>
      <c r="AV818" s="18">
        <f t="shared" ref="AV818" si="396">AM818-AP818</f>
        <v>0</v>
      </c>
      <c r="AW818" s="18">
        <f t="shared" ref="AW818" si="397">AP818-AT818</f>
        <v>138050007.33000001</v>
      </c>
      <c r="AX818" s="123">
        <f t="shared" ref="AX818" si="398">AP818/AJ818</f>
        <v>0.35777430682430789</v>
      </c>
    </row>
    <row r="819" spans="1:50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1" t="s">
        <v>1091</v>
      </c>
      <c r="AB819" s="42" t="s">
        <v>1015</v>
      </c>
      <c r="AC819" s="43"/>
      <c r="AD819" s="44">
        <v>0</v>
      </c>
      <c r="AE819" s="43">
        <v>300000000</v>
      </c>
      <c r="AF819" s="44">
        <v>0</v>
      </c>
      <c r="AG819" s="44">
        <v>0</v>
      </c>
      <c r="AH819" s="43">
        <v>300000000</v>
      </c>
      <c r="AI819" s="43">
        <f t="shared" si="388"/>
        <v>0</v>
      </c>
      <c r="AJ819" s="43">
        <f t="shared" si="389"/>
        <v>0</v>
      </c>
      <c r="AK819" s="44">
        <v>0</v>
      </c>
      <c r="AL819" s="143">
        <f>AM819-JULIO!AM747</f>
        <v>0</v>
      </c>
      <c r="AM819" s="44">
        <v>0</v>
      </c>
      <c r="AN819" s="44">
        <v>0</v>
      </c>
      <c r="AO819" s="143">
        <v>0</v>
      </c>
      <c r="AP819" s="44">
        <v>0</v>
      </c>
      <c r="AQ819" s="34">
        <v>0</v>
      </c>
      <c r="AR819" s="143">
        <f>AS819-JULIO!AS747</f>
        <v>0</v>
      </c>
      <c r="AS819" s="34">
        <v>0</v>
      </c>
      <c r="AT819" s="40">
        <v>0</v>
      </c>
      <c r="AU819" s="18">
        <f t="shared" si="390"/>
        <v>0</v>
      </c>
      <c r="AV819" s="34">
        <f t="shared" si="391"/>
        <v>0</v>
      </c>
      <c r="AW819" s="34">
        <f t="shared" si="392"/>
        <v>0</v>
      </c>
      <c r="AX819" s="123">
        <v>0</v>
      </c>
    </row>
    <row r="820" spans="1:50" ht="25.5" x14ac:dyDescent="0.2">
      <c r="AA820" s="28" t="s">
        <v>288</v>
      </c>
      <c r="AB820" s="29" t="s">
        <v>560</v>
      </c>
      <c r="AC820" s="17"/>
      <c r="AD820" s="18"/>
      <c r="AE820" s="34"/>
      <c r="AF820" s="34"/>
      <c r="AG820" s="34"/>
      <c r="AH820" s="34"/>
      <c r="AI820" s="34"/>
      <c r="AJ820" s="18"/>
      <c r="AK820" s="18"/>
      <c r="AL820" s="147"/>
      <c r="AM820" s="18"/>
      <c r="AN820" s="34"/>
      <c r="AO820" s="145"/>
      <c r="AP820" s="18"/>
      <c r="AQ820" s="34"/>
      <c r="AR820" s="145"/>
      <c r="AS820" s="34"/>
      <c r="AT820" s="40"/>
      <c r="AU820" s="18"/>
      <c r="AV820" s="18"/>
      <c r="AW820" s="18"/>
      <c r="AX820" s="18"/>
    </row>
    <row r="821" spans="1:50" x14ac:dyDescent="0.2">
      <c r="A821" s="4" t="s">
        <v>55</v>
      </c>
      <c r="B821" s="4" t="s">
        <v>56</v>
      </c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1" t="s">
        <v>561</v>
      </c>
      <c r="AB821" s="42" t="s">
        <v>233</v>
      </c>
      <c r="AC821" s="43" t="s">
        <v>58</v>
      </c>
      <c r="AD821" s="43">
        <v>510000000</v>
      </c>
      <c r="AE821" s="44">
        <v>0</v>
      </c>
      <c r="AF821" s="44">
        <v>0</v>
      </c>
      <c r="AG821" s="43">
        <v>20000000</v>
      </c>
      <c r="AH821" s="43">
        <f>10000000+9600000</f>
        <v>19600000</v>
      </c>
      <c r="AI821" s="43">
        <f>AE821-AF821+AG821-AH821</f>
        <v>400000</v>
      </c>
      <c r="AJ821" s="43">
        <f>AD821+AI821</f>
        <v>510400000</v>
      </c>
      <c r="AK821" s="44">
        <v>0</v>
      </c>
      <c r="AL821" s="142">
        <f>AM821-SEPTIEMBRE!AM804</f>
        <v>23796680</v>
      </c>
      <c r="AM821" s="43">
        <v>470519826</v>
      </c>
      <c r="AN821" s="44">
        <v>47142876</v>
      </c>
      <c r="AO821" s="142">
        <v>85063396</v>
      </c>
      <c r="AP821" s="114">
        <v>380005796</v>
      </c>
      <c r="AQ821" s="18">
        <v>0</v>
      </c>
      <c r="AR821" s="147">
        <v>21916667</v>
      </c>
      <c r="AS821" s="18">
        <v>151426667</v>
      </c>
      <c r="AT821" s="39">
        <f t="shared" ref="AT821:AT823" si="399">AQ821+AS821</f>
        <v>151426667</v>
      </c>
      <c r="AU821" s="18">
        <f>AJ821-AM821</f>
        <v>39880174</v>
      </c>
      <c r="AV821" s="18">
        <f>AM821-AP821</f>
        <v>90514030</v>
      </c>
      <c r="AW821" s="18">
        <f>AP821-AT821</f>
        <v>228579129</v>
      </c>
      <c r="AX821" s="123">
        <f>AP821/AJ821</f>
        <v>0.7445254623824451</v>
      </c>
    </row>
    <row r="822" spans="1:50" ht="18.75" customHeight="1" x14ac:dyDescent="0.2">
      <c r="A822" s="4" t="s">
        <v>55</v>
      </c>
      <c r="B822" s="4" t="s">
        <v>56</v>
      </c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1" t="s">
        <v>562</v>
      </c>
      <c r="AB822" s="42" t="s">
        <v>382</v>
      </c>
      <c r="AC822" s="43" t="s">
        <v>383</v>
      </c>
      <c r="AD822" s="43">
        <v>770000000</v>
      </c>
      <c r="AE822" s="44">
        <v>0</v>
      </c>
      <c r="AF822" s="44">
        <v>0</v>
      </c>
      <c r="AG822" s="44">
        <v>0</v>
      </c>
      <c r="AH822" s="44">
        <v>0</v>
      </c>
      <c r="AI822" s="44">
        <v>0</v>
      </c>
      <c r="AJ822" s="43">
        <v>770000000</v>
      </c>
      <c r="AK822" s="44">
        <v>0</v>
      </c>
      <c r="AL822" s="142">
        <v>0</v>
      </c>
      <c r="AM822" s="43">
        <v>770000000</v>
      </c>
      <c r="AN822" s="44">
        <v>0</v>
      </c>
      <c r="AO822" s="143">
        <v>0</v>
      </c>
      <c r="AP822" s="114">
        <v>718500000</v>
      </c>
      <c r="AQ822" s="34">
        <v>0</v>
      </c>
      <c r="AR822" s="147">
        <v>126000000</v>
      </c>
      <c r="AS822" s="18">
        <v>306000000</v>
      </c>
      <c r="AT822" s="39">
        <f t="shared" si="399"/>
        <v>306000000</v>
      </c>
      <c r="AU822" s="34">
        <f>AJ822-AM822</f>
        <v>0</v>
      </c>
      <c r="AV822" s="18">
        <f>AM822-AP822</f>
        <v>51500000</v>
      </c>
      <c r="AW822" s="18">
        <f>AP822-AT822</f>
        <v>412500000</v>
      </c>
      <c r="AX822" s="123">
        <f>AP822/AJ822</f>
        <v>0.93311688311688312</v>
      </c>
    </row>
    <row r="823" spans="1:50" ht="18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1" t="s">
        <v>1235</v>
      </c>
      <c r="AB823" s="42" t="s">
        <v>1015</v>
      </c>
      <c r="AC823" s="43"/>
      <c r="AD823" s="44">
        <v>0</v>
      </c>
      <c r="AE823" s="43">
        <v>25000000</v>
      </c>
      <c r="AF823" s="44">
        <v>0</v>
      </c>
      <c r="AG823" s="44">
        <v>0</v>
      </c>
      <c r="AH823" s="44">
        <v>0</v>
      </c>
      <c r="AI823" s="43">
        <f>AE823-AF823+AG823-AH823</f>
        <v>25000000</v>
      </c>
      <c r="AJ823" s="43">
        <f>AD823+AI823</f>
        <v>25000000</v>
      </c>
      <c r="AK823" s="44">
        <v>0</v>
      </c>
      <c r="AL823" s="44">
        <v>0</v>
      </c>
      <c r="AM823" s="44">
        <v>0</v>
      </c>
      <c r="AN823" s="44">
        <v>0</v>
      </c>
      <c r="AO823" s="143">
        <v>0</v>
      </c>
      <c r="AP823" s="114">
        <v>0</v>
      </c>
      <c r="AQ823" s="34">
        <v>0</v>
      </c>
      <c r="AR823" s="145">
        <v>0</v>
      </c>
      <c r="AS823" s="34">
        <v>0</v>
      </c>
      <c r="AT823" s="39">
        <f t="shared" si="399"/>
        <v>0</v>
      </c>
      <c r="AU823" s="18">
        <f>AJ823-AM823</f>
        <v>25000000</v>
      </c>
      <c r="AV823" s="133">
        <f>AM823-AP823</f>
        <v>0</v>
      </c>
      <c r="AW823" s="18">
        <f>AP823-AT823</f>
        <v>0</v>
      </c>
      <c r="AX823" s="123">
        <f>AP823/AJ823</f>
        <v>0</v>
      </c>
    </row>
    <row r="824" spans="1:50" ht="25.5" customHeight="1" x14ac:dyDescent="0.2">
      <c r="AA824" s="28" t="s">
        <v>288</v>
      </c>
      <c r="AB824" s="29" t="s">
        <v>563</v>
      </c>
      <c r="AC824" s="17"/>
      <c r="AD824" s="18"/>
      <c r="AE824" s="34"/>
      <c r="AF824" s="34"/>
      <c r="AG824" s="34"/>
      <c r="AH824" s="34"/>
      <c r="AI824" s="34"/>
      <c r="AJ824" s="18"/>
      <c r="AK824" s="18"/>
      <c r="AL824" s="147"/>
      <c r="AM824" s="18"/>
      <c r="AN824" s="34"/>
      <c r="AO824" s="147"/>
      <c r="AP824" s="110"/>
      <c r="AQ824" s="34"/>
      <c r="AR824" s="145"/>
      <c r="AS824" s="34"/>
      <c r="AT824" s="40"/>
      <c r="AU824" s="18"/>
      <c r="AV824" s="34"/>
      <c r="AW824" s="18"/>
      <c r="AX824" s="18"/>
    </row>
    <row r="825" spans="1:50" ht="18.75" customHeight="1" x14ac:dyDescent="0.2">
      <c r="A825" s="4" t="s">
        <v>55</v>
      </c>
      <c r="B825" s="4" t="s">
        <v>56</v>
      </c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1" t="s">
        <v>564</v>
      </c>
      <c r="AB825" s="42" t="s">
        <v>233</v>
      </c>
      <c r="AC825" s="43" t="s">
        <v>58</v>
      </c>
      <c r="AD825" s="43">
        <v>150000000</v>
      </c>
      <c r="AE825" s="44">
        <v>0</v>
      </c>
      <c r="AF825" s="44">
        <v>0</v>
      </c>
      <c r="AG825" s="43">
        <f>200000000+318600000</f>
        <v>518600000</v>
      </c>
      <c r="AH825" s="43">
        <f>173600000+17200000</f>
        <v>190800000</v>
      </c>
      <c r="AI825" s="43">
        <f>AE825-AF825+AG825-AH825</f>
        <v>327800000</v>
      </c>
      <c r="AJ825" s="43">
        <f>AD825+AI825</f>
        <v>477800000</v>
      </c>
      <c r="AK825" s="44">
        <v>0</v>
      </c>
      <c r="AL825" s="142">
        <f>AM825-SEPTIEMBRE!AM808</f>
        <v>19983315</v>
      </c>
      <c r="AM825" s="43">
        <v>407122786</v>
      </c>
      <c r="AN825" s="44">
        <v>0</v>
      </c>
      <c r="AO825" s="143">
        <v>23443315</v>
      </c>
      <c r="AP825" s="43">
        <v>351085955</v>
      </c>
      <c r="AQ825" s="34">
        <v>0</v>
      </c>
      <c r="AR825" s="147">
        <v>33133333</v>
      </c>
      <c r="AS825" s="18">
        <v>162413332</v>
      </c>
      <c r="AT825" s="39">
        <f t="shared" ref="AT825:AT827" si="400">AQ825+AS825</f>
        <v>162413332</v>
      </c>
      <c r="AU825" s="18">
        <f>AJ825-AM825</f>
        <v>70677214</v>
      </c>
      <c r="AV825" s="18">
        <f>AM825-AP825</f>
        <v>56036831</v>
      </c>
      <c r="AW825" s="110">
        <f>AP825-AT825</f>
        <v>188672623</v>
      </c>
      <c r="AX825" s="123">
        <f>AP825/AJ825</f>
        <v>0.73479689200502307</v>
      </c>
    </row>
    <row r="826" spans="1:50" ht="18.75" customHeight="1" x14ac:dyDescent="0.2">
      <c r="A826" s="4" t="s">
        <v>55</v>
      </c>
      <c r="B826" s="4" t="s">
        <v>56</v>
      </c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1" t="s">
        <v>565</v>
      </c>
      <c r="AB826" s="42" t="s">
        <v>382</v>
      </c>
      <c r="AC826" s="43" t="s">
        <v>383</v>
      </c>
      <c r="AD826" s="43">
        <v>1110000000</v>
      </c>
      <c r="AE826" s="44">
        <v>0</v>
      </c>
      <c r="AF826" s="44">
        <v>0</v>
      </c>
      <c r="AG826" s="44">
        <v>0</v>
      </c>
      <c r="AH826" s="44">
        <v>0</v>
      </c>
      <c r="AI826" s="44">
        <v>0</v>
      </c>
      <c r="AJ826" s="43">
        <v>1110000000</v>
      </c>
      <c r="AK826" s="44">
        <v>0</v>
      </c>
      <c r="AL826" s="143">
        <v>0</v>
      </c>
      <c r="AM826" s="43">
        <v>1110000000</v>
      </c>
      <c r="AN826" s="44">
        <v>0</v>
      </c>
      <c r="AO826" s="143">
        <v>0</v>
      </c>
      <c r="AP826" s="43">
        <v>1016234191</v>
      </c>
      <c r="AQ826" s="34">
        <v>0</v>
      </c>
      <c r="AR826" s="147">
        <v>134733034</v>
      </c>
      <c r="AS826" s="18">
        <v>718903268</v>
      </c>
      <c r="AT826" s="39">
        <f t="shared" si="400"/>
        <v>718903268</v>
      </c>
      <c r="AU826" s="34">
        <f>AJ826-AM826</f>
        <v>0</v>
      </c>
      <c r="AV826" s="18">
        <f>AM826-AP826</f>
        <v>93765809</v>
      </c>
      <c r="AW826" s="110">
        <f>AP826-AT826</f>
        <v>297330923</v>
      </c>
      <c r="AX826" s="123">
        <f>AP826/AJ826</f>
        <v>0.9155262981981982</v>
      </c>
    </row>
    <row r="827" spans="1:50" ht="18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1" t="s">
        <v>1098</v>
      </c>
      <c r="AB827" s="42" t="s">
        <v>1015</v>
      </c>
      <c r="AC827" s="43"/>
      <c r="AD827" s="44">
        <v>0</v>
      </c>
      <c r="AE827" s="43">
        <v>326400000</v>
      </c>
      <c r="AF827" s="44">
        <v>0</v>
      </c>
      <c r="AG827" s="44">
        <v>0</v>
      </c>
      <c r="AH827" s="43">
        <v>326400000</v>
      </c>
      <c r="AI827" s="43">
        <f>AE827-AF827+AG827-AH827</f>
        <v>0</v>
      </c>
      <c r="AJ827" s="44">
        <f>AD827+AI827</f>
        <v>0</v>
      </c>
      <c r="AK827" s="44">
        <v>0</v>
      </c>
      <c r="AL827" s="143">
        <v>0</v>
      </c>
      <c r="AM827" s="44">
        <v>0</v>
      </c>
      <c r="AN827" s="44">
        <v>0</v>
      </c>
      <c r="AO827" s="143">
        <v>0</v>
      </c>
      <c r="AP827" s="44">
        <v>0</v>
      </c>
      <c r="AQ827" s="34">
        <v>0</v>
      </c>
      <c r="AR827" s="145">
        <v>0</v>
      </c>
      <c r="AS827" s="34">
        <v>0</v>
      </c>
      <c r="AT827" s="40">
        <f t="shared" si="400"/>
        <v>0</v>
      </c>
      <c r="AU827" s="34">
        <f>AJ827-AM827</f>
        <v>0</v>
      </c>
      <c r="AV827" s="34">
        <f>AM827-AP827</f>
        <v>0</v>
      </c>
      <c r="AW827" s="133">
        <f>AP827-AT827</f>
        <v>0</v>
      </c>
      <c r="AX827" s="123">
        <v>0</v>
      </c>
    </row>
    <row r="828" spans="1:50" ht="18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73" t="s">
        <v>288</v>
      </c>
      <c r="AB828" s="74" t="s">
        <v>1259</v>
      </c>
      <c r="AC828" s="43"/>
      <c r="AD828" s="43"/>
      <c r="AE828" s="43"/>
      <c r="AF828" s="44"/>
      <c r="AG828" s="44"/>
      <c r="AH828" s="44"/>
      <c r="AI828" s="43"/>
      <c r="AJ828" s="43"/>
      <c r="AK828" s="44"/>
      <c r="AL828" s="115"/>
      <c r="AM828" s="115"/>
      <c r="AN828" s="44"/>
      <c r="AO828" s="143"/>
      <c r="AP828" s="44"/>
      <c r="AQ828" s="34"/>
      <c r="AR828" s="145"/>
      <c r="AS828" s="34"/>
      <c r="AT828" s="40"/>
      <c r="AU828" s="18"/>
      <c r="AV828" s="34"/>
      <c r="AW828" s="133"/>
      <c r="AX828" s="123"/>
    </row>
    <row r="829" spans="1:50" ht="18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1" t="s">
        <v>1260</v>
      </c>
      <c r="AB829" s="42" t="s">
        <v>961</v>
      </c>
      <c r="AC829" s="43"/>
      <c r="AD829" s="44">
        <v>0</v>
      </c>
      <c r="AE829" s="44">
        <v>0</v>
      </c>
      <c r="AF829" s="44">
        <v>0</v>
      </c>
      <c r="AG829" s="43">
        <v>29000000</v>
      </c>
      <c r="AH829" s="43">
        <v>29000000</v>
      </c>
      <c r="AI829" s="44">
        <f>AE829-AF829+AG829-AH829</f>
        <v>0</v>
      </c>
      <c r="AJ829" s="44">
        <f>AD829+AI829</f>
        <v>0</v>
      </c>
      <c r="AK829" s="44">
        <v>0</v>
      </c>
      <c r="AL829" s="115">
        <v>0</v>
      </c>
      <c r="AM829" s="115">
        <v>0</v>
      </c>
      <c r="AN829" s="44">
        <v>0</v>
      </c>
      <c r="AO829" s="143">
        <v>0</v>
      </c>
      <c r="AP829" s="44">
        <v>0</v>
      </c>
      <c r="AQ829" s="34">
        <v>0</v>
      </c>
      <c r="AR829" s="145">
        <v>0</v>
      </c>
      <c r="AS829" s="34">
        <v>0</v>
      </c>
      <c r="AT829" s="40">
        <f t="shared" ref="AT829" si="401">AQ829+AS829</f>
        <v>0</v>
      </c>
      <c r="AU829" s="34">
        <f>AJ829-AM829</f>
        <v>0</v>
      </c>
      <c r="AV829" s="34">
        <f>AM829-AP829</f>
        <v>0</v>
      </c>
      <c r="AW829" s="133">
        <f>AP829-AT829</f>
        <v>0</v>
      </c>
      <c r="AX829" s="123">
        <v>0</v>
      </c>
    </row>
    <row r="830" spans="1:50" ht="18.75" customHeight="1" x14ac:dyDescent="0.2">
      <c r="AA830" s="28" t="s">
        <v>288</v>
      </c>
      <c r="AB830" s="29" t="s">
        <v>566</v>
      </c>
      <c r="AC830" s="17"/>
      <c r="AD830" s="18"/>
      <c r="AE830" s="34"/>
      <c r="AF830" s="34"/>
      <c r="AG830" s="34"/>
      <c r="AH830" s="34"/>
      <c r="AI830" s="34"/>
      <c r="AJ830" s="18"/>
      <c r="AK830" s="18"/>
      <c r="AL830" s="147"/>
      <c r="AM830" s="18"/>
      <c r="AN830" s="18"/>
      <c r="AO830" s="147"/>
      <c r="AP830" s="110"/>
      <c r="AQ830" s="18"/>
      <c r="AR830" s="147"/>
      <c r="AS830" s="18"/>
      <c r="AT830" s="30"/>
      <c r="AU830" s="18"/>
      <c r="AV830" s="18"/>
      <c r="AW830" s="18"/>
      <c r="AX830" s="18"/>
    </row>
    <row r="831" spans="1:50" ht="18.75" customHeight="1" x14ac:dyDescent="0.2">
      <c r="A831" s="4" t="s">
        <v>55</v>
      </c>
      <c r="B831" s="4" t="s">
        <v>56</v>
      </c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1" t="s">
        <v>567</v>
      </c>
      <c r="AB831" s="42" t="s">
        <v>233</v>
      </c>
      <c r="AC831" s="43" t="s">
        <v>58</v>
      </c>
      <c r="AD831" s="43">
        <v>771000000</v>
      </c>
      <c r="AE831" s="44">
        <v>0</v>
      </c>
      <c r="AF831" s="44">
        <v>0</v>
      </c>
      <c r="AG831" s="43">
        <v>29000000</v>
      </c>
      <c r="AH831" s="43">
        <v>49000000</v>
      </c>
      <c r="AI831" s="43">
        <f>AE831-AF831+AG831-AH831</f>
        <v>-20000000</v>
      </c>
      <c r="AJ831" s="43">
        <f>AD831+AI831</f>
        <v>751000000</v>
      </c>
      <c r="AK831" s="44">
        <v>0</v>
      </c>
      <c r="AL831" s="142">
        <f>AM831-SEPTIEMBRE!AM814</f>
        <v>-64285547.309999943</v>
      </c>
      <c r="AM831" s="43">
        <v>663239611.61000001</v>
      </c>
      <c r="AN831" s="44">
        <v>0</v>
      </c>
      <c r="AO831" s="144">
        <v>23787671.690000001</v>
      </c>
      <c r="AP831" s="114">
        <v>656489611.61000001</v>
      </c>
      <c r="AQ831" s="43">
        <v>0</v>
      </c>
      <c r="AR831" s="142">
        <v>72450315.359999999</v>
      </c>
      <c r="AS831" s="43">
        <v>523899070.27999997</v>
      </c>
      <c r="AT831" s="39">
        <f t="shared" si="380"/>
        <v>523899070.27999997</v>
      </c>
      <c r="AU831" s="18">
        <f>AJ831-AM831</f>
        <v>87760388.389999986</v>
      </c>
      <c r="AV831" s="18">
        <f>AM831-AP831</f>
        <v>6750000</v>
      </c>
      <c r="AW831" s="18">
        <f>AP831-AT831</f>
        <v>132590541.33000004</v>
      </c>
      <c r="AX831" s="123">
        <f>AP831/AJ831</f>
        <v>0.87415394355525966</v>
      </c>
    </row>
    <row r="832" spans="1:50" ht="18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1" t="s">
        <v>1390</v>
      </c>
      <c r="AB832" s="42" t="s">
        <v>1015</v>
      </c>
      <c r="AC832" s="43"/>
      <c r="AD832" s="44">
        <v>0</v>
      </c>
      <c r="AE832" s="43">
        <v>883600000</v>
      </c>
      <c r="AF832" s="44">
        <v>0</v>
      </c>
      <c r="AG832" s="44">
        <v>0</v>
      </c>
      <c r="AH832" s="43">
        <v>108000000</v>
      </c>
      <c r="AI832" s="43">
        <f>AE832-AF832+AG832-AH832</f>
        <v>775600000</v>
      </c>
      <c r="AJ832" s="43">
        <f>AD832+AI832</f>
        <v>775600000</v>
      </c>
      <c r="AK832" s="44">
        <v>0</v>
      </c>
      <c r="AL832" s="142">
        <f>AM832-SEPTIEMBRE!AM815</f>
        <v>-7732700</v>
      </c>
      <c r="AM832" s="43">
        <v>748078177</v>
      </c>
      <c r="AN832" s="44">
        <v>0</v>
      </c>
      <c r="AO832" s="142">
        <v>35007700</v>
      </c>
      <c r="AP832" s="43">
        <v>736078177</v>
      </c>
      <c r="AQ832" s="44">
        <v>11000001</v>
      </c>
      <c r="AR832" s="142">
        <v>24881666</v>
      </c>
      <c r="AS832" s="43">
        <v>55748332</v>
      </c>
      <c r="AT832" s="39">
        <f t="shared" si="380"/>
        <v>66748333</v>
      </c>
      <c r="AU832" s="18">
        <f>AJ832-AM832</f>
        <v>27521823</v>
      </c>
      <c r="AV832" s="18">
        <f>AM832-AP832</f>
        <v>12000000</v>
      </c>
      <c r="AW832" s="18">
        <f>AP832-AT832</f>
        <v>669329844</v>
      </c>
      <c r="AX832" s="123">
        <f>AP832/AJ832</f>
        <v>0.94904354951005676</v>
      </c>
    </row>
    <row r="833" spans="1:50" ht="18.75" customHeight="1" x14ac:dyDescent="0.2">
      <c r="AA833" s="28" t="s">
        <v>288</v>
      </c>
      <c r="AB833" s="29" t="s">
        <v>568</v>
      </c>
      <c r="AC833" s="17"/>
      <c r="AD833" s="18"/>
      <c r="AE833" s="34"/>
      <c r="AF833" s="34"/>
      <c r="AG833" s="34"/>
      <c r="AH833" s="34"/>
      <c r="AI833" s="34"/>
      <c r="AJ833" s="18"/>
      <c r="AK833" s="34"/>
      <c r="AL833" s="147"/>
      <c r="AM833" s="18"/>
      <c r="AN833" s="18"/>
      <c r="AO833" s="148"/>
      <c r="AP833" s="110"/>
      <c r="AQ833" s="18"/>
      <c r="AR833" s="147"/>
      <c r="AS833" s="18"/>
      <c r="AT833" s="30"/>
      <c r="AU833" s="18"/>
      <c r="AV833" s="18"/>
      <c r="AW833" s="18"/>
      <c r="AX833" s="18"/>
    </row>
    <row r="834" spans="1:50" ht="18.75" customHeight="1" x14ac:dyDescent="0.2">
      <c r="A834" s="4" t="s">
        <v>55</v>
      </c>
      <c r="B834" s="4" t="s">
        <v>56</v>
      </c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1" t="s">
        <v>569</v>
      </c>
      <c r="AB834" s="42" t="s">
        <v>233</v>
      </c>
      <c r="AC834" s="43" t="s">
        <v>58</v>
      </c>
      <c r="AD834" s="43">
        <v>230000000</v>
      </c>
      <c r="AE834" s="44">
        <v>0</v>
      </c>
      <c r="AF834" s="44">
        <v>0</v>
      </c>
      <c r="AG834" s="44">
        <v>0</v>
      </c>
      <c r="AH834" s="44">
        <v>0</v>
      </c>
      <c r="AI834" s="44">
        <v>0</v>
      </c>
      <c r="AJ834" s="43">
        <v>230000000</v>
      </c>
      <c r="AK834" s="44">
        <v>0</v>
      </c>
      <c r="AL834" s="142">
        <f>AM834-SEPTIEMBRE!AM817</f>
        <v>0</v>
      </c>
      <c r="AM834" s="43">
        <v>229369254</v>
      </c>
      <c r="AN834" s="44">
        <v>0</v>
      </c>
      <c r="AO834" s="144">
        <v>0</v>
      </c>
      <c r="AP834" s="114">
        <v>220831290</v>
      </c>
      <c r="AQ834" s="34">
        <v>0</v>
      </c>
      <c r="AR834" s="147">
        <v>21833333</v>
      </c>
      <c r="AS834" s="18">
        <v>173466667</v>
      </c>
      <c r="AT834" s="39">
        <f t="shared" si="380"/>
        <v>173466667</v>
      </c>
      <c r="AU834" s="18">
        <f>AJ834-AM834</f>
        <v>630746</v>
      </c>
      <c r="AV834" s="18">
        <f>AM834-AP834</f>
        <v>8537964</v>
      </c>
      <c r="AW834" s="18">
        <f>AP834-AT834</f>
        <v>47364623</v>
      </c>
      <c r="AX834" s="123">
        <f>AP834/AJ834</f>
        <v>0.96013604347826087</v>
      </c>
    </row>
    <row r="835" spans="1:50" ht="18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1" t="s">
        <v>1099</v>
      </c>
      <c r="AB835" s="42" t="s">
        <v>1015</v>
      </c>
      <c r="AC835" s="43"/>
      <c r="AD835" s="44">
        <v>0</v>
      </c>
      <c r="AE835" s="43">
        <v>65000000</v>
      </c>
      <c r="AF835" s="44">
        <v>0</v>
      </c>
      <c r="AG835" s="43">
        <v>25000000</v>
      </c>
      <c r="AH835" s="44">
        <v>0</v>
      </c>
      <c r="AI835" s="43">
        <f>AE835-AF835+AG835-AH835</f>
        <v>90000000</v>
      </c>
      <c r="AJ835" s="43">
        <f>AD835+AI835</f>
        <v>90000000</v>
      </c>
      <c r="AK835" s="44">
        <v>0</v>
      </c>
      <c r="AL835" s="142">
        <f>AM835-SEPTIEMBRE!AM818</f>
        <v>16136431</v>
      </c>
      <c r="AM835" s="43">
        <v>52299970</v>
      </c>
      <c r="AN835" s="44">
        <v>0</v>
      </c>
      <c r="AO835" s="258">
        <v>17100000</v>
      </c>
      <c r="AP835" s="115">
        <v>17100000</v>
      </c>
      <c r="AQ835" s="34">
        <v>0</v>
      </c>
      <c r="AR835" s="145">
        <v>0</v>
      </c>
      <c r="AS835" s="34">
        <v>0</v>
      </c>
      <c r="AT835" s="40">
        <f t="shared" si="380"/>
        <v>0</v>
      </c>
      <c r="AU835" s="18">
        <f>AJ835-AM835</f>
        <v>37700030</v>
      </c>
      <c r="AV835" s="18">
        <f>AM835-AP835</f>
        <v>35199970</v>
      </c>
      <c r="AW835" s="133">
        <f>AP835-AT835</f>
        <v>17100000</v>
      </c>
      <c r="AX835" s="123">
        <f>AP835/AJ835</f>
        <v>0.19</v>
      </c>
    </row>
    <row r="836" spans="1:50" ht="27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73" t="s">
        <v>288</v>
      </c>
      <c r="AB836" s="74" t="s">
        <v>1408</v>
      </c>
      <c r="AC836" s="43"/>
      <c r="AD836" s="44"/>
      <c r="AE836" s="43"/>
      <c r="AF836" s="44"/>
      <c r="AG836" s="43"/>
      <c r="AH836" s="44"/>
      <c r="AI836" s="43"/>
      <c r="AJ836" s="43"/>
      <c r="AK836" s="44"/>
      <c r="AL836" s="142"/>
      <c r="AM836" s="43"/>
      <c r="AN836" s="44"/>
      <c r="AO836" s="258"/>
      <c r="AP836" s="115"/>
      <c r="AQ836" s="34"/>
      <c r="AR836" s="145"/>
      <c r="AS836" s="34"/>
      <c r="AT836" s="40"/>
      <c r="AU836" s="18"/>
      <c r="AV836" s="18"/>
      <c r="AW836" s="133"/>
      <c r="AX836" s="123"/>
    </row>
    <row r="837" spans="1:50" ht="18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1" t="s">
        <v>1409</v>
      </c>
      <c r="AB837" s="42" t="s">
        <v>233</v>
      </c>
      <c r="AC837" s="43"/>
      <c r="AD837" s="44">
        <v>0</v>
      </c>
      <c r="AE837" s="44">
        <v>0</v>
      </c>
      <c r="AF837" s="44">
        <v>0</v>
      </c>
      <c r="AG837" s="43">
        <v>60000000</v>
      </c>
      <c r="AH837" s="44">
        <v>0</v>
      </c>
      <c r="AI837" s="43">
        <f t="shared" ref="AI837:AI838" si="402">AE837-AF837+AG837-AH837</f>
        <v>60000000</v>
      </c>
      <c r="AJ837" s="43">
        <f t="shared" ref="AJ837:AJ838" si="403">AD837+AI837</f>
        <v>60000000</v>
      </c>
      <c r="AK837" s="44">
        <v>0</v>
      </c>
      <c r="AL837" s="142">
        <v>6000000</v>
      </c>
      <c r="AM837" s="43">
        <v>6000000</v>
      </c>
      <c r="AN837" s="44">
        <v>0</v>
      </c>
      <c r="AO837" s="142">
        <v>3000000</v>
      </c>
      <c r="AP837" s="43">
        <v>3000000</v>
      </c>
      <c r="AQ837" s="34">
        <v>0</v>
      </c>
      <c r="AR837" s="145">
        <v>0</v>
      </c>
      <c r="AS837" s="34">
        <v>0</v>
      </c>
      <c r="AT837" s="40">
        <f t="shared" ref="AT837:AT838" si="404">AQ837+AS837</f>
        <v>0</v>
      </c>
      <c r="AU837" s="18">
        <f t="shared" ref="AU837:AU838" si="405">AJ837-AM837</f>
        <v>54000000</v>
      </c>
      <c r="AV837" s="18">
        <f t="shared" ref="AV837:AV838" si="406">AM837-AP837</f>
        <v>3000000</v>
      </c>
      <c r="AW837" s="18">
        <f t="shared" ref="AW837:AW838" si="407">AP837-AT837</f>
        <v>3000000</v>
      </c>
      <c r="AX837" s="123">
        <f t="shared" ref="AX837:AX838" si="408">AP837/AJ837</f>
        <v>0.05</v>
      </c>
    </row>
    <row r="838" spans="1:50" ht="18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1" t="s">
        <v>1411</v>
      </c>
      <c r="AB838" s="42" t="s">
        <v>1410</v>
      </c>
      <c r="AC838" s="43"/>
      <c r="AD838" s="44"/>
      <c r="AE838" s="44"/>
      <c r="AF838" s="44">
        <v>0</v>
      </c>
      <c r="AG838" s="43">
        <v>15000000</v>
      </c>
      <c r="AH838" s="44"/>
      <c r="AI838" s="43">
        <f t="shared" si="402"/>
        <v>15000000</v>
      </c>
      <c r="AJ838" s="43">
        <f t="shared" si="403"/>
        <v>15000000</v>
      </c>
      <c r="AK838" s="44">
        <v>0</v>
      </c>
      <c r="AL838" s="142">
        <v>15000000</v>
      </c>
      <c r="AM838" s="43">
        <v>15000000</v>
      </c>
      <c r="AN838" s="44">
        <v>0</v>
      </c>
      <c r="AO838" s="258">
        <v>0</v>
      </c>
      <c r="AP838" s="115">
        <v>0</v>
      </c>
      <c r="AQ838" s="34">
        <v>0</v>
      </c>
      <c r="AR838" s="145">
        <v>0</v>
      </c>
      <c r="AS838" s="34">
        <v>0</v>
      </c>
      <c r="AT838" s="40">
        <f t="shared" si="404"/>
        <v>0</v>
      </c>
      <c r="AU838" s="18">
        <f t="shared" si="405"/>
        <v>0</v>
      </c>
      <c r="AV838" s="18">
        <f t="shared" si="406"/>
        <v>15000000</v>
      </c>
      <c r="AW838" s="18">
        <f t="shared" si="407"/>
        <v>0</v>
      </c>
      <c r="AX838" s="123">
        <f t="shared" si="408"/>
        <v>0</v>
      </c>
    </row>
    <row r="839" spans="1:50" ht="27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73" t="s">
        <v>288</v>
      </c>
      <c r="AB839" s="74" t="s">
        <v>1412</v>
      </c>
      <c r="AC839" s="43"/>
      <c r="AD839" s="44"/>
      <c r="AE839" s="44"/>
      <c r="AF839" s="44"/>
      <c r="AG839" s="43"/>
      <c r="AH839" s="44"/>
      <c r="AI839" s="43"/>
      <c r="AJ839" s="43"/>
      <c r="AK839" s="44"/>
      <c r="AL839" s="142"/>
      <c r="AM839" s="43"/>
      <c r="AN839" s="44"/>
      <c r="AO839" s="258"/>
      <c r="AP839" s="115"/>
      <c r="AQ839" s="34"/>
      <c r="AR839" s="145"/>
      <c r="AS839" s="34"/>
      <c r="AT839" s="40"/>
      <c r="AU839" s="18"/>
      <c r="AV839" s="18"/>
      <c r="AW839" s="133"/>
      <c r="AX839" s="123"/>
    </row>
    <row r="840" spans="1:50" ht="18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1" t="s">
        <v>1413</v>
      </c>
      <c r="AB840" s="42" t="s">
        <v>1015</v>
      </c>
      <c r="AC840" s="43"/>
      <c r="AD840" s="44">
        <v>0</v>
      </c>
      <c r="AE840" s="44">
        <v>0</v>
      </c>
      <c r="AF840" s="44">
        <v>0</v>
      </c>
      <c r="AG840" s="43">
        <v>15000000</v>
      </c>
      <c r="AH840" s="44">
        <v>0</v>
      </c>
      <c r="AI840" s="43">
        <f t="shared" ref="AI840" si="409">AE840-AF840+AG840-AH840</f>
        <v>15000000</v>
      </c>
      <c r="AJ840" s="43">
        <f t="shared" ref="AJ840" si="410">AD840+AI840</f>
        <v>15000000</v>
      </c>
      <c r="AK840" s="44">
        <v>0</v>
      </c>
      <c r="AL840" s="142">
        <v>0</v>
      </c>
      <c r="AM840" s="43">
        <v>0</v>
      </c>
      <c r="AN840" s="44">
        <v>0</v>
      </c>
      <c r="AO840" s="258">
        <v>0</v>
      </c>
      <c r="AP840" s="115">
        <v>0</v>
      </c>
      <c r="AQ840" s="34">
        <v>0</v>
      </c>
      <c r="AR840" s="145">
        <v>0</v>
      </c>
      <c r="AS840" s="34">
        <v>0</v>
      </c>
      <c r="AT840" s="40">
        <f t="shared" ref="AT840" si="411">AQ840+AS840</f>
        <v>0</v>
      </c>
      <c r="AU840" s="18">
        <f t="shared" ref="AU840" si="412">AJ840-AM840</f>
        <v>15000000</v>
      </c>
      <c r="AV840" s="34">
        <f t="shared" ref="AV840" si="413">AM840-AP840</f>
        <v>0</v>
      </c>
      <c r="AW840" s="34">
        <f t="shared" ref="AW840" si="414">AP840-AT840</f>
        <v>0</v>
      </c>
      <c r="AX840" s="123">
        <f t="shared" ref="AX840" si="415">AP840/AJ840</f>
        <v>0</v>
      </c>
    </row>
    <row r="841" spans="1:50" ht="18.75" customHeight="1" x14ac:dyDescent="0.2">
      <c r="AA841" s="28" t="s">
        <v>288</v>
      </c>
      <c r="AB841" s="29" t="s">
        <v>570</v>
      </c>
      <c r="AC841" s="17"/>
      <c r="AD841" s="18"/>
      <c r="AE841" s="34"/>
      <c r="AF841" s="34"/>
      <c r="AG841" s="34"/>
      <c r="AH841" s="34"/>
      <c r="AI841" s="34"/>
      <c r="AJ841" s="18"/>
      <c r="AK841" s="34"/>
      <c r="AL841" s="147"/>
      <c r="AM841" s="18"/>
      <c r="AN841" s="34"/>
      <c r="AO841" s="148"/>
      <c r="AP841" s="110"/>
      <c r="AQ841" s="34"/>
      <c r="AR841" s="147"/>
      <c r="AS841" s="18"/>
      <c r="AT841" s="39"/>
      <c r="AU841" s="18"/>
      <c r="AV841" s="18"/>
      <c r="AW841" s="18"/>
      <c r="AX841" s="18"/>
    </row>
    <row r="842" spans="1:50" ht="18.75" customHeight="1" x14ac:dyDescent="0.2">
      <c r="A842" s="4" t="s">
        <v>55</v>
      </c>
      <c r="B842" s="4" t="s">
        <v>56</v>
      </c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1" t="s">
        <v>571</v>
      </c>
      <c r="AB842" s="42" t="s">
        <v>233</v>
      </c>
      <c r="AC842" s="43" t="s">
        <v>58</v>
      </c>
      <c r="AD842" s="43">
        <v>300000000</v>
      </c>
      <c r="AE842" s="44">
        <v>0</v>
      </c>
      <c r="AF842" s="44">
        <v>0</v>
      </c>
      <c r="AG842" s="44">
        <v>0</v>
      </c>
      <c r="AH842" s="43">
        <v>60000000</v>
      </c>
      <c r="AI842" s="43">
        <f>AE842-AF842+AG842-AH842</f>
        <v>-60000000</v>
      </c>
      <c r="AJ842" s="43">
        <f>AD842+AI842</f>
        <v>240000000</v>
      </c>
      <c r="AK842" s="44">
        <v>0</v>
      </c>
      <c r="AL842" s="142">
        <f>AM842-SEPTIEMBRE!AM820</f>
        <v>-399973.65999999642</v>
      </c>
      <c r="AM842" s="43">
        <v>235100026.34</v>
      </c>
      <c r="AN842" s="44">
        <v>0</v>
      </c>
      <c r="AO842" s="144">
        <v>38133333.340000004</v>
      </c>
      <c r="AP842" s="114">
        <v>231100026.34</v>
      </c>
      <c r="AQ842" s="18">
        <v>4933333</v>
      </c>
      <c r="AR842" s="147">
        <v>22033333</v>
      </c>
      <c r="AS842" s="18">
        <v>132099998</v>
      </c>
      <c r="AT842" s="39">
        <f t="shared" ref="AT842" si="416">AQ842+AS842</f>
        <v>137033331</v>
      </c>
      <c r="AU842" s="18">
        <f>AJ842-AM842</f>
        <v>4899973.6599999964</v>
      </c>
      <c r="AV842" s="18">
        <f>AM842-AP842</f>
        <v>4000000</v>
      </c>
      <c r="AW842" s="18">
        <f>AP842-AT842</f>
        <v>94066695.340000004</v>
      </c>
      <c r="AX842" s="123">
        <f>AP842/AJ842</f>
        <v>0.96291677641666673</v>
      </c>
    </row>
    <row r="843" spans="1:50" ht="18.75" customHeight="1" x14ac:dyDescent="0.2">
      <c r="AA843" s="28" t="s">
        <v>288</v>
      </c>
      <c r="AB843" s="29" t="s">
        <v>400</v>
      </c>
      <c r="AC843" s="17"/>
      <c r="AD843" s="18"/>
      <c r="AE843" s="34"/>
      <c r="AF843" s="34"/>
      <c r="AG843" s="34"/>
      <c r="AH843" s="34"/>
      <c r="AI843" s="34"/>
      <c r="AJ843" s="18"/>
      <c r="AK843" s="34"/>
      <c r="AL843" s="147"/>
      <c r="AM843" s="18"/>
      <c r="AN843" s="34"/>
      <c r="AO843" s="148"/>
      <c r="AP843" s="110"/>
      <c r="AQ843" s="18"/>
      <c r="AR843" s="147"/>
      <c r="AS843" s="18"/>
      <c r="AT843" s="39"/>
      <c r="AU843" s="18"/>
      <c r="AV843" s="110"/>
      <c r="AW843" s="18"/>
      <c r="AX843" s="18"/>
    </row>
    <row r="844" spans="1:50" ht="18.75" customHeight="1" x14ac:dyDescent="0.2">
      <c r="A844" s="4" t="s">
        <v>55</v>
      </c>
      <c r="B844" s="4" t="s">
        <v>56</v>
      </c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1" t="s">
        <v>425</v>
      </c>
      <c r="AB844" s="42" t="s">
        <v>233</v>
      </c>
      <c r="AC844" s="43" t="s">
        <v>58</v>
      </c>
      <c r="AD844" s="43">
        <v>440000000</v>
      </c>
      <c r="AE844" s="44">
        <v>0</v>
      </c>
      <c r="AF844" s="44">
        <v>0</v>
      </c>
      <c r="AG844" s="43">
        <f>42000000+12000000</f>
        <v>54000000</v>
      </c>
      <c r="AH844" s="44">
        <v>0</v>
      </c>
      <c r="AI844" s="43">
        <f>AE844-AF844+AG844-AH844</f>
        <v>54000000</v>
      </c>
      <c r="AJ844" s="43">
        <f>AD844+AI844</f>
        <v>494000000</v>
      </c>
      <c r="AK844" s="44">
        <v>0</v>
      </c>
      <c r="AL844" s="142">
        <f>AM844-SEPTIEMBRE!AM822</f>
        <v>12368647</v>
      </c>
      <c r="AM844" s="43">
        <v>484141899.32999998</v>
      </c>
      <c r="AN844" s="44">
        <v>0</v>
      </c>
      <c r="AO844" s="144">
        <v>16166647</v>
      </c>
      <c r="AP844" s="114">
        <v>484139899.32999998</v>
      </c>
      <c r="AQ844" s="18">
        <v>9200000</v>
      </c>
      <c r="AR844" s="147">
        <v>48413334</v>
      </c>
      <c r="AS844" s="18">
        <v>382896668</v>
      </c>
      <c r="AT844" s="39">
        <f t="shared" ref="AT844:AT845" si="417">AQ844+AS844</f>
        <v>392096668</v>
      </c>
      <c r="AU844" s="18">
        <f>AJ844-AM844</f>
        <v>9858100.6700000167</v>
      </c>
      <c r="AV844" s="18">
        <f>AM844-AP844</f>
        <v>2000</v>
      </c>
      <c r="AW844" s="18">
        <f>AP844-AT844</f>
        <v>92043231.329999983</v>
      </c>
      <c r="AX844" s="123">
        <f>AP844/AJ844</f>
        <v>0.98004028204453442</v>
      </c>
    </row>
    <row r="845" spans="1:50" ht="18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1" t="s">
        <v>1256</v>
      </c>
      <c r="AB845" s="42" t="s">
        <v>1015</v>
      </c>
      <c r="AC845" s="43"/>
      <c r="AD845" s="44">
        <v>0</v>
      </c>
      <c r="AE845" s="44">
        <v>0</v>
      </c>
      <c r="AF845" s="44">
        <v>0</v>
      </c>
      <c r="AG845" s="43">
        <v>120000000</v>
      </c>
      <c r="AH845" s="43">
        <v>30000000</v>
      </c>
      <c r="AI845" s="43">
        <f>AE845-AF845+AG845-AH845</f>
        <v>90000000</v>
      </c>
      <c r="AJ845" s="43">
        <f>AD845+AI845</f>
        <v>90000000</v>
      </c>
      <c r="AK845" s="44">
        <v>0</v>
      </c>
      <c r="AL845" s="142">
        <f>AM845-SEPTIEMBRE!AM823</f>
        <v>-1133280.6400000006</v>
      </c>
      <c r="AM845" s="43">
        <v>84936642.359999999</v>
      </c>
      <c r="AN845" s="44">
        <v>0</v>
      </c>
      <c r="AO845" s="142">
        <v>25933333.359999999</v>
      </c>
      <c r="AP845" s="43">
        <v>84936642.359999999</v>
      </c>
      <c r="AQ845" s="34">
        <v>0</v>
      </c>
      <c r="AR845" s="18">
        <v>9760000</v>
      </c>
      <c r="AS845" s="18">
        <v>14160000</v>
      </c>
      <c r="AT845" s="39">
        <f t="shared" si="417"/>
        <v>14160000</v>
      </c>
      <c r="AU845" s="18">
        <f>AJ845-AM845</f>
        <v>5063357.6400000006</v>
      </c>
      <c r="AV845" s="18">
        <f>AM845-AP845</f>
        <v>0</v>
      </c>
      <c r="AW845" s="18">
        <f>AP845-AT845</f>
        <v>70776642.359999999</v>
      </c>
      <c r="AX845" s="123">
        <f>AP845/AJ845</f>
        <v>0.94374047066666666</v>
      </c>
    </row>
    <row r="846" spans="1:50" ht="18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73" t="s">
        <v>1016</v>
      </c>
      <c r="AB846" s="74" t="s">
        <v>1068</v>
      </c>
      <c r="AC846" s="43"/>
      <c r="AD846" s="43"/>
      <c r="AE846" s="44"/>
      <c r="AF846" s="44"/>
      <c r="AG846" s="43"/>
      <c r="AH846" s="44"/>
      <c r="AI846" s="43"/>
      <c r="AJ846" s="43"/>
      <c r="AK846" s="44"/>
      <c r="AL846" s="43"/>
      <c r="AM846" s="43"/>
      <c r="AN846" s="44"/>
      <c r="AO846" s="115"/>
      <c r="AP846" s="115"/>
      <c r="AQ846" s="34"/>
      <c r="AR846" s="34"/>
      <c r="AS846" s="34"/>
      <c r="AT846" s="40"/>
      <c r="AU846" s="18"/>
      <c r="AV846" s="133"/>
      <c r="AW846" s="18"/>
      <c r="AX846" s="123"/>
    </row>
    <row r="847" spans="1:50" ht="18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73" t="s">
        <v>1017</v>
      </c>
      <c r="AB847" s="74" t="s">
        <v>1069</v>
      </c>
      <c r="AC847" s="43"/>
      <c r="AD847" s="43"/>
      <c r="AE847" s="44"/>
      <c r="AF847" s="44"/>
      <c r="AG847" s="43"/>
      <c r="AH847" s="44"/>
      <c r="AI847" s="43"/>
      <c r="AJ847" s="43"/>
      <c r="AK847" s="44"/>
      <c r="AL847" s="43"/>
      <c r="AM847" s="43"/>
      <c r="AN847" s="44"/>
      <c r="AO847" s="115"/>
      <c r="AP847" s="115"/>
      <c r="AQ847" s="34"/>
      <c r="AR847" s="34"/>
      <c r="AS847" s="34"/>
      <c r="AT847" s="40"/>
      <c r="AU847" s="18"/>
      <c r="AV847" s="133"/>
      <c r="AW847" s="18"/>
      <c r="AX847" s="123"/>
    </row>
    <row r="848" spans="1:50" ht="18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73" t="s">
        <v>1018</v>
      </c>
      <c r="AB848" s="74" t="s">
        <v>286</v>
      </c>
      <c r="AC848" s="43"/>
      <c r="AD848" s="43"/>
      <c r="AE848" s="44"/>
      <c r="AF848" s="44"/>
      <c r="AG848" s="43"/>
      <c r="AH848" s="44"/>
      <c r="AI848" s="43"/>
      <c r="AJ848" s="43"/>
      <c r="AK848" s="44"/>
      <c r="AL848" s="43"/>
      <c r="AM848" s="43"/>
      <c r="AN848" s="44"/>
      <c r="AO848" s="115"/>
      <c r="AP848" s="115"/>
      <c r="AQ848" s="34"/>
      <c r="AR848" s="34"/>
      <c r="AS848" s="34"/>
      <c r="AT848" s="40"/>
      <c r="AU848" s="18"/>
      <c r="AV848" s="133"/>
      <c r="AW848" s="18"/>
      <c r="AX848" s="123"/>
    </row>
    <row r="849" spans="1:50" ht="18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73" t="s">
        <v>1021</v>
      </c>
      <c r="AB849" s="74" t="s">
        <v>1070</v>
      </c>
      <c r="AC849" s="43"/>
      <c r="AD849" s="43"/>
      <c r="AE849" s="44"/>
      <c r="AF849" s="44"/>
      <c r="AG849" s="43"/>
      <c r="AH849" s="44"/>
      <c r="AI849" s="43"/>
      <c r="AJ849" s="43"/>
      <c r="AK849" s="44"/>
      <c r="AL849" s="43"/>
      <c r="AM849" s="43"/>
      <c r="AN849" s="44"/>
      <c r="AO849" s="115"/>
      <c r="AP849" s="115"/>
      <c r="AQ849" s="34"/>
      <c r="AR849" s="34"/>
      <c r="AS849" s="34"/>
      <c r="AT849" s="40"/>
      <c r="AU849" s="18"/>
      <c r="AV849" s="133"/>
      <c r="AW849" s="18"/>
      <c r="AX849" s="123"/>
    </row>
    <row r="850" spans="1:50" ht="18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1" t="s">
        <v>1019</v>
      </c>
      <c r="AB850" s="42" t="s">
        <v>1005</v>
      </c>
      <c r="AC850" s="43"/>
      <c r="AD850" s="44">
        <v>0</v>
      </c>
      <c r="AE850" s="43">
        <v>4577320</v>
      </c>
      <c r="AF850" s="44">
        <v>0</v>
      </c>
      <c r="AG850" s="44">
        <v>0</v>
      </c>
      <c r="AH850" s="44">
        <v>0</v>
      </c>
      <c r="AI850" s="43">
        <f>AE850-AF850+AG850-AH850</f>
        <v>4577320</v>
      </c>
      <c r="AJ850" s="43">
        <f>AD850+AI850</f>
        <v>4577320</v>
      </c>
      <c r="AK850" s="44">
        <v>0</v>
      </c>
      <c r="AL850" s="43">
        <v>0</v>
      </c>
      <c r="AM850" s="43">
        <v>3697408</v>
      </c>
      <c r="AN850" s="44">
        <v>0</v>
      </c>
      <c r="AO850" s="43">
        <v>0</v>
      </c>
      <c r="AP850" s="43">
        <v>3697408</v>
      </c>
      <c r="AQ850" s="34">
        <v>0</v>
      </c>
      <c r="AR850" s="34">
        <v>0</v>
      </c>
      <c r="AS850" s="18">
        <v>3697408</v>
      </c>
      <c r="AT850" s="39">
        <f t="shared" ref="AT850" si="418">AQ850+AS850</f>
        <v>3697408</v>
      </c>
      <c r="AU850" s="18">
        <f>AJ850-AM850</f>
        <v>879912</v>
      </c>
      <c r="AV850" s="34">
        <f>AM850-AP850</f>
        <v>0</v>
      </c>
      <c r="AW850" s="34">
        <f>AP850-AT850</f>
        <v>0</v>
      </c>
      <c r="AX850" s="123">
        <f>AP850/AJ850</f>
        <v>0.80776699029126209</v>
      </c>
    </row>
    <row r="851" spans="1:50" s="50" customFormat="1" ht="18.75" customHeight="1" x14ac:dyDescent="0.2"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46"/>
      <c r="AB851" s="47" t="s">
        <v>572</v>
      </c>
      <c r="AC851" s="47"/>
      <c r="AD851" s="48">
        <f t="shared" ref="AD851:AV851" si="419">SUM(AD748:AD850)</f>
        <v>13989429350</v>
      </c>
      <c r="AE851" s="48">
        <f t="shared" si="419"/>
        <v>3812553585.4200001</v>
      </c>
      <c r="AF851" s="49">
        <f t="shared" si="419"/>
        <v>0</v>
      </c>
      <c r="AG851" s="48">
        <f t="shared" si="419"/>
        <v>4829204720.1399994</v>
      </c>
      <c r="AH851" s="48">
        <f t="shared" si="419"/>
        <v>3695204720.1400003</v>
      </c>
      <c r="AI851" s="48">
        <f t="shared" si="419"/>
        <v>4946553585.4200001</v>
      </c>
      <c r="AJ851" s="48">
        <f t="shared" si="419"/>
        <v>18935982935.419998</v>
      </c>
      <c r="AK851" s="49">
        <f t="shared" si="419"/>
        <v>0</v>
      </c>
      <c r="AL851" s="48">
        <f t="shared" si="419"/>
        <v>1472715843.4299996</v>
      </c>
      <c r="AM851" s="48">
        <f t="shared" si="419"/>
        <v>16874614140.260002</v>
      </c>
      <c r="AN851" s="49">
        <f t="shared" si="419"/>
        <v>47142876</v>
      </c>
      <c r="AO851" s="48">
        <f t="shared" si="419"/>
        <v>780280716.60000014</v>
      </c>
      <c r="AP851" s="48">
        <f t="shared" si="419"/>
        <v>14132715737.43</v>
      </c>
      <c r="AQ851" s="48">
        <f t="shared" si="419"/>
        <v>171077212</v>
      </c>
      <c r="AR851" s="48">
        <f t="shared" si="419"/>
        <v>1399327192.6299999</v>
      </c>
      <c r="AS851" s="48">
        <f t="shared" si="419"/>
        <v>8517259542.7999992</v>
      </c>
      <c r="AT851" s="48">
        <f t="shared" si="419"/>
        <v>8688336754.7999992</v>
      </c>
      <c r="AU851" s="48">
        <f t="shared" si="419"/>
        <v>2061368795.1600003</v>
      </c>
      <c r="AV851" s="48">
        <f t="shared" si="419"/>
        <v>2741898402.8299999</v>
      </c>
      <c r="AW851" s="48">
        <f>SUM(AW748:AW850)</f>
        <v>5444378982.6300001</v>
      </c>
      <c r="AX851" s="24">
        <f>AP851/AJ851</f>
        <v>0.74634180784957171</v>
      </c>
    </row>
    <row r="852" spans="1:50" ht="18.75" customHeight="1" x14ac:dyDescent="0.2">
      <c r="AA852" s="16"/>
      <c r="AB852" s="17"/>
      <c r="AC852" s="17"/>
      <c r="AD852" s="18"/>
      <c r="AE852" s="34"/>
      <c r="AF852" s="34"/>
      <c r="AG852" s="34"/>
      <c r="AH852" s="34"/>
      <c r="AI852" s="34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</row>
    <row r="853" spans="1:50" s="25" customFormat="1" ht="18.75" customHeight="1" x14ac:dyDescent="0.2"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66"/>
      <c r="AB853" s="21" t="s">
        <v>573</v>
      </c>
      <c r="AC853" s="67"/>
      <c r="AD853" s="63"/>
      <c r="AE853" s="72"/>
      <c r="AF853" s="72"/>
      <c r="AG853" s="72"/>
      <c r="AH853" s="72"/>
      <c r="AI853" s="72"/>
      <c r="AJ853" s="63"/>
      <c r="AK853" s="63"/>
      <c r="AL853" s="63"/>
      <c r="AM853" s="63"/>
      <c r="AN853" s="63"/>
      <c r="AO853" s="63"/>
      <c r="AP853" s="63"/>
      <c r="AQ853" s="63"/>
      <c r="AR853" s="63"/>
      <c r="AS853" s="63"/>
      <c r="AT853" s="63"/>
      <c r="AU853" s="63"/>
      <c r="AV853" s="63"/>
      <c r="AW853" s="63"/>
      <c r="AX853" s="63"/>
    </row>
    <row r="854" spans="1:50" ht="18.75" customHeight="1" x14ac:dyDescent="0.2">
      <c r="AA854" s="16"/>
      <c r="AB854" s="29" t="s">
        <v>286</v>
      </c>
      <c r="AC854" s="17"/>
      <c r="AD854" s="18"/>
      <c r="AE854" s="34"/>
      <c r="AF854" s="34"/>
      <c r="AG854" s="34"/>
      <c r="AH854" s="34"/>
      <c r="AI854" s="34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</row>
    <row r="855" spans="1:50" ht="18.75" customHeight="1" x14ac:dyDescent="0.2">
      <c r="AA855" s="16"/>
      <c r="AB855" s="29" t="s">
        <v>574</v>
      </c>
      <c r="AC855" s="17"/>
      <c r="AD855" s="18"/>
      <c r="AE855" s="34"/>
      <c r="AF855" s="34"/>
      <c r="AG855" s="34"/>
      <c r="AH855" s="34"/>
      <c r="AI855" s="34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</row>
    <row r="856" spans="1:50" ht="18.75" customHeight="1" x14ac:dyDescent="0.2">
      <c r="AA856" s="16"/>
      <c r="AB856" s="29" t="s">
        <v>575</v>
      </c>
      <c r="AC856" s="17"/>
      <c r="AD856" s="18"/>
      <c r="AE856" s="34"/>
      <c r="AF856" s="34"/>
      <c r="AG856" s="34"/>
      <c r="AH856" s="34"/>
      <c r="AI856" s="34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</row>
    <row r="857" spans="1:50" ht="18.75" customHeight="1" x14ac:dyDescent="0.2">
      <c r="AA857" s="16"/>
      <c r="AB857" s="29" t="s">
        <v>576</v>
      </c>
      <c r="AC857" s="17"/>
      <c r="AD857" s="18"/>
      <c r="AE857" s="34"/>
      <c r="AF857" s="34"/>
      <c r="AG857" s="34"/>
      <c r="AH857" s="34"/>
      <c r="AI857" s="34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</row>
    <row r="858" spans="1:50" x14ac:dyDescent="0.2">
      <c r="AA858" s="16"/>
      <c r="AB858" s="29" t="s">
        <v>577</v>
      </c>
      <c r="AC858" s="17"/>
      <c r="AD858" s="18"/>
      <c r="AE858" s="34"/>
      <c r="AF858" s="34"/>
      <c r="AG858" s="34"/>
      <c r="AH858" s="34"/>
      <c r="AI858" s="34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</row>
    <row r="859" spans="1:50" ht="25.5" x14ac:dyDescent="0.2">
      <c r="AA859" s="16"/>
      <c r="AB859" s="29" t="s">
        <v>578</v>
      </c>
      <c r="AC859" s="17"/>
      <c r="AD859" s="18"/>
      <c r="AE859" s="34"/>
      <c r="AF859" s="34"/>
      <c r="AG859" s="34"/>
      <c r="AH859" s="34"/>
      <c r="AI859" s="34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30"/>
      <c r="AU859" s="18"/>
      <c r="AV859" s="18"/>
      <c r="AW859" s="18"/>
      <c r="AX859" s="18"/>
    </row>
    <row r="860" spans="1:50" ht="25.5" x14ac:dyDescent="0.2">
      <c r="AA860" s="16"/>
      <c r="AB860" s="29" t="s">
        <v>579</v>
      </c>
      <c r="AC860" s="17"/>
      <c r="AD860" s="18"/>
      <c r="AE860" s="34"/>
      <c r="AF860" s="34"/>
      <c r="AG860" s="34"/>
      <c r="AH860" s="34"/>
      <c r="AI860" s="34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30"/>
      <c r="AU860" s="18"/>
      <c r="AV860" s="18"/>
      <c r="AW860" s="18"/>
      <c r="AX860" s="18"/>
    </row>
    <row r="861" spans="1:50" x14ac:dyDescent="0.2">
      <c r="A861" s="4" t="s">
        <v>55</v>
      </c>
      <c r="B861" s="4" t="s">
        <v>56</v>
      </c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1" t="s">
        <v>580</v>
      </c>
      <c r="AB861" s="42" t="s">
        <v>233</v>
      </c>
      <c r="AC861" s="43" t="s">
        <v>58</v>
      </c>
      <c r="AD861" s="43">
        <v>50000000</v>
      </c>
      <c r="AE861" s="44">
        <v>0</v>
      </c>
      <c r="AF861" s="44">
        <v>0</v>
      </c>
      <c r="AG861" s="44">
        <v>0</v>
      </c>
      <c r="AH861" s="43">
        <v>50000000</v>
      </c>
      <c r="AI861" s="43">
        <f>AE861-AF861+AG861-AH861</f>
        <v>-50000000</v>
      </c>
      <c r="AJ861" s="44">
        <f>AD861+AI861</f>
        <v>0</v>
      </c>
      <c r="AK861" s="44">
        <v>0</v>
      </c>
      <c r="AL861" s="44">
        <v>0</v>
      </c>
      <c r="AM861" s="44">
        <v>0</v>
      </c>
      <c r="AN861" s="44">
        <v>0</v>
      </c>
      <c r="AO861" s="44">
        <v>0</v>
      </c>
      <c r="AP861" s="44">
        <v>0</v>
      </c>
      <c r="AQ861" s="34">
        <v>0</v>
      </c>
      <c r="AR861" s="34">
        <v>0</v>
      </c>
      <c r="AS861" s="34">
        <v>0</v>
      </c>
      <c r="AT861" s="40">
        <f t="shared" ref="AT861:AT911" si="420">AQ861+AS861</f>
        <v>0</v>
      </c>
      <c r="AU861" s="18">
        <f>AJ861-AM861</f>
        <v>0</v>
      </c>
      <c r="AV861" s="133">
        <f>AM861-AP861</f>
        <v>0</v>
      </c>
      <c r="AW861" s="34">
        <f>AP861-AT861</f>
        <v>0</v>
      </c>
      <c r="AX861" s="123">
        <v>0</v>
      </c>
    </row>
    <row r="862" spans="1:50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1" t="s">
        <v>1421</v>
      </c>
      <c r="AB862" s="42" t="s">
        <v>233</v>
      </c>
      <c r="AC862" s="43"/>
      <c r="AD862" s="43">
        <v>0</v>
      </c>
      <c r="AE862" s="44">
        <v>0</v>
      </c>
      <c r="AF862" s="44">
        <v>0</v>
      </c>
      <c r="AG862" s="43">
        <v>2700000</v>
      </c>
      <c r="AH862" s="43"/>
      <c r="AI862" s="43">
        <f>AE862-AF862+AG862-AH862</f>
        <v>2700000</v>
      </c>
      <c r="AJ862" s="43">
        <f>AD862+AI862</f>
        <v>2700000</v>
      </c>
      <c r="AK862" s="44">
        <v>0</v>
      </c>
      <c r="AL862" s="44">
        <v>0</v>
      </c>
      <c r="AM862" s="44">
        <v>0</v>
      </c>
      <c r="AN862" s="44">
        <v>0</v>
      </c>
      <c r="AO862" s="44">
        <v>0</v>
      </c>
      <c r="AP862" s="44">
        <v>0</v>
      </c>
      <c r="AQ862" s="34">
        <v>0</v>
      </c>
      <c r="AR862" s="34">
        <v>0</v>
      </c>
      <c r="AS862" s="34">
        <v>0</v>
      </c>
      <c r="AT862" s="40">
        <f t="shared" ref="AT862" si="421">AQ862+AS862</f>
        <v>0</v>
      </c>
      <c r="AU862" s="18">
        <f>AJ862-AM862</f>
        <v>2700000</v>
      </c>
      <c r="AV862" s="133">
        <f>AM862-AP862</f>
        <v>0</v>
      </c>
      <c r="AW862" s="34">
        <f>AP862-AT862</f>
        <v>0</v>
      </c>
      <c r="AX862" s="123">
        <f>AP862/AJ862</f>
        <v>0</v>
      </c>
    </row>
    <row r="863" spans="1:50" ht="38.25" x14ac:dyDescent="0.2">
      <c r="AA863" s="28" t="s">
        <v>288</v>
      </c>
      <c r="AB863" s="29" t="s">
        <v>581</v>
      </c>
      <c r="AC863" s="17"/>
      <c r="AD863" s="18"/>
      <c r="AE863" s="18"/>
      <c r="AF863" s="18"/>
      <c r="AG863" s="18"/>
      <c r="AH863" s="18"/>
      <c r="AI863" s="18"/>
      <c r="AJ863" s="18"/>
      <c r="AK863" s="34"/>
      <c r="AL863" s="34"/>
      <c r="AM863" s="34"/>
      <c r="AN863" s="34"/>
      <c r="AO863" s="34"/>
      <c r="AP863" s="34"/>
      <c r="AQ863" s="34"/>
      <c r="AR863" s="34"/>
      <c r="AS863" s="34"/>
      <c r="AT863" s="40"/>
      <c r="AU863" s="18"/>
      <c r="AV863" s="34"/>
      <c r="AW863" s="34"/>
      <c r="AX863" s="18"/>
    </row>
    <row r="864" spans="1:50" x14ac:dyDescent="0.2">
      <c r="A864" s="4" t="s">
        <v>55</v>
      </c>
      <c r="B864" s="4" t="s">
        <v>56</v>
      </c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1" t="s">
        <v>582</v>
      </c>
      <c r="AB864" s="42" t="s">
        <v>233</v>
      </c>
      <c r="AC864" s="43" t="s">
        <v>58</v>
      </c>
      <c r="AD864" s="43">
        <v>75000000</v>
      </c>
      <c r="AE864" s="44">
        <v>0</v>
      </c>
      <c r="AF864" s="44">
        <v>0</v>
      </c>
      <c r="AG864" s="44">
        <v>0</v>
      </c>
      <c r="AH864" s="43">
        <v>75000000</v>
      </c>
      <c r="AI864" s="43">
        <f>AE864-AF864+AG864-AH864</f>
        <v>-75000000</v>
      </c>
      <c r="AJ864" s="44">
        <f>AD864+AI864</f>
        <v>0</v>
      </c>
      <c r="AK864" s="44">
        <v>0</v>
      </c>
      <c r="AL864" s="44">
        <v>0</v>
      </c>
      <c r="AM864" s="44">
        <v>0</v>
      </c>
      <c r="AN864" s="44">
        <v>0</v>
      </c>
      <c r="AO864" s="44">
        <v>0</v>
      </c>
      <c r="AP864" s="44">
        <v>0</v>
      </c>
      <c r="AQ864" s="34">
        <v>0</v>
      </c>
      <c r="AR864" s="34">
        <v>0</v>
      </c>
      <c r="AS864" s="34">
        <v>0</v>
      </c>
      <c r="AT864" s="40">
        <f t="shared" ref="AT864" si="422">AQ864+AS864</f>
        <v>0</v>
      </c>
      <c r="AU864" s="34">
        <f>AJ864-AM864</f>
        <v>0</v>
      </c>
      <c r="AV864" s="133">
        <f>AM864-AP864</f>
        <v>0</v>
      </c>
      <c r="AW864" s="34">
        <f>AP864-AT864</f>
        <v>0</v>
      </c>
      <c r="AX864" s="123">
        <v>0</v>
      </c>
    </row>
    <row r="865" spans="1:50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73" t="s">
        <v>288</v>
      </c>
      <c r="AB865" s="74" t="s">
        <v>600</v>
      </c>
      <c r="AC865" s="43"/>
      <c r="AD865" s="43"/>
      <c r="AE865" s="44"/>
      <c r="AF865" s="44"/>
      <c r="AH865" s="43"/>
      <c r="AK865" s="44"/>
      <c r="AL865" s="44"/>
      <c r="AM865" s="44"/>
      <c r="AN865" s="44"/>
      <c r="AO865" s="44"/>
      <c r="AP865" s="44"/>
      <c r="AQ865" s="34"/>
      <c r="AR865" s="34"/>
      <c r="AS865" s="34"/>
      <c r="AT865" s="40"/>
      <c r="AU865" s="43"/>
      <c r="AV865" s="44"/>
      <c r="AW865" s="44"/>
      <c r="AX865" s="32"/>
    </row>
    <row r="866" spans="1:50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1" t="s">
        <v>911</v>
      </c>
      <c r="AB866" s="42" t="s">
        <v>233</v>
      </c>
      <c r="AC866" s="43"/>
      <c r="AD866" s="44">
        <v>0</v>
      </c>
      <c r="AE866" s="44">
        <v>0</v>
      </c>
      <c r="AF866" s="44">
        <v>0</v>
      </c>
      <c r="AG866" s="43">
        <f>31295090+46856431.35</f>
        <v>78151521.349999994</v>
      </c>
      <c r="AH866" s="44">
        <v>0</v>
      </c>
      <c r="AI866" s="43">
        <f>AE866-AF866+AG866-AH866</f>
        <v>78151521.349999994</v>
      </c>
      <c r="AJ866" s="43">
        <f>AD866+AI866</f>
        <v>78151521.349999994</v>
      </c>
      <c r="AK866" s="44">
        <v>0</v>
      </c>
      <c r="AL866" s="44">
        <v>0</v>
      </c>
      <c r="AM866" s="44">
        <v>0</v>
      </c>
      <c r="AN866" s="44">
        <v>0</v>
      </c>
      <c r="AO866" s="44">
        <v>0</v>
      </c>
      <c r="AP866" s="44">
        <v>0</v>
      </c>
      <c r="AQ866" s="34">
        <v>0</v>
      </c>
      <c r="AR866" s="34">
        <v>0</v>
      </c>
      <c r="AS866" s="34">
        <v>0</v>
      </c>
      <c r="AT866" s="40">
        <f t="shared" ref="AT866" si="423">AQ866+AS866</f>
        <v>0</v>
      </c>
      <c r="AU866" s="18">
        <f>AJ866-AM866</f>
        <v>78151521.349999994</v>
      </c>
      <c r="AV866" s="133">
        <f>AM866-AP866</f>
        <v>0</v>
      </c>
      <c r="AW866" s="34">
        <f>AP866-AT866</f>
        <v>0</v>
      </c>
      <c r="AX866" s="123">
        <f>AP866/AJ866</f>
        <v>0</v>
      </c>
    </row>
    <row r="867" spans="1:50" x14ac:dyDescent="0.2">
      <c r="AA867" s="16"/>
      <c r="AB867" s="17"/>
      <c r="AC867" s="17"/>
      <c r="AD867" s="18"/>
      <c r="AE867" s="34"/>
      <c r="AF867" s="34"/>
      <c r="AG867" s="34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30"/>
      <c r="AU867" s="18"/>
      <c r="AV867" s="18"/>
      <c r="AW867" s="18"/>
      <c r="AX867" s="18"/>
    </row>
    <row r="868" spans="1:50" x14ac:dyDescent="0.2">
      <c r="AA868" s="16"/>
      <c r="AB868" s="29" t="s">
        <v>179</v>
      </c>
      <c r="AC868" s="17"/>
      <c r="AD868" s="18"/>
      <c r="AE868" s="34"/>
      <c r="AF868" s="34"/>
      <c r="AG868" s="34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30"/>
      <c r="AU868" s="18"/>
      <c r="AV868" s="18"/>
      <c r="AW868" s="18"/>
      <c r="AX868" s="18"/>
    </row>
    <row r="869" spans="1:50" x14ac:dyDescent="0.2">
      <c r="AA869" s="16"/>
      <c r="AB869" s="29" t="s">
        <v>181</v>
      </c>
      <c r="AC869" s="17"/>
      <c r="AD869" s="18"/>
      <c r="AE869" s="34"/>
      <c r="AF869" s="34"/>
      <c r="AG869" s="34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30"/>
      <c r="AU869" s="18"/>
      <c r="AV869" s="18"/>
      <c r="AW869" s="18"/>
      <c r="AX869" s="18"/>
    </row>
    <row r="870" spans="1:50" ht="25.5" x14ac:dyDescent="0.2">
      <c r="AA870" s="16"/>
      <c r="AB870" s="29" t="s">
        <v>185</v>
      </c>
      <c r="AC870" s="17"/>
      <c r="AD870" s="18"/>
      <c r="AE870" s="34"/>
      <c r="AF870" s="34"/>
      <c r="AG870" s="34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30"/>
      <c r="AU870" s="18"/>
      <c r="AV870" s="18"/>
      <c r="AW870" s="18"/>
      <c r="AX870" s="18"/>
    </row>
    <row r="871" spans="1:50" ht="25.5" x14ac:dyDescent="0.2">
      <c r="AA871" s="28" t="s">
        <v>288</v>
      </c>
      <c r="AB871" s="29" t="s">
        <v>583</v>
      </c>
      <c r="AC871" s="17"/>
      <c r="AD871" s="18"/>
      <c r="AE871" s="34"/>
      <c r="AF871" s="34"/>
      <c r="AG871" s="34"/>
      <c r="AH871" s="18"/>
      <c r="AI871" s="18"/>
      <c r="AJ871" s="18"/>
      <c r="AK871" s="34"/>
      <c r="AL871" s="34"/>
      <c r="AM871" s="34"/>
      <c r="AN871" s="34"/>
      <c r="AO871" s="34"/>
      <c r="AP871" s="34"/>
      <c r="AQ871" s="18"/>
      <c r="AR871" s="18"/>
      <c r="AS871" s="18"/>
      <c r="AT871" s="30"/>
      <c r="AU871" s="18"/>
      <c r="AV871" s="18"/>
      <c r="AW871" s="18"/>
      <c r="AX871" s="18"/>
    </row>
    <row r="872" spans="1:50" x14ac:dyDescent="0.2">
      <c r="A872" s="4" t="s">
        <v>55</v>
      </c>
      <c r="B872" s="4" t="s">
        <v>56</v>
      </c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1" t="s">
        <v>584</v>
      </c>
      <c r="AB872" s="42" t="s">
        <v>233</v>
      </c>
      <c r="AC872" s="43" t="s">
        <v>58</v>
      </c>
      <c r="AD872" s="43">
        <v>50000000</v>
      </c>
      <c r="AE872" s="44">
        <v>0</v>
      </c>
      <c r="AF872" s="44">
        <v>0</v>
      </c>
      <c r="AG872" s="43">
        <v>93300000</v>
      </c>
      <c r="AH872" s="44">
        <v>0</v>
      </c>
      <c r="AI872" s="43">
        <f>AE872-AF872+AG872-AH872</f>
        <v>93300000</v>
      </c>
      <c r="AJ872" s="43">
        <f>AD872+AI872</f>
        <v>143300000</v>
      </c>
      <c r="AK872" s="44">
        <v>0</v>
      </c>
      <c r="AL872" s="44">
        <f>AM872-JUNIO!AM787</f>
        <v>0</v>
      </c>
      <c r="AM872" s="43">
        <v>43169856.109999999</v>
      </c>
      <c r="AN872" s="43">
        <v>0</v>
      </c>
      <c r="AO872" s="44">
        <v>0</v>
      </c>
      <c r="AP872" s="43">
        <v>43169856.109999999</v>
      </c>
      <c r="AQ872" s="43">
        <v>0</v>
      </c>
      <c r="AR872" s="43">
        <v>3169509.87</v>
      </c>
      <c r="AS872" s="43">
        <v>43169856.109999999</v>
      </c>
      <c r="AT872" s="40">
        <f t="shared" si="420"/>
        <v>43169856.109999999</v>
      </c>
      <c r="AU872" s="18">
        <f>AJ872-AM872</f>
        <v>100130143.89</v>
      </c>
      <c r="AV872" s="34">
        <f>AM872-AP872</f>
        <v>0</v>
      </c>
      <c r="AW872" s="34">
        <f>AP872-AT872</f>
        <v>0</v>
      </c>
      <c r="AX872" s="123">
        <f>AP872/AJ872</f>
        <v>0.30125510195394278</v>
      </c>
    </row>
    <row r="873" spans="1:50" ht="25.5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73" t="s">
        <v>288</v>
      </c>
      <c r="AB873" s="74" t="s">
        <v>1375</v>
      </c>
      <c r="AC873" s="43"/>
      <c r="AD873" s="43"/>
      <c r="AE873" s="44"/>
      <c r="AF873" s="44"/>
      <c r="AG873" s="44"/>
      <c r="AH873" s="44"/>
      <c r="AI873" s="44"/>
      <c r="AJ873" s="43"/>
      <c r="AK873" s="44"/>
      <c r="AL873" s="44"/>
      <c r="AM873" s="43"/>
      <c r="AN873" s="43"/>
      <c r="AO873" s="44"/>
      <c r="AP873" s="43"/>
      <c r="AQ873" s="43"/>
      <c r="AR873" s="43"/>
      <c r="AS873" s="43"/>
      <c r="AT873" s="40"/>
      <c r="AU873" s="18"/>
      <c r="AV873" s="34"/>
      <c r="AW873" s="34"/>
      <c r="AX873" s="123"/>
    </row>
    <row r="874" spans="1:50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1" t="s">
        <v>1376</v>
      </c>
      <c r="AB874" s="42" t="s">
        <v>233</v>
      </c>
      <c r="AC874" s="43"/>
      <c r="AD874" s="44">
        <v>0</v>
      </c>
      <c r="AE874" s="44">
        <v>0</v>
      </c>
      <c r="AF874" s="44">
        <v>0</v>
      </c>
      <c r="AG874" s="43">
        <v>30000000</v>
      </c>
      <c r="AH874" s="44"/>
      <c r="AI874" s="43">
        <f>AE874-AF874+AG874-AH874</f>
        <v>30000000</v>
      </c>
      <c r="AJ874" s="43">
        <f>AD874+AI874</f>
        <v>30000000</v>
      </c>
      <c r="AK874" s="44">
        <v>0</v>
      </c>
      <c r="AL874" s="44">
        <v>0</v>
      </c>
      <c r="AM874" s="44">
        <v>0</v>
      </c>
      <c r="AN874" s="44">
        <v>0</v>
      </c>
      <c r="AO874" s="44">
        <v>0</v>
      </c>
      <c r="AP874" s="43">
        <v>0</v>
      </c>
      <c r="AQ874" s="44">
        <v>0</v>
      </c>
      <c r="AR874" s="44">
        <v>0</v>
      </c>
      <c r="AS874" s="44">
        <v>0</v>
      </c>
      <c r="AT874" s="40">
        <f t="shared" ref="AT874" si="424">AQ874+AS874</f>
        <v>0</v>
      </c>
      <c r="AU874" s="18">
        <f>AJ874-AM874</f>
        <v>30000000</v>
      </c>
      <c r="AV874" s="34">
        <f>AM874-AP874</f>
        <v>0</v>
      </c>
      <c r="AW874" s="34">
        <f>AP874-AT874</f>
        <v>0</v>
      </c>
      <c r="AX874" s="123">
        <f>AP874/AJ874</f>
        <v>0</v>
      </c>
    </row>
    <row r="875" spans="1:50" ht="25.5" x14ac:dyDescent="0.2">
      <c r="AA875" s="73" t="s">
        <v>288</v>
      </c>
      <c r="AB875" s="29" t="s">
        <v>637</v>
      </c>
      <c r="AC875" s="17"/>
      <c r="AD875" s="34"/>
      <c r="AE875" s="34"/>
      <c r="AF875" s="34"/>
      <c r="AG875" s="34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30"/>
      <c r="AU875" s="18"/>
      <c r="AV875" s="18"/>
      <c r="AW875" s="34"/>
      <c r="AX875" s="18"/>
    </row>
    <row r="876" spans="1:50" x14ac:dyDescent="0.2">
      <c r="AA876" s="41" t="s">
        <v>1253</v>
      </c>
      <c r="AB876" s="38" t="s">
        <v>233</v>
      </c>
      <c r="AC876" s="17"/>
      <c r="AD876" s="34">
        <v>0</v>
      </c>
      <c r="AE876" s="34">
        <v>0</v>
      </c>
      <c r="AF876" s="34">
        <v>0</v>
      </c>
      <c r="AG876" s="18">
        <v>30000000</v>
      </c>
      <c r="AH876" s="18">
        <v>30000000</v>
      </c>
      <c r="AI876" s="43">
        <f>AE876-AF876+AG876-AH876</f>
        <v>0</v>
      </c>
      <c r="AJ876" s="43">
        <f>AD876+AI876</f>
        <v>0</v>
      </c>
      <c r="AK876" s="34">
        <v>0</v>
      </c>
      <c r="AL876" s="34">
        <v>0</v>
      </c>
      <c r="AM876" s="34">
        <v>0</v>
      </c>
      <c r="AN876" s="34">
        <v>0</v>
      </c>
      <c r="AO876" s="34">
        <v>0</v>
      </c>
      <c r="AP876" s="34">
        <v>0</v>
      </c>
      <c r="AQ876" s="34">
        <v>0</v>
      </c>
      <c r="AR876" s="34">
        <v>0</v>
      </c>
      <c r="AS876" s="34">
        <v>0</v>
      </c>
      <c r="AT876" s="40">
        <f t="shared" ref="AT876" si="425">AQ876+AS876</f>
        <v>0</v>
      </c>
      <c r="AU876" s="34">
        <f>AJ876-AM876</f>
        <v>0</v>
      </c>
      <c r="AV876" s="133">
        <f>AM876-AP876</f>
        <v>0</v>
      </c>
      <c r="AW876" s="34">
        <f>AP876-AT876</f>
        <v>0</v>
      </c>
      <c r="AX876" s="123">
        <v>0</v>
      </c>
    </row>
    <row r="877" spans="1:50" x14ac:dyDescent="0.2">
      <c r="AA877" s="16"/>
      <c r="AB877" s="29"/>
      <c r="AC877" s="17"/>
      <c r="AD877" s="18"/>
      <c r="AE877" s="34"/>
      <c r="AF877" s="34"/>
      <c r="AG877" s="34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30"/>
      <c r="AU877" s="34"/>
      <c r="AV877" s="18"/>
      <c r="AW877" s="18"/>
      <c r="AX877" s="18"/>
    </row>
    <row r="878" spans="1:50" ht="25.5" x14ac:dyDescent="0.2">
      <c r="AA878" s="28" t="s">
        <v>288</v>
      </c>
      <c r="AB878" s="29" t="s">
        <v>585</v>
      </c>
      <c r="AC878" s="17"/>
      <c r="AD878" s="18"/>
      <c r="AE878" s="34"/>
      <c r="AF878" s="34"/>
      <c r="AG878" s="34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30"/>
      <c r="AU878" s="34"/>
      <c r="AV878" s="18"/>
      <c r="AW878" s="18"/>
      <c r="AX878" s="18"/>
    </row>
    <row r="879" spans="1:50" x14ac:dyDescent="0.2">
      <c r="A879" s="4" t="s">
        <v>55</v>
      </c>
      <c r="B879" s="4" t="s">
        <v>56</v>
      </c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1" t="s">
        <v>586</v>
      </c>
      <c r="AB879" s="42" t="s">
        <v>233</v>
      </c>
      <c r="AC879" s="43" t="s">
        <v>58</v>
      </c>
      <c r="AD879" s="43">
        <v>165000000</v>
      </c>
      <c r="AE879" s="44">
        <v>0</v>
      </c>
      <c r="AF879" s="44">
        <v>0</v>
      </c>
      <c r="AG879" s="44">
        <v>0</v>
      </c>
      <c r="AH879" s="43">
        <v>22500000</v>
      </c>
      <c r="AI879" s="43">
        <f>AE879-AF879+AG879-AH879</f>
        <v>-22500000</v>
      </c>
      <c r="AJ879" s="43">
        <f>AD879+AI879</f>
        <v>142500000</v>
      </c>
      <c r="AK879" s="44">
        <v>0</v>
      </c>
      <c r="AL879" s="44">
        <f>AM879-AGOSTO!AM845</f>
        <v>0</v>
      </c>
      <c r="AM879" s="43">
        <v>142500000</v>
      </c>
      <c r="AN879" s="44">
        <v>0</v>
      </c>
      <c r="AO879" s="44">
        <v>0</v>
      </c>
      <c r="AP879" s="18">
        <v>142500000</v>
      </c>
      <c r="AQ879" s="34">
        <v>0</v>
      </c>
      <c r="AR879" s="34">
        <v>0</v>
      </c>
      <c r="AS879" s="34">
        <v>0</v>
      </c>
      <c r="AT879" s="40">
        <f t="shared" ref="AT879" si="426">AQ879+AS879</f>
        <v>0</v>
      </c>
      <c r="AU879" s="34">
        <f>AJ879-AM879</f>
        <v>0</v>
      </c>
      <c r="AV879" s="133">
        <f>AM879-AP879</f>
        <v>0</v>
      </c>
      <c r="AW879" s="18">
        <f>AP879-AT879</f>
        <v>142500000</v>
      </c>
      <c r="AX879" s="123">
        <f>AP879/AJ879</f>
        <v>1</v>
      </c>
    </row>
    <row r="880" spans="1:50" ht="25.5" x14ac:dyDescent="0.2">
      <c r="AA880" s="28" t="s">
        <v>288</v>
      </c>
      <c r="AB880" s="29" t="s">
        <v>587</v>
      </c>
      <c r="AC880" s="17"/>
      <c r="AD880" s="18"/>
      <c r="AE880" s="34"/>
      <c r="AF880" s="34"/>
      <c r="AG880" s="34"/>
      <c r="AH880" s="34"/>
      <c r="AI880" s="34"/>
      <c r="AJ880" s="18"/>
      <c r="AK880" s="18"/>
      <c r="AL880" s="18"/>
      <c r="AM880" s="18"/>
      <c r="AN880" s="34"/>
      <c r="AO880" s="34"/>
      <c r="AP880" s="18"/>
      <c r="AQ880" s="34"/>
      <c r="AR880" s="34"/>
      <c r="AS880" s="34"/>
      <c r="AT880" s="40"/>
      <c r="AU880" s="18"/>
      <c r="AV880" s="34"/>
      <c r="AW880" s="18"/>
      <c r="AX880" s="18"/>
    </row>
    <row r="881" spans="1:50" x14ac:dyDescent="0.2">
      <c r="A881" s="4" t="s">
        <v>55</v>
      </c>
      <c r="B881" s="4" t="s">
        <v>56</v>
      </c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1" t="s">
        <v>588</v>
      </c>
      <c r="AB881" s="42" t="s">
        <v>233</v>
      </c>
      <c r="AC881" s="43" t="s">
        <v>58</v>
      </c>
      <c r="AD881" s="43">
        <v>360000000</v>
      </c>
      <c r="AE881" s="44">
        <v>0</v>
      </c>
      <c r="AF881" s="44">
        <v>0</v>
      </c>
      <c r="AG881" s="44">
        <v>0</v>
      </c>
      <c r="AH881" s="44">
        <v>0</v>
      </c>
      <c r="AI881" s="44">
        <v>0</v>
      </c>
      <c r="AJ881" s="43">
        <v>360000000</v>
      </c>
      <c r="AK881" s="44">
        <v>0</v>
      </c>
      <c r="AL881" s="115">
        <f>AM881-AGOSTO!AM847</f>
        <v>0</v>
      </c>
      <c r="AM881" s="114">
        <v>320207103</v>
      </c>
      <c r="AN881" s="44">
        <v>0</v>
      </c>
      <c r="AO881" s="44">
        <v>0</v>
      </c>
      <c r="AP881" s="18">
        <v>320207103</v>
      </c>
      <c r="AQ881" s="34">
        <v>0</v>
      </c>
      <c r="AR881" s="18">
        <v>35578567</v>
      </c>
      <c r="AS881" s="18">
        <v>249049969</v>
      </c>
      <c r="AT881" s="39">
        <f t="shared" ref="AT881" si="427">AQ881+AS881</f>
        <v>249049969</v>
      </c>
      <c r="AU881" s="18">
        <f>AJ881-AM881</f>
        <v>39792897</v>
      </c>
      <c r="AV881" s="133">
        <f>AM881-AP881</f>
        <v>0</v>
      </c>
      <c r="AW881" s="18">
        <f>AP881-AT881</f>
        <v>71157134</v>
      </c>
      <c r="AX881" s="123">
        <f>AP881/AJ881</f>
        <v>0.88946417499999997</v>
      </c>
    </row>
    <row r="882" spans="1:50" ht="25.5" x14ac:dyDescent="0.2">
      <c r="AA882" s="28" t="s">
        <v>288</v>
      </c>
      <c r="AB882" s="29" t="s">
        <v>589</v>
      </c>
      <c r="AC882" s="17"/>
      <c r="AD882" s="18"/>
      <c r="AE882" s="34"/>
      <c r="AF882" s="34"/>
      <c r="AG882" s="34"/>
      <c r="AH882" s="34"/>
      <c r="AI882" s="34"/>
      <c r="AJ882" s="18"/>
      <c r="AK882" s="34"/>
      <c r="AL882" s="34"/>
      <c r="AM882" s="34"/>
      <c r="AN882" s="34"/>
      <c r="AO882" s="34"/>
      <c r="AP882" s="34"/>
      <c r="AQ882" s="34"/>
      <c r="AR882" s="34"/>
      <c r="AS882" s="34"/>
      <c r="AT882" s="40"/>
      <c r="AU882" s="18"/>
      <c r="AV882" s="18"/>
      <c r="AW882" s="34"/>
      <c r="AX882" s="18"/>
    </row>
    <row r="883" spans="1:50" x14ac:dyDescent="0.2">
      <c r="A883" s="4" t="s">
        <v>55</v>
      </c>
      <c r="B883" s="4" t="s">
        <v>56</v>
      </c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1" t="s">
        <v>590</v>
      </c>
      <c r="AB883" s="42" t="s">
        <v>233</v>
      </c>
      <c r="AC883" s="43" t="s">
        <v>58</v>
      </c>
      <c r="AD883" s="43">
        <v>2564591998.2600002</v>
      </c>
      <c r="AE883" s="44">
        <v>0</v>
      </c>
      <c r="AF883" s="44">
        <v>0</v>
      </c>
      <c r="AG883" s="43">
        <v>185000000</v>
      </c>
      <c r="AH883" s="43">
        <f>602281020+113189627.21+185000000</f>
        <v>900470647.21000004</v>
      </c>
      <c r="AI883" s="43">
        <f>AE883-AF883+AG883-AH883</f>
        <v>-715470647.21000004</v>
      </c>
      <c r="AJ883" s="43">
        <f>AD883+AI883</f>
        <v>1849121351.0500002</v>
      </c>
      <c r="AK883" s="44">
        <v>0</v>
      </c>
      <c r="AL883" s="44">
        <v>0</v>
      </c>
      <c r="AM883" s="44">
        <v>0</v>
      </c>
      <c r="AN883" s="44">
        <v>0</v>
      </c>
      <c r="AO883" s="44">
        <v>0</v>
      </c>
      <c r="AP883" s="34">
        <v>0</v>
      </c>
      <c r="AQ883" s="34">
        <v>0</v>
      </c>
      <c r="AR883" s="34">
        <v>0</v>
      </c>
      <c r="AS883" s="34">
        <v>0</v>
      </c>
      <c r="AT883" s="40">
        <f t="shared" ref="AT883:AT884" si="428">AQ883+AS883</f>
        <v>0</v>
      </c>
      <c r="AU883" s="18">
        <f>AJ883-AM883</f>
        <v>1849121351.0500002</v>
      </c>
      <c r="AV883" s="133">
        <f>AM883-AP883</f>
        <v>0</v>
      </c>
      <c r="AW883" s="34">
        <f>AP883-AT883</f>
        <v>0</v>
      </c>
      <c r="AX883" s="123">
        <f>AP883/AJ883</f>
        <v>0</v>
      </c>
    </row>
    <row r="884" spans="1:50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1" t="s">
        <v>1100</v>
      </c>
      <c r="AB884" s="42" t="s">
        <v>1015</v>
      </c>
      <c r="AC884" s="43"/>
      <c r="AD884" s="43">
        <v>0</v>
      </c>
      <c r="AE884" s="43">
        <v>40000000</v>
      </c>
      <c r="AF884" s="44"/>
      <c r="AG884" s="44"/>
      <c r="AH884" s="291">
        <v>40000000</v>
      </c>
      <c r="AI884" s="43">
        <f>AE884-AF884+AG884-AH884</f>
        <v>0</v>
      </c>
      <c r="AJ884" s="43">
        <f>AD884+AI884</f>
        <v>0</v>
      </c>
      <c r="AK884" s="44">
        <v>0</v>
      </c>
      <c r="AL884" s="44">
        <v>0</v>
      </c>
      <c r="AM884" s="44">
        <v>0</v>
      </c>
      <c r="AN884" s="44">
        <v>0</v>
      </c>
      <c r="AO884" s="44">
        <v>0</v>
      </c>
      <c r="AP884" s="34">
        <v>0</v>
      </c>
      <c r="AQ884" s="34">
        <v>0</v>
      </c>
      <c r="AR884" s="34">
        <v>0</v>
      </c>
      <c r="AS884" s="34">
        <v>0</v>
      </c>
      <c r="AT884" s="40">
        <f t="shared" si="428"/>
        <v>0</v>
      </c>
      <c r="AU884" s="18">
        <f>AJ884-AM884</f>
        <v>0</v>
      </c>
      <c r="AV884" s="133">
        <f>AM884-AP884</f>
        <v>0</v>
      </c>
      <c r="AW884" s="34">
        <f>AP884-AT884</f>
        <v>0</v>
      </c>
      <c r="AX884" s="123">
        <v>0</v>
      </c>
    </row>
    <row r="885" spans="1:50" x14ac:dyDescent="0.2">
      <c r="AA885" s="16"/>
      <c r="AB885" s="17"/>
      <c r="AC885" s="17"/>
      <c r="AD885" s="18"/>
      <c r="AE885" s="34"/>
      <c r="AF885" s="34"/>
      <c r="AG885" s="34"/>
      <c r="AH885" s="34"/>
      <c r="AI885" s="34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30"/>
      <c r="AU885" s="18"/>
      <c r="AV885" s="18"/>
      <c r="AW885" s="18"/>
      <c r="AX885" s="18"/>
    </row>
    <row r="886" spans="1:50" ht="25.5" x14ac:dyDescent="0.2">
      <c r="AA886" s="16"/>
      <c r="AB886" s="29" t="s">
        <v>197</v>
      </c>
      <c r="AC886" s="17"/>
      <c r="AD886" s="18"/>
      <c r="AE886" s="34"/>
      <c r="AF886" s="34"/>
      <c r="AG886" s="34"/>
      <c r="AH886" s="34"/>
      <c r="AI886" s="34"/>
      <c r="AJ886" s="18"/>
      <c r="AK886" s="18"/>
      <c r="AL886" s="18"/>
      <c r="AM886" s="18"/>
      <c r="AN886" s="18"/>
      <c r="AO886" s="18"/>
      <c r="AP886" s="18"/>
      <c r="AQ886" s="18"/>
      <c r="AR886" s="147"/>
      <c r="AS886" s="18"/>
      <c r="AT886" s="30"/>
      <c r="AU886" s="18"/>
      <c r="AV886" s="18"/>
      <c r="AW886" s="18"/>
      <c r="AX886" s="18"/>
    </row>
    <row r="887" spans="1:50" x14ac:dyDescent="0.2">
      <c r="AA887" s="28" t="s">
        <v>288</v>
      </c>
      <c r="AB887" s="29" t="s">
        <v>591</v>
      </c>
      <c r="AC887" s="17"/>
      <c r="AD887" s="18"/>
      <c r="AE887" s="34"/>
      <c r="AF887" s="34"/>
      <c r="AG887" s="34"/>
      <c r="AH887" s="34"/>
      <c r="AI887" s="34"/>
      <c r="AJ887" s="18"/>
      <c r="AK887" s="18"/>
      <c r="AL887" s="18"/>
      <c r="AM887" s="18"/>
      <c r="AN887" s="18"/>
      <c r="AO887" s="18"/>
      <c r="AP887" s="18"/>
      <c r="AQ887" s="18"/>
      <c r="AR887" s="147"/>
      <c r="AS887" s="18"/>
      <c r="AT887" s="30"/>
      <c r="AU887" s="18"/>
      <c r="AV887" s="18"/>
      <c r="AW887" s="18"/>
      <c r="AX887" s="18"/>
    </row>
    <row r="888" spans="1:50" x14ac:dyDescent="0.2">
      <c r="A888" s="314" t="s">
        <v>55</v>
      </c>
      <c r="B888" s="4" t="s">
        <v>56</v>
      </c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1" t="s">
        <v>592</v>
      </c>
      <c r="AB888" s="42" t="s">
        <v>233</v>
      </c>
      <c r="AC888" s="43" t="s">
        <v>58</v>
      </c>
      <c r="AD888" s="43">
        <v>458060751</v>
      </c>
      <c r="AE888" s="44">
        <v>0</v>
      </c>
      <c r="AF888" s="44">
        <v>0</v>
      </c>
      <c r="AG888" s="43">
        <v>118300000</v>
      </c>
      <c r="AH888" s="43">
        <v>8750000</v>
      </c>
      <c r="AI888" s="43">
        <f>AE888-AF888+AG888-AH888</f>
        <v>109550000</v>
      </c>
      <c r="AJ888" s="43">
        <f>AD888+AI888</f>
        <v>567610751</v>
      </c>
      <c r="AK888" s="44">
        <v>0</v>
      </c>
      <c r="AL888" s="43">
        <f>AM888-SEPTIEMBRE!AM865</f>
        <v>10000000</v>
      </c>
      <c r="AM888" s="43">
        <v>542997417.63999999</v>
      </c>
      <c r="AN888" s="44">
        <v>0</v>
      </c>
      <c r="AO888" s="43">
        <v>10000000</v>
      </c>
      <c r="AP888" s="43">
        <v>542997417.63999999</v>
      </c>
      <c r="AQ888" s="110">
        <v>22500000</v>
      </c>
      <c r="AR888" s="148">
        <v>42643333</v>
      </c>
      <c r="AS888" s="18">
        <v>371534086</v>
      </c>
      <c r="AT888" s="39">
        <f t="shared" ref="AT888" si="429">AQ888+AS888</f>
        <v>394034086</v>
      </c>
      <c r="AU888" s="18">
        <f>AJ888-AM888</f>
        <v>24613333.360000014</v>
      </c>
      <c r="AV888" s="133">
        <f>AM888-AP888</f>
        <v>0</v>
      </c>
      <c r="AW888" s="18">
        <f>AP888-AT888</f>
        <v>148963331.63999999</v>
      </c>
      <c r="AX888" s="123">
        <f>AP888/AJ888</f>
        <v>0.9566369500284535</v>
      </c>
    </row>
    <row r="889" spans="1:50" ht="25.5" x14ac:dyDescent="0.2">
      <c r="AA889" s="28" t="s">
        <v>288</v>
      </c>
      <c r="AB889" s="29" t="s">
        <v>593</v>
      </c>
      <c r="AC889" s="17"/>
      <c r="AD889" s="18"/>
      <c r="AE889" s="34"/>
      <c r="AF889" s="34"/>
      <c r="AG889" s="34"/>
      <c r="AH889" s="34"/>
      <c r="AI889" s="34"/>
      <c r="AJ889" s="18"/>
      <c r="AK889" s="34"/>
      <c r="AL889" s="18"/>
      <c r="AM889" s="18"/>
      <c r="AN889" s="34"/>
      <c r="AO889" s="34"/>
      <c r="AP889" s="18"/>
      <c r="AQ889" s="110"/>
      <c r="AR889" s="148"/>
      <c r="AS889" s="18"/>
      <c r="AT889" s="39"/>
      <c r="AU889" s="18"/>
      <c r="AV889" s="34"/>
      <c r="AW889" s="18"/>
      <c r="AX889" s="18"/>
    </row>
    <row r="890" spans="1:50" x14ac:dyDescent="0.2">
      <c r="A890" s="4" t="s">
        <v>55</v>
      </c>
      <c r="B890" s="4" t="s">
        <v>56</v>
      </c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1" t="s">
        <v>594</v>
      </c>
      <c r="AB890" s="42" t="s">
        <v>233</v>
      </c>
      <c r="AC890" s="43" t="s">
        <v>58</v>
      </c>
      <c r="AD890" s="43">
        <v>522500000</v>
      </c>
      <c r="AE890" s="44">
        <v>0</v>
      </c>
      <c r="AF890" s="44">
        <v>0</v>
      </c>
      <c r="AG890" s="43">
        <f>140000000+185000000</f>
        <v>325000000</v>
      </c>
      <c r="AH890" s="43">
        <v>185000000</v>
      </c>
      <c r="AI890" s="43">
        <f>AE890-AF890+AG890-AH890</f>
        <v>140000000</v>
      </c>
      <c r="AJ890" s="43">
        <f>AD890+AI890</f>
        <v>662500000</v>
      </c>
      <c r="AK890" s="44">
        <v>0</v>
      </c>
      <c r="AL890" s="43">
        <f>AM890-SEPTIEMBRE!AM867</f>
        <v>11333333.330000043</v>
      </c>
      <c r="AM890" s="43">
        <v>578949999.98000002</v>
      </c>
      <c r="AN890" s="43">
        <v>0</v>
      </c>
      <c r="AO890" s="43">
        <v>11333333.33</v>
      </c>
      <c r="AP890" s="43">
        <v>578949999.98000002</v>
      </c>
      <c r="AQ890" s="110">
        <v>8000000</v>
      </c>
      <c r="AR890" s="148">
        <v>63166667</v>
      </c>
      <c r="AS890" s="18">
        <v>410866668</v>
      </c>
      <c r="AT890" s="39">
        <f t="shared" ref="AT890" si="430">AQ890+AS890</f>
        <v>418866668</v>
      </c>
      <c r="AU890" s="18">
        <f>AJ890-AM890</f>
        <v>83550000.019999981</v>
      </c>
      <c r="AV890" s="34">
        <f>AM890-AP890</f>
        <v>0</v>
      </c>
      <c r="AW890" s="18">
        <f>AP890-AT890</f>
        <v>160083331.98000002</v>
      </c>
      <c r="AX890" s="123">
        <f>AP890/AJ890</f>
        <v>0.87388679242264156</v>
      </c>
    </row>
    <row r="891" spans="1:50" ht="25.5" x14ac:dyDescent="0.2">
      <c r="AA891" s="28" t="s">
        <v>288</v>
      </c>
      <c r="AB891" s="29" t="s">
        <v>583</v>
      </c>
      <c r="AC891" s="17"/>
      <c r="AD891" s="18"/>
      <c r="AE891" s="34"/>
      <c r="AF891" s="34"/>
      <c r="AG891" s="34"/>
      <c r="AH891" s="34"/>
      <c r="AI891" s="34"/>
      <c r="AJ891" s="18"/>
      <c r="AK891" s="18"/>
      <c r="AL891" s="18"/>
      <c r="AM891" s="18"/>
      <c r="AN891" s="34"/>
      <c r="AO891" s="34"/>
      <c r="AP891" s="18"/>
      <c r="AQ891" s="34"/>
      <c r="AR891" s="145"/>
      <c r="AS891" s="18"/>
      <c r="AT891" s="39"/>
      <c r="AU891" s="18"/>
      <c r="AV891" s="18"/>
      <c r="AW891" s="18"/>
      <c r="AX891" s="18"/>
    </row>
    <row r="892" spans="1:50" x14ac:dyDescent="0.2">
      <c r="A892" s="4" t="s">
        <v>55</v>
      </c>
      <c r="B892" s="4" t="s">
        <v>56</v>
      </c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1" t="s">
        <v>595</v>
      </c>
      <c r="AB892" s="42" t="s">
        <v>233</v>
      </c>
      <c r="AC892" s="43" t="s">
        <v>58</v>
      </c>
      <c r="AD892" s="43">
        <v>100000000</v>
      </c>
      <c r="AE892" s="44">
        <v>0</v>
      </c>
      <c r="AF892" s="44">
        <v>0</v>
      </c>
      <c r="AG892" s="44">
        <v>0</v>
      </c>
      <c r="AH892" s="43">
        <v>46000000</v>
      </c>
      <c r="AI892" s="43">
        <f>AE892-AF892+AG892-AH892</f>
        <v>-46000000</v>
      </c>
      <c r="AJ892" s="43">
        <f>AD892+AI892</f>
        <v>54000000</v>
      </c>
      <c r="AK892" s="44">
        <v>0</v>
      </c>
      <c r="AL892" s="43">
        <f>AM892-SEPTIEMBRE!AM869</f>
        <v>0</v>
      </c>
      <c r="AM892" s="43">
        <v>54000000</v>
      </c>
      <c r="AN892" s="44">
        <v>0</v>
      </c>
      <c r="AO892" s="44">
        <v>0</v>
      </c>
      <c r="AP892" s="43">
        <v>54000000</v>
      </c>
      <c r="AQ892" s="34">
        <v>0</v>
      </c>
      <c r="AR892" s="147">
        <v>7584313.1900000004</v>
      </c>
      <c r="AS892" s="18">
        <v>37633333</v>
      </c>
      <c r="AT892" s="39">
        <f t="shared" ref="AT892" si="431">AQ892+AS892</f>
        <v>37633333</v>
      </c>
      <c r="AU892" s="18">
        <f>AJ892-AM892</f>
        <v>0</v>
      </c>
      <c r="AV892" s="34">
        <f>AM892-AP892</f>
        <v>0</v>
      </c>
      <c r="AW892" s="18">
        <f>AP892-AT892</f>
        <v>16366667</v>
      </c>
      <c r="AX892" s="123">
        <f>AP892/AJ892</f>
        <v>1</v>
      </c>
    </row>
    <row r="893" spans="1:50" ht="25.5" x14ac:dyDescent="0.2">
      <c r="AA893" s="28" t="s">
        <v>288</v>
      </c>
      <c r="AB893" s="29" t="s">
        <v>596</v>
      </c>
      <c r="AC893" s="17"/>
      <c r="AD893" s="18"/>
      <c r="AE893" s="34"/>
      <c r="AF893" s="34"/>
      <c r="AG893" s="34"/>
      <c r="AH893" s="34"/>
      <c r="AI893" s="34"/>
      <c r="AJ893" s="18"/>
      <c r="AK893" s="34"/>
      <c r="AL893" s="133"/>
      <c r="AM893" s="110"/>
      <c r="AN893" s="34"/>
      <c r="AO893" s="34"/>
      <c r="AP893" s="34"/>
      <c r="AQ893" s="34"/>
      <c r="AR893" s="145"/>
      <c r="AS893" s="18"/>
      <c r="AT893" s="39"/>
      <c r="AU893" s="18"/>
      <c r="AV893" s="34"/>
      <c r="AW893" s="18"/>
      <c r="AX893" s="18"/>
    </row>
    <row r="894" spans="1:50" x14ac:dyDescent="0.2">
      <c r="A894" s="4" t="s">
        <v>55</v>
      </c>
      <c r="B894" s="4" t="s">
        <v>56</v>
      </c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1" t="s">
        <v>597</v>
      </c>
      <c r="AB894" s="42" t="s">
        <v>233</v>
      </c>
      <c r="AC894" s="43" t="s">
        <v>58</v>
      </c>
      <c r="AD894" s="43">
        <v>279700000</v>
      </c>
      <c r="AE894" s="44">
        <v>0</v>
      </c>
      <c r="AF894" s="44">
        <v>0</v>
      </c>
      <c r="AG894" s="44">
        <v>0</v>
      </c>
      <c r="AH894" s="44">
        <v>0</v>
      </c>
      <c r="AI894" s="44">
        <v>0</v>
      </c>
      <c r="AJ894" s="43">
        <v>279700000</v>
      </c>
      <c r="AK894" s="44">
        <v>0</v>
      </c>
      <c r="AL894" s="43">
        <f>AM894-SEPTIEMBRE!AM871</f>
        <v>45720000</v>
      </c>
      <c r="AM894" s="114">
        <v>239320000</v>
      </c>
      <c r="AN894" s="44">
        <v>0</v>
      </c>
      <c r="AO894" s="43">
        <v>45720000</v>
      </c>
      <c r="AP894" s="114">
        <v>239320000</v>
      </c>
      <c r="AQ894" s="34">
        <v>0</v>
      </c>
      <c r="AR894" s="147">
        <v>24200000</v>
      </c>
      <c r="AS894" s="18">
        <v>177473333</v>
      </c>
      <c r="AT894" s="39">
        <f t="shared" ref="AT894" si="432">AQ894+AS894</f>
        <v>177473333</v>
      </c>
      <c r="AU894" s="18">
        <f>AJ894-AM894</f>
        <v>40380000</v>
      </c>
      <c r="AV894" s="133">
        <f>AM894-AP894</f>
        <v>0</v>
      </c>
      <c r="AW894" s="18">
        <f>AP894-AT894</f>
        <v>61846667</v>
      </c>
      <c r="AX894" s="123">
        <f>AP894/AJ894</f>
        <v>0.85563103324991063</v>
      </c>
    </row>
    <row r="895" spans="1:50" ht="38.25" x14ac:dyDescent="0.2">
      <c r="AA895" s="28" t="s">
        <v>288</v>
      </c>
      <c r="AB895" s="29" t="s">
        <v>598</v>
      </c>
      <c r="AC895" s="17"/>
      <c r="AD895" s="18"/>
      <c r="AE895" s="34"/>
      <c r="AF895" s="34"/>
      <c r="AG895" s="34"/>
      <c r="AH895" s="34"/>
      <c r="AI895" s="34"/>
      <c r="AJ895" s="18"/>
      <c r="AK895" s="34"/>
      <c r="AL895" s="34"/>
      <c r="AM895" s="18"/>
      <c r="AN895" s="18"/>
      <c r="AO895" s="18"/>
      <c r="AP895" s="18"/>
      <c r="AQ895" s="110"/>
      <c r="AR895" s="148"/>
      <c r="AS895" s="18"/>
      <c r="AT895" s="30"/>
      <c r="AU895" s="18"/>
      <c r="AV895" s="18"/>
      <c r="AW895" s="18"/>
      <c r="AX895" s="18"/>
    </row>
    <row r="896" spans="1:50" x14ac:dyDescent="0.2">
      <c r="A896" s="4" t="s">
        <v>55</v>
      </c>
      <c r="B896" s="4" t="s">
        <v>56</v>
      </c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1" t="s">
        <v>599</v>
      </c>
      <c r="AB896" s="42" t="s">
        <v>233</v>
      </c>
      <c r="AC896" s="43" t="s">
        <v>58</v>
      </c>
      <c r="AD896" s="43">
        <v>418000000</v>
      </c>
      <c r="AE896" s="44">
        <v>0</v>
      </c>
      <c r="AF896" s="44">
        <v>0</v>
      </c>
      <c r="AG896" s="43">
        <v>22500000</v>
      </c>
      <c r="AH896" s="43">
        <v>30000000</v>
      </c>
      <c r="AI896" s="142">
        <f>AE896-AF896+AG896-AH896</f>
        <v>-7500000</v>
      </c>
      <c r="AJ896" s="142">
        <f>AD896+AI896</f>
        <v>410500000</v>
      </c>
      <c r="AK896" s="44">
        <v>0</v>
      </c>
      <c r="AL896" s="43">
        <f>AM896-SEPTIEMBRE!AM873</f>
        <v>14400000</v>
      </c>
      <c r="AM896" s="43">
        <v>409500000.02999997</v>
      </c>
      <c r="AN896" s="44">
        <v>0</v>
      </c>
      <c r="AO896" s="43">
        <v>14400000</v>
      </c>
      <c r="AP896" s="43">
        <v>409500000.02999997</v>
      </c>
      <c r="AQ896" s="18">
        <v>8000000</v>
      </c>
      <c r="AR896" s="148">
        <v>31500000</v>
      </c>
      <c r="AS896" s="110">
        <v>292866670</v>
      </c>
      <c r="AT896" s="111">
        <f t="shared" si="420"/>
        <v>300866670</v>
      </c>
      <c r="AU896" s="18">
        <f>AJ896-AM896</f>
        <v>999999.97000002861</v>
      </c>
      <c r="AV896" s="133">
        <f>AM896-AP896</f>
        <v>0</v>
      </c>
      <c r="AW896" s="18">
        <f>AP896-AT896</f>
        <v>108633330.02999997</v>
      </c>
      <c r="AX896" s="123">
        <f>AP896/AJ896</f>
        <v>0.99756394647990254</v>
      </c>
    </row>
    <row r="897" spans="1:50" x14ac:dyDescent="0.2">
      <c r="AA897" s="28" t="s">
        <v>288</v>
      </c>
      <c r="AB897" s="29" t="s">
        <v>600</v>
      </c>
      <c r="AC897" s="17"/>
      <c r="AD897" s="18"/>
      <c r="AE897" s="34"/>
      <c r="AF897" s="34"/>
      <c r="AG897" s="34"/>
      <c r="AH897" s="34"/>
      <c r="AI897" s="34"/>
      <c r="AJ897" s="18"/>
      <c r="AK897" s="34"/>
      <c r="AL897" s="34"/>
      <c r="AM897" s="18"/>
      <c r="AN897" s="34"/>
      <c r="AO897" s="34"/>
      <c r="AP897" s="18"/>
      <c r="AQ897" s="34"/>
      <c r="AR897" s="145"/>
      <c r="AS897" s="34"/>
      <c r="AT897" s="40"/>
      <c r="AU897" s="18"/>
      <c r="AV897" s="18"/>
      <c r="AW897" s="18"/>
      <c r="AX897" s="18"/>
    </row>
    <row r="898" spans="1:50" s="150" customFormat="1" x14ac:dyDescent="0.2">
      <c r="A898" s="140" t="s">
        <v>55</v>
      </c>
      <c r="B898" s="140" t="s">
        <v>56</v>
      </c>
      <c r="C898" s="140"/>
      <c r="D898" s="140"/>
      <c r="E898" s="140"/>
      <c r="F898" s="140"/>
      <c r="G898" s="140"/>
      <c r="H898" s="140"/>
      <c r="I898" s="140"/>
      <c r="J898" s="140"/>
      <c r="K898" s="140"/>
      <c r="L898" s="140"/>
      <c r="M898" s="140"/>
      <c r="N898" s="140"/>
      <c r="O898" s="140"/>
      <c r="P898" s="140"/>
      <c r="Q898" s="140"/>
      <c r="R898" s="140"/>
      <c r="S898" s="140"/>
      <c r="T898" s="140"/>
      <c r="U898" s="140"/>
      <c r="V898" s="140"/>
      <c r="W898" s="140"/>
      <c r="X898" s="140"/>
      <c r="Y898" s="140"/>
      <c r="Z898" s="140"/>
      <c r="AA898" s="134" t="s">
        <v>601</v>
      </c>
      <c r="AB898" s="69" t="s">
        <v>233</v>
      </c>
      <c r="AC898" s="142" t="s">
        <v>58</v>
      </c>
      <c r="AD898" s="142">
        <v>337300000</v>
      </c>
      <c r="AE898" s="143">
        <v>0</v>
      </c>
      <c r="AF898" s="143">
        <v>0</v>
      </c>
      <c r="AG898" s="143">
        <v>0</v>
      </c>
      <c r="AH898" s="142">
        <f>31295090+46856431.35</f>
        <v>78151521.349999994</v>
      </c>
      <c r="AI898" s="142">
        <f>AE898-AF898+AG898-AH898</f>
        <v>-78151521.349999994</v>
      </c>
      <c r="AJ898" s="142">
        <f>AD898+AI898</f>
        <v>259148478.65000001</v>
      </c>
      <c r="AK898" s="143">
        <v>0</v>
      </c>
      <c r="AL898" s="43">
        <f>AM898-AGOSTO!AM864</f>
        <v>0</v>
      </c>
      <c r="AM898" s="144">
        <v>259148478.65000001</v>
      </c>
      <c r="AN898" s="143">
        <v>0</v>
      </c>
      <c r="AO898" s="143">
        <v>0</v>
      </c>
      <c r="AP898" s="142">
        <v>259148478.65000001</v>
      </c>
      <c r="AQ898" s="145">
        <v>0</v>
      </c>
      <c r="AR898" s="147">
        <v>25668003.940000001</v>
      </c>
      <c r="AS898" s="147">
        <v>133878722.45999999</v>
      </c>
      <c r="AT898" s="267">
        <f t="shared" ref="AT898" si="433">AQ898+AS898</f>
        <v>133878722.45999999</v>
      </c>
      <c r="AU898" s="145">
        <f>AJ898-AM898</f>
        <v>0</v>
      </c>
      <c r="AV898" s="175">
        <f>AM898-AP898</f>
        <v>0</v>
      </c>
      <c r="AW898" s="147">
        <f>AP898-AT898</f>
        <v>125269756.19000001</v>
      </c>
      <c r="AX898" s="149">
        <f>AP898/AJ898</f>
        <v>1</v>
      </c>
    </row>
    <row r="899" spans="1:50" ht="25.5" x14ac:dyDescent="0.2">
      <c r="AA899" s="28" t="s">
        <v>288</v>
      </c>
      <c r="AB899" s="29" t="s">
        <v>602</v>
      </c>
      <c r="AC899" s="17"/>
      <c r="AD899" s="18"/>
      <c r="AE899" s="18"/>
      <c r="AF899" s="18"/>
      <c r="AG899" s="18"/>
      <c r="AH899" s="18"/>
      <c r="AI899" s="18"/>
      <c r="AJ899" s="18"/>
      <c r="AK899" s="34"/>
      <c r="AL899" s="34"/>
      <c r="AM899" s="34"/>
      <c r="AN899" s="34"/>
      <c r="AO899" s="34"/>
      <c r="AP899" s="34"/>
      <c r="AQ899" s="34"/>
      <c r="AR899" s="34"/>
      <c r="AS899" s="34"/>
      <c r="AT899" s="40"/>
      <c r="AU899" s="18"/>
      <c r="AV899" s="18"/>
      <c r="AW899" s="18"/>
      <c r="AX899" s="18"/>
    </row>
    <row r="900" spans="1:50" x14ac:dyDescent="0.2">
      <c r="A900" s="4" t="s">
        <v>55</v>
      </c>
      <c r="B900" s="4" t="s">
        <v>56</v>
      </c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1" t="s">
        <v>603</v>
      </c>
      <c r="AB900" s="42" t="s">
        <v>233</v>
      </c>
      <c r="AC900" s="43" t="s">
        <v>58</v>
      </c>
      <c r="AD900" s="44">
        <v>0</v>
      </c>
      <c r="AE900" s="44">
        <v>0</v>
      </c>
      <c r="AF900" s="44">
        <v>0</v>
      </c>
      <c r="AG900" s="43">
        <v>4400000</v>
      </c>
      <c r="AH900" s="44">
        <v>0</v>
      </c>
      <c r="AI900" s="43">
        <f>AE900-AF900+AG900-AH900</f>
        <v>4400000</v>
      </c>
      <c r="AJ900" s="43">
        <f>AD900+AI900</f>
        <v>4400000</v>
      </c>
      <c r="AK900" s="44">
        <v>0</v>
      </c>
      <c r="AL900" s="43">
        <f>AM900-SEPTIEMBRE!AM877</f>
        <v>0</v>
      </c>
      <c r="AM900" s="44">
        <v>0</v>
      </c>
      <c r="AN900" s="44">
        <v>0</v>
      </c>
      <c r="AO900" s="44">
        <v>0</v>
      </c>
      <c r="AP900" s="44">
        <v>0</v>
      </c>
      <c r="AQ900" s="34">
        <v>0</v>
      </c>
      <c r="AR900" s="34">
        <v>0</v>
      </c>
      <c r="AS900" s="34">
        <v>0</v>
      </c>
      <c r="AT900" s="40">
        <f t="shared" ref="AT900" si="434">AQ900+AS900</f>
        <v>0</v>
      </c>
      <c r="AU900" s="18">
        <f>AJ900-AM900</f>
        <v>4400000</v>
      </c>
      <c r="AV900" s="133">
        <f>AM900-AP900</f>
        <v>0</v>
      </c>
      <c r="AW900" s="34">
        <f>AP900-AT900</f>
        <v>0</v>
      </c>
      <c r="AX900" s="123">
        <f>AP900/AJ900</f>
        <v>0</v>
      </c>
    </row>
    <row r="901" spans="1:50" ht="25.5" x14ac:dyDescent="0.2">
      <c r="AA901" s="28" t="s">
        <v>288</v>
      </c>
      <c r="AB901" s="29" t="s">
        <v>197</v>
      </c>
      <c r="AC901" s="17"/>
      <c r="AD901" s="34"/>
      <c r="AE901" s="34"/>
      <c r="AF901" s="34"/>
      <c r="AG901" s="18"/>
      <c r="AH901" s="34"/>
      <c r="AI901" s="18"/>
      <c r="AJ901" s="147"/>
      <c r="AK901" s="34"/>
      <c r="AL901" s="34"/>
      <c r="AM901" s="34"/>
      <c r="AN901" s="34"/>
      <c r="AO901" s="34"/>
      <c r="AP901" s="34"/>
      <c r="AQ901" s="34"/>
      <c r="AR901" s="34"/>
      <c r="AS901" s="34"/>
      <c r="AT901" s="40"/>
      <c r="AU901" s="18"/>
      <c r="AV901" s="34"/>
      <c r="AW901" s="34"/>
      <c r="AX901" s="18"/>
    </row>
    <row r="902" spans="1:50" x14ac:dyDescent="0.2">
      <c r="A902" s="4" t="s">
        <v>55</v>
      </c>
      <c r="B902" s="4" t="s">
        <v>56</v>
      </c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1" t="s">
        <v>604</v>
      </c>
      <c r="AB902" s="42" t="s">
        <v>233</v>
      </c>
      <c r="AC902" s="43" t="s">
        <v>58</v>
      </c>
      <c r="AD902" s="44">
        <v>0</v>
      </c>
      <c r="AE902" s="44">
        <v>0</v>
      </c>
      <c r="AF902" s="44">
        <v>0</v>
      </c>
      <c r="AG902" s="43">
        <f>88500000</f>
        <v>88500000</v>
      </c>
      <c r="AH902" s="43">
        <v>20700000</v>
      </c>
      <c r="AI902" s="43">
        <f>AE902-AF902+AG902-AH902</f>
        <v>67800000</v>
      </c>
      <c r="AJ902" s="142">
        <f>AD902+AI902</f>
        <v>67800000</v>
      </c>
      <c r="AK902" s="44">
        <v>0</v>
      </c>
      <c r="AL902" s="43">
        <f>AM902-SEPTIEMBRE!AM879</f>
        <v>0</v>
      </c>
      <c r="AM902" s="43">
        <v>23280000</v>
      </c>
      <c r="AN902" s="44">
        <v>0</v>
      </c>
      <c r="AO902" s="43">
        <v>0</v>
      </c>
      <c r="AP902" s="43">
        <v>23280000</v>
      </c>
      <c r="AQ902" s="34">
        <v>0</v>
      </c>
      <c r="AR902" s="34">
        <v>0</v>
      </c>
      <c r="AS902" s="34">
        <v>0</v>
      </c>
      <c r="AT902" s="40">
        <f t="shared" ref="AT902:AT904" si="435">AQ902+AS902</f>
        <v>0</v>
      </c>
      <c r="AU902" s="18">
        <f>AJ902-AM902</f>
        <v>44520000</v>
      </c>
      <c r="AV902" s="34">
        <f>AM902-AP902</f>
        <v>0</v>
      </c>
      <c r="AW902" s="18">
        <f>AP902-AT902</f>
        <v>23280000</v>
      </c>
      <c r="AX902" s="123">
        <f>AP902/AJ902</f>
        <v>0.3433628318584071</v>
      </c>
    </row>
    <row r="903" spans="1:50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1" t="s">
        <v>1225</v>
      </c>
      <c r="AB903" s="42" t="s">
        <v>233</v>
      </c>
      <c r="AC903" s="43"/>
      <c r="AD903" s="44">
        <v>0</v>
      </c>
      <c r="AE903" s="44">
        <v>0</v>
      </c>
      <c r="AF903" s="44">
        <v>0</v>
      </c>
      <c r="AG903" s="43">
        <f>113189627.21+602281020</f>
        <v>715470647.21000004</v>
      </c>
      <c r="AH903" s="43"/>
      <c r="AI903" s="43">
        <f>AE903-AF903+AG903-AH903</f>
        <v>715470647.21000004</v>
      </c>
      <c r="AJ903" s="142">
        <f>AD903+AI903</f>
        <v>715470647.21000004</v>
      </c>
      <c r="AK903" s="44">
        <v>0</v>
      </c>
      <c r="AL903" s="43">
        <f>AM903-SEPTIEMBRE!AM880</f>
        <v>0</v>
      </c>
      <c r="AM903" s="43">
        <v>715470647.21000004</v>
      </c>
      <c r="AN903" s="44">
        <v>0</v>
      </c>
      <c r="AO903" s="44">
        <v>0</v>
      </c>
      <c r="AP903" s="44">
        <v>0</v>
      </c>
      <c r="AQ903" s="34">
        <v>0</v>
      </c>
      <c r="AR903" s="34">
        <v>0</v>
      </c>
      <c r="AS903" s="34">
        <v>0</v>
      </c>
      <c r="AT903" s="40">
        <f t="shared" si="435"/>
        <v>0</v>
      </c>
      <c r="AU903" s="34">
        <f>AJ903-AM903</f>
        <v>0</v>
      </c>
      <c r="AV903" s="18">
        <f>AM903-AP903</f>
        <v>715470647.21000004</v>
      </c>
      <c r="AW903" s="34">
        <f>AP903-AT903</f>
        <v>0</v>
      </c>
      <c r="AX903" s="123">
        <f>AP903/AJ903</f>
        <v>0</v>
      </c>
    </row>
    <row r="904" spans="1:50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1" t="s">
        <v>1318</v>
      </c>
      <c r="AB904" s="42" t="s">
        <v>1015</v>
      </c>
      <c r="AC904" s="43"/>
      <c r="AD904" s="44">
        <v>0</v>
      </c>
      <c r="AE904" s="44">
        <v>0</v>
      </c>
      <c r="AF904" s="44">
        <v>0</v>
      </c>
      <c r="AG904" s="43">
        <f>40000000</f>
        <v>40000000</v>
      </c>
      <c r="AH904" s="43"/>
      <c r="AI904" s="43">
        <f>AE904-AF904+AG904-AH904</f>
        <v>40000000</v>
      </c>
      <c r="AJ904" s="142">
        <f>AD904+AI904</f>
        <v>40000000</v>
      </c>
      <c r="AK904" s="44">
        <v>0</v>
      </c>
      <c r="AL904" s="43">
        <f>AM904-SEPTIEMBRE!AM881</f>
        <v>0</v>
      </c>
      <c r="AM904" s="43">
        <v>40000000</v>
      </c>
      <c r="AN904" s="44">
        <v>0</v>
      </c>
      <c r="AO904" s="44">
        <v>0</v>
      </c>
      <c r="AP904" s="44">
        <v>0</v>
      </c>
      <c r="AQ904" s="34">
        <v>0</v>
      </c>
      <c r="AR904" s="34">
        <v>0</v>
      </c>
      <c r="AS904" s="34">
        <v>0</v>
      </c>
      <c r="AT904" s="40">
        <f t="shared" si="435"/>
        <v>0</v>
      </c>
      <c r="AU904" s="34">
        <f>AJ904-AM904</f>
        <v>0</v>
      </c>
      <c r="AV904" s="18">
        <f>AM904-AP904</f>
        <v>40000000</v>
      </c>
      <c r="AW904" s="34">
        <f>AP904-AT904</f>
        <v>0</v>
      </c>
      <c r="AX904" s="123">
        <f>AP904/AJ904</f>
        <v>0</v>
      </c>
    </row>
    <row r="905" spans="1:50" ht="25.5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73" t="s">
        <v>288</v>
      </c>
      <c r="AB905" s="74" t="s">
        <v>1378</v>
      </c>
      <c r="AC905" s="43"/>
      <c r="AD905" s="44"/>
      <c r="AE905" s="44"/>
      <c r="AF905" s="44"/>
      <c r="AG905" s="43"/>
      <c r="AH905" s="43"/>
      <c r="AI905" s="43"/>
      <c r="AJ905" s="43"/>
      <c r="AK905" s="44"/>
      <c r="AL905" s="44"/>
      <c r="AM905" s="44"/>
      <c r="AN905" s="44"/>
      <c r="AO905" s="44"/>
      <c r="AP905" s="44"/>
      <c r="AQ905" s="34"/>
      <c r="AR905" s="34"/>
      <c r="AS905" s="34"/>
      <c r="AT905" s="40"/>
      <c r="AU905" s="18"/>
      <c r="AV905" s="133"/>
      <c r="AW905" s="34"/>
      <c r="AX905" s="123"/>
    </row>
    <row r="906" spans="1:50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1" t="s">
        <v>1377</v>
      </c>
      <c r="AB906" s="42" t="s">
        <v>233</v>
      </c>
      <c r="AC906" s="43"/>
      <c r="AD906" s="44"/>
      <c r="AE906" s="44">
        <v>0</v>
      </c>
      <c r="AF906" s="44">
        <v>0</v>
      </c>
      <c r="AG906" s="43">
        <v>20000000</v>
      </c>
      <c r="AH906" s="43">
        <v>0</v>
      </c>
      <c r="AI906" s="43">
        <f>AE906-AF906+AG906-AH906</f>
        <v>20000000</v>
      </c>
      <c r="AJ906" s="43">
        <f>AD906+AI906</f>
        <v>20000000</v>
      </c>
      <c r="AK906" s="43">
        <v>0</v>
      </c>
      <c r="AL906" s="43">
        <f>AM906-SEPTIEMBRE!AM883</f>
        <v>20000000</v>
      </c>
      <c r="AM906" s="43">
        <v>20000000</v>
      </c>
      <c r="AN906" s="43">
        <v>20000000</v>
      </c>
      <c r="AO906" s="44">
        <v>0</v>
      </c>
      <c r="AP906" s="44">
        <v>0</v>
      </c>
      <c r="AQ906" s="34">
        <v>0</v>
      </c>
      <c r="AR906" s="34">
        <v>0</v>
      </c>
      <c r="AS906" s="34">
        <v>0</v>
      </c>
      <c r="AT906" s="40">
        <f t="shared" ref="AT906" si="436">AQ906+AS906</f>
        <v>0</v>
      </c>
      <c r="AU906" s="18">
        <f>AJ906-AM906</f>
        <v>0</v>
      </c>
      <c r="AV906" s="18">
        <f>AM906-AP906</f>
        <v>20000000</v>
      </c>
      <c r="AW906" s="34">
        <f>AP906-AT906</f>
        <v>0</v>
      </c>
      <c r="AX906" s="123">
        <f>AP906/AJ906</f>
        <v>0</v>
      </c>
    </row>
    <row r="907" spans="1:50" ht="38.25" x14ac:dyDescent="0.2">
      <c r="AA907" s="28" t="s">
        <v>288</v>
      </c>
      <c r="AB907" s="29" t="s">
        <v>606</v>
      </c>
      <c r="AC907" s="17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30"/>
      <c r="AU907" s="18"/>
      <c r="AV907" s="34"/>
      <c r="AW907" s="18"/>
      <c r="AX907" s="18"/>
    </row>
    <row r="908" spans="1:50" x14ac:dyDescent="0.2">
      <c r="A908" s="4" t="s">
        <v>55</v>
      </c>
      <c r="B908" s="4" t="s">
        <v>56</v>
      </c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1" t="s">
        <v>607</v>
      </c>
      <c r="AB908" s="42" t="s">
        <v>233</v>
      </c>
      <c r="AC908" s="43" t="s">
        <v>58</v>
      </c>
      <c r="AD908" s="43">
        <v>859800000</v>
      </c>
      <c r="AE908" s="44">
        <v>0</v>
      </c>
      <c r="AF908" s="44">
        <v>0</v>
      </c>
      <c r="AG908" s="43">
        <f>300000000+313000000+8750000</f>
        <v>621750000</v>
      </c>
      <c r="AH908" s="43">
        <f>900000+258300000</f>
        <v>259200000</v>
      </c>
      <c r="AI908" s="43">
        <f>AE908-AF908+AG908-AH908</f>
        <v>362550000</v>
      </c>
      <c r="AJ908" s="43">
        <f>AD908+AI908</f>
        <v>1222350000</v>
      </c>
      <c r="AK908" s="44">
        <v>0</v>
      </c>
      <c r="AL908" s="43">
        <f>AM908-SEPTIEMBRE!AM885</f>
        <v>174950070</v>
      </c>
      <c r="AM908" s="43">
        <v>973953702.67999995</v>
      </c>
      <c r="AN908" s="44">
        <v>0</v>
      </c>
      <c r="AO908" s="43">
        <v>121229503</v>
      </c>
      <c r="AP908" s="43">
        <v>920233135.67999995</v>
      </c>
      <c r="AQ908" s="18">
        <v>3500000</v>
      </c>
      <c r="AR908" s="110">
        <v>74583334</v>
      </c>
      <c r="AS908" s="110">
        <v>570088303.39999998</v>
      </c>
      <c r="AT908" s="111">
        <f t="shared" si="420"/>
        <v>573588303.39999998</v>
      </c>
      <c r="AU908" s="18">
        <f>AJ908-AM908</f>
        <v>248396297.32000005</v>
      </c>
      <c r="AV908" s="18">
        <f>AM908-AP908</f>
        <v>53720567</v>
      </c>
      <c r="AW908" s="18">
        <f>AP908-AT908</f>
        <v>346644832.27999997</v>
      </c>
      <c r="AX908" s="123">
        <f>AP908/AJ908</f>
        <v>0.75283931417351813</v>
      </c>
    </row>
    <row r="909" spans="1:50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1" t="s">
        <v>1101</v>
      </c>
      <c r="AB909" s="42" t="s">
        <v>1015</v>
      </c>
      <c r="AC909" s="43"/>
      <c r="AD909" s="43">
        <v>0</v>
      </c>
      <c r="AE909" s="43">
        <v>25000000</v>
      </c>
      <c r="AF909" s="44">
        <v>0</v>
      </c>
      <c r="AG909" s="44">
        <v>0</v>
      </c>
      <c r="AH909" s="44">
        <v>0</v>
      </c>
      <c r="AI909" s="43">
        <f>AE909-AF909+AG909-AH909</f>
        <v>25000000</v>
      </c>
      <c r="AJ909" s="43">
        <f>AD909+AI909</f>
        <v>25000000</v>
      </c>
      <c r="AK909" s="44">
        <v>0</v>
      </c>
      <c r="AL909" s="44">
        <v>0</v>
      </c>
      <c r="AM909" s="44">
        <v>0</v>
      </c>
      <c r="AN909" s="44">
        <v>0</v>
      </c>
      <c r="AO909" s="44">
        <v>0</v>
      </c>
      <c r="AP909" s="44">
        <v>0</v>
      </c>
      <c r="AQ909" s="34">
        <v>0</v>
      </c>
      <c r="AR909" s="133">
        <v>0</v>
      </c>
      <c r="AS909" s="133">
        <v>0</v>
      </c>
      <c r="AT909" s="135">
        <f t="shared" si="420"/>
        <v>0</v>
      </c>
      <c r="AU909" s="18">
        <f>AJ909-AM909</f>
        <v>25000000</v>
      </c>
      <c r="AV909" s="34">
        <f>AM909-AP909</f>
        <v>0</v>
      </c>
      <c r="AW909" s="18">
        <f>AP909-AT909</f>
        <v>0</v>
      </c>
      <c r="AX909" s="123">
        <f>AP909/AJ909</f>
        <v>0</v>
      </c>
    </row>
    <row r="910" spans="1:50" ht="25.5" x14ac:dyDescent="0.2">
      <c r="AA910" s="28" t="s">
        <v>288</v>
      </c>
      <c r="AB910" s="29" t="s">
        <v>608</v>
      </c>
      <c r="AC910" s="17"/>
      <c r="AD910" s="18"/>
      <c r="AE910" s="34"/>
      <c r="AF910" s="34"/>
      <c r="AG910" s="34"/>
      <c r="AH910" s="18"/>
      <c r="AI910" s="18"/>
      <c r="AJ910" s="18"/>
      <c r="AK910" s="34"/>
      <c r="AL910" s="18"/>
      <c r="AM910" s="18"/>
      <c r="AN910" s="34"/>
      <c r="AO910" s="147"/>
      <c r="AP910" s="18"/>
      <c r="AQ910" s="34"/>
      <c r="AR910" s="34"/>
      <c r="AS910" s="34"/>
      <c r="AT910" s="40">
        <f t="shared" si="420"/>
        <v>0</v>
      </c>
      <c r="AU910" s="18"/>
      <c r="AV910" s="34"/>
      <c r="AW910" s="18"/>
      <c r="AX910" s="18"/>
    </row>
    <row r="911" spans="1:50" x14ac:dyDescent="0.2">
      <c r="A911" s="4" t="s">
        <v>55</v>
      </c>
      <c r="B911" s="4" t="s">
        <v>56</v>
      </c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1" t="s">
        <v>609</v>
      </c>
      <c r="AB911" s="42" t="s">
        <v>233</v>
      </c>
      <c r="AC911" s="43" t="s">
        <v>58</v>
      </c>
      <c r="AD911" s="43">
        <v>20000000</v>
      </c>
      <c r="AE911" s="44">
        <v>0</v>
      </c>
      <c r="AF911" s="44">
        <v>0</v>
      </c>
      <c r="AG911" s="44">
        <v>0</v>
      </c>
      <c r="AH911" s="43">
        <v>20000000</v>
      </c>
      <c r="AI911" s="43">
        <f>AE911-AF911+AG911-AH911</f>
        <v>-20000000</v>
      </c>
      <c r="AJ911" s="43">
        <f>AD911+AI911</f>
        <v>0</v>
      </c>
      <c r="AK911" s="44">
        <v>0</v>
      </c>
      <c r="AL911" s="143">
        <v>0</v>
      </c>
      <c r="AM911" s="44">
        <v>0</v>
      </c>
      <c r="AN911" s="44">
        <v>0</v>
      </c>
      <c r="AO911" s="143">
        <f>AP911-'MARZO '!AP689</f>
        <v>0</v>
      </c>
      <c r="AP911" s="44">
        <v>0</v>
      </c>
      <c r="AQ911" s="34">
        <v>0</v>
      </c>
      <c r="AR911" s="145">
        <v>0</v>
      </c>
      <c r="AS911" s="34">
        <v>0</v>
      </c>
      <c r="AT911" s="40">
        <f t="shared" si="420"/>
        <v>0</v>
      </c>
      <c r="AU911" s="18">
        <f>AJ911-AM911</f>
        <v>0</v>
      </c>
      <c r="AV911" s="133">
        <f>AM911-AP911</f>
        <v>0</v>
      </c>
      <c r="AW911" s="34">
        <f>AP911-AT911</f>
        <v>0</v>
      </c>
      <c r="AX911" s="123">
        <v>0</v>
      </c>
    </row>
    <row r="912" spans="1:50" x14ac:dyDescent="0.2">
      <c r="AA912" s="28" t="s">
        <v>288</v>
      </c>
      <c r="AB912" s="29" t="s">
        <v>400</v>
      </c>
      <c r="AC912" s="17"/>
      <c r="AD912" s="18"/>
      <c r="AE912" s="34"/>
      <c r="AF912" s="34"/>
      <c r="AG912" s="34"/>
      <c r="AH912" s="34"/>
      <c r="AI912" s="34"/>
      <c r="AJ912" s="18"/>
      <c r="AK912" s="34"/>
      <c r="AL912" s="147"/>
      <c r="AM912" s="18"/>
      <c r="AN912" s="34"/>
      <c r="AO912" s="145"/>
      <c r="AP912" s="18"/>
      <c r="AQ912" s="34"/>
      <c r="AR912" s="145"/>
      <c r="AS912" s="34"/>
      <c r="AT912" s="40"/>
      <c r="AU912" s="18"/>
      <c r="AV912" s="34"/>
      <c r="AW912" s="18"/>
      <c r="AX912" s="18"/>
    </row>
    <row r="913" spans="1:50" x14ac:dyDescent="0.2">
      <c r="A913" s="4" t="s">
        <v>55</v>
      </c>
      <c r="B913" s="4" t="s">
        <v>56</v>
      </c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1" t="s">
        <v>610</v>
      </c>
      <c r="AB913" s="42" t="s">
        <v>233</v>
      </c>
      <c r="AC913" s="43" t="s">
        <v>58</v>
      </c>
      <c r="AD913" s="43">
        <v>379500000</v>
      </c>
      <c r="AE913" s="44">
        <v>0</v>
      </c>
      <c r="AF913" s="44">
        <v>0</v>
      </c>
      <c r="AG913" s="44">
        <v>0</v>
      </c>
      <c r="AH913" s="44">
        <v>0</v>
      </c>
      <c r="AI913" s="44">
        <v>0</v>
      </c>
      <c r="AJ913" s="43">
        <v>379500000</v>
      </c>
      <c r="AK913" s="44">
        <v>0</v>
      </c>
      <c r="AL913" s="43">
        <f>AM913-SEPTIEMBRE!AM890</f>
        <v>17266666.659999967</v>
      </c>
      <c r="AM913" s="43">
        <v>375683333.32999998</v>
      </c>
      <c r="AN913" s="44">
        <v>0</v>
      </c>
      <c r="AO913" s="142">
        <v>17266666.66</v>
      </c>
      <c r="AP913" s="43">
        <v>375683333.32999998</v>
      </c>
      <c r="AQ913" s="18">
        <v>0</v>
      </c>
      <c r="AR913" s="147">
        <v>32833333</v>
      </c>
      <c r="AS913" s="18">
        <v>269483333</v>
      </c>
      <c r="AT913" s="111">
        <f t="shared" ref="AT913" si="437">AQ913+AS913</f>
        <v>269483333</v>
      </c>
      <c r="AU913" s="18">
        <f>AJ913-AM913</f>
        <v>3816666.6700000167</v>
      </c>
      <c r="AV913" s="133">
        <f>AM913-AP913</f>
        <v>0</v>
      </c>
      <c r="AW913" s="18">
        <f>AP913-AT913</f>
        <v>106200000.32999998</v>
      </c>
      <c r="AX913" s="123">
        <f>AP913/AJ913</f>
        <v>0.98994290732542811</v>
      </c>
    </row>
    <row r="914" spans="1:50" x14ac:dyDescent="0.2">
      <c r="AA914" s="73" t="s">
        <v>288</v>
      </c>
      <c r="AB914" s="74" t="s">
        <v>292</v>
      </c>
      <c r="AC914" s="17"/>
      <c r="AD914" s="18"/>
      <c r="AE914" s="34"/>
      <c r="AF914" s="34"/>
      <c r="AG914" s="34"/>
      <c r="AH914" s="18"/>
      <c r="AI914" s="18"/>
      <c r="AJ914" s="18"/>
      <c r="AK914" s="34"/>
      <c r="AL914" s="145"/>
      <c r="AM914" s="34"/>
      <c r="AN914" s="34"/>
      <c r="AO914" s="145"/>
      <c r="AP914" s="34"/>
      <c r="AQ914" s="34"/>
      <c r="AR914" s="145"/>
      <c r="AS914" s="34"/>
      <c r="AT914" s="40"/>
      <c r="AU914" s="18"/>
      <c r="AV914" s="34"/>
      <c r="AW914" s="34"/>
      <c r="AX914" s="18"/>
    </row>
    <row r="915" spans="1:50" x14ac:dyDescent="0.2">
      <c r="AA915" s="41" t="s">
        <v>311</v>
      </c>
      <c r="AB915" s="42" t="s">
        <v>233</v>
      </c>
      <c r="AC915" s="17"/>
      <c r="AD915" s="18">
        <v>0</v>
      </c>
      <c r="AE915" s="34">
        <v>0</v>
      </c>
      <c r="AF915" s="34">
        <v>0</v>
      </c>
      <c r="AG915" s="18">
        <v>185000000</v>
      </c>
      <c r="AH915" s="18">
        <v>0</v>
      </c>
      <c r="AI915" s="43">
        <f>AE915-AF915+AG915-AH915</f>
        <v>185000000</v>
      </c>
      <c r="AJ915" s="43">
        <f>AD915+AI915</f>
        <v>185000000</v>
      </c>
      <c r="AK915" s="18">
        <v>0</v>
      </c>
      <c r="AL915" s="43">
        <f>AM915-SEPTIEMBRE!AM892</f>
        <v>85000000</v>
      </c>
      <c r="AM915" s="18">
        <v>85000000</v>
      </c>
      <c r="AN915" s="18">
        <v>0</v>
      </c>
      <c r="AO915" s="145">
        <v>0</v>
      </c>
      <c r="AP915" s="34">
        <v>0</v>
      </c>
      <c r="AQ915" s="34">
        <v>0</v>
      </c>
      <c r="AR915" s="145">
        <v>0</v>
      </c>
      <c r="AS915" s="34">
        <v>0</v>
      </c>
      <c r="AT915" s="135">
        <f t="shared" ref="AT915" si="438">AQ915+AS915</f>
        <v>0</v>
      </c>
      <c r="AU915" s="18">
        <f>AJ915-AM915</f>
        <v>100000000</v>
      </c>
      <c r="AV915" s="18">
        <f>AM915-AP915</f>
        <v>85000000</v>
      </c>
      <c r="AW915" s="34">
        <f>AP915-AT915</f>
        <v>0</v>
      </c>
      <c r="AX915" s="123">
        <f>AP915/AJ915</f>
        <v>0</v>
      </c>
    </row>
    <row r="916" spans="1:50" x14ac:dyDescent="0.2">
      <c r="AA916" s="16"/>
      <c r="AB916" s="17"/>
      <c r="AC916" s="17"/>
      <c r="AD916" s="18"/>
      <c r="AE916" s="34"/>
      <c r="AF916" s="34"/>
      <c r="AG916" s="34"/>
      <c r="AH916" s="18"/>
      <c r="AI916" s="18"/>
      <c r="AJ916" s="18"/>
      <c r="AK916" s="34"/>
      <c r="AL916" s="18"/>
      <c r="AM916" s="18"/>
      <c r="AN916" s="18"/>
      <c r="AO916" s="147"/>
      <c r="AP916" s="18"/>
      <c r="AQ916" s="34"/>
      <c r="AR916" s="145"/>
      <c r="AS916" s="34"/>
      <c r="AT916" s="40"/>
      <c r="AU916" s="18"/>
      <c r="AV916" s="34"/>
      <c r="AW916" s="18"/>
      <c r="AX916" s="18"/>
    </row>
    <row r="917" spans="1:50" x14ac:dyDescent="0.2">
      <c r="AA917" s="16"/>
      <c r="AB917" s="29" t="s">
        <v>199</v>
      </c>
      <c r="AC917" s="17"/>
      <c r="AD917" s="18"/>
      <c r="AE917" s="34"/>
      <c r="AF917" s="34"/>
      <c r="AG917" s="34"/>
      <c r="AH917" s="18"/>
      <c r="AI917" s="18"/>
      <c r="AJ917" s="18"/>
      <c r="AK917" s="34"/>
      <c r="AL917" s="18"/>
      <c r="AM917" s="18"/>
      <c r="AN917" s="18"/>
      <c r="AO917" s="147"/>
      <c r="AP917" s="18"/>
      <c r="AQ917" s="34"/>
      <c r="AR917" s="145"/>
      <c r="AS917" s="34"/>
      <c r="AT917" s="40"/>
      <c r="AU917" s="18"/>
      <c r="AV917" s="18"/>
      <c r="AW917" s="18"/>
      <c r="AX917" s="18"/>
    </row>
    <row r="918" spans="1:50" ht="38.25" x14ac:dyDescent="0.2">
      <c r="AA918" s="28" t="s">
        <v>288</v>
      </c>
      <c r="AB918" s="29" t="s">
        <v>611</v>
      </c>
      <c r="AC918" s="17"/>
      <c r="AD918" s="18"/>
      <c r="AE918" s="34"/>
      <c r="AF918" s="34"/>
      <c r="AG918" s="34"/>
      <c r="AH918" s="18"/>
      <c r="AI918" s="18"/>
      <c r="AJ918" s="18"/>
      <c r="AK918" s="34"/>
      <c r="AL918" s="18"/>
      <c r="AM918" s="18"/>
      <c r="AN918" s="18"/>
      <c r="AO918" s="18"/>
      <c r="AP918" s="18"/>
      <c r="AQ918" s="34"/>
      <c r="AR918" s="145"/>
      <c r="AS918" s="34"/>
      <c r="AT918" s="40"/>
      <c r="AU918" s="18"/>
      <c r="AV918" s="18"/>
      <c r="AW918" s="18"/>
      <c r="AX918" s="18"/>
    </row>
    <row r="919" spans="1:50" x14ac:dyDescent="0.2">
      <c r="A919" s="4" t="s">
        <v>55</v>
      </c>
      <c r="B919" s="4" t="s">
        <v>56</v>
      </c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1" t="s">
        <v>612</v>
      </c>
      <c r="AB919" s="42" t="s">
        <v>233</v>
      </c>
      <c r="AC919" s="43" t="s">
        <v>58</v>
      </c>
      <c r="AD919" s="43">
        <v>725000000</v>
      </c>
      <c r="AE919" s="44">
        <v>0</v>
      </c>
      <c r="AF919" s="44">
        <v>0</v>
      </c>
      <c r="AG919" s="43">
        <v>20700000</v>
      </c>
      <c r="AH919" s="43">
        <f>17000000+313000000</f>
        <v>330000000</v>
      </c>
      <c r="AI919" s="43">
        <f>AE919-AF919+AG919-AH919</f>
        <v>-309300000</v>
      </c>
      <c r="AJ919" s="43">
        <f>AD919+AI919</f>
        <v>415700000</v>
      </c>
      <c r="AK919" s="296">
        <v>0</v>
      </c>
      <c r="AL919" s="44">
        <f>AM919-SEPTIEMBRE!AM896</f>
        <v>0</v>
      </c>
      <c r="AM919" s="4">
        <v>415700000</v>
      </c>
      <c r="AN919" s="296">
        <v>0</v>
      </c>
      <c r="AO919" s="140">
        <v>22626472</v>
      </c>
      <c r="AP919" s="4">
        <v>228029190</v>
      </c>
      <c r="AQ919" s="296">
        <v>3294213</v>
      </c>
      <c r="AR919" s="140">
        <v>34492688</v>
      </c>
      <c r="AS919" s="4">
        <v>201504982</v>
      </c>
      <c r="AT919" s="111">
        <f t="shared" ref="AT919:AT920" si="439">AQ919+AS919</f>
        <v>204799195</v>
      </c>
      <c r="AU919" s="110">
        <f>AJ919-AM919</f>
        <v>0</v>
      </c>
      <c r="AV919" s="110">
        <f>AM919-AP919</f>
        <v>187670810</v>
      </c>
      <c r="AW919" s="18">
        <f>AP919-AT919</f>
        <v>23229995</v>
      </c>
      <c r="AX919" s="123">
        <f>AP919/AJ919</f>
        <v>0.54854267500601395</v>
      </c>
    </row>
    <row r="920" spans="1:50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1" t="s">
        <v>1102</v>
      </c>
      <c r="AB920" s="42" t="s">
        <v>1015</v>
      </c>
      <c r="AC920" s="43"/>
      <c r="AD920" s="44">
        <v>0</v>
      </c>
      <c r="AE920" s="43">
        <v>12000000</v>
      </c>
      <c r="AF920" s="44">
        <v>0</v>
      </c>
      <c r="AG920" s="44">
        <v>0</v>
      </c>
      <c r="AH920" s="44">
        <v>0</v>
      </c>
      <c r="AI920" s="43">
        <f>AE920-AF920+AG920-AH920</f>
        <v>12000000</v>
      </c>
      <c r="AJ920" s="43">
        <f>AD920+AI920</f>
        <v>12000000</v>
      </c>
      <c r="AK920" s="44">
        <v>0</v>
      </c>
      <c r="AL920" s="44">
        <f>AM920-SEPTIEMBRE!AM897</f>
        <v>0</v>
      </c>
      <c r="AM920" s="43">
        <v>2300000</v>
      </c>
      <c r="AN920" s="44">
        <v>0</v>
      </c>
      <c r="AO920" s="43">
        <v>0</v>
      </c>
      <c r="AP920" s="43">
        <v>2300000</v>
      </c>
      <c r="AQ920" s="34">
        <v>0</v>
      </c>
      <c r="AR920" s="147">
        <v>0</v>
      </c>
      <c r="AS920" s="18">
        <v>2300000</v>
      </c>
      <c r="AT920" s="39">
        <f t="shared" si="439"/>
        <v>2300000</v>
      </c>
      <c r="AU920" s="110">
        <f>AJ920-AM920</f>
        <v>9700000</v>
      </c>
      <c r="AV920" s="18">
        <f>AM920-AP920</f>
        <v>0</v>
      </c>
      <c r="AW920" s="34">
        <f>AP920-AT920</f>
        <v>0</v>
      </c>
      <c r="AX920" s="123">
        <f>AP920/AJ920</f>
        <v>0.19166666666666668</v>
      </c>
    </row>
    <row r="921" spans="1:50" x14ac:dyDescent="0.2">
      <c r="AA921" s="16"/>
      <c r="AB921" s="17"/>
      <c r="AC921" s="17"/>
      <c r="AD921" s="34"/>
      <c r="AE921" s="18"/>
      <c r="AF921" s="18"/>
      <c r="AG921" s="18"/>
      <c r="AH921" s="18"/>
      <c r="AI921" s="18"/>
      <c r="AJ921" s="18"/>
      <c r="AK921" s="34"/>
      <c r="AL921" s="34"/>
      <c r="AM921" s="34"/>
      <c r="AN921" s="18"/>
      <c r="AO921" s="18"/>
      <c r="AP921" s="18"/>
      <c r="AQ921" s="34"/>
      <c r="AR921" s="145"/>
      <c r="AS921" s="34"/>
      <c r="AT921" s="40"/>
      <c r="AU921" s="18"/>
      <c r="AV921" s="18"/>
      <c r="AW921" s="18"/>
      <c r="AX921" s="18"/>
    </row>
    <row r="922" spans="1:50" x14ac:dyDescent="0.2">
      <c r="AA922" s="73" t="s">
        <v>1016</v>
      </c>
      <c r="AB922" s="74" t="s">
        <v>1068</v>
      </c>
      <c r="AC922" s="17"/>
      <c r="AD922" s="34"/>
      <c r="AE922" s="18"/>
      <c r="AF922" s="18"/>
      <c r="AG922" s="18"/>
      <c r="AH922" s="18"/>
      <c r="AI922" s="18"/>
      <c r="AJ922" s="18"/>
      <c r="AK922" s="34"/>
      <c r="AL922" s="34"/>
      <c r="AM922" s="34"/>
      <c r="AN922" s="18"/>
      <c r="AO922" s="18"/>
      <c r="AP922" s="18"/>
      <c r="AQ922" s="34"/>
      <c r="AR922" s="145"/>
      <c r="AS922" s="34"/>
      <c r="AT922" s="40"/>
      <c r="AU922" s="18"/>
      <c r="AV922" s="18"/>
      <c r="AW922" s="18"/>
      <c r="AX922" s="18"/>
    </row>
    <row r="923" spans="1:50" x14ac:dyDescent="0.2">
      <c r="AA923" s="73" t="s">
        <v>1017</v>
      </c>
      <c r="AB923" s="74" t="s">
        <v>1069</v>
      </c>
      <c r="AC923" s="17"/>
      <c r="AD923" s="34"/>
      <c r="AE923" s="18"/>
      <c r="AF923" s="18"/>
      <c r="AG923" s="18"/>
      <c r="AH923" s="18"/>
      <c r="AI923" s="18"/>
      <c r="AJ923" s="18"/>
      <c r="AK923" s="34"/>
      <c r="AL923" s="34"/>
      <c r="AM923" s="34"/>
      <c r="AN923" s="18"/>
      <c r="AO923" s="18"/>
      <c r="AP923" s="18"/>
      <c r="AQ923" s="34"/>
      <c r="AR923" s="145"/>
      <c r="AS923" s="34"/>
      <c r="AT923" s="40"/>
      <c r="AU923" s="18"/>
      <c r="AV923" s="18"/>
      <c r="AW923" s="18"/>
      <c r="AX923" s="18"/>
    </row>
    <row r="924" spans="1:50" x14ac:dyDescent="0.2">
      <c r="AA924" s="73" t="s">
        <v>1018</v>
      </c>
      <c r="AB924" s="74" t="s">
        <v>286</v>
      </c>
      <c r="AC924" s="17"/>
      <c r="AD924" s="34"/>
      <c r="AE924" s="18"/>
      <c r="AF924" s="18"/>
      <c r="AG924" s="18"/>
      <c r="AH924" s="18"/>
      <c r="AI924" s="18"/>
      <c r="AJ924" s="18"/>
      <c r="AK924" s="34"/>
      <c r="AL924" s="34"/>
      <c r="AM924" s="34"/>
      <c r="AN924" s="18"/>
      <c r="AO924" s="18"/>
      <c r="AP924" s="18"/>
      <c r="AQ924" s="34"/>
      <c r="AR924" s="34"/>
      <c r="AS924" s="34"/>
      <c r="AT924" s="40"/>
      <c r="AU924" s="18"/>
      <c r="AV924" s="18"/>
      <c r="AW924" s="18"/>
      <c r="AX924" s="18"/>
    </row>
    <row r="925" spans="1:50" x14ac:dyDescent="0.2">
      <c r="AA925" s="73" t="s">
        <v>1021</v>
      </c>
      <c r="AB925" s="74" t="s">
        <v>1070</v>
      </c>
      <c r="AC925" s="17"/>
      <c r="AD925" s="34"/>
      <c r="AE925" s="18"/>
      <c r="AF925" s="18"/>
      <c r="AG925" s="18"/>
      <c r="AH925" s="18"/>
      <c r="AI925" s="18"/>
      <c r="AJ925" s="18"/>
      <c r="AK925" s="34"/>
      <c r="AL925" s="34"/>
      <c r="AM925" s="34"/>
      <c r="AN925" s="18"/>
      <c r="AO925" s="18"/>
      <c r="AP925" s="18"/>
      <c r="AQ925" s="34"/>
      <c r="AR925" s="34"/>
      <c r="AS925" s="34"/>
      <c r="AT925" s="40"/>
      <c r="AU925" s="18"/>
      <c r="AV925" s="18"/>
      <c r="AW925" s="18"/>
      <c r="AX925" s="18"/>
    </row>
    <row r="926" spans="1:50" s="150" customFormat="1" x14ac:dyDescent="0.2">
      <c r="B926" s="276"/>
      <c r="C926" s="276"/>
      <c r="D926" s="276"/>
      <c r="E926" s="276"/>
      <c r="F926" s="276"/>
      <c r="G926" s="276"/>
      <c r="H926" s="276"/>
      <c r="I926" s="276"/>
      <c r="J926" s="276"/>
      <c r="K926" s="276"/>
      <c r="L926" s="276"/>
      <c r="M926" s="276"/>
      <c r="N926" s="276"/>
      <c r="O926" s="276"/>
      <c r="P926" s="276"/>
      <c r="Q926" s="276"/>
      <c r="R926" s="276"/>
      <c r="S926" s="276"/>
      <c r="T926" s="276"/>
      <c r="U926" s="276"/>
      <c r="V926" s="276"/>
      <c r="W926" s="276"/>
      <c r="X926" s="276"/>
      <c r="Y926" s="276"/>
      <c r="Z926" s="276"/>
      <c r="AA926" s="139" t="s">
        <v>1019</v>
      </c>
      <c r="AB926" s="70" t="s">
        <v>1005</v>
      </c>
      <c r="AC926" s="70"/>
      <c r="AD926" s="145">
        <v>0</v>
      </c>
      <c r="AE926" s="147">
        <v>6986666</v>
      </c>
      <c r="AF926" s="145">
        <v>0</v>
      </c>
      <c r="AG926" s="145">
        <v>0</v>
      </c>
      <c r="AH926" s="145">
        <v>0</v>
      </c>
      <c r="AI926" s="142">
        <f>AE926-AF926+AG926-AH926</f>
        <v>6986666</v>
      </c>
      <c r="AJ926" s="142">
        <f>AD926+AI926</f>
        <v>6986666</v>
      </c>
      <c r="AK926" s="145">
        <v>0</v>
      </c>
      <c r="AL926" s="44">
        <f>AM926-SEPTIEMBRE!AM903</f>
        <v>0</v>
      </c>
      <c r="AM926" s="145">
        <v>0</v>
      </c>
      <c r="AN926" s="145">
        <v>0</v>
      </c>
      <c r="AO926" s="145">
        <v>0</v>
      </c>
      <c r="AP926" s="145">
        <v>0</v>
      </c>
      <c r="AQ926" s="145">
        <v>0</v>
      </c>
      <c r="AR926" s="145">
        <v>0</v>
      </c>
      <c r="AS926" s="145">
        <v>0</v>
      </c>
      <c r="AT926" s="277">
        <f t="shared" ref="AT926" si="440">AQ926+AS926</f>
        <v>0</v>
      </c>
      <c r="AU926" s="148">
        <f>AJ926-AM926</f>
        <v>6986666</v>
      </c>
      <c r="AV926" s="175">
        <f>AM926-AP926</f>
        <v>0</v>
      </c>
      <c r="AW926" s="145">
        <f>AP926-AT926</f>
        <v>0</v>
      </c>
      <c r="AX926" s="149">
        <f>AP926/AJ926</f>
        <v>0</v>
      </c>
    </row>
    <row r="927" spans="1:50" x14ac:dyDescent="0.2">
      <c r="AA927" s="16"/>
      <c r="AB927" s="17"/>
      <c r="AC927" s="17"/>
      <c r="AD927" s="18"/>
      <c r="AE927" s="18"/>
      <c r="AF927" s="18"/>
      <c r="AG927" s="18"/>
      <c r="AH927" s="18"/>
      <c r="AI927" s="18"/>
      <c r="AJ927" s="18"/>
      <c r="AK927" s="34"/>
      <c r="AL927" s="34"/>
      <c r="AM927" s="18"/>
      <c r="AN927" s="18"/>
      <c r="AO927" s="18"/>
      <c r="AP927" s="18"/>
      <c r="AQ927" s="34"/>
      <c r="AR927" s="34"/>
      <c r="AS927" s="34"/>
      <c r="AT927" s="40"/>
      <c r="AU927" s="18"/>
      <c r="AV927" s="18"/>
      <c r="AW927" s="18"/>
      <c r="AX927" s="18"/>
    </row>
    <row r="928" spans="1:50" ht="38.25" x14ac:dyDescent="0.2">
      <c r="AA928" s="16"/>
      <c r="AB928" s="29" t="s">
        <v>613</v>
      </c>
      <c r="AC928" s="17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30"/>
      <c r="AU928" s="18"/>
      <c r="AV928" s="18"/>
      <c r="AW928" s="18"/>
      <c r="AX928" s="18"/>
    </row>
    <row r="929" spans="1:50" x14ac:dyDescent="0.2">
      <c r="AA929" s="16"/>
      <c r="AB929" s="29" t="s">
        <v>614</v>
      </c>
      <c r="AC929" s="17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30"/>
      <c r="AU929" s="18"/>
      <c r="AV929" s="18"/>
      <c r="AW929" s="18"/>
      <c r="AX929" s="18"/>
    </row>
    <row r="930" spans="1:50" x14ac:dyDescent="0.2">
      <c r="AA930" s="16"/>
      <c r="AB930" s="29" t="s">
        <v>286</v>
      </c>
      <c r="AC930" s="17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30"/>
      <c r="AU930" s="18"/>
      <c r="AV930" s="18"/>
      <c r="AW930" s="18"/>
      <c r="AX930" s="18"/>
    </row>
    <row r="931" spans="1:50" x14ac:dyDescent="0.2">
      <c r="AA931" s="16"/>
      <c r="AB931" s="29" t="s">
        <v>574</v>
      </c>
      <c r="AC931" s="17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30"/>
      <c r="AU931" s="18"/>
      <c r="AV931" s="18"/>
      <c r="AW931" s="18"/>
      <c r="AX931" s="18"/>
    </row>
    <row r="932" spans="1:50" x14ac:dyDescent="0.2">
      <c r="AA932" s="16"/>
      <c r="AB932" s="29" t="s">
        <v>575</v>
      </c>
      <c r="AC932" s="17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30"/>
      <c r="AU932" s="18"/>
      <c r="AV932" s="18"/>
      <c r="AW932" s="18"/>
      <c r="AX932" s="18"/>
    </row>
    <row r="933" spans="1:50" x14ac:dyDescent="0.2">
      <c r="AA933" s="16"/>
      <c r="AB933" s="29" t="s">
        <v>576</v>
      </c>
      <c r="AC933" s="17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30"/>
      <c r="AU933" s="18"/>
      <c r="AV933" s="18"/>
      <c r="AW933" s="18"/>
      <c r="AX933" s="18"/>
    </row>
    <row r="934" spans="1:50" x14ac:dyDescent="0.2">
      <c r="AA934" s="16"/>
      <c r="AB934" s="29" t="s">
        <v>615</v>
      </c>
      <c r="AC934" s="17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30"/>
      <c r="AU934" s="18"/>
      <c r="AV934" s="18"/>
      <c r="AW934" s="18"/>
      <c r="AX934" s="18"/>
    </row>
    <row r="935" spans="1:50" ht="25.5" x14ac:dyDescent="0.2">
      <c r="AA935" s="16"/>
      <c r="AB935" s="29" t="s">
        <v>579</v>
      </c>
      <c r="AC935" s="17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30"/>
      <c r="AU935" s="18"/>
      <c r="AV935" s="18"/>
      <c r="AW935" s="18"/>
      <c r="AX935" s="18"/>
    </row>
    <row r="936" spans="1:50" ht="25.5" x14ac:dyDescent="0.2">
      <c r="AA936" s="41" t="s">
        <v>1229</v>
      </c>
      <c r="AB936" s="38" t="s">
        <v>1228</v>
      </c>
      <c r="AC936" s="17"/>
      <c r="AD936" s="34">
        <v>0</v>
      </c>
      <c r="AE936" s="34">
        <v>0</v>
      </c>
      <c r="AF936" s="34">
        <v>0</v>
      </c>
      <c r="AG936" s="18">
        <f>283500000+31000000+279000000</f>
        <v>593500000</v>
      </c>
      <c r="AH936" s="34">
        <v>0</v>
      </c>
      <c r="AI936" s="43">
        <f>AE936-AF936+AG936-AH936</f>
        <v>593500000</v>
      </c>
      <c r="AJ936" s="142">
        <f>AD936+AI936</f>
        <v>593500000</v>
      </c>
      <c r="AK936" s="34">
        <v>0</v>
      </c>
      <c r="AL936" s="18">
        <f>AM936-SEPTIEMBRE!AM913</f>
        <v>-71014799</v>
      </c>
      <c r="AM936" s="18">
        <v>430457713.27999997</v>
      </c>
      <c r="AN936" s="34">
        <v>0</v>
      </c>
      <c r="AO936" s="18">
        <v>418269306</v>
      </c>
      <c r="AP936" s="18">
        <v>430457713.27999997</v>
      </c>
      <c r="AQ936" s="34">
        <v>0</v>
      </c>
      <c r="AR936" s="34">
        <v>0</v>
      </c>
      <c r="AS936" s="34">
        <v>0</v>
      </c>
      <c r="AT936" s="135">
        <f t="shared" ref="AT936" si="441">AQ936+AS936</f>
        <v>0</v>
      </c>
      <c r="AU936" s="110">
        <f>AJ936-AM936</f>
        <v>163042286.72000003</v>
      </c>
      <c r="AV936" s="34">
        <f>AM936-AP936</f>
        <v>0</v>
      </c>
      <c r="AW936" s="18">
        <f>AP936-AT936</f>
        <v>430457713.27999997</v>
      </c>
      <c r="AX936" s="123">
        <f>AP936/AJ936</f>
        <v>0.72528679575400168</v>
      </c>
    </row>
    <row r="937" spans="1:50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73" t="s">
        <v>288</v>
      </c>
      <c r="AB937" s="74" t="s">
        <v>643</v>
      </c>
      <c r="AC937" s="43"/>
      <c r="AD937" s="43"/>
      <c r="AE937" s="44"/>
      <c r="AF937" s="44"/>
      <c r="AG937" s="44"/>
      <c r="AH937" s="44"/>
      <c r="AI937" s="44"/>
      <c r="AJ937" s="43"/>
      <c r="AK937" s="44"/>
      <c r="AL937" s="44"/>
      <c r="AM937" s="43"/>
      <c r="AN937" s="43"/>
      <c r="AO937" s="44"/>
      <c r="AP937" s="43"/>
      <c r="AQ937" s="44"/>
      <c r="AR937" s="44"/>
      <c r="AS937" s="44"/>
      <c r="AT937" s="40"/>
      <c r="AU937" s="18"/>
      <c r="AV937" s="34"/>
      <c r="AW937" s="18"/>
      <c r="AX937" s="123"/>
    </row>
    <row r="938" spans="1:50" ht="25.5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1" t="s">
        <v>1332</v>
      </c>
      <c r="AB938" s="42" t="s">
        <v>1243</v>
      </c>
      <c r="AC938" s="43"/>
      <c r="AD938" s="43">
        <v>0</v>
      </c>
      <c r="AE938" s="44">
        <v>0</v>
      </c>
      <c r="AF938" s="44">
        <v>0</v>
      </c>
      <c r="AG938" s="43">
        <f>440517900+277638500</f>
        <v>718156400</v>
      </c>
      <c r="AH938" s="44">
        <v>0</v>
      </c>
      <c r="AI938" s="43">
        <f>AE937-AF937+AG938-AH937</f>
        <v>718156400</v>
      </c>
      <c r="AJ938" s="43">
        <f>AD937+AI938</f>
        <v>718156400</v>
      </c>
      <c r="AK938" s="44">
        <v>0</v>
      </c>
      <c r="AL938" s="18">
        <f>AM938-SEPTIEMBRE!AM915</f>
        <v>0</v>
      </c>
      <c r="AM938" s="44">
        <v>0</v>
      </c>
      <c r="AN938" s="44">
        <v>0</v>
      </c>
      <c r="AO938" s="44">
        <v>0</v>
      </c>
      <c r="AP938" s="44">
        <v>0</v>
      </c>
      <c r="AQ938" s="44">
        <v>0</v>
      </c>
      <c r="AR938" s="44">
        <v>0</v>
      </c>
      <c r="AS938" s="44">
        <v>0</v>
      </c>
      <c r="AT938" s="40">
        <f>AQ938+AS938</f>
        <v>0</v>
      </c>
      <c r="AU938" s="18">
        <f>AJ938-AM938</f>
        <v>718156400</v>
      </c>
      <c r="AV938" s="34">
        <f>AM938-AP938</f>
        <v>0</v>
      </c>
      <c r="AW938" s="18">
        <f>AP938-AT938</f>
        <v>0</v>
      </c>
      <c r="AX938" s="123">
        <f>AP938/AJ938</f>
        <v>0</v>
      </c>
    </row>
    <row r="939" spans="1:50" ht="25.5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73" t="s">
        <v>288</v>
      </c>
      <c r="AB939" s="74" t="s">
        <v>1241</v>
      </c>
      <c r="AC939" s="43"/>
      <c r="AD939" s="43"/>
      <c r="AE939" s="44"/>
      <c r="AF939" s="44"/>
      <c r="AG939" s="44"/>
      <c r="AH939" s="44"/>
      <c r="AI939" s="44"/>
      <c r="AJ939" s="43"/>
      <c r="AK939" s="44"/>
      <c r="AL939" s="44"/>
      <c r="AM939" s="43"/>
      <c r="AN939" s="43"/>
      <c r="AO939" s="44"/>
      <c r="AP939" s="44"/>
      <c r="AQ939" s="44"/>
      <c r="AR939" s="44"/>
      <c r="AS939" s="44"/>
      <c r="AT939" s="40"/>
      <c r="AU939" s="18"/>
      <c r="AV939" s="34"/>
      <c r="AW939" s="18"/>
      <c r="AX939" s="123"/>
    </row>
    <row r="940" spans="1:50" ht="25.5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1" t="s">
        <v>1242</v>
      </c>
      <c r="AB940" s="42" t="s">
        <v>1243</v>
      </c>
      <c r="AC940" s="43"/>
      <c r="AD940" s="44">
        <v>0</v>
      </c>
      <c r="AE940" s="44">
        <v>0</v>
      </c>
      <c r="AF940" s="44">
        <v>0</v>
      </c>
      <c r="AG940" s="43">
        <f>2905817258+1260816850</f>
        <v>4166634108</v>
      </c>
      <c r="AH940" s="44">
        <v>0</v>
      </c>
      <c r="AI940" s="43">
        <f>AE939-AF939+AG940-AH939</f>
        <v>4166634108</v>
      </c>
      <c r="AJ940" s="43">
        <f>AD939+AI940</f>
        <v>4166634108</v>
      </c>
      <c r="AK940" s="44">
        <v>0</v>
      </c>
      <c r="AL940" s="18">
        <f>AM940-SEPTIEMBRE!AM917</f>
        <v>-985</v>
      </c>
      <c r="AM940" s="43">
        <v>2166015682</v>
      </c>
      <c r="AN940" s="44">
        <v>0</v>
      </c>
      <c r="AO940" s="43">
        <v>1598764048</v>
      </c>
      <c r="AP940" s="43">
        <v>2166015682</v>
      </c>
      <c r="AQ940" s="44">
        <v>0</v>
      </c>
      <c r="AR940" s="44">
        <v>0</v>
      </c>
      <c r="AS940" s="44">
        <v>0</v>
      </c>
      <c r="AT940" s="40">
        <f>AQ940+AS940</f>
        <v>0</v>
      </c>
      <c r="AU940" s="18">
        <f>AJ940-AM940</f>
        <v>2000618426</v>
      </c>
      <c r="AV940" s="34">
        <f>AM940-AP940</f>
        <v>0</v>
      </c>
      <c r="AW940" s="18">
        <f>AP940-AT940</f>
        <v>2166015682</v>
      </c>
      <c r="AX940" s="123">
        <f>AP940/AJ940</f>
        <v>0.51984782581249878</v>
      </c>
    </row>
    <row r="941" spans="1:50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16" t="s">
        <v>1255</v>
      </c>
      <c r="AB941" s="42" t="s">
        <v>233</v>
      </c>
      <c r="AC941" s="43"/>
      <c r="AD941" s="44">
        <v>0</v>
      </c>
      <c r="AE941" s="44">
        <v>0</v>
      </c>
      <c r="AF941" s="44">
        <v>0</v>
      </c>
      <c r="AG941" s="43">
        <v>134254307</v>
      </c>
      <c r="AH941" s="44"/>
      <c r="AI941" s="43">
        <f>AE940-AF940+AG941-AH940</f>
        <v>134254307</v>
      </c>
      <c r="AJ941" s="43">
        <f>AD940+AI941</f>
        <v>134254307</v>
      </c>
      <c r="AK941" s="44">
        <v>0</v>
      </c>
      <c r="AL941" s="18">
        <f>AM941-SEPTIEMBRE!AM918</f>
        <v>0</v>
      </c>
      <c r="AM941" s="43">
        <v>130495581</v>
      </c>
      <c r="AN941" s="44">
        <v>0</v>
      </c>
      <c r="AO941" s="43">
        <v>0</v>
      </c>
      <c r="AP941" s="43">
        <v>130495581</v>
      </c>
      <c r="AQ941" s="44">
        <v>0</v>
      </c>
      <c r="AR941" s="44">
        <v>0</v>
      </c>
      <c r="AS941" s="44">
        <v>0</v>
      </c>
      <c r="AT941" s="40">
        <f>AQ941+AS941</f>
        <v>0</v>
      </c>
      <c r="AU941" s="18">
        <f>AJ941-AM941</f>
        <v>3758726</v>
      </c>
      <c r="AV941" s="34">
        <f>AM941-AP941</f>
        <v>0</v>
      </c>
      <c r="AW941" s="18">
        <f>AP941-AT941</f>
        <v>130495581</v>
      </c>
      <c r="AX941" s="123">
        <f>AP941/AJ941</f>
        <v>0.97200293916827563</v>
      </c>
    </row>
    <row r="942" spans="1:50" ht="38.25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73" t="s">
        <v>1249</v>
      </c>
      <c r="AB942" s="74" t="s">
        <v>1250</v>
      </c>
      <c r="AC942" s="43"/>
      <c r="AD942" s="44"/>
      <c r="AE942" s="44"/>
      <c r="AF942" s="44"/>
      <c r="AG942" s="43"/>
      <c r="AH942" s="44"/>
      <c r="AI942" s="43"/>
      <c r="AJ942" s="43"/>
      <c r="AK942" s="44"/>
      <c r="AL942" s="44"/>
      <c r="AM942" s="44"/>
      <c r="AN942" s="44"/>
      <c r="AO942" s="44"/>
      <c r="AP942" s="44"/>
      <c r="AQ942" s="44"/>
      <c r="AR942" s="44"/>
      <c r="AS942" s="44"/>
      <c r="AT942" s="40"/>
      <c r="AU942" s="18"/>
      <c r="AV942" s="34"/>
      <c r="AW942" s="34"/>
      <c r="AX942" s="123"/>
    </row>
    <row r="943" spans="1:50" ht="25.5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1" t="s">
        <v>1251</v>
      </c>
      <c r="AB943" s="42" t="s">
        <v>1243</v>
      </c>
      <c r="AC943" s="43"/>
      <c r="AD943" s="44">
        <v>0</v>
      </c>
      <c r="AE943" s="44">
        <v>0</v>
      </c>
      <c r="AF943" s="44">
        <v>0</v>
      </c>
      <c r="AG943" s="43">
        <v>65000000</v>
      </c>
      <c r="AH943" s="44">
        <v>0</v>
      </c>
      <c r="AI943" s="43">
        <f>AE942-AF942+AG943-AH942</f>
        <v>65000000</v>
      </c>
      <c r="AJ943" s="43">
        <f>AD942+AI943</f>
        <v>65000000</v>
      </c>
      <c r="AK943" s="44">
        <v>0</v>
      </c>
      <c r="AL943" s="18">
        <f>AM943-SEPTIEMBRE!AM920</f>
        <v>0</v>
      </c>
      <c r="AM943" s="43">
        <v>64982607</v>
      </c>
      <c r="AN943" s="44">
        <v>0</v>
      </c>
      <c r="AO943" s="43">
        <v>64982607</v>
      </c>
      <c r="AP943" s="43">
        <v>64982607</v>
      </c>
      <c r="AQ943" s="44">
        <v>0</v>
      </c>
      <c r="AR943" s="44">
        <v>0</v>
      </c>
      <c r="AS943" s="44">
        <v>0</v>
      </c>
      <c r="AT943" s="40">
        <f>AQ943+AS943</f>
        <v>0</v>
      </c>
      <c r="AU943" s="18">
        <f>AJ943-AM943</f>
        <v>17393</v>
      </c>
      <c r="AV943" s="18">
        <f>AM943-AP943</f>
        <v>0</v>
      </c>
      <c r="AW943" s="18">
        <f>AP943-AT943</f>
        <v>64982607</v>
      </c>
      <c r="AX943" s="123">
        <f>AP943/AJ943</f>
        <v>0.99973241538461544</v>
      </c>
    </row>
    <row r="944" spans="1:50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73" t="s">
        <v>288</v>
      </c>
      <c r="AB944" s="74" t="s">
        <v>1244</v>
      </c>
      <c r="AC944" s="43"/>
      <c r="AD944" s="44"/>
      <c r="AE944" s="44"/>
      <c r="AF944" s="44"/>
      <c r="AG944" s="44"/>
      <c r="AH944" s="44"/>
      <c r="AI944" s="44"/>
      <c r="AJ944" s="43"/>
      <c r="AK944" s="44"/>
      <c r="AL944" s="44"/>
      <c r="AM944" s="43"/>
      <c r="AN944" s="43"/>
      <c r="AO944" s="44"/>
      <c r="AP944" s="44"/>
      <c r="AQ944" s="44"/>
      <c r="AR944" s="44"/>
      <c r="AS944" s="44"/>
      <c r="AT944" s="40"/>
      <c r="AU944" s="18"/>
      <c r="AV944" s="34"/>
      <c r="AW944" s="18"/>
      <c r="AX944" s="123"/>
    </row>
    <row r="945" spans="1:50" ht="25.5" x14ac:dyDescent="0.2">
      <c r="AA945" s="41" t="s">
        <v>1245</v>
      </c>
      <c r="AB945" s="42" t="s">
        <v>1243</v>
      </c>
      <c r="AC945" s="17"/>
      <c r="AD945" s="34">
        <v>0</v>
      </c>
      <c r="AE945" s="34">
        <v>0</v>
      </c>
      <c r="AF945" s="34">
        <v>0</v>
      </c>
      <c r="AG945" s="18">
        <f>350000000</f>
        <v>350000000</v>
      </c>
      <c r="AH945" s="34">
        <v>0</v>
      </c>
      <c r="AI945" s="43">
        <f>AE944-AF944+AG945-AH944</f>
        <v>350000000</v>
      </c>
      <c r="AJ945" s="43">
        <f>AD944+AI945</f>
        <v>350000000</v>
      </c>
      <c r="AK945" s="18">
        <v>0</v>
      </c>
      <c r="AL945" s="18">
        <f>AM945-SEPTIEMBRE!AM922</f>
        <v>-127522000</v>
      </c>
      <c r="AM945" s="18">
        <v>212350000</v>
      </c>
      <c r="AN945" s="18">
        <v>0</v>
      </c>
      <c r="AO945" s="18">
        <v>212350000</v>
      </c>
      <c r="AP945" s="18">
        <v>212350000</v>
      </c>
      <c r="AQ945" s="34">
        <v>0</v>
      </c>
      <c r="AR945" s="34">
        <v>0</v>
      </c>
      <c r="AS945" s="34">
        <v>0</v>
      </c>
      <c r="AT945" s="40">
        <f>AQ945+AS945</f>
        <v>0</v>
      </c>
      <c r="AU945" s="18">
        <f>AJ945-AM945</f>
        <v>137650000</v>
      </c>
      <c r="AV945" s="34">
        <f>AM945-AP945</f>
        <v>0</v>
      </c>
      <c r="AW945" s="18">
        <f>AP945-AT945</f>
        <v>212350000</v>
      </c>
      <c r="AX945" s="123">
        <f>AP945/AJ945</f>
        <v>0.60671428571428576</v>
      </c>
    </row>
    <row r="946" spans="1:50" ht="25.5" x14ac:dyDescent="0.2">
      <c r="AA946" s="73" t="s">
        <v>288</v>
      </c>
      <c r="AB946" s="74" t="s">
        <v>1246</v>
      </c>
      <c r="AC946" s="17"/>
      <c r="AD946" s="34"/>
      <c r="AE946" s="34"/>
      <c r="AF946" s="34"/>
      <c r="AG946" s="18"/>
      <c r="AH946" s="34"/>
      <c r="AI946" s="43"/>
      <c r="AJ946" s="43"/>
      <c r="AK946" s="34"/>
      <c r="AL946" s="34"/>
      <c r="AM946" s="34"/>
      <c r="AN946" s="34"/>
      <c r="AO946" s="34"/>
      <c r="AP946" s="34"/>
      <c r="AQ946" s="34"/>
      <c r="AR946" s="34"/>
      <c r="AS946" s="34"/>
      <c r="AT946" s="30"/>
      <c r="AU946" s="18"/>
      <c r="AV946" s="34"/>
      <c r="AW946" s="34"/>
      <c r="AX946" s="18"/>
    </row>
    <row r="947" spans="1:50" ht="25.5" x14ac:dyDescent="0.2">
      <c r="AA947" s="41" t="s">
        <v>1247</v>
      </c>
      <c r="AB947" s="42" t="s">
        <v>1243</v>
      </c>
      <c r="AC947" s="17"/>
      <c r="AD947" s="34">
        <v>0</v>
      </c>
      <c r="AE947" s="34">
        <v>0</v>
      </c>
      <c r="AF947" s="34">
        <v>0</v>
      </c>
      <c r="AG947" s="18">
        <v>1067000000</v>
      </c>
      <c r="AH947" s="34">
        <v>0</v>
      </c>
      <c r="AI947" s="43">
        <f>AE946-AF946+AG947-AH946</f>
        <v>1067000000</v>
      </c>
      <c r="AJ947" s="43">
        <f>AD946+AI947</f>
        <v>1067000000</v>
      </c>
      <c r="AK947" s="34">
        <v>0</v>
      </c>
      <c r="AL947" s="34">
        <f>AM947-SEPTIEMBRE!AM924</f>
        <v>0</v>
      </c>
      <c r="AM947" s="18">
        <v>794235900</v>
      </c>
      <c r="AN947" s="34">
        <v>0</v>
      </c>
      <c r="AO947" s="18">
        <v>633735840</v>
      </c>
      <c r="AP947" s="18">
        <v>794235900</v>
      </c>
      <c r="AQ947" s="34">
        <v>0</v>
      </c>
      <c r="AR947" s="34">
        <v>0</v>
      </c>
      <c r="AS947" s="34">
        <v>0</v>
      </c>
      <c r="AT947" s="40">
        <f>AQ947+AS947</f>
        <v>0</v>
      </c>
      <c r="AU947" s="18">
        <f>AJ947-AM947</f>
        <v>272764100</v>
      </c>
      <c r="AV947" s="34">
        <f>AM947-AP947</f>
        <v>0</v>
      </c>
      <c r="AW947" s="18">
        <f>AP947-AT947</f>
        <v>794235900</v>
      </c>
      <c r="AX947" s="123">
        <f>AP947/AJ947</f>
        <v>0.74436354264292404</v>
      </c>
    </row>
    <row r="948" spans="1:50" x14ac:dyDescent="0.2">
      <c r="AA948" s="73" t="s">
        <v>288</v>
      </c>
      <c r="AB948" s="74" t="s">
        <v>635</v>
      </c>
      <c r="AC948" s="17"/>
      <c r="AD948" s="34"/>
      <c r="AE948" s="34"/>
      <c r="AF948" s="34"/>
      <c r="AG948" s="18"/>
      <c r="AH948" s="34"/>
      <c r="AI948" s="43"/>
      <c r="AJ948" s="43"/>
      <c r="AK948" s="34"/>
      <c r="AL948" s="34"/>
      <c r="AM948" s="34"/>
      <c r="AN948" s="34"/>
      <c r="AO948" s="34"/>
      <c r="AP948" s="34"/>
      <c r="AQ948" s="34"/>
      <c r="AR948" s="34"/>
      <c r="AS948" s="34"/>
      <c r="AT948" s="30"/>
      <c r="AU948" s="18"/>
      <c r="AV948" s="34"/>
      <c r="AW948" s="34"/>
      <c r="AX948" s="18"/>
    </row>
    <row r="949" spans="1:50" ht="25.5" x14ac:dyDescent="0.2">
      <c r="AA949" s="134" t="s">
        <v>1252</v>
      </c>
      <c r="AB949" s="42" t="s">
        <v>1243</v>
      </c>
      <c r="AC949" s="17"/>
      <c r="AD949" s="34">
        <v>0</v>
      </c>
      <c r="AE949" s="34">
        <v>0</v>
      </c>
      <c r="AF949" s="34">
        <v>0</v>
      </c>
      <c r="AG949" s="18">
        <v>148000000</v>
      </c>
      <c r="AH949" s="34"/>
      <c r="AI949" s="43">
        <f>AE948-AF948+AG949-AH948</f>
        <v>148000000</v>
      </c>
      <c r="AJ949" s="43">
        <f>AD948+AI949</f>
        <v>148000000</v>
      </c>
      <c r="AK949" s="34">
        <v>0</v>
      </c>
      <c r="AL949" s="34">
        <f>AM949-SEPTIEMBRE!AM926</f>
        <v>0</v>
      </c>
      <c r="AM949" s="18">
        <v>102623815</v>
      </c>
      <c r="AN949" s="18">
        <v>0</v>
      </c>
      <c r="AO949" s="18">
        <v>102623815</v>
      </c>
      <c r="AP949" s="18">
        <v>102623815</v>
      </c>
      <c r="AQ949" s="34">
        <v>0</v>
      </c>
      <c r="AR949" s="34">
        <v>0</v>
      </c>
      <c r="AS949" s="34">
        <v>0</v>
      </c>
      <c r="AT949" s="40">
        <f>AQ949+AS949</f>
        <v>0</v>
      </c>
      <c r="AU949" s="18">
        <f>AJ949-AM949</f>
        <v>45376185</v>
      </c>
      <c r="AV949" s="34">
        <f>AM949-AP949</f>
        <v>0</v>
      </c>
      <c r="AW949" s="18">
        <f>AP949-AT949</f>
        <v>102623815</v>
      </c>
      <c r="AX949" s="123">
        <f>AP949/AJ949</f>
        <v>0.69340415540540545</v>
      </c>
    </row>
    <row r="950" spans="1:50" x14ac:dyDescent="0.2">
      <c r="AA950" s="41"/>
      <c r="AB950" s="38"/>
      <c r="AC950" s="17"/>
      <c r="AD950" s="34"/>
      <c r="AE950" s="34"/>
      <c r="AF950" s="34"/>
      <c r="AG950" s="18"/>
      <c r="AH950" s="34"/>
      <c r="AI950" s="43"/>
      <c r="AJ950" s="142"/>
      <c r="AK950" s="34"/>
      <c r="AL950" s="34"/>
      <c r="AM950" s="18"/>
      <c r="AN950" s="34"/>
      <c r="AO950" s="34"/>
      <c r="AP950" s="18"/>
      <c r="AQ950" s="34"/>
      <c r="AR950" s="34"/>
      <c r="AS950" s="34"/>
      <c r="AT950" s="135"/>
      <c r="AU950" s="110"/>
      <c r="AV950" s="133"/>
      <c r="AW950" s="34"/>
      <c r="AX950" s="123"/>
    </row>
    <row r="951" spans="1:50" ht="25.5" x14ac:dyDescent="0.2">
      <c r="AA951" s="28" t="s">
        <v>288</v>
      </c>
      <c r="AB951" s="29" t="s">
        <v>616</v>
      </c>
      <c r="AC951" s="17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34"/>
      <c r="AO951" s="34"/>
      <c r="AP951" s="18"/>
      <c r="AQ951" s="18"/>
      <c r="AR951" s="18"/>
      <c r="AS951" s="18"/>
      <c r="AT951" s="30"/>
      <c r="AU951" s="18"/>
      <c r="AV951" s="34"/>
      <c r="AW951" s="18"/>
      <c r="AX951" s="18"/>
    </row>
    <row r="952" spans="1:50" x14ac:dyDescent="0.2">
      <c r="A952" s="4" t="s">
        <v>55</v>
      </c>
      <c r="B952" s="4" t="s">
        <v>56</v>
      </c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1" t="s">
        <v>617</v>
      </c>
      <c r="AB952" s="42" t="s">
        <v>618</v>
      </c>
      <c r="AC952" s="43" t="s">
        <v>619</v>
      </c>
      <c r="AD952" s="43">
        <v>100000000</v>
      </c>
      <c r="AE952" s="44">
        <v>0</v>
      </c>
      <c r="AF952" s="44">
        <v>0</v>
      </c>
      <c r="AG952" s="43">
        <f>770000000+704534301</f>
        <v>1474534301</v>
      </c>
      <c r="AH952" s="137">
        <v>0</v>
      </c>
      <c r="AI952" s="43">
        <f>AE952-AF952+AG952-AH952</f>
        <v>1474534301</v>
      </c>
      <c r="AJ952" s="43">
        <f>AD952+AI952</f>
        <v>1574534301</v>
      </c>
      <c r="AK952" s="44">
        <v>0</v>
      </c>
      <c r="AL952" s="115">
        <f>AM952-AGOSTO!AM905</f>
        <v>0</v>
      </c>
      <c r="AM952" s="114">
        <v>1565609440</v>
      </c>
      <c r="AN952" s="44">
        <v>0</v>
      </c>
      <c r="AO952" s="44">
        <v>0</v>
      </c>
      <c r="AP952" s="43">
        <v>1565609440</v>
      </c>
      <c r="AQ952" s="44">
        <v>0</v>
      </c>
      <c r="AR952" s="44">
        <v>0</v>
      </c>
      <c r="AS952" s="43">
        <v>16631440</v>
      </c>
      <c r="AT952" s="39">
        <f t="shared" ref="AT952" si="442">AQ952+AS952</f>
        <v>16631440</v>
      </c>
      <c r="AU952" s="18">
        <f>AJ952-AM952</f>
        <v>8924861</v>
      </c>
      <c r="AV952" s="133">
        <f>AM952-AP952</f>
        <v>0</v>
      </c>
      <c r="AW952" s="18">
        <f>AP952-AT952</f>
        <v>1548978000</v>
      </c>
      <c r="AX952" s="123">
        <f>AP952/AJ952</f>
        <v>0.99433174558704007</v>
      </c>
    </row>
    <row r="953" spans="1:50" ht="24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1" t="s">
        <v>1419</v>
      </c>
      <c r="AB953" s="42" t="s">
        <v>1104</v>
      </c>
      <c r="AC953" s="43"/>
      <c r="AD953" s="43"/>
      <c r="AE953" s="44"/>
      <c r="AF953" s="44"/>
      <c r="AG953" s="43">
        <v>228836000</v>
      </c>
      <c r="AH953" s="43"/>
      <c r="AI953" s="43">
        <f>AE953-AF953+AG953-AH953</f>
        <v>228836000</v>
      </c>
      <c r="AJ953" s="43">
        <f>AD953+AI953</f>
        <v>228836000</v>
      </c>
      <c r="AK953" s="44">
        <v>0</v>
      </c>
      <c r="AL953" s="44">
        <v>0</v>
      </c>
      <c r="AM953" s="44">
        <v>0</v>
      </c>
      <c r="AN953" s="44">
        <v>0</v>
      </c>
      <c r="AO953" s="44">
        <v>0</v>
      </c>
      <c r="AP953" s="44">
        <v>0</v>
      </c>
      <c r="AQ953" s="44">
        <v>0</v>
      </c>
      <c r="AR953" s="44">
        <v>0</v>
      </c>
      <c r="AS953" s="44">
        <v>0</v>
      </c>
      <c r="AT953" s="39">
        <f t="shared" ref="AT953" si="443">AQ953+AS953</f>
        <v>0</v>
      </c>
      <c r="AU953" s="18">
        <f>AJ953-AM953</f>
        <v>228836000</v>
      </c>
      <c r="AV953" s="133">
        <f>AM953-AP953</f>
        <v>0</v>
      </c>
      <c r="AW953" s="18">
        <f>AP953-AT953</f>
        <v>0</v>
      </c>
      <c r="AX953" s="123">
        <f>AP953/AJ953</f>
        <v>0</v>
      </c>
    </row>
    <row r="954" spans="1:50" ht="27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1" t="s">
        <v>1289</v>
      </c>
      <c r="AB954" s="42" t="s">
        <v>1290</v>
      </c>
      <c r="AC954" s="43"/>
      <c r="AD954" s="43">
        <v>0</v>
      </c>
      <c r="AE954" s="44">
        <v>0</v>
      </c>
      <c r="AF954" s="44">
        <v>0</v>
      </c>
      <c r="AG954" s="43">
        <v>424146000</v>
      </c>
      <c r="AH954" s="44">
        <v>0</v>
      </c>
      <c r="AI954" s="43">
        <f>AE954-AF954+AG954-AH954</f>
        <v>424146000</v>
      </c>
      <c r="AJ954" s="43">
        <f>AD954+AI954</f>
        <v>424146000</v>
      </c>
      <c r="AK954" s="44">
        <v>0</v>
      </c>
      <c r="AL954" s="43">
        <v>-49834832</v>
      </c>
      <c r="AM954" s="43">
        <v>191280850</v>
      </c>
      <c r="AN954" s="44">
        <v>0</v>
      </c>
      <c r="AO954" s="44">
        <v>191280850</v>
      </c>
      <c r="AP954" s="44">
        <v>191280850</v>
      </c>
      <c r="AQ954" s="44">
        <v>0</v>
      </c>
      <c r="AR954" s="44">
        <v>0</v>
      </c>
      <c r="AS954" s="44">
        <v>0</v>
      </c>
      <c r="AT954" s="40">
        <f t="shared" ref="AT954" si="444">AQ954+AS954</f>
        <v>0</v>
      </c>
      <c r="AU954" s="18">
        <f>AJ954-AM954</f>
        <v>232865150</v>
      </c>
      <c r="AV954" s="18">
        <f>AM954-AP954</f>
        <v>0</v>
      </c>
      <c r="AW954" s="18">
        <f>AP954-AT954</f>
        <v>191280850</v>
      </c>
      <c r="AX954" s="123">
        <f>AP954/AJ954</f>
        <v>0.4509787903222004</v>
      </c>
    </row>
    <row r="955" spans="1:50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1"/>
      <c r="AB955" s="42"/>
      <c r="AC955" s="43"/>
      <c r="AD955" s="43"/>
      <c r="AE955" s="44"/>
      <c r="AF955" s="44"/>
      <c r="AG955" s="43"/>
      <c r="AH955" s="137"/>
      <c r="AI955" s="43"/>
      <c r="AJ955" s="43"/>
      <c r="AK955" s="44"/>
      <c r="AL955" s="115"/>
      <c r="AM955" s="114"/>
      <c r="AN955" s="44"/>
      <c r="AO955" s="44"/>
      <c r="AP955" s="43"/>
      <c r="AQ955" s="44"/>
      <c r="AR955" s="44"/>
      <c r="AS955" s="43"/>
      <c r="AT955" s="39"/>
      <c r="AU955" s="18"/>
      <c r="AV955" s="133"/>
      <c r="AW955" s="18"/>
      <c r="AX955" s="123"/>
    </row>
    <row r="956" spans="1:50" x14ac:dyDescent="0.2">
      <c r="AA956" s="16"/>
      <c r="AB956" s="17"/>
      <c r="AC956" s="17"/>
      <c r="AD956" s="18"/>
      <c r="AE956" s="34"/>
      <c r="AF956" s="34"/>
      <c r="AG956" s="34"/>
      <c r="AH956" s="34"/>
      <c r="AI956" s="34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30"/>
      <c r="AU956" s="18"/>
      <c r="AV956" s="18"/>
      <c r="AW956" s="18"/>
      <c r="AX956" s="18"/>
    </row>
    <row r="957" spans="1:50" x14ac:dyDescent="0.2">
      <c r="AA957" s="16"/>
      <c r="AB957" s="29" t="s">
        <v>620</v>
      </c>
      <c r="AC957" s="17"/>
      <c r="AD957" s="18"/>
      <c r="AE957" s="34"/>
      <c r="AF957" s="34"/>
      <c r="AG957" s="34"/>
      <c r="AH957" s="34"/>
      <c r="AI957" s="34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30"/>
      <c r="AU957" s="18"/>
      <c r="AV957" s="18"/>
      <c r="AW957" s="18"/>
      <c r="AX957" s="18"/>
    </row>
    <row r="958" spans="1:50" ht="25.5" x14ac:dyDescent="0.2">
      <c r="AA958" s="16"/>
      <c r="AB958" s="29" t="s">
        <v>621</v>
      </c>
      <c r="AC958" s="17"/>
      <c r="AD958" s="18"/>
      <c r="AE958" s="34"/>
      <c r="AF958" s="34"/>
      <c r="AG958" s="34"/>
      <c r="AH958" s="34"/>
      <c r="AI958" s="34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30"/>
      <c r="AU958" s="18"/>
      <c r="AV958" s="18"/>
      <c r="AW958" s="18"/>
      <c r="AX958" s="18"/>
    </row>
    <row r="959" spans="1:50" ht="25.5" x14ac:dyDescent="0.2">
      <c r="AA959" s="28" t="s">
        <v>288</v>
      </c>
      <c r="AB959" s="29" t="s">
        <v>616</v>
      </c>
      <c r="AC959" s="17"/>
      <c r="AD959" s="18"/>
      <c r="AE959" s="34"/>
      <c r="AF959" s="34"/>
      <c r="AG959" s="34"/>
      <c r="AH959" s="34"/>
      <c r="AI959" s="34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30"/>
      <c r="AU959" s="18"/>
      <c r="AV959" s="18"/>
      <c r="AW959" s="18"/>
      <c r="AX959" s="18"/>
    </row>
    <row r="960" spans="1:50" x14ac:dyDescent="0.2">
      <c r="A960" s="4" t="s">
        <v>55</v>
      </c>
      <c r="B960" s="4" t="s">
        <v>56</v>
      </c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1" t="s">
        <v>622</v>
      </c>
      <c r="AB960" s="42" t="s">
        <v>618</v>
      </c>
      <c r="AC960" s="43" t="s">
        <v>619</v>
      </c>
      <c r="AD960" s="43">
        <v>162000000</v>
      </c>
      <c r="AE960" s="44">
        <v>0</v>
      </c>
      <c r="AF960" s="44">
        <v>0</v>
      </c>
      <c r="AG960" s="43">
        <f>24729623+163270377</f>
        <v>188000000</v>
      </c>
      <c r="AH960" s="44">
        <v>0</v>
      </c>
      <c r="AI960" s="43">
        <f>AE960-AF960+AG960-AH960</f>
        <v>188000000</v>
      </c>
      <c r="AJ960" s="43">
        <f>AD960+AI960</f>
        <v>350000000</v>
      </c>
      <c r="AK960" s="44">
        <v>0</v>
      </c>
      <c r="AL960" s="44">
        <v>0</v>
      </c>
      <c r="AM960" s="43">
        <v>297576901</v>
      </c>
      <c r="AN960" s="43">
        <v>0</v>
      </c>
      <c r="AO960" s="43">
        <v>0</v>
      </c>
      <c r="AP960" s="43">
        <v>297576901</v>
      </c>
      <c r="AQ960" s="43">
        <v>0</v>
      </c>
      <c r="AR960" s="43">
        <v>297576901</v>
      </c>
      <c r="AS960" s="43">
        <v>297576901</v>
      </c>
      <c r="AT960" s="39">
        <f t="shared" ref="AT960" si="445">AQ960+AS960</f>
        <v>297576901</v>
      </c>
      <c r="AU960" s="18">
        <f>AJ960-AM960</f>
        <v>52423099</v>
      </c>
      <c r="AV960" s="133">
        <f>AM960-AP960</f>
        <v>0</v>
      </c>
      <c r="AW960" s="18">
        <f>AP960-AT960</f>
        <v>0</v>
      </c>
      <c r="AX960" s="123">
        <f>AP960/AJ960</f>
        <v>0.85021971714285716</v>
      </c>
    </row>
    <row r="961" spans="1:50" x14ac:dyDescent="0.2">
      <c r="AA961" s="16"/>
      <c r="AB961" s="17"/>
      <c r="AC961" s="17"/>
      <c r="AD961" s="18"/>
      <c r="AE961" s="34"/>
      <c r="AF961" s="34"/>
      <c r="AG961" s="34"/>
      <c r="AH961" s="34"/>
      <c r="AI961" s="34"/>
      <c r="AJ961" s="18"/>
      <c r="AK961" s="34"/>
      <c r="AL961" s="34"/>
      <c r="AM961" s="34"/>
      <c r="AN961" s="34"/>
      <c r="AO961" s="34"/>
      <c r="AP961" s="34"/>
      <c r="AQ961" s="34"/>
      <c r="AR961" s="34"/>
      <c r="AS961" s="34"/>
      <c r="AT961" s="31"/>
      <c r="AU961" s="18"/>
      <c r="AV961" s="18"/>
      <c r="AW961" s="18"/>
      <c r="AX961" s="18"/>
    </row>
    <row r="962" spans="1:50" x14ac:dyDescent="0.2">
      <c r="AA962" s="16"/>
      <c r="AB962" s="29" t="s">
        <v>623</v>
      </c>
      <c r="AC962" s="17"/>
      <c r="AD962" s="18"/>
      <c r="AE962" s="34"/>
      <c r="AF962" s="34"/>
      <c r="AG962" s="34"/>
      <c r="AH962" s="34"/>
      <c r="AI962" s="34"/>
      <c r="AJ962" s="18"/>
      <c r="AK962" s="34"/>
      <c r="AL962" s="34"/>
      <c r="AM962" s="34"/>
      <c r="AN962" s="34"/>
      <c r="AO962" s="34"/>
      <c r="AP962" s="34"/>
      <c r="AQ962" s="34"/>
      <c r="AR962" s="34"/>
      <c r="AS962" s="34"/>
      <c r="AT962" s="31"/>
      <c r="AU962" s="18"/>
      <c r="AV962" s="18"/>
      <c r="AW962" s="18"/>
      <c r="AX962" s="18"/>
    </row>
    <row r="963" spans="1:50" ht="25.5" x14ac:dyDescent="0.2">
      <c r="AA963" s="16"/>
      <c r="AB963" s="29" t="s">
        <v>624</v>
      </c>
      <c r="AC963" s="17"/>
      <c r="AD963" s="18"/>
      <c r="AE963" s="34"/>
      <c r="AF963" s="34"/>
      <c r="AG963" s="34"/>
      <c r="AH963" s="34"/>
      <c r="AI963" s="34"/>
      <c r="AJ963" s="18"/>
      <c r="AK963" s="34"/>
      <c r="AL963" s="34"/>
      <c r="AM963" s="34"/>
      <c r="AN963" s="34"/>
      <c r="AO963" s="34"/>
      <c r="AP963" s="34"/>
      <c r="AQ963" s="34"/>
      <c r="AR963" s="34"/>
      <c r="AS963" s="34"/>
      <c r="AT963" s="31"/>
      <c r="AU963" s="18"/>
      <c r="AV963" s="18"/>
      <c r="AW963" s="18"/>
      <c r="AX963" s="18"/>
    </row>
    <row r="964" spans="1:50" ht="25.5" x14ac:dyDescent="0.2">
      <c r="AA964" s="28" t="s">
        <v>288</v>
      </c>
      <c r="AB964" s="29" t="s">
        <v>616</v>
      </c>
      <c r="AC964" s="17"/>
      <c r="AD964" s="18"/>
      <c r="AE964" s="34"/>
      <c r="AF964" s="34"/>
      <c r="AG964" s="34"/>
      <c r="AH964" s="34"/>
      <c r="AI964" s="34"/>
      <c r="AJ964" s="18"/>
      <c r="AK964" s="34"/>
      <c r="AL964" s="34"/>
      <c r="AM964" s="34"/>
      <c r="AN964" s="34"/>
      <c r="AO964" s="34"/>
      <c r="AP964" s="34"/>
      <c r="AQ964" s="34"/>
      <c r="AR964" s="34"/>
      <c r="AS964" s="34"/>
      <c r="AT964" s="31"/>
      <c r="AU964" s="18"/>
      <c r="AV964" s="18"/>
      <c r="AW964" s="18"/>
      <c r="AX964" s="18"/>
    </row>
    <row r="965" spans="1:50" x14ac:dyDescent="0.2">
      <c r="A965" s="4" t="s">
        <v>55</v>
      </c>
      <c r="B965" s="4" t="s">
        <v>56</v>
      </c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1" t="s">
        <v>625</v>
      </c>
      <c r="AB965" s="42" t="s">
        <v>618</v>
      </c>
      <c r="AC965" s="43" t="s">
        <v>619</v>
      </c>
      <c r="AD965" s="43">
        <v>163270377</v>
      </c>
      <c r="AE965" s="44">
        <v>0</v>
      </c>
      <c r="AF965" s="44">
        <v>0</v>
      </c>
      <c r="AG965" s="44">
        <v>0</v>
      </c>
      <c r="AH965" s="142">
        <f>163270377</f>
        <v>163270377</v>
      </c>
      <c r="AI965" s="43">
        <f>AE965-AF965+AG965-AH965</f>
        <v>-163270377</v>
      </c>
      <c r="AJ965" s="44">
        <f>AD965+AI965</f>
        <v>0</v>
      </c>
      <c r="AK965" s="44">
        <v>0</v>
      </c>
      <c r="AL965" s="44">
        <v>0</v>
      </c>
      <c r="AM965" s="44">
        <v>0</v>
      </c>
      <c r="AN965" s="44">
        <v>0</v>
      </c>
      <c r="AO965" s="44">
        <v>0</v>
      </c>
      <c r="AP965" s="44">
        <v>0</v>
      </c>
      <c r="AQ965" s="44">
        <v>0</v>
      </c>
      <c r="AR965" s="44">
        <v>0</v>
      </c>
      <c r="AS965" s="44">
        <v>0</v>
      </c>
      <c r="AT965" s="40">
        <f t="shared" ref="AT965" si="446">AQ965+AS965</f>
        <v>0</v>
      </c>
      <c r="AU965" s="34">
        <f>AJ965-AM965</f>
        <v>0</v>
      </c>
      <c r="AV965" s="133">
        <f>AM965-AP965</f>
        <v>0</v>
      </c>
      <c r="AW965" s="34">
        <f>AP965-AT965</f>
        <v>0</v>
      </c>
      <c r="AX965" s="123">
        <v>0</v>
      </c>
    </row>
    <row r="966" spans="1:50" ht="25.5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1" t="s">
        <v>1426</v>
      </c>
      <c r="AB966" s="42" t="s">
        <v>1228</v>
      </c>
      <c r="AC966" s="43"/>
      <c r="AD966" s="44">
        <v>0</v>
      </c>
      <c r="AE966" s="44">
        <v>0</v>
      </c>
      <c r="AF966" s="44">
        <v>0</v>
      </c>
      <c r="AG966" s="43">
        <v>69400000</v>
      </c>
      <c r="AH966" s="142">
        <v>0</v>
      </c>
      <c r="AI966" s="43">
        <f>AE966-AF966+AG966-AH966</f>
        <v>69400000</v>
      </c>
      <c r="AJ966" s="43">
        <f>AD966+AI966</f>
        <v>69400000</v>
      </c>
      <c r="AK966" s="44">
        <v>0</v>
      </c>
      <c r="AL966" s="44">
        <v>0</v>
      </c>
      <c r="AM966" s="44">
        <v>0</v>
      </c>
      <c r="AN966" s="44">
        <v>0</v>
      </c>
      <c r="AO966" s="44">
        <v>0</v>
      </c>
      <c r="AP966" s="44">
        <v>0</v>
      </c>
      <c r="AQ966" s="44">
        <v>0</v>
      </c>
      <c r="AR966" s="44">
        <v>0</v>
      </c>
      <c r="AS966" s="44">
        <v>0</v>
      </c>
      <c r="AT966" s="40">
        <f t="shared" ref="AT966" si="447">AQ966+AS966</f>
        <v>0</v>
      </c>
      <c r="AU966" s="18">
        <f>AJ966-AM966</f>
        <v>69400000</v>
      </c>
      <c r="AV966" s="133">
        <f>AM966-AP966</f>
        <v>0</v>
      </c>
      <c r="AW966" s="34">
        <f>AP966-AT966</f>
        <v>0</v>
      </c>
      <c r="AX966" s="123">
        <v>0</v>
      </c>
    </row>
    <row r="967" spans="1:50" x14ac:dyDescent="0.2">
      <c r="AA967" s="16"/>
      <c r="AB967" s="17"/>
      <c r="AC967" s="17"/>
      <c r="AD967" s="18"/>
      <c r="AE967" s="18"/>
      <c r="AF967" s="18"/>
      <c r="AG967" s="18"/>
      <c r="AH967" s="18"/>
      <c r="AI967" s="18"/>
      <c r="AJ967" s="18"/>
      <c r="AK967" s="34"/>
      <c r="AL967" s="34"/>
      <c r="AM967" s="34"/>
      <c r="AN967" s="34"/>
      <c r="AO967" s="34"/>
      <c r="AP967" s="34"/>
      <c r="AQ967" s="18"/>
      <c r="AR967" s="18"/>
      <c r="AS967" s="18"/>
      <c r="AT967" s="30"/>
      <c r="AU967" s="18"/>
      <c r="AV967" s="18"/>
      <c r="AW967" s="18"/>
      <c r="AX967" s="18"/>
    </row>
    <row r="968" spans="1:50" ht="25.5" x14ac:dyDescent="0.2">
      <c r="AA968" s="16"/>
      <c r="AB968" s="29" t="s">
        <v>626</v>
      </c>
      <c r="AC968" s="17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30"/>
      <c r="AU968" s="18"/>
      <c r="AV968" s="18"/>
      <c r="AW968" s="18"/>
      <c r="AX968" s="18"/>
    </row>
    <row r="969" spans="1:50" ht="25.5" x14ac:dyDescent="0.2">
      <c r="AA969" s="16"/>
      <c r="AB969" s="29" t="s">
        <v>627</v>
      </c>
      <c r="AC969" s="17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30"/>
      <c r="AU969" s="18"/>
      <c r="AV969" s="18"/>
      <c r="AW969" s="18"/>
      <c r="AX969" s="18"/>
    </row>
    <row r="970" spans="1:50" x14ac:dyDescent="0.2">
      <c r="AA970" s="16"/>
      <c r="AB970" s="29" t="s">
        <v>628</v>
      </c>
      <c r="AC970" s="17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30"/>
      <c r="AU970" s="18"/>
      <c r="AV970" s="18"/>
      <c r="AW970" s="18"/>
      <c r="AX970" s="18"/>
    </row>
    <row r="971" spans="1:50" x14ac:dyDescent="0.2">
      <c r="AA971" s="16"/>
      <c r="AB971" s="29" t="s">
        <v>629</v>
      </c>
      <c r="AC971" s="17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30"/>
      <c r="AU971" s="18"/>
      <c r="AV971" s="18"/>
      <c r="AW971" s="18"/>
      <c r="AX971" s="18"/>
    </row>
    <row r="972" spans="1:50" ht="25.5" x14ac:dyDescent="0.2">
      <c r="AA972" s="28" t="s">
        <v>288</v>
      </c>
      <c r="AB972" s="29" t="s">
        <v>616</v>
      </c>
      <c r="AC972" s="17"/>
      <c r="AD972" s="18"/>
      <c r="AE972" s="34"/>
      <c r="AF972" s="34"/>
      <c r="AG972" s="34"/>
      <c r="AH972" s="34"/>
      <c r="AI972" s="34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30"/>
      <c r="AU972" s="18"/>
      <c r="AV972" s="18"/>
      <c r="AW972" s="18"/>
      <c r="AX972" s="18"/>
    </row>
    <row r="973" spans="1:50" s="150" customFormat="1" x14ac:dyDescent="0.2">
      <c r="A973" s="140" t="s">
        <v>55</v>
      </c>
      <c r="B973" s="140" t="s">
        <v>56</v>
      </c>
      <c r="C973" s="140"/>
      <c r="D973" s="140"/>
      <c r="E973" s="140"/>
      <c r="F973" s="140"/>
      <c r="G973" s="140"/>
      <c r="H973" s="140"/>
      <c r="I973" s="140"/>
      <c r="J973" s="140"/>
      <c r="K973" s="140"/>
      <c r="L973" s="140"/>
      <c r="M973" s="140"/>
      <c r="N973" s="140"/>
      <c r="O973" s="140"/>
      <c r="P973" s="140"/>
      <c r="Q973" s="140"/>
      <c r="R973" s="140"/>
      <c r="S973" s="140"/>
      <c r="T973" s="140"/>
      <c r="U973" s="140"/>
      <c r="V973" s="140"/>
      <c r="W973" s="140"/>
      <c r="X973" s="140"/>
      <c r="Y973" s="140"/>
      <c r="Z973" s="140"/>
      <c r="AA973" s="134" t="s">
        <v>630</v>
      </c>
      <c r="AB973" s="69" t="s">
        <v>618</v>
      </c>
      <c r="AC973" s="142" t="s">
        <v>619</v>
      </c>
      <c r="AD973" s="142">
        <v>100000000</v>
      </c>
      <c r="AE973" s="143">
        <v>0</v>
      </c>
      <c r="AF973" s="143">
        <v>0</v>
      </c>
      <c r="AG973" s="142">
        <f>222721043+10000000</f>
        <v>232721043</v>
      </c>
      <c r="AH973" s="142">
        <v>74931884</v>
      </c>
      <c r="AI973" s="142">
        <f>AE973-AF973+AG973-AH973</f>
        <v>157789159</v>
      </c>
      <c r="AJ973" s="142">
        <f>AD973+AI973</f>
        <v>257789159</v>
      </c>
      <c r="AK973" s="143">
        <v>0</v>
      </c>
      <c r="AL973" s="142">
        <f>AM973-AGOSTO!AM922</f>
        <v>0</v>
      </c>
      <c r="AM973" s="142">
        <v>17033100</v>
      </c>
      <c r="AN973" s="143">
        <v>0</v>
      </c>
      <c r="AO973" s="143">
        <v>0</v>
      </c>
      <c r="AP973" s="142">
        <v>17033100</v>
      </c>
      <c r="AQ973" s="143">
        <v>0</v>
      </c>
      <c r="AR973" s="142">
        <v>0</v>
      </c>
      <c r="AS973" s="142">
        <v>9627100</v>
      </c>
      <c r="AT973" s="267">
        <f t="shared" ref="AT973" si="448">AQ973+AS973</f>
        <v>9627100</v>
      </c>
      <c r="AU973" s="147">
        <f>AJ973-AM973</f>
        <v>240756059</v>
      </c>
      <c r="AV973" s="175">
        <f>AM973-AP973</f>
        <v>0</v>
      </c>
      <c r="AW973" s="147">
        <f>AP973-AT973</f>
        <v>7406000</v>
      </c>
      <c r="AX973" s="149">
        <f>AP973/AJ973</f>
        <v>6.6073763792371107E-2</v>
      </c>
    </row>
    <row r="974" spans="1:50" s="150" customFormat="1" ht="24.75" customHeight="1" x14ac:dyDescent="0.2">
      <c r="A974" s="140"/>
      <c r="B974" s="140"/>
      <c r="C974" s="140"/>
      <c r="D974" s="140"/>
      <c r="E974" s="140"/>
      <c r="F974" s="140"/>
      <c r="G974" s="140"/>
      <c r="H974" s="140"/>
      <c r="I974" s="140"/>
      <c r="J974" s="140"/>
      <c r="K974" s="140"/>
      <c r="L974" s="140"/>
      <c r="M974" s="140"/>
      <c r="N974" s="140"/>
      <c r="O974" s="140"/>
      <c r="P974" s="140"/>
      <c r="Q974" s="140"/>
      <c r="R974" s="140"/>
      <c r="S974" s="140"/>
      <c r="T974" s="140"/>
      <c r="U974" s="140"/>
      <c r="V974" s="140"/>
      <c r="W974" s="140"/>
      <c r="X974" s="140"/>
      <c r="Y974" s="140"/>
      <c r="Z974" s="140"/>
      <c r="AA974" s="134" t="s">
        <v>1420</v>
      </c>
      <c r="AB974" s="69" t="s">
        <v>1104</v>
      </c>
      <c r="AC974" s="142"/>
      <c r="AD974" s="142"/>
      <c r="AE974" s="143"/>
      <c r="AF974" s="143"/>
      <c r="AG974" s="142">
        <v>316960893</v>
      </c>
      <c r="AH974" s="142"/>
      <c r="AI974" s="142">
        <f>AE974-AF974+AG974-AH974</f>
        <v>316960893</v>
      </c>
      <c r="AJ974" s="142">
        <f>AD974+AI974</f>
        <v>316960893</v>
      </c>
      <c r="AK974" s="143">
        <v>0</v>
      </c>
      <c r="AL974" s="143">
        <v>0</v>
      </c>
      <c r="AM974" s="143">
        <v>0</v>
      </c>
      <c r="AN974" s="143">
        <v>0</v>
      </c>
      <c r="AO974" s="143">
        <v>0</v>
      </c>
      <c r="AP974" s="143">
        <v>0</v>
      </c>
      <c r="AQ974" s="143">
        <v>0</v>
      </c>
      <c r="AR974" s="143">
        <v>0</v>
      </c>
      <c r="AS974" s="143">
        <v>0</v>
      </c>
      <c r="AT974" s="267">
        <f t="shared" ref="AT974" si="449">AQ974+AS974</f>
        <v>0</v>
      </c>
      <c r="AU974" s="147">
        <f>AJ974-AM974</f>
        <v>316960893</v>
      </c>
      <c r="AV974" s="175">
        <f>AM974-AP974</f>
        <v>0</v>
      </c>
      <c r="AW974" s="147">
        <f>AP974-AT974</f>
        <v>0</v>
      </c>
      <c r="AX974" s="149">
        <f>AP974/AJ974</f>
        <v>0</v>
      </c>
    </row>
    <row r="975" spans="1:50" x14ac:dyDescent="0.2">
      <c r="AA975" s="16"/>
      <c r="AB975" s="17"/>
      <c r="AC975" s="17"/>
      <c r="AD975" s="18"/>
      <c r="AE975" s="34"/>
      <c r="AF975" s="34"/>
      <c r="AG975" s="34"/>
      <c r="AH975" s="34"/>
      <c r="AI975" s="34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30"/>
      <c r="AU975" s="18"/>
      <c r="AV975" s="18"/>
      <c r="AW975" s="18"/>
      <c r="AX975" s="18"/>
    </row>
    <row r="976" spans="1:50" x14ac:dyDescent="0.2">
      <c r="AA976" s="16"/>
      <c r="AB976" s="29" t="s">
        <v>631</v>
      </c>
      <c r="AC976" s="17"/>
      <c r="AD976" s="18"/>
      <c r="AE976" s="34"/>
      <c r="AF976" s="34"/>
      <c r="AG976" s="34"/>
      <c r="AH976" s="34"/>
      <c r="AI976" s="34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30"/>
      <c r="AU976" s="18"/>
      <c r="AV976" s="18"/>
      <c r="AW976" s="18"/>
      <c r="AX976" s="18"/>
    </row>
    <row r="977" spans="1:50" x14ac:dyDescent="0.2">
      <c r="AA977" s="16"/>
      <c r="AB977" s="29" t="s">
        <v>632</v>
      </c>
      <c r="AC977" s="17"/>
      <c r="AD977" s="18"/>
      <c r="AE977" s="34"/>
      <c r="AF977" s="34"/>
      <c r="AG977" s="34"/>
      <c r="AH977" s="34"/>
      <c r="AI977" s="34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30"/>
      <c r="AU977" s="18"/>
      <c r="AV977" s="18"/>
      <c r="AW977" s="18"/>
      <c r="AX977" s="18"/>
    </row>
    <row r="978" spans="1:50" x14ac:dyDescent="0.2">
      <c r="AA978" s="16"/>
      <c r="AB978" s="29" t="s">
        <v>633</v>
      </c>
      <c r="AC978" s="17"/>
      <c r="AD978" s="18"/>
      <c r="AE978" s="34"/>
      <c r="AF978" s="34"/>
      <c r="AG978" s="34"/>
      <c r="AH978" s="34"/>
      <c r="AI978" s="34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30"/>
      <c r="AU978" s="18"/>
      <c r="AV978" s="18"/>
      <c r="AW978" s="18"/>
      <c r="AX978" s="18"/>
    </row>
    <row r="979" spans="1:50" x14ac:dyDescent="0.2">
      <c r="AA979" s="16"/>
      <c r="AB979" s="29" t="s">
        <v>634</v>
      </c>
      <c r="AC979" s="17"/>
      <c r="AD979" s="18"/>
      <c r="AE979" s="34"/>
      <c r="AF979" s="34"/>
      <c r="AG979" s="34"/>
      <c r="AH979" s="34"/>
      <c r="AI979" s="34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30"/>
      <c r="AU979" s="18"/>
      <c r="AV979" s="18"/>
      <c r="AW979" s="18"/>
      <c r="AX979" s="18"/>
    </row>
    <row r="980" spans="1:50" x14ac:dyDescent="0.2">
      <c r="AA980" s="16"/>
      <c r="AB980" s="29" t="s">
        <v>635</v>
      </c>
      <c r="AC980" s="17"/>
      <c r="AD980" s="18"/>
      <c r="AE980" s="34"/>
      <c r="AF980" s="34"/>
      <c r="AG980" s="34"/>
      <c r="AH980" s="34"/>
      <c r="AI980" s="34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30"/>
      <c r="AU980" s="18"/>
      <c r="AV980" s="18"/>
      <c r="AW980" s="18"/>
      <c r="AX980" s="18"/>
    </row>
    <row r="981" spans="1:50" ht="25.5" x14ac:dyDescent="0.2">
      <c r="AA981" s="28" t="s">
        <v>288</v>
      </c>
      <c r="AB981" s="29" t="s">
        <v>616</v>
      </c>
      <c r="AC981" s="17"/>
      <c r="AD981" s="18"/>
      <c r="AE981" s="34"/>
      <c r="AF981" s="34"/>
      <c r="AG981" s="34"/>
      <c r="AH981" s="34"/>
      <c r="AI981" s="34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30"/>
      <c r="AU981" s="18"/>
      <c r="AV981" s="18"/>
      <c r="AW981" s="18"/>
      <c r="AX981" s="18"/>
    </row>
    <row r="982" spans="1:50" ht="18.75" customHeight="1" x14ac:dyDescent="0.2">
      <c r="A982" s="4" t="s">
        <v>55</v>
      </c>
      <c r="B982" s="4" t="s">
        <v>56</v>
      </c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1" t="s">
        <v>636</v>
      </c>
      <c r="AB982" s="42" t="s">
        <v>618</v>
      </c>
      <c r="AC982" s="43" t="s">
        <v>619</v>
      </c>
      <c r="AD982" s="43">
        <v>80000000</v>
      </c>
      <c r="AE982" s="44">
        <v>0</v>
      </c>
      <c r="AF982" s="44">
        <v>0</v>
      </c>
      <c r="AG982" s="44">
        <v>0</v>
      </c>
      <c r="AH982" s="43">
        <v>45841551</v>
      </c>
      <c r="AI982" s="43">
        <f>AE982-AF982+AG982-AH982</f>
        <v>-45841551</v>
      </c>
      <c r="AJ982" s="43">
        <f>AD982+AI982</f>
        <v>34158449</v>
      </c>
      <c r="AK982" s="44">
        <v>0</v>
      </c>
      <c r="AL982" s="44">
        <v>0</v>
      </c>
      <c r="AM982" s="44">
        <v>0</v>
      </c>
      <c r="AN982" s="44">
        <v>0</v>
      </c>
      <c r="AO982" s="44">
        <v>0</v>
      </c>
      <c r="AP982" s="44">
        <v>0</v>
      </c>
      <c r="AQ982" s="44">
        <v>0</v>
      </c>
      <c r="AR982" s="44">
        <v>0</v>
      </c>
      <c r="AS982" s="44">
        <v>0</v>
      </c>
      <c r="AT982" s="40">
        <f t="shared" ref="AT982" si="450">AQ982+AS982</f>
        <v>0</v>
      </c>
      <c r="AU982" s="18">
        <f>AJ982-AM982</f>
        <v>34158449</v>
      </c>
      <c r="AV982" s="133">
        <f>AM982-AP982</f>
        <v>0</v>
      </c>
      <c r="AW982" s="34">
        <f>AP982-AT982</f>
        <v>0</v>
      </c>
      <c r="AX982" s="123">
        <f>AP982/AJ982</f>
        <v>0</v>
      </c>
    </row>
    <row r="983" spans="1:50" ht="18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73" t="s">
        <v>288</v>
      </c>
      <c r="AB983" s="74" t="s">
        <v>1399</v>
      </c>
      <c r="AC983" s="43"/>
      <c r="AD983" s="43"/>
      <c r="AE983" s="44"/>
      <c r="AF983" s="44"/>
      <c r="AG983" s="44"/>
      <c r="AH983" s="44"/>
      <c r="AI983" s="44"/>
      <c r="AJ983" s="43"/>
      <c r="AK983" s="44"/>
      <c r="AL983" s="44"/>
      <c r="AM983" s="44"/>
      <c r="AN983" s="44"/>
      <c r="AO983" s="44"/>
      <c r="AP983" s="44"/>
      <c r="AQ983" s="44"/>
      <c r="AR983" s="44"/>
      <c r="AS983" s="44"/>
      <c r="AT983" s="40"/>
      <c r="AU983" s="18"/>
      <c r="AV983" s="133"/>
      <c r="AW983" s="34"/>
      <c r="AX983" s="123"/>
    </row>
    <row r="984" spans="1:50" ht="27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1" t="s">
        <v>1400</v>
      </c>
      <c r="AB984" s="42" t="s">
        <v>1104</v>
      </c>
      <c r="AC984" s="43"/>
      <c r="AD984" s="44">
        <v>0</v>
      </c>
      <c r="AE984" s="44">
        <v>0</v>
      </c>
      <c r="AF984" s="44">
        <v>0</v>
      </c>
      <c r="AG984" s="43">
        <v>100861425</v>
      </c>
      <c r="AH984" s="44">
        <v>0</v>
      </c>
      <c r="AI984" s="43">
        <f t="shared" ref="AI984:AI988" si="451">AE984-AF984+AG984-AH984</f>
        <v>100861425</v>
      </c>
      <c r="AJ984" s="43">
        <f t="shared" ref="AJ984:AJ988" si="452">AD984+AI984</f>
        <v>100861425</v>
      </c>
      <c r="AK984" s="44">
        <v>0</v>
      </c>
      <c r="AL984" s="43">
        <v>100861425</v>
      </c>
      <c r="AM984" s="43">
        <v>100861425</v>
      </c>
      <c r="AN984" s="43">
        <v>0</v>
      </c>
      <c r="AO984" s="44">
        <v>0</v>
      </c>
      <c r="AP984" s="44">
        <v>0</v>
      </c>
      <c r="AQ984" s="44">
        <v>0</v>
      </c>
      <c r="AR984" s="44">
        <v>0</v>
      </c>
      <c r="AS984" s="44">
        <v>0</v>
      </c>
      <c r="AT984" s="40">
        <f t="shared" ref="AT984:AT987" si="453">AQ984+AS984</f>
        <v>0</v>
      </c>
      <c r="AU984" s="34">
        <f t="shared" ref="AU984:AU987" si="454">AJ984-AM984</f>
        <v>0</v>
      </c>
      <c r="AV984" s="18">
        <f t="shared" ref="AV984:AV987" si="455">AM984-AP984</f>
        <v>100861425</v>
      </c>
      <c r="AW984" s="34">
        <f t="shared" ref="AW984:AW987" si="456">AP984-AT984</f>
        <v>0</v>
      </c>
      <c r="AX984" s="123">
        <f t="shared" ref="AX984:AX987" si="457">AP984/AJ984</f>
        <v>0</v>
      </c>
    </row>
    <row r="985" spans="1:50" ht="25.5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1" t="s">
        <v>1401</v>
      </c>
      <c r="AB985" s="42" t="s">
        <v>1104</v>
      </c>
      <c r="AC985" s="43"/>
      <c r="AD985" s="44">
        <v>0</v>
      </c>
      <c r="AE985" s="44">
        <v>0</v>
      </c>
      <c r="AF985" s="44">
        <v>0</v>
      </c>
      <c r="AG985" s="43">
        <v>6039250</v>
      </c>
      <c r="AH985" s="44">
        <v>0</v>
      </c>
      <c r="AI985" s="43">
        <f t="shared" si="451"/>
        <v>6039250</v>
      </c>
      <c r="AJ985" s="43">
        <f t="shared" si="452"/>
        <v>6039250</v>
      </c>
      <c r="AK985" s="44">
        <v>0</v>
      </c>
      <c r="AL985" s="43">
        <v>6039250</v>
      </c>
      <c r="AM985" s="43">
        <v>6039250</v>
      </c>
      <c r="AN985" s="43">
        <v>0</v>
      </c>
      <c r="AO985" s="44">
        <v>0</v>
      </c>
      <c r="AP985" s="44">
        <v>0</v>
      </c>
      <c r="AQ985" s="44">
        <v>0</v>
      </c>
      <c r="AR985" s="44">
        <v>0</v>
      </c>
      <c r="AS985" s="44">
        <v>0</v>
      </c>
      <c r="AT985" s="40">
        <f t="shared" si="453"/>
        <v>0</v>
      </c>
      <c r="AU985" s="34">
        <f t="shared" si="454"/>
        <v>0</v>
      </c>
      <c r="AV985" s="18">
        <f t="shared" si="455"/>
        <v>6039250</v>
      </c>
      <c r="AW985" s="34">
        <f t="shared" si="456"/>
        <v>0</v>
      </c>
      <c r="AX985" s="123">
        <f t="shared" si="457"/>
        <v>0</v>
      </c>
    </row>
    <row r="986" spans="1:50" ht="25.5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1" t="s">
        <v>1402</v>
      </c>
      <c r="AB986" s="42" t="s">
        <v>1104</v>
      </c>
      <c r="AC986" s="43"/>
      <c r="AD986" s="44">
        <v>0</v>
      </c>
      <c r="AE986" s="44">
        <v>0</v>
      </c>
      <c r="AF986" s="44">
        <v>0</v>
      </c>
      <c r="AG986" s="43">
        <v>1664925590</v>
      </c>
      <c r="AH986" s="44">
        <v>0</v>
      </c>
      <c r="AI986" s="43">
        <f t="shared" si="451"/>
        <v>1664925590</v>
      </c>
      <c r="AJ986" s="43">
        <f t="shared" si="452"/>
        <v>1664925590</v>
      </c>
      <c r="AK986" s="44">
        <v>0</v>
      </c>
      <c r="AL986" s="43">
        <v>1664925590</v>
      </c>
      <c r="AM986" s="43">
        <v>1664925590</v>
      </c>
      <c r="AN986" s="43">
        <v>0</v>
      </c>
      <c r="AO986" s="44">
        <v>0</v>
      </c>
      <c r="AP986" s="44">
        <v>0</v>
      </c>
      <c r="AQ986" s="44">
        <v>0</v>
      </c>
      <c r="AR986" s="44">
        <v>0</v>
      </c>
      <c r="AS986" s="44">
        <v>0</v>
      </c>
      <c r="AT986" s="40">
        <f t="shared" si="453"/>
        <v>0</v>
      </c>
      <c r="AU986" s="34">
        <f t="shared" si="454"/>
        <v>0</v>
      </c>
      <c r="AV986" s="18">
        <f t="shared" si="455"/>
        <v>1664925590</v>
      </c>
      <c r="AW986" s="34">
        <f t="shared" si="456"/>
        <v>0</v>
      </c>
      <c r="AX986" s="123">
        <f t="shared" si="457"/>
        <v>0</v>
      </c>
    </row>
    <row r="987" spans="1:50" ht="25.5" x14ac:dyDescent="0.2">
      <c r="AA987" s="41" t="s">
        <v>1403</v>
      </c>
      <c r="AB987" s="17" t="s">
        <v>1104</v>
      </c>
      <c r="AC987" s="17"/>
      <c r="AD987" s="34">
        <v>0</v>
      </c>
      <c r="AE987" s="34">
        <v>0</v>
      </c>
      <c r="AF987" s="34">
        <v>0</v>
      </c>
      <c r="AG987" s="18">
        <v>214182240</v>
      </c>
      <c r="AH987" s="34">
        <v>0</v>
      </c>
      <c r="AI987" s="43">
        <f t="shared" si="451"/>
        <v>214182240</v>
      </c>
      <c r="AJ987" s="43">
        <f t="shared" si="452"/>
        <v>214182240</v>
      </c>
      <c r="AK987" s="34">
        <v>0</v>
      </c>
      <c r="AL987" s="18">
        <v>214182240</v>
      </c>
      <c r="AM987" s="18">
        <v>214182240</v>
      </c>
      <c r="AN987" s="18">
        <v>0</v>
      </c>
      <c r="AO987" s="34">
        <v>0</v>
      </c>
      <c r="AP987" s="34">
        <v>0</v>
      </c>
      <c r="AQ987" s="34">
        <v>0</v>
      </c>
      <c r="AR987" s="34">
        <v>0</v>
      </c>
      <c r="AS987" s="34">
        <v>0</v>
      </c>
      <c r="AT987" s="40">
        <f t="shared" si="453"/>
        <v>0</v>
      </c>
      <c r="AU987" s="34">
        <f t="shared" si="454"/>
        <v>0</v>
      </c>
      <c r="AV987" s="18">
        <f t="shared" si="455"/>
        <v>214182240</v>
      </c>
      <c r="AW987" s="34">
        <f t="shared" si="456"/>
        <v>0</v>
      </c>
      <c r="AX987" s="123">
        <f t="shared" si="457"/>
        <v>0</v>
      </c>
    </row>
    <row r="988" spans="1:50" ht="25.5" x14ac:dyDescent="0.2">
      <c r="AA988" s="41" t="s">
        <v>1404</v>
      </c>
      <c r="AB988" s="17" t="s">
        <v>1104</v>
      </c>
      <c r="AC988" s="17"/>
      <c r="AD988" s="34">
        <v>0</v>
      </c>
      <c r="AE988" s="34">
        <v>0</v>
      </c>
      <c r="AF988" s="34">
        <v>0</v>
      </c>
      <c r="AG988" s="18">
        <v>21051100</v>
      </c>
      <c r="AH988" s="34">
        <v>0</v>
      </c>
      <c r="AI988" s="43">
        <f t="shared" si="451"/>
        <v>21051100</v>
      </c>
      <c r="AJ988" s="43">
        <f t="shared" si="452"/>
        <v>21051100</v>
      </c>
      <c r="AK988" s="34">
        <v>0</v>
      </c>
      <c r="AL988" s="18">
        <v>21051099</v>
      </c>
      <c r="AM988" s="18">
        <v>21051099</v>
      </c>
      <c r="AN988" s="18">
        <v>0</v>
      </c>
      <c r="AO988" s="34">
        <v>0</v>
      </c>
      <c r="AP988" s="34">
        <v>0</v>
      </c>
      <c r="AQ988" s="34">
        <v>0</v>
      </c>
      <c r="AR988" s="34">
        <v>0</v>
      </c>
      <c r="AS988" s="34">
        <v>0</v>
      </c>
      <c r="AT988" s="40">
        <f t="shared" ref="AT988" si="458">AQ988+AS988</f>
        <v>0</v>
      </c>
      <c r="AU988" s="18">
        <f t="shared" ref="AU988" si="459">AJ988-AM988</f>
        <v>1</v>
      </c>
      <c r="AV988" s="18">
        <f t="shared" ref="AV988" si="460">AM988-AP988</f>
        <v>21051099</v>
      </c>
      <c r="AW988" s="34">
        <f t="shared" ref="AW988" si="461">AP988-AT988</f>
        <v>0</v>
      </c>
      <c r="AX988" s="123">
        <f t="shared" ref="AX988" si="462">AP988/AJ988</f>
        <v>0</v>
      </c>
    </row>
    <row r="989" spans="1:50" x14ac:dyDescent="0.2">
      <c r="AA989" s="16"/>
      <c r="AB989" s="17"/>
      <c r="AC989" s="17"/>
      <c r="AD989" s="18"/>
      <c r="AE989" s="34"/>
      <c r="AF989" s="34"/>
      <c r="AG989" s="34"/>
      <c r="AH989" s="34"/>
      <c r="AI989" s="34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30"/>
      <c r="AU989" s="18"/>
      <c r="AV989" s="18"/>
      <c r="AW989" s="18"/>
      <c r="AX989" s="18"/>
    </row>
    <row r="990" spans="1:50" ht="18.75" customHeight="1" x14ac:dyDescent="0.2">
      <c r="AA990" s="16"/>
      <c r="AB990" s="29" t="s">
        <v>179</v>
      </c>
      <c r="AC990" s="17"/>
      <c r="AD990" s="18"/>
      <c r="AE990" s="34"/>
      <c r="AF990" s="34"/>
      <c r="AG990" s="34"/>
      <c r="AH990" s="34"/>
      <c r="AI990" s="34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30"/>
      <c r="AU990" s="18"/>
      <c r="AV990" s="18"/>
      <c r="AW990" s="18"/>
      <c r="AX990" s="18"/>
    </row>
    <row r="991" spans="1:50" ht="18.75" customHeight="1" x14ac:dyDescent="0.2">
      <c r="AA991" s="16"/>
      <c r="AB991" s="29" t="s">
        <v>181</v>
      </c>
      <c r="AC991" s="17"/>
      <c r="AD991" s="18"/>
      <c r="AE991" s="34"/>
      <c r="AF991" s="34"/>
      <c r="AG991" s="34"/>
      <c r="AH991" s="34"/>
      <c r="AI991" s="34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30"/>
      <c r="AU991" s="18"/>
      <c r="AV991" s="18"/>
      <c r="AW991" s="18"/>
      <c r="AX991" s="18"/>
    </row>
    <row r="992" spans="1:50" ht="25.5" x14ac:dyDescent="0.2">
      <c r="AA992" s="16"/>
      <c r="AB992" s="29" t="s">
        <v>637</v>
      </c>
      <c r="AC992" s="17"/>
      <c r="AD992" s="18"/>
      <c r="AE992" s="34"/>
      <c r="AF992" s="34"/>
      <c r="AG992" s="34"/>
      <c r="AH992" s="34"/>
      <c r="AI992" s="34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30"/>
      <c r="AU992" s="18"/>
      <c r="AV992" s="18"/>
      <c r="AW992" s="18"/>
      <c r="AX992" s="18"/>
    </row>
    <row r="993" spans="1:50" ht="28.5" customHeight="1" x14ac:dyDescent="0.2">
      <c r="AA993" s="28" t="s">
        <v>288</v>
      </c>
      <c r="AB993" s="29" t="s">
        <v>637</v>
      </c>
      <c r="AC993" s="17"/>
      <c r="AD993" s="18"/>
      <c r="AE993" s="34"/>
      <c r="AF993" s="34"/>
      <c r="AG993" s="34"/>
      <c r="AH993" s="34"/>
      <c r="AI993" s="34"/>
      <c r="AJ993" s="18"/>
      <c r="AK993" s="34"/>
      <c r="AL993" s="34"/>
      <c r="AM993" s="18"/>
      <c r="AN993" s="18"/>
      <c r="AO993" s="18"/>
      <c r="AP993" s="18"/>
      <c r="AQ993" s="18"/>
      <c r="AR993" s="18"/>
      <c r="AS993" s="18"/>
      <c r="AT993" s="30"/>
      <c r="AU993" s="18"/>
      <c r="AV993" s="18"/>
      <c r="AW993" s="18"/>
      <c r="AX993" s="18"/>
    </row>
    <row r="994" spans="1:50" ht="27.75" customHeight="1" x14ac:dyDescent="0.2">
      <c r="AA994" s="101" t="s">
        <v>1227</v>
      </c>
      <c r="AB994" s="251" t="s">
        <v>1228</v>
      </c>
      <c r="AC994" s="17"/>
      <c r="AD994" s="34">
        <v>0</v>
      </c>
      <c r="AE994" s="34">
        <v>0</v>
      </c>
      <c r="AF994" s="34">
        <v>0</v>
      </c>
      <c r="AG994" s="18">
        <f>70000000+170000000+360000000+100000000+414842700+77000000+500000000+73000000</f>
        <v>1764842700</v>
      </c>
      <c r="AH994" s="34">
        <v>0</v>
      </c>
      <c r="AI994" s="43">
        <f>AE994-AF994+AG994-AH994</f>
        <v>1764842700</v>
      </c>
      <c r="AJ994" s="142">
        <f>AD994+AI994</f>
        <v>1764842700</v>
      </c>
      <c r="AK994" s="18">
        <v>0</v>
      </c>
      <c r="AL994" s="18">
        <v>496700042</v>
      </c>
      <c r="AM994" s="18">
        <v>550700033</v>
      </c>
      <c r="AN994" s="18">
        <v>0</v>
      </c>
      <c r="AO994" s="18">
        <v>0</v>
      </c>
      <c r="AP994" s="18">
        <v>53999991</v>
      </c>
      <c r="AQ994" s="34">
        <v>0</v>
      </c>
      <c r="AR994" s="34">
        <v>0</v>
      </c>
      <c r="AS994" s="34">
        <v>0</v>
      </c>
      <c r="AT994" s="40">
        <f t="shared" ref="AT994" si="463">AQ994+AS994</f>
        <v>0</v>
      </c>
      <c r="AU994" s="18">
        <f>AJ994-AM994</f>
        <v>1214142667</v>
      </c>
      <c r="AV994" s="34">
        <f>AM994-AP994</f>
        <v>496700042</v>
      </c>
      <c r="AW994" s="18">
        <f>AP994-AT994</f>
        <v>53999991</v>
      </c>
      <c r="AX994" s="123">
        <f>AP994/AJ994</f>
        <v>3.0597622666314682E-2</v>
      </c>
    </row>
    <row r="995" spans="1:50" ht="27.75" customHeight="1" x14ac:dyDescent="0.2">
      <c r="AA995" s="101" t="s">
        <v>1423</v>
      </c>
      <c r="AB995" s="251" t="s">
        <v>1424</v>
      </c>
      <c r="AC995" s="17"/>
      <c r="AD995" s="34">
        <v>0</v>
      </c>
      <c r="AE995" s="34">
        <v>0</v>
      </c>
      <c r="AF995" s="34">
        <v>0</v>
      </c>
      <c r="AG995" s="18">
        <v>200000000</v>
      </c>
      <c r="AH995" s="34"/>
      <c r="AI995" s="43">
        <f>AE995-AF995+AG995-AH995</f>
        <v>200000000</v>
      </c>
      <c r="AJ995" s="142">
        <f>AD995+AI995</f>
        <v>200000000</v>
      </c>
      <c r="AK995" s="34">
        <v>0</v>
      </c>
      <c r="AL995" s="34">
        <v>0</v>
      </c>
      <c r="AM995" s="18">
        <v>0</v>
      </c>
      <c r="AN995" s="34">
        <v>0</v>
      </c>
      <c r="AO995" s="34">
        <v>0</v>
      </c>
      <c r="AP995" s="18">
        <v>0</v>
      </c>
      <c r="AQ995" s="34">
        <v>0</v>
      </c>
      <c r="AR995" s="34">
        <v>0</v>
      </c>
      <c r="AS995" s="34">
        <v>0</v>
      </c>
      <c r="AT995" s="40">
        <f t="shared" ref="AT995" si="464">AQ995+AS995</f>
        <v>0</v>
      </c>
      <c r="AU995" s="18">
        <f>AJ995-AM995</f>
        <v>200000000</v>
      </c>
      <c r="AV995" s="34">
        <f>AM995-AP995</f>
        <v>0</v>
      </c>
      <c r="AW995" s="18">
        <f>AP995-AT995</f>
        <v>0</v>
      </c>
      <c r="AX995" s="123">
        <f>AP995/AJ995</f>
        <v>0</v>
      </c>
    </row>
    <row r="996" spans="1:50" ht="25.5" x14ac:dyDescent="0.2">
      <c r="AA996" s="28" t="s">
        <v>288</v>
      </c>
      <c r="AB996" s="29" t="s">
        <v>616</v>
      </c>
      <c r="AC996" s="17"/>
      <c r="AD996" s="18"/>
      <c r="AE996" s="34"/>
      <c r="AF996" s="34"/>
      <c r="AG996" s="34"/>
      <c r="AH996" s="34"/>
      <c r="AI996" s="34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30"/>
      <c r="AU996" s="18"/>
      <c r="AV996" s="34"/>
      <c r="AW996" s="18"/>
      <c r="AX996" s="18"/>
    </row>
    <row r="997" spans="1:50" ht="23.25" customHeight="1" x14ac:dyDescent="0.2">
      <c r="A997" s="4" t="s">
        <v>55</v>
      </c>
      <c r="B997" s="4" t="s">
        <v>56</v>
      </c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1" t="s">
        <v>639</v>
      </c>
      <c r="AB997" s="42" t="s">
        <v>618</v>
      </c>
      <c r="AC997" s="43" t="s">
        <v>619</v>
      </c>
      <c r="AD997" s="43">
        <v>1601743650</v>
      </c>
      <c r="AE997" s="44">
        <v>0</v>
      </c>
      <c r="AF997" s="44">
        <v>0</v>
      </c>
      <c r="AG997" s="43">
        <v>35841551</v>
      </c>
      <c r="AH997" s="43">
        <v>794729623</v>
      </c>
      <c r="AI997" s="43">
        <f>AE997-AF997+AG997-AH997</f>
        <v>-758888072</v>
      </c>
      <c r="AJ997" s="43">
        <f>AD997+AI997</f>
        <v>842855578</v>
      </c>
      <c r="AK997" s="44">
        <v>0</v>
      </c>
      <c r="AL997" s="44">
        <f>AM997-AGOSTO!AM938</f>
        <v>0</v>
      </c>
      <c r="AM997" s="43">
        <v>557000000</v>
      </c>
      <c r="AN997" s="44">
        <v>0</v>
      </c>
      <c r="AO997" s="43">
        <v>0</v>
      </c>
      <c r="AP997" s="43">
        <v>557000000</v>
      </c>
      <c r="AQ997" s="44">
        <v>0</v>
      </c>
      <c r="AR997" s="44">
        <v>0</v>
      </c>
      <c r="AS997" s="44">
        <v>0</v>
      </c>
      <c r="AT997" s="40">
        <f t="shared" ref="AT997:AT998" si="465">AQ997+AS997</f>
        <v>0</v>
      </c>
      <c r="AU997" s="18">
        <f>AJ997-AM997</f>
        <v>285855578</v>
      </c>
      <c r="AV997" s="34">
        <f>AM997-AP997</f>
        <v>0</v>
      </c>
      <c r="AW997" s="18">
        <f>AP997-AT997</f>
        <v>557000000</v>
      </c>
      <c r="AX997" s="123">
        <f>AP997/AJ997</f>
        <v>0.66084868456550694</v>
      </c>
    </row>
    <row r="998" spans="1:50" ht="31.5" customHeight="1" x14ac:dyDescent="0.2">
      <c r="A998" s="4" t="s">
        <v>55</v>
      </c>
      <c r="B998" s="4" t="s">
        <v>56</v>
      </c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1" t="s">
        <v>640</v>
      </c>
      <c r="AB998" s="42" t="s">
        <v>641</v>
      </c>
      <c r="AC998" s="43" t="s">
        <v>642</v>
      </c>
      <c r="AD998" s="43">
        <v>20790000</v>
      </c>
      <c r="AE998" s="44">
        <v>0</v>
      </c>
      <c r="AF998" s="44">
        <v>0</v>
      </c>
      <c r="AG998" s="44">
        <v>0</v>
      </c>
      <c r="AH998" s="44">
        <v>0</v>
      </c>
      <c r="AI998" s="44">
        <v>0</v>
      </c>
      <c r="AJ998" s="43">
        <v>20790000</v>
      </c>
      <c r="AK998" s="44">
        <v>0</v>
      </c>
      <c r="AL998" s="44">
        <v>0</v>
      </c>
      <c r="AM998" s="44">
        <v>0</v>
      </c>
      <c r="AN998" s="44">
        <v>0</v>
      </c>
      <c r="AO998" s="44">
        <v>0</v>
      </c>
      <c r="AP998" s="44">
        <v>0</v>
      </c>
      <c r="AQ998" s="44">
        <v>0</v>
      </c>
      <c r="AR998" s="44">
        <v>0</v>
      </c>
      <c r="AS998" s="44">
        <v>0</v>
      </c>
      <c r="AT998" s="40">
        <f t="shared" si="465"/>
        <v>0</v>
      </c>
      <c r="AU998" s="18">
        <f>AJ998-AM998</f>
        <v>20790000</v>
      </c>
      <c r="AV998" s="133">
        <f>AM998-AP998</f>
        <v>0</v>
      </c>
      <c r="AW998" s="34">
        <f>AP998-AT998</f>
        <v>0</v>
      </c>
      <c r="AX998" s="123">
        <f>AP998/AJ998</f>
        <v>0</v>
      </c>
    </row>
    <row r="999" spans="1:50" ht="27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73" t="s">
        <v>288</v>
      </c>
      <c r="AB999" s="74" t="s">
        <v>637</v>
      </c>
      <c r="AC999" s="43"/>
      <c r="AD999" s="43"/>
      <c r="AE999" s="44"/>
      <c r="AF999" s="44"/>
      <c r="AG999" s="43"/>
      <c r="AH999" s="44"/>
      <c r="AI999" s="43"/>
      <c r="AJ999" s="43"/>
      <c r="AK999" s="44"/>
      <c r="AL999" s="44"/>
      <c r="AM999" s="44"/>
      <c r="AN999" s="44"/>
      <c r="AO999" s="44"/>
      <c r="AP999" s="44"/>
      <c r="AQ999" s="44"/>
      <c r="AR999" s="44"/>
      <c r="AS999" s="44"/>
      <c r="AT999" s="40"/>
      <c r="AU999" s="18"/>
      <c r="AV999" s="133"/>
      <c r="AW999" s="34"/>
      <c r="AX999" s="123"/>
    </row>
    <row r="1000" spans="1:50" ht="26.2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1" t="s">
        <v>1291</v>
      </c>
      <c r="AB1000" s="42" t="s">
        <v>1290</v>
      </c>
      <c r="AC1000" s="43"/>
      <c r="AD1000" s="44">
        <v>0</v>
      </c>
      <c r="AE1000" s="44">
        <v>0</v>
      </c>
      <c r="AF1000" s="44">
        <v>0</v>
      </c>
      <c r="AG1000" s="43">
        <v>77854000</v>
      </c>
      <c r="AH1000" s="44"/>
      <c r="AI1000" s="43">
        <f>AE1000-AF1000+AG1000-AH1000</f>
        <v>77854000</v>
      </c>
      <c r="AJ1000" s="43">
        <f>AD1000+AI1000</f>
        <v>77854000</v>
      </c>
      <c r="AK1000" s="44">
        <v>0</v>
      </c>
      <c r="AL1000" s="44">
        <v>0</v>
      </c>
      <c r="AM1000" s="43">
        <v>56222898</v>
      </c>
      <c r="AN1000" s="44">
        <v>0</v>
      </c>
      <c r="AO1000" s="43">
        <v>0</v>
      </c>
      <c r="AP1000" s="43">
        <v>56222898</v>
      </c>
      <c r="AQ1000" s="43">
        <v>24157595</v>
      </c>
      <c r="AR1000" s="44">
        <v>0</v>
      </c>
      <c r="AS1000" s="44">
        <v>0</v>
      </c>
      <c r="AT1000" s="39">
        <f t="shared" ref="AT1000" si="466">AQ1000+AS1000</f>
        <v>24157595</v>
      </c>
      <c r="AU1000" s="18">
        <f>AJ1000-AM1000</f>
        <v>21631102</v>
      </c>
      <c r="AV1000" s="133">
        <f>AM1000-AP1000</f>
        <v>0</v>
      </c>
      <c r="AW1000" s="18">
        <f>AP1000-AT1000</f>
        <v>32065303</v>
      </c>
      <c r="AX1000" s="123">
        <f>AP1000/AJ1000</f>
        <v>0.72215811647442651</v>
      </c>
    </row>
    <row r="1001" spans="1:50" ht="18.75" customHeight="1" x14ac:dyDescent="0.2">
      <c r="AA1001" s="73" t="s">
        <v>288</v>
      </c>
      <c r="AB1001" s="74" t="s">
        <v>1294</v>
      </c>
      <c r="AC1001" s="17"/>
      <c r="AD1001" s="34"/>
      <c r="AE1001" s="34"/>
      <c r="AF1001" s="34"/>
      <c r="AG1001" s="34"/>
      <c r="AH1001" s="34"/>
      <c r="AI1001" s="34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30"/>
      <c r="AU1001" s="18"/>
      <c r="AV1001" s="18"/>
      <c r="AW1001" s="18"/>
      <c r="AX1001" s="18"/>
    </row>
    <row r="1002" spans="1:50" ht="26.25" customHeight="1" x14ac:dyDescent="0.2">
      <c r="AA1002" s="41" t="s">
        <v>1335</v>
      </c>
      <c r="AB1002" s="38" t="s">
        <v>1296</v>
      </c>
      <c r="AC1002" s="17"/>
      <c r="AD1002" s="34">
        <v>0</v>
      </c>
      <c r="AE1002" s="34">
        <v>0</v>
      </c>
      <c r="AF1002" s="34">
        <v>0</v>
      </c>
      <c r="AG1002" s="18">
        <v>85000000</v>
      </c>
      <c r="AH1002" s="34">
        <v>0</v>
      </c>
      <c r="AI1002" s="43">
        <f>AE1002-AF1002+AG1002-AH1002</f>
        <v>85000000</v>
      </c>
      <c r="AJ1002" s="142">
        <f>AD1002+AI1002</f>
        <v>85000000</v>
      </c>
      <c r="AK1002" s="34">
        <v>0</v>
      </c>
      <c r="AL1002" s="18">
        <f>AM1002-SEPTIEMBRE!AM970</f>
        <v>-2240582.1899999995</v>
      </c>
      <c r="AM1002" s="18">
        <v>10939314.810000001</v>
      </c>
      <c r="AN1002" s="34">
        <v>0</v>
      </c>
      <c r="AO1002" s="34">
        <v>10939314.810000001</v>
      </c>
      <c r="AP1002" s="34">
        <v>10939314.810000001</v>
      </c>
      <c r="AQ1002" s="34">
        <v>0</v>
      </c>
      <c r="AR1002" s="34">
        <v>0</v>
      </c>
      <c r="AS1002" s="34">
        <v>0</v>
      </c>
      <c r="AT1002" s="40">
        <f t="shared" ref="AT1002" si="467">AQ1002+AS1002</f>
        <v>0</v>
      </c>
      <c r="AU1002" s="18">
        <f>AJ1002-AM1002</f>
        <v>74060685.189999998</v>
      </c>
      <c r="AV1002" s="18">
        <f>AM1002-AP1002</f>
        <v>0</v>
      </c>
      <c r="AW1002" s="18">
        <f>AP1002-AT1002</f>
        <v>10939314.810000001</v>
      </c>
      <c r="AX1002" s="123">
        <f>AP1002/AJ1002</f>
        <v>0.12869782129411766</v>
      </c>
    </row>
    <row r="1003" spans="1:50" ht="26.25" customHeight="1" x14ac:dyDescent="0.2">
      <c r="AA1003" s="28" t="s">
        <v>288</v>
      </c>
      <c r="AB1003" s="29" t="s">
        <v>643</v>
      </c>
      <c r="AC1003" s="17"/>
      <c r="AD1003" s="18"/>
      <c r="AE1003" s="34"/>
      <c r="AF1003" s="34"/>
      <c r="AG1003" s="34"/>
      <c r="AH1003" s="34"/>
      <c r="AI1003" s="34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30"/>
      <c r="AU1003" s="18"/>
      <c r="AV1003" s="18"/>
      <c r="AW1003" s="18"/>
      <c r="AX1003" s="18"/>
    </row>
    <row r="1004" spans="1:50" ht="19.5" customHeight="1" x14ac:dyDescent="0.2">
      <c r="A1004" s="4" t="s">
        <v>55</v>
      </c>
      <c r="B1004" s="4" t="s">
        <v>56</v>
      </c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1" t="s">
        <v>644</v>
      </c>
      <c r="AB1004" s="42" t="s">
        <v>618</v>
      </c>
      <c r="AC1004" s="43" t="s">
        <v>619</v>
      </c>
      <c r="AD1004" s="43">
        <v>530000000</v>
      </c>
      <c r="AE1004" s="44">
        <v>0</v>
      </c>
      <c r="AF1004" s="44">
        <v>0</v>
      </c>
      <c r="AG1004" s="43">
        <v>89810000</v>
      </c>
      <c r="AH1004" s="44">
        <v>0</v>
      </c>
      <c r="AI1004" s="43">
        <f>AE1004-AF1004+AG1004-AH1004</f>
        <v>89810000</v>
      </c>
      <c r="AJ1004" s="43">
        <f>AD1004+AI1004</f>
        <v>619810000</v>
      </c>
      <c r="AK1004" s="44">
        <v>0</v>
      </c>
      <c r="AL1004" s="43">
        <f>AM1004-SEPTIEMBRE!AM972</f>
        <v>17333333.329999924</v>
      </c>
      <c r="AM1004" s="43">
        <v>602476665.30999994</v>
      </c>
      <c r="AN1004" s="44">
        <v>0</v>
      </c>
      <c r="AO1004" s="142">
        <v>17333333.329999998</v>
      </c>
      <c r="AP1004" s="43">
        <v>602476665.30999994</v>
      </c>
      <c r="AQ1004" s="114">
        <v>7500000</v>
      </c>
      <c r="AR1004" s="114">
        <v>47700000</v>
      </c>
      <c r="AS1004" s="114">
        <v>442159996</v>
      </c>
      <c r="AT1004" s="111">
        <f t="shared" ref="AT1004:AT1005" si="468">AQ1004+AS1004</f>
        <v>449659996</v>
      </c>
      <c r="AU1004" s="18">
        <f>AJ1004-AM1004</f>
        <v>17333334.690000057</v>
      </c>
      <c r="AV1004" s="34">
        <f>AM1004-AP1004</f>
        <v>0</v>
      </c>
      <c r="AW1004" s="18">
        <f>AP1004-AT1004</f>
        <v>152816669.30999994</v>
      </c>
      <c r="AX1004" s="123">
        <f>AP1004/AJ1004</f>
        <v>0.97203443847308035</v>
      </c>
    </row>
    <row r="1005" spans="1:50" ht="25.5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16" t="s">
        <v>1103</v>
      </c>
      <c r="AB1005" s="42" t="s">
        <v>1104</v>
      </c>
      <c r="AC1005" s="43"/>
      <c r="AD1005" s="43">
        <v>0</v>
      </c>
      <c r="AE1005" s="43">
        <v>15774292916.77</v>
      </c>
      <c r="AF1005" s="44">
        <v>0</v>
      </c>
      <c r="AG1005" s="44">
        <v>0</v>
      </c>
      <c r="AH1005" s="43">
        <f>101000000+4989317258+364000000+360000000+1955725079.14+484793739.37+4037357655+569400000+868743396</f>
        <v>13730337127.51</v>
      </c>
      <c r="AI1005" s="43">
        <f>AE1005-AF1005+AG1005-AH1005</f>
        <v>2043955789.2600002</v>
      </c>
      <c r="AJ1005" s="43">
        <f>AD1005+AI1005</f>
        <v>2043955789.2600002</v>
      </c>
      <c r="AK1005" s="44">
        <v>0</v>
      </c>
      <c r="AL1005" s="43">
        <f>AM1005-SEPTIEMBRE!AM973</f>
        <v>99667526.680000067</v>
      </c>
      <c r="AM1005" s="43">
        <v>1599674000</v>
      </c>
      <c r="AN1005" s="43">
        <v>25000000.010000002</v>
      </c>
      <c r="AO1005" s="142">
        <v>14200000</v>
      </c>
      <c r="AP1005" s="43">
        <v>1133699999.99</v>
      </c>
      <c r="AQ1005" s="114">
        <v>24566667</v>
      </c>
      <c r="AR1005" s="114">
        <v>169833333</v>
      </c>
      <c r="AS1005" s="43">
        <v>625366663</v>
      </c>
      <c r="AT1005" s="39">
        <f t="shared" si="468"/>
        <v>649933330</v>
      </c>
      <c r="AU1005" s="18">
        <f>AJ1005-AM1005</f>
        <v>444281789.26000023</v>
      </c>
      <c r="AV1005" s="18">
        <f>AM1005-AP1005</f>
        <v>465974000.00999999</v>
      </c>
      <c r="AW1005" s="18">
        <f>AP1005-AT1005</f>
        <v>483766669.99000001</v>
      </c>
      <c r="AX1005" s="123">
        <f>AP1005/AJ1005</f>
        <v>0.55465974653025552</v>
      </c>
    </row>
    <row r="1006" spans="1:50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73" t="s">
        <v>288</v>
      </c>
      <c r="AB1006" s="74" t="s">
        <v>1417</v>
      </c>
      <c r="AC1006" s="43"/>
      <c r="AD1006" s="43"/>
      <c r="AE1006" s="43"/>
      <c r="AF1006" s="44"/>
      <c r="AG1006" s="44"/>
      <c r="AH1006" s="43"/>
      <c r="AI1006" s="43"/>
      <c r="AJ1006" s="43"/>
      <c r="AK1006" s="44"/>
      <c r="AL1006" s="43"/>
      <c r="AM1006" s="43"/>
      <c r="AN1006" s="43"/>
      <c r="AO1006" s="142"/>
      <c r="AP1006" s="43"/>
      <c r="AQ1006" s="114"/>
      <c r="AR1006" s="114"/>
      <c r="AS1006" s="43"/>
      <c r="AT1006" s="39"/>
      <c r="AU1006" s="18"/>
      <c r="AV1006" s="18"/>
      <c r="AW1006" s="18"/>
      <c r="AX1006" s="123"/>
    </row>
    <row r="1007" spans="1:50" ht="25.5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1" t="s">
        <v>1103</v>
      </c>
      <c r="AB1007" s="42" t="s">
        <v>1228</v>
      </c>
      <c r="AC1007" s="43"/>
      <c r="AD1007" s="43"/>
      <c r="AE1007" s="43"/>
      <c r="AF1007" s="44"/>
      <c r="AG1007" s="44"/>
      <c r="AH1007" s="43"/>
      <c r="AI1007" s="43"/>
      <c r="AJ1007" s="43"/>
      <c r="AK1007" s="44"/>
      <c r="AL1007" s="43"/>
      <c r="AM1007" s="43"/>
      <c r="AN1007" s="43"/>
      <c r="AO1007" s="142"/>
      <c r="AP1007" s="43"/>
      <c r="AQ1007" s="114"/>
      <c r="AR1007" s="114"/>
      <c r="AS1007" s="43"/>
      <c r="AT1007" s="39"/>
      <c r="AU1007" s="18"/>
      <c r="AV1007" s="18"/>
      <c r="AW1007" s="18"/>
      <c r="AX1007" s="123"/>
    </row>
    <row r="1008" spans="1:50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73" t="s">
        <v>288</v>
      </c>
      <c r="AB1008" s="74" t="s">
        <v>1379</v>
      </c>
      <c r="AC1008" s="43"/>
      <c r="AD1008" s="43"/>
      <c r="AE1008" s="43"/>
      <c r="AF1008" s="44"/>
      <c r="AG1008" s="44"/>
      <c r="AH1008" s="43"/>
      <c r="AI1008" s="43"/>
      <c r="AJ1008" s="43"/>
      <c r="AK1008" s="44"/>
      <c r="AL1008" s="43"/>
      <c r="AM1008" s="43"/>
      <c r="AN1008" s="43"/>
      <c r="AO1008" s="43"/>
      <c r="AP1008" s="43"/>
      <c r="AQ1008" s="114"/>
      <c r="AR1008" s="114"/>
      <c r="AS1008" s="43"/>
      <c r="AT1008" s="39"/>
      <c r="AU1008" s="18"/>
      <c r="AV1008" s="18"/>
      <c r="AW1008" s="18"/>
      <c r="AX1008" s="123"/>
    </row>
    <row r="1009" spans="1:50" ht="25.5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1" t="s">
        <v>1380</v>
      </c>
      <c r="AB1009" s="42" t="s">
        <v>1104</v>
      </c>
      <c r="AC1009" s="43"/>
      <c r="AD1009" s="44">
        <v>0</v>
      </c>
      <c r="AE1009" s="44">
        <v>0</v>
      </c>
      <c r="AF1009" s="44">
        <v>0</v>
      </c>
      <c r="AG1009" s="43">
        <v>484793739.37</v>
      </c>
      <c r="AH1009" s="43">
        <v>0</v>
      </c>
      <c r="AI1009" s="43">
        <f>AE1009-AF1009+AG1009-AH1009</f>
        <v>484793739.37</v>
      </c>
      <c r="AJ1009" s="43">
        <f>AD1009+AI1009</f>
        <v>484793739.37</v>
      </c>
      <c r="AK1009" s="43">
        <v>0</v>
      </c>
      <c r="AL1009" s="43">
        <f>AM1009-SEPTIEMBRE!AM975</f>
        <v>484793739.37</v>
      </c>
      <c r="AM1009" s="43">
        <v>484793739.37</v>
      </c>
      <c r="AN1009" s="43">
        <v>0</v>
      </c>
      <c r="AO1009" s="43">
        <v>0</v>
      </c>
      <c r="AP1009" s="44">
        <v>0</v>
      </c>
      <c r="AQ1009" s="44">
        <v>0</v>
      </c>
      <c r="AR1009" s="44">
        <v>0</v>
      </c>
      <c r="AS1009" s="44">
        <v>0</v>
      </c>
      <c r="AT1009" s="40">
        <f t="shared" ref="AT1009" si="469">AQ1009+AS1009</f>
        <v>0</v>
      </c>
      <c r="AU1009" s="18">
        <f>AJ1009-AM1009</f>
        <v>0</v>
      </c>
      <c r="AV1009" s="18">
        <f>AM1009-AP1009</f>
        <v>484793739.37</v>
      </c>
      <c r="AW1009" s="34">
        <f>AP1009-AT1009</f>
        <v>0</v>
      </c>
      <c r="AX1009" s="123">
        <f>AP1009/AJ1009</f>
        <v>0</v>
      </c>
    </row>
    <row r="1010" spans="1:50" ht="25.5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1" t="s">
        <v>1422</v>
      </c>
      <c r="AB1010" s="42" t="s">
        <v>1104</v>
      </c>
      <c r="AC1010" s="43"/>
      <c r="AD1010" s="43"/>
      <c r="AE1010" s="44"/>
      <c r="AF1010" s="44"/>
      <c r="AG1010" s="43">
        <v>249946503</v>
      </c>
      <c r="AH1010" s="44"/>
      <c r="AI1010" s="43">
        <f t="shared" ref="AI1010" si="470">AE1010-AF1010+AG1010-AH1010</f>
        <v>249946503</v>
      </c>
      <c r="AJ1010" s="43">
        <f t="shared" ref="AJ1010" si="471">AD1010+AI1010</f>
        <v>249946503</v>
      </c>
      <c r="AK1010" s="44">
        <v>0</v>
      </c>
      <c r="AL1010" s="44">
        <v>0</v>
      </c>
      <c r="AM1010" s="114">
        <v>0</v>
      </c>
      <c r="AN1010" s="115">
        <v>0</v>
      </c>
      <c r="AO1010" s="44">
        <v>0</v>
      </c>
      <c r="AP1010" s="44">
        <v>0</v>
      </c>
      <c r="AQ1010" s="44">
        <v>0</v>
      </c>
      <c r="AR1010" s="44">
        <v>0</v>
      </c>
      <c r="AS1010" s="44">
        <v>0</v>
      </c>
      <c r="AT1010" s="40">
        <f t="shared" ref="AT1010" si="472">AQ1010+AS1010</f>
        <v>0</v>
      </c>
      <c r="AU1010" s="18">
        <f>AJ1010-AM1010</f>
        <v>249946503</v>
      </c>
      <c r="AV1010" s="18">
        <f>AM1010-AP1010</f>
        <v>0</v>
      </c>
      <c r="AW1010" s="34">
        <f>AP1010-AT1010</f>
        <v>0</v>
      </c>
      <c r="AX1010" s="123">
        <f>AP1010/AJ1010</f>
        <v>0</v>
      </c>
    </row>
    <row r="1011" spans="1:50" ht="25.5" x14ac:dyDescent="0.2">
      <c r="AA1011" s="28" t="s">
        <v>288</v>
      </c>
      <c r="AB1011" s="29" t="s">
        <v>616</v>
      </c>
      <c r="AC1011" s="17"/>
      <c r="AD1011" s="18"/>
      <c r="AE1011" s="34"/>
      <c r="AF1011" s="34"/>
      <c r="AG1011" s="34"/>
      <c r="AH1011" s="34"/>
      <c r="AI1011" s="34"/>
      <c r="AJ1011" s="18"/>
      <c r="AK1011" s="18"/>
      <c r="AL1011" s="34"/>
      <c r="AM1011" s="18"/>
      <c r="AN1011" s="34"/>
      <c r="AO1011" s="18"/>
      <c r="AP1011" s="18"/>
      <c r="AQ1011" s="34"/>
      <c r="AR1011" s="18"/>
      <c r="AS1011" s="18"/>
      <c r="AT1011" s="30"/>
      <c r="AU1011" s="18"/>
      <c r="AV1011" s="18"/>
      <c r="AW1011" s="18"/>
      <c r="AX1011" s="18"/>
    </row>
    <row r="1012" spans="1:50" x14ac:dyDescent="0.2">
      <c r="A1012" s="4" t="s">
        <v>55</v>
      </c>
      <c r="B1012" s="4" t="s">
        <v>56</v>
      </c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1" t="s">
        <v>645</v>
      </c>
      <c r="AB1012" s="42" t="s">
        <v>618</v>
      </c>
      <c r="AC1012" s="43" t="s">
        <v>619</v>
      </c>
      <c r="AD1012" s="43">
        <v>2879425052</v>
      </c>
      <c r="AE1012" s="44">
        <v>0</v>
      </c>
      <c r="AF1012" s="44">
        <v>0</v>
      </c>
      <c r="AG1012" s="44">
        <v>0</v>
      </c>
      <c r="AH1012" s="43">
        <f>221572545+222721043+89810000</f>
        <v>534103588</v>
      </c>
      <c r="AI1012" s="43">
        <f>AE1012-AF1012+AG1012-AH1012</f>
        <v>-534103588</v>
      </c>
      <c r="AJ1012" s="43">
        <f>AD1012+AI1012</f>
        <v>2345321464</v>
      </c>
      <c r="AK1012" s="43">
        <v>0</v>
      </c>
      <c r="AL1012" s="43">
        <f>AM1012-SEPTIEMBRE!AM977</f>
        <v>271893713.48999977</v>
      </c>
      <c r="AM1012" s="114">
        <v>1854346804.3699999</v>
      </c>
      <c r="AN1012" s="115">
        <v>0</v>
      </c>
      <c r="AO1012" s="43">
        <v>988564599</v>
      </c>
      <c r="AP1012" s="43">
        <v>1851203083</v>
      </c>
      <c r="AQ1012" s="44">
        <v>0</v>
      </c>
      <c r="AR1012" s="43">
        <v>0</v>
      </c>
      <c r="AS1012" s="43">
        <v>211182533.19999999</v>
      </c>
      <c r="AT1012" s="39">
        <f t="shared" ref="AT1012:AT1016" si="473">AQ1012+AS1012</f>
        <v>211182533.19999999</v>
      </c>
      <c r="AU1012" s="18">
        <f>AJ1012-AM1012</f>
        <v>490974659.63000011</v>
      </c>
      <c r="AV1012" s="110">
        <f>AM1012-AP1012</f>
        <v>3143721.3699998856</v>
      </c>
      <c r="AW1012" s="18">
        <f>AP1012-AT1012</f>
        <v>1640020549.8</v>
      </c>
      <c r="AX1012" s="123">
        <f>AP1012/AJ1012</f>
        <v>0.78931741827950963</v>
      </c>
    </row>
    <row r="1013" spans="1:50" ht="25.5" x14ac:dyDescent="0.2">
      <c r="A1013" s="4" t="s">
        <v>55</v>
      </c>
      <c r="B1013" s="4" t="s">
        <v>56</v>
      </c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1" t="s">
        <v>646</v>
      </c>
      <c r="AB1013" s="42" t="s">
        <v>647</v>
      </c>
      <c r="AC1013" s="43" t="s">
        <v>642</v>
      </c>
      <c r="AD1013" s="43">
        <v>404210000</v>
      </c>
      <c r="AE1013" s="44">
        <v>0</v>
      </c>
      <c r="AF1013" s="44">
        <v>0</v>
      </c>
      <c r="AG1013" s="44">
        <v>0</v>
      </c>
      <c r="AH1013" s="44">
        <v>0</v>
      </c>
      <c r="AI1013" s="44">
        <f t="shared" ref="AI1013:AI1015" si="474">AE1013-AF1013+AG1013-AH1013</f>
        <v>0</v>
      </c>
      <c r="AJ1013" s="43">
        <f t="shared" ref="AJ1013:AJ1015" si="475">AD1013+AI1013</f>
        <v>404210000</v>
      </c>
      <c r="AK1013" s="44">
        <v>0</v>
      </c>
      <c r="AL1013" s="43">
        <f>AM1013-SEPTIEMBRE!AM978</f>
        <v>47443333.329999983</v>
      </c>
      <c r="AM1013" s="114">
        <v>297043333.32999998</v>
      </c>
      <c r="AN1013" s="43">
        <v>3000000</v>
      </c>
      <c r="AO1013" s="43">
        <v>44443333.329999998</v>
      </c>
      <c r="AP1013" s="43">
        <v>294043333.32999998</v>
      </c>
      <c r="AQ1013" s="44">
        <v>0</v>
      </c>
      <c r="AR1013" s="43">
        <v>17680000</v>
      </c>
      <c r="AS1013" s="43">
        <v>195713516.63</v>
      </c>
      <c r="AT1013" s="39">
        <f t="shared" si="473"/>
        <v>195713516.63</v>
      </c>
      <c r="AU1013" s="18">
        <f>AJ1013-AM1013</f>
        <v>107166666.67000002</v>
      </c>
      <c r="AV1013" s="18">
        <f>AM1013-AP1013</f>
        <v>3000000</v>
      </c>
      <c r="AW1013" s="18">
        <f>AP1013-AT1013</f>
        <v>98329816.699999988</v>
      </c>
      <c r="AX1013" s="123">
        <f>AP1013/AJ1013</f>
        <v>0.72745190205586197</v>
      </c>
    </row>
    <row r="1014" spans="1:50" ht="25.5" x14ac:dyDescent="0.2">
      <c r="A1014" s="4" t="s">
        <v>55</v>
      </c>
      <c r="B1014" s="4" t="s">
        <v>56</v>
      </c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1" t="s">
        <v>648</v>
      </c>
      <c r="AB1014" s="42" t="s">
        <v>649</v>
      </c>
      <c r="AC1014" s="43" t="s">
        <v>650</v>
      </c>
      <c r="AD1014" s="43">
        <v>425000000</v>
      </c>
      <c r="AE1014" s="44">
        <v>0</v>
      </c>
      <c r="AF1014" s="44">
        <v>0</v>
      </c>
      <c r="AG1014" s="44">
        <v>0</v>
      </c>
      <c r="AH1014" s="44">
        <v>0</v>
      </c>
      <c r="AI1014" s="44">
        <f t="shared" si="474"/>
        <v>0</v>
      </c>
      <c r="AJ1014" s="43">
        <f t="shared" si="475"/>
        <v>425000000</v>
      </c>
      <c r="AK1014" s="44">
        <v>0</v>
      </c>
      <c r="AL1014" s="43">
        <f>AM1014-SEPTIEMBRE!AM979</f>
        <v>34986666.680000007</v>
      </c>
      <c r="AM1014" s="114">
        <v>180586666.68000001</v>
      </c>
      <c r="AN1014" s="43">
        <v>0</v>
      </c>
      <c r="AO1014" s="43">
        <v>34986666.68</v>
      </c>
      <c r="AP1014" s="43">
        <v>180586666.68000001</v>
      </c>
      <c r="AQ1014" s="43">
        <v>1800000</v>
      </c>
      <c r="AR1014" s="43">
        <v>19900000</v>
      </c>
      <c r="AS1014" s="43">
        <v>133126668</v>
      </c>
      <c r="AT1014" s="39">
        <f t="shared" si="473"/>
        <v>134926668</v>
      </c>
      <c r="AU1014" s="18">
        <f>AJ1014-AM1014</f>
        <v>244413333.31999999</v>
      </c>
      <c r="AV1014" s="133">
        <f>AM1014-AP1014</f>
        <v>0</v>
      </c>
      <c r="AW1014" s="18">
        <f>AP1014-AT1014</f>
        <v>45659998.680000007</v>
      </c>
      <c r="AX1014" s="123">
        <f>AP1014/AJ1014</f>
        <v>0.4249098039529412</v>
      </c>
    </row>
    <row r="1015" spans="1:50" ht="25.5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1" t="s">
        <v>1105</v>
      </c>
      <c r="AB1015" s="42" t="s">
        <v>1106</v>
      </c>
      <c r="AC1015" s="43"/>
      <c r="AD1015" s="44">
        <v>0</v>
      </c>
      <c r="AE1015" s="43">
        <v>997743934.5</v>
      </c>
      <c r="AF1015" s="44">
        <v>0</v>
      </c>
      <c r="AG1015" s="44">
        <v>0</v>
      </c>
      <c r="AH1015" s="43">
        <f>502000000+200000000</f>
        <v>702000000</v>
      </c>
      <c r="AI1015" s="43">
        <f t="shared" si="474"/>
        <v>295743934.5</v>
      </c>
      <c r="AJ1015" s="43">
        <f t="shared" si="475"/>
        <v>295743934.5</v>
      </c>
      <c r="AK1015" s="44">
        <v>0</v>
      </c>
      <c r="AL1015" s="44">
        <f>AM1015-SEPTIEMBRE!AM980</f>
        <v>0</v>
      </c>
      <c r="AM1015" s="115">
        <v>0</v>
      </c>
      <c r="AN1015" s="115">
        <v>0</v>
      </c>
      <c r="AO1015" s="44">
        <v>0</v>
      </c>
      <c r="AP1015" s="44">
        <v>0</v>
      </c>
      <c r="AQ1015" s="44">
        <v>0</v>
      </c>
      <c r="AR1015" s="44">
        <v>0</v>
      </c>
      <c r="AS1015" s="44">
        <v>0</v>
      </c>
      <c r="AT1015" s="40">
        <f t="shared" si="473"/>
        <v>0</v>
      </c>
      <c r="AU1015" s="18">
        <f>AJ1015-AM1015</f>
        <v>295743934.5</v>
      </c>
      <c r="AV1015" s="133">
        <f>AM1015-AP1015</f>
        <v>0</v>
      </c>
      <c r="AW1015" s="34">
        <f>AP1015-AT1015</f>
        <v>0</v>
      </c>
      <c r="AX1015" s="123">
        <f>AP1015/AJ1015</f>
        <v>0</v>
      </c>
    </row>
    <row r="1016" spans="1:50" ht="25.5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1" t="s">
        <v>1107</v>
      </c>
      <c r="AB1016" s="42" t="s">
        <v>1108</v>
      </c>
      <c r="AC1016" s="43"/>
      <c r="AD1016" s="44">
        <v>0</v>
      </c>
      <c r="AE1016" s="43">
        <v>997743934.5</v>
      </c>
      <c r="AF1016" s="44">
        <v>0</v>
      </c>
      <c r="AG1016" s="44">
        <v>0</v>
      </c>
      <c r="AH1016" s="44">
        <v>0</v>
      </c>
      <c r="AI1016" s="43">
        <f>AE1016-AF1016+AG1016-AH1016</f>
        <v>997743934.5</v>
      </c>
      <c r="AJ1016" s="43">
        <f>AD1016+AI1016</f>
        <v>997743934.5</v>
      </c>
      <c r="AK1016" s="44">
        <v>0</v>
      </c>
      <c r="AL1016" s="44">
        <f>AM1016-SEPTIEMBRE!AM981</f>
        <v>0</v>
      </c>
      <c r="AM1016" s="43">
        <v>389597406.32999998</v>
      </c>
      <c r="AN1016" s="115">
        <v>0</v>
      </c>
      <c r="AO1016" s="43">
        <v>381264073</v>
      </c>
      <c r="AP1016" s="43">
        <v>389597406.32999998</v>
      </c>
      <c r="AQ1016" s="44">
        <v>0</v>
      </c>
      <c r="AR1016" s="44">
        <v>1750000</v>
      </c>
      <c r="AS1016" s="44">
        <v>1750000</v>
      </c>
      <c r="AT1016" s="40">
        <f t="shared" si="473"/>
        <v>1750000</v>
      </c>
      <c r="AU1016" s="18">
        <f>AJ1016-AM1016</f>
        <v>608146528.17000008</v>
      </c>
      <c r="AV1016" s="18">
        <f>AM1016-AP1016</f>
        <v>0</v>
      </c>
      <c r="AW1016" s="18">
        <f>AP1016-AT1016</f>
        <v>387847406.32999998</v>
      </c>
      <c r="AX1016" s="123">
        <f>AP1016/AJ1016</f>
        <v>0.39047835106633766</v>
      </c>
    </row>
    <row r="1017" spans="1:50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1"/>
      <c r="AB1017" s="42"/>
      <c r="AC1017" s="43"/>
      <c r="AD1017" s="44"/>
      <c r="AE1017" s="43"/>
      <c r="AF1017" s="44"/>
      <c r="AG1017" s="44"/>
      <c r="AH1017" s="44"/>
      <c r="AI1017" s="43"/>
      <c r="AJ1017" s="43"/>
      <c r="AK1017" s="44"/>
      <c r="AL1017" s="43"/>
      <c r="AM1017" s="43"/>
      <c r="AN1017" s="115"/>
      <c r="AO1017" s="43"/>
      <c r="AP1017" s="43"/>
      <c r="AQ1017" s="44"/>
      <c r="AR1017" s="44"/>
      <c r="AS1017" s="44"/>
      <c r="AT1017" s="40"/>
      <c r="AU1017" s="18"/>
      <c r="AV1017" s="18"/>
      <c r="AW1017" s="18"/>
      <c r="AX1017" s="123"/>
    </row>
    <row r="1018" spans="1:50" x14ac:dyDescent="0.2">
      <c r="AA1018" s="16"/>
      <c r="AB1018" s="29" t="s">
        <v>199</v>
      </c>
      <c r="AC1018" s="17"/>
      <c r="AD1018" s="18"/>
      <c r="AE1018" s="34"/>
      <c r="AF1018" s="34"/>
      <c r="AG1018" s="34"/>
      <c r="AH1018" s="34"/>
      <c r="AI1018" s="34"/>
      <c r="AJ1018" s="18"/>
      <c r="AK1018" s="34"/>
      <c r="AL1018" s="34"/>
      <c r="AM1018" s="34"/>
      <c r="AN1018" s="34"/>
      <c r="AO1018" s="34"/>
      <c r="AP1018" s="34"/>
      <c r="AQ1018" s="18"/>
      <c r="AR1018" s="18"/>
      <c r="AS1018" s="18"/>
      <c r="AT1018" s="30"/>
      <c r="AU1018" s="18"/>
      <c r="AV1018" s="18"/>
      <c r="AW1018" s="18"/>
      <c r="AX1018" s="18"/>
    </row>
    <row r="1019" spans="1:50" ht="25.5" x14ac:dyDescent="0.2">
      <c r="AA1019" s="28" t="s">
        <v>288</v>
      </c>
      <c r="AB1019" s="29" t="s">
        <v>616</v>
      </c>
      <c r="AC1019" s="17"/>
      <c r="AD1019" s="18"/>
      <c r="AE1019" s="34"/>
      <c r="AF1019" s="34"/>
      <c r="AG1019" s="34"/>
      <c r="AH1019" s="34"/>
      <c r="AI1019" s="34"/>
      <c r="AJ1019" s="18"/>
      <c r="AK1019" s="34"/>
      <c r="AL1019" s="34"/>
      <c r="AM1019" s="34"/>
      <c r="AN1019" s="34"/>
      <c r="AO1019" s="34"/>
      <c r="AP1019" s="34"/>
      <c r="AQ1019" s="18"/>
      <c r="AR1019" s="18"/>
      <c r="AS1019" s="18"/>
      <c r="AT1019" s="30"/>
      <c r="AU1019" s="18"/>
      <c r="AV1019" s="18"/>
      <c r="AW1019" s="18"/>
      <c r="AX1019" s="18"/>
    </row>
    <row r="1020" spans="1:50" x14ac:dyDescent="0.2">
      <c r="A1020" s="4" t="s">
        <v>55</v>
      </c>
      <c r="B1020" s="4" t="s">
        <v>56</v>
      </c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134" t="s">
        <v>651</v>
      </c>
      <c r="AB1020" s="42" t="s">
        <v>618</v>
      </c>
      <c r="AC1020" s="43" t="s">
        <v>619</v>
      </c>
      <c r="AD1020" s="43">
        <v>408029872</v>
      </c>
      <c r="AE1020" s="44">
        <v>0</v>
      </c>
      <c r="AF1020" s="44">
        <v>0</v>
      </c>
      <c r="AG1020" s="44">
        <v>0</v>
      </c>
      <c r="AH1020" s="43">
        <v>408029872</v>
      </c>
      <c r="AI1020" s="43">
        <f>AE1020-AF1020+AG1020-AH1020</f>
        <v>-408029872</v>
      </c>
      <c r="AJ1020" s="44">
        <f>AD1020+AI1020</f>
        <v>0</v>
      </c>
      <c r="AK1020" s="44">
        <v>0</v>
      </c>
      <c r="AL1020" s="44">
        <v>0</v>
      </c>
      <c r="AM1020" s="44">
        <v>0</v>
      </c>
      <c r="AN1020" s="44">
        <v>0</v>
      </c>
      <c r="AO1020" s="44">
        <v>0</v>
      </c>
      <c r="AP1020" s="44">
        <v>0</v>
      </c>
      <c r="AQ1020" s="44">
        <v>0</v>
      </c>
      <c r="AR1020" s="44">
        <v>0</v>
      </c>
      <c r="AS1020" s="44">
        <v>0</v>
      </c>
      <c r="AT1020" s="40">
        <f t="shared" ref="AT1020:AT1021" si="476">AQ1020+AS1020</f>
        <v>0</v>
      </c>
      <c r="AU1020" s="34">
        <f>AJ1020-AM1020</f>
        <v>0</v>
      </c>
      <c r="AV1020" s="133">
        <f>AM1020-AP1020</f>
        <v>0</v>
      </c>
      <c r="AW1020" s="34">
        <f>AP1020-AT1020</f>
        <v>0</v>
      </c>
      <c r="AX1020" s="123">
        <v>0</v>
      </c>
    </row>
    <row r="1021" spans="1:50" ht="38.25" x14ac:dyDescent="0.2">
      <c r="A1021" s="4" t="s">
        <v>55</v>
      </c>
      <c r="B1021" s="4" t="s">
        <v>56</v>
      </c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1" t="s">
        <v>652</v>
      </c>
      <c r="AB1021" s="42" t="s">
        <v>653</v>
      </c>
      <c r="AC1021" s="43" t="s">
        <v>368</v>
      </c>
      <c r="AD1021" s="43">
        <v>159146685.47999999</v>
      </c>
      <c r="AE1021" s="44">
        <v>0</v>
      </c>
      <c r="AF1021" s="44">
        <v>0</v>
      </c>
      <c r="AG1021" s="44">
        <v>0</v>
      </c>
      <c r="AH1021" s="44">
        <v>0</v>
      </c>
      <c r="AI1021" s="44">
        <f>AE1021-AF1021+AG1021-AH1021</f>
        <v>0</v>
      </c>
      <c r="AJ1021" s="43">
        <f>AD1021+AI1021</f>
        <v>159146685.47999999</v>
      </c>
      <c r="AK1021" s="43">
        <v>0</v>
      </c>
      <c r="AL1021" s="43">
        <f>AM1021-SEPTIEMBRE!AM986</f>
        <v>70000000</v>
      </c>
      <c r="AM1021" s="43">
        <v>70000000</v>
      </c>
      <c r="AN1021" s="43">
        <v>0</v>
      </c>
      <c r="AO1021" s="44">
        <v>0</v>
      </c>
      <c r="AP1021" s="44">
        <v>0</v>
      </c>
      <c r="AQ1021" s="44">
        <v>0</v>
      </c>
      <c r="AR1021" s="44">
        <v>0</v>
      </c>
      <c r="AS1021" s="44">
        <v>0</v>
      </c>
      <c r="AT1021" s="40">
        <f t="shared" si="476"/>
        <v>0</v>
      </c>
      <c r="AU1021" s="18">
        <f>AJ1021-AM1021</f>
        <v>89146685.479999989</v>
      </c>
      <c r="AV1021" s="18">
        <f>AM1021-AP1021</f>
        <v>70000000</v>
      </c>
      <c r="AW1021" s="34">
        <f>AP1021-AT1021</f>
        <v>0</v>
      </c>
      <c r="AX1021" s="123">
        <f>AP1021/AJ1021</f>
        <v>0</v>
      </c>
    </row>
    <row r="1022" spans="1:50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73" t="s">
        <v>288</v>
      </c>
      <c r="AB1022" s="74" t="s">
        <v>487</v>
      </c>
      <c r="AC1022" s="43"/>
      <c r="AD1022" s="43"/>
      <c r="AE1022" s="44"/>
      <c r="AF1022" s="44"/>
      <c r="AG1022" s="44"/>
      <c r="AH1022" s="44"/>
      <c r="AI1022" s="44"/>
      <c r="AJ1022" s="43"/>
      <c r="AK1022" s="44"/>
      <c r="AL1022" s="43"/>
      <c r="AM1022" s="43"/>
      <c r="AN1022" s="44"/>
      <c r="AO1022" s="44"/>
      <c r="AP1022" s="43"/>
      <c r="AQ1022" s="18"/>
      <c r="AR1022" s="18"/>
      <c r="AS1022" s="18"/>
      <c r="AT1022" s="111"/>
      <c r="AU1022" s="18"/>
      <c r="AV1022" s="133"/>
      <c r="AW1022" s="18"/>
      <c r="AX1022" s="123"/>
    </row>
    <row r="1023" spans="1:50" ht="25.5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1" t="s">
        <v>1333</v>
      </c>
      <c r="AB1023" s="42" t="s">
        <v>1359</v>
      </c>
      <c r="AC1023" s="43"/>
      <c r="AD1023" s="43">
        <v>0</v>
      </c>
      <c r="AE1023" s="44">
        <v>0</v>
      </c>
      <c r="AF1023" s="44">
        <v>0</v>
      </c>
      <c r="AG1023" s="43">
        <v>1415207179.1400001</v>
      </c>
      <c r="AH1023" s="44">
        <v>0</v>
      </c>
      <c r="AI1023" s="43">
        <f>AE1023-AF1023+AG1023-AH1023</f>
        <v>1415207179.1400001</v>
      </c>
      <c r="AJ1023" s="43">
        <f>AD1023+AI1023</f>
        <v>1415207179.1400001</v>
      </c>
      <c r="AK1023" s="44">
        <v>0</v>
      </c>
      <c r="AL1023" s="43">
        <f>AM1023-SEPTIEMBRE!AM988</f>
        <v>632326520.46000004</v>
      </c>
      <c r="AM1023" s="43">
        <v>1277059351.4100001</v>
      </c>
      <c r="AN1023" s="44">
        <v>0</v>
      </c>
      <c r="AO1023" s="44">
        <v>0</v>
      </c>
      <c r="AP1023" s="44">
        <v>0</v>
      </c>
      <c r="AQ1023" s="34">
        <v>0</v>
      </c>
      <c r="AR1023" s="34">
        <v>0</v>
      </c>
      <c r="AS1023" s="34">
        <v>0</v>
      </c>
      <c r="AT1023" s="135">
        <f t="shared" ref="AT1023" si="477">AQ1023+AS1023</f>
        <v>0</v>
      </c>
      <c r="AU1023" s="18">
        <f>AJ1023-AM1023</f>
        <v>138147827.73000002</v>
      </c>
      <c r="AV1023" s="18">
        <f>AM1023-AP1023</f>
        <v>1277059351.4100001</v>
      </c>
      <c r="AW1023" s="34">
        <f>AP1023-AT1023</f>
        <v>0</v>
      </c>
      <c r="AX1023" s="123">
        <f>AP1023/AJ1023</f>
        <v>0</v>
      </c>
    </row>
    <row r="1024" spans="1:50" x14ac:dyDescent="0.2">
      <c r="AA1024" s="16"/>
      <c r="AB1024" s="29" t="s">
        <v>654</v>
      </c>
      <c r="AC1024" s="17"/>
      <c r="AD1024" s="18"/>
      <c r="AE1024" s="34"/>
      <c r="AF1024" s="34"/>
      <c r="AG1024" s="34"/>
      <c r="AH1024" s="34"/>
      <c r="AI1024" s="34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30"/>
      <c r="AU1024" s="18"/>
      <c r="AV1024" s="18"/>
      <c r="AW1024" s="18"/>
      <c r="AX1024" s="18"/>
    </row>
    <row r="1025" spans="1:50" x14ac:dyDescent="0.2">
      <c r="AA1025" s="16"/>
      <c r="AB1025" s="29" t="s">
        <v>614</v>
      </c>
      <c r="AC1025" s="17"/>
      <c r="AD1025" s="18"/>
      <c r="AE1025" s="34"/>
      <c r="AF1025" s="34"/>
      <c r="AG1025" s="34"/>
      <c r="AH1025" s="34"/>
      <c r="AI1025" s="34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30"/>
      <c r="AU1025" s="18"/>
      <c r="AV1025" s="18"/>
      <c r="AW1025" s="18"/>
      <c r="AX1025" s="18"/>
    </row>
    <row r="1026" spans="1:50" x14ac:dyDescent="0.2">
      <c r="AA1026" s="16"/>
      <c r="AB1026" s="29" t="s">
        <v>286</v>
      </c>
      <c r="AC1026" s="17"/>
      <c r="AD1026" s="18"/>
      <c r="AE1026" s="34"/>
      <c r="AF1026" s="34"/>
      <c r="AG1026" s="34"/>
      <c r="AH1026" s="34"/>
      <c r="AI1026" s="34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30"/>
      <c r="AU1026" s="18"/>
      <c r="AV1026" s="18"/>
      <c r="AW1026" s="18"/>
      <c r="AX1026" s="18"/>
    </row>
    <row r="1027" spans="1:50" x14ac:dyDescent="0.2">
      <c r="AA1027" s="16"/>
      <c r="AB1027" s="29" t="s">
        <v>181</v>
      </c>
      <c r="AC1027" s="17"/>
      <c r="AD1027" s="18"/>
      <c r="AE1027" s="34"/>
      <c r="AF1027" s="34"/>
      <c r="AG1027" s="34"/>
      <c r="AH1027" s="34"/>
      <c r="AI1027" s="34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30"/>
      <c r="AU1027" s="18"/>
      <c r="AV1027" s="18"/>
      <c r="AW1027" s="18"/>
      <c r="AX1027" s="18"/>
    </row>
    <row r="1028" spans="1:50" ht="25.5" x14ac:dyDescent="0.2">
      <c r="AA1028" s="16"/>
      <c r="AB1028" s="29" t="s">
        <v>637</v>
      </c>
      <c r="AC1028" s="17"/>
      <c r="AD1028" s="18"/>
      <c r="AE1028" s="34"/>
      <c r="AF1028" s="34"/>
      <c r="AG1028" s="34"/>
      <c r="AH1028" s="34"/>
      <c r="AI1028" s="34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30"/>
      <c r="AU1028" s="18"/>
      <c r="AV1028" s="18"/>
      <c r="AW1028" s="18"/>
      <c r="AX1028" s="18"/>
    </row>
    <row r="1029" spans="1:50" ht="25.5" x14ac:dyDescent="0.2">
      <c r="AA1029" s="28" t="s">
        <v>288</v>
      </c>
      <c r="AB1029" s="29" t="s">
        <v>655</v>
      </c>
      <c r="AC1029" s="17"/>
      <c r="AD1029" s="18"/>
      <c r="AE1029" s="34"/>
      <c r="AF1029" s="34"/>
      <c r="AG1029" s="34"/>
      <c r="AH1029" s="34"/>
      <c r="AI1029" s="34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30"/>
      <c r="AU1029" s="18"/>
      <c r="AV1029" s="18"/>
      <c r="AW1029" s="18"/>
      <c r="AX1029" s="18"/>
    </row>
    <row r="1030" spans="1:50" x14ac:dyDescent="0.2">
      <c r="A1030" s="4" t="s">
        <v>55</v>
      </c>
      <c r="B1030" s="4" t="s">
        <v>56</v>
      </c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1" t="s">
        <v>656</v>
      </c>
      <c r="AB1030" s="42" t="s">
        <v>233</v>
      </c>
      <c r="AC1030" s="43" t="s">
        <v>58</v>
      </c>
      <c r="AD1030" s="43">
        <v>800000000</v>
      </c>
      <c r="AE1030" s="44">
        <v>0</v>
      </c>
      <c r="AF1030" s="44">
        <v>0</v>
      </c>
      <c r="AG1030" s="44">
        <v>0</v>
      </c>
      <c r="AH1030" s="44">
        <v>0</v>
      </c>
      <c r="AI1030" s="44">
        <v>0</v>
      </c>
      <c r="AJ1030" s="43">
        <v>800000000</v>
      </c>
      <c r="AK1030" s="44">
        <v>0</v>
      </c>
      <c r="AL1030" s="44">
        <v>0</v>
      </c>
      <c r="AM1030" s="44">
        <v>0</v>
      </c>
      <c r="AN1030" s="44">
        <v>0</v>
      </c>
      <c r="AO1030" s="44">
        <v>0</v>
      </c>
      <c r="AP1030" s="44">
        <v>0</v>
      </c>
      <c r="AQ1030" s="44">
        <v>0</v>
      </c>
      <c r="AR1030" s="44">
        <v>0</v>
      </c>
      <c r="AS1030" s="44">
        <v>0</v>
      </c>
      <c r="AT1030" s="40">
        <f t="shared" ref="AT1030" si="478">AQ1030+AS1030</f>
        <v>0</v>
      </c>
      <c r="AU1030" s="18">
        <f>AJ1030-AM1030</f>
        <v>800000000</v>
      </c>
      <c r="AV1030" s="34">
        <f>AM1030-AP1030</f>
        <v>0</v>
      </c>
      <c r="AW1030" s="34">
        <f>AP1030-AT1030</f>
        <v>0</v>
      </c>
      <c r="AX1030" s="123">
        <f>AP1030/AJ1030</f>
        <v>0</v>
      </c>
    </row>
    <row r="1031" spans="1:50" ht="18.75" customHeight="1" x14ac:dyDescent="0.2">
      <c r="AA1031" s="16"/>
      <c r="AB1031" s="29" t="s">
        <v>189</v>
      </c>
      <c r="AC1031" s="17"/>
      <c r="AD1031" s="18"/>
      <c r="AE1031" s="34"/>
      <c r="AF1031" s="34"/>
      <c r="AG1031" s="34"/>
      <c r="AH1031" s="34"/>
      <c r="AI1031" s="34"/>
      <c r="AJ1031" s="18"/>
      <c r="AK1031" s="18"/>
      <c r="AL1031" s="34"/>
      <c r="AM1031" s="18"/>
      <c r="AN1031" s="18"/>
      <c r="AO1031" s="18"/>
      <c r="AP1031" s="18"/>
      <c r="AQ1031" s="18"/>
      <c r="AR1031" s="18"/>
      <c r="AS1031" s="18"/>
      <c r="AT1031" s="30"/>
      <c r="AU1031" s="18"/>
      <c r="AV1031" s="18"/>
      <c r="AW1031" s="18"/>
      <c r="AX1031" s="18"/>
    </row>
    <row r="1032" spans="1:50" ht="38.25" x14ac:dyDescent="0.2">
      <c r="AA1032" s="16"/>
      <c r="AB1032" s="29" t="s">
        <v>193</v>
      </c>
      <c r="AC1032" s="17"/>
      <c r="AD1032" s="18"/>
      <c r="AE1032" s="34"/>
      <c r="AF1032" s="34"/>
      <c r="AG1032" s="34"/>
      <c r="AH1032" s="34"/>
      <c r="AI1032" s="34"/>
      <c r="AJ1032" s="18"/>
      <c r="AK1032" s="18"/>
      <c r="AL1032" s="34"/>
      <c r="AM1032" s="18"/>
      <c r="AN1032" s="18"/>
      <c r="AO1032" s="18"/>
      <c r="AP1032" s="18"/>
      <c r="AQ1032" s="18"/>
      <c r="AR1032" s="18"/>
      <c r="AS1032" s="18"/>
      <c r="AT1032" s="30"/>
      <c r="AU1032" s="18"/>
      <c r="AV1032" s="18"/>
      <c r="AW1032" s="18"/>
      <c r="AX1032" s="18"/>
    </row>
    <row r="1033" spans="1:50" ht="25.5" x14ac:dyDescent="0.2">
      <c r="AA1033" s="28" t="s">
        <v>288</v>
      </c>
      <c r="AB1033" s="29" t="s">
        <v>616</v>
      </c>
      <c r="AC1033" s="17"/>
      <c r="AD1033" s="18"/>
      <c r="AE1033" s="34"/>
      <c r="AF1033" s="34"/>
      <c r="AG1033" s="34"/>
      <c r="AH1033" s="34"/>
      <c r="AI1033" s="34"/>
      <c r="AJ1033" s="18"/>
      <c r="AK1033" s="18"/>
      <c r="AL1033" s="34"/>
      <c r="AM1033" s="18"/>
      <c r="AN1033" s="18"/>
      <c r="AO1033" s="18"/>
      <c r="AP1033" s="18"/>
      <c r="AQ1033" s="18"/>
      <c r="AR1033" s="147"/>
      <c r="AS1033" s="18"/>
      <c r="AT1033" s="30"/>
      <c r="AU1033" s="18"/>
      <c r="AV1033" s="18"/>
      <c r="AW1033" s="18"/>
      <c r="AX1033" s="18"/>
    </row>
    <row r="1034" spans="1:50" x14ac:dyDescent="0.2">
      <c r="A1034" s="4" t="s">
        <v>37</v>
      </c>
      <c r="B1034" s="4" t="s">
        <v>37</v>
      </c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1" t="s">
        <v>657</v>
      </c>
      <c r="AB1034" s="42" t="s">
        <v>233</v>
      </c>
      <c r="AC1034" s="43" t="s">
        <v>58</v>
      </c>
      <c r="AD1034" s="43">
        <v>400000000</v>
      </c>
      <c r="AE1034" s="44">
        <v>0</v>
      </c>
      <c r="AF1034" s="44">
        <v>0</v>
      </c>
      <c r="AG1034" s="44">
        <v>0</v>
      </c>
      <c r="AH1034" s="44">
        <v>0</v>
      </c>
      <c r="AI1034" s="44">
        <v>0</v>
      </c>
      <c r="AJ1034" s="43">
        <v>400000000</v>
      </c>
      <c r="AK1034" s="44">
        <v>0</v>
      </c>
      <c r="AL1034" s="44">
        <f>AM1034-AGOSTO!AM972</f>
        <v>0</v>
      </c>
      <c r="AM1034" s="43">
        <v>399068768</v>
      </c>
      <c r="AN1034" s="44">
        <v>0</v>
      </c>
      <c r="AO1034" s="44">
        <v>0</v>
      </c>
      <c r="AP1034" s="43">
        <v>399068768</v>
      </c>
      <c r="AQ1034" s="44">
        <v>0</v>
      </c>
      <c r="AR1034" s="143">
        <v>0</v>
      </c>
      <c r="AS1034" s="43">
        <v>399068768</v>
      </c>
      <c r="AT1034" s="39">
        <f t="shared" ref="AT1034:AT1035" si="479">AQ1034+AS1034</f>
        <v>399068768</v>
      </c>
      <c r="AU1034" s="18">
        <f>AJ1034-AM1034</f>
        <v>931232</v>
      </c>
      <c r="AV1034" s="34">
        <f>AM1034-AP1034</f>
        <v>0</v>
      </c>
      <c r="AW1034" s="18">
        <f>AP1034-AT1034</f>
        <v>0</v>
      </c>
      <c r="AX1034" s="123">
        <f>AP1034/AJ1034</f>
        <v>0.99767192000000005</v>
      </c>
    </row>
    <row r="1035" spans="1:50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1" t="s">
        <v>1226</v>
      </c>
      <c r="AB1035" s="42" t="s">
        <v>1110</v>
      </c>
      <c r="AC1035" s="43"/>
      <c r="AD1035" s="43">
        <v>0</v>
      </c>
      <c r="AE1035" s="44">
        <v>0</v>
      </c>
      <c r="AF1035" s="44">
        <v>0</v>
      </c>
      <c r="AG1035" s="43">
        <v>502777408.16000003</v>
      </c>
      <c r="AH1035" s="44">
        <v>0</v>
      </c>
      <c r="AI1035" s="43">
        <f>AE1035-AF1035+AG1035-AH1035</f>
        <v>502777408.16000003</v>
      </c>
      <c r="AJ1035" s="43">
        <f>AD1035+AI1035</f>
        <v>502777408.16000003</v>
      </c>
      <c r="AK1035" s="44">
        <v>0</v>
      </c>
      <c r="AL1035" s="44">
        <f>AM1035-AGOSTO!AM973</f>
        <v>0</v>
      </c>
      <c r="AM1035" s="43">
        <v>501784744</v>
      </c>
      <c r="AN1035" s="44">
        <v>0</v>
      </c>
      <c r="AO1035" s="44">
        <v>0</v>
      </c>
      <c r="AP1035" s="43">
        <v>501784744</v>
      </c>
      <c r="AQ1035" s="44">
        <v>0</v>
      </c>
      <c r="AR1035" s="142">
        <v>52211374</v>
      </c>
      <c r="AS1035" s="43">
        <v>307686777</v>
      </c>
      <c r="AT1035" s="39">
        <f t="shared" si="479"/>
        <v>307686777</v>
      </c>
      <c r="AU1035" s="18">
        <f>AJ1035-AM1035</f>
        <v>992664.16000002623</v>
      </c>
      <c r="AV1035" s="34">
        <f>AM1035-AP1035</f>
        <v>0</v>
      </c>
      <c r="AW1035" s="18">
        <f>AP1035-AT1035</f>
        <v>194097967</v>
      </c>
      <c r="AX1035" s="123">
        <f>AP1035/AJ1035</f>
        <v>0.99802563889329698</v>
      </c>
    </row>
    <row r="1036" spans="1:50" x14ac:dyDescent="0.2">
      <c r="AA1036" s="16"/>
      <c r="AB1036" s="17"/>
      <c r="AC1036" s="17"/>
      <c r="AD1036" s="18"/>
      <c r="AE1036" s="34"/>
      <c r="AF1036" s="34"/>
      <c r="AG1036" s="34"/>
      <c r="AH1036" s="34"/>
      <c r="AI1036" s="34"/>
      <c r="AJ1036" s="18"/>
      <c r="AK1036" s="18"/>
      <c r="AL1036" s="18"/>
      <c r="AM1036" s="18"/>
      <c r="AN1036" s="18"/>
      <c r="AO1036" s="34"/>
      <c r="AP1036" s="18"/>
      <c r="AQ1036" s="18"/>
      <c r="AR1036" s="147"/>
      <c r="AS1036" s="18"/>
      <c r="AT1036" s="30"/>
      <c r="AU1036" s="18"/>
      <c r="AV1036" s="34"/>
      <c r="AW1036" s="34"/>
      <c r="AX1036" s="18"/>
    </row>
    <row r="1037" spans="1:50" ht="25.5" x14ac:dyDescent="0.2">
      <c r="AA1037" s="16"/>
      <c r="AB1037" s="29" t="s">
        <v>197</v>
      </c>
      <c r="AC1037" s="17"/>
      <c r="AD1037" s="18"/>
      <c r="AE1037" s="34"/>
      <c r="AF1037" s="34"/>
      <c r="AG1037" s="34"/>
      <c r="AH1037" s="34"/>
      <c r="AI1037" s="34"/>
      <c r="AJ1037" s="18"/>
      <c r="AK1037" s="18"/>
      <c r="AL1037" s="18"/>
      <c r="AM1037" s="18"/>
      <c r="AN1037" s="18"/>
      <c r="AO1037" s="18"/>
      <c r="AP1037" s="18"/>
      <c r="AQ1037" s="18"/>
      <c r="AR1037" s="147"/>
      <c r="AS1037" s="18"/>
      <c r="AT1037" s="30"/>
      <c r="AU1037" s="18"/>
      <c r="AV1037" s="34"/>
      <c r="AW1037" s="34"/>
      <c r="AX1037" s="18"/>
    </row>
    <row r="1038" spans="1:50" ht="25.5" x14ac:dyDescent="0.2">
      <c r="AA1038" s="28" t="s">
        <v>288</v>
      </c>
      <c r="AB1038" s="29" t="s">
        <v>616</v>
      </c>
      <c r="AC1038" s="17"/>
      <c r="AD1038" s="18"/>
      <c r="AE1038" s="34"/>
      <c r="AF1038" s="34"/>
      <c r="AG1038" s="34"/>
      <c r="AH1038" s="34"/>
      <c r="AI1038" s="34"/>
      <c r="AJ1038" s="18"/>
      <c r="AK1038" s="18"/>
      <c r="AL1038" s="18"/>
      <c r="AM1038" s="18"/>
      <c r="AN1038" s="18"/>
      <c r="AO1038" s="18"/>
      <c r="AP1038" s="18"/>
      <c r="AQ1038" s="18"/>
      <c r="AR1038" s="147"/>
      <c r="AS1038" s="18"/>
      <c r="AT1038" s="30"/>
      <c r="AU1038" s="18"/>
      <c r="AV1038" s="34"/>
      <c r="AW1038" s="34"/>
      <c r="AX1038" s="18"/>
    </row>
    <row r="1039" spans="1:50" x14ac:dyDescent="0.2">
      <c r="A1039" s="4" t="s">
        <v>55</v>
      </c>
      <c r="B1039" s="4" t="s">
        <v>56</v>
      </c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1" t="s">
        <v>658</v>
      </c>
      <c r="AB1039" s="42" t="s">
        <v>233</v>
      </c>
      <c r="AC1039" s="43" t="s">
        <v>58</v>
      </c>
      <c r="AD1039" s="43">
        <v>80000001.5</v>
      </c>
      <c r="AE1039" s="44">
        <v>0</v>
      </c>
      <c r="AF1039" s="44">
        <v>0</v>
      </c>
      <c r="AG1039" s="44">
        <v>0</v>
      </c>
      <c r="AH1039" s="44">
        <v>0</v>
      </c>
      <c r="AI1039" s="44">
        <v>0</v>
      </c>
      <c r="AJ1039" s="43">
        <v>80000001.5</v>
      </c>
      <c r="AK1039" s="44">
        <v>0</v>
      </c>
      <c r="AL1039" s="43">
        <f>AM1039-SEPTIEMBRE!AM1005</f>
        <v>7970932</v>
      </c>
      <c r="AM1039" s="43">
        <v>79970932</v>
      </c>
      <c r="AN1039" s="43">
        <v>0</v>
      </c>
      <c r="AO1039" s="43">
        <v>0</v>
      </c>
      <c r="AP1039" s="43">
        <v>72000000</v>
      </c>
      <c r="AQ1039" s="44">
        <v>0</v>
      </c>
      <c r="AR1039" s="44">
        <v>0</v>
      </c>
      <c r="AS1039" s="44">
        <v>0</v>
      </c>
      <c r="AT1039" s="40">
        <f t="shared" ref="AT1039:AT1041" si="480">AQ1039+AS1039</f>
        <v>0</v>
      </c>
      <c r="AU1039" s="18">
        <f>AJ1039-AM1039</f>
        <v>29069.5</v>
      </c>
      <c r="AV1039" s="18">
        <f>AM1039-AP1039</f>
        <v>7970932</v>
      </c>
      <c r="AW1039" s="18">
        <f>AP1039-AT1039</f>
        <v>72000000</v>
      </c>
      <c r="AX1039" s="123">
        <f>AP1039/AJ1039</f>
        <v>0.89999998312500029</v>
      </c>
    </row>
    <row r="1040" spans="1:50" ht="25.5" x14ac:dyDescent="0.2">
      <c r="A1040" s="4" t="s">
        <v>55</v>
      </c>
      <c r="B1040" s="4" t="s">
        <v>56</v>
      </c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1" t="s">
        <v>659</v>
      </c>
      <c r="AB1040" s="42" t="s">
        <v>660</v>
      </c>
      <c r="AC1040" s="43" t="s">
        <v>368</v>
      </c>
      <c r="AD1040" s="43">
        <v>18064798.5</v>
      </c>
      <c r="AE1040" s="44">
        <v>0</v>
      </c>
      <c r="AF1040" s="44">
        <v>0</v>
      </c>
      <c r="AG1040" s="44">
        <v>0</v>
      </c>
      <c r="AH1040" s="44">
        <v>0</v>
      </c>
      <c r="AI1040" s="44">
        <v>0</v>
      </c>
      <c r="AJ1040" s="43">
        <v>18064798.5</v>
      </c>
      <c r="AK1040" s="44">
        <v>0</v>
      </c>
      <c r="AL1040" s="43">
        <v>18064798</v>
      </c>
      <c r="AM1040" s="43">
        <v>18064798</v>
      </c>
      <c r="AN1040" s="43">
        <v>0</v>
      </c>
      <c r="AO1040" s="44">
        <v>0</v>
      </c>
      <c r="AP1040" s="44">
        <v>0</v>
      </c>
      <c r="AQ1040" s="44">
        <v>0</v>
      </c>
      <c r="AR1040" s="44">
        <v>0</v>
      </c>
      <c r="AS1040" s="44">
        <v>0</v>
      </c>
      <c r="AT1040" s="40">
        <f t="shared" si="480"/>
        <v>0</v>
      </c>
      <c r="AU1040" s="18">
        <f>AJ1040-AM1040</f>
        <v>0.5</v>
      </c>
      <c r="AV1040" s="18">
        <f>AM1040-AP1040</f>
        <v>18064798</v>
      </c>
      <c r="AW1040" s="34">
        <f>AP1040-AT1040</f>
        <v>0</v>
      </c>
      <c r="AX1040" s="123">
        <f>AP1040/AJ1040</f>
        <v>0</v>
      </c>
    </row>
    <row r="1041" spans="1:50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1" t="s">
        <v>1109</v>
      </c>
      <c r="AB1041" s="42" t="s">
        <v>1110</v>
      </c>
      <c r="AC1041" s="43"/>
      <c r="AD1041" s="44">
        <v>0</v>
      </c>
      <c r="AE1041" s="43">
        <v>502777408.16000003</v>
      </c>
      <c r="AF1041" s="44">
        <v>0</v>
      </c>
      <c r="AG1041" s="44">
        <v>0</v>
      </c>
      <c r="AH1041" s="43">
        <v>502777408.16000003</v>
      </c>
      <c r="AI1041" s="44">
        <f>AE1041-AF1041+AG1041-AH1041</f>
        <v>0</v>
      </c>
      <c r="AJ1041" s="44">
        <f>AD1041+AI1041</f>
        <v>0</v>
      </c>
      <c r="AK1041" s="44">
        <v>0</v>
      </c>
      <c r="AL1041" s="44">
        <v>0</v>
      </c>
      <c r="AM1041" s="44">
        <v>0</v>
      </c>
      <c r="AN1041" s="44">
        <v>0</v>
      </c>
      <c r="AO1041" s="44">
        <v>0</v>
      </c>
      <c r="AP1041" s="44">
        <v>0</v>
      </c>
      <c r="AQ1041" s="44">
        <v>0</v>
      </c>
      <c r="AR1041" s="44">
        <v>0</v>
      </c>
      <c r="AS1041" s="44">
        <v>0</v>
      </c>
      <c r="AT1041" s="40">
        <f t="shared" si="480"/>
        <v>0</v>
      </c>
      <c r="AU1041" s="34">
        <f>AJ1041-AM1041</f>
        <v>0</v>
      </c>
      <c r="AV1041" s="133">
        <f>AM1041-AP1041</f>
        <v>0</v>
      </c>
      <c r="AW1041" s="34">
        <f>AP1041-AT1041</f>
        <v>0</v>
      </c>
      <c r="AX1041" s="123">
        <v>0</v>
      </c>
    </row>
    <row r="1042" spans="1:50" x14ac:dyDescent="0.2">
      <c r="AA1042" s="16"/>
      <c r="AB1042" s="17"/>
      <c r="AC1042" s="17"/>
      <c r="AD1042" s="18"/>
      <c r="AE1042" s="34"/>
      <c r="AF1042" s="34"/>
      <c r="AG1042" s="34"/>
      <c r="AH1042" s="34"/>
      <c r="AI1042" s="34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30"/>
      <c r="AU1042" s="18"/>
      <c r="AV1042" s="18"/>
      <c r="AW1042" s="18"/>
      <c r="AX1042" s="18"/>
    </row>
    <row r="1043" spans="1:50" x14ac:dyDescent="0.2">
      <c r="AA1043" s="16"/>
      <c r="AB1043" s="29" t="s">
        <v>661</v>
      </c>
      <c r="AC1043" s="17"/>
      <c r="AD1043" s="18"/>
      <c r="AE1043" s="34"/>
      <c r="AF1043" s="34"/>
      <c r="AG1043" s="34"/>
      <c r="AH1043" s="34"/>
      <c r="AI1043" s="34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30"/>
      <c r="AU1043" s="18"/>
      <c r="AV1043" s="18"/>
      <c r="AW1043" s="18"/>
      <c r="AX1043" s="18"/>
    </row>
    <row r="1044" spans="1:50" x14ac:dyDescent="0.2">
      <c r="AA1044" s="16"/>
      <c r="AB1044" s="29" t="s">
        <v>614</v>
      </c>
      <c r="AC1044" s="17"/>
      <c r="AD1044" s="18"/>
      <c r="AE1044" s="34"/>
      <c r="AF1044" s="34"/>
      <c r="AG1044" s="34"/>
      <c r="AH1044" s="34"/>
      <c r="AI1044" s="34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30"/>
      <c r="AU1044" s="18"/>
      <c r="AV1044" s="18"/>
      <c r="AW1044" s="18"/>
      <c r="AX1044" s="18"/>
    </row>
    <row r="1045" spans="1:50" x14ac:dyDescent="0.2">
      <c r="AA1045" s="16"/>
      <c r="AB1045" s="29" t="s">
        <v>286</v>
      </c>
      <c r="AC1045" s="17"/>
      <c r="AD1045" s="18"/>
      <c r="AE1045" s="34"/>
      <c r="AF1045" s="34"/>
      <c r="AG1045" s="34"/>
      <c r="AH1045" s="34"/>
      <c r="AI1045" s="34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30"/>
      <c r="AU1045" s="18"/>
      <c r="AV1045" s="18"/>
      <c r="AW1045" s="18"/>
      <c r="AX1045" s="18"/>
    </row>
    <row r="1046" spans="1:50" x14ac:dyDescent="0.2">
      <c r="AA1046" s="16"/>
      <c r="AB1046" s="29" t="s">
        <v>179</v>
      </c>
      <c r="AC1046" s="17"/>
      <c r="AD1046" s="18"/>
      <c r="AE1046" s="34"/>
      <c r="AF1046" s="34"/>
      <c r="AG1046" s="34"/>
      <c r="AH1046" s="34"/>
      <c r="AI1046" s="34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30"/>
      <c r="AU1046" s="18"/>
      <c r="AV1046" s="18"/>
      <c r="AW1046" s="18"/>
      <c r="AX1046" s="18"/>
    </row>
    <row r="1047" spans="1:50" x14ac:dyDescent="0.2">
      <c r="AA1047" s="16"/>
      <c r="AB1047" s="29" t="s">
        <v>189</v>
      </c>
      <c r="AC1047" s="17"/>
      <c r="AD1047" s="18"/>
      <c r="AE1047" s="34"/>
      <c r="AF1047" s="34"/>
      <c r="AG1047" s="34"/>
      <c r="AH1047" s="34"/>
      <c r="AI1047" s="34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30"/>
      <c r="AU1047" s="18"/>
      <c r="AV1047" s="18"/>
      <c r="AW1047" s="18"/>
      <c r="AX1047" s="18"/>
    </row>
    <row r="1048" spans="1:50" ht="25.5" x14ac:dyDescent="0.2">
      <c r="AA1048" s="16"/>
      <c r="AB1048" s="29" t="s">
        <v>197</v>
      </c>
      <c r="AC1048" s="17"/>
      <c r="AD1048" s="18"/>
      <c r="AE1048" s="34"/>
      <c r="AF1048" s="34"/>
      <c r="AG1048" s="34"/>
      <c r="AH1048" s="34"/>
      <c r="AI1048" s="34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30"/>
      <c r="AU1048" s="18"/>
      <c r="AV1048" s="18"/>
      <c r="AW1048" s="18"/>
      <c r="AX1048" s="18"/>
    </row>
    <row r="1049" spans="1:50" x14ac:dyDescent="0.2">
      <c r="AA1049" s="28" t="s">
        <v>288</v>
      </c>
      <c r="AB1049" s="29" t="s">
        <v>591</v>
      </c>
      <c r="AC1049" s="17"/>
      <c r="AD1049" s="18"/>
      <c r="AE1049" s="34"/>
      <c r="AF1049" s="34"/>
      <c r="AG1049" s="34"/>
      <c r="AH1049" s="34"/>
      <c r="AI1049" s="34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30"/>
      <c r="AU1049" s="18"/>
      <c r="AV1049" s="18"/>
      <c r="AW1049" s="18"/>
      <c r="AX1049" s="18"/>
    </row>
    <row r="1050" spans="1:50" ht="25.5" x14ac:dyDescent="0.2">
      <c r="A1050" s="4" t="s">
        <v>55</v>
      </c>
      <c r="B1050" s="4" t="s">
        <v>56</v>
      </c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1" t="s">
        <v>662</v>
      </c>
      <c r="AB1050" s="42" t="s">
        <v>1238</v>
      </c>
      <c r="AC1050" s="43" t="s">
        <v>368</v>
      </c>
      <c r="AD1050" s="43">
        <v>3179405.26</v>
      </c>
      <c r="AE1050" s="44">
        <v>0</v>
      </c>
      <c r="AF1050" s="44">
        <v>0</v>
      </c>
      <c r="AG1050" s="44">
        <v>0</v>
      </c>
      <c r="AH1050" s="44">
        <v>0</v>
      </c>
      <c r="AI1050" s="44">
        <v>0</v>
      </c>
      <c r="AJ1050" s="43">
        <v>3179405.26</v>
      </c>
      <c r="AK1050" s="44">
        <v>0</v>
      </c>
      <c r="AL1050" s="44">
        <f>AM1050-AGOSTO!AM988</f>
        <v>0</v>
      </c>
      <c r="AM1050" s="43">
        <v>1739249</v>
      </c>
      <c r="AN1050" s="44">
        <v>0</v>
      </c>
      <c r="AO1050" s="44">
        <v>0</v>
      </c>
      <c r="AP1050" s="43">
        <v>1739249</v>
      </c>
      <c r="AQ1050" s="44">
        <v>0</v>
      </c>
      <c r="AR1050" s="43">
        <v>0</v>
      </c>
      <c r="AS1050" s="43">
        <v>72582</v>
      </c>
      <c r="AT1050" s="40">
        <f t="shared" ref="AT1050:AT1051" si="481">AQ1050+AS1050</f>
        <v>72582</v>
      </c>
      <c r="AU1050" s="18">
        <f>AJ1050-AM1050</f>
        <v>1440156.2599999998</v>
      </c>
      <c r="AV1050" s="133">
        <f>AM1050-AP1050</f>
        <v>0</v>
      </c>
      <c r="AW1050" s="18">
        <f>AP1050-AT1050</f>
        <v>1666667</v>
      </c>
      <c r="AX1050" s="123">
        <f>AP1050/AJ1050</f>
        <v>0.54703595728466525</v>
      </c>
    </row>
    <row r="1051" spans="1:50" ht="25.5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1" t="s">
        <v>1111</v>
      </c>
      <c r="AB1051" s="42" t="s">
        <v>1112</v>
      </c>
      <c r="AC1051" s="43"/>
      <c r="AD1051" s="44">
        <v>0</v>
      </c>
      <c r="AE1051" s="43">
        <v>58361947.520000003</v>
      </c>
      <c r="AF1051" s="44">
        <v>0</v>
      </c>
      <c r="AG1051" s="44">
        <v>0</v>
      </c>
      <c r="AH1051" s="44">
        <v>0</v>
      </c>
      <c r="AI1051" s="43">
        <f>AE1051-AF1051+AG1051-AH1051</f>
        <v>58361947.520000003</v>
      </c>
      <c r="AJ1051" s="43">
        <f>AD1051+AI1051</f>
        <v>58361947.520000003</v>
      </c>
      <c r="AK1051" s="44">
        <v>0</v>
      </c>
      <c r="AL1051" s="44">
        <v>0</v>
      </c>
      <c r="AM1051" s="44">
        <v>0</v>
      </c>
      <c r="AN1051" s="44">
        <v>0</v>
      </c>
      <c r="AO1051" s="44">
        <v>0</v>
      </c>
      <c r="AP1051" s="44">
        <v>0</v>
      </c>
      <c r="AQ1051" s="44">
        <v>0</v>
      </c>
      <c r="AR1051" s="44">
        <v>0</v>
      </c>
      <c r="AS1051" s="44">
        <v>0</v>
      </c>
      <c r="AT1051" s="40">
        <f t="shared" si="481"/>
        <v>0</v>
      </c>
      <c r="AU1051" s="18">
        <f>AJ1051-AM1051</f>
        <v>58361947.520000003</v>
      </c>
      <c r="AV1051" s="133">
        <f>AM1051-AP1051</f>
        <v>0</v>
      </c>
      <c r="AW1051" s="34">
        <f>AP1051-AT1051</f>
        <v>0</v>
      </c>
      <c r="AX1051" s="123">
        <f>AP1051/AJ1051</f>
        <v>0</v>
      </c>
    </row>
    <row r="1052" spans="1:50" x14ac:dyDescent="0.2">
      <c r="AA1052" s="16"/>
      <c r="AB1052" s="17"/>
      <c r="AC1052" s="17"/>
      <c r="AD1052" s="18"/>
      <c r="AE1052" s="34"/>
      <c r="AF1052" s="34"/>
      <c r="AG1052" s="34"/>
      <c r="AH1052" s="34"/>
      <c r="AI1052" s="34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30"/>
      <c r="AU1052" s="18"/>
      <c r="AV1052" s="18"/>
      <c r="AW1052" s="18"/>
      <c r="AX1052" s="18"/>
    </row>
    <row r="1053" spans="1:50" ht="25.5" x14ac:dyDescent="0.2">
      <c r="AA1053" s="16"/>
      <c r="AB1053" s="29" t="s">
        <v>663</v>
      </c>
      <c r="AC1053" s="17"/>
      <c r="AD1053" s="18"/>
      <c r="AE1053" s="34"/>
      <c r="AF1053" s="34"/>
      <c r="AG1053" s="34"/>
      <c r="AH1053" s="34"/>
      <c r="AI1053" s="34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30"/>
      <c r="AU1053" s="18"/>
      <c r="AV1053" s="18"/>
      <c r="AW1053" s="18"/>
      <c r="AX1053" s="18"/>
    </row>
    <row r="1054" spans="1:50" x14ac:dyDescent="0.2">
      <c r="AA1054" s="16"/>
      <c r="AB1054" s="29" t="s">
        <v>614</v>
      </c>
      <c r="AC1054" s="17"/>
      <c r="AD1054" s="18"/>
      <c r="AE1054" s="34"/>
      <c r="AF1054" s="34"/>
      <c r="AG1054" s="34"/>
      <c r="AH1054" s="34"/>
      <c r="AI1054" s="34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30"/>
      <c r="AU1054" s="18"/>
      <c r="AV1054" s="18"/>
      <c r="AW1054" s="18"/>
      <c r="AX1054" s="18"/>
    </row>
    <row r="1055" spans="1:50" x14ac:dyDescent="0.2">
      <c r="AA1055" s="16"/>
      <c r="AB1055" s="29" t="s">
        <v>286</v>
      </c>
      <c r="AC1055" s="17"/>
      <c r="AD1055" s="18"/>
      <c r="AE1055" s="34"/>
      <c r="AF1055" s="34"/>
      <c r="AG1055" s="34"/>
      <c r="AH1055" s="34"/>
      <c r="AI1055" s="34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30"/>
      <c r="AU1055" s="18"/>
      <c r="AV1055" s="18"/>
      <c r="AW1055" s="18"/>
      <c r="AX1055" s="18"/>
    </row>
    <row r="1056" spans="1:50" ht="18.75" customHeight="1" x14ac:dyDescent="0.2">
      <c r="AA1056" s="16"/>
      <c r="AB1056" s="29" t="s">
        <v>664</v>
      </c>
      <c r="AC1056" s="17"/>
      <c r="AD1056" s="18"/>
      <c r="AE1056" s="34"/>
      <c r="AF1056" s="34"/>
      <c r="AG1056" s="34"/>
      <c r="AH1056" s="34"/>
      <c r="AI1056" s="34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30"/>
      <c r="AU1056" s="18"/>
      <c r="AV1056" s="18"/>
      <c r="AW1056" s="18"/>
      <c r="AX1056" s="18"/>
    </row>
    <row r="1057" spans="1:50" ht="18.75" customHeight="1" x14ac:dyDescent="0.2">
      <c r="AA1057" s="16"/>
      <c r="AB1057" s="29" t="s">
        <v>575</v>
      </c>
      <c r="AC1057" s="17"/>
      <c r="AD1057" s="18"/>
      <c r="AE1057" s="34"/>
      <c r="AF1057" s="34"/>
      <c r="AG1057" s="34"/>
      <c r="AH1057" s="34"/>
      <c r="AI1057" s="34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30"/>
      <c r="AU1057" s="18"/>
      <c r="AV1057" s="18"/>
      <c r="AW1057" s="18"/>
      <c r="AX1057" s="18"/>
    </row>
    <row r="1058" spans="1:50" ht="18.75" customHeight="1" x14ac:dyDescent="0.2">
      <c r="AA1058" s="16"/>
      <c r="AB1058" s="29" t="s">
        <v>631</v>
      </c>
      <c r="AC1058" s="17"/>
      <c r="AD1058" s="18"/>
      <c r="AE1058" s="34"/>
      <c r="AF1058" s="34"/>
      <c r="AG1058" s="34"/>
      <c r="AH1058" s="34"/>
      <c r="AI1058" s="34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30"/>
      <c r="AU1058" s="18"/>
      <c r="AV1058" s="18"/>
      <c r="AW1058" s="18"/>
      <c r="AX1058" s="18"/>
    </row>
    <row r="1059" spans="1:50" ht="18.75" customHeight="1" x14ac:dyDescent="0.2">
      <c r="AA1059" s="16"/>
      <c r="AB1059" s="29" t="s">
        <v>632</v>
      </c>
      <c r="AC1059" s="17"/>
      <c r="AD1059" s="18"/>
      <c r="AE1059" s="34"/>
      <c r="AF1059" s="34"/>
      <c r="AG1059" s="34"/>
      <c r="AH1059" s="34"/>
      <c r="AI1059" s="34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30"/>
      <c r="AU1059" s="18"/>
      <c r="AV1059" s="18"/>
      <c r="AW1059" s="18"/>
      <c r="AX1059" s="18"/>
    </row>
    <row r="1060" spans="1:50" ht="18.75" customHeight="1" x14ac:dyDescent="0.2">
      <c r="AA1060" s="16"/>
      <c r="AB1060" s="29" t="s">
        <v>633</v>
      </c>
      <c r="AC1060" s="17"/>
      <c r="AD1060" s="18"/>
      <c r="AE1060" s="34"/>
      <c r="AF1060" s="34"/>
      <c r="AG1060" s="34"/>
      <c r="AH1060" s="34"/>
      <c r="AI1060" s="34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30"/>
      <c r="AU1060" s="18"/>
      <c r="AV1060" s="18"/>
      <c r="AW1060" s="18"/>
      <c r="AX1060" s="18"/>
    </row>
    <row r="1061" spans="1:50" ht="18.75" customHeight="1" x14ac:dyDescent="0.2">
      <c r="AA1061" s="16"/>
      <c r="AB1061" s="29" t="s">
        <v>634</v>
      </c>
      <c r="AC1061" s="17"/>
      <c r="AD1061" s="18"/>
      <c r="AE1061" s="34"/>
      <c r="AF1061" s="34"/>
      <c r="AG1061" s="34"/>
      <c r="AH1061" s="34"/>
      <c r="AI1061" s="34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30"/>
      <c r="AU1061" s="18"/>
      <c r="AV1061" s="18"/>
      <c r="AW1061" s="18"/>
      <c r="AX1061" s="18"/>
    </row>
    <row r="1062" spans="1:50" ht="18.75" customHeight="1" x14ac:dyDescent="0.2">
      <c r="AA1062" s="16"/>
      <c r="AB1062" s="29" t="s">
        <v>635</v>
      </c>
      <c r="AC1062" s="17"/>
      <c r="AD1062" s="18"/>
      <c r="AE1062" s="34"/>
      <c r="AF1062" s="34"/>
      <c r="AG1062" s="34"/>
      <c r="AH1062" s="34"/>
      <c r="AI1062" s="34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30"/>
      <c r="AU1062" s="18"/>
      <c r="AV1062" s="18"/>
      <c r="AW1062" s="18"/>
      <c r="AX1062" s="18"/>
    </row>
    <row r="1063" spans="1:50" ht="18.75" customHeight="1" x14ac:dyDescent="0.2">
      <c r="AA1063" s="28" t="s">
        <v>288</v>
      </c>
      <c r="AB1063" s="29" t="s">
        <v>665</v>
      </c>
      <c r="AC1063" s="17"/>
      <c r="AD1063" s="18"/>
      <c r="AE1063" s="34"/>
      <c r="AF1063" s="34"/>
      <c r="AG1063" s="34"/>
      <c r="AH1063" s="34"/>
      <c r="AI1063" s="34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30"/>
      <c r="AU1063" s="18"/>
      <c r="AV1063" s="18"/>
      <c r="AW1063" s="18"/>
      <c r="AX1063" s="18"/>
    </row>
    <row r="1064" spans="1:50" ht="18.75" customHeight="1" x14ac:dyDescent="0.2">
      <c r="A1064" s="4" t="s">
        <v>37</v>
      </c>
      <c r="B1064" s="4" t="s">
        <v>37</v>
      </c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1" t="s">
        <v>666</v>
      </c>
      <c r="AB1064" s="42" t="s">
        <v>233</v>
      </c>
      <c r="AC1064" s="43" t="s">
        <v>58</v>
      </c>
      <c r="AD1064" s="43">
        <v>22000000</v>
      </c>
      <c r="AE1064" s="44">
        <v>0</v>
      </c>
      <c r="AF1064" s="44">
        <v>0</v>
      </c>
      <c r="AG1064" s="44">
        <v>0</v>
      </c>
      <c r="AH1064" s="44">
        <v>0</v>
      </c>
      <c r="AI1064" s="44">
        <v>0</v>
      </c>
      <c r="AJ1064" s="43">
        <v>22000000</v>
      </c>
      <c r="AK1064" s="44">
        <v>0</v>
      </c>
      <c r="AL1064" s="44">
        <v>0</v>
      </c>
      <c r="AM1064" s="44">
        <v>0</v>
      </c>
      <c r="AN1064" s="44">
        <v>0</v>
      </c>
      <c r="AO1064" s="44">
        <v>0</v>
      </c>
      <c r="AP1064" s="44">
        <v>0</v>
      </c>
      <c r="AQ1064" s="44">
        <v>0</v>
      </c>
      <c r="AR1064" s="44">
        <v>0</v>
      </c>
      <c r="AS1064" s="44">
        <v>0</v>
      </c>
      <c r="AT1064" s="40">
        <f t="shared" ref="AT1064" si="482">AQ1064+AS1064</f>
        <v>0</v>
      </c>
      <c r="AU1064" s="18">
        <f>AJ1064-AM1064</f>
        <v>22000000</v>
      </c>
      <c r="AV1064" s="133">
        <f>AM1064-AP1064</f>
        <v>0</v>
      </c>
      <c r="AW1064" s="34">
        <f>AP1064-AT1064</f>
        <v>0</v>
      </c>
      <c r="AX1064" s="123">
        <f>AP1064/AJ1064</f>
        <v>0</v>
      </c>
    </row>
    <row r="1065" spans="1:50" ht="25.5" x14ac:dyDescent="0.2">
      <c r="AA1065" s="81" t="s">
        <v>288</v>
      </c>
      <c r="AB1065" s="74" t="s">
        <v>1248</v>
      </c>
      <c r="AC1065" s="17"/>
      <c r="AD1065" s="34"/>
      <c r="AE1065" s="34"/>
      <c r="AF1065" s="34"/>
      <c r="AG1065" s="18"/>
      <c r="AH1065" s="34"/>
      <c r="AI1065" s="43"/>
      <c r="AJ1065" s="43"/>
      <c r="AK1065" s="34"/>
      <c r="AL1065" s="34"/>
      <c r="AM1065" s="34"/>
      <c r="AN1065" s="34"/>
      <c r="AO1065" s="34"/>
      <c r="AP1065" s="34"/>
      <c r="AQ1065" s="34"/>
      <c r="AR1065" s="34"/>
      <c r="AS1065" s="34"/>
      <c r="AT1065" s="30"/>
      <c r="AU1065" s="18"/>
      <c r="AV1065" s="18"/>
      <c r="AW1065" s="34"/>
      <c r="AX1065" s="18"/>
    </row>
    <row r="1066" spans="1:50" x14ac:dyDescent="0.2">
      <c r="AA1066" s="134" t="s">
        <v>1254</v>
      </c>
      <c r="AB1066" s="42" t="s">
        <v>961</v>
      </c>
      <c r="AC1066" s="17"/>
      <c r="AD1066" s="34">
        <v>0</v>
      </c>
      <c r="AE1066" s="34">
        <v>0</v>
      </c>
      <c r="AF1066" s="34">
        <v>0</v>
      </c>
      <c r="AG1066" s="18">
        <v>54735904</v>
      </c>
      <c r="AH1066" s="34">
        <v>0</v>
      </c>
      <c r="AI1066" s="43">
        <f>AE1065-AF1065+AG1066-AH1065</f>
        <v>54735904</v>
      </c>
      <c r="AJ1066" s="43">
        <f>AD1065+AI1066</f>
        <v>54735904</v>
      </c>
      <c r="AK1066" s="34">
        <v>0</v>
      </c>
      <c r="AL1066" s="18">
        <f>AM1066-SEPTIEMBRE!AM1032</f>
        <v>-2962681</v>
      </c>
      <c r="AM1066" s="18">
        <v>42349844</v>
      </c>
      <c r="AN1066" s="34">
        <v>0</v>
      </c>
      <c r="AO1066" s="34">
        <v>17449844</v>
      </c>
      <c r="AP1066" s="18">
        <v>42349844</v>
      </c>
      <c r="AQ1066" s="34">
        <v>0</v>
      </c>
      <c r="AR1066" s="34">
        <v>0</v>
      </c>
      <c r="AS1066" s="34">
        <v>0</v>
      </c>
      <c r="AT1066" s="40">
        <f t="shared" ref="AT1066" si="483">AQ1066+AS1066</f>
        <v>0</v>
      </c>
      <c r="AU1066" s="18">
        <f t="shared" ref="AU1066" si="484">AJ1066-AM1066</f>
        <v>12386060</v>
      </c>
      <c r="AV1066" s="18">
        <f t="shared" ref="AV1066" si="485">AM1066-AP1066</f>
        <v>0</v>
      </c>
      <c r="AW1066" s="18">
        <f t="shared" ref="AW1066" si="486">AP1066-AT1066</f>
        <v>42349844</v>
      </c>
      <c r="AX1066" s="123">
        <f t="shared" ref="AX1066" si="487">AP1066/AJ1066</f>
        <v>0.77371233331598943</v>
      </c>
    </row>
    <row r="1067" spans="1:50" ht="18.75" customHeight="1" x14ac:dyDescent="0.2">
      <c r="AA1067" s="16"/>
      <c r="AB1067" s="17"/>
      <c r="AC1067" s="17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30"/>
      <c r="AU1067" s="18"/>
      <c r="AV1067" s="34"/>
      <c r="AW1067" s="34"/>
      <c r="AX1067" s="18"/>
    </row>
    <row r="1068" spans="1:50" ht="18.75" customHeight="1" x14ac:dyDescent="0.2">
      <c r="AA1068" s="16"/>
      <c r="AB1068" s="29" t="s">
        <v>179</v>
      </c>
      <c r="AC1068" s="17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30"/>
      <c r="AU1068" s="18"/>
      <c r="AV1068" s="34"/>
      <c r="AW1068" s="34"/>
      <c r="AX1068" s="18"/>
    </row>
    <row r="1069" spans="1:50" ht="18.75" customHeight="1" x14ac:dyDescent="0.2">
      <c r="AA1069" s="16"/>
      <c r="AB1069" s="29" t="s">
        <v>181</v>
      </c>
      <c r="AC1069" s="17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30"/>
      <c r="AU1069" s="18"/>
      <c r="AV1069" s="34"/>
      <c r="AW1069" s="34"/>
      <c r="AX1069" s="18"/>
    </row>
    <row r="1070" spans="1:50" ht="25.5" x14ac:dyDescent="0.2">
      <c r="AA1070" s="16"/>
      <c r="AB1070" s="29" t="s">
        <v>183</v>
      </c>
      <c r="AC1070" s="17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30"/>
      <c r="AU1070" s="18"/>
      <c r="AV1070" s="34"/>
      <c r="AW1070" s="34"/>
      <c r="AX1070" s="18"/>
    </row>
    <row r="1071" spans="1:50" ht="18.75" customHeight="1" x14ac:dyDescent="0.2">
      <c r="AA1071" s="28" t="s">
        <v>288</v>
      </c>
      <c r="AB1071" s="29" t="s">
        <v>667</v>
      </c>
      <c r="AC1071" s="17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30"/>
      <c r="AU1071" s="18"/>
      <c r="AV1071" s="34"/>
      <c r="AW1071" s="34"/>
      <c r="AX1071" s="18"/>
    </row>
    <row r="1072" spans="1:50" ht="18.75" customHeight="1" x14ac:dyDescent="0.2">
      <c r="A1072" s="4" t="s">
        <v>668</v>
      </c>
      <c r="B1072" s="4" t="s">
        <v>669</v>
      </c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1" t="s">
        <v>670</v>
      </c>
      <c r="AB1072" s="42" t="s">
        <v>233</v>
      </c>
      <c r="AC1072" s="43" t="s">
        <v>58</v>
      </c>
      <c r="AD1072" s="43">
        <v>1000000000</v>
      </c>
      <c r="AE1072" s="44">
        <v>0</v>
      </c>
      <c r="AF1072" s="44">
        <v>0</v>
      </c>
      <c r="AG1072" s="44">
        <v>0</v>
      </c>
      <c r="AH1072" s="43">
        <v>557151874</v>
      </c>
      <c r="AI1072" s="43">
        <f>AE1072-AF1072+AG1072-AH1072</f>
        <v>-557151874</v>
      </c>
      <c r="AJ1072" s="43">
        <f>AD1072+AI1072</f>
        <v>442848126</v>
      </c>
      <c r="AK1072" s="44">
        <v>0</v>
      </c>
      <c r="AL1072" s="44">
        <v>0</v>
      </c>
      <c r="AM1072" s="44">
        <v>0</v>
      </c>
      <c r="AN1072" s="44">
        <v>0</v>
      </c>
      <c r="AO1072" s="44">
        <v>0</v>
      </c>
      <c r="AP1072" s="44">
        <v>0</v>
      </c>
      <c r="AQ1072" s="44">
        <v>0</v>
      </c>
      <c r="AR1072" s="44">
        <v>0</v>
      </c>
      <c r="AS1072" s="44">
        <v>0</v>
      </c>
      <c r="AT1072" s="40">
        <f t="shared" ref="AT1072" si="488">AQ1072+AS1072</f>
        <v>0</v>
      </c>
      <c r="AU1072" s="18">
        <f>AJ1072-AM1072</f>
        <v>442848126</v>
      </c>
      <c r="AV1072" s="133">
        <f>AM1072-AP1072</f>
        <v>0</v>
      </c>
      <c r="AW1072" s="34">
        <f>AP1072-AT1072</f>
        <v>0</v>
      </c>
      <c r="AX1072" s="123">
        <f>AP1072/AJ1072</f>
        <v>0</v>
      </c>
    </row>
    <row r="1073" spans="1:50" ht="18.75" customHeight="1" x14ac:dyDescent="0.2">
      <c r="AA1073" s="16"/>
      <c r="AB1073" s="17"/>
      <c r="AC1073" s="17"/>
      <c r="AD1073" s="18"/>
      <c r="AE1073" s="34"/>
      <c r="AF1073" s="34"/>
      <c r="AG1073" s="34"/>
      <c r="AH1073" s="34"/>
      <c r="AI1073" s="34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30"/>
      <c r="AU1073" s="18"/>
      <c r="AV1073" s="34"/>
      <c r="AW1073" s="34"/>
      <c r="AX1073" s="18"/>
    </row>
    <row r="1074" spans="1:50" ht="25.5" x14ac:dyDescent="0.2">
      <c r="AA1074" s="16"/>
      <c r="AB1074" s="29" t="s">
        <v>637</v>
      </c>
      <c r="AC1074" s="17"/>
      <c r="AD1074" s="18"/>
      <c r="AE1074" s="34"/>
      <c r="AF1074" s="34"/>
      <c r="AG1074" s="34"/>
      <c r="AH1074" s="34"/>
      <c r="AI1074" s="34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30"/>
      <c r="AU1074" s="18"/>
      <c r="AV1074" s="34"/>
      <c r="AW1074" s="34"/>
      <c r="AX1074" s="18"/>
    </row>
    <row r="1075" spans="1:50" ht="18.75" customHeight="1" x14ac:dyDescent="0.2">
      <c r="AA1075" s="28" t="s">
        <v>288</v>
      </c>
      <c r="AB1075" s="29" t="s">
        <v>667</v>
      </c>
      <c r="AC1075" s="17"/>
      <c r="AD1075" s="18"/>
      <c r="AE1075" s="34"/>
      <c r="AF1075" s="34"/>
      <c r="AG1075" s="34"/>
      <c r="AH1075" s="34"/>
      <c r="AI1075" s="34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30"/>
      <c r="AU1075" s="18"/>
      <c r="AV1075" s="34"/>
      <c r="AW1075" s="34"/>
      <c r="AX1075" s="18"/>
    </row>
    <row r="1076" spans="1:50" ht="18.75" customHeight="1" x14ac:dyDescent="0.2">
      <c r="A1076" s="4" t="s">
        <v>55</v>
      </c>
      <c r="B1076" s="4" t="s">
        <v>56</v>
      </c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1" t="s">
        <v>671</v>
      </c>
      <c r="AB1076" s="42" t="s">
        <v>233</v>
      </c>
      <c r="AC1076" s="43" t="s">
        <v>58</v>
      </c>
      <c r="AD1076" s="43">
        <v>856200000</v>
      </c>
      <c r="AE1076" s="44">
        <v>0</v>
      </c>
      <c r="AF1076" s="44">
        <v>0</v>
      </c>
      <c r="AG1076" s="43">
        <v>368161663</v>
      </c>
      <c r="AH1076" s="44">
        <v>0</v>
      </c>
      <c r="AI1076" s="43">
        <f>AE1076-AF1076+AG1076-AH1076</f>
        <v>368161663</v>
      </c>
      <c r="AJ1076" s="43">
        <f>AD1076+AI1076</f>
        <v>1224361663</v>
      </c>
      <c r="AK1076" s="44">
        <v>0</v>
      </c>
      <c r="AL1076" s="43">
        <f>AM1076-SEPTIEMBRE!AM1042</f>
        <v>572297656</v>
      </c>
      <c r="AM1076" s="43">
        <v>742291196</v>
      </c>
      <c r="AN1076" s="44">
        <v>0</v>
      </c>
      <c r="AO1076" s="43">
        <v>0</v>
      </c>
      <c r="AP1076" s="43">
        <v>169993540</v>
      </c>
      <c r="AQ1076" s="43">
        <v>82799997.689999998</v>
      </c>
      <c r="AR1076" s="44">
        <v>0</v>
      </c>
      <c r="AS1076" s="44">
        <v>0</v>
      </c>
      <c r="AT1076" s="39">
        <f t="shared" ref="AT1076" si="489">AQ1076+AS1076</f>
        <v>82799997.689999998</v>
      </c>
      <c r="AU1076" s="18">
        <f>AJ1076-AM1076</f>
        <v>482070467</v>
      </c>
      <c r="AV1076" s="18">
        <f>AM1076-AP1076</f>
        <v>572297656</v>
      </c>
      <c r="AW1076" s="18">
        <f>AP1076-AT1076</f>
        <v>87193542.310000002</v>
      </c>
      <c r="AX1076" s="123">
        <f>AP1076/AJ1076</f>
        <v>0.13884258641639616</v>
      </c>
    </row>
    <row r="1077" spans="1:50" ht="18.75" customHeight="1" x14ac:dyDescent="0.2">
      <c r="AA1077" s="16"/>
      <c r="AB1077" s="17"/>
      <c r="AC1077" s="17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30"/>
      <c r="AU1077" s="18"/>
      <c r="AV1077" s="34"/>
      <c r="AW1077" s="34"/>
      <c r="AX1077" s="18"/>
    </row>
    <row r="1078" spans="1:50" ht="18.75" customHeight="1" x14ac:dyDescent="0.2">
      <c r="AA1078" s="16"/>
      <c r="AB1078" s="29" t="s">
        <v>189</v>
      </c>
      <c r="AC1078" s="17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30"/>
      <c r="AU1078" s="18"/>
      <c r="AV1078" s="34"/>
      <c r="AW1078" s="34"/>
      <c r="AX1078" s="18"/>
    </row>
    <row r="1079" spans="1:50" ht="25.5" x14ac:dyDescent="0.2">
      <c r="AA1079" s="16"/>
      <c r="AB1079" s="29" t="s">
        <v>197</v>
      </c>
      <c r="AC1079" s="17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30"/>
      <c r="AU1079" s="18"/>
      <c r="AV1079" s="34"/>
      <c r="AW1079" s="34"/>
      <c r="AX1079" s="18"/>
    </row>
    <row r="1080" spans="1:50" ht="18.75" customHeight="1" x14ac:dyDescent="0.2">
      <c r="AA1080" s="28" t="s">
        <v>288</v>
      </c>
      <c r="AB1080" s="29" t="s">
        <v>667</v>
      </c>
      <c r="AC1080" s="17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30"/>
      <c r="AU1080" s="18"/>
      <c r="AV1080" s="18"/>
      <c r="AW1080" s="18"/>
      <c r="AX1080" s="18"/>
    </row>
    <row r="1081" spans="1:50" ht="18.75" customHeight="1" x14ac:dyDescent="0.2">
      <c r="A1081" s="4" t="s">
        <v>55</v>
      </c>
      <c r="B1081" s="4" t="s">
        <v>56</v>
      </c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1" t="s">
        <v>672</v>
      </c>
      <c r="AB1081" s="42" t="s">
        <v>233</v>
      </c>
      <c r="AC1081" s="43" t="s">
        <v>58</v>
      </c>
      <c r="AD1081" s="43">
        <v>500000000</v>
      </c>
      <c r="AE1081" s="44">
        <v>0</v>
      </c>
      <c r="AF1081" s="44">
        <v>0</v>
      </c>
      <c r="AG1081" s="44">
        <v>0</v>
      </c>
      <c r="AH1081" s="44">
        <v>0</v>
      </c>
      <c r="AI1081" s="44">
        <v>0</v>
      </c>
      <c r="AJ1081" s="43">
        <v>500000000</v>
      </c>
      <c r="AK1081" s="44">
        <v>0</v>
      </c>
      <c r="AL1081" s="43">
        <f>AM1081-SEPTIEMBRE!AM1047</f>
        <v>5750000</v>
      </c>
      <c r="AM1081" s="43">
        <v>282464243</v>
      </c>
      <c r="AN1081" s="43">
        <v>0</v>
      </c>
      <c r="AO1081" s="43">
        <v>5750000</v>
      </c>
      <c r="AP1081" s="43">
        <v>282464243</v>
      </c>
      <c r="AQ1081" s="43">
        <v>13333333</v>
      </c>
      <c r="AR1081" s="43">
        <v>18033333</v>
      </c>
      <c r="AS1081" s="43">
        <v>109933333</v>
      </c>
      <c r="AT1081" s="111">
        <f t="shared" ref="AT1081:AT1083" si="490">AQ1081+AS1081</f>
        <v>123266666</v>
      </c>
      <c r="AU1081" s="18">
        <f>AJ1081-AM1081</f>
        <v>217535757</v>
      </c>
      <c r="AV1081" s="34">
        <f>AM1081-AP1081</f>
        <v>0</v>
      </c>
      <c r="AW1081" s="18">
        <f>AP1081-AT1081</f>
        <v>159197577</v>
      </c>
      <c r="AX1081" s="123">
        <f>AP1081/AJ1081</f>
        <v>0.56492848600000001</v>
      </c>
    </row>
    <row r="1082" spans="1:50" ht="28.5" customHeight="1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1" t="s">
        <v>1113</v>
      </c>
      <c r="AB1082" s="42" t="s">
        <v>1114</v>
      </c>
      <c r="AC1082" s="43"/>
      <c r="AD1082" s="44">
        <v>0</v>
      </c>
      <c r="AE1082" s="43">
        <v>116018634.52</v>
      </c>
      <c r="AF1082" s="44">
        <v>0</v>
      </c>
      <c r="AG1082" s="44">
        <v>0</v>
      </c>
      <c r="AH1082" s="44">
        <v>0</v>
      </c>
      <c r="AI1082" s="43">
        <f t="shared" ref="AI1082:AI1083" si="491">AE1082-AF1082+AG1082-AH1082</f>
        <v>116018634.52</v>
      </c>
      <c r="AJ1082" s="43">
        <f t="shared" ref="AJ1082:AJ1083" si="492">AD1082+AI1082</f>
        <v>116018634.52</v>
      </c>
      <c r="AK1082" s="44">
        <v>0</v>
      </c>
      <c r="AL1082" s="43">
        <f>AM1082-SEPTIEMBRE!AM1048</f>
        <v>0</v>
      </c>
      <c r="AM1082" s="43">
        <v>69755420</v>
      </c>
      <c r="AN1082" s="43">
        <v>0</v>
      </c>
      <c r="AO1082" s="43">
        <v>0</v>
      </c>
      <c r="AP1082" s="43">
        <v>69755420</v>
      </c>
      <c r="AQ1082" s="44">
        <v>0</v>
      </c>
      <c r="AR1082" s="44">
        <v>0</v>
      </c>
      <c r="AS1082" s="44">
        <v>0</v>
      </c>
      <c r="AT1082" s="135">
        <f t="shared" si="490"/>
        <v>0</v>
      </c>
      <c r="AU1082" s="18">
        <f>AJ1082-AM1082</f>
        <v>46263214.519999996</v>
      </c>
      <c r="AV1082" s="34">
        <f>AM1082-AP1082</f>
        <v>0</v>
      </c>
      <c r="AW1082" s="18">
        <f>AP1082-AT1082</f>
        <v>69755420</v>
      </c>
      <c r="AX1082" s="123">
        <f>AP1082/AJ1082</f>
        <v>0.60124324242046767</v>
      </c>
    </row>
    <row r="1083" spans="1:50" ht="25.5" customHeight="1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1" t="s">
        <v>1115</v>
      </c>
      <c r="AB1083" s="42" t="s">
        <v>1044</v>
      </c>
      <c r="AC1083" s="43"/>
      <c r="AD1083" s="44">
        <v>0</v>
      </c>
      <c r="AE1083" s="43">
        <v>90000000</v>
      </c>
      <c r="AF1083" s="44">
        <v>0</v>
      </c>
      <c r="AG1083" s="44">
        <v>0</v>
      </c>
      <c r="AH1083" s="44">
        <v>0</v>
      </c>
      <c r="AI1083" s="43">
        <f t="shared" si="491"/>
        <v>90000000</v>
      </c>
      <c r="AJ1083" s="43">
        <f t="shared" si="492"/>
        <v>90000000</v>
      </c>
      <c r="AK1083" s="44">
        <v>0</v>
      </c>
      <c r="AL1083" s="43">
        <v>89999270</v>
      </c>
      <c r="AM1083" s="43">
        <v>89999270</v>
      </c>
      <c r="AN1083" s="43">
        <v>0</v>
      </c>
      <c r="AO1083" s="44">
        <v>0</v>
      </c>
      <c r="AP1083" s="44">
        <v>0</v>
      </c>
      <c r="AQ1083" s="44">
        <v>0</v>
      </c>
      <c r="AR1083" s="44">
        <v>0</v>
      </c>
      <c r="AS1083" s="44">
        <v>0</v>
      </c>
      <c r="AT1083" s="135">
        <f t="shared" si="490"/>
        <v>0</v>
      </c>
      <c r="AU1083" s="18">
        <f>AJ1083-AM1083</f>
        <v>730</v>
      </c>
      <c r="AV1083" s="18">
        <f>AM1083-AP1083</f>
        <v>89999270</v>
      </c>
      <c r="AW1083" s="34">
        <f>AP1083-AT1083</f>
        <v>0</v>
      </c>
      <c r="AX1083" s="123">
        <f>AP1083/AJ1083</f>
        <v>0</v>
      </c>
    </row>
    <row r="1084" spans="1:50" ht="18.75" customHeight="1" x14ac:dyDescent="0.2">
      <c r="AA1084" s="16"/>
      <c r="AB1084" s="17"/>
      <c r="AC1084" s="17"/>
      <c r="AD1084" s="18"/>
      <c r="AE1084" s="34"/>
      <c r="AF1084" s="34"/>
      <c r="AG1084" s="34"/>
      <c r="AH1084" s="34"/>
      <c r="AI1084" s="34"/>
      <c r="AJ1084" s="18"/>
      <c r="AK1084" s="18"/>
      <c r="AL1084" s="18"/>
      <c r="AM1084" s="18"/>
      <c r="AN1084" s="18"/>
      <c r="AO1084" s="18"/>
      <c r="AP1084" s="18"/>
      <c r="AQ1084" s="34"/>
      <c r="AR1084" s="34"/>
      <c r="AS1084" s="34"/>
      <c r="AT1084" s="31"/>
      <c r="AU1084" s="18"/>
      <c r="AV1084" s="18"/>
      <c r="AW1084" s="18"/>
      <c r="AX1084" s="18"/>
    </row>
    <row r="1085" spans="1:50" ht="18.75" customHeight="1" x14ac:dyDescent="0.2">
      <c r="AA1085" s="16"/>
      <c r="AB1085" s="29" t="s">
        <v>199</v>
      </c>
      <c r="AC1085" s="17"/>
      <c r="AD1085" s="18"/>
      <c r="AE1085" s="34"/>
      <c r="AF1085" s="34"/>
      <c r="AG1085" s="34"/>
      <c r="AH1085" s="34"/>
      <c r="AI1085" s="34"/>
      <c r="AJ1085" s="18"/>
      <c r="AK1085" s="18"/>
      <c r="AL1085" s="18"/>
      <c r="AM1085" s="18"/>
      <c r="AN1085" s="18"/>
      <c r="AO1085" s="18"/>
      <c r="AP1085" s="18"/>
      <c r="AQ1085" s="34"/>
      <c r="AR1085" s="34"/>
      <c r="AS1085" s="34"/>
      <c r="AT1085" s="31"/>
      <c r="AU1085" s="18"/>
      <c r="AV1085" s="18"/>
      <c r="AW1085" s="18"/>
      <c r="AX1085" s="18"/>
    </row>
    <row r="1086" spans="1:50" ht="18.75" customHeight="1" x14ac:dyDescent="0.2">
      <c r="AA1086" s="28" t="s">
        <v>288</v>
      </c>
      <c r="AB1086" s="29" t="s">
        <v>667</v>
      </c>
      <c r="AC1086" s="17"/>
      <c r="AD1086" s="18"/>
      <c r="AE1086" s="34"/>
      <c r="AF1086" s="34"/>
      <c r="AG1086" s="34"/>
      <c r="AH1086" s="34"/>
      <c r="AI1086" s="34"/>
      <c r="AJ1086" s="18"/>
      <c r="AK1086" s="18"/>
      <c r="AL1086" s="18"/>
      <c r="AM1086" s="18"/>
      <c r="AN1086" s="18"/>
      <c r="AO1086" s="18"/>
      <c r="AP1086" s="18"/>
      <c r="AQ1086" s="34"/>
      <c r="AR1086" s="34"/>
      <c r="AS1086" s="34"/>
      <c r="AT1086" s="31"/>
      <c r="AU1086" s="18"/>
      <c r="AV1086" s="18"/>
      <c r="AW1086" s="18"/>
      <c r="AX1086" s="18"/>
    </row>
    <row r="1087" spans="1:50" ht="18.75" customHeight="1" x14ac:dyDescent="0.2">
      <c r="A1087" s="4" t="s">
        <v>55</v>
      </c>
      <c r="B1087" s="4" t="s">
        <v>56</v>
      </c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1" t="s">
        <v>673</v>
      </c>
      <c r="AB1087" s="42" t="s">
        <v>233</v>
      </c>
      <c r="AC1087" s="43" t="s">
        <v>58</v>
      </c>
      <c r="AD1087" s="43">
        <v>121800000</v>
      </c>
      <c r="AE1087" s="44">
        <v>0</v>
      </c>
      <c r="AF1087" s="44">
        <v>0</v>
      </c>
      <c r="AG1087" s="44">
        <v>0</v>
      </c>
      <c r="AH1087" s="44">
        <v>0</v>
      </c>
      <c r="AI1087" s="44">
        <v>0</v>
      </c>
      <c r="AJ1087" s="43">
        <v>121800000</v>
      </c>
      <c r="AK1087" s="44">
        <v>0</v>
      </c>
      <c r="AL1087" s="43">
        <f>AM1087-SEPTIEMBRE!AM1053</f>
        <v>2800000</v>
      </c>
      <c r="AM1087" s="43">
        <v>31150000</v>
      </c>
      <c r="AN1087" s="43">
        <v>0</v>
      </c>
      <c r="AO1087" s="43">
        <v>2800000</v>
      </c>
      <c r="AP1087" s="43">
        <v>31150000</v>
      </c>
      <c r="AQ1087" s="44">
        <v>2800000</v>
      </c>
      <c r="AR1087" s="43">
        <v>0</v>
      </c>
      <c r="AS1087" s="43">
        <v>28350000</v>
      </c>
      <c r="AT1087" s="39">
        <f t="shared" ref="AT1087" si="493">AQ1087+AS1087</f>
        <v>31150000</v>
      </c>
      <c r="AU1087" s="18">
        <f>AJ1087-AM1087</f>
        <v>90650000</v>
      </c>
      <c r="AV1087" s="133">
        <f>AM1087-AP1087</f>
        <v>0</v>
      </c>
      <c r="AW1087" s="34">
        <f>AP1087-AT1087</f>
        <v>0</v>
      </c>
      <c r="AX1087" s="123">
        <f>AP1087/AJ1087</f>
        <v>0.2557471264367816</v>
      </c>
    </row>
    <row r="1088" spans="1:50" ht="18.75" customHeight="1" x14ac:dyDescent="0.2">
      <c r="AA1088" s="16"/>
      <c r="AB1088" s="17"/>
      <c r="AC1088" s="17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34"/>
      <c r="AR1088" s="34"/>
      <c r="AS1088" s="34"/>
      <c r="AT1088" s="31"/>
      <c r="AU1088" s="18"/>
      <c r="AV1088" s="18"/>
      <c r="AW1088" s="18"/>
      <c r="AX1088" s="18"/>
    </row>
    <row r="1089" spans="1:50" s="50" customFormat="1" ht="18.75" customHeight="1" x14ac:dyDescent="0.2">
      <c r="B1089" s="77"/>
      <c r="C1089" s="77"/>
      <c r="D1089" s="77"/>
      <c r="E1089" s="77"/>
      <c r="F1089" s="77"/>
      <c r="G1089" s="77"/>
      <c r="H1089" s="77"/>
      <c r="I1089" s="77"/>
      <c r="J1089" s="77"/>
      <c r="K1089" s="77"/>
      <c r="L1089" s="77"/>
      <c r="M1089" s="77"/>
      <c r="N1089" s="77"/>
      <c r="O1089" s="77"/>
      <c r="P1089" s="77"/>
      <c r="Q1089" s="77"/>
      <c r="R1089" s="77"/>
      <c r="S1089" s="77"/>
      <c r="T1089" s="77"/>
      <c r="U1089" s="77"/>
      <c r="V1089" s="77"/>
      <c r="W1089" s="77"/>
      <c r="X1089" s="77"/>
      <c r="Y1089" s="77"/>
      <c r="Z1089" s="77"/>
      <c r="AA1089" s="46"/>
      <c r="AB1089" s="47" t="s">
        <v>674</v>
      </c>
      <c r="AC1089" s="47"/>
      <c r="AD1089" s="48">
        <f t="shared" ref="AD1089:AS1089" si="494">SUM(AD859:AD1088)</f>
        <v>18199312591</v>
      </c>
      <c r="AE1089" s="48">
        <f t="shared" si="494"/>
        <v>18620925441.970001</v>
      </c>
      <c r="AF1089" s="49">
        <f t="shared" si="494"/>
        <v>0</v>
      </c>
      <c r="AG1089" s="48">
        <f t="shared" si="494"/>
        <v>20093945473.23</v>
      </c>
      <c r="AH1089" s="48">
        <f t="shared" si="494"/>
        <v>19608945473.23</v>
      </c>
      <c r="AI1089" s="48">
        <f t="shared" si="494"/>
        <v>19105925441.970001</v>
      </c>
      <c r="AJ1089" s="48">
        <f t="shared" si="494"/>
        <v>37305238032.969994</v>
      </c>
      <c r="AK1089" s="49">
        <f t="shared" si="494"/>
        <v>0</v>
      </c>
      <c r="AL1089" s="48">
        <f t="shared" si="494"/>
        <v>4984181326.1399994</v>
      </c>
      <c r="AM1089" s="48">
        <f t="shared" si="494"/>
        <v>23409980408.520004</v>
      </c>
      <c r="AN1089" s="48">
        <f t="shared" si="494"/>
        <v>48000000.010000005</v>
      </c>
      <c r="AO1089" s="48">
        <f t="shared" si="494"/>
        <v>4982313605.1399994</v>
      </c>
      <c r="AP1089" s="48">
        <f t="shared" si="494"/>
        <v>16812055270.15</v>
      </c>
      <c r="AQ1089" s="121">
        <f t="shared" si="494"/>
        <v>202251805.69</v>
      </c>
      <c r="AR1089" s="121">
        <f t="shared" si="494"/>
        <v>1000104690</v>
      </c>
      <c r="AS1089" s="121">
        <f t="shared" si="494"/>
        <v>5538095533.8000002</v>
      </c>
      <c r="AT1089" s="108">
        <f>AQ1089+AS1089</f>
        <v>5740347339.4899998</v>
      </c>
      <c r="AU1089" s="48">
        <f>SUM(AU859:AU1088)</f>
        <v>13895257624.450003</v>
      </c>
      <c r="AV1089" s="48">
        <f>SUM(AV859:AV1088)</f>
        <v>6597925138.3699999</v>
      </c>
      <c r="AW1089" s="48">
        <f>SUM(AW859:AW1088)</f>
        <v>11071707930.66</v>
      </c>
      <c r="AX1089" s="24">
        <f>AP1089/AJ1089</f>
        <v>0.45066205596360687</v>
      </c>
    </row>
    <row r="1090" spans="1:50" s="79" customFormat="1" ht="18.75" customHeight="1" x14ac:dyDescent="0.2">
      <c r="B1090" s="80"/>
      <c r="C1090" s="80"/>
      <c r="D1090" s="80"/>
      <c r="E1090" s="80"/>
      <c r="F1090" s="80"/>
      <c r="G1090" s="80"/>
      <c r="H1090" s="80"/>
      <c r="I1090" s="80"/>
      <c r="J1090" s="80"/>
      <c r="K1090" s="80"/>
      <c r="L1090" s="80"/>
      <c r="M1090" s="80"/>
      <c r="N1090" s="80"/>
      <c r="O1090" s="80"/>
      <c r="P1090" s="80"/>
      <c r="Q1090" s="80"/>
      <c r="R1090" s="80"/>
      <c r="S1090" s="80"/>
      <c r="T1090" s="80"/>
      <c r="U1090" s="80"/>
      <c r="V1090" s="80"/>
      <c r="W1090" s="80"/>
      <c r="X1090" s="80"/>
      <c r="Y1090" s="80"/>
      <c r="Z1090" s="80"/>
      <c r="AA1090" s="81"/>
      <c r="AB1090" s="82"/>
      <c r="AC1090" s="82"/>
      <c r="AD1090" s="83"/>
      <c r="AE1090" s="83"/>
      <c r="AF1090" s="83"/>
      <c r="AG1090" s="83"/>
      <c r="AH1090" s="83"/>
      <c r="AI1090" s="83"/>
      <c r="AJ1090" s="83"/>
      <c r="AK1090" s="83"/>
      <c r="AL1090" s="83"/>
      <c r="AM1090" s="83"/>
      <c r="AN1090" s="83"/>
      <c r="AO1090" s="83"/>
      <c r="AP1090" s="83"/>
      <c r="AQ1090" s="83"/>
      <c r="AR1090" s="83"/>
      <c r="AS1090" s="83"/>
      <c r="AT1090" s="83"/>
      <c r="AU1090" s="83"/>
      <c r="AV1090" s="83"/>
      <c r="AW1090" s="83"/>
      <c r="AX1090" s="83"/>
    </row>
    <row r="1091" spans="1:50" s="25" customFormat="1" ht="18.75" customHeight="1" x14ac:dyDescent="0.2">
      <c r="B1091" s="71"/>
      <c r="C1091" s="71"/>
      <c r="D1091" s="71"/>
      <c r="E1091" s="71"/>
      <c r="F1091" s="71"/>
      <c r="G1091" s="71"/>
      <c r="H1091" s="71"/>
      <c r="I1091" s="71"/>
      <c r="J1091" s="71"/>
      <c r="K1091" s="71"/>
      <c r="L1091" s="71"/>
      <c r="M1091" s="71"/>
      <c r="N1091" s="71"/>
      <c r="O1091" s="71"/>
      <c r="P1091" s="71"/>
      <c r="Q1091" s="71"/>
      <c r="R1091" s="71"/>
      <c r="S1091" s="71"/>
      <c r="T1091" s="71"/>
      <c r="U1091" s="71"/>
      <c r="V1091" s="71"/>
      <c r="W1091" s="71"/>
      <c r="X1091" s="71"/>
      <c r="Y1091" s="71"/>
      <c r="Z1091" s="71"/>
      <c r="AA1091" s="66"/>
      <c r="AB1091" s="21" t="s">
        <v>675</v>
      </c>
      <c r="AC1091" s="67"/>
      <c r="AD1091" s="63"/>
      <c r="AE1091" s="63"/>
      <c r="AF1091" s="63"/>
      <c r="AG1091" s="63"/>
      <c r="AH1091" s="63"/>
      <c r="AI1091" s="63"/>
      <c r="AJ1091" s="63"/>
      <c r="AK1091" s="63"/>
      <c r="AL1091" s="63"/>
      <c r="AM1091" s="63"/>
      <c r="AN1091" s="63"/>
      <c r="AO1091" s="63"/>
      <c r="AP1091" s="63"/>
      <c r="AQ1091" s="63"/>
      <c r="AR1091" s="63"/>
      <c r="AS1091" s="63"/>
      <c r="AT1091" s="63"/>
      <c r="AU1091" s="63"/>
      <c r="AV1091" s="63"/>
      <c r="AW1091" s="63"/>
      <c r="AX1091" s="63"/>
    </row>
    <row r="1092" spans="1:50" ht="18.75" customHeight="1" x14ac:dyDescent="0.2">
      <c r="AA1092" s="16"/>
      <c r="AB1092" s="29" t="s">
        <v>676</v>
      </c>
      <c r="AC1092" s="17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</row>
    <row r="1093" spans="1:50" ht="18.75" customHeight="1" x14ac:dyDescent="0.2">
      <c r="AA1093" s="16"/>
      <c r="AB1093" s="29" t="s">
        <v>286</v>
      </c>
      <c r="AC1093" s="17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</row>
    <row r="1094" spans="1:50" ht="18.75" customHeight="1" x14ac:dyDescent="0.2">
      <c r="AA1094" s="16"/>
      <c r="AB1094" s="29" t="s">
        <v>179</v>
      </c>
      <c r="AC1094" s="17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</row>
    <row r="1095" spans="1:50" ht="18.75" customHeight="1" x14ac:dyDescent="0.2">
      <c r="AA1095" s="16"/>
      <c r="AB1095" s="29" t="s">
        <v>181</v>
      </c>
      <c r="AC1095" s="17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</row>
    <row r="1096" spans="1:50" ht="18.75" customHeight="1" x14ac:dyDescent="0.2">
      <c r="AA1096" s="16"/>
      <c r="AB1096" s="29" t="s">
        <v>187</v>
      </c>
      <c r="AC1096" s="17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30"/>
      <c r="AU1096" s="18"/>
      <c r="AV1096" s="18"/>
      <c r="AW1096" s="18"/>
      <c r="AX1096" s="18"/>
    </row>
    <row r="1097" spans="1:50" ht="18.75" customHeight="1" x14ac:dyDescent="0.2">
      <c r="AA1097" s="28" t="s">
        <v>288</v>
      </c>
      <c r="AB1097" s="29" t="s">
        <v>292</v>
      </c>
      <c r="AC1097" s="17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30"/>
      <c r="AU1097" s="18"/>
      <c r="AV1097" s="18"/>
      <c r="AW1097" s="18"/>
      <c r="AX1097" s="18"/>
    </row>
    <row r="1098" spans="1:50" ht="18.75" customHeight="1" x14ac:dyDescent="0.2">
      <c r="A1098" s="4" t="s">
        <v>55</v>
      </c>
      <c r="B1098" s="4" t="s">
        <v>56</v>
      </c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1" t="s">
        <v>677</v>
      </c>
      <c r="AB1098" s="42" t="s">
        <v>233</v>
      </c>
      <c r="AC1098" s="43" t="s">
        <v>58</v>
      </c>
      <c r="AD1098" s="43">
        <v>10000000</v>
      </c>
      <c r="AE1098" s="44">
        <v>0</v>
      </c>
      <c r="AF1098" s="44">
        <v>0</v>
      </c>
      <c r="AG1098" s="44">
        <v>0</v>
      </c>
      <c r="AH1098" s="43">
        <v>10000000</v>
      </c>
      <c r="AI1098" s="43">
        <f>AE1098-AF1098+AG1098-AH1098</f>
        <v>-10000000</v>
      </c>
      <c r="AJ1098" s="43">
        <f>AD1098+AI1098</f>
        <v>0</v>
      </c>
      <c r="AK1098" s="44">
        <v>0</v>
      </c>
      <c r="AL1098" s="44">
        <v>0</v>
      </c>
      <c r="AM1098" s="44">
        <v>0</v>
      </c>
      <c r="AN1098" s="44">
        <v>0</v>
      </c>
      <c r="AO1098" s="44">
        <v>0</v>
      </c>
      <c r="AP1098" s="44">
        <v>0</v>
      </c>
      <c r="AQ1098" s="44">
        <v>0</v>
      </c>
      <c r="AR1098" s="44">
        <v>0</v>
      </c>
      <c r="AS1098" s="44">
        <v>0</v>
      </c>
      <c r="AT1098" s="40">
        <f t="shared" ref="AT1098" si="495">AQ1098+AS1098</f>
        <v>0</v>
      </c>
      <c r="AU1098" s="18">
        <f>AJ1098-AM1098</f>
        <v>0</v>
      </c>
      <c r="AV1098" s="133">
        <f>AM1098-AP1098</f>
        <v>0</v>
      </c>
      <c r="AW1098" s="34">
        <f>AP1098-AT1098</f>
        <v>0</v>
      </c>
      <c r="AX1098" s="123">
        <v>0</v>
      </c>
    </row>
    <row r="1099" spans="1:50" ht="25.5" x14ac:dyDescent="0.2">
      <c r="AA1099" s="28" t="s">
        <v>288</v>
      </c>
      <c r="AB1099" s="29" t="s">
        <v>678</v>
      </c>
      <c r="AC1099" s="17"/>
      <c r="AD1099" s="18"/>
      <c r="AE1099" s="18"/>
      <c r="AF1099" s="18"/>
      <c r="AG1099" s="18"/>
      <c r="AH1099" s="18"/>
      <c r="AI1099" s="18"/>
      <c r="AJ1099" s="18"/>
      <c r="AK1099" s="34"/>
      <c r="AL1099" s="34"/>
      <c r="AM1099" s="34"/>
      <c r="AN1099" s="34"/>
      <c r="AO1099" s="34"/>
      <c r="AP1099" s="34"/>
      <c r="AQ1099" s="34"/>
      <c r="AR1099" s="34"/>
      <c r="AS1099" s="34"/>
      <c r="AT1099" s="40"/>
      <c r="AU1099" s="18"/>
      <c r="AV1099" s="34"/>
      <c r="AW1099" s="34"/>
      <c r="AX1099" s="18"/>
    </row>
    <row r="1100" spans="1:50" x14ac:dyDescent="0.2">
      <c r="A1100" s="4" t="s">
        <v>55</v>
      </c>
      <c r="B1100" s="4" t="s">
        <v>56</v>
      </c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1" t="s">
        <v>981</v>
      </c>
      <c r="AB1100" s="42" t="s">
        <v>233</v>
      </c>
      <c r="AC1100" s="43" t="s">
        <v>58</v>
      </c>
      <c r="AD1100" s="43">
        <v>14000000</v>
      </c>
      <c r="AE1100" s="44">
        <v>0</v>
      </c>
      <c r="AF1100" s="44">
        <v>0</v>
      </c>
      <c r="AG1100" s="44">
        <v>0</v>
      </c>
      <c r="AH1100" s="44">
        <v>0</v>
      </c>
      <c r="AI1100" s="44">
        <v>0</v>
      </c>
      <c r="AJ1100" s="43">
        <v>14000000</v>
      </c>
      <c r="AK1100" s="44">
        <v>0</v>
      </c>
      <c r="AL1100" s="43">
        <v>0</v>
      </c>
      <c r="AM1100" s="43">
        <v>11566485</v>
      </c>
      <c r="AN1100" s="43">
        <v>0</v>
      </c>
      <c r="AO1100" s="43">
        <v>11566485</v>
      </c>
      <c r="AP1100" s="43">
        <v>11566485</v>
      </c>
      <c r="AQ1100" s="44">
        <v>0</v>
      </c>
      <c r="AR1100" s="44">
        <v>0</v>
      </c>
      <c r="AS1100" s="44">
        <v>0</v>
      </c>
      <c r="AT1100" s="40">
        <f t="shared" ref="AT1100:AT1131" si="496">AQ1100+AS1100</f>
        <v>0</v>
      </c>
      <c r="AU1100" s="18">
        <f>AJ1100-AM1100</f>
        <v>2433515</v>
      </c>
      <c r="AV1100" s="18">
        <f>AM1100-AP1100</f>
        <v>0</v>
      </c>
      <c r="AW1100" s="18">
        <f>AP1100-AT1100</f>
        <v>11566485</v>
      </c>
      <c r="AX1100" s="123">
        <f>AP1100/AJ1100</f>
        <v>0.82617750000000001</v>
      </c>
    </row>
    <row r="1101" spans="1:50" x14ac:dyDescent="0.2">
      <c r="AA1101" s="73" t="s">
        <v>288</v>
      </c>
      <c r="AB1101" s="74" t="s">
        <v>292</v>
      </c>
      <c r="AC1101" s="17"/>
      <c r="AD1101" s="18"/>
      <c r="AE1101" s="34"/>
      <c r="AF1101" s="34"/>
      <c r="AG1101" s="34"/>
      <c r="AH1101" s="34"/>
      <c r="AI1101" s="34"/>
      <c r="AJ1101" s="18"/>
      <c r="AK1101" s="34"/>
      <c r="AL1101" s="34"/>
      <c r="AM1101" s="34"/>
      <c r="AN1101" s="34"/>
      <c r="AO1101" s="34"/>
      <c r="AP1101" s="34"/>
      <c r="AQ1101" s="18"/>
      <c r="AR1101" s="18"/>
      <c r="AS1101" s="18"/>
      <c r="AT1101" s="30"/>
      <c r="AU1101" s="18"/>
      <c r="AV1101" s="18"/>
      <c r="AW1101" s="18"/>
      <c r="AX1101" s="18"/>
    </row>
    <row r="1102" spans="1:50" x14ac:dyDescent="0.2">
      <c r="AA1102" s="41" t="s">
        <v>1374</v>
      </c>
      <c r="AB1102" s="42" t="s">
        <v>233</v>
      </c>
      <c r="AC1102" s="17"/>
      <c r="AD1102" s="18">
        <v>0</v>
      </c>
      <c r="AE1102" s="34">
        <v>0</v>
      </c>
      <c r="AF1102" s="34">
        <v>0</v>
      </c>
      <c r="AG1102" s="18">
        <v>5000000</v>
      </c>
      <c r="AH1102" s="34">
        <v>0</v>
      </c>
      <c r="AI1102" s="43">
        <f>AE1102-AF1102+AG1102-AH1102</f>
        <v>5000000</v>
      </c>
      <c r="AJ1102" s="43">
        <f>AD1102+AI1102</f>
        <v>5000000</v>
      </c>
      <c r="AK1102" s="18">
        <v>0</v>
      </c>
      <c r="AL1102" s="18">
        <v>3000000</v>
      </c>
      <c r="AM1102" s="18">
        <v>3000000</v>
      </c>
      <c r="AN1102" s="18">
        <v>0</v>
      </c>
      <c r="AO1102" s="34">
        <v>0</v>
      </c>
      <c r="AP1102" s="34">
        <v>0</v>
      </c>
      <c r="AQ1102" s="34">
        <v>0</v>
      </c>
      <c r="AR1102" s="34">
        <v>0</v>
      </c>
      <c r="AS1102" s="34">
        <v>0</v>
      </c>
      <c r="AT1102" s="40">
        <f t="shared" ref="AT1102" si="497">AQ1102+AS1102</f>
        <v>0</v>
      </c>
      <c r="AU1102" s="18">
        <f>AJ1102-AM1102</f>
        <v>2000000</v>
      </c>
      <c r="AV1102" s="18">
        <f>AM1102-AP1102</f>
        <v>3000000</v>
      </c>
      <c r="AW1102" s="34">
        <f>AP1102-AT1102</f>
        <v>0</v>
      </c>
      <c r="AX1102" s="123">
        <f>AP1102/AJ1102</f>
        <v>0</v>
      </c>
    </row>
    <row r="1103" spans="1:50" x14ac:dyDescent="0.2">
      <c r="AA1103" s="16"/>
      <c r="AB1103" s="17"/>
      <c r="AC1103" s="17"/>
      <c r="AD1103" s="18"/>
      <c r="AE1103" s="34"/>
      <c r="AF1103" s="34"/>
      <c r="AG1103" s="34"/>
      <c r="AH1103" s="34"/>
      <c r="AI1103" s="34"/>
      <c r="AJ1103" s="18"/>
      <c r="AK1103" s="34"/>
      <c r="AL1103" s="34"/>
      <c r="AM1103" s="34"/>
      <c r="AN1103" s="34"/>
      <c r="AO1103" s="34"/>
      <c r="AP1103" s="34"/>
      <c r="AQ1103" s="18"/>
      <c r="AR1103" s="18"/>
      <c r="AS1103" s="18"/>
      <c r="AT1103" s="30"/>
      <c r="AU1103" s="18"/>
      <c r="AV1103" s="18"/>
      <c r="AW1103" s="18"/>
      <c r="AX1103" s="18"/>
    </row>
    <row r="1104" spans="1:50" x14ac:dyDescent="0.2">
      <c r="AA1104" s="16"/>
      <c r="AB1104" s="29" t="s">
        <v>189</v>
      </c>
      <c r="AC1104" s="17"/>
      <c r="AD1104" s="18"/>
      <c r="AE1104" s="34"/>
      <c r="AF1104" s="34"/>
      <c r="AG1104" s="34"/>
      <c r="AH1104" s="34"/>
      <c r="AI1104" s="34"/>
      <c r="AJ1104" s="18"/>
      <c r="AK1104" s="34"/>
      <c r="AL1104" s="34"/>
      <c r="AM1104" s="34"/>
      <c r="AN1104" s="34"/>
      <c r="AO1104" s="34"/>
      <c r="AP1104" s="34"/>
      <c r="AQ1104" s="18"/>
      <c r="AR1104" s="18"/>
      <c r="AS1104" s="18"/>
      <c r="AT1104" s="30"/>
      <c r="AU1104" s="18"/>
      <c r="AV1104" s="18"/>
      <c r="AW1104" s="18"/>
      <c r="AX1104" s="18"/>
    </row>
    <row r="1105" spans="1:50" ht="25.5" x14ac:dyDescent="0.2">
      <c r="AA1105" s="16"/>
      <c r="AB1105" s="29" t="s">
        <v>197</v>
      </c>
      <c r="AC1105" s="17"/>
      <c r="AD1105" s="18"/>
      <c r="AE1105" s="34"/>
      <c r="AF1105" s="34"/>
      <c r="AG1105" s="34"/>
      <c r="AH1105" s="34"/>
      <c r="AI1105" s="34"/>
      <c r="AJ1105" s="18"/>
      <c r="AK1105" s="34"/>
      <c r="AL1105" s="34"/>
      <c r="AM1105" s="34"/>
      <c r="AN1105" s="34"/>
      <c r="AO1105" s="34"/>
      <c r="AP1105" s="34"/>
      <c r="AQ1105" s="18"/>
      <c r="AR1105" s="18"/>
      <c r="AS1105" s="18"/>
      <c r="AT1105" s="30"/>
      <c r="AU1105" s="18"/>
      <c r="AV1105" s="18"/>
      <c r="AW1105" s="18"/>
      <c r="AX1105" s="18"/>
    </row>
    <row r="1106" spans="1:50" x14ac:dyDescent="0.2">
      <c r="AA1106" s="28" t="s">
        <v>288</v>
      </c>
      <c r="AB1106" s="29" t="s">
        <v>292</v>
      </c>
      <c r="AC1106" s="17"/>
      <c r="AD1106" s="18"/>
      <c r="AE1106" s="34"/>
      <c r="AF1106" s="34"/>
      <c r="AG1106" s="34"/>
      <c r="AH1106" s="34"/>
      <c r="AI1106" s="34"/>
      <c r="AJ1106" s="18"/>
      <c r="AK1106" s="34"/>
      <c r="AL1106" s="34"/>
      <c r="AM1106" s="34"/>
      <c r="AN1106" s="34"/>
      <c r="AO1106" s="34"/>
      <c r="AP1106" s="34"/>
      <c r="AQ1106" s="18"/>
      <c r="AR1106" s="18"/>
      <c r="AS1106" s="18"/>
      <c r="AT1106" s="30"/>
      <c r="AU1106" s="18"/>
      <c r="AV1106" s="18"/>
      <c r="AW1106" s="18"/>
      <c r="AX1106" s="18"/>
    </row>
    <row r="1107" spans="1:50" x14ac:dyDescent="0.2">
      <c r="A1107" s="4" t="s">
        <v>55</v>
      </c>
      <c r="B1107" s="4" t="s">
        <v>56</v>
      </c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1" t="s">
        <v>680</v>
      </c>
      <c r="AB1107" s="42" t="s">
        <v>233</v>
      </c>
      <c r="AC1107" s="43" t="s">
        <v>58</v>
      </c>
      <c r="AD1107" s="43">
        <v>90000000</v>
      </c>
      <c r="AE1107" s="44">
        <v>0</v>
      </c>
      <c r="AF1107" s="44">
        <v>0</v>
      </c>
      <c r="AG1107" s="44">
        <v>0</v>
      </c>
      <c r="AH1107" s="43">
        <v>90000000</v>
      </c>
      <c r="AI1107" s="43">
        <f>AE1107-AF1107+AG1107-AH1107</f>
        <v>-90000000</v>
      </c>
      <c r="AJ1107" s="43">
        <f>AD1107+AI1107</f>
        <v>0</v>
      </c>
      <c r="AK1107" s="44">
        <v>0</v>
      </c>
      <c r="AL1107" s="44">
        <v>0</v>
      </c>
      <c r="AM1107" s="44">
        <v>0</v>
      </c>
      <c r="AN1107" s="44">
        <v>0</v>
      </c>
      <c r="AO1107" s="44">
        <v>0</v>
      </c>
      <c r="AP1107" s="44">
        <v>0</v>
      </c>
      <c r="AQ1107" s="44">
        <v>0</v>
      </c>
      <c r="AR1107" s="44">
        <v>0</v>
      </c>
      <c r="AS1107" s="44">
        <v>0</v>
      </c>
      <c r="AT1107" s="40">
        <f t="shared" ref="AT1107" si="498">AQ1107+AS1107</f>
        <v>0</v>
      </c>
      <c r="AU1107" s="18">
        <f>AJ1107-AM1107</f>
        <v>0</v>
      </c>
      <c r="AV1107" s="133">
        <f>AM1107-AP1107</f>
        <v>0</v>
      </c>
      <c r="AW1107" s="34">
        <f>AP1107-AT1107</f>
        <v>0</v>
      </c>
      <c r="AX1107" s="123">
        <v>0</v>
      </c>
    </row>
    <row r="1108" spans="1:50" ht="25.5" x14ac:dyDescent="0.2">
      <c r="AA1108" s="28" t="s">
        <v>288</v>
      </c>
      <c r="AB1108" s="29" t="s">
        <v>678</v>
      </c>
      <c r="AC1108" s="17"/>
      <c r="AD1108" s="18"/>
      <c r="AE1108" s="34"/>
      <c r="AF1108" s="34"/>
      <c r="AG1108" s="34"/>
      <c r="AH1108" s="34"/>
      <c r="AI1108" s="34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30"/>
      <c r="AU1108" s="18"/>
      <c r="AV1108" s="18"/>
      <c r="AW1108" s="18"/>
      <c r="AX1108" s="18"/>
    </row>
    <row r="1109" spans="1:50" x14ac:dyDescent="0.2">
      <c r="A1109" s="4" t="s">
        <v>55</v>
      </c>
      <c r="B1109" s="4" t="s">
        <v>56</v>
      </c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1" t="s">
        <v>681</v>
      </c>
      <c r="AB1109" s="42" t="s">
        <v>233</v>
      </c>
      <c r="AC1109" s="43" t="s">
        <v>58</v>
      </c>
      <c r="AD1109" s="43">
        <v>4085500000</v>
      </c>
      <c r="AE1109" s="44">
        <v>0</v>
      </c>
      <c r="AF1109" s="44">
        <v>0</v>
      </c>
      <c r="AG1109" s="43">
        <v>2080000000</v>
      </c>
      <c r="AH1109" s="43">
        <f>1800000000+1856300000+210000000+60000000</f>
        <v>3926300000</v>
      </c>
      <c r="AI1109" s="43">
        <f>AE1109-AF1109+AG1109-AH1109</f>
        <v>-1846300000</v>
      </c>
      <c r="AJ1109" s="43">
        <f>AD1109+AI1109</f>
        <v>2239200000</v>
      </c>
      <c r="AK1109" s="44">
        <v>0</v>
      </c>
      <c r="AL1109" s="43">
        <v>26300000</v>
      </c>
      <c r="AM1109" s="43">
        <v>1678450000</v>
      </c>
      <c r="AN1109" s="43">
        <v>0</v>
      </c>
      <c r="AO1109" s="43">
        <v>36950000</v>
      </c>
      <c r="AP1109" s="43">
        <v>1678450000</v>
      </c>
      <c r="AQ1109" s="43">
        <v>8000000</v>
      </c>
      <c r="AR1109" s="43">
        <v>201186000</v>
      </c>
      <c r="AS1109" s="43">
        <v>1068163865.33</v>
      </c>
      <c r="AT1109" s="111">
        <f t="shared" ref="AT1109" si="499">AQ1109+AS1109</f>
        <v>1076163865.3299999</v>
      </c>
      <c r="AU1109" s="18">
        <f>AJ1109-AM1109</f>
        <v>560750000</v>
      </c>
      <c r="AV1109" s="110">
        <f>AM1109-AP1109</f>
        <v>0</v>
      </c>
      <c r="AW1109" s="18">
        <f>AP1109-AT1109</f>
        <v>602286134.67000008</v>
      </c>
      <c r="AX1109" s="123">
        <f>AP1109/AJ1109</f>
        <v>0.74957574133619154</v>
      </c>
    </row>
    <row r="1110" spans="1:50" ht="25.5" x14ac:dyDescent="0.2">
      <c r="AA1110" s="28" t="s">
        <v>288</v>
      </c>
      <c r="AB1110" s="29" t="s">
        <v>682</v>
      </c>
      <c r="AC1110" s="17"/>
      <c r="AD1110" s="18"/>
      <c r="AE1110" s="34"/>
      <c r="AF1110" s="34"/>
      <c r="AG1110" s="34"/>
      <c r="AH1110" s="34"/>
      <c r="AI1110" s="34"/>
      <c r="AJ1110" s="18"/>
      <c r="AK1110" s="34"/>
      <c r="AL1110" s="18"/>
      <c r="AM1110" s="18"/>
      <c r="AN1110" s="18"/>
      <c r="AO1110" s="18"/>
      <c r="AP1110" s="18"/>
      <c r="AQ1110" s="18"/>
      <c r="AR1110" s="18"/>
      <c r="AS1110" s="18"/>
      <c r="AT1110" s="31"/>
      <c r="AU1110" s="18"/>
      <c r="AV1110" s="18"/>
      <c r="AW1110" s="18"/>
      <c r="AX1110" s="18"/>
    </row>
    <row r="1111" spans="1:50" x14ac:dyDescent="0.2">
      <c r="A1111" s="4" t="s">
        <v>55</v>
      </c>
      <c r="B1111" s="4" t="s">
        <v>56</v>
      </c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1" t="s">
        <v>683</v>
      </c>
      <c r="AB1111" s="42" t="s">
        <v>233</v>
      </c>
      <c r="AC1111" s="43" t="s">
        <v>58</v>
      </c>
      <c r="AD1111" s="43">
        <v>467600000</v>
      </c>
      <c r="AE1111" s="44">
        <v>0</v>
      </c>
      <c r="AF1111" s="44">
        <v>0</v>
      </c>
      <c r="AG1111" s="43">
        <f>2580000000+60000000</f>
        <v>2640000000</v>
      </c>
      <c r="AH1111" s="43">
        <v>2240000000</v>
      </c>
      <c r="AI1111" s="43">
        <f>AE1111-AF1111+AG1111-AH1111</f>
        <v>400000000</v>
      </c>
      <c r="AJ1111" s="43">
        <f>AD1111+AI1111</f>
        <v>867600000</v>
      </c>
      <c r="AK1111" s="44">
        <v>0</v>
      </c>
      <c r="AL1111" s="43">
        <v>6400000</v>
      </c>
      <c r="AM1111" s="43">
        <v>780990000</v>
      </c>
      <c r="AN1111" s="44">
        <v>0</v>
      </c>
      <c r="AO1111" s="43">
        <v>6400000</v>
      </c>
      <c r="AP1111" s="43">
        <v>708990000</v>
      </c>
      <c r="AQ1111" s="43">
        <v>35000000</v>
      </c>
      <c r="AR1111" s="43">
        <v>69863333</v>
      </c>
      <c r="AS1111" s="43">
        <v>473329999</v>
      </c>
      <c r="AT1111" s="111">
        <f t="shared" ref="AT1111" si="500">AQ1111+AS1111</f>
        <v>508329999</v>
      </c>
      <c r="AU1111" s="18">
        <f>AJ1111-AM1111</f>
        <v>86610000</v>
      </c>
      <c r="AV1111" s="110">
        <f>AM1111-AP1111</f>
        <v>72000000</v>
      </c>
      <c r="AW1111" s="18">
        <f>AP1111-AT1111</f>
        <v>200660001</v>
      </c>
      <c r="AX1111" s="123">
        <f>AP1111/AJ1111</f>
        <v>0.81718533886583677</v>
      </c>
    </row>
    <row r="1112" spans="1:50" ht="25.5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73" t="s">
        <v>288</v>
      </c>
      <c r="AB1112" s="74" t="s">
        <v>197</v>
      </c>
      <c r="AC1112" s="43"/>
      <c r="AD1112" s="43"/>
      <c r="AE1112" s="44"/>
      <c r="AF1112" s="44"/>
      <c r="AG1112" s="43"/>
      <c r="AH1112" s="43"/>
      <c r="AI1112" s="43"/>
      <c r="AJ1112" s="43"/>
      <c r="AK1112" s="44"/>
      <c r="AL1112" s="44"/>
      <c r="AM1112" s="43"/>
      <c r="AN1112" s="44"/>
      <c r="AO1112" s="44"/>
      <c r="AP1112" s="43"/>
      <c r="AQ1112" s="44"/>
      <c r="AR1112" s="114"/>
      <c r="AS1112" s="114"/>
      <c r="AT1112" s="111"/>
      <c r="AU1112" s="18"/>
      <c r="AV1112" s="110"/>
      <c r="AW1112" s="18"/>
      <c r="AX1112" s="123"/>
    </row>
    <row r="1113" spans="1:50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1" t="s">
        <v>305</v>
      </c>
      <c r="AB1113" s="42" t="s">
        <v>233</v>
      </c>
      <c r="AC1113" s="43"/>
      <c r="AD1113" s="44">
        <v>0</v>
      </c>
      <c r="AE1113" s="44">
        <v>0</v>
      </c>
      <c r="AF1113" s="44">
        <v>0</v>
      </c>
      <c r="AG1113" s="43">
        <f>1800000000+1620000000</f>
        <v>3420000000</v>
      </c>
      <c r="AH1113" s="259">
        <v>0</v>
      </c>
      <c r="AI1113" s="43">
        <f>AE1113-AF1113+AG1113-AH1113</f>
        <v>3420000000</v>
      </c>
      <c r="AJ1113" s="43">
        <f>AD1113+AI1113</f>
        <v>3420000000</v>
      </c>
      <c r="AK1113" s="44">
        <v>0</v>
      </c>
      <c r="AL1113" s="44">
        <v>0</v>
      </c>
      <c r="AM1113" s="43">
        <v>2919988003</v>
      </c>
      <c r="AN1113" s="44">
        <v>0</v>
      </c>
      <c r="AO1113" s="44">
        <v>0</v>
      </c>
      <c r="AP1113" s="43">
        <v>2919988003</v>
      </c>
      <c r="AQ1113" s="44">
        <v>0</v>
      </c>
      <c r="AR1113" s="114">
        <v>0</v>
      </c>
      <c r="AS1113" s="114">
        <v>2023997606</v>
      </c>
      <c r="AT1113" s="111">
        <f t="shared" ref="AT1113" si="501">AQ1113+AS1113</f>
        <v>2023997606</v>
      </c>
      <c r="AU1113" s="18">
        <f>AJ1113-AM1113</f>
        <v>500011997</v>
      </c>
      <c r="AV1113" s="133">
        <f>AM1113-AP1113</f>
        <v>0</v>
      </c>
      <c r="AW1113" s="18">
        <f>AP1113-AT1113</f>
        <v>895990397</v>
      </c>
      <c r="AX1113" s="123">
        <f>AP1113/AJ1113</f>
        <v>0.85379766169590643</v>
      </c>
    </row>
    <row r="1114" spans="1:50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73" t="s">
        <v>288</v>
      </c>
      <c r="AB1114" s="74" t="s">
        <v>1276</v>
      </c>
      <c r="AC1114" s="43"/>
      <c r="AD1114" s="44"/>
      <c r="AE1114" s="44"/>
      <c r="AF1114" s="44"/>
      <c r="AG1114" s="43"/>
      <c r="AH1114" s="259"/>
      <c r="AI1114" s="43"/>
      <c r="AJ1114" s="43"/>
      <c r="AK1114" s="44"/>
      <c r="AL1114" s="44"/>
      <c r="AM1114" s="43"/>
      <c r="AN1114" s="44"/>
      <c r="AO1114" s="44"/>
      <c r="AP1114" s="43"/>
      <c r="AQ1114" s="44"/>
      <c r="AR1114" s="114"/>
      <c r="AS1114" s="114"/>
      <c r="AT1114" s="111"/>
      <c r="AU1114" s="18"/>
      <c r="AV1114" s="133"/>
      <c r="AW1114" s="34"/>
      <c r="AX1114" s="123"/>
    </row>
    <row r="1115" spans="1:50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1" t="s">
        <v>1277</v>
      </c>
      <c r="AB1115" s="42" t="s">
        <v>233</v>
      </c>
      <c r="AC1115" s="43"/>
      <c r="AD1115" s="44">
        <v>0</v>
      </c>
      <c r="AE1115" s="44">
        <v>0</v>
      </c>
      <c r="AF1115" s="44">
        <v>0</v>
      </c>
      <c r="AG1115" s="43">
        <v>100000000</v>
      </c>
      <c r="AH1115" s="259">
        <v>0</v>
      </c>
      <c r="AI1115" s="43">
        <f>AE1115-AF1115+AG1115-AH1115</f>
        <v>100000000</v>
      </c>
      <c r="AJ1115" s="43">
        <f>AD1115+AI1115</f>
        <v>100000000</v>
      </c>
      <c r="AK1115" s="44">
        <v>0</v>
      </c>
      <c r="AL1115" s="44">
        <v>0</v>
      </c>
      <c r="AM1115" s="43">
        <v>100000000</v>
      </c>
      <c r="AN1115" s="44">
        <v>0</v>
      </c>
      <c r="AO1115" s="44">
        <v>0</v>
      </c>
      <c r="AP1115" s="43">
        <v>100000000</v>
      </c>
      <c r="AQ1115" s="44">
        <v>0</v>
      </c>
      <c r="AR1115" s="44">
        <v>0</v>
      </c>
      <c r="AS1115" s="43">
        <v>50000000</v>
      </c>
      <c r="AT1115" s="39">
        <f t="shared" ref="AT1115" si="502">AQ1115+AS1115</f>
        <v>50000000</v>
      </c>
      <c r="AU1115" s="34">
        <f>AJ1115-AM1115</f>
        <v>0</v>
      </c>
      <c r="AV1115" s="133">
        <f>AM1115-AP1115</f>
        <v>0</v>
      </c>
      <c r="AW1115" s="18">
        <f>AP1115-AT1115</f>
        <v>50000000</v>
      </c>
      <c r="AX1115" s="123">
        <f>AP1115/AJ1115</f>
        <v>1</v>
      </c>
    </row>
    <row r="1116" spans="1:50" x14ac:dyDescent="0.2">
      <c r="AA1116" s="28" t="s">
        <v>288</v>
      </c>
      <c r="AB1116" s="68" t="s">
        <v>684</v>
      </c>
      <c r="AC1116" s="17"/>
      <c r="AD1116" s="18"/>
      <c r="AE1116" s="34"/>
      <c r="AF1116" s="34"/>
      <c r="AG1116" s="34"/>
      <c r="AH1116" s="34"/>
      <c r="AI1116" s="34"/>
      <c r="AJ1116" s="18"/>
      <c r="AK1116" s="34"/>
      <c r="AL1116" s="18"/>
      <c r="AM1116" s="18"/>
      <c r="AN1116" s="34"/>
      <c r="AO1116" s="34"/>
      <c r="AP1116" s="18"/>
      <c r="AQ1116" s="34"/>
      <c r="AR1116" s="34"/>
      <c r="AS1116" s="34"/>
      <c r="AT1116" s="31"/>
      <c r="AU1116" s="18"/>
      <c r="AV1116" s="18"/>
      <c r="AW1116" s="18"/>
      <c r="AX1116" s="18"/>
    </row>
    <row r="1117" spans="1:50" x14ac:dyDescent="0.2">
      <c r="A1117" s="4" t="s">
        <v>55</v>
      </c>
      <c r="B1117" s="4" t="s">
        <v>56</v>
      </c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1" t="s">
        <v>685</v>
      </c>
      <c r="AB1117" s="69" t="s">
        <v>233</v>
      </c>
      <c r="AC1117" s="43" t="s">
        <v>58</v>
      </c>
      <c r="AD1117" s="43">
        <v>6107898530</v>
      </c>
      <c r="AE1117" s="44">
        <v>0</v>
      </c>
      <c r="AF1117" s="44">
        <v>0</v>
      </c>
      <c r="AG1117" s="44">
        <v>0</v>
      </c>
      <c r="AH1117" s="43">
        <f>3080123215+3000000000</f>
        <v>6080123215</v>
      </c>
      <c r="AI1117" s="43">
        <f>AE1117-AF1117+AG1117-AH1117</f>
        <v>-6080123215</v>
      </c>
      <c r="AJ1117" s="43">
        <f>AD1117+AI1117</f>
        <v>27775315</v>
      </c>
      <c r="AK1117" s="43">
        <v>0</v>
      </c>
      <c r="AL1117" s="43">
        <v>14021000</v>
      </c>
      <c r="AM1117" s="43">
        <v>14021000</v>
      </c>
      <c r="AN1117" s="43">
        <v>0</v>
      </c>
      <c r="AO1117" s="44">
        <v>0</v>
      </c>
      <c r="AP1117" s="44">
        <v>0</v>
      </c>
      <c r="AQ1117" s="44">
        <v>0</v>
      </c>
      <c r="AR1117" s="44">
        <v>0</v>
      </c>
      <c r="AS1117" s="44">
        <v>0</v>
      </c>
      <c r="AT1117" s="40">
        <f t="shared" ref="AT1117" si="503">AQ1117+AS1117</f>
        <v>0</v>
      </c>
      <c r="AU1117" s="18">
        <f>AJ1117-AM1117</f>
        <v>13754315</v>
      </c>
      <c r="AV1117" s="18">
        <f>AM1117-AP1117</f>
        <v>14021000</v>
      </c>
      <c r="AW1117" s="34">
        <f>AP1117-AT1117</f>
        <v>0</v>
      </c>
      <c r="AX1117" s="123">
        <f>AP1117/AJ1117</f>
        <v>0</v>
      </c>
    </row>
    <row r="1118" spans="1:50" ht="25.5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73" t="s">
        <v>288</v>
      </c>
      <c r="AB1118" s="82" t="s">
        <v>197</v>
      </c>
      <c r="AC1118" s="43"/>
      <c r="AD1118" s="43"/>
      <c r="AE1118" s="44"/>
      <c r="AF1118" s="44"/>
      <c r="AG1118" s="44"/>
      <c r="AH1118" s="44"/>
      <c r="AI1118" s="44"/>
      <c r="AJ1118" s="43"/>
      <c r="AK1118" s="44"/>
      <c r="AL1118" s="44"/>
      <c r="AM1118" s="44"/>
      <c r="AN1118" s="43"/>
      <c r="AO1118" s="43"/>
      <c r="AP1118" s="44"/>
      <c r="AQ1118" s="44"/>
      <c r="AR1118" s="44"/>
      <c r="AS1118" s="44"/>
      <c r="AT1118" s="40"/>
      <c r="AU1118" s="18"/>
      <c r="AV1118" s="133"/>
      <c r="AW1118" s="34"/>
      <c r="AX1118" s="123"/>
    </row>
    <row r="1119" spans="1:50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1" t="s">
        <v>974</v>
      </c>
      <c r="AB1119" s="69" t="s">
        <v>233</v>
      </c>
      <c r="AC1119" s="43"/>
      <c r="AD1119" s="44">
        <v>0</v>
      </c>
      <c r="AE1119" s="44">
        <v>0</v>
      </c>
      <c r="AF1119" s="44">
        <v>0</v>
      </c>
      <c r="AG1119" s="43">
        <f>2240000000+1080123215</f>
        <v>3320123215</v>
      </c>
      <c r="AH1119" s="43">
        <v>500000000</v>
      </c>
      <c r="AI1119" s="43">
        <f>AE1119-AF1119+AG1119-AH1119</f>
        <v>2820123215</v>
      </c>
      <c r="AJ1119" s="43">
        <f>AD1119+AI1119</f>
        <v>2820123215</v>
      </c>
      <c r="AK1119" s="43">
        <v>0</v>
      </c>
      <c r="AL1119" s="43">
        <v>-1750530.06</v>
      </c>
      <c r="AM1119" s="43">
        <v>2454343719</v>
      </c>
      <c r="AN1119" s="43">
        <v>0</v>
      </c>
      <c r="AO1119" s="43">
        <v>180671560</v>
      </c>
      <c r="AP1119" s="43">
        <v>2454343719</v>
      </c>
      <c r="AQ1119" s="44">
        <v>0</v>
      </c>
      <c r="AR1119" s="44">
        <v>0</v>
      </c>
      <c r="AS1119" s="44">
        <v>0</v>
      </c>
      <c r="AT1119" s="135">
        <f t="shared" ref="AT1119:AT1120" si="504">AQ1119+AS1119</f>
        <v>0</v>
      </c>
      <c r="AU1119" s="110">
        <f>AJ1119-AM1119</f>
        <v>365779496</v>
      </c>
      <c r="AV1119" s="18">
        <f>AM1119-AP1119</f>
        <v>0</v>
      </c>
      <c r="AW1119" s="18">
        <f>AP1119-AT1119</f>
        <v>2454343719</v>
      </c>
      <c r="AX1119" s="123">
        <f>AP1119/AJ1119</f>
        <v>0.87029662602880276</v>
      </c>
    </row>
    <row r="1120" spans="1:50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1" t="s">
        <v>1292</v>
      </c>
      <c r="AB1120" s="69" t="s">
        <v>233</v>
      </c>
      <c r="AC1120" s="43"/>
      <c r="AD1120" s="44">
        <v>0</v>
      </c>
      <c r="AE1120" s="44">
        <v>0</v>
      </c>
      <c r="AF1120" s="44">
        <v>0</v>
      </c>
      <c r="AG1120" s="43">
        <v>2000000000</v>
      </c>
      <c r="AH1120" s="43">
        <v>500000000</v>
      </c>
      <c r="AI1120" s="43">
        <f>AE1120-AF1120+AG1120-AH1120</f>
        <v>1500000000</v>
      </c>
      <c r="AJ1120" s="43">
        <f>AD1120+AI1120</f>
        <v>1500000000</v>
      </c>
      <c r="AK1120" s="44">
        <v>0</v>
      </c>
      <c r="AL1120" s="44">
        <v>0</v>
      </c>
      <c r="AM1120" s="44">
        <v>0</v>
      </c>
      <c r="AN1120" s="44">
        <v>0</v>
      </c>
      <c r="AO1120" s="44">
        <v>0</v>
      </c>
      <c r="AP1120" s="44">
        <v>0</v>
      </c>
      <c r="AQ1120" s="44">
        <v>0</v>
      </c>
      <c r="AR1120" s="44">
        <v>0</v>
      </c>
      <c r="AS1120" s="44">
        <v>0</v>
      </c>
      <c r="AT1120" s="135">
        <f t="shared" si="504"/>
        <v>0</v>
      </c>
      <c r="AU1120" s="110">
        <f>AJ1120-AM1120</f>
        <v>1500000000</v>
      </c>
      <c r="AV1120" s="34">
        <f>AM1120-AP1120</f>
        <v>0</v>
      </c>
      <c r="AW1120" s="18">
        <f>AP1120-AT1120</f>
        <v>0</v>
      </c>
      <c r="AX1120" s="123">
        <f>AP1120/AJ1120</f>
        <v>0</v>
      </c>
    </row>
    <row r="1121" spans="1:50" x14ac:dyDescent="0.2">
      <c r="AA1121" s="28" t="s">
        <v>288</v>
      </c>
      <c r="AB1121" s="29" t="s">
        <v>306</v>
      </c>
      <c r="AC1121" s="17"/>
      <c r="AD1121" s="18"/>
      <c r="AE1121" s="34"/>
      <c r="AF1121" s="34"/>
      <c r="AG1121" s="34"/>
      <c r="AH1121" s="34"/>
      <c r="AI1121" s="34"/>
      <c r="AJ1121" s="18"/>
      <c r="AK1121" s="34"/>
      <c r="AL1121" s="18"/>
      <c r="AM1121" s="18"/>
      <c r="AN1121" s="34"/>
      <c r="AO1121" s="34"/>
      <c r="AP1121" s="18"/>
      <c r="AQ1121" s="34"/>
      <c r="AR1121" s="34"/>
      <c r="AS1121" s="34"/>
      <c r="AT1121" s="31"/>
      <c r="AU1121" s="18"/>
      <c r="AV1121" s="34"/>
      <c r="AW1121" s="18"/>
      <c r="AX1121" s="18"/>
    </row>
    <row r="1122" spans="1:50" x14ac:dyDescent="0.2">
      <c r="A1122" s="4" t="s">
        <v>55</v>
      </c>
      <c r="B1122" s="4" t="s">
        <v>56</v>
      </c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1" t="s">
        <v>307</v>
      </c>
      <c r="AB1122" s="42" t="s">
        <v>233</v>
      </c>
      <c r="AC1122" s="43" t="s">
        <v>58</v>
      </c>
      <c r="AD1122" s="43">
        <v>147500000</v>
      </c>
      <c r="AE1122" s="44">
        <v>0</v>
      </c>
      <c r="AF1122" s="44">
        <v>0</v>
      </c>
      <c r="AG1122" s="43">
        <v>6300000</v>
      </c>
      <c r="AH1122" s="44">
        <v>0</v>
      </c>
      <c r="AI1122" s="43">
        <f>AE1122-AF1122+AG1122-AH1122</f>
        <v>6300000</v>
      </c>
      <c r="AJ1122" s="43">
        <f>AD1122+AI1122</f>
        <v>153800000</v>
      </c>
      <c r="AK1122" s="44">
        <v>0</v>
      </c>
      <c r="AL1122" s="43">
        <v>0</v>
      </c>
      <c r="AM1122" s="43">
        <v>150026667</v>
      </c>
      <c r="AN1122" s="44">
        <v>0</v>
      </c>
      <c r="AO1122" s="43">
        <v>0</v>
      </c>
      <c r="AP1122" s="43">
        <v>150026667</v>
      </c>
      <c r="AQ1122" s="43">
        <v>0</v>
      </c>
      <c r="AR1122" s="114">
        <v>13400000</v>
      </c>
      <c r="AS1122" s="114">
        <v>112436667</v>
      </c>
      <c r="AT1122" s="111">
        <f t="shared" ref="AT1122" si="505">AQ1122+AS1122</f>
        <v>112436667</v>
      </c>
      <c r="AU1122" s="110">
        <f>AJ1122-AM1122</f>
        <v>3773333</v>
      </c>
      <c r="AV1122" s="133">
        <f>AM1122-AP1122</f>
        <v>0</v>
      </c>
      <c r="AW1122" s="18">
        <f>AP1122-AT1122</f>
        <v>37590000</v>
      </c>
      <c r="AX1122" s="123">
        <f>AP1122/AJ1122</f>
        <v>0.97546597529258783</v>
      </c>
    </row>
    <row r="1123" spans="1:50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73" t="s">
        <v>288</v>
      </c>
      <c r="AB1123" s="74" t="s">
        <v>292</v>
      </c>
      <c r="AC1123" s="43"/>
      <c r="AD1123" s="43"/>
      <c r="AE1123" s="44"/>
      <c r="AF1123" s="44"/>
      <c r="AG1123" s="43"/>
      <c r="AH1123" s="44"/>
      <c r="AI1123" s="43"/>
      <c r="AJ1123" s="43"/>
      <c r="AK1123" s="44"/>
      <c r="AL1123" s="44"/>
      <c r="AM1123" s="43"/>
      <c r="AN1123" s="44"/>
      <c r="AO1123" s="44"/>
      <c r="AP1123" s="43"/>
      <c r="AQ1123" s="43"/>
      <c r="AR1123" s="114"/>
      <c r="AS1123" s="114"/>
      <c r="AT1123" s="111"/>
      <c r="AU1123" s="110"/>
      <c r="AV1123" s="133"/>
      <c r="AW1123" s="18"/>
      <c r="AX1123" s="123"/>
    </row>
    <row r="1124" spans="1:50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1" t="s">
        <v>311</v>
      </c>
      <c r="AB1124" s="42" t="s">
        <v>233</v>
      </c>
      <c r="AC1124" s="43"/>
      <c r="AD1124" s="43"/>
      <c r="AE1124" s="44">
        <v>0</v>
      </c>
      <c r="AF1124" s="44">
        <v>0</v>
      </c>
      <c r="AG1124" s="43">
        <v>70000000</v>
      </c>
      <c r="AH1124" s="44">
        <v>0</v>
      </c>
      <c r="AI1124" s="43">
        <f>AE1124-AF1124+AG1124-AH1124</f>
        <v>70000000</v>
      </c>
      <c r="AJ1124" s="43">
        <f>AD1124+AI1124</f>
        <v>70000000</v>
      </c>
      <c r="AK1124" s="44">
        <v>0</v>
      </c>
      <c r="AL1124" s="44">
        <v>6400000</v>
      </c>
      <c r="AM1124" s="43">
        <v>6400000</v>
      </c>
      <c r="AN1124" s="44">
        <v>0</v>
      </c>
      <c r="AO1124" s="44">
        <v>6400000</v>
      </c>
      <c r="AP1124" s="43">
        <v>6400000</v>
      </c>
      <c r="AQ1124" s="44">
        <v>0</v>
      </c>
      <c r="AR1124" s="115">
        <v>0</v>
      </c>
      <c r="AS1124" s="115">
        <v>0</v>
      </c>
      <c r="AT1124" s="135">
        <f t="shared" ref="AT1124" si="506">AQ1124+AS1124</f>
        <v>0</v>
      </c>
      <c r="AU1124" s="110">
        <f>AJ1124-AM1124</f>
        <v>63600000</v>
      </c>
      <c r="AV1124" s="133">
        <f>AM1124-AP1124</f>
        <v>0</v>
      </c>
      <c r="AW1124" s="18">
        <f>AP1124-AT1124</f>
        <v>6400000</v>
      </c>
      <c r="AX1124" s="123">
        <f>AP1124/AJ1124</f>
        <v>9.1428571428571428E-2</v>
      </c>
    </row>
    <row r="1125" spans="1:50" x14ac:dyDescent="0.2">
      <c r="AA1125" s="28" t="s">
        <v>288</v>
      </c>
      <c r="AB1125" s="29" t="s">
        <v>400</v>
      </c>
      <c r="AC1125" s="17"/>
      <c r="AD1125" s="18"/>
      <c r="AE1125" s="34"/>
      <c r="AF1125" s="34"/>
      <c r="AG1125" s="34"/>
      <c r="AH1125" s="34"/>
      <c r="AI1125" s="34"/>
      <c r="AJ1125" s="18"/>
      <c r="AK1125" s="34"/>
      <c r="AL1125" s="34"/>
      <c r="AM1125" s="18"/>
      <c r="AN1125" s="34"/>
      <c r="AO1125" s="34"/>
      <c r="AP1125" s="18"/>
      <c r="AQ1125" s="18"/>
      <c r="AR1125" s="110"/>
      <c r="AS1125" s="110"/>
      <c r="AT1125" s="109"/>
      <c r="AU1125" s="110"/>
      <c r="AV1125" s="34"/>
      <c r="AW1125" s="18"/>
      <c r="AX1125" s="18"/>
    </row>
    <row r="1126" spans="1:50" x14ac:dyDescent="0.2">
      <c r="A1126" s="4" t="s">
        <v>55</v>
      </c>
      <c r="B1126" s="4" t="s">
        <v>56</v>
      </c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1" t="s">
        <v>401</v>
      </c>
      <c r="AB1126" s="42" t="s">
        <v>233</v>
      </c>
      <c r="AC1126" s="43" t="s">
        <v>58</v>
      </c>
      <c r="AD1126" s="43">
        <v>996500000</v>
      </c>
      <c r="AE1126" s="44">
        <v>0</v>
      </c>
      <c r="AF1126" s="44">
        <v>0</v>
      </c>
      <c r="AG1126" s="43">
        <f>140000000+5000000+20000000</f>
        <v>165000000</v>
      </c>
      <c r="AH1126" s="43">
        <v>100000000</v>
      </c>
      <c r="AI1126" s="43">
        <f>AE1126-AF1126+AG1126-AH1126</f>
        <v>65000000</v>
      </c>
      <c r="AJ1126" s="43">
        <f>AD1126+AI1126</f>
        <v>1061500000</v>
      </c>
      <c r="AK1126" s="44">
        <v>0</v>
      </c>
      <c r="AL1126" s="43">
        <v>9600000</v>
      </c>
      <c r="AM1126" s="43">
        <v>948600000</v>
      </c>
      <c r="AN1126" s="44">
        <v>0</v>
      </c>
      <c r="AO1126" s="43">
        <v>9600000</v>
      </c>
      <c r="AP1126" s="43">
        <v>948600000</v>
      </c>
      <c r="AQ1126" s="18">
        <v>8666667</v>
      </c>
      <c r="AR1126" s="110">
        <v>86666666</v>
      </c>
      <c r="AS1126" s="110">
        <v>699530000</v>
      </c>
      <c r="AT1126" s="111">
        <f t="shared" ref="AT1126:AT1129" si="507">AQ1126+AS1126</f>
        <v>708196667</v>
      </c>
      <c r="AU1126" s="110">
        <f>AJ1126-AM1126</f>
        <v>112900000</v>
      </c>
      <c r="AV1126" s="34">
        <f>AM1126-AP1126</f>
        <v>0</v>
      </c>
      <c r="AW1126" s="18">
        <f>AP1126-AT1126</f>
        <v>240403333</v>
      </c>
      <c r="AX1126" s="123">
        <f>AP1126/AJ1126</f>
        <v>0.8936410739519548</v>
      </c>
    </row>
    <row r="1127" spans="1:50" x14ac:dyDescent="0.2">
      <c r="A1127" s="4" t="s">
        <v>55</v>
      </c>
      <c r="B1127" s="4" t="s">
        <v>56</v>
      </c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1" t="s">
        <v>686</v>
      </c>
      <c r="AB1127" s="42" t="s">
        <v>687</v>
      </c>
      <c r="AC1127" s="43" t="s">
        <v>428</v>
      </c>
      <c r="AD1127" s="43">
        <v>51500000</v>
      </c>
      <c r="AE1127" s="44">
        <v>0</v>
      </c>
      <c r="AF1127" s="44">
        <v>0</v>
      </c>
      <c r="AG1127" s="44">
        <v>0</v>
      </c>
      <c r="AH1127" s="44">
        <v>0</v>
      </c>
      <c r="AI1127" s="44">
        <v>0</v>
      </c>
      <c r="AJ1127" s="43">
        <v>51500000</v>
      </c>
      <c r="AK1127" s="44">
        <v>0</v>
      </c>
      <c r="AL1127" s="44">
        <v>0</v>
      </c>
      <c r="AM1127" s="43">
        <v>51400000</v>
      </c>
      <c r="AN1127" s="44">
        <v>0</v>
      </c>
      <c r="AO1127" s="44">
        <v>0</v>
      </c>
      <c r="AP1127" s="43">
        <v>51400000</v>
      </c>
      <c r="AQ1127" s="18">
        <v>0</v>
      </c>
      <c r="AR1127" s="18">
        <v>5300000</v>
      </c>
      <c r="AS1127" s="18">
        <v>51090000</v>
      </c>
      <c r="AT1127" s="39">
        <f t="shared" si="507"/>
        <v>51090000</v>
      </c>
      <c r="AU1127" s="18">
        <f>AJ1127-AM1127</f>
        <v>100000</v>
      </c>
      <c r="AV1127" s="133">
        <f>AM1127-AP1127</f>
        <v>0</v>
      </c>
      <c r="AW1127" s="18">
        <f>AP1127-AT1127</f>
        <v>310000</v>
      </c>
      <c r="AX1127" s="123">
        <f>AP1127/AJ1127</f>
        <v>0.99805825242718449</v>
      </c>
    </row>
    <row r="1128" spans="1:50" ht="25.5" x14ac:dyDescent="0.2">
      <c r="A1128" s="4" t="s">
        <v>55</v>
      </c>
      <c r="B1128" s="4" t="s">
        <v>56</v>
      </c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1" t="s">
        <v>688</v>
      </c>
      <c r="AB1128" s="42" t="s">
        <v>689</v>
      </c>
      <c r="AC1128" s="43" t="s">
        <v>368</v>
      </c>
      <c r="AD1128" s="43">
        <v>6785951</v>
      </c>
      <c r="AE1128" s="44">
        <v>0</v>
      </c>
      <c r="AF1128" s="44">
        <v>0</v>
      </c>
      <c r="AG1128" s="44">
        <v>0</v>
      </c>
      <c r="AH1128" s="44">
        <v>0</v>
      </c>
      <c r="AI1128" s="44">
        <v>0</v>
      </c>
      <c r="AJ1128" s="43">
        <v>6785951</v>
      </c>
      <c r="AK1128" s="44">
        <v>0</v>
      </c>
      <c r="AL1128" s="44">
        <v>0</v>
      </c>
      <c r="AM1128" s="44">
        <v>0</v>
      </c>
      <c r="AN1128" s="44">
        <v>0</v>
      </c>
      <c r="AO1128" s="44">
        <v>0</v>
      </c>
      <c r="AP1128" s="44">
        <v>0</v>
      </c>
      <c r="AQ1128" s="34">
        <v>0</v>
      </c>
      <c r="AR1128" s="34">
        <v>0</v>
      </c>
      <c r="AS1128" s="34">
        <v>0</v>
      </c>
      <c r="AT1128" s="40">
        <f t="shared" si="507"/>
        <v>0</v>
      </c>
      <c r="AU1128" s="18">
        <f>AJ1128-AM1128</f>
        <v>6785951</v>
      </c>
      <c r="AV1128" s="133">
        <f>AM1128-AP1128</f>
        <v>0</v>
      </c>
      <c r="AW1128" s="34">
        <f>AP1128-AT1128</f>
        <v>0</v>
      </c>
      <c r="AX1128" s="123">
        <f>AP1128/AJ1128</f>
        <v>0</v>
      </c>
    </row>
    <row r="1129" spans="1:50" ht="25.5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1" t="s">
        <v>1116</v>
      </c>
      <c r="AB1129" s="42" t="s">
        <v>1117</v>
      </c>
      <c r="AC1129" s="43"/>
      <c r="AD1129" s="44">
        <v>0</v>
      </c>
      <c r="AE1129" s="43">
        <v>138409128.97</v>
      </c>
      <c r="AF1129" s="44">
        <v>0</v>
      </c>
      <c r="AG1129" s="44">
        <v>0</v>
      </c>
      <c r="AH1129" s="44">
        <v>0</v>
      </c>
      <c r="AI1129" s="43">
        <f>AE1129-AF1129+AG1129-AH1129</f>
        <v>138409128.97</v>
      </c>
      <c r="AJ1129" s="43">
        <f>AD1129+AI1129</f>
        <v>138409128.97</v>
      </c>
      <c r="AK1129" s="44">
        <v>0</v>
      </c>
      <c r="AL1129" s="43">
        <v>0</v>
      </c>
      <c r="AM1129" s="43">
        <v>95525487.629999995</v>
      </c>
      <c r="AN1129" s="44">
        <v>0</v>
      </c>
      <c r="AO1129" s="43">
        <v>22050000</v>
      </c>
      <c r="AP1129" s="43">
        <v>95525487.629999995</v>
      </c>
      <c r="AQ1129" s="34">
        <v>0</v>
      </c>
      <c r="AR1129" s="18">
        <v>2500000</v>
      </c>
      <c r="AS1129" s="18">
        <v>9305284</v>
      </c>
      <c r="AT1129" s="39">
        <f t="shared" si="507"/>
        <v>9305284</v>
      </c>
      <c r="AU1129" s="18">
        <f>AJ1129-AM1129</f>
        <v>42883641.340000004</v>
      </c>
      <c r="AV1129" s="18">
        <f>AM1129-AP1129</f>
        <v>0</v>
      </c>
      <c r="AW1129" s="18">
        <f>AP1129-AT1129</f>
        <v>86220203.629999995</v>
      </c>
      <c r="AX1129" s="123">
        <f>AP1129/AJ1129</f>
        <v>0.69016753693107213</v>
      </c>
    </row>
    <row r="1130" spans="1:50" ht="25.5" x14ac:dyDescent="0.2">
      <c r="AA1130" s="28" t="s">
        <v>288</v>
      </c>
      <c r="AB1130" s="29" t="s">
        <v>690</v>
      </c>
      <c r="AC1130" s="17"/>
      <c r="AD1130" s="18"/>
      <c r="AE1130" s="34"/>
      <c r="AF1130" s="34"/>
      <c r="AG1130" s="34"/>
      <c r="AH1130" s="34"/>
      <c r="AI1130" s="34"/>
      <c r="AJ1130" s="18"/>
      <c r="AK1130" s="34"/>
      <c r="AL1130" s="34"/>
      <c r="AM1130" s="34"/>
      <c r="AN1130" s="34"/>
      <c r="AO1130" s="34"/>
      <c r="AP1130" s="34"/>
      <c r="AQ1130" s="18"/>
      <c r="AR1130" s="34"/>
      <c r="AS1130" s="34"/>
      <c r="AT1130" s="40"/>
      <c r="AU1130" s="18"/>
      <c r="AV1130" s="34"/>
      <c r="AW1130" s="18"/>
      <c r="AX1130" s="18"/>
    </row>
    <row r="1131" spans="1:50" x14ac:dyDescent="0.2">
      <c r="A1131" s="4" t="s">
        <v>55</v>
      </c>
      <c r="B1131" s="4" t="s">
        <v>56</v>
      </c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1" t="s">
        <v>691</v>
      </c>
      <c r="AB1131" s="42" t="s">
        <v>233</v>
      </c>
      <c r="AC1131" s="43" t="s">
        <v>58</v>
      </c>
      <c r="AD1131" s="43">
        <v>368900000</v>
      </c>
      <c r="AE1131" s="44">
        <v>0</v>
      </c>
      <c r="AF1131" s="44">
        <v>0</v>
      </c>
      <c r="AG1131" s="43">
        <f>80000000+50000000+60000000</f>
        <v>190000000</v>
      </c>
      <c r="AH1131" s="44">
        <v>0</v>
      </c>
      <c r="AI1131" s="43">
        <f>AE1131-AF1131+AG1131-AH1131</f>
        <v>190000000</v>
      </c>
      <c r="AJ1131" s="43">
        <f>AD1131+AI1131</f>
        <v>558900000</v>
      </c>
      <c r="AK1131" s="44">
        <v>0</v>
      </c>
      <c r="AL1131" s="114">
        <v>19560000</v>
      </c>
      <c r="AM1131" s="114">
        <v>471580000</v>
      </c>
      <c r="AN1131" s="115">
        <v>0</v>
      </c>
      <c r="AO1131" s="114">
        <v>44420000</v>
      </c>
      <c r="AP1131" s="114">
        <v>459400000</v>
      </c>
      <c r="AQ1131" s="18">
        <v>14220000</v>
      </c>
      <c r="AR1131" s="18">
        <v>39953333</v>
      </c>
      <c r="AS1131" s="18">
        <v>284333333</v>
      </c>
      <c r="AT1131" s="39">
        <f t="shared" si="496"/>
        <v>298553333</v>
      </c>
      <c r="AU1131" s="18">
        <f>AJ1131-AM1131</f>
        <v>87320000</v>
      </c>
      <c r="AV1131" s="18">
        <f>AM1131-AP1131</f>
        <v>12180000</v>
      </c>
      <c r="AW1131" s="18">
        <f>AP1131-AT1131</f>
        <v>160846667</v>
      </c>
      <c r="AX1131" s="123">
        <f>AP1131/AJ1131</f>
        <v>0.82197173018429059</v>
      </c>
    </row>
    <row r="1132" spans="1:50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1"/>
      <c r="AB1132" s="42"/>
      <c r="AC1132" s="43"/>
      <c r="AD1132" s="43"/>
      <c r="AE1132" s="44"/>
      <c r="AF1132" s="44"/>
      <c r="AG1132" s="44"/>
      <c r="AH1132" s="44"/>
      <c r="AI1132" s="44"/>
      <c r="AJ1132" s="43"/>
      <c r="AK1132" s="44"/>
      <c r="AL1132" s="114"/>
      <c r="AM1132" s="114"/>
      <c r="AN1132" s="115"/>
      <c r="AO1132" s="114"/>
      <c r="AP1132" s="114"/>
      <c r="AQ1132" s="18"/>
      <c r="AR1132" s="18"/>
      <c r="AS1132" s="18"/>
      <c r="AT1132" s="39"/>
      <c r="AU1132" s="18"/>
      <c r="AV1132" s="133"/>
      <c r="AW1132" s="18"/>
      <c r="AX1132" s="123"/>
    </row>
    <row r="1133" spans="1:50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73" t="s">
        <v>288</v>
      </c>
      <c r="AB1133" s="74" t="s">
        <v>1230</v>
      </c>
      <c r="AC1133" s="43"/>
      <c r="AD1133" s="43"/>
      <c r="AE1133" s="44"/>
      <c r="AF1133" s="44"/>
      <c r="AG1133" s="44"/>
      <c r="AH1133" s="44"/>
      <c r="AI1133" s="44"/>
      <c r="AJ1133" s="43"/>
      <c r="AK1133" s="44"/>
      <c r="AL1133" s="114"/>
      <c r="AM1133" s="114"/>
      <c r="AN1133" s="115"/>
      <c r="AO1133" s="114"/>
      <c r="AP1133" s="114"/>
      <c r="AQ1133" s="18"/>
      <c r="AR1133" s="18"/>
      <c r="AS1133" s="18"/>
      <c r="AT1133" s="39"/>
      <c r="AU1133" s="18"/>
      <c r="AV1133" s="133"/>
      <c r="AW1133" s="18"/>
      <c r="AX1133" s="123"/>
    </row>
    <row r="1134" spans="1:50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1" t="s">
        <v>1231</v>
      </c>
      <c r="AB1134" s="42" t="s">
        <v>1232</v>
      </c>
      <c r="AC1134" s="43"/>
      <c r="AD1134" s="44">
        <v>0</v>
      </c>
      <c r="AE1134" s="44">
        <v>0</v>
      </c>
      <c r="AF1134" s="44">
        <v>0</v>
      </c>
      <c r="AG1134" s="43">
        <f>150000000+100000000</f>
        <v>250000000</v>
      </c>
      <c r="AH1134" s="44"/>
      <c r="AI1134" s="43">
        <f>AE1134-AF1134+AG1134-AH1134</f>
        <v>250000000</v>
      </c>
      <c r="AJ1134" s="43">
        <f>AD1134+AI1134</f>
        <v>250000000</v>
      </c>
      <c r="AK1134" s="44">
        <v>0</v>
      </c>
      <c r="AL1134" s="43">
        <v>0</v>
      </c>
      <c r="AM1134" s="43">
        <v>249395963.37</v>
      </c>
      <c r="AN1134" s="43">
        <v>0</v>
      </c>
      <c r="AO1134" s="43">
        <v>0</v>
      </c>
      <c r="AP1134" s="43">
        <v>249395963.37</v>
      </c>
      <c r="AQ1134" s="34">
        <v>0</v>
      </c>
      <c r="AR1134" s="34">
        <v>0</v>
      </c>
      <c r="AS1134" s="34">
        <v>0</v>
      </c>
      <c r="AT1134" s="40">
        <f t="shared" ref="AT1134" si="508">AQ1134+AS1134</f>
        <v>0</v>
      </c>
      <c r="AU1134" s="18">
        <f>AJ1134-AM1134</f>
        <v>604036.62999999523</v>
      </c>
      <c r="AV1134" s="34">
        <f>AM1134-AP1134</f>
        <v>0</v>
      </c>
      <c r="AW1134" s="18">
        <f>AP1134-AT1134</f>
        <v>249395963.37</v>
      </c>
      <c r="AX1134" s="123">
        <f>AP1134/AJ1134</f>
        <v>0.99758385348</v>
      </c>
    </row>
    <row r="1135" spans="1:50" ht="18.75" customHeight="1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73" t="s">
        <v>1016</v>
      </c>
      <c r="AB1135" s="74" t="s">
        <v>1068</v>
      </c>
      <c r="AC1135" s="43"/>
      <c r="AD1135" s="44"/>
      <c r="AE1135" s="44"/>
      <c r="AF1135" s="44"/>
      <c r="AG1135" s="44"/>
      <c r="AH1135" s="44"/>
      <c r="AI1135" s="44"/>
      <c r="AJ1135" s="43"/>
      <c r="AK1135" s="44"/>
      <c r="AL1135" s="115"/>
      <c r="AM1135" s="115"/>
      <c r="AN1135" s="115"/>
      <c r="AO1135" s="115"/>
      <c r="AP1135" s="115"/>
      <c r="AQ1135" s="34"/>
      <c r="AR1135" s="34"/>
      <c r="AS1135" s="34"/>
      <c r="AT1135" s="40"/>
      <c r="AU1135" s="18"/>
      <c r="AV1135" s="133"/>
      <c r="AW1135" s="34"/>
      <c r="AX1135" s="123"/>
    </row>
    <row r="1136" spans="1:50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73" t="s">
        <v>1017</v>
      </c>
      <c r="AB1136" s="74" t="s">
        <v>1069</v>
      </c>
      <c r="AC1136" s="43"/>
      <c r="AD1136" s="44"/>
      <c r="AE1136" s="44"/>
      <c r="AF1136" s="44"/>
      <c r="AG1136" s="44"/>
      <c r="AH1136" s="44"/>
      <c r="AI1136" s="44"/>
      <c r="AJ1136" s="43"/>
      <c r="AK1136" s="44"/>
      <c r="AL1136" s="115"/>
      <c r="AM1136" s="115"/>
      <c r="AN1136" s="115"/>
      <c r="AO1136" s="115"/>
      <c r="AP1136" s="115"/>
      <c r="AQ1136" s="34"/>
      <c r="AR1136" s="34"/>
      <c r="AS1136" s="34"/>
      <c r="AT1136" s="40"/>
      <c r="AU1136" s="18"/>
      <c r="AV1136" s="133"/>
      <c r="AW1136" s="34"/>
      <c r="AX1136" s="123"/>
    </row>
    <row r="1137" spans="1:50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73" t="s">
        <v>1018</v>
      </c>
      <c r="AB1137" s="74" t="s">
        <v>286</v>
      </c>
      <c r="AC1137" s="43"/>
      <c r="AD1137" s="44"/>
      <c r="AE1137" s="44"/>
      <c r="AF1137" s="44"/>
      <c r="AG1137" s="44"/>
      <c r="AH1137" s="44"/>
      <c r="AI1137" s="44"/>
      <c r="AJ1137" s="43"/>
      <c r="AK1137" s="44"/>
      <c r="AL1137" s="115"/>
      <c r="AM1137" s="115"/>
      <c r="AN1137" s="115"/>
      <c r="AO1137" s="115"/>
      <c r="AP1137" s="115"/>
      <c r="AQ1137" s="34"/>
      <c r="AR1137" s="34"/>
      <c r="AS1137" s="34"/>
      <c r="AT1137" s="40"/>
      <c r="AU1137" s="18"/>
      <c r="AV1137" s="133"/>
      <c r="AW1137" s="34"/>
      <c r="AX1137" s="123"/>
    </row>
    <row r="1138" spans="1:50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73" t="s">
        <v>1021</v>
      </c>
      <c r="AB1138" s="74" t="s">
        <v>1070</v>
      </c>
      <c r="AC1138" s="43"/>
      <c r="AD1138" s="44"/>
      <c r="AE1138" s="44"/>
      <c r="AF1138" s="44"/>
      <c r="AG1138" s="44"/>
      <c r="AH1138" s="44"/>
      <c r="AI1138" s="44"/>
      <c r="AJ1138" s="43"/>
      <c r="AK1138" s="44"/>
      <c r="AL1138" s="115"/>
      <c r="AM1138" s="115"/>
      <c r="AN1138" s="115"/>
      <c r="AO1138" s="115"/>
      <c r="AP1138" s="115"/>
      <c r="AQ1138" s="34"/>
      <c r="AR1138" s="34"/>
      <c r="AS1138" s="34"/>
      <c r="AT1138" s="40"/>
      <c r="AU1138" s="18"/>
      <c r="AV1138" s="133"/>
      <c r="AW1138" s="34"/>
      <c r="AX1138" s="123"/>
    </row>
    <row r="1139" spans="1:50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1" t="s">
        <v>1019</v>
      </c>
      <c r="AB1139" s="42" t="s">
        <v>1005</v>
      </c>
      <c r="AC1139" s="43"/>
      <c r="AD1139" s="44">
        <v>0</v>
      </c>
      <c r="AE1139" s="43">
        <v>5053333</v>
      </c>
      <c r="AF1139" s="44">
        <v>0</v>
      </c>
      <c r="AG1139" s="44">
        <v>0</v>
      </c>
      <c r="AH1139" s="44">
        <v>0</v>
      </c>
      <c r="AI1139" s="43">
        <f>AE1139-AF1139+AG1139-AH1139</f>
        <v>5053333</v>
      </c>
      <c r="AJ1139" s="43">
        <f>AD1139+AI1139</f>
        <v>5053333</v>
      </c>
      <c r="AK1139" s="44">
        <v>0</v>
      </c>
      <c r="AL1139" s="115">
        <v>0</v>
      </c>
      <c r="AM1139" s="115">
        <v>0</v>
      </c>
      <c r="AN1139" s="115">
        <v>0</v>
      </c>
      <c r="AO1139" s="115">
        <v>0</v>
      </c>
      <c r="AP1139" s="115">
        <v>0</v>
      </c>
      <c r="AQ1139" s="34">
        <v>0</v>
      </c>
      <c r="AR1139" s="34">
        <v>0</v>
      </c>
      <c r="AS1139" s="34">
        <v>0</v>
      </c>
      <c r="AT1139" s="40">
        <f t="shared" ref="AT1139" si="509">AQ1139+AS1139</f>
        <v>0</v>
      </c>
      <c r="AU1139" s="18">
        <f>AJ1139-AM1139</f>
        <v>5053333</v>
      </c>
      <c r="AV1139" s="133">
        <f>AM1139-AP1139</f>
        <v>0</v>
      </c>
      <c r="AW1139" s="34">
        <f>AP1139-AT1139</f>
        <v>0</v>
      </c>
      <c r="AX1139" s="123">
        <f>AP1139/AJ1139</f>
        <v>0</v>
      </c>
    </row>
    <row r="1140" spans="1:50" x14ac:dyDescent="0.2">
      <c r="AA1140" s="16"/>
      <c r="AB1140" s="17"/>
      <c r="AC1140" s="17"/>
      <c r="AD1140" s="18"/>
      <c r="AE1140" s="34"/>
      <c r="AF1140" s="34"/>
      <c r="AG1140" s="34"/>
      <c r="AH1140" s="34"/>
      <c r="AI1140" s="34"/>
      <c r="AJ1140" s="18"/>
      <c r="AK1140" s="18"/>
      <c r="AL1140" s="18"/>
      <c r="AM1140" s="18"/>
      <c r="AN1140" s="34"/>
      <c r="AO1140" s="18"/>
      <c r="AP1140" s="18"/>
      <c r="AQ1140" s="18"/>
      <c r="AR1140" s="34"/>
      <c r="AS1140" s="34"/>
      <c r="AT1140" s="40"/>
      <c r="AU1140" s="18"/>
      <c r="AV1140" s="18"/>
      <c r="AW1140" s="34"/>
      <c r="AX1140" s="18"/>
    </row>
    <row r="1141" spans="1:50" ht="18.75" customHeight="1" x14ac:dyDescent="0.2">
      <c r="AA1141" s="46"/>
      <c r="AB1141" s="47" t="s">
        <v>692</v>
      </c>
      <c r="AC1141" s="47"/>
      <c r="AD1141" s="48">
        <f t="shared" ref="AD1141:AS1141" si="510">SUM(AD1094:AD1140)</f>
        <v>12346184481</v>
      </c>
      <c r="AE1141" s="48">
        <f t="shared" si="510"/>
        <v>143462461.97</v>
      </c>
      <c r="AF1141" s="49">
        <f t="shared" si="510"/>
        <v>0</v>
      </c>
      <c r="AG1141" s="48">
        <f t="shared" si="510"/>
        <v>14246423215</v>
      </c>
      <c r="AH1141" s="48">
        <f t="shared" si="510"/>
        <v>13446423215</v>
      </c>
      <c r="AI1141" s="48">
        <f t="shared" si="510"/>
        <v>943462461.97000003</v>
      </c>
      <c r="AJ1141" s="48">
        <f t="shared" si="510"/>
        <v>13289646942.969999</v>
      </c>
      <c r="AK1141" s="49">
        <f t="shared" si="510"/>
        <v>0</v>
      </c>
      <c r="AL1141" s="48">
        <f t="shared" si="510"/>
        <v>83530469.939999998</v>
      </c>
      <c r="AM1141" s="48">
        <f t="shared" si="510"/>
        <v>9935287325</v>
      </c>
      <c r="AN1141" s="49">
        <f t="shared" si="510"/>
        <v>0</v>
      </c>
      <c r="AO1141" s="48">
        <f t="shared" si="510"/>
        <v>318058045</v>
      </c>
      <c r="AP1141" s="48">
        <f t="shared" si="510"/>
        <v>9834086325</v>
      </c>
      <c r="AQ1141" s="48">
        <f t="shared" si="510"/>
        <v>65886667</v>
      </c>
      <c r="AR1141" s="121">
        <f t="shared" si="510"/>
        <v>418869332</v>
      </c>
      <c r="AS1141" s="121">
        <f t="shared" si="510"/>
        <v>4772186754.3299999</v>
      </c>
      <c r="AT1141" s="108">
        <f>AQ1141+AS1141</f>
        <v>4838073421.3299999</v>
      </c>
      <c r="AU1141" s="48">
        <f>SUM(AU1094:AU1140)</f>
        <v>3354359617.9700003</v>
      </c>
      <c r="AV1141" s="48">
        <f>SUM(AV1094:AV1140)</f>
        <v>101201000</v>
      </c>
      <c r="AW1141" s="48">
        <f>SUM(AW1094:AW1140)</f>
        <v>4996012903.6700001</v>
      </c>
      <c r="AX1141" s="24">
        <f>AP1141/AJ1141</f>
        <v>0.73998100680936951</v>
      </c>
    </row>
    <row r="1142" spans="1:50" ht="18.75" customHeight="1" x14ac:dyDescent="0.2">
      <c r="AA1142" s="16"/>
      <c r="AB1142" s="17"/>
      <c r="AC1142" s="17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</row>
    <row r="1143" spans="1:50" s="25" customFormat="1" ht="18.75" customHeight="1" x14ac:dyDescent="0.2">
      <c r="B1143" s="71"/>
      <c r="C1143" s="71"/>
      <c r="D1143" s="71"/>
      <c r="E1143" s="71"/>
      <c r="F1143" s="71"/>
      <c r="G1143" s="71"/>
      <c r="H1143" s="71"/>
      <c r="I1143" s="71"/>
      <c r="J1143" s="71"/>
      <c r="K1143" s="71"/>
      <c r="L1143" s="71"/>
      <c r="M1143" s="71"/>
      <c r="N1143" s="71"/>
      <c r="O1143" s="71"/>
      <c r="P1143" s="71"/>
      <c r="Q1143" s="71"/>
      <c r="R1143" s="71"/>
      <c r="S1143" s="71"/>
      <c r="T1143" s="71"/>
      <c r="U1143" s="71"/>
      <c r="V1143" s="71"/>
      <c r="W1143" s="71"/>
      <c r="X1143" s="71"/>
      <c r="Y1143" s="71"/>
      <c r="Z1143" s="71"/>
      <c r="AA1143" s="66"/>
      <c r="AB1143" s="21" t="s">
        <v>693</v>
      </c>
      <c r="AC1143" s="67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U1143" s="63"/>
      <c r="AV1143" s="63"/>
      <c r="AW1143" s="63"/>
      <c r="AX1143" s="63"/>
    </row>
    <row r="1144" spans="1:50" ht="18.75" customHeight="1" x14ac:dyDescent="0.2">
      <c r="AA1144" s="16"/>
      <c r="AB1144" s="29" t="s">
        <v>285</v>
      </c>
      <c r="AC1144" s="17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</row>
    <row r="1145" spans="1:50" ht="18.75" customHeight="1" x14ac:dyDescent="0.2">
      <c r="AA1145" s="16"/>
      <c r="AB1145" s="29" t="s">
        <v>286</v>
      </c>
      <c r="AC1145" s="17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</row>
    <row r="1146" spans="1:50" ht="18.75" customHeight="1" x14ac:dyDescent="0.2">
      <c r="AA1146" s="16"/>
      <c r="AB1146" s="29" t="s">
        <v>179</v>
      </c>
      <c r="AC1146" s="17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</row>
    <row r="1147" spans="1:50" x14ac:dyDescent="0.2">
      <c r="AA1147" s="16"/>
      <c r="AB1147" s="29" t="s">
        <v>189</v>
      </c>
      <c r="AC1147" s="17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</row>
    <row r="1148" spans="1:50" ht="38.25" x14ac:dyDescent="0.2">
      <c r="AA1148" s="16"/>
      <c r="AB1148" s="29" t="s">
        <v>193</v>
      </c>
      <c r="AC1148" s="17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30"/>
      <c r="AU1148" s="18"/>
      <c r="AV1148" s="18"/>
      <c r="AW1148" s="18"/>
      <c r="AX1148" s="18"/>
    </row>
    <row r="1149" spans="1:50" ht="25.5" x14ac:dyDescent="0.2">
      <c r="AA1149" s="28" t="s">
        <v>288</v>
      </c>
      <c r="AB1149" s="29" t="s">
        <v>694</v>
      </c>
      <c r="AC1149" s="17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30"/>
      <c r="AU1149" s="18"/>
      <c r="AV1149" s="18"/>
      <c r="AW1149" s="18"/>
      <c r="AX1149" s="18"/>
    </row>
    <row r="1150" spans="1:50" x14ac:dyDescent="0.2">
      <c r="A1150" s="4" t="s">
        <v>55</v>
      </c>
      <c r="B1150" s="4" t="s">
        <v>56</v>
      </c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1" t="s">
        <v>695</v>
      </c>
      <c r="AB1150" s="42" t="s">
        <v>233</v>
      </c>
      <c r="AC1150" s="43" t="s">
        <v>58</v>
      </c>
      <c r="AD1150" s="43">
        <v>20000000000</v>
      </c>
      <c r="AE1150" s="44">
        <v>0</v>
      </c>
      <c r="AF1150" s="44">
        <v>0</v>
      </c>
      <c r="AG1150" s="44">
        <v>0</v>
      </c>
      <c r="AH1150" s="43">
        <f>10000000000+500000000+431000000</f>
        <v>10931000000</v>
      </c>
      <c r="AI1150" s="43">
        <f>AE1150-AF1150+AG1150-AH1150</f>
        <v>-10931000000</v>
      </c>
      <c r="AJ1150" s="43">
        <f>AD1150+AI1150</f>
        <v>9069000000</v>
      </c>
      <c r="AK1150" s="43">
        <v>0</v>
      </c>
      <c r="AL1150" s="43">
        <v>19000000</v>
      </c>
      <c r="AM1150" s="43">
        <v>8946500500</v>
      </c>
      <c r="AN1150" s="43">
        <v>0</v>
      </c>
      <c r="AO1150" s="43">
        <v>19000000</v>
      </c>
      <c r="AP1150" s="43">
        <v>8946500500</v>
      </c>
      <c r="AQ1150" s="43">
        <v>0</v>
      </c>
      <c r="AR1150" s="43">
        <v>19000000</v>
      </c>
      <c r="AS1150" s="43">
        <v>8946500500</v>
      </c>
      <c r="AT1150" s="111">
        <f t="shared" ref="AT1150:AT1165" si="511">AQ1150+AS1150</f>
        <v>8946500500</v>
      </c>
      <c r="AU1150" s="18">
        <f>AJ1150-AM1150</f>
        <v>122499500</v>
      </c>
      <c r="AV1150" s="133">
        <f>AM1150-AP1150</f>
        <v>0</v>
      </c>
      <c r="AW1150" s="34">
        <f>AP1150-AT1150</f>
        <v>0</v>
      </c>
      <c r="AX1150" s="123">
        <f>AP1150/AJ1150</f>
        <v>0.98649250192965043</v>
      </c>
    </row>
    <row r="1151" spans="1:50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1" t="s">
        <v>1118</v>
      </c>
      <c r="AB1151" s="42" t="s">
        <v>1015</v>
      </c>
      <c r="AC1151" s="43"/>
      <c r="AD1151" s="44">
        <v>0</v>
      </c>
      <c r="AE1151" s="43">
        <v>1500000000</v>
      </c>
      <c r="AF1151" s="44">
        <v>0</v>
      </c>
      <c r="AG1151" s="44">
        <v>0</v>
      </c>
      <c r="AH1151" s="43">
        <f>200000000+715000000+584279684.66</f>
        <v>1499279684.6599998</v>
      </c>
      <c r="AI1151" s="43">
        <f>AE1151-AF1151+AG1151-AH1151</f>
        <v>720315.34000015259</v>
      </c>
      <c r="AJ1151" s="43">
        <f>AD1151+AI1151</f>
        <v>720315.34000015259</v>
      </c>
      <c r="AK1151" s="43">
        <v>0</v>
      </c>
      <c r="AL1151" s="43">
        <v>0</v>
      </c>
      <c r="AM1151" s="43">
        <v>0</v>
      </c>
      <c r="AN1151" s="43">
        <v>0</v>
      </c>
      <c r="AO1151" s="44">
        <v>0</v>
      </c>
      <c r="AP1151" s="44">
        <v>0</v>
      </c>
      <c r="AQ1151" s="44">
        <v>0</v>
      </c>
      <c r="AR1151" s="44">
        <v>0</v>
      </c>
      <c r="AS1151" s="44">
        <v>0</v>
      </c>
      <c r="AT1151" s="135">
        <f t="shared" si="511"/>
        <v>0</v>
      </c>
      <c r="AU1151" s="18">
        <f>AJ1151-AM1151</f>
        <v>720315.34000015259</v>
      </c>
      <c r="AV1151" s="133">
        <f>AM1151-AP1151</f>
        <v>0</v>
      </c>
      <c r="AW1151" s="34">
        <f>AP1151-AT1151</f>
        <v>0</v>
      </c>
      <c r="AX1151" s="123">
        <f>AP1151/AJ1151</f>
        <v>0</v>
      </c>
    </row>
    <row r="1152" spans="1:50" x14ac:dyDescent="0.2">
      <c r="AA1152" s="16"/>
      <c r="AB1152" s="17"/>
      <c r="AC1152" s="17"/>
      <c r="AD1152" s="18"/>
      <c r="AE1152" s="34"/>
      <c r="AF1152" s="34"/>
      <c r="AG1152" s="34"/>
      <c r="AH1152" s="34"/>
      <c r="AI1152" s="34"/>
      <c r="AJ1152" s="18"/>
      <c r="AK1152" s="18"/>
      <c r="AL1152" s="18"/>
      <c r="AM1152" s="18"/>
      <c r="AN1152" s="18"/>
      <c r="AO1152" s="18"/>
      <c r="AP1152" s="34"/>
      <c r="AQ1152" s="34"/>
      <c r="AR1152" s="34"/>
      <c r="AS1152" s="34"/>
      <c r="AT1152" s="40"/>
      <c r="AU1152" s="18"/>
      <c r="AV1152" s="18"/>
      <c r="AW1152" s="18"/>
      <c r="AX1152" s="18"/>
    </row>
    <row r="1153" spans="1:50" ht="25.5" x14ac:dyDescent="0.2">
      <c r="AA1153" s="16"/>
      <c r="AB1153" s="29" t="s">
        <v>195</v>
      </c>
      <c r="AC1153" s="17"/>
      <c r="AD1153" s="18"/>
      <c r="AE1153" s="34"/>
      <c r="AF1153" s="34"/>
      <c r="AG1153" s="34"/>
      <c r="AH1153" s="34"/>
      <c r="AI1153" s="34"/>
      <c r="AJ1153" s="18"/>
      <c r="AK1153" s="18"/>
      <c r="AL1153" s="18"/>
      <c r="AM1153" s="18"/>
      <c r="AN1153" s="18"/>
      <c r="AO1153" s="18"/>
      <c r="AP1153" s="34"/>
      <c r="AQ1153" s="34"/>
      <c r="AR1153" s="34"/>
      <c r="AS1153" s="34"/>
      <c r="AT1153" s="40"/>
      <c r="AU1153" s="18"/>
      <c r="AV1153" s="18"/>
      <c r="AW1153" s="18"/>
      <c r="AX1153" s="18"/>
    </row>
    <row r="1154" spans="1:50" ht="25.5" x14ac:dyDescent="0.2">
      <c r="AA1154" s="28" t="s">
        <v>288</v>
      </c>
      <c r="AB1154" s="29" t="s">
        <v>696</v>
      </c>
      <c r="AC1154" s="17"/>
      <c r="AD1154" s="18"/>
      <c r="AE1154" s="34"/>
      <c r="AF1154" s="34"/>
      <c r="AG1154" s="34"/>
      <c r="AH1154" s="34"/>
      <c r="AI1154" s="34"/>
      <c r="AJ1154" s="18"/>
      <c r="AK1154" s="18"/>
      <c r="AL1154" s="18"/>
      <c r="AM1154" s="18"/>
      <c r="AN1154" s="18"/>
      <c r="AO1154" s="18"/>
      <c r="AP1154" s="34"/>
      <c r="AQ1154" s="34"/>
      <c r="AR1154" s="34"/>
      <c r="AS1154" s="34"/>
      <c r="AT1154" s="40"/>
      <c r="AU1154" s="18"/>
      <c r="AV1154" s="18"/>
      <c r="AW1154" s="18"/>
      <c r="AX1154" s="18"/>
    </row>
    <row r="1155" spans="1:50" x14ac:dyDescent="0.2">
      <c r="A1155" s="4" t="s">
        <v>55</v>
      </c>
      <c r="B1155" s="4" t="s">
        <v>56</v>
      </c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1" t="s">
        <v>697</v>
      </c>
      <c r="AB1155" s="42" t="s">
        <v>233</v>
      </c>
      <c r="AC1155" s="43" t="s">
        <v>58</v>
      </c>
      <c r="AD1155" s="43">
        <v>5000000000</v>
      </c>
      <c r="AE1155" s="44">
        <v>0</v>
      </c>
      <c r="AF1155" s="44">
        <v>0</v>
      </c>
      <c r="AG1155" s="44">
        <v>0</v>
      </c>
      <c r="AH1155" s="43">
        <v>5000000000</v>
      </c>
      <c r="AI1155" s="43">
        <f t="shared" ref="AI1155" si="512">AE1155-AF1155+AG1155-AH1155</f>
        <v>-5000000000</v>
      </c>
      <c r="AJ1155" s="44">
        <f t="shared" ref="AJ1155" si="513">AD1155+AI1155</f>
        <v>0</v>
      </c>
      <c r="AK1155" s="44">
        <v>0</v>
      </c>
      <c r="AL1155" s="44">
        <v>0</v>
      </c>
      <c r="AM1155" s="44">
        <v>0</v>
      </c>
      <c r="AN1155" s="44">
        <v>0</v>
      </c>
      <c r="AO1155" s="44">
        <v>0</v>
      </c>
      <c r="AP1155" s="44">
        <v>0</v>
      </c>
      <c r="AQ1155" s="44">
        <v>0</v>
      </c>
      <c r="AR1155" s="44">
        <v>0</v>
      </c>
      <c r="AS1155" s="44">
        <v>0</v>
      </c>
      <c r="AT1155" s="40">
        <f t="shared" ref="AT1155:AT1156" si="514">AQ1155+AS1155</f>
        <v>0</v>
      </c>
      <c r="AU1155" s="34">
        <f>AJ1155-AM1155</f>
        <v>0</v>
      </c>
      <c r="AV1155" s="133">
        <f>AM1155-AP1155</f>
        <v>0</v>
      </c>
      <c r="AW1155" s="34">
        <f>AP1155-AT1155</f>
        <v>0</v>
      </c>
      <c r="AX1155" s="123">
        <v>0</v>
      </c>
    </row>
    <row r="1156" spans="1:50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1" t="s">
        <v>1119</v>
      </c>
      <c r="AB1156" s="42" t="s">
        <v>1015</v>
      </c>
      <c r="AC1156" s="43"/>
      <c r="AD1156" s="44">
        <v>0</v>
      </c>
      <c r="AE1156" s="43">
        <v>150000000</v>
      </c>
      <c r="AF1156" s="44">
        <v>0</v>
      </c>
      <c r="AG1156" s="44">
        <v>0</v>
      </c>
      <c r="AH1156" s="43">
        <v>150000000</v>
      </c>
      <c r="AI1156" s="43">
        <f>AE1156-AF1156+AG1156-AH1156</f>
        <v>0</v>
      </c>
      <c r="AJ1156" s="44">
        <f>AD1156+AI1156</f>
        <v>0</v>
      </c>
      <c r="AK1156" s="44">
        <v>0</v>
      </c>
      <c r="AL1156" s="44">
        <v>0</v>
      </c>
      <c r="AM1156" s="44">
        <v>0</v>
      </c>
      <c r="AN1156" s="44">
        <v>0</v>
      </c>
      <c r="AO1156" s="44">
        <v>0</v>
      </c>
      <c r="AP1156" s="44">
        <v>0</v>
      </c>
      <c r="AQ1156" s="44">
        <v>0</v>
      </c>
      <c r="AR1156" s="44">
        <v>0</v>
      </c>
      <c r="AS1156" s="44">
        <v>0</v>
      </c>
      <c r="AT1156" s="40">
        <f t="shared" si="514"/>
        <v>0</v>
      </c>
      <c r="AU1156" s="34">
        <f>AJ1156-AM1156</f>
        <v>0</v>
      </c>
      <c r="AV1156" s="133">
        <f>AM1156-AP1156</f>
        <v>0</v>
      </c>
      <c r="AW1156" s="34">
        <f>AP1156-AT1156</f>
        <v>0</v>
      </c>
      <c r="AX1156" s="123">
        <v>0</v>
      </c>
    </row>
    <row r="1157" spans="1:50" ht="25.5" x14ac:dyDescent="0.2">
      <c r="AA1157" s="28" t="s">
        <v>288</v>
      </c>
      <c r="AB1157" s="29" t="s">
        <v>698</v>
      </c>
      <c r="AC1157" s="17"/>
      <c r="AD1157" s="18"/>
      <c r="AE1157" s="18"/>
      <c r="AF1157" s="18"/>
      <c r="AG1157" s="18"/>
      <c r="AH1157" s="18"/>
      <c r="AI1157" s="18"/>
      <c r="AJ1157" s="18"/>
      <c r="AK1157" s="34"/>
      <c r="AL1157" s="34"/>
      <c r="AM1157" s="34"/>
      <c r="AN1157" s="34"/>
      <c r="AO1157" s="34"/>
      <c r="AP1157" s="34"/>
      <c r="AQ1157" s="18"/>
      <c r="AR1157" s="18"/>
      <c r="AS1157" s="18"/>
      <c r="AT1157" s="39"/>
      <c r="AU1157" s="34"/>
      <c r="AV1157" s="34"/>
      <c r="AW1157" s="34"/>
      <c r="AX1157" s="18"/>
    </row>
    <row r="1158" spans="1:50" x14ac:dyDescent="0.2">
      <c r="A1158" s="4" t="s">
        <v>55</v>
      </c>
      <c r="B1158" s="4" t="s">
        <v>56</v>
      </c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1" t="s">
        <v>699</v>
      </c>
      <c r="AB1158" s="42" t="s">
        <v>233</v>
      </c>
      <c r="AC1158" s="43" t="s">
        <v>58</v>
      </c>
      <c r="AD1158" s="43">
        <v>4500000000</v>
      </c>
      <c r="AE1158" s="44">
        <v>0</v>
      </c>
      <c r="AF1158" s="44">
        <v>0</v>
      </c>
      <c r="AG1158" s="44">
        <v>0</v>
      </c>
      <c r="AH1158" s="44">
        <v>0</v>
      </c>
      <c r="AI1158" s="44">
        <v>0</v>
      </c>
      <c r="AJ1158" s="43">
        <v>4500000000</v>
      </c>
      <c r="AK1158" s="44">
        <v>0</v>
      </c>
      <c r="AL1158" s="44">
        <f>AM1158-JULIO!AM1056</f>
        <v>0</v>
      </c>
      <c r="AM1158" s="43">
        <v>4500000000</v>
      </c>
      <c r="AN1158" s="44">
        <v>0</v>
      </c>
      <c r="AO1158" s="44">
        <v>0</v>
      </c>
      <c r="AP1158" s="44">
        <v>0</v>
      </c>
      <c r="AQ1158" s="44">
        <v>0</v>
      </c>
      <c r="AR1158" s="44">
        <v>0</v>
      </c>
      <c r="AS1158" s="44">
        <v>0</v>
      </c>
      <c r="AT1158" s="40">
        <f t="shared" si="511"/>
        <v>0</v>
      </c>
      <c r="AU1158" s="34">
        <f>AJ1158-AM1158</f>
        <v>0</v>
      </c>
      <c r="AV1158" s="18">
        <f>AM1158-AP1158</f>
        <v>4500000000</v>
      </c>
      <c r="AW1158" s="34">
        <f>AP1158-AT1158</f>
        <v>0</v>
      </c>
      <c r="AX1158" s="123">
        <f>AP1158/AJ1158</f>
        <v>0</v>
      </c>
    </row>
    <row r="1159" spans="1:50" x14ac:dyDescent="0.2">
      <c r="AA1159" s="16"/>
      <c r="AB1159" s="17"/>
      <c r="AC1159" s="17"/>
      <c r="AD1159" s="18"/>
      <c r="AE1159" s="34"/>
      <c r="AF1159" s="34"/>
      <c r="AG1159" s="34"/>
      <c r="AH1159" s="34"/>
      <c r="AI1159" s="34"/>
      <c r="AJ1159" s="18"/>
      <c r="AK1159" s="34"/>
      <c r="AL1159" s="34"/>
      <c r="AM1159" s="34"/>
      <c r="AN1159" s="34"/>
      <c r="AO1159" s="34"/>
      <c r="AP1159" s="34"/>
      <c r="AQ1159" s="34"/>
      <c r="AR1159" s="34"/>
      <c r="AS1159" s="34"/>
      <c r="AT1159" s="31"/>
      <c r="AU1159" s="34"/>
      <c r="AV1159" s="34"/>
      <c r="AW1159" s="34"/>
      <c r="AX1159" s="18"/>
    </row>
    <row r="1160" spans="1:50" ht="25.5" x14ac:dyDescent="0.2">
      <c r="AA1160" s="16"/>
      <c r="AB1160" s="29" t="s">
        <v>197</v>
      </c>
      <c r="AC1160" s="17"/>
      <c r="AD1160" s="18"/>
      <c r="AE1160" s="34"/>
      <c r="AF1160" s="34"/>
      <c r="AG1160" s="34"/>
      <c r="AH1160" s="34"/>
      <c r="AI1160" s="34"/>
      <c r="AJ1160" s="18"/>
      <c r="AK1160" s="34"/>
      <c r="AL1160" s="34"/>
      <c r="AM1160" s="34"/>
      <c r="AN1160" s="34"/>
      <c r="AO1160" s="34"/>
      <c r="AP1160" s="34"/>
      <c r="AQ1160" s="34"/>
      <c r="AR1160" s="34"/>
      <c r="AS1160" s="34"/>
      <c r="AT1160" s="31"/>
      <c r="AU1160" s="34"/>
      <c r="AV1160" s="34"/>
      <c r="AW1160" s="34"/>
      <c r="AX1160" s="18"/>
    </row>
    <row r="1161" spans="1:50" ht="25.5" x14ac:dyDescent="0.2">
      <c r="AA1161" s="28" t="s">
        <v>288</v>
      </c>
      <c r="AB1161" s="29" t="s">
        <v>700</v>
      </c>
      <c r="AC1161" s="17"/>
      <c r="AD1161" s="18"/>
      <c r="AE1161" s="34"/>
      <c r="AF1161" s="34"/>
      <c r="AG1161" s="34"/>
      <c r="AH1161" s="34"/>
      <c r="AI1161" s="34"/>
      <c r="AJ1161" s="18"/>
      <c r="AK1161" s="34"/>
      <c r="AL1161" s="34"/>
      <c r="AM1161" s="34"/>
      <c r="AN1161" s="34"/>
      <c r="AO1161" s="34"/>
      <c r="AP1161" s="34"/>
      <c r="AQ1161" s="34"/>
      <c r="AR1161" s="34"/>
      <c r="AS1161" s="34"/>
      <c r="AT1161" s="31"/>
      <c r="AU1161" s="34"/>
      <c r="AV1161" s="34"/>
      <c r="AW1161" s="34"/>
      <c r="AX1161" s="18"/>
    </row>
    <row r="1162" spans="1:50" x14ac:dyDescent="0.2">
      <c r="A1162" s="4" t="s">
        <v>55</v>
      </c>
      <c r="B1162" s="4" t="s">
        <v>56</v>
      </c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1" t="s">
        <v>701</v>
      </c>
      <c r="AB1162" s="42" t="s">
        <v>233</v>
      </c>
      <c r="AC1162" s="43" t="s">
        <v>58</v>
      </c>
      <c r="AD1162" s="43">
        <v>4500000000</v>
      </c>
      <c r="AE1162" s="44">
        <v>0</v>
      </c>
      <c r="AF1162" s="44">
        <v>0</v>
      </c>
      <c r="AG1162" s="44">
        <v>0</v>
      </c>
      <c r="AH1162" s="44">
        <v>0</v>
      </c>
      <c r="AI1162" s="44">
        <v>0</v>
      </c>
      <c r="AJ1162" s="43">
        <v>4500000000</v>
      </c>
      <c r="AK1162" s="44">
        <v>0</v>
      </c>
      <c r="AL1162" s="44">
        <v>0</v>
      </c>
      <c r="AM1162" s="43">
        <v>4346819231</v>
      </c>
      <c r="AN1162" s="44">
        <v>0</v>
      </c>
      <c r="AO1162" s="43">
        <v>0</v>
      </c>
      <c r="AP1162" s="43">
        <v>1755606000</v>
      </c>
      <c r="AQ1162" s="44">
        <v>0</v>
      </c>
      <c r="AR1162" s="43">
        <v>0</v>
      </c>
      <c r="AS1162" s="43">
        <v>1755606000</v>
      </c>
      <c r="AT1162" s="39">
        <f t="shared" si="511"/>
        <v>1755606000</v>
      </c>
      <c r="AU1162" s="18">
        <f>AJ1162-AM1162</f>
        <v>153180769</v>
      </c>
      <c r="AV1162" s="18">
        <f>AM1162-AP1162</f>
        <v>2591213231</v>
      </c>
      <c r="AW1162" s="34">
        <f>AP1162-AT1162</f>
        <v>0</v>
      </c>
      <c r="AX1162" s="123">
        <f>AP1162/AJ1162</f>
        <v>0.39013466666666669</v>
      </c>
    </row>
    <row r="1163" spans="1:50" x14ac:dyDescent="0.2">
      <c r="AA1163" s="28" t="s">
        <v>288</v>
      </c>
      <c r="AB1163" s="29" t="s">
        <v>400</v>
      </c>
      <c r="AC1163" s="17"/>
      <c r="AD1163" s="18"/>
      <c r="AE1163" s="34"/>
      <c r="AF1163" s="34"/>
      <c r="AG1163" s="34"/>
      <c r="AH1163" s="34"/>
      <c r="AI1163" s="34"/>
      <c r="AJ1163" s="18"/>
      <c r="AK1163" s="34"/>
      <c r="AL1163" s="18"/>
      <c r="AM1163" s="18"/>
      <c r="AN1163" s="34"/>
      <c r="AO1163" s="34"/>
      <c r="AP1163" s="18"/>
      <c r="AQ1163" s="18"/>
      <c r="AR1163" s="18"/>
      <c r="AS1163" s="18"/>
      <c r="AT1163" s="31"/>
      <c r="AU1163" s="18"/>
      <c r="AV1163" s="18"/>
      <c r="AW1163" s="18"/>
      <c r="AX1163" s="18"/>
    </row>
    <row r="1164" spans="1:50" x14ac:dyDescent="0.2">
      <c r="A1164" s="4" t="s">
        <v>55</v>
      </c>
      <c r="B1164" s="4" t="s">
        <v>56</v>
      </c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1" t="s">
        <v>401</v>
      </c>
      <c r="AB1164" s="42" t="s">
        <v>233</v>
      </c>
      <c r="AC1164" s="43" t="s">
        <v>58</v>
      </c>
      <c r="AD1164" s="43">
        <v>4899360013</v>
      </c>
      <c r="AE1164" s="44">
        <v>0</v>
      </c>
      <c r="AF1164" s="44">
        <v>0</v>
      </c>
      <c r="AG1164" s="44">
        <v>0</v>
      </c>
      <c r="AH1164" s="44">
        <v>0</v>
      </c>
      <c r="AI1164" s="44">
        <v>0</v>
      </c>
      <c r="AJ1164" s="43">
        <v>4899360013</v>
      </c>
      <c r="AK1164" s="43">
        <v>0</v>
      </c>
      <c r="AL1164" s="43">
        <v>13000000</v>
      </c>
      <c r="AM1164" s="43">
        <v>4443048627</v>
      </c>
      <c r="AN1164" s="43">
        <v>0</v>
      </c>
      <c r="AO1164" s="43">
        <v>13000000</v>
      </c>
      <c r="AP1164" s="43">
        <v>1940455952</v>
      </c>
      <c r="AQ1164" s="43">
        <v>54650238</v>
      </c>
      <c r="AR1164" s="43">
        <v>148550000</v>
      </c>
      <c r="AS1164" s="43">
        <v>1447828571</v>
      </c>
      <c r="AT1164" s="111">
        <f t="shared" si="511"/>
        <v>1502478809</v>
      </c>
      <c r="AU1164" s="18">
        <f>AJ1164-AM1164</f>
        <v>456311386</v>
      </c>
      <c r="AV1164" s="18">
        <f>AM1164-AP1164</f>
        <v>2502592675</v>
      </c>
      <c r="AW1164" s="18">
        <f>AP1164-AT1164</f>
        <v>437977143</v>
      </c>
      <c r="AX1164" s="123">
        <f>AP1164/AJ1164</f>
        <v>0.39606314842166712</v>
      </c>
    </row>
    <row r="1165" spans="1:50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1" t="s">
        <v>401</v>
      </c>
      <c r="AB1165" s="42" t="s">
        <v>1015</v>
      </c>
      <c r="AC1165" s="43"/>
      <c r="AD1165" s="44">
        <v>0</v>
      </c>
      <c r="AE1165" s="43">
        <v>533723107.06</v>
      </c>
      <c r="AF1165" s="44">
        <v>0</v>
      </c>
      <c r="AG1165" s="44">
        <v>0</v>
      </c>
      <c r="AH1165" s="44">
        <v>0</v>
      </c>
      <c r="AI1165" s="43">
        <f>AE1165-AF1165+AG1165-AH1165</f>
        <v>533723107.06</v>
      </c>
      <c r="AJ1165" s="43">
        <f>AD1165+AI1165</f>
        <v>533723107.06</v>
      </c>
      <c r="AK1165" s="44">
        <v>0</v>
      </c>
      <c r="AL1165" s="44">
        <v>0</v>
      </c>
      <c r="AM1165" s="44">
        <v>0</v>
      </c>
      <c r="AN1165" s="44">
        <v>0</v>
      </c>
      <c r="AO1165" s="44">
        <v>0</v>
      </c>
      <c r="AP1165" s="44">
        <v>0</v>
      </c>
      <c r="AQ1165" s="44">
        <v>0</v>
      </c>
      <c r="AR1165" s="44">
        <v>0</v>
      </c>
      <c r="AS1165" s="44">
        <v>0</v>
      </c>
      <c r="AT1165" s="135">
        <f t="shared" si="511"/>
        <v>0</v>
      </c>
      <c r="AU1165" s="18">
        <f>AJ1165-AM1165</f>
        <v>533723107.06</v>
      </c>
      <c r="AV1165" s="34">
        <f>AM1165-AP1165</f>
        <v>0</v>
      </c>
      <c r="AW1165" s="34">
        <f>AP1165-AT1165</f>
        <v>0</v>
      </c>
      <c r="AX1165" s="123">
        <f>AP1165/AJ1165</f>
        <v>0</v>
      </c>
    </row>
    <row r="1166" spans="1:50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73" t="s">
        <v>288</v>
      </c>
      <c r="AB1166" s="74" t="s">
        <v>292</v>
      </c>
      <c r="AC1166" s="43"/>
      <c r="AD1166" s="44"/>
      <c r="AE1166" s="43"/>
      <c r="AF1166" s="44"/>
      <c r="AG1166" s="44"/>
      <c r="AH1166" s="44"/>
      <c r="AI1166" s="43"/>
      <c r="AJ1166" s="43"/>
      <c r="AK1166" s="44"/>
      <c r="AL1166" s="44"/>
      <c r="AM1166" s="44"/>
      <c r="AN1166" s="44"/>
      <c r="AO1166" s="44"/>
      <c r="AP1166" s="44"/>
      <c r="AQ1166" s="44"/>
      <c r="AR1166" s="44"/>
      <c r="AS1166" s="44"/>
      <c r="AT1166" s="135"/>
      <c r="AU1166" s="18"/>
      <c r="AV1166" s="34"/>
      <c r="AW1166" s="34"/>
      <c r="AX1166" s="123"/>
    </row>
    <row r="1167" spans="1:50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1" t="s">
        <v>1262</v>
      </c>
      <c r="AB1167" s="42" t="s">
        <v>1015</v>
      </c>
      <c r="AC1167" s="43"/>
      <c r="AD1167" s="44">
        <v>0</v>
      </c>
      <c r="AE1167" s="44">
        <v>0</v>
      </c>
      <c r="AF1167" s="44">
        <v>0</v>
      </c>
      <c r="AG1167" s="252">
        <v>15000000</v>
      </c>
      <c r="AH1167" s="44">
        <v>0</v>
      </c>
      <c r="AI1167" s="43">
        <f>AE1167-AF1167+AG1167-AH1167</f>
        <v>15000000</v>
      </c>
      <c r="AJ1167" s="43">
        <f>AD1167+AI1167</f>
        <v>15000000</v>
      </c>
      <c r="AK1167" s="43">
        <v>0</v>
      </c>
      <c r="AL1167" s="43">
        <v>15000000</v>
      </c>
      <c r="AM1167" s="43">
        <v>15000000</v>
      </c>
      <c r="AN1167" s="43">
        <v>0</v>
      </c>
      <c r="AO1167" s="44">
        <v>0</v>
      </c>
      <c r="AP1167" s="44">
        <v>0</v>
      </c>
      <c r="AQ1167" s="44">
        <v>0</v>
      </c>
      <c r="AR1167" s="44">
        <v>0</v>
      </c>
      <c r="AS1167" s="44">
        <v>0</v>
      </c>
      <c r="AT1167" s="135">
        <f t="shared" ref="AT1167" si="515">AQ1167+AS1167</f>
        <v>0</v>
      </c>
      <c r="AU1167" s="18">
        <f>AJ1167-AM1167</f>
        <v>0</v>
      </c>
      <c r="AV1167" s="18">
        <f>AM1167-AP1167</f>
        <v>15000000</v>
      </c>
      <c r="AW1167" s="34">
        <f>AP1167-AT1167</f>
        <v>0</v>
      </c>
      <c r="AX1167" s="123">
        <f>AP1167/AJ1167</f>
        <v>0</v>
      </c>
    </row>
    <row r="1168" spans="1:50" ht="25.5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73" t="s">
        <v>288</v>
      </c>
      <c r="AB1168" s="74" t="s">
        <v>1329</v>
      </c>
      <c r="AC1168" s="43"/>
      <c r="AD1168" s="44"/>
      <c r="AE1168" s="44"/>
      <c r="AF1168" s="44"/>
      <c r="AG1168" s="252"/>
      <c r="AH1168" s="44"/>
      <c r="AI1168" s="43"/>
      <c r="AJ1168" s="43"/>
      <c r="AK1168" s="44"/>
      <c r="AL1168" s="44"/>
      <c r="AM1168" s="44"/>
      <c r="AN1168" s="44"/>
      <c r="AO1168" s="44"/>
      <c r="AP1168" s="44"/>
      <c r="AQ1168" s="44"/>
      <c r="AR1168" s="44"/>
      <c r="AS1168" s="44"/>
      <c r="AT1168" s="135"/>
      <c r="AU1168" s="18"/>
      <c r="AV1168" s="34"/>
      <c r="AW1168" s="34"/>
      <c r="AX1168" s="123"/>
    </row>
    <row r="1169" spans="1:50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1" t="s">
        <v>1358</v>
      </c>
      <c r="AB1169" s="42" t="s">
        <v>233</v>
      </c>
      <c r="AC1169" s="43"/>
      <c r="AD1169" s="44">
        <v>0</v>
      </c>
      <c r="AE1169" s="44">
        <v>0</v>
      </c>
      <c r="AF1169" s="44">
        <v>0</v>
      </c>
      <c r="AG1169" s="43">
        <v>9715720315.3400002</v>
      </c>
      <c r="AH1169" s="44">
        <v>0</v>
      </c>
      <c r="AI1169" s="43">
        <f>AE1169-AF1169+AG1169-AH1169</f>
        <v>9715720315.3400002</v>
      </c>
      <c r="AJ1169" s="43">
        <f>AD1169+AI1169</f>
        <v>9715720315.3400002</v>
      </c>
      <c r="AK1169" s="43">
        <v>0</v>
      </c>
      <c r="AL1169" s="43">
        <v>2211373304</v>
      </c>
      <c r="AM1169" s="43">
        <v>2211373304</v>
      </c>
      <c r="AN1169" s="43">
        <v>0</v>
      </c>
      <c r="AO1169" s="43">
        <v>2211373304</v>
      </c>
      <c r="AP1169" s="43">
        <v>2211373304</v>
      </c>
      <c r="AQ1169" s="43">
        <v>0</v>
      </c>
      <c r="AR1169" s="43">
        <v>1500000000</v>
      </c>
      <c r="AS1169" s="43">
        <v>1500000000</v>
      </c>
      <c r="AT1169" s="39">
        <f>AQ1169+AS1169</f>
        <v>1500000000</v>
      </c>
      <c r="AU1169" s="18">
        <f>AJ1169-AM1169</f>
        <v>7504347011.3400002</v>
      </c>
      <c r="AV1169" s="34">
        <f>AM1169-AP1169</f>
        <v>0</v>
      </c>
      <c r="AW1169" s="18">
        <f>AP1169-AT1169</f>
        <v>711373304</v>
      </c>
      <c r="AX1169" s="123">
        <f>AP1169/AJ1169</f>
        <v>0.22760775652511292</v>
      </c>
    </row>
    <row r="1170" spans="1:50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1" t="s">
        <v>1330</v>
      </c>
      <c r="AB1170" s="42" t="s">
        <v>1015</v>
      </c>
      <c r="AC1170" s="43"/>
      <c r="AD1170" s="44">
        <v>0</v>
      </c>
      <c r="AE1170" s="44">
        <v>0</v>
      </c>
      <c r="AF1170" s="44">
        <v>0</v>
      </c>
      <c r="AG1170" s="43">
        <v>584279684.65999997</v>
      </c>
      <c r="AH1170" s="43">
        <v>330501029</v>
      </c>
      <c r="AI1170" s="43">
        <f>AE1170-AF1170+AG1170-AH1170</f>
        <v>253778655.65999997</v>
      </c>
      <c r="AJ1170" s="43">
        <f>AD1170+AI1170</f>
        <v>253778655.65999997</v>
      </c>
      <c r="AK1170" s="44">
        <v>0</v>
      </c>
      <c r="AL1170" s="44">
        <v>0</v>
      </c>
      <c r="AM1170" s="44">
        <v>0</v>
      </c>
      <c r="AN1170" s="44">
        <v>0</v>
      </c>
      <c r="AO1170" s="44">
        <v>0</v>
      </c>
      <c r="AP1170" s="44">
        <v>0</v>
      </c>
      <c r="AQ1170" s="44">
        <v>0</v>
      </c>
      <c r="AR1170" s="44">
        <v>0</v>
      </c>
      <c r="AS1170" s="44">
        <v>0</v>
      </c>
      <c r="AT1170" s="135">
        <f t="shared" ref="AT1170" si="516">AQ1170+AS1170</f>
        <v>0</v>
      </c>
      <c r="AU1170" s="18">
        <f>AJ1170-AM1170</f>
        <v>253778655.65999997</v>
      </c>
      <c r="AV1170" s="34">
        <f>AM1170-AP1170</f>
        <v>0</v>
      </c>
      <c r="AW1170" s="34">
        <f>AP1170-AT1170</f>
        <v>0</v>
      </c>
      <c r="AX1170" s="123">
        <f>AP1170/AJ1170</f>
        <v>0</v>
      </c>
    </row>
    <row r="1171" spans="1:50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1"/>
      <c r="AB1171" s="42"/>
      <c r="AC1171" s="43"/>
      <c r="AD1171" s="44"/>
      <c r="AE1171" s="43"/>
      <c r="AF1171" s="44"/>
      <c r="AG1171" s="252"/>
      <c r="AH1171" s="44"/>
      <c r="AI1171" s="43"/>
      <c r="AJ1171" s="43"/>
      <c r="AK1171" s="44"/>
      <c r="AL1171" s="44"/>
      <c r="AM1171" s="43"/>
      <c r="AN1171" s="44"/>
      <c r="AO1171" s="44"/>
      <c r="AP1171" s="44"/>
      <c r="AQ1171" s="44"/>
      <c r="AR1171" s="44"/>
      <c r="AS1171" s="44"/>
      <c r="AT1171" s="135"/>
      <c r="AU1171" s="18"/>
      <c r="AV1171" s="34"/>
      <c r="AW1171" s="34"/>
      <c r="AX1171" s="123"/>
    </row>
    <row r="1172" spans="1:50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73" t="s">
        <v>1016</v>
      </c>
      <c r="AB1172" s="74" t="s">
        <v>1068</v>
      </c>
      <c r="AC1172" s="43"/>
      <c r="AD1172" s="44"/>
      <c r="AE1172" s="43"/>
      <c r="AF1172" s="44"/>
      <c r="AG1172" s="44"/>
      <c r="AH1172" s="44"/>
      <c r="AI1172" s="44"/>
      <c r="AJ1172" s="43"/>
      <c r="AK1172" s="44"/>
      <c r="AL1172" s="44"/>
      <c r="AM1172" s="43"/>
      <c r="AN1172" s="44"/>
      <c r="AO1172" s="44"/>
      <c r="AP1172" s="44"/>
      <c r="AQ1172" s="44"/>
      <c r="AR1172" s="44"/>
      <c r="AS1172" s="44"/>
      <c r="AT1172" s="135"/>
      <c r="AU1172" s="18"/>
      <c r="AV1172" s="34"/>
      <c r="AW1172" s="34"/>
      <c r="AX1172" s="123"/>
    </row>
    <row r="1173" spans="1:50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73" t="s">
        <v>1017</v>
      </c>
      <c r="AB1173" s="74" t="s">
        <v>1069</v>
      </c>
      <c r="AC1173" s="43"/>
      <c r="AD1173" s="44"/>
      <c r="AE1173" s="43"/>
      <c r="AF1173" s="44"/>
      <c r="AG1173" s="44"/>
      <c r="AH1173" s="44"/>
      <c r="AI1173" s="44"/>
      <c r="AJ1173" s="43"/>
      <c r="AK1173" s="44"/>
      <c r="AL1173" s="44"/>
      <c r="AM1173" s="43"/>
      <c r="AN1173" s="44"/>
      <c r="AO1173" s="44"/>
      <c r="AP1173" s="44"/>
      <c r="AQ1173" s="44"/>
      <c r="AR1173" s="44"/>
      <c r="AS1173" s="44"/>
      <c r="AT1173" s="135"/>
      <c r="AU1173" s="18"/>
      <c r="AV1173" s="34"/>
      <c r="AW1173" s="34"/>
      <c r="AX1173" s="123"/>
    </row>
    <row r="1174" spans="1:50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73" t="s">
        <v>1018</v>
      </c>
      <c r="AB1174" s="74" t="s">
        <v>286</v>
      </c>
      <c r="AC1174" s="43"/>
      <c r="AD1174" s="44"/>
      <c r="AE1174" s="43"/>
      <c r="AF1174" s="44"/>
      <c r="AG1174" s="44"/>
      <c r="AH1174" s="44"/>
      <c r="AI1174" s="44"/>
      <c r="AJ1174" s="43"/>
      <c r="AK1174" s="44"/>
      <c r="AL1174" s="44"/>
      <c r="AM1174" s="43"/>
      <c r="AN1174" s="44"/>
      <c r="AO1174" s="44"/>
      <c r="AP1174" s="44"/>
      <c r="AQ1174" s="44"/>
      <c r="AR1174" s="44"/>
      <c r="AS1174" s="44"/>
      <c r="AT1174" s="135"/>
      <c r="AU1174" s="18"/>
      <c r="AV1174" s="34"/>
      <c r="AW1174" s="34"/>
      <c r="AX1174" s="123"/>
    </row>
    <row r="1175" spans="1:50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73" t="s">
        <v>1021</v>
      </c>
      <c r="AB1175" s="74" t="s">
        <v>1070</v>
      </c>
      <c r="AC1175" s="43"/>
      <c r="AD1175" s="44"/>
      <c r="AE1175" s="43"/>
      <c r="AF1175" s="44"/>
      <c r="AG1175" s="44"/>
      <c r="AH1175" s="44"/>
      <c r="AI1175" s="44"/>
      <c r="AJ1175" s="43"/>
      <c r="AK1175" s="44"/>
      <c r="AL1175" s="44"/>
      <c r="AM1175" s="43"/>
      <c r="AN1175" s="44"/>
      <c r="AO1175" s="44"/>
      <c r="AP1175" s="44"/>
      <c r="AQ1175" s="44"/>
      <c r="AR1175" s="44"/>
      <c r="AS1175" s="44"/>
      <c r="AT1175" s="135"/>
      <c r="AU1175" s="18"/>
      <c r="AV1175" s="34"/>
      <c r="AW1175" s="34"/>
      <c r="AX1175" s="123"/>
    </row>
    <row r="1176" spans="1:50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1" t="s">
        <v>1019</v>
      </c>
      <c r="AB1176" s="42" t="s">
        <v>1005</v>
      </c>
      <c r="AC1176" s="43"/>
      <c r="AD1176" s="44">
        <v>0</v>
      </c>
      <c r="AE1176" s="43">
        <v>546274807</v>
      </c>
      <c r="AF1176" s="44">
        <v>0</v>
      </c>
      <c r="AG1176" s="44">
        <v>0</v>
      </c>
      <c r="AH1176" s="44">
        <v>0</v>
      </c>
      <c r="AI1176" s="43">
        <f>AE1176-AF1176+AG1176-AH1176</f>
        <v>546274807</v>
      </c>
      <c r="AJ1176" s="43">
        <f>AD1176+AI1176</f>
        <v>546274807</v>
      </c>
      <c r="AK1176" s="44">
        <v>0</v>
      </c>
      <c r="AL1176" s="44">
        <v>0</v>
      </c>
      <c r="AM1176" s="43">
        <v>0</v>
      </c>
      <c r="AN1176" s="44">
        <v>0</v>
      </c>
      <c r="AO1176" s="44">
        <v>0</v>
      </c>
      <c r="AP1176" s="44">
        <v>0</v>
      </c>
      <c r="AQ1176" s="44">
        <v>0</v>
      </c>
      <c r="AR1176" s="44">
        <v>0</v>
      </c>
      <c r="AS1176" s="44">
        <v>0</v>
      </c>
      <c r="AT1176" s="135">
        <f t="shared" ref="AT1176" si="517">AQ1176+AS1176</f>
        <v>0</v>
      </c>
      <c r="AU1176" s="18">
        <f>AJ1176-AM1176</f>
        <v>546274807</v>
      </c>
      <c r="AV1176" s="34">
        <f>AM1176-AP1176</f>
        <v>0</v>
      </c>
      <c r="AW1176" s="34">
        <f>AP1176-AT1176</f>
        <v>0</v>
      </c>
      <c r="AX1176" s="123">
        <f>AP1176/AJ1176</f>
        <v>0</v>
      </c>
    </row>
    <row r="1177" spans="1:50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1"/>
      <c r="AB1177" s="42"/>
      <c r="AC1177" s="43"/>
      <c r="AD1177" s="43"/>
      <c r="AE1177" s="43"/>
      <c r="AF1177" s="44"/>
      <c r="AG1177" s="44"/>
      <c r="AH1177" s="44"/>
      <c r="AI1177" s="44"/>
      <c r="AJ1177" s="43"/>
      <c r="AK1177" s="44"/>
      <c r="AL1177" s="44"/>
      <c r="AM1177" s="43"/>
      <c r="AN1177" s="44"/>
      <c r="AO1177" s="44"/>
      <c r="AP1177" s="43"/>
      <c r="AQ1177" s="43"/>
      <c r="AR1177" s="43"/>
      <c r="AS1177" s="43"/>
      <c r="AT1177" s="111"/>
      <c r="AU1177" s="18"/>
      <c r="AV1177" s="18"/>
      <c r="AW1177" s="18"/>
      <c r="AX1177" s="123"/>
    </row>
    <row r="1178" spans="1:50" s="50" customFormat="1" x14ac:dyDescent="0.2">
      <c r="B1178" s="77"/>
      <c r="C1178" s="77"/>
      <c r="D1178" s="77"/>
      <c r="E1178" s="77"/>
      <c r="F1178" s="77"/>
      <c r="G1178" s="77"/>
      <c r="H1178" s="77"/>
      <c r="I1178" s="77"/>
      <c r="J1178" s="77"/>
      <c r="K1178" s="77"/>
      <c r="L1178" s="77"/>
      <c r="M1178" s="77"/>
      <c r="N1178" s="77"/>
      <c r="O1178" s="77"/>
      <c r="P1178" s="77"/>
      <c r="Q1178" s="77"/>
      <c r="R1178" s="77"/>
      <c r="S1178" s="77"/>
      <c r="T1178" s="77"/>
      <c r="U1178" s="77"/>
      <c r="V1178" s="77"/>
      <c r="W1178" s="77"/>
      <c r="X1178" s="77"/>
      <c r="Y1178" s="77"/>
      <c r="Z1178" s="77"/>
      <c r="AA1178" s="46"/>
      <c r="AB1178" s="47" t="s">
        <v>702</v>
      </c>
      <c r="AC1178" s="47"/>
      <c r="AD1178" s="48">
        <f t="shared" ref="AD1178:AW1178" si="518">SUM(AD1147:AD1177)</f>
        <v>38899360013</v>
      </c>
      <c r="AE1178" s="48">
        <f t="shared" si="518"/>
        <v>2729997914.0599999</v>
      </c>
      <c r="AF1178" s="49">
        <f t="shared" si="518"/>
        <v>0</v>
      </c>
      <c r="AG1178" s="48">
        <f t="shared" si="518"/>
        <v>10315000000</v>
      </c>
      <c r="AH1178" s="48">
        <f t="shared" si="518"/>
        <v>17910780713.66</v>
      </c>
      <c r="AI1178" s="48">
        <f t="shared" si="518"/>
        <v>-4865782799.6000004</v>
      </c>
      <c r="AJ1178" s="48">
        <f t="shared" si="518"/>
        <v>34033577213.400002</v>
      </c>
      <c r="AK1178" s="49">
        <f t="shared" si="518"/>
        <v>0</v>
      </c>
      <c r="AL1178" s="48">
        <f t="shared" si="518"/>
        <v>2258373304</v>
      </c>
      <c r="AM1178" s="48">
        <f t="shared" si="518"/>
        <v>24462741662</v>
      </c>
      <c r="AN1178" s="49">
        <f t="shared" si="518"/>
        <v>0</v>
      </c>
      <c r="AO1178" s="48">
        <f t="shared" si="518"/>
        <v>2243373304</v>
      </c>
      <c r="AP1178" s="48">
        <f t="shared" si="518"/>
        <v>14853935756</v>
      </c>
      <c r="AQ1178" s="48">
        <f t="shared" si="518"/>
        <v>54650238</v>
      </c>
      <c r="AR1178" s="48">
        <f t="shared" si="518"/>
        <v>1667550000</v>
      </c>
      <c r="AS1178" s="48">
        <f t="shared" si="518"/>
        <v>13649935071</v>
      </c>
      <c r="AT1178" s="48">
        <f t="shared" si="518"/>
        <v>13704585309</v>
      </c>
      <c r="AU1178" s="48">
        <f t="shared" si="518"/>
        <v>9570835551.3999996</v>
      </c>
      <c r="AV1178" s="48">
        <f t="shared" si="518"/>
        <v>9608805906</v>
      </c>
      <c r="AW1178" s="48">
        <f t="shared" si="518"/>
        <v>1149350447</v>
      </c>
      <c r="AX1178" s="24">
        <f>AP1178/AJ1178</f>
        <v>0.43644944117574502</v>
      </c>
    </row>
    <row r="1179" spans="1:50" x14ac:dyDescent="0.2">
      <c r="AA1179" s="16"/>
      <c r="AB1179" s="17"/>
      <c r="AC1179" s="17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</row>
    <row r="1180" spans="1:50" s="25" customFormat="1" x14ac:dyDescent="0.2">
      <c r="B1180" s="71"/>
      <c r="C1180" s="71"/>
      <c r="D1180" s="71"/>
      <c r="E1180" s="71"/>
      <c r="F1180" s="71"/>
      <c r="G1180" s="71"/>
      <c r="H1180" s="71"/>
      <c r="I1180" s="71"/>
      <c r="J1180" s="71"/>
      <c r="K1180" s="71"/>
      <c r="L1180" s="71"/>
      <c r="M1180" s="71"/>
      <c r="N1180" s="71"/>
      <c r="O1180" s="71"/>
      <c r="P1180" s="71"/>
      <c r="Q1180" s="71"/>
      <c r="R1180" s="71"/>
      <c r="S1180" s="71"/>
      <c r="T1180" s="71"/>
      <c r="U1180" s="71"/>
      <c r="V1180" s="71"/>
      <c r="W1180" s="71"/>
      <c r="X1180" s="71"/>
      <c r="Y1180" s="71"/>
      <c r="Z1180" s="71"/>
      <c r="AA1180" s="66"/>
      <c r="AB1180" s="21" t="s">
        <v>703</v>
      </c>
      <c r="AC1180" s="67"/>
      <c r="AD1180" s="63"/>
      <c r="AE1180" s="63"/>
      <c r="AF1180" s="63"/>
      <c r="AG1180" s="63"/>
      <c r="AH1180" s="63"/>
      <c r="AI1180" s="63"/>
      <c r="AJ1180" s="63"/>
      <c r="AK1180" s="63"/>
      <c r="AL1180" s="63"/>
      <c r="AM1180" s="63"/>
      <c r="AN1180" s="63"/>
      <c r="AO1180" s="63"/>
      <c r="AP1180" s="63"/>
      <c r="AQ1180" s="63"/>
      <c r="AR1180" s="63"/>
      <c r="AS1180" s="63"/>
      <c r="AT1180" s="63"/>
      <c r="AU1180" s="63"/>
      <c r="AV1180" s="63"/>
      <c r="AW1180" s="63"/>
      <c r="AX1180" s="63"/>
    </row>
    <row r="1181" spans="1:50" x14ac:dyDescent="0.2">
      <c r="AA1181" s="16"/>
      <c r="AB1181" s="29" t="s">
        <v>676</v>
      </c>
      <c r="AC1181" s="17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</row>
    <row r="1182" spans="1:50" ht="18.75" customHeight="1" x14ac:dyDescent="0.2">
      <c r="AA1182" s="16"/>
      <c r="AB1182" s="29" t="s">
        <v>286</v>
      </c>
      <c r="AC1182" s="17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</row>
    <row r="1183" spans="1:50" ht="18.75" customHeight="1" x14ac:dyDescent="0.2">
      <c r="AA1183" s="16"/>
      <c r="AB1183" s="29" t="s">
        <v>179</v>
      </c>
      <c r="AC1183" s="17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</row>
    <row r="1184" spans="1:50" ht="18.75" customHeight="1" x14ac:dyDescent="0.2">
      <c r="AA1184" s="16"/>
      <c r="AB1184" s="29" t="s">
        <v>189</v>
      </c>
      <c r="AC1184" s="17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</row>
    <row r="1185" spans="1:50" ht="18.75" customHeight="1" x14ac:dyDescent="0.2">
      <c r="AA1185" s="73" t="s">
        <v>288</v>
      </c>
      <c r="AB1185" s="29" t="s">
        <v>292</v>
      </c>
      <c r="AC1185" s="17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</row>
    <row r="1186" spans="1:50" ht="18.75" customHeight="1" x14ac:dyDescent="0.2">
      <c r="AA1186" s="41" t="s">
        <v>1262</v>
      </c>
      <c r="AB1186" s="38" t="s">
        <v>1015</v>
      </c>
      <c r="AC1186" s="17"/>
      <c r="AD1186" s="34">
        <v>0</v>
      </c>
      <c r="AE1186" s="34">
        <v>0</v>
      </c>
      <c r="AF1186" s="34">
        <v>0</v>
      </c>
      <c r="AG1186" s="18">
        <v>235000000</v>
      </c>
      <c r="AH1186" s="18">
        <v>0</v>
      </c>
      <c r="AI1186" s="43">
        <f>AE1186-AF1186+AG1186-AH1186</f>
        <v>235000000</v>
      </c>
      <c r="AJ1186" s="43">
        <f>AD1186+AI1186</f>
        <v>235000000</v>
      </c>
      <c r="AK1186" s="18">
        <v>0</v>
      </c>
      <c r="AL1186" s="18">
        <v>102667426.91</v>
      </c>
      <c r="AM1186" s="18">
        <v>102667426.91</v>
      </c>
      <c r="AN1186" s="18">
        <v>0</v>
      </c>
      <c r="AO1186" s="34">
        <v>0</v>
      </c>
      <c r="AP1186" s="34">
        <v>0</v>
      </c>
      <c r="AQ1186" s="34">
        <v>0</v>
      </c>
      <c r="AR1186" s="34">
        <v>0</v>
      </c>
      <c r="AS1186" s="34">
        <v>0</v>
      </c>
      <c r="AT1186" s="135">
        <f t="shared" ref="AT1186" si="519">AQ1186+AS1186</f>
        <v>0</v>
      </c>
      <c r="AU1186" s="18">
        <f>AJ1186-AM1186</f>
        <v>132332573.09</v>
      </c>
      <c r="AV1186" s="18">
        <f>AM1186-AP1186</f>
        <v>102667426.91</v>
      </c>
      <c r="AW1186" s="34">
        <f>AP1186-AT1186</f>
        <v>0</v>
      </c>
      <c r="AX1186" s="123">
        <f>AP1186/AJ1186</f>
        <v>0</v>
      </c>
    </row>
    <row r="1187" spans="1:50" ht="18.75" customHeight="1" x14ac:dyDescent="0.2">
      <c r="AA1187" s="16"/>
      <c r="AB1187" s="29" t="s">
        <v>199</v>
      </c>
      <c r="AC1187" s="17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34"/>
      <c r="AO1187" s="18"/>
      <c r="AP1187" s="18"/>
      <c r="AQ1187" s="18"/>
      <c r="AR1187" s="18"/>
      <c r="AS1187" s="18"/>
      <c r="AT1187" s="30"/>
      <c r="AU1187" s="18"/>
      <c r="AV1187" s="18"/>
      <c r="AW1187" s="18"/>
      <c r="AX1187" s="18"/>
    </row>
    <row r="1188" spans="1:50" ht="39" customHeight="1" x14ac:dyDescent="0.2">
      <c r="AA1188" s="170" t="s">
        <v>288</v>
      </c>
      <c r="AB1188" s="165" t="s">
        <v>1124</v>
      </c>
      <c r="AC1188" s="161"/>
      <c r="AD1188" s="18"/>
      <c r="AE1188" s="222"/>
      <c r="AF1188" s="18"/>
      <c r="AG1188" s="18"/>
      <c r="AH1188" s="18"/>
      <c r="AI1188" s="18"/>
      <c r="AJ1188" s="18"/>
      <c r="AK1188" s="18"/>
      <c r="AL1188" s="18"/>
      <c r="AM1188" s="18"/>
      <c r="AN1188" s="34"/>
      <c r="AO1188" s="18"/>
      <c r="AP1188" s="18"/>
      <c r="AQ1188" s="18"/>
      <c r="AR1188" s="18"/>
      <c r="AS1188" s="18"/>
      <c r="AT1188" s="30"/>
      <c r="AU1188" s="18"/>
      <c r="AV1188" s="18"/>
      <c r="AW1188" s="18"/>
      <c r="AX1188" s="18"/>
    </row>
    <row r="1189" spans="1:50" ht="28.5" customHeight="1" x14ac:dyDescent="0.2">
      <c r="AA1189" s="166" t="s">
        <v>1129</v>
      </c>
      <c r="AB1189" s="167" t="s">
        <v>1130</v>
      </c>
      <c r="AC1189" s="161"/>
      <c r="AD1189" s="34">
        <v>0</v>
      </c>
      <c r="AE1189" s="217">
        <v>13266452.33</v>
      </c>
      <c r="AF1189" s="232">
        <v>0</v>
      </c>
      <c r="AG1189" s="34">
        <v>0</v>
      </c>
      <c r="AH1189" s="34">
        <v>0</v>
      </c>
      <c r="AI1189" s="43">
        <f>AE1189-AF1189+AG1189-AH1189</f>
        <v>13266452.33</v>
      </c>
      <c r="AJ1189" s="43">
        <f>AD1189+AI1189</f>
        <v>13266452.33</v>
      </c>
      <c r="AK1189" s="34">
        <v>0</v>
      </c>
      <c r="AL1189" s="34">
        <v>0</v>
      </c>
      <c r="AM1189" s="18">
        <v>12251120</v>
      </c>
      <c r="AN1189" s="34">
        <v>0</v>
      </c>
      <c r="AO1189" s="34">
        <v>0</v>
      </c>
      <c r="AP1189" s="18">
        <v>12251120</v>
      </c>
      <c r="AQ1189" s="34">
        <v>0</v>
      </c>
      <c r="AR1189" s="18">
        <v>293333</v>
      </c>
      <c r="AS1189" s="18">
        <v>293333</v>
      </c>
      <c r="AT1189" s="39">
        <f t="shared" ref="AT1189:AT1191" si="520">AQ1189+AS1189</f>
        <v>293333</v>
      </c>
      <c r="AU1189" s="18">
        <f>AJ1189-AM1189</f>
        <v>1015332.3300000001</v>
      </c>
      <c r="AV1189" s="34">
        <f>AM1189-AP1189</f>
        <v>0</v>
      </c>
      <c r="AW1189" s="18">
        <f>AP1189-AT1189</f>
        <v>11957787</v>
      </c>
      <c r="AX1189" s="123">
        <f>AP1189/AJ1189</f>
        <v>0.92346617582878687</v>
      </c>
    </row>
    <row r="1190" spans="1:50" ht="18.75" customHeight="1" x14ac:dyDescent="0.2">
      <c r="AA1190" s="166" t="s">
        <v>1127</v>
      </c>
      <c r="AB1190" s="167" t="s">
        <v>1128</v>
      </c>
      <c r="AC1190" s="161"/>
      <c r="AD1190" s="34">
        <v>0</v>
      </c>
      <c r="AE1190" s="217">
        <v>10555526.43</v>
      </c>
      <c r="AF1190" s="232">
        <v>0</v>
      </c>
      <c r="AG1190" s="34">
        <v>0</v>
      </c>
      <c r="AH1190" s="34">
        <v>0</v>
      </c>
      <c r="AI1190" s="43">
        <f>AE1190-AF1190+AG1190-AH1190</f>
        <v>10555526.43</v>
      </c>
      <c r="AJ1190" s="43">
        <f>AD1190+AI1190</f>
        <v>10555526.43</v>
      </c>
      <c r="AK1190" s="34">
        <v>0</v>
      </c>
      <c r="AL1190" s="34">
        <v>0</v>
      </c>
      <c r="AM1190" s="18">
        <v>6600000</v>
      </c>
      <c r="AN1190" s="34">
        <v>0</v>
      </c>
      <c r="AO1190" s="34">
        <v>0</v>
      </c>
      <c r="AP1190" s="18">
        <v>6600000</v>
      </c>
      <c r="AQ1190" s="34">
        <v>513333</v>
      </c>
      <c r="AR1190" s="34">
        <v>0</v>
      </c>
      <c r="AS1190" s="34">
        <v>0</v>
      </c>
      <c r="AT1190" s="39">
        <f t="shared" si="520"/>
        <v>513333</v>
      </c>
      <c r="AU1190" s="18">
        <f>AJ1190-AM1190</f>
        <v>3955526.4299999997</v>
      </c>
      <c r="AV1190" s="34">
        <f>AM1190-AP1190</f>
        <v>0</v>
      </c>
      <c r="AW1190" s="18">
        <f>AP1190-AT1190</f>
        <v>6086667</v>
      </c>
      <c r="AX1190" s="123">
        <f>AP1190/AJ1190</f>
        <v>0.62526488316509288</v>
      </c>
    </row>
    <row r="1191" spans="1:50" ht="25.5" customHeight="1" x14ac:dyDescent="0.2">
      <c r="AA1191" s="166" t="s">
        <v>1125</v>
      </c>
      <c r="AB1191" s="167" t="s">
        <v>1126</v>
      </c>
      <c r="AC1191" s="161"/>
      <c r="AD1191" s="34">
        <v>0</v>
      </c>
      <c r="AE1191" s="217">
        <v>4178021.24</v>
      </c>
      <c r="AF1191" s="232">
        <v>0</v>
      </c>
      <c r="AG1191" s="34">
        <v>0</v>
      </c>
      <c r="AH1191" s="34">
        <v>0</v>
      </c>
      <c r="AI1191" s="43">
        <f t="shared" ref="AI1191" si="521">AE1191-AF1191+AG1191-AH1191</f>
        <v>4178021.24</v>
      </c>
      <c r="AJ1191" s="43">
        <f t="shared" ref="AJ1191" si="522">AD1191+AI1191</f>
        <v>4178021.24</v>
      </c>
      <c r="AK1191" s="34">
        <v>0</v>
      </c>
      <c r="AL1191" s="34">
        <v>0</v>
      </c>
      <c r="AM1191" s="18">
        <v>3148880</v>
      </c>
      <c r="AN1191" s="34">
        <v>0</v>
      </c>
      <c r="AO1191" s="34">
        <v>0</v>
      </c>
      <c r="AP1191" s="18">
        <v>3148880</v>
      </c>
      <c r="AQ1191" s="34">
        <v>0</v>
      </c>
      <c r="AR1191" s="18">
        <v>2200000</v>
      </c>
      <c r="AS1191" s="18">
        <v>2640000</v>
      </c>
      <c r="AT1191" s="39">
        <f t="shared" si="520"/>
        <v>2640000</v>
      </c>
      <c r="AU1191" s="18">
        <f>AJ1191-AM1191</f>
        <v>1029141.2400000002</v>
      </c>
      <c r="AV1191" s="133">
        <f>AM1191-AP1191</f>
        <v>0</v>
      </c>
      <c r="AW1191" s="18">
        <f>AP1191-AT1191</f>
        <v>508880</v>
      </c>
      <c r="AX1191" s="123">
        <f>AP1191/AJ1191</f>
        <v>0.75367735564695215</v>
      </c>
    </row>
    <row r="1192" spans="1:50" x14ac:dyDescent="0.2">
      <c r="AA1192" s="28" t="s">
        <v>288</v>
      </c>
      <c r="AB1192" s="29" t="s">
        <v>704</v>
      </c>
      <c r="AC1192" s="17"/>
      <c r="AD1192" s="18"/>
      <c r="AE1192" s="18"/>
      <c r="AF1192" s="18"/>
      <c r="AG1192" s="18"/>
      <c r="AH1192" s="18"/>
      <c r="AI1192" s="18"/>
      <c r="AJ1192" s="18"/>
      <c r="AK1192" s="34"/>
      <c r="AL1192" s="34"/>
      <c r="AM1192" s="34"/>
      <c r="AN1192" s="34"/>
      <c r="AO1192" s="34"/>
      <c r="AP1192" s="34"/>
      <c r="AQ1192" s="34"/>
      <c r="AR1192" s="34"/>
      <c r="AS1192" s="34"/>
      <c r="AT1192" s="31"/>
      <c r="AU1192" s="18"/>
      <c r="AV1192" s="34"/>
      <c r="AW1192" s="18"/>
      <c r="AX1192" s="18"/>
    </row>
    <row r="1193" spans="1:50" x14ac:dyDescent="0.2">
      <c r="A1193" s="4" t="s">
        <v>55</v>
      </c>
      <c r="B1193" s="4" t="s">
        <v>56</v>
      </c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1" t="s">
        <v>705</v>
      </c>
      <c r="AB1193" s="42" t="s">
        <v>233</v>
      </c>
      <c r="AC1193" s="43" t="s">
        <v>58</v>
      </c>
      <c r="AD1193" s="43">
        <v>221000000</v>
      </c>
      <c r="AE1193" s="44">
        <v>0</v>
      </c>
      <c r="AF1193" s="44">
        <v>0</v>
      </c>
      <c r="AG1193" s="44">
        <v>0</v>
      </c>
      <c r="AH1193" s="43">
        <v>221000000</v>
      </c>
      <c r="AI1193" s="136">
        <f>AE1193-AF1193+AG1193-AH1193</f>
        <v>-221000000</v>
      </c>
      <c r="AJ1193" s="44">
        <f>AD1193+AI1193</f>
        <v>0</v>
      </c>
      <c r="AK1193" s="44">
        <v>0</v>
      </c>
      <c r="AL1193" s="44">
        <v>0</v>
      </c>
      <c r="AM1193" s="44">
        <v>0</v>
      </c>
      <c r="AN1193" s="44">
        <v>0</v>
      </c>
      <c r="AO1193" s="44">
        <v>0</v>
      </c>
      <c r="AP1193" s="44">
        <v>0</v>
      </c>
      <c r="AQ1193" s="44">
        <v>0</v>
      </c>
      <c r="AR1193" s="44">
        <v>0</v>
      </c>
      <c r="AS1193" s="44">
        <v>0</v>
      </c>
      <c r="AT1193" s="40">
        <f t="shared" ref="AT1193:AT1199" si="523">AQ1193+AS1193</f>
        <v>0</v>
      </c>
      <c r="AU1193" s="34">
        <f>AJ1193-AM1193</f>
        <v>0</v>
      </c>
      <c r="AV1193" s="133">
        <f>AM1193-AP1193</f>
        <v>0</v>
      </c>
      <c r="AW1193" s="34">
        <f>AP1193-AT1193</f>
        <v>0</v>
      </c>
      <c r="AX1193" s="123">
        <v>0</v>
      </c>
    </row>
    <row r="1194" spans="1:50" ht="25.5" x14ac:dyDescent="0.2">
      <c r="AA1194" s="28" t="s">
        <v>288</v>
      </c>
      <c r="AB1194" s="29" t="s">
        <v>706</v>
      </c>
      <c r="AC1194" s="17"/>
      <c r="AD1194" s="18"/>
      <c r="AE1194" s="34"/>
      <c r="AF1194" s="34"/>
      <c r="AG1194" s="34"/>
      <c r="AH1194" s="18"/>
      <c r="AI1194" s="18"/>
      <c r="AJ1194" s="18"/>
      <c r="AK1194" s="34"/>
      <c r="AL1194" s="34"/>
      <c r="AM1194" s="18"/>
      <c r="AN1194" s="18"/>
      <c r="AO1194" s="18"/>
      <c r="AP1194" s="18"/>
      <c r="AQ1194" s="18"/>
      <c r="AR1194" s="18"/>
      <c r="AS1194" s="18"/>
      <c r="AT1194" s="31"/>
      <c r="AU1194" s="18"/>
      <c r="AV1194" s="34"/>
      <c r="AW1194" s="18"/>
      <c r="AX1194" s="18"/>
    </row>
    <row r="1195" spans="1:50" x14ac:dyDescent="0.2">
      <c r="A1195" s="4" t="s">
        <v>55</v>
      </c>
      <c r="B1195" s="4" t="s">
        <v>56</v>
      </c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1" t="s">
        <v>982</v>
      </c>
      <c r="AB1195" s="42" t="s">
        <v>233</v>
      </c>
      <c r="AC1195" s="43" t="s">
        <v>58</v>
      </c>
      <c r="AD1195" s="43">
        <v>2458264706</v>
      </c>
      <c r="AE1195" s="44">
        <v>0</v>
      </c>
      <c r="AF1195" s="44">
        <v>0</v>
      </c>
      <c r="AG1195" s="44">
        <v>0</v>
      </c>
      <c r="AH1195" s="44">
        <v>0</v>
      </c>
      <c r="AI1195" s="97">
        <f>AE1195-AF1195+AG1195-AH1195</f>
        <v>0</v>
      </c>
      <c r="AJ1195" s="43">
        <f>AD1195+AI1195</f>
        <v>2458264706</v>
      </c>
      <c r="AK1195" s="44">
        <v>0</v>
      </c>
      <c r="AL1195" s="44">
        <v>0</v>
      </c>
      <c r="AM1195" s="43">
        <v>2432623482</v>
      </c>
      <c r="AN1195" s="43">
        <v>0</v>
      </c>
      <c r="AO1195" s="43">
        <v>0</v>
      </c>
      <c r="AP1195" s="43">
        <v>2432623482</v>
      </c>
      <c r="AQ1195" s="43">
        <v>71296000</v>
      </c>
      <c r="AR1195" s="43">
        <v>327923403</v>
      </c>
      <c r="AS1195" s="43">
        <v>1224823910</v>
      </c>
      <c r="AT1195" s="111">
        <f t="shared" si="523"/>
        <v>1296119910</v>
      </c>
      <c r="AU1195" s="18">
        <f>AJ1195-AM1195</f>
        <v>25641224</v>
      </c>
      <c r="AV1195" s="34">
        <f>AM1195-AP1195</f>
        <v>0</v>
      </c>
      <c r="AW1195" s="18">
        <f>AP1195-AT1195</f>
        <v>1136503572</v>
      </c>
      <c r="AX1195" s="123">
        <f>AP1195/AJ1195</f>
        <v>0.98956938040992237</v>
      </c>
    </row>
    <row r="1196" spans="1:50" ht="38.25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73" t="s">
        <v>288</v>
      </c>
      <c r="AB1196" s="74" t="s">
        <v>1122</v>
      </c>
      <c r="AC1196" s="43"/>
      <c r="AD1196" s="43"/>
      <c r="AE1196" s="44"/>
      <c r="AF1196" s="44"/>
      <c r="AG1196" s="44"/>
      <c r="AH1196" s="44"/>
      <c r="AI1196" s="97"/>
      <c r="AJ1196" s="43"/>
      <c r="AK1196" s="44"/>
      <c r="AL1196" s="44"/>
      <c r="AM1196" s="43"/>
      <c r="AN1196" s="44"/>
      <c r="AO1196" s="43"/>
      <c r="AP1196" s="43"/>
      <c r="AQ1196" s="43"/>
      <c r="AR1196" s="43"/>
      <c r="AS1196" s="43"/>
      <c r="AT1196" s="111"/>
      <c r="AU1196" s="18"/>
      <c r="AV1196" s="133"/>
      <c r="AW1196" s="18"/>
      <c r="AX1196" s="123"/>
    </row>
    <row r="1197" spans="1:50" ht="25.5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1" t="s">
        <v>1123</v>
      </c>
      <c r="AB1197" s="42" t="s">
        <v>1121</v>
      </c>
      <c r="AC1197" s="43"/>
      <c r="AD1197" s="44">
        <v>0</v>
      </c>
      <c r="AE1197" s="43">
        <v>3500000</v>
      </c>
      <c r="AF1197" s="44">
        <v>0</v>
      </c>
      <c r="AG1197" s="44">
        <v>0</v>
      </c>
      <c r="AH1197" s="44">
        <v>0</v>
      </c>
      <c r="AI1197" s="136">
        <f>AE1197-AF1197+AG1197-AH1197</f>
        <v>3500000</v>
      </c>
      <c r="AJ1197" s="43">
        <f>AD1197+AI1197</f>
        <v>3500000</v>
      </c>
      <c r="AK1197" s="44">
        <v>0</v>
      </c>
      <c r="AL1197" s="44">
        <v>0</v>
      </c>
      <c r="AM1197" s="43">
        <v>0</v>
      </c>
      <c r="AN1197" s="44">
        <v>0</v>
      </c>
      <c r="AO1197" s="44">
        <v>0</v>
      </c>
      <c r="AP1197" s="44">
        <v>0</v>
      </c>
      <c r="AQ1197" s="44">
        <v>0</v>
      </c>
      <c r="AR1197" s="44">
        <v>0</v>
      </c>
      <c r="AS1197" s="44">
        <v>0</v>
      </c>
      <c r="AT1197" s="135"/>
      <c r="AU1197" s="18">
        <f>AJ1197-AM1197</f>
        <v>3500000</v>
      </c>
      <c r="AV1197" s="133">
        <f>AM1197-AP1197</f>
        <v>0</v>
      </c>
      <c r="AW1197" s="34">
        <f>AP1197-AT1197</f>
        <v>0</v>
      </c>
      <c r="AX1197" s="123">
        <f>AP1197/AJ1197</f>
        <v>0</v>
      </c>
    </row>
    <row r="1198" spans="1:50" ht="25.5" x14ac:dyDescent="0.2">
      <c r="AA1198" s="28" t="s">
        <v>288</v>
      </c>
      <c r="AB1198" s="29" t="s">
        <v>708</v>
      </c>
      <c r="AC1198" s="17"/>
      <c r="AD1198" s="18"/>
      <c r="AE1198" s="34"/>
      <c r="AF1198" s="34"/>
      <c r="AG1198" s="34"/>
      <c r="AH1198" s="18"/>
      <c r="AI1198" s="18"/>
      <c r="AJ1198" s="18"/>
      <c r="AK1198" s="34"/>
      <c r="AL1198" s="34"/>
      <c r="AM1198" s="18"/>
      <c r="AN1198" s="34"/>
      <c r="AO1198" s="18"/>
      <c r="AP1198" s="18"/>
      <c r="AQ1198" s="18"/>
      <c r="AR1198" s="18"/>
      <c r="AS1198" s="18"/>
      <c r="AT1198" s="31"/>
      <c r="AU1198" s="18"/>
      <c r="AV1198" s="18"/>
      <c r="AW1198" s="18"/>
      <c r="AX1198" s="18"/>
    </row>
    <row r="1199" spans="1:50" x14ac:dyDescent="0.2">
      <c r="A1199" s="4" t="s">
        <v>55</v>
      </c>
      <c r="B1199" s="4" t="s">
        <v>56</v>
      </c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1" t="s">
        <v>709</v>
      </c>
      <c r="AB1199" s="42" t="s">
        <v>233</v>
      </c>
      <c r="AC1199" s="43" t="s">
        <v>58</v>
      </c>
      <c r="AD1199" s="43">
        <v>501500000</v>
      </c>
      <c r="AE1199" s="44">
        <v>0</v>
      </c>
      <c r="AF1199" s="44">
        <v>0</v>
      </c>
      <c r="AG1199" s="43">
        <v>204500000</v>
      </c>
      <c r="AH1199" s="43">
        <v>501500000</v>
      </c>
      <c r="AI1199" s="136">
        <f>AE1199-AF1199+AG1199-AH1199</f>
        <v>-297000000</v>
      </c>
      <c r="AJ1199" s="43">
        <f>AD1199+AI1199</f>
        <v>204500000</v>
      </c>
      <c r="AK1199" s="44">
        <v>0</v>
      </c>
      <c r="AL1199" s="43">
        <v>8250000</v>
      </c>
      <c r="AM1199" s="43">
        <v>200643333</v>
      </c>
      <c r="AN1199" s="43">
        <v>0</v>
      </c>
      <c r="AO1199" s="43">
        <v>8250000</v>
      </c>
      <c r="AP1199" s="43">
        <v>200643333</v>
      </c>
      <c r="AQ1199" s="43">
        <v>13300000</v>
      </c>
      <c r="AR1199" s="43">
        <v>22480000</v>
      </c>
      <c r="AS1199" s="43">
        <v>123883334</v>
      </c>
      <c r="AT1199" s="39">
        <f t="shared" si="523"/>
        <v>137183334</v>
      </c>
      <c r="AU1199" s="18">
        <f>AJ1199-AM1199</f>
        <v>3856667</v>
      </c>
      <c r="AV1199" s="34">
        <f>AM1199-AP1199</f>
        <v>0</v>
      </c>
      <c r="AW1199" s="18">
        <f>AP1199-AT1199</f>
        <v>63459999</v>
      </c>
      <c r="AX1199" s="123">
        <f>AP1199/AJ1199</f>
        <v>0.98114099266503663</v>
      </c>
    </row>
    <row r="1200" spans="1:50" x14ac:dyDescent="0.2">
      <c r="AA1200" s="28" t="s">
        <v>288</v>
      </c>
      <c r="AB1200" s="29" t="s">
        <v>710</v>
      </c>
      <c r="AC1200" s="17"/>
      <c r="AD1200" s="18"/>
      <c r="AE1200" s="18"/>
      <c r="AF1200" s="18"/>
      <c r="AG1200" s="18"/>
      <c r="AH1200" s="18"/>
      <c r="AI1200" s="18"/>
      <c r="AJ1200" s="18"/>
      <c r="AK1200" s="34"/>
      <c r="AL1200" s="34"/>
      <c r="AM1200" s="18"/>
      <c r="AN1200" s="34"/>
      <c r="AO1200" s="18"/>
      <c r="AP1200" s="18"/>
      <c r="AQ1200" s="18"/>
      <c r="AR1200" s="18"/>
      <c r="AS1200" s="18"/>
      <c r="AT1200" s="31"/>
      <c r="AU1200" s="18"/>
      <c r="AV1200" s="34"/>
      <c r="AW1200" s="34"/>
      <c r="AX1200" s="18"/>
    </row>
    <row r="1201" spans="1:50" ht="16.5" customHeight="1" x14ac:dyDescent="0.2">
      <c r="A1201" s="4" t="s">
        <v>55</v>
      </c>
      <c r="B1201" s="4" t="s">
        <v>56</v>
      </c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1" t="s">
        <v>711</v>
      </c>
      <c r="AB1201" s="17" t="s">
        <v>233</v>
      </c>
      <c r="AC1201" s="43" t="s">
        <v>58</v>
      </c>
      <c r="AD1201" s="44">
        <v>0</v>
      </c>
      <c r="AE1201" s="44">
        <v>0</v>
      </c>
      <c r="AF1201" s="44">
        <v>0</v>
      </c>
      <c r="AG1201" s="43">
        <v>3086332698</v>
      </c>
      <c r="AH1201" s="44">
        <v>0</v>
      </c>
      <c r="AI1201" s="136">
        <f>AE1201-AF1201+AG1201-AH1201</f>
        <v>3086332698</v>
      </c>
      <c r="AJ1201" s="43">
        <f>AD1201+AI1201</f>
        <v>3086332698</v>
      </c>
      <c r="AK1201" s="44">
        <v>0</v>
      </c>
      <c r="AL1201" s="43">
        <v>2431868628</v>
      </c>
      <c r="AM1201" s="43">
        <v>2431868628</v>
      </c>
      <c r="AN1201" s="43">
        <v>0</v>
      </c>
      <c r="AO1201" s="44">
        <v>0</v>
      </c>
      <c r="AP1201" s="44">
        <v>0</v>
      </c>
      <c r="AQ1201" s="44">
        <v>0</v>
      </c>
      <c r="AR1201" s="44">
        <v>0</v>
      </c>
      <c r="AS1201" s="44">
        <v>0</v>
      </c>
      <c r="AT1201" s="40">
        <f t="shared" ref="AT1201:AT1202" si="524">AQ1201+AS1201</f>
        <v>0</v>
      </c>
      <c r="AU1201" s="18">
        <f>AJ1201-AM1201</f>
        <v>654464070</v>
      </c>
      <c r="AV1201" s="18">
        <f>AM1201-AP1201</f>
        <v>2431868628</v>
      </c>
      <c r="AW1201" s="34">
        <f>AP1201-AT1201</f>
        <v>0</v>
      </c>
      <c r="AX1201" s="123">
        <f>AP1201/AJ1201</f>
        <v>0</v>
      </c>
    </row>
    <row r="1202" spans="1:50" ht="16.5" customHeight="1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166" t="s">
        <v>1131</v>
      </c>
      <c r="AB1202" s="167" t="s">
        <v>1015</v>
      </c>
      <c r="AC1202" s="168"/>
      <c r="AD1202" s="44">
        <v>0</v>
      </c>
      <c r="AE1202" s="43">
        <v>2950125891</v>
      </c>
      <c r="AF1202" s="44">
        <v>0</v>
      </c>
      <c r="AG1202" s="44">
        <v>0</v>
      </c>
      <c r="AH1202" s="44">
        <v>0</v>
      </c>
      <c r="AI1202" s="136">
        <f>AE1202-AF1202+AG1202-AH1202</f>
        <v>2950125891</v>
      </c>
      <c r="AJ1202" s="43">
        <f>AD1202+AI1202</f>
        <v>2950125891</v>
      </c>
      <c r="AK1202" s="44">
        <v>0</v>
      </c>
      <c r="AL1202" s="43">
        <v>2950125891</v>
      </c>
      <c r="AM1202" s="43">
        <v>2950125891</v>
      </c>
      <c r="AN1202" s="43">
        <v>0</v>
      </c>
      <c r="AO1202" s="44">
        <v>0</v>
      </c>
      <c r="AP1202" s="44">
        <v>0</v>
      </c>
      <c r="AQ1202" s="44">
        <v>0</v>
      </c>
      <c r="AR1202" s="44">
        <v>0</v>
      </c>
      <c r="AS1202" s="44">
        <v>0</v>
      </c>
      <c r="AT1202" s="40">
        <f t="shared" si="524"/>
        <v>0</v>
      </c>
      <c r="AU1202" s="18">
        <f>AJ1202-AM1202</f>
        <v>0</v>
      </c>
      <c r="AV1202" s="18">
        <f>AM1202-AP1202</f>
        <v>2950125891</v>
      </c>
      <c r="AW1202" s="34">
        <f>AP1202-AT1202</f>
        <v>0</v>
      </c>
      <c r="AX1202" s="123">
        <f>AP1202/AJ1202</f>
        <v>0</v>
      </c>
    </row>
    <row r="1203" spans="1:50" x14ac:dyDescent="0.2">
      <c r="AA1203" s="169" t="s">
        <v>288</v>
      </c>
      <c r="AB1203" s="163" t="s">
        <v>712</v>
      </c>
      <c r="AC1203" s="17"/>
      <c r="AD1203" s="34"/>
      <c r="AE1203" s="34"/>
      <c r="AF1203" s="34"/>
      <c r="AG1203" s="18"/>
      <c r="AH1203" s="18"/>
      <c r="AI1203" s="18"/>
      <c r="AJ1203" s="18"/>
      <c r="AK1203" s="34"/>
      <c r="AL1203" s="34"/>
      <c r="AM1203" s="34"/>
      <c r="AN1203" s="34"/>
      <c r="AO1203" s="34"/>
      <c r="AP1203" s="34"/>
      <c r="AQ1203" s="18"/>
      <c r="AR1203" s="18"/>
      <c r="AS1203" s="34"/>
      <c r="AT1203" s="31"/>
      <c r="AU1203" s="18"/>
      <c r="AV1203" s="34"/>
      <c r="AW1203" s="34"/>
      <c r="AX1203" s="18"/>
    </row>
    <row r="1204" spans="1:50" x14ac:dyDescent="0.2">
      <c r="A1204" s="4" t="s">
        <v>55</v>
      </c>
      <c r="B1204" s="4" t="s">
        <v>56</v>
      </c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1" t="s">
        <v>713</v>
      </c>
      <c r="AB1204" s="17" t="s">
        <v>233</v>
      </c>
      <c r="AC1204" s="43" t="s">
        <v>58</v>
      </c>
      <c r="AD1204" s="44">
        <v>0</v>
      </c>
      <c r="AE1204" s="44">
        <v>0</v>
      </c>
      <c r="AF1204" s="44">
        <v>0</v>
      </c>
      <c r="AG1204" s="43">
        <v>501500000</v>
      </c>
      <c r="AH1204" s="43">
        <f>204500000</f>
        <v>204500000</v>
      </c>
      <c r="AI1204" s="136">
        <f>AE1204-AF1204+AG1204-AH1204</f>
        <v>297000000</v>
      </c>
      <c r="AJ1204" s="43">
        <f>AD1204+AI1204</f>
        <v>297000000</v>
      </c>
      <c r="AK1204" s="44">
        <v>0</v>
      </c>
      <c r="AL1204" s="44">
        <v>0</v>
      </c>
      <c r="AM1204" s="43">
        <v>276500000</v>
      </c>
      <c r="AN1204" s="44">
        <v>0</v>
      </c>
      <c r="AO1204" s="44">
        <v>0</v>
      </c>
      <c r="AP1204" s="43">
        <v>276500000</v>
      </c>
      <c r="AQ1204" s="43">
        <v>7000000</v>
      </c>
      <c r="AR1204" s="43">
        <v>42250000</v>
      </c>
      <c r="AS1204" s="43">
        <v>195516667</v>
      </c>
      <c r="AT1204" s="39">
        <f t="shared" ref="AT1204" si="525">AQ1204+AS1204</f>
        <v>202516667</v>
      </c>
      <c r="AU1204" s="18">
        <f>AJ1204-AM1204</f>
        <v>20500000</v>
      </c>
      <c r="AV1204" s="18">
        <f>AM1204-AP1204</f>
        <v>0</v>
      </c>
      <c r="AW1204" s="18">
        <f>AP1204-AT1204</f>
        <v>73983333</v>
      </c>
      <c r="AX1204" s="123">
        <f>AP1204/AJ1204</f>
        <v>0.93097643097643101</v>
      </c>
    </row>
    <row r="1205" spans="1:50" ht="16.5" customHeight="1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170" t="s">
        <v>288</v>
      </c>
      <c r="AB1205" s="165" t="s">
        <v>1132</v>
      </c>
      <c r="AC1205" s="168"/>
      <c r="AD1205" s="44"/>
      <c r="AE1205" s="44"/>
      <c r="AF1205" s="44"/>
      <c r="AG1205" s="43"/>
      <c r="AH1205" s="43"/>
      <c r="AI1205" s="136"/>
      <c r="AJ1205" s="43"/>
      <c r="AK1205" s="44"/>
      <c r="AL1205" s="115"/>
      <c r="AM1205" s="114"/>
      <c r="AN1205" s="44"/>
      <c r="AO1205" s="114"/>
      <c r="AP1205" s="114"/>
      <c r="AQ1205" s="43"/>
      <c r="AR1205" s="43"/>
      <c r="AS1205" s="43"/>
      <c r="AT1205" s="39"/>
      <c r="AU1205" s="18"/>
      <c r="AV1205" s="133"/>
      <c r="AW1205" s="18"/>
      <c r="AX1205" s="123"/>
    </row>
    <row r="1206" spans="1:50" ht="25.5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166" t="s">
        <v>1133</v>
      </c>
      <c r="AB1206" s="167" t="s">
        <v>1044</v>
      </c>
      <c r="AC1206" s="168"/>
      <c r="AD1206" s="44">
        <v>0</v>
      </c>
      <c r="AE1206" s="43">
        <v>128000000</v>
      </c>
      <c r="AF1206" s="44">
        <v>0</v>
      </c>
      <c r="AG1206" s="44">
        <v>0</v>
      </c>
      <c r="AH1206" s="43">
        <v>128000000</v>
      </c>
      <c r="AI1206" s="136">
        <f>AE1206-AF1206+AG1206-AH1206</f>
        <v>0</v>
      </c>
      <c r="AJ1206" s="43">
        <f>AD1206+AI1206</f>
        <v>0</v>
      </c>
      <c r="AK1206" s="44">
        <v>0</v>
      </c>
      <c r="AL1206" s="115">
        <v>0</v>
      </c>
      <c r="AM1206" s="114">
        <v>0</v>
      </c>
      <c r="AN1206" s="44">
        <v>0</v>
      </c>
      <c r="AO1206" s="115">
        <v>0</v>
      </c>
      <c r="AP1206" s="115">
        <v>0</v>
      </c>
      <c r="AQ1206" s="44">
        <v>0</v>
      </c>
      <c r="AR1206" s="44">
        <v>0</v>
      </c>
      <c r="AS1206" s="44">
        <v>0</v>
      </c>
      <c r="AT1206" s="40">
        <v>0</v>
      </c>
      <c r="AU1206" s="34">
        <f>AJ1206-AM1206</f>
        <v>0</v>
      </c>
      <c r="AV1206" s="133">
        <f>AM1206-AP1206</f>
        <v>0</v>
      </c>
      <c r="AW1206" s="34">
        <f>AP1206-AT1206</f>
        <v>0</v>
      </c>
      <c r="AX1206" s="123">
        <v>0</v>
      </c>
    </row>
    <row r="1207" spans="1:50" ht="25.5" x14ac:dyDescent="0.2">
      <c r="AA1207" s="169" t="s">
        <v>288</v>
      </c>
      <c r="AB1207" s="163" t="s">
        <v>714</v>
      </c>
      <c r="AC1207" s="17"/>
      <c r="AD1207" s="18"/>
      <c r="AE1207" s="18"/>
      <c r="AF1207" s="18"/>
      <c r="AG1207" s="18"/>
      <c r="AH1207" s="18"/>
      <c r="AI1207" s="18"/>
      <c r="AJ1207" s="18"/>
      <c r="AK1207" s="34"/>
      <c r="AL1207" s="34"/>
      <c r="AM1207" s="34"/>
      <c r="AN1207" s="34"/>
      <c r="AO1207" s="34"/>
      <c r="AP1207" s="34"/>
      <c r="AQ1207" s="34"/>
      <c r="AR1207" s="34"/>
      <c r="AS1207" s="34"/>
      <c r="AT1207" s="31"/>
      <c r="AU1207" s="18"/>
      <c r="AV1207" s="34"/>
      <c r="AW1207" s="34"/>
      <c r="AX1207" s="18"/>
    </row>
    <row r="1208" spans="1:50" x14ac:dyDescent="0.2">
      <c r="A1208" s="4" t="s">
        <v>55</v>
      </c>
      <c r="B1208" s="4" t="s">
        <v>56</v>
      </c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1" t="s">
        <v>715</v>
      </c>
      <c r="AB1208" s="17" t="s">
        <v>233</v>
      </c>
      <c r="AC1208" s="43" t="s">
        <v>58</v>
      </c>
      <c r="AD1208" s="43">
        <v>3086332698</v>
      </c>
      <c r="AE1208" s="44">
        <v>0</v>
      </c>
      <c r="AF1208" s="44">
        <v>0</v>
      </c>
      <c r="AG1208" s="44">
        <v>0</v>
      </c>
      <c r="AH1208" s="43">
        <v>3086332698</v>
      </c>
      <c r="AI1208" s="136">
        <f>AE1208-AF1208+AG1208-AH1208</f>
        <v>-3086332698</v>
      </c>
      <c r="AJ1208" s="44">
        <f>AD1208+AI1208</f>
        <v>0</v>
      </c>
      <c r="AK1208" s="44">
        <v>0</v>
      </c>
      <c r="AL1208" s="44">
        <v>0</v>
      </c>
      <c r="AM1208" s="44">
        <v>0</v>
      </c>
      <c r="AN1208" s="44">
        <v>0</v>
      </c>
      <c r="AO1208" s="44">
        <v>0</v>
      </c>
      <c r="AP1208" s="44">
        <v>0</v>
      </c>
      <c r="AQ1208" s="44">
        <v>0</v>
      </c>
      <c r="AR1208" s="44">
        <v>0</v>
      </c>
      <c r="AS1208" s="44">
        <v>0</v>
      </c>
      <c r="AT1208" s="40">
        <f t="shared" ref="AT1208" si="526">AQ1208+AS1208</f>
        <v>0</v>
      </c>
      <c r="AU1208" s="34">
        <f>AJ1208-AM1208</f>
        <v>0</v>
      </c>
      <c r="AV1208" s="133">
        <f>AM1208-AP1208</f>
        <v>0</v>
      </c>
      <c r="AW1208" s="34">
        <f>AP1208-AT1208</f>
        <v>0</v>
      </c>
      <c r="AX1208" s="123">
        <v>0</v>
      </c>
    </row>
    <row r="1209" spans="1:50" ht="25.5" x14ac:dyDescent="0.2">
      <c r="AA1209" s="28" t="s">
        <v>288</v>
      </c>
      <c r="AB1209" s="29" t="s">
        <v>716</v>
      </c>
      <c r="AC1209" s="17"/>
      <c r="AD1209" s="18"/>
      <c r="AE1209" s="34"/>
      <c r="AF1209" s="34"/>
      <c r="AG1209" s="18"/>
      <c r="AH1209" s="18"/>
      <c r="AI1209" s="18"/>
      <c r="AJ1209" s="18"/>
      <c r="AK1209" s="34"/>
      <c r="AL1209" s="34"/>
      <c r="AM1209" s="34"/>
      <c r="AN1209" s="34"/>
      <c r="AO1209" s="34"/>
      <c r="AP1209" s="34"/>
      <c r="AQ1209" s="34"/>
      <c r="AR1209" s="34"/>
      <c r="AS1209" s="34"/>
      <c r="AT1209" s="31"/>
      <c r="AU1209" s="18"/>
      <c r="AV1209" s="34"/>
      <c r="AW1209" s="18"/>
      <c r="AX1209" s="18"/>
    </row>
    <row r="1210" spans="1:50" x14ac:dyDescent="0.2">
      <c r="A1210" s="4" t="s">
        <v>55</v>
      </c>
      <c r="B1210" s="4" t="s">
        <v>56</v>
      </c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1" t="s">
        <v>717</v>
      </c>
      <c r="AB1210" s="17" t="s">
        <v>233</v>
      </c>
      <c r="AC1210" s="43" t="s">
        <v>58</v>
      </c>
      <c r="AD1210" s="44">
        <v>0</v>
      </c>
      <c r="AE1210" s="44">
        <v>0</v>
      </c>
      <c r="AF1210" s="44">
        <v>0</v>
      </c>
      <c r="AG1210" s="43">
        <v>221000000</v>
      </c>
      <c r="AH1210" s="44">
        <v>0</v>
      </c>
      <c r="AI1210" s="136">
        <f>AE1210-AF1210+AG1210-AH1210</f>
        <v>221000000</v>
      </c>
      <c r="AJ1210" s="43">
        <f>AD1210+AI1210</f>
        <v>221000000</v>
      </c>
      <c r="AK1210" s="44">
        <v>0</v>
      </c>
      <c r="AL1210" s="43">
        <v>15487248</v>
      </c>
      <c r="AM1210" s="43">
        <v>202727658</v>
      </c>
      <c r="AN1210" s="44">
        <v>0</v>
      </c>
      <c r="AO1210" s="43">
        <v>15487248</v>
      </c>
      <c r="AP1210" s="43">
        <v>202727658</v>
      </c>
      <c r="AQ1210" s="43">
        <v>0</v>
      </c>
      <c r="AR1210" s="43">
        <v>22494667</v>
      </c>
      <c r="AS1210" s="43">
        <v>110055867</v>
      </c>
      <c r="AT1210" s="39">
        <f t="shared" ref="AT1210" si="527">AQ1210+AS1210</f>
        <v>110055867</v>
      </c>
      <c r="AU1210" s="18">
        <f>AJ1210-AM1210</f>
        <v>18272342</v>
      </c>
      <c r="AV1210" s="18">
        <f>AM1210-AP1210</f>
        <v>0</v>
      </c>
      <c r="AW1210" s="18">
        <f>AP1210-AT1210</f>
        <v>92671791</v>
      </c>
      <c r="AX1210" s="123">
        <f>AP1210/AJ1210</f>
        <v>0.91731971945701363</v>
      </c>
    </row>
    <row r="1211" spans="1:50" ht="25.5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73" t="s">
        <v>288</v>
      </c>
      <c r="AB1211" s="74" t="s">
        <v>1360</v>
      </c>
      <c r="AC1211" s="43"/>
      <c r="AD1211" s="44"/>
      <c r="AE1211" s="44"/>
      <c r="AF1211" s="44"/>
      <c r="AG1211" s="43"/>
      <c r="AH1211" s="44"/>
      <c r="AI1211" s="136"/>
      <c r="AJ1211" s="43"/>
      <c r="AK1211" s="44"/>
      <c r="AL1211" s="43"/>
      <c r="AM1211" s="43"/>
      <c r="AN1211" s="44"/>
      <c r="AO1211" s="43"/>
      <c r="AP1211" s="43"/>
      <c r="AQ1211" s="43"/>
      <c r="AR1211" s="43"/>
      <c r="AS1211" s="43"/>
      <c r="AT1211" s="40"/>
      <c r="AU1211" s="18"/>
      <c r="AV1211" s="18"/>
      <c r="AW1211" s="18"/>
      <c r="AX1211" s="123"/>
    </row>
    <row r="1212" spans="1:50" ht="25.5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1" t="s">
        <v>1361</v>
      </c>
      <c r="AB1212" s="42" t="s">
        <v>1044</v>
      </c>
      <c r="AC1212" s="43"/>
      <c r="AD1212" s="44">
        <v>0</v>
      </c>
      <c r="AE1212" s="44">
        <v>0</v>
      </c>
      <c r="AF1212" s="44">
        <v>0</v>
      </c>
      <c r="AG1212" s="43">
        <v>128000000</v>
      </c>
      <c r="AH1212" s="44">
        <v>0</v>
      </c>
      <c r="AI1212" s="136">
        <f>AE1212-AF1212+AG1212-AH1212</f>
        <v>128000000</v>
      </c>
      <c r="AJ1212" s="43">
        <f>AD1212+AI1212</f>
        <v>128000000</v>
      </c>
      <c r="AK1212" s="44">
        <v>0</v>
      </c>
      <c r="AL1212" s="43">
        <v>128000000</v>
      </c>
      <c r="AM1212" s="43">
        <v>128000000</v>
      </c>
      <c r="AN1212" s="44">
        <v>0</v>
      </c>
      <c r="AO1212" s="44">
        <v>0</v>
      </c>
      <c r="AP1212" s="44">
        <v>0</v>
      </c>
      <c r="AQ1212" s="44">
        <v>0</v>
      </c>
      <c r="AR1212" s="44">
        <v>0</v>
      </c>
      <c r="AS1212" s="44">
        <v>0</v>
      </c>
      <c r="AT1212" s="40">
        <f t="shared" ref="AT1212" si="528">AQ1212+AS1212</f>
        <v>0</v>
      </c>
      <c r="AU1212" s="18">
        <f>AJ1212-AM1212</f>
        <v>0</v>
      </c>
      <c r="AV1212" s="18">
        <f>AM1212-AP1212</f>
        <v>128000000</v>
      </c>
      <c r="AW1212" s="34">
        <f>AP1212-AT1212</f>
        <v>0</v>
      </c>
      <c r="AX1212" s="123">
        <f>AP1212/AJ1212</f>
        <v>0</v>
      </c>
    </row>
    <row r="1213" spans="1:50" x14ac:dyDescent="0.2">
      <c r="AA1213" s="28" t="s">
        <v>288</v>
      </c>
      <c r="AB1213" s="29" t="s">
        <v>718</v>
      </c>
      <c r="AC1213" s="17"/>
      <c r="AD1213" s="18"/>
      <c r="AE1213" s="34"/>
      <c r="AF1213" s="34"/>
      <c r="AG1213" s="18"/>
      <c r="AH1213" s="18"/>
      <c r="AI1213" s="18"/>
      <c r="AJ1213" s="18"/>
      <c r="AK1213" s="34"/>
      <c r="AL1213" s="18"/>
      <c r="AM1213" s="18"/>
      <c r="AN1213" s="34"/>
      <c r="AO1213" s="18"/>
      <c r="AP1213" s="18"/>
      <c r="AQ1213" s="18"/>
      <c r="AR1213" s="18"/>
      <c r="AS1213" s="18"/>
      <c r="AT1213" s="31"/>
      <c r="AU1213" s="18"/>
      <c r="AV1213" s="34"/>
      <c r="AW1213" s="18"/>
      <c r="AX1213" s="18"/>
    </row>
    <row r="1214" spans="1:50" x14ac:dyDescent="0.2">
      <c r="A1214" s="4" t="s">
        <v>55</v>
      </c>
      <c r="B1214" s="4" t="s">
        <v>56</v>
      </c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1" t="s">
        <v>719</v>
      </c>
      <c r="AB1214" s="42" t="s">
        <v>233</v>
      </c>
      <c r="AC1214" s="43" t="s">
        <v>58</v>
      </c>
      <c r="AD1214" s="43">
        <v>546100000</v>
      </c>
      <c r="AE1214" s="44">
        <v>0</v>
      </c>
      <c r="AF1214" s="44">
        <v>0</v>
      </c>
      <c r="AG1214" s="44">
        <v>0</v>
      </c>
      <c r="AH1214" s="43">
        <v>24400000</v>
      </c>
      <c r="AI1214" s="136">
        <f>AE1214-AF1214+AG1214-AH1214</f>
        <v>-24400000</v>
      </c>
      <c r="AJ1214" s="43">
        <f>AD1214+AI1214</f>
        <v>521700000</v>
      </c>
      <c r="AK1214" s="44">
        <v>0</v>
      </c>
      <c r="AL1214" s="44">
        <v>0</v>
      </c>
      <c r="AM1214" s="43">
        <v>516300000</v>
      </c>
      <c r="AN1214" s="44">
        <v>0</v>
      </c>
      <c r="AO1214" s="43">
        <v>0</v>
      </c>
      <c r="AP1214" s="43">
        <v>516300000</v>
      </c>
      <c r="AQ1214" s="43">
        <v>18400000</v>
      </c>
      <c r="AR1214" s="43">
        <v>79600000</v>
      </c>
      <c r="AS1214" s="43">
        <v>370650000</v>
      </c>
      <c r="AT1214" s="39">
        <f t="shared" ref="AT1214:AT1215" si="529">AQ1214+AS1214</f>
        <v>389050000</v>
      </c>
      <c r="AU1214" s="18">
        <f>AJ1214-AM1214</f>
        <v>5400000</v>
      </c>
      <c r="AV1214" s="133">
        <f>AM1214-AP1214</f>
        <v>0</v>
      </c>
      <c r="AW1214" s="18">
        <f>AP1214-AT1214</f>
        <v>127250000</v>
      </c>
      <c r="AX1214" s="123">
        <f>AP1214/AJ1214</f>
        <v>0.98964922369177688</v>
      </c>
    </row>
    <row r="1215" spans="1:50" ht="25.5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1" t="s">
        <v>1120</v>
      </c>
      <c r="AB1215" s="42" t="s">
        <v>1121</v>
      </c>
      <c r="AC1215" s="43"/>
      <c r="AD1215" s="44">
        <v>0</v>
      </c>
      <c r="AE1215" s="43">
        <v>117051260.84999999</v>
      </c>
      <c r="AF1215" s="44">
        <v>0</v>
      </c>
      <c r="AG1215" s="44">
        <v>0</v>
      </c>
      <c r="AH1215" s="44">
        <v>0</v>
      </c>
      <c r="AI1215" s="136">
        <f>AE1215-AF1215+AG1215-AH1215</f>
        <v>117051260.84999999</v>
      </c>
      <c r="AJ1215" s="43">
        <f>AD1215+AI1215</f>
        <v>117051260.84999999</v>
      </c>
      <c r="AK1215" s="44">
        <v>0</v>
      </c>
      <c r="AL1215" s="44">
        <v>0</v>
      </c>
      <c r="AM1215" s="43">
        <v>43000000</v>
      </c>
      <c r="AN1215" s="44">
        <v>0</v>
      </c>
      <c r="AO1215" s="43">
        <v>0</v>
      </c>
      <c r="AP1215" s="43">
        <v>43000000</v>
      </c>
      <c r="AQ1215" s="44">
        <v>2100000</v>
      </c>
      <c r="AR1215" s="43">
        <v>5000000</v>
      </c>
      <c r="AS1215" s="43">
        <v>17333333</v>
      </c>
      <c r="AT1215" s="39">
        <f t="shared" si="529"/>
        <v>19433333</v>
      </c>
      <c r="AU1215" s="18">
        <f>AJ1215-AM1215</f>
        <v>74051260.849999994</v>
      </c>
      <c r="AV1215" s="133">
        <f>AM1215-AP1215</f>
        <v>0</v>
      </c>
      <c r="AW1215" s="18">
        <f>AP1215-AT1215</f>
        <v>23566667</v>
      </c>
      <c r="AX1215" s="123">
        <f>AP1215/AJ1215</f>
        <v>0.36736041703219297</v>
      </c>
    </row>
    <row r="1216" spans="1:50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73" t="s">
        <v>288</v>
      </c>
      <c r="AB1216" s="74" t="s">
        <v>1337</v>
      </c>
      <c r="AC1216" s="43"/>
      <c r="AD1216" s="44"/>
      <c r="AE1216" s="43"/>
      <c r="AF1216" s="44"/>
      <c r="AG1216" s="44"/>
      <c r="AH1216" s="44"/>
      <c r="AI1216" s="136"/>
      <c r="AJ1216" s="43"/>
      <c r="AK1216" s="44"/>
      <c r="AL1216" s="43"/>
      <c r="AM1216" s="43"/>
      <c r="AN1216" s="44"/>
      <c r="AO1216" s="44"/>
      <c r="AP1216" s="43"/>
      <c r="AQ1216" s="44"/>
      <c r="AR1216" s="43"/>
      <c r="AS1216" s="43"/>
      <c r="AT1216" s="39"/>
      <c r="AU1216" s="18"/>
      <c r="AV1216" s="133"/>
      <c r="AW1216" s="18"/>
      <c r="AX1216" s="123"/>
    </row>
    <row r="1217" spans="1:50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1" t="s">
        <v>1338</v>
      </c>
      <c r="AB1217" s="42" t="s">
        <v>233</v>
      </c>
      <c r="AC1217" s="43"/>
      <c r="AD1217" s="44">
        <v>0</v>
      </c>
      <c r="AE1217" s="43">
        <v>0</v>
      </c>
      <c r="AF1217" s="44">
        <v>0</v>
      </c>
      <c r="AG1217" s="43">
        <v>800000000</v>
      </c>
      <c r="AH1217" s="44">
        <v>0</v>
      </c>
      <c r="AI1217" s="136">
        <f>AE1217-AF1217+AG1217-AH1217</f>
        <v>800000000</v>
      </c>
      <c r="AJ1217" s="43">
        <f>AD1217+AI1217</f>
        <v>800000000</v>
      </c>
      <c r="AK1217" s="44">
        <v>0</v>
      </c>
      <c r="AL1217" s="43">
        <v>772150535.14999998</v>
      </c>
      <c r="AM1217" s="43">
        <v>772150535.14999998</v>
      </c>
      <c r="AN1217" s="44">
        <v>0</v>
      </c>
      <c r="AO1217" s="44">
        <v>0</v>
      </c>
      <c r="AP1217" s="43">
        <v>0</v>
      </c>
      <c r="AQ1217" s="44">
        <v>0</v>
      </c>
      <c r="AR1217" s="44">
        <v>0</v>
      </c>
      <c r="AS1217" s="44">
        <v>0</v>
      </c>
      <c r="AT1217" s="40">
        <f t="shared" ref="AT1217" si="530">AQ1217+AS1217</f>
        <v>0</v>
      </c>
      <c r="AU1217" s="18">
        <f>AJ1217-AM1217</f>
        <v>27849464.850000024</v>
      </c>
      <c r="AV1217" s="18">
        <f>AM1217-AP1217</f>
        <v>772150535.14999998</v>
      </c>
      <c r="AW1217" s="18">
        <f>AP1217-AT1217</f>
        <v>0</v>
      </c>
      <c r="AX1217" s="123">
        <f>AP1217/AJ1217</f>
        <v>0</v>
      </c>
    </row>
    <row r="1218" spans="1:50" x14ac:dyDescent="0.2">
      <c r="AA1218" s="16"/>
      <c r="AB1218" s="17"/>
      <c r="AC1218" s="17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34"/>
      <c r="AQ1218" s="34"/>
      <c r="AR1218" s="34"/>
      <c r="AS1218" s="34"/>
      <c r="AT1218" s="31"/>
      <c r="AU1218" s="18"/>
      <c r="AV1218" s="18"/>
      <c r="AW1218" s="18"/>
      <c r="AX1218" s="18"/>
    </row>
    <row r="1219" spans="1:50" x14ac:dyDescent="0.2">
      <c r="AA1219" s="16"/>
      <c r="AB1219" s="29" t="s">
        <v>720</v>
      </c>
      <c r="AC1219" s="17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30"/>
      <c r="AU1219" s="18"/>
      <c r="AV1219" s="18"/>
      <c r="AW1219" s="18"/>
      <c r="AX1219" s="18"/>
    </row>
    <row r="1220" spans="1:50" x14ac:dyDescent="0.2">
      <c r="AA1220" s="16"/>
      <c r="AB1220" s="29" t="s">
        <v>676</v>
      </c>
      <c r="AC1220" s="17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30"/>
      <c r="AU1220" s="18"/>
      <c r="AV1220" s="18"/>
      <c r="AW1220" s="18"/>
      <c r="AX1220" s="18"/>
    </row>
    <row r="1221" spans="1:50" x14ac:dyDescent="0.2">
      <c r="AA1221" s="16"/>
      <c r="AB1221" s="29" t="s">
        <v>286</v>
      </c>
      <c r="AC1221" s="17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30"/>
      <c r="AU1221" s="18"/>
      <c r="AV1221" s="18"/>
      <c r="AW1221" s="18"/>
      <c r="AX1221" s="18"/>
    </row>
    <row r="1222" spans="1:50" x14ac:dyDescent="0.2">
      <c r="AA1222" s="16"/>
      <c r="AB1222" s="29" t="s">
        <v>179</v>
      </c>
      <c r="AC1222" s="17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30"/>
      <c r="AU1222" s="18"/>
      <c r="AV1222" s="18"/>
      <c r="AW1222" s="18"/>
      <c r="AX1222" s="18"/>
    </row>
    <row r="1223" spans="1:50" x14ac:dyDescent="0.2">
      <c r="AA1223" s="16"/>
      <c r="AB1223" s="29" t="s">
        <v>189</v>
      </c>
      <c r="AC1223" s="17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30"/>
      <c r="AU1223" s="18"/>
      <c r="AV1223" s="18"/>
      <c r="AW1223" s="18"/>
      <c r="AX1223" s="18"/>
    </row>
    <row r="1224" spans="1:50" x14ac:dyDescent="0.2">
      <c r="AA1224" s="16"/>
      <c r="AB1224" s="29" t="s">
        <v>199</v>
      </c>
      <c r="AC1224" s="17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30"/>
      <c r="AU1224" s="18"/>
      <c r="AV1224" s="18"/>
      <c r="AW1224" s="18"/>
      <c r="AX1224" s="18"/>
    </row>
    <row r="1225" spans="1:50" x14ac:dyDescent="0.2">
      <c r="AA1225" s="28" t="s">
        <v>288</v>
      </c>
      <c r="AB1225" s="29" t="s">
        <v>718</v>
      </c>
      <c r="AC1225" s="17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30"/>
      <c r="AU1225" s="18"/>
      <c r="AV1225" s="18"/>
      <c r="AW1225" s="18"/>
      <c r="AX1225" s="18"/>
    </row>
    <row r="1226" spans="1:50" x14ac:dyDescent="0.2">
      <c r="A1226" s="4" t="s">
        <v>55</v>
      </c>
      <c r="B1226" s="4" t="s">
        <v>56</v>
      </c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1" t="s">
        <v>721</v>
      </c>
      <c r="AB1226" s="42" t="s">
        <v>722</v>
      </c>
      <c r="AC1226" s="43" t="s">
        <v>723</v>
      </c>
      <c r="AD1226" s="43">
        <v>7643630</v>
      </c>
      <c r="AE1226" s="44">
        <v>0</v>
      </c>
      <c r="AF1226" s="44">
        <v>0</v>
      </c>
      <c r="AG1226" s="44">
        <v>0</v>
      </c>
      <c r="AH1226" s="44">
        <v>0</v>
      </c>
      <c r="AI1226" s="44">
        <v>0</v>
      </c>
      <c r="AJ1226" s="43">
        <v>7643630</v>
      </c>
      <c r="AK1226" s="44">
        <v>0</v>
      </c>
      <c r="AL1226" s="44">
        <v>0</v>
      </c>
      <c r="AM1226" s="44">
        <v>0</v>
      </c>
      <c r="AN1226" s="44">
        <v>0</v>
      </c>
      <c r="AO1226" s="44">
        <v>0</v>
      </c>
      <c r="AP1226" s="44">
        <v>0</v>
      </c>
      <c r="AQ1226" s="44">
        <v>0</v>
      </c>
      <c r="AR1226" s="44">
        <v>0</v>
      </c>
      <c r="AS1226" s="44">
        <v>0</v>
      </c>
      <c r="AT1226" s="40">
        <f t="shared" ref="AT1226:AT1227" si="531">AQ1226+AS1226</f>
        <v>0</v>
      </c>
      <c r="AU1226" s="18">
        <f>AJ1226-AM1226</f>
        <v>7643630</v>
      </c>
      <c r="AV1226" s="133">
        <f>AM1226-AP1226</f>
        <v>0</v>
      </c>
      <c r="AW1226" s="34">
        <f>AP1226-AT1226</f>
        <v>0</v>
      </c>
      <c r="AX1226" s="123">
        <f>AP1226/AJ1226</f>
        <v>0</v>
      </c>
    </row>
    <row r="1227" spans="1:50" x14ac:dyDescent="0.2">
      <c r="A1227" s="4" t="s">
        <v>55</v>
      </c>
      <c r="B1227" s="4" t="s">
        <v>56</v>
      </c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1" t="s">
        <v>724</v>
      </c>
      <c r="AB1227" s="42" t="s">
        <v>725</v>
      </c>
      <c r="AC1227" s="43" t="s">
        <v>428</v>
      </c>
      <c r="AD1227" s="43">
        <v>56100000</v>
      </c>
      <c r="AE1227" s="44">
        <v>0</v>
      </c>
      <c r="AF1227" s="44">
        <v>0</v>
      </c>
      <c r="AG1227" s="44">
        <v>0</v>
      </c>
      <c r="AH1227" s="44">
        <v>0</v>
      </c>
      <c r="AI1227" s="44">
        <v>0</v>
      </c>
      <c r="AJ1227" s="43">
        <v>56100000</v>
      </c>
      <c r="AK1227" s="44">
        <v>0</v>
      </c>
      <c r="AL1227" s="44">
        <v>0</v>
      </c>
      <c r="AM1227" s="44">
        <v>0</v>
      </c>
      <c r="AN1227" s="44">
        <v>0</v>
      </c>
      <c r="AO1227" s="44">
        <v>0</v>
      </c>
      <c r="AP1227" s="44">
        <v>0</v>
      </c>
      <c r="AQ1227" s="44">
        <v>0</v>
      </c>
      <c r="AR1227" s="44">
        <v>0</v>
      </c>
      <c r="AS1227" s="44">
        <v>0</v>
      </c>
      <c r="AT1227" s="40">
        <f t="shared" si="531"/>
        <v>0</v>
      </c>
      <c r="AU1227" s="18">
        <f>AJ1227-AM1227</f>
        <v>56100000</v>
      </c>
      <c r="AV1227" s="133">
        <f>AM1227-AP1227</f>
        <v>0</v>
      </c>
      <c r="AW1227" s="34">
        <f>AP1227-AT1227</f>
        <v>0</v>
      </c>
      <c r="AX1227" s="123">
        <f>AP1227/AJ1227</f>
        <v>0</v>
      </c>
    </row>
    <row r="1228" spans="1:50" ht="18.75" customHeight="1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170" t="s">
        <v>1016</v>
      </c>
      <c r="AB1228" s="165" t="s">
        <v>997</v>
      </c>
      <c r="AC1228" s="168"/>
      <c r="AD1228" s="43"/>
      <c r="AE1228" s="44"/>
      <c r="AF1228" s="44"/>
      <c r="AG1228" s="44"/>
      <c r="AH1228" s="44"/>
      <c r="AI1228" s="44"/>
      <c r="AJ1228" s="43"/>
      <c r="AK1228" s="44"/>
      <c r="AL1228" s="44"/>
      <c r="AM1228" s="44"/>
      <c r="AN1228" s="44"/>
      <c r="AO1228" s="44"/>
      <c r="AP1228" s="44"/>
      <c r="AQ1228" s="44"/>
      <c r="AR1228" s="44"/>
      <c r="AS1228" s="44"/>
      <c r="AT1228" s="40"/>
      <c r="AU1228" s="18"/>
      <c r="AV1228" s="133"/>
      <c r="AW1228" s="34"/>
      <c r="AX1228" s="123"/>
    </row>
    <row r="1229" spans="1:50" ht="15.75" customHeight="1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170" t="s">
        <v>1017</v>
      </c>
      <c r="AB1229" s="165" t="s">
        <v>999</v>
      </c>
      <c r="AC1229" s="168"/>
      <c r="AD1229" s="43"/>
      <c r="AE1229" s="44"/>
      <c r="AF1229" s="44"/>
      <c r="AG1229" s="44"/>
      <c r="AH1229" s="44"/>
      <c r="AI1229" s="44"/>
      <c r="AJ1229" s="43"/>
      <c r="AK1229" s="44"/>
      <c r="AL1229" s="44"/>
      <c r="AM1229" s="44"/>
      <c r="AN1229" s="44"/>
      <c r="AO1229" s="44"/>
      <c r="AP1229" s="44"/>
      <c r="AQ1229" s="44"/>
      <c r="AR1229" s="44"/>
      <c r="AS1229" s="44"/>
      <c r="AT1229" s="40"/>
      <c r="AU1229" s="18"/>
      <c r="AV1229" s="133"/>
      <c r="AW1229" s="34"/>
      <c r="AX1229" s="123"/>
    </row>
    <row r="1230" spans="1:50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170" t="s">
        <v>1018</v>
      </c>
      <c r="AB1230" s="165" t="s">
        <v>1001</v>
      </c>
      <c r="AC1230" s="168"/>
      <c r="AD1230" s="43"/>
      <c r="AE1230" s="44"/>
      <c r="AF1230" s="44"/>
      <c r="AG1230" s="44"/>
      <c r="AH1230" s="44"/>
      <c r="AI1230" s="44"/>
      <c r="AJ1230" s="43"/>
      <c r="AK1230" s="44"/>
      <c r="AL1230" s="44"/>
      <c r="AM1230" s="44"/>
      <c r="AN1230" s="44"/>
      <c r="AO1230" s="44"/>
      <c r="AP1230" s="44"/>
      <c r="AQ1230" s="44"/>
      <c r="AR1230" s="44"/>
      <c r="AS1230" s="44"/>
      <c r="AT1230" s="40"/>
      <c r="AU1230" s="18"/>
      <c r="AV1230" s="133"/>
      <c r="AW1230" s="34"/>
      <c r="AX1230" s="123"/>
    </row>
    <row r="1231" spans="1:50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170" t="s">
        <v>1021</v>
      </c>
      <c r="AB1231" s="165" t="s">
        <v>1003</v>
      </c>
      <c r="AC1231" s="168"/>
      <c r="AD1231" s="43"/>
      <c r="AE1231" s="44"/>
      <c r="AF1231" s="44"/>
      <c r="AG1231" s="44"/>
      <c r="AH1231" s="44"/>
      <c r="AI1231" s="44"/>
      <c r="AJ1231" s="43"/>
      <c r="AK1231" s="44"/>
      <c r="AL1231" s="44"/>
      <c r="AM1231" s="44"/>
      <c r="AN1231" s="44"/>
      <c r="AO1231" s="44"/>
      <c r="AP1231" s="44"/>
      <c r="AQ1231" s="44"/>
      <c r="AR1231" s="44"/>
      <c r="AS1231" s="44"/>
      <c r="AT1231" s="40"/>
      <c r="AU1231" s="18"/>
      <c r="AV1231" s="133"/>
      <c r="AW1231" s="34"/>
      <c r="AX1231" s="123"/>
    </row>
    <row r="1232" spans="1:50" ht="25.5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166" t="s">
        <v>1056</v>
      </c>
      <c r="AB1232" s="167" t="s">
        <v>1057</v>
      </c>
      <c r="AC1232" s="168"/>
      <c r="AD1232" s="44">
        <v>0</v>
      </c>
      <c r="AE1232" s="43">
        <v>170856060</v>
      </c>
      <c r="AF1232" s="44">
        <v>0</v>
      </c>
      <c r="AG1232" s="44">
        <v>0</v>
      </c>
      <c r="AH1232" s="44">
        <v>0</v>
      </c>
      <c r="AI1232" s="43">
        <f>AE1232-AF1232+AG1232-AH1232</f>
        <v>170856060</v>
      </c>
      <c r="AJ1232" s="43">
        <f>AD1232+AI1232</f>
        <v>170856060</v>
      </c>
      <c r="AK1232" s="44">
        <v>0</v>
      </c>
      <c r="AL1232" s="44">
        <v>0</v>
      </c>
      <c r="AM1232" s="44">
        <v>0</v>
      </c>
      <c r="AN1232" s="44">
        <v>0</v>
      </c>
      <c r="AO1232" s="44">
        <v>0</v>
      </c>
      <c r="AP1232" s="44">
        <v>0</v>
      </c>
      <c r="AQ1232" s="44">
        <v>0</v>
      </c>
      <c r="AR1232" s="44">
        <v>0</v>
      </c>
      <c r="AS1232" s="44">
        <v>0</v>
      </c>
      <c r="AT1232" s="40">
        <f t="shared" ref="AT1232" si="532">AQ1232+AS1232</f>
        <v>0</v>
      </c>
      <c r="AU1232" s="18">
        <f>AJ1232-AM1232</f>
        <v>170856060</v>
      </c>
      <c r="AV1232" s="133">
        <f>AM1232-AP1232</f>
        <v>0</v>
      </c>
      <c r="AW1232" s="34">
        <f>AP1232-AT1232</f>
        <v>0</v>
      </c>
      <c r="AX1232" s="123">
        <f>AP1232/AJ1232</f>
        <v>0</v>
      </c>
    </row>
    <row r="1233" spans="1:50" x14ac:dyDescent="0.2">
      <c r="AA1233" s="162"/>
      <c r="AB1233" s="223"/>
      <c r="AC1233" s="17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34"/>
      <c r="AR1233" s="34"/>
      <c r="AS1233" s="34"/>
      <c r="AT1233" s="31"/>
      <c r="AU1233" s="18"/>
      <c r="AV1233" s="18"/>
      <c r="AW1233" s="18"/>
      <c r="AX1233" s="18"/>
    </row>
    <row r="1234" spans="1:50" s="50" customFormat="1" ht="18.75" customHeight="1" x14ac:dyDescent="0.2">
      <c r="B1234" s="77"/>
      <c r="C1234" s="77"/>
      <c r="D1234" s="77"/>
      <c r="E1234" s="77"/>
      <c r="F1234" s="77"/>
      <c r="G1234" s="77"/>
      <c r="H1234" s="77"/>
      <c r="I1234" s="77"/>
      <c r="J1234" s="77"/>
      <c r="K1234" s="77"/>
      <c r="L1234" s="77"/>
      <c r="M1234" s="77"/>
      <c r="N1234" s="77"/>
      <c r="O1234" s="77"/>
      <c r="P1234" s="77"/>
      <c r="Q1234" s="77"/>
      <c r="R1234" s="77"/>
      <c r="S1234" s="77"/>
      <c r="T1234" s="77"/>
      <c r="U1234" s="77"/>
      <c r="V1234" s="77"/>
      <c r="W1234" s="77"/>
      <c r="X1234" s="77"/>
      <c r="Y1234" s="77"/>
      <c r="Z1234" s="77"/>
      <c r="AA1234" s="46"/>
      <c r="AB1234" s="47" t="s">
        <v>726</v>
      </c>
      <c r="AC1234" s="47"/>
      <c r="AD1234" s="48">
        <f t="shared" ref="AD1234:AW1234" si="533">SUM(AD1185:AD1233)</f>
        <v>6876941034</v>
      </c>
      <c r="AE1234" s="48">
        <f t="shared" si="533"/>
        <v>3397533211.8499999</v>
      </c>
      <c r="AF1234" s="48">
        <f t="shared" si="533"/>
        <v>0</v>
      </c>
      <c r="AG1234" s="48">
        <f t="shared" si="533"/>
        <v>5176332698</v>
      </c>
      <c r="AH1234" s="48">
        <f t="shared" si="533"/>
        <v>4165732698</v>
      </c>
      <c r="AI1234" s="48">
        <f t="shared" si="533"/>
        <v>4408133211.8500004</v>
      </c>
      <c r="AJ1234" s="48">
        <f t="shared" si="533"/>
        <v>11285074245.85</v>
      </c>
      <c r="AK1234" s="49">
        <f t="shared" si="533"/>
        <v>0</v>
      </c>
      <c r="AL1234" s="48">
        <f t="shared" si="533"/>
        <v>6408549729.0599995</v>
      </c>
      <c r="AM1234" s="48">
        <f t="shared" si="533"/>
        <v>10078606954.059999</v>
      </c>
      <c r="AN1234" s="49">
        <f t="shared" si="533"/>
        <v>0</v>
      </c>
      <c r="AO1234" s="48">
        <f t="shared" si="533"/>
        <v>23737248</v>
      </c>
      <c r="AP1234" s="48">
        <f t="shared" si="533"/>
        <v>3693794473</v>
      </c>
      <c r="AQ1234" s="48">
        <f t="shared" si="533"/>
        <v>112609333</v>
      </c>
      <c r="AR1234" s="48">
        <f t="shared" si="533"/>
        <v>502241403</v>
      </c>
      <c r="AS1234" s="48">
        <f t="shared" si="533"/>
        <v>2045196444</v>
      </c>
      <c r="AT1234" s="48">
        <f t="shared" si="533"/>
        <v>2157805777</v>
      </c>
      <c r="AU1234" s="48">
        <f t="shared" si="533"/>
        <v>1206467291.79</v>
      </c>
      <c r="AV1234" s="49">
        <f t="shared" si="533"/>
        <v>6384812481.0599995</v>
      </c>
      <c r="AW1234" s="48">
        <f t="shared" si="533"/>
        <v>1535988696</v>
      </c>
      <c r="AX1234" s="24">
        <f>AP1234/AJ1234</f>
        <v>0.32731680736246505</v>
      </c>
    </row>
    <row r="1235" spans="1:50" ht="18.75" customHeight="1" x14ac:dyDescent="0.2">
      <c r="AA1235" s="16"/>
      <c r="AB1235" s="17"/>
      <c r="AC1235" s="17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</row>
    <row r="1236" spans="1:50" s="25" customFormat="1" ht="18.75" customHeight="1" x14ac:dyDescent="0.2">
      <c r="B1236" s="71"/>
      <c r="C1236" s="71"/>
      <c r="D1236" s="71"/>
      <c r="E1236" s="71"/>
      <c r="F1236" s="71"/>
      <c r="G1236" s="71"/>
      <c r="H1236" s="71"/>
      <c r="I1236" s="71"/>
      <c r="J1236" s="71"/>
      <c r="K1236" s="71"/>
      <c r="L1236" s="71"/>
      <c r="M1236" s="71"/>
      <c r="N1236" s="71"/>
      <c r="O1236" s="71"/>
      <c r="P1236" s="71"/>
      <c r="Q1236" s="71"/>
      <c r="R1236" s="71"/>
      <c r="S1236" s="71"/>
      <c r="T1236" s="71"/>
      <c r="U1236" s="71"/>
      <c r="V1236" s="71"/>
      <c r="W1236" s="71"/>
      <c r="X1236" s="71"/>
      <c r="Y1236" s="71"/>
      <c r="Z1236" s="71"/>
      <c r="AA1236" s="66"/>
      <c r="AB1236" s="21" t="s">
        <v>727</v>
      </c>
      <c r="AC1236" s="67"/>
      <c r="AD1236" s="63"/>
      <c r="AE1236" s="63"/>
      <c r="AF1236" s="63"/>
      <c r="AG1236" s="63"/>
      <c r="AH1236" s="63"/>
      <c r="AI1236" s="63"/>
      <c r="AJ1236" s="63"/>
      <c r="AK1236" s="63"/>
      <c r="AL1236" s="63"/>
      <c r="AM1236" s="63"/>
      <c r="AN1236" s="63"/>
      <c r="AO1236" s="63"/>
      <c r="AP1236" s="63"/>
      <c r="AQ1236" s="63"/>
      <c r="AR1236" s="63"/>
      <c r="AS1236" s="63"/>
      <c r="AT1236" s="63"/>
      <c r="AU1236" s="63"/>
      <c r="AV1236" s="63"/>
      <c r="AW1236" s="63"/>
      <c r="AX1236" s="63"/>
    </row>
    <row r="1237" spans="1:50" ht="18.75" customHeight="1" x14ac:dyDescent="0.2">
      <c r="AA1237" s="16"/>
      <c r="AB1237" s="29" t="s">
        <v>285</v>
      </c>
      <c r="AC1237" s="17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</row>
    <row r="1238" spans="1:50" ht="18.75" customHeight="1" x14ac:dyDescent="0.2">
      <c r="AA1238" s="16"/>
      <c r="AB1238" s="29" t="s">
        <v>202</v>
      </c>
      <c r="AC1238" s="17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</row>
    <row r="1239" spans="1:50" ht="18.75" customHeight="1" x14ac:dyDescent="0.2">
      <c r="AA1239" s="16"/>
      <c r="AB1239" s="29" t="s">
        <v>203</v>
      </c>
      <c r="AC1239" s="17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</row>
    <row r="1240" spans="1:50" x14ac:dyDescent="0.2">
      <c r="AA1240" s="16"/>
      <c r="AB1240" s="29" t="s">
        <v>204</v>
      </c>
      <c r="AC1240" s="17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</row>
    <row r="1241" spans="1:50" ht="25.5" x14ac:dyDescent="0.2">
      <c r="AA1241" s="16"/>
      <c r="AB1241" s="29" t="s">
        <v>205</v>
      </c>
      <c r="AC1241" s="17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</row>
    <row r="1242" spans="1:50" ht="25.5" x14ac:dyDescent="0.2">
      <c r="AA1242" s="28" t="s">
        <v>288</v>
      </c>
      <c r="AB1242" s="29" t="s">
        <v>728</v>
      </c>
      <c r="AC1242" s="17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30"/>
      <c r="AU1242" s="18"/>
      <c r="AV1242" s="18"/>
      <c r="AW1242" s="18"/>
      <c r="AX1242" s="18"/>
    </row>
    <row r="1243" spans="1:50" x14ac:dyDescent="0.2">
      <c r="A1243" s="4" t="s">
        <v>55</v>
      </c>
      <c r="B1243" s="4" t="s">
        <v>56</v>
      </c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1" t="s">
        <v>729</v>
      </c>
      <c r="AB1243" s="42" t="s">
        <v>233</v>
      </c>
      <c r="AC1243" s="43" t="s">
        <v>58</v>
      </c>
      <c r="AD1243" s="43">
        <v>1500000000</v>
      </c>
      <c r="AE1243" s="44">
        <v>0</v>
      </c>
      <c r="AF1243" s="44">
        <v>0</v>
      </c>
      <c r="AG1243" s="44">
        <v>0</v>
      </c>
      <c r="AH1243" s="44">
        <v>0</v>
      </c>
      <c r="AI1243" s="44">
        <f t="shared" ref="AI1243:AI1251" si="534">AE1243-AF1243+AG1243-AH1243</f>
        <v>0</v>
      </c>
      <c r="AJ1243" s="43">
        <f t="shared" ref="AJ1243:AJ1251" si="535">AD1243+AI1243</f>
        <v>1500000000</v>
      </c>
      <c r="AK1243" s="44">
        <v>0</v>
      </c>
      <c r="AL1243" s="114">
        <v>125000000</v>
      </c>
      <c r="AM1243" s="114">
        <v>1250000000</v>
      </c>
      <c r="AN1243" s="44">
        <v>0</v>
      </c>
      <c r="AO1243" s="114">
        <v>125000000</v>
      </c>
      <c r="AP1243" s="114">
        <v>1250000000</v>
      </c>
      <c r="AQ1243" s="44">
        <v>0</v>
      </c>
      <c r="AR1243" s="114">
        <v>125000000</v>
      </c>
      <c r="AS1243" s="114">
        <v>1250000000</v>
      </c>
      <c r="AT1243" s="111">
        <f t="shared" ref="AT1243:AT1251" si="536">AQ1243+AS1243</f>
        <v>1250000000</v>
      </c>
      <c r="AU1243" s="18">
        <f t="shared" ref="AU1243:AU1251" si="537">AJ1243-AM1243</f>
        <v>250000000</v>
      </c>
      <c r="AV1243" s="133">
        <f t="shared" ref="AV1243:AV1251" si="538">AM1243-AP1243</f>
        <v>0</v>
      </c>
      <c r="AW1243" s="34">
        <f t="shared" ref="AW1243:AW1251" si="539">AP1243-AT1243</f>
        <v>0</v>
      </c>
      <c r="AX1243" s="123">
        <f t="shared" ref="AX1243:AX1251" si="540">AP1243/AJ1243</f>
        <v>0.83333333333333337</v>
      </c>
    </row>
    <row r="1244" spans="1:50" x14ac:dyDescent="0.2">
      <c r="A1244" s="4" t="s">
        <v>55</v>
      </c>
      <c r="B1244" s="4" t="s">
        <v>56</v>
      </c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1" t="s">
        <v>730</v>
      </c>
      <c r="AB1244" s="42" t="s">
        <v>731</v>
      </c>
      <c r="AC1244" s="43" t="s">
        <v>732</v>
      </c>
      <c r="AD1244" s="43">
        <v>1531432613</v>
      </c>
      <c r="AE1244" s="43">
        <v>248327901</v>
      </c>
      <c r="AF1244" s="44">
        <v>0</v>
      </c>
      <c r="AG1244" s="44">
        <v>0</v>
      </c>
      <c r="AH1244" s="44">
        <v>0</v>
      </c>
      <c r="AI1244" s="43">
        <f t="shared" si="534"/>
        <v>248327901</v>
      </c>
      <c r="AJ1244" s="43">
        <f t="shared" si="535"/>
        <v>1779760514</v>
      </c>
      <c r="AK1244" s="44">
        <v>0</v>
      </c>
      <c r="AL1244" s="114">
        <f>127619384+248327901</f>
        <v>375947285</v>
      </c>
      <c r="AM1244" s="114">
        <f>1276193840+248327901</f>
        <v>1524521741</v>
      </c>
      <c r="AN1244" s="44">
        <v>0</v>
      </c>
      <c r="AO1244" s="114">
        <v>375947285</v>
      </c>
      <c r="AP1244" s="114">
        <v>1524521741</v>
      </c>
      <c r="AQ1244" s="44">
        <v>0</v>
      </c>
      <c r="AR1244" s="114">
        <v>375947285</v>
      </c>
      <c r="AS1244" s="114">
        <v>1524521741</v>
      </c>
      <c r="AT1244" s="111">
        <f t="shared" si="536"/>
        <v>1524521741</v>
      </c>
      <c r="AU1244" s="18">
        <f t="shared" si="537"/>
        <v>255238773</v>
      </c>
      <c r="AV1244" s="133">
        <f t="shared" si="538"/>
        <v>0</v>
      </c>
      <c r="AW1244" s="34">
        <f t="shared" si="539"/>
        <v>0</v>
      </c>
      <c r="AX1244" s="123">
        <f t="shared" si="540"/>
        <v>0.85658813587994909</v>
      </c>
    </row>
    <row r="1245" spans="1:50" x14ac:dyDescent="0.2">
      <c r="A1245" s="4" t="s">
        <v>55</v>
      </c>
      <c r="B1245" s="4" t="s">
        <v>56</v>
      </c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1" t="s">
        <v>733</v>
      </c>
      <c r="AB1245" s="42" t="s">
        <v>734</v>
      </c>
      <c r="AC1245" s="43" t="s">
        <v>383</v>
      </c>
      <c r="AD1245" s="43">
        <v>2000000000</v>
      </c>
      <c r="AE1245" s="44">
        <v>0</v>
      </c>
      <c r="AF1245" s="44">
        <v>0</v>
      </c>
      <c r="AG1245" s="44">
        <v>0</v>
      </c>
      <c r="AH1245" s="44">
        <v>0</v>
      </c>
      <c r="AI1245" s="44">
        <f t="shared" si="534"/>
        <v>0</v>
      </c>
      <c r="AJ1245" s="43">
        <f t="shared" si="535"/>
        <v>2000000000</v>
      </c>
      <c r="AK1245" s="44">
        <v>0</v>
      </c>
      <c r="AL1245" s="114">
        <v>166666667</v>
      </c>
      <c r="AM1245" s="114">
        <v>1666666670</v>
      </c>
      <c r="AN1245" s="44">
        <v>0</v>
      </c>
      <c r="AO1245" s="114">
        <v>166666667</v>
      </c>
      <c r="AP1245" s="114">
        <v>1666666670</v>
      </c>
      <c r="AQ1245" s="44">
        <v>0</v>
      </c>
      <c r="AR1245" s="114">
        <v>166666667</v>
      </c>
      <c r="AS1245" s="114">
        <v>1666666670</v>
      </c>
      <c r="AT1245" s="111">
        <f t="shared" si="536"/>
        <v>1666666670</v>
      </c>
      <c r="AU1245" s="18">
        <f t="shared" si="537"/>
        <v>333333330</v>
      </c>
      <c r="AV1245" s="133">
        <f t="shared" si="538"/>
        <v>0</v>
      </c>
      <c r="AW1245" s="34">
        <f t="shared" si="539"/>
        <v>0</v>
      </c>
      <c r="AX1245" s="123">
        <f t="shared" si="540"/>
        <v>0.83333333499999995</v>
      </c>
    </row>
    <row r="1246" spans="1:50" ht="25.5" x14ac:dyDescent="0.2">
      <c r="A1246" s="4" t="s">
        <v>55</v>
      </c>
      <c r="B1246" s="4" t="s">
        <v>56</v>
      </c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1" t="s">
        <v>735</v>
      </c>
      <c r="AB1246" s="42" t="s">
        <v>736</v>
      </c>
      <c r="AC1246" s="43" t="s">
        <v>428</v>
      </c>
      <c r="AD1246" s="43">
        <v>24512970</v>
      </c>
      <c r="AE1246" s="44">
        <v>0</v>
      </c>
      <c r="AF1246" s="44">
        <v>0</v>
      </c>
      <c r="AG1246" s="44">
        <v>0</v>
      </c>
      <c r="AH1246" s="44">
        <v>0</v>
      </c>
      <c r="AI1246" s="44">
        <f t="shared" si="534"/>
        <v>0</v>
      </c>
      <c r="AJ1246" s="43">
        <f t="shared" si="535"/>
        <v>24512970</v>
      </c>
      <c r="AK1246" s="44">
        <v>0</v>
      </c>
      <c r="AL1246" s="44">
        <v>0</v>
      </c>
      <c r="AM1246" s="44">
        <v>0</v>
      </c>
      <c r="AN1246" s="44">
        <v>0</v>
      </c>
      <c r="AO1246" s="44">
        <v>0</v>
      </c>
      <c r="AP1246" s="44">
        <v>0</v>
      </c>
      <c r="AQ1246" s="44">
        <v>0</v>
      </c>
      <c r="AR1246" s="44">
        <v>0</v>
      </c>
      <c r="AS1246" s="44">
        <v>0</v>
      </c>
      <c r="AT1246" s="40">
        <f t="shared" si="536"/>
        <v>0</v>
      </c>
      <c r="AU1246" s="18">
        <f t="shared" si="537"/>
        <v>24512970</v>
      </c>
      <c r="AV1246" s="133">
        <f t="shared" si="538"/>
        <v>0</v>
      </c>
      <c r="AW1246" s="34">
        <f t="shared" si="539"/>
        <v>0</v>
      </c>
      <c r="AX1246" s="123">
        <f t="shared" si="540"/>
        <v>0</v>
      </c>
    </row>
    <row r="1247" spans="1:50" ht="25.5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166" t="s">
        <v>1134</v>
      </c>
      <c r="AB1247" s="167" t="s">
        <v>1055</v>
      </c>
      <c r="AC1247" s="168"/>
      <c r="AD1247" s="44">
        <v>0</v>
      </c>
      <c r="AE1247" s="217">
        <v>628300000</v>
      </c>
      <c r="AF1247" s="216">
        <v>0</v>
      </c>
      <c r="AG1247" s="44">
        <v>0</v>
      </c>
      <c r="AH1247" s="44">
        <v>0</v>
      </c>
      <c r="AI1247" s="43">
        <f t="shared" si="534"/>
        <v>628300000</v>
      </c>
      <c r="AJ1247" s="43">
        <f t="shared" si="535"/>
        <v>628300000</v>
      </c>
      <c r="AK1247" s="44">
        <v>0</v>
      </c>
      <c r="AL1247" s="44">
        <v>0</v>
      </c>
      <c r="AM1247" s="43">
        <v>628300000</v>
      </c>
      <c r="AN1247" s="44">
        <v>0</v>
      </c>
      <c r="AO1247" s="44">
        <v>0</v>
      </c>
      <c r="AP1247" s="43">
        <v>628300000</v>
      </c>
      <c r="AQ1247" s="44">
        <v>0</v>
      </c>
      <c r="AR1247" s="44">
        <v>0</v>
      </c>
      <c r="AS1247" s="43">
        <v>628300000</v>
      </c>
      <c r="AT1247" s="39">
        <f t="shared" si="536"/>
        <v>628300000</v>
      </c>
      <c r="AU1247" s="34">
        <f t="shared" si="537"/>
        <v>0</v>
      </c>
      <c r="AV1247" s="133">
        <f t="shared" si="538"/>
        <v>0</v>
      </c>
      <c r="AW1247" s="34">
        <f t="shared" si="539"/>
        <v>0</v>
      </c>
      <c r="AX1247" s="123">
        <f t="shared" si="540"/>
        <v>1</v>
      </c>
    </row>
    <row r="1248" spans="1:50" ht="25.5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166" t="s">
        <v>1135</v>
      </c>
      <c r="AB1248" s="167" t="s">
        <v>1055</v>
      </c>
      <c r="AC1248" s="168"/>
      <c r="AD1248" s="44">
        <v>0</v>
      </c>
      <c r="AE1248" s="217">
        <v>371700000</v>
      </c>
      <c r="AF1248" s="216">
        <v>0</v>
      </c>
      <c r="AG1248" s="44">
        <v>0</v>
      </c>
      <c r="AH1248" s="44">
        <v>0</v>
      </c>
      <c r="AI1248" s="43">
        <f t="shared" si="534"/>
        <v>371700000</v>
      </c>
      <c r="AJ1248" s="43">
        <f t="shared" si="535"/>
        <v>371700000</v>
      </c>
      <c r="AK1248" s="44">
        <v>0</v>
      </c>
      <c r="AL1248" s="44">
        <v>0</v>
      </c>
      <c r="AM1248" s="43">
        <v>371700000</v>
      </c>
      <c r="AN1248" s="44">
        <v>0</v>
      </c>
      <c r="AO1248" s="44">
        <v>0</v>
      </c>
      <c r="AP1248" s="43">
        <v>371700000</v>
      </c>
      <c r="AQ1248" s="44">
        <v>0</v>
      </c>
      <c r="AR1248" s="44">
        <v>0</v>
      </c>
      <c r="AS1248" s="43">
        <v>371700000</v>
      </c>
      <c r="AT1248" s="39">
        <f t="shared" si="536"/>
        <v>371700000</v>
      </c>
      <c r="AU1248" s="34">
        <f t="shared" si="537"/>
        <v>0</v>
      </c>
      <c r="AV1248" s="133">
        <f t="shared" si="538"/>
        <v>0</v>
      </c>
      <c r="AW1248" s="34">
        <f t="shared" si="539"/>
        <v>0</v>
      </c>
      <c r="AX1248" s="123">
        <f t="shared" si="540"/>
        <v>1</v>
      </c>
    </row>
    <row r="1249" spans="1:50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166" t="s">
        <v>1136</v>
      </c>
      <c r="AB1249" s="167" t="s">
        <v>1137</v>
      </c>
      <c r="AC1249" s="168"/>
      <c r="AD1249" s="44">
        <v>0</v>
      </c>
      <c r="AE1249" s="217">
        <v>179021213</v>
      </c>
      <c r="AF1249" s="216">
        <v>0</v>
      </c>
      <c r="AG1249" s="44">
        <v>0</v>
      </c>
      <c r="AH1249" s="44">
        <v>0</v>
      </c>
      <c r="AI1249" s="43">
        <f t="shared" si="534"/>
        <v>179021213</v>
      </c>
      <c r="AJ1249" s="43">
        <f t="shared" si="535"/>
        <v>179021213</v>
      </c>
      <c r="AK1249" s="44">
        <v>0</v>
      </c>
      <c r="AL1249" s="44">
        <v>0</v>
      </c>
      <c r="AM1249" s="43">
        <v>179021213</v>
      </c>
      <c r="AN1249" s="44">
        <v>0</v>
      </c>
      <c r="AO1249" s="44">
        <v>0</v>
      </c>
      <c r="AP1249" s="43">
        <v>179021213</v>
      </c>
      <c r="AQ1249" s="44">
        <v>0</v>
      </c>
      <c r="AR1249" s="44">
        <v>0</v>
      </c>
      <c r="AS1249" s="43">
        <v>179021213</v>
      </c>
      <c r="AT1249" s="39">
        <f t="shared" si="536"/>
        <v>179021213</v>
      </c>
      <c r="AU1249" s="34">
        <f t="shared" si="537"/>
        <v>0</v>
      </c>
      <c r="AV1249" s="133">
        <f t="shared" si="538"/>
        <v>0</v>
      </c>
      <c r="AW1249" s="34">
        <f t="shared" si="539"/>
        <v>0</v>
      </c>
      <c r="AX1249" s="123">
        <f t="shared" si="540"/>
        <v>1</v>
      </c>
    </row>
    <row r="1250" spans="1:50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229" t="s">
        <v>1345</v>
      </c>
      <c r="AB1250" s="230" t="s">
        <v>233</v>
      </c>
      <c r="AC1250" s="168"/>
      <c r="AD1250" s="44">
        <v>0</v>
      </c>
      <c r="AE1250" s="312">
        <v>0</v>
      </c>
      <c r="AF1250" s="216">
        <v>0</v>
      </c>
      <c r="AG1250" s="43">
        <v>22500000</v>
      </c>
      <c r="AH1250" s="44">
        <v>0</v>
      </c>
      <c r="AI1250" s="43">
        <f t="shared" si="534"/>
        <v>22500000</v>
      </c>
      <c r="AJ1250" s="43">
        <f t="shared" si="535"/>
        <v>22500000</v>
      </c>
      <c r="AK1250" s="44">
        <v>0</v>
      </c>
      <c r="AL1250" s="43">
        <v>22500000</v>
      </c>
      <c r="AM1250" s="43">
        <v>22500000</v>
      </c>
      <c r="AN1250" s="43">
        <v>0</v>
      </c>
      <c r="AO1250" s="43">
        <v>22500000</v>
      </c>
      <c r="AP1250" s="43">
        <v>22500000</v>
      </c>
      <c r="AQ1250" s="43">
        <v>0</v>
      </c>
      <c r="AR1250" s="43">
        <v>22500000</v>
      </c>
      <c r="AS1250" s="43">
        <v>22500000</v>
      </c>
      <c r="AT1250" s="39">
        <f t="shared" si="536"/>
        <v>22500000</v>
      </c>
      <c r="AU1250" s="34">
        <f t="shared" si="537"/>
        <v>0</v>
      </c>
      <c r="AV1250" s="133">
        <f t="shared" si="538"/>
        <v>0</v>
      </c>
      <c r="AW1250" s="34">
        <f t="shared" si="539"/>
        <v>0</v>
      </c>
      <c r="AX1250" s="123">
        <f t="shared" si="540"/>
        <v>1</v>
      </c>
    </row>
    <row r="1251" spans="1:50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229" t="s">
        <v>1344</v>
      </c>
      <c r="AB1251" s="230" t="s">
        <v>233</v>
      </c>
      <c r="AC1251" s="168"/>
      <c r="AD1251" s="44">
        <v>0</v>
      </c>
      <c r="AE1251" s="312">
        <v>0</v>
      </c>
      <c r="AF1251" s="216">
        <v>0</v>
      </c>
      <c r="AG1251" s="43">
        <v>200000000</v>
      </c>
      <c r="AH1251" s="44">
        <v>0</v>
      </c>
      <c r="AI1251" s="43">
        <f t="shared" si="534"/>
        <v>200000000</v>
      </c>
      <c r="AJ1251" s="43">
        <f t="shared" si="535"/>
        <v>200000000</v>
      </c>
      <c r="AK1251" s="44">
        <v>0</v>
      </c>
      <c r="AL1251" s="43">
        <v>200000000</v>
      </c>
      <c r="AM1251" s="43">
        <v>200000000</v>
      </c>
      <c r="AN1251" s="43">
        <v>0</v>
      </c>
      <c r="AO1251" s="43">
        <v>200000000</v>
      </c>
      <c r="AP1251" s="43">
        <v>200000000</v>
      </c>
      <c r="AQ1251" s="43">
        <v>0</v>
      </c>
      <c r="AR1251" s="43">
        <v>200000000</v>
      </c>
      <c r="AS1251" s="43">
        <v>200000000</v>
      </c>
      <c r="AT1251" s="39">
        <f t="shared" si="536"/>
        <v>200000000</v>
      </c>
      <c r="AU1251" s="34">
        <f t="shared" si="537"/>
        <v>0</v>
      </c>
      <c r="AV1251" s="133">
        <f t="shared" si="538"/>
        <v>0</v>
      </c>
      <c r="AW1251" s="34">
        <f t="shared" si="539"/>
        <v>0</v>
      </c>
      <c r="AX1251" s="123">
        <f t="shared" si="540"/>
        <v>1</v>
      </c>
    </row>
    <row r="1252" spans="1:50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206"/>
      <c r="AB1252" s="207"/>
      <c r="AC1252" s="43"/>
      <c r="AD1252" s="43"/>
      <c r="AE1252" s="224"/>
      <c r="AF1252" s="44"/>
      <c r="AG1252" s="44"/>
      <c r="AH1252" s="44"/>
      <c r="AI1252" s="44"/>
      <c r="AJ1252" s="43"/>
      <c r="AK1252" s="44"/>
      <c r="AL1252" s="44"/>
      <c r="AM1252" s="44"/>
      <c r="AN1252" s="44"/>
      <c r="AO1252" s="44"/>
      <c r="AP1252" s="44"/>
      <c r="AQ1252" s="44"/>
      <c r="AR1252" s="44"/>
      <c r="AS1252" s="44"/>
      <c r="AT1252" s="40"/>
      <c r="AU1252" s="18"/>
      <c r="AV1252" s="133"/>
      <c r="AW1252" s="34"/>
      <c r="AX1252" s="123"/>
    </row>
    <row r="1253" spans="1:50" s="50" customFormat="1" x14ac:dyDescent="0.2">
      <c r="B1253" s="77"/>
      <c r="C1253" s="77"/>
      <c r="D1253" s="77"/>
      <c r="E1253" s="77"/>
      <c r="F1253" s="77"/>
      <c r="G1253" s="77"/>
      <c r="H1253" s="77"/>
      <c r="I1253" s="77"/>
      <c r="J1253" s="77"/>
      <c r="K1253" s="77"/>
      <c r="L1253" s="77"/>
      <c r="M1253" s="77"/>
      <c r="N1253" s="77"/>
      <c r="O1253" s="77"/>
      <c r="P1253" s="77"/>
      <c r="Q1253" s="77"/>
      <c r="R1253" s="77"/>
      <c r="S1253" s="77"/>
      <c r="T1253" s="77"/>
      <c r="U1253" s="77"/>
      <c r="V1253" s="77"/>
      <c r="W1253" s="77"/>
      <c r="X1253" s="77"/>
      <c r="Y1253" s="77"/>
      <c r="Z1253" s="77"/>
      <c r="AA1253" s="46"/>
      <c r="AB1253" s="47" t="s">
        <v>737</v>
      </c>
      <c r="AC1253" s="47"/>
      <c r="AD1253" s="48">
        <f t="shared" ref="AD1253:AS1253" si="541">SUM(AD1243:AD1252)</f>
        <v>5055945583</v>
      </c>
      <c r="AE1253" s="48">
        <f t="shared" si="541"/>
        <v>1427349114</v>
      </c>
      <c r="AF1253" s="49">
        <f t="shared" si="541"/>
        <v>0</v>
      </c>
      <c r="AG1253" s="48">
        <f t="shared" si="541"/>
        <v>222500000</v>
      </c>
      <c r="AH1253" s="49">
        <f t="shared" si="541"/>
        <v>0</v>
      </c>
      <c r="AI1253" s="49">
        <f t="shared" si="541"/>
        <v>1649849114</v>
      </c>
      <c r="AJ1253" s="48">
        <f t="shared" si="541"/>
        <v>6705794697</v>
      </c>
      <c r="AK1253" s="49">
        <f t="shared" si="541"/>
        <v>0</v>
      </c>
      <c r="AL1253" s="121">
        <f t="shared" si="541"/>
        <v>890113952</v>
      </c>
      <c r="AM1253" s="121">
        <f t="shared" si="541"/>
        <v>5842709624</v>
      </c>
      <c r="AN1253" s="49">
        <f t="shared" si="541"/>
        <v>0</v>
      </c>
      <c r="AO1253" s="121">
        <f t="shared" si="541"/>
        <v>890113952</v>
      </c>
      <c r="AP1253" s="121">
        <f t="shared" si="541"/>
        <v>5842709624</v>
      </c>
      <c r="AQ1253" s="48">
        <f t="shared" si="541"/>
        <v>0</v>
      </c>
      <c r="AR1253" s="121">
        <f t="shared" si="541"/>
        <v>890113952</v>
      </c>
      <c r="AS1253" s="121">
        <f t="shared" si="541"/>
        <v>5842709624</v>
      </c>
      <c r="AT1253" s="108">
        <f>AQ1253+AS1253</f>
        <v>5842709624</v>
      </c>
      <c r="AU1253" s="48">
        <f>SUM(AU1243:AU1252)</f>
        <v>863085073</v>
      </c>
      <c r="AV1253" s="49">
        <f>SUM(AV1243:AV1252)</f>
        <v>0</v>
      </c>
      <c r="AW1253" s="49">
        <f>SUM(AW1243:AW1252)</f>
        <v>0</v>
      </c>
      <c r="AX1253" s="24">
        <f>AP1253/AJ1253</f>
        <v>0.87129264882115731</v>
      </c>
    </row>
    <row r="1254" spans="1:50" x14ac:dyDescent="0.2">
      <c r="AA1254" s="16"/>
      <c r="AB1254" s="17"/>
      <c r="AC1254" s="17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</row>
    <row r="1255" spans="1:50" s="25" customFormat="1" x14ac:dyDescent="0.2">
      <c r="B1255" s="71"/>
      <c r="C1255" s="71"/>
      <c r="D1255" s="71"/>
      <c r="E1255" s="71"/>
      <c r="F1255" s="71"/>
      <c r="G1255" s="71"/>
      <c r="H1255" s="71"/>
      <c r="I1255" s="71"/>
      <c r="J1255" s="71"/>
      <c r="K1255" s="71"/>
      <c r="L1255" s="71"/>
      <c r="M1255" s="71"/>
      <c r="N1255" s="71"/>
      <c r="O1255" s="71"/>
      <c r="P1255" s="71"/>
      <c r="Q1255" s="71"/>
      <c r="R1255" s="71"/>
      <c r="S1255" s="71"/>
      <c r="T1255" s="71"/>
      <c r="U1255" s="71"/>
      <c r="V1255" s="71"/>
      <c r="W1255" s="71"/>
      <c r="X1255" s="71"/>
      <c r="Y1255" s="71"/>
      <c r="Z1255" s="71"/>
      <c r="AA1255" s="66"/>
      <c r="AB1255" s="21" t="s">
        <v>738</v>
      </c>
      <c r="AC1255" s="67"/>
      <c r="AD1255" s="63"/>
      <c r="AE1255" s="63"/>
      <c r="AF1255" s="63"/>
      <c r="AG1255" s="63"/>
      <c r="AH1255" s="63"/>
      <c r="AI1255" s="63"/>
      <c r="AJ1255" s="63"/>
      <c r="AK1255" s="63"/>
      <c r="AL1255" s="63"/>
      <c r="AM1255" s="63"/>
      <c r="AN1255" s="63"/>
      <c r="AO1255" s="63"/>
      <c r="AP1255" s="63"/>
      <c r="AQ1255" s="63"/>
      <c r="AR1255" s="63"/>
      <c r="AS1255" s="63"/>
      <c r="AT1255" s="63"/>
      <c r="AU1255" s="63"/>
      <c r="AV1255" s="63"/>
      <c r="AW1255" s="63"/>
      <c r="AX1255" s="63"/>
    </row>
    <row r="1256" spans="1:50" x14ac:dyDescent="0.2">
      <c r="AA1256" s="16"/>
      <c r="AB1256" s="29" t="s">
        <v>285</v>
      </c>
      <c r="AC1256" s="17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</row>
    <row r="1257" spans="1:50" x14ac:dyDescent="0.2">
      <c r="AA1257" s="16"/>
      <c r="AB1257" s="29" t="s">
        <v>202</v>
      </c>
      <c r="AC1257" s="17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</row>
    <row r="1258" spans="1:50" x14ac:dyDescent="0.2">
      <c r="AA1258" s="16"/>
      <c r="AB1258" s="29" t="s">
        <v>203</v>
      </c>
      <c r="AC1258" s="17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</row>
    <row r="1259" spans="1:50" x14ac:dyDescent="0.2">
      <c r="AA1259" s="16"/>
      <c r="AB1259" s="29" t="s">
        <v>204</v>
      </c>
      <c r="AC1259" s="17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</row>
    <row r="1260" spans="1:50" ht="25.5" x14ac:dyDescent="0.2">
      <c r="AA1260" s="16"/>
      <c r="AB1260" s="29" t="s">
        <v>739</v>
      </c>
      <c r="AC1260" s="17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</row>
    <row r="1261" spans="1:50" ht="25.5" x14ac:dyDescent="0.2">
      <c r="AA1261" s="16"/>
      <c r="AB1261" s="29" t="s">
        <v>205</v>
      </c>
      <c r="AC1261" s="17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30"/>
      <c r="AU1261" s="18"/>
      <c r="AV1261" s="18"/>
      <c r="AW1261" s="18"/>
      <c r="AX1261" s="18"/>
    </row>
    <row r="1262" spans="1:50" ht="25.5" x14ac:dyDescent="0.2">
      <c r="AA1262" s="28" t="s">
        <v>288</v>
      </c>
      <c r="AB1262" s="29" t="s">
        <v>740</v>
      </c>
      <c r="AC1262" s="17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30"/>
      <c r="AU1262" s="18"/>
      <c r="AV1262" s="18"/>
      <c r="AW1262" s="18"/>
      <c r="AX1262" s="18"/>
    </row>
    <row r="1263" spans="1:50" x14ac:dyDescent="0.2">
      <c r="A1263" s="4" t="s">
        <v>55</v>
      </c>
      <c r="B1263" s="4" t="s">
        <v>56</v>
      </c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1" t="s">
        <v>741</v>
      </c>
      <c r="AB1263" s="42" t="s">
        <v>233</v>
      </c>
      <c r="AC1263" s="43" t="s">
        <v>58</v>
      </c>
      <c r="AD1263" s="43">
        <v>9645837227</v>
      </c>
      <c r="AE1263" s="44">
        <v>0</v>
      </c>
      <c r="AF1263" s="44">
        <v>0</v>
      </c>
      <c r="AG1263" s="44">
        <v>0</v>
      </c>
      <c r="AH1263" s="44">
        <v>0</v>
      </c>
      <c r="AI1263" s="44">
        <v>0</v>
      </c>
      <c r="AJ1263" s="43">
        <v>9645837227</v>
      </c>
      <c r="AK1263" s="44">
        <v>0</v>
      </c>
      <c r="AL1263" s="43">
        <v>803819769</v>
      </c>
      <c r="AM1263" s="43">
        <v>8038197690</v>
      </c>
      <c r="AN1263" s="44">
        <v>0</v>
      </c>
      <c r="AO1263" s="43">
        <v>803819769</v>
      </c>
      <c r="AP1263" s="43">
        <v>8038197690</v>
      </c>
      <c r="AQ1263" s="44">
        <v>0</v>
      </c>
      <c r="AR1263" s="114">
        <v>803819769</v>
      </c>
      <c r="AS1263" s="114">
        <v>8038197690</v>
      </c>
      <c r="AT1263" s="111">
        <f t="shared" ref="AT1263:AT1267" si="542">AQ1263+AS1263</f>
        <v>8038197690</v>
      </c>
      <c r="AU1263" s="110">
        <f>AJ1263-AM1263</f>
        <v>1607639537</v>
      </c>
      <c r="AV1263" s="133">
        <f>AM1263-AP1263</f>
        <v>0</v>
      </c>
      <c r="AW1263" s="34">
        <f>AP1263-AT1263</f>
        <v>0</v>
      </c>
      <c r="AX1263" s="123">
        <f>AP1263/AJ1263</f>
        <v>0.83333333341972637</v>
      </c>
    </row>
    <row r="1264" spans="1:50" x14ac:dyDescent="0.2">
      <c r="A1264" s="4" t="s">
        <v>55</v>
      </c>
      <c r="B1264" s="4" t="s">
        <v>56</v>
      </c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134" t="s">
        <v>742</v>
      </c>
      <c r="AB1264" s="69" t="s">
        <v>743</v>
      </c>
      <c r="AC1264" s="43" t="s">
        <v>744</v>
      </c>
      <c r="AD1264" s="43">
        <v>1148574460</v>
      </c>
      <c r="AE1264" s="43">
        <v>186245925</v>
      </c>
      <c r="AF1264" s="44">
        <v>0</v>
      </c>
      <c r="AG1264" s="44">
        <v>0</v>
      </c>
      <c r="AH1264" s="44">
        <v>0</v>
      </c>
      <c r="AI1264" s="43">
        <f t="shared" ref="AI1264" si="543">AE1264-AF1264+AG1264-AH1264</f>
        <v>186245925</v>
      </c>
      <c r="AJ1264" s="43">
        <f t="shared" ref="AJ1264" si="544">AD1264+AI1264</f>
        <v>1334820385</v>
      </c>
      <c r="AK1264" s="44">
        <v>0</v>
      </c>
      <c r="AL1264" s="43">
        <f>95714538+186245925</f>
        <v>281960463</v>
      </c>
      <c r="AM1264" s="43">
        <f>957145380+186245925</f>
        <v>1143391305</v>
      </c>
      <c r="AN1264" s="44">
        <v>0</v>
      </c>
      <c r="AO1264" s="43">
        <v>281960463</v>
      </c>
      <c r="AP1264" s="43">
        <v>1143391305</v>
      </c>
      <c r="AQ1264" s="44">
        <v>0</v>
      </c>
      <c r="AR1264" s="114">
        <f>95714538+186245925</f>
        <v>281960463</v>
      </c>
      <c r="AS1264" s="114">
        <f>957145380+186245925</f>
        <v>1143391305</v>
      </c>
      <c r="AT1264" s="111">
        <f t="shared" si="542"/>
        <v>1143391305</v>
      </c>
      <c r="AU1264" s="110">
        <f>AJ1264-AM1264</f>
        <v>191429080</v>
      </c>
      <c r="AV1264" s="133">
        <f>AM1264-AP1264</f>
        <v>0</v>
      </c>
      <c r="AW1264" s="34">
        <f>AP1264-AT1264</f>
        <v>0</v>
      </c>
      <c r="AX1264" s="123">
        <f>AP1264/AJ1264</f>
        <v>0.85658813563893843</v>
      </c>
    </row>
    <row r="1265" spans="1:50" x14ac:dyDescent="0.2">
      <c r="A1265" s="4" t="s">
        <v>55</v>
      </c>
      <c r="B1265" s="4" t="s">
        <v>56</v>
      </c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134" t="s">
        <v>745</v>
      </c>
      <c r="AB1265" s="69" t="s">
        <v>281</v>
      </c>
      <c r="AC1265" s="43" t="s">
        <v>253</v>
      </c>
      <c r="AD1265" s="43">
        <v>3200000000</v>
      </c>
      <c r="AE1265" s="44">
        <v>0</v>
      </c>
      <c r="AF1265" s="44">
        <v>0</v>
      </c>
      <c r="AG1265" s="44">
        <v>0</v>
      </c>
      <c r="AH1265" s="44">
        <v>0</v>
      </c>
      <c r="AI1265" s="44">
        <v>0</v>
      </c>
      <c r="AJ1265" s="43">
        <v>3200000000</v>
      </c>
      <c r="AK1265" s="44">
        <v>0</v>
      </c>
      <c r="AL1265" s="43">
        <v>255016229.59</v>
      </c>
      <c r="AM1265" s="43">
        <v>2344939336.54</v>
      </c>
      <c r="AN1265" s="44">
        <v>0</v>
      </c>
      <c r="AO1265" s="43">
        <v>255016229.59</v>
      </c>
      <c r="AP1265" s="43">
        <v>2344939336.54</v>
      </c>
      <c r="AQ1265" s="44">
        <v>255016229.59</v>
      </c>
      <c r="AR1265" s="114">
        <v>0</v>
      </c>
      <c r="AS1265" s="114">
        <v>2089923106.95</v>
      </c>
      <c r="AT1265" s="111">
        <f t="shared" si="542"/>
        <v>2344939336.54</v>
      </c>
      <c r="AU1265" s="110">
        <f>AJ1265-AM1265</f>
        <v>855060663.46000004</v>
      </c>
      <c r="AV1265" s="133">
        <f>AM1265-AP1265</f>
        <v>0</v>
      </c>
      <c r="AW1265" s="34">
        <f>AP1265-AT1265</f>
        <v>0</v>
      </c>
      <c r="AX1265" s="123">
        <f>AP1265/AJ1265</f>
        <v>0.73279354266874996</v>
      </c>
    </row>
    <row r="1266" spans="1:50" ht="25.5" x14ac:dyDescent="0.2">
      <c r="A1266" s="4" t="s">
        <v>55</v>
      </c>
      <c r="B1266" s="4" t="s">
        <v>56</v>
      </c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1" t="s">
        <v>746</v>
      </c>
      <c r="AB1266" s="42" t="s">
        <v>747</v>
      </c>
      <c r="AC1266" s="43" t="s">
        <v>258</v>
      </c>
      <c r="AD1266" s="43">
        <v>35443183</v>
      </c>
      <c r="AE1266" s="44">
        <v>0</v>
      </c>
      <c r="AF1266" s="44">
        <v>0</v>
      </c>
      <c r="AG1266" s="44">
        <v>0</v>
      </c>
      <c r="AH1266" s="44">
        <v>0</v>
      </c>
      <c r="AI1266" s="44">
        <v>0</v>
      </c>
      <c r="AJ1266" s="43">
        <v>35443183</v>
      </c>
      <c r="AK1266" s="44">
        <v>0</v>
      </c>
      <c r="AL1266" s="44">
        <v>0</v>
      </c>
      <c r="AM1266" s="44">
        <v>0</v>
      </c>
      <c r="AN1266" s="44">
        <v>0</v>
      </c>
      <c r="AO1266" s="44">
        <v>0</v>
      </c>
      <c r="AP1266" s="44">
        <v>0</v>
      </c>
      <c r="AQ1266" s="44">
        <v>0</v>
      </c>
      <c r="AR1266" s="44">
        <v>0</v>
      </c>
      <c r="AS1266" s="44">
        <v>0</v>
      </c>
      <c r="AT1266" s="135">
        <f t="shared" si="542"/>
        <v>0</v>
      </c>
      <c r="AU1266" s="110">
        <f>AJ1266-AM1266</f>
        <v>35443183</v>
      </c>
      <c r="AV1266" s="133">
        <f>AM1266-AP1266</f>
        <v>0</v>
      </c>
      <c r="AW1266" s="34">
        <f>AP1266-AT1266</f>
        <v>0</v>
      </c>
      <c r="AX1266" s="123">
        <f>AP1266/AJ1266</f>
        <v>0</v>
      </c>
    </row>
    <row r="1267" spans="1:50" x14ac:dyDescent="0.2">
      <c r="A1267" s="4" t="s">
        <v>55</v>
      </c>
      <c r="B1267" s="4" t="s">
        <v>56</v>
      </c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1" t="s">
        <v>748</v>
      </c>
      <c r="AB1267" s="42" t="s">
        <v>749</v>
      </c>
      <c r="AC1267" s="43" t="s">
        <v>368</v>
      </c>
      <c r="AD1267" s="43">
        <v>30000000</v>
      </c>
      <c r="AE1267" s="44">
        <v>0</v>
      </c>
      <c r="AF1267" s="44">
        <v>0</v>
      </c>
      <c r="AG1267" s="44">
        <v>0</v>
      </c>
      <c r="AH1267" s="44">
        <v>0</v>
      </c>
      <c r="AI1267" s="44">
        <v>0</v>
      </c>
      <c r="AJ1267" s="43">
        <v>30000000</v>
      </c>
      <c r="AK1267" s="44">
        <v>0</v>
      </c>
      <c r="AL1267" s="44">
        <v>0</v>
      </c>
      <c r="AM1267" s="44">
        <v>0</v>
      </c>
      <c r="AN1267" s="44">
        <v>0</v>
      </c>
      <c r="AO1267" s="44">
        <v>0</v>
      </c>
      <c r="AP1267" s="44">
        <v>0</v>
      </c>
      <c r="AQ1267" s="44">
        <v>0</v>
      </c>
      <c r="AR1267" s="44">
        <v>0</v>
      </c>
      <c r="AS1267" s="44">
        <v>0</v>
      </c>
      <c r="AT1267" s="135">
        <f t="shared" si="542"/>
        <v>0</v>
      </c>
      <c r="AU1267" s="110">
        <f>AJ1267-AM1267</f>
        <v>30000000</v>
      </c>
      <c r="AV1267" s="133">
        <f>AM1267-AP1267</f>
        <v>0</v>
      </c>
      <c r="AW1267" s="34">
        <f>AP1267-AT1267</f>
        <v>0</v>
      </c>
      <c r="AX1267" s="123">
        <f>AP1267/AJ1267</f>
        <v>0</v>
      </c>
    </row>
    <row r="1268" spans="1:50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1"/>
      <c r="AB1268" s="42"/>
      <c r="AC1268" s="43"/>
      <c r="AD1268" s="43"/>
      <c r="AE1268" s="44"/>
      <c r="AF1268" s="44"/>
      <c r="AG1268" s="44"/>
      <c r="AH1268" s="44"/>
      <c r="AI1268" s="44"/>
      <c r="AJ1268" s="43"/>
      <c r="AK1268" s="44"/>
      <c r="AL1268" s="44"/>
      <c r="AM1268" s="44"/>
      <c r="AN1268" s="44"/>
      <c r="AO1268" s="44"/>
      <c r="AP1268" s="44"/>
      <c r="AQ1268" s="44"/>
      <c r="AR1268" s="44"/>
      <c r="AS1268" s="44"/>
      <c r="AT1268" s="135"/>
      <c r="AU1268" s="110"/>
      <c r="AV1268" s="133"/>
      <c r="AW1268" s="34"/>
      <c r="AX1268" s="123"/>
    </row>
    <row r="1269" spans="1:50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225" t="s">
        <v>288</v>
      </c>
      <c r="AB1269" s="226" t="s">
        <v>1138</v>
      </c>
      <c r="AC1269" s="43"/>
      <c r="AD1269" s="43"/>
      <c r="AE1269" s="233"/>
      <c r="AF1269" s="44"/>
      <c r="AG1269" s="44"/>
      <c r="AH1269" s="44"/>
      <c r="AI1269" s="44"/>
      <c r="AJ1269" s="43"/>
      <c r="AK1269" s="44"/>
      <c r="AL1269" s="44"/>
      <c r="AM1269" s="44"/>
      <c r="AN1269" s="44"/>
      <c r="AO1269" s="44"/>
      <c r="AP1269" s="44"/>
      <c r="AQ1269" s="44"/>
      <c r="AR1269" s="44"/>
      <c r="AS1269" s="44"/>
      <c r="AT1269" s="135"/>
      <c r="AU1269" s="110"/>
      <c r="AV1269" s="133"/>
      <c r="AW1269" s="34"/>
      <c r="AX1269" s="123"/>
    </row>
    <row r="1270" spans="1:50" ht="25.5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166" t="s">
        <v>1139</v>
      </c>
      <c r="AB1270" s="167" t="s">
        <v>1055</v>
      </c>
      <c r="AC1270" s="168"/>
      <c r="AD1270" s="255">
        <v>0</v>
      </c>
      <c r="AE1270" s="217">
        <v>140000000</v>
      </c>
      <c r="AF1270" s="216">
        <v>0</v>
      </c>
      <c r="AG1270" s="44">
        <v>0</v>
      </c>
      <c r="AH1270" s="44">
        <v>0</v>
      </c>
      <c r="AI1270" s="43">
        <f t="shared" ref="AI1270:AI1271" si="545">AE1270-AF1270+AG1270-AH1270</f>
        <v>140000000</v>
      </c>
      <c r="AJ1270" s="43">
        <f t="shared" ref="AJ1270:AJ1271" si="546">AD1270+AI1270</f>
        <v>140000000</v>
      </c>
      <c r="AK1270" s="44">
        <v>0</v>
      </c>
      <c r="AL1270" s="44">
        <v>0</v>
      </c>
      <c r="AM1270" s="43">
        <v>140000000</v>
      </c>
      <c r="AN1270" s="44">
        <v>0</v>
      </c>
      <c r="AO1270" s="44">
        <v>0</v>
      </c>
      <c r="AP1270" s="43">
        <v>140000000</v>
      </c>
      <c r="AQ1270" s="44">
        <v>0</v>
      </c>
      <c r="AR1270" s="44">
        <v>0</v>
      </c>
      <c r="AS1270" s="43">
        <v>140000000</v>
      </c>
      <c r="AT1270" s="39">
        <f t="shared" ref="AT1270:AT1271" si="547">AQ1270+AS1270</f>
        <v>140000000</v>
      </c>
      <c r="AU1270" s="133">
        <f>AJ1270-AM1270</f>
        <v>0</v>
      </c>
      <c r="AV1270" s="133">
        <f>AM1270-AP1270</f>
        <v>0</v>
      </c>
      <c r="AW1270" s="34">
        <f>AP1270-AT1270</f>
        <v>0</v>
      </c>
      <c r="AX1270" s="123">
        <f>AP1270/AJ1270</f>
        <v>1</v>
      </c>
    </row>
    <row r="1271" spans="1:50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166" t="s">
        <v>1140</v>
      </c>
      <c r="AB1271" s="167" t="s">
        <v>1013</v>
      </c>
      <c r="AC1271" s="168"/>
      <c r="AD1271" s="255">
        <v>0</v>
      </c>
      <c r="AE1271" s="217">
        <v>92624671.799999997</v>
      </c>
      <c r="AF1271" s="216">
        <v>0</v>
      </c>
      <c r="AG1271" s="216">
        <v>0</v>
      </c>
      <c r="AH1271" s="216">
        <v>0</v>
      </c>
      <c r="AI1271" s="43">
        <f t="shared" si="545"/>
        <v>92624671.799999997</v>
      </c>
      <c r="AJ1271" s="43">
        <f t="shared" si="546"/>
        <v>92624671.799999997</v>
      </c>
      <c r="AK1271" s="44">
        <v>0</v>
      </c>
      <c r="AL1271" s="44">
        <v>0</v>
      </c>
      <c r="AM1271" s="43">
        <v>92624671.799999997</v>
      </c>
      <c r="AN1271" s="44">
        <v>0</v>
      </c>
      <c r="AO1271" s="44">
        <v>0</v>
      </c>
      <c r="AP1271" s="43">
        <v>92624671.799999997</v>
      </c>
      <c r="AQ1271" s="44">
        <v>0</v>
      </c>
      <c r="AR1271" s="44">
        <v>0</v>
      </c>
      <c r="AS1271" s="43">
        <v>92624671.799999997</v>
      </c>
      <c r="AT1271" s="39">
        <f t="shared" si="547"/>
        <v>92624671.799999997</v>
      </c>
      <c r="AU1271" s="133">
        <f>AJ1271-AM1271</f>
        <v>0</v>
      </c>
      <c r="AV1271" s="133">
        <f>AM1271-AP1271</f>
        <v>0</v>
      </c>
      <c r="AW1271" s="34">
        <f>AP1271-AT1271</f>
        <v>0</v>
      </c>
      <c r="AX1271" s="123">
        <f>AP1271/AJ1271</f>
        <v>1</v>
      </c>
    </row>
    <row r="1272" spans="1:50" ht="25.5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170" t="s">
        <v>288</v>
      </c>
      <c r="AB1272" s="165" t="s">
        <v>1141</v>
      </c>
      <c r="AC1272" s="168"/>
      <c r="AD1272" s="255"/>
      <c r="AE1272" s="235"/>
      <c r="AF1272" s="216"/>
      <c r="AG1272" s="44"/>
      <c r="AH1272" s="44"/>
      <c r="AI1272" s="44"/>
      <c r="AJ1272" s="43"/>
      <c r="AK1272" s="44"/>
      <c r="AL1272" s="44"/>
      <c r="AM1272" s="44"/>
      <c r="AN1272" s="44"/>
      <c r="AO1272" s="44"/>
      <c r="AP1272" s="44"/>
      <c r="AQ1272" s="44"/>
      <c r="AR1272" s="44"/>
      <c r="AS1272" s="44"/>
      <c r="AT1272" s="135"/>
      <c r="AU1272" s="133"/>
      <c r="AV1272" s="133"/>
      <c r="AW1272" s="34"/>
      <c r="AX1272" s="123"/>
    </row>
    <row r="1273" spans="1:50" ht="25.5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166" t="s">
        <v>1142</v>
      </c>
      <c r="AB1273" s="167" t="s">
        <v>1055</v>
      </c>
      <c r="AC1273" s="168"/>
      <c r="AD1273" s="255">
        <v>0</v>
      </c>
      <c r="AE1273" s="217">
        <v>15000000</v>
      </c>
      <c r="AF1273" s="216">
        <v>0</v>
      </c>
      <c r="AG1273" s="216">
        <v>0</v>
      </c>
      <c r="AH1273" s="216">
        <v>0</v>
      </c>
      <c r="AI1273" s="43">
        <f t="shared" ref="AI1273:AI1278" si="548">AE1273-AF1273+AG1273-AH1273</f>
        <v>15000000</v>
      </c>
      <c r="AJ1273" s="43">
        <f t="shared" ref="AJ1273:AJ1278" si="549">AD1273+AI1273</f>
        <v>15000000</v>
      </c>
      <c r="AK1273" s="44">
        <v>0</v>
      </c>
      <c r="AL1273" s="44">
        <v>0</v>
      </c>
      <c r="AM1273" s="43">
        <v>15000000</v>
      </c>
      <c r="AN1273" s="44">
        <v>0</v>
      </c>
      <c r="AO1273" s="44">
        <v>0</v>
      </c>
      <c r="AP1273" s="43">
        <v>15000000</v>
      </c>
      <c r="AQ1273" s="44">
        <v>0</v>
      </c>
      <c r="AR1273" s="44">
        <v>0</v>
      </c>
      <c r="AS1273" s="43">
        <v>15000000</v>
      </c>
      <c r="AT1273" s="39">
        <f t="shared" ref="AT1273:AT1278" si="550">AQ1273+AS1273</f>
        <v>15000000</v>
      </c>
      <c r="AU1273" s="133">
        <f t="shared" ref="AU1273:AU1278" si="551">AJ1273-AM1273</f>
        <v>0</v>
      </c>
      <c r="AV1273" s="133">
        <f t="shared" ref="AV1273:AV1278" si="552">AM1273-AP1273</f>
        <v>0</v>
      </c>
      <c r="AW1273" s="34">
        <f t="shared" ref="AW1273:AW1278" si="553">AP1273-AT1273</f>
        <v>0</v>
      </c>
      <c r="AX1273" s="123">
        <f t="shared" ref="AX1273:AX1278" si="554">AP1273/AJ1273</f>
        <v>1</v>
      </c>
    </row>
    <row r="1274" spans="1:50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166" t="s">
        <v>1356</v>
      </c>
      <c r="AB1274" s="167" t="s">
        <v>233</v>
      </c>
      <c r="AC1274" s="168"/>
      <c r="AD1274" s="255">
        <v>0</v>
      </c>
      <c r="AE1274" s="217">
        <v>0</v>
      </c>
      <c r="AF1274" s="216">
        <v>0</v>
      </c>
      <c r="AG1274" s="168">
        <v>100000000</v>
      </c>
      <c r="AH1274" s="216">
        <v>0</v>
      </c>
      <c r="AI1274" s="43">
        <f t="shared" si="548"/>
        <v>100000000</v>
      </c>
      <c r="AJ1274" s="43">
        <f t="shared" si="549"/>
        <v>100000000</v>
      </c>
      <c r="AK1274" s="43">
        <v>0</v>
      </c>
      <c r="AL1274" s="43">
        <v>100000000</v>
      </c>
      <c r="AM1274" s="43">
        <v>100000000</v>
      </c>
      <c r="AN1274" s="43">
        <v>0</v>
      </c>
      <c r="AO1274" s="43">
        <v>100000000</v>
      </c>
      <c r="AP1274" s="43">
        <v>100000000</v>
      </c>
      <c r="AQ1274" s="43">
        <v>0</v>
      </c>
      <c r="AR1274" s="43">
        <v>100000000</v>
      </c>
      <c r="AS1274" s="43">
        <v>100000000</v>
      </c>
      <c r="AT1274" s="39">
        <f t="shared" si="550"/>
        <v>100000000</v>
      </c>
      <c r="AU1274" s="34">
        <f t="shared" si="551"/>
        <v>0</v>
      </c>
      <c r="AV1274" s="133">
        <f t="shared" si="552"/>
        <v>0</v>
      </c>
      <c r="AW1274" s="34">
        <f t="shared" si="553"/>
        <v>0</v>
      </c>
      <c r="AX1274" s="123">
        <f t="shared" si="554"/>
        <v>1</v>
      </c>
    </row>
    <row r="1275" spans="1:50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166" t="s">
        <v>1357</v>
      </c>
      <c r="AB1275" s="167" t="s">
        <v>233</v>
      </c>
      <c r="AC1275" s="168"/>
      <c r="AD1275" s="255">
        <v>0</v>
      </c>
      <c r="AE1275" s="217">
        <v>0</v>
      </c>
      <c r="AF1275" s="216">
        <v>0</v>
      </c>
      <c r="AG1275" s="168">
        <v>700000000</v>
      </c>
      <c r="AH1275" s="216">
        <v>0</v>
      </c>
      <c r="AI1275" s="43">
        <f t="shared" si="548"/>
        <v>700000000</v>
      </c>
      <c r="AJ1275" s="43">
        <f t="shared" si="549"/>
        <v>700000000</v>
      </c>
      <c r="AK1275" s="43">
        <v>0</v>
      </c>
      <c r="AL1275" s="43">
        <v>700000000</v>
      </c>
      <c r="AM1275" s="43">
        <v>700000000</v>
      </c>
      <c r="AN1275" s="43">
        <v>0</v>
      </c>
      <c r="AO1275" s="43">
        <v>700000000</v>
      </c>
      <c r="AP1275" s="43">
        <v>700000000</v>
      </c>
      <c r="AQ1275" s="43">
        <v>0</v>
      </c>
      <c r="AR1275" s="43">
        <v>700000000</v>
      </c>
      <c r="AS1275" s="43">
        <v>700000000</v>
      </c>
      <c r="AT1275" s="40">
        <f t="shared" si="550"/>
        <v>700000000</v>
      </c>
      <c r="AU1275" s="34">
        <f t="shared" si="551"/>
        <v>0</v>
      </c>
      <c r="AV1275" s="133">
        <f t="shared" si="552"/>
        <v>0</v>
      </c>
      <c r="AW1275" s="34">
        <f t="shared" si="553"/>
        <v>0</v>
      </c>
      <c r="AX1275" s="123">
        <f t="shared" si="554"/>
        <v>1</v>
      </c>
    </row>
    <row r="1276" spans="1:50" ht="25.5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166" t="s">
        <v>1143</v>
      </c>
      <c r="AB1276" s="167" t="s">
        <v>1055</v>
      </c>
      <c r="AC1276" s="168"/>
      <c r="AD1276" s="255">
        <v>0</v>
      </c>
      <c r="AE1276" s="217">
        <v>100000000</v>
      </c>
      <c r="AF1276" s="216">
        <v>0</v>
      </c>
      <c r="AG1276" s="216">
        <v>0</v>
      </c>
      <c r="AH1276" s="216">
        <v>0</v>
      </c>
      <c r="AI1276" s="43">
        <f t="shared" si="548"/>
        <v>100000000</v>
      </c>
      <c r="AJ1276" s="43">
        <f t="shared" si="549"/>
        <v>100000000</v>
      </c>
      <c r="AK1276" s="44">
        <v>0</v>
      </c>
      <c r="AL1276" s="44">
        <v>0</v>
      </c>
      <c r="AM1276" s="43">
        <v>100000000</v>
      </c>
      <c r="AN1276" s="44">
        <v>0</v>
      </c>
      <c r="AO1276" s="44">
        <v>0</v>
      </c>
      <c r="AP1276" s="43">
        <v>100000000</v>
      </c>
      <c r="AQ1276" s="44">
        <v>0</v>
      </c>
      <c r="AR1276" s="44">
        <v>0</v>
      </c>
      <c r="AS1276" s="43">
        <v>100000000</v>
      </c>
      <c r="AT1276" s="39">
        <f t="shared" si="550"/>
        <v>100000000</v>
      </c>
      <c r="AU1276" s="133">
        <f t="shared" si="551"/>
        <v>0</v>
      </c>
      <c r="AV1276" s="133">
        <f t="shared" si="552"/>
        <v>0</v>
      </c>
      <c r="AW1276" s="34">
        <f t="shared" si="553"/>
        <v>0</v>
      </c>
      <c r="AX1276" s="123">
        <f t="shared" si="554"/>
        <v>1</v>
      </c>
    </row>
    <row r="1277" spans="1:50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166" t="s">
        <v>1144</v>
      </c>
      <c r="AB1277" s="167" t="s">
        <v>1013</v>
      </c>
      <c r="AC1277" s="168"/>
      <c r="AD1277" s="255">
        <v>0</v>
      </c>
      <c r="AE1277" s="217">
        <v>80000000</v>
      </c>
      <c r="AF1277" s="216">
        <v>0</v>
      </c>
      <c r="AG1277" s="216">
        <v>0</v>
      </c>
      <c r="AH1277" s="216">
        <v>0</v>
      </c>
      <c r="AI1277" s="43">
        <f t="shared" si="548"/>
        <v>80000000</v>
      </c>
      <c r="AJ1277" s="43">
        <f t="shared" si="549"/>
        <v>80000000</v>
      </c>
      <c r="AK1277" s="44">
        <v>0</v>
      </c>
      <c r="AL1277" s="44">
        <v>0</v>
      </c>
      <c r="AM1277" s="43">
        <v>80000000</v>
      </c>
      <c r="AN1277" s="44">
        <v>0</v>
      </c>
      <c r="AO1277" s="44">
        <v>0</v>
      </c>
      <c r="AP1277" s="43">
        <v>80000000</v>
      </c>
      <c r="AQ1277" s="44">
        <v>0</v>
      </c>
      <c r="AR1277" s="44">
        <v>0</v>
      </c>
      <c r="AS1277" s="43">
        <v>80000000</v>
      </c>
      <c r="AT1277" s="39">
        <f t="shared" si="550"/>
        <v>80000000</v>
      </c>
      <c r="AU1277" s="133">
        <f t="shared" si="551"/>
        <v>0</v>
      </c>
      <c r="AV1277" s="133">
        <f t="shared" si="552"/>
        <v>0</v>
      </c>
      <c r="AW1277" s="34">
        <f t="shared" si="553"/>
        <v>0</v>
      </c>
      <c r="AX1277" s="123">
        <f t="shared" si="554"/>
        <v>1</v>
      </c>
    </row>
    <row r="1278" spans="1:50" ht="25.5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166" t="s">
        <v>1145</v>
      </c>
      <c r="AB1278" s="167" t="s">
        <v>1044</v>
      </c>
      <c r="AC1278" s="168"/>
      <c r="AD1278" s="255">
        <v>0</v>
      </c>
      <c r="AE1278" s="217">
        <v>22000000</v>
      </c>
      <c r="AF1278" s="216">
        <v>0</v>
      </c>
      <c r="AG1278" s="216">
        <v>0</v>
      </c>
      <c r="AH1278" s="216">
        <v>0</v>
      </c>
      <c r="AI1278" s="43">
        <f t="shared" si="548"/>
        <v>22000000</v>
      </c>
      <c r="AJ1278" s="43">
        <f t="shared" si="549"/>
        <v>22000000</v>
      </c>
      <c r="AK1278" s="44">
        <v>0</v>
      </c>
      <c r="AL1278" s="44">
        <v>0</v>
      </c>
      <c r="AM1278" s="43">
        <v>22000000</v>
      </c>
      <c r="AN1278" s="44">
        <v>0</v>
      </c>
      <c r="AO1278" s="44">
        <v>0</v>
      </c>
      <c r="AP1278" s="43">
        <v>22000000</v>
      </c>
      <c r="AQ1278" s="44">
        <v>0</v>
      </c>
      <c r="AR1278" s="44">
        <v>0</v>
      </c>
      <c r="AS1278" s="43">
        <v>22000000</v>
      </c>
      <c r="AT1278" s="39">
        <f t="shared" si="550"/>
        <v>22000000</v>
      </c>
      <c r="AU1278" s="133">
        <f t="shared" si="551"/>
        <v>0</v>
      </c>
      <c r="AV1278" s="133">
        <f t="shared" si="552"/>
        <v>0</v>
      </c>
      <c r="AW1278" s="34">
        <f t="shared" si="553"/>
        <v>0</v>
      </c>
      <c r="AX1278" s="123">
        <f t="shared" si="554"/>
        <v>1</v>
      </c>
    </row>
    <row r="1279" spans="1:50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170" t="s">
        <v>288</v>
      </c>
      <c r="AB1279" s="165" t="s">
        <v>199</v>
      </c>
      <c r="AC1279" s="168"/>
      <c r="AD1279" s="255"/>
      <c r="AE1279" s="235"/>
      <c r="AF1279" s="216"/>
      <c r="AG1279" s="44"/>
      <c r="AH1279" s="44"/>
      <c r="AI1279" s="44"/>
      <c r="AJ1279" s="43"/>
      <c r="AK1279" s="44"/>
      <c r="AL1279" s="44"/>
      <c r="AM1279" s="44"/>
      <c r="AN1279" s="44"/>
      <c r="AO1279" s="44"/>
      <c r="AP1279" s="44"/>
      <c r="AQ1279" s="44"/>
      <c r="AR1279" s="44"/>
      <c r="AS1279" s="44"/>
      <c r="AT1279" s="135"/>
      <c r="AU1279" s="133"/>
      <c r="AV1279" s="133"/>
      <c r="AW1279" s="34"/>
      <c r="AX1279" s="123"/>
    </row>
    <row r="1280" spans="1:50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166" t="s">
        <v>543</v>
      </c>
      <c r="AB1280" s="167" t="s">
        <v>233</v>
      </c>
      <c r="AC1280" s="168"/>
      <c r="AD1280" s="255"/>
      <c r="AE1280" s="235">
        <v>0</v>
      </c>
      <c r="AF1280" s="216">
        <v>0</v>
      </c>
      <c r="AG1280" s="43">
        <v>200000000</v>
      </c>
      <c r="AH1280" s="44">
        <v>0</v>
      </c>
      <c r="AI1280" s="43">
        <f t="shared" ref="AI1280:AI1282" si="555">AE1280-AF1280+AG1280-AH1280</f>
        <v>200000000</v>
      </c>
      <c r="AJ1280" s="43">
        <f t="shared" ref="AJ1280:AJ1282" si="556">AD1280+AI1280</f>
        <v>200000000</v>
      </c>
      <c r="AK1280" s="43">
        <v>0</v>
      </c>
      <c r="AL1280" s="43">
        <v>200000000</v>
      </c>
      <c r="AM1280" s="43">
        <v>200000000</v>
      </c>
      <c r="AN1280" s="43">
        <v>0</v>
      </c>
      <c r="AO1280" s="43">
        <v>200000000</v>
      </c>
      <c r="AP1280" s="43">
        <v>200000000</v>
      </c>
      <c r="AQ1280" s="43">
        <v>0</v>
      </c>
      <c r="AR1280" s="43">
        <v>200000000</v>
      </c>
      <c r="AS1280" s="43">
        <v>200000000</v>
      </c>
      <c r="AT1280" s="39">
        <f t="shared" ref="AT1280:AT1282" si="557">AQ1280+AS1280</f>
        <v>200000000</v>
      </c>
      <c r="AU1280" s="34">
        <f>AJ1280-AM1280</f>
        <v>0</v>
      </c>
      <c r="AV1280" s="133">
        <f>AM1280-AP1280</f>
        <v>0</v>
      </c>
      <c r="AW1280" s="34">
        <f>AP1280-AT1280</f>
        <v>0</v>
      </c>
      <c r="AX1280" s="123">
        <f>AP1280/AJ1280</f>
        <v>1</v>
      </c>
    </row>
    <row r="1281" spans="1:50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166" t="s">
        <v>1146</v>
      </c>
      <c r="AB1281" s="167" t="s">
        <v>1147</v>
      </c>
      <c r="AC1281" s="168"/>
      <c r="AD1281" s="255">
        <v>0</v>
      </c>
      <c r="AE1281" s="217">
        <v>134265906</v>
      </c>
      <c r="AF1281" s="216">
        <v>0</v>
      </c>
      <c r="AG1281" s="44">
        <v>0</v>
      </c>
      <c r="AH1281" s="44">
        <v>0</v>
      </c>
      <c r="AI1281" s="43">
        <f t="shared" si="555"/>
        <v>134265906</v>
      </c>
      <c r="AJ1281" s="43">
        <f t="shared" si="556"/>
        <v>134265906</v>
      </c>
      <c r="AK1281" s="44">
        <v>0</v>
      </c>
      <c r="AL1281" s="44">
        <v>0</v>
      </c>
      <c r="AM1281" s="43">
        <v>134265906</v>
      </c>
      <c r="AN1281" s="44">
        <v>0</v>
      </c>
      <c r="AO1281" s="44">
        <v>0</v>
      </c>
      <c r="AP1281" s="43">
        <v>134265906</v>
      </c>
      <c r="AQ1281" s="44">
        <v>0</v>
      </c>
      <c r="AR1281" s="44">
        <v>0</v>
      </c>
      <c r="AS1281" s="43">
        <v>134265906</v>
      </c>
      <c r="AT1281" s="39">
        <f t="shared" si="557"/>
        <v>134265906</v>
      </c>
      <c r="AU1281" s="133">
        <f>AJ1281-AM1281</f>
        <v>0</v>
      </c>
      <c r="AV1281" s="133">
        <f>AM1281-AP1281</f>
        <v>0</v>
      </c>
      <c r="AW1281" s="34">
        <f>AP1281-AT1281</f>
        <v>0</v>
      </c>
      <c r="AX1281" s="123">
        <f>AP1281/AJ1281</f>
        <v>1</v>
      </c>
    </row>
    <row r="1282" spans="1:50" ht="25.5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166" t="s">
        <v>1148</v>
      </c>
      <c r="AB1282" s="167" t="s">
        <v>1149</v>
      </c>
      <c r="AC1282" s="168"/>
      <c r="AD1282" s="255">
        <v>0</v>
      </c>
      <c r="AE1282" s="217">
        <v>24691137.52</v>
      </c>
      <c r="AF1282" s="216">
        <v>0</v>
      </c>
      <c r="AG1282" s="216">
        <v>0</v>
      </c>
      <c r="AH1282" s="216">
        <v>0</v>
      </c>
      <c r="AI1282" s="43">
        <f t="shared" si="555"/>
        <v>24691137.52</v>
      </c>
      <c r="AJ1282" s="43">
        <f t="shared" si="556"/>
        <v>24691137.52</v>
      </c>
      <c r="AK1282" s="44">
        <v>0</v>
      </c>
      <c r="AL1282" s="44">
        <v>0</v>
      </c>
      <c r="AM1282" s="43">
        <v>24691137.52</v>
      </c>
      <c r="AN1282" s="44">
        <v>0</v>
      </c>
      <c r="AO1282" s="44">
        <v>0</v>
      </c>
      <c r="AP1282" s="43">
        <v>24691137.52</v>
      </c>
      <c r="AQ1282" s="44">
        <v>0</v>
      </c>
      <c r="AR1282" s="44">
        <v>0</v>
      </c>
      <c r="AS1282" s="43">
        <v>24691137.52</v>
      </c>
      <c r="AT1282" s="39">
        <f t="shared" si="557"/>
        <v>24691137.52</v>
      </c>
      <c r="AU1282" s="133">
        <f>AJ1282-AM1282</f>
        <v>0</v>
      </c>
      <c r="AV1282" s="133">
        <f>AM1282-AP1282</f>
        <v>0</v>
      </c>
      <c r="AW1282" s="34">
        <f>AP1282-AT1282</f>
        <v>0</v>
      </c>
      <c r="AX1282" s="123">
        <f>AP1282/AJ1282</f>
        <v>1</v>
      </c>
    </row>
    <row r="1283" spans="1:50" ht="25.5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170" t="s">
        <v>288</v>
      </c>
      <c r="AB1283" s="165" t="s">
        <v>1150</v>
      </c>
      <c r="AC1283" s="168"/>
      <c r="AD1283" s="231"/>
      <c r="AE1283" s="236"/>
      <c r="AF1283" s="216"/>
      <c r="AG1283" s="44"/>
      <c r="AH1283" s="44"/>
      <c r="AI1283" s="44"/>
      <c r="AJ1283" s="43"/>
      <c r="AK1283" s="44"/>
      <c r="AL1283" s="44"/>
      <c r="AM1283" s="44"/>
      <c r="AN1283" s="44"/>
      <c r="AO1283" s="44"/>
      <c r="AP1283" s="44"/>
      <c r="AQ1283" s="44"/>
      <c r="AR1283" s="44"/>
      <c r="AS1283" s="44"/>
      <c r="AT1283" s="135"/>
      <c r="AU1283" s="133"/>
      <c r="AV1283" s="133"/>
      <c r="AW1283" s="34"/>
      <c r="AX1283" s="123"/>
    </row>
    <row r="1284" spans="1:50" ht="25.5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166" t="s">
        <v>1151</v>
      </c>
      <c r="AB1284" s="167" t="s">
        <v>1055</v>
      </c>
      <c r="AC1284" s="168"/>
      <c r="AD1284" s="255">
        <v>0</v>
      </c>
      <c r="AE1284" s="217">
        <v>233600000</v>
      </c>
      <c r="AF1284" s="216">
        <v>0</v>
      </c>
      <c r="AG1284" s="216">
        <v>0</v>
      </c>
      <c r="AH1284" s="216">
        <v>0</v>
      </c>
      <c r="AI1284" s="43">
        <f t="shared" ref="AI1284" si="558">AE1284-AF1284+AG1284-AH1284</f>
        <v>233600000</v>
      </c>
      <c r="AJ1284" s="43">
        <f t="shared" ref="AJ1284" si="559">AD1284+AI1284</f>
        <v>233600000</v>
      </c>
      <c r="AK1284" s="44">
        <v>0</v>
      </c>
      <c r="AL1284" s="44">
        <v>0</v>
      </c>
      <c r="AM1284" s="43">
        <v>233600000</v>
      </c>
      <c r="AN1284" s="44">
        <v>0</v>
      </c>
      <c r="AO1284" s="44">
        <v>0</v>
      </c>
      <c r="AP1284" s="43">
        <v>233600000</v>
      </c>
      <c r="AQ1284" s="44">
        <v>0</v>
      </c>
      <c r="AR1284" s="44">
        <v>0</v>
      </c>
      <c r="AS1284" s="43">
        <v>233600000</v>
      </c>
      <c r="AT1284" s="39">
        <f t="shared" ref="AT1284" si="560">AQ1284+AS1284</f>
        <v>233600000</v>
      </c>
      <c r="AU1284" s="133">
        <f>AJ1284-AM1284</f>
        <v>0</v>
      </c>
      <c r="AV1284" s="133">
        <f>AM1284-AP1284</f>
        <v>0</v>
      </c>
      <c r="AW1284" s="34">
        <f>AP1284-AT1284</f>
        <v>0</v>
      </c>
      <c r="AX1284" s="123">
        <f>AP1284/AJ1284</f>
        <v>1</v>
      </c>
    </row>
    <row r="1285" spans="1:50" ht="25.5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170" t="s">
        <v>288</v>
      </c>
      <c r="AB1285" s="165" t="s">
        <v>1152</v>
      </c>
      <c r="AC1285" s="168"/>
      <c r="AD1285" s="231"/>
      <c r="AE1285" s="236"/>
      <c r="AF1285" s="216"/>
      <c r="AG1285" s="44"/>
      <c r="AH1285" s="44"/>
      <c r="AI1285" s="44"/>
      <c r="AJ1285" s="43"/>
      <c r="AK1285" s="44"/>
      <c r="AL1285" s="44"/>
      <c r="AM1285" s="44"/>
      <c r="AN1285" s="44"/>
      <c r="AO1285" s="44"/>
      <c r="AP1285" s="44"/>
      <c r="AQ1285" s="44"/>
      <c r="AR1285" s="44"/>
      <c r="AS1285" s="44"/>
      <c r="AT1285" s="135"/>
      <c r="AU1285" s="110"/>
      <c r="AV1285" s="133"/>
      <c r="AW1285" s="34"/>
      <c r="AX1285" s="123"/>
    </row>
    <row r="1286" spans="1:50" ht="25.5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166" t="s">
        <v>1153</v>
      </c>
      <c r="AB1286" s="167" t="s">
        <v>1055</v>
      </c>
      <c r="AC1286" s="168"/>
      <c r="AD1286" s="255">
        <v>0</v>
      </c>
      <c r="AE1286" s="217">
        <v>61400000</v>
      </c>
      <c r="AF1286" s="216">
        <v>0</v>
      </c>
      <c r="AG1286" s="216">
        <v>0</v>
      </c>
      <c r="AH1286" s="216">
        <v>0</v>
      </c>
      <c r="AI1286" s="43">
        <f t="shared" ref="AI1286" si="561">AE1286-AF1286+AG1286-AH1286</f>
        <v>61400000</v>
      </c>
      <c r="AJ1286" s="43">
        <f t="shared" ref="AJ1286" si="562">AD1286+AI1286</f>
        <v>61400000</v>
      </c>
      <c r="AK1286" s="44">
        <v>0</v>
      </c>
      <c r="AL1286" s="44">
        <v>0</v>
      </c>
      <c r="AM1286" s="43">
        <v>61400000</v>
      </c>
      <c r="AN1286" s="44">
        <v>0</v>
      </c>
      <c r="AO1286" s="44">
        <v>0</v>
      </c>
      <c r="AP1286" s="43">
        <v>61400000</v>
      </c>
      <c r="AQ1286" s="44">
        <v>0</v>
      </c>
      <c r="AR1286" s="44">
        <v>0</v>
      </c>
      <c r="AS1286" s="43">
        <v>61400000</v>
      </c>
      <c r="AT1286" s="39">
        <f t="shared" ref="AT1286" si="563">AQ1286+AS1286</f>
        <v>61400000</v>
      </c>
      <c r="AU1286" s="133">
        <f>AJ1286-AM1286</f>
        <v>0</v>
      </c>
      <c r="AV1286" s="133">
        <f>AM1286-AP1286</f>
        <v>0</v>
      </c>
      <c r="AW1286" s="34">
        <f>AP1286-AT1286</f>
        <v>0</v>
      </c>
      <c r="AX1286" s="123">
        <f>AP1286/AJ1286</f>
        <v>1</v>
      </c>
    </row>
    <row r="1287" spans="1:50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170" t="s">
        <v>288</v>
      </c>
      <c r="AB1287" s="165" t="s">
        <v>1154</v>
      </c>
      <c r="AC1287" s="168"/>
      <c r="AD1287" s="255"/>
      <c r="AE1287" s="236"/>
      <c r="AF1287" s="216"/>
      <c r="AG1287" s="44"/>
      <c r="AH1287" s="44"/>
      <c r="AI1287" s="44"/>
      <c r="AJ1287" s="43"/>
      <c r="AK1287" s="44"/>
      <c r="AL1287" s="44"/>
      <c r="AM1287" s="44"/>
      <c r="AN1287" s="44"/>
      <c r="AO1287" s="44"/>
      <c r="AP1287" s="44"/>
      <c r="AQ1287" s="44"/>
      <c r="AR1287" s="44"/>
      <c r="AS1287" s="44"/>
      <c r="AT1287" s="135"/>
      <c r="AU1287" s="133"/>
      <c r="AV1287" s="133"/>
      <c r="AW1287" s="34"/>
      <c r="AX1287" s="123"/>
    </row>
    <row r="1288" spans="1:50" ht="25.5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166" t="s">
        <v>1155</v>
      </c>
      <c r="AB1288" s="167" t="s">
        <v>1055</v>
      </c>
      <c r="AC1288" s="168"/>
      <c r="AD1288" s="255">
        <v>0</v>
      </c>
      <c r="AE1288" s="217">
        <v>200000000</v>
      </c>
      <c r="AF1288" s="216">
        <v>0</v>
      </c>
      <c r="AG1288" s="216">
        <v>0</v>
      </c>
      <c r="AH1288" s="216">
        <v>0</v>
      </c>
      <c r="AI1288" s="43">
        <f t="shared" ref="AI1288" si="564">AE1288-AF1288+AG1288-AH1288</f>
        <v>200000000</v>
      </c>
      <c r="AJ1288" s="43">
        <f t="shared" ref="AJ1288" si="565">AD1288+AI1288</f>
        <v>200000000</v>
      </c>
      <c r="AK1288" s="44">
        <v>0</v>
      </c>
      <c r="AL1288" s="44">
        <v>0</v>
      </c>
      <c r="AM1288" s="43">
        <v>200000000</v>
      </c>
      <c r="AN1288" s="44">
        <v>0</v>
      </c>
      <c r="AO1288" s="44">
        <v>0</v>
      </c>
      <c r="AP1288" s="43">
        <v>200000000</v>
      </c>
      <c r="AQ1288" s="44">
        <v>0</v>
      </c>
      <c r="AR1288" s="44">
        <v>0</v>
      </c>
      <c r="AS1288" s="43">
        <v>200000000</v>
      </c>
      <c r="AT1288" s="39">
        <f t="shared" ref="AT1288" si="566">AQ1288+AS1288</f>
        <v>200000000</v>
      </c>
      <c r="AU1288" s="133">
        <f>AJ1288-AM1288</f>
        <v>0</v>
      </c>
      <c r="AV1288" s="133">
        <f>AM1288-AP1288</f>
        <v>0</v>
      </c>
      <c r="AW1288" s="34">
        <f>AP1288-AT1288</f>
        <v>0</v>
      </c>
      <c r="AX1288" s="123">
        <f>AP1288/AJ1288</f>
        <v>1</v>
      </c>
    </row>
    <row r="1289" spans="1:50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170" t="s">
        <v>288</v>
      </c>
      <c r="AB1289" s="165" t="s">
        <v>1156</v>
      </c>
      <c r="AC1289" s="168"/>
      <c r="AD1289" s="255"/>
      <c r="AE1289" s="236"/>
      <c r="AF1289" s="216"/>
      <c r="AG1289" s="44"/>
      <c r="AH1289" s="44"/>
      <c r="AI1289" s="44"/>
      <c r="AJ1289" s="43"/>
      <c r="AK1289" s="44"/>
      <c r="AL1289" s="44"/>
      <c r="AM1289" s="44"/>
      <c r="AN1289" s="44"/>
      <c r="AO1289" s="44"/>
      <c r="AP1289" s="44"/>
      <c r="AQ1289" s="44"/>
      <c r="AR1289" s="44"/>
      <c r="AS1289" s="44"/>
      <c r="AT1289" s="135"/>
      <c r="AU1289" s="133"/>
      <c r="AV1289" s="133"/>
      <c r="AW1289" s="34"/>
      <c r="AX1289" s="123"/>
    </row>
    <row r="1290" spans="1:50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166" t="s">
        <v>1157</v>
      </c>
      <c r="AB1290" s="167" t="s">
        <v>1013</v>
      </c>
      <c r="AC1290" s="168"/>
      <c r="AD1290" s="255">
        <v>0</v>
      </c>
      <c r="AE1290" s="217">
        <v>70000000</v>
      </c>
      <c r="AF1290" s="216">
        <v>0</v>
      </c>
      <c r="AG1290" s="216">
        <v>0</v>
      </c>
      <c r="AH1290" s="216">
        <v>0</v>
      </c>
      <c r="AI1290" s="43">
        <f t="shared" ref="AI1290" si="567">AE1290-AF1290+AG1290-AH1290</f>
        <v>70000000</v>
      </c>
      <c r="AJ1290" s="43">
        <f t="shared" ref="AJ1290" si="568">AD1290+AI1290</f>
        <v>70000000</v>
      </c>
      <c r="AK1290" s="44">
        <v>0</v>
      </c>
      <c r="AL1290" s="44">
        <v>0</v>
      </c>
      <c r="AM1290" s="43">
        <v>70000000</v>
      </c>
      <c r="AN1290" s="44">
        <v>0</v>
      </c>
      <c r="AO1290" s="44">
        <v>0</v>
      </c>
      <c r="AP1290" s="43">
        <v>70000000</v>
      </c>
      <c r="AQ1290" s="44">
        <v>0</v>
      </c>
      <c r="AR1290" s="44">
        <v>0</v>
      </c>
      <c r="AS1290" s="43">
        <v>70000000</v>
      </c>
      <c r="AT1290" s="39">
        <f t="shared" ref="AT1290" si="569">AQ1290+AS1290</f>
        <v>70000000</v>
      </c>
      <c r="AU1290" s="133">
        <f>AJ1290-AM1290</f>
        <v>0</v>
      </c>
      <c r="AV1290" s="133">
        <f>AM1290-AP1290</f>
        <v>0</v>
      </c>
      <c r="AW1290" s="34">
        <f>AP1290-AT1290</f>
        <v>0</v>
      </c>
      <c r="AX1290" s="123">
        <f>AP1290/AJ1290</f>
        <v>1</v>
      </c>
    </row>
    <row r="1291" spans="1:50" ht="25.5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170" t="s">
        <v>288</v>
      </c>
      <c r="AB1291" s="165" t="s">
        <v>1158</v>
      </c>
      <c r="AC1291" s="168"/>
      <c r="AD1291" s="255"/>
      <c r="AE1291" s="236"/>
      <c r="AF1291" s="216"/>
      <c r="AG1291" s="44"/>
      <c r="AH1291" s="44"/>
      <c r="AI1291" s="44"/>
      <c r="AJ1291" s="43"/>
      <c r="AK1291" s="44"/>
      <c r="AL1291" s="44"/>
      <c r="AM1291" s="44"/>
      <c r="AN1291" s="44"/>
      <c r="AO1291" s="44"/>
      <c r="AP1291" s="44"/>
      <c r="AQ1291" s="44"/>
      <c r="AR1291" s="44"/>
      <c r="AS1291" s="43"/>
      <c r="AT1291" s="39"/>
      <c r="AU1291" s="133"/>
      <c r="AV1291" s="133"/>
      <c r="AW1291" s="34"/>
      <c r="AX1291" s="123"/>
    </row>
    <row r="1292" spans="1:50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166" t="s">
        <v>1159</v>
      </c>
      <c r="AB1292" s="167" t="s">
        <v>1013</v>
      </c>
      <c r="AC1292" s="168"/>
      <c r="AD1292" s="255">
        <v>0</v>
      </c>
      <c r="AE1292" s="217">
        <v>34660667.719999999</v>
      </c>
      <c r="AF1292" s="216">
        <v>0</v>
      </c>
      <c r="AG1292" s="216">
        <v>0</v>
      </c>
      <c r="AH1292" s="216">
        <v>0</v>
      </c>
      <c r="AI1292" s="43">
        <f t="shared" ref="AI1292" si="570">AE1292-AF1292+AG1292-AH1292</f>
        <v>34660667.719999999</v>
      </c>
      <c r="AJ1292" s="43">
        <f t="shared" ref="AJ1292" si="571">AD1292+AI1292</f>
        <v>34660667.719999999</v>
      </c>
      <c r="AK1292" s="44">
        <v>0</v>
      </c>
      <c r="AL1292" s="44">
        <v>0</v>
      </c>
      <c r="AM1292" s="43">
        <v>34660667.719999999</v>
      </c>
      <c r="AN1292" s="44">
        <v>0</v>
      </c>
      <c r="AO1292" s="44">
        <v>0</v>
      </c>
      <c r="AP1292" s="43">
        <v>34660667.719999999</v>
      </c>
      <c r="AQ1292" s="44">
        <v>0</v>
      </c>
      <c r="AR1292" s="44">
        <v>0</v>
      </c>
      <c r="AS1292" s="43">
        <v>34660667.719999999</v>
      </c>
      <c r="AT1292" s="39">
        <f t="shared" ref="AT1292" si="572">AQ1292+AS1292</f>
        <v>34660667.719999999</v>
      </c>
      <c r="AU1292" s="133">
        <f>AJ1292-AM1292</f>
        <v>0</v>
      </c>
      <c r="AV1292" s="133">
        <f>AM1292-AP1292</f>
        <v>0</v>
      </c>
      <c r="AW1292" s="34">
        <f>AP1292-AT1292</f>
        <v>0</v>
      </c>
      <c r="AX1292" s="123">
        <f>AP1292/AJ1292</f>
        <v>1</v>
      </c>
    </row>
    <row r="1293" spans="1:50" ht="17.25" customHeight="1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170" t="s">
        <v>288</v>
      </c>
      <c r="AB1293" s="165" t="s">
        <v>1160</v>
      </c>
      <c r="AC1293" s="168"/>
      <c r="AD1293" s="255"/>
      <c r="AE1293" s="236"/>
      <c r="AF1293" s="216"/>
      <c r="AG1293" s="44"/>
      <c r="AH1293" s="44"/>
      <c r="AI1293" s="44"/>
      <c r="AJ1293" s="43"/>
      <c r="AK1293" s="44"/>
      <c r="AL1293" s="44"/>
      <c r="AM1293" s="44"/>
      <c r="AN1293" s="44"/>
      <c r="AO1293" s="44"/>
      <c r="AP1293" s="44"/>
      <c r="AQ1293" s="44"/>
      <c r="AR1293" s="44"/>
      <c r="AS1293" s="44"/>
      <c r="AT1293" s="135"/>
      <c r="AU1293" s="133"/>
      <c r="AV1293" s="133"/>
      <c r="AW1293" s="34"/>
      <c r="AX1293" s="123"/>
    </row>
    <row r="1294" spans="1:50" ht="31.5" customHeight="1" x14ac:dyDescent="0.2">
      <c r="AA1294" s="166" t="s">
        <v>1161</v>
      </c>
      <c r="AB1294" s="167" t="s">
        <v>1044</v>
      </c>
      <c r="AC1294" s="161"/>
      <c r="AD1294" s="256">
        <v>0</v>
      </c>
      <c r="AE1294" s="217">
        <v>106000000</v>
      </c>
      <c r="AF1294" s="216">
        <v>0</v>
      </c>
      <c r="AG1294" s="216">
        <v>0</v>
      </c>
      <c r="AH1294" s="216">
        <v>0</v>
      </c>
      <c r="AI1294" s="43">
        <f t="shared" ref="AI1294" si="573">AE1294-AF1294+AG1294-AH1294</f>
        <v>106000000</v>
      </c>
      <c r="AJ1294" s="43">
        <f t="shared" ref="AJ1294" si="574">AD1294+AI1294</f>
        <v>106000000</v>
      </c>
      <c r="AK1294" s="34">
        <v>0</v>
      </c>
      <c r="AL1294" s="34">
        <v>0</v>
      </c>
      <c r="AM1294" s="18">
        <v>106000000</v>
      </c>
      <c r="AN1294" s="34">
        <v>0</v>
      </c>
      <c r="AO1294" s="34">
        <v>0</v>
      </c>
      <c r="AP1294" s="18">
        <v>106000000</v>
      </c>
      <c r="AQ1294" s="34">
        <v>0</v>
      </c>
      <c r="AR1294" s="34">
        <v>0</v>
      </c>
      <c r="AS1294" s="18">
        <v>106000000</v>
      </c>
      <c r="AT1294" s="39">
        <f t="shared" ref="AT1294" si="575">AQ1294+AS1294</f>
        <v>106000000</v>
      </c>
      <c r="AU1294" s="133">
        <f>AJ1294-AM1294</f>
        <v>0</v>
      </c>
      <c r="AV1294" s="133">
        <f>AM1294-AP1294</f>
        <v>0</v>
      </c>
      <c r="AW1294" s="34">
        <f>AP1294-AT1294</f>
        <v>0</v>
      </c>
      <c r="AX1294" s="123">
        <f>AP1294/AJ1294</f>
        <v>1</v>
      </c>
    </row>
    <row r="1295" spans="1:50" ht="14.25" customHeight="1" x14ac:dyDescent="0.2">
      <c r="AA1295" s="229"/>
      <c r="AB1295" s="230"/>
      <c r="AC1295" s="161"/>
      <c r="AD1295" s="18"/>
      <c r="AE1295" s="234"/>
      <c r="AF1295" s="34"/>
      <c r="AG1295" s="34"/>
      <c r="AH1295" s="34"/>
      <c r="AI1295" s="34"/>
      <c r="AJ1295" s="18"/>
      <c r="AK1295" s="34"/>
      <c r="AL1295" s="18"/>
      <c r="AM1295" s="18"/>
      <c r="AN1295" s="34"/>
      <c r="AO1295" s="18"/>
      <c r="AP1295" s="18"/>
      <c r="AQ1295" s="18"/>
      <c r="AR1295" s="18"/>
      <c r="AS1295" s="18"/>
      <c r="AT1295" s="30"/>
      <c r="AU1295" s="18"/>
      <c r="AV1295" s="18"/>
      <c r="AW1295" s="18"/>
      <c r="AX1295" s="18"/>
    </row>
    <row r="1296" spans="1:50" s="50" customFormat="1" ht="15.75" customHeight="1" x14ac:dyDescent="0.2">
      <c r="B1296" s="77"/>
      <c r="C1296" s="77"/>
      <c r="D1296" s="77"/>
      <c r="E1296" s="77"/>
      <c r="F1296" s="77"/>
      <c r="G1296" s="77"/>
      <c r="H1296" s="77"/>
      <c r="I1296" s="77"/>
      <c r="J1296" s="77"/>
      <c r="K1296" s="77"/>
      <c r="L1296" s="77"/>
      <c r="M1296" s="77"/>
      <c r="N1296" s="77"/>
      <c r="O1296" s="77"/>
      <c r="P1296" s="77"/>
      <c r="Q1296" s="77"/>
      <c r="R1296" s="77"/>
      <c r="S1296" s="77"/>
      <c r="T1296" s="77"/>
      <c r="U1296" s="77"/>
      <c r="V1296" s="77"/>
      <c r="W1296" s="77"/>
      <c r="X1296" s="77"/>
      <c r="Y1296" s="77"/>
      <c r="Z1296" s="77"/>
      <c r="AA1296" s="227"/>
      <c r="AB1296" s="228" t="s">
        <v>1425</v>
      </c>
      <c r="AC1296" s="22" t="s">
        <v>751</v>
      </c>
      <c r="AD1296" s="22">
        <f>SUM(AD1263:AD1294)</f>
        <v>14059854870</v>
      </c>
      <c r="AE1296" s="22">
        <f t="shared" ref="AE1296:AW1296" si="576">SUM(AE1263:AE1294)</f>
        <v>1500488308.04</v>
      </c>
      <c r="AF1296" s="23">
        <f t="shared" si="576"/>
        <v>0</v>
      </c>
      <c r="AG1296" s="22">
        <f t="shared" si="576"/>
        <v>1000000000</v>
      </c>
      <c r="AH1296" s="23">
        <f t="shared" si="576"/>
        <v>0</v>
      </c>
      <c r="AI1296" s="23">
        <f t="shared" si="576"/>
        <v>2500488308.0399995</v>
      </c>
      <c r="AJ1296" s="22">
        <f t="shared" si="576"/>
        <v>16560343178.039999</v>
      </c>
      <c r="AK1296" s="23">
        <f t="shared" si="576"/>
        <v>0</v>
      </c>
      <c r="AL1296" s="22">
        <f t="shared" si="576"/>
        <v>2340796461.5900002</v>
      </c>
      <c r="AM1296" s="22">
        <f t="shared" si="576"/>
        <v>13840770714.58</v>
      </c>
      <c r="AN1296" s="23">
        <f t="shared" si="576"/>
        <v>0</v>
      </c>
      <c r="AO1296" s="22">
        <f t="shared" si="576"/>
        <v>2340796461.5900002</v>
      </c>
      <c r="AP1296" s="22">
        <f t="shared" si="576"/>
        <v>13840770714.58</v>
      </c>
      <c r="AQ1296" s="23">
        <f t="shared" si="576"/>
        <v>255016229.59</v>
      </c>
      <c r="AR1296" s="22">
        <f t="shared" si="576"/>
        <v>2085780232</v>
      </c>
      <c r="AS1296" s="22">
        <f t="shared" si="576"/>
        <v>13585754484.99</v>
      </c>
      <c r="AT1296" s="22">
        <f>AQ1296+AS1296</f>
        <v>13840770714.58</v>
      </c>
      <c r="AU1296" s="22">
        <f t="shared" si="576"/>
        <v>2719572463.46</v>
      </c>
      <c r="AV1296" s="23">
        <f t="shared" si="576"/>
        <v>0</v>
      </c>
      <c r="AW1296" s="23">
        <f t="shared" si="576"/>
        <v>0</v>
      </c>
      <c r="AX1296" s="24">
        <f>AP1296/AJ1296</f>
        <v>0.83577801291785336</v>
      </c>
    </row>
    <row r="1297" spans="1:50" x14ac:dyDescent="0.2">
      <c r="AA1297" s="16"/>
      <c r="AB1297" s="17"/>
      <c r="AC1297" s="17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</row>
    <row r="1298" spans="1:50" x14ac:dyDescent="0.2">
      <c r="AA1298" s="16"/>
      <c r="AB1298" s="29" t="s">
        <v>207</v>
      </c>
      <c r="AC1298" s="17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</row>
    <row r="1299" spans="1:50" x14ac:dyDescent="0.2">
      <c r="AA1299" s="16"/>
      <c r="AB1299" s="29" t="s">
        <v>285</v>
      </c>
      <c r="AC1299" s="17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</row>
    <row r="1300" spans="1:50" x14ac:dyDescent="0.2">
      <c r="AA1300" s="16"/>
      <c r="AB1300" s="29" t="s">
        <v>202</v>
      </c>
      <c r="AC1300" s="17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</row>
    <row r="1301" spans="1:50" x14ac:dyDescent="0.2">
      <c r="AA1301" s="16"/>
      <c r="AB1301" s="29" t="s">
        <v>203</v>
      </c>
      <c r="AC1301" s="17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</row>
    <row r="1302" spans="1:50" x14ac:dyDescent="0.2">
      <c r="AA1302" s="16"/>
      <c r="AB1302" s="29" t="s">
        <v>752</v>
      </c>
      <c r="AC1302" s="17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</row>
    <row r="1303" spans="1:50" ht="25.5" x14ac:dyDescent="0.2">
      <c r="AA1303" s="16"/>
      <c r="AB1303" s="29" t="s">
        <v>205</v>
      </c>
      <c r="AC1303" s="17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</row>
    <row r="1304" spans="1:50" ht="25.5" x14ac:dyDescent="0.2">
      <c r="AA1304" s="16"/>
      <c r="AB1304" s="29" t="s">
        <v>205</v>
      </c>
      <c r="AC1304" s="17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30"/>
      <c r="AU1304" s="18"/>
      <c r="AV1304" s="18"/>
      <c r="AW1304" s="18"/>
      <c r="AX1304" s="18"/>
    </row>
    <row r="1305" spans="1:50" ht="25.5" x14ac:dyDescent="0.2">
      <c r="AA1305" s="28" t="s">
        <v>288</v>
      </c>
      <c r="AB1305" s="29" t="s">
        <v>753</v>
      </c>
      <c r="AC1305" s="17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30"/>
      <c r="AU1305" s="18"/>
      <c r="AV1305" s="18"/>
      <c r="AW1305" s="18"/>
      <c r="AX1305" s="18"/>
    </row>
    <row r="1306" spans="1:50" x14ac:dyDescent="0.2">
      <c r="A1306" s="4" t="s">
        <v>55</v>
      </c>
      <c r="B1306" s="4" t="s">
        <v>56</v>
      </c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1" t="s">
        <v>754</v>
      </c>
      <c r="AB1306" s="42" t="s">
        <v>233</v>
      </c>
      <c r="AC1306" s="43" t="s">
        <v>58</v>
      </c>
      <c r="AD1306" s="43">
        <v>3500000000</v>
      </c>
      <c r="AE1306" s="44">
        <v>0</v>
      </c>
      <c r="AF1306" s="44">
        <v>0</v>
      </c>
      <c r="AG1306" s="44">
        <v>0</v>
      </c>
      <c r="AH1306" s="44">
        <v>0</v>
      </c>
      <c r="AI1306" s="44">
        <f t="shared" ref="AI1306:AI1307" si="577">AE1306-AF1306+AG1306-AH1306</f>
        <v>0</v>
      </c>
      <c r="AJ1306" s="43">
        <f t="shared" ref="AJ1306:AJ1307" si="578">AD1306+AI1306</f>
        <v>3500000000</v>
      </c>
      <c r="AK1306" s="44">
        <v>0</v>
      </c>
      <c r="AL1306" s="43">
        <v>291666667</v>
      </c>
      <c r="AM1306" s="43">
        <v>2916666670</v>
      </c>
      <c r="AN1306" s="44">
        <v>0</v>
      </c>
      <c r="AO1306" s="43">
        <v>291666667</v>
      </c>
      <c r="AP1306" s="43">
        <v>2916666670</v>
      </c>
      <c r="AQ1306" s="44">
        <v>0</v>
      </c>
      <c r="AR1306" s="43">
        <v>291666667</v>
      </c>
      <c r="AS1306" s="43">
        <v>2916666670</v>
      </c>
      <c r="AT1306" s="39">
        <f t="shared" ref="AT1306:AT1307" si="579">AQ1306+AS1306</f>
        <v>2916666670</v>
      </c>
      <c r="AU1306" s="110">
        <f>AJ1306-AM1306</f>
        <v>583333330</v>
      </c>
      <c r="AV1306" s="133">
        <f>AM1306-AP1306</f>
        <v>0</v>
      </c>
      <c r="AW1306" s="34">
        <f>AP1306-AT1306</f>
        <v>0</v>
      </c>
      <c r="AX1306" s="123">
        <f>AP1306/AJ1306</f>
        <v>0.83333333428571432</v>
      </c>
    </row>
    <row r="1307" spans="1:50" x14ac:dyDescent="0.2">
      <c r="A1307" s="4" t="s">
        <v>55</v>
      </c>
      <c r="B1307" s="4" t="s">
        <v>56</v>
      </c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1" t="s">
        <v>1237</v>
      </c>
      <c r="AB1307" s="69" t="s">
        <v>756</v>
      </c>
      <c r="AC1307" s="43" t="s">
        <v>757</v>
      </c>
      <c r="AD1307" s="43">
        <v>103000000</v>
      </c>
      <c r="AE1307" s="44">
        <v>0</v>
      </c>
      <c r="AF1307" s="44">
        <v>0</v>
      </c>
      <c r="AG1307" s="44">
        <v>0</v>
      </c>
      <c r="AH1307" s="44">
        <v>0</v>
      </c>
      <c r="AI1307" s="44">
        <f t="shared" si="577"/>
        <v>0</v>
      </c>
      <c r="AJ1307" s="43">
        <f t="shared" si="578"/>
        <v>103000000</v>
      </c>
      <c r="AK1307" s="44">
        <v>0</v>
      </c>
      <c r="AL1307" s="43">
        <v>0</v>
      </c>
      <c r="AM1307" s="43">
        <v>34770760</v>
      </c>
      <c r="AN1307" s="44">
        <v>0</v>
      </c>
      <c r="AO1307" s="43">
        <v>0</v>
      </c>
      <c r="AP1307" s="43">
        <v>34770760</v>
      </c>
      <c r="AQ1307" s="44">
        <v>0</v>
      </c>
      <c r="AR1307" s="44">
        <v>0</v>
      </c>
      <c r="AS1307" s="43">
        <v>34770760</v>
      </c>
      <c r="AT1307" s="39">
        <f t="shared" si="579"/>
        <v>34770760</v>
      </c>
      <c r="AU1307" s="110">
        <f>AJ1307-AM1307</f>
        <v>68229240</v>
      </c>
      <c r="AV1307" s="133">
        <f>AM1307-AP1307</f>
        <v>0</v>
      </c>
      <c r="AW1307" s="34">
        <f>AP1307-AT1307</f>
        <v>0</v>
      </c>
      <c r="AX1307" s="123">
        <f>AP1307/AJ1307</f>
        <v>0.33758019417475726</v>
      </c>
    </row>
    <row r="1308" spans="1:50" x14ac:dyDescent="0.2">
      <c r="AA1308" s="162"/>
      <c r="AB1308" s="223"/>
      <c r="AC1308" s="17"/>
      <c r="AD1308" s="18"/>
      <c r="AE1308" s="34"/>
      <c r="AF1308" s="34"/>
      <c r="AG1308" s="34"/>
      <c r="AH1308" s="34"/>
      <c r="AI1308" s="34"/>
      <c r="AJ1308" s="18"/>
      <c r="AK1308" s="34"/>
      <c r="AL1308" s="18"/>
      <c r="AM1308" s="18"/>
      <c r="AN1308" s="34"/>
      <c r="AO1308" s="18"/>
      <c r="AP1308" s="18"/>
      <c r="AQ1308" s="34"/>
      <c r="AR1308" s="18"/>
      <c r="AS1308" s="18"/>
      <c r="AT1308" s="30"/>
      <c r="AU1308" s="18"/>
      <c r="AV1308" s="18"/>
      <c r="AW1308" s="18"/>
      <c r="AX1308" s="18"/>
    </row>
    <row r="1309" spans="1:50" s="50" customFormat="1" x14ac:dyDescent="0.2">
      <c r="B1309" s="77"/>
      <c r="C1309" s="77"/>
      <c r="D1309" s="77"/>
      <c r="E1309" s="77"/>
      <c r="F1309" s="77"/>
      <c r="G1309" s="77"/>
      <c r="H1309" s="77"/>
      <c r="I1309" s="77"/>
      <c r="J1309" s="77"/>
      <c r="K1309" s="77"/>
      <c r="L1309" s="77"/>
      <c r="M1309" s="77"/>
      <c r="N1309" s="77"/>
      <c r="O1309" s="77"/>
      <c r="P1309" s="77"/>
      <c r="Q1309" s="77"/>
      <c r="R1309" s="77"/>
      <c r="S1309" s="77"/>
      <c r="T1309" s="77"/>
      <c r="U1309" s="77"/>
      <c r="V1309" s="77"/>
      <c r="W1309" s="77"/>
      <c r="X1309" s="77"/>
      <c r="Y1309" s="77"/>
      <c r="Z1309" s="77"/>
      <c r="AA1309" s="46"/>
      <c r="AB1309" s="47" t="s">
        <v>758</v>
      </c>
      <c r="AC1309" s="22" t="s">
        <v>759</v>
      </c>
      <c r="AD1309" s="22">
        <f t="shared" ref="AD1309:AS1309" si="580">SUM(AD1306:AD1308)</f>
        <v>3603000000</v>
      </c>
      <c r="AE1309" s="23">
        <f t="shared" si="580"/>
        <v>0</v>
      </c>
      <c r="AF1309" s="23">
        <f t="shared" si="580"/>
        <v>0</v>
      </c>
      <c r="AG1309" s="23">
        <f t="shared" si="580"/>
        <v>0</v>
      </c>
      <c r="AH1309" s="23">
        <f t="shared" si="580"/>
        <v>0</v>
      </c>
      <c r="AI1309" s="23">
        <f t="shared" si="580"/>
        <v>0</v>
      </c>
      <c r="AJ1309" s="22">
        <f t="shared" si="580"/>
        <v>3603000000</v>
      </c>
      <c r="AK1309" s="23">
        <f t="shared" si="580"/>
        <v>0</v>
      </c>
      <c r="AL1309" s="22">
        <f t="shared" si="580"/>
        <v>291666667</v>
      </c>
      <c r="AM1309" s="22">
        <f t="shared" si="580"/>
        <v>2951437430</v>
      </c>
      <c r="AN1309" s="23">
        <f t="shared" si="580"/>
        <v>0</v>
      </c>
      <c r="AO1309" s="22">
        <f t="shared" si="580"/>
        <v>291666667</v>
      </c>
      <c r="AP1309" s="22">
        <f t="shared" si="580"/>
        <v>2951437430</v>
      </c>
      <c r="AQ1309" s="23">
        <f t="shared" si="580"/>
        <v>0</v>
      </c>
      <c r="AR1309" s="22">
        <f t="shared" si="580"/>
        <v>291666667</v>
      </c>
      <c r="AS1309" s="22">
        <f t="shared" si="580"/>
        <v>2951437430</v>
      </c>
      <c r="AT1309" s="22">
        <f>AQ1309+AS1309</f>
        <v>2951437430</v>
      </c>
      <c r="AU1309" s="22">
        <f>SUM(AU1306:AU1308)</f>
        <v>651562570</v>
      </c>
      <c r="AV1309" s="23">
        <f>SUM(AV1306:AV1308)</f>
        <v>0</v>
      </c>
      <c r="AW1309" s="23">
        <f>SUM(AW1306:AW1308)</f>
        <v>0</v>
      </c>
      <c r="AX1309" s="22">
        <f>SUM(AX1306:AX1308)</f>
        <v>1.1709135284604715</v>
      </c>
    </row>
    <row r="1310" spans="1:50" x14ac:dyDescent="0.2">
      <c r="AA1310" s="16"/>
      <c r="AB1310" s="17"/>
      <c r="AC1310" s="17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</row>
    <row r="1311" spans="1:50" s="25" customFormat="1" x14ac:dyDescent="0.2">
      <c r="B1311" s="71"/>
      <c r="C1311" s="71"/>
      <c r="D1311" s="71"/>
      <c r="E1311" s="71"/>
      <c r="F1311" s="71"/>
      <c r="G1311" s="71"/>
      <c r="H1311" s="71"/>
      <c r="I1311" s="71"/>
      <c r="J1311" s="71"/>
      <c r="K1311" s="71"/>
      <c r="L1311" s="71"/>
      <c r="M1311" s="71"/>
      <c r="N1311" s="71"/>
      <c r="O1311" s="71"/>
      <c r="P1311" s="71"/>
      <c r="Q1311" s="71"/>
      <c r="R1311" s="71"/>
      <c r="S1311" s="71"/>
      <c r="T1311" s="71"/>
      <c r="U1311" s="71"/>
      <c r="V1311" s="71"/>
      <c r="W1311" s="71"/>
      <c r="X1311" s="71"/>
      <c r="Y1311" s="71"/>
      <c r="Z1311" s="71"/>
      <c r="AA1311" s="66"/>
      <c r="AB1311" s="21" t="s">
        <v>760</v>
      </c>
      <c r="AC1311" s="67"/>
      <c r="AD1311" s="63"/>
      <c r="AE1311" s="63"/>
      <c r="AF1311" s="63"/>
      <c r="AG1311" s="63"/>
      <c r="AH1311" s="63"/>
      <c r="AI1311" s="63"/>
      <c r="AJ1311" s="63"/>
      <c r="AK1311" s="63"/>
      <c r="AL1311" s="63"/>
      <c r="AM1311" s="63"/>
      <c r="AN1311" s="63"/>
      <c r="AO1311" s="63"/>
      <c r="AP1311" s="63"/>
      <c r="AQ1311" s="63"/>
      <c r="AR1311" s="63"/>
      <c r="AS1311" s="63"/>
      <c r="AT1311" s="63"/>
      <c r="AU1311" s="63"/>
      <c r="AV1311" s="63"/>
      <c r="AW1311" s="63"/>
      <c r="AX1311" s="63"/>
    </row>
    <row r="1312" spans="1:50" x14ac:dyDescent="0.2">
      <c r="AA1312" s="16"/>
      <c r="AB1312" s="29" t="s">
        <v>285</v>
      </c>
      <c r="AC1312" s="17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</row>
    <row r="1313" spans="1:50" x14ac:dyDescent="0.2">
      <c r="AA1313" s="16"/>
      <c r="AB1313" s="29" t="s">
        <v>177</v>
      </c>
      <c r="AC1313" s="17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</row>
    <row r="1314" spans="1:50" x14ac:dyDescent="0.2">
      <c r="AA1314" s="16"/>
      <c r="AB1314" s="29" t="s">
        <v>179</v>
      </c>
      <c r="AC1314" s="17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</row>
    <row r="1315" spans="1:50" x14ac:dyDescent="0.2">
      <c r="AA1315" s="16"/>
      <c r="AB1315" s="29" t="s">
        <v>761</v>
      </c>
      <c r="AC1315" s="17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</row>
    <row r="1316" spans="1:50" ht="25.5" x14ac:dyDescent="0.2">
      <c r="AA1316" s="16"/>
      <c r="AB1316" s="29" t="s">
        <v>298</v>
      </c>
      <c r="AC1316" s="17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</row>
    <row r="1317" spans="1:50" x14ac:dyDescent="0.2">
      <c r="AA1317" s="28" t="s">
        <v>288</v>
      </c>
      <c r="AB1317" s="29">
        <v>0</v>
      </c>
      <c r="AC1317" s="17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30"/>
      <c r="AU1317" s="18"/>
      <c r="AV1317" s="18"/>
      <c r="AW1317" s="18"/>
      <c r="AX1317" s="18"/>
    </row>
    <row r="1318" spans="1:50" x14ac:dyDescent="0.2">
      <c r="A1318" s="4" t="s">
        <v>55</v>
      </c>
      <c r="B1318" s="4" t="s">
        <v>56</v>
      </c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1" t="s">
        <v>763</v>
      </c>
      <c r="AB1318" s="42" t="s">
        <v>233</v>
      </c>
      <c r="AC1318" s="43" t="s">
        <v>58</v>
      </c>
      <c r="AD1318" s="43">
        <v>123000000</v>
      </c>
      <c r="AE1318" s="44">
        <v>0</v>
      </c>
      <c r="AF1318" s="44">
        <v>0</v>
      </c>
      <c r="AG1318" s="43">
        <f>431000000+18000000</f>
        <v>449000000</v>
      </c>
      <c r="AH1318" s="43">
        <f>431000000+9000000</f>
        <v>440000000</v>
      </c>
      <c r="AI1318" s="43">
        <f>AE1318-AF1318+AG1318-AH1318</f>
        <v>9000000</v>
      </c>
      <c r="AJ1318" s="43">
        <f>AD1318+AI1318</f>
        <v>132000000</v>
      </c>
      <c r="AK1318" s="44">
        <v>0</v>
      </c>
      <c r="AL1318" s="44">
        <f>AM1318-SEPTIEMBRE!AM1285</f>
        <v>0</v>
      </c>
      <c r="AM1318" s="43">
        <v>132000000</v>
      </c>
      <c r="AN1318" s="44">
        <v>0</v>
      </c>
      <c r="AO1318" s="44">
        <v>0</v>
      </c>
      <c r="AP1318" s="43">
        <v>132000000</v>
      </c>
      <c r="AQ1318" s="44">
        <v>0</v>
      </c>
      <c r="AR1318" s="43">
        <v>13103076</v>
      </c>
      <c r="AS1318" s="43">
        <v>94767536</v>
      </c>
      <c r="AT1318" s="111">
        <f t="shared" ref="AT1318:AT1322" si="581">AQ1318+AS1318</f>
        <v>94767536</v>
      </c>
      <c r="AU1318" s="133">
        <f>AJ1318-AM1318</f>
        <v>0</v>
      </c>
      <c r="AV1318" s="133">
        <f>AM1318-AP1318</f>
        <v>0</v>
      </c>
      <c r="AW1318" s="110">
        <f>AP1318-AT1318</f>
        <v>37232464</v>
      </c>
      <c r="AX1318" s="123">
        <f>AP1318/AJ1318</f>
        <v>1</v>
      </c>
    </row>
    <row r="1319" spans="1:50" ht="25.5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1" t="s">
        <v>288</v>
      </c>
      <c r="AB1319" s="74" t="s">
        <v>990</v>
      </c>
      <c r="AC1319" s="43"/>
      <c r="AD1319" s="43"/>
      <c r="AE1319" s="44"/>
      <c r="AF1319" s="44"/>
      <c r="AG1319" s="43"/>
      <c r="AH1319" s="44"/>
      <c r="AI1319" s="43"/>
      <c r="AJ1319" s="43"/>
      <c r="AK1319" s="44"/>
      <c r="AL1319" s="43"/>
      <c r="AM1319" s="43"/>
      <c r="AN1319" s="44"/>
      <c r="AO1319" s="43"/>
      <c r="AP1319" s="43"/>
      <c r="AQ1319" s="44"/>
      <c r="AR1319" s="43"/>
      <c r="AS1319" s="43"/>
      <c r="AT1319" s="191"/>
      <c r="AU1319" s="110"/>
      <c r="AV1319" s="133"/>
      <c r="AW1319" s="110"/>
      <c r="AX1319" s="123"/>
    </row>
    <row r="1320" spans="1:50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1" t="s">
        <v>989</v>
      </c>
      <c r="AB1320" s="42" t="s">
        <v>233</v>
      </c>
      <c r="AC1320" s="43"/>
      <c r="AD1320" s="44">
        <v>0</v>
      </c>
      <c r="AE1320" s="44">
        <v>0</v>
      </c>
      <c r="AF1320" s="44">
        <v>0</v>
      </c>
      <c r="AG1320" s="43">
        <f>431000000+9000000+12000000</f>
        <v>452000000</v>
      </c>
      <c r="AH1320" s="43">
        <v>18000000</v>
      </c>
      <c r="AI1320" s="43">
        <f>AE1320-AF1320+AG1320-AH1320</f>
        <v>434000000</v>
      </c>
      <c r="AJ1320" s="43">
        <f>AD1320+AI1320</f>
        <v>434000000</v>
      </c>
      <c r="AK1320" s="44">
        <v>0</v>
      </c>
      <c r="AL1320" s="43">
        <f>AM1320-SEPTIEMBRE!AM1287</f>
        <v>-4600000.0099999905</v>
      </c>
      <c r="AM1320" s="43">
        <v>401634655.13999999</v>
      </c>
      <c r="AN1320" s="44">
        <v>0</v>
      </c>
      <c r="AO1320" s="43">
        <v>22399999.989999998</v>
      </c>
      <c r="AP1320" s="43">
        <v>401634655.13999999</v>
      </c>
      <c r="AQ1320" s="44">
        <v>10966250</v>
      </c>
      <c r="AR1320" s="43">
        <v>48124999.609999999</v>
      </c>
      <c r="AS1320" s="43">
        <v>203792498.94999999</v>
      </c>
      <c r="AT1320" s="191">
        <f t="shared" ref="AT1320" si="582">AQ1320+AS1320</f>
        <v>214758748.94999999</v>
      </c>
      <c r="AU1320" s="110">
        <f>AJ1320-AM1320</f>
        <v>32365344.860000014</v>
      </c>
      <c r="AV1320" s="18">
        <f>AM1320-AP1320</f>
        <v>0</v>
      </c>
      <c r="AW1320" s="18">
        <f>AP1320-AT1320</f>
        <v>186875906.19</v>
      </c>
      <c r="AX1320" s="123">
        <f>AP1320/AJ1320</f>
        <v>0.92542547267281106</v>
      </c>
    </row>
    <row r="1321" spans="1:50" x14ac:dyDescent="0.2">
      <c r="AA1321" s="28" t="s">
        <v>288</v>
      </c>
      <c r="AB1321" s="29" t="s">
        <v>764</v>
      </c>
      <c r="AC1321" s="17"/>
      <c r="AD1321" s="18"/>
      <c r="AE1321" s="18"/>
      <c r="AF1321" s="18"/>
      <c r="AG1321" s="18"/>
      <c r="AH1321" s="18"/>
      <c r="AI1321" s="18"/>
      <c r="AJ1321" s="18"/>
      <c r="AK1321" s="34"/>
      <c r="AL1321" s="18"/>
      <c r="AM1321" s="18"/>
      <c r="AN1321" s="34"/>
      <c r="AO1321" s="18"/>
      <c r="AP1321" s="18"/>
      <c r="AQ1321" s="34"/>
      <c r="AR1321" s="18"/>
      <c r="AS1321" s="18"/>
      <c r="AT1321" s="31"/>
      <c r="AU1321" s="18"/>
      <c r="AV1321" s="34"/>
      <c r="AW1321" s="110"/>
      <c r="AX1321" s="18"/>
    </row>
    <row r="1322" spans="1:50" x14ac:dyDescent="0.2">
      <c r="A1322" s="4" t="s">
        <v>55</v>
      </c>
      <c r="B1322" s="4" t="s">
        <v>56</v>
      </c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1" t="s">
        <v>765</v>
      </c>
      <c r="AB1322" s="42" t="s">
        <v>233</v>
      </c>
      <c r="AC1322" s="43" t="s">
        <v>58</v>
      </c>
      <c r="AD1322" s="43">
        <v>77000000</v>
      </c>
      <c r="AE1322" s="44">
        <v>0</v>
      </c>
      <c r="AF1322" s="44">
        <v>0</v>
      </c>
      <c r="AG1322" s="44">
        <v>0</v>
      </c>
      <c r="AH1322" s="43">
        <v>12000000</v>
      </c>
      <c r="AI1322" s="43">
        <f>AE1322-AF1322+AG1322-AH1322</f>
        <v>-12000000</v>
      </c>
      <c r="AJ1322" s="43">
        <f>AD1322+AI1322</f>
        <v>65000000</v>
      </c>
      <c r="AK1322" s="44">
        <v>0</v>
      </c>
      <c r="AL1322" s="43">
        <f>AM1322-SEPTIEMBRE!AM1289</f>
        <v>-12000000</v>
      </c>
      <c r="AM1322" s="43">
        <v>65000000</v>
      </c>
      <c r="AN1322" s="44">
        <v>0</v>
      </c>
      <c r="AO1322" s="44">
        <v>0</v>
      </c>
      <c r="AP1322" s="43">
        <v>65000000</v>
      </c>
      <c r="AQ1322" s="44">
        <v>0</v>
      </c>
      <c r="AR1322" s="43">
        <v>7000000</v>
      </c>
      <c r="AS1322" s="43">
        <v>55733333</v>
      </c>
      <c r="AT1322" s="39">
        <f t="shared" si="581"/>
        <v>55733333</v>
      </c>
      <c r="AU1322" s="133">
        <f>AJ1322-AM1322</f>
        <v>0</v>
      </c>
      <c r="AV1322" s="34">
        <f>AM1322-AP1322</f>
        <v>0</v>
      </c>
      <c r="AW1322" s="110">
        <f>AP1322-AT1322</f>
        <v>9266667</v>
      </c>
      <c r="AX1322" s="123">
        <f>AP1322/AJ1322</f>
        <v>1</v>
      </c>
    </row>
    <row r="1323" spans="1:50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73" t="s">
        <v>288</v>
      </c>
      <c r="AB1323" s="74" t="s">
        <v>292</v>
      </c>
      <c r="AC1323" s="43"/>
      <c r="AD1323" s="43"/>
      <c r="AE1323" s="44"/>
      <c r="AF1323" s="44"/>
      <c r="AG1323" s="44"/>
      <c r="AH1323" s="44"/>
      <c r="AI1323" s="44"/>
      <c r="AJ1323" s="43"/>
      <c r="AK1323" s="44"/>
      <c r="AL1323" s="44"/>
      <c r="AM1323" s="43"/>
      <c r="AN1323" s="44"/>
      <c r="AO1323" s="43"/>
      <c r="AP1323" s="43"/>
      <c r="AQ1323" s="43"/>
      <c r="AR1323" s="43"/>
      <c r="AS1323" s="43"/>
      <c r="AT1323" s="39"/>
      <c r="AU1323" s="110"/>
      <c r="AV1323" s="133"/>
      <c r="AW1323" s="110"/>
      <c r="AX1323" s="123"/>
    </row>
    <row r="1324" spans="1:50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1" t="s">
        <v>1328</v>
      </c>
      <c r="AB1324" s="42" t="s">
        <v>1015</v>
      </c>
      <c r="AC1324" s="43"/>
      <c r="AD1324" s="43">
        <v>0</v>
      </c>
      <c r="AE1324" s="44">
        <v>0</v>
      </c>
      <c r="AF1324" s="44">
        <v>0</v>
      </c>
      <c r="AG1324" s="43">
        <v>465000000</v>
      </c>
      <c r="AH1324" s="44">
        <v>0</v>
      </c>
      <c r="AI1324" s="43">
        <f>AE1324-AF1324+AG1324-AH1324</f>
        <v>465000000</v>
      </c>
      <c r="AJ1324" s="43">
        <f>AD1324+AI1324</f>
        <v>465000000</v>
      </c>
      <c r="AK1324" s="44">
        <v>0</v>
      </c>
      <c r="AL1324" s="43">
        <f>AM1324-SEPTIEMBRE!AM1291</f>
        <v>438509683</v>
      </c>
      <c r="AM1324" s="43">
        <v>438509683</v>
      </c>
      <c r="AN1324" s="43">
        <v>0</v>
      </c>
      <c r="AO1324" s="44">
        <v>0</v>
      </c>
      <c r="AP1324" s="44">
        <v>0</v>
      </c>
      <c r="AQ1324" s="44">
        <v>0</v>
      </c>
      <c r="AR1324" s="44">
        <v>0</v>
      </c>
      <c r="AS1324" s="44">
        <v>0</v>
      </c>
      <c r="AT1324" s="40">
        <v>0</v>
      </c>
      <c r="AU1324" s="110">
        <f>AJ1324-AM1324</f>
        <v>26490317</v>
      </c>
      <c r="AV1324" s="18">
        <f>AM1324-AP1324</f>
        <v>438509683</v>
      </c>
      <c r="AW1324" s="110">
        <f>AP1324-AT1324</f>
        <v>0</v>
      </c>
      <c r="AX1324" s="123">
        <f>AP1324/AJ1324</f>
        <v>0</v>
      </c>
    </row>
    <row r="1325" spans="1:50" x14ac:dyDescent="0.2">
      <c r="AA1325" s="16"/>
      <c r="AB1325" s="17"/>
      <c r="AC1325" s="17"/>
      <c r="AD1325" s="18"/>
      <c r="AE1325" s="34"/>
      <c r="AF1325" s="34"/>
      <c r="AG1325" s="34"/>
      <c r="AH1325" s="34"/>
      <c r="AI1325" s="34"/>
      <c r="AJ1325" s="18"/>
      <c r="AK1325" s="34"/>
      <c r="AL1325" s="34"/>
      <c r="AM1325" s="18"/>
      <c r="AN1325" s="34"/>
      <c r="AO1325" s="34"/>
      <c r="AP1325" s="18"/>
      <c r="AQ1325" s="34"/>
      <c r="AR1325" s="34"/>
      <c r="AS1325" s="34"/>
      <c r="AT1325" s="31"/>
      <c r="AU1325" s="18"/>
      <c r="AV1325" s="34"/>
      <c r="AW1325" s="18"/>
      <c r="AX1325" s="18"/>
    </row>
    <row r="1326" spans="1:50" s="50" customFormat="1" x14ac:dyDescent="0.2">
      <c r="B1326" s="77"/>
      <c r="C1326" s="77"/>
      <c r="D1326" s="77"/>
      <c r="E1326" s="77"/>
      <c r="F1326" s="77"/>
      <c r="G1326" s="77"/>
      <c r="H1326" s="77"/>
      <c r="I1326" s="77"/>
      <c r="J1326" s="77"/>
      <c r="K1326" s="77"/>
      <c r="L1326" s="77"/>
      <c r="M1326" s="77"/>
      <c r="N1326" s="77"/>
      <c r="O1326" s="77"/>
      <c r="P1326" s="77"/>
      <c r="Q1326" s="77"/>
      <c r="R1326" s="77"/>
      <c r="S1326" s="77"/>
      <c r="T1326" s="77"/>
      <c r="U1326" s="77"/>
      <c r="V1326" s="77"/>
      <c r="W1326" s="77"/>
      <c r="X1326" s="77"/>
      <c r="Y1326" s="77"/>
      <c r="Z1326" s="77"/>
      <c r="AA1326" s="46"/>
      <c r="AB1326" s="47" t="s">
        <v>766</v>
      </c>
      <c r="AC1326" s="22" t="s">
        <v>767</v>
      </c>
      <c r="AD1326" s="22">
        <f>SUM(AD1317:AD1324)</f>
        <v>200000000</v>
      </c>
      <c r="AE1326" s="23">
        <f t="shared" ref="AE1326:AW1326" si="583">SUM(AE1317:AE1324)</f>
        <v>0</v>
      </c>
      <c r="AF1326" s="23">
        <f t="shared" si="583"/>
        <v>0</v>
      </c>
      <c r="AG1326" s="22">
        <f t="shared" si="583"/>
        <v>1366000000</v>
      </c>
      <c r="AH1326" s="22">
        <f t="shared" si="583"/>
        <v>470000000</v>
      </c>
      <c r="AI1326" s="22">
        <f t="shared" si="583"/>
        <v>896000000</v>
      </c>
      <c r="AJ1326" s="22">
        <f t="shared" si="583"/>
        <v>1096000000</v>
      </c>
      <c r="AK1326" s="23">
        <f t="shared" si="583"/>
        <v>0</v>
      </c>
      <c r="AL1326" s="22">
        <f t="shared" si="583"/>
        <v>421909682.99000001</v>
      </c>
      <c r="AM1326" s="22">
        <f t="shared" si="583"/>
        <v>1037144338.14</v>
      </c>
      <c r="AN1326" s="23">
        <f t="shared" si="583"/>
        <v>0</v>
      </c>
      <c r="AO1326" s="22">
        <f t="shared" si="583"/>
        <v>22399999.989999998</v>
      </c>
      <c r="AP1326" s="22">
        <f t="shared" si="583"/>
        <v>598634655.13999999</v>
      </c>
      <c r="AQ1326" s="22">
        <f t="shared" si="583"/>
        <v>10966250</v>
      </c>
      <c r="AR1326" s="22">
        <f t="shared" si="583"/>
        <v>68228075.609999999</v>
      </c>
      <c r="AS1326" s="22">
        <f t="shared" si="583"/>
        <v>354293367.94999999</v>
      </c>
      <c r="AT1326" s="22">
        <f t="shared" si="583"/>
        <v>365259617.94999999</v>
      </c>
      <c r="AU1326" s="22">
        <f t="shared" si="583"/>
        <v>58855661.860000014</v>
      </c>
      <c r="AV1326" s="22">
        <f t="shared" si="583"/>
        <v>438509683</v>
      </c>
      <c r="AW1326" s="22">
        <f t="shared" si="583"/>
        <v>233375037.19</v>
      </c>
      <c r="AX1326" s="24">
        <f>AP1326/AJ1326</f>
        <v>0.54619950286496344</v>
      </c>
    </row>
    <row r="1327" spans="1:50" x14ac:dyDescent="0.2">
      <c r="AA1327" s="16"/>
      <c r="AB1327" s="17"/>
      <c r="AC1327" s="17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</row>
    <row r="1328" spans="1:50" s="25" customFormat="1" x14ac:dyDescent="0.2">
      <c r="B1328" s="71"/>
      <c r="C1328" s="71"/>
      <c r="D1328" s="71"/>
      <c r="E1328" s="71"/>
      <c r="F1328" s="71"/>
      <c r="G1328" s="71"/>
      <c r="H1328" s="71"/>
      <c r="I1328" s="71"/>
      <c r="J1328" s="71"/>
      <c r="K1328" s="71"/>
      <c r="L1328" s="71"/>
      <c r="M1328" s="71"/>
      <c r="N1328" s="71"/>
      <c r="O1328" s="71"/>
      <c r="P1328" s="71"/>
      <c r="Q1328" s="71"/>
      <c r="R1328" s="71"/>
      <c r="S1328" s="71"/>
      <c r="T1328" s="71"/>
      <c r="U1328" s="71"/>
      <c r="V1328" s="71"/>
      <c r="W1328" s="71"/>
      <c r="X1328" s="71"/>
      <c r="Y1328" s="71"/>
      <c r="Z1328" s="71"/>
      <c r="AA1328" s="66"/>
      <c r="AB1328" s="21" t="s">
        <v>768</v>
      </c>
      <c r="AC1328" s="67"/>
      <c r="AD1328" s="63"/>
      <c r="AE1328" s="63"/>
      <c r="AF1328" s="63"/>
      <c r="AG1328" s="63"/>
      <c r="AH1328" s="63"/>
      <c r="AI1328" s="63"/>
      <c r="AJ1328" s="63"/>
      <c r="AK1328" s="63"/>
      <c r="AL1328" s="63"/>
      <c r="AM1328" s="63"/>
      <c r="AN1328" s="63"/>
      <c r="AO1328" s="63"/>
      <c r="AP1328" s="63"/>
      <c r="AQ1328" s="63"/>
      <c r="AR1328" s="63"/>
      <c r="AS1328" s="63"/>
      <c r="AT1328" s="63"/>
      <c r="AU1328" s="63"/>
      <c r="AV1328" s="63"/>
      <c r="AW1328" s="63"/>
      <c r="AX1328" s="63"/>
    </row>
    <row r="1329" spans="1:50" x14ac:dyDescent="0.2">
      <c r="AA1329" s="16"/>
      <c r="AB1329" s="29" t="s">
        <v>285</v>
      </c>
      <c r="AC1329" s="17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</row>
    <row r="1330" spans="1:50" x14ac:dyDescent="0.2">
      <c r="AA1330" s="16"/>
      <c r="AB1330" s="29" t="s">
        <v>202</v>
      </c>
      <c r="AC1330" s="17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</row>
    <row r="1331" spans="1:50" x14ac:dyDescent="0.2">
      <c r="AA1331" s="16"/>
      <c r="AB1331" s="29" t="s">
        <v>203</v>
      </c>
      <c r="AC1331" s="17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</row>
    <row r="1332" spans="1:50" x14ac:dyDescent="0.2">
      <c r="AA1332" s="16"/>
      <c r="AB1332" s="29" t="s">
        <v>204</v>
      </c>
      <c r="AC1332" s="17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</row>
    <row r="1333" spans="1:50" ht="25.5" x14ac:dyDescent="0.2">
      <c r="AA1333" s="16"/>
      <c r="AB1333" s="29" t="s">
        <v>205</v>
      </c>
      <c r="AC1333" s="17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</row>
    <row r="1334" spans="1:50" ht="25.5" x14ac:dyDescent="0.2">
      <c r="AA1334" s="28" t="s">
        <v>288</v>
      </c>
      <c r="AB1334" s="29" t="s">
        <v>769</v>
      </c>
      <c r="AC1334" s="17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30"/>
      <c r="AU1334" s="18"/>
      <c r="AV1334" s="18"/>
      <c r="AW1334" s="18"/>
      <c r="AX1334" s="18"/>
    </row>
    <row r="1335" spans="1:50" s="150" customFormat="1" x14ac:dyDescent="0.2">
      <c r="A1335" s="140" t="s">
        <v>55</v>
      </c>
      <c r="B1335" s="140" t="s">
        <v>56</v>
      </c>
      <c r="C1335" s="140"/>
      <c r="D1335" s="140"/>
      <c r="E1335" s="140"/>
      <c r="F1335" s="140"/>
      <c r="G1335" s="140"/>
      <c r="H1335" s="140"/>
      <c r="I1335" s="140"/>
      <c r="J1335" s="140"/>
      <c r="K1335" s="140"/>
      <c r="L1335" s="140"/>
      <c r="M1335" s="140"/>
      <c r="N1335" s="140"/>
      <c r="O1335" s="140"/>
      <c r="P1335" s="140"/>
      <c r="Q1335" s="140"/>
      <c r="R1335" s="140"/>
      <c r="S1335" s="140"/>
      <c r="T1335" s="140"/>
      <c r="U1335" s="140"/>
      <c r="V1335" s="140"/>
      <c r="W1335" s="140"/>
      <c r="X1335" s="140"/>
      <c r="Y1335" s="140"/>
      <c r="Z1335" s="140"/>
      <c r="AA1335" s="134" t="s">
        <v>770</v>
      </c>
      <c r="AB1335" s="69" t="s">
        <v>233</v>
      </c>
      <c r="AC1335" s="142" t="s">
        <v>58</v>
      </c>
      <c r="AD1335" s="142">
        <v>4000000000</v>
      </c>
      <c r="AE1335" s="143">
        <v>0</v>
      </c>
      <c r="AF1335" s="143">
        <v>0</v>
      </c>
      <c r="AG1335" s="143">
        <v>0</v>
      </c>
      <c r="AH1335" s="143">
        <v>0</v>
      </c>
      <c r="AI1335" s="143">
        <v>0</v>
      </c>
      <c r="AJ1335" s="142">
        <v>4000000000</v>
      </c>
      <c r="AK1335" s="143">
        <v>0</v>
      </c>
      <c r="AL1335" s="142">
        <v>333333333</v>
      </c>
      <c r="AM1335" s="142">
        <v>3333333330</v>
      </c>
      <c r="AN1335" s="143">
        <v>0</v>
      </c>
      <c r="AO1335" s="142">
        <v>333333333</v>
      </c>
      <c r="AP1335" s="142">
        <v>3333333330</v>
      </c>
      <c r="AQ1335" s="143">
        <v>0</v>
      </c>
      <c r="AR1335" s="142">
        <v>333333333</v>
      </c>
      <c r="AS1335" s="142">
        <v>3333333330</v>
      </c>
      <c r="AT1335" s="174">
        <f t="shared" ref="AT1335" si="584">AQ1335+AS1335</f>
        <v>3333333330</v>
      </c>
      <c r="AU1335" s="148">
        <f>AJ1335-AM1335</f>
        <v>666666670</v>
      </c>
      <c r="AV1335" s="175">
        <f>AM1335-AP1335</f>
        <v>0</v>
      </c>
      <c r="AW1335" s="175">
        <f>AP1335-AT1335</f>
        <v>0</v>
      </c>
      <c r="AX1335" s="149">
        <f>AP1335/AJ1335</f>
        <v>0.83333333249999997</v>
      </c>
    </row>
    <row r="1336" spans="1:50" s="150" customFormat="1" x14ac:dyDescent="0.2">
      <c r="A1336" s="140"/>
      <c r="B1336" s="140"/>
      <c r="C1336" s="140"/>
      <c r="D1336" s="140"/>
      <c r="E1336" s="140"/>
      <c r="F1336" s="140"/>
      <c r="G1336" s="140"/>
      <c r="H1336" s="140"/>
      <c r="I1336" s="140"/>
      <c r="J1336" s="140"/>
      <c r="K1336" s="140"/>
      <c r="L1336" s="140"/>
      <c r="M1336" s="140"/>
      <c r="N1336" s="140"/>
      <c r="O1336" s="140"/>
      <c r="P1336" s="140"/>
      <c r="Q1336" s="140"/>
      <c r="R1336" s="140"/>
      <c r="S1336" s="140"/>
      <c r="T1336" s="140"/>
      <c r="U1336" s="140"/>
      <c r="V1336" s="140"/>
      <c r="W1336" s="140"/>
      <c r="X1336" s="140"/>
      <c r="Y1336" s="140"/>
      <c r="Z1336" s="140"/>
      <c r="AA1336" s="134"/>
      <c r="AB1336" s="69"/>
      <c r="AC1336" s="142"/>
      <c r="AD1336" s="142"/>
      <c r="AE1336" s="143"/>
      <c r="AF1336" s="143"/>
      <c r="AG1336" s="143"/>
      <c r="AH1336" s="143"/>
      <c r="AI1336" s="143"/>
      <c r="AJ1336" s="142"/>
      <c r="AK1336" s="143"/>
      <c r="AL1336" s="142"/>
      <c r="AM1336" s="142"/>
      <c r="AN1336" s="143"/>
      <c r="AO1336" s="142"/>
      <c r="AP1336" s="142"/>
      <c r="AQ1336" s="143"/>
      <c r="AR1336" s="142"/>
      <c r="AS1336" s="142"/>
      <c r="AT1336" s="174"/>
      <c r="AU1336" s="148"/>
      <c r="AV1336" s="175"/>
      <c r="AW1336" s="175"/>
      <c r="AX1336" s="149"/>
    </row>
    <row r="1337" spans="1:50" ht="13.5" customHeight="1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170" t="s">
        <v>288</v>
      </c>
      <c r="AB1337" s="165" t="s">
        <v>199</v>
      </c>
      <c r="AC1337" s="168"/>
      <c r="AD1337" s="43"/>
      <c r="AE1337" s="44"/>
      <c r="AF1337" s="44"/>
      <c r="AG1337" s="44"/>
      <c r="AH1337" s="44"/>
      <c r="AI1337" s="44"/>
      <c r="AJ1337" s="43"/>
      <c r="AK1337" s="44"/>
      <c r="AL1337" s="43"/>
      <c r="AM1337" s="43"/>
      <c r="AN1337" s="44"/>
      <c r="AO1337" s="43"/>
      <c r="AP1337" s="43"/>
      <c r="AQ1337" s="44"/>
      <c r="AR1337" s="44"/>
      <c r="AS1337" s="44"/>
      <c r="AT1337" s="135"/>
      <c r="AU1337" s="110"/>
      <c r="AV1337" s="133"/>
      <c r="AW1337" s="34"/>
      <c r="AX1337" s="123"/>
    </row>
    <row r="1338" spans="1:50" ht="25.5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166" t="s">
        <v>1162</v>
      </c>
      <c r="AB1338" s="167" t="s">
        <v>1044</v>
      </c>
      <c r="AC1338" s="168"/>
      <c r="AD1338" s="44">
        <v>0</v>
      </c>
      <c r="AE1338" s="43">
        <v>384000000</v>
      </c>
      <c r="AF1338" s="44">
        <v>0</v>
      </c>
      <c r="AG1338" s="44">
        <v>0</v>
      </c>
      <c r="AH1338" s="44">
        <v>0</v>
      </c>
      <c r="AI1338" s="43">
        <f t="shared" ref="AI1338:AI1339" si="585">AE1338-AF1338+AG1338-AH1338</f>
        <v>384000000</v>
      </c>
      <c r="AJ1338" s="43">
        <f t="shared" ref="AJ1338:AJ1339" si="586">AD1338+AI1338</f>
        <v>384000000</v>
      </c>
      <c r="AK1338" s="44">
        <v>0</v>
      </c>
      <c r="AL1338" s="44">
        <v>0</v>
      </c>
      <c r="AM1338" s="43">
        <v>384000000</v>
      </c>
      <c r="AN1338" s="44">
        <v>0</v>
      </c>
      <c r="AO1338" s="44">
        <v>0</v>
      </c>
      <c r="AP1338" s="43">
        <v>384000000</v>
      </c>
      <c r="AQ1338" s="44">
        <v>0</v>
      </c>
      <c r="AR1338" s="44">
        <v>0</v>
      </c>
      <c r="AS1338" s="43">
        <v>384000000</v>
      </c>
      <c r="AT1338" s="39">
        <f t="shared" ref="AT1338:AT1339" si="587">AQ1338+AS1338</f>
        <v>384000000</v>
      </c>
      <c r="AU1338" s="133">
        <f>AJ1338-AM1338</f>
        <v>0</v>
      </c>
      <c r="AV1338" s="133">
        <f>AM1338-AP1338</f>
        <v>0</v>
      </c>
      <c r="AW1338" s="34">
        <f>AP1338-AT1338</f>
        <v>0</v>
      </c>
      <c r="AX1338" s="123">
        <f>AP1338/AJ1338</f>
        <v>1</v>
      </c>
    </row>
    <row r="1339" spans="1:50" ht="15.75" customHeight="1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166" t="s">
        <v>1163</v>
      </c>
      <c r="AB1339" s="167" t="s">
        <v>1015</v>
      </c>
      <c r="AC1339" s="168"/>
      <c r="AD1339" s="44">
        <v>0</v>
      </c>
      <c r="AE1339" s="43">
        <v>270000000</v>
      </c>
      <c r="AF1339" s="44">
        <v>0</v>
      </c>
      <c r="AG1339" s="44">
        <v>0</v>
      </c>
      <c r="AH1339" s="44">
        <v>0</v>
      </c>
      <c r="AI1339" s="43">
        <f t="shared" si="585"/>
        <v>270000000</v>
      </c>
      <c r="AJ1339" s="43">
        <f t="shared" si="586"/>
        <v>270000000</v>
      </c>
      <c r="AK1339" s="44">
        <v>0</v>
      </c>
      <c r="AL1339" s="44">
        <v>0</v>
      </c>
      <c r="AM1339" s="43">
        <v>270000000</v>
      </c>
      <c r="AN1339" s="44">
        <v>0</v>
      </c>
      <c r="AO1339" s="44">
        <v>0</v>
      </c>
      <c r="AP1339" s="43">
        <v>270000000</v>
      </c>
      <c r="AQ1339" s="44">
        <v>0</v>
      </c>
      <c r="AR1339" s="44">
        <v>0</v>
      </c>
      <c r="AS1339" s="43">
        <v>270000000</v>
      </c>
      <c r="AT1339" s="39">
        <f t="shared" si="587"/>
        <v>270000000</v>
      </c>
      <c r="AU1339" s="133">
        <f>AJ1339-AM1339</f>
        <v>0</v>
      </c>
      <c r="AV1339" s="133">
        <f>AM1339-AP1339</f>
        <v>0</v>
      </c>
      <c r="AW1339" s="34">
        <f>AP1339-AT1339</f>
        <v>0</v>
      </c>
      <c r="AX1339" s="123">
        <f>AP1339/AJ1339</f>
        <v>1</v>
      </c>
    </row>
    <row r="1340" spans="1:50" x14ac:dyDescent="0.2">
      <c r="AA1340" s="16"/>
      <c r="AB1340" s="17"/>
      <c r="AC1340" s="17"/>
      <c r="AD1340" s="18"/>
      <c r="AE1340" s="34"/>
      <c r="AF1340" s="34"/>
      <c r="AG1340" s="34"/>
      <c r="AH1340" s="34"/>
      <c r="AI1340" s="34"/>
      <c r="AJ1340" s="18"/>
      <c r="AK1340" s="34"/>
      <c r="AL1340" s="18"/>
      <c r="AM1340" s="18"/>
      <c r="AN1340" s="34"/>
      <c r="AO1340" s="18"/>
      <c r="AP1340" s="18"/>
      <c r="AQ1340" s="34"/>
      <c r="AR1340" s="18"/>
      <c r="AS1340" s="18"/>
      <c r="AT1340" s="30"/>
      <c r="AU1340" s="18"/>
      <c r="AV1340" s="34"/>
      <c r="AW1340" s="34"/>
      <c r="AX1340" s="18"/>
    </row>
    <row r="1341" spans="1:50" s="50" customFormat="1" x14ac:dyDescent="0.2">
      <c r="B1341" s="77"/>
      <c r="C1341" s="77"/>
      <c r="D1341" s="77"/>
      <c r="E1341" s="77"/>
      <c r="F1341" s="77"/>
      <c r="G1341" s="77"/>
      <c r="H1341" s="77"/>
      <c r="I1341" s="77"/>
      <c r="J1341" s="77"/>
      <c r="K1341" s="77"/>
      <c r="L1341" s="77"/>
      <c r="M1341" s="77"/>
      <c r="N1341" s="77"/>
      <c r="O1341" s="77"/>
      <c r="P1341" s="77"/>
      <c r="Q1341" s="77"/>
      <c r="R1341" s="77"/>
      <c r="S1341" s="77"/>
      <c r="T1341" s="77"/>
      <c r="U1341" s="77"/>
      <c r="V1341" s="77"/>
      <c r="W1341" s="77"/>
      <c r="X1341" s="77"/>
      <c r="Y1341" s="77"/>
      <c r="Z1341" s="77"/>
      <c r="AA1341" s="46"/>
      <c r="AB1341" s="47" t="s">
        <v>771</v>
      </c>
      <c r="AC1341" s="22" t="s">
        <v>772</v>
      </c>
      <c r="AD1341" s="22">
        <f>SUM(AD1335:AD1340)</f>
        <v>4000000000</v>
      </c>
      <c r="AE1341" s="22">
        <f t="shared" ref="AE1341:AW1341" si="588">SUM(AE1335:AE1340)</f>
        <v>654000000</v>
      </c>
      <c r="AF1341" s="23">
        <f t="shared" si="588"/>
        <v>0</v>
      </c>
      <c r="AG1341" s="23">
        <f t="shared" si="588"/>
        <v>0</v>
      </c>
      <c r="AH1341" s="23">
        <f t="shared" si="588"/>
        <v>0</v>
      </c>
      <c r="AI1341" s="22">
        <f t="shared" si="588"/>
        <v>654000000</v>
      </c>
      <c r="AJ1341" s="22">
        <f t="shared" si="588"/>
        <v>4654000000</v>
      </c>
      <c r="AK1341" s="23">
        <f t="shared" si="588"/>
        <v>0</v>
      </c>
      <c r="AL1341" s="22">
        <f t="shared" si="588"/>
        <v>333333333</v>
      </c>
      <c r="AM1341" s="22">
        <f t="shared" si="588"/>
        <v>3987333330</v>
      </c>
      <c r="AN1341" s="23">
        <f t="shared" si="588"/>
        <v>0</v>
      </c>
      <c r="AO1341" s="22">
        <f t="shared" si="588"/>
        <v>333333333</v>
      </c>
      <c r="AP1341" s="22">
        <f t="shared" si="588"/>
        <v>3987333330</v>
      </c>
      <c r="AQ1341" s="23">
        <f t="shared" si="588"/>
        <v>0</v>
      </c>
      <c r="AR1341" s="22">
        <f t="shared" si="588"/>
        <v>333333333</v>
      </c>
      <c r="AS1341" s="22">
        <f t="shared" si="588"/>
        <v>3987333330</v>
      </c>
      <c r="AT1341" s="22">
        <f>AQ1341+AS1341</f>
        <v>3987333330</v>
      </c>
      <c r="AU1341" s="22">
        <f t="shared" si="588"/>
        <v>666666670</v>
      </c>
      <c r="AV1341" s="23">
        <f t="shared" si="588"/>
        <v>0</v>
      </c>
      <c r="AW1341" s="23">
        <f t="shared" si="588"/>
        <v>0</v>
      </c>
      <c r="AX1341" s="24">
        <f>AP1341/AJ1341</f>
        <v>0.85675404598195104</v>
      </c>
    </row>
    <row r="1342" spans="1:50" x14ac:dyDescent="0.2">
      <c r="AA1342" s="16"/>
      <c r="AB1342" s="17"/>
      <c r="AC1342" s="17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34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</row>
    <row r="1343" spans="1:50" s="25" customFormat="1" x14ac:dyDescent="0.2">
      <c r="B1343" s="71"/>
      <c r="C1343" s="71"/>
      <c r="D1343" s="71"/>
      <c r="E1343" s="71"/>
      <c r="F1343" s="71"/>
      <c r="G1343" s="71"/>
      <c r="H1343" s="71"/>
      <c r="I1343" s="71"/>
      <c r="J1343" s="71"/>
      <c r="K1343" s="71"/>
      <c r="L1343" s="71"/>
      <c r="M1343" s="71"/>
      <c r="N1343" s="71"/>
      <c r="O1343" s="71"/>
      <c r="P1343" s="71"/>
      <c r="Q1343" s="71"/>
      <c r="R1343" s="71"/>
      <c r="S1343" s="71"/>
      <c r="T1343" s="71"/>
      <c r="U1343" s="71"/>
      <c r="V1343" s="71"/>
      <c r="W1343" s="71"/>
      <c r="X1343" s="71"/>
      <c r="Y1343" s="71"/>
      <c r="Z1343" s="71"/>
      <c r="AA1343" s="85"/>
      <c r="AB1343" s="86" t="s">
        <v>773</v>
      </c>
      <c r="AC1343" s="87"/>
      <c r="AD1343" s="63"/>
      <c r="AE1343" s="88"/>
      <c r="AF1343" s="88"/>
      <c r="AG1343" s="88"/>
      <c r="AH1343" s="88"/>
      <c r="AI1343" s="88"/>
      <c r="AJ1343" s="88"/>
      <c r="AK1343" s="88"/>
      <c r="AL1343" s="88"/>
      <c r="AM1343" s="88"/>
      <c r="AN1343" s="88"/>
      <c r="AO1343" s="88"/>
      <c r="AP1343" s="88"/>
      <c r="AQ1343" s="88"/>
      <c r="AR1343" s="88"/>
      <c r="AS1343" s="88"/>
      <c r="AT1343" s="88"/>
      <c r="AU1343" s="88"/>
      <c r="AV1343" s="88"/>
      <c r="AW1343" s="88"/>
      <c r="AX1343" s="88"/>
    </row>
    <row r="1344" spans="1:50" x14ac:dyDescent="0.2">
      <c r="AA1344" s="89"/>
      <c r="AB1344" s="90" t="s">
        <v>676</v>
      </c>
      <c r="AC1344" s="91"/>
      <c r="AD1344" s="18"/>
      <c r="AE1344" s="92"/>
      <c r="AF1344" s="92"/>
      <c r="AG1344" s="92"/>
      <c r="AH1344" s="92"/>
      <c r="AI1344" s="92"/>
      <c r="AJ1344" s="92"/>
      <c r="AK1344" s="92"/>
      <c r="AL1344" s="92"/>
      <c r="AM1344" s="92"/>
      <c r="AN1344" s="92"/>
      <c r="AO1344" s="92"/>
      <c r="AP1344" s="92"/>
      <c r="AQ1344" s="92"/>
      <c r="AR1344" s="92"/>
      <c r="AS1344" s="92"/>
      <c r="AT1344" s="92"/>
      <c r="AU1344" s="92"/>
      <c r="AV1344" s="92"/>
      <c r="AW1344" s="92"/>
      <c r="AX1344" s="92"/>
    </row>
    <row r="1345" spans="27:50" x14ac:dyDescent="0.2">
      <c r="AA1345" s="89"/>
      <c r="AB1345" s="90" t="s">
        <v>286</v>
      </c>
      <c r="AC1345" s="91"/>
      <c r="AD1345" s="18"/>
      <c r="AE1345" s="92"/>
      <c r="AF1345" s="92"/>
      <c r="AG1345" s="92"/>
      <c r="AH1345" s="92"/>
      <c r="AI1345" s="92"/>
      <c r="AJ1345" s="92"/>
      <c r="AK1345" s="92"/>
      <c r="AL1345" s="92"/>
      <c r="AM1345" s="317"/>
      <c r="AN1345" s="92"/>
      <c r="AO1345" s="92"/>
      <c r="AP1345" s="92"/>
      <c r="AQ1345" s="92"/>
      <c r="AR1345" s="92"/>
      <c r="AS1345" s="92"/>
      <c r="AT1345" s="92"/>
      <c r="AU1345" s="92"/>
      <c r="AV1345" s="92"/>
      <c r="AW1345" s="92"/>
      <c r="AX1345" s="92"/>
    </row>
    <row r="1346" spans="27:50" x14ac:dyDescent="0.2">
      <c r="AA1346" s="89"/>
      <c r="AB1346" s="90" t="s">
        <v>179</v>
      </c>
      <c r="AC1346" s="91"/>
      <c r="AD1346" s="18"/>
      <c r="AE1346" s="92"/>
      <c r="AF1346" s="92"/>
      <c r="AG1346" s="92"/>
      <c r="AH1346" s="92"/>
      <c r="AI1346" s="92"/>
      <c r="AJ1346" s="92"/>
      <c r="AK1346" s="92"/>
      <c r="AL1346" s="92"/>
      <c r="AM1346" s="92"/>
      <c r="AN1346" s="92"/>
      <c r="AO1346" s="92"/>
      <c r="AP1346" s="92"/>
      <c r="AQ1346" s="92"/>
      <c r="AR1346" s="92"/>
      <c r="AS1346" s="92"/>
      <c r="AT1346" s="92"/>
      <c r="AU1346" s="92"/>
      <c r="AV1346" s="92"/>
      <c r="AW1346" s="92"/>
      <c r="AX1346" s="92"/>
    </row>
    <row r="1347" spans="27:50" x14ac:dyDescent="0.2">
      <c r="AA1347" s="89"/>
      <c r="AB1347" s="90" t="s">
        <v>189</v>
      </c>
      <c r="AC1347" s="91"/>
      <c r="AD1347" s="18"/>
      <c r="AE1347" s="92"/>
      <c r="AF1347" s="92"/>
      <c r="AG1347" s="92"/>
      <c r="AH1347" s="92"/>
      <c r="AI1347" s="92"/>
      <c r="AJ1347" s="92"/>
      <c r="AK1347" s="92"/>
      <c r="AL1347" s="92"/>
      <c r="AM1347" s="92"/>
      <c r="AN1347" s="92"/>
      <c r="AO1347" s="92"/>
      <c r="AP1347" s="92"/>
      <c r="AQ1347" s="92"/>
      <c r="AR1347" s="92"/>
      <c r="AS1347" s="92"/>
      <c r="AT1347" s="92"/>
      <c r="AU1347" s="92"/>
      <c r="AV1347" s="92"/>
      <c r="AW1347" s="92"/>
      <c r="AX1347" s="92"/>
    </row>
    <row r="1348" spans="27:50" x14ac:dyDescent="0.2">
      <c r="AA1348" s="89"/>
      <c r="AB1348" s="90" t="s">
        <v>191</v>
      </c>
      <c r="AC1348" s="91"/>
      <c r="AD1348" s="18"/>
      <c r="AE1348" s="92"/>
      <c r="AF1348" s="92"/>
      <c r="AG1348" s="92"/>
      <c r="AH1348" s="92"/>
      <c r="AI1348" s="92"/>
      <c r="AJ1348" s="92"/>
      <c r="AK1348" s="92"/>
      <c r="AL1348" s="92"/>
      <c r="AM1348" s="92"/>
      <c r="AN1348" s="92"/>
      <c r="AO1348" s="92"/>
      <c r="AP1348" s="92"/>
      <c r="AQ1348" s="92"/>
      <c r="AR1348" s="92"/>
      <c r="AS1348" s="92"/>
      <c r="AT1348" s="92"/>
      <c r="AU1348" s="92"/>
      <c r="AV1348" s="92"/>
      <c r="AW1348" s="92"/>
      <c r="AX1348" s="92"/>
    </row>
    <row r="1349" spans="27:50" x14ac:dyDescent="0.2">
      <c r="AA1349" s="89"/>
      <c r="AB1349" s="278" t="s">
        <v>1272</v>
      </c>
      <c r="AC1349" s="91"/>
      <c r="AD1349" s="18"/>
      <c r="AE1349" s="92"/>
      <c r="AF1349" s="92"/>
      <c r="AG1349" s="92"/>
      <c r="AH1349" s="92"/>
      <c r="AI1349" s="92"/>
      <c r="AJ1349" s="92"/>
      <c r="AK1349" s="92"/>
      <c r="AL1349" s="92"/>
      <c r="AM1349" s="92"/>
      <c r="AN1349" s="92"/>
      <c r="AO1349" s="92"/>
      <c r="AP1349" s="92"/>
      <c r="AQ1349" s="92"/>
      <c r="AR1349" s="92"/>
      <c r="AS1349" s="92"/>
      <c r="AT1349" s="92"/>
      <c r="AU1349" s="92"/>
      <c r="AV1349" s="92"/>
      <c r="AW1349" s="92"/>
      <c r="AX1349" s="92"/>
    </row>
    <row r="1350" spans="27:50" ht="38.25" x14ac:dyDescent="0.2">
      <c r="AA1350" s="93" t="s">
        <v>288</v>
      </c>
      <c r="AB1350" s="90" t="s">
        <v>774</v>
      </c>
      <c r="AC1350" s="91"/>
      <c r="AD1350" s="18"/>
      <c r="AE1350" s="92"/>
      <c r="AF1350" s="92"/>
      <c r="AG1350" s="92"/>
      <c r="AH1350" s="92"/>
      <c r="AI1350" s="92"/>
      <c r="AJ1350" s="92"/>
      <c r="AK1350" s="92"/>
      <c r="AL1350" s="92"/>
      <c r="AM1350" s="92"/>
      <c r="AN1350" s="92"/>
      <c r="AO1350" s="92"/>
      <c r="AP1350" s="92"/>
      <c r="AQ1350" s="92"/>
      <c r="AR1350" s="92"/>
      <c r="AS1350" s="92"/>
      <c r="AT1350" s="30"/>
      <c r="AU1350" s="92"/>
      <c r="AV1350" s="92"/>
      <c r="AW1350" s="92"/>
      <c r="AX1350" s="92"/>
    </row>
    <row r="1351" spans="27:50" ht="25.5" x14ac:dyDescent="0.2">
      <c r="AA1351" s="94" t="s">
        <v>775</v>
      </c>
      <c r="AB1351" s="95" t="s">
        <v>776</v>
      </c>
      <c r="AC1351" s="96" t="s">
        <v>777</v>
      </c>
      <c r="AD1351" s="44">
        <v>0</v>
      </c>
      <c r="AE1351" s="97">
        <v>0</v>
      </c>
      <c r="AF1351" s="97">
        <v>0</v>
      </c>
      <c r="AG1351" s="43">
        <v>5536570240</v>
      </c>
      <c r="AH1351" s="96">
        <v>0</v>
      </c>
      <c r="AI1351" s="136">
        <f>AE1351-AF1351+AG1351-AH1351</f>
        <v>5536570240</v>
      </c>
      <c r="AJ1351" s="43">
        <f>AD1351+AI1351</f>
        <v>5536570240</v>
      </c>
      <c r="AK1351" s="43">
        <v>0</v>
      </c>
      <c r="AL1351" s="114">
        <v>700000</v>
      </c>
      <c r="AM1351" s="114">
        <v>3424209083</v>
      </c>
      <c r="AN1351" s="43">
        <v>0</v>
      </c>
      <c r="AO1351" s="114">
        <v>573800000</v>
      </c>
      <c r="AP1351" s="114">
        <v>3126205750</v>
      </c>
      <c r="AQ1351" s="43">
        <v>39906666</v>
      </c>
      <c r="AR1351" s="43">
        <f>AS1351-SEPTIEMBRE!AS1318</f>
        <v>304143333</v>
      </c>
      <c r="AS1351" s="43">
        <v>1383506665</v>
      </c>
      <c r="AT1351" s="39">
        <f t="shared" ref="AT1351" si="589">AQ1351+AS1351</f>
        <v>1423413331</v>
      </c>
      <c r="AU1351" s="18">
        <f>AJ1351-AM1351</f>
        <v>2112361157</v>
      </c>
      <c r="AV1351" s="18">
        <f>AM1351-AP1351</f>
        <v>298003333</v>
      </c>
      <c r="AW1351" s="110">
        <f>AP1351-AT1351</f>
        <v>1702792419</v>
      </c>
      <c r="AX1351" s="123">
        <f>AP1351/AJ1351</f>
        <v>0.564646634014346</v>
      </c>
    </row>
    <row r="1352" spans="27:50" x14ac:dyDescent="0.2">
      <c r="AA1352" s="94" t="s">
        <v>787</v>
      </c>
      <c r="AB1352" s="242" t="s">
        <v>788</v>
      </c>
      <c r="AC1352" s="96" t="s">
        <v>789</v>
      </c>
      <c r="AD1352" s="43">
        <v>886001426</v>
      </c>
      <c r="AE1352" s="96">
        <v>0</v>
      </c>
      <c r="AF1352" s="216">
        <v>0</v>
      </c>
      <c r="AG1352" s="216">
        <v>0</v>
      </c>
      <c r="AH1352" s="216">
        <v>0</v>
      </c>
      <c r="AI1352" s="97">
        <f>AE1352-AF1352+AG1352-AH1352</f>
        <v>0</v>
      </c>
      <c r="AJ1352" s="43">
        <f>AD1352+AI1352</f>
        <v>886001426</v>
      </c>
      <c r="AK1352" s="44">
        <v>0</v>
      </c>
      <c r="AL1352" s="114">
        <v>74478869</v>
      </c>
      <c r="AM1352" s="18">
        <v>733074344</v>
      </c>
      <c r="AN1352" s="92">
        <v>0</v>
      </c>
      <c r="AO1352" s="147">
        <v>74478869</v>
      </c>
      <c r="AP1352" s="18">
        <v>733074344</v>
      </c>
      <c r="AQ1352" s="96">
        <v>0</v>
      </c>
      <c r="AR1352" s="43">
        <f>AS1352-SEPTIEMBRE!AS1319</f>
        <v>74478869</v>
      </c>
      <c r="AS1352" s="43">
        <v>733074344</v>
      </c>
      <c r="AT1352" s="39">
        <f>AQ1352+AS1352</f>
        <v>733074344</v>
      </c>
      <c r="AU1352" s="110">
        <f>AJ1352-AM1352</f>
        <v>152927082</v>
      </c>
      <c r="AV1352" s="133">
        <f>AM1352-AP1352</f>
        <v>0</v>
      </c>
      <c r="AW1352" s="133">
        <f>AP1352-AT1352</f>
        <v>0</v>
      </c>
      <c r="AX1352" s="123">
        <f>AP1352/AJ1352</f>
        <v>0.82739634777969306</v>
      </c>
    </row>
    <row r="1353" spans="27:50" x14ac:dyDescent="0.2">
      <c r="AA1353" s="94"/>
      <c r="AB1353" s="95"/>
      <c r="AC1353" s="96"/>
      <c r="AD1353" s="44"/>
      <c r="AE1353" s="97"/>
      <c r="AF1353" s="97"/>
      <c r="AG1353" s="43"/>
      <c r="AH1353" s="96"/>
      <c r="AI1353" s="97"/>
      <c r="AJ1353" s="43"/>
      <c r="AK1353" s="43"/>
      <c r="AL1353" s="114"/>
      <c r="AM1353" s="114"/>
      <c r="AN1353" s="43"/>
      <c r="AO1353" s="114"/>
      <c r="AP1353" s="114"/>
      <c r="AQ1353" s="43"/>
      <c r="AR1353" s="43"/>
      <c r="AS1353" s="43"/>
      <c r="AT1353" s="39"/>
      <c r="AU1353" s="18"/>
      <c r="AV1353" s="18"/>
      <c r="AW1353" s="110"/>
      <c r="AX1353" s="123"/>
    </row>
    <row r="1354" spans="27:50" ht="25.5" x14ac:dyDescent="0.2">
      <c r="AA1354" s="93" t="s">
        <v>288</v>
      </c>
      <c r="AB1354" s="90" t="s">
        <v>778</v>
      </c>
      <c r="AC1354" s="91"/>
      <c r="AD1354" s="18"/>
      <c r="AE1354" s="98"/>
      <c r="AF1354" s="98"/>
      <c r="AG1354" s="92"/>
      <c r="AH1354" s="92"/>
      <c r="AI1354" s="98"/>
      <c r="AJ1354" s="18"/>
      <c r="AK1354" s="98"/>
      <c r="AL1354" s="98"/>
      <c r="AM1354" s="98"/>
      <c r="AN1354" s="98"/>
      <c r="AO1354" s="98"/>
      <c r="AP1354" s="98"/>
      <c r="AQ1354" s="98"/>
      <c r="AR1354" s="98"/>
      <c r="AS1354" s="98"/>
      <c r="AT1354" s="31"/>
      <c r="AU1354" s="18"/>
      <c r="AV1354" s="34"/>
      <c r="AW1354" s="34"/>
      <c r="AX1354" s="92"/>
    </row>
    <row r="1355" spans="27:50" x14ac:dyDescent="0.2">
      <c r="AA1355" s="94" t="s">
        <v>779</v>
      </c>
      <c r="AB1355" s="95" t="s">
        <v>780</v>
      </c>
      <c r="AC1355" s="96" t="s">
        <v>368</v>
      </c>
      <c r="AD1355" s="43">
        <v>920421961</v>
      </c>
      <c r="AE1355" s="97">
        <v>0</v>
      </c>
      <c r="AF1355" s="97">
        <v>0</v>
      </c>
      <c r="AG1355" s="96">
        <v>0</v>
      </c>
      <c r="AH1355" s="96">
        <v>0</v>
      </c>
      <c r="AI1355" s="97">
        <f>AE1355-AF1355+AG1355-AH1355</f>
        <v>0</v>
      </c>
      <c r="AJ1355" s="43">
        <f>AD1355+AI1355</f>
        <v>920421961</v>
      </c>
      <c r="AK1355" s="97">
        <v>0</v>
      </c>
      <c r="AL1355" s="97">
        <v>0</v>
      </c>
      <c r="AM1355" s="97">
        <v>0</v>
      </c>
      <c r="AN1355" s="97">
        <v>0</v>
      </c>
      <c r="AO1355" s="97">
        <v>0</v>
      </c>
      <c r="AP1355" s="97">
        <v>0</v>
      </c>
      <c r="AQ1355" s="97">
        <v>0</v>
      </c>
      <c r="AR1355" s="97">
        <v>0</v>
      </c>
      <c r="AS1355" s="97">
        <v>0</v>
      </c>
      <c r="AT1355" s="135">
        <f t="shared" ref="AT1355:AT1356" si="590">AQ1355+AS1355</f>
        <v>0</v>
      </c>
      <c r="AU1355" s="110">
        <f>AJ1355-AM1355</f>
        <v>920421961</v>
      </c>
      <c r="AV1355" s="133">
        <f>AM1355-AP1355</f>
        <v>0</v>
      </c>
      <c r="AW1355" s="133">
        <f>AP1355-AT1355</f>
        <v>0</v>
      </c>
      <c r="AX1355" s="123">
        <f>AP1355/AJ1355</f>
        <v>0</v>
      </c>
    </row>
    <row r="1356" spans="27:50" ht="25.5" x14ac:dyDescent="0.2">
      <c r="AA1356" s="94" t="s">
        <v>781</v>
      </c>
      <c r="AB1356" s="95" t="s">
        <v>776</v>
      </c>
      <c r="AC1356" s="96" t="s">
        <v>777</v>
      </c>
      <c r="AD1356" s="43">
        <v>23813351805</v>
      </c>
      <c r="AE1356" s="97">
        <v>0</v>
      </c>
      <c r="AF1356" s="97">
        <v>0</v>
      </c>
      <c r="AG1356" s="96">
        <v>0</v>
      </c>
      <c r="AH1356" s="43">
        <v>5536570240</v>
      </c>
      <c r="AI1356" s="136">
        <f>AE1356-AF1356+AG1356-AH1356</f>
        <v>-5536570240</v>
      </c>
      <c r="AJ1356" s="43">
        <f>AD1356+AI1356</f>
        <v>18276781565</v>
      </c>
      <c r="AK1356" s="97">
        <v>0</v>
      </c>
      <c r="AL1356" s="97">
        <v>0</v>
      </c>
      <c r="AM1356" s="97">
        <v>0</v>
      </c>
      <c r="AN1356" s="97">
        <v>0</v>
      </c>
      <c r="AO1356" s="97">
        <v>0</v>
      </c>
      <c r="AP1356" s="97">
        <v>0</v>
      </c>
      <c r="AQ1356" s="97">
        <v>0</v>
      </c>
      <c r="AR1356" s="97">
        <v>0</v>
      </c>
      <c r="AS1356" s="97">
        <v>0</v>
      </c>
      <c r="AT1356" s="135">
        <f t="shared" si="590"/>
        <v>0</v>
      </c>
      <c r="AU1356" s="110">
        <f>AJ1356-AM1356</f>
        <v>18276781565</v>
      </c>
      <c r="AV1356" s="133">
        <f>AM1356-AP1356</f>
        <v>0</v>
      </c>
      <c r="AW1356" s="133">
        <f>AP1356-AT1356</f>
        <v>0</v>
      </c>
      <c r="AX1356" s="123">
        <f>AP1356/AJ1356</f>
        <v>0</v>
      </c>
    </row>
    <row r="1357" spans="27:50" x14ac:dyDescent="0.2">
      <c r="AA1357" s="94"/>
      <c r="AB1357" s="95"/>
      <c r="AC1357" s="96"/>
      <c r="AD1357" s="43"/>
      <c r="AE1357" s="97"/>
      <c r="AF1357" s="97"/>
      <c r="AG1357" s="96"/>
      <c r="AH1357" s="43"/>
      <c r="AI1357" s="136"/>
      <c r="AJ1357" s="43"/>
      <c r="AK1357" s="97"/>
      <c r="AL1357" s="97"/>
      <c r="AM1357" s="97"/>
      <c r="AN1357" s="97"/>
      <c r="AO1357" s="97"/>
      <c r="AP1357" s="97"/>
      <c r="AQ1357" s="97"/>
      <c r="AR1357" s="97"/>
      <c r="AS1357" s="97"/>
      <c r="AT1357" s="135"/>
      <c r="AU1357" s="110"/>
      <c r="AV1357" s="133"/>
      <c r="AW1357" s="133"/>
      <c r="AX1357" s="123"/>
    </row>
    <row r="1358" spans="27:50" ht="25.5" x14ac:dyDescent="0.2">
      <c r="AA1358" s="238" t="s">
        <v>288</v>
      </c>
      <c r="AB1358" s="239" t="s">
        <v>778</v>
      </c>
      <c r="AC1358" s="91"/>
      <c r="AD1358" s="18"/>
      <c r="AE1358" s="92"/>
      <c r="AF1358" s="92"/>
      <c r="AG1358" s="92"/>
      <c r="AH1358" s="92"/>
      <c r="AI1358" s="92"/>
      <c r="AJ1358" s="18"/>
      <c r="AK1358" s="34"/>
      <c r="AL1358" s="18"/>
      <c r="AM1358" s="18"/>
      <c r="AN1358" s="92"/>
      <c r="AO1358" s="147"/>
      <c r="AP1358" s="18"/>
      <c r="AQ1358" s="92"/>
      <c r="AR1358" s="92"/>
      <c r="AS1358" s="92"/>
      <c r="AT1358" s="30"/>
      <c r="AU1358" s="18"/>
      <c r="AV1358" s="18"/>
      <c r="AW1358" s="18"/>
      <c r="AX1358" s="92"/>
    </row>
    <row r="1359" spans="27:50" x14ac:dyDescent="0.2">
      <c r="AA1359" s="94" t="s">
        <v>823</v>
      </c>
      <c r="AB1359" s="95" t="s">
        <v>824</v>
      </c>
      <c r="AC1359" s="96" t="s">
        <v>794</v>
      </c>
      <c r="AD1359" s="43">
        <v>68497522112</v>
      </c>
      <c r="AE1359" s="43">
        <v>11382993803</v>
      </c>
      <c r="AF1359" s="216">
        <v>0</v>
      </c>
      <c r="AG1359" s="216">
        <v>0</v>
      </c>
      <c r="AH1359" s="216">
        <v>0</v>
      </c>
      <c r="AI1359" s="136">
        <f t="shared" ref="AI1359:AI1364" si="591">AE1359-AF1359+AG1359-AH1359</f>
        <v>11382993803</v>
      </c>
      <c r="AJ1359" s="43">
        <f t="shared" ref="AJ1359:AJ1364" si="592">AD1359+AI1359</f>
        <v>79880515915</v>
      </c>
      <c r="AK1359" s="44">
        <v>0</v>
      </c>
      <c r="AL1359" s="44">
        <v>0</v>
      </c>
      <c r="AM1359" s="18">
        <v>79880515915</v>
      </c>
      <c r="AN1359" s="34">
        <v>0</v>
      </c>
      <c r="AO1359" s="147">
        <v>6711410086</v>
      </c>
      <c r="AP1359" s="43">
        <v>66457695745</v>
      </c>
      <c r="AQ1359" s="44">
        <v>0</v>
      </c>
      <c r="AR1359" s="18">
        <f>AS1359-SEPTIEMBRE!AS1326</f>
        <v>6711410086</v>
      </c>
      <c r="AS1359" s="43">
        <v>66457695745</v>
      </c>
      <c r="AT1359" s="111">
        <f t="shared" ref="AT1359:AT1364" si="593">AQ1359+AS1359</f>
        <v>66457695745</v>
      </c>
      <c r="AU1359" s="34">
        <f t="shared" ref="AU1359:AU1364" si="594">AJ1359-AM1359</f>
        <v>0</v>
      </c>
      <c r="AV1359" s="18">
        <f t="shared" ref="AV1359:AV1364" si="595">AM1359-AP1359</f>
        <v>13422820170</v>
      </c>
      <c r="AW1359" s="133">
        <f t="shared" ref="AW1359:AW1364" si="596">AP1359-AT1359</f>
        <v>0</v>
      </c>
      <c r="AX1359" s="123">
        <f t="shared" ref="AX1359:AX1364" si="597">AP1359/AJ1359</f>
        <v>0.83196377719589243</v>
      </c>
    </row>
    <row r="1360" spans="27:50" x14ac:dyDescent="0.2">
      <c r="AA1360" s="94" t="s">
        <v>825</v>
      </c>
      <c r="AB1360" s="95" t="s">
        <v>826</v>
      </c>
      <c r="AC1360" s="96" t="s">
        <v>802</v>
      </c>
      <c r="AD1360" s="43">
        <v>6053442339</v>
      </c>
      <c r="AE1360" s="96">
        <v>0</v>
      </c>
      <c r="AF1360" s="216">
        <v>0</v>
      </c>
      <c r="AG1360" s="216">
        <v>0</v>
      </c>
      <c r="AH1360" s="216">
        <v>0</v>
      </c>
      <c r="AI1360" s="97">
        <f t="shared" si="591"/>
        <v>0</v>
      </c>
      <c r="AJ1360" s="43">
        <f t="shared" si="592"/>
        <v>6053442339</v>
      </c>
      <c r="AK1360" s="44">
        <v>0</v>
      </c>
      <c r="AL1360" s="44">
        <v>0</v>
      </c>
      <c r="AM1360" s="18">
        <v>6053442339</v>
      </c>
      <c r="AN1360" s="34">
        <v>0</v>
      </c>
      <c r="AO1360" s="147">
        <v>291929089.00999999</v>
      </c>
      <c r="AP1360" s="43">
        <v>3903658101.98</v>
      </c>
      <c r="AQ1360" s="44">
        <v>0</v>
      </c>
      <c r="AR1360" s="18">
        <f>AS1360-SEPTIEMBRE!AS1327</f>
        <v>291929089.01000023</v>
      </c>
      <c r="AS1360" s="43">
        <v>3903658101.98</v>
      </c>
      <c r="AT1360" s="111">
        <f t="shared" si="593"/>
        <v>3903658101.98</v>
      </c>
      <c r="AU1360" s="34">
        <f t="shared" si="594"/>
        <v>0</v>
      </c>
      <c r="AV1360" s="18">
        <f t="shared" si="595"/>
        <v>2149784237.02</v>
      </c>
      <c r="AW1360" s="133">
        <f t="shared" si="596"/>
        <v>0</v>
      </c>
      <c r="AX1360" s="123">
        <f t="shared" si="597"/>
        <v>0.64486582730461195</v>
      </c>
    </row>
    <row r="1361" spans="27:50" ht="25.5" x14ac:dyDescent="0.2">
      <c r="AA1361" s="94" t="s">
        <v>827</v>
      </c>
      <c r="AB1361" s="95" t="s">
        <v>776</v>
      </c>
      <c r="AC1361" s="96" t="s">
        <v>777</v>
      </c>
      <c r="AD1361" s="43">
        <v>5590188172</v>
      </c>
      <c r="AE1361" s="96">
        <v>0</v>
      </c>
      <c r="AF1361" s="216">
        <v>0</v>
      </c>
      <c r="AG1361" s="216">
        <v>0</v>
      </c>
      <c r="AH1361" s="216">
        <v>0</v>
      </c>
      <c r="AI1361" s="97">
        <f t="shared" si="591"/>
        <v>0</v>
      </c>
      <c r="AJ1361" s="43">
        <f t="shared" si="592"/>
        <v>5590188172</v>
      </c>
      <c r="AK1361" s="44">
        <v>0</v>
      </c>
      <c r="AL1361" s="44">
        <v>0</v>
      </c>
      <c r="AM1361" s="18">
        <v>549343521</v>
      </c>
      <c r="AN1361" s="34">
        <v>0</v>
      </c>
      <c r="AO1361" s="145">
        <v>0</v>
      </c>
      <c r="AP1361" s="43">
        <v>549343521</v>
      </c>
      <c r="AQ1361" s="44">
        <v>0</v>
      </c>
      <c r="AR1361" s="18">
        <f>AS1361-SEPTIEMBRE!AS1328</f>
        <v>0</v>
      </c>
      <c r="AS1361" s="43">
        <v>549343521</v>
      </c>
      <c r="AT1361" s="111">
        <f t="shared" si="593"/>
        <v>549343521</v>
      </c>
      <c r="AU1361" s="18">
        <f t="shared" si="594"/>
        <v>5040844651</v>
      </c>
      <c r="AV1361" s="34">
        <f t="shared" si="595"/>
        <v>0</v>
      </c>
      <c r="AW1361" s="133">
        <f t="shared" si="596"/>
        <v>0</v>
      </c>
      <c r="AX1361" s="123">
        <f t="shared" si="597"/>
        <v>9.8269236043169103E-2</v>
      </c>
    </row>
    <row r="1362" spans="27:50" ht="16.5" customHeight="1" x14ac:dyDescent="0.2">
      <c r="AA1362" s="94" t="s">
        <v>828</v>
      </c>
      <c r="AB1362" s="95" t="s">
        <v>829</v>
      </c>
      <c r="AC1362" s="96" t="s">
        <v>789</v>
      </c>
      <c r="AD1362" s="43">
        <v>134040044112</v>
      </c>
      <c r="AE1362" s="96">
        <v>0</v>
      </c>
      <c r="AF1362" s="216">
        <v>0</v>
      </c>
      <c r="AG1362" s="216">
        <v>0</v>
      </c>
      <c r="AH1362" s="216">
        <v>0</v>
      </c>
      <c r="AI1362" s="97">
        <f t="shared" si="591"/>
        <v>0</v>
      </c>
      <c r="AJ1362" s="43">
        <f t="shared" si="592"/>
        <v>134040044112</v>
      </c>
      <c r="AK1362" s="44">
        <v>0</v>
      </c>
      <c r="AL1362" s="44">
        <v>0</v>
      </c>
      <c r="AM1362" s="18">
        <v>129958738901</v>
      </c>
      <c r="AN1362" s="34">
        <v>0</v>
      </c>
      <c r="AO1362" s="147">
        <v>10155213494.440001</v>
      </c>
      <c r="AP1362" s="43">
        <v>99042191746.119995</v>
      </c>
      <c r="AQ1362" s="44">
        <v>0</v>
      </c>
      <c r="AR1362" s="18">
        <f>AS1362-SEPTIEMBRE!AS1329</f>
        <v>10155213494.440002</v>
      </c>
      <c r="AS1362" s="43">
        <v>99042191746.119995</v>
      </c>
      <c r="AT1362" s="111">
        <f t="shared" si="593"/>
        <v>99042191746.119995</v>
      </c>
      <c r="AU1362" s="18">
        <f t="shared" si="594"/>
        <v>4081305211</v>
      </c>
      <c r="AV1362" s="18">
        <f t="shared" si="595"/>
        <v>30916547154.880005</v>
      </c>
      <c r="AW1362" s="133">
        <f t="shared" si="596"/>
        <v>0</v>
      </c>
      <c r="AX1362" s="123">
        <f t="shared" si="597"/>
        <v>0.73890002351359418</v>
      </c>
    </row>
    <row r="1363" spans="27:50" ht="25.5" x14ac:dyDescent="0.2">
      <c r="AA1363" s="94" t="s">
        <v>830</v>
      </c>
      <c r="AB1363" s="95" t="s">
        <v>831</v>
      </c>
      <c r="AC1363" s="96" t="s">
        <v>832</v>
      </c>
      <c r="AD1363" s="43">
        <v>12909348026</v>
      </c>
      <c r="AE1363" s="43">
        <v>955692586</v>
      </c>
      <c r="AF1363" s="216">
        <v>0</v>
      </c>
      <c r="AG1363" s="216">
        <v>0</v>
      </c>
      <c r="AH1363" s="216">
        <v>0</v>
      </c>
      <c r="AI1363" s="136">
        <f t="shared" si="591"/>
        <v>955692586</v>
      </c>
      <c r="AJ1363" s="43">
        <f t="shared" si="592"/>
        <v>13865040612</v>
      </c>
      <c r="AK1363" s="44">
        <v>0</v>
      </c>
      <c r="AL1363" s="44">
        <v>0</v>
      </c>
      <c r="AM1363" s="18">
        <v>13865040612</v>
      </c>
      <c r="AN1363" s="34">
        <v>0</v>
      </c>
      <c r="AO1363" s="147">
        <v>1461164686.3599999</v>
      </c>
      <c r="AP1363" s="43">
        <v>13865040611.99</v>
      </c>
      <c r="AQ1363" s="44">
        <v>0</v>
      </c>
      <c r="AR1363" s="18">
        <f>AS1363-SEPTIEMBRE!AS1330</f>
        <v>1461164686.3600006</v>
      </c>
      <c r="AS1363" s="43">
        <v>13865040611.99</v>
      </c>
      <c r="AT1363" s="111">
        <f t="shared" si="593"/>
        <v>13865040611.99</v>
      </c>
      <c r="AU1363" s="34">
        <f t="shared" si="594"/>
        <v>0</v>
      </c>
      <c r="AV1363" s="18">
        <f t="shared" si="595"/>
        <v>1.0000228881835938E-2</v>
      </c>
      <c r="AW1363" s="133">
        <f t="shared" si="596"/>
        <v>0</v>
      </c>
      <c r="AX1363" s="123">
        <f t="shared" si="597"/>
        <v>0.9999999999992788</v>
      </c>
    </row>
    <row r="1364" spans="27:50" ht="26.25" thickBot="1" x14ac:dyDescent="0.25">
      <c r="AA1364" s="221" t="s">
        <v>1195</v>
      </c>
      <c r="AB1364" s="95" t="s">
        <v>1196</v>
      </c>
      <c r="AC1364" s="96"/>
      <c r="AD1364" s="44">
        <v>0</v>
      </c>
      <c r="AE1364" s="43">
        <v>969348211.46000004</v>
      </c>
      <c r="AF1364" s="216">
        <v>0</v>
      </c>
      <c r="AG1364" s="216">
        <v>0</v>
      </c>
      <c r="AH1364" s="216">
        <v>0</v>
      </c>
      <c r="AI1364" s="136">
        <f t="shared" si="591"/>
        <v>969348211.46000004</v>
      </c>
      <c r="AJ1364" s="43">
        <f t="shared" si="592"/>
        <v>969348211.46000004</v>
      </c>
      <c r="AK1364" s="44">
        <v>0</v>
      </c>
      <c r="AL1364" s="44">
        <v>0</v>
      </c>
      <c r="AM1364" s="34">
        <v>0</v>
      </c>
      <c r="AN1364" s="34">
        <v>0</v>
      </c>
      <c r="AO1364" s="145">
        <v>0</v>
      </c>
      <c r="AP1364" s="44">
        <v>0</v>
      </c>
      <c r="AQ1364" s="44">
        <v>0</v>
      </c>
      <c r="AR1364" s="18">
        <f>AS1364-SEPTIEMBRE!AS1331</f>
        <v>0</v>
      </c>
      <c r="AS1364" s="44">
        <v>0</v>
      </c>
      <c r="AT1364" s="135">
        <f t="shared" si="593"/>
        <v>0</v>
      </c>
      <c r="AU1364" s="18">
        <f t="shared" si="594"/>
        <v>969348211.46000004</v>
      </c>
      <c r="AV1364" s="34">
        <f t="shared" si="595"/>
        <v>0</v>
      </c>
      <c r="AW1364" s="133">
        <f t="shared" si="596"/>
        <v>0</v>
      </c>
      <c r="AX1364" s="123">
        <f t="shared" si="597"/>
        <v>0</v>
      </c>
    </row>
    <row r="1365" spans="27:50" x14ac:dyDescent="0.2">
      <c r="AA1365" s="94"/>
      <c r="AB1365" s="95"/>
      <c r="AC1365" s="96"/>
      <c r="AD1365" s="43"/>
      <c r="AE1365" s="97"/>
      <c r="AF1365" s="97"/>
      <c r="AG1365" s="96"/>
      <c r="AH1365" s="43"/>
      <c r="AI1365" s="136"/>
      <c r="AJ1365" s="43"/>
      <c r="AK1365" s="97"/>
      <c r="AL1365" s="97"/>
      <c r="AM1365" s="97"/>
      <c r="AN1365" s="97"/>
      <c r="AO1365" s="97"/>
      <c r="AP1365" s="97"/>
      <c r="AQ1365" s="97"/>
      <c r="AR1365" s="97"/>
      <c r="AS1365" s="97"/>
      <c r="AT1365" s="135"/>
      <c r="AU1365" s="110"/>
      <c r="AV1365" s="133"/>
      <c r="AW1365" s="133"/>
      <c r="AX1365" s="123"/>
    </row>
    <row r="1366" spans="27:50" x14ac:dyDescent="0.2">
      <c r="AA1366" s="94"/>
      <c r="AB1366" s="279" t="s">
        <v>1273</v>
      </c>
      <c r="AC1366" s="96"/>
      <c r="AD1366" s="43"/>
      <c r="AE1366" s="97"/>
      <c r="AF1366" s="97"/>
      <c r="AG1366" s="96"/>
      <c r="AH1366" s="43"/>
      <c r="AI1366" s="136"/>
      <c r="AJ1366" s="43"/>
      <c r="AK1366" s="97"/>
      <c r="AL1366" s="97"/>
      <c r="AM1366" s="97"/>
      <c r="AN1366" s="97"/>
      <c r="AO1366" s="97"/>
      <c r="AP1366" s="97"/>
      <c r="AQ1366" s="97"/>
      <c r="AR1366" s="97"/>
      <c r="AS1366" s="97"/>
      <c r="AT1366" s="135"/>
      <c r="AU1366" s="110"/>
      <c r="AV1366" s="133"/>
      <c r="AW1366" s="133"/>
      <c r="AX1366" s="123"/>
    </row>
    <row r="1367" spans="27:50" x14ac:dyDescent="0.2">
      <c r="AA1367" s="93" t="s">
        <v>288</v>
      </c>
      <c r="AB1367" s="243" t="s">
        <v>790</v>
      </c>
      <c r="AC1367" s="91"/>
      <c r="AD1367" s="18"/>
      <c r="AE1367" s="92"/>
      <c r="AF1367" s="92"/>
      <c r="AG1367" s="92"/>
      <c r="AH1367" s="92"/>
      <c r="AI1367" s="92"/>
      <c r="AJ1367" s="18"/>
      <c r="AK1367" s="18"/>
      <c r="AL1367" s="115">
        <f>AM1367-'MARZO '!AM995</f>
        <v>0</v>
      </c>
      <c r="AM1367" s="18"/>
      <c r="AN1367" s="92"/>
      <c r="AO1367" s="147"/>
      <c r="AP1367" s="18"/>
      <c r="AQ1367" s="92"/>
      <c r="AR1367" s="92"/>
      <c r="AS1367" s="92"/>
      <c r="AT1367" s="30"/>
      <c r="AU1367" s="18"/>
      <c r="AV1367" s="110"/>
      <c r="AW1367" s="18"/>
      <c r="AX1367" s="92"/>
    </row>
    <row r="1368" spans="27:50" x14ac:dyDescent="0.2">
      <c r="AA1368" s="94" t="s">
        <v>791</v>
      </c>
      <c r="AB1368" s="95" t="s">
        <v>233</v>
      </c>
      <c r="AC1368" s="96" t="s">
        <v>58</v>
      </c>
      <c r="AD1368" s="43">
        <v>300000000</v>
      </c>
      <c r="AE1368" s="96">
        <v>0</v>
      </c>
      <c r="AF1368" s="216">
        <v>0</v>
      </c>
      <c r="AG1368" s="216">
        <v>0</v>
      </c>
      <c r="AH1368" s="216">
        <v>0</v>
      </c>
      <c r="AI1368" s="136">
        <f t="shared" ref="AI1368:AI1371" si="598">AE1368-AF1368+AG1368-AH1368</f>
        <v>0</v>
      </c>
      <c r="AJ1368" s="43">
        <f t="shared" ref="AJ1368:AJ1371" si="599">AD1368+AI1368</f>
        <v>300000000</v>
      </c>
      <c r="AK1368" s="44">
        <v>0</v>
      </c>
      <c r="AL1368" s="115">
        <v>0</v>
      </c>
      <c r="AM1368" s="18">
        <v>300000000</v>
      </c>
      <c r="AN1368" s="98">
        <v>0</v>
      </c>
      <c r="AO1368" s="145">
        <v>0</v>
      </c>
      <c r="AP1368" s="18">
        <v>300000000</v>
      </c>
      <c r="AQ1368" s="96">
        <v>0</v>
      </c>
      <c r="AR1368" s="43">
        <f>AS1368-SEPTIEMBRE!AS1335</f>
        <v>54545454</v>
      </c>
      <c r="AS1368" s="43">
        <v>203636362</v>
      </c>
      <c r="AT1368" s="39">
        <f t="shared" ref="AT1368:AT1371" si="600">AQ1368+AS1368</f>
        <v>203636362</v>
      </c>
      <c r="AU1368" s="133">
        <f>AJ1368-AM1368</f>
        <v>0</v>
      </c>
      <c r="AV1368" s="133">
        <f>AM1368-AP1368</f>
        <v>0</v>
      </c>
      <c r="AW1368" s="110">
        <f>AP1368-AT1368</f>
        <v>96363638</v>
      </c>
      <c r="AX1368" s="123">
        <f>AP1368/AJ1368</f>
        <v>1</v>
      </c>
    </row>
    <row r="1369" spans="27:50" x14ac:dyDescent="0.2">
      <c r="AA1369" s="94" t="s">
        <v>792</v>
      </c>
      <c r="AB1369" s="95" t="s">
        <v>793</v>
      </c>
      <c r="AC1369" s="96" t="s">
        <v>794</v>
      </c>
      <c r="AD1369" s="43">
        <v>664600000</v>
      </c>
      <c r="AE1369" s="96">
        <v>0</v>
      </c>
      <c r="AF1369" s="216">
        <v>0</v>
      </c>
      <c r="AG1369" s="216">
        <v>0</v>
      </c>
      <c r="AH1369" s="216">
        <v>0</v>
      </c>
      <c r="AI1369" s="136">
        <f t="shared" si="598"/>
        <v>0</v>
      </c>
      <c r="AJ1369" s="43">
        <f t="shared" si="599"/>
        <v>664600000</v>
      </c>
      <c r="AK1369" s="44">
        <v>0</v>
      </c>
      <c r="AL1369" s="115">
        <v>0</v>
      </c>
      <c r="AM1369" s="18">
        <v>664510000</v>
      </c>
      <c r="AN1369" s="98">
        <v>0</v>
      </c>
      <c r="AO1369" s="145">
        <v>0</v>
      </c>
      <c r="AP1369" s="18">
        <v>664510000</v>
      </c>
      <c r="AQ1369" s="114">
        <v>16500000</v>
      </c>
      <c r="AR1369" s="43">
        <f>AS1369-SEPTIEMBRE!AS1336</f>
        <v>90890910</v>
      </c>
      <c r="AS1369" s="43">
        <v>485599398</v>
      </c>
      <c r="AT1369" s="111">
        <f t="shared" si="600"/>
        <v>502099398</v>
      </c>
      <c r="AU1369" s="110">
        <f>AJ1369-AM1369</f>
        <v>90000</v>
      </c>
      <c r="AV1369" s="133">
        <f>AM1369-AP1369</f>
        <v>0</v>
      </c>
      <c r="AW1369" s="110">
        <f>AP1369-AT1369</f>
        <v>162410602</v>
      </c>
      <c r="AX1369" s="123">
        <f>AP1369/AJ1369</f>
        <v>0.99986458019861568</v>
      </c>
    </row>
    <row r="1370" spans="27:50" ht="13.5" thickBot="1" x14ac:dyDescent="0.25">
      <c r="AA1370" s="221" t="s">
        <v>1185</v>
      </c>
      <c r="AB1370" s="95" t="s">
        <v>1015</v>
      </c>
      <c r="AC1370" s="96"/>
      <c r="AD1370" s="44">
        <v>0</v>
      </c>
      <c r="AE1370" s="43">
        <v>26941817.940000001</v>
      </c>
      <c r="AF1370" s="216">
        <v>0</v>
      </c>
      <c r="AG1370" s="216">
        <v>0</v>
      </c>
      <c r="AH1370" s="216">
        <v>0</v>
      </c>
      <c r="AI1370" s="136">
        <f>AE1370-AF1370+AG1370-AH1370</f>
        <v>26941817.940000001</v>
      </c>
      <c r="AJ1370" s="43">
        <f>AD1370+AI1370</f>
        <v>26941817.940000001</v>
      </c>
      <c r="AK1370" s="44">
        <v>0</v>
      </c>
      <c r="AL1370" s="115">
        <v>0</v>
      </c>
      <c r="AM1370" s="34">
        <v>0</v>
      </c>
      <c r="AN1370" s="98">
        <v>0</v>
      </c>
      <c r="AO1370" s="34">
        <v>0</v>
      </c>
      <c r="AP1370" s="34">
        <v>0</v>
      </c>
      <c r="AQ1370" s="115">
        <v>0</v>
      </c>
      <c r="AR1370" s="44">
        <v>0</v>
      </c>
      <c r="AS1370" s="44">
        <v>0</v>
      </c>
      <c r="AT1370" s="135">
        <f>AQ1370+AS1370</f>
        <v>0</v>
      </c>
      <c r="AU1370" s="110">
        <f>AJ1370-AM1370</f>
        <v>26941817.940000001</v>
      </c>
      <c r="AV1370" s="133">
        <f>AM1370-AP1370</f>
        <v>0</v>
      </c>
      <c r="AW1370" s="133">
        <f>AP1370-AT1370</f>
        <v>0</v>
      </c>
      <c r="AX1370" s="123">
        <f>AP1370/AJ1370</f>
        <v>0</v>
      </c>
    </row>
    <row r="1371" spans="27:50" x14ac:dyDescent="0.2">
      <c r="AA1371" s="173" t="s">
        <v>1180</v>
      </c>
      <c r="AB1371" s="95" t="s">
        <v>1181</v>
      </c>
      <c r="AC1371" s="96"/>
      <c r="AD1371" s="44">
        <v>0</v>
      </c>
      <c r="AE1371" s="43">
        <f>54400000+23058182</f>
        <v>77458182</v>
      </c>
      <c r="AF1371" s="216">
        <v>0</v>
      </c>
      <c r="AG1371" s="216">
        <v>0</v>
      </c>
      <c r="AH1371" s="216">
        <v>0</v>
      </c>
      <c r="AI1371" s="136">
        <f t="shared" si="598"/>
        <v>77458182</v>
      </c>
      <c r="AJ1371" s="43">
        <f t="shared" si="599"/>
        <v>77458182</v>
      </c>
      <c r="AK1371" s="44">
        <v>0</v>
      </c>
      <c r="AL1371" s="115">
        <v>32858182</v>
      </c>
      <c r="AM1371" s="34">
        <v>32858182</v>
      </c>
      <c r="AN1371" s="98">
        <v>0</v>
      </c>
      <c r="AO1371" s="34">
        <v>3800000</v>
      </c>
      <c r="AP1371" s="34">
        <v>3800000</v>
      </c>
      <c r="AQ1371" s="115">
        <v>0</v>
      </c>
      <c r="AR1371" s="44">
        <v>0</v>
      </c>
      <c r="AS1371" s="44">
        <v>0</v>
      </c>
      <c r="AT1371" s="135">
        <f t="shared" si="600"/>
        <v>0</v>
      </c>
      <c r="AU1371" s="110">
        <f>AJ1371-AM1371</f>
        <v>44600000</v>
      </c>
      <c r="AV1371" s="18">
        <f>AM1371-AP1371</f>
        <v>29058182</v>
      </c>
      <c r="AW1371" s="18">
        <f>AP1371-AT1371</f>
        <v>3800000</v>
      </c>
      <c r="AX1371" s="123">
        <f>AP1371/AJ1371</f>
        <v>4.9058729521950312E-2</v>
      </c>
    </row>
    <row r="1372" spans="27:50" x14ac:dyDescent="0.2">
      <c r="AA1372" s="94"/>
      <c r="AB1372" s="95"/>
      <c r="AC1372" s="96"/>
      <c r="AD1372" s="43"/>
      <c r="AE1372" s="97"/>
      <c r="AF1372" s="97"/>
      <c r="AG1372" s="96"/>
      <c r="AH1372" s="43"/>
      <c r="AI1372" s="136"/>
      <c r="AJ1372" s="43"/>
      <c r="AK1372" s="97"/>
      <c r="AL1372" s="97"/>
      <c r="AM1372" s="97"/>
      <c r="AN1372" s="97"/>
      <c r="AO1372" s="97"/>
      <c r="AP1372" s="97"/>
      <c r="AQ1372" s="97"/>
      <c r="AR1372" s="97"/>
      <c r="AS1372" s="97"/>
      <c r="AT1372" s="135"/>
      <c r="AU1372" s="110"/>
      <c r="AV1372" s="133"/>
      <c r="AW1372" s="133"/>
      <c r="AX1372" s="123"/>
    </row>
    <row r="1373" spans="27:50" ht="25.5" x14ac:dyDescent="0.2">
      <c r="AA1373" s="93" t="s">
        <v>288</v>
      </c>
      <c r="AB1373" s="90" t="s">
        <v>795</v>
      </c>
      <c r="AC1373" s="91"/>
      <c r="AD1373" s="18"/>
      <c r="AE1373" s="92"/>
      <c r="AF1373" s="92"/>
      <c r="AG1373" s="92"/>
      <c r="AH1373" s="92"/>
      <c r="AI1373" s="92"/>
      <c r="AJ1373" s="18"/>
      <c r="AK1373" s="34"/>
      <c r="AL1373" s="18"/>
      <c r="AM1373" s="18"/>
      <c r="AN1373" s="92"/>
      <c r="AO1373" s="18"/>
      <c r="AP1373" s="18"/>
      <c r="AQ1373" s="92"/>
      <c r="AR1373" s="92"/>
      <c r="AS1373" s="92"/>
      <c r="AT1373" s="40"/>
      <c r="AU1373" s="18"/>
      <c r="AV1373" s="110"/>
      <c r="AW1373" s="18"/>
      <c r="AX1373" s="92"/>
    </row>
    <row r="1374" spans="27:50" x14ac:dyDescent="0.2">
      <c r="AA1374" s="94" t="s">
        <v>796</v>
      </c>
      <c r="AB1374" s="95" t="s">
        <v>233</v>
      </c>
      <c r="AC1374" s="96" t="s">
        <v>58</v>
      </c>
      <c r="AD1374" s="43">
        <v>242950000</v>
      </c>
      <c r="AE1374" s="96">
        <v>0</v>
      </c>
      <c r="AF1374" s="216">
        <v>0</v>
      </c>
      <c r="AG1374" s="216">
        <v>0</v>
      </c>
      <c r="AH1374" s="216">
        <v>0</v>
      </c>
      <c r="AI1374" s="136">
        <f>AE1374-AF1374+AG1374-AH1374</f>
        <v>0</v>
      </c>
      <c r="AJ1374" s="43">
        <f>AD1374+AI1374</f>
        <v>242950000</v>
      </c>
      <c r="AK1374" s="44">
        <v>0</v>
      </c>
      <c r="AL1374" s="43">
        <v>0</v>
      </c>
      <c r="AM1374" s="43">
        <v>242950000</v>
      </c>
      <c r="AN1374" s="97">
        <v>0</v>
      </c>
      <c r="AO1374" s="44">
        <v>0</v>
      </c>
      <c r="AP1374" s="43">
        <v>242950000</v>
      </c>
      <c r="AQ1374" s="97">
        <v>0</v>
      </c>
      <c r="AR1374" s="97">
        <f>AS1374-SEPTIEMBRE!AS1341</f>
        <v>0</v>
      </c>
      <c r="AS1374" s="97">
        <v>0</v>
      </c>
      <c r="AT1374" s="135">
        <f>AQ1374+AS1374</f>
        <v>0</v>
      </c>
      <c r="AU1374" s="133">
        <f>AJ1374-AM1374</f>
        <v>0</v>
      </c>
      <c r="AV1374" s="18">
        <f>AM1374-AP1374</f>
        <v>0</v>
      </c>
      <c r="AW1374" s="18">
        <f>AP1374-AT1374</f>
        <v>242950000</v>
      </c>
      <c r="AX1374" s="123">
        <f>AP1374/AJ1374</f>
        <v>1</v>
      </c>
    </row>
    <row r="1375" spans="27:50" x14ac:dyDescent="0.2">
      <c r="AA1375" s="94" t="s">
        <v>797</v>
      </c>
      <c r="AB1375" s="95" t="s">
        <v>793</v>
      </c>
      <c r="AC1375" s="96" t="s">
        <v>794</v>
      </c>
      <c r="AD1375" s="43">
        <v>1746250000</v>
      </c>
      <c r="AE1375" s="43">
        <v>22486525</v>
      </c>
      <c r="AF1375" s="216">
        <v>0</v>
      </c>
      <c r="AG1375" s="216">
        <v>0</v>
      </c>
      <c r="AH1375" s="216">
        <v>0</v>
      </c>
      <c r="AI1375" s="136">
        <f>AE1375-AF1375+AG1375-AH1375</f>
        <v>22486525</v>
      </c>
      <c r="AJ1375" s="43">
        <f>AD1375+AI1375</f>
        <v>1768736525</v>
      </c>
      <c r="AK1375" s="44">
        <v>0</v>
      </c>
      <c r="AL1375" s="43">
        <v>-6833333.3399999999</v>
      </c>
      <c r="AM1375" s="43">
        <v>1619608665.6600001</v>
      </c>
      <c r="AN1375" s="97">
        <v>0</v>
      </c>
      <c r="AO1375" s="114">
        <v>21166666.66</v>
      </c>
      <c r="AP1375" s="114">
        <v>1540108665.6600001</v>
      </c>
      <c r="AQ1375" s="43">
        <v>10916667</v>
      </c>
      <c r="AR1375" s="43">
        <f>AS1375-SEPTIEMBRE!AS1342</f>
        <v>54816666</v>
      </c>
      <c r="AS1375" s="43">
        <v>559202317</v>
      </c>
      <c r="AT1375" s="39">
        <f>AQ1375+AS1375</f>
        <v>570118984</v>
      </c>
      <c r="AU1375" s="18">
        <f>AJ1375-AM1375</f>
        <v>149127859.33999991</v>
      </c>
      <c r="AV1375" s="18">
        <f>AM1375-AP1375</f>
        <v>79500000</v>
      </c>
      <c r="AW1375" s="18">
        <f>AP1375-AT1375</f>
        <v>969989681.66000009</v>
      </c>
      <c r="AX1375" s="123">
        <f>AP1375/AJ1375</f>
        <v>0.87073944812667903</v>
      </c>
    </row>
    <row r="1376" spans="27:50" x14ac:dyDescent="0.2">
      <c r="AA1376" s="173" t="s">
        <v>1171</v>
      </c>
      <c r="AB1376" s="95" t="s">
        <v>1015</v>
      </c>
      <c r="AC1376" s="96"/>
      <c r="AD1376" s="44">
        <v>0</v>
      </c>
      <c r="AE1376" s="43">
        <f>168359999+463053476</f>
        <v>631413475</v>
      </c>
      <c r="AF1376" s="216">
        <v>0</v>
      </c>
      <c r="AG1376" s="216">
        <v>0</v>
      </c>
      <c r="AH1376" s="216">
        <v>0</v>
      </c>
      <c r="AI1376" s="136">
        <f>AE1376-AF1376+AG1376-AH1376</f>
        <v>631413475</v>
      </c>
      <c r="AJ1376" s="43">
        <f>AD1376+AI1376</f>
        <v>631413475</v>
      </c>
      <c r="AK1376" s="115">
        <v>0</v>
      </c>
      <c r="AL1376" s="43">
        <v>0</v>
      </c>
      <c r="AM1376" s="18">
        <v>600000000</v>
      </c>
      <c r="AN1376" s="92">
        <v>0</v>
      </c>
      <c r="AO1376" s="18">
        <v>0</v>
      </c>
      <c r="AP1376" s="18">
        <v>496032300</v>
      </c>
      <c r="AQ1376" s="115">
        <v>0</v>
      </c>
      <c r="AR1376" s="43">
        <f>AS1376-SEPTIEMBRE!AS1343</f>
        <v>83154000</v>
      </c>
      <c r="AS1376" s="43">
        <v>91378600</v>
      </c>
      <c r="AT1376" s="39">
        <f>AQ1376+AS1376</f>
        <v>91378600</v>
      </c>
      <c r="AU1376" s="18">
        <f>AJ1376-AM1376</f>
        <v>31413475</v>
      </c>
      <c r="AV1376" s="18">
        <f>AM1376-AP1376</f>
        <v>103967700</v>
      </c>
      <c r="AW1376" s="18">
        <f>AP1376-AT1376</f>
        <v>404653700</v>
      </c>
      <c r="AX1376" s="123">
        <f>AP1376/AJ1376</f>
        <v>0.78559029802143521</v>
      </c>
    </row>
    <row r="1377" spans="27:50" x14ac:dyDescent="0.2">
      <c r="AA1377" s="173" t="s">
        <v>1189</v>
      </c>
      <c r="AB1377" s="95" t="s">
        <v>1190</v>
      </c>
      <c r="AC1377" s="96"/>
      <c r="AD1377" s="44">
        <v>0</v>
      </c>
      <c r="AE1377" s="43">
        <v>1323800000</v>
      </c>
      <c r="AF1377" s="216">
        <v>0</v>
      </c>
      <c r="AG1377" s="216">
        <v>0</v>
      </c>
      <c r="AH1377" s="216">
        <v>0</v>
      </c>
      <c r="AI1377" s="136">
        <f>AE1377-AF1377+AG1377-AH1377</f>
        <v>1323800000</v>
      </c>
      <c r="AJ1377" s="43">
        <f>AD1377+AI1377</f>
        <v>1323800000</v>
      </c>
      <c r="AK1377" s="115">
        <v>0</v>
      </c>
      <c r="AL1377" s="43">
        <v>27316666.66</v>
      </c>
      <c r="AM1377" s="18">
        <v>933309864.65999997</v>
      </c>
      <c r="AN1377" s="92">
        <v>0</v>
      </c>
      <c r="AO1377" s="18">
        <v>31166666.66</v>
      </c>
      <c r="AP1377" s="18">
        <v>915159864.65999997</v>
      </c>
      <c r="AQ1377" s="114">
        <v>30150000</v>
      </c>
      <c r="AR1377" s="43">
        <f>AS1377-SEPTIEMBRE!AS1344</f>
        <v>97166667</v>
      </c>
      <c r="AS1377" s="43">
        <v>260163334</v>
      </c>
      <c r="AT1377" s="39">
        <f>AQ1377+AS1377</f>
        <v>290313334</v>
      </c>
      <c r="AU1377" s="18">
        <f>AJ1377-AM1377</f>
        <v>390490135.34000003</v>
      </c>
      <c r="AV1377" s="18">
        <f>AM1377-AP1377</f>
        <v>18150000</v>
      </c>
      <c r="AW1377" s="18">
        <f>AP1377-AT1377</f>
        <v>624846530.65999997</v>
      </c>
      <c r="AX1377" s="123">
        <f>AP1377/AJ1377</f>
        <v>0.69131278490708559</v>
      </c>
    </row>
    <row r="1378" spans="27:50" x14ac:dyDescent="0.2">
      <c r="AA1378" s="94"/>
      <c r="AB1378" s="95"/>
      <c r="AC1378" s="96"/>
      <c r="AD1378" s="43"/>
      <c r="AE1378" s="97"/>
      <c r="AF1378" s="97"/>
      <c r="AG1378" s="96"/>
      <c r="AH1378" s="43"/>
      <c r="AI1378" s="136"/>
      <c r="AJ1378" s="43"/>
      <c r="AK1378" s="97"/>
      <c r="AL1378" s="97"/>
      <c r="AM1378" s="97"/>
      <c r="AN1378" s="97"/>
      <c r="AO1378" s="97"/>
      <c r="AP1378" s="97"/>
      <c r="AQ1378" s="97"/>
      <c r="AR1378" s="97"/>
      <c r="AS1378" s="97"/>
      <c r="AT1378" s="135"/>
      <c r="AU1378" s="110"/>
      <c r="AV1378" s="133"/>
      <c r="AW1378" s="133"/>
      <c r="AX1378" s="123"/>
    </row>
    <row r="1379" spans="27:50" ht="25.5" x14ac:dyDescent="0.2">
      <c r="AA1379" s="272" t="s">
        <v>288</v>
      </c>
      <c r="AB1379" s="90" t="s">
        <v>803</v>
      </c>
      <c r="AC1379" s="91"/>
      <c r="AD1379" s="18"/>
      <c r="AE1379" s="92"/>
      <c r="AF1379" s="92"/>
      <c r="AG1379" s="92"/>
      <c r="AH1379" s="92"/>
      <c r="AI1379" s="92"/>
      <c r="AJ1379" s="18"/>
      <c r="AK1379" s="34"/>
      <c r="AL1379" s="18"/>
      <c r="AM1379" s="18"/>
      <c r="AN1379" s="92"/>
      <c r="AO1379" s="18"/>
      <c r="AP1379" s="18"/>
      <c r="AQ1379" s="92"/>
      <c r="AR1379" s="92"/>
      <c r="AS1379" s="98"/>
      <c r="AT1379" s="31"/>
      <c r="AU1379" s="18"/>
      <c r="AV1379" s="34"/>
      <c r="AW1379" s="18"/>
      <c r="AX1379" s="92"/>
    </row>
    <row r="1380" spans="27:50" x14ac:dyDescent="0.2">
      <c r="AA1380" s="273" t="s">
        <v>804</v>
      </c>
      <c r="AB1380" s="95" t="s">
        <v>793</v>
      </c>
      <c r="AC1380" s="96" t="s">
        <v>794</v>
      </c>
      <c r="AD1380" s="43">
        <v>485467000</v>
      </c>
      <c r="AE1380" s="96">
        <v>0</v>
      </c>
      <c r="AF1380" s="216">
        <v>0</v>
      </c>
      <c r="AG1380" s="216">
        <v>0</v>
      </c>
      <c r="AH1380" s="216">
        <v>0</v>
      </c>
      <c r="AI1380" s="136">
        <f t="shared" ref="AI1380:AI1381" si="601">AE1380-AF1380+AG1380-AH1380</f>
        <v>0</v>
      </c>
      <c r="AJ1380" s="43">
        <f t="shared" ref="AJ1380:AJ1381" si="602">AD1380+AI1380</f>
        <v>485467000</v>
      </c>
      <c r="AK1380" s="97">
        <v>0</v>
      </c>
      <c r="AL1380" s="44">
        <v>0</v>
      </c>
      <c r="AM1380" s="43">
        <v>485467000</v>
      </c>
      <c r="AN1380" s="97">
        <v>0</v>
      </c>
      <c r="AO1380" s="44">
        <v>0</v>
      </c>
      <c r="AP1380" s="43">
        <v>485467000</v>
      </c>
      <c r="AQ1380" s="44">
        <v>0</v>
      </c>
      <c r="AR1380" s="43">
        <f>AS1380-SEPTIEMBRE!AS1347</f>
        <v>7600000</v>
      </c>
      <c r="AS1380" s="43">
        <v>151000849</v>
      </c>
      <c r="AT1380" s="39">
        <f t="shared" ref="AT1380:AT1381" si="603">AQ1380+AS1380</f>
        <v>151000849</v>
      </c>
      <c r="AU1380" s="133">
        <f>AJ1380-AM1380</f>
        <v>0</v>
      </c>
      <c r="AV1380" s="18">
        <f>AM1380-AP1380</f>
        <v>0</v>
      </c>
      <c r="AW1380" s="18">
        <f>AP1380-AT1380</f>
        <v>334466151</v>
      </c>
      <c r="AX1380" s="123">
        <f>AP1380/AJ1380</f>
        <v>1</v>
      </c>
    </row>
    <row r="1381" spans="27:50" x14ac:dyDescent="0.2">
      <c r="AA1381" s="274" t="s">
        <v>1172</v>
      </c>
      <c r="AB1381" s="95" t="s">
        <v>1015</v>
      </c>
      <c r="AC1381" s="96"/>
      <c r="AD1381" s="43">
        <v>0</v>
      </c>
      <c r="AE1381" s="43">
        <v>7600000</v>
      </c>
      <c r="AF1381" s="216">
        <v>0</v>
      </c>
      <c r="AG1381" s="216">
        <v>0</v>
      </c>
      <c r="AH1381" s="216">
        <v>0</v>
      </c>
      <c r="AI1381" s="136">
        <f t="shared" si="601"/>
        <v>7600000</v>
      </c>
      <c r="AJ1381" s="43">
        <f t="shared" si="602"/>
        <v>7600000</v>
      </c>
      <c r="AK1381" s="97">
        <v>0</v>
      </c>
      <c r="AL1381" s="44">
        <v>0</v>
      </c>
      <c r="AM1381" s="44">
        <v>0</v>
      </c>
      <c r="AN1381" s="97">
        <v>0</v>
      </c>
      <c r="AO1381" s="44">
        <v>0</v>
      </c>
      <c r="AP1381" s="44">
        <v>0</v>
      </c>
      <c r="AQ1381" s="44">
        <v>0</v>
      </c>
      <c r="AR1381" s="43">
        <v>0</v>
      </c>
      <c r="AS1381" s="44">
        <v>0</v>
      </c>
      <c r="AT1381" s="40">
        <f t="shared" si="603"/>
        <v>0</v>
      </c>
      <c r="AU1381" s="110">
        <f>AJ1381-AM1381</f>
        <v>7600000</v>
      </c>
      <c r="AV1381" s="34">
        <f>AM1381-AP1381</f>
        <v>0</v>
      </c>
      <c r="AW1381" s="34">
        <f>AP1381-AT1381</f>
        <v>0</v>
      </c>
      <c r="AX1381" s="123">
        <f>AP1381/AJ1381</f>
        <v>0</v>
      </c>
    </row>
    <row r="1382" spans="27:50" ht="25.5" x14ac:dyDescent="0.2">
      <c r="AA1382" s="272" t="s">
        <v>288</v>
      </c>
      <c r="AB1382" s="90" t="s">
        <v>805</v>
      </c>
      <c r="AC1382" s="91"/>
      <c r="AD1382" s="18"/>
      <c r="AE1382" s="92"/>
      <c r="AF1382" s="92"/>
      <c r="AG1382" s="92"/>
      <c r="AH1382" s="92"/>
      <c r="AI1382" s="92"/>
      <c r="AJ1382" s="18"/>
      <c r="AK1382" s="98"/>
      <c r="AL1382" s="133"/>
      <c r="AM1382" s="110"/>
      <c r="AN1382" s="92"/>
      <c r="AO1382" s="98"/>
      <c r="AP1382" s="92"/>
      <c r="AQ1382" s="98"/>
      <c r="AR1382" s="92"/>
      <c r="AS1382" s="98"/>
      <c r="AT1382" s="31"/>
      <c r="AU1382" s="18"/>
      <c r="AV1382" s="34"/>
      <c r="AW1382" s="18"/>
      <c r="AX1382" s="92"/>
    </row>
    <row r="1383" spans="27:50" x14ac:dyDescent="0.2">
      <c r="AA1383" s="273" t="s">
        <v>806</v>
      </c>
      <c r="AB1383" s="95" t="s">
        <v>793</v>
      </c>
      <c r="AC1383" s="96" t="s">
        <v>794</v>
      </c>
      <c r="AD1383" s="43">
        <v>402000000</v>
      </c>
      <c r="AE1383" s="96">
        <v>0</v>
      </c>
      <c r="AF1383" s="216">
        <v>0</v>
      </c>
      <c r="AG1383" s="216">
        <v>0</v>
      </c>
      <c r="AH1383" s="216">
        <v>0</v>
      </c>
      <c r="AI1383" s="136">
        <f t="shared" ref="AI1383:AI1384" si="604">AE1383-AF1383+AG1383-AH1383</f>
        <v>0</v>
      </c>
      <c r="AJ1383" s="43">
        <f t="shared" ref="AJ1383:AJ1384" si="605">AD1383+AI1383</f>
        <v>402000000</v>
      </c>
      <c r="AK1383" s="97">
        <v>0</v>
      </c>
      <c r="AL1383" s="115">
        <v>0</v>
      </c>
      <c r="AM1383" s="114">
        <v>366000000</v>
      </c>
      <c r="AN1383" s="97">
        <v>0</v>
      </c>
      <c r="AO1383" s="115">
        <v>0</v>
      </c>
      <c r="AP1383" s="43">
        <v>366000000</v>
      </c>
      <c r="AQ1383" s="44">
        <v>0</v>
      </c>
      <c r="AR1383" s="43">
        <f>AS1383-SEPTIEMBRE!AS1350</f>
        <v>8000000</v>
      </c>
      <c r="AS1383" s="43">
        <v>157941160</v>
      </c>
      <c r="AT1383" s="39">
        <f t="shared" ref="AT1383:AT1384" si="606">AQ1383+AS1383</f>
        <v>157941160</v>
      </c>
      <c r="AU1383" s="18">
        <f>AJ1383-AM1383</f>
        <v>36000000</v>
      </c>
      <c r="AV1383" s="34">
        <f>AM1383-AP1383</f>
        <v>0</v>
      </c>
      <c r="AW1383" s="18">
        <f>AP1383-AT1383</f>
        <v>208058840</v>
      </c>
      <c r="AX1383" s="123">
        <f>AP1383/AJ1383</f>
        <v>0.91044776119402981</v>
      </c>
    </row>
    <row r="1384" spans="27:50" x14ac:dyDescent="0.2">
      <c r="AA1384" s="173" t="s">
        <v>1173</v>
      </c>
      <c r="AB1384" s="95" t="s">
        <v>1015</v>
      </c>
      <c r="AC1384" s="96"/>
      <c r="AD1384" s="43">
        <v>0</v>
      </c>
      <c r="AE1384" s="43">
        <v>12000000</v>
      </c>
      <c r="AF1384" s="216">
        <v>0</v>
      </c>
      <c r="AG1384" s="216">
        <v>0</v>
      </c>
      <c r="AH1384" s="216">
        <v>0</v>
      </c>
      <c r="AI1384" s="136">
        <f t="shared" si="604"/>
        <v>12000000</v>
      </c>
      <c r="AJ1384" s="43">
        <f t="shared" si="605"/>
        <v>12000000</v>
      </c>
      <c r="AK1384" s="97">
        <v>0</v>
      </c>
      <c r="AL1384" s="115">
        <v>0</v>
      </c>
      <c r="AM1384" s="115">
        <v>0</v>
      </c>
      <c r="AN1384" s="97">
        <v>0</v>
      </c>
      <c r="AO1384" s="115">
        <v>0</v>
      </c>
      <c r="AP1384" s="44">
        <v>0</v>
      </c>
      <c r="AQ1384" s="44">
        <v>0</v>
      </c>
      <c r="AR1384" s="44">
        <v>0</v>
      </c>
      <c r="AS1384" s="44">
        <v>0</v>
      </c>
      <c r="AT1384" s="40">
        <f t="shared" si="606"/>
        <v>0</v>
      </c>
      <c r="AU1384" s="18">
        <f>AJ1384-AM1384</f>
        <v>12000000</v>
      </c>
      <c r="AV1384" s="34">
        <f>AM1384-AP1384</f>
        <v>0</v>
      </c>
      <c r="AW1384" s="34">
        <f>AP1384-AT1384</f>
        <v>0</v>
      </c>
      <c r="AX1384" s="123">
        <f>AP1384/AJ1384</f>
        <v>0</v>
      </c>
    </row>
    <row r="1385" spans="27:50" x14ac:dyDescent="0.2">
      <c r="AA1385" s="94"/>
      <c r="AB1385" s="95"/>
      <c r="AC1385" s="96"/>
      <c r="AD1385" s="43"/>
      <c r="AE1385" s="97"/>
      <c r="AF1385" s="97"/>
      <c r="AG1385" s="96"/>
      <c r="AH1385" s="43"/>
      <c r="AI1385" s="136"/>
      <c r="AJ1385" s="43"/>
      <c r="AK1385" s="97"/>
      <c r="AL1385" s="97"/>
      <c r="AM1385" s="97"/>
      <c r="AN1385" s="97"/>
      <c r="AO1385" s="97"/>
      <c r="AP1385" s="97"/>
      <c r="AQ1385" s="97"/>
      <c r="AR1385" s="97"/>
      <c r="AS1385" s="97"/>
      <c r="AT1385" s="135"/>
      <c r="AU1385" s="110"/>
      <c r="AV1385" s="133"/>
      <c r="AW1385" s="133"/>
      <c r="AX1385" s="123"/>
    </row>
    <row r="1386" spans="27:50" ht="38.25" x14ac:dyDescent="0.2">
      <c r="AA1386" s="93" t="s">
        <v>288</v>
      </c>
      <c r="AB1386" s="90" t="s">
        <v>807</v>
      </c>
      <c r="AC1386" s="91"/>
      <c r="AD1386" s="18"/>
      <c r="AE1386" s="92"/>
      <c r="AF1386" s="92"/>
      <c r="AG1386" s="92"/>
      <c r="AH1386" s="92"/>
      <c r="AI1386" s="92"/>
      <c r="AJ1386" s="18"/>
      <c r="AK1386" s="98"/>
      <c r="AL1386" s="98"/>
      <c r="AM1386" s="98"/>
      <c r="AN1386" s="98"/>
      <c r="AO1386" s="98"/>
      <c r="AP1386" s="98"/>
      <c r="AQ1386" s="98"/>
      <c r="AR1386" s="98"/>
      <c r="AS1386" s="98"/>
      <c r="AT1386" s="31"/>
      <c r="AU1386" s="18"/>
      <c r="AV1386" s="18"/>
      <c r="AW1386" s="18"/>
      <c r="AX1386" s="92"/>
    </row>
    <row r="1387" spans="27:50" x14ac:dyDescent="0.2">
      <c r="AA1387" s="94" t="s">
        <v>808</v>
      </c>
      <c r="AB1387" s="95" t="s">
        <v>233</v>
      </c>
      <c r="AC1387" s="96" t="s">
        <v>58</v>
      </c>
      <c r="AD1387" s="43">
        <v>313050000.81</v>
      </c>
      <c r="AE1387" s="96">
        <v>0</v>
      </c>
      <c r="AF1387" s="216">
        <v>0</v>
      </c>
      <c r="AG1387" s="168">
        <v>24400000</v>
      </c>
      <c r="AH1387" s="43">
        <v>136150000</v>
      </c>
      <c r="AI1387" s="136">
        <f t="shared" ref="AI1387:AI1392" si="607">AE1387-AF1387+AG1387-AH1387</f>
        <v>-111750000</v>
      </c>
      <c r="AJ1387" s="43">
        <f t="shared" ref="AJ1387:AJ1392" si="608">AD1387+AI1387</f>
        <v>201300000.81</v>
      </c>
      <c r="AK1387" s="97">
        <v>0</v>
      </c>
      <c r="AL1387" s="43">
        <v>24400000</v>
      </c>
      <c r="AM1387" s="114">
        <v>199700000</v>
      </c>
      <c r="AN1387" s="97">
        <v>0</v>
      </c>
      <c r="AO1387" s="114">
        <v>0</v>
      </c>
      <c r="AP1387" s="43">
        <v>175300000</v>
      </c>
      <c r="AQ1387" s="43">
        <v>4500000</v>
      </c>
      <c r="AR1387" s="43">
        <f>AS1387-SEPTIEMBRE!AS1354</f>
        <v>13700000</v>
      </c>
      <c r="AS1387" s="43">
        <v>127703333</v>
      </c>
      <c r="AT1387" s="39">
        <f t="shared" ref="AT1387:AT1392" si="609">AQ1387+AS1387</f>
        <v>132203333</v>
      </c>
      <c r="AU1387" s="110">
        <f t="shared" ref="AU1387:AU1392" si="610">AJ1387-AM1387</f>
        <v>1600000.8100000024</v>
      </c>
      <c r="AV1387" s="18">
        <f t="shared" ref="AV1387:AV1392" si="611">AM1387-AP1387</f>
        <v>24400000</v>
      </c>
      <c r="AW1387" s="18">
        <f t="shared" ref="AW1387:AW1392" si="612">AP1387-AT1387</f>
        <v>43096667</v>
      </c>
      <c r="AX1387" s="123">
        <f t="shared" ref="AX1387:AX1392" si="613">AP1387/AJ1387</f>
        <v>0.87083953946656711</v>
      </c>
    </row>
    <row r="1388" spans="27:50" x14ac:dyDescent="0.2">
      <c r="AA1388" s="94" t="s">
        <v>809</v>
      </c>
      <c r="AB1388" s="95" t="s">
        <v>793</v>
      </c>
      <c r="AC1388" s="96" t="s">
        <v>794</v>
      </c>
      <c r="AD1388" s="43">
        <v>256800000</v>
      </c>
      <c r="AE1388" s="96">
        <v>0</v>
      </c>
      <c r="AF1388" s="216">
        <v>0</v>
      </c>
      <c r="AG1388" s="216">
        <v>0</v>
      </c>
      <c r="AH1388" s="216">
        <v>0</v>
      </c>
      <c r="AI1388" s="136">
        <f t="shared" si="607"/>
        <v>0</v>
      </c>
      <c r="AJ1388" s="43">
        <f t="shared" si="608"/>
        <v>256800000</v>
      </c>
      <c r="AK1388" s="97">
        <v>0</v>
      </c>
      <c r="AL1388" s="115">
        <v>0</v>
      </c>
      <c r="AM1388" s="114">
        <v>256800000</v>
      </c>
      <c r="AN1388" s="97">
        <v>0</v>
      </c>
      <c r="AO1388" s="115">
        <v>0</v>
      </c>
      <c r="AP1388" s="43">
        <v>256800000</v>
      </c>
      <c r="AQ1388" s="44">
        <v>0</v>
      </c>
      <c r="AR1388" s="43">
        <f>AS1388-SEPTIEMBRE!AS1355</f>
        <v>3800000</v>
      </c>
      <c r="AS1388" s="43">
        <v>100623331.33</v>
      </c>
      <c r="AT1388" s="39">
        <f t="shared" si="609"/>
        <v>100623331.33</v>
      </c>
      <c r="AU1388" s="133">
        <f t="shared" si="610"/>
        <v>0</v>
      </c>
      <c r="AV1388" s="34">
        <f t="shared" si="611"/>
        <v>0</v>
      </c>
      <c r="AW1388" s="18">
        <f t="shared" si="612"/>
        <v>156176668.67000002</v>
      </c>
      <c r="AX1388" s="123">
        <f t="shared" si="613"/>
        <v>1</v>
      </c>
    </row>
    <row r="1389" spans="27:50" x14ac:dyDescent="0.2">
      <c r="AA1389" s="94" t="s">
        <v>810</v>
      </c>
      <c r="AB1389" s="95" t="s">
        <v>811</v>
      </c>
      <c r="AC1389" s="96" t="s">
        <v>368</v>
      </c>
      <c r="AD1389" s="43">
        <v>90000000</v>
      </c>
      <c r="AE1389" s="96">
        <v>0</v>
      </c>
      <c r="AF1389" s="216">
        <v>0</v>
      </c>
      <c r="AG1389" s="216">
        <v>0</v>
      </c>
      <c r="AH1389" s="216">
        <v>0</v>
      </c>
      <c r="AI1389" s="136">
        <f t="shared" si="607"/>
        <v>0</v>
      </c>
      <c r="AJ1389" s="43">
        <f t="shared" si="608"/>
        <v>90000000</v>
      </c>
      <c r="AK1389" s="97">
        <v>0</v>
      </c>
      <c r="AL1389" s="115">
        <v>0</v>
      </c>
      <c r="AM1389" s="114">
        <v>86600000</v>
      </c>
      <c r="AN1389" s="97">
        <v>0</v>
      </c>
      <c r="AO1389" s="115">
        <v>0</v>
      </c>
      <c r="AP1389" s="43">
        <v>86600000</v>
      </c>
      <c r="AQ1389" s="44">
        <v>0</v>
      </c>
      <c r="AR1389" s="43">
        <f>AS1389-SEPTIEMBRE!AS1356</f>
        <v>9700000</v>
      </c>
      <c r="AS1389" s="43">
        <v>63583333</v>
      </c>
      <c r="AT1389" s="39">
        <f t="shared" si="609"/>
        <v>63583333</v>
      </c>
      <c r="AU1389" s="18">
        <f t="shared" si="610"/>
        <v>3400000</v>
      </c>
      <c r="AV1389" s="34">
        <f t="shared" si="611"/>
        <v>0</v>
      </c>
      <c r="AW1389" s="18">
        <f t="shared" si="612"/>
        <v>23016667</v>
      </c>
      <c r="AX1389" s="123">
        <f t="shared" si="613"/>
        <v>0.9622222222222222</v>
      </c>
    </row>
    <row r="1390" spans="27:50" x14ac:dyDescent="0.2">
      <c r="AA1390" s="173" t="s">
        <v>1174</v>
      </c>
      <c r="AB1390" s="95" t="s">
        <v>1015</v>
      </c>
      <c r="AC1390" s="96"/>
      <c r="AD1390" s="44">
        <v>0</v>
      </c>
      <c r="AE1390" s="43">
        <v>165050000</v>
      </c>
      <c r="AF1390" s="216">
        <v>0</v>
      </c>
      <c r="AG1390" s="216">
        <v>0</v>
      </c>
      <c r="AH1390" s="216">
        <v>0</v>
      </c>
      <c r="AI1390" s="136">
        <f t="shared" si="607"/>
        <v>165050000</v>
      </c>
      <c r="AJ1390" s="43">
        <f t="shared" si="608"/>
        <v>165050000</v>
      </c>
      <c r="AK1390" s="97">
        <v>0</v>
      </c>
      <c r="AL1390" s="115">
        <v>0</v>
      </c>
      <c r="AM1390" s="114">
        <v>133194900</v>
      </c>
      <c r="AN1390" s="97">
        <v>0</v>
      </c>
      <c r="AO1390" s="115">
        <v>0</v>
      </c>
      <c r="AP1390" s="44">
        <v>133194900</v>
      </c>
      <c r="AQ1390" s="44">
        <v>0</v>
      </c>
      <c r="AR1390" s="44">
        <v>0</v>
      </c>
      <c r="AS1390" s="44">
        <v>0</v>
      </c>
      <c r="AT1390" s="40">
        <f t="shared" si="609"/>
        <v>0</v>
      </c>
      <c r="AU1390" s="18">
        <f t="shared" si="610"/>
        <v>31855100</v>
      </c>
      <c r="AV1390" s="18">
        <f t="shared" si="611"/>
        <v>0</v>
      </c>
      <c r="AW1390" s="18">
        <f t="shared" si="612"/>
        <v>133194900</v>
      </c>
      <c r="AX1390" s="123">
        <f t="shared" si="613"/>
        <v>0.80699727355346862</v>
      </c>
    </row>
    <row r="1391" spans="27:50" x14ac:dyDescent="0.2">
      <c r="AA1391" s="173" t="s">
        <v>1166</v>
      </c>
      <c r="AB1391" s="95" t="s">
        <v>1167</v>
      </c>
      <c r="AC1391" s="96"/>
      <c r="AD1391" s="44">
        <v>0</v>
      </c>
      <c r="AE1391" s="43">
        <v>77813000</v>
      </c>
      <c r="AF1391" s="216">
        <v>0</v>
      </c>
      <c r="AG1391" s="216">
        <v>0</v>
      </c>
      <c r="AH1391" s="216">
        <v>0</v>
      </c>
      <c r="AI1391" s="136">
        <f>AE1391-AF1391+AG1391-AH1391</f>
        <v>77813000</v>
      </c>
      <c r="AJ1391" s="43">
        <f>AD1391+AI1391</f>
        <v>77813000</v>
      </c>
      <c r="AK1391" s="97">
        <v>0</v>
      </c>
      <c r="AL1391" s="115">
        <v>0</v>
      </c>
      <c r="AM1391" s="115">
        <v>0</v>
      </c>
      <c r="AN1391" s="97">
        <v>0</v>
      </c>
      <c r="AO1391" s="115">
        <v>0</v>
      </c>
      <c r="AP1391" s="43">
        <v>0</v>
      </c>
      <c r="AQ1391" s="44">
        <v>0</v>
      </c>
      <c r="AR1391" s="44">
        <v>0</v>
      </c>
      <c r="AS1391" s="44">
        <v>0</v>
      </c>
      <c r="AT1391" s="40">
        <f>AQ1391+AS1391</f>
        <v>0</v>
      </c>
      <c r="AU1391" s="18">
        <f>AJ1391-AM1391</f>
        <v>77813000</v>
      </c>
      <c r="AV1391" s="34">
        <f>AM1391-AP1391</f>
        <v>0</v>
      </c>
      <c r="AW1391" s="34">
        <f>AP1391-AT1391</f>
        <v>0</v>
      </c>
      <c r="AX1391" s="123">
        <f>AP1391/AJ1391</f>
        <v>0</v>
      </c>
    </row>
    <row r="1392" spans="27:50" x14ac:dyDescent="0.2">
      <c r="AA1392" s="173" t="s">
        <v>1183</v>
      </c>
      <c r="AB1392" s="95" t="s">
        <v>1184</v>
      </c>
      <c r="AC1392" s="96"/>
      <c r="AD1392" s="44">
        <v>0</v>
      </c>
      <c r="AE1392" s="43">
        <v>43150983.530000001</v>
      </c>
      <c r="AF1392" s="216">
        <v>0</v>
      </c>
      <c r="AG1392" s="216">
        <v>0</v>
      </c>
      <c r="AH1392" s="216">
        <v>0</v>
      </c>
      <c r="AI1392" s="136">
        <f t="shared" si="607"/>
        <v>43150983.530000001</v>
      </c>
      <c r="AJ1392" s="43">
        <f t="shared" si="608"/>
        <v>43150983.530000001</v>
      </c>
      <c r="AK1392" s="97">
        <v>0</v>
      </c>
      <c r="AL1392" s="115">
        <v>0</v>
      </c>
      <c r="AM1392" s="115">
        <v>0</v>
      </c>
      <c r="AN1392" s="97">
        <v>0</v>
      </c>
      <c r="AO1392" s="115">
        <v>0</v>
      </c>
      <c r="AP1392" s="44">
        <v>0</v>
      </c>
      <c r="AQ1392" s="44">
        <v>0</v>
      </c>
      <c r="AR1392" s="44">
        <v>0</v>
      </c>
      <c r="AS1392" s="44">
        <v>0</v>
      </c>
      <c r="AT1392" s="40">
        <f t="shared" si="609"/>
        <v>0</v>
      </c>
      <c r="AU1392" s="18">
        <f t="shared" si="610"/>
        <v>43150983.530000001</v>
      </c>
      <c r="AV1392" s="34">
        <f t="shared" si="611"/>
        <v>0</v>
      </c>
      <c r="AW1392" s="34">
        <f t="shared" si="612"/>
        <v>0</v>
      </c>
      <c r="AX1392" s="123">
        <f t="shared" si="613"/>
        <v>0</v>
      </c>
    </row>
    <row r="1393" spans="27:50" x14ac:dyDescent="0.2">
      <c r="AA1393" s="89"/>
      <c r="AB1393" s="91"/>
      <c r="AC1393" s="91"/>
      <c r="AD1393" s="18"/>
      <c r="AE1393" s="92"/>
      <c r="AF1393" s="92"/>
      <c r="AG1393" s="92"/>
      <c r="AH1393" s="92"/>
      <c r="AI1393" s="92"/>
      <c r="AJ1393" s="18"/>
      <c r="AK1393" s="98"/>
      <c r="AL1393" s="98"/>
      <c r="AM1393" s="98"/>
      <c r="AN1393" s="98"/>
      <c r="AO1393" s="98"/>
      <c r="AP1393" s="98"/>
      <c r="AQ1393" s="98"/>
      <c r="AR1393" s="98"/>
      <c r="AS1393" s="92"/>
      <c r="AT1393" s="30"/>
      <c r="AU1393" s="18"/>
      <c r="AV1393" s="18"/>
      <c r="AW1393" s="18"/>
      <c r="AX1393" s="92"/>
    </row>
    <row r="1394" spans="27:50" ht="25.5" x14ac:dyDescent="0.2">
      <c r="AA1394" s="93" t="s">
        <v>288</v>
      </c>
      <c r="AB1394" s="90" t="s">
        <v>812</v>
      </c>
      <c r="AC1394" s="91"/>
      <c r="AD1394" s="18"/>
      <c r="AE1394" s="92"/>
      <c r="AF1394" s="92"/>
      <c r="AG1394" s="92"/>
      <c r="AH1394" s="92"/>
      <c r="AI1394" s="92"/>
      <c r="AJ1394" s="18"/>
      <c r="AK1394" s="98"/>
      <c r="AL1394" s="98"/>
      <c r="AM1394" s="98"/>
      <c r="AN1394" s="98"/>
      <c r="AO1394" s="98"/>
      <c r="AP1394" s="98"/>
      <c r="AQ1394" s="98"/>
      <c r="AR1394" s="98"/>
      <c r="AS1394" s="98"/>
      <c r="AT1394" s="31"/>
      <c r="AU1394" s="18"/>
      <c r="AV1394" s="34"/>
      <c r="AW1394" s="18"/>
      <c r="AX1394" s="92"/>
    </row>
    <row r="1395" spans="27:50" x14ac:dyDescent="0.2">
      <c r="AA1395" s="94" t="s">
        <v>813</v>
      </c>
      <c r="AB1395" s="95" t="s">
        <v>793</v>
      </c>
      <c r="AC1395" s="96" t="s">
        <v>794</v>
      </c>
      <c r="AD1395" s="43">
        <v>57600000</v>
      </c>
      <c r="AE1395" s="96">
        <v>0</v>
      </c>
      <c r="AF1395" s="216">
        <v>0</v>
      </c>
      <c r="AG1395" s="216">
        <v>0</v>
      </c>
      <c r="AH1395" s="216">
        <v>0</v>
      </c>
      <c r="AI1395" s="136">
        <f t="shared" ref="AI1395:AI1396" si="614">AE1395-AF1395+AG1395-AH1395</f>
        <v>0</v>
      </c>
      <c r="AJ1395" s="43">
        <f t="shared" ref="AJ1395:AJ1396" si="615">AD1395+AI1395</f>
        <v>57600000</v>
      </c>
      <c r="AK1395" s="44">
        <v>0</v>
      </c>
      <c r="AL1395" s="44">
        <v>0</v>
      </c>
      <c r="AM1395" s="43">
        <v>49750000</v>
      </c>
      <c r="AN1395" s="44">
        <v>0</v>
      </c>
      <c r="AO1395" s="44">
        <v>0</v>
      </c>
      <c r="AP1395" s="43">
        <v>49750000</v>
      </c>
      <c r="AQ1395" s="44">
        <v>0</v>
      </c>
      <c r="AR1395" s="43">
        <f>AS1395-SEPTIEMBRE!AS1362</f>
        <v>5900000</v>
      </c>
      <c r="AS1395" s="43">
        <v>32513333</v>
      </c>
      <c r="AT1395" s="39">
        <f>AQ1395+AS1395</f>
        <v>32513333</v>
      </c>
      <c r="AU1395" s="110">
        <f>AJ1395-AM1395</f>
        <v>7850000</v>
      </c>
      <c r="AV1395" s="34">
        <f>AM1395-AP1395</f>
        <v>0</v>
      </c>
      <c r="AW1395" s="18">
        <f>AP1395-AT1395</f>
        <v>17236667</v>
      </c>
      <c r="AX1395" s="123">
        <f>AP1395/AJ1395</f>
        <v>0.86371527777777779</v>
      </c>
    </row>
    <row r="1396" spans="27:50" x14ac:dyDescent="0.2">
      <c r="AA1396" s="173" t="s">
        <v>1175</v>
      </c>
      <c r="AB1396" s="95" t="s">
        <v>1015</v>
      </c>
      <c r="AC1396" s="96"/>
      <c r="AD1396" s="44">
        <v>0</v>
      </c>
      <c r="AE1396" s="43">
        <v>6400000</v>
      </c>
      <c r="AF1396" s="216">
        <v>0</v>
      </c>
      <c r="AG1396" s="216">
        <v>0</v>
      </c>
      <c r="AH1396" s="216">
        <v>0</v>
      </c>
      <c r="AI1396" s="136">
        <f t="shared" si="614"/>
        <v>6400000</v>
      </c>
      <c r="AJ1396" s="43">
        <f t="shared" si="615"/>
        <v>6400000</v>
      </c>
      <c r="AK1396" s="44">
        <v>0</v>
      </c>
      <c r="AL1396" s="44">
        <v>0</v>
      </c>
      <c r="AM1396" s="43">
        <v>0</v>
      </c>
      <c r="AN1396" s="44">
        <v>0</v>
      </c>
      <c r="AO1396" s="44">
        <v>0</v>
      </c>
      <c r="AP1396" s="44">
        <v>0</v>
      </c>
      <c r="AQ1396" s="44">
        <v>0</v>
      </c>
      <c r="AR1396" s="44">
        <v>0</v>
      </c>
      <c r="AS1396" s="44">
        <v>0</v>
      </c>
      <c r="AT1396" s="135">
        <f>AQ1396+AS1396</f>
        <v>0</v>
      </c>
      <c r="AU1396" s="110">
        <f>AJ1396-AM1396</f>
        <v>6400000</v>
      </c>
      <c r="AV1396" s="34">
        <f>AM1396-AP1396</f>
        <v>0</v>
      </c>
      <c r="AW1396" s="34">
        <f>AP1396-AT1396</f>
        <v>0</v>
      </c>
      <c r="AX1396" s="123">
        <f>AP1396/AJ1396</f>
        <v>0</v>
      </c>
    </row>
    <row r="1397" spans="27:50" x14ac:dyDescent="0.2">
      <c r="AA1397" s="89"/>
      <c r="AB1397" s="91"/>
      <c r="AC1397" s="91"/>
      <c r="AD1397" s="18"/>
      <c r="AE1397" s="92"/>
      <c r="AF1397" s="92"/>
      <c r="AG1397" s="92"/>
      <c r="AH1397" s="92"/>
      <c r="AI1397" s="92"/>
      <c r="AJ1397" s="18"/>
      <c r="AK1397" s="98"/>
      <c r="AL1397" s="98"/>
      <c r="AM1397" s="98"/>
      <c r="AN1397" s="98"/>
      <c r="AO1397" s="98"/>
      <c r="AP1397" s="98"/>
      <c r="AQ1397" s="98"/>
      <c r="AR1397" s="98"/>
      <c r="AS1397" s="92"/>
      <c r="AT1397" s="30"/>
      <c r="AU1397" s="18"/>
      <c r="AV1397" s="18"/>
      <c r="AW1397" s="18"/>
      <c r="AX1397" s="92"/>
    </row>
    <row r="1398" spans="27:50" ht="25.5" x14ac:dyDescent="0.2">
      <c r="AA1398" s="93" t="s">
        <v>288</v>
      </c>
      <c r="AB1398" s="90" t="s">
        <v>814</v>
      </c>
      <c r="AC1398" s="91"/>
      <c r="AD1398" s="18"/>
      <c r="AE1398" s="92"/>
      <c r="AF1398" s="92"/>
      <c r="AG1398" s="92"/>
      <c r="AH1398" s="92"/>
      <c r="AI1398" s="92"/>
      <c r="AJ1398" s="18"/>
      <c r="AK1398" s="92"/>
      <c r="AL1398" s="92"/>
      <c r="AM1398" s="92"/>
      <c r="AN1398" s="92"/>
      <c r="AO1398" s="98"/>
      <c r="AP1398" s="98"/>
      <c r="AQ1398" s="98"/>
      <c r="AR1398" s="98"/>
      <c r="AS1398" s="98"/>
      <c r="AT1398" s="40"/>
      <c r="AU1398" s="18"/>
      <c r="AV1398" s="34"/>
      <c r="AW1398" s="18"/>
      <c r="AX1398" s="92"/>
    </row>
    <row r="1399" spans="27:50" x14ac:dyDescent="0.2">
      <c r="AA1399" s="94" t="s">
        <v>815</v>
      </c>
      <c r="AB1399" s="95" t="s">
        <v>793</v>
      </c>
      <c r="AC1399" s="96" t="s">
        <v>794</v>
      </c>
      <c r="AD1399" s="43">
        <v>414513482</v>
      </c>
      <c r="AE1399" s="96">
        <v>0</v>
      </c>
      <c r="AF1399" s="216">
        <v>0</v>
      </c>
      <c r="AG1399" s="216">
        <v>0</v>
      </c>
      <c r="AH1399" s="216">
        <v>0</v>
      </c>
      <c r="AI1399" s="136">
        <f t="shared" ref="AI1399:AI1402" si="616">AE1399-AF1399+AG1399-AH1399</f>
        <v>0</v>
      </c>
      <c r="AJ1399" s="43">
        <f t="shared" ref="AJ1399:AJ1402" si="617">AD1399+AI1399</f>
        <v>414513482</v>
      </c>
      <c r="AK1399" s="97">
        <v>0</v>
      </c>
      <c r="AL1399" s="18">
        <v>8000000</v>
      </c>
      <c r="AM1399" s="18">
        <v>414513482</v>
      </c>
      <c r="AN1399" s="92">
        <v>0</v>
      </c>
      <c r="AO1399" s="133">
        <v>0</v>
      </c>
      <c r="AP1399" s="110">
        <v>406513482</v>
      </c>
      <c r="AQ1399" s="43">
        <v>4700000</v>
      </c>
      <c r="AR1399" s="43">
        <f>AS1399-SEPTIEMBRE!AS1366</f>
        <v>23700000</v>
      </c>
      <c r="AS1399" s="43">
        <v>245738167</v>
      </c>
      <c r="AT1399" s="39">
        <f t="shared" ref="AT1399:AT1402" si="618">AQ1399+AS1399</f>
        <v>250438167</v>
      </c>
      <c r="AU1399" s="110">
        <f>AJ1399-AM1399</f>
        <v>0</v>
      </c>
      <c r="AV1399" s="18">
        <f>AM1399-AP1399</f>
        <v>8000000</v>
      </c>
      <c r="AW1399" s="18">
        <f>AP1399-AT1399</f>
        <v>156075315</v>
      </c>
      <c r="AX1399" s="123">
        <f>AP1399/AJ1399</f>
        <v>0.98070026586011017</v>
      </c>
    </row>
    <row r="1400" spans="27:50" x14ac:dyDescent="0.2">
      <c r="AA1400" s="173" t="s">
        <v>1176</v>
      </c>
      <c r="AB1400" s="95" t="s">
        <v>1015</v>
      </c>
      <c r="AC1400" s="96"/>
      <c r="AD1400" s="44">
        <v>0</v>
      </c>
      <c r="AE1400" s="43">
        <v>44300000</v>
      </c>
      <c r="AF1400" s="216">
        <v>0</v>
      </c>
      <c r="AG1400" s="216">
        <v>0</v>
      </c>
      <c r="AH1400" s="216">
        <v>0</v>
      </c>
      <c r="AI1400" s="136">
        <f>AE1400-AF1400+AG1400-AH1400</f>
        <v>44300000</v>
      </c>
      <c r="AJ1400" s="43">
        <f>AD1400+AI1400</f>
        <v>44300000</v>
      </c>
      <c r="AK1400" s="97">
        <v>0</v>
      </c>
      <c r="AL1400" s="18">
        <v>17920000</v>
      </c>
      <c r="AM1400" s="18">
        <v>17920000</v>
      </c>
      <c r="AN1400" s="98">
        <v>0</v>
      </c>
      <c r="AO1400" s="133">
        <v>0</v>
      </c>
      <c r="AP1400" s="133">
        <v>0</v>
      </c>
      <c r="AQ1400" s="44">
        <v>0</v>
      </c>
      <c r="AR1400" s="44">
        <v>0</v>
      </c>
      <c r="AS1400" s="44">
        <v>0</v>
      </c>
      <c r="AT1400" s="40">
        <f t="shared" si="618"/>
        <v>0</v>
      </c>
      <c r="AU1400" s="110">
        <f>AJ1400-AM1400</f>
        <v>26380000</v>
      </c>
      <c r="AV1400" s="18">
        <f>AM1400-AP1400</f>
        <v>17920000</v>
      </c>
      <c r="AW1400" s="34">
        <f>AP1400-AT1400</f>
        <v>0</v>
      </c>
      <c r="AX1400" s="123">
        <f>AP1400/AJ1400</f>
        <v>0</v>
      </c>
    </row>
    <row r="1401" spans="27:50" x14ac:dyDescent="0.2">
      <c r="AA1401" s="173" t="s">
        <v>1168</v>
      </c>
      <c r="AB1401" s="95" t="s">
        <v>1169</v>
      </c>
      <c r="AC1401" s="96"/>
      <c r="AD1401" s="44">
        <v>0</v>
      </c>
      <c r="AE1401" s="43">
        <v>1272607864.71</v>
      </c>
      <c r="AF1401" s="216">
        <v>0</v>
      </c>
      <c r="AG1401" s="216">
        <v>0</v>
      </c>
      <c r="AH1401" s="216">
        <v>0</v>
      </c>
      <c r="AI1401" s="136">
        <f t="shared" si="616"/>
        <v>1272607864.71</v>
      </c>
      <c r="AJ1401" s="43">
        <f t="shared" si="617"/>
        <v>1272607864.71</v>
      </c>
      <c r="AK1401" s="97">
        <v>0</v>
      </c>
      <c r="AL1401" s="18">
        <v>62400000</v>
      </c>
      <c r="AM1401" s="18">
        <v>62400000</v>
      </c>
      <c r="AN1401" s="98">
        <v>0</v>
      </c>
      <c r="AO1401" s="133">
        <v>0</v>
      </c>
      <c r="AP1401" s="133">
        <v>0</v>
      </c>
      <c r="AQ1401" s="44">
        <v>0</v>
      </c>
      <c r="AR1401" s="44">
        <v>0</v>
      </c>
      <c r="AS1401" s="44">
        <v>0</v>
      </c>
      <c r="AT1401" s="40">
        <f t="shared" si="618"/>
        <v>0</v>
      </c>
      <c r="AU1401" s="110">
        <f>AJ1401-AM1401</f>
        <v>1210207864.71</v>
      </c>
      <c r="AV1401" s="18">
        <f>AM1401-AP1401</f>
        <v>62400000</v>
      </c>
      <c r="AW1401" s="34">
        <f>AP1401-AT1401</f>
        <v>0</v>
      </c>
      <c r="AX1401" s="123">
        <f>AP1401/AJ1401</f>
        <v>0</v>
      </c>
    </row>
    <row r="1402" spans="27:50" x14ac:dyDescent="0.2">
      <c r="AA1402" s="173" t="s">
        <v>1182</v>
      </c>
      <c r="AB1402" s="95" t="s">
        <v>1181</v>
      </c>
      <c r="AC1402" s="96"/>
      <c r="AD1402" s="44">
        <v>0</v>
      </c>
      <c r="AE1402" s="43">
        <v>17636386</v>
      </c>
      <c r="AF1402" s="216">
        <v>0</v>
      </c>
      <c r="AG1402" s="216">
        <v>0</v>
      </c>
      <c r="AH1402" s="216">
        <v>0</v>
      </c>
      <c r="AI1402" s="136">
        <f t="shared" si="616"/>
        <v>17636386</v>
      </c>
      <c r="AJ1402" s="43">
        <f t="shared" si="617"/>
        <v>17636386</v>
      </c>
      <c r="AK1402" s="97">
        <v>0</v>
      </c>
      <c r="AL1402" s="18">
        <v>0</v>
      </c>
      <c r="AM1402" s="18">
        <v>0</v>
      </c>
      <c r="AN1402" s="98">
        <v>0</v>
      </c>
      <c r="AO1402" s="133">
        <v>0</v>
      </c>
      <c r="AP1402" s="133">
        <v>0</v>
      </c>
      <c r="AQ1402" s="44">
        <v>0</v>
      </c>
      <c r="AR1402" s="44">
        <v>0</v>
      </c>
      <c r="AS1402" s="44">
        <v>0</v>
      </c>
      <c r="AT1402" s="40">
        <f t="shared" si="618"/>
        <v>0</v>
      </c>
      <c r="AU1402" s="110">
        <f>AJ1402-AM1402</f>
        <v>17636386</v>
      </c>
      <c r="AV1402" s="34">
        <f>AM1402-AP1402</f>
        <v>0</v>
      </c>
      <c r="AW1402" s="34">
        <f>AP1402-AT1402</f>
        <v>0</v>
      </c>
      <c r="AX1402" s="123">
        <f>AP1402/AJ1402</f>
        <v>0</v>
      </c>
    </row>
    <row r="1403" spans="27:50" x14ac:dyDescent="0.2">
      <c r="AA1403" s="89"/>
      <c r="AB1403" s="91"/>
      <c r="AC1403" s="91"/>
      <c r="AD1403" s="18"/>
      <c r="AE1403" s="92"/>
      <c r="AF1403" s="92"/>
      <c r="AG1403" s="92"/>
      <c r="AH1403" s="92"/>
      <c r="AI1403" s="92"/>
      <c r="AJ1403" s="18"/>
      <c r="AK1403" s="98"/>
      <c r="AL1403" s="98"/>
      <c r="AM1403" s="98"/>
      <c r="AN1403" s="98"/>
      <c r="AO1403" s="98"/>
      <c r="AP1403" s="98"/>
      <c r="AQ1403" s="98"/>
      <c r="AR1403" s="98"/>
      <c r="AS1403" s="92"/>
      <c r="AT1403" s="30"/>
      <c r="AU1403" s="18"/>
      <c r="AV1403" s="18"/>
      <c r="AW1403" s="18"/>
      <c r="AX1403" s="92"/>
    </row>
    <row r="1404" spans="27:50" ht="25.5" x14ac:dyDescent="0.2">
      <c r="AA1404" s="93" t="s">
        <v>288</v>
      </c>
      <c r="AB1404" s="90" t="s">
        <v>816</v>
      </c>
      <c r="AC1404" s="91"/>
      <c r="AD1404" s="18"/>
      <c r="AE1404" s="92"/>
      <c r="AF1404" s="92"/>
      <c r="AG1404" s="92"/>
      <c r="AH1404" s="92"/>
      <c r="AI1404" s="92"/>
      <c r="AJ1404" s="18"/>
      <c r="AK1404" s="98"/>
      <c r="AL1404" s="98"/>
      <c r="AM1404" s="92"/>
      <c r="AN1404" s="92"/>
      <c r="AO1404" s="98"/>
      <c r="AP1404" s="92"/>
      <c r="AQ1404" s="98"/>
      <c r="AR1404" s="92"/>
      <c r="AS1404" s="92"/>
      <c r="AT1404" s="40"/>
      <c r="AU1404" s="18"/>
      <c r="AV1404" s="34"/>
      <c r="AW1404" s="18"/>
      <c r="AX1404" s="92"/>
    </row>
    <row r="1405" spans="27:50" x14ac:dyDescent="0.2">
      <c r="AA1405" s="94" t="s">
        <v>817</v>
      </c>
      <c r="AB1405" s="95" t="s">
        <v>793</v>
      </c>
      <c r="AC1405" s="96" t="s">
        <v>794</v>
      </c>
      <c r="AD1405" s="43">
        <v>76500000</v>
      </c>
      <c r="AE1405" s="96">
        <v>0</v>
      </c>
      <c r="AF1405" s="216">
        <v>0</v>
      </c>
      <c r="AG1405" s="216">
        <v>0</v>
      </c>
      <c r="AH1405" s="216">
        <v>0</v>
      </c>
      <c r="AI1405" s="136">
        <f t="shared" ref="AI1405:AI1408" si="619">AE1405-AF1405+AG1405-AH1405</f>
        <v>0</v>
      </c>
      <c r="AJ1405" s="43">
        <f t="shared" ref="AJ1405:AJ1408" si="620">AD1405+AI1405</f>
        <v>76500000</v>
      </c>
      <c r="AK1405" s="97">
        <v>0</v>
      </c>
      <c r="AL1405" s="133">
        <v>0</v>
      </c>
      <c r="AM1405" s="18">
        <v>76500000</v>
      </c>
      <c r="AN1405" s="34">
        <v>0</v>
      </c>
      <c r="AO1405" s="34">
        <v>0</v>
      </c>
      <c r="AP1405" s="18">
        <v>76500000</v>
      </c>
      <c r="AQ1405" s="44">
        <v>0</v>
      </c>
      <c r="AR1405" s="114">
        <f>AS1405-SEPTIEMBRE!AS1372</f>
        <v>8500000</v>
      </c>
      <c r="AS1405" s="114">
        <v>68630000</v>
      </c>
      <c r="AT1405" s="111">
        <f t="shared" ref="AT1405:AT1408" si="621">AQ1405+AS1405</f>
        <v>68630000</v>
      </c>
      <c r="AU1405" s="133">
        <f>AJ1405-AM1405</f>
        <v>0</v>
      </c>
      <c r="AV1405" s="34">
        <f>AM1405-AP1405</f>
        <v>0</v>
      </c>
      <c r="AW1405" s="18">
        <f>AP1405-AT1405</f>
        <v>7870000</v>
      </c>
      <c r="AX1405" s="123">
        <f>AP1405/AJ1405</f>
        <v>1</v>
      </c>
    </row>
    <row r="1406" spans="27:50" x14ac:dyDescent="0.2">
      <c r="AA1406" s="173" t="s">
        <v>1170</v>
      </c>
      <c r="AB1406" s="95" t="s">
        <v>1169</v>
      </c>
      <c r="AC1406" s="96"/>
      <c r="AD1406" s="44">
        <v>0</v>
      </c>
      <c r="AE1406" s="43">
        <v>221250000</v>
      </c>
      <c r="AF1406" s="216">
        <v>0</v>
      </c>
      <c r="AG1406" s="216">
        <v>0</v>
      </c>
      <c r="AH1406" s="216">
        <v>0</v>
      </c>
      <c r="AI1406" s="136">
        <f t="shared" si="619"/>
        <v>221250000</v>
      </c>
      <c r="AJ1406" s="43">
        <f t="shared" si="620"/>
        <v>221250000</v>
      </c>
      <c r="AK1406" s="97">
        <v>0</v>
      </c>
      <c r="AL1406" s="18">
        <v>17000000</v>
      </c>
      <c r="AM1406" s="18">
        <v>17000000</v>
      </c>
      <c r="AN1406" s="18">
        <v>0</v>
      </c>
      <c r="AO1406" s="18">
        <v>17000000</v>
      </c>
      <c r="AP1406" s="34">
        <v>17000000</v>
      </c>
      <c r="AQ1406" s="97">
        <v>0</v>
      </c>
      <c r="AR1406" s="115">
        <v>0</v>
      </c>
      <c r="AS1406" s="115">
        <v>0</v>
      </c>
      <c r="AT1406" s="135">
        <f t="shared" si="621"/>
        <v>0</v>
      </c>
      <c r="AU1406" s="18">
        <f>AJ1406-AM1406</f>
        <v>204250000</v>
      </c>
      <c r="AV1406" s="34">
        <f>AM1406-AP1406</f>
        <v>0</v>
      </c>
      <c r="AW1406" s="18">
        <f>AP1406-AT1406</f>
        <v>17000000</v>
      </c>
      <c r="AX1406" s="123">
        <f>AP1406/AJ1406</f>
        <v>7.6836158192090401E-2</v>
      </c>
    </row>
    <row r="1407" spans="27:50" x14ac:dyDescent="0.2">
      <c r="AA1407" s="173" t="s">
        <v>1192</v>
      </c>
      <c r="AB1407" s="95" t="s">
        <v>1193</v>
      </c>
      <c r="AC1407" s="96"/>
      <c r="AD1407" s="44">
        <v>0</v>
      </c>
      <c r="AE1407" s="43">
        <v>97859303.769999996</v>
      </c>
      <c r="AF1407" s="216">
        <v>0</v>
      </c>
      <c r="AG1407" s="216">
        <v>0</v>
      </c>
      <c r="AH1407" s="216">
        <v>0</v>
      </c>
      <c r="AI1407" s="136">
        <f>AE1407-AF1407+AG1407-AH1407</f>
        <v>97859303.769999996</v>
      </c>
      <c r="AJ1407" s="43">
        <f>AD1407+AI1407</f>
        <v>97859303.769999996</v>
      </c>
      <c r="AK1407" s="97">
        <v>0</v>
      </c>
      <c r="AL1407" s="133">
        <v>0</v>
      </c>
      <c r="AM1407" s="34">
        <v>0</v>
      </c>
      <c r="AN1407" s="34">
        <v>0</v>
      </c>
      <c r="AO1407" s="34">
        <v>0</v>
      </c>
      <c r="AP1407" s="34">
        <v>0</v>
      </c>
      <c r="AQ1407" s="97">
        <v>0</v>
      </c>
      <c r="AR1407" s="115">
        <v>0</v>
      </c>
      <c r="AS1407" s="115">
        <v>0</v>
      </c>
      <c r="AT1407" s="135">
        <f t="shared" si="621"/>
        <v>0</v>
      </c>
      <c r="AU1407" s="18">
        <f>AJ1407-AM1407</f>
        <v>97859303.769999996</v>
      </c>
      <c r="AV1407" s="34">
        <f>AM1407-AP1407</f>
        <v>0</v>
      </c>
      <c r="AW1407" s="34">
        <f>AP1407-AT1407</f>
        <v>0</v>
      </c>
      <c r="AX1407" s="123">
        <f>AP1407/AJ1407</f>
        <v>0</v>
      </c>
    </row>
    <row r="1408" spans="27:50" x14ac:dyDescent="0.2">
      <c r="AA1408" s="173" t="s">
        <v>1191</v>
      </c>
      <c r="AB1408" s="95" t="s">
        <v>1181</v>
      </c>
      <c r="AC1408" s="96"/>
      <c r="AD1408" s="44">
        <v>0</v>
      </c>
      <c r="AE1408" s="43">
        <v>52140696.289999999</v>
      </c>
      <c r="AF1408" s="216">
        <v>0</v>
      </c>
      <c r="AG1408" s="216">
        <v>0</v>
      </c>
      <c r="AH1408" s="216">
        <v>0</v>
      </c>
      <c r="AI1408" s="136">
        <f t="shared" si="619"/>
        <v>52140696.289999999</v>
      </c>
      <c r="AJ1408" s="43">
        <f t="shared" si="620"/>
        <v>52140696.289999999</v>
      </c>
      <c r="AK1408" s="97">
        <v>0</v>
      </c>
      <c r="AL1408" s="133">
        <v>0</v>
      </c>
      <c r="AM1408" s="34">
        <v>0</v>
      </c>
      <c r="AN1408" s="34">
        <v>0</v>
      </c>
      <c r="AO1408" s="34">
        <v>0</v>
      </c>
      <c r="AP1408" s="34">
        <v>0</v>
      </c>
      <c r="AQ1408" s="97">
        <v>0</v>
      </c>
      <c r="AR1408" s="115">
        <v>0</v>
      </c>
      <c r="AS1408" s="115">
        <v>0</v>
      </c>
      <c r="AT1408" s="135">
        <f t="shared" si="621"/>
        <v>0</v>
      </c>
      <c r="AU1408" s="18">
        <f>AJ1408-AM1408</f>
        <v>52140696.289999999</v>
      </c>
      <c r="AV1408" s="34">
        <f>AM1408-AP1408</f>
        <v>0</v>
      </c>
      <c r="AW1408" s="34">
        <f>AP1408-AT1408</f>
        <v>0</v>
      </c>
      <c r="AX1408" s="123">
        <f>AP1408/AJ1408</f>
        <v>0</v>
      </c>
    </row>
    <row r="1409" spans="27:50" x14ac:dyDescent="0.2">
      <c r="AA1409" s="89"/>
      <c r="AB1409" s="91"/>
      <c r="AC1409" s="91"/>
      <c r="AD1409" s="18"/>
      <c r="AE1409" s="92"/>
      <c r="AF1409" s="92"/>
      <c r="AG1409" s="92"/>
      <c r="AH1409" s="92"/>
      <c r="AI1409" s="92"/>
      <c r="AJ1409" s="18"/>
      <c r="AK1409" s="98"/>
      <c r="AL1409" s="98"/>
      <c r="AM1409" s="98"/>
      <c r="AN1409" s="98"/>
      <c r="AO1409" s="98"/>
      <c r="AP1409" s="98"/>
      <c r="AQ1409" s="98"/>
      <c r="AR1409" s="98"/>
      <c r="AS1409" s="92"/>
      <c r="AT1409" s="30"/>
      <c r="AU1409" s="18"/>
      <c r="AV1409" s="18"/>
      <c r="AW1409" s="18"/>
      <c r="AX1409" s="92"/>
    </row>
    <row r="1410" spans="27:50" ht="38.25" x14ac:dyDescent="0.2">
      <c r="AA1410" s="93" t="s">
        <v>288</v>
      </c>
      <c r="AB1410" s="90" t="s">
        <v>818</v>
      </c>
      <c r="AC1410" s="91"/>
      <c r="AD1410" s="18"/>
      <c r="AE1410" s="92"/>
      <c r="AF1410" s="92"/>
      <c r="AG1410" s="92"/>
      <c r="AH1410" s="92"/>
      <c r="AI1410" s="92"/>
      <c r="AJ1410" s="18"/>
      <c r="AK1410" s="98"/>
      <c r="AL1410" s="98"/>
      <c r="AM1410" s="92"/>
      <c r="AN1410" s="98"/>
      <c r="AO1410" s="98"/>
      <c r="AP1410" s="92"/>
      <c r="AQ1410" s="92"/>
      <c r="AR1410" s="92"/>
      <c r="AS1410" s="92"/>
      <c r="AT1410" s="40"/>
      <c r="AU1410" s="18"/>
      <c r="AV1410" s="18"/>
      <c r="AW1410" s="18"/>
      <c r="AX1410" s="92"/>
    </row>
    <row r="1411" spans="27:50" x14ac:dyDescent="0.2">
      <c r="AA1411" s="94" t="s">
        <v>819</v>
      </c>
      <c r="AB1411" s="95" t="s">
        <v>793</v>
      </c>
      <c r="AC1411" s="96" t="s">
        <v>794</v>
      </c>
      <c r="AD1411" s="43">
        <v>150000000</v>
      </c>
      <c r="AE1411" s="96">
        <v>0</v>
      </c>
      <c r="AF1411" s="216">
        <v>0</v>
      </c>
      <c r="AG1411" s="216">
        <v>0</v>
      </c>
      <c r="AH1411" s="216">
        <v>0</v>
      </c>
      <c r="AI1411" s="136">
        <f t="shared" ref="AI1411:AI1412" si="622">AE1411-AF1411+AG1411-AH1411</f>
        <v>0</v>
      </c>
      <c r="AJ1411" s="43">
        <f t="shared" ref="AJ1411:AJ1412" si="623">AD1411+AI1411</f>
        <v>150000000</v>
      </c>
      <c r="AK1411" s="44">
        <v>0</v>
      </c>
      <c r="AL1411" s="43">
        <v>0</v>
      </c>
      <c r="AM1411" s="43">
        <v>140800000</v>
      </c>
      <c r="AN1411" s="44">
        <v>0</v>
      </c>
      <c r="AO1411" s="44">
        <v>0</v>
      </c>
      <c r="AP1411" s="43">
        <v>140800000</v>
      </c>
      <c r="AQ1411" s="43">
        <v>0</v>
      </c>
      <c r="AR1411" s="43">
        <f>AS1411-SEPTIEMBRE!AS1378</f>
        <v>8000000</v>
      </c>
      <c r="AS1411" s="43">
        <v>74450000</v>
      </c>
      <c r="AT1411" s="39">
        <f t="shared" ref="AT1411:AT1412" si="624">AQ1411+AS1411</f>
        <v>74450000</v>
      </c>
      <c r="AU1411" s="18">
        <f>AJ1411-AM1411</f>
        <v>9200000</v>
      </c>
      <c r="AV1411" s="34">
        <f>AM1411-AP1411</f>
        <v>0</v>
      </c>
      <c r="AW1411" s="18">
        <f>AP1411-AT1411</f>
        <v>66350000</v>
      </c>
      <c r="AX1411" s="123">
        <f>AP1411/AJ1411</f>
        <v>0.93866666666666665</v>
      </c>
    </row>
    <row r="1412" spans="27:50" x14ac:dyDescent="0.2">
      <c r="AA1412" s="173" t="s">
        <v>1177</v>
      </c>
      <c r="AB1412" s="95" t="s">
        <v>1015</v>
      </c>
      <c r="AC1412" s="96"/>
      <c r="AD1412" s="43">
        <v>0</v>
      </c>
      <c r="AE1412" s="43">
        <v>8000000</v>
      </c>
      <c r="AF1412" s="216">
        <v>0</v>
      </c>
      <c r="AG1412" s="216">
        <v>0</v>
      </c>
      <c r="AH1412" s="216">
        <v>0</v>
      </c>
      <c r="AI1412" s="136">
        <f t="shared" si="622"/>
        <v>8000000</v>
      </c>
      <c r="AJ1412" s="43">
        <f t="shared" si="623"/>
        <v>8000000</v>
      </c>
      <c r="AK1412" s="44">
        <v>0</v>
      </c>
      <c r="AL1412" s="44">
        <v>0</v>
      </c>
      <c r="AM1412" s="43">
        <v>0</v>
      </c>
      <c r="AN1412" s="44">
        <v>0</v>
      </c>
      <c r="AO1412" s="44">
        <v>0</v>
      </c>
      <c r="AP1412" s="44">
        <v>0</v>
      </c>
      <c r="AQ1412" s="44">
        <v>0</v>
      </c>
      <c r="AR1412" s="44">
        <v>0</v>
      </c>
      <c r="AS1412" s="44">
        <v>0</v>
      </c>
      <c r="AT1412" s="40">
        <f t="shared" si="624"/>
        <v>0</v>
      </c>
      <c r="AU1412" s="18">
        <f>AJ1412-AM1412</f>
        <v>8000000</v>
      </c>
      <c r="AV1412" s="34">
        <f>AM1412-AP1412</f>
        <v>0</v>
      </c>
      <c r="AW1412" s="34">
        <f>AP1412-AT1412</f>
        <v>0</v>
      </c>
      <c r="AX1412" s="123">
        <f>AP1412/AJ1412</f>
        <v>0</v>
      </c>
    </row>
    <row r="1413" spans="27:50" ht="25.5" x14ac:dyDescent="0.2">
      <c r="AA1413" s="93" t="s">
        <v>288</v>
      </c>
      <c r="AB1413" s="90" t="s">
        <v>820</v>
      </c>
      <c r="AC1413" s="91"/>
      <c r="AD1413" s="18"/>
      <c r="AE1413" s="92"/>
      <c r="AF1413" s="92"/>
      <c r="AG1413" s="92"/>
      <c r="AH1413" s="92"/>
      <c r="AI1413" s="92"/>
      <c r="AJ1413" s="18"/>
      <c r="AK1413" s="34"/>
      <c r="AL1413" s="18"/>
      <c r="AM1413" s="18"/>
      <c r="AN1413" s="34"/>
      <c r="AO1413" s="34"/>
      <c r="AP1413" s="18"/>
      <c r="AQ1413" s="18"/>
      <c r="AR1413" s="18"/>
      <c r="AS1413" s="18"/>
      <c r="AT1413" s="39"/>
      <c r="AU1413" s="18"/>
      <c r="AV1413" s="34"/>
      <c r="AW1413" s="18"/>
      <c r="AX1413" s="92"/>
    </row>
    <row r="1414" spans="27:50" x14ac:dyDescent="0.2">
      <c r="AA1414" s="94" t="s">
        <v>821</v>
      </c>
      <c r="AB1414" s="95" t="s">
        <v>233</v>
      </c>
      <c r="AC1414" s="96" t="s">
        <v>58</v>
      </c>
      <c r="AD1414" s="43">
        <v>144000000</v>
      </c>
      <c r="AE1414" s="96">
        <v>0</v>
      </c>
      <c r="AF1414" s="216">
        <v>0</v>
      </c>
      <c r="AG1414" s="216">
        <v>0</v>
      </c>
      <c r="AH1414" s="216">
        <v>0</v>
      </c>
      <c r="AI1414" s="136">
        <f t="shared" ref="AI1414:AI1416" si="625">AE1414-AF1414+AG1414-AH1414</f>
        <v>0</v>
      </c>
      <c r="AJ1414" s="43">
        <f t="shared" ref="AJ1414:AJ1416" si="626">AD1414+AI1414</f>
        <v>144000000</v>
      </c>
      <c r="AK1414" s="44">
        <v>0</v>
      </c>
      <c r="AL1414" s="44">
        <v>0</v>
      </c>
      <c r="AM1414" s="43">
        <v>144000000</v>
      </c>
      <c r="AN1414" s="44">
        <v>0</v>
      </c>
      <c r="AO1414" s="44">
        <v>0</v>
      </c>
      <c r="AP1414" s="43">
        <v>144000000</v>
      </c>
      <c r="AQ1414" s="43">
        <v>12000000</v>
      </c>
      <c r="AR1414" s="43">
        <f>AS1414-SEPTIEMBRE!AS1381</f>
        <v>16000000</v>
      </c>
      <c r="AS1414" s="43">
        <v>108400001</v>
      </c>
      <c r="AT1414" s="39">
        <f t="shared" ref="AT1414:AT1416" si="627">AQ1414+AS1414</f>
        <v>120400001</v>
      </c>
      <c r="AU1414" s="34">
        <f>AJ1414-AM1414</f>
        <v>0</v>
      </c>
      <c r="AV1414" s="34">
        <f>AM1414-AP1414</f>
        <v>0</v>
      </c>
      <c r="AW1414" s="18">
        <f>AP1414-AT1414</f>
        <v>23599999</v>
      </c>
      <c r="AX1414" s="123">
        <f>AP1414/AJ1414</f>
        <v>1</v>
      </c>
    </row>
    <row r="1415" spans="27:50" x14ac:dyDescent="0.2">
      <c r="AA1415" s="94" t="s">
        <v>822</v>
      </c>
      <c r="AB1415" s="95" t="s">
        <v>793</v>
      </c>
      <c r="AC1415" s="96" t="s">
        <v>794</v>
      </c>
      <c r="AD1415" s="43">
        <v>72000000</v>
      </c>
      <c r="AE1415" s="96">
        <v>0</v>
      </c>
      <c r="AF1415" s="216">
        <v>0</v>
      </c>
      <c r="AG1415" s="216">
        <v>0</v>
      </c>
      <c r="AH1415" s="216">
        <v>0</v>
      </c>
      <c r="AI1415" s="136">
        <f t="shared" si="625"/>
        <v>0</v>
      </c>
      <c r="AJ1415" s="43">
        <f t="shared" si="626"/>
        <v>72000000</v>
      </c>
      <c r="AK1415" s="44">
        <v>0</v>
      </c>
      <c r="AL1415" s="43">
        <v>3500000</v>
      </c>
      <c r="AM1415" s="43">
        <v>72000000</v>
      </c>
      <c r="AN1415" s="44">
        <v>0</v>
      </c>
      <c r="AO1415" s="44">
        <v>0</v>
      </c>
      <c r="AP1415" s="43">
        <v>68500000</v>
      </c>
      <c r="AQ1415" s="43">
        <v>0</v>
      </c>
      <c r="AR1415" s="43">
        <f>AS1415-SEPTIEMBRE!AS1382</f>
        <v>8000000</v>
      </c>
      <c r="AS1415" s="43">
        <v>58650000</v>
      </c>
      <c r="AT1415" s="39">
        <f t="shared" si="627"/>
        <v>58650000</v>
      </c>
      <c r="AU1415" s="18">
        <f>AJ1415-AM1415</f>
        <v>0</v>
      </c>
      <c r="AV1415" s="18">
        <f>AM1415-AP1415</f>
        <v>3500000</v>
      </c>
      <c r="AW1415" s="18">
        <f>AP1415-AT1415</f>
        <v>9850000</v>
      </c>
      <c r="AX1415" s="123">
        <f>AP1415/AJ1415</f>
        <v>0.95138888888888884</v>
      </c>
    </row>
    <row r="1416" spans="27:50" x14ac:dyDescent="0.2">
      <c r="AA1416" s="173" t="s">
        <v>1178</v>
      </c>
      <c r="AB1416" s="95" t="s">
        <v>1179</v>
      </c>
      <c r="AC1416" s="96"/>
      <c r="AD1416" s="44">
        <v>0</v>
      </c>
      <c r="AE1416" s="43">
        <v>79500000</v>
      </c>
      <c r="AF1416" s="216">
        <v>0</v>
      </c>
      <c r="AG1416" s="216">
        <v>0</v>
      </c>
      <c r="AH1416" s="216">
        <v>0</v>
      </c>
      <c r="AI1416" s="136">
        <f t="shared" si="625"/>
        <v>79500000</v>
      </c>
      <c r="AJ1416" s="43">
        <f t="shared" si="626"/>
        <v>79500000</v>
      </c>
      <c r="AK1416" s="44">
        <v>0</v>
      </c>
      <c r="AL1416" s="43">
        <v>2800000</v>
      </c>
      <c r="AM1416" s="43">
        <v>2800000</v>
      </c>
      <c r="AN1416" s="44">
        <v>0</v>
      </c>
      <c r="AO1416" s="44">
        <v>0</v>
      </c>
      <c r="AP1416" s="44">
        <v>0</v>
      </c>
      <c r="AQ1416" s="44">
        <v>0</v>
      </c>
      <c r="AR1416" s="44">
        <v>0</v>
      </c>
      <c r="AS1416" s="44">
        <v>0</v>
      </c>
      <c r="AT1416" s="40">
        <f t="shared" si="627"/>
        <v>0</v>
      </c>
      <c r="AU1416" s="18">
        <f>AJ1416-AM1416</f>
        <v>76700000</v>
      </c>
      <c r="AV1416" s="18">
        <f>AM1416-AP1416</f>
        <v>2800000</v>
      </c>
      <c r="AW1416" s="34">
        <f>AP1416-AT1416</f>
        <v>0</v>
      </c>
      <c r="AX1416" s="123">
        <f>AP1416/AJ1416</f>
        <v>0</v>
      </c>
    </row>
    <row r="1417" spans="27:50" ht="25.5" x14ac:dyDescent="0.2">
      <c r="AA1417" s="241" t="s">
        <v>288</v>
      </c>
      <c r="AB1417" s="138" t="s">
        <v>805</v>
      </c>
      <c r="AC1417" s="96"/>
      <c r="AD1417" s="44"/>
      <c r="AE1417" s="43"/>
      <c r="AF1417" s="96"/>
      <c r="AG1417" s="96"/>
      <c r="AH1417" s="96"/>
      <c r="AI1417" s="96"/>
      <c r="AJ1417" s="43"/>
      <c r="AK1417" s="44"/>
      <c r="AL1417" s="44"/>
      <c r="AM1417" s="44"/>
      <c r="AN1417" s="44"/>
      <c r="AO1417" s="44"/>
      <c r="AP1417" s="44"/>
      <c r="AQ1417" s="44"/>
      <c r="AR1417" s="44"/>
      <c r="AS1417" s="44"/>
      <c r="AT1417" s="40"/>
      <c r="AU1417" s="18"/>
      <c r="AV1417" s="34"/>
      <c r="AW1417" s="34"/>
      <c r="AX1417" s="123"/>
    </row>
    <row r="1418" spans="27:50" x14ac:dyDescent="0.2">
      <c r="AA1418" s="173" t="s">
        <v>1194</v>
      </c>
      <c r="AB1418" s="95" t="s">
        <v>1193</v>
      </c>
      <c r="AC1418" s="96"/>
      <c r="AD1418" s="44">
        <v>0</v>
      </c>
      <c r="AE1418" s="43">
        <v>135118963.86000001</v>
      </c>
      <c r="AF1418" s="216">
        <v>0</v>
      </c>
      <c r="AG1418" s="216">
        <v>0</v>
      </c>
      <c r="AH1418" s="216">
        <v>0</v>
      </c>
      <c r="AI1418" s="136">
        <f>AE1418-AF1418+AG1418-AH1418</f>
        <v>135118963.86000001</v>
      </c>
      <c r="AJ1418" s="43">
        <f>AD1418+AI1418</f>
        <v>135118963.86000001</v>
      </c>
      <c r="AK1418" s="44">
        <v>0</v>
      </c>
      <c r="AL1418" s="44">
        <v>0</v>
      </c>
      <c r="AM1418" s="44">
        <v>0</v>
      </c>
      <c r="AN1418" s="44">
        <v>0</v>
      </c>
      <c r="AO1418" s="44">
        <v>0</v>
      </c>
      <c r="AP1418" s="44">
        <v>0</v>
      </c>
      <c r="AQ1418" s="44">
        <v>0</v>
      </c>
      <c r="AR1418" s="44">
        <v>0</v>
      </c>
      <c r="AS1418" s="44">
        <v>0</v>
      </c>
      <c r="AT1418" s="40">
        <f t="shared" ref="AT1418" si="628">AQ1418+AS1418</f>
        <v>0</v>
      </c>
      <c r="AU1418" s="18">
        <f>AJ1418-AM1418</f>
        <v>135118963.86000001</v>
      </c>
      <c r="AV1418" s="34">
        <f>AM1418-AP1418</f>
        <v>0</v>
      </c>
      <c r="AW1418" s="34">
        <f>AP1418-AT1418</f>
        <v>0</v>
      </c>
      <c r="AX1418" s="123">
        <f>AP1418/AJ1418</f>
        <v>0</v>
      </c>
    </row>
    <row r="1419" spans="27:50" ht="38.25" x14ac:dyDescent="0.2">
      <c r="AA1419" s="240" t="s">
        <v>288</v>
      </c>
      <c r="AB1419" s="138" t="s">
        <v>912</v>
      </c>
      <c r="AC1419" s="96"/>
      <c r="AD1419" s="44"/>
      <c r="AE1419" s="96"/>
      <c r="AF1419" s="96"/>
      <c r="AG1419" s="96"/>
      <c r="AH1419" s="96"/>
      <c r="AI1419" s="96"/>
      <c r="AJ1419" s="43"/>
      <c r="AK1419" s="44"/>
      <c r="AL1419" s="44"/>
      <c r="AM1419" s="44"/>
      <c r="AN1419" s="97"/>
      <c r="AO1419" s="44"/>
      <c r="AP1419" s="44"/>
      <c r="AQ1419" s="97"/>
      <c r="AR1419" s="96"/>
      <c r="AS1419" s="97"/>
      <c r="AT1419" s="40"/>
      <c r="AU1419" s="43"/>
      <c r="AV1419" s="44"/>
      <c r="AW1419" s="44"/>
      <c r="AX1419" s="32"/>
    </row>
    <row r="1420" spans="27:50" x14ac:dyDescent="0.2">
      <c r="AA1420" s="94" t="s">
        <v>913</v>
      </c>
      <c r="AB1420" s="95" t="s">
        <v>233</v>
      </c>
      <c r="AC1420" s="96"/>
      <c r="AD1420" s="44">
        <v>0</v>
      </c>
      <c r="AE1420" s="96">
        <v>0</v>
      </c>
      <c r="AF1420" s="96">
        <v>0</v>
      </c>
      <c r="AG1420" s="43">
        <v>136150000</v>
      </c>
      <c r="AH1420" s="96"/>
      <c r="AI1420" s="136">
        <f>AE1420-AF1420+AG1420-AH1420</f>
        <v>136150000</v>
      </c>
      <c r="AJ1420" s="43">
        <f>AD1420+AI1420</f>
        <v>136150000</v>
      </c>
      <c r="AK1420" s="44">
        <v>0</v>
      </c>
      <c r="AL1420" s="115">
        <v>0</v>
      </c>
      <c r="AM1420" s="114">
        <v>94724710</v>
      </c>
      <c r="AN1420" s="97">
        <v>0</v>
      </c>
      <c r="AO1420" s="44">
        <v>0</v>
      </c>
      <c r="AP1420" s="43">
        <v>94724710</v>
      </c>
      <c r="AQ1420" s="44">
        <v>0</v>
      </c>
      <c r="AR1420" s="43">
        <v>0</v>
      </c>
      <c r="AS1420" s="43">
        <v>17500000</v>
      </c>
      <c r="AT1420" s="39">
        <f t="shared" ref="AT1420" si="629">AQ1420+AS1420</f>
        <v>17500000</v>
      </c>
      <c r="AU1420" s="110">
        <f>AJ1420-AM1420</f>
        <v>41425290</v>
      </c>
      <c r="AV1420" s="133">
        <f>AM1420-AP1420</f>
        <v>0</v>
      </c>
      <c r="AW1420" s="18">
        <f>AP1420-AT1420</f>
        <v>77224710</v>
      </c>
      <c r="AX1420" s="123">
        <f>AP1420/AJ1420</f>
        <v>0.69573786265148729</v>
      </c>
    </row>
    <row r="1421" spans="27:50" ht="25.5" x14ac:dyDescent="0.2">
      <c r="AA1421" s="240" t="s">
        <v>288</v>
      </c>
      <c r="AB1421" s="138" t="s">
        <v>1285</v>
      </c>
      <c r="AC1421" s="96"/>
      <c r="AD1421" s="44"/>
      <c r="AE1421" s="96"/>
      <c r="AF1421" s="96"/>
      <c r="AG1421" s="43"/>
      <c r="AH1421" s="96"/>
      <c r="AI1421" s="136"/>
      <c r="AJ1421" s="43"/>
      <c r="AK1421" s="44"/>
      <c r="AL1421" s="115"/>
      <c r="AM1421" s="115"/>
      <c r="AN1421" s="97"/>
      <c r="AO1421" s="43"/>
      <c r="AP1421" s="43"/>
      <c r="AQ1421" s="43"/>
      <c r="AR1421" s="43"/>
      <c r="AS1421" s="43"/>
      <c r="AT1421" s="39"/>
      <c r="AU1421" s="110"/>
      <c r="AV1421" s="133"/>
      <c r="AW1421" s="18"/>
      <c r="AX1421" s="123"/>
    </row>
    <row r="1422" spans="27:50" x14ac:dyDescent="0.2">
      <c r="AA1422" s="94" t="s">
        <v>1286</v>
      </c>
      <c r="AB1422" s="95" t="s">
        <v>1015</v>
      </c>
      <c r="AC1422" s="96"/>
      <c r="AD1422" s="44">
        <v>0</v>
      </c>
      <c r="AE1422" s="96">
        <v>0</v>
      </c>
      <c r="AF1422" s="96">
        <v>0</v>
      </c>
      <c r="AG1422" s="43">
        <f>151006500+15000000</f>
        <v>166006500</v>
      </c>
      <c r="AH1422" s="96">
        <v>0</v>
      </c>
      <c r="AI1422" s="136">
        <f>AE1422-AF1422+AG1422-AH1422</f>
        <v>166006500</v>
      </c>
      <c r="AJ1422" s="43">
        <f>AD1422+AI1422</f>
        <v>166006500</v>
      </c>
      <c r="AK1422" s="44">
        <v>0</v>
      </c>
      <c r="AL1422" s="115">
        <v>0</v>
      </c>
      <c r="AM1422" s="115">
        <v>0</v>
      </c>
      <c r="AN1422" s="97">
        <v>0</v>
      </c>
      <c r="AO1422" s="44">
        <v>0</v>
      </c>
      <c r="AP1422" s="44">
        <v>0</v>
      </c>
      <c r="AQ1422" s="44">
        <v>0</v>
      </c>
      <c r="AR1422" s="44">
        <v>0</v>
      </c>
      <c r="AS1422" s="44">
        <v>0</v>
      </c>
      <c r="AT1422" s="40">
        <f t="shared" ref="AT1422" si="630">AQ1422+AS1422</f>
        <v>0</v>
      </c>
      <c r="AU1422" s="110">
        <f>AJ1422-AM1422</f>
        <v>166006500</v>
      </c>
      <c r="AV1422" s="133">
        <f>AM1422-AP1422</f>
        <v>0</v>
      </c>
      <c r="AW1422" s="34">
        <f>AP1422-AT1422</f>
        <v>0</v>
      </c>
      <c r="AX1422" s="123">
        <f>AP1422/AJ1422</f>
        <v>0</v>
      </c>
    </row>
    <row r="1423" spans="27:50" x14ac:dyDescent="0.2">
      <c r="AA1423" s="240"/>
      <c r="AB1423" s="138" t="s">
        <v>1354</v>
      </c>
      <c r="AC1423" s="96"/>
      <c r="AD1423" s="44"/>
      <c r="AE1423" s="96"/>
      <c r="AF1423" s="96"/>
      <c r="AG1423" s="43"/>
      <c r="AH1423" s="96"/>
      <c r="AI1423" s="136"/>
      <c r="AJ1423" s="43"/>
      <c r="AK1423" s="44"/>
      <c r="AL1423" s="115"/>
      <c r="AM1423" s="115"/>
      <c r="AN1423" s="97"/>
      <c r="AO1423" s="44"/>
      <c r="AP1423" s="44"/>
      <c r="AQ1423" s="44"/>
      <c r="AR1423" s="44"/>
      <c r="AS1423" s="44"/>
      <c r="AT1423" s="40"/>
      <c r="AU1423" s="110"/>
      <c r="AV1423" s="133"/>
      <c r="AW1423" s="34"/>
      <c r="AX1423" s="123"/>
    </row>
    <row r="1424" spans="27:50" x14ac:dyDescent="0.2">
      <c r="AA1424" s="240" t="s">
        <v>288</v>
      </c>
      <c r="AB1424" s="138" t="s">
        <v>1355</v>
      </c>
      <c r="AC1424" s="96"/>
      <c r="AD1424" s="44"/>
      <c r="AE1424" s="96"/>
      <c r="AF1424" s="328"/>
      <c r="AG1424" s="142"/>
      <c r="AH1424" s="96"/>
      <c r="AI1424" s="136"/>
      <c r="AJ1424" s="43"/>
      <c r="AK1424" s="44"/>
      <c r="AL1424" s="115"/>
      <c r="AM1424" s="115"/>
      <c r="AN1424" s="97"/>
      <c r="AO1424" s="44"/>
      <c r="AP1424" s="44"/>
      <c r="AQ1424" s="44"/>
      <c r="AR1424" s="44"/>
      <c r="AS1424" s="44"/>
      <c r="AT1424" s="40"/>
      <c r="AU1424" s="110"/>
      <c r="AV1424" s="133"/>
      <c r="AW1424" s="34"/>
      <c r="AX1424" s="123"/>
    </row>
    <row r="1425" spans="27:50" x14ac:dyDescent="0.2">
      <c r="AA1425" s="94" t="s">
        <v>713</v>
      </c>
      <c r="AB1425" s="95" t="s">
        <v>961</v>
      </c>
      <c r="AC1425" s="96"/>
      <c r="AD1425" s="44">
        <v>0</v>
      </c>
      <c r="AE1425" s="96">
        <v>0</v>
      </c>
      <c r="AF1425" s="328">
        <v>0</v>
      </c>
      <c r="AG1425" s="142">
        <v>800000000</v>
      </c>
      <c r="AH1425" s="43">
        <v>800000000</v>
      </c>
      <c r="AI1425" s="97">
        <f>AE1425-AF1425+AG1425-AH1425</f>
        <v>0</v>
      </c>
      <c r="AJ1425" s="44">
        <f>AD1425+AI1425</f>
        <v>0</v>
      </c>
      <c r="AK1425" s="44">
        <v>0</v>
      </c>
      <c r="AL1425" s="115">
        <v>0</v>
      </c>
      <c r="AM1425" s="115">
        <v>0</v>
      </c>
      <c r="AN1425" s="97">
        <v>0</v>
      </c>
      <c r="AO1425" s="44">
        <v>0</v>
      </c>
      <c r="AP1425" s="44">
        <v>0</v>
      </c>
      <c r="AQ1425" s="44">
        <v>0</v>
      </c>
      <c r="AR1425" s="44">
        <v>0</v>
      </c>
      <c r="AS1425" s="44">
        <v>0</v>
      </c>
      <c r="AT1425" s="40">
        <f t="shared" ref="AT1425" si="631">AQ1425+AS1425</f>
        <v>0</v>
      </c>
      <c r="AU1425" s="133">
        <f>AJ1425-AM1425</f>
        <v>0</v>
      </c>
      <c r="AV1425" s="133">
        <f>AM1425-AP1425</f>
        <v>0</v>
      </c>
      <c r="AW1425" s="34">
        <f>AP1425-AT1425</f>
        <v>0</v>
      </c>
      <c r="AX1425" s="123">
        <v>0</v>
      </c>
    </row>
    <row r="1426" spans="27:50" x14ac:dyDescent="0.2">
      <c r="AA1426" s="89"/>
      <c r="AB1426" s="91"/>
      <c r="AC1426" s="91"/>
      <c r="AD1426" s="18"/>
      <c r="AE1426" s="92"/>
      <c r="AF1426" s="92"/>
      <c r="AG1426" s="92"/>
      <c r="AH1426" s="92"/>
      <c r="AI1426" s="92"/>
      <c r="AJ1426" s="18"/>
      <c r="AK1426" s="98"/>
      <c r="AL1426" s="98"/>
      <c r="AM1426" s="98"/>
      <c r="AN1426" s="98"/>
      <c r="AO1426" s="98"/>
      <c r="AP1426" s="98"/>
      <c r="AQ1426" s="98"/>
      <c r="AR1426" s="98"/>
      <c r="AS1426" s="92"/>
      <c r="AT1426" s="30"/>
      <c r="AU1426" s="18"/>
      <c r="AV1426" s="18"/>
      <c r="AW1426" s="18"/>
      <c r="AX1426" s="92"/>
    </row>
    <row r="1427" spans="27:50" x14ac:dyDescent="0.2">
      <c r="AA1427" s="89"/>
      <c r="AB1427" s="279" t="s">
        <v>1274</v>
      </c>
      <c r="AC1427" s="91"/>
      <c r="AD1427" s="18"/>
      <c r="AE1427" s="92"/>
      <c r="AF1427" s="92"/>
      <c r="AG1427" s="92"/>
      <c r="AH1427" s="92"/>
      <c r="AI1427" s="92"/>
      <c r="AJ1427" s="18"/>
      <c r="AK1427" s="98"/>
      <c r="AL1427" s="98"/>
      <c r="AM1427" s="98"/>
      <c r="AN1427" s="98"/>
      <c r="AO1427" s="98"/>
      <c r="AP1427" s="98"/>
      <c r="AQ1427" s="98"/>
      <c r="AR1427" s="98"/>
      <c r="AS1427" s="92"/>
      <c r="AT1427" s="30"/>
      <c r="AU1427" s="18"/>
      <c r="AV1427" s="18"/>
      <c r="AW1427" s="18"/>
      <c r="AX1427" s="92"/>
    </row>
    <row r="1428" spans="27:50" x14ac:dyDescent="0.2">
      <c r="AA1428" s="89"/>
      <c r="AB1428" s="90" t="s">
        <v>199</v>
      </c>
      <c r="AC1428" s="91"/>
      <c r="AD1428" s="18"/>
      <c r="AE1428" s="92"/>
      <c r="AF1428" s="92"/>
      <c r="AG1428" s="92"/>
      <c r="AH1428" s="92"/>
      <c r="AI1428" s="92"/>
      <c r="AJ1428" s="18"/>
      <c r="AK1428" s="98"/>
      <c r="AL1428" s="98"/>
      <c r="AM1428" s="98"/>
      <c r="AN1428" s="98"/>
      <c r="AO1428" s="98"/>
      <c r="AP1428" s="98"/>
      <c r="AQ1428" s="98"/>
      <c r="AR1428" s="98"/>
      <c r="AS1428" s="92"/>
      <c r="AT1428" s="30"/>
      <c r="AU1428" s="18"/>
      <c r="AV1428" s="18"/>
      <c r="AW1428" s="18"/>
      <c r="AX1428" s="92"/>
    </row>
    <row r="1429" spans="27:50" x14ac:dyDescent="0.2">
      <c r="AA1429" s="170" t="s">
        <v>288</v>
      </c>
      <c r="AB1429" s="165" t="s">
        <v>1164</v>
      </c>
      <c r="AC1429" s="237"/>
      <c r="AD1429" s="44"/>
      <c r="AE1429" s="96"/>
      <c r="AF1429" s="96"/>
      <c r="AG1429" s="43"/>
      <c r="AH1429" s="96"/>
      <c r="AI1429" s="136"/>
      <c r="AJ1429" s="43"/>
      <c r="AK1429" s="44"/>
      <c r="AL1429" s="115"/>
      <c r="AM1429" s="114"/>
      <c r="AN1429" s="97"/>
      <c r="AO1429" s="43"/>
      <c r="AP1429" s="43"/>
      <c r="AQ1429" s="43"/>
      <c r="AR1429" s="96"/>
      <c r="AS1429" s="97"/>
      <c r="AT1429" s="135"/>
      <c r="AU1429" s="110"/>
      <c r="AV1429" s="133"/>
      <c r="AW1429" s="18"/>
      <c r="AX1429" s="123"/>
    </row>
    <row r="1430" spans="27:50" x14ac:dyDescent="0.2">
      <c r="AA1430" s="166" t="s">
        <v>1165</v>
      </c>
      <c r="AB1430" s="167" t="s">
        <v>1015</v>
      </c>
      <c r="AC1430" s="237"/>
      <c r="AD1430" s="44">
        <v>0</v>
      </c>
      <c r="AE1430" s="43">
        <v>400000000</v>
      </c>
      <c r="AF1430" s="216">
        <v>0</v>
      </c>
      <c r="AG1430" s="168">
        <v>198993500</v>
      </c>
      <c r="AH1430" s="168">
        <v>15000000</v>
      </c>
      <c r="AI1430" s="136">
        <f>AE1430-AF1430+AG1430-AH1430</f>
        <v>583993500</v>
      </c>
      <c r="AJ1430" s="43">
        <f>AD1430+AI1430</f>
        <v>583993500</v>
      </c>
      <c r="AK1430" s="44">
        <v>0</v>
      </c>
      <c r="AL1430" s="43">
        <v>0</v>
      </c>
      <c r="AM1430" s="43">
        <v>397986999.57999998</v>
      </c>
      <c r="AN1430" s="97">
        <v>0</v>
      </c>
      <c r="AO1430" s="43">
        <v>0</v>
      </c>
      <c r="AP1430" s="43">
        <v>397986999.57999998</v>
      </c>
      <c r="AQ1430" s="44">
        <v>0</v>
      </c>
      <c r="AR1430" s="96">
        <v>0</v>
      </c>
      <c r="AS1430" s="97">
        <v>0</v>
      </c>
      <c r="AT1430" s="40">
        <f t="shared" ref="AT1430" si="632">AQ1430+AS1430</f>
        <v>0</v>
      </c>
      <c r="AU1430" s="110">
        <f>AJ1430-AM1430</f>
        <v>186006500.42000002</v>
      </c>
      <c r="AV1430" s="34">
        <f>AM1430-AP1430</f>
        <v>0</v>
      </c>
      <c r="AW1430" s="18">
        <f>AP1430-AT1430</f>
        <v>397986999.57999998</v>
      </c>
      <c r="AX1430" s="123">
        <f>AP1430/AJ1430</f>
        <v>0.68149217342316304</v>
      </c>
    </row>
    <row r="1431" spans="27:50" x14ac:dyDescent="0.2">
      <c r="AA1431" s="93" t="s">
        <v>288</v>
      </c>
      <c r="AB1431" s="90" t="s">
        <v>782</v>
      </c>
      <c r="AC1431" s="91"/>
      <c r="AD1431" s="18"/>
      <c r="AE1431" s="92"/>
      <c r="AF1431" s="92"/>
      <c r="AG1431" s="92"/>
      <c r="AH1431" s="92"/>
      <c r="AI1431" s="92"/>
      <c r="AJ1431" s="18"/>
      <c r="AK1431" s="98"/>
      <c r="AL1431" s="98"/>
      <c r="AM1431" s="98"/>
      <c r="AN1431" s="98"/>
      <c r="AO1431" s="98"/>
      <c r="AP1431" s="98"/>
      <c r="AQ1431" s="98"/>
      <c r="AR1431" s="98"/>
      <c r="AS1431" s="92"/>
      <c r="AT1431" s="30"/>
      <c r="AU1431" s="18"/>
      <c r="AV1431" s="18"/>
      <c r="AW1431" s="18"/>
      <c r="AX1431" s="92"/>
    </row>
    <row r="1432" spans="27:50" ht="25.5" x14ac:dyDescent="0.2">
      <c r="AA1432" s="94" t="s">
        <v>783</v>
      </c>
      <c r="AB1432" s="95" t="s">
        <v>784</v>
      </c>
      <c r="AC1432" s="96" t="s">
        <v>368</v>
      </c>
      <c r="AD1432" s="43">
        <v>40000000</v>
      </c>
      <c r="AE1432" s="96">
        <v>0</v>
      </c>
      <c r="AF1432" s="216">
        <v>0</v>
      </c>
      <c r="AG1432" s="216">
        <v>0</v>
      </c>
      <c r="AH1432" s="216">
        <v>0</v>
      </c>
      <c r="AI1432" s="97">
        <f>AE1432-AF1432+AG1432-AH1432</f>
        <v>0</v>
      </c>
      <c r="AJ1432" s="43">
        <f>AD1432+AI1432</f>
        <v>40000000</v>
      </c>
      <c r="AK1432" s="97">
        <v>0</v>
      </c>
      <c r="AL1432" s="34">
        <v>0</v>
      </c>
      <c r="AM1432" s="137">
        <v>0</v>
      </c>
      <c r="AN1432" s="97">
        <v>0</v>
      </c>
      <c r="AO1432" s="97">
        <v>0</v>
      </c>
      <c r="AP1432" s="97">
        <v>0</v>
      </c>
      <c r="AQ1432" s="97">
        <v>0</v>
      </c>
      <c r="AR1432" s="97">
        <v>0</v>
      </c>
      <c r="AS1432" s="97">
        <v>0</v>
      </c>
      <c r="AT1432" s="135">
        <f t="shared" ref="AT1432:AT1434" si="633">AQ1432+AS1432</f>
        <v>0</v>
      </c>
      <c r="AU1432" s="110">
        <f>AJ1432-AM1432</f>
        <v>40000000</v>
      </c>
      <c r="AV1432" s="133">
        <f>AM1432-AP1432</f>
        <v>0</v>
      </c>
      <c r="AW1432" s="133">
        <f>AP1432-AT1432</f>
        <v>0</v>
      </c>
      <c r="AX1432" s="123">
        <f>AP1432/AJ1432</f>
        <v>0</v>
      </c>
    </row>
    <row r="1433" spans="27:50" ht="25.5" x14ac:dyDescent="0.2">
      <c r="AA1433" s="94" t="s">
        <v>785</v>
      </c>
      <c r="AB1433" s="242" t="s">
        <v>786</v>
      </c>
      <c r="AC1433" s="96" t="s">
        <v>258</v>
      </c>
      <c r="AD1433" s="43">
        <v>2438425656.1900001</v>
      </c>
      <c r="AE1433" s="96">
        <v>0</v>
      </c>
      <c r="AF1433" s="216">
        <v>0</v>
      </c>
      <c r="AG1433" s="216">
        <v>0</v>
      </c>
      <c r="AH1433" s="216">
        <v>0</v>
      </c>
      <c r="AI1433" s="97">
        <f t="shared" ref="AI1433:AI1434" si="634">AE1433-AF1433+AG1433-AH1433</f>
        <v>0</v>
      </c>
      <c r="AJ1433" s="43">
        <f t="shared" ref="AJ1433:AJ1434" si="635">AD1433+AI1433</f>
        <v>2438425656.1900001</v>
      </c>
      <c r="AK1433" s="44">
        <v>0</v>
      </c>
      <c r="AL1433" s="114">
        <v>0</v>
      </c>
      <c r="AM1433" s="114">
        <v>55000000</v>
      </c>
      <c r="AN1433" s="92">
        <v>0</v>
      </c>
      <c r="AO1433" s="147">
        <v>0</v>
      </c>
      <c r="AP1433" s="18">
        <v>55000000</v>
      </c>
      <c r="AQ1433" s="43">
        <v>0</v>
      </c>
      <c r="AR1433" s="18">
        <f>AS1433-SEPTIEMBRE!AS1400</f>
        <v>5500000</v>
      </c>
      <c r="AS1433" s="43">
        <v>38500000</v>
      </c>
      <c r="AT1433" s="39">
        <f t="shared" si="633"/>
        <v>38500000</v>
      </c>
      <c r="AU1433" s="110">
        <f>AJ1433-AM1433</f>
        <v>2383425656.1900001</v>
      </c>
      <c r="AV1433" s="133">
        <f>AM1433-AP1433</f>
        <v>0</v>
      </c>
      <c r="AW1433" s="18">
        <f>AP1433-AT1433</f>
        <v>16500000</v>
      </c>
      <c r="AX1433" s="123">
        <f>AP1433/AJ1433</f>
        <v>2.2555536954912372E-2</v>
      </c>
    </row>
    <row r="1434" spans="27:50" ht="25.5" x14ac:dyDescent="0.2">
      <c r="AA1434" s="166" t="s">
        <v>1197</v>
      </c>
      <c r="AB1434" s="242" t="s">
        <v>1198</v>
      </c>
      <c r="AC1434" s="96"/>
      <c r="AD1434" s="43">
        <v>0</v>
      </c>
      <c r="AE1434" s="43">
        <v>57159458.270000003</v>
      </c>
      <c r="AF1434" s="216">
        <v>0</v>
      </c>
      <c r="AG1434" s="216">
        <v>0</v>
      </c>
      <c r="AH1434" s="216">
        <v>0</v>
      </c>
      <c r="AI1434" s="136">
        <f t="shared" si="634"/>
        <v>57159458.270000003</v>
      </c>
      <c r="AJ1434" s="43">
        <f t="shared" si="635"/>
        <v>57159458.270000003</v>
      </c>
      <c r="AK1434" s="44">
        <v>0</v>
      </c>
      <c r="AL1434" s="115">
        <v>0</v>
      </c>
      <c r="AM1434" s="34">
        <v>0</v>
      </c>
      <c r="AN1434" s="98">
        <v>0</v>
      </c>
      <c r="AO1434" s="145">
        <v>0</v>
      </c>
      <c r="AP1434" s="34">
        <v>0</v>
      </c>
      <c r="AQ1434" s="97">
        <v>0</v>
      </c>
      <c r="AR1434" s="34">
        <v>0</v>
      </c>
      <c r="AS1434" s="44">
        <v>0</v>
      </c>
      <c r="AT1434" s="40">
        <f t="shared" si="633"/>
        <v>0</v>
      </c>
      <c r="AU1434" s="110">
        <f>AJ1434-AM1434</f>
        <v>57159458.270000003</v>
      </c>
      <c r="AV1434" s="133">
        <f>AM1434-AP1434</f>
        <v>0</v>
      </c>
      <c r="AW1434" s="133">
        <f>AP1434-AT1434</f>
        <v>0</v>
      </c>
      <c r="AX1434" s="123">
        <f>AP1434/AJ1434</f>
        <v>0</v>
      </c>
    </row>
    <row r="1435" spans="27:50" ht="38.25" x14ac:dyDescent="0.2">
      <c r="AA1435" s="240" t="s">
        <v>288</v>
      </c>
      <c r="AB1435" s="138" t="s">
        <v>1186</v>
      </c>
      <c r="AC1435" s="96"/>
      <c r="AD1435" s="44"/>
      <c r="AE1435" s="96"/>
      <c r="AF1435" s="96"/>
      <c r="AG1435" s="96"/>
      <c r="AH1435" s="96"/>
      <c r="AI1435" s="96"/>
      <c r="AJ1435" s="43"/>
      <c r="AK1435" s="44"/>
      <c r="AL1435" s="44"/>
      <c r="AM1435" s="34"/>
      <c r="AN1435" s="34"/>
      <c r="AO1435" s="34"/>
      <c r="AP1435" s="44"/>
      <c r="AQ1435" s="44"/>
      <c r="AR1435" s="44"/>
      <c r="AS1435" s="44"/>
      <c r="AT1435" s="135"/>
      <c r="AU1435" s="133"/>
      <c r="AV1435" s="133"/>
      <c r="AW1435" s="133"/>
      <c r="AX1435" s="123"/>
    </row>
    <row r="1436" spans="27:50" x14ac:dyDescent="0.2">
      <c r="AA1436" s="173" t="s">
        <v>1187</v>
      </c>
      <c r="AB1436" s="95" t="s">
        <v>1188</v>
      </c>
      <c r="AC1436" s="96"/>
      <c r="AD1436" s="44">
        <v>0</v>
      </c>
      <c r="AE1436" s="43">
        <v>350000000</v>
      </c>
      <c r="AF1436" s="216">
        <v>0</v>
      </c>
      <c r="AG1436" s="216">
        <v>0</v>
      </c>
      <c r="AH1436" s="168">
        <v>350000000</v>
      </c>
      <c r="AI1436" s="97">
        <f>AE1436-AF1436+AG1436-AH1436</f>
        <v>0</v>
      </c>
      <c r="AJ1436" s="44">
        <f>AD1436+AI1436</f>
        <v>0</v>
      </c>
      <c r="AK1436" s="44">
        <v>0</v>
      </c>
      <c r="AL1436" s="44">
        <v>0</v>
      </c>
      <c r="AM1436" s="34">
        <v>0</v>
      </c>
      <c r="AN1436" s="34">
        <v>0</v>
      </c>
      <c r="AO1436" s="34">
        <v>0</v>
      </c>
      <c r="AP1436" s="44">
        <v>0</v>
      </c>
      <c r="AQ1436" s="44">
        <v>0</v>
      </c>
      <c r="AR1436" s="44">
        <v>0</v>
      </c>
      <c r="AS1436" s="44">
        <v>0</v>
      </c>
      <c r="AT1436" s="135">
        <f t="shared" ref="AT1436" si="636">AQ1436+AS1436</f>
        <v>0</v>
      </c>
      <c r="AU1436" s="34">
        <f>AJ1436-AM1436</f>
        <v>0</v>
      </c>
      <c r="AV1436" s="34">
        <f>AM1436-AP1436</f>
        <v>0</v>
      </c>
      <c r="AW1436" s="133">
        <f>AP1436-AT1436</f>
        <v>0</v>
      </c>
      <c r="AX1436" s="123">
        <v>0</v>
      </c>
    </row>
    <row r="1437" spans="27:50" x14ac:dyDescent="0.2">
      <c r="AA1437" s="166"/>
      <c r="AB1437" s="242"/>
      <c r="AC1437" s="96"/>
      <c r="AD1437" s="43"/>
      <c r="AE1437" s="43"/>
      <c r="AF1437" s="216"/>
      <c r="AG1437" s="216"/>
      <c r="AH1437" s="216"/>
      <c r="AI1437" s="136"/>
      <c r="AJ1437" s="43"/>
      <c r="AK1437" s="44"/>
      <c r="AL1437" s="115"/>
      <c r="AM1437" s="34"/>
      <c r="AN1437" s="98"/>
      <c r="AO1437" s="145"/>
      <c r="AP1437" s="34"/>
      <c r="AQ1437" s="97"/>
      <c r="AR1437" s="34"/>
      <c r="AS1437" s="44"/>
      <c r="AT1437" s="40"/>
      <c r="AU1437" s="110"/>
      <c r="AV1437" s="133"/>
      <c r="AW1437" s="133"/>
      <c r="AX1437" s="123"/>
    </row>
    <row r="1438" spans="27:50" x14ac:dyDescent="0.2">
      <c r="AA1438" s="166"/>
      <c r="AB1438" s="280" t="s">
        <v>1275</v>
      </c>
      <c r="AC1438" s="96"/>
      <c r="AD1438" s="43"/>
      <c r="AE1438" s="43"/>
      <c r="AF1438" s="216"/>
      <c r="AG1438" s="216"/>
      <c r="AH1438" s="216"/>
      <c r="AI1438" s="136"/>
      <c r="AJ1438" s="43"/>
      <c r="AK1438" s="44"/>
      <c r="AL1438" s="115"/>
      <c r="AM1438" s="34"/>
      <c r="AN1438" s="98"/>
      <c r="AO1438" s="145"/>
      <c r="AP1438" s="34"/>
      <c r="AQ1438" s="97"/>
      <c r="AR1438" s="34"/>
      <c r="AS1438" s="44"/>
      <c r="AT1438" s="40"/>
      <c r="AU1438" s="110"/>
      <c r="AV1438" s="133"/>
      <c r="AW1438" s="133"/>
      <c r="AX1438" s="123"/>
    </row>
    <row r="1439" spans="27:50" ht="18.75" customHeight="1" x14ac:dyDescent="0.2">
      <c r="AA1439" s="94" t="s">
        <v>798</v>
      </c>
      <c r="AB1439" s="95" t="s">
        <v>799</v>
      </c>
      <c r="AC1439" s="96" t="s">
        <v>368</v>
      </c>
      <c r="AD1439" s="43">
        <v>20000000</v>
      </c>
      <c r="AE1439" s="96">
        <v>0</v>
      </c>
      <c r="AF1439" s="216">
        <v>0</v>
      </c>
      <c r="AG1439" s="216">
        <v>0</v>
      </c>
      <c r="AH1439" s="216">
        <v>0</v>
      </c>
      <c r="AI1439" s="97">
        <f t="shared" ref="AI1439:AI1440" si="637">AE1439-AF1439+AG1439-AH1439</f>
        <v>0</v>
      </c>
      <c r="AJ1439" s="43">
        <f t="shared" ref="AJ1439:AJ1440" si="638">AD1439+AI1439</f>
        <v>20000000</v>
      </c>
      <c r="AK1439" s="44">
        <v>0</v>
      </c>
      <c r="AL1439" s="43">
        <f>AM1439-SEPTIEMBRE!AM1406</f>
        <v>0</v>
      </c>
      <c r="AM1439" s="43">
        <v>12979847</v>
      </c>
      <c r="AN1439" s="44">
        <v>0</v>
      </c>
      <c r="AO1439" s="44">
        <v>0</v>
      </c>
      <c r="AP1439" s="44">
        <v>0</v>
      </c>
      <c r="AQ1439" s="44">
        <v>0</v>
      </c>
      <c r="AR1439" s="44">
        <v>0</v>
      </c>
      <c r="AS1439" s="44">
        <v>0</v>
      </c>
      <c r="AT1439" s="135">
        <f t="shared" ref="AT1439:AT1440" si="639">AQ1439+AS1439</f>
        <v>0</v>
      </c>
      <c r="AU1439" s="110">
        <f t="shared" ref="AU1439:AU1440" si="640">AJ1439-AM1439</f>
        <v>7020153</v>
      </c>
      <c r="AV1439" s="18">
        <f t="shared" ref="AV1439:AV1440" si="641">AM1439-AP1439</f>
        <v>12979847</v>
      </c>
      <c r="AW1439" s="18">
        <f t="shared" ref="AW1439:AW1440" si="642">AP1439-AT1439</f>
        <v>0</v>
      </c>
      <c r="AX1439" s="123">
        <f t="shared" ref="AX1439:AX1440" si="643">AP1439/AJ1439</f>
        <v>0</v>
      </c>
    </row>
    <row r="1440" spans="27:50" x14ac:dyDescent="0.2">
      <c r="AA1440" s="94" t="s">
        <v>800</v>
      </c>
      <c r="AB1440" s="95" t="s">
        <v>801</v>
      </c>
      <c r="AC1440" s="96" t="s">
        <v>802</v>
      </c>
      <c r="AD1440" s="43">
        <v>300000000</v>
      </c>
      <c r="AE1440" s="96">
        <v>0</v>
      </c>
      <c r="AF1440" s="216">
        <v>0</v>
      </c>
      <c r="AG1440" s="216">
        <v>0</v>
      </c>
      <c r="AH1440" s="216">
        <v>0</v>
      </c>
      <c r="AI1440" s="97">
        <f t="shared" si="637"/>
        <v>0</v>
      </c>
      <c r="AJ1440" s="43">
        <f t="shared" si="638"/>
        <v>300000000</v>
      </c>
      <c r="AK1440" s="44">
        <v>0</v>
      </c>
      <c r="AL1440" s="18">
        <v>-1400000</v>
      </c>
      <c r="AM1440" s="18">
        <v>289550000</v>
      </c>
      <c r="AN1440" s="34">
        <v>0</v>
      </c>
      <c r="AO1440" s="18">
        <v>9100000</v>
      </c>
      <c r="AP1440" s="18">
        <v>289550000</v>
      </c>
      <c r="AQ1440" s="43">
        <v>0</v>
      </c>
      <c r="AR1440" s="43">
        <f>AS1440-SEPTIEMBRE!AS1407</f>
        <v>2266667</v>
      </c>
      <c r="AS1440" s="43">
        <v>268716667</v>
      </c>
      <c r="AT1440" s="111">
        <f t="shared" si="639"/>
        <v>268716667</v>
      </c>
      <c r="AU1440" s="110">
        <f t="shared" si="640"/>
        <v>10450000</v>
      </c>
      <c r="AV1440" s="18">
        <f t="shared" si="641"/>
        <v>0</v>
      </c>
      <c r="AW1440" s="18">
        <f t="shared" si="642"/>
        <v>20833333</v>
      </c>
      <c r="AX1440" s="123">
        <f t="shared" si="643"/>
        <v>0.96516666666666662</v>
      </c>
    </row>
    <row r="1441" spans="2:50" x14ac:dyDescent="0.2">
      <c r="AA1441" s="89"/>
      <c r="AB1441" s="91"/>
      <c r="AC1441" s="91"/>
      <c r="AD1441" s="18"/>
      <c r="AE1441" s="92"/>
      <c r="AF1441" s="92"/>
      <c r="AG1441" s="92"/>
      <c r="AH1441" s="92"/>
      <c r="AI1441" s="92"/>
      <c r="AJ1441" s="92"/>
      <c r="AK1441" s="98"/>
      <c r="AL1441" s="92"/>
      <c r="AM1441" s="92"/>
      <c r="AN1441" s="98"/>
      <c r="AO1441" s="92"/>
      <c r="AP1441" s="92"/>
      <c r="AQ1441" s="98"/>
      <c r="AR1441" s="92"/>
      <c r="AS1441" s="92"/>
      <c r="AT1441" s="92"/>
      <c r="AU1441" s="92"/>
      <c r="AV1441" s="92"/>
      <c r="AW1441" s="92"/>
      <c r="AX1441" s="92"/>
    </row>
    <row r="1442" spans="2:50" s="50" customFormat="1" x14ac:dyDescent="0.2">
      <c r="B1442" s="77"/>
      <c r="C1442" s="77"/>
      <c r="D1442" s="77"/>
      <c r="E1442" s="77"/>
      <c r="F1442" s="77"/>
      <c r="G1442" s="77"/>
      <c r="H1442" s="77"/>
      <c r="I1442" s="77"/>
      <c r="J1442" s="77"/>
      <c r="K1442" s="77"/>
      <c r="L1442" s="77"/>
      <c r="M1442" s="77"/>
      <c r="N1442" s="77"/>
      <c r="O1442" s="77"/>
      <c r="P1442" s="77"/>
      <c r="Q1442" s="77"/>
      <c r="R1442" s="77"/>
      <c r="S1442" s="77"/>
      <c r="T1442" s="77"/>
      <c r="U1442" s="77"/>
      <c r="V1442" s="77"/>
      <c r="W1442" s="77"/>
      <c r="X1442" s="77"/>
      <c r="Y1442" s="77"/>
      <c r="Z1442" s="77"/>
      <c r="AA1442" s="46"/>
      <c r="AB1442" s="47" t="s">
        <v>833</v>
      </c>
      <c r="AC1442" s="47"/>
      <c r="AD1442" s="48">
        <f t="shared" ref="AD1442:AW1442" si="644">SUM(AD1347:AD1441)</f>
        <v>260924476092</v>
      </c>
      <c r="AE1442" s="48">
        <f t="shared" si="644"/>
        <v>18437721256.830002</v>
      </c>
      <c r="AF1442" s="49">
        <f t="shared" si="644"/>
        <v>0</v>
      </c>
      <c r="AG1442" s="48">
        <f t="shared" si="644"/>
        <v>6862120240</v>
      </c>
      <c r="AH1442" s="48">
        <f t="shared" si="644"/>
        <v>6837720240</v>
      </c>
      <c r="AI1442" s="48">
        <f t="shared" si="644"/>
        <v>18462121256.830002</v>
      </c>
      <c r="AJ1442" s="48">
        <f t="shared" si="644"/>
        <v>279386597348.82996</v>
      </c>
      <c r="AK1442" s="49">
        <f t="shared" si="644"/>
        <v>0</v>
      </c>
      <c r="AL1442" s="48">
        <f t="shared" si="644"/>
        <v>263140384.31999999</v>
      </c>
      <c r="AM1442" s="48">
        <f t="shared" si="644"/>
        <v>242233288365.89999</v>
      </c>
      <c r="AN1442" s="49">
        <f t="shared" si="644"/>
        <v>0</v>
      </c>
      <c r="AO1442" s="48">
        <f t="shared" si="644"/>
        <v>19350229558.130001</v>
      </c>
      <c r="AP1442" s="48">
        <f t="shared" si="644"/>
        <v>195083457741.98996</v>
      </c>
      <c r="AQ1442" s="48">
        <f t="shared" si="644"/>
        <v>118673333</v>
      </c>
      <c r="AR1442" s="48">
        <f t="shared" si="644"/>
        <v>19499579921.810005</v>
      </c>
      <c r="AS1442" s="48">
        <f t="shared" si="644"/>
        <v>189048440920.41995</v>
      </c>
      <c r="AT1442" s="48">
        <f t="shared" si="644"/>
        <v>189167114253.41995</v>
      </c>
      <c r="AU1442" s="48">
        <f t="shared" si="644"/>
        <v>37153308982.93</v>
      </c>
      <c r="AV1442" s="48">
        <f t="shared" si="644"/>
        <v>47149830623.910011</v>
      </c>
      <c r="AW1442" s="48">
        <f t="shared" si="644"/>
        <v>5916343488.5699997</v>
      </c>
      <c r="AX1442" s="24">
        <f>AP1442/AJ1442</f>
        <v>0.698256321502843</v>
      </c>
    </row>
    <row r="1447" spans="2:50" ht="13.5" thickBot="1" x14ac:dyDescent="0.25">
      <c r="AB1447" s="152"/>
    </row>
    <row r="1448" spans="2:50" ht="15.75" x14ac:dyDescent="0.2">
      <c r="AB1448" s="153" t="s">
        <v>914</v>
      </c>
    </row>
    <row r="1449" spans="2:50" x14ac:dyDescent="0.2">
      <c r="AB1449" s="154" t="s">
        <v>916</v>
      </c>
    </row>
    <row r="1450" spans="2:50" x14ac:dyDescent="0.2">
      <c r="AB1450" s="154" t="s">
        <v>917</v>
      </c>
    </row>
    <row r="1454" spans="2:50" x14ac:dyDescent="0.2">
      <c r="AE1454" s="281"/>
    </row>
  </sheetData>
  <mergeCells count="23">
    <mergeCell ref="AX7:AX8"/>
    <mergeCell ref="AK7:AM7"/>
    <mergeCell ref="AN7:AP7"/>
    <mergeCell ref="AQ7:AS7"/>
    <mergeCell ref="AU7:AU8"/>
    <mergeCell ref="AV7:AV8"/>
    <mergeCell ref="AW7:AW8"/>
    <mergeCell ref="AJ7:AJ8"/>
    <mergeCell ref="A2:AW2"/>
    <mergeCell ref="A3:AW3"/>
    <mergeCell ref="A4:AX4"/>
    <mergeCell ref="A5:AW5"/>
    <mergeCell ref="A7:A9"/>
    <mergeCell ref="B7:B9"/>
    <mergeCell ref="AA7:AA9"/>
    <mergeCell ref="AB7:AB9"/>
    <mergeCell ref="AC7:AC9"/>
    <mergeCell ref="AD7:AD8"/>
    <mergeCell ref="AE7:AE8"/>
    <mergeCell ref="AF7:AF8"/>
    <mergeCell ref="AG7:AG8"/>
    <mergeCell ref="AH7:AH8"/>
    <mergeCell ref="AI7:AI8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424B-90A8-444A-ACF2-781110F44FAA}">
  <dimension ref="A1:AX1486"/>
  <sheetViews>
    <sheetView tabSelected="1" zoomScale="80" zoomScaleNormal="80" workbookViewId="0">
      <pane xSplit="29" ySplit="9" topLeftCell="AD10" activePane="bottomRight" state="frozen"/>
      <selection pane="topRight" activeCell="AD1" sqref="AD1"/>
      <selection pane="bottomLeft" activeCell="A10" sqref="A10"/>
      <selection pane="bottomRight" activeCell="AA17" sqref="AA17"/>
    </sheetView>
  </sheetViews>
  <sheetFormatPr baseColWidth="10" defaultColWidth="9.140625" defaultRowHeight="12.75" x14ac:dyDescent="0.2"/>
  <cols>
    <col min="1" max="1" width="7" style="33" hidden="1" customWidth="1"/>
    <col min="2" max="2" width="38.42578125" style="51" hidden="1" customWidth="1"/>
    <col min="3" max="3" width="27.7109375" style="51" hidden="1" customWidth="1"/>
    <col min="4" max="4" width="18.7109375" style="51" hidden="1" customWidth="1"/>
    <col min="5" max="5" width="13.85546875" style="51" hidden="1" customWidth="1"/>
    <col min="6" max="6" width="14.42578125" style="51" hidden="1" customWidth="1"/>
    <col min="7" max="7" width="10.85546875" style="51" hidden="1" customWidth="1"/>
    <col min="8" max="8" width="9.85546875" style="51" hidden="1" customWidth="1"/>
    <col min="9" max="9" width="23" style="51" hidden="1" customWidth="1"/>
    <col min="10" max="10" width="14.5703125" style="51" hidden="1" customWidth="1"/>
    <col min="11" max="11" width="18.85546875" style="51" hidden="1" customWidth="1"/>
    <col min="12" max="12" width="12" style="51" hidden="1" customWidth="1"/>
    <col min="13" max="13" width="16.85546875" style="51" hidden="1" customWidth="1"/>
    <col min="14" max="14" width="20.5703125" style="51" hidden="1" customWidth="1"/>
    <col min="15" max="15" width="22.7109375" style="51" hidden="1" customWidth="1"/>
    <col min="16" max="16" width="29" style="51" hidden="1" customWidth="1"/>
    <col min="17" max="17" width="20" style="51" hidden="1" customWidth="1"/>
    <col min="18" max="19" width="23.5703125" style="51" hidden="1" customWidth="1"/>
    <col min="20" max="20" width="27.140625" style="51" hidden="1" customWidth="1"/>
    <col min="21" max="21" width="25.5703125" style="51" hidden="1" customWidth="1"/>
    <col min="22" max="22" width="18.85546875" style="51" hidden="1" customWidth="1"/>
    <col min="23" max="23" width="18.5703125" style="51" hidden="1" customWidth="1"/>
    <col min="24" max="24" width="20.85546875" style="51" hidden="1" customWidth="1"/>
    <col min="25" max="26" width="29.7109375" style="51" hidden="1" customWidth="1"/>
    <col min="27" max="27" width="40.5703125" style="99" customWidth="1"/>
    <col min="28" max="28" width="60.140625" style="51" customWidth="1"/>
    <col min="29" max="29" width="60.7109375" style="51" hidden="1" customWidth="1"/>
    <col min="30" max="30" width="23.42578125" style="33" customWidth="1"/>
    <col min="31" max="31" width="22.5703125" style="33" customWidth="1"/>
    <col min="32" max="32" width="20.7109375" style="33" customWidth="1"/>
    <col min="33" max="33" width="22" style="33" customWidth="1"/>
    <col min="34" max="35" width="22.140625" style="33" customWidth="1"/>
    <col min="36" max="36" width="23.85546875" style="33" customWidth="1"/>
    <col min="37" max="37" width="24.140625" style="33" customWidth="1"/>
    <col min="38" max="39" width="27.7109375" style="33" customWidth="1"/>
    <col min="40" max="40" width="20.7109375" style="33" customWidth="1"/>
    <col min="41" max="41" width="22.42578125" style="33" customWidth="1"/>
    <col min="42" max="42" width="23.42578125" style="33" customWidth="1"/>
    <col min="43" max="43" width="20.7109375" style="33" customWidth="1"/>
    <col min="44" max="44" width="22.28515625" style="33" customWidth="1"/>
    <col min="45" max="45" width="23.7109375" style="33" customWidth="1"/>
    <col min="46" max="46" width="22.28515625" style="33" customWidth="1"/>
    <col min="47" max="47" width="23" style="33" customWidth="1"/>
    <col min="48" max="48" width="23.42578125" style="33" customWidth="1"/>
    <col min="49" max="49" width="24.140625" style="33" customWidth="1"/>
    <col min="50" max="50" width="12.140625" style="33" customWidth="1"/>
    <col min="51" max="274" width="9.140625" style="344"/>
    <col min="275" max="276" width="0" style="344" hidden="1" customWidth="1"/>
    <col min="277" max="277" width="29.42578125" style="344" customWidth="1"/>
    <col min="278" max="278" width="75.7109375" style="344" customWidth="1"/>
    <col min="279" max="279" width="0" style="344" hidden="1" customWidth="1"/>
    <col min="280" max="298" width="20.7109375" style="344" customWidth="1"/>
    <col min="299" max="299" width="12.140625" style="344" customWidth="1"/>
    <col min="300" max="530" width="9.140625" style="344"/>
    <col min="531" max="532" width="0" style="344" hidden="1" customWidth="1"/>
    <col min="533" max="533" width="29.42578125" style="344" customWidth="1"/>
    <col min="534" max="534" width="75.7109375" style="344" customWidth="1"/>
    <col min="535" max="535" width="0" style="344" hidden="1" customWidth="1"/>
    <col min="536" max="554" width="20.7109375" style="344" customWidth="1"/>
    <col min="555" max="555" width="12.140625" style="344" customWidth="1"/>
    <col min="556" max="786" width="9.140625" style="344"/>
    <col min="787" max="788" width="0" style="344" hidden="1" customWidth="1"/>
    <col min="789" max="789" width="29.42578125" style="344" customWidth="1"/>
    <col min="790" max="790" width="75.7109375" style="344" customWidth="1"/>
    <col min="791" max="791" width="0" style="344" hidden="1" customWidth="1"/>
    <col min="792" max="810" width="20.7109375" style="344" customWidth="1"/>
    <col min="811" max="811" width="12.140625" style="344" customWidth="1"/>
    <col min="812" max="1042" width="9.140625" style="344"/>
    <col min="1043" max="1044" width="0" style="344" hidden="1" customWidth="1"/>
    <col min="1045" max="1045" width="29.42578125" style="344" customWidth="1"/>
    <col min="1046" max="1046" width="75.7109375" style="344" customWidth="1"/>
    <col min="1047" max="1047" width="0" style="344" hidden="1" customWidth="1"/>
    <col min="1048" max="1066" width="20.7109375" style="344" customWidth="1"/>
    <col min="1067" max="1067" width="12.140625" style="344" customWidth="1"/>
    <col min="1068" max="1298" width="9.140625" style="344"/>
    <col min="1299" max="1300" width="0" style="344" hidden="1" customWidth="1"/>
    <col min="1301" max="1301" width="29.42578125" style="344" customWidth="1"/>
    <col min="1302" max="1302" width="75.7109375" style="344" customWidth="1"/>
    <col min="1303" max="1303" width="0" style="344" hidden="1" customWidth="1"/>
    <col min="1304" max="1322" width="20.7109375" style="344" customWidth="1"/>
    <col min="1323" max="1323" width="12.140625" style="344" customWidth="1"/>
    <col min="1324" max="1554" width="9.140625" style="344"/>
    <col min="1555" max="1556" width="0" style="344" hidden="1" customWidth="1"/>
    <col min="1557" max="1557" width="29.42578125" style="344" customWidth="1"/>
    <col min="1558" max="1558" width="75.7109375" style="344" customWidth="1"/>
    <col min="1559" max="1559" width="0" style="344" hidden="1" customWidth="1"/>
    <col min="1560" max="1578" width="20.7109375" style="344" customWidth="1"/>
    <col min="1579" max="1579" width="12.140625" style="344" customWidth="1"/>
    <col min="1580" max="1810" width="9.140625" style="344"/>
    <col min="1811" max="1812" width="0" style="344" hidden="1" customWidth="1"/>
    <col min="1813" max="1813" width="29.42578125" style="344" customWidth="1"/>
    <col min="1814" max="1814" width="75.7109375" style="344" customWidth="1"/>
    <col min="1815" max="1815" width="0" style="344" hidden="1" customWidth="1"/>
    <col min="1816" max="1834" width="20.7109375" style="344" customWidth="1"/>
    <col min="1835" max="1835" width="12.140625" style="344" customWidth="1"/>
    <col min="1836" max="2066" width="9.140625" style="344"/>
    <col min="2067" max="2068" width="0" style="344" hidden="1" customWidth="1"/>
    <col min="2069" max="2069" width="29.42578125" style="344" customWidth="1"/>
    <col min="2070" max="2070" width="75.7109375" style="344" customWidth="1"/>
    <col min="2071" max="2071" width="0" style="344" hidden="1" customWidth="1"/>
    <col min="2072" max="2090" width="20.7109375" style="344" customWidth="1"/>
    <col min="2091" max="2091" width="12.140625" style="344" customWidth="1"/>
    <col min="2092" max="2322" width="9.140625" style="344"/>
    <col min="2323" max="2324" width="0" style="344" hidden="1" customWidth="1"/>
    <col min="2325" max="2325" width="29.42578125" style="344" customWidth="1"/>
    <col min="2326" max="2326" width="75.7109375" style="344" customWidth="1"/>
    <col min="2327" max="2327" width="0" style="344" hidden="1" customWidth="1"/>
    <col min="2328" max="2346" width="20.7109375" style="344" customWidth="1"/>
    <col min="2347" max="2347" width="12.140625" style="344" customWidth="1"/>
    <col min="2348" max="2578" width="9.140625" style="344"/>
    <col min="2579" max="2580" width="0" style="344" hidden="1" customWidth="1"/>
    <col min="2581" max="2581" width="29.42578125" style="344" customWidth="1"/>
    <col min="2582" max="2582" width="75.7109375" style="344" customWidth="1"/>
    <col min="2583" max="2583" width="0" style="344" hidden="1" customWidth="1"/>
    <col min="2584" max="2602" width="20.7109375" style="344" customWidth="1"/>
    <col min="2603" max="2603" width="12.140625" style="344" customWidth="1"/>
    <col min="2604" max="2834" width="9.140625" style="344"/>
    <col min="2835" max="2836" width="0" style="344" hidden="1" customWidth="1"/>
    <col min="2837" max="2837" width="29.42578125" style="344" customWidth="1"/>
    <col min="2838" max="2838" width="75.7109375" style="344" customWidth="1"/>
    <col min="2839" max="2839" width="0" style="344" hidden="1" customWidth="1"/>
    <col min="2840" max="2858" width="20.7109375" style="344" customWidth="1"/>
    <col min="2859" max="2859" width="12.140625" style="344" customWidth="1"/>
    <col min="2860" max="3090" width="9.140625" style="344"/>
    <col min="3091" max="3092" width="0" style="344" hidden="1" customWidth="1"/>
    <col min="3093" max="3093" width="29.42578125" style="344" customWidth="1"/>
    <col min="3094" max="3094" width="75.7109375" style="344" customWidth="1"/>
    <col min="3095" max="3095" width="0" style="344" hidden="1" customWidth="1"/>
    <col min="3096" max="3114" width="20.7109375" style="344" customWidth="1"/>
    <col min="3115" max="3115" width="12.140625" style="344" customWidth="1"/>
    <col min="3116" max="3346" width="9.140625" style="344"/>
    <col min="3347" max="3348" width="0" style="344" hidden="1" customWidth="1"/>
    <col min="3349" max="3349" width="29.42578125" style="344" customWidth="1"/>
    <col min="3350" max="3350" width="75.7109375" style="344" customWidth="1"/>
    <col min="3351" max="3351" width="0" style="344" hidden="1" customWidth="1"/>
    <col min="3352" max="3370" width="20.7109375" style="344" customWidth="1"/>
    <col min="3371" max="3371" width="12.140625" style="344" customWidth="1"/>
    <col min="3372" max="3602" width="9.140625" style="344"/>
    <col min="3603" max="3604" width="0" style="344" hidden="1" customWidth="1"/>
    <col min="3605" max="3605" width="29.42578125" style="344" customWidth="1"/>
    <col min="3606" max="3606" width="75.7109375" style="344" customWidth="1"/>
    <col min="3607" max="3607" width="0" style="344" hidden="1" customWidth="1"/>
    <col min="3608" max="3626" width="20.7109375" style="344" customWidth="1"/>
    <col min="3627" max="3627" width="12.140625" style="344" customWidth="1"/>
    <col min="3628" max="3858" width="9.140625" style="344"/>
    <col min="3859" max="3860" width="0" style="344" hidden="1" customWidth="1"/>
    <col min="3861" max="3861" width="29.42578125" style="344" customWidth="1"/>
    <col min="3862" max="3862" width="75.7109375" style="344" customWidth="1"/>
    <col min="3863" max="3863" width="0" style="344" hidden="1" customWidth="1"/>
    <col min="3864" max="3882" width="20.7109375" style="344" customWidth="1"/>
    <col min="3883" max="3883" width="12.140625" style="344" customWidth="1"/>
    <col min="3884" max="4114" width="9.140625" style="344"/>
    <col min="4115" max="4116" width="0" style="344" hidden="1" customWidth="1"/>
    <col min="4117" max="4117" width="29.42578125" style="344" customWidth="1"/>
    <col min="4118" max="4118" width="75.7109375" style="344" customWidth="1"/>
    <col min="4119" max="4119" width="0" style="344" hidden="1" customWidth="1"/>
    <col min="4120" max="4138" width="20.7109375" style="344" customWidth="1"/>
    <col min="4139" max="4139" width="12.140625" style="344" customWidth="1"/>
    <col min="4140" max="4370" width="9.140625" style="344"/>
    <col min="4371" max="4372" width="0" style="344" hidden="1" customWidth="1"/>
    <col min="4373" max="4373" width="29.42578125" style="344" customWidth="1"/>
    <col min="4374" max="4374" width="75.7109375" style="344" customWidth="1"/>
    <col min="4375" max="4375" width="0" style="344" hidden="1" customWidth="1"/>
    <col min="4376" max="4394" width="20.7109375" style="344" customWidth="1"/>
    <col min="4395" max="4395" width="12.140625" style="344" customWidth="1"/>
    <col min="4396" max="4626" width="9.140625" style="344"/>
    <col min="4627" max="4628" width="0" style="344" hidden="1" customWidth="1"/>
    <col min="4629" max="4629" width="29.42578125" style="344" customWidth="1"/>
    <col min="4630" max="4630" width="75.7109375" style="344" customWidth="1"/>
    <col min="4631" max="4631" width="0" style="344" hidden="1" customWidth="1"/>
    <col min="4632" max="4650" width="20.7109375" style="344" customWidth="1"/>
    <col min="4651" max="4651" width="12.140625" style="344" customWidth="1"/>
    <col min="4652" max="4882" width="9.140625" style="344"/>
    <col min="4883" max="4884" width="0" style="344" hidden="1" customWidth="1"/>
    <col min="4885" max="4885" width="29.42578125" style="344" customWidth="1"/>
    <col min="4886" max="4886" width="75.7109375" style="344" customWidth="1"/>
    <col min="4887" max="4887" width="0" style="344" hidden="1" customWidth="1"/>
    <col min="4888" max="4906" width="20.7109375" style="344" customWidth="1"/>
    <col min="4907" max="4907" width="12.140625" style="344" customWidth="1"/>
    <col min="4908" max="5138" width="9.140625" style="344"/>
    <col min="5139" max="5140" width="0" style="344" hidden="1" customWidth="1"/>
    <col min="5141" max="5141" width="29.42578125" style="344" customWidth="1"/>
    <col min="5142" max="5142" width="75.7109375" style="344" customWidth="1"/>
    <col min="5143" max="5143" width="0" style="344" hidden="1" customWidth="1"/>
    <col min="5144" max="5162" width="20.7109375" style="344" customWidth="1"/>
    <col min="5163" max="5163" width="12.140625" style="344" customWidth="1"/>
    <col min="5164" max="5394" width="9.140625" style="344"/>
    <col min="5395" max="5396" width="0" style="344" hidden="1" customWidth="1"/>
    <col min="5397" max="5397" width="29.42578125" style="344" customWidth="1"/>
    <col min="5398" max="5398" width="75.7109375" style="344" customWidth="1"/>
    <col min="5399" max="5399" width="0" style="344" hidden="1" customWidth="1"/>
    <col min="5400" max="5418" width="20.7109375" style="344" customWidth="1"/>
    <col min="5419" max="5419" width="12.140625" style="344" customWidth="1"/>
    <col min="5420" max="5650" width="9.140625" style="344"/>
    <col min="5651" max="5652" width="0" style="344" hidden="1" customWidth="1"/>
    <col min="5653" max="5653" width="29.42578125" style="344" customWidth="1"/>
    <col min="5654" max="5654" width="75.7109375" style="344" customWidth="1"/>
    <col min="5655" max="5655" width="0" style="344" hidden="1" customWidth="1"/>
    <col min="5656" max="5674" width="20.7109375" style="344" customWidth="1"/>
    <col min="5675" max="5675" width="12.140625" style="344" customWidth="1"/>
    <col min="5676" max="5906" width="9.140625" style="344"/>
    <col min="5907" max="5908" width="0" style="344" hidden="1" customWidth="1"/>
    <col min="5909" max="5909" width="29.42578125" style="344" customWidth="1"/>
    <col min="5910" max="5910" width="75.7109375" style="344" customWidth="1"/>
    <col min="5911" max="5911" width="0" style="344" hidden="1" customWidth="1"/>
    <col min="5912" max="5930" width="20.7109375" style="344" customWidth="1"/>
    <col min="5931" max="5931" width="12.140625" style="344" customWidth="1"/>
    <col min="5932" max="6162" width="9.140625" style="344"/>
    <col min="6163" max="6164" width="0" style="344" hidden="1" customWidth="1"/>
    <col min="6165" max="6165" width="29.42578125" style="344" customWidth="1"/>
    <col min="6166" max="6166" width="75.7109375" style="344" customWidth="1"/>
    <col min="6167" max="6167" width="0" style="344" hidden="1" customWidth="1"/>
    <col min="6168" max="6186" width="20.7109375" style="344" customWidth="1"/>
    <col min="6187" max="6187" width="12.140625" style="344" customWidth="1"/>
    <col min="6188" max="6418" width="9.140625" style="344"/>
    <col min="6419" max="6420" width="0" style="344" hidden="1" customWidth="1"/>
    <col min="6421" max="6421" width="29.42578125" style="344" customWidth="1"/>
    <col min="6422" max="6422" width="75.7109375" style="344" customWidth="1"/>
    <col min="6423" max="6423" width="0" style="344" hidden="1" customWidth="1"/>
    <col min="6424" max="6442" width="20.7109375" style="344" customWidth="1"/>
    <col min="6443" max="6443" width="12.140625" style="344" customWidth="1"/>
    <col min="6444" max="6674" width="9.140625" style="344"/>
    <col min="6675" max="6676" width="0" style="344" hidden="1" customWidth="1"/>
    <col min="6677" max="6677" width="29.42578125" style="344" customWidth="1"/>
    <col min="6678" max="6678" width="75.7109375" style="344" customWidth="1"/>
    <col min="6679" max="6679" width="0" style="344" hidden="1" customWidth="1"/>
    <col min="6680" max="6698" width="20.7109375" style="344" customWidth="1"/>
    <col min="6699" max="6699" width="12.140625" style="344" customWidth="1"/>
    <col min="6700" max="6930" width="9.140625" style="344"/>
    <col min="6931" max="6932" width="0" style="344" hidden="1" customWidth="1"/>
    <col min="6933" max="6933" width="29.42578125" style="344" customWidth="1"/>
    <col min="6934" max="6934" width="75.7109375" style="344" customWidth="1"/>
    <col min="6935" max="6935" width="0" style="344" hidden="1" customWidth="1"/>
    <col min="6936" max="6954" width="20.7109375" style="344" customWidth="1"/>
    <col min="6955" max="6955" width="12.140625" style="344" customWidth="1"/>
    <col min="6956" max="7186" width="9.140625" style="344"/>
    <col min="7187" max="7188" width="0" style="344" hidden="1" customWidth="1"/>
    <col min="7189" max="7189" width="29.42578125" style="344" customWidth="1"/>
    <col min="7190" max="7190" width="75.7109375" style="344" customWidth="1"/>
    <col min="7191" max="7191" width="0" style="344" hidden="1" customWidth="1"/>
    <col min="7192" max="7210" width="20.7109375" style="344" customWidth="1"/>
    <col min="7211" max="7211" width="12.140625" style="344" customWidth="1"/>
    <col min="7212" max="7442" width="9.140625" style="344"/>
    <col min="7443" max="7444" width="0" style="344" hidden="1" customWidth="1"/>
    <col min="7445" max="7445" width="29.42578125" style="344" customWidth="1"/>
    <col min="7446" max="7446" width="75.7109375" style="344" customWidth="1"/>
    <col min="7447" max="7447" width="0" style="344" hidden="1" customWidth="1"/>
    <col min="7448" max="7466" width="20.7109375" style="344" customWidth="1"/>
    <col min="7467" max="7467" width="12.140625" style="344" customWidth="1"/>
    <col min="7468" max="7698" width="9.140625" style="344"/>
    <col min="7699" max="7700" width="0" style="344" hidden="1" customWidth="1"/>
    <col min="7701" max="7701" width="29.42578125" style="344" customWidth="1"/>
    <col min="7702" max="7702" width="75.7109375" style="344" customWidth="1"/>
    <col min="7703" max="7703" width="0" style="344" hidden="1" customWidth="1"/>
    <col min="7704" max="7722" width="20.7109375" style="344" customWidth="1"/>
    <col min="7723" max="7723" width="12.140625" style="344" customWidth="1"/>
    <col min="7724" max="7954" width="9.140625" style="344"/>
    <col min="7955" max="7956" width="0" style="344" hidden="1" customWidth="1"/>
    <col min="7957" max="7957" width="29.42578125" style="344" customWidth="1"/>
    <col min="7958" max="7958" width="75.7109375" style="344" customWidth="1"/>
    <col min="7959" max="7959" width="0" style="344" hidden="1" customWidth="1"/>
    <col min="7960" max="7978" width="20.7109375" style="344" customWidth="1"/>
    <col min="7979" max="7979" width="12.140625" style="344" customWidth="1"/>
    <col min="7980" max="8210" width="9.140625" style="344"/>
    <col min="8211" max="8212" width="0" style="344" hidden="1" customWidth="1"/>
    <col min="8213" max="8213" width="29.42578125" style="344" customWidth="1"/>
    <col min="8214" max="8214" width="75.7109375" style="344" customWidth="1"/>
    <col min="8215" max="8215" width="0" style="344" hidden="1" customWidth="1"/>
    <col min="8216" max="8234" width="20.7109375" style="344" customWidth="1"/>
    <col min="8235" max="8235" width="12.140625" style="344" customWidth="1"/>
    <col min="8236" max="8466" width="9.140625" style="344"/>
    <col min="8467" max="8468" width="0" style="344" hidden="1" customWidth="1"/>
    <col min="8469" max="8469" width="29.42578125" style="344" customWidth="1"/>
    <col min="8470" max="8470" width="75.7109375" style="344" customWidth="1"/>
    <col min="8471" max="8471" width="0" style="344" hidden="1" customWidth="1"/>
    <col min="8472" max="8490" width="20.7109375" style="344" customWidth="1"/>
    <col min="8491" max="8491" width="12.140625" style="344" customWidth="1"/>
    <col min="8492" max="8722" width="9.140625" style="344"/>
    <col min="8723" max="8724" width="0" style="344" hidden="1" customWidth="1"/>
    <col min="8725" max="8725" width="29.42578125" style="344" customWidth="1"/>
    <col min="8726" max="8726" width="75.7109375" style="344" customWidth="1"/>
    <col min="8727" max="8727" width="0" style="344" hidden="1" customWidth="1"/>
    <col min="8728" max="8746" width="20.7109375" style="344" customWidth="1"/>
    <col min="8747" max="8747" width="12.140625" style="344" customWidth="1"/>
    <col min="8748" max="8978" width="9.140625" style="344"/>
    <col min="8979" max="8980" width="0" style="344" hidden="1" customWidth="1"/>
    <col min="8981" max="8981" width="29.42578125" style="344" customWidth="1"/>
    <col min="8982" max="8982" width="75.7109375" style="344" customWidth="1"/>
    <col min="8983" max="8983" width="0" style="344" hidden="1" customWidth="1"/>
    <col min="8984" max="9002" width="20.7109375" style="344" customWidth="1"/>
    <col min="9003" max="9003" width="12.140625" style="344" customWidth="1"/>
    <col min="9004" max="9234" width="9.140625" style="344"/>
    <col min="9235" max="9236" width="0" style="344" hidden="1" customWidth="1"/>
    <col min="9237" max="9237" width="29.42578125" style="344" customWidth="1"/>
    <col min="9238" max="9238" width="75.7109375" style="344" customWidth="1"/>
    <col min="9239" max="9239" width="0" style="344" hidden="1" customWidth="1"/>
    <col min="9240" max="9258" width="20.7109375" style="344" customWidth="1"/>
    <col min="9259" max="9259" width="12.140625" style="344" customWidth="1"/>
    <col min="9260" max="9490" width="9.140625" style="344"/>
    <col min="9491" max="9492" width="0" style="344" hidden="1" customWidth="1"/>
    <col min="9493" max="9493" width="29.42578125" style="344" customWidth="1"/>
    <col min="9494" max="9494" width="75.7109375" style="344" customWidth="1"/>
    <col min="9495" max="9495" width="0" style="344" hidden="1" customWidth="1"/>
    <col min="9496" max="9514" width="20.7109375" style="344" customWidth="1"/>
    <col min="9515" max="9515" width="12.140625" style="344" customWidth="1"/>
    <col min="9516" max="9746" width="9.140625" style="344"/>
    <col min="9747" max="9748" width="0" style="344" hidden="1" customWidth="1"/>
    <col min="9749" max="9749" width="29.42578125" style="344" customWidth="1"/>
    <col min="9750" max="9750" width="75.7109375" style="344" customWidth="1"/>
    <col min="9751" max="9751" width="0" style="344" hidden="1" customWidth="1"/>
    <col min="9752" max="9770" width="20.7109375" style="344" customWidth="1"/>
    <col min="9771" max="9771" width="12.140625" style="344" customWidth="1"/>
    <col min="9772" max="10002" width="9.140625" style="344"/>
    <col min="10003" max="10004" width="0" style="344" hidden="1" customWidth="1"/>
    <col min="10005" max="10005" width="29.42578125" style="344" customWidth="1"/>
    <col min="10006" max="10006" width="75.7109375" style="344" customWidth="1"/>
    <col min="10007" max="10007" width="0" style="344" hidden="1" customWidth="1"/>
    <col min="10008" max="10026" width="20.7109375" style="344" customWidth="1"/>
    <col min="10027" max="10027" width="12.140625" style="344" customWidth="1"/>
    <col min="10028" max="10258" width="9.140625" style="344"/>
    <col min="10259" max="10260" width="0" style="344" hidden="1" customWidth="1"/>
    <col min="10261" max="10261" width="29.42578125" style="344" customWidth="1"/>
    <col min="10262" max="10262" width="75.7109375" style="344" customWidth="1"/>
    <col min="10263" max="10263" width="0" style="344" hidden="1" customWidth="1"/>
    <col min="10264" max="10282" width="20.7109375" style="344" customWidth="1"/>
    <col min="10283" max="10283" width="12.140625" style="344" customWidth="1"/>
    <col min="10284" max="10514" width="9.140625" style="344"/>
    <col min="10515" max="10516" width="0" style="344" hidden="1" customWidth="1"/>
    <col min="10517" max="10517" width="29.42578125" style="344" customWidth="1"/>
    <col min="10518" max="10518" width="75.7109375" style="344" customWidth="1"/>
    <col min="10519" max="10519" width="0" style="344" hidden="1" customWidth="1"/>
    <col min="10520" max="10538" width="20.7109375" style="344" customWidth="1"/>
    <col min="10539" max="10539" width="12.140625" style="344" customWidth="1"/>
    <col min="10540" max="10770" width="9.140625" style="344"/>
    <col min="10771" max="10772" width="0" style="344" hidden="1" customWidth="1"/>
    <col min="10773" max="10773" width="29.42578125" style="344" customWidth="1"/>
    <col min="10774" max="10774" width="75.7109375" style="344" customWidth="1"/>
    <col min="10775" max="10775" width="0" style="344" hidden="1" customWidth="1"/>
    <col min="10776" max="10794" width="20.7109375" style="344" customWidth="1"/>
    <col min="10795" max="10795" width="12.140625" style="344" customWidth="1"/>
    <col min="10796" max="11026" width="9.140625" style="344"/>
    <col min="11027" max="11028" width="0" style="344" hidden="1" customWidth="1"/>
    <col min="11029" max="11029" width="29.42578125" style="344" customWidth="1"/>
    <col min="11030" max="11030" width="75.7109375" style="344" customWidth="1"/>
    <col min="11031" max="11031" width="0" style="344" hidden="1" customWidth="1"/>
    <col min="11032" max="11050" width="20.7109375" style="344" customWidth="1"/>
    <col min="11051" max="11051" width="12.140625" style="344" customWidth="1"/>
    <col min="11052" max="11282" width="9.140625" style="344"/>
    <col min="11283" max="11284" width="0" style="344" hidden="1" customWidth="1"/>
    <col min="11285" max="11285" width="29.42578125" style="344" customWidth="1"/>
    <col min="11286" max="11286" width="75.7109375" style="344" customWidth="1"/>
    <col min="11287" max="11287" width="0" style="344" hidden="1" customWidth="1"/>
    <col min="11288" max="11306" width="20.7109375" style="344" customWidth="1"/>
    <col min="11307" max="11307" width="12.140625" style="344" customWidth="1"/>
    <col min="11308" max="11538" width="9.140625" style="344"/>
    <col min="11539" max="11540" width="0" style="344" hidden="1" customWidth="1"/>
    <col min="11541" max="11541" width="29.42578125" style="344" customWidth="1"/>
    <col min="11542" max="11542" width="75.7109375" style="344" customWidth="1"/>
    <col min="11543" max="11543" width="0" style="344" hidden="1" customWidth="1"/>
    <col min="11544" max="11562" width="20.7109375" style="344" customWidth="1"/>
    <col min="11563" max="11563" width="12.140625" style="344" customWidth="1"/>
    <col min="11564" max="11794" width="9.140625" style="344"/>
    <col min="11795" max="11796" width="0" style="344" hidden="1" customWidth="1"/>
    <col min="11797" max="11797" width="29.42578125" style="344" customWidth="1"/>
    <col min="11798" max="11798" width="75.7109375" style="344" customWidth="1"/>
    <col min="11799" max="11799" width="0" style="344" hidden="1" customWidth="1"/>
    <col min="11800" max="11818" width="20.7109375" style="344" customWidth="1"/>
    <col min="11819" max="11819" width="12.140625" style="344" customWidth="1"/>
    <col min="11820" max="12050" width="9.140625" style="344"/>
    <col min="12051" max="12052" width="0" style="344" hidden="1" customWidth="1"/>
    <col min="12053" max="12053" width="29.42578125" style="344" customWidth="1"/>
    <col min="12054" max="12054" width="75.7109375" style="344" customWidth="1"/>
    <col min="12055" max="12055" width="0" style="344" hidden="1" customWidth="1"/>
    <col min="12056" max="12074" width="20.7109375" style="344" customWidth="1"/>
    <col min="12075" max="12075" width="12.140625" style="344" customWidth="1"/>
    <col min="12076" max="12306" width="9.140625" style="344"/>
    <col min="12307" max="12308" width="0" style="344" hidden="1" customWidth="1"/>
    <col min="12309" max="12309" width="29.42578125" style="344" customWidth="1"/>
    <col min="12310" max="12310" width="75.7109375" style="344" customWidth="1"/>
    <col min="12311" max="12311" width="0" style="344" hidden="1" customWidth="1"/>
    <col min="12312" max="12330" width="20.7109375" style="344" customWidth="1"/>
    <col min="12331" max="12331" width="12.140625" style="344" customWidth="1"/>
    <col min="12332" max="12562" width="9.140625" style="344"/>
    <col min="12563" max="12564" width="0" style="344" hidden="1" customWidth="1"/>
    <col min="12565" max="12565" width="29.42578125" style="344" customWidth="1"/>
    <col min="12566" max="12566" width="75.7109375" style="344" customWidth="1"/>
    <col min="12567" max="12567" width="0" style="344" hidden="1" customWidth="1"/>
    <col min="12568" max="12586" width="20.7109375" style="344" customWidth="1"/>
    <col min="12587" max="12587" width="12.140625" style="344" customWidth="1"/>
    <col min="12588" max="12818" width="9.140625" style="344"/>
    <col min="12819" max="12820" width="0" style="344" hidden="1" customWidth="1"/>
    <col min="12821" max="12821" width="29.42578125" style="344" customWidth="1"/>
    <col min="12822" max="12822" width="75.7109375" style="344" customWidth="1"/>
    <col min="12823" max="12823" width="0" style="344" hidden="1" customWidth="1"/>
    <col min="12824" max="12842" width="20.7109375" style="344" customWidth="1"/>
    <col min="12843" max="12843" width="12.140625" style="344" customWidth="1"/>
    <col min="12844" max="13074" width="9.140625" style="344"/>
    <col min="13075" max="13076" width="0" style="344" hidden="1" customWidth="1"/>
    <col min="13077" max="13077" width="29.42578125" style="344" customWidth="1"/>
    <col min="13078" max="13078" width="75.7109375" style="344" customWidth="1"/>
    <col min="13079" max="13079" width="0" style="344" hidden="1" customWidth="1"/>
    <col min="13080" max="13098" width="20.7109375" style="344" customWidth="1"/>
    <col min="13099" max="13099" width="12.140625" style="344" customWidth="1"/>
    <col min="13100" max="13330" width="9.140625" style="344"/>
    <col min="13331" max="13332" width="0" style="344" hidden="1" customWidth="1"/>
    <col min="13333" max="13333" width="29.42578125" style="344" customWidth="1"/>
    <col min="13334" max="13334" width="75.7109375" style="344" customWidth="1"/>
    <col min="13335" max="13335" width="0" style="344" hidden="1" customWidth="1"/>
    <col min="13336" max="13354" width="20.7109375" style="344" customWidth="1"/>
    <col min="13355" max="13355" width="12.140625" style="344" customWidth="1"/>
    <col min="13356" max="13586" width="9.140625" style="344"/>
    <col min="13587" max="13588" width="0" style="344" hidden="1" customWidth="1"/>
    <col min="13589" max="13589" width="29.42578125" style="344" customWidth="1"/>
    <col min="13590" max="13590" width="75.7109375" style="344" customWidth="1"/>
    <col min="13591" max="13591" width="0" style="344" hidden="1" customWidth="1"/>
    <col min="13592" max="13610" width="20.7109375" style="344" customWidth="1"/>
    <col min="13611" max="13611" width="12.140625" style="344" customWidth="1"/>
    <col min="13612" max="13842" width="9.140625" style="344"/>
    <col min="13843" max="13844" width="0" style="344" hidden="1" customWidth="1"/>
    <col min="13845" max="13845" width="29.42578125" style="344" customWidth="1"/>
    <col min="13846" max="13846" width="75.7109375" style="344" customWidth="1"/>
    <col min="13847" max="13847" width="0" style="344" hidden="1" customWidth="1"/>
    <col min="13848" max="13866" width="20.7109375" style="344" customWidth="1"/>
    <col min="13867" max="13867" width="12.140625" style="344" customWidth="1"/>
    <col min="13868" max="14098" width="9.140625" style="344"/>
    <col min="14099" max="14100" width="0" style="344" hidden="1" customWidth="1"/>
    <col min="14101" max="14101" width="29.42578125" style="344" customWidth="1"/>
    <col min="14102" max="14102" width="75.7109375" style="344" customWidth="1"/>
    <col min="14103" max="14103" width="0" style="344" hidden="1" customWidth="1"/>
    <col min="14104" max="14122" width="20.7109375" style="344" customWidth="1"/>
    <col min="14123" max="14123" width="12.140625" style="344" customWidth="1"/>
    <col min="14124" max="14354" width="9.140625" style="344"/>
    <col min="14355" max="14356" width="0" style="344" hidden="1" customWidth="1"/>
    <col min="14357" max="14357" width="29.42578125" style="344" customWidth="1"/>
    <col min="14358" max="14358" width="75.7109375" style="344" customWidth="1"/>
    <col min="14359" max="14359" width="0" style="344" hidden="1" customWidth="1"/>
    <col min="14360" max="14378" width="20.7109375" style="344" customWidth="1"/>
    <col min="14379" max="14379" width="12.140625" style="344" customWidth="1"/>
    <col min="14380" max="14610" width="9.140625" style="344"/>
    <col min="14611" max="14612" width="0" style="344" hidden="1" customWidth="1"/>
    <col min="14613" max="14613" width="29.42578125" style="344" customWidth="1"/>
    <col min="14614" max="14614" width="75.7109375" style="344" customWidth="1"/>
    <col min="14615" max="14615" width="0" style="344" hidden="1" customWidth="1"/>
    <col min="14616" max="14634" width="20.7109375" style="344" customWidth="1"/>
    <col min="14635" max="14635" width="12.140625" style="344" customWidth="1"/>
    <col min="14636" max="14866" width="9.140625" style="344"/>
    <col min="14867" max="14868" width="0" style="344" hidden="1" customWidth="1"/>
    <col min="14869" max="14869" width="29.42578125" style="344" customWidth="1"/>
    <col min="14870" max="14870" width="75.7109375" style="344" customWidth="1"/>
    <col min="14871" max="14871" width="0" style="344" hidden="1" customWidth="1"/>
    <col min="14872" max="14890" width="20.7109375" style="344" customWidth="1"/>
    <col min="14891" max="14891" width="12.140625" style="344" customWidth="1"/>
    <col min="14892" max="15122" width="9.140625" style="344"/>
    <col min="15123" max="15124" width="0" style="344" hidden="1" customWidth="1"/>
    <col min="15125" max="15125" width="29.42578125" style="344" customWidth="1"/>
    <col min="15126" max="15126" width="75.7109375" style="344" customWidth="1"/>
    <col min="15127" max="15127" width="0" style="344" hidden="1" customWidth="1"/>
    <col min="15128" max="15146" width="20.7109375" style="344" customWidth="1"/>
    <col min="15147" max="15147" width="12.140625" style="344" customWidth="1"/>
    <col min="15148" max="15378" width="9.140625" style="344"/>
    <col min="15379" max="15380" width="0" style="344" hidden="1" customWidth="1"/>
    <col min="15381" max="15381" width="29.42578125" style="344" customWidth="1"/>
    <col min="15382" max="15382" width="75.7109375" style="344" customWidth="1"/>
    <col min="15383" max="15383" width="0" style="344" hidden="1" customWidth="1"/>
    <col min="15384" max="15402" width="20.7109375" style="344" customWidth="1"/>
    <col min="15403" max="15403" width="12.140625" style="344" customWidth="1"/>
    <col min="15404" max="15634" width="9.140625" style="344"/>
    <col min="15635" max="15636" width="0" style="344" hidden="1" customWidth="1"/>
    <col min="15637" max="15637" width="29.42578125" style="344" customWidth="1"/>
    <col min="15638" max="15638" width="75.7109375" style="344" customWidth="1"/>
    <col min="15639" max="15639" width="0" style="344" hidden="1" customWidth="1"/>
    <col min="15640" max="15658" width="20.7109375" style="344" customWidth="1"/>
    <col min="15659" max="15659" width="12.140625" style="344" customWidth="1"/>
    <col min="15660" max="15890" width="9.140625" style="344"/>
    <col min="15891" max="15892" width="0" style="344" hidden="1" customWidth="1"/>
    <col min="15893" max="15893" width="29.42578125" style="344" customWidth="1"/>
    <col min="15894" max="15894" width="75.7109375" style="344" customWidth="1"/>
    <col min="15895" max="15895" width="0" style="344" hidden="1" customWidth="1"/>
    <col min="15896" max="15914" width="20.7109375" style="344" customWidth="1"/>
    <col min="15915" max="15915" width="12.140625" style="344" customWidth="1"/>
    <col min="15916" max="16146" width="9.140625" style="344"/>
    <col min="16147" max="16148" width="0" style="344" hidden="1" customWidth="1"/>
    <col min="16149" max="16149" width="29.42578125" style="344" customWidth="1"/>
    <col min="16150" max="16150" width="75.7109375" style="344" customWidth="1"/>
    <col min="16151" max="16151" width="0" style="344" hidden="1" customWidth="1"/>
    <col min="16152" max="16170" width="20.7109375" style="344" customWidth="1"/>
    <col min="16171" max="16171" width="12.140625" style="344" customWidth="1"/>
    <col min="16172" max="16384" width="9.140625" style="344"/>
  </cols>
  <sheetData>
    <row r="1" spans="1:50" s="345" customForma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3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</row>
    <row r="2" spans="1:50" s="346" customFormat="1" ht="20.25" x14ac:dyDescent="0.3">
      <c r="A2" s="339" t="s">
        <v>0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  <c r="AX2" s="4"/>
    </row>
    <row r="3" spans="1:50" s="346" customFormat="1" ht="20.25" x14ac:dyDescent="0.3">
      <c r="A3" s="339" t="s">
        <v>1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  <c r="AX3" s="4"/>
    </row>
    <row r="4" spans="1:50" s="346" customFormat="1" ht="20.25" x14ac:dyDescent="0.3">
      <c r="A4" s="339" t="s">
        <v>915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</row>
    <row r="5" spans="1:50" s="346" customFormat="1" ht="20.25" x14ac:dyDescent="0.3">
      <c r="A5" s="339" t="s">
        <v>1428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 s="339"/>
      <c r="AU5" s="339"/>
      <c r="AV5" s="339"/>
      <c r="AW5" s="339"/>
      <c r="AX5" s="4"/>
    </row>
    <row r="6" spans="1:50" s="346" customFormat="1" ht="16.5" customHeight="1" x14ac:dyDescent="0.3">
      <c r="A6" s="331"/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331"/>
      <c r="M6" s="331"/>
      <c r="N6" s="331"/>
      <c r="O6" s="331"/>
      <c r="P6" s="331"/>
      <c r="Q6" s="331"/>
      <c r="R6" s="331"/>
      <c r="S6" s="331"/>
      <c r="T6" s="331"/>
      <c r="U6" s="331"/>
      <c r="V6" s="331"/>
      <c r="W6" s="331"/>
      <c r="X6" s="331"/>
      <c r="Y6" s="331"/>
      <c r="Z6" s="331"/>
      <c r="AA6" s="6"/>
      <c r="AB6" s="7"/>
      <c r="AC6" s="331"/>
      <c r="AD6" s="8"/>
      <c r="AE6" s="8"/>
      <c r="AF6" s="8"/>
      <c r="AG6" s="8"/>
      <c r="AH6" s="8"/>
      <c r="AI6" s="8"/>
      <c r="AJ6" s="8"/>
      <c r="AK6" s="184"/>
      <c r="AL6" s="8"/>
      <c r="AM6" s="4"/>
      <c r="AN6" s="4"/>
      <c r="AO6" s="4"/>
      <c r="AP6" s="8"/>
      <c r="AQ6" s="4"/>
      <c r="AR6" s="8"/>
      <c r="AS6" s="8"/>
      <c r="AT6" s="8"/>
      <c r="AU6" s="4"/>
      <c r="AV6" s="8"/>
      <c r="AW6" s="8"/>
      <c r="AX6" s="4"/>
    </row>
    <row r="7" spans="1:50" s="346" customFormat="1" ht="16.5" customHeight="1" x14ac:dyDescent="0.2">
      <c r="A7" s="340" t="s">
        <v>3</v>
      </c>
      <c r="B7" s="341" t="s">
        <v>4</v>
      </c>
      <c r="C7" s="332"/>
      <c r="D7" s="332"/>
      <c r="E7" s="332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42" t="s">
        <v>5</v>
      </c>
      <c r="AB7" s="337" t="s">
        <v>6</v>
      </c>
      <c r="AC7" s="337" t="s">
        <v>7</v>
      </c>
      <c r="AD7" s="342" t="s">
        <v>8</v>
      </c>
      <c r="AE7" s="342" t="s">
        <v>9</v>
      </c>
      <c r="AF7" s="337" t="s">
        <v>10</v>
      </c>
      <c r="AG7" s="337" t="s">
        <v>11</v>
      </c>
      <c r="AH7" s="337" t="s">
        <v>12</v>
      </c>
      <c r="AI7" s="337" t="s">
        <v>13</v>
      </c>
      <c r="AJ7" s="337" t="s">
        <v>14</v>
      </c>
      <c r="AK7" s="338" t="s">
        <v>15</v>
      </c>
      <c r="AL7" s="338"/>
      <c r="AM7" s="338"/>
      <c r="AN7" s="338" t="s">
        <v>16</v>
      </c>
      <c r="AO7" s="338"/>
      <c r="AP7" s="338"/>
      <c r="AQ7" s="338" t="s">
        <v>17</v>
      </c>
      <c r="AR7" s="338"/>
      <c r="AS7" s="338"/>
      <c r="AT7" s="330"/>
      <c r="AU7" s="337" t="s">
        <v>18</v>
      </c>
      <c r="AV7" s="337" t="s">
        <v>19</v>
      </c>
      <c r="AW7" s="337" t="s">
        <v>20</v>
      </c>
      <c r="AX7" s="337" t="s">
        <v>21</v>
      </c>
    </row>
    <row r="8" spans="1:50" s="346" customFormat="1" ht="30" customHeight="1" x14ac:dyDescent="0.2">
      <c r="A8" s="340"/>
      <c r="B8" s="341"/>
      <c r="C8" s="332" t="s">
        <v>949</v>
      </c>
      <c r="D8" s="332" t="s">
        <v>950</v>
      </c>
      <c r="E8" s="332" t="s">
        <v>951</v>
      </c>
      <c r="F8" s="332" t="s">
        <v>952</v>
      </c>
      <c r="G8" s="332" t="s">
        <v>919</v>
      </c>
      <c r="H8" s="332" t="s">
        <v>920</v>
      </c>
      <c r="I8" s="332" t="s">
        <v>929</v>
      </c>
      <c r="J8" s="332" t="s">
        <v>930</v>
      </c>
      <c r="K8" s="332" t="s">
        <v>921</v>
      </c>
      <c r="L8" s="332" t="s">
        <v>922</v>
      </c>
      <c r="M8" s="332" t="s">
        <v>923</v>
      </c>
      <c r="N8" s="332" t="s">
        <v>924</v>
      </c>
      <c r="O8" s="332" t="s">
        <v>925</v>
      </c>
      <c r="P8" s="332" t="s">
        <v>926</v>
      </c>
      <c r="Q8" s="332" t="s">
        <v>927</v>
      </c>
      <c r="R8" s="332" t="s">
        <v>928</v>
      </c>
      <c r="S8" s="332" t="s">
        <v>953</v>
      </c>
      <c r="T8" s="332" t="s">
        <v>954</v>
      </c>
      <c r="U8" s="332" t="s">
        <v>955</v>
      </c>
      <c r="V8" s="332" t="s">
        <v>956</v>
      </c>
      <c r="W8" s="332" t="s">
        <v>957</v>
      </c>
      <c r="X8" s="332" t="s">
        <v>931</v>
      </c>
      <c r="Y8" s="332"/>
      <c r="Z8" s="332"/>
      <c r="AA8" s="342"/>
      <c r="AB8" s="337"/>
      <c r="AC8" s="337"/>
      <c r="AD8" s="342"/>
      <c r="AE8" s="342"/>
      <c r="AF8" s="337"/>
      <c r="AG8" s="337"/>
      <c r="AH8" s="337"/>
      <c r="AI8" s="337"/>
      <c r="AJ8" s="337"/>
      <c r="AK8" s="329" t="s">
        <v>22</v>
      </c>
      <c r="AL8" s="329" t="s">
        <v>23</v>
      </c>
      <c r="AM8" s="329" t="s">
        <v>24</v>
      </c>
      <c r="AN8" s="329" t="s">
        <v>25</v>
      </c>
      <c r="AO8" s="329" t="s">
        <v>26</v>
      </c>
      <c r="AP8" s="329" t="s">
        <v>27</v>
      </c>
      <c r="AQ8" s="329" t="s">
        <v>28</v>
      </c>
      <c r="AR8" s="329" t="s">
        <v>29</v>
      </c>
      <c r="AS8" s="329" t="s">
        <v>30</v>
      </c>
      <c r="AT8" s="329" t="s">
        <v>31</v>
      </c>
      <c r="AU8" s="337"/>
      <c r="AV8" s="337"/>
      <c r="AW8" s="337"/>
      <c r="AX8" s="337"/>
    </row>
    <row r="9" spans="1:50" s="346" customFormat="1" ht="18" customHeight="1" x14ac:dyDescent="0.2">
      <c r="A9" s="340"/>
      <c r="B9" s="341"/>
      <c r="C9" s="332"/>
      <c r="D9" s="332"/>
      <c r="E9" s="332"/>
      <c r="F9" s="332"/>
      <c r="G9" s="332"/>
      <c r="H9" s="332"/>
      <c r="I9" s="332"/>
      <c r="J9" s="332"/>
      <c r="K9" s="332"/>
      <c r="L9" s="332"/>
      <c r="M9" s="332"/>
      <c r="N9" s="332"/>
      <c r="O9" s="332"/>
      <c r="P9" s="332"/>
      <c r="Q9" s="332"/>
      <c r="R9" s="332"/>
      <c r="S9" s="332"/>
      <c r="T9" s="332"/>
      <c r="U9" s="332"/>
      <c r="V9" s="332"/>
      <c r="W9" s="332"/>
      <c r="X9" s="332"/>
      <c r="Y9" s="332"/>
      <c r="Z9" s="332"/>
      <c r="AA9" s="342"/>
      <c r="AB9" s="337"/>
      <c r="AC9" s="337"/>
      <c r="AD9" s="330">
        <v>1</v>
      </c>
      <c r="AE9" s="11"/>
      <c r="AF9" s="12"/>
      <c r="AG9" s="12"/>
      <c r="AH9" s="12"/>
      <c r="AI9" s="329">
        <v>2</v>
      </c>
      <c r="AJ9" s="330" t="s">
        <v>32</v>
      </c>
      <c r="AK9" s="330"/>
      <c r="AL9" s="330"/>
      <c r="AM9" s="330">
        <v>5</v>
      </c>
      <c r="AN9" s="330"/>
      <c r="AO9" s="330"/>
      <c r="AP9" s="330">
        <v>7</v>
      </c>
      <c r="AQ9" s="330"/>
      <c r="AR9" s="330"/>
      <c r="AS9" s="330">
        <v>9</v>
      </c>
      <c r="AT9" s="330"/>
      <c r="AU9" s="330" t="s">
        <v>33</v>
      </c>
      <c r="AV9" s="330" t="s">
        <v>34</v>
      </c>
      <c r="AW9" s="330" t="s">
        <v>35</v>
      </c>
      <c r="AX9" s="13" t="s">
        <v>36</v>
      </c>
    </row>
    <row r="10" spans="1:50" s="346" customFormat="1" x14ac:dyDescent="0.2">
      <c r="A10" s="14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6"/>
      <c r="AB10" s="17"/>
      <c r="AC10" s="17"/>
      <c r="AD10" s="18"/>
      <c r="AE10" s="18"/>
      <c r="AF10" s="17"/>
      <c r="AG10" s="18">
        <f>AH11-AG11</f>
        <v>0</v>
      </c>
      <c r="AH10" s="18"/>
      <c r="AI10" s="17"/>
      <c r="AJ10" s="18"/>
      <c r="AK10" s="18"/>
      <c r="AL10" s="17"/>
      <c r="AM10" s="18"/>
      <c r="AN10" s="18"/>
      <c r="AO10" s="17"/>
      <c r="AP10" s="18"/>
      <c r="AQ10" s="18"/>
      <c r="AR10" s="17"/>
      <c r="AS10" s="18"/>
      <c r="AT10" s="18"/>
      <c r="AU10" s="18"/>
      <c r="AV10" s="17"/>
      <c r="AW10" s="18"/>
      <c r="AX10" s="18"/>
    </row>
    <row r="11" spans="1:50" ht="18.75" customHeight="1" x14ac:dyDescent="0.2">
      <c r="A11" s="19" t="s">
        <v>37</v>
      </c>
      <c r="B11" s="19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20">
        <v>2</v>
      </c>
      <c r="AB11" s="21" t="s">
        <v>38</v>
      </c>
      <c r="AC11" s="22" t="s">
        <v>37</v>
      </c>
      <c r="AD11" s="22">
        <f t="shared" ref="AD11:AS11" si="0">AD12+AD164+AD192</f>
        <v>1017611726826</v>
      </c>
      <c r="AE11" s="22">
        <f t="shared" si="0"/>
        <v>284779709126.34003</v>
      </c>
      <c r="AF11" s="23">
        <f t="shared" si="0"/>
        <v>0</v>
      </c>
      <c r="AG11" s="22">
        <f t="shared" si="0"/>
        <v>284558247786.46997</v>
      </c>
      <c r="AH11" s="22">
        <f t="shared" si="0"/>
        <v>284558247786.47003</v>
      </c>
      <c r="AI11" s="22">
        <f t="shared" si="0"/>
        <v>284779709126.33997</v>
      </c>
      <c r="AJ11" s="22">
        <f t="shared" si="0"/>
        <v>1302391435952.3403</v>
      </c>
      <c r="AK11" s="22">
        <f t="shared" si="0"/>
        <v>1968474431</v>
      </c>
      <c r="AL11" s="22">
        <f t="shared" si="0"/>
        <v>136766272502.11002</v>
      </c>
      <c r="AM11" s="22">
        <f t="shared" si="0"/>
        <v>1043108385627.09</v>
      </c>
      <c r="AN11" s="22">
        <f t="shared" si="0"/>
        <v>739926091.68000007</v>
      </c>
      <c r="AO11" s="22">
        <f t="shared" si="0"/>
        <v>111368565057.96002</v>
      </c>
      <c r="AP11" s="22">
        <f t="shared" si="0"/>
        <v>933900093395.76001</v>
      </c>
      <c r="AQ11" s="22">
        <f t="shared" si="0"/>
        <v>5417605484.2699995</v>
      </c>
      <c r="AR11" s="22">
        <f t="shared" si="0"/>
        <v>74967385964.730011</v>
      </c>
      <c r="AS11" s="22">
        <f t="shared" si="0"/>
        <v>724180478292.15002</v>
      </c>
      <c r="AT11" s="22">
        <f>AQ11+AS11</f>
        <v>729598083776.42004</v>
      </c>
      <c r="AU11" s="22">
        <f>AU12+AU164+AU192</f>
        <v>259283050325.24994</v>
      </c>
      <c r="AV11" s="22">
        <f>AV12+AV164+AV192</f>
        <v>109208292231.33</v>
      </c>
      <c r="AW11" s="22">
        <f>AW12+AW164+AW192</f>
        <v>204302009619.34006</v>
      </c>
      <c r="AX11" s="24">
        <f t="shared" ref="AX11:AX20" si="1">AP11/AJ11</f>
        <v>0.71706559765027134</v>
      </c>
    </row>
    <row r="12" spans="1:50" ht="18.75" customHeight="1" x14ac:dyDescent="0.2">
      <c r="A12" s="19" t="s">
        <v>37</v>
      </c>
      <c r="B12" s="19" t="s">
        <v>37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26" t="s">
        <v>39</v>
      </c>
      <c r="AB12" s="21" t="s">
        <v>40</v>
      </c>
      <c r="AC12" s="22" t="s">
        <v>37</v>
      </c>
      <c r="AD12" s="22">
        <f>AD13+AD86+AD101+AD150+AD144</f>
        <v>180471642183</v>
      </c>
      <c r="AE12" s="22">
        <f t="shared" ref="AE12:AW12" si="2">AE13+AE86+AE101+AE150+AE144</f>
        <v>9990869522.5300007</v>
      </c>
      <c r="AF12" s="23">
        <f t="shared" si="2"/>
        <v>0</v>
      </c>
      <c r="AG12" s="22">
        <f t="shared" si="2"/>
        <v>12436918974.719999</v>
      </c>
      <c r="AH12" s="22">
        <f t="shared" si="2"/>
        <v>12436918974.720001</v>
      </c>
      <c r="AI12" s="22">
        <f t="shared" si="2"/>
        <v>9990869522.5300007</v>
      </c>
      <c r="AJ12" s="22">
        <f t="shared" si="2"/>
        <v>190462511705.53</v>
      </c>
      <c r="AK12" s="23">
        <f t="shared" si="2"/>
        <v>0</v>
      </c>
      <c r="AL12" s="22">
        <f t="shared" si="2"/>
        <v>17495593853.029995</v>
      </c>
      <c r="AM12" s="22">
        <f t="shared" si="2"/>
        <v>162064075858.79996</v>
      </c>
      <c r="AN12" s="22">
        <f t="shared" si="2"/>
        <v>32800000</v>
      </c>
      <c r="AO12" s="22">
        <f t="shared" si="2"/>
        <v>16664472096.24</v>
      </c>
      <c r="AP12" s="22">
        <f t="shared" si="2"/>
        <v>160287216431.90997</v>
      </c>
      <c r="AQ12" s="22">
        <f t="shared" si="2"/>
        <v>525135071.74000001</v>
      </c>
      <c r="AR12" s="22">
        <f t="shared" si="2"/>
        <v>14297680276.24</v>
      </c>
      <c r="AS12" s="22">
        <f t="shared" si="2"/>
        <v>149846785012.64999</v>
      </c>
      <c r="AT12" s="22">
        <f t="shared" si="2"/>
        <v>150371920084.38998</v>
      </c>
      <c r="AU12" s="22">
        <f t="shared" si="2"/>
        <v>28398435846.73</v>
      </c>
      <c r="AV12" s="22">
        <f t="shared" si="2"/>
        <v>1776859426.8899982</v>
      </c>
      <c r="AW12" s="22">
        <f t="shared" si="2"/>
        <v>9915296347.5200024</v>
      </c>
      <c r="AX12" s="24">
        <f t="shared" si="1"/>
        <v>0.84156832227292366</v>
      </c>
    </row>
    <row r="13" spans="1:50" ht="18.75" customHeight="1" x14ac:dyDescent="0.2">
      <c r="A13" s="19" t="s">
        <v>41</v>
      </c>
      <c r="B13" s="19" t="s">
        <v>42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26" t="s">
        <v>43</v>
      </c>
      <c r="AB13" s="21" t="s">
        <v>44</v>
      </c>
      <c r="AC13" s="22" t="s">
        <v>37</v>
      </c>
      <c r="AD13" s="22">
        <f>AD14</f>
        <v>38718257195.5</v>
      </c>
      <c r="AE13" s="23">
        <f t="shared" ref="AE13:AW13" si="3">AE14</f>
        <v>0</v>
      </c>
      <c r="AF13" s="23">
        <f t="shared" si="3"/>
        <v>0</v>
      </c>
      <c r="AG13" s="22">
        <f t="shared" si="3"/>
        <v>217631428</v>
      </c>
      <c r="AH13" s="22">
        <f t="shared" si="3"/>
        <v>2293084028</v>
      </c>
      <c r="AI13" s="22">
        <f t="shared" si="3"/>
        <v>-2075452600</v>
      </c>
      <c r="AJ13" s="22">
        <f>AJ14</f>
        <v>36642804595.5</v>
      </c>
      <c r="AK13" s="23">
        <f t="shared" si="3"/>
        <v>0</v>
      </c>
      <c r="AL13" s="22">
        <f t="shared" si="3"/>
        <v>4975980735</v>
      </c>
      <c r="AM13" s="22">
        <f t="shared" si="3"/>
        <v>30677804444</v>
      </c>
      <c r="AN13" s="23">
        <f t="shared" si="3"/>
        <v>0</v>
      </c>
      <c r="AO13" s="22">
        <f t="shared" si="3"/>
        <v>4922396748</v>
      </c>
      <c r="AP13" s="22">
        <f t="shared" si="3"/>
        <v>30569042363</v>
      </c>
      <c r="AQ13" s="268">
        <f t="shared" si="3"/>
        <v>132323650</v>
      </c>
      <c r="AR13" s="22">
        <f t="shared" si="3"/>
        <v>4731368895</v>
      </c>
      <c r="AS13" s="22">
        <f t="shared" si="3"/>
        <v>30132072341</v>
      </c>
      <c r="AT13" s="22">
        <f t="shared" ref="AT13" si="4">AQ13+AS13</f>
        <v>30264395991</v>
      </c>
      <c r="AU13" s="22">
        <f t="shared" si="3"/>
        <v>5965000151.5</v>
      </c>
      <c r="AV13" s="22">
        <f t="shared" si="3"/>
        <v>108762081</v>
      </c>
      <c r="AW13" s="22">
        <f t="shared" si="3"/>
        <v>304646372</v>
      </c>
      <c r="AX13" s="24">
        <f t="shared" si="1"/>
        <v>0.83424406784501692</v>
      </c>
    </row>
    <row r="14" spans="1:50" ht="18.75" customHeight="1" x14ac:dyDescent="0.2">
      <c r="A14" s="27" t="s">
        <v>41</v>
      </c>
      <c r="B14" s="27" t="s">
        <v>42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8" t="s">
        <v>45</v>
      </c>
      <c r="AB14" s="29" t="s">
        <v>46</v>
      </c>
      <c r="AC14" s="30" t="s">
        <v>37</v>
      </c>
      <c r="AD14" s="30">
        <f>AD15+AD42+AD70</f>
        <v>38718257195.5</v>
      </c>
      <c r="AE14" s="31">
        <f t="shared" ref="AE14:AW14" si="5">AE15+AE42+AE70</f>
        <v>0</v>
      </c>
      <c r="AF14" s="31">
        <f t="shared" si="5"/>
        <v>0</v>
      </c>
      <c r="AG14" s="30">
        <f>AG15+AG42+AG70</f>
        <v>217631428</v>
      </c>
      <c r="AH14" s="30">
        <f t="shared" si="5"/>
        <v>2293084028</v>
      </c>
      <c r="AI14" s="30">
        <f>AI15+AI42+AI70</f>
        <v>-2075452600</v>
      </c>
      <c r="AJ14" s="30">
        <f t="shared" si="5"/>
        <v>36642804595.5</v>
      </c>
      <c r="AK14" s="31">
        <f t="shared" si="5"/>
        <v>0</v>
      </c>
      <c r="AL14" s="30">
        <f t="shared" si="5"/>
        <v>4975980735</v>
      </c>
      <c r="AM14" s="30">
        <f t="shared" si="5"/>
        <v>30677804444</v>
      </c>
      <c r="AN14" s="31">
        <f t="shared" si="5"/>
        <v>0</v>
      </c>
      <c r="AO14" s="30">
        <f t="shared" si="5"/>
        <v>4922396748</v>
      </c>
      <c r="AP14" s="30">
        <f t="shared" si="5"/>
        <v>30569042363</v>
      </c>
      <c r="AQ14" s="172">
        <f t="shared" si="5"/>
        <v>132323650</v>
      </c>
      <c r="AR14" s="30">
        <f t="shared" si="5"/>
        <v>4731368895</v>
      </c>
      <c r="AS14" s="30">
        <f t="shared" si="5"/>
        <v>30132072341</v>
      </c>
      <c r="AT14" s="30">
        <f>AQ14+AS14</f>
        <v>30264395991</v>
      </c>
      <c r="AU14" s="30">
        <f t="shared" si="5"/>
        <v>5965000151.5</v>
      </c>
      <c r="AV14" s="30">
        <f t="shared" si="5"/>
        <v>108762081</v>
      </c>
      <c r="AW14" s="30">
        <f t="shared" si="5"/>
        <v>304646372</v>
      </c>
      <c r="AX14" s="32">
        <f t="shared" si="1"/>
        <v>0.83424406784501692</v>
      </c>
    </row>
    <row r="15" spans="1:50" ht="18.75" customHeight="1" x14ac:dyDescent="0.2">
      <c r="A15" s="27" t="s">
        <v>41</v>
      </c>
      <c r="B15" s="27" t="s">
        <v>42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8" t="s">
        <v>47</v>
      </c>
      <c r="AB15" s="29" t="s">
        <v>48</v>
      </c>
      <c r="AC15" s="30" t="s">
        <v>37</v>
      </c>
      <c r="AD15" s="30">
        <f>AD16+AD39</f>
        <v>25931861921.5</v>
      </c>
      <c r="AE15" s="31">
        <f t="shared" ref="AE15:AW15" si="6">AE16+AE39</f>
        <v>0</v>
      </c>
      <c r="AF15" s="31">
        <f t="shared" si="6"/>
        <v>0</v>
      </c>
      <c r="AG15" s="30">
        <f t="shared" si="6"/>
        <v>126362492</v>
      </c>
      <c r="AH15" s="30">
        <f t="shared" si="6"/>
        <v>883014011</v>
      </c>
      <c r="AI15" s="30">
        <f t="shared" si="6"/>
        <v>-756651519</v>
      </c>
      <c r="AJ15" s="30">
        <f t="shared" si="6"/>
        <v>25175210402.5</v>
      </c>
      <c r="AK15" s="31">
        <f t="shared" si="6"/>
        <v>0</v>
      </c>
      <c r="AL15" s="30">
        <f t="shared" si="6"/>
        <v>4141514666</v>
      </c>
      <c r="AM15" s="30">
        <f t="shared" si="6"/>
        <v>22008606888</v>
      </c>
      <c r="AN15" s="31">
        <f t="shared" si="6"/>
        <v>0</v>
      </c>
      <c r="AO15" s="30">
        <f t="shared" si="6"/>
        <v>4037887163</v>
      </c>
      <c r="AP15" s="30">
        <f t="shared" si="6"/>
        <v>21904979385</v>
      </c>
      <c r="AQ15" s="31">
        <f t="shared" si="6"/>
        <v>0</v>
      </c>
      <c r="AR15" s="30">
        <f t="shared" si="6"/>
        <v>3894085872</v>
      </c>
      <c r="AS15" s="30">
        <f t="shared" si="6"/>
        <v>21649192008</v>
      </c>
      <c r="AT15" s="30">
        <f t="shared" ref="AT15:AT38" si="7">AQ15+AS15</f>
        <v>21649192008</v>
      </c>
      <c r="AU15" s="30">
        <f t="shared" si="6"/>
        <v>3166603514.5</v>
      </c>
      <c r="AV15" s="31">
        <f t="shared" si="6"/>
        <v>103627503</v>
      </c>
      <c r="AW15" s="30">
        <f t="shared" si="6"/>
        <v>255787377</v>
      </c>
      <c r="AX15" s="32">
        <f t="shared" si="1"/>
        <v>0.87010114453004717</v>
      </c>
    </row>
    <row r="16" spans="1:50" ht="18.75" customHeight="1" x14ac:dyDescent="0.2">
      <c r="A16" s="27" t="s">
        <v>49</v>
      </c>
      <c r="B16" s="27" t="s">
        <v>50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8" t="s">
        <v>51</v>
      </c>
      <c r="AB16" s="29" t="s">
        <v>52</v>
      </c>
      <c r="AC16" s="30" t="s">
        <v>37</v>
      </c>
      <c r="AD16" s="30">
        <f>AD17+AD20+AD21+AD22+AD23++AD24+AD27+AD30+AD37+AD38</f>
        <v>25908449467.5</v>
      </c>
      <c r="AE16" s="31">
        <f t="shared" ref="AE16:AW16" si="8">AE17+AE20+AE21+AE22+AE23++AE24+AE27+AE30+AE37+AE38</f>
        <v>0</v>
      </c>
      <c r="AF16" s="31">
        <f t="shared" si="8"/>
        <v>0</v>
      </c>
      <c r="AG16" s="30">
        <f t="shared" si="8"/>
        <v>126362492</v>
      </c>
      <c r="AH16" s="30">
        <f>AH17+AH20+AH21+AH22+AH23++AH24+AH27+AH30+AH37+AH38</f>
        <v>883014011</v>
      </c>
      <c r="AI16" s="30">
        <f t="shared" si="8"/>
        <v>-756651519</v>
      </c>
      <c r="AJ16" s="30">
        <f t="shared" si="8"/>
        <v>25151797948.5</v>
      </c>
      <c r="AK16" s="31">
        <f t="shared" si="8"/>
        <v>0</v>
      </c>
      <c r="AL16" s="30">
        <f t="shared" si="8"/>
        <v>4141514666</v>
      </c>
      <c r="AM16" s="30">
        <f t="shared" si="8"/>
        <v>22008606888</v>
      </c>
      <c r="AN16" s="31">
        <f t="shared" si="8"/>
        <v>0</v>
      </c>
      <c r="AO16" s="30">
        <f t="shared" si="8"/>
        <v>4037887163</v>
      </c>
      <c r="AP16" s="30">
        <f t="shared" si="8"/>
        <v>21904979385</v>
      </c>
      <c r="AQ16" s="31">
        <f t="shared" si="8"/>
        <v>0</v>
      </c>
      <c r="AR16" s="30">
        <f t="shared" si="8"/>
        <v>3894085872</v>
      </c>
      <c r="AS16" s="30">
        <f t="shared" si="8"/>
        <v>21649192008</v>
      </c>
      <c r="AT16" s="30">
        <f t="shared" si="7"/>
        <v>21649192008</v>
      </c>
      <c r="AU16" s="30">
        <f t="shared" si="8"/>
        <v>3143191060.5</v>
      </c>
      <c r="AV16" s="30">
        <f t="shared" si="8"/>
        <v>103627503</v>
      </c>
      <c r="AW16" s="30">
        <f t="shared" si="8"/>
        <v>255787377</v>
      </c>
      <c r="AX16" s="32">
        <f t="shared" si="1"/>
        <v>0.87091107482065178</v>
      </c>
    </row>
    <row r="17" spans="1:50" ht="18.75" customHeight="1" x14ac:dyDescent="0.2">
      <c r="A17" s="27" t="s">
        <v>41</v>
      </c>
      <c r="B17" s="27" t="s">
        <v>42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8" t="s">
        <v>53</v>
      </c>
      <c r="AB17" s="29" t="s">
        <v>54</v>
      </c>
      <c r="AC17" s="30" t="s">
        <v>37</v>
      </c>
      <c r="AD17" s="30">
        <f>AD18+AD19</f>
        <v>19589756868.5</v>
      </c>
      <c r="AE17" s="31">
        <f t="shared" ref="AE17:AW17" si="9">AE18+AE19</f>
        <v>0</v>
      </c>
      <c r="AF17" s="31">
        <f t="shared" si="9"/>
        <v>0</v>
      </c>
      <c r="AG17" s="31">
        <f t="shared" si="9"/>
        <v>0</v>
      </c>
      <c r="AH17" s="30">
        <f t="shared" si="9"/>
        <v>494061411</v>
      </c>
      <c r="AI17" s="30">
        <f t="shared" si="9"/>
        <v>-494061411</v>
      </c>
      <c r="AJ17" s="30">
        <f t="shared" si="9"/>
        <v>19095695457.5</v>
      </c>
      <c r="AK17" s="31">
        <f t="shared" si="9"/>
        <v>0</v>
      </c>
      <c r="AL17" s="30">
        <f t="shared" si="9"/>
        <v>1634469308</v>
      </c>
      <c r="AM17" s="30">
        <f t="shared" si="9"/>
        <v>17015919256</v>
      </c>
      <c r="AN17" s="31">
        <f t="shared" si="9"/>
        <v>0</v>
      </c>
      <c r="AO17" s="30">
        <f t="shared" si="9"/>
        <v>1535179763</v>
      </c>
      <c r="AP17" s="30">
        <f t="shared" si="9"/>
        <v>16916629711</v>
      </c>
      <c r="AQ17" s="31">
        <f t="shared" si="9"/>
        <v>0</v>
      </c>
      <c r="AR17" s="30">
        <f t="shared" si="9"/>
        <v>1410849406</v>
      </c>
      <c r="AS17" s="30">
        <f t="shared" si="9"/>
        <v>16707225154</v>
      </c>
      <c r="AT17" s="30">
        <f t="shared" si="7"/>
        <v>16707225154</v>
      </c>
      <c r="AU17" s="30">
        <f t="shared" si="9"/>
        <v>2079776201.5</v>
      </c>
      <c r="AV17" s="30">
        <f t="shared" si="9"/>
        <v>99289545</v>
      </c>
      <c r="AW17" s="30">
        <f t="shared" si="9"/>
        <v>209404557</v>
      </c>
      <c r="AX17" s="32">
        <f t="shared" si="1"/>
        <v>0.88588707065685046</v>
      </c>
    </row>
    <row r="18" spans="1:50" ht="18.75" customHeight="1" x14ac:dyDescent="0.2">
      <c r="A18" s="14" t="s">
        <v>55</v>
      </c>
      <c r="B18" s="15" t="s">
        <v>56</v>
      </c>
      <c r="C18" s="15"/>
      <c r="D18" s="15" t="s">
        <v>40</v>
      </c>
      <c r="E18" s="15"/>
      <c r="F18" s="15"/>
      <c r="G18" s="15" t="s">
        <v>41</v>
      </c>
      <c r="H18" s="15"/>
      <c r="I18" s="15" t="s">
        <v>936</v>
      </c>
      <c r="J18" s="15"/>
      <c r="K18" s="15" t="s">
        <v>932</v>
      </c>
      <c r="L18" s="15"/>
      <c r="M18" s="15" t="s">
        <v>933</v>
      </c>
      <c r="N18" s="15"/>
      <c r="O18" s="15" t="s">
        <v>938</v>
      </c>
      <c r="P18" s="15"/>
      <c r="Q18" s="15" t="s">
        <v>939</v>
      </c>
      <c r="R18" s="15"/>
      <c r="S18" s="15" t="s">
        <v>940</v>
      </c>
      <c r="T18" s="15">
        <v>0</v>
      </c>
      <c r="U18" s="15">
        <v>0</v>
      </c>
      <c r="V18" s="15">
        <v>0</v>
      </c>
      <c r="W18" s="15">
        <v>0</v>
      </c>
      <c r="X18" s="15" t="s">
        <v>937</v>
      </c>
      <c r="Y18" s="15"/>
      <c r="Z18" s="15"/>
      <c r="AA18" s="16" t="s">
        <v>57</v>
      </c>
      <c r="AB18" s="17" t="s">
        <v>54</v>
      </c>
      <c r="AC18" s="17" t="s">
        <v>58</v>
      </c>
      <c r="AD18" s="18">
        <v>18005571308.5</v>
      </c>
      <c r="AE18" s="34">
        <v>0</v>
      </c>
      <c r="AF18" s="34">
        <v>0</v>
      </c>
      <c r="AG18" s="34">
        <v>0</v>
      </c>
      <c r="AH18" s="18">
        <f>100000000+350000000</f>
        <v>450000000</v>
      </c>
      <c r="AI18" s="18">
        <f>AE18-AF18+AG18-AH18</f>
        <v>-450000000</v>
      </c>
      <c r="AJ18" s="18">
        <f>AD18+AI18</f>
        <v>17555571308.5</v>
      </c>
      <c r="AK18" s="34">
        <v>0</v>
      </c>
      <c r="AL18" s="18">
        <f>AM18-OCTUBRE!AM18</f>
        <v>1339375965</v>
      </c>
      <c r="AM18" s="18">
        <v>15697903489</v>
      </c>
      <c r="AN18" s="34">
        <v>0</v>
      </c>
      <c r="AO18" s="18">
        <v>1339375965</v>
      </c>
      <c r="AP18" s="18">
        <v>15697903489</v>
      </c>
      <c r="AQ18" s="34">
        <v>0</v>
      </c>
      <c r="AR18" s="18">
        <v>1314335153</v>
      </c>
      <c r="AS18" s="18">
        <v>15587788477</v>
      </c>
      <c r="AT18" s="39">
        <f t="shared" si="7"/>
        <v>15587788477</v>
      </c>
      <c r="AU18" s="18">
        <f t="shared" ref="AU18:AU38" si="10">AJ18-AM18</f>
        <v>1857667819.5</v>
      </c>
      <c r="AV18" s="18">
        <f t="shared" ref="AV18:AV38" si="11">AM18-AP18</f>
        <v>0</v>
      </c>
      <c r="AW18" s="18">
        <f>AP18-AT18</f>
        <v>110115012</v>
      </c>
      <c r="AX18" s="32">
        <f t="shared" si="1"/>
        <v>0.89418357358723155</v>
      </c>
    </row>
    <row r="19" spans="1:50" ht="18.75" customHeight="1" x14ac:dyDescent="0.2">
      <c r="A19" s="14" t="s">
        <v>55</v>
      </c>
      <c r="B19" s="15" t="s">
        <v>56</v>
      </c>
      <c r="C19" s="15"/>
      <c r="D19" s="15" t="s">
        <v>40</v>
      </c>
      <c r="E19" s="15"/>
      <c r="F19" s="15"/>
      <c r="G19" s="15" t="s">
        <v>41</v>
      </c>
      <c r="H19" s="15"/>
      <c r="I19" s="15" t="s">
        <v>941</v>
      </c>
      <c r="J19" s="15"/>
      <c r="K19" s="15" t="s">
        <v>932</v>
      </c>
      <c r="L19" s="15"/>
      <c r="M19" s="15" t="s">
        <v>933</v>
      </c>
      <c r="N19" s="15"/>
      <c r="O19" s="15" t="s">
        <v>938</v>
      </c>
      <c r="P19" s="15"/>
      <c r="Q19" s="15" t="s">
        <v>939</v>
      </c>
      <c r="R19" s="15"/>
      <c r="S19" s="15" t="s">
        <v>940</v>
      </c>
      <c r="T19" s="15">
        <v>0</v>
      </c>
      <c r="U19" s="15">
        <v>0</v>
      </c>
      <c r="V19" s="15">
        <v>0</v>
      </c>
      <c r="W19" s="15">
        <v>0</v>
      </c>
      <c r="X19" s="15" t="s">
        <v>937</v>
      </c>
      <c r="Y19" s="15"/>
      <c r="Z19" s="15"/>
      <c r="AA19" s="16" t="s">
        <v>59</v>
      </c>
      <c r="AB19" s="17" t="s">
        <v>60</v>
      </c>
      <c r="AC19" s="17" t="s">
        <v>61</v>
      </c>
      <c r="AD19" s="18">
        <v>1584185560</v>
      </c>
      <c r="AE19" s="34">
        <v>0</v>
      </c>
      <c r="AF19" s="34">
        <v>0</v>
      </c>
      <c r="AG19" s="34">
        <v>0</v>
      </c>
      <c r="AH19" s="18">
        <v>44061411</v>
      </c>
      <c r="AI19" s="18">
        <f>AE19-AF19+AG19-AH19</f>
        <v>-44061411</v>
      </c>
      <c r="AJ19" s="18">
        <f>AD19+AI19</f>
        <v>1540124149</v>
      </c>
      <c r="AK19" s="34">
        <v>0</v>
      </c>
      <c r="AL19" s="18">
        <f>AM19-OCTUBRE!AM19</f>
        <v>295093343</v>
      </c>
      <c r="AM19" s="18">
        <v>1318015767</v>
      </c>
      <c r="AN19" s="34">
        <v>0</v>
      </c>
      <c r="AO19" s="18">
        <v>195803798</v>
      </c>
      <c r="AP19" s="18">
        <v>1218726222</v>
      </c>
      <c r="AQ19" s="34">
        <v>0</v>
      </c>
      <c r="AR19" s="18">
        <v>96514253</v>
      </c>
      <c r="AS19" s="18">
        <v>1119436677</v>
      </c>
      <c r="AT19" s="39">
        <f t="shared" si="7"/>
        <v>1119436677</v>
      </c>
      <c r="AU19" s="18">
        <f t="shared" si="10"/>
        <v>222108382</v>
      </c>
      <c r="AV19" s="18">
        <f t="shared" si="11"/>
        <v>99289545</v>
      </c>
      <c r="AW19" s="18">
        <f t="shared" ref="AW19:AW38" si="12">AP19-AT19</f>
        <v>99289545</v>
      </c>
      <c r="AX19" s="32">
        <f t="shared" si="1"/>
        <v>0.79131687065053613</v>
      </c>
    </row>
    <row r="20" spans="1:50" ht="18.75" customHeight="1" x14ac:dyDescent="0.2">
      <c r="A20" s="14" t="s">
        <v>49</v>
      </c>
      <c r="B20" s="15" t="s">
        <v>50</v>
      </c>
      <c r="C20" s="15"/>
      <c r="D20" s="15" t="s">
        <v>40</v>
      </c>
      <c r="E20" s="15"/>
      <c r="F20" s="15"/>
      <c r="G20" s="15" t="s">
        <v>41</v>
      </c>
      <c r="H20" s="15"/>
      <c r="I20" s="15" t="s">
        <v>936</v>
      </c>
      <c r="J20" s="15"/>
      <c r="K20" s="15" t="s">
        <v>932</v>
      </c>
      <c r="L20" s="15"/>
      <c r="M20" s="15" t="s">
        <v>933</v>
      </c>
      <c r="N20" s="15"/>
      <c r="O20" s="15" t="s">
        <v>938</v>
      </c>
      <c r="P20" s="15"/>
      <c r="Q20" s="15" t="s">
        <v>939</v>
      </c>
      <c r="R20" s="15"/>
      <c r="S20" s="15" t="s">
        <v>940</v>
      </c>
      <c r="T20" s="15">
        <v>0</v>
      </c>
      <c r="U20" s="15">
        <v>0</v>
      </c>
      <c r="V20" s="15">
        <v>0</v>
      </c>
      <c r="W20" s="15">
        <v>0</v>
      </c>
      <c r="X20" s="15" t="s">
        <v>937</v>
      </c>
      <c r="Y20" s="15"/>
      <c r="Z20" s="15"/>
      <c r="AA20" s="16" t="s">
        <v>62</v>
      </c>
      <c r="AB20" s="17" t="s">
        <v>63</v>
      </c>
      <c r="AC20" s="17" t="s">
        <v>58</v>
      </c>
      <c r="AD20" s="18">
        <v>398412895</v>
      </c>
      <c r="AE20" s="34">
        <v>0</v>
      </c>
      <c r="AF20" s="34">
        <v>0</v>
      </c>
      <c r="AG20" s="18">
        <v>100000000</v>
      </c>
      <c r="AH20" s="34">
        <v>0</v>
      </c>
      <c r="AI20" s="18">
        <f>AE20-AF20+AG20-AH20</f>
        <v>100000000</v>
      </c>
      <c r="AJ20" s="18">
        <f>AD20+AI20</f>
        <v>498412895</v>
      </c>
      <c r="AK20" s="34">
        <v>0</v>
      </c>
      <c r="AL20" s="18">
        <f>AM20-OCTUBRE!AM20</f>
        <v>34269398</v>
      </c>
      <c r="AM20" s="18">
        <v>370313825</v>
      </c>
      <c r="AN20" s="34">
        <v>0</v>
      </c>
      <c r="AO20" s="18">
        <v>34269398</v>
      </c>
      <c r="AP20" s="18">
        <v>370313825</v>
      </c>
      <c r="AQ20" s="34">
        <v>0</v>
      </c>
      <c r="AR20" s="18">
        <v>28532799</v>
      </c>
      <c r="AS20" s="18">
        <v>353152643</v>
      </c>
      <c r="AT20" s="39">
        <f t="shared" si="7"/>
        <v>353152643</v>
      </c>
      <c r="AU20" s="18">
        <f t="shared" si="10"/>
        <v>128099070</v>
      </c>
      <c r="AV20" s="34">
        <f t="shared" si="11"/>
        <v>0</v>
      </c>
      <c r="AW20" s="18">
        <f>AP20-AT20</f>
        <v>17161182</v>
      </c>
      <c r="AX20" s="32">
        <f t="shared" si="1"/>
        <v>0.74298604372986776</v>
      </c>
    </row>
    <row r="21" spans="1:50" ht="18.75" customHeight="1" x14ac:dyDescent="0.2">
      <c r="A21" s="14" t="s">
        <v>49</v>
      </c>
      <c r="B21" s="15" t="s">
        <v>50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6" t="s">
        <v>64</v>
      </c>
      <c r="AB21" s="17" t="s">
        <v>65</v>
      </c>
      <c r="AC21" s="17" t="s">
        <v>58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f>AM21-AGOSTO!AM21</f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40">
        <f t="shared" si="7"/>
        <v>0</v>
      </c>
      <c r="AU21" s="34">
        <f t="shared" si="10"/>
        <v>0</v>
      </c>
      <c r="AV21" s="34">
        <f t="shared" si="11"/>
        <v>0</v>
      </c>
      <c r="AW21" s="34">
        <f t="shared" si="12"/>
        <v>0</v>
      </c>
      <c r="AX21" s="32">
        <v>0</v>
      </c>
    </row>
    <row r="22" spans="1:50" ht="18.75" customHeight="1" x14ac:dyDescent="0.2">
      <c r="A22" s="14" t="s">
        <v>49</v>
      </c>
      <c r="B22" s="15" t="s">
        <v>50</v>
      </c>
      <c r="C22" s="15"/>
      <c r="D22" s="15" t="s">
        <v>40</v>
      </c>
      <c r="E22" s="15"/>
      <c r="F22" s="15"/>
      <c r="G22" s="15" t="s">
        <v>41</v>
      </c>
      <c r="H22" s="15"/>
      <c r="I22" s="15" t="s">
        <v>936</v>
      </c>
      <c r="J22" s="15"/>
      <c r="K22" s="15" t="s">
        <v>932</v>
      </c>
      <c r="L22" s="15"/>
      <c r="M22" s="15" t="s">
        <v>933</v>
      </c>
      <c r="N22" s="15"/>
      <c r="O22" s="15" t="s">
        <v>938</v>
      </c>
      <c r="P22" s="15"/>
      <c r="Q22" s="15" t="s">
        <v>939</v>
      </c>
      <c r="R22" s="15"/>
      <c r="S22" s="15" t="s">
        <v>940</v>
      </c>
      <c r="T22" s="15">
        <v>0</v>
      </c>
      <c r="U22" s="15">
        <v>0</v>
      </c>
      <c r="V22" s="15">
        <v>0</v>
      </c>
      <c r="W22" s="15">
        <v>0</v>
      </c>
      <c r="X22" s="15" t="s">
        <v>937</v>
      </c>
      <c r="Y22" s="15"/>
      <c r="Z22" s="15"/>
      <c r="AA22" s="16" t="s">
        <v>66</v>
      </c>
      <c r="AB22" s="17" t="s">
        <v>67</v>
      </c>
      <c r="AC22" s="17" t="s">
        <v>58</v>
      </c>
      <c r="AD22" s="18">
        <v>13303349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18">
        <v>13303349</v>
      </c>
      <c r="AK22" s="34">
        <v>0</v>
      </c>
      <c r="AL22" s="34">
        <f>AM22-AGOSTO!AM22</f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40">
        <f t="shared" si="7"/>
        <v>0</v>
      </c>
      <c r="AU22" s="18">
        <f t="shared" si="10"/>
        <v>13303349</v>
      </c>
      <c r="AV22" s="34">
        <f t="shared" si="11"/>
        <v>0</v>
      </c>
      <c r="AW22" s="34">
        <f t="shared" si="12"/>
        <v>0</v>
      </c>
      <c r="AX22" s="32">
        <f t="shared" ref="AX22:AX36" si="13">AP22/AJ22</f>
        <v>0</v>
      </c>
    </row>
    <row r="23" spans="1:50" ht="18.75" customHeight="1" x14ac:dyDescent="0.2">
      <c r="A23" s="14" t="s">
        <v>49</v>
      </c>
      <c r="B23" s="15" t="s">
        <v>50</v>
      </c>
      <c r="C23" s="15"/>
      <c r="D23" s="15" t="s">
        <v>40</v>
      </c>
      <c r="E23" s="15"/>
      <c r="F23" s="15"/>
      <c r="G23" s="15" t="s">
        <v>41</v>
      </c>
      <c r="H23" s="15"/>
      <c r="I23" s="15" t="s">
        <v>936</v>
      </c>
      <c r="J23" s="15"/>
      <c r="K23" s="15" t="s">
        <v>932</v>
      </c>
      <c r="L23" s="15"/>
      <c r="M23" s="15" t="s">
        <v>933</v>
      </c>
      <c r="N23" s="15"/>
      <c r="O23" s="15" t="s">
        <v>938</v>
      </c>
      <c r="P23" s="15"/>
      <c r="Q23" s="15" t="s">
        <v>939</v>
      </c>
      <c r="R23" s="15"/>
      <c r="S23" s="15" t="s">
        <v>940</v>
      </c>
      <c r="T23" s="15">
        <v>0</v>
      </c>
      <c r="U23" s="15">
        <v>0</v>
      </c>
      <c r="V23" s="15">
        <v>0</v>
      </c>
      <c r="W23" s="15">
        <v>0</v>
      </c>
      <c r="X23" s="15" t="s">
        <v>937</v>
      </c>
      <c r="Y23" s="15"/>
      <c r="Z23" s="15"/>
      <c r="AA23" s="16" t="s">
        <v>68</v>
      </c>
      <c r="AB23" s="17" t="s">
        <v>69</v>
      </c>
      <c r="AC23" s="17" t="s">
        <v>58</v>
      </c>
      <c r="AD23" s="18">
        <v>37582851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18">
        <v>37582851</v>
      </c>
      <c r="AK23" s="34">
        <v>0</v>
      </c>
      <c r="AL23" s="18">
        <f>AM23-OCTUBRE!AM23</f>
        <v>2554896</v>
      </c>
      <c r="AM23" s="18">
        <v>30658752</v>
      </c>
      <c r="AN23" s="34">
        <v>0</v>
      </c>
      <c r="AO23" s="18">
        <v>2554896</v>
      </c>
      <c r="AP23" s="18">
        <v>30658752</v>
      </c>
      <c r="AQ23" s="34">
        <v>0</v>
      </c>
      <c r="AR23" s="18">
        <v>2554896</v>
      </c>
      <c r="AS23" s="18">
        <v>27890948</v>
      </c>
      <c r="AT23" s="39">
        <f t="shared" si="7"/>
        <v>27890948</v>
      </c>
      <c r="AU23" s="18">
        <f t="shared" si="10"/>
        <v>6924099</v>
      </c>
      <c r="AV23" s="34">
        <f t="shared" si="11"/>
        <v>0</v>
      </c>
      <c r="AW23" s="18">
        <f>AP23-AT23</f>
        <v>2767804</v>
      </c>
      <c r="AX23" s="32">
        <f t="shared" si="13"/>
        <v>0.8157644027591201</v>
      </c>
    </row>
    <row r="24" spans="1:50" ht="18.75" customHeight="1" x14ac:dyDescent="0.2">
      <c r="A24" s="27" t="s">
        <v>49</v>
      </c>
      <c r="B24" s="27" t="s">
        <v>50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8" t="s">
        <v>70</v>
      </c>
      <c r="AB24" s="29" t="s">
        <v>71</v>
      </c>
      <c r="AC24" s="30" t="s">
        <v>37</v>
      </c>
      <c r="AD24" s="30">
        <f>AD25+AD26</f>
        <v>1845616015</v>
      </c>
      <c r="AE24" s="31">
        <f t="shared" ref="AE24:AS24" si="14">AE25+AE26</f>
        <v>0</v>
      </c>
      <c r="AF24" s="31">
        <f t="shared" si="14"/>
        <v>0</v>
      </c>
      <c r="AG24" s="31">
        <f t="shared" si="14"/>
        <v>0</v>
      </c>
      <c r="AH24" s="30">
        <f t="shared" si="14"/>
        <v>140000000</v>
      </c>
      <c r="AI24" s="30">
        <f t="shared" si="14"/>
        <v>-140000000</v>
      </c>
      <c r="AJ24" s="30">
        <f t="shared" si="14"/>
        <v>1705616015</v>
      </c>
      <c r="AK24" s="31">
        <f t="shared" si="14"/>
        <v>0</v>
      </c>
      <c r="AL24" s="30">
        <f t="shared" si="14"/>
        <v>755502575</v>
      </c>
      <c r="AM24" s="30">
        <f t="shared" si="14"/>
        <v>1588249008</v>
      </c>
      <c r="AN24" s="31">
        <f t="shared" si="14"/>
        <v>0</v>
      </c>
      <c r="AO24" s="30">
        <f t="shared" si="14"/>
        <v>755502575</v>
      </c>
      <c r="AP24" s="30">
        <f t="shared" si="14"/>
        <v>1588249008</v>
      </c>
      <c r="AQ24" s="31">
        <f t="shared" si="14"/>
        <v>0</v>
      </c>
      <c r="AR24" s="30">
        <f t="shared" si="14"/>
        <v>755502575</v>
      </c>
      <c r="AS24" s="30">
        <f t="shared" si="14"/>
        <v>1587985615</v>
      </c>
      <c r="AT24" s="30">
        <f t="shared" si="7"/>
        <v>1587985615</v>
      </c>
      <c r="AU24" s="176">
        <f t="shared" si="10"/>
        <v>117367007</v>
      </c>
      <c r="AV24" s="177">
        <f t="shared" si="11"/>
        <v>0</v>
      </c>
      <c r="AW24" s="176">
        <f t="shared" si="12"/>
        <v>263393</v>
      </c>
      <c r="AX24" s="32">
        <f t="shared" si="13"/>
        <v>0.93118790749628366</v>
      </c>
    </row>
    <row r="25" spans="1:50" ht="18.75" customHeight="1" x14ac:dyDescent="0.2">
      <c r="A25" s="14" t="s">
        <v>55</v>
      </c>
      <c r="B25" s="15" t="s">
        <v>56</v>
      </c>
      <c r="C25" s="15"/>
      <c r="D25" s="15" t="s">
        <v>40</v>
      </c>
      <c r="E25" s="15"/>
      <c r="F25" s="15"/>
      <c r="G25" s="15" t="s">
        <v>41</v>
      </c>
      <c r="H25" s="15"/>
      <c r="I25" s="15" t="s">
        <v>936</v>
      </c>
      <c r="J25" s="15"/>
      <c r="K25" s="15" t="s">
        <v>932</v>
      </c>
      <c r="L25" s="15"/>
      <c r="M25" s="15" t="s">
        <v>933</v>
      </c>
      <c r="N25" s="15"/>
      <c r="O25" s="15" t="s">
        <v>938</v>
      </c>
      <c r="P25" s="15"/>
      <c r="Q25" s="15" t="s">
        <v>939</v>
      </c>
      <c r="R25" s="15"/>
      <c r="S25" s="15" t="s">
        <v>940</v>
      </c>
      <c r="T25" s="15">
        <v>0</v>
      </c>
      <c r="U25" s="15">
        <v>0</v>
      </c>
      <c r="V25" s="15">
        <v>0</v>
      </c>
      <c r="W25" s="15">
        <v>0</v>
      </c>
      <c r="X25" s="15" t="s">
        <v>937</v>
      </c>
      <c r="Y25" s="15"/>
      <c r="Z25" s="15"/>
      <c r="AA25" s="16" t="s">
        <v>72</v>
      </c>
      <c r="AB25" s="17" t="s">
        <v>71</v>
      </c>
      <c r="AC25" s="17" t="s">
        <v>58</v>
      </c>
      <c r="AD25" s="18">
        <v>1777683059</v>
      </c>
      <c r="AE25" s="34">
        <v>0</v>
      </c>
      <c r="AF25" s="34">
        <v>0</v>
      </c>
      <c r="AG25" s="34">
        <v>0</v>
      </c>
      <c r="AH25" s="18">
        <v>140000000</v>
      </c>
      <c r="AI25" s="18">
        <f>AE25-AF25+AG25-AH25</f>
        <v>-140000000</v>
      </c>
      <c r="AJ25" s="18">
        <f>AD25+AI25</f>
        <v>1637683059</v>
      </c>
      <c r="AK25" s="34">
        <v>0</v>
      </c>
      <c r="AL25" s="18">
        <f>AM25-OCTUBRE!AM25</f>
        <v>755502575</v>
      </c>
      <c r="AM25" s="18">
        <v>1534894710</v>
      </c>
      <c r="AN25" s="34">
        <v>0</v>
      </c>
      <c r="AO25" s="18">
        <v>755502575</v>
      </c>
      <c r="AP25" s="18">
        <v>1534894710</v>
      </c>
      <c r="AQ25" s="34">
        <v>0</v>
      </c>
      <c r="AR25" s="18">
        <v>755502575</v>
      </c>
      <c r="AS25" s="18">
        <v>1534631317</v>
      </c>
      <c r="AT25" s="39">
        <f t="shared" si="7"/>
        <v>1534631317</v>
      </c>
      <c r="AU25" s="18">
        <f t="shared" si="10"/>
        <v>102788349</v>
      </c>
      <c r="AV25" s="34">
        <f t="shared" si="11"/>
        <v>0</v>
      </c>
      <c r="AW25" s="18">
        <f>AP25-AT25</f>
        <v>263393</v>
      </c>
      <c r="AX25" s="32">
        <f t="shared" si="13"/>
        <v>0.93723550571331882</v>
      </c>
    </row>
    <row r="26" spans="1:50" ht="18.75" customHeight="1" x14ac:dyDescent="0.2">
      <c r="A26" s="14" t="s">
        <v>55</v>
      </c>
      <c r="B26" s="15" t="s">
        <v>56</v>
      </c>
      <c r="C26" s="15"/>
      <c r="D26" s="15" t="s">
        <v>40</v>
      </c>
      <c r="E26" s="15"/>
      <c r="F26" s="15"/>
      <c r="G26" s="15" t="s">
        <v>41</v>
      </c>
      <c r="H26" s="15"/>
      <c r="I26" s="15" t="s">
        <v>941</v>
      </c>
      <c r="J26" s="15"/>
      <c r="K26" s="15" t="s">
        <v>932</v>
      </c>
      <c r="L26" s="15"/>
      <c r="M26" s="15" t="s">
        <v>933</v>
      </c>
      <c r="N26" s="15"/>
      <c r="O26" s="15" t="s">
        <v>938</v>
      </c>
      <c r="P26" s="15"/>
      <c r="Q26" s="15" t="s">
        <v>939</v>
      </c>
      <c r="R26" s="15"/>
      <c r="S26" s="15" t="s">
        <v>940</v>
      </c>
      <c r="T26" s="15">
        <v>0</v>
      </c>
      <c r="U26" s="15">
        <v>0</v>
      </c>
      <c r="V26" s="15">
        <v>0</v>
      </c>
      <c r="W26" s="15">
        <v>0</v>
      </c>
      <c r="X26" s="15" t="s">
        <v>937</v>
      </c>
      <c r="Y26" s="15"/>
      <c r="Z26" s="15"/>
      <c r="AA26" s="16" t="s">
        <v>73</v>
      </c>
      <c r="AB26" s="17" t="s">
        <v>74</v>
      </c>
      <c r="AC26" s="17" t="s">
        <v>61</v>
      </c>
      <c r="AD26" s="18">
        <v>67932956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18">
        <v>67932956</v>
      </c>
      <c r="AK26" s="34">
        <v>0</v>
      </c>
      <c r="AL26" s="18">
        <v>0</v>
      </c>
      <c r="AM26" s="18">
        <v>53354298</v>
      </c>
      <c r="AN26" s="34">
        <v>0</v>
      </c>
      <c r="AO26" s="18">
        <v>0</v>
      </c>
      <c r="AP26" s="18">
        <v>53354298</v>
      </c>
      <c r="AQ26" s="34">
        <v>0</v>
      </c>
      <c r="AR26" s="18">
        <v>0</v>
      </c>
      <c r="AS26" s="18">
        <v>53354298</v>
      </c>
      <c r="AT26" s="40">
        <f t="shared" si="7"/>
        <v>53354298</v>
      </c>
      <c r="AU26" s="18">
        <f t="shared" si="10"/>
        <v>14578658</v>
      </c>
      <c r="AV26" s="34">
        <f t="shared" si="11"/>
        <v>0</v>
      </c>
      <c r="AW26" s="34">
        <f>AP26-AT26</f>
        <v>0</v>
      </c>
      <c r="AX26" s="32">
        <f t="shared" si="13"/>
        <v>0.78539638404664736</v>
      </c>
    </row>
    <row r="27" spans="1:50" ht="18.75" customHeight="1" x14ac:dyDescent="0.2">
      <c r="A27" s="27" t="s">
        <v>49</v>
      </c>
      <c r="B27" s="27" t="s">
        <v>50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8" t="s">
        <v>75</v>
      </c>
      <c r="AB27" s="29" t="s">
        <v>76</v>
      </c>
      <c r="AC27" s="30" t="s">
        <v>37</v>
      </c>
      <c r="AD27" s="30">
        <f>AD28+AD29</f>
        <v>592992922</v>
      </c>
      <c r="AE27" s="31">
        <f t="shared" ref="AE27:AS27" si="15">AE28+AE29</f>
        <v>0</v>
      </c>
      <c r="AF27" s="31">
        <f t="shared" si="15"/>
        <v>0</v>
      </c>
      <c r="AG27" s="31">
        <f t="shared" si="15"/>
        <v>0</v>
      </c>
      <c r="AH27" s="31">
        <f t="shared" si="15"/>
        <v>0</v>
      </c>
      <c r="AI27" s="31">
        <f t="shared" si="15"/>
        <v>0</v>
      </c>
      <c r="AJ27" s="30">
        <f t="shared" si="15"/>
        <v>592992922</v>
      </c>
      <c r="AK27" s="31">
        <f t="shared" si="15"/>
        <v>0</v>
      </c>
      <c r="AL27" s="30">
        <f t="shared" si="15"/>
        <v>45130966</v>
      </c>
      <c r="AM27" s="30">
        <f t="shared" si="15"/>
        <v>505275113</v>
      </c>
      <c r="AN27" s="31">
        <f t="shared" si="15"/>
        <v>0</v>
      </c>
      <c r="AO27" s="30">
        <f t="shared" si="15"/>
        <v>44159324</v>
      </c>
      <c r="AP27" s="30">
        <f t="shared" si="15"/>
        <v>504303471</v>
      </c>
      <c r="AQ27" s="31">
        <f t="shared" si="15"/>
        <v>0</v>
      </c>
      <c r="AR27" s="30">
        <f t="shared" si="15"/>
        <v>43187682</v>
      </c>
      <c r="AS27" s="30">
        <f t="shared" si="15"/>
        <v>503331829</v>
      </c>
      <c r="AT27" s="30">
        <f t="shared" si="7"/>
        <v>503331829</v>
      </c>
      <c r="AU27" s="176">
        <f t="shared" si="10"/>
        <v>87717809</v>
      </c>
      <c r="AV27" s="177">
        <f t="shared" si="11"/>
        <v>971642</v>
      </c>
      <c r="AW27" s="177">
        <f t="shared" si="12"/>
        <v>971642</v>
      </c>
      <c r="AX27" s="32">
        <f t="shared" si="13"/>
        <v>0.85043758920279322</v>
      </c>
    </row>
    <row r="28" spans="1:50" ht="18.75" customHeight="1" x14ac:dyDescent="0.2">
      <c r="A28" s="14" t="s">
        <v>55</v>
      </c>
      <c r="B28" s="15" t="s">
        <v>56</v>
      </c>
      <c r="C28" s="15"/>
      <c r="D28" s="15" t="s">
        <v>40</v>
      </c>
      <c r="E28" s="15"/>
      <c r="F28" s="15"/>
      <c r="G28" s="15" t="s">
        <v>41</v>
      </c>
      <c r="H28" s="15"/>
      <c r="I28" s="15" t="s">
        <v>936</v>
      </c>
      <c r="J28" s="15"/>
      <c r="K28" s="15" t="s">
        <v>932</v>
      </c>
      <c r="L28" s="15"/>
      <c r="M28" s="15" t="s">
        <v>933</v>
      </c>
      <c r="N28" s="15"/>
      <c r="O28" s="15" t="s">
        <v>938</v>
      </c>
      <c r="P28" s="15"/>
      <c r="Q28" s="15" t="s">
        <v>939</v>
      </c>
      <c r="R28" s="15"/>
      <c r="S28" s="15" t="s">
        <v>940</v>
      </c>
      <c r="T28" s="15">
        <v>0</v>
      </c>
      <c r="U28" s="15">
        <v>0</v>
      </c>
      <c r="V28" s="15">
        <v>0</v>
      </c>
      <c r="W28" s="15">
        <v>0</v>
      </c>
      <c r="X28" s="15" t="s">
        <v>937</v>
      </c>
      <c r="Y28" s="15"/>
      <c r="Z28" s="15"/>
      <c r="AA28" s="16" t="s">
        <v>77</v>
      </c>
      <c r="AB28" s="17" t="s">
        <v>76</v>
      </c>
      <c r="AC28" s="17" t="s">
        <v>58</v>
      </c>
      <c r="AD28" s="18">
        <v>546787511</v>
      </c>
      <c r="AE28" s="34">
        <v>0</v>
      </c>
      <c r="AF28" s="34">
        <v>0</v>
      </c>
      <c r="AG28" s="34">
        <v>0</v>
      </c>
      <c r="AH28" s="34">
        <v>0</v>
      </c>
      <c r="AI28" s="34">
        <v>0</v>
      </c>
      <c r="AJ28" s="18">
        <v>546787511</v>
      </c>
      <c r="AK28" s="34">
        <v>0</v>
      </c>
      <c r="AL28" s="18">
        <f>AM28-OCTUBRE!AM28</f>
        <v>39460230</v>
      </c>
      <c r="AM28" s="18">
        <v>466888647</v>
      </c>
      <c r="AN28" s="34">
        <v>0</v>
      </c>
      <c r="AO28" s="18">
        <v>39460230</v>
      </c>
      <c r="AP28" s="18">
        <v>466888647</v>
      </c>
      <c r="AQ28" s="34">
        <v>0</v>
      </c>
      <c r="AR28" s="18">
        <v>39460230</v>
      </c>
      <c r="AS28" s="18">
        <v>466888647</v>
      </c>
      <c r="AT28" s="39">
        <f t="shared" si="7"/>
        <v>466888647</v>
      </c>
      <c r="AU28" s="18">
        <f t="shared" si="10"/>
        <v>79898864</v>
      </c>
      <c r="AV28" s="34">
        <f t="shared" si="11"/>
        <v>0</v>
      </c>
      <c r="AW28" s="34">
        <f t="shared" si="12"/>
        <v>0</v>
      </c>
      <c r="AX28" s="32">
        <f t="shared" si="13"/>
        <v>0.85387584318837895</v>
      </c>
    </row>
    <row r="29" spans="1:50" ht="18.75" customHeight="1" x14ac:dyDescent="0.2">
      <c r="A29" s="14" t="s">
        <v>55</v>
      </c>
      <c r="B29" s="15" t="s">
        <v>56</v>
      </c>
      <c r="C29" s="15"/>
      <c r="D29" s="15" t="s">
        <v>40</v>
      </c>
      <c r="E29" s="15"/>
      <c r="F29" s="15"/>
      <c r="G29" s="15" t="s">
        <v>41</v>
      </c>
      <c r="H29" s="15"/>
      <c r="I29" s="15" t="s">
        <v>941</v>
      </c>
      <c r="J29" s="15"/>
      <c r="K29" s="15" t="s">
        <v>932</v>
      </c>
      <c r="L29" s="15"/>
      <c r="M29" s="15" t="s">
        <v>933</v>
      </c>
      <c r="N29" s="15"/>
      <c r="O29" s="15" t="s">
        <v>938</v>
      </c>
      <c r="P29" s="15"/>
      <c r="Q29" s="15" t="s">
        <v>939</v>
      </c>
      <c r="R29" s="15"/>
      <c r="S29" s="15" t="s">
        <v>940</v>
      </c>
      <c r="T29" s="15">
        <v>0</v>
      </c>
      <c r="U29" s="15">
        <v>0</v>
      </c>
      <c r="V29" s="15">
        <v>0</v>
      </c>
      <c r="W29" s="15">
        <v>0</v>
      </c>
      <c r="X29" s="15" t="s">
        <v>937</v>
      </c>
      <c r="Y29" s="15"/>
      <c r="Z29" s="15"/>
      <c r="AA29" s="16" t="s">
        <v>78</v>
      </c>
      <c r="AB29" s="17" t="s">
        <v>79</v>
      </c>
      <c r="AC29" s="17" t="s">
        <v>58</v>
      </c>
      <c r="AD29" s="18">
        <v>46205411</v>
      </c>
      <c r="AE29" s="34">
        <v>0</v>
      </c>
      <c r="AF29" s="34">
        <v>0</v>
      </c>
      <c r="AG29" s="34">
        <v>0</v>
      </c>
      <c r="AH29" s="34">
        <v>0</v>
      </c>
      <c r="AI29" s="34">
        <v>0</v>
      </c>
      <c r="AJ29" s="18">
        <v>46205411</v>
      </c>
      <c r="AK29" s="34">
        <v>0</v>
      </c>
      <c r="AL29" s="18">
        <f>AM29-OCTUBRE!AM29</f>
        <v>5670736</v>
      </c>
      <c r="AM29" s="18">
        <v>38386466</v>
      </c>
      <c r="AN29" s="34">
        <v>0</v>
      </c>
      <c r="AO29" s="18">
        <v>4699094</v>
      </c>
      <c r="AP29" s="18">
        <v>37414824</v>
      </c>
      <c r="AQ29" s="34">
        <v>0</v>
      </c>
      <c r="AR29" s="18">
        <v>3727452</v>
      </c>
      <c r="AS29" s="18">
        <v>36443182</v>
      </c>
      <c r="AT29" s="39">
        <f t="shared" si="7"/>
        <v>36443182</v>
      </c>
      <c r="AU29" s="18">
        <f t="shared" si="10"/>
        <v>7818945</v>
      </c>
      <c r="AV29" s="34">
        <f t="shared" si="11"/>
        <v>971642</v>
      </c>
      <c r="AW29" s="34">
        <f t="shared" si="12"/>
        <v>971642</v>
      </c>
      <c r="AX29" s="32">
        <f t="shared" si="13"/>
        <v>0.80974983644231624</v>
      </c>
    </row>
    <row r="30" spans="1:50" ht="18.75" customHeight="1" x14ac:dyDescent="0.2">
      <c r="A30" s="27" t="s">
        <v>49</v>
      </c>
      <c r="B30" s="27" t="s">
        <v>50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8" t="s">
        <v>80</v>
      </c>
      <c r="AB30" s="29" t="s">
        <v>81</v>
      </c>
      <c r="AC30" s="30" t="s">
        <v>37</v>
      </c>
      <c r="AD30" s="30">
        <f>AD31+AD34</f>
        <v>3301831967</v>
      </c>
      <c r="AE30" s="31">
        <f t="shared" ref="AE30:AS30" si="16">AE31+AE34</f>
        <v>0</v>
      </c>
      <c r="AF30" s="31">
        <f t="shared" si="16"/>
        <v>0</v>
      </c>
      <c r="AG30" s="31">
        <f t="shared" si="16"/>
        <v>26362492</v>
      </c>
      <c r="AH30" s="30">
        <f t="shared" si="16"/>
        <v>120000000</v>
      </c>
      <c r="AI30" s="30">
        <f t="shared" si="16"/>
        <v>-93637508</v>
      </c>
      <c r="AJ30" s="30">
        <f t="shared" si="16"/>
        <v>3208194459</v>
      </c>
      <c r="AK30" s="31">
        <f t="shared" si="16"/>
        <v>0</v>
      </c>
      <c r="AL30" s="30">
        <f t="shared" si="16"/>
        <v>1669587523</v>
      </c>
      <c r="AM30" s="30">
        <f t="shared" si="16"/>
        <v>2498190934</v>
      </c>
      <c r="AN30" s="31">
        <f t="shared" si="16"/>
        <v>0</v>
      </c>
      <c r="AO30" s="30">
        <f t="shared" si="16"/>
        <v>1666221207</v>
      </c>
      <c r="AP30" s="30">
        <f t="shared" si="16"/>
        <v>2494824618</v>
      </c>
      <c r="AQ30" s="31">
        <f t="shared" si="16"/>
        <v>0</v>
      </c>
      <c r="AR30" s="30">
        <f t="shared" si="16"/>
        <v>1653458514</v>
      </c>
      <c r="AS30" s="30">
        <f t="shared" si="16"/>
        <v>2469605819</v>
      </c>
      <c r="AT30" s="39">
        <f t="shared" si="7"/>
        <v>2469605819</v>
      </c>
      <c r="AU30" s="18">
        <f t="shared" si="10"/>
        <v>710003525</v>
      </c>
      <c r="AV30" s="34">
        <f t="shared" si="11"/>
        <v>3366316</v>
      </c>
      <c r="AW30" s="18">
        <f t="shared" si="12"/>
        <v>25218799</v>
      </c>
      <c r="AX30" s="32">
        <f t="shared" si="13"/>
        <v>0.7776413337418584</v>
      </c>
    </row>
    <row r="31" spans="1:50" ht="18.75" customHeight="1" x14ac:dyDescent="0.2">
      <c r="A31" s="27" t="s">
        <v>49</v>
      </c>
      <c r="B31" s="27" t="s">
        <v>50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8" t="s">
        <v>82</v>
      </c>
      <c r="AB31" s="29" t="s">
        <v>83</v>
      </c>
      <c r="AC31" s="30" t="s">
        <v>37</v>
      </c>
      <c r="AD31" s="30">
        <f>AD32+AD33</f>
        <v>2120123016</v>
      </c>
      <c r="AE31" s="31">
        <f t="shared" ref="AE31:AS31" si="17">AE32+AE33</f>
        <v>0</v>
      </c>
      <c r="AF31" s="31">
        <f t="shared" si="17"/>
        <v>0</v>
      </c>
      <c r="AG31" s="31">
        <f t="shared" si="17"/>
        <v>0</v>
      </c>
      <c r="AH31" s="31">
        <f t="shared" si="17"/>
        <v>0</v>
      </c>
      <c r="AI31" s="31">
        <f t="shared" si="17"/>
        <v>0</v>
      </c>
      <c r="AJ31" s="30">
        <f t="shared" si="17"/>
        <v>2120123016</v>
      </c>
      <c r="AK31" s="31">
        <f t="shared" si="17"/>
        <v>0</v>
      </c>
      <c r="AL31" s="30">
        <f t="shared" si="17"/>
        <v>1588362949</v>
      </c>
      <c r="AM31" s="30">
        <f t="shared" si="17"/>
        <v>1716203046</v>
      </c>
      <c r="AN31" s="31">
        <f t="shared" si="17"/>
        <v>0</v>
      </c>
      <c r="AO31" s="30">
        <f>AO32+AO33</f>
        <v>1588362949</v>
      </c>
      <c r="AP31" s="30">
        <f t="shared" si="17"/>
        <v>1716203046</v>
      </c>
      <c r="AQ31" s="31">
        <f t="shared" si="17"/>
        <v>0</v>
      </c>
      <c r="AR31" s="30">
        <f t="shared" si="17"/>
        <v>1588362949</v>
      </c>
      <c r="AS31" s="30">
        <f t="shared" si="17"/>
        <v>1713844073</v>
      </c>
      <c r="AT31" s="39">
        <f t="shared" si="7"/>
        <v>1713844073</v>
      </c>
      <c r="AU31" s="18">
        <f t="shared" si="10"/>
        <v>403919970</v>
      </c>
      <c r="AV31" s="34">
        <f t="shared" si="11"/>
        <v>0</v>
      </c>
      <c r="AW31" s="18">
        <f t="shared" si="12"/>
        <v>2358973</v>
      </c>
      <c r="AX31" s="32">
        <f t="shared" si="13"/>
        <v>0.80948276729617841</v>
      </c>
    </row>
    <row r="32" spans="1:50" ht="18.75" customHeight="1" x14ac:dyDescent="0.2">
      <c r="A32" s="14" t="s">
        <v>55</v>
      </c>
      <c r="B32" s="15" t="s">
        <v>56</v>
      </c>
      <c r="C32" s="15"/>
      <c r="D32" s="15" t="s">
        <v>40</v>
      </c>
      <c r="E32" s="15"/>
      <c r="F32" s="15"/>
      <c r="G32" s="15" t="s">
        <v>41</v>
      </c>
      <c r="H32" s="15"/>
      <c r="I32" s="15" t="s">
        <v>941</v>
      </c>
      <c r="J32" s="15"/>
      <c r="K32" s="15" t="s">
        <v>932</v>
      </c>
      <c r="L32" s="15"/>
      <c r="M32" s="15" t="s">
        <v>933</v>
      </c>
      <c r="N32" s="15"/>
      <c r="O32" s="15" t="s">
        <v>938</v>
      </c>
      <c r="P32" s="15"/>
      <c r="Q32" s="15" t="s">
        <v>939</v>
      </c>
      <c r="R32" s="15"/>
      <c r="S32" s="15" t="s">
        <v>940</v>
      </c>
      <c r="T32" s="15">
        <v>0</v>
      </c>
      <c r="U32" s="15">
        <v>0</v>
      </c>
      <c r="V32" s="15">
        <v>0</v>
      </c>
      <c r="W32" s="15">
        <v>0</v>
      </c>
      <c r="X32" s="15" t="s">
        <v>937</v>
      </c>
      <c r="Y32" s="15"/>
      <c r="Z32" s="15"/>
      <c r="AA32" s="16" t="s">
        <v>84</v>
      </c>
      <c r="AB32" s="17" t="s">
        <v>85</v>
      </c>
      <c r="AC32" s="17" t="s">
        <v>61</v>
      </c>
      <c r="AD32" s="18">
        <v>151225079</v>
      </c>
      <c r="AE32" s="34">
        <v>0</v>
      </c>
      <c r="AF32" s="34">
        <v>0</v>
      </c>
      <c r="AG32" s="34">
        <v>0</v>
      </c>
      <c r="AH32" s="34">
        <v>0</v>
      </c>
      <c r="AI32" s="34">
        <v>0</v>
      </c>
      <c r="AJ32" s="18">
        <v>151225079</v>
      </c>
      <c r="AK32" s="34">
        <v>0</v>
      </c>
      <c r="AL32" s="18">
        <v>0</v>
      </c>
      <c r="AM32" s="18">
        <v>18918026</v>
      </c>
      <c r="AN32" s="34">
        <v>0</v>
      </c>
      <c r="AO32" s="18">
        <v>0</v>
      </c>
      <c r="AP32" s="18">
        <v>18918026</v>
      </c>
      <c r="AQ32" s="34">
        <v>0</v>
      </c>
      <c r="AR32" s="18">
        <v>0</v>
      </c>
      <c r="AS32" s="18">
        <v>18918026</v>
      </c>
      <c r="AT32" s="39">
        <f t="shared" si="7"/>
        <v>18918026</v>
      </c>
      <c r="AU32" s="18">
        <f t="shared" si="10"/>
        <v>132307053</v>
      </c>
      <c r="AV32" s="34">
        <f t="shared" si="11"/>
        <v>0</v>
      </c>
      <c r="AW32" s="18">
        <f t="shared" si="12"/>
        <v>0</v>
      </c>
      <c r="AX32" s="32">
        <f t="shared" si="13"/>
        <v>0.12509846994359977</v>
      </c>
    </row>
    <row r="33" spans="1:50" ht="18.75" customHeight="1" x14ac:dyDescent="0.2">
      <c r="A33" s="14" t="s">
        <v>55</v>
      </c>
      <c r="B33" s="15" t="s">
        <v>56</v>
      </c>
      <c r="C33" s="15"/>
      <c r="D33" s="15" t="s">
        <v>40</v>
      </c>
      <c r="E33" s="15"/>
      <c r="F33" s="15"/>
      <c r="G33" s="15" t="s">
        <v>41</v>
      </c>
      <c r="H33" s="15"/>
      <c r="I33" s="15" t="s">
        <v>936</v>
      </c>
      <c r="J33" s="15"/>
      <c r="K33" s="15" t="s">
        <v>932</v>
      </c>
      <c r="L33" s="15"/>
      <c r="M33" s="15" t="s">
        <v>933</v>
      </c>
      <c r="N33" s="15"/>
      <c r="O33" s="15" t="s">
        <v>938</v>
      </c>
      <c r="P33" s="15"/>
      <c r="Q33" s="15" t="s">
        <v>939</v>
      </c>
      <c r="R33" s="15"/>
      <c r="S33" s="15" t="s">
        <v>940</v>
      </c>
      <c r="T33" s="15">
        <v>0</v>
      </c>
      <c r="U33" s="15">
        <v>0</v>
      </c>
      <c r="V33" s="15">
        <v>0</v>
      </c>
      <c r="W33" s="15">
        <v>0</v>
      </c>
      <c r="X33" s="15" t="s">
        <v>937</v>
      </c>
      <c r="Y33" s="15"/>
      <c r="Z33" s="15"/>
      <c r="AA33" s="16" t="s">
        <v>86</v>
      </c>
      <c r="AB33" s="17" t="s">
        <v>83</v>
      </c>
      <c r="AC33" s="17" t="s">
        <v>58</v>
      </c>
      <c r="AD33" s="18">
        <v>1968897937</v>
      </c>
      <c r="AE33" s="34">
        <v>0</v>
      </c>
      <c r="AF33" s="34">
        <v>0</v>
      </c>
      <c r="AG33" s="34">
        <v>0</v>
      </c>
      <c r="AH33" s="34">
        <v>0</v>
      </c>
      <c r="AI33" s="34">
        <v>0</v>
      </c>
      <c r="AJ33" s="18">
        <v>1968897937</v>
      </c>
      <c r="AK33" s="34">
        <v>0</v>
      </c>
      <c r="AL33" s="18">
        <f>AM33-OCTUBRE!AM33</f>
        <v>1588362949</v>
      </c>
      <c r="AM33" s="18">
        <v>1697285020</v>
      </c>
      <c r="AN33" s="34">
        <v>0</v>
      </c>
      <c r="AO33" s="18">
        <v>1588362949</v>
      </c>
      <c r="AP33" s="18">
        <v>1697285020</v>
      </c>
      <c r="AQ33" s="34">
        <v>0</v>
      </c>
      <c r="AR33" s="18">
        <v>1588362949</v>
      </c>
      <c r="AS33" s="18">
        <v>1694926047</v>
      </c>
      <c r="AT33" s="39">
        <f t="shared" si="7"/>
        <v>1694926047</v>
      </c>
      <c r="AU33" s="18">
        <f t="shared" si="10"/>
        <v>271612917</v>
      </c>
      <c r="AV33" s="34">
        <f t="shared" si="11"/>
        <v>0</v>
      </c>
      <c r="AW33" s="18">
        <f t="shared" si="12"/>
        <v>2358973</v>
      </c>
      <c r="AX33" s="32">
        <f t="shared" si="13"/>
        <v>0.86204824948221781</v>
      </c>
    </row>
    <row r="34" spans="1:50" ht="18.75" customHeight="1" x14ac:dyDescent="0.2">
      <c r="A34" s="27" t="s">
        <v>49</v>
      </c>
      <c r="B34" s="27" t="s">
        <v>50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8" t="s">
        <v>87</v>
      </c>
      <c r="AB34" s="29" t="s">
        <v>88</v>
      </c>
      <c r="AC34" s="30" t="s">
        <v>37</v>
      </c>
      <c r="AD34" s="30">
        <f>AD35+AD36</f>
        <v>1181708951</v>
      </c>
      <c r="AE34" s="31">
        <f t="shared" ref="AE34:AS34" si="18">AE35+AE36</f>
        <v>0</v>
      </c>
      <c r="AF34" s="31">
        <f t="shared" si="18"/>
        <v>0</v>
      </c>
      <c r="AG34" s="31">
        <f t="shared" si="18"/>
        <v>26362492</v>
      </c>
      <c r="AH34" s="30">
        <f t="shared" si="18"/>
        <v>120000000</v>
      </c>
      <c r="AI34" s="30">
        <f t="shared" si="18"/>
        <v>-93637508</v>
      </c>
      <c r="AJ34" s="30">
        <f t="shared" si="18"/>
        <v>1088071443</v>
      </c>
      <c r="AK34" s="31">
        <f t="shared" si="18"/>
        <v>0</v>
      </c>
      <c r="AL34" s="30">
        <f t="shared" si="18"/>
        <v>81224574</v>
      </c>
      <c r="AM34" s="30">
        <f t="shared" si="18"/>
        <v>781987888</v>
      </c>
      <c r="AN34" s="31">
        <f t="shared" si="18"/>
        <v>0</v>
      </c>
      <c r="AO34" s="30">
        <f t="shared" si="18"/>
        <v>77858258</v>
      </c>
      <c r="AP34" s="30">
        <f t="shared" si="18"/>
        <v>778621572</v>
      </c>
      <c r="AQ34" s="31">
        <f t="shared" si="18"/>
        <v>0</v>
      </c>
      <c r="AR34" s="30">
        <f t="shared" si="18"/>
        <v>65095565</v>
      </c>
      <c r="AS34" s="30">
        <f t="shared" si="18"/>
        <v>755761746</v>
      </c>
      <c r="AT34" s="30">
        <f t="shared" si="7"/>
        <v>755761746</v>
      </c>
      <c r="AU34" s="176">
        <f t="shared" si="10"/>
        <v>306083555</v>
      </c>
      <c r="AV34" s="177">
        <f t="shared" si="11"/>
        <v>3366316</v>
      </c>
      <c r="AW34" s="176">
        <f t="shared" si="12"/>
        <v>22859826</v>
      </c>
      <c r="AX34" s="32">
        <f t="shared" si="13"/>
        <v>0.71559783781587583</v>
      </c>
    </row>
    <row r="35" spans="1:50" ht="18.75" customHeight="1" x14ac:dyDescent="0.2">
      <c r="A35" s="35" t="s">
        <v>55</v>
      </c>
      <c r="B35" s="36" t="s">
        <v>56</v>
      </c>
      <c r="C35" s="36"/>
      <c r="D35" s="36" t="s">
        <v>40</v>
      </c>
      <c r="E35" s="36"/>
      <c r="F35" s="36"/>
      <c r="G35" s="36" t="s">
        <v>41</v>
      </c>
      <c r="H35" s="36"/>
      <c r="I35" s="36" t="s">
        <v>936</v>
      </c>
      <c r="J35" s="36"/>
      <c r="K35" s="36" t="s">
        <v>932</v>
      </c>
      <c r="L35" s="36"/>
      <c r="M35" s="36" t="s">
        <v>933</v>
      </c>
      <c r="N35" s="36"/>
      <c r="O35" s="36" t="s">
        <v>938</v>
      </c>
      <c r="P35" s="36"/>
      <c r="Q35" s="36" t="s">
        <v>939</v>
      </c>
      <c r="R35" s="36"/>
      <c r="S35" s="36" t="s">
        <v>940</v>
      </c>
      <c r="T35" s="36">
        <v>0</v>
      </c>
      <c r="U35" s="36">
        <v>0</v>
      </c>
      <c r="V35" s="36">
        <v>0</v>
      </c>
      <c r="W35" s="36">
        <v>0</v>
      </c>
      <c r="X35" s="36" t="s">
        <v>937</v>
      </c>
      <c r="Y35" s="36"/>
      <c r="Z35" s="36"/>
      <c r="AA35" s="37" t="s">
        <v>89</v>
      </c>
      <c r="AB35" s="38" t="s">
        <v>88</v>
      </c>
      <c r="AC35" s="38" t="s">
        <v>58</v>
      </c>
      <c r="AD35" s="39">
        <v>1110945455</v>
      </c>
      <c r="AE35" s="40">
        <v>0</v>
      </c>
      <c r="AF35" s="40">
        <v>0</v>
      </c>
      <c r="AG35" s="40">
        <v>0</v>
      </c>
      <c r="AH35" s="39">
        <v>120000000</v>
      </c>
      <c r="AI35" s="18">
        <f>AE35-AF35+AG35-AH35</f>
        <v>-120000000</v>
      </c>
      <c r="AJ35" s="18">
        <f>AD35+AI35</f>
        <v>990945455</v>
      </c>
      <c r="AK35" s="40">
        <v>0</v>
      </c>
      <c r="AL35" s="18">
        <f>AM35-OCTUBRE!AM35</f>
        <v>63549818</v>
      </c>
      <c r="AM35" s="39">
        <v>723031125</v>
      </c>
      <c r="AN35" s="40">
        <v>0</v>
      </c>
      <c r="AO35" s="39">
        <v>63549818</v>
      </c>
      <c r="AP35" s="39">
        <v>723031125</v>
      </c>
      <c r="AQ35" s="40">
        <v>0</v>
      </c>
      <c r="AR35" s="18">
        <v>54153441</v>
      </c>
      <c r="AS35" s="39">
        <v>703537615</v>
      </c>
      <c r="AT35" s="39">
        <f t="shared" si="7"/>
        <v>703537615</v>
      </c>
      <c r="AU35" s="18">
        <f t="shared" si="10"/>
        <v>267914330</v>
      </c>
      <c r="AV35" s="34">
        <f t="shared" si="11"/>
        <v>0</v>
      </c>
      <c r="AW35" s="18">
        <f t="shared" si="12"/>
        <v>19493510</v>
      </c>
      <c r="AX35" s="32">
        <f t="shared" si="13"/>
        <v>0.72963766204467828</v>
      </c>
    </row>
    <row r="36" spans="1:50" ht="18.75" customHeight="1" x14ac:dyDescent="0.2">
      <c r="A36" s="14" t="s">
        <v>55</v>
      </c>
      <c r="B36" s="15" t="s">
        <v>56</v>
      </c>
      <c r="C36" s="15"/>
      <c r="D36" s="15" t="s">
        <v>40</v>
      </c>
      <c r="E36" s="15"/>
      <c r="F36" s="15"/>
      <c r="G36" s="15" t="s">
        <v>41</v>
      </c>
      <c r="H36" s="15"/>
      <c r="I36" s="15" t="s">
        <v>941</v>
      </c>
      <c r="J36" s="15"/>
      <c r="K36" s="15" t="s">
        <v>932</v>
      </c>
      <c r="L36" s="15"/>
      <c r="M36" s="15" t="s">
        <v>933</v>
      </c>
      <c r="N36" s="15"/>
      <c r="O36" s="15" t="s">
        <v>938</v>
      </c>
      <c r="P36" s="15"/>
      <c r="Q36" s="15" t="s">
        <v>939</v>
      </c>
      <c r="R36" s="15"/>
      <c r="S36" s="15" t="s">
        <v>940</v>
      </c>
      <c r="T36" s="15">
        <v>0</v>
      </c>
      <c r="U36" s="15">
        <v>0</v>
      </c>
      <c r="V36" s="15">
        <v>0</v>
      </c>
      <c r="W36" s="15">
        <v>0</v>
      </c>
      <c r="X36" s="15" t="s">
        <v>937</v>
      </c>
      <c r="Y36" s="15"/>
      <c r="Z36" s="15"/>
      <c r="AA36" s="16" t="s">
        <v>90</v>
      </c>
      <c r="AB36" s="17" t="s">
        <v>91</v>
      </c>
      <c r="AC36" s="17" t="s">
        <v>61</v>
      </c>
      <c r="AD36" s="18">
        <v>70763496</v>
      </c>
      <c r="AE36" s="34">
        <v>0</v>
      </c>
      <c r="AF36" s="34">
        <v>0</v>
      </c>
      <c r="AG36" s="18">
        <v>26362492</v>
      </c>
      <c r="AH36" s="34">
        <v>0</v>
      </c>
      <c r="AI36" s="18">
        <f>AE36-AF36+AG36-AH36</f>
        <v>26362492</v>
      </c>
      <c r="AJ36" s="18">
        <f>AD36+AI36</f>
        <v>97125988</v>
      </c>
      <c r="AK36" s="34">
        <v>0</v>
      </c>
      <c r="AL36" s="18">
        <f>AM36-OCTUBRE!AM36</f>
        <v>17674756</v>
      </c>
      <c r="AM36" s="18">
        <v>58956763</v>
      </c>
      <c r="AN36" s="34">
        <v>0</v>
      </c>
      <c r="AO36" s="39">
        <v>14308440</v>
      </c>
      <c r="AP36" s="18">
        <v>55590447</v>
      </c>
      <c r="AQ36" s="34">
        <v>0</v>
      </c>
      <c r="AR36" s="18">
        <v>10942124</v>
      </c>
      <c r="AS36" s="18">
        <v>52224131</v>
      </c>
      <c r="AT36" s="39">
        <f t="shared" si="7"/>
        <v>52224131</v>
      </c>
      <c r="AU36" s="18">
        <f t="shared" si="10"/>
        <v>38169225</v>
      </c>
      <c r="AV36" s="18">
        <f t="shared" si="11"/>
        <v>3366316</v>
      </c>
      <c r="AW36" s="18">
        <f t="shared" si="12"/>
        <v>3366316</v>
      </c>
      <c r="AX36" s="32">
        <f t="shared" si="13"/>
        <v>0.57235399242476692</v>
      </c>
    </row>
    <row r="37" spans="1:50" ht="18.75" customHeight="1" x14ac:dyDescent="0.2">
      <c r="A37" s="14" t="s">
        <v>49</v>
      </c>
      <c r="B37" s="15" t="s">
        <v>50</v>
      </c>
      <c r="C37" s="15"/>
      <c r="D37" s="15" t="s">
        <v>40</v>
      </c>
      <c r="E37" s="15"/>
      <c r="F37" s="15"/>
      <c r="G37" s="15" t="s">
        <v>41</v>
      </c>
      <c r="H37" s="15"/>
      <c r="I37" s="15" t="s">
        <v>936</v>
      </c>
      <c r="J37" s="15"/>
      <c r="K37" s="15" t="s">
        <v>932</v>
      </c>
      <c r="L37" s="15"/>
      <c r="M37" s="15" t="s">
        <v>933</v>
      </c>
      <c r="N37" s="15"/>
      <c r="O37" s="15" t="s">
        <v>938</v>
      </c>
      <c r="P37" s="15"/>
      <c r="Q37" s="15" t="s">
        <v>939</v>
      </c>
      <c r="R37" s="15"/>
      <c r="S37" s="15" t="s">
        <v>940</v>
      </c>
      <c r="T37" s="15">
        <v>0</v>
      </c>
      <c r="U37" s="15">
        <v>0</v>
      </c>
      <c r="V37" s="15">
        <v>0</v>
      </c>
      <c r="W37" s="15">
        <v>0</v>
      </c>
      <c r="X37" s="15" t="s">
        <v>937</v>
      </c>
      <c r="Y37" s="15"/>
      <c r="Z37" s="15"/>
      <c r="AA37" s="16" t="s">
        <v>92</v>
      </c>
      <c r="AB37" s="17" t="s">
        <v>93</v>
      </c>
      <c r="AC37" s="17" t="s">
        <v>58</v>
      </c>
      <c r="AD37" s="18">
        <v>128952600</v>
      </c>
      <c r="AE37" s="34">
        <v>0</v>
      </c>
      <c r="AF37" s="34">
        <v>0</v>
      </c>
      <c r="AG37" s="18">
        <v>0</v>
      </c>
      <c r="AH37" s="18">
        <f>72000000+56952600</f>
        <v>128952600</v>
      </c>
      <c r="AI37" s="18">
        <f>AE37-AF37+AG37-AH37</f>
        <v>-128952600</v>
      </c>
      <c r="AJ37" s="18">
        <f>AD37+AI37</f>
        <v>0</v>
      </c>
      <c r="AK37" s="34">
        <v>0</v>
      </c>
      <c r="AL37" s="40">
        <v>0</v>
      </c>
      <c r="AM37" s="34">
        <v>0</v>
      </c>
      <c r="AN37" s="34">
        <v>0</v>
      </c>
      <c r="AO37" s="40">
        <v>0</v>
      </c>
      <c r="AP37" s="34">
        <v>0</v>
      </c>
      <c r="AQ37" s="34">
        <v>0</v>
      </c>
      <c r="AR37" s="34">
        <v>0</v>
      </c>
      <c r="AS37" s="34">
        <v>0</v>
      </c>
      <c r="AT37" s="40">
        <f t="shared" si="7"/>
        <v>0</v>
      </c>
      <c r="AU37" s="18">
        <f t="shared" si="10"/>
        <v>0</v>
      </c>
      <c r="AV37" s="34">
        <f t="shared" si="11"/>
        <v>0</v>
      </c>
      <c r="AW37" s="34">
        <f t="shared" si="12"/>
        <v>0</v>
      </c>
      <c r="AX37" s="32">
        <v>0</v>
      </c>
    </row>
    <row r="38" spans="1:50" ht="18.75" customHeight="1" x14ac:dyDescent="0.2">
      <c r="A38" s="35" t="s">
        <v>49</v>
      </c>
      <c r="B38" s="36" t="s">
        <v>50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7" t="s">
        <v>94</v>
      </c>
      <c r="AB38" s="38" t="s">
        <v>95</v>
      </c>
      <c r="AC38" s="38" t="s">
        <v>56</v>
      </c>
      <c r="AD38" s="40">
        <v>0</v>
      </c>
      <c r="AE38" s="40">
        <v>0</v>
      </c>
      <c r="AF38" s="40">
        <v>0</v>
      </c>
      <c r="AG38" s="40">
        <v>0</v>
      </c>
      <c r="AH38" s="40">
        <v>0</v>
      </c>
      <c r="AI38" s="40">
        <v>0</v>
      </c>
      <c r="AJ38" s="40">
        <v>0</v>
      </c>
      <c r="AK38" s="40">
        <v>0</v>
      </c>
      <c r="AL38" s="40">
        <f>AM38-ABRIL!AM38</f>
        <v>0</v>
      </c>
      <c r="AM38" s="40">
        <v>0</v>
      </c>
      <c r="AN38" s="40">
        <v>0</v>
      </c>
      <c r="AO38" s="40">
        <f>AP38-ABRIL!AP38</f>
        <v>0</v>
      </c>
      <c r="AP38" s="40">
        <v>0</v>
      </c>
      <c r="AQ38" s="40">
        <v>0</v>
      </c>
      <c r="AR38" s="34">
        <f>AS38-ABRIL!AS38</f>
        <v>0</v>
      </c>
      <c r="AS38" s="40">
        <v>0</v>
      </c>
      <c r="AT38" s="40">
        <f t="shared" si="7"/>
        <v>0</v>
      </c>
      <c r="AU38" s="34">
        <f t="shared" si="10"/>
        <v>0</v>
      </c>
      <c r="AV38" s="34">
        <f t="shared" si="11"/>
        <v>0</v>
      </c>
      <c r="AW38" s="34">
        <f t="shared" si="12"/>
        <v>0</v>
      </c>
      <c r="AX38" s="32">
        <v>0</v>
      </c>
    </row>
    <row r="39" spans="1:50" ht="18.75" customHeight="1" x14ac:dyDescent="0.2">
      <c r="A39" s="19" t="s">
        <v>49</v>
      </c>
      <c r="B39" s="19" t="s">
        <v>50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26" t="s">
        <v>96</v>
      </c>
      <c r="AB39" s="21" t="s">
        <v>97</v>
      </c>
      <c r="AC39" s="22" t="s">
        <v>37</v>
      </c>
      <c r="AD39" s="22">
        <f>AD40</f>
        <v>23412454</v>
      </c>
      <c r="AE39" s="23">
        <f t="shared" ref="AE39:AW40" si="19">AE40</f>
        <v>0</v>
      </c>
      <c r="AF39" s="23">
        <f t="shared" si="19"/>
        <v>0</v>
      </c>
      <c r="AG39" s="23">
        <f t="shared" si="19"/>
        <v>0</v>
      </c>
      <c r="AH39" s="23">
        <f t="shared" si="19"/>
        <v>0</v>
      </c>
      <c r="AI39" s="23">
        <f t="shared" si="19"/>
        <v>0</v>
      </c>
      <c r="AJ39" s="22">
        <f t="shared" si="19"/>
        <v>23412454</v>
      </c>
      <c r="AK39" s="23">
        <f t="shared" si="19"/>
        <v>0</v>
      </c>
      <c r="AL39" s="23">
        <f t="shared" si="19"/>
        <v>0</v>
      </c>
      <c r="AM39" s="23">
        <f t="shared" si="19"/>
        <v>0</v>
      </c>
      <c r="AN39" s="23">
        <f t="shared" si="19"/>
        <v>0</v>
      </c>
      <c r="AO39" s="23">
        <f t="shared" si="19"/>
        <v>0</v>
      </c>
      <c r="AP39" s="23">
        <f t="shared" si="19"/>
        <v>0</v>
      </c>
      <c r="AQ39" s="23">
        <f t="shared" si="19"/>
        <v>0</v>
      </c>
      <c r="AR39" s="23">
        <f t="shared" si="19"/>
        <v>0</v>
      </c>
      <c r="AS39" s="23">
        <f t="shared" si="19"/>
        <v>0</v>
      </c>
      <c r="AT39" s="23">
        <f>AQ39+AS39</f>
        <v>0</v>
      </c>
      <c r="AU39" s="22">
        <f t="shared" si="19"/>
        <v>23412454</v>
      </c>
      <c r="AV39" s="23">
        <f t="shared" si="19"/>
        <v>0</v>
      </c>
      <c r="AW39" s="23">
        <f t="shared" si="19"/>
        <v>0</v>
      </c>
      <c r="AX39" s="24">
        <f t="shared" ref="AX39:AX104" si="20">AP39/AJ39</f>
        <v>0</v>
      </c>
    </row>
    <row r="40" spans="1:50" ht="18.75" customHeight="1" x14ac:dyDescent="0.2">
      <c r="A40" s="27" t="s">
        <v>55</v>
      </c>
      <c r="B40" s="27" t="s">
        <v>56</v>
      </c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8" t="s">
        <v>98</v>
      </c>
      <c r="AB40" s="29" t="s">
        <v>99</v>
      </c>
      <c r="AC40" s="30" t="s">
        <v>37</v>
      </c>
      <c r="AD40" s="30">
        <f>AD41</f>
        <v>23412454</v>
      </c>
      <c r="AE40" s="31">
        <f t="shared" si="19"/>
        <v>0</v>
      </c>
      <c r="AF40" s="31">
        <f t="shared" si="19"/>
        <v>0</v>
      </c>
      <c r="AG40" s="31">
        <f t="shared" si="19"/>
        <v>0</v>
      </c>
      <c r="AH40" s="31">
        <f t="shared" si="19"/>
        <v>0</v>
      </c>
      <c r="AI40" s="31">
        <f t="shared" si="19"/>
        <v>0</v>
      </c>
      <c r="AJ40" s="30">
        <f t="shared" si="19"/>
        <v>23412454</v>
      </c>
      <c r="AK40" s="31">
        <f t="shared" si="19"/>
        <v>0</v>
      </c>
      <c r="AL40" s="31">
        <f t="shared" si="19"/>
        <v>0</v>
      </c>
      <c r="AM40" s="31">
        <f t="shared" si="19"/>
        <v>0</v>
      </c>
      <c r="AN40" s="31">
        <f t="shared" si="19"/>
        <v>0</v>
      </c>
      <c r="AO40" s="31">
        <f t="shared" si="19"/>
        <v>0</v>
      </c>
      <c r="AP40" s="31">
        <f t="shared" si="19"/>
        <v>0</v>
      </c>
      <c r="AQ40" s="31">
        <f t="shared" si="19"/>
        <v>0</v>
      </c>
      <c r="AR40" s="31">
        <f t="shared" si="19"/>
        <v>0</v>
      </c>
      <c r="AS40" s="31">
        <f t="shared" si="19"/>
        <v>0</v>
      </c>
      <c r="AT40" s="31">
        <f t="shared" ref="AT40:AT41" si="21">AQ40+AS40</f>
        <v>0</v>
      </c>
      <c r="AU40" s="18">
        <f>AJ40-AM40</f>
        <v>23412454</v>
      </c>
      <c r="AV40" s="34">
        <f>AM40-AP40</f>
        <v>0</v>
      </c>
      <c r="AW40" s="34">
        <f>AP40-AT40</f>
        <v>0</v>
      </c>
      <c r="AX40" s="32">
        <f t="shared" si="20"/>
        <v>0</v>
      </c>
    </row>
    <row r="41" spans="1:50" ht="18.75" customHeight="1" x14ac:dyDescent="0.2">
      <c r="A41" s="14" t="s">
        <v>55</v>
      </c>
      <c r="B41" s="15" t="s">
        <v>56</v>
      </c>
      <c r="C41" s="15"/>
      <c r="D41" s="15" t="s">
        <v>40</v>
      </c>
      <c r="E41" s="15"/>
      <c r="F41" s="15"/>
      <c r="G41" s="15" t="s">
        <v>41</v>
      </c>
      <c r="H41" s="15"/>
      <c r="I41" s="15" t="s">
        <v>936</v>
      </c>
      <c r="J41" s="15"/>
      <c r="K41" s="15" t="s">
        <v>932</v>
      </c>
      <c r="L41" s="15"/>
      <c r="M41" s="15" t="s">
        <v>933</v>
      </c>
      <c r="N41" s="15"/>
      <c r="O41" s="15" t="s">
        <v>938</v>
      </c>
      <c r="P41" s="15"/>
      <c r="Q41" s="15" t="s">
        <v>939</v>
      </c>
      <c r="R41" s="15"/>
      <c r="S41" s="15" t="s">
        <v>940</v>
      </c>
      <c r="T41" s="15">
        <v>0</v>
      </c>
      <c r="U41" s="15">
        <v>0</v>
      </c>
      <c r="V41" s="15">
        <v>0</v>
      </c>
      <c r="W41" s="15">
        <v>0</v>
      </c>
      <c r="X41" s="15" t="s">
        <v>937</v>
      </c>
      <c r="Y41" s="15"/>
      <c r="Z41" s="15"/>
      <c r="AA41" s="16" t="s">
        <v>100</v>
      </c>
      <c r="AB41" s="17" t="s">
        <v>101</v>
      </c>
      <c r="AC41" s="17" t="s">
        <v>58</v>
      </c>
      <c r="AD41" s="18">
        <v>23412454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18">
        <v>23412454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1">
        <f t="shared" si="21"/>
        <v>0</v>
      </c>
      <c r="AU41" s="18">
        <f>AJ41-AM41</f>
        <v>23412454</v>
      </c>
      <c r="AV41" s="34">
        <f>AM41-AP41</f>
        <v>0</v>
      </c>
      <c r="AW41" s="34">
        <f>AP41-AT41</f>
        <v>0</v>
      </c>
      <c r="AX41" s="32">
        <f t="shared" si="20"/>
        <v>0</v>
      </c>
    </row>
    <row r="42" spans="1:50" ht="18.75" customHeight="1" x14ac:dyDescent="0.2">
      <c r="A42" s="19" t="s">
        <v>49</v>
      </c>
      <c r="B42" s="19" t="s">
        <v>50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6" t="s">
        <v>102</v>
      </c>
      <c r="AB42" s="21" t="s">
        <v>103</v>
      </c>
      <c r="AC42" s="22" t="s">
        <v>37</v>
      </c>
      <c r="AD42" s="22">
        <f>AD43+AD46+AD49+AD52+AD55+AD58+AD61+AD64+AD67</f>
        <v>9938807657</v>
      </c>
      <c r="AE42" s="23">
        <f t="shared" ref="AE42:AW42" si="22">AE43+AE46+AE49+AE52+AE55+AE58+AE61+AE64+AE67</f>
        <v>0</v>
      </c>
      <c r="AF42" s="23">
        <f t="shared" si="22"/>
        <v>0</v>
      </c>
      <c r="AG42" s="23">
        <f>AG43+AG46+AG49+AG52+AG55+AG58+AG61+AG64+AG67</f>
        <v>1570017</v>
      </c>
      <c r="AH42" s="22">
        <f>AH43+AH46+AH49+AH52+AH55+AH58+AH61+AH64+AH67</f>
        <v>1098070017</v>
      </c>
      <c r="AI42" s="22">
        <f t="shared" si="22"/>
        <v>-1096500000</v>
      </c>
      <c r="AJ42" s="22">
        <f t="shared" si="22"/>
        <v>8842307657</v>
      </c>
      <c r="AK42" s="23">
        <f t="shared" si="22"/>
        <v>0</v>
      </c>
      <c r="AL42" s="22">
        <f t="shared" si="22"/>
        <v>586854322</v>
      </c>
      <c r="AM42" s="22">
        <f t="shared" si="22"/>
        <v>7169866924</v>
      </c>
      <c r="AN42" s="23">
        <f t="shared" si="22"/>
        <v>0</v>
      </c>
      <c r="AO42" s="22">
        <f t="shared" si="22"/>
        <v>642032416</v>
      </c>
      <c r="AP42" s="22">
        <f t="shared" si="22"/>
        <v>7169866924</v>
      </c>
      <c r="AQ42" s="23">
        <f t="shared" si="22"/>
        <v>132323650</v>
      </c>
      <c r="AR42" s="22">
        <f t="shared" si="22"/>
        <v>603290203</v>
      </c>
      <c r="AS42" s="22">
        <f t="shared" si="22"/>
        <v>7034278561</v>
      </c>
      <c r="AT42" s="22">
        <f>AQ42+AS42</f>
        <v>7166602211</v>
      </c>
      <c r="AU42" s="22">
        <f t="shared" si="22"/>
        <v>1672440733</v>
      </c>
      <c r="AV42" s="23">
        <f t="shared" si="22"/>
        <v>0</v>
      </c>
      <c r="AW42" s="23">
        <f t="shared" si="22"/>
        <v>3264713</v>
      </c>
      <c r="AX42" s="24">
        <f t="shared" si="20"/>
        <v>0.8108592464913823</v>
      </c>
    </row>
    <row r="43" spans="1:50" ht="18.75" customHeight="1" x14ac:dyDescent="0.2">
      <c r="A43" s="27" t="s">
        <v>49</v>
      </c>
      <c r="B43" s="27" t="s">
        <v>50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8" t="s">
        <v>104</v>
      </c>
      <c r="AB43" s="29" t="s">
        <v>105</v>
      </c>
      <c r="AC43" s="30" t="s">
        <v>37</v>
      </c>
      <c r="AD43" s="30">
        <f>AD44+AD45</f>
        <v>2694944550</v>
      </c>
      <c r="AE43" s="31">
        <f t="shared" ref="AE43:AS43" si="23">AE44+AE45</f>
        <v>0</v>
      </c>
      <c r="AF43" s="31">
        <f t="shared" si="23"/>
        <v>0</v>
      </c>
      <c r="AG43" s="31">
        <f t="shared" si="23"/>
        <v>0</v>
      </c>
      <c r="AH43" s="30">
        <f t="shared" si="23"/>
        <v>401570017</v>
      </c>
      <c r="AI43" s="30">
        <f t="shared" si="23"/>
        <v>-401570017</v>
      </c>
      <c r="AJ43" s="30">
        <f>AJ44+AJ45</f>
        <v>2293374533</v>
      </c>
      <c r="AK43" s="31">
        <f t="shared" si="23"/>
        <v>0</v>
      </c>
      <c r="AL43" s="30">
        <f t="shared" si="23"/>
        <v>175221402</v>
      </c>
      <c r="AM43" s="30">
        <f t="shared" si="23"/>
        <v>2025685758</v>
      </c>
      <c r="AN43" s="31">
        <f t="shared" si="23"/>
        <v>0</v>
      </c>
      <c r="AO43" s="30">
        <f t="shared" si="23"/>
        <v>217907400</v>
      </c>
      <c r="AP43" s="30">
        <f t="shared" si="23"/>
        <v>2025685758</v>
      </c>
      <c r="AQ43" s="31">
        <f t="shared" si="23"/>
        <v>49899550</v>
      </c>
      <c r="AR43" s="30">
        <f t="shared" si="23"/>
        <v>203857100</v>
      </c>
      <c r="AS43" s="30">
        <f t="shared" si="23"/>
        <v>1975786208</v>
      </c>
      <c r="AT43" s="30">
        <f t="shared" ref="AT43:AT69" si="24">AQ43+AS43</f>
        <v>2025685758</v>
      </c>
      <c r="AU43" s="18">
        <f t="shared" ref="AU43:AU69" si="25">AJ43-AM43</f>
        <v>267688775</v>
      </c>
      <c r="AV43" s="34">
        <f t="shared" ref="AV43:AV69" si="26">AM43-AP43</f>
        <v>0</v>
      </c>
      <c r="AW43" s="34">
        <f t="shared" ref="AW43:AW69" si="27">AP43-AT43</f>
        <v>0</v>
      </c>
      <c r="AX43" s="32">
        <f t="shared" si="20"/>
        <v>0.88327734037848937</v>
      </c>
    </row>
    <row r="44" spans="1:50" ht="18.75" customHeight="1" x14ac:dyDescent="0.2">
      <c r="A44" s="14" t="s">
        <v>55</v>
      </c>
      <c r="B44" s="15" t="s">
        <v>56</v>
      </c>
      <c r="C44" s="15"/>
      <c r="D44" s="15" t="s">
        <v>40</v>
      </c>
      <c r="E44" s="15"/>
      <c r="F44" s="15"/>
      <c r="G44" s="15" t="s">
        <v>41</v>
      </c>
      <c r="H44" s="15"/>
      <c r="I44" s="15" t="s">
        <v>936</v>
      </c>
      <c r="J44" s="15"/>
      <c r="K44" s="15" t="s">
        <v>932</v>
      </c>
      <c r="L44" s="15"/>
      <c r="M44" s="15" t="s">
        <v>933</v>
      </c>
      <c r="N44" s="15"/>
      <c r="O44" s="15" t="s">
        <v>938</v>
      </c>
      <c r="P44" s="15"/>
      <c r="Q44" s="15" t="s">
        <v>939</v>
      </c>
      <c r="R44" s="15"/>
      <c r="S44" s="15" t="s">
        <v>940</v>
      </c>
      <c r="T44" s="15">
        <v>0</v>
      </c>
      <c r="U44" s="15">
        <v>0</v>
      </c>
      <c r="V44" s="15">
        <v>0</v>
      </c>
      <c r="W44" s="15">
        <v>0</v>
      </c>
      <c r="X44" s="15" t="s">
        <v>937</v>
      </c>
      <c r="Y44" s="15"/>
      <c r="Z44" s="15"/>
      <c r="AA44" s="16" t="s">
        <v>106</v>
      </c>
      <c r="AB44" s="17" t="s">
        <v>105</v>
      </c>
      <c r="AC44" s="17" t="s">
        <v>58</v>
      </c>
      <c r="AD44" s="18">
        <v>2434081998</v>
      </c>
      <c r="AE44" s="34">
        <v>0</v>
      </c>
      <c r="AF44" s="34">
        <v>0</v>
      </c>
      <c r="AG44" s="34">
        <v>0</v>
      </c>
      <c r="AH44" s="18">
        <f>70000000+100000000+30000000+200000000</f>
        <v>400000000</v>
      </c>
      <c r="AI44" s="18">
        <f>AE44-AF44+AG44-AH44</f>
        <v>-400000000</v>
      </c>
      <c r="AJ44" s="18">
        <f>AD44+AI44</f>
        <v>2034081998</v>
      </c>
      <c r="AK44" s="34">
        <v>0</v>
      </c>
      <c r="AL44" s="18">
        <f>AM44-OCTUBRE!AM44</f>
        <v>147120302</v>
      </c>
      <c r="AM44" s="18">
        <v>1869242350</v>
      </c>
      <c r="AN44" s="34">
        <v>0</v>
      </c>
      <c r="AO44" s="18">
        <v>189806300</v>
      </c>
      <c r="AP44" s="18">
        <v>1869242350</v>
      </c>
      <c r="AQ44" s="18">
        <v>35849250</v>
      </c>
      <c r="AR44" s="18">
        <v>189806300</v>
      </c>
      <c r="AS44" s="18">
        <v>1833393100</v>
      </c>
      <c r="AT44" s="39">
        <f t="shared" si="24"/>
        <v>1869242350</v>
      </c>
      <c r="AU44" s="18">
        <f t="shared" si="25"/>
        <v>164839648</v>
      </c>
      <c r="AV44" s="34">
        <f t="shared" si="26"/>
        <v>0</v>
      </c>
      <c r="AW44" s="34">
        <f t="shared" si="27"/>
        <v>0</v>
      </c>
      <c r="AX44" s="32">
        <f t="shared" si="20"/>
        <v>0.91896115881165175</v>
      </c>
    </row>
    <row r="45" spans="1:50" ht="27" customHeight="1" x14ac:dyDescent="0.2">
      <c r="A45" s="14" t="s">
        <v>55</v>
      </c>
      <c r="B45" s="15" t="s">
        <v>56</v>
      </c>
      <c r="C45" s="15"/>
      <c r="D45" s="15" t="s">
        <v>40</v>
      </c>
      <c r="E45" s="15"/>
      <c r="F45" s="15"/>
      <c r="G45" s="15" t="s">
        <v>41</v>
      </c>
      <c r="H45" s="15"/>
      <c r="I45" s="15" t="s">
        <v>941</v>
      </c>
      <c r="J45" s="15"/>
      <c r="K45" s="15" t="s">
        <v>932</v>
      </c>
      <c r="L45" s="15"/>
      <c r="M45" s="15" t="s">
        <v>933</v>
      </c>
      <c r="N45" s="15"/>
      <c r="O45" s="15" t="s">
        <v>938</v>
      </c>
      <c r="P45" s="15"/>
      <c r="Q45" s="15" t="s">
        <v>939</v>
      </c>
      <c r="R45" s="15"/>
      <c r="S45" s="15" t="s">
        <v>940</v>
      </c>
      <c r="T45" s="15">
        <v>0</v>
      </c>
      <c r="U45" s="15">
        <v>0</v>
      </c>
      <c r="V45" s="15">
        <v>0</v>
      </c>
      <c r="W45" s="15">
        <v>0</v>
      </c>
      <c r="X45" s="15" t="s">
        <v>937</v>
      </c>
      <c r="Y45" s="15"/>
      <c r="Z45" s="15"/>
      <c r="AA45" s="16" t="s">
        <v>107</v>
      </c>
      <c r="AB45" s="17" t="s">
        <v>108</v>
      </c>
      <c r="AC45" s="17" t="s">
        <v>61</v>
      </c>
      <c r="AD45" s="18">
        <v>260862552</v>
      </c>
      <c r="AE45" s="34">
        <v>0</v>
      </c>
      <c r="AF45" s="34">
        <v>0</v>
      </c>
      <c r="AG45" s="34">
        <v>0</v>
      </c>
      <c r="AH45" s="18">
        <v>1570017</v>
      </c>
      <c r="AI45" s="18">
        <f>AE45-AF45+AG45-AH45</f>
        <v>-1570017</v>
      </c>
      <c r="AJ45" s="18">
        <f>AD45+AI45</f>
        <v>259292535</v>
      </c>
      <c r="AK45" s="34">
        <v>0</v>
      </c>
      <c r="AL45" s="18">
        <f>AM45-OCTUBRE!AM45</f>
        <v>28101100</v>
      </c>
      <c r="AM45" s="18">
        <v>156443408</v>
      </c>
      <c r="AN45" s="34">
        <v>0</v>
      </c>
      <c r="AO45" s="18">
        <v>28101100</v>
      </c>
      <c r="AP45" s="18">
        <v>156443408</v>
      </c>
      <c r="AQ45" s="18">
        <v>14050300</v>
      </c>
      <c r="AR45" s="18">
        <v>14050800</v>
      </c>
      <c r="AS45" s="18">
        <v>142393108</v>
      </c>
      <c r="AT45" s="39">
        <f t="shared" si="24"/>
        <v>156443408</v>
      </c>
      <c r="AU45" s="18">
        <f t="shared" si="25"/>
        <v>102849127</v>
      </c>
      <c r="AV45" s="34">
        <f t="shared" si="26"/>
        <v>0</v>
      </c>
      <c r="AW45" s="34">
        <f t="shared" si="27"/>
        <v>0</v>
      </c>
      <c r="AX45" s="32">
        <f t="shared" si="20"/>
        <v>0.60334713454052968</v>
      </c>
    </row>
    <row r="46" spans="1:50" ht="18.75" customHeight="1" x14ac:dyDescent="0.2">
      <c r="A46" s="27" t="s">
        <v>49</v>
      </c>
      <c r="B46" s="27" t="s">
        <v>50</v>
      </c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8" t="s">
        <v>109</v>
      </c>
      <c r="AB46" s="29" t="s">
        <v>110</v>
      </c>
      <c r="AC46" s="30" t="s">
        <v>37</v>
      </c>
      <c r="AD46" s="30">
        <f>AD47+AD48</f>
        <v>1966170915</v>
      </c>
      <c r="AE46" s="31">
        <f t="shared" ref="AE46:AS46" si="28">AE47+AE48</f>
        <v>0</v>
      </c>
      <c r="AF46" s="31">
        <f t="shared" si="28"/>
        <v>0</v>
      </c>
      <c r="AG46" s="31">
        <f t="shared" si="28"/>
        <v>0</v>
      </c>
      <c r="AH46" s="30">
        <f t="shared" si="28"/>
        <v>220000000</v>
      </c>
      <c r="AI46" s="30">
        <f t="shared" si="28"/>
        <v>-220000000</v>
      </c>
      <c r="AJ46" s="30">
        <f t="shared" si="28"/>
        <v>1746170915</v>
      </c>
      <c r="AK46" s="31">
        <f t="shared" si="28"/>
        <v>0</v>
      </c>
      <c r="AL46" s="30">
        <f t="shared" si="28"/>
        <v>156784404</v>
      </c>
      <c r="AM46" s="30">
        <f t="shared" si="28"/>
        <v>1467335710</v>
      </c>
      <c r="AN46" s="31">
        <f t="shared" si="28"/>
        <v>0</v>
      </c>
      <c r="AO46" s="30">
        <f t="shared" si="28"/>
        <v>156834600</v>
      </c>
      <c r="AP46" s="30">
        <f t="shared" si="28"/>
        <v>1467335710</v>
      </c>
      <c r="AQ46" s="30">
        <f t="shared" si="28"/>
        <v>36899500</v>
      </c>
      <c r="AR46" s="30">
        <f t="shared" si="28"/>
        <v>146876100</v>
      </c>
      <c r="AS46" s="30">
        <f t="shared" si="28"/>
        <v>1430429110</v>
      </c>
      <c r="AT46" s="39">
        <f t="shared" si="24"/>
        <v>1467328610</v>
      </c>
      <c r="AU46" s="18">
        <f t="shared" si="25"/>
        <v>278835205</v>
      </c>
      <c r="AV46" s="34">
        <f t="shared" si="26"/>
        <v>0</v>
      </c>
      <c r="AW46" s="18">
        <f t="shared" si="27"/>
        <v>7100</v>
      </c>
      <c r="AX46" s="32">
        <f t="shared" si="20"/>
        <v>0.84031620123508932</v>
      </c>
    </row>
    <row r="47" spans="1:50" ht="18.75" customHeight="1" x14ac:dyDescent="0.2">
      <c r="A47" s="35" t="s">
        <v>55</v>
      </c>
      <c r="B47" s="36" t="s">
        <v>56</v>
      </c>
      <c r="C47" s="36"/>
      <c r="D47" s="36" t="s">
        <v>40</v>
      </c>
      <c r="E47" s="36"/>
      <c r="F47" s="36"/>
      <c r="G47" s="36" t="s">
        <v>41</v>
      </c>
      <c r="H47" s="36"/>
      <c r="I47" s="36" t="s">
        <v>936</v>
      </c>
      <c r="J47" s="36"/>
      <c r="K47" s="36" t="s">
        <v>932</v>
      </c>
      <c r="L47" s="36"/>
      <c r="M47" s="36" t="s">
        <v>933</v>
      </c>
      <c r="N47" s="36"/>
      <c r="O47" s="36" t="s">
        <v>938</v>
      </c>
      <c r="P47" s="36"/>
      <c r="Q47" s="36" t="s">
        <v>939</v>
      </c>
      <c r="R47" s="36"/>
      <c r="S47" s="36" t="s">
        <v>940</v>
      </c>
      <c r="T47" s="36">
        <v>0</v>
      </c>
      <c r="U47" s="36">
        <v>0</v>
      </c>
      <c r="V47" s="36">
        <v>0</v>
      </c>
      <c r="W47" s="36">
        <v>0</v>
      </c>
      <c r="X47" s="36" t="s">
        <v>937</v>
      </c>
      <c r="Y47" s="36"/>
      <c r="Z47" s="36"/>
      <c r="AA47" s="37" t="s">
        <v>111</v>
      </c>
      <c r="AB47" s="38" t="s">
        <v>110</v>
      </c>
      <c r="AC47" s="38" t="s">
        <v>58</v>
      </c>
      <c r="AD47" s="39">
        <v>1757106683</v>
      </c>
      <c r="AE47" s="40">
        <v>0</v>
      </c>
      <c r="AF47" s="40">
        <v>0</v>
      </c>
      <c r="AG47" s="40">
        <v>0</v>
      </c>
      <c r="AH47" s="39">
        <f>20000000+200000000</f>
        <v>220000000</v>
      </c>
      <c r="AI47" s="18">
        <f>AE47-AF47+AG47-AH47</f>
        <v>-220000000</v>
      </c>
      <c r="AJ47" s="18">
        <f>AD47+AI47</f>
        <v>1537106683</v>
      </c>
      <c r="AK47" s="40">
        <v>0</v>
      </c>
      <c r="AL47" s="18">
        <f>AM47-OCTUBRE!AM47</f>
        <v>136872204</v>
      </c>
      <c r="AM47" s="39">
        <v>1356506124</v>
      </c>
      <c r="AN47" s="40">
        <v>0</v>
      </c>
      <c r="AO47" s="18">
        <v>136922400</v>
      </c>
      <c r="AP47" s="39">
        <v>1356506124</v>
      </c>
      <c r="AQ47" s="39">
        <v>26941000</v>
      </c>
      <c r="AR47" s="18">
        <v>136922400</v>
      </c>
      <c r="AS47" s="39">
        <v>1329558024</v>
      </c>
      <c r="AT47" s="39">
        <f t="shared" si="24"/>
        <v>1356499024</v>
      </c>
      <c r="AU47" s="18">
        <f t="shared" si="25"/>
        <v>180600559</v>
      </c>
      <c r="AV47" s="34">
        <f t="shared" si="26"/>
        <v>0</v>
      </c>
      <c r="AW47" s="18">
        <f t="shared" si="27"/>
        <v>7100</v>
      </c>
      <c r="AX47" s="32">
        <f t="shared" si="20"/>
        <v>0.88250616499336365</v>
      </c>
    </row>
    <row r="48" spans="1:50" ht="18.75" customHeight="1" x14ac:dyDescent="0.2">
      <c r="A48" s="14" t="s">
        <v>55</v>
      </c>
      <c r="B48" s="15" t="s">
        <v>56</v>
      </c>
      <c r="C48" s="15"/>
      <c r="D48" s="15" t="s">
        <v>40</v>
      </c>
      <c r="E48" s="15"/>
      <c r="F48" s="15"/>
      <c r="G48" s="15" t="s">
        <v>41</v>
      </c>
      <c r="H48" s="15"/>
      <c r="I48" s="15" t="s">
        <v>941</v>
      </c>
      <c r="J48" s="15"/>
      <c r="K48" s="15" t="s">
        <v>932</v>
      </c>
      <c r="L48" s="15"/>
      <c r="M48" s="15" t="s">
        <v>933</v>
      </c>
      <c r="N48" s="15"/>
      <c r="O48" s="15" t="s">
        <v>938</v>
      </c>
      <c r="P48" s="15"/>
      <c r="Q48" s="15" t="s">
        <v>939</v>
      </c>
      <c r="R48" s="15"/>
      <c r="S48" s="15" t="s">
        <v>940</v>
      </c>
      <c r="T48" s="15">
        <v>0</v>
      </c>
      <c r="U48" s="15">
        <v>0</v>
      </c>
      <c r="V48" s="15">
        <v>0</v>
      </c>
      <c r="W48" s="15">
        <v>0</v>
      </c>
      <c r="X48" s="15" t="s">
        <v>937</v>
      </c>
      <c r="Y48" s="15"/>
      <c r="Z48" s="15"/>
      <c r="AA48" s="16" t="s">
        <v>112</v>
      </c>
      <c r="AB48" s="17" t="s">
        <v>113</v>
      </c>
      <c r="AC48" s="17" t="s">
        <v>61</v>
      </c>
      <c r="AD48" s="18">
        <v>209064232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18">
        <v>209064232</v>
      </c>
      <c r="AK48" s="34">
        <v>0</v>
      </c>
      <c r="AL48" s="18">
        <f>AM48-OCTUBRE!AM48</f>
        <v>19912200</v>
      </c>
      <c r="AM48" s="18">
        <v>110829586</v>
      </c>
      <c r="AN48" s="34">
        <v>0</v>
      </c>
      <c r="AO48" s="18">
        <v>19912200</v>
      </c>
      <c r="AP48" s="18">
        <v>110829586</v>
      </c>
      <c r="AQ48" s="18">
        <v>9958500</v>
      </c>
      <c r="AR48" s="18">
        <v>9953700</v>
      </c>
      <c r="AS48" s="18">
        <v>100871086</v>
      </c>
      <c r="AT48" s="39">
        <f t="shared" si="24"/>
        <v>110829586</v>
      </c>
      <c r="AU48" s="18">
        <f t="shared" si="25"/>
        <v>98234646</v>
      </c>
      <c r="AV48" s="34">
        <f t="shared" si="26"/>
        <v>0</v>
      </c>
      <c r="AW48" s="34">
        <f t="shared" si="27"/>
        <v>0</v>
      </c>
      <c r="AX48" s="32">
        <f t="shared" si="20"/>
        <v>0.53012217795342442</v>
      </c>
    </row>
    <row r="49" spans="1:50" ht="18.75" customHeight="1" x14ac:dyDescent="0.2">
      <c r="A49" s="27" t="s">
        <v>49</v>
      </c>
      <c r="B49" s="27" t="s">
        <v>50</v>
      </c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8" t="s">
        <v>114</v>
      </c>
      <c r="AB49" s="29" t="s">
        <v>115</v>
      </c>
      <c r="AC49" s="30" t="s">
        <v>37</v>
      </c>
      <c r="AD49" s="30">
        <f>AD50+AD51</f>
        <v>2387025947</v>
      </c>
      <c r="AE49" s="31">
        <f t="shared" ref="AE49:AS49" si="29">AE50+AE51</f>
        <v>0</v>
      </c>
      <c r="AF49" s="31">
        <f t="shared" si="29"/>
        <v>0</v>
      </c>
      <c r="AG49" s="31">
        <f t="shared" si="29"/>
        <v>0</v>
      </c>
      <c r="AH49" s="31">
        <f t="shared" si="29"/>
        <v>0</v>
      </c>
      <c r="AI49" s="31">
        <f t="shared" si="29"/>
        <v>0</v>
      </c>
      <c r="AJ49" s="30">
        <f t="shared" si="29"/>
        <v>2387025947</v>
      </c>
      <c r="AK49" s="31">
        <f t="shared" si="29"/>
        <v>0</v>
      </c>
      <c r="AL49" s="30">
        <f t="shared" si="29"/>
        <v>71791016</v>
      </c>
      <c r="AM49" s="30">
        <f t="shared" si="29"/>
        <v>1842720356</v>
      </c>
      <c r="AN49" s="31">
        <f t="shared" si="29"/>
        <v>0</v>
      </c>
      <c r="AO49" s="30">
        <f t="shared" si="29"/>
        <v>71791016</v>
      </c>
      <c r="AP49" s="30">
        <f t="shared" si="29"/>
        <v>1842720356</v>
      </c>
      <c r="AQ49" s="31">
        <f t="shared" si="29"/>
        <v>0</v>
      </c>
      <c r="AR49" s="30">
        <f t="shared" si="29"/>
        <v>71402103</v>
      </c>
      <c r="AS49" s="30">
        <f t="shared" si="29"/>
        <v>1842331443</v>
      </c>
      <c r="AT49" s="39">
        <f t="shared" si="24"/>
        <v>1842331443</v>
      </c>
      <c r="AU49" s="18">
        <f t="shared" si="25"/>
        <v>544305591</v>
      </c>
      <c r="AV49" s="34">
        <f t="shared" si="26"/>
        <v>0</v>
      </c>
      <c r="AW49" s="34">
        <f t="shared" si="27"/>
        <v>388913</v>
      </c>
      <c r="AX49" s="32">
        <f t="shared" si="20"/>
        <v>0.77197332451116418</v>
      </c>
    </row>
    <row r="50" spans="1:50" ht="18.75" customHeight="1" x14ac:dyDescent="0.2">
      <c r="A50" s="14" t="s">
        <v>55</v>
      </c>
      <c r="B50" s="15" t="s">
        <v>56</v>
      </c>
      <c r="C50" s="15"/>
      <c r="D50" s="15" t="s">
        <v>40</v>
      </c>
      <c r="E50" s="15"/>
      <c r="F50" s="15"/>
      <c r="G50" s="15" t="s">
        <v>41</v>
      </c>
      <c r="H50" s="15"/>
      <c r="I50" s="15" t="s">
        <v>936</v>
      </c>
      <c r="J50" s="15"/>
      <c r="K50" s="15" t="s">
        <v>932</v>
      </c>
      <c r="L50" s="15"/>
      <c r="M50" s="15" t="s">
        <v>933</v>
      </c>
      <c r="N50" s="15"/>
      <c r="O50" s="15" t="s">
        <v>938</v>
      </c>
      <c r="P50" s="15"/>
      <c r="Q50" s="15" t="s">
        <v>939</v>
      </c>
      <c r="R50" s="15"/>
      <c r="S50" s="15" t="s">
        <v>940</v>
      </c>
      <c r="T50" s="15">
        <v>0</v>
      </c>
      <c r="U50" s="15">
        <v>0</v>
      </c>
      <c r="V50" s="15">
        <v>0</v>
      </c>
      <c r="W50" s="15">
        <v>0</v>
      </c>
      <c r="X50" s="15" t="s">
        <v>937</v>
      </c>
      <c r="Y50" s="15"/>
      <c r="Z50" s="15"/>
      <c r="AA50" s="16" t="s">
        <v>116</v>
      </c>
      <c r="AB50" s="17" t="s">
        <v>115</v>
      </c>
      <c r="AC50" s="17" t="s">
        <v>58</v>
      </c>
      <c r="AD50" s="18">
        <v>2208060292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18">
        <v>2208060292</v>
      </c>
      <c r="AK50" s="34">
        <v>0</v>
      </c>
      <c r="AL50" s="18">
        <f>AM50-OCTUBRE!AM50</f>
        <v>71402103</v>
      </c>
      <c r="AM50" s="18">
        <v>1754526563</v>
      </c>
      <c r="AN50" s="34">
        <v>0</v>
      </c>
      <c r="AO50" s="18">
        <v>71402103</v>
      </c>
      <c r="AP50" s="18">
        <v>1754526563</v>
      </c>
      <c r="AQ50" s="34">
        <v>0</v>
      </c>
      <c r="AR50" s="18">
        <v>71402103</v>
      </c>
      <c r="AS50" s="18">
        <v>1754526563</v>
      </c>
      <c r="AT50" s="39">
        <f t="shared" si="24"/>
        <v>1754526563</v>
      </c>
      <c r="AU50" s="18">
        <f t="shared" si="25"/>
        <v>453533729</v>
      </c>
      <c r="AV50" s="34">
        <f t="shared" si="26"/>
        <v>0</v>
      </c>
      <c r="AW50" s="34">
        <f t="shared" si="27"/>
        <v>0</v>
      </c>
      <c r="AX50" s="32">
        <f t="shared" si="20"/>
        <v>0.79460084009336462</v>
      </c>
    </row>
    <row r="51" spans="1:50" ht="18.75" customHeight="1" x14ac:dyDescent="0.2">
      <c r="A51" s="14" t="s">
        <v>55</v>
      </c>
      <c r="B51" s="15" t="s">
        <v>56</v>
      </c>
      <c r="C51" s="15"/>
      <c r="D51" s="15" t="s">
        <v>40</v>
      </c>
      <c r="E51" s="15"/>
      <c r="F51" s="15"/>
      <c r="G51" s="15" t="s">
        <v>41</v>
      </c>
      <c r="H51" s="15"/>
      <c r="I51" s="15" t="s">
        <v>941</v>
      </c>
      <c r="J51" s="15"/>
      <c r="K51" s="15" t="s">
        <v>932</v>
      </c>
      <c r="L51" s="15"/>
      <c r="M51" s="15" t="s">
        <v>933</v>
      </c>
      <c r="N51" s="15"/>
      <c r="O51" s="15" t="s">
        <v>938</v>
      </c>
      <c r="P51" s="15"/>
      <c r="Q51" s="15" t="s">
        <v>939</v>
      </c>
      <c r="R51" s="15"/>
      <c r="S51" s="15" t="s">
        <v>940</v>
      </c>
      <c r="T51" s="15">
        <v>0</v>
      </c>
      <c r="U51" s="15">
        <v>0</v>
      </c>
      <c r="V51" s="15">
        <v>0</v>
      </c>
      <c r="W51" s="15">
        <v>0</v>
      </c>
      <c r="X51" s="15" t="s">
        <v>937</v>
      </c>
      <c r="Y51" s="15"/>
      <c r="Z51" s="15"/>
      <c r="AA51" s="16" t="s">
        <v>117</v>
      </c>
      <c r="AB51" s="17" t="s">
        <v>115</v>
      </c>
      <c r="AC51" s="17" t="s">
        <v>61</v>
      </c>
      <c r="AD51" s="18">
        <v>178965655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18">
        <v>178965655</v>
      </c>
      <c r="AK51" s="34">
        <v>0</v>
      </c>
      <c r="AL51" s="18">
        <f>AM51-OCTUBRE!AM51</f>
        <v>388913</v>
      </c>
      <c r="AM51" s="18">
        <v>88193793</v>
      </c>
      <c r="AN51" s="34">
        <v>0</v>
      </c>
      <c r="AO51" s="18">
        <v>388913</v>
      </c>
      <c r="AP51" s="18">
        <v>88193793</v>
      </c>
      <c r="AQ51" s="34">
        <v>0</v>
      </c>
      <c r="AR51" s="18">
        <v>0</v>
      </c>
      <c r="AS51" s="18">
        <v>87804880</v>
      </c>
      <c r="AT51" s="39">
        <f t="shared" si="24"/>
        <v>87804880</v>
      </c>
      <c r="AU51" s="18">
        <f t="shared" si="25"/>
        <v>90771862</v>
      </c>
      <c r="AV51" s="34">
        <f t="shared" si="26"/>
        <v>0</v>
      </c>
      <c r="AW51" s="34">
        <f t="shared" si="27"/>
        <v>388913</v>
      </c>
      <c r="AX51" s="32">
        <f t="shared" si="20"/>
        <v>0.49279730795274657</v>
      </c>
    </row>
    <row r="52" spans="1:50" ht="18.75" customHeight="1" x14ac:dyDescent="0.2">
      <c r="A52" s="27" t="s">
        <v>49</v>
      </c>
      <c r="B52" s="27" t="s">
        <v>50</v>
      </c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8" t="s">
        <v>118</v>
      </c>
      <c r="AB52" s="29" t="s">
        <v>119</v>
      </c>
      <c r="AC52" s="30" t="s">
        <v>37</v>
      </c>
      <c r="AD52" s="30">
        <f>AD53+AD54</f>
        <v>1154194065</v>
      </c>
      <c r="AE52" s="31">
        <f t="shared" ref="AE52:AS52" si="30">AE53+AE54</f>
        <v>0</v>
      </c>
      <c r="AF52" s="31">
        <f t="shared" si="30"/>
        <v>0</v>
      </c>
      <c r="AG52" s="31">
        <f t="shared" si="30"/>
        <v>684962</v>
      </c>
      <c r="AH52" s="30">
        <f t="shared" si="30"/>
        <v>207000000</v>
      </c>
      <c r="AI52" s="30">
        <f t="shared" si="30"/>
        <v>-206315038</v>
      </c>
      <c r="AJ52" s="30">
        <f t="shared" si="30"/>
        <v>947879027</v>
      </c>
      <c r="AK52" s="31">
        <f t="shared" si="30"/>
        <v>0</v>
      </c>
      <c r="AL52" s="30">
        <f t="shared" si="30"/>
        <v>66518600</v>
      </c>
      <c r="AM52" s="30">
        <f t="shared" si="30"/>
        <v>745768600</v>
      </c>
      <c r="AN52" s="31">
        <f t="shared" si="30"/>
        <v>0</v>
      </c>
      <c r="AO52" s="30">
        <f t="shared" si="30"/>
        <v>78960500</v>
      </c>
      <c r="AP52" s="30">
        <f t="shared" si="30"/>
        <v>745768600</v>
      </c>
      <c r="AQ52" s="30">
        <f t="shared" si="30"/>
        <v>18858100</v>
      </c>
      <c r="AR52" s="30">
        <f t="shared" si="30"/>
        <v>74095800</v>
      </c>
      <c r="AS52" s="30">
        <f t="shared" si="30"/>
        <v>726910500</v>
      </c>
      <c r="AT52" s="30">
        <f t="shared" si="24"/>
        <v>745768600</v>
      </c>
      <c r="AU52" s="18">
        <f t="shared" si="25"/>
        <v>202110427</v>
      </c>
      <c r="AV52" s="34">
        <f t="shared" si="26"/>
        <v>0</v>
      </c>
      <c r="AW52" s="34">
        <f t="shared" si="27"/>
        <v>0</v>
      </c>
      <c r="AX52" s="32">
        <f t="shared" si="20"/>
        <v>0.78677613783726008</v>
      </c>
    </row>
    <row r="53" spans="1:50" ht="18.75" customHeight="1" x14ac:dyDescent="0.2">
      <c r="A53" s="14" t="s">
        <v>55</v>
      </c>
      <c r="B53" s="15" t="s">
        <v>56</v>
      </c>
      <c r="C53" s="15"/>
      <c r="D53" s="15" t="s">
        <v>40</v>
      </c>
      <c r="E53" s="15"/>
      <c r="F53" s="15"/>
      <c r="G53" s="15" t="s">
        <v>41</v>
      </c>
      <c r="H53" s="15"/>
      <c r="I53" s="15" t="s">
        <v>936</v>
      </c>
      <c r="J53" s="15"/>
      <c r="K53" s="15" t="s">
        <v>932</v>
      </c>
      <c r="L53" s="15"/>
      <c r="M53" s="15" t="s">
        <v>933</v>
      </c>
      <c r="N53" s="15"/>
      <c r="O53" s="15" t="s">
        <v>938</v>
      </c>
      <c r="P53" s="15"/>
      <c r="Q53" s="15" t="s">
        <v>939</v>
      </c>
      <c r="R53" s="15"/>
      <c r="S53" s="15" t="s">
        <v>940</v>
      </c>
      <c r="T53" s="15">
        <v>0</v>
      </c>
      <c r="U53" s="15">
        <v>0</v>
      </c>
      <c r="V53" s="15">
        <v>0</v>
      </c>
      <c r="W53" s="15">
        <v>0</v>
      </c>
      <c r="X53" s="15" t="s">
        <v>937</v>
      </c>
      <c r="Y53" s="15"/>
      <c r="Z53" s="15"/>
      <c r="AA53" s="16" t="s">
        <v>120</v>
      </c>
      <c r="AB53" s="17" t="s">
        <v>119</v>
      </c>
      <c r="AC53" s="17" t="s">
        <v>58</v>
      </c>
      <c r="AD53" s="18">
        <v>1088978427</v>
      </c>
      <c r="AE53" s="34">
        <v>0</v>
      </c>
      <c r="AF53" s="34">
        <v>0</v>
      </c>
      <c r="AG53" s="34">
        <v>0</v>
      </c>
      <c r="AH53" s="18">
        <f>79000000+24000000+50000000+54000000</f>
        <v>207000000</v>
      </c>
      <c r="AI53" s="18">
        <f>AE53-AF53+AG53-AH53</f>
        <v>-207000000</v>
      </c>
      <c r="AJ53" s="18">
        <f>AD53+AI53</f>
        <v>881978427</v>
      </c>
      <c r="AK53" s="34">
        <v>0</v>
      </c>
      <c r="AL53" s="18">
        <f>AM53-OCTUBRE!AM53</f>
        <v>56562400</v>
      </c>
      <c r="AM53" s="18">
        <v>688991000</v>
      </c>
      <c r="AN53" s="34">
        <v>0</v>
      </c>
      <c r="AO53" s="18">
        <v>69004300</v>
      </c>
      <c r="AP53" s="18">
        <v>688991000</v>
      </c>
      <c r="AQ53" s="34">
        <v>13993400</v>
      </c>
      <c r="AR53" s="18">
        <v>69004300</v>
      </c>
      <c r="AS53" s="110">
        <v>674997600</v>
      </c>
      <c r="AT53" s="39">
        <f t="shared" si="24"/>
        <v>688991000</v>
      </c>
      <c r="AU53" s="18">
        <f t="shared" si="25"/>
        <v>192987427</v>
      </c>
      <c r="AV53" s="34">
        <f t="shared" si="26"/>
        <v>0</v>
      </c>
      <c r="AW53" s="34">
        <f t="shared" si="27"/>
        <v>0</v>
      </c>
      <c r="AX53" s="32">
        <f t="shared" si="20"/>
        <v>0.78118804146215248</v>
      </c>
    </row>
    <row r="54" spans="1:50" ht="28.5" customHeight="1" x14ac:dyDescent="0.2">
      <c r="A54" s="14" t="s">
        <v>55</v>
      </c>
      <c r="B54" s="15" t="s">
        <v>56</v>
      </c>
      <c r="C54" s="15"/>
      <c r="D54" s="15" t="s">
        <v>40</v>
      </c>
      <c r="E54" s="15"/>
      <c r="F54" s="15"/>
      <c r="G54" s="15" t="s">
        <v>41</v>
      </c>
      <c r="H54" s="15"/>
      <c r="I54" s="15" t="s">
        <v>941</v>
      </c>
      <c r="J54" s="15"/>
      <c r="K54" s="15" t="s">
        <v>932</v>
      </c>
      <c r="L54" s="15"/>
      <c r="M54" s="15" t="s">
        <v>933</v>
      </c>
      <c r="N54" s="15"/>
      <c r="O54" s="15" t="s">
        <v>938</v>
      </c>
      <c r="P54" s="15"/>
      <c r="Q54" s="15" t="s">
        <v>939</v>
      </c>
      <c r="R54" s="15"/>
      <c r="S54" s="15" t="s">
        <v>940</v>
      </c>
      <c r="T54" s="15">
        <v>0</v>
      </c>
      <c r="U54" s="15">
        <v>0</v>
      </c>
      <c r="V54" s="15">
        <v>0</v>
      </c>
      <c r="W54" s="15">
        <v>0</v>
      </c>
      <c r="X54" s="15" t="s">
        <v>937</v>
      </c>
      <c r="Y54" s="15"/>
      <c r="Z54" s="15"/>
      <c r="AA54" s="16" t="s">
        <v>121</v>
      </c>
      <c r="AB54" s="17" t="s">
        <v>122</v>
      </c>
      <c r="AC54" s="17" t="s">
        <v>61</v>
      </c>
      <c r="AD54" s="18">
        <v>65215638</v>
      </c>
      <c r="AE54" s="34">
        <v>0</v>
      </c>
      <c r="AF54" s="34">
        <v>0</v>
      </c>
      <c r="AG54" s="18">
        <v>684962</v>
      </c>
      <c r="AH54" s="34">
        <v>0</v>
      </c>
      <c r="AI54" s="18">
        <f>AE54-AF54+AG54-AH54</f>
        <v>684962</v>
      </c>
      <c r="AJ54" s="18">
        <f>AD54+AI54</f>
        <v>65900600</v>
      </c>
      <c r="AK54" s="34">
        <v>0</v>
      </c>
      <c r="AL54" s="18">
        <f>AM54-OCTUBRE!AM54</f>
        <v>9956200</v>
      </c>
      <c r="AM54" s="18">
        <v>56777600</v>
      </c>
      <c r="AN54" s="34">
        <v>0</v>
      </c>
      <c r="AO54" s="18">
        <v>9956200</v>
      </c>
      <c r="AP54" s="18">
        <v>56777600</v>
      </c>
      <c r="AQ54" s="34">
        <v>4864700</v>
      </c>
      <c r="AR54" s="18">
        <v>5091500</v>
      </c>
      <c r="AS54" s="18">
        <v>51912900</v>
      </c>
      <c r="AT54" s="39">
        <f t="shared" si="24"/>
        <v>56777600</v>
      </c>
      <c r="AU54" s="18">
        <f t="shared" si="25"/>
        <v>9123000</v>
      </c>
      <c r="AV54" s="34">
        <f t="shared" si="26"/>
        <v>0</v>
      </c>
      <c r="AW54" s="34">
        <f t="shared" si="27"/>
        <v>0</v>
      </c>
      <c r="AX54" s="32">
        <f t="shared" si="20"/>
        <v>0.86156423462001863</v>
      </c>
    </row>
    <row r="55" spans="1:50" ht="30.75" customHeight="1" x14ac:dyDescent="0.2">
      <c r="A55" s="27" t="s">
        <v>49</v>
      </c>
      <c r="B55" s="27" t="s">
        <v>50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8" t="s">
        <v>123</v>
      </c>
      <c r="AB55" s="29" t="s">
        <v>124</v>
      </c>
      <c r="AC55" s="30" t="s">
        <v>37</v>
      </c>
      <c r="AD55" s="30">
        <f>AD56+AD57</f>
        <v>308515529</v>
      </c>
      <c r="AE55" s="31">
        <f t="shared" ref="AE55:AS55" si="31">AE56+AE57</f>
        <v>0</v>
      </c>
      <c r="AF55" s="31">
        <f t="shared" si="31"/>
        <v>0</v>
      </c>
      <c r="AG55" s="31">
        <f t="shared" si="31"/>
        <v>0</v>
      </c>
      <c r="AH55" s="30">
        <f t="shared" si="31"/>
        <v>97500000</v>
      </c>
      <c r="AI55" s="30">
        <f t="shared" si="31"/>
        <v>-97500000</v>
      </c>
      <c r="AJ55" s="30">
        <f t="shared" si="31"/>
        <v>211015529</v>
      </c>
      <c r="AK55" s="31">
        <f t="shared" si="31"/>
        <v>0</v>
      </c>
      <c r="AL55" s="30">
        <f t="shared" si="31"/>
        <v>17793600</v>
      </c>
      <c r="AM55" s="30">
        <f t="shared" si="31"/>
        <v>155691200</v>
      </c>
      <c r="AN55" s="31">
        <f t="shared" si="31"/>
        <v>0</v>
      </c>
      <c r="AO55" s="30">
        <f t="shared" si="31"/>
        <v>17793600</v>
      </c>
      <c r="AP55" s="30">
        <f t="shared" si="31"/>
        <v>155691200</v>
      </c>
      <c r="AQ55" s="31">
        <f t="shared" si="31"/>
        <v>3116000</v>
      </c>
      <c r="AR55" s="30">
        <f t="shared" si="31"/>
        <v>14399900</v>
      </c>
      <c r="AS55" s="30">
        <f t="shared" si="31"/>
        <v>149706500</v>
      </c>
      <c r="AT55" s="30">
        <f t="shared" si="24"/>
        <v>152822500</v>
      </c>
      <c r="AU55" s="18">
        <f t="shared" si="25"/>
        <v>55324329</v>
      </c>
      <c r="AV55" s="34">
        <f t="shared" si="26"/>
        <v>0</v>
      </c>
      <c r="AW55" s="34">
        <f t="shared" si="27"/>
        <v>2868700</v>
      </c>
      <c r="AX55" s="32">
        <f t="shared" si="20"/>
        <v>0.73781868442487941</v>
      </c>
    </row>
    <row r="56" spans="1:50" ht="18.75" customHeight="1" x14ac:dyDescent="0.2">
      <c r="A56" s="35" t="s">
        <v>55</v>
      </c>
      <c r="B56" s="36" t="s">
        <v>56</v>
      </c>
      <c r="C56" s="36"/>
      <c r="D56" s="36" t="s">
        <v>40</v>
      </c>
      <c r="E56" s="36"/>
      <c r="F56" s="36"/>
      <c r="G56" s="36" t="s">
        <v>41</v>
      </c>
      <c r="H56" s="36"/>
      <c r="I56" s="36" t="s">
        <v>936</v>
      </c>
      <c r="J56" s="36"/>
      <c r="K56" s="36" t="s">
        <v>932</v>
      </c>
      <c r="L56" s="36"/>
      <c r="M56" s="36" t="s">
        <v>933</v>
      </c>
      <c r="N56" s="36"/>
      <c r="O56" s="36" t="s">
        <v>938</v>
      </c>
      <c r="P56" s="36"/>
      <c r="Q56" s="36" t="s">
        <v>939</v>
      </c>
      <c r="R56" s="36"/>
      <c r="S56" s="36" t="s">
        <v>940</v>
      </c>
      <c r="T56" s="36">
        <v>0</v>
      </c>
      <c r="U56" s="36">
        <v>0</v>
      </c>
      <c r="V56" s="36">
        <v>0</v>
      </c>
      <c r="W56" s="36">
        <v>0</v>
      </c>
      <c r="X56" s="36" t="s">
        <v>937</v>
      </c>
      <c r="Y56" s="36"/>
      <c r="Z56" s="36"/>
      <c r="AA56" s="37" t="s">
        <v>125</v>
      </c>
      <c r="AB56" s="38" t="s">
        <v>124</v>
      </c>
      <c r="AC56" s="38" t="s">
        <v>58</v>
      </c>
      <c r="AD56" s="39">
        <v>299999998</v>
      </c>
      <c r="AE56" s="40">
        <v>0</v>
      </c>
      <c r="AF56" s="40">
        <v>0</v>
      </c>
      <c r="AG56" s="40">
        <v>0</v>
      </c>
      <c r="AH56" s="39">
        <f>37500000+60000000</f>
        <v>97500000</v>
      </c>
      <c r="AI56" s="18">
        <f>AE56-AF56+AG56-AH56</f>
        <v>-97500000</v>
      </c>
      <c r="AJ56" s="18">
        <f>AD56+AI56</f>
        <v>202499998</v>
      </c>
      <c r="AK56" s="40">
        <v>0</v>
      </c>
      <c r="AL56" s="18">
        <f>AM56-OCTUBRE!AM56</f>
        <v>16745400</v>
      </c>
      <c r="AM56" s="39">
        <v>149148400</v>
      </c>
      <c r="AN56" s="40">
        <v>0</v>
      </c>
      <c r="AO56" s="18">
        <v>16745400</v>
      </c>
      <c r="AP56" s="39">
        <v>149148400</v>
      </c>
      <c r="AQ56" s="40">
        <v>2591000</v>
      </c>
      <c r="AR56" s="18">
        <v>13876700</v>
      </c>
      <c r="AS56" s="111">
        <v>143688700</v>
      </c>
      <c r="AT56" s="39">
        <f t="shared" si="24"/>
        <v>146279700</v>
      </c>
      <c r="AU56" s="18">
        <f t="shared" si="25"/>
        <v>53351598</v>
      </c>
      <c r="AV56" s="34">
        <f t="shared" si="26"/>
        <v>0</v>
      </c>
      <c r="AW56" s="34">
        <f t="shared" si="27"/>
        <v>2868700</v>
      </c>
      <c r="AX56" s="32">
        <f t="shared" si="20"/>
        <v>0.7365353159163982</v>
      </c>
    </row>
    <row r="57" spans="1:50" ht="26.25" customHeight="1" x14ac:dyDescent="0.2">
      <c r="A57" s="35" t="s">
        <v>55</v>
      </c>
      <c r="B57" s="36" t="s">
        <v>56</v>
      </c>
      <c r="C57" s="36"/>
      <c r="D57" s="36" t="s">
        <v>40</v>
      </c>
      <c r="E57" s="36"/>
      <c r="F57" s="36"/>
      <c r="G57" s="36" t="s">
        <v>41</v>
      </c>
      <c r="H57" s="36"/>
      <c r="I57" s="36" t="s">
        <v>941</v>
      </c>
      <c r="J57" s="36"/>
      <c r="K57" s="36" t="s">
        <v>932</v>
      </c>
      <c r="L57" s="36"/>
      <c r="M57" s="36" t="s">
        <v>933</v>
      </c>
      <c r="N57" s="36"/>
      <c r="O57" s="36" t="s">
        <v>938</v>
      </c>
      <c r="P57" s="36"/>
      <c r="Q57" s="36" t="s">
        <v>939</v>
      </c>
      <c r="R57" s="36"/>
      <c r="S57" s="36" t="s">
        <v>940</v>
      </c>
      <c r="T57" s="36">
        <v>0</v>
      </c>
      <c r="U57" s="36">
        <v>0</v>
      </c>
      <c r="V57" s="36">
        <v>0</v>
      </c>
      <c r="W57" s="36">
        <v>0</v>
      </c>
      <c r="X57" s="36" t="s">
        <v>937</v>
      </c>
      <c r="Y57" s="36"/>
      <c r="Z57" s="36"/>
      <c r="AA57" s="37" t="s">
        <v>126</v>
      </c>
      <c r="AB57" s="38" t="s">
        <v>127</v>
      </c>
      <c r="AC57" s="38" t="s">
        <v>61</v>
      </c>
      <c r="AD57" s="39">
        <v>8515531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39">
        <v>8515531</v>
      </c>
      <c r="AK57" s="40">
        <v>0</v>
      </c>
      <c r="AL57" s="18">
        <f>AM57-OCTUBRE!AM57</f>
        <v>1048200</v>
      </c>
      <c r="AM57" s="39">
        <v>6542800</v>
      </c>
      <c r="AN57" s="40">
        <v>0</v>
      </c>
      <c r="AO57" s="18">
        <v>1048200</v>
      </c>
      <c r="AP57" s="39">
        <v>6542800</v>
      </c>
      <c r="AQ57" s="40">
        <v>525000</v>
      </c>
      <c r="AR57" s="18">
        <v>523200</v>
      </c>
      <c r="AS57" s="39">
        <v>6017800</v>
      </c>
      <c r="AT57" s="39">
        <f t="shared" si="24"/>
        <v>6542800</v>
      </c>
      <c r="AU57" s="18">
        <f t="shared" si="25"/>
        <v>1972731</v>
      </c>
      <c r="AV57" s="34">
        <f t="shared" si="26"/>
        <v>0</v>
      </c>
      <c r="AW57" s="34">
        <f t="shared" si="27"/>
        <v>0</v>
      </c>
      <c r="AX57" s="32">
        <f t="shared" si="20"/>
        <v>0.76833728865528172</v>
      </c>
    </row>
    <row r="58" spans="1:50" ht="18.75" customHeight="1" x14ac:dyDescent="0.2">
      <c r="A58" s="27" t="s">
        <v>49</v>
      </c>
      <c r="B58" s="27" t="s">
        <v>50</v>
      </c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8" t="s">
        <v>128</v>
      </c>
      <c r="AB58" s="29" t="s">
        <v>129</v>
      </c>
      <c r="AC58" s="30" t="s">
        <v>37</v>
      </c>
      <c r="AD58" s="30">
        <f>AD59+AD60</f>
        <v>865645548</v>
      </c>
      <c r="AE58" s="31">
        <f t="shared" ref="AE58:AS58" si="32">AE59+AE60</f>
        <v>0</v>
      </c>
      <c r="AF58" s="31">
        <f t="shared" si="32"/>
        <v>0</v>
      </c>
      <c r="AG58" s="30">
        <f t="shared" si="32"/>
        <v>513772</v>
      </c>
      <c r="AH58" s="30">
        <f t="shared" si="32"/>
        <v>100000000</v>
      </c>
      <c r="AI58" s="30">
        <f t="shared" si="32"/>
        <v>-99486228</v>
      </c>
      <c r="AJ58" s="30">
        <f t="shared" si="32"/>
        <v>766159320</v>
      </c>
      <c r="AK58" s="31">
        <f t="shared" si="32"/>
        <v>0</v>
      </c>
      <c r="AL58" s="30">
        <f t="shared" si="32"/>
        <v>59224300</v>
      </c>
      <c r="AM58" s="30">
        <f t="shared" si="32"/>
        <v>559355100</v>
      </c>
      <c r="AN58" s="31">
        <f t="shared" si="32"/>
        <v>0</v>
      </c>
      <c r="AO58" s="30">
        <f t="shared" si="32"/>
        <v>59224300</v>
      </c>
      <c r="AP58" s="30">
        <f t="shared" si="32"/>
        <v>559355100</v>
      </c>
      <c r="AQ58" s="31">
        <f t="shared" si="32"/>
        <v>14156000</v>
      </c>
      <c r="AR58" s="30">
        <f t="shared" si="32"/>
        <v>55575700</v>
      </c>
      <c r="AS58" s="30">
        <f t="shared" si="32"/>
        <v>545199100</v>
      </c>
      <c r="AT58" s="30">
        <f t="shared" si="24"/>
        <v>559355100</v>
      </c>
      <c r="AU58" s="176">
        <f t="shared" si="25"/>
        <v>206804220</v>
      </c>
      <c r="AV58" s="34">
        <f t="shared" si="26"/>
        <v>0</v>
      </c>
      <c r="AW58" s="34">
        <f t="shared" si="27"/>
        <v>0</v>
      </c>
      <c r="AX58" s="32">
        <f t="shared" si="20"/>
        <v>0.73007674174086923</v>
      </c>
    </row>
    <row r="59" spans="1:50" ht="18.75" customHeight="1" x14ac:dyDescent="0.2">
      <c r="A59" s="14" t="s">
        <v>55</v>
      </c>
      <c r="B59" s="15" t="s">
        <v>56</v>
      </c>
      <c r="C59" s="15"/>
      <c r="D59" s="15" t="s">
        <v>40</v>
      </c>
      <c r="E59" s="15"/>
      <c r="F59" s="15"/>
      <c r="G59" s="15" t="s">
        <v>41</v>
      </c>
      <c r="H59" s="15"/>
      <c r="I59" s="15" t="s">
        <v>936</v>
      </c>
      <c r="J59" s="15"/>
      <c r="K59" s="15" t="s">
        <v>932</v>
      </c>
      <c r="L59" s="15"/>
      <c r="M59" s="15" t="s">
        <v>933</v>
      </c>
      <c r="N59" s="15"/>
      <c r="O59" s="15" t="s">
        <v>938</v>
      </c>
      <c r="P59" s="15"/>
      <c r="Q59" s="15" t="s">
        <v>939</v>
      </c>
      <c r="R59" s="15"/>
      <c r="S59" s="15" t="s">
        <v>940</v>
      </c>
      <c r="T59" s="15">
        <v>0</v>
      </c>
      <c r="U59" s="15">
        <v>0</v>
      </c>
      <c r="V59" s="15">
        <v>0</v>
      </c>
      <c r="W59" s="15">
        <v>0</v>
      </c>
      <c r="X59" s="15" t="s">
        <v>937</v>
      </c>
      <c r="Y59" s="15"/>
      <c r="Z59" s="15"/>
      <c r="AA59" s="16" t="s">
        <v>130</v>
      </c>
      <c r="AB59" s="17" t="s">
        <v>129</v>
      </c>
      <c r="AC59" s="17" t="s">
        <v>58</v>
      </c>
      <c r="AD59" s="18">
        <v>816733820</v>
      </c>
      <c r="AE59" s="34">
        <v>0</v>
      </c>
      <c r="AF59" s="34">
        <v>0</v>
      </c>
      <c r="AG59" s="18">
        <v>0</v>
      </c>
      <c r="AH59" s="18">
        <v>100000000</v>
      </c>
      <c r="AI59" s="18">
        <f>AE59-AF59+AG59-AH59</f>
        <v>-100000000</v>
      </c>
      <c r="AJ59" s="18">
        <f>AD59+AI59</f>
        <v>716733820</v>
      </c>
      <c r="AK59" s="34">
        <v>0</v>
      </c>
      <c r="AL59" s="18">
        <f>AM59-OCTUBRE!AM59</f>
        <v>51756800</v>
      </c>
      <c r="AM59" s="18">
        <v>516768900</v>
      </c>
      <c r="AN59" s="34">
        <v>0</v>
      </c>
      <c r="AO59" s="18">
        <v>51756800</v>
      </c>
      <c r="AP59" s="18">
        <v>516768900</v>
      </c>
      <c r="AQ59" s="34">
        <v>10507400</v>
      </c>
      <c r="AR59" s="18">
        <v>51756800</v>
      </c>
      <c r="AS59" s="18">
        <v>506261500</v>
      </c>
      <c r="AT59" s="39">
        <f t="shared" si="24"/>
        <v>516768900</v>
      </c>
      <c r="AU59" s="18">
        <f t="shared" si="25"/>
        <v>199964920</v>
      </c>
      <c r="AV59" s="34">
        <f t="shared" si="26"/>
        <v>0</v>
      </c>
      <c r="AW59" s="34">
        <f t="shared" si="27"/>
        <v>0</v>
      </c>
      <c r="AX59" s="32">
        <f t="shared" si="20"/>
        <v>0.72100532384532934</v>
      </c>
    </row>
    <row r="60" spans="1:50" ht="18.75" customHeight="1" x14ac:dyDescent="0.2">
      <c r="A60" s="14" t="s">
        <v>55</v>
      </c>
      <c r="B60" s="15" t="s">
        <v>56</v>
      </c>
      <c r="C60" s="15"/>
      <c r="D60" s="15" t="s">
        <v>40</v>
      </c>
      <c r="E60" s="15"/>
      <c r="F60" s="15"/>
      <c r="G60" s="15" t="s">
        <v>41</v>
      </c>
      <c r="H60" s="15"/>
      <c r="I60" s="15" t="s">
        <v>941</v>
      </c>
      <c r="J60" s="15"/>
      <c r="K60" s="15" t="s">
        <v>932</v>
      </c>
      <c r="L60" s="15"/>
      <c r="M60" s="15" t="s">
        <v>933</v>
      </c>
      <c r="N60" s="15"/>
      <c r="O60" s="15" t="s">
        <v>938</v>
      </c>
      <c r="P60" s="15"/>
      <c r="Q60" s="15" t="s">
        <v>939</v>
      </c>
      <c r="R60" s="15"/>
      <c r="S60" s="15" t="s">
        <v>940</v>
      </c>
      <c r="T60" s="15">
        <v>0</v>
      </c>
      <c r="U60" s="15">
        <v>0</v>
      </c>
      <c r="V60" s="15">
        <v>0</v>
      </c>
      <c r="W60" s="15">
        <v>0</v>
      </c>
      <c r="X60" s="15" t="s">
        <v>937</v>
      </c>
      <c r="Y60" s="15"/>
      <c r="Z60" s="15"/>
      <c r="AA60" s="16" t="s">
        <v>131</v>
      </c>
      <c r="AB60" s="17" t="s">
        <v>129</v>
      </c>
      <c r="AC60" s="17" t="s">
        <v>61</v>
      </c>
      <c r="AD60" s="18">
        <v>48911728</v>
      </c>
      <c r="AE60" s="34">
        <v>0</v>
      </c>
      <c r="AF60" s="34">
        <v>0</v>
      </c>
      <c r="AG60" s="18">
        <v>513772</v>
      </c>
      <c r="AH60" s="34">
        <v>0</v>
      </c>
      <c r="AI60" s="18">
        <f>AE60-AF60+AG60-AH60</f>
        <v>513772</v>
      </c>
      <c r="AJ60" s="18">
        <f>AD60+AI60</f>
        <v>49425500</v>
      </c>
      <c r="AK60" s="34">
        <v>0</v>
      </c>
      <c r="AL60" s="18">
        <f>AM60-OCTUBRE!AM60</f>
        <v>7467500</v>
      </c>
      <c r="AM60" s="18">
        <v>42586200</v>
      </c>
      <c r="AN60" s="34">
        <v>0</v>
      </c>
      <c r="AO60" s="18">
        <v>7467500</v>
      </c>
      <c r="AP60" s="18">
        <v>42586200</v>
      </c>
      <c r="AQ60" s="34">
        <v>3648600</v>
      </c>
      <c r="AR60" s="18">
        <v>3818900</v>
      </c>
      <c r="AS60" s="192">
        <v>38937600</v>
      </c>
      <c r="AT60" s="39">
        <f t="shared" si="24"/>
        <v>42586200</v>
      </c>
      <c r="AU60" s="18">
        <f t="shared" si="25"/>
        <v>6839300</v>
      </c>
      <c r="AV60" s="34">
        <f t="shared" si="26"/>
        <v>0</v>
      </c>
      <c r="AW60" s="34">
        <f t="shared" si="27"/>
        <v>0</v>
      </c>
      <c r="AX60" s="32">
        <f t="shared" si="20"/>
        <v>0.86162406045462359</v>
      </c>
    </row>
    <row r="61" spans="1:50" ht="18.75" customHeight="1" x14ac:dyDescent="0.2">
      <c r="A61" s="27" t="s">
        <v>49</v>
      </c>
      <c r="B61" s="27" t="s">
        <v>50</v>
      </c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8" t="s">
        <v>132</v>
      </c>
      <c r="AB61" s="29" t="s">
        <v>133</v>
      </c>
      <c r="AC61" s="30" t="s">
        <v>37</v>
      </c>
      <c r="AD61" s="30">
        <f>AD62+AD63</f>
        <v>144274257</v>
      </c>
      <c r="AE61" s="31">
        <f t="shared" ref="AE61:AS61" si="33">AE62+AE63</f>
        <v>0</v>
      </c>
      <c r="AF61" s="31">
        <f t="shared" si="33"/>
        <v>0</v>
      </c>
      <c r="AG61" s="31">
        <f t="shared" si="33"/>
        <v>96246</v>
      </c>
      <c r="AH61" s="30">
        <f t="shared" si="33"/>
        <v>20000000</v>
      </c>
      <c r="AI61" s="30">
        <f t="shared" si="33"/>
        <v>-19903754</v>
      </c>
      <c r="AJ61" s="30">
        <f t="shared" si="33"/>
        <v>124370503</v>
      </c>
      <c r="AK61" s="31">
        <f t="shared" si="33"/>
        <v>0</v>
      </c>
      <c r="AL61" s="30">
        <f t="shared" si="33"/>
        <v>9877000</v>
      </c>
      <c r="AM61" s="30">
        <f t="shared" si="33"/>
        <v>93369100</v>
      </c>
      <c r="AN61" s="31">
        <f t="shared" si="33"/>
        <v>0</v>
      </c>
      <c r="AO61" s="30">
        <f t="shared" si="33"/>
        <v>9877000</v>
      </c>
      <c r="AP61" s="30">
        <f t="shared" si="33"/>
        <v>93369100</v>
      </c>
      <c r="AQ61" s="31">
        <f t="shared" si="33"/>
        <v>2349600</v>
      </c>
      <c r="AR61" s="30">
        <f t="shared" si="33"/>
        <v>9267000</v>
      </c>
      <c r="AS61" s="30">
        <f t="shared" si="33"/>
        <v>91019500</v>
      </c>
      <c r="AT61" s="30">
        <f t="shared" si="24"/>
        <v>93369100</v>
      </c>
      <c r="AU61" s="176">
        <f t="shared" si="25"/>
        <v>31001403</v>
      </c>
      <c r="AV61" s="34">
        <f t="shared" si="26"/>
        <v>0</v>
      </c>
      <c r="AW61" s="34">
        <f t="shared" si="27"/>
        <v>0</v>
      </c>
      <c r="AX61" s="32">
        <f t="shared" si="20"/>
        <v>0.75073347576635596</v>
      </c>
    </row>
    <row r="62" spans="1:50" ht="18.75" customHeight="1" x14ac:dyDescent="0.2">
      <c r="A62" s="14" t="s">
        <v>55</v>
      </c>
      <c r="B62" s="15" t="s">
        <v>56</v>
      </c>
      <c r="C62" s="15"/>
      <c r="D62" s="15" t="s">
        <v>40</v>
      </c>
      <c r="E62" s="15"/>
      <c r="F62" s="15"/>
      <c r="G62" s="15" t="s">
        <v>41</v>
      </c>
      <c r="H62" s="15"/>
      <c r="I62" s="15" t="s">
        <v>936</v>
      </c>
      <c r="J62" s="15"/>
      <c r="K62" s="15" t="s">
        <v>932</v>
      </c>
      <c r="L62" s="15"/>
      <c r="M62" s="15" t="s">
        <v>933</v>
      </c>
      <c r="N62" s="15"/>
      <c r="O62" s="15" t="s">
        <v>938</v>
      </c>
      <c r="P62" s="15"/>
      <c r="Q62" s="15" t="s">
        <v>939</v>
      </c>
      <c r="R62" s="15"/>
      <c r="S62" s="15" t="s">
        <v>940</v>
      </c>
      <c r="T62" s="15">
        <v>0</v>
      </c>
      <c r="U62" s="15">
        <v>0</v>
      </c>
      <c r="V62" s="15">
        <v>0</v>
      </c>
      <c r="W62" s="15">
        <v>0</v>
      </c>
      <c r="X62" s="15" t="s">
        <v>937</v>
      </c>
      <c r="Y62" s="15"/>
      <c r="Z62" s="15"/>
      <c r="AA62" s="16" t="s">
        <v>134</v>
      </c>
      <c r="AB62" s="17" t="s">
        <v>133</v>
      </c>
      <c r="AC62" s="17" t="s">
        <v>58</v>
      </c>
      <c r="AD62" s="18">
        <v>136122303</v>
      </c>
      <c r="AE62" s="34">
        <v>0</v>
      </c>
      <c r="AF62" s="34">
        <v>0</v>
      </c>
      <c r="AG62" s="34">
        <v>0</v>
      </c>
      <c r="AH62" s="18">
        <v>20000000</v>
      </c>
      <c r="AI62" s="18">
        <f>AE62-AF62+AG62-AH62</f>
        <v>-20000000</v>
      </c>
      <c r="AJ62" s="18">
        <f>AD62+AI62</f>
        <v>116122303</v>
      </c>
      <c r="AK62" s="34">
        <v>0</v>
      </c>
      <c r="AL62" s="18">
        <f>AM62-OCTUBRE!AM62</f>
        <v>8628700</v>
      </c>
      <c r="AM62" s="18">
        <v>86262100</v>
      </c>
      <c r="AN62" s="34">
        <v>0</v>
      </c>
      <c r="AO62" s="18">
        <v>8628700</v>
      </c>
      <c r="AP62" s="18">
        <v>86262100</v>
      </c>
      <c r="AQ62" s="34">
        <v>1739600</v>
      </c>
      <c r="AR62" s="18">
        <v>8628700</v>
      </c>
      <c r="AS62" s="18">
        <v>84522500</v>
      </c>
      <c r="AT62" s="39">
        <f t="shared" si="24"/>
        <v>86262100</v>
      </c>
      <c r="AU62" s="18">
        <f t="shared" si="25"/>
        <v>29860203</v>
      </c>
      <c r="AV62" s="34">
        <f t="shared" si="26"/>
        <v>0</v>
      </c>
      <c r="AW62" s="34">
        <f t="shared" si="27"/>
        <v>0</v>
      </c>
      <c r="AX62" s="32">
        <f t="shared" si="20"/>
        <v>0.74285557357573251</v>
      </c>
    </row>
    <row r="63" spans="1:50" ht="18.75" customHeight="1" x14ac:dyDescent="0.2">
      <c r="A63" s="14" t="s">
        <v>55</v>
      </c>
      <c r="B63" s="15" t="s">
        <v>56</v>
      </c>
      <c r="C63" s="15"/>
      <c r="D63" s="15" t="s">
        <v>40</v>
      </c>
      <c r="E63" s="15"/>
      <c r="F63" s="15"/>
      <c r="G63" s="15" t="s">
        <v>41</v>
      </c>
      <c r="H63" s="15"/>
      <c r="I63" s="15" t="s">
        <v>941</v>
      </c>
      <c r="J63" s="15"/>
      <c r="K63" s="15" t="s">
        <v>932</v>
      </c>
      <c r="L63" s="15"/>
      <c r="M63" s="15" t="s">
        <v>933</v>
      </c>
      <c r="N63" s="15"/>
      <c r="O63" s="15" t="s">
        <v>938</v>
      </c>
      <c r="P63" s="15"/>
      <c r="Q63" s="15" t="s">
        <v>939</v>
      </c>
      <c r="R63" s="15"/>
      <c r="S63" s="15" t="s">
        <v>940</v>
      </c>
      <c r="T63" s="15">
        <v>0</v>
      </c>
      <c r="U63" s="15">
        <v>0</v>
      </c>
      <c r="V63" s="15">
        <v>0</v>
      </c>
      <c r="W63" s="15">
        <v>0</v>
      </c>
      <c r="X63" s="15" t="s">
        <v>937</v>
      </c>
      <c r="Y63" s="15"/>
      <c r="Z63" s="15"/>
      <c r="AA63" s="16" t="s">
        <v>135</v>
      </c>
      <c r="AB63" s="17" t="s">
        <v>136</v>
      </c>
      <c r="AC63" s="17" t="s">
        <v>61</v>
      </c>
      <c r="AD63" s="18">
        <v>8151954</v>
      </c>
      <c r="AE63" s="34">
        <v>0</v>
      </c>
      <c r="AF63" s="34">
        <v>0</v>
      </c>
      <c r="AG63" s="18">
        <v>96246</v>
      </c>
      <c r="AH63" s="34">
        <v>0</v>
      </c>
      <c r="AI63" s="18">
        <f>AE63-AF63+AG63-AH63</f>
        <v>96246</v>
      </c>
      <c r="AJ63" s="18">
        <f>AD63+AI63</f>
        <v>8248200</v>
      </c>
      <c r="AK63" s="34">
        <v>0</v>
      </c>
      <c r="AL63" s="18">
        <f>AM63-OCTUBRE!AM63</f>
        <v>1248300</v>
      </c>
      <c r="AM63" s="18">
        <v>7107000</v>
      </c>
      <c r="AN63" s="34">
        <v>0</v>
      </c>
      <c r="AO63" s="18">
        <v>1248300</v>
      </c>
      <c r="AP63" s="18">
        <v>7107000</v>
      </c>
      <c r="AQ63" s="34">
        <v>610000</v>
      </c>
      <c r="AR63" s="18">
        <v>638300</v>
      </c>
      <c r="AS63" s="18">
        <v>6497000</v>
      </c>
      <c r="AT63" s="39">
        <f t="shared" si="24"/>
        <v>7107000</v>
      </c>
      <c r="AU63" s="18">
        <f t="shared" si="25"/>
        <v>1141200</v>
      </c>
      <c r="AV63" s="34">
        <f t="shared" si="26"/>
        <v>0</v>
      </c>
      <c r="AW63" s="34">
        <f t="shared" si="27"/>
        <v>0</v>
      </c>
      <c r="AX63" s="32">
        <f t="shared" si="20"/>
        <v>0.86164254019058706</v>
      </c>
    </row>
    <row r="64" spans="1:50" ht="18.75" customHeight="1" x14ac:dyDescent="0.2">
      <c r="A64" s="27" t="s">
        <v>49</v>
      </c>
      <c r="B64" s="27" t="s">
        <v>50</v>
      </c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8" t="s">
        <v>137</v>
      </c>
      <c r="AB64" s="29" t="s">
        <v>138</v>
      </c>
      <c r="AC64" s="30" t="s">
        <v>37</v>
      </c>
      <c r="AD64" s="30">
        <f>AD65+AD66</f>
        <v>144274257</v>
      </c>
      <c r="AE64" s="31">
        <f t="shared" ref="AE64:AS64" si="34">AE65+AE66</f>
        <v>0</v>
      </c>
      <c r="AF64" s="31">
        <f t="shared" si="34"/>
        <v>0</v>
      </c>
      <c r="AG64" s="31">
        <f t="shared" si="34"/>
        <v>96246</v>
      </c>
      <c r="AH64" s="30">
        <f t="shared" si="34"/>
        <v>30000000</v>
      </c>
      <c r="AI64" s="30">
        <f t="shared" si="34"/>
        <v>-29903754</v>
      </c>
      <c r="AJ64" s="30">
        <f t="shared" si="34"/>
        <v>114370503</v>
      </c>
      <c r="AK64" s="31">
        <f t="shared" si="34"/>
        <v>0</v>
      </c>
      <c r="AL64" s="30">
        <f t="shared" si="34"/>
        <v>9889000</v>
      </c>
      <c r="AM64" s="30">
        <f t="shared" si="34"/>
        <v>93381900</v>
      </c>
      <c r="AN64" s="31">
        <f t="shared" si="34"/>
        <v>0</v>
      </c>
      <c r="AO64" s="30">
        <f t="shared" si="34"/>
        <v>9889000</v>
      </c>
      <c r="AP64" s="30">
        <f t="shared" si="34"/>
        <v>93381900</v>
      </c>
      <c r="AQ64" s="31">
        <f t="shared" si="34"/>
        <v>2349600</v>
      </c>
      <c r="AR64" s="30">
        <f t="shared" si="34"/>
        <v>9279000</v>
      </c>
      <c r="AS64" s="30">
        <f t="shared" si="34"/>
        <v>91032300</v>
      </c>
      <c r="AT64" s="30">
        <f t="shared" si="24"/>
        <v>93381900</v>
      </c>
      <c r="AU64" s="83">
        <f t="shared" si="25"/>
        <v>20988603</v>
      </c>
      <c r="AV64" s="34">
        <f t="shared" si="26"/>
        <v>0</v>
      </c>
      <c r="AW64" s="34">
        <f t="shared" si="27"/>
        <v>0</v>
      </c>
      <c r="AX64" s="32">
        <f t="shared" si="20"/>
        <v>0.81648587311013221</v>
      </c>
    </row>
    <row r="65" spans="1:50" ht="18.75" customHeight="1" x14ac:dyDescent="0.2">
      <c r="A65" s="14" t="s">
        <v>55</v>
      </c>
      <c r="B65" s="15" t="s">
        <v>56</v>
      </c>
      <c r="C65" s="15"/>
      <c r="D65" s="15" t="s">
        <v>40</v>
      </c>
      <c r="E65" s="15"/>
      <c r="F65" s="15"/>
      <c r="G65" s="15" t="s">
        <v>41</v>
      </c>
      <c r="H65" s="15"/>
      <c r="I65" s="15" t="s">
        <v>936</v>
      </c>
      <c r="J65" s="15"/>
      <c r="K65" s="15" t="s">
        <v>932</v>
      </c>
      <c r="L65" s="15"/>
      <c r="M65" s="15" t="s">
        <v>933</v>
      </c>
      <c r="N65" s="15"/>
      <c r="O65" s="15" t="s">
        <v>938</v>
      </c>
      <c r="P65" s="15"/>
      <c r="Q65" s="15" t="s">
        <v>939</v>
      </c>
      <c r="R65" s="15"/>
      <c r="S65" s="15" t="s">
        <v>940</v>
      </c>
      <c r="T65" s="15">
        <v>0</v>
      </c>
      <c r="U65" s="15">
        <v>0</v>
      </c>
      <c r="V65" s="15">
        <v>0</v>
      </c>
      <c r="W65" s="15">
        <v>0</v>
      </c>
      <c r="X65" s="15" t="s">
        <v>937</v>
      </c>
      <c r="Y65" s="15"/>
      <c r="Z65" s="15"/>
      <c r="AA65" s="16" t="s">
        <v>139</v>
      </c>
      <c r="AB65" s="17" t="s">
        <v>138</v>
      </c>
      <c r="AC65" s="17" t="s">
        <v>58</v>
      </c>
      <c r="AD65" s="18">
        <v>136122303</v>
      </c>
      <c r="AE65" s="34">
        <v>0</v>
      </c>
      <c r="AF65" s="34">
        <v>0</v>
      </c>
      <c r="AG65" s="34">
        <v>0</v>
      </c>
      <c r="AH65" s="18">
        <v>30000000</v>
      </c>
      <c r="AI65" s="18">
        <f>AE65-AF65+AG65-AH65</f>
        <v>-30000000</v>
      </c>
      <c r="AJ65" s="18">
        <f>AD65+AI65</f>
        <v>106122303</v>
      </c>
      <c r="AK65" s="34">
        <v>0</v>
      </c>
      <c r="AL65" s="18">
        <f>AM65-OCTUBRE!AM65</f>
        <v>8640700</v>
      </c>
      <c r="AM65" s="18">
        <v>86274900</v>
      </c>
      <c r="AN65" s="34">
        <v>0</v>
      </c>
      <c r="AO65" s="18">
        <v>8640700</v>
      </c>
      <c r="AP65" s="18">
        <v>86274900</v>
      </c>
      <c r="AQ65" s="34">
        <v>1739600</v>
      </c>
      <c r="AR65" s="18">
        <v>8640700</v>
      </c>
      <c r="AS65" s="18">
        <v>84535300</v>
      </c>
      <c r="AT65" s="39">
        <f t="shared" si="24"/>
        <v>86274900</v>
      </c>
      <c r="AU65" s="18">
        <f t="shared" si="25"/>
        <v>19847403</v>
      </c>
      <c r="AV65" s="34">
        <f t="shared" si="26"/>
        <v>0</v>
      </c>
      <c r="AW65" s="34">
        <f t="shared" si="27"/>
        <v>0</v>
      </c>
      <c r="AX65" s="32">
        <f t="shared" si="20"/>
        <v>0.81297613754198306</v>
      </c>
    </row>
    <row r="66" spans="1:50" ht="18.75" customHeight="1" x14ac:dyDescent="0.2">
      <c r="A66" s="14" t="s">
        <v>55</v>
      </c>
      <c r="B66" s="15" t="s">
        <v>56</v>
      </c>
      <c r="C66" s="15"/>
      <c r="D66" s="15" t="s">
        <v>40</v>
      </c>
      <c r="E66" s="15"/>
      <c r="F66" s="15"/>
      <c r="G66" s="15" t="s">
        <v>41</v>
      </c>
      <c r="H66" s="15"/>
      <c r="I66" s="15" t="s">
        <v>941</v>
      </c>
      <c r="J66" s="15"/>
      <c r="K66" s="15" t="s">
        <v>932</v>
      </c>
      <c r="L66" s="15"/>
      <c r="M66" s="15" t="s">
        <v>933</v>
      </c>
      <c r="N66" s="15"/>
      <c r="O66" s="15" t="s">
        <v>938</v>
      </c>
      <c r="P66" s="15"/>
      <c r="Q66" s="15" t="s">
        <v>939</v>
      </c>
      <c r="R66" s="15"/>
      <c r="S66" s="15" t="s">
        <v>940</v>
      </c>
      <c r="T66" s="15">
        <v>0</v>
      </c>
      <c r="U66" s="15">
        <v>0</v>
      </c>
      <c r="V66" s="15">
        <v>0</v>
      </c>
      <c r="W66" s="15">
        <v>0</v>
      </c>
      <c r="X66" s="15" t="s">
        <v>937</v>
      </c>
      <c r="Y66" s="15"/>
      <c r="Z66" s="15"/>
      <c r="AA66" s="16" t="s">
        <v>140</v>
      </c>
      <c r="AB66" s="17" t="s">
        <v>141</v>
      </c>
      <c r="AC66" s="17" t="s">
        <v>61</v>
      </c>
      <c r="AD66" s="18">
        <v>8151954</v>
      </c>
      <c r="AE66" s="34">
        <v>0</v>
      </c>
      <c r="AF66" s="34">
        <v>0</v>
      </c>
      <c r="AG66" s="18">
        <v>96246</v>
      </c>
      <c r="AH66" s="34">
        <v>0</v>
      </c>
      <c r="AI66" s="18">
        <f>AE66-AF66+AG66-AH66</f>
        <v>96246</v>
      </c>
      <c r="AJ66" s="18">
        <f>AD66+AI66</f>
        <v>8248200</v>
      </c>
      <c r="AK66" s="34">
        <v>0</v>
      </c>
      <c r="AL66" s="18">
        <f>AM66-OCTUBRE!AM66</f>
        <v>1248300</v>
      </c>
      <c r="AM66" s="18">
        <v>7107000</v>
      </c>
      <c r="AN66" s="34">
        <v>0</v>
      </c>
      <c r="AO66" s="18">
        <v>1248300</v>
      </c>
      <c r="AP66" s="18">
        <v>7107000</v>
      </c>
      <c r="AQ66" s="34">
        <v>610000</v>
      </c>
      <c r="AR66" s="18">
        <v>638300</v>
      </c>
      <c r="AS66" s="18">
        <v>6497000</v>
      </c>
      <c r="AT66" s="39">
        <f t="shared" si="24"/>
        <v>7107000</v>
      </c>
      <c r="AU66" s="18">
        <f t="shared" si="25"/>
        <v>1141200</v>
      </c>
      <c r="AV66" s="34">
        <f t="shared" si="26"/>
        <v>0</v>
      </c>
      <c r="AW66" s="34">
        <f t="shared" si="27"/>
        <v>0</v>
      </c>
      <c r="AX66" s="32">
        <f t="shared" si="20"/>
        <v>0.86164254019058706</v>
      </c>
    </row>
    <row r="67" spans="1:50" ht="27" customHeight="1" x14ac:dyDescent="0.2">
      <c r="A67" s="27" t="s">
        <v>55</v>
      </c>
      <c r="B67" s="27" t="s">
        <v>56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8" t="s">
        <v>142</v>
      </c>
      <c r="AB67" s="29" t="s">
        <v>143</v>
      </c>
      <c r="AC67" s="30" t="s">
        <v>37</v>
      </c>
      <c r="AD67" s="30">
        <f>AD68+AD69</f>
        <v>273762589</v>
      </c>
      <c r="AE67" s="31">
        <f t="shared" ref="AE67:AS67" si="35">AE68+AE69</f>
        <v>0</v>
      </c>
      <c r="AF67" s="31">
        <f t="shared" si="35"/>
        <v>0</v>
      </c>
      <c r="AG67" s="31">
        <f t="shared" si="35"/>
        <v>178791</v>
      </c>
      <c r="AH67" s="30">
        <f t="shared" si="35"/>
        <v>22000000</v>
      </c>
      <c r="AI67" s="30">
        <f t="shared" si="35"/>
        <v>-21821209</v>
      </c>
      <c r="AJ67" s="30">
        <f t="shared" si="35"/>
        <v>251941380</v>
      </c>
      <c r="AK67" s="31">
        <f t="shared" si="35"/>
        <v>0</v>
      </c>
      <c r="AL67" s="30">
        <f t="shared" si="35"/>
        <v>19755000</v>
      </c>
      <c r="AM67" s="30">
        <f t="shared" si="35"/>
        <v>186559200</v>
      </c>
      <c r="AN67" s="31">
        <f t="shared" si="35"/>
        <v>0</v>
      </c>
      <c r="AO67" s="30">
        <f t="shared" si="35"/>
        <v>19755000</v>
      </c>
      <c r="AP67" s="30">
        <f t="shared" si="35"/>
        <v>186559200</v>
      </c>
      <c r="AQ67" s="31">
        <f t="shared" si="35"/>
        <v>4695300</v>
      </c>
      <c r="AR67" s="30">
        <f t="shared" si="35"/>
        <v>18537500</v>
      </c>
      <c r="AS67" s="30">
        <f t="shared" si="35"/>
        <v>181863900</v>
      </c>
      <c r="AT67" s="30">
        <f t="shared" si="24"/>
        <v>186559200</v>
      </c>
      <c r="AU67" s="176">
        <f t="shared" si="25"/>
        <v>65382180</v>
      </c>
      <c r="AV67" s="34">
        <f t="shared" si="26"/>
        <v>0</v>
      </c>
      <c r="AW67" s="34">
        <f t="shared" si="27"/>
        <v>0</v>
      </c>
      <c r="AX67" s="32">
        <f t="shared" si="20"/>
        <v>0.74048653698729439</v>
      </c>
    </row>
    <row r="68" spans="1:50" ht="27" customHeight="1" x14ac:dyDescent="0.2">
      <c r="A68" s="35" t="s">
        <v>55</v>
      </c>
      <c r="B68" s="36" t="s">
        <v>56</v>
      </c>
      <c r="C68" s="36"/>
      <c r="D68" s="36" t="s">
        <v>40</v>
      </c>
      <c r="E68" s="36"/>
      <c r="F68" s="36"/>
      <c r="G68" s="36" t="s">
        <v>41</v>
      </c>
      <c r="H68" s="36"/>
      <c r="I68" s="36" t="s">
        <v>936</v>
      </c>
      <c r="J68" s="36"/>
      <c r="K68" s="36" t="s">
        <v>932</v>
      </c>
      <c r="L68" s="36"/>
      <c r="M68" s="36" t="s">
        <v>933</v>
      </c>
      <c r="N68" s="36"/>
      <c r="O68" s="36" t="s">
        <v>938</v>
      </c>
      <c r="P68" s="36"/>
      <c r="Q68" s="36" t="s">
        <v>939</v>
      </c>
      <c r="R68" s="36"/>
      <c r="S68" s="36" t="s">
        <v>940</v>
      </c>
      <c r="T68" s="36">
        <v>0</v>
      </c>
      <c r="U68" s="36">
        <v>0</v>
      </c>
      <c r="V68" s="36">
        <v>0</v>
      </c>
      <c r="W68" s="36">
        <v>0</v>
      </c>
      <c r="X68" s="36" t="s">
        <v>937</v>
      </c>
      <c r="Y68" s="36"/>
      <c r="Z68" s="36"/>
      <c r="AA68" s="37" t="s">
        <v>144</v>
      </c>
      <c r="AB68" s="38" t="s">
        <v>145</v>
      </c>
      <c r="AC68" s="38" t="s">
        <v>58</v>
      </c>
      <c r="AD68" s="39">
        <v>257458680</v>
      </c>
      <c r="AE68" s="40">
        <v>0</v>
      </c>
      <c r="AF68" s="40">
        <v>0</v>
      </c>
      <c r="AG68" s="40">
        <v>0</v>
      </c>
      <c r="AH68" s="39">
        <v>22000000</v>
      </c>
      <c r="AI68" s="18">
        <f>AE68-AF68+AG68-AH68</f>
        <v>-22000000</v>
      </c>
      <c r="AJ68" s="18">
        <f>AD68+AI68</f>
        <v>235458680</v>
      </c>
      <c r="AK68" s="40">
        <v>0</v>
      </c>
      <c r="AL68" s="18">
        <f>AM68-OCTUBRE!AM68</f>
        <v>17263100</v>
      </c>
      <c r="AM68" s="39">
        <v>172362600</v>
      </c>
      <c r="AN68" s="40">
        <v>0</v>
      </c>
      <c r="AO68" s="18">
        <v>17263100</v>
      </c>
      <c r="AP68" s="39">
        <v>172362600</v>
      </c>
      <c r="AQ68" s="40">
        <v>3477800</v>
      </c>
      <c r="AR68" s="18">
        <v>17263100</v>
      </c>
      <c r="AS68" s="39">
        <v>168884800</v>
      </c>
      <c r="AT68" s="39">
        <f t="shared" si="24"/>
        <v>172362600</v>
      </c>
      <c r="AU68" s="18">
        <f t="shared" si="25"/>
        <v>63096080</v>
      </c>
      <c r="AV68" s="34">
        <f t="shared" si="26"/>
        <v>0</v>
      </c>
      <c r="AW68" s="34">
        <f t="shared" si="27"/>
        <v>0</v>
      </c>
      <c r="AX68" s="32">
        <f t="shared" si="20"/>
        <v>0.73202907618440738</v>
      </c>
    </row>
    <row r="69" spans="1:50" ht="31.5" customHeight="1" x14ac:dyDescent="0.2">
      <c r="A69" s="14" t="s">
        <v>55</v>
      </c>
      <c r="B69" s="15" t="s">
        <v>56</v>
      </c>
      <c r="C69" s="15"/>
      <c r="D69" s="15" t="s">
        <v>40</v>
      </c>
      <c r="E69" s="15"/>
      <c r="F69" s="15"/>
      <c r="G69" s="15" t="s">
        <v>41</v>
      </c>
      <c r="H69" s="15"/>
      <c r="I69" s="15" t="s">
        <v>941</v>
      </c>
      <c r="J69" s="15"/>
      <c r="K69" s="15" t="s">
        <v>932</v>
      </c>
      <c r="L69" s="15"/>
      <c r="M69" s="15" t="s">
        <v>933</v>
      </c>
      <c r="N69" s="15"/>
      <c r="O69" s="15" t="s">
        <v>938</v>
      </c>
      <c r="P69" s="15"/>
      <c r="Q69" s="15" t="s">
        <v>939</v>
      </c>
      <c r="R69" s="15"/>
      <c r="S69" s="15" t="s">
        <v>940</v>
      </c>
      <c r="T69" s="15">
        <v>0</v>
      </c>
      <c r="U69" s="15">
        <v>0</v>
      </c>
      <c r="V69" s="15">
        <v>0</v>
      </c>
      <c r="W69" s="15">
        <v>0</v>
      </c>
      <c r="X69" s="15" t="s">
        <v>937</v>
      </c>
      <c r="Y69" s="15"/>
      <c r="Z69" s="15"/>
      <c r="AA69" s="16" t="s">
        <v>146</v>
      </c>
      <c r="AB69" s="17" t="s">
        <v>147</v>
      </c>
      <c r="AC69" s="17" t="s">
        <v>61</v>
      </c>
      <c r="AD69" s="18">
        <v>16303909</v>
      </c>
      <c r="AE69" s="34">
        <v>0</v>
      </c>
      <c r="AF69" s="34">
        <v>0</v>
      </c>
      <c r="AG69" s="18">
        <v>178791</v>
      </c>
      <c r="AH69" s="34">
        <v>0</v>
      </c>
      <c r="AI69" s="18">
        <f>AE69-AF69+AG69-AH69</f>
        <v>178791</v>
      </c>
      <c r="AJ69" s="18">
        <f>AD69+AI69</f>
        <v>16482700</v>
      </c>
      <c r="AK69" s="34">
        <v>0</v>
      </c>
      <c r="AL69" s="18">
        <f>AM69-OCTUBRE!AM69</f>
        <v>2491900</v>
      </c>
      <c r="AM69" s="18">
        <v>14196600</v>
      </c>
      <c r="AN69" s="34">
        <v>0</v>
      </c>
      <c r="AO69" s="18">
        <v>2491900</v>
      </c>
      <c r="AP69" s="18">
        <v>14196600</v>
      </c>
      <c r="AQ69" s="18">
        <v>1217500</v>
      </c>
      <c r="AR69" s="18">
        <v>1274400</v>
      </c>
      <c r="AS69" s="18">
        <v>12979100</v>
      </c>
      <c r="AT69" s="39">
        <f t="shared" si="24"/>
        <v>14196600</v>
      </c>
      <c r="AU69" s="18">
        <f t="shared" si="25"/>
        <v>2286100</v>
      </c>
      <c r="AV69" s="34">
        <f t="shared" si="26"/>
        <v>0</v>
      </c>
      <c r="AW69" s="34">
        <f t="shared" si="27"/>
        <v>0</v>
      </c>
      <c r="AX69" s="32">
        <f t="shared" si="20"/>
        <v>0.86130306321173111</v>
      </c>
    </row>
    <row r="70" spans="1:50" ht="27" customHeight="1" x14ac:dyDescent="0.2">
      <c r="A70" s="19" t="s">
        <v>49</v>
      </c>
      <c r="B70" s="19" t="s">
        <v>50</v>
      </c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26" t="s">
        <v>148</v>
      </c>
      <c r="AB70" s="21" t="s">
        <v>149</v>
      </c>
      <c r="AC70" s="22" t="s">
        <v>37</v>
      </c>
      <c r="AD70" s="22">
        <f>AD71+AD81+AD82+AD83+AD84+AD85</f>
        <v>2847587617</v>
      </c>
      <c r="AE70" s="23">
        <f t="shared" ref="AE70:AW70" si="36">AE71+AE81+AE82+AE83+AE84+AE85</f>
        <v>0</v>
      </c>
      <c r="AF70" s="23">
        <f t="shared" si="36"/>
        <v>0</v>
      </c>
      <c r="AG70" s="22">
        <f>AG71+AG81+AG82+AG83+AG84+AG85</f>
        <v>89698919</v>
      </c>
      <c r="AH70" s="22">
        <f>AH71+AH81+AH82+AH83+AH84+AH85</f>
        <v>312000000</v>
      </c>
      <c r="AI70" s="22">
        <f t="shared" si="36"/>
        <v>-222301081</v>
      </c>
      <c r="AJ70" s="22">
        <f>AJ71+AJ81+AJ82+AJ83+AJ84+AJ85</f>
        <v>2625286536</v>
      </c>
      <c r="AK70" s="23">
        <f t="shared" si="36"/>
        <v>0</v>
      </c>
      <c r="AL70" s="22">
        <f t="shared" si="36"/>
        <v>247611747</v>
      </c>
      <c r="AM70" s="22">
        <f t="shared" si="36"/>
        <v>1499330632</v>
      </c>
      <c r="AN70" s="23">
        <f t="shared" si="36"/>
        <v>0</v>
      </c>
      <c r="AO70" s="22">
        <f t="shared" si="36"/>
        <v>242477169</v>
      </c>
      <c r="AP70" s="22">
        <f t="shared" si="36"/>
        <v>1494196054</v>
      </c>
      <c r="AQ70" s="23">
        <f t="shared" si="36"/>
        <v>0</v>
      </c>
      <c r="AR70" s="22">
        <f t="shared" si="36"/>
        <v>233992820</v>
      </c>
      <c r="AS70" s="22">
        <f t="shared" si="36"/>
        <v>1448601772</v>
      </c>
      <c r="AT70" s="22">
        <f t="shared" si="36"/>
        <v>1448601772</v>
      </c>
      <c r="AU70" s="22">
        <f t="shared" si="36"/>
        <v>1125955904</v>
      </c>
      <c r="AV70" s="23">
        <f t="shared" si="36"/>
        <v>5134578</v>
      </c>
      <c r="AW70" s="22">
        <f t="shared" si="36"/>
        <v>45594282</v>
      </c>
      <c r="AX70" s="24">
        <f t="shared" si="20"/>
        <v>0.56915541732698693</v>
      </c>
    </row>
    <row r="71" spans="1:50" ht="18.75" customHeight="1" x14ac:dyDescent="0.2">
      <c r="A71" s="27" t="s">
        <v>49</v>
      </c>
      <c r="B71" s="27" t="s">
        <v>50</v>
      </c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8" t="s">
        <v>150</v>
      </c>
      <c r="AB71" s="29" t="s">
        <v>81</v>
      </c>
      <c r="AC71" s="30" t="s">
        <v>37</v>
      </c>
      <c r="AD71" s="30">
        <f>AD72+AD75+AD78</f>
        <v>2386452170</v>
      </c>
      <c r="AE71" s="31">
        <f t="shared" ref="AE71:AS71" si="37">AE72+AE75+AE78</f>
        <v>0</v>
      </c>
      <c r="AF71" s="31">
        <f t="shared" si="37"/>
        <v>0</v>
      </c>
      <c r="AG71" s="30">
        <f t="shared" si="37"/>
        <v>17698919</v>
      </c>
      <c r="AH71" s="30">
        <f t="shared" si="37"/>
        <v>312000000</v>
      </c>
      <c r="AI71" s="30">
        <f t="shared" si="37"/>
        <v>-294301081</v>
      </c>
      <c r="AJ71" s="30">
        <f t="shared" si="37"/>
        <v>2092151089</v>
      </c>
      <c r="AK71" s="31">
        <f t="shared" si="37"/>
        <v>0</v>
      </c>
      <c r="AL71" s="30">
        <f t="shared" si="37"/>
        <v>210018295</v>
      </c>
      <c r="AM71" s="30">
        <f t="shared" si="37"/>
        <v>1079466349</v>
      </c>
      <c r="AN71" s="31">
        <f t="shared" si="37"/>
        <v>0</v>
      </c>
      <c r="AO71" s="30">
        <f t="shared" si="37"/>
        <v>204883717</v>
      </c>
      <c r="AP71" s="30">
        <f t="shared" si="37"/>
        <v>1074331771</v>
      </c>
      <c r="AQ71" s="31">
        <f t="shared" si="37"/>
        <v>0</v>
      </c>
      <c r="AR71" s="30">
        <f t="shared" si="37"/>
        <v>196399368</v>
      </c>
      <c r="AS71" s="30">
        <f t="shared" si="37"/>
        <v>1057644792</v>
      </c>
      <c r="AT71" s="30">
        <f t="shared" ref="AT71:AT93" si="38">AQ71+AS71</f>
        <v>1057644792</v>
      </c>
      <c r="AU71" s="176">
        <f t="shared" ref="AU71:AU85" si="39">AJ71-AM71</f>
        <v>1012684740</v>
      </c>
      <c r="AV71" s="34">
        <f t="shared" ref="AV71:AV85" si="40">AM71-AP71</f>
        <v>5134578</v>
      </c>
      <c r="AW71" s="18">
        <f t="shared" ref="AW71:AW85" si="41">AP71-AT71</f>
        <v>16686979</v>
      </c>
      <c r="AX71" s="32">
        <f t="shared" si="20"/>
        <v>0.51350582500879793</v>
      </c>
    </row>
    <row r="72" spans="1:50" ht="18.75" customHeight="1" x14ac:dyDescent="0.2">
      <c r="A72" s="27" t="s">
        <v>49</v>
      </c>
      <c r="B72" s="27" t="s">
        <v>50</v>
      </c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8" t="s">
        <v>151</v>
      </c>
      <c r="AB72" s="29" t="s">
        <v>152</v>
      </c>
      <c r="AC72" s="30" t="s">
        <v>37</v>
      </c>
      <c r="AD72" s="30">
        <f>AD73+AD74</f>
        <v>1664997140</v>
      </c>
      <c r="AE72" s="31">
        <f t="shared" ref="AE72:AS72" si="42">AE73+AE74</f>
        <v>0</v>
      </c>
      <c r="AF72" s="31">
        <f t="shared" si="42"/>
        <v>0</v>
      </c>
      <c r="AG72" s="30">
        <f t="shared" si="42"/>
        <v>17698919</v>
      </c>
      <c r="AH72" s="31">
        <f t="shared" si="42"/>
        <v>0</v>
      </c>
      <c r="AI72" s="31">
        <f t="shared" si="42"/>
        <v>17698919</v>
      </c>
      <c r="AJ72" s="30">
        <f t="shared" si="42"/>
        <v>1682696059</v>
      </c>
      <c r="AK72" s="31">
        <f t="shared" si="42"/>
        <v>0</v>
      </c>
      <c r="AL72" s="30">
        <f t="shared" si="42"/>
        <v>186018074</v>
      </c>
      <c r="AM72" s="30">
        <f t="shared" si="42"/>
        <v>726938757</v>
      </c>
      <c r="AN72" s="31">
        <f t="shared" si="42"/>
        <v>0</v>
      </c>
      <c r="AO72" s="30">
        <f t="shared" si="42"/>
        <v>181305235</v>
      </c>
      <c r="AP72" s="30">
        <f t="shared" si="42"/>
        <v>722225918</v>
      </c>
      <c r="AQ72" s="31">
        <f t="shared" si="42"/>
        <v>0</v>
      </c>
      <c r="AR72" s="30">
        <f t="shared" si="42"/>
        <v>173242625</v>
      </c>
      <c r="AS72" s="30">
        <f t="shared" si="42"/>
        <v>705960678</v>
      </c>
      <c r="AT72" s="30">
        <f t="shared" si="38"/>
        <v>705960678</v>
      </c>
      <c r="AU72" s="176">
        <f t="shared" si="39"/>
        <v>955757302</v>
      </c>
      <c r="AV72" s="34">
        <f t="shared" si="40"/>
        <v>4712839</v>
      </c>
      <c r="AW72" s="18">
        <f t="shared" si="41"/>
        <v>16265240</v>
      </c>
      <c r="AX72" s="32">
        <f t="shared" si="20"/>
        <v>0.42920758870096098</v>
      </c>
    </row>
    <row r="73" spans="1:50" ht="18.75" customHeight="1" x14ac:dyDescent="0.2">
      <c r="A73" s="14" t="s">
        <v>55</v>
      </c>
      <c r="B73" s="15" t="s">
        <v>56</v>
      </c>
      <c r="C73" s="15"/>
      <c r="D73" s="15" t="s">
        <v>40</v>
      </c>
      <c r="E73" s="15"/>
      <c r="F73" s="15"/>
      <c r="G73" s="15" t="s">
        <v>41</v>
      </c>
      <c r="H73" s="15"/>
      <c r="I73" s="15" t="s">
        <v>936</v>
      </c>
      <c r="J73" s="15"/>
      <c r="K73" s="15" t="s">
        <v>932</v>
      </c>
      <c r="L73" s="15"/>
      <c r="M73" s="15" t="s">
        <v>933</v>
      </c>
      <c r="N73" s="15"/>
      <c r="O73" s="15" t="s">
        <v>938</v>
      </c>
      <c r="P73" s="15"/>
      <c r="Q73" s="15" t="s">
        <v>939</v>
      </c>
      <c r="R73" s="15"/>
      <c r="S73" s="15" t="s">
        <v>940</v>
      </c>
      <c r="T73" s="15">
        <v>0</v>
      </c>
      <c r="U73" s="15">
        <v>0</v>
      </c>
      <c r="V73" s="15">
        <v>0</v>
      </c>
      <c r="W73" s="15">
        <v>0</v>
      </c>
      <c r="X73" s="15" t="s">
        <v>937</v>
      </c>
      <c r="Y73" s="15"/>
      <c r="Z73" s="15"/>
      <c r="AA73" s="16" t="s">
        <v>153</v>
      </c>
      <c r="AB73" s="17" t="s">
        <v>152</v>
      </c>
      <c r="AC73" s="17" t="s">
        <v>58</v>
      </c>
      <c r="AD73" s="18">
        <v>1564997140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18">
        <v>1564997140</v>
      </c>
      <c r="AK73" s="34">
        <v>0</v>
      </c>
      <c r="AL73" s="18">
        <v>160543949</v>
      </c>
      <c r="AM73" s="18">
        <v>640999569</v>
      </c>
      <c r="AN73" s="34">
        <v>0</v>
      </c>
      <c r="AO73" s="18">
        <v>160543949</v>
      </c>
      <c r="AP73" s="18">
        <v>640999569</v>
      </c>
      <c r="AQ73" s="34">
        <v>0</v>
      </c>
      <c r="AR73" s="43">
        <v>157194178</v>
      </c>
      <c r="AS73" s="18">
        <v>629447168</v>
      </c>
      <c r="AT73" s="39">
        <f t="shared" si="38"/>
        <v>629447168</v>
      </c>
      <c r="AU73" s="18">
        <f t="shared" si="39"/>
        <v>923997571</v>
      </c>
      <c r="AV73" s="34">
        <f t="shared" si="40"/>
        <v>0</v>
      </c>
      <c r="AW73" s="18">
        <f t="shared" si="41"/>
        <v>11552401</v>
      </c>
      <c r="AX73" s="32">
        <f t="shared" si="20"/>
        <v>0.40958513764440491</v>
      </c>
    </row>
    <row r="74" spans="1:50" ht="18.75" customHeight="1" x14ac:dyDescent="0.2">
      <c r="A74" s="35" t="s">
        <v>55</v>
      </c>
      <c r="B74" s="36" t="s">
        <v>56</v>
      </c>
      <c r="C74" s="36"/>
      <c r="D74" s="36" t="s">
        <v>40</v>
      </c>
      <c r="E74" s="36"/>
      <c r="F74" s="36"/>
      <c r="G74" s="36" t="s">
        <v>41</v>
      </c>
      <c r="H74" s="36"/>
      <c r="I74" s="36" t="s">
        <v>941</v>
      </c>
      <c r="J74" s="36"/>
      <c r="K74" s="36" t="s">
        <v>932</v>
      </c>
      <c r="L74" s="36"/>
      <c r="M74" s="36" t="s">
        <v>933</v>
      </c>
      <c r="N74" s="36"/>
      <c r="O74" s="36" t="s">
        <v>938</v>
      </c>
      <c r="P74" s="36"/>
      <c r="Q74" s="36" t="s">
        <v>939</v>
      </c>
      <c r="R74" s="36"/>
      <c r="S74" s="36" t="s">
        <v>940</v>
      </c>
      <c r="T74" s="36">
        <v>0</v>
      </c>
      <c r="U74" s="36">
        <v>0</v>
      </c>
      <c r="V74" s="36">
        <v>0</v>
      </c>
      <c r="W74" s="36">
        <v>0</v>
      </c>
      <c r="X74" s="36" t="s">
        <v>937</v>
      </c>
      <c r="Y74" s="36"/>
      <c r="Z74" s="36"/>
      <c r="AA74" s="37" t="s">
        <v>154</v>
      </c>
      <c r="AB74" s="38" t="s">
        <v>155</v>
      </c>
      <c r="AC74" s="38" t="s">
        <v>61</v>
      </c>
      <c r="AD74" s="39">
        <v>100000000</v>
      </c>
      <c r="AE74" s="40">
        <v>0</v>
      </c>
      <c r="AF74" s="40">
        <v>0</v>
      </c>
      <c r="AG74" s="39">
        <v>17698919</v>
      </c>
      <c r="AH74" s="40">
        <v>0</v>
      </c>
      <c r="AI74" s="18">
        <f>AE74-AF74+AG74-AH74</f>
        <v>17698919</v>
      </c>
      <c r="AJ74" s="18">
        <f>AD74+AI74</f>
        <v>117698919</v>
      </c>
      <c r="AK74" s="40">
        <v>0</v>
      </c>
      <c r="AL74" s="18">
        <v>25474125</v>
      </c>
      <c r="AM74" s="39">
        <v>85939188</v>
      </c>
      <c r="AN74" s="40">
        <v>0</v>
      </c>
      <c r="AO74" s="39">
        <v>20761286</v>
      </c>
      <c r="AP74" s="39">
        <v>81226349</v>
      </c>
      <c r="AQ74" s="40">
        <v>0</v>
      </c>
      <c r="AR74" s="43">
        <v>16048447</v>
      </c>
      <c r="AS74" s="39">
        <v>76513510</v>
      </c>
      <c r="AT74" s="40">
        <f t="shared" si="38"/>
        <v>76513510</v>
      </c>
      <c r="AU74" s="18">
        <f t="shared" si="39"/>
        <v>31759731</v>
      </c>
      <c r="AV74" s="34">
        <f t="shared" si="40"/>
        <v>4712839</v>
      </c>
      <c r="AW74" s="34">
        <f t="shared" si="41"/>
        <v>4712839</v>
      </c>
      <c r="AX74" s="32">
        <f t="shared" si="20"/>
        <v>0.69011975377615831</v>
      </c>
    </row>
    <row r="75" spans="1:50" ht="18.75" customHeight="1" x14ac:dyDescent="0.2">
      <c r="A75" s="27" t="s">
        <v>49</v>
      </c>
      <c r="B75" s="27" t="s">
        <v>50</v>
      </c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8" t="s">
        <v>156</v>
      </c>
      <c r="AB75" s="29" t="s">
        <v>157</v>
      </c>
      <c r="AC75" s="30" t="s">
        <v>37</v>
      </c>
      <c r="AD75" s="30">
        <f>AD76+AD77</f>
        <v>608504027</v>
      </c>
      <c r="AE75" s="31">
        <f t="shared" ref="AE75:AS75" si="43">AE76+AE77</f>
        <v>0</v>
      </c>
      <c r="AF75" s="31">
        <f t="shared" si="43"/>
        <v>0</v>
      </c>
      <c r="AG75" s="31">
        <f t="shared" si="43"/>
        <v>0</v>
      </c>
      <c r="AH75" s="30">
        <f t="shared" si="43"/>
        <v>312000000</v>
      </c>
      <c r="AI75" s="30">
        <f t="shared" si="43"/>
        <v>-312000000</v>
      </c>
      <c r="AJ75" s="30">
        <f t="shared" si="43"/>
        <v>296504027</v>
      </c>
      <c r="AK75" s="31">
        <f t="shared" si="43"/>
        <v>0</v>
      </c>
      <c r="AL75" s="30">
        <f t="shared" si="43"/>
        <v>15259229</v>
      </c>
      <c r="AM75" s="30">
        <f t="shared" si="43"/>
        <v>266456415</v>
      </c>
      <c r="AN75" s="31">
        <f t="shared" si="43"/>
        <v>0</v>
      </c>
      <c r="AO75" s="30">
        <f t="shared" si="43"/>
        <v>15259229</v>
      </c>
      <c r="AP75" s="30">
        <f t="shared" si="43"/>
        <v>266456415</v>
      </c>
      <c r="AQ75" s="31">
        <f t="shared" si="43"/>
        <v>0</v>
      </c>
      <c r="AR75" s="30">
        <f t="shared" si="43"/>
        <v>15259229</v>
      </c>
      <c r="AS75" s="30">
        <f t="shared" si="43"/>
        <v>266456415</v>
      </c>
      <c r="AT75" s="30">
        <f t="shared" si="38"/>
        <v>266456415</v>
      </c>
      <c r="AU75" s="18">
        <f t="shared" si="39"/>
        <v>30047612</v>
      </c>
      <c r="AV75" s="34">
        <f t="shared" si="40"/>
        <v>0</v>
      </c>
      <c r="AW75" s="34">
        <f t="shared" si="41"/>
        <v>0</v>
      </c>
      <c r="AX75" s="32">
        <f t="shared" si="20"/>
        <v>0.89866035782374043</v>
      </c>
    </row>
    <row r="76" spans="1:50" ht="18.75" customHeight="1" x14ac:dyDescent="0.2">
      <c r="A76" s="14" t="s">
        <v>55</v>
      </c>
      <c r="B76" s="15" t="s">
        <v>56</v>
      </c>
      <c r="C76" s="15"/>
      <c r="D76" s="15" t="s">
        <v>40</v>
      </c>
      <c r="E76" s="15"/>
      <c r="F76" s="15"/>
      <c r="G76" s="15" t="s">
        <v>41</v>
      </c>
      <c r="H76" s="15"/>
      <c r="I76" s="15" t="s">
        <v>936</v>
      </c>
      <c r="J76" s="15"/>
      <c r="K76" s="15" t="s">
        <v>932</v>
      </c>
      <c r="L76" s="15"/>
      <c r="M76" s="15" t="s">
        <v>933</v>
      </c>
      <c r="N76" s="15"/>
      <c r="O76" s="15" t="s">
        <v>938</v>
      </c>
      <c r="P76" s="15"/>
      <c r="Q76" s="15" t="s">
        <v>939</v>
      </c>
      <c r="R76" s="15"/>
      <c r="S76" s="15" t="s">
        <v>940</v>
      </c>
      <c r="T76" s="15">
        <v>0</v>
      </c>
      <c r="U76" s="15">
        <v>0</v>
      </c>
      <c r="V76" s="15">
        <v>0</v>
      </c>
      <c r="W76" s="15">
        <v>0</v>
      </c>
      <c r="X76" s="15" t="s">
        <v>937</v>
      </c>
      <c r="Y76" s="15"/>
      <c r="Z76" s="15"/>
      <c r="AA76" s="16" t="s">
        <v>158</v>
      </c>
      <c r="AB76" s="17" t="s">
        <v>157</v>
      </c>
      <c r="AC76" s="17" t="s">
        <v>58</v>
      </c>
      <c r="AD76" s="18">
        <v>600000000</v>
      </c>
      <c r="AE76" s="34">
        <v>0</v>
      </c>
      <c r="AF76" s="34">
        <v>0</v>
      </c>
      <c r="AG76" s="34">
        <v>0</v>
      </c>
      <c r="AH76" s="18">
        <f>12000000+300000000</f>
        <v>312000000</v>
      </c>
      <c r="AI76" s="18">
        <f>AE76-AF76+AG76-AH76</f>
        <v>-312000000</v>
      </c>
      <c r="AJ76" s="18">
        <f>AD76+AI76</f>
        <v>288000000</v>
      </c>
      <c r="AK76" s="34">
        <v>0</v>
      </c>
      <c r="AL76" s="18">
        <v>15259229</v>
      </c>
      <c r="AM76" s="18">
        <v>266456415</v>
      </c>
      <c r="AN76" s="34">
        <v>0</v>
      </c>
      <c r="AO76" s="18">
        <v>15259229</v>
      </c>
      <c r="AP76" s="18">
        <v>266456415</v>
      </c>
      <c r="AQ76" s="34">
        <v>0</v>
      </c>
      <c r="AR76" s="43">
        <v>15259229</v>
      </c>
      <c r="AS76" s="18">
        <v>266456415</v>
      </c>
      <c r="AT76" s="30">
        <f t="shared" si="38"/>
        <v>266456415</v>
      </c>
      <c r="AU76" s="18">
        <f t="shared" si="39"/>
        <v>21543585</v>
      </c>
      <c r="AV76" s="34">
        <f t="shared" si="40"/>
        <v>0</v>
      </c>
      <c r="AW76" s="34">
        <f t="shared" si="41"/>
        <v>0</v>
      </c>
      <c r="AX76" s="32">
        <f t="shared" si="20"/>
        <v>0.92519588541666664</v>
      </c>
    </row>
    <row r="77" spans="1:50" ht="18.75" customHeight="1" x14ac:dyDescent="0.2">
      <c r="A77" s="14" t="s">
        <v>55</v>
      </c>
      <c r="B77" s="15" t="s">
        <v>56</v>
      </c>
      <c r="C77" s="15"/>
      <c r="D77" s="15" t="s">
        <v>40</v>
      </c>
      <c r="E77" s="15"/>
      <c r="F77" s="15"/>
      <c r="G77" s="15" t="s">
        <v>41</v>
      </c>
      <c r="H77" s="15"/>
      <c r="I77" s="15" t="s">
        <v>941</v>
      </c>
      <c r="J77" s="15"/>
      <c r="K77" s="15" t="s">
        <v>932</v>
      </c>
      <c r="L77" s="15"/>
      <c r="M77" s="15" t="s">
        <v>933</v>
      </c>
      <c r="N77" s="15"/>
      <c r="O77" s="15" t="s">
        <v>938</v>
      </c>
      <c r="P77" s="15"/>
      <c r="Q77" s="15" t="s">
        <v>939</v>
      </c>
      <c r="R77" s="15"/>
      <c r="S77" s="15" t="s">
        <v>940</v>
      </c>
      <c r="T77" s="15">
        <v>0</v>
      </c>
      <c r="U77" s="15">
        <v>0</v>
      </c>
      <c r="V77" s="15">
        <v>0</v>
      </c>
      <c r="W77" s="15">
        <v>0</v>
      </c>
      <c r="X77" s="15" t="s">
        <v>937</v>
      </c>
      <c r="Y77" s="15"/>
      <c r="Z77" s="15"/>
      <c r="AA77" s="16" t="s">
        <v>159</v>
      </c>
      <c r="AB77" s="17" t="s">
        <v>160</v>
      </c>
      <c r="AC77" s="17" t="s">
        <v>61</v>
      </c>
      <c r="AD77" s="18">
        <v>8504027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18">
        <v>8504027</v>
      </c>
      <c r="AK77" s="34">
        <v>0</v>
      </c>
      <c r="AL77" s="18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43">
        <v>0</v>
      </c>
      <c r="AS77" s="34">
        <v>0</v>
      </c>
      <c r="AT77" s="31">
        <f t="shared" si="38"/>
        <v>0</v>
      </c>
      <c r="AU77" s="18">
        <f t="shared" si="39"/>
        <v>8504027</v>
      </c>
      <c r="AV77" s="34">
        <f t="shared" si="40"/>
        <v>0</v>
      </c>
      <c r="AW77" s="34">
        <f t="shared" si="41"/>
        <v>0</v>
      </c>
      <c r="AX77" s="32">
        <f t="shared" si="20"/>
        <v>0</v>
      </c>
    </row>
    <row r="78" spans="1:50" ht="18.75" customHeight="1" x14ac:dyDescent="0.2">
      <c r="A78" s="27" t="s">
        <v>49</v>
      </c>
      <c r="B78" s="27" t="s">
        <v>50</v>
      </c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8" t="s">
        <v>161</v>
      </c>
      <c r="AB78" s="29" t="s">
        <v>162</v>
      </c>
      <c r="AC78" s="30" t="s">
        <v>37</v>
      </c>
      <c r="AD78" s="30">
        <f>AD79+AD80</f>
        <v>112951003</v>
      </c>
      <c r="AE78" s="31">
        <f t="shared" ref="AE78:AS78" si="44">AE79+AE80</f>
        <v>0</v>
      </c>
      <c r="AF78" s="31">
        <f t="shared" si="44"/>
        <v>0</v>
      </c>
      <c r="AG78" s="31">
        <f t="shared" si="44"/>
        <v>0</v>
      </c>
      <c r="AH78" s="31">
        <f t="shared" si="44"/>
        <v>0</v>
      </c>
      <c r="AI78" s="31">
        <f t="shared" si="44"/>
        <v>0</v>
      </c>
      <c r="AJ78" s="30">
        <f>AJ79+AJ80</f>
        <v>112951003</v>
      </c>
      <c r="AK78" s="31">
        <f t="shared" si="44"/>
        <v>0</v>
      </c>
      <c r="AL78" s="30">
        <f t="shared" si="44"/>
        <v>8740992</v>
      </c>
      <c r="AM78" s="30">
        <f t="shared" si="44"/>
        <v>86071177</v>
      </c>
      <c r="AN78" s="31">
        <f t="shared" si="44"/>
        <v>0</v>
      </c>
      <c r="AO78" s="30">
        <f t="shared" si="44"/>
        <v>8319253</v>
      </c>
      <c r="AP78" s="30">
        <f t="shared" si="44"/>
        <v>85649438</v>
      </c>
      <c r="AQ78" s="31">
        <f t="shared" si="44"/>
        <v>0</v>
      </c>
      <c r="AR78" s="30">
        <f>AR79+AR80</f>
        <v>7897514</v>
      </c>
      <c r="AS78" s="30">
        <f t="shared" si="44"/>
        <v>85227699</v>
      </c>
      <c r="AT78" s="30">
        <f t="shared" si="38"/>
        <v>85227699</v>
      </c>
      <c r="AU78" s="176">
        <f t="shared" si="39"/>
        <v>26879826</v>
      </c>
      <c r="AV78" s="177">
        <f t="shared" si="40"/>
        <v>421739</v>
      </c>
      <c r="AW78" s="176">
        <f t="shared" si="41"/>
        <v>421739</v>
      </c>
      <c r="AX78" s="32">
        <f t="shared" si="20"/>
        <v>0.75828842352112624</v>
      </c>
    </row>
    <row r="79" spans="1:50" ht="18.75" customHeight="1" x14ac:dyDescent="0.2">
      <c r="A79" s="14" t="s">
        <v>55</v>
      </c>
      <c r="B79" s="15" t="s">
        <v>56</v>
      </c>
      <c r="C79" s="15"/>
      <c r="D79" s="15" t="s">
        <v>40</v>
      </c>
      <c r="E79" s="15"/>
      <c r="F79" s="15"/>
      <c r="G79" s="15" t="s">
        <v>41</v>
      </c>
      <c r="H79" s="15"/>
      <c r="I79" s="15" t="s">
        <v>936</v>
      </c>
      <c r="J79" s="15"/>
      <c r="K79" s="15" t="s">
        <v>932</v>
      </c>
      <c r="L79" s="15"/>
      <c r="M79" s="15" t="s">
        <v>933</v>
      </c>
      <c r="N79" s="15"/>
      <c r="O79" s="15" t="s">
        <v>938</v>
      </c>
      <c r="P79" s="15"/>
      <c r="Q79" s="15" t="s">
        <v>939</v>
      </c>
      <c r="R79" s="15"/>
      <c r="S79" s="15" t="s">
        <v>940</v>
      </c>
      <c r="T79" s="15">
        <v>0</v>
      </c>
      <c r="U79" s="15">
        <v>0</v>
      </c>
      <c r="V79" s="15">
        <v>0</v>
      </c>
      <c r="W79" s="15">
        <v>0</v>
      </c>
      <c r="X79" s="15" t="s">
        <v>937</v>
      </c>
      <c r="Y79" s="15"/>
      <c r="Z79" s="15"/>
      <c r="AA79" s="16" t="s">
        <v>163</v>
      </c>
      <c r="AB79" s="17" t="s">
        <v>162</v>
      </c>
      <c r="AC79" s="17" t="s">
        <v>58</v>
      </c>
      <c r="AD79" s="18">
        <v>104149973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18">
        <v>104149973</v>
      </c>
      <c r="AK79" s="34">
        <v>0</v>
      </c>
      <c r="AL79" s="18">
        <v>6529119</v>
      </c>
      <c r="AM79" s="18">
        <v>78662149</v>
      </c>
      <c r="AN79" s="34">
        <v>0</v>
      </c>
      <c r="AO79" s="18">
        <v>6529119</v>
      </c>
      <c r="AP79" s="18">
        <v>78662149</v>
      </c>
      <c r="AQ79" s="34">
        <v>0</v>
      </c>
      <c r="AR79" s="43">
        <v>6529119</v>
      </c>
      <c r="AS79" s="18">
        <v>78662149</v>
      </c>
      <c r="AT79" s="39">
        <f t="shared" si="38"/>
        <v>78662149</v>
      </c>
      <c r="AU79" s="18">
        <f t="shared" si="39"/>
        <v>25487824</v>
      </c>
      <c r="AV79" s="34">
        <f t="shared" si="40"/>
        <v>0</v>
      </c>
      <c r="AW79" s="34">
        <f t="shared" si="41"/>
        <v>0</v>
      </c>
      <c r="AX79" s="32">
        <f t="shared" si="20"/>
        <v>0.75527767059526751</v>
      </c>
    </row>
    <row r="80" spans="1:50" ht="18.75" customHeight="1" x14ac:dyDescent="0.2">
      <c r="A80" s="14" t="s">
        <v>55</v>
      </c>
      <c r="B80" s="15" t="s">
        <v>56</v>
      </c>
      <c r="C80" s="15"/>
      <c r="D80" s="15" t="s">
        <v>40</v>
      </c>
      <c r="E80" s="15"/>
      <c r="F80" s="15"/>
      <c r="G80" s="15" t="s">
        <v>41</v>
      </c>
      <c r="H80" s="15"/>
      <c r="I80" s="15" t="s">
        <v>941</v>
      </c>
      <c r="J80" s="15"/>
      <c r="K80" s="15" t="s">
        <v>932</v>
      </c>
      <c r="L80" s="15"/>
      <c r="M80" s="15" t="s">
        <v>933</v>
      </c>
      <c r="N80" s="15"/>
      <c r="O80" s="15" t="s">
        <v>938</v>
      </c>
      <c r="P80" s="15"/>
      <c r="Q80" s="15" t="s">
        <v>939</v>
      </c>
      <c r="R80" s="15"/>
      <c r="S80" s="15" t="s">
        <v>940</v>
      </c>
      <c r="T80" s="15">
        <v>0</v>
      </c>
      <c r="U80" s="15">
        <v>0</v>
      </c>
      <c r="V80" s="15">
        <v>0</v>
      </c>
      <c r="W80" s="15">
        <v>0</v>
      </c>
      <c r="X80" s="15" t="s">
        <v>937</v>
      </c>
      <c r="Y80" s="15"/>
      <c r="Z80" s="15"/>
      <c r="AA80" s="16" t="s">
        <v>164</v>
      </c>
      <c r="AB80" s="17" t="s">
        <v>165</v>
      </c>
      <c r="AC80" s="17" t="s">
        <v>61</v>
      </c>
      <c r="AD80" s="18">
        <v>8801030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18">
        <v>8801030</v>
      </c>
      <c r="AK80" s="34">
        <v>0</v>
      </c>
      <c r="AL80" s="18">
        <v>2211873</v>
      </c>
      <c r="AM80" s="18">
        <v>7409028</v>
      </c>
      <c r="AN80" s="34">
        <v>0</v>
      </c>
      <c r="AO80" s="18">
        <v>1790134</v>
      </c>
      <c r="AP80" s="18">
        <v>6987289</v>
      </c>
      <c r="AQ80" s="34">
        <v>0</v>
      </c>
      <c r="AR80" s="43">
        <v>1368395</v>
      </c>
      <c r="AS80" s="18">
        <v>6565550</v>
      </c>
      <c r="AT80" s="39">
        <f t="shared" si="38"/>
        <v>6565550</v>
      </c>
      <c r="AU80" s="18">
        <f t="shared" si="39"/>
        <v>1392002</v>
      </c>
      <c r="AV80" s="34">
        <f t="shared" si="40"/>
        <v>421739</v>
      </c>
      <c r="AW80" s="34">
        <f t="shared" si="41"/>
        <v>421739</v>
      </c>
      <c r="AX80" s="32">
        <f t="shared" si="20"/>
        <v>0.79391718923807786</v>
      </c>
    </row>
    <row r="81" spans="1:50" ht="29.25" customHeight="1" x14ac:dyDescent="0.2">
      <c r="A81" s="14" t="s">
        <v>49</v>
      </c>
      <c r="B81" s="15" t="s">
        <v>50</v>
      </c>
      <c r="C81" s="15"/>
      <c r="D81" s="15" t="s">
        <v>40</v>
      </c>
      <c r="E81" s="15"/>
      <c r="F81" s="15"/>
      <c r="G81" s="15" t="s">
        <v>41</v>
      </c>
      <c r="H81" s="15"/>
      <c r="I81" s="15" t="s">
        <v>936</v>
      </c>
      <c r="J81" s="15"/>
      <c r="K81" s="15" t="s">
        <v>932</v>
      </c>
      <c r="L81" s="15"/>
      <c r="M81" s="15" t="s">
        <v>933</v>
      </c>
      <c r="N81" s="15"/>
      <c r="O81" s="15" t="s">
        <v>938</v>
      </c>
      <c r="P81" s="15"/>
      <c r="Q81" s="15" t="s">
        <v>939</v>
      </c>
      <c r="R81" s="15"/>
      <c r="S81" s="15" t="s">
        <v>940</v>
      </c>
      <c r="T81" s="15">
        <v>0</v>
      </c>
      <c r="U81" s="15">
        <v>0</v>
      </c>
      <c r="V81" s="15">
        <v>0</v>
      </c>
      <c r="W81" s="15">
        <v>0</v>
      </c>
      <c r="X81" s="15" t="s">
        <v>937</v>
      </c>
      <c r="Y81" s="15"/>
      <c r="Z81" s="15"/>
      <c r="AA81" s="16" t="s">
        <v>166</v>
      </c>
      <c r="AB81" s="17" t="s">
        <v>167</v>
      </c>
      <c r="AC81" s="17" t="s">
        <v>56</v>
      </c>
      <c r="AD81" s="18">
        <v>60643852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18">
        <v>60643852</v>
      </c>
      <c r="AK81" s="34">
        <v>0</v>
      </c>
      <c r="AL81" s="34">
        <v>0</v>
      </c>
      <c r="AM81" s="18">
        <v>38504032</v>
      </c>
      <c r="AN81" s="34">
        <v>0</v>
      </c>
      <c r="AO81" s="18">
        <v>0</v>
      </c>
      <c r="AP81" s="18">
        <v>38504032</v>
      </c>
      <c r="AQ81" s="34">
        <v>0</v>
      </c>
      <c r="AR81" s="44">
        <v>0</v>
      </c>
      <c r="AS81" s="34">
        <v>19252016</v>
      </c>
      <c r="AT81" s="40">
        <f t="shared" si="38"/>
        <v>19252016</v>
      </c>
      <c r="AU81" s="18">
        <f t="shared" si="39"/>
        <v>22139820</v>
      </c>
      <c r="AV81" s="34">
        <f t="shared" si="40"/>
        <v>0</v>
      </c>
      <c r="AW81" s="18">
        <f t="shared" si="41"/>
        <v>19252016</v>
      </c>
      <c r="AX81" s="32">
        <f t="shared" si="20"/>
        <v>0.63492061816917567</v>
      </c>
    </row>
    <row r="82" spans="1:50" ht="18.75" customHeight="1" x14ac:dyDescent="0.2">
      <c r="A82" s="35" t="s">
        <v>49</v>
      </c>
      <c r="B82" s="36" t="s">
        <v>50</v>
      </c>
      <c r="C82" s="36"/>
      <c r="D82" s="36" t="s">
        <v>40</v>
      </c>
      <c r="E82" s="36"/>
      <c r="F82" s="36"/>
      <c r="G82" s="36" t="s">
        <v>41</v>
      </c>
      <c r="H82" s="36"/>
      <c r="I82" s="36" t="s">
        <v>936</v>
      </c>
      <c r="J82" s="36"/>
      <c r="K82" s="36" t="s">
        <v>932</v>
      </c>
      <c r="L82" s="36"/>
      <c r="M82" s="36" t="s">
        <v>933</v>
      </c>
      <c r="N82" s="36"/>
      <c r="O82" s="36" t="s">
        <v>938</v>
      </c>
      <c r="P82" s="36"/>
      <c r="Q82" s="36" t="s">
        <v>939</v>
      </c>
      <c r="R82" s="36"/>
      <c r="S82" s="36" t="s">
        <v>940</v>
      </c>
      <c r="T82" s="36">
        <v>0</v>
      </c>
      <c r="U82" s="36">
        <v>0</v>
      </c>
      <c r="V82" s="36">
        <v>0</v>
      </c>
      <c r="W82" s="36">
        <v>0</v>
      </c>
      <c r="X82" s="36" t="s">
        <v>937</v>
      </c>
      <c r="Y82" s="36"/>
      <c r="Z82" s="36"/>
      <c r="AA82" s="37" t="s">
        <v>168</v>
      </c>
      <c r="AB82" s="38" t="s">
        <v>169</v>
      </c>
      <c r="AC82" s="38" t="s">
        <v>56</v>
      </c>
      <c r="AD82" s="39">
        <v>15160962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39">
        <v>15160962</v>
      </c>
      <c r="AK82" s="40">
        <v>0</v>
      </c>
      <c r="AL82" s="34">
        <v>0</v>
      </c>
      <c r="AM82" s="40">
        <v>7219506</v>
      </c>
      <c r="AN82" s="40">
        <v>0</v>
      </c>
      <c r="AO82" s="34">
        <v>0</v>
      </c>
      <c r="AP82" s="39">
        <v>7219506</v>
      </c>
      <c r="AQ82" s="40">
        <v>0</v>
      </c>
      <c r="AR82" s="44">
        <v>0</v>
      </c>
      <c r="AS82" s="39">
        <v>7219506</v>
      </c>
      <c r="AT82" s="39">
        <f t="shared" si="38"/>
        <v>7219506</v>
      </c>
      <c r="AU82" s="18">
        <f t="shared" si="39"/>
        <v>7941456</v>
      </c>
      <c r="AV82" s="34">
        <f t="shared" si="40"/>
        <v>0</v>
      </c>
      <c r="AW82" s="34">
        <f t="shared" si="41"/>
        <v>0</v>
      </c>
      <c r="AX82" s="32">
        <f t="shared" si="20"/>
        <v>0.47619049503586908</v>
      </c>
    </row>
    <row r="83" spans="1:50" ht="18.75" customHeight="1" x14ac:dyDescent="0.2">
      <c r="A83" s="14" t="s">
        <v>55</v>
      </c>
      <c r="B83" s="15" t="s">
        <v>56</v>
      </c>
      <c r="C83" s="15"/>
      <c r="D83" s="15" t="s">
        <v>40</v>
      </c>
      <c r="E83" s="15"/>
      <c r="F83" s="15"/>
      <c r="G83" s="15" t="s">
        <v>41</v>
      </c>
      <c r="H83" s="15"/>
      <c r="I83" s="15" t="s">
        <v>936</v>
      </c>
      <c r="J83" s="15"/>
      <c r="K83" s="15" t="s">
        <v>932</v>
      </c>
      <c r="L83" s="15"/>
      <c r="M83" s="15" t="s">
        <v>933</v>
      </c>
      <c r="N83" s="15"/>
      <c r="O83" s="15" t="s">
        <v>938</v>
      </c>
      <c r="P83" s="15"/>
      <c r="Q83" s="15" t="s">
        <v>939</v>
      </c>
      <c r="R83" s="15"/>
      <c r="S83" s="15" t="s">
        <v>940</v>
      </c>
      <c r="T83" s="15">
        <v>0</v>
      </c>
      <c r="U83" s="15">
        <v>0</v>
      </c>
      <c r="V83" s="15">
        <v>0</v>
      </c>
      <c r="W83" s="15">
        <v>0</v>
      </c>
      <c r="X83" s="15" t="s">
        <v>937</v>
      </c>
      <c r="Y83" s="15"/>
      <c r="Z83" s="15"/>
      <c r="AA83" s="16" t="s">
        <v>170</v>
      </c>
      <c r="AB83" s="17" t="s">
        <v>171</v>
      </c>
      <c r="AC83" s="17" t="s">
        <v>58</v>
      </c>
      <c r="AD83" s="18">
        <v>35475597</v>
      </c>
      <c r="AE83" s="34">
        <v>0</v>
      </c>
      <c r="AF83" s="34">
        <v>0</v>
      </c>
      <c r="AG83" s="34">
        <v>0</v>
      </c>
      <c r="AH83" s="34">
        <v>0</v>
      </c>
      <c r="AI83" s="34">
        <v>0</v>
      </c>
      <c r="AJ83" s="18">
        <v>35475597</v>
      </c>
      <c r="AK83" s="34">
        <v>0</v>
      </c>
      <c r="AL83" s="18">
        <v>14443296</v>
      </c>
      <c r="AM83" s="18">
        <v>31063116</v>
      </c>
      <c r="AN83" s="34">
        <v>0</v>
      </c>
      <c r="AO83" s="34">
        <v>14443296</v>
      </c>
      <c r="AP83" s="18">
        <v>31063116</v>
      </c>
      <c r="AQ83" s="34">
        <v>0</v>
      </c>
      <c r="AR83" s="43">
        <v>14443296</v>
      </c>
      <c r="AS83" s="18">
        <v>31063116</v>
      </c>
      <c r="AT83" s="39">
        <f t="shared" si="38"/>
        <v>31063116</v>
      </c>
      <c r="AU83" s="18">
        <f t="shared" si="39"/>
        <v>4412481</v>
      </c>
      <c r="AV83" s="34">
        <f t="shared" si="40"/>
        <v>0</v>
      </c>
      <c r="AW83" s="34">
        <f t="shared" si="41"/>
        <v>0</v>
      </c>
      <c r="AX83" s="32">
        <f t="shared" si="20"/>
        <v>0.8756192601917312</v>
      </c>
    </row>
    <row r="84" spans="1:50" ht="18.75" customHeight="1" x14ac:dyDescent="0.2">
      <c r="A84" s="35" t="s">
        <v>55</v>
      </c>
      <c r="B84" s="36" t="s">
        <v>56</v>
      </c>
      <c r="C84" s="36"/>
      <c r="D84" s="36" t="s">
        <v>40</v>
      </c>
      <c r="E84" s="36"/>
      <c r="F84" s="36"/>
      <c r="G84" s="36" t="s">
        <v>41</v>
      </c>
      <c r="H84" s="36"/>
      <c r="I84" s="36" t="s">
        <v>936</v>
      </c>
      <c r="J84" s="36"/>
      <c r="K84" s="36" t="s">
        <v>932</v>
      </c>
      <c r="L84" s="36"/>
      <c r="M84" s="36" t="s">
        <v>933</v>
      </c>
      <c r="N84" s="36"/>
      <c r="O84" s="36" t="s">
        <v>938</v>
      </c>
      <c r="P84" s="36"/>
      <c r="Q84" s="36" t="s">
        <v>939</v>
      </c>
      <c r="R84" s="36"/>
      <c r="S84" s="36" t="s">
        <v>940</v>
      </c>
      <c r="T84" s="36">
        <v>0</v>
      </c>
      <c r="U84" s="36">
        <v>0</v>
      </c>
      <c r="V84" s="36">
        <v>0</v>
      </c>
      <c r="W84" s="36">
        <v>0</v>
      </c>
      <c r="X84" s="36" t="s">
        <v>937</v>
      </c>
      <c r="Y84" s="36"/>
      <c r="Z84" s="36"/>
      <c r="AA84" s="37" t="s">
        <v>172</v>
      </c>
      <c r="AB84" s="38" t="s">
        <v>173</v>
      </c>
      <c r="AC84" s="38" t="s">
        <v>58</v>
      </c>
      <c r="AD84" s="39">
        <v>49855036</v>
      </c>
      <c r="AE84" s="40">
        <v>0</v>
      </c>
      <c r="AF84" s="40">
        <v>0</v>
      </c>
      <c r="AG84" s="39">
        <v>72000000</v>
      </c>
      <c r="AI84" s="18">
        <f>AE84-AF84+AG84-AH84</f>
        <v>72000000</v>
      </c>
      <c r="AJ84" s="18">
        <f>AD84+AI84</f>
        <v>121855036</v>
      </c>
      <c r="AK84" s="40">
        <v>0</v>
      </c>
      <c r="AL84" s="18">
        <v>8734876</v>
      </c>
      <c r="AM84" s="39">
        <v>104044439</v>
      </c>
      <c r="AN84" s="40">
        <v>0</v>
      </c>
      <c r="AO84" s="18">
        <v>8734876</v>
      </c>
      <c r="AP84" s="39">
        <v>104044439</v>
      </c>
      <c r="AQ84" s="40">
        <v>0</v>
      </c>
      <c r="AR84" s="43">
        <v>8734876</v>
      </c>
      <c r="AS84" s="39">
        <v>94389152</v>
      </c>
      <c r="AT84" s="39">
        <f t="shared" si="38"/>
        <v>94389152</v>
      </c>
      <c r="AU84" s="18">
        <f t="shared" si="39"/>
        <v>17810597</v>
      </c>
      <c r="AV84" s="34">
        <f t="shared" si="40"/>
        <v>0</v>
      </c>
      <c r="AW84" s="18">
        <f t="shared" si="41"/>
        <v>9655287</v>
      </c>
      <c r="AX84" s="32">
        <f t="shared" si="20"/>
        <v>0.85383782579162337</v>
      </c>
    </row>
    <row r="85" spans="1:50" ht="18.75" customHeight="1" x14ac:dyDescent="0.2">
      <c r="A85" s="14" t="s">
        <v>55</v>
      </c>
      <c r="B85" s="15" t="s">
        <v>56</v>
      </c>
      <c r="C85" s="15"/>
      <c r="D85" s="15" t="s">
        <v>40</v>
      </c>
      <c r="E85" s="15"/>
      <c r="F85" s="15"/>
      <c r="G85" s="15" t="s">
        <v>41</v>
      </c>
      <c r="H85" s="15"/>
      <c r="I85" s="15" t="s">
        <v>936</v>
      </c>
      <c r="J85" s="15"/>
      <c r="K85" s="15" t="s">
        <v>932</v>
      </c>
      <c r="L85" s="15"/>
      <c r="M85" s="15" t="s">
        <v>933</v>
      </c>
      <c r="N85" s="15"/>
      <c r="O85" s="15" t="s">
        <v>938</v>
      </c>
      <c r="P85" s="15"/>
      <c r="Q85" s="15" t="s">
        <v>942</v>
      </c>
      <c r="R85" s="15"/>
      <c r="S85" s="15" t="s">
        <v>940</v>
      </c>
      <c r="T85" s="15">
        <v>0</v>
      </c>
      <c r="U85" s="15">
        <v>0</v>
      </c>
      <c r="V85" s="15">
        <v>0</v>
      </c>
      <c r="W85" s="15">
        <v>0</v>
      </c>
      <c r="X85" s="15" t="s">
        <v>937</v>
      </c>
      <c r="Y85" s="15"/>
      <c r="Z85" s="15"/>
      <c r="AA85" s="16" t="s">
        <v>174</v>
      </c>
      <c r="AB85" s="17" t="s">
        <v>175</v>
      </c>
      <c r="AC85" s="17" t="s">
        <v>58</v>
      </c>
      <c r="AD85" s="18">
        <v>300000000</v>
      </c>
      <c r="AE85" s="34">
        <v>0</v>
      </c>
      <c r="AF85" s="34">
        <v>0</v>
      </c>
      <c r="AG85" s="34">
        <v>0</v>
      </c>
      <c r="AH85" s="34">
        <v>0</v>
      </c>
      <c r="AI85" s="34">
        <v>0</v>
      </c>
      <c r="AJ85" s="18">
        <v>300000000</v>
      </c>
      <c r="AK85" s="34">
        <v>0</v>
      </c>
      <c r="AL85" s="18">
        <v>14415280</v>
      </c>
      <c r="AM85" s="18">
        <v>239033190</v>
      </c>
      <c r="AN85" s="34">
        <v>0</v>
      </c>
      <c r="AO85" s="18">
        <v>14415280</v>
      </c>
      <c r="AP85" s="18">
        <v>239033190</v>
      </c>
      <c r="AQ85" s="34">
        <v>0</v>
      </c>
      <c r="AR85" s="43">
        <v>14415280</v>
      </c>
      <c r="AS85" s="18">
        <v>239033190</v>
      </c>
      <c r="AT85" s="39">
        <f t="shared" si="38"/>
        <v>239033190</v>
      </c>
      <c r="AU85" s="18">
        <f t="shared" si="39"/>
        <v>60966810</v>
      </c>
      <c r="AV85" s="34">
        <f t="shared" si="40"/>
        <v>0</v>
      </c>
      <c r="AW85" s="34">
        <f t="shared" si="41"/>
        <v>0</v>
      </c>
      <c r="AX85" s="32">
        <f t="shared" si="20"/>
        <v>0.79677730000000002</v>
      </c>
    </row>
    <row r="86" spans="1:50" ht="18.75" customHeight="1" x14ac:dyDescent="0.2">
      <c r="A86" s="19" t="s">
        <v>55</v>
      </c>
      <c r="B86" s="19" t="s">
        <v>56</v>
      </c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26" t="s">
        <v>176</v>
      </c>
      <c r="AB86" s="21" t="s">
        <v>177</v>
      </c>
      <c r="AC86" s="22" t="s">
        <v>37</v>
      </c>
      <c r="AD86" s="22">
        <f>AD87</f>
        <v>23932782621</v>
      </c>
      <c r="AE86" s="23">
        <f t="shared" ref="AE86:AW86" si="45">AE87</f>
        <v>0</v>
      </c>
      <c r="AF86" s="23">
        <f t="shared" si="45"/>
        <v>0</v>
      </c>
      <c r="AG86" s="22">
        <f t="shared" si="45"/>
        <v>6788645122</v>
      </c>
      <c r="AH86" s="22">
        <f t="shared" si="45"/>
        <v>3225275300</v>
      </c>
      <c r="AI86" s="22">
        <f>AI87</f>
        <v>3563369822</v>
      </c>
      <c r="AJ86" s="22">
        <f t="shared" si="45"/>
        <v>27496152443</v>
      </c>
      <c r="AK86" s="23">
        <f t="shared" si="45"/>
        <v>0</v>
      </c>
      <c r="AL86" s="22">
        <f t="shared" si="45"/>
        <v>317700249.32999802</v>
      </c>
      <c r="AM86" s="22">
        <f t="shared" si="45"/>
        <v>25402125888.889999</v>
      </c>
      <c r="AN86" s="22">
        <f t="shared" si="45"/>
        <v>32800000</v>
      </c>
      <c r="AO86" s="22">
        <f t="shared" si="45"/>
        <v>498560590.54000002</v>
      </c>
      <c r="AP86" s="22">
        <f t="shared" si="45"/>
        <v>24700427982</v>
      </c>
      <c r="AQ86" s="108">
        <f t="shared" si="45"/>
        <v>128509933.75999999</v>
      </c>
      <c r="AR86" s="22">
        <f t="shared" si="45"/>
        <v>2467939352.52</v>
      </c>
      <c r="AS86" s="22">
        <f t="shared" si="45"/>
        <v>19039572397.950001</v>
      </c>
      <c r="AT86" s="22">
        <f t="shared" si="38"/>
        <v>19168082331.709999</v>
      </c>
      <c r="AU86" s="22">
        <f t="shared" si="45"/>
        <v>2094026554.1100004</v>
      </c>
      <c r="AV86" s="22">
        <f t="shared" si="45"/>
        <v>701697906.8899982</v>
      </c>
      <c r="AW86" s="22">
        <f t="shared" si="45"/>
        <v>5532345650.2900019</v>
      </c>
      <c r="AX86" s="24">
        <f t="shared" si="20"/>
        <v>0.89832306658920424</v>
      </c>
    </row>
    <row r="87" spans="1:50" ht="18.75" customHeight="1" x14ac:dyDescent="0.2">
      <c r="A87" s="19" t="s">
        <v>55</v>
      </c>
      <c r="B87" s="19" t="s">
        <v>56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26" t="s">
        <v>178</v>
      </c>
      <c r="AB87" s="21" t="s">
        <v>179</v>
      </c>
      <c r="AC87" s="22" t="s">
        <v>37</v>
      </c>
      <c r="AD87" s="22">
        <f t="shared" ref="AD87:AS87" si="46">AD88+AD94</f>
        <v>23932782621</v>
      </c>
      <c r="AE87" s="23">
        <f t="shared" si="46"/>
        <v>0</v>
      </c>
      <c r="AF87" s="23">
        <f t="shared" si="46"/>
        <v>0</v>
      </c>
      <c r="AG87" s="22">
        <f t="shared" si="46"/>
        <v>6788645122</v>
      </c>
      <c r="AH87" s="22">
        <f t="shared" si="46"/>
        <v>3225275300</v>
      </c>
      <c r="AI87" s="22">
        <f t="shared" si="46"/>
        <v>3563369822</v>
      </c>
      <c r="AJ87" s="22">
        <f t="shared" si="46"/>
        <v>27496152443</v>
      </c>
      <c r="AK87" s="23">
        <f t="shared" si="46"/>
        <v>0</v>
      </c>
      <c r="AL87" s="22">
        <f t="shared" si="46"/>
        <v>317700249.32999802</v>
      </c>
      <c r="AM87" s="22">
        <f t="shared" si="46"/>
        <v>25402125888.889999</v>
      </c>
      <c r="AN87" s="22">
        <f t="shared" si="46"/>
        <v>32800000</v>
      </c>
      <c r="AO87" s="22">
        <f t="shared" si="46"/>
        <v>498560590.54000002</v>
      </c>
      <c r="AP87" s="22">
        <f t="shared" si="46"/>
        <v>24700427982</v>
      </c>
      <c r="AQ87" s="108">
        <f t="shared" si="46"/>
        <v>128509933.75999999</v>
      </c>
      <c r="AR87" s="22">
        <f t="shared" si="46"/>
        <v>2467939352.52</v>
      </c>
      <c r="AS87" s="22">
        <f t="shared" si="46"/>
        <v>19039572397.950001</v>
      </c>
      <c r="AT87" s="22">
        <f t="shared" si="38"/>
        <v>19168082331.709999</v>
      </c>
      <c r="AU87" s="22">
        <f>AU88+AU94</f>
        <v>2094026554.1100004</v>
      </c>
      <c r="AV87" s="22">
        <f>AV88+AV94</f>
        <v>701697906.8899982</v>
      </c>
      <c r="AW87" s="22">
        <f>AW88+AW94</f>
        <v>5532345650.2900019</v>
      </c>
      <c r="AX87" s="24">
        <f t="shared" si="20"/>
        <v>0.89832306658920424</v>
      </c>
    </row>
    <row r="88" spans="1:50" ht="18.75" customHeight="1" x14ac:dyDescent="0.2">
      <c r="A88" s="19" t="s">
        <v>55</v>
      </c>
      <c r="B88" s="19" t="s">
        <v>56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26" t="s">
        <v>180</v>
      </c>
      <c r="AB88" s="21" t="s">
        <v>181</v>
      </c>
      <c r="AC88" s="22" t="s">
        <v>37</v>
      </c>
      <c r="AD88" s="22">
        <f>AD89+AD90+AD91+AD92+AD93</f>
        <v>918000000</v>
      </c>
      <c r="AE88" s="23">
        <f t="shared" ref="AE88:AW88" si="47">AE89+AE90+AE91+AE92+AE93</f>
        <v>0</v>
      </c>
      <c r="AF88" s="23">
        <f t="shared" si="47"/>
        <v>0</v>
      </c>
      <c r="AG88" s="22">
        <f t="shared" si="47"/>
        <v>835649800</v>
      </c>
      <c r="AH88" s="22">
        <f t="shared" si="47"/>
        <v>414500000</v>
      </c>
      <c r="AI88" s="22">
        <f t="shared" si="47"/>
        <v>421149800</v>
      </c>
      <c r="AJ88" s="22">
        <f t="shared" si="47"/>
        <v>1339149800</v>
      </c>
      <c r="AK88" s="23">
        <f t="shared" si="47"/>
        <v>0</v>
      </c>
      <c r="AL88" s="22">
        <f t="shared" si="47"/>
        <v>73229843</v>
      </c>
      <c r="AM88" s="22">
        <f t="shared" si="47"/>
        <v>1237891809.2</v>
      </c>
      <c r="AN88" s="23">
        <f t="shared" si="47"/>
        <v>0</v>
      </c>
      <c r="AO88" s="22">
        <f t="shared" si="47"/>
        <v>30396203.539999999</v>
      </c>
      <c r="AP88" s="22">
        <f t="shared" si="47"/>
        <v>746636195.94000006</v>
      </c>
      <c r="AQ88" s="22">
        <f t="shared" si="47"/>
        <v>0</v>
      </c>
      <c r="AR88" s="22">
        <f t="shared" si="47"/>
        <v>20625423.52</v>
      </c>
      <c r="AS88" s="22">
        <f t="shared" si="47"/>
        <v>528428072.47000003</v>
      </c>
      <c r="AT88" s="22">
        <f t="shared" si="47"/>
        <v>528428072.47000003</v>
      </c>
      <c r="AU88" s="22">
        <f t="shared" si="47"/>
        <v>101257990.79999995</v>
      </c>
      <c r="AV88" s="22">
        <f t="shared" si="47"/>
        <v>491255613.25999999</v>
      </c>
      <c r="AW88" s="22">
        <f t="shared" si="47"/>
        <v>218208123.47000003</v>
      </c>
      <c r="AX88" s="24">
        <f t="shared" si="20"/>
        <v>0.55754494078257721</v>
      </c>
    </row>
    <row r="89" spans="1:50" ht="29.25" customHeight="1" x14ac:dyDescent="0.2">
      <c r="A89" s="35" t="s">
        <v>55</v>
      </c>
      <c r="B89" s="36" t="s">
        <v>56</v>
      </c>
      <c r="C89" s="36"/>
      <c r="D89" s="36" t="s">
        <v>40</v>
      </c>
      <c r="E89" s="36"/>
      <c r="F89" s="36"/>
      <c r="G89" s="36" t="s">
        <v>41</v>
      </c>
      <c r="H89" s="36"/>
      <c r="I89" s="36" t="s">
        <v>936</v>
      </c>
      <c r="J89" s="36"/>
      <c r="K89" s="36" t="s">
        <v>932</v>
      </c>
      <c r="L89" s="36"/>
      <c r="M89" s="36" t="s">
        <v>933</v>
      </c>
      <c r="N89" s="36"/>
      <c r="O89" s="36" t="s">
        <v>938</v>
      </c>
      <c r="P89" s="36"/>
      <c r="Q89" s="36" t="s">
        <v>942</v>
      </c>
      <c r="R89" s="36"/>
      <c r="S89" s="36" t="s">
        <v>940</v>
      </c>
      <c r="T89" s="36">
        <v>0</v>
      </c>
      <c r="U89" s="36">
        <v>0</v>
      </c>
      <c r="V89" s="36">
        <v>0</v>
      </c>
      <c r="W89" s="36">
        <v>0</v>
      </c>
      <c r="X89" s="36" t="s">
        <v>937</v>
      </c>
      <c r="Y89" s="36"/>
      <c r="Z89" s="36"/>
      <c r="AA89" s="37" t="s">
        <v>182</v>
      </c>
      <c r="AB89" s="38" t="s">
        <v>183</v>
      </c>
      <c r="AC89" s="38" t="s">
        <v>58</v>
      </c>
      <c r="AD89" s="39">
        <v>50000000</v>
      </c>
      <c r="AE89" s="40">
        <v>0</v>
      </c>
      <c r="AF89" s="40">
        <v>0</v>
      </c>
      <c r="AG89" s="39">
        <v>70000000</v>
      </c>
      <c r="AH89" s="39">
        <v>38000000</v>
      </c>
      <c r="AI89" s="18">
        <f>AE89-AF89+AG89-AH89</f>
        <v>32000000</v>
      </c>
      <c r="AJ89" s="18">
        <f>AD89+AI89</f>
        <v>82000000</v>
      </c>
      <c r="AK89" s="40">
        <v>0</v>
      </c>
      <c r="AL89" s="39">
        <f>AM89-OCTUBRE!AM89</f>
        <v>-22158908</v>
      </c>
      <c r="AM89" s="39">
        <v>59123725</v>
      </c>
      <c r="AN89" s="40">
        <v>0</v>
      </c>
      <c r="AO89" s="39">
        <v>5854800</v>
      </c>
      <c r="AP89" s="39">
        <v>57675892</v>
      </c>
      <c r="AQ89" s="40">
        <v>0</v>
      </c>
      <c r="AR89" s="39">
        <v>0</v>
      </c>
      <c r="AS89" s="39">
        <v>28980000</v>
      </c>
      <c r="AT89" s="30">
        <f t="shared" si="38"/>
        <v>28980000</v>
      </c>
      <c r="AU89" s="18">
        <f>AJ89-AM89</f>
        <v>22876275</v>
      </c>
      <c r="AV89" s="18">
        <f>AM89-AP89</f>
        <v>1447833</v>
      </c>
      <c r="AW89" s="18">
        <f>AP89-AT89</f>
        <v>28695892</v>
      </c>
      <c r="AX89" s="32">
        <f t="shared" si="20"/>
        <v>0.70336453658536591</v>
      </c>
    </row>
    <row r="90" spans="1:50" ht="32.25" customHeight="1" x14ac:dyDescent="0.2">
      <c r="A90" s="14" t="s">
        <v>55</v>
      </c>
      <c r="B90" s="15" t="s">
        <v>56</v>
      </c>
      <c r="C90" s="15"/>
      <c r="D90" s="15" t="s">
        <v>40</v>
      </c>
      <c r="E90" s="15"/>
      <c r="F90" s="15"/>
      <c r="G90" s="15" t="s">
        <v>41</v>
      </c>
      <c r="H90" s="15"/>
      <c r="I90" s="15" t="s">
        <v>936</v>
      </c>
      <c r="J90" s="15"/>
      <c r="K90" s="15" t="s">
        <v>932</v>
      </c>
      <c r="L90" s="15"/>
      <c r="M90" s="15" t="s">
        <v>933</v>
      </c>
      <c r="N90" s="15"/>
      <c r="O90" s="15" t="s">
        <v>938</v>
      </c>
      <c r="P90" s="15"/>
      <c r="Q90" s="15" t="s">
        <v>942</v>
      </c>
      <c r="R90" s="15"/>
      <c r="S90" s="15" t="s">
        <v>940</v>
      </c>
      <c r="T90" s="15">
        <v>0</v>
      </c>
      <c r="U90" s="15">
        <v>0</v>
      </c>
      <c r="V90" s="15">
        <v>0</v>
      </c>
      <c r="W90" s="15">
        <v>0</v>
      </c>
      <c r="X90" s="15" t="s">
        <v>937</v>
      </c>
      <c r="Y90" s="15"/>
      <c r="Z90" s="15"/>
      <c r="AA90" s="16" t="s">
        <v>184</v>
      </c>
      <c r="AB90" s="17" t="s">
        <v>185</v>
      </c>
      <c r="AC90" s="17" t="s">
        <v>58</v>
      </c>
      <c r="AD90" s="18">
        <v>758000000</v>
      </c>
      <c r="AE90" s="34">
        <v>0</v>
      </c>
      <c r="AF90" s="34">
        <v>0</v>
      </c>
      <c r="AG90" s="18">
        <v>24197200</v>
      </c>
      <c r="AH90" s="34">
        <v>0</v>
      </c>
      <c r="AI90" s="18">
        <f>AE90-AF90+AG90-AH90</f>
        <v>24197200</v>
      </c>
      <c r="AJ90" s="18">
        <f>AD90+AI90</f>
        <v>782197200</v>
      </c>
      <c r="AK90" s="34">
        <v>0</v>
      </c>
      <c r="AL90" s="39">
        <f>AM90-OCTUBRE!AM90</f>
        <v>-30795777</v>
      </c>
      <c r="AM90" s="18">
        <v>708201799.20000005</v>
      </c>
      <c r="AN90" s="34">
        <v>0</v>
      </c>
      <c r="AO90" s="18">
        <v>24541403.539999999</v>
      </c>
      <c r="AP90" s="18">
        <v>688960303.94000006</v>
      </c>
      <c r="AQ90" s="18">
        <v>0</v>
      </c>
      <c r="AR90" s="18">
        <v>20625423.52</v>
      </c>
      <c r="AS90" s="18">
        <v>499448072.47000003</v>
      </c>
      <c r="AT90" s="39">
        <f t="shared" si="38"/>
        <v>499448072.47000003</v>
      </c>
      <c r="AU90" s="18">
        <f>AJ90-AM90</f>
        <v>73995400.799999952</v>
      </c>
      <c r="AV90" s="18">
        <f>AM90-AP90</f>
        <v>19241495.25999999</v>
      </c>
      <c r="AW90" s="18">
        <f>AP90-AT90</f>
        <v>189512231.47000003</v>
      </c>
      <c r="AX90" s="32">
        <f t="shared" si="20"/>
        <v>0.88080129146460773</v>
      </c>
    </row>
    <row r="91" spans="1:50" ht="23.25" customHeight="1" x14ac:dyDescent="0.2">
      <c r="A91" s="14" t="s">
        <v>55</v>
      </c>
      <c r="B91" s="15" t="s">
        <v>56</v>
      </c>
      <c r="C91" s="15"/>
      <c r="D91" s="15" t="s">
        <v>40</v>
      </c>
      <c r="E91" s="15"/>
      <c r="F91" s="15"/>
      <c r="G91" s="15" t="s">
        <v>41</v>
      </c>
      <c r="H91" s="15"/>
      <c r="I91" s="15" t="s">
        <v>936</v>
      </c>
      <c r="J91" s="15"/>
      <c r="K91" s="15" t="s">
        <v>932</v>
      </c>
      <c r="L91" s="15"/>
      <c r="M91" s="15" t="s">
        <v>933</v>
      </c>
      <c r="N91" s="15"/>
      <c r="O91" s="15" t="s">
        <v>938</v>
      </c>
      <c r="P91" s="15"/>
      <c r="Q91" s="15" t="s">
        <v>942</v>
      </c>
      <c r="R91" s="15"/>
      <c r="S91" s="15" t="s">
        <v>940</v>
      </c>
      <c r="T91" s="15">
        <v>0</v>
      </c>
      <c r="U91" s="15">
        <v>0</v>
      </c>
      <c r="V91" s="15">
        <v>0</v>
      </c>
      <c r="W91" s="15">
        <v>0</v>
      </c>
      <c r="X91" s="15" t="s">
        <v>937</v>
      </c>
      <c r="Y91" s="15"/>
      <c r="Z91" s="15"/>
      <c r="AA91" s="16" t="s">
        <v>186</v>
      </c>
      <c r="AB91" s="17" t="s">
        <v>187</v>
      </c>
      <c r="AC91" s="17" t="s">
        <v>58</v>
      </c>
      <c r="AD91" s="18">
        <v>110000000</v>
      </c>
      <c r="AE91" s="34">
        <v>0</v>
      </c>
      <c r="AF91" s="34">
        <v>0</v>
      </c>
      <c r="AG91" s="18">
        <f>300000000+64952600</f>
        <v>364952600</v>
      </c>
      <c r="AH91" s="34">
        <v>0</v>
      </c>
      <c r="AI91" s="18">
        <f>AE91-AF91+AG91-AH91</f>
        <v>364952600</v>
      </c>
      <c r="AJ91" s="18">
        <f>AD91+AI91</f>
        <v>474952600</v>
      </c>
      <c r="AK91" s="34">
        <v>0</v>
      </c>
      <c r="AL91" s="39">
        <f>AM91-OCTUBRE!AM91</f>
        <v>126184528</v>
      </c>
      <c r="AM91" s="18">
        <v>470566285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1">
        <f t="shared" si="38"/>
        <v>0</v>
      </c>
      <c r="AU91" s="18">
        <f>AJ91-AM91</f>
        <v>4386315</v>
      </c>
      <c r="AV91" s="18">
        <f>AM91-AP91</f>
        <v>470566285</v>
      </c>
      <c r="AW91" s="34">
        <f>AP91-AT91</f>
        <v>0</v>
      </c>
      <c r="AX91" s="32">
        <f t="shared" si="20"/>
        <v>0</v>
      </c>
    </row>
    <row r="92" spans="1:50" ht="39" customHeight="1" x14ac:dyDescent="0.2">
      <c r="A92" s="14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41" t="s">
        <v>1269</v>
      </c>
      <c r="AB92" s="17" t="s">
        <v>1267</v>
      </c>
      <c r="AC92" s="17"/>
      <c r="AD92" s="34">
        <v>0</v>
      </c>
      <c r="AE92" s="34">
        <v>0</v>
      </c>
      <c r="AF92" s="34">
        <v>0</v>
      </c>
      <c r="AG92" s="18">
        <v>37500000</v>
      </c>
      <c r="AH92" s="18">
        <v>37500000</v>
      </c>
      <c r="AI92" s="18">
        <f>AE92-AF92+AG92-AH92</f>
        <v>0</v>
      </c>
      <c r="AJ92" s="34">
        <f>AD92+AI92</f>
        <v>0</v>
      </c>
      <c r="AK92" s="34">
        <v>0</v>
      </c>
      <c r="AL92" s="40">
        <f>AM92-AGOSTO!AM92</f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1">
        <f t="shared" si="38"/>
        <v>0</v>
      </c>
      <c r="AU92" s="34">
        <f t="shared" ref="AU92:AU93" si="48">AJ92-AM92</f>
        <v>0</v>
      </c>
      <c r="AV92" s="34">
        <f t="shared" ref="AV92:AV93" si="49">AM92-AP92</f>
        <v>0</v>
      </c>
      <c r="AW92" s="34">
        <f t="shared" ref="AW92:AW93" si="50">AP92-AT92</f>
        <v>0</v>
      </c>
      <c r="AX92" s="32">
        <v>0</v>
      </c>
    </row>
    <row r="93" spans="1:50" ht="31.5" customHeight="1" x14ac:dyDescent="0.2">
      <c r="A93" s="14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41" t="s">
        <v>1270</v>
      </c>
      <c r="AB93" s="17" t="s">
        <v>1268</v>
      </c>
      <c r="AC93" s="17"/>
      <c r="AD93" s="34">
        <v>0</v>
      </c>
      <c r="AE93" s="34">
        <v>0</v>
      </c>
      <c r="AF93" s="34">
        <v>0</v>
      </c>
      <c r="AG93" s="39">
        <f>260000000+79000000</f>
        <v>339000000</v>
      </c>
      <c r="AH93" s="43">
        <f>260000000+79000000</f>
        <v>339000000</v>
      </c>
      <c r="AI93" s="18">
        <f t="shared" ref="AI93" si="51">AE93-AF93+AG93-AH93</f>
        <v>0</v>
      </c>
      <c r="AJ93" s="34">
        <f t="shared" ref="AJ93" si="52">AD93+AI93</f>
        <v>0</v>
      </c>
      <c r="AK93" s="34">
        <v>0</v>
      </c>
      <c r="AL93" s="40">
        <f>AM93-AGOSTO!AM93</f>
        <v>0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1">
        <f t="shared" si="38"/>
        <v>0</v>
      </c>
      <c r="AU93" s="34">
        <f t="shared" si="48"/>
        <v>0</v>
      </c>
      <c r="AV93" s="34">
        <f t="shared" si="49"/>
        <v>0</v>
      </c>
      <c r="AW93" s="34">
        <f t="shared" si="50"/>
        <v>0</v>
      </c>
      <c r="AX93" s="32">
        <v>0</v>
      </c>
    </row>
    <row r="94" spans="1:50" ht="18.75" customHeight="1" x14ac:dyDescent="0.2">
      <c r="A94" s="19" t="s">
        <v>55</v>
      </c>
      <c r="B94" s="19" t="s">
        <v>56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26" t="s">
        <v>188</v>
      </c>
      <c r="AB94" s="21" t="s">
        <v>189</v>
      </c>
      <c r="AC94" s="22" t="s">
        <v>56</v>
      </c>
      <c r="AD94" s="22">
        <f>SUM(AD95:AD100)</f>
        <v>23014782621</v>
      </c>
      <c r="AE94" s="23">
        <f t="shared" ref="AE94:AW94" si="53">SUM(AE95:AE100)</f>
        <v>0</v>
      </c>
      <c r="AF94" s="23">
        <f t="shared" si="53"/>
        <v>0</v>
      </c>
      <c r="AG94" s="22">
        <f>SUM(AG95:AG100)</f>
        <v>5952995322</v>
      </c>
      <c r="AH94" s="22">
        <f>SUM(AH95:AH100)</f>
        <v>2810775300</v>
      </c>
      <c r="AI94" s="22">
        <f>SUM(AI95:AI100)</f>
        <v>3142220022</v>
      </c>
      <c r="AJ94" s="22">
        <f>SUM(AJ95:AJ100)</f>
        <v>26157002643</v>
      </c>
      <c r="AK94" s="22">
        <f t="shared" si="53"/>
        <v>0</v>
      </c>
      <c r="AL94" s="22">
        <f t="shared" si="53"/>
        <v>244470406.32999802</v>
      </c>
      <c r="AM94" s="22">
        <f t="shared" si="53"/>
        <v>24164234079.689999</v>
      </c>
      <c r="AN94" s="22">
        <f t="shared" si="53"/>
        <v>32800000</v>
      </c>
      <c r="AO94" s="22">
        <f t="shared" si="53"/>
        <v>468164387</v>
      </c>
      <c r="AP94" s="22">
        <f t="shared" si="53"/>
        <v>23953791786.060001</v>
      </c>
      <c r="AQ94" s="22">
        <f t="shared" si="53"/>
        <v>128509933.75999999</v>
      </c>
      <c r="AR94" s="22">
        <f t="shared" si="53"/>
        <v>2447313929</v>
      </c>
      <c r="AS94" s="22">
        <f t="shared" si="53"/>
        <v>18511144325.48</v>
      </c>
      <c r="AT94" s="22">
        <f>AQ94+AS94</f>
        <v>18639654259.239998</v>
      </c>
      <c r="AU94" s="22">
        <f t="shared" si="53"/>
        <v>1992768563.3100004</v>
      </c>
      <c r="AV94" s="22">
        <f t="shared" si="53"/>
        <v>210442293.62999821</v>
      </c>
      <c r="AW94" s="22">
        <f t="shared" si="53"/>
        <v>5314137526.8200016</v>
      </c>
      <c r="AX94" s="24">
        <f t="shared" si="20"/>
        <v>0.91576975057080512</v>
      </c>
    </row>
    <row r="95" spans="1:50" ht="18.75" customHeight="1" x14ac:dyDescent="0.2">
      <c r="A95" s="14" t="s">
        <v>55</v>
      </c>
      <c r="B95" s="15" t="s">
        <v>56</v>
      </c>
      <c r="C95" s="15"/>
      <c r="D95" s="15" t="s">
        <v>40</v>
      </c>
      <c r="E95" s="15"/>
      <c r="F95" s="15"/>
      <c r="G95" s="15" t="s">
        <v>41</v>
      </c>
      <c r="H95" s="15"/>
      <c r="I95" s="15" t="s">
        <v>936</v>
      </c>
      <c r="J95" s="15"/>
      <c r="K95" s="15" t="s">
        <v>932</v>
      </c>
      <c r="L95" s="15"/>
      <c r="M95" s="15" t="s">
        <v>933</v>
      </c>
      <c r="N95" s="15"/>
      <c r="O95" s="15" t="s">
        <v>938</v>
      </c>
      <c r="P95" s="15"/>
      <c r="Q95" s="15" t="s">
        <v>942</v>
      </c>
      <c r="R95" s="15"/>
      <c r="S95" s="15" t="s">
        <v>940</v>
      </c>
      <c r="T95" s="15">
        <v>0</v>
      </c>
      <c r="U95" s="15">
        <v>0</v>
      </c>
      <c r="V95" s="15">
        <v>0</v>
      </c>
      <c r="W95" s="15">
        <v>0</v>
      </c>
      <c r="X95" s="15" t="s">
        <v>937</v>
      </c>
      <c r="Y95" s="15"/>
      <c r="Z95" s="15"/>
      <c r="AA95" s="16" t="s">
        <v>190</v>
      </c>
      <c r="AB95" s="17" t="s">
        <v>191</v>
      </c>
      <c r="AC95" s="17" t="s">
        <v>58</v>
      </c>
      <c r="AD95" s="18">
        <v>200000000</v>
      </c>
      <c r="AE95" s="34">
        <v>0</v>
      </c>
      <c r="AF95" s="34">
        <v>0</v>
      </c>
      <c r="AG95" s="34">
        <v>0</v>
      </c>
      <c r="AH95" s="18">
        <f>90000000+20000000+12775300</f>
        <v>122775300</v>
      </c>
      <c r="AI95" s="18">
        <f t="shared" ref="AI95:AI100" si="54">AE95-AF95+AG95-AH95</f>
        <v>-122775300</v>
      </c>
      <c r="AJ95" s="18">
        <f t="shared" ref="AJ95:AJ100" si="55">AD95+AI95</f>
        <v>77224700</v>
      </c>
      <c r="AK95" s="34">
        <v>0</v>
      </c>
      <c r="AL95" s="39">
        <f>AM95-OCTUBRE!AM95</f>
        <v>0</v>
      </c>
      <c r="AM95" s="18">
        <v>68116526</v>
      </c>
      <c r="AN95" s="34">
        <v>0</v>
      </c>
      <c r="AO95" s="34">
        <v>0</v>
      </c>
      <c r="AP95" s="34">
        <v>68116526</v>
      </c>
      <c r="AQ95" s="34">
        <v>0</v>
      </c>
      <c r="AR95" s="34">
        <v>0</v>
      </c>
      <c r="AS95" s="34">
        <v>0</v>
      </c>
      <c r="AT95" s="31">
        <f t="shared" ref="AT95:AT117" si="56">AQ95+AS95</f>
        <v>0</v>
      </c>
      <c r="AU95" s="18">
        <f t="shared" ref="AU95:AU100" si="57">AJ95-AM95</f>
        <v>9108174</v>
      </c>
      <c r="AV95" s="18">
        <f t="shared" ref="AV95:AV100" si="58">AM95-AP95</f>
        <v>0</v>
      </c>
      <c r="AW95" s="34">
        <f t="shared" ref="AW95:AW100" si="59">AP95-AT95</f>
        <v>68116526</v>
      </c>
      <c r="AX95" s="32">
        <f t="shared" si="20"/>
        <v>0.88205620740514368</v>
      </c>
    </row>
    <row r="96" spans="1:50" ht="27.75" customHeight="1" x14ac:dyDescent="0.2">
      <c r="A96" s="35" t="s">
        <v>55</v>
      </c>
      <c r="B96" s="36" t="s">
        <v>56</v>
      </c>
      <c r="C96" s="36"/>
      <c r="D96" s="36" t="s">
        <v>40</v>
      </c>
      <c r="E96" s="36"/>
      <c r="F96" s="36"/>
      <c r="G96" s="36" t="s">
        <v>41</v>
      </c>
      <c r="H96" s="36"/>
      <c r="I96" s="36" t="s">
        <v>936</v>
      </c>
      <c r="J96" s="36"/>
      <c r="K96" s="36" t="s">
        <v>932</v>
      </c>
      <c r="L96" s="36"/>
      <c r="M96" s="36" t="s">
        <v>933</v>
      </c>
      <c r="N96" s="36"/>
      <c r="O96" s="36" t="s">
        <v>938</v>
      </c>
      <c r="P96" s="36"/>
      <c r="Q96" s="36" t="s">
        <v>942</v>
      </c>
      <c r="R96" s="36"/>
      <c r="S96" s="36" t="s">
        <v>940</v>
      </c>
      <c r="T96" s="36">
        <v>0</v>
      </c>
      <c r="U96" s="36">
        <v>0</v>
      </c>
      <c r="V96" s="36">
        <v>0</v>
      </c>
      <c r="W96" s="36">
        <v>0</v>
      </c>
      <c r="X96" s="36" t="s">
        <v>937</v>
      </c>
      <c r="Y96" s="36"/>
      <c r="Z96" s="36"/>
      <c r="AA96" s="37" t="s">
        <v>192</v>
      </c>
      <c r="AB96" s="38" t="s">
        <v>193</v>
      </c>
      <c r="AC96" s="38" t="s">
        <v>58</v>
      </c>
      <c r="AD96" s="39">
        <v>1740000000</v>
      </c>
      <c r="AE96" s="40">
        <v>0</v>
      </c>
      <c r="AF96" s="40">
        <v>0</v>
      </c>
      <c r="AG96" s="39">
        <f>200000000+37500000+79000000+500000000+600000000</f>
        <v>1416500000</v>
      </c>
      <c r="AH96" s="39">
        <v>490000000</v>
      </c>
      <c r="AI96" s="18">
        <f t="shared" si="54"/>
        <v>926500000</v>
      </c>
      <c r="AJ96" s="18">
        <f t="shared" si="55"/>
        <v>2666500000</v>
      </c>
      <c r="AK96" s="40">
        <v>0</v>
      </c>
      <c r="AL96" s="39">
        <f>AM96-OCTUBRE!AM96</f>
        <v>-6406900</v>
      </c>
      <c r="AM96" s="39">
        <v>1297762590</v>
      </c>
      <c r="AN96" s="40">
        <v>0</v>
      </c>
      <c r="AO96" s="18">
        <v>45807500</v>
      </c>
      <c r="AP96" s="39">
        <v>1272452590</v>
      </c>
      <c r="AQ96" s="40">
        <v>0</v>
      </c>
      <c r="AR96" s="18">
        <v>33914825</v>
      </c>
      <c r="AS96" s="39">
        <v>765659530.61000001</v>
      </c>
      <c r="AT96" s="30">
        <f t="shared" si="56"/>
        <v>765659530.61000001</v>
      </c>
      <c r="AU96" s="18">
        <f t="shared" si="57"/>
        <v>1368737410</v>
      </c>
      <c r="AV96" s="18">
        <f t="shared" si="58"/>
        <v>25310000</v>
      </c>
      <c r="AW96" s="18">
        <f t="shared" si="59"/>
        <v>506793059.38999999</v>
      </c>
      <c r="AX96" s="32">
        <f t="shared" si="20"/>
        <v>0.47719954622163885</v>
      </c>
    </row>
    <row r="97" spans="1:50" ht="27.75" customHeight="1" x14ac:dyDescent="0.2">
      <c r="A97" s="35" t="s">
        <v>55</v>
      </c>
      <c r="B97" s="36" t="s">
        <v>56</v>
      </c>
      <c r="C97" s="36"/>
      <c r="D97" s="36" t="s">
        <v>40</v>
      </c>
      <c r="E97" s="36"/>
      <c r="F97" s="36"/>
      <c r="G97" s="36" t="s">
        <v>41</v>
      </c>
      <c r="H97" s="36"/>
      <c r="I97" s="36" t="s">
        <v>936</v>
      </c>
      <c r="J97" s="36"/>
      <c r="K97" s="36" t="s">
        <v>932</v>
      </c>
      <c r="L97" s="36"/>
      <c r="M97" s="36" t="s">
        <v>933</v>
      </c>
      <c r="N97" s="36"/>
      <c r="O97" s="36" t="s">
        <v>938</v>
      </c>
      <c r="P97" s="36"/>
      <c r="Q97" s="36" t="s">
        <v>942</v>
      </c>
      <c r="R97" s="36"/>
      <c r="S97" s="36" t="s">
        <v>940</v>
      </c>
      <c r="T97" s="36">
        <v>0</v>
      </c>
      <c r="U97" s="36">
        <v>0</v>
      </c>
      <c r="V97" s="36">
        <v>0</v>
      </c>
      <c r="W97" s="36">
        <v>0</v>
      </c>
      <c r="X97" s="36" t="s">
        <v>937</v>
      </c>
      <c r="Y97" s="36"/>
      <c r="Z97" s="36"/>
      <c r="AA97" s="37" t="s">
        <v>194</v>
      </c>
      <c r="AB97" s="38" t="s">
        <v>195</v>
      </c>
      <c r="AC97" s="38" t="s">
        <v>58</v>
      </c>
      <c r="AD97" s="39">
        <v>3623000000</v>
      </c>
      <c r="AE97" s="40">
        <v>0</v>
      </c>
      <c r="AF97" s="40">
        <v>0</v>
      </c>
      <c r="AG97" s="33">
        <v>260000000</v>
      </c>
      <c r="AH97" s="39">
        <v>10000000</v>
      </c>
      <c r="AI97" s="18">
        <f t="shared" si="54"/>
        <v>250000000</v>
      </c>
      <c r="AJ97" s="18">
        <f t="shared" si="55"/>
        <v>3873000000</v>
      </c>
      <c r="AK97" s="40">
        <v>0</v>
      </c>
      <c r="AL97" s="39">
        <f>AM97-OCTUBRE!AM97</f>
        <v>41694472</v>
      </c>
      <c r="AM97" s="39">
        <v>3761898274</v>
      </c>
      <c r="AN97" s="40">
        <v>0</v>
      </c>
      <c r="AO97" s="18">
        <v>41694472</v>
      </c>
      <c r="AP97" s="39">
        <v>3760099696</v>
      </c>
      <c r="AQ97" s="40">
        <v>14366156.380000001</v>
      </c>
      <c r="AR97" s="18">
        <v>78859070</v>
      </c>
      <c r="AS97" s="39">
        <v>3717839696</v>
      </c>
      <c r="AT97" s="30">
        <f t="shared" si="56"/>
        <v>3732205852.3800001</v>
      </c>
      <c r="AU97" s="18">
        <f t="shared" si="57"/>
        <v>111101726</v>
      </c>
      <c r="AV97" s="18">
        <f t="shared" si="58"/>
        <v>1798578</v>
      </c>
      <c r="AW97" s="18">
        <f t="shared" si="59"/>
        <v>27893843.619999886</v>
      </c>
      <c r="AX97" s="32">
        <f t="shared" si="20"/>
        <v>0.97084939220242705</v>
      </c>
    </row>
    <row r="98" spans="1:50" ht="25.5" customHeight="1" x14ac:dyDescent="0.2">
      <c r="A98" s="14" t="s">
        <v>55</v>
      </c>
      <c r="B98" s="15" t="s">
        <v>56</v>
      </c>
      <c r="C98" s="15"/>
      <c r="D98" s="15" t="s">
        <v>40</v>
      </c>
      <c r="E98" s="15"/>
      <c r="F98" s="15"/>
      <c r="G98" s="15" t="s">
        <v>41</v>
      </c>
      <c r="H98" s="15"/>
      <c r="I98" s="15" t="s">
        <v>936</v>
      </c>
      <c r="J98" s="15"/>
      <c r="K98" s="15" t="s">
        <v>932</v>
      </c>
      <c r="L98" s="15"/>
      <c r="M98" s="15" t="s">
        <v>933</v>
      </c>
      <c r="N98" s="15"/>
      <c r="O98" s="15" t="s">
        <v>938</v>
      </c>
      <c r="P98" s="15"/>
      <c r="Q98" s="15" t="s">
        <v>942</v>
      </c>
      <c r="R98" s="15"/>
      <c r="S98" s="15" t="s">
        <v>940</v>
      </c>
      <c r="T98" s="15">
        <v>0</v>
      </c>
      <c r="U98" s="15">
        <v>0</v>
      </c>
      <c r="V98" s="15">
        <v>0</v>
      </c>
      <c r="W98" s="15">
        <v>0</v>
      </c>
      <c r="X98" s="15" t="s">
        <v>937</v>
      </c>
      <c r="Y98" s="15"/>
      <c r="Z98" s="15"/>
      <c r="AA98" s="134" t="s">
        <v>196</v>
      </c>
      <c r="AB98" s="70" t="s">
        <v>197</v>
      </c>
      <c r="AC98" s="17" t="s">
        <v>58</v>
      </c>
      <c r="AD98" s="18">
        <v>17003782621</v>
      </c>
      <c r="AE98" s="34">
        <v>0</v>
      </c>
      <c r="AF98" s="34">
        <v>0</v>
      </c>
      <c r="AG98" s="18">
        <f>1580000000+150000000+300000000+34200000+795800000+880000000</f>
        <v>3740000000</v>
      </c>
      <c r="AH98" s="18">
        <f>1000000000+450000000+300000000+34200000+195800000</f>
        <v>1980000000</v>
      </c>
      <c r="AI98" s="18">
        <f t="shared" si="54"/>
        <v>1760000000</v>
      </c>
      <c r="AJ98" s="18">
        <f t="shared" si="55"/>
        <v>18763782621</v>
      </c>
      <c r="AK98" s="18">
        <v>0</v>
      </c>
      <c r="AL98" s="39">
        <f>AM98-OCTUBRE!AM98</f>
        <v>163980977.32999802</v>
      </c>
      <c r="AM98" s="110">
        <v>18296551490.23</v>
      </c>
      <c r="AN98" s="18">
        <v>32800000</v>
      </c>
      <c r="AO98" s="18">
        <v>339954010</v>
      </c>
      <c r="AP98" s="18">
        <v>18121361819.560001</v>
      </c>
      <c r="AQ98" s="18">
        <v>111112039.38</v>
      </c>
      <c r="AR98" s="18">
        <v>2281111606</v>
      </c>
      <c r="AS98" s="18">
        <v>13367515629.370001</v>
      </c>
      <c r="AT98" s="30">
        <f t="shared" si="56"/>
        <v>13478627668.75</v>
      </c>
      <c r="AU98" s="18">
        <f t="shared" si="57"/>
        <v>467231130.77000046</v>
      </c>
      <c r="AV98" s="18">
        <f t="shared" si="58"/>
        <v>175189670.66999817</v>
      </c>
      <c r="AW98" s="18">
        <f t="shared" si="59"/>
        <v>4642734150.8100014</v>
      </c>
      <c r="AX98" s="32">
        <f t="shared" si="20"/>
        <v>0.96576272415770714</v>
      </c>
    </row>
    <row r="99" spans="1:50" ht="18.75" customHeight="1" x14ac:dyDescent="0.2">
      <c r="A99" s="14" t="s">
        <v>55</v>
      </c>
      <c r="B99" s="15" t="s">
        <v>56</v>
      </c>
      <c r="C99" s="15"/>
      <c r="D99" s="15" t="s">
        <v>40</v>
      </c>
      <c r="E99" s="15"/>
      <c r="F99" s="15"/>
      <c r="G99" s="15" t="s">
        <v>41</v>
      </c>
      <c r="H99" s="15"/>
      <c r="I99" s="15" t="s">
        <v>936</v>
      </c>
      <c r="J99" s="15"/>
      <c r="K99" s="15" t="s">
        <v>932</v>
      </c>
      <c r="L99" s="15"/>
      <c r="M99" s="15" t="s">
        <v>933</v>
      </c>
      <c r="N99" s="15"/>
      <c r="O99" s="15" t="s">
        <v>938</v>
      </c>
      <c r="P99" s="15"/>
      <c r="Q99" s="15" t="s">
        <v>942</v>
      </c>
      <c r="R99" s="15"/>
      <c r="S99" s="15" t="s">
        <v>940</v>
      </c>
      <c r="T99" s="15">
        <v>0</v>
      </c>
      <c r="U99" s="15">
        <v>0</v>
      </c>
      <c r="V99" s="15">
        <v>0</v>
      </c>
      <c r="W99" s="15">
        <v>0</v>
      </c>
      <c r="X99" s="15" t="s">
        <v>937</v>
      </c>
      <c r="Y99" s="15"/>
      <c r="Z99" s="15"/>
      <c r="AA99" s="16" t="s">
        <v>198</v>
      </c>
      <c r="AB99" s="17" t="s">
        <v>199</v>
      </c>
      <c r="AC99" s="17" t="s">
        <v>58</v>
      </c>
      <c r="AD99" s="18">
        <v>348000000</v>
      </c>
      <c r="AE99" s="34">
        <v>0</v>
      </c>
      <c r="AF99" s="34">
        <v>0</v>
      </c>
      <c r="AG99" s="18">
        <v>456495322</v>
      </c>
      <c r="AH99" s="18">
        <v>208000000</v>
      </c>
      <c r="AI99" s="18">
        <f t="shared" si="54"/>
        <v>248495322</v>
      </c>
      <c r="AJ99" s="18">
        <f t="shared" si="55"/>
        <v>596495322</v>
      </c>
      <c r="AK99" s="34">
        <v>0</v>
      </c>
      <c r="AL99" s="39">
        <f>AM99-OCTUBRE!AM99</f>
        <v>2265000</v>
      </c>
      <c r="AM99" s="110">
        <v>569417658.96000004</v>
      </c>
      <c r="AN99" s="34">
        <v>0</v>
      </c>
      <c r="AO99" s="18">
        <v>0</v>
      </c>
      <c r="AP99" s="18">
        <v>566495322</v>
      </c>
      <c r="AQ99" s="34">
        <v>0</v>
      </c>
      <c r="AR99" s="18">
        <v>16000001</v>
      </c>
      <c r="AS99" s="18">
        <v>502495319</v>
      </c>
      <c r="AT99" s="30">
        <f t="shared" si="56"/>
        <v>502495319</v>
      </c>
      <c r="AU99" s="18">
        <f t="shared" si="57"/>
        <v>27077663.039999962</v>
      </c>
      <c r="AV99" s="34">
        <f t="shared" si="58"/>
        <v>2922336.9600000381</v>
      </c>
      <c r="AW99" s="18">
        <f t="shared" si="59"/>
        <v>64000003</v>
      </c>
      <c r="AX99" s="32">
        <f t="shared" si="20"/>
        <v>0.9497062275368523</v>
      </c>
    </row>
    <row r="100" spans="1:50" ht="18.75" customHeight="1" x14ac:dyDescent="0.2">
      <c r="A100" s="14" t="s">
        <v>55</v>
      </c>
      <c r="B100" s="15" t="s">
        <v>56</v>
      </c>
      <c r="C100" s="15"/>
      <c r="D100" s="15" t="s">
        <v>40</v>
      </c>
      <c r="E100" s="15"/>
      <c r="F100" s="15"/>
      <c r="G100" s="15" t="s">
        <v>41</v>
      </c>
      <c r="H100" s="15"/>
      <c r="I100" s="15" t="s">
        <v>936</v>
      </c>
      <c r="J100" s="15"/>
      <c r="K100" s="15" t="s">
        <v>932</v>
      </c>
      <c r="L100" s="15"/>
      <c r="M100" s="15" t="s">
        <v>933</v>
      </c>
      <c r="N100" s="15"/>
      <c r="O100" s="15" t="s">
        <v>938</v>
      </c>
      <c r="P100" s="15"/>
      <c r="Q100" s="15" t="s">
        <v>942</v>
      </c>
      <c r="R100" s="15"/>
      <c r="S100" s="15" t="s">
        <v>940</v>
      </c>
      <c r="T100" s="15">
        <v>0</v>
      </c>
      <c r="U100" s="15">
        <v>0</v>
      </c>
      <c r="V100" s="15">
        <v>0</v>
      </c>
      <c r="W100" s="15">
        <v>0</v>
      </c>
      <c r="X100" s="15" t="s">
        <v>937</v>
      </c>
      <c r="Y100" s="15"/>
      <c r="Z100" s="15"/>
      <c r="AA100" s="16" t="s">
        <v>200</v>
      </c>
      <c r="AB100" s="17" t="s">
        <v>201</v>
      </c>
      <c r="AC100" s="17" t="s">
        <v>58</v>
      </c>
      <c r="AD100" s="18">
        <v>100000000</v>
      </c>
      <c r="AE100" s="34">
        <v>0</v>
      </c>
      <c r="AF100" s="34">
        <v>0</v>
      </c>
      <c r="AG100" s="18">
        <f>20000000+30000000+30000000</f>
        <v>80000000</v>
      </c>
      <c r="AH100" s="34">
        <v>0</v>
      </c>
      <c r="AI100" s="18">
        <f t="shared" si="54"/>
        <v>80000000</v>
      </c>
      <c r="AJ100" s="18">
        <f t="shared" si="55"/>
        <v>180000000</v>
      </c>
      <c r="AK100" s="34">
        <v>0</v>
      </c>
      <c r="AL100" s="39">
        <f>AM100-OCTUBRE!AM100</f>
        <v>42936857</v>
      </c>
      <c r="AM100" s="110">
        <v>170487540.5</v>
      </c>
      <c r="AN100" s="18">
        <v>0</v>
      </c>
      <c r="AO100" s="18">
        <v>40708405</v>
      </c>
      <c r="AP100" s="18">
        <v>165265832.5</v>
      </c>
      <c r="AQ100" s="34">
        <v>3031738</v>
      </c>
      <c r="AR100" s="18">
        <v>37428427</v>
      </c>
      <c r="AS100" s="18">
        <v>157634150.5</v>
      </c>
      <c r="AT100" s="30">
        <f t="shared" si="56"/>
        <v>160665888.5</v>
      </c>
      <c r="AU100" s="18">
        <f t="shared" si="57"/>
        <v>9512459.5</v>
      </c>
      <c r="AV100" s="18">
        <f t="shared" si="58"/>
        <v>5221708</v>
      </c>
      <c r="AW100" s="18">
        <f t="shared" si="59"/>
        <v>4599944</v>
      </c>
      <c r="AX100" s="32">
        <f t="shared" si="20"/>
        <v>0.91814351388888893</v>
      </c>
    </row>
    <row r="101" spans="1:50" ht="18.75" customHeight="1" x14ac:dyDescent="0.2">
      <c r="A101" s="19" t="s">
        <v>37</v>
      </c>
      <c r="B101" s="19" t="s">
        <v>37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26" t="s">
        <v>868</v>
      </c>
      <c r="AB101" s="21" t="s">
        <v>202</v>
      </c>
      <c r="AC101" s="22" t="s">
        <v>37</v>
      </c>
      <c r="AD101" s="22">
        <f t="shared" ref="AD101:AS101" si="60">AD102+AD124+AD140</f>
        <v>113142608950</v>
      </c>
      <c r="AE101" s="22">
        <f t="shared" si="60"/>
        <v>9725055859.5300007</v>
      </c>
      <c r="AF101" s="23">
        <f t="shared" si="60"/>
        <v>0</v>
      </c>
      <c r="AG101" s="22">
        <f t="shared" si="60"/>
        <v>4796310878</v>
      </c>
      <c r="AH101" s="22">
        <f t="shared" si="60"/>
        <v>6918559646.7200003</v>
      </c>
      <c r="AI101" s="22">
        <f t="shared" si="60"/>
        <v>7602807090.8100004</v>
      </c>
      <c r="AJ101" s="22">
        <f t="shared" si="60"/>
        <v>120745416040.81</v>
      </c>
      <c r="AK101" s="23">
        <f t="shared" si="60"/>
        <v>0</v>
      </c>
      <c r="AL101" s="22">
        <f t="shared" si="60"/>
        <v>11998947019.58</v>
      </c>
      <c r="AM101" s="22">
        <f t="shared" si="60"/>
        <v>100883655354.32999</v>
      </c>
      <c r="AN101" s="23">
        <f t="shared" si="60"/>
        <v>0</v>
      </c>
      <c r="AO101" s="22">
        <f t="shared" si="60"/>
        <v>11041036141.58</v>
      </c>
      <c r="AP101" s="22">
        <f t="shared" si="60"/>
        <v>99920014473.329987</v>
      </c>
      <c r="AQ101" s="22">
        <f t="shared" si="60"/>
        <v>264301487.97999999</v>
      </c>
      <c r="AR101" s="22">
        <f t="shared" si="60"/>
        <v>6837416305.5999994</v>
      </c>
      <c r="AS101" s="22">
        <f t="shared" si="60"/>
        <v>95577458960.119995</v>
      </c>
      <c r="AT101" s="22">
        <f t="shared" si="56"/>
        <v>95841760448.099991</v>
      </c>
      <c r="AU101" s="22">
        <f>AU102+AU124+AU140</f>
        <v>19861760686.48</v>
      </c>
      <c r="AV101" s="22">
        <f>AV102+AV124+AV140</f>
        <v>963640881</v>
      </c>
      <c r="AW101" s="22">
        <f>AW102+AW124+AW140</f>
        <v>4078254025.23</v>
      </c>
      <c r="AX101" s="24">
        <f t="shared" si="20"/>
        <v>0.82752635876097058</v>
      </c>
    </row>
    <row r="102" spans="1:50" ht="18.75" customHeight="1" x14ac:dyDescent="0.2">
      <c r="A102" s="19" t="s">
        <v>55</v>
      </c>
      <c r="B102" s="19" t="s">
        <v>56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26" t="s">
        <v>869</v>
      </c>
      <c r="AB102" s="21" t="s">
        <v>203</v>
      </c>
      <c r="AC102" s="22" t="s">
        <v>37</v>
      </c>
      <c r="AD102" s="22">
        <f t="shared" ref="AD102:AS102" si="61">AD103+AD118</f>
        <v>70789582622</v>
      </c>
      <c r="AE102" s="22">
        <f t="shared" si="61"/>
        <v>9295130036.4300003</v>
      </c>
      <c r="AF102" s="23">
        <f t="shared" si="61"/>
        <v>0</v>
      </c>
      <c r="AG102" s="22">
        <f t="shared" si="61"/>
        <v>4612310878</v>
      </c>
      <c r="AH102" s="22">
        <f t="shared" si="61"/>
        <v>500000000</v>
      </c>
      <c r="AI102" s="22">
        <f t="shared" si="61"/>
        <v>13407440914.43</v>
      </c>
      <c r="AJ102" s="22">
        <f t="shared" si="61"/>
        <v>84197023536.429993</v>
      </c>
      <c r="AK102" s="23">
        <f t="shared" si="61"/>
        <v>0</v>
      </c>
      <c r="AL102" s="22">
        <f t="shared" si="61"/>
        <v>7927223680.5599995</v>
      </c>
      <c r="AM102" s="22">
        <f t="shared" si="61"/>
        <v>73006197625.559998</v>
      </c>
      <c r="AN102" s="23">
        <f t="shared" si="61"/>
        <v>0</v>
      </c>
      <c r="AO102" s="22">
        <f t="shared" si="61"/>
        <v>6965112802.5599995</v>
      </c>
      <c r="AP102" s="22">
        <f t="shared" si="61"/>
        <v>72044086747.559998</v>
      </c>
      <c r="AQ102" s="22">
        <f t="shared" si="61"/>
        <v>259580185</v>
      </c>
      <c r="AR102" s="22">
        <f t="shared" si="61"/>
        <v>6705532617.5599995</v>
      </c>
      <c r="AS102" s="22">
        <f t="shared" si="61"/>
        <v>71784506562.559998</v>
      </c>
      <c r="AT102" s="22">
        <f t="shared" si="56"/>
        <v>72044086747.559998</v>
      </c>
      <c r="AU102" s="22">
        <f>AU103+AU118</f>
        <v>11190825910.869999</v>
      </c>
      <c r="AV102" s="23">
        <f>AV103+AV118</f>
        <v>962110878</v>
      </c>
      <c r="AW102" s="23">
        <f>AW103+AW118</f>
        <v>0</v>
      </c>
      <c r="AX102" s="24">
        <f t="shared" si="20"/>
        <v>0.8556607314792819</v>
      </c>
    </row>
    <row r="103" spans="1:50" ht="18.75" customHeight="1" x14ac:dyDescent="0.2">
      <c r="A103" s="19" t="s">
        <v>55</v>
      </c>
      <c r="B103" s="19" t="s">
        <v>56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26" t="s">
        <v>870</v>
      </c>
      <c r="AB103" s="21" t="s">
        <v>204</v>
      </c>
      <c r="AC103" s="22" t="s">
        <v>56</v>
      </c>
      <c r="AD103" s="22">
        <f>AD104</f>
        <v>34789582622</v>
      </c>
      <c r="AE103" s="22">
        <f t="shared" ref="AE103:AW103" si="62">AE104</f>
        <v>9295130036.4300003</v>
      </c>
      <c r="AF103" s="23">
        <f t="shared" si="62"/>
        <v>0</v>
      </c>
      <c r="AG103" s="22">
        <f>AG104</f>
        <v>4612310878</v>
      </c>
      <c r="AH103" s="22">
        <f t="shared" si="62"/>
        <v>500000000</v>
      </c>
      <c r="AI103" s="22">
        <f t="shared" si="62"/>
        <v>13407440914.43</v>
      </c>
      <c r="AJ103" s="22">
        <f t="shared" si="62"/>
        <v>48197023536.43</v>
      </c>
      <c r="AK103" s="23">
        <f t="shared" si="62"/>
        <v>0</v>
      </c>
      <c r="AL103" s="22">
        <f t="shared" si="62"/>
        <v>7927223680.5599995</v>
      </c>
      <c r="AM103" s="22">
        <f t="shared" si="62"/>
        <v>43105888251.559998</v>
      </c>
      <c r="AN103" s="23">
        <f t="shared" si="62"/>
        <v>0</v>
      </c>
      <c r="AO103" s="22">
        <f t="shared" si="62"/>
        <v>6965112802.5599995</v>
      </c>
      <c r="AP103" s="22">
        <f t="shared" si="62"/>
        <v>42143777373.559998</v>
      </c>
      <c r="AQ103" s="22">
        <f t="shared" si="62"/>
        <v>259580185</v>
      </c>
      <c r="AR103" s="22">
        <f t="shared" si="62"/>
        <v>6705532617.5599995</v>
      </c>
      <c r="AS103" s="22">
        <f t="shared" si="62"/>
        <v>41884197188.559998</v>
      </c>
      <c r="AT103" s="22">
        <f t="shared" si="56"/>
        <v>42143777373.559998</v>
      </c>
      <c r="AU103" s="22">
        <f t="shared" si="62"/>
        <v>5091135284.8699989</v>
      </c>
      <c r="AV103" s="22">
        <f t="shared" si="62"/>
        <v>962110878</v>
      </c>
      <c r="AW103" s="23">
        <f t="shared" si="62"/>
        <v>0</v>
      </c>
      <c r="AX103" s="24">
        <f t="shared" si="20"/>
        <v>0.8744062243118681</v>
      </c>
    </row>
    <row r="104" spans="1:50" ht="28.5" customHeight="1" x14ac:dyDescent="0.2">
      <c r="A104" s="27" t="s">
        <v>55</v>
      </c>
      <c r="B104" s="27" t="s">
        <v>56</v>
      </c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101" t="s">
        <v>871</v>
      </c>
      <c r="AB104" s="38" t="s">
        <v>205</v>
      </c>
      <c r="AC104" s="30" t="s">
        <v>56</v>
      </c>
      <c r="AD104" s="30">
        <f>SUM(AD105:AD117)</f>
        <v>34789582622</v>
      </c>
      <c r="AE104" s="30">
        <f t="shared" ref="AE104:AW104" si="63">SUM(AE105:AE117)</f>
        <v>9295130036.4300003</v>
      </c>
      <c r="AF104" s="31">
        <f t="shared" si="63"/>
        <v>0</v>
      </c>
      <c r="AG104" s="30">
        <f t="shared" si="63"/>
        <v>4612310878</v>
      </c>
      <c r="AH104" s="30">
        <f t="shared" si="63"/>
        <v>500000000</v>
      </c>
      <c r="AI104" s="30">
        <f t="shared" si="63"/>
        <v>13407440914.43</v>
      </c>
      <c r="AJ104" s="30">
        <f>SUM(AJ105:AJ117)</f>
        <v>48197023536.43</v>
      </c>
      <c r="AK104" s="30">
        <f t="shared" si="63"/>
        <v>0</v>
      </c>
      <c r="AL104" s="30">
        <f t="shared" si="63"/>
        <v>7927223680.5599995</v>
      </c>
      <c r="AM104" s="30">
        <f t="shared" si="63"/>
        <v>43105888251.559998</v>
      </c>
      <c r="AN104" s="30">
        <f t="shared" si="63"/>
        <v>0</v>
      </c>
      <c r="AO104" s="30">
        <f t="shared" si="63"/>
        <v>6965112802.5599995</v>
      </c>
      <c r="AP104" s="30">
        <f t="shared" si="63"/>
        <v>42143777373.559998</v>
      </c>
      <c r="AQ104" s="30">
        <f t="shared" si="63"/>
        <v>259580185</v>
      </c>
      <c r="AR104" s="30">
        <f t="shared" si="63"/>
        <v>6705532617.5599995</v>
      </c>
      <c r="AS104" s="30">
        <f t="shared" si="63"/>
        <v>41884197188.559998</v>
      </c>
      <c r="AT104" s="30">
        <f t="shared" si="63"/>
        <v>42143777373.559998</v>
      </c>
      <c r="AU104" s="30">
        <f t="shared" si="63"/>
        <v>5091135284.8699989</v>
      </c>
      <c r="AV104" s="30">
        <f t="shared" si="63"/>
        <v>962110878</v>
      </c>
      <c r="AW104" s="31">
        <f t="shared" si="63"/>
        <v>0</v>
      </c>
      <c r="AX104" s="32">
        <f t="shared" si="20"/>
        <v>0.8744062243118681</v>
      </c>
    </row>
    <row r="105" spans="1:50" ht="18.75" customHeight="1" x14ac:dyDescent="0.2">
      <c r="A105" s="35" t="s">
        <v>55</v>
      </c>
      <c r="B105" s="36" t="s">
        <v>56</v>
      </c>
      <c r="C105" s="36"/>
      <c r="D105" s="36" t="s">
        <v>40</v>
      </c>
      <c r="E105" s="36"/>
      <c r="F105" s="36"/>
      <c r="G105" s="36" t="s">
        <v>41</v>
      </c>
      <c r="H105" s="36"/>
      <c r="I105" s="36" t="s">
        <v>936</v>
      </c>
      <c r="J105" s="36"/>
      <c r="K105" s="36" t="s">
        <v>932</v>
      </c>
      <c r="L105" s="36"/>
      <c r="M105" s="36" t="s">
        <v>933</v>
      </c>
      <c r="N105" s="36"/>
      <c r="O105" s="36" t="s">
        <v>938</v>
      </c>
      <c r="P105" s="36"/>
      <c r="Q105" s="36" t="s">
        <v>942</v>
      </c>
      <c r="R105" s="36"/>
      <c r="S105" s="36" t="s">
        <v>940</v>
      </c>
      <c r="T105" s="36">
        <v>0</v>
      </c>
      <c r="U105" s="36">
        <v>0</v>
      </c>
      <c r="V105" s="36">
        <v>0</v>
      </c>
      <c r="W105" s="36">
        <v>0</v>
      </c>
      <c r="X105" s="36" t="s">
        <v>937</v>
      </c>
      <c r="Y105" s="36"/>
      <c r="Z105" s="36"/>
      <c r="AA105" s="101" t="s">
        <v>872</v>
      </c>
      <c r="AB105" s="38" t="s">
        <v>206</v>
      </c>
      <c r="AC105" s="38" t="s">
        <v>58</v>
      </c>
      <c r="AD105" s="39">
        <v>2500000000</v>
      </c>
      <c r="AE105" s="40">
        <v>0</v>
      </c>
      <c r="AF105" s="40">
        <v>0</v>
      </c>
      <c r="AG105" s="39">
        <v>80000000</v>
      </c>
      <c r="AH105" s="40">
        <v>0</v>
      </c>
      <c r="AI105" s="18">
        <f>AE105-AF105+AG105-AH105</f>
        <v>80000000</v>
      </c>
      <c r="AJ105" s="18">
        <f>AD105+AI105</f>
        <v>2580000000</v>
      </c>
      <c r="AK105" s="40">
        <v>0</v>
      </c>
      <c r="AL105" s="39">
        <v>208333333</v>
      </c>
      <c r="AM105" s="39">
        <v>2291666663</v>
      </c>
      <c r="AN105" s="40">
        <v>0</v>
      </c>
      <c r="AO105" s="39">
        <v>208333333</v>
      </c>
      <c r="AP105" s="39">
        <v>2291666663</v>
      </c>
      <c r="AQ105" s="40">
        <v>0</v>
      </c>
      <c r="AR105" s="39">
        <v>208333333</v>
      </c>
      <c r="AS105" s="39">
        <v>2291666663</v>
      </c>
      <c r="AT105" s="39">
        <f t="shared" si="56"/>
        <v>2291666663</v>
      </c>
      <c r="AU105" s="18">
        <f t="shared" ref="AU105:AU116" si="64">AJ105-AM105</f>
        <v>288333337</v>
      </c>
      <c r="AV105" s="34">
        <f t="shared" ref="AV105:AV116" si="65">AM105-AP105</f>
        <v>0</v>
      </c>
      <c r="AW105" s="34">
        <f t="shared" ref="AW105:AW116" si="66">AP105-AT105</f>
        <v>0</v>
      </c>
      <c r="AX105" s="32">
        <f t="shared" ref="AX105:AX136" si="67">AP105/AJ105</f>
        <v>0.88824289263565892</v>
      </c>
    </row>
    <row r="106" spans="1:50" ht="18.75" customHeight="1" x14ac:dyDescent="0.2">
      <c r="A106" s="14" t="s">
        <v>55</v>
      </c>
      <c r="B106" s="15" t="s">
        <v>56</v>
      </c>
      <c r="C106" s="15"/>
      <c r="D106" s="15" t="s">
        <v>40</v>
      </c>
      <c r="E106" s="15"/>
      <c r="F106" s="15"/>
      <c r="G106" s="15" t="s">
        <v>41</v>
      </c>
      <c r="H106" s="15"/>
      <c r="I106" s="15" t="s">
        <v>936</v>
      </c>
      <c r="J106" s="15"/>
      <c r="K106" s="15" t="s">
        <v>932</v>
      </c>
      <c r="L106" s="15"/>
      <c r="M106" s="15" t="s">
        <v>933</v>
      </c>
      <c r="N106" s="15"/>
      <c r="O106" s="15" t="s">
        <v>938</v>
      </c>
      <c r="P106" s="15"/>
      <c r="Q106" s="15" t="s">
        <v>942</v>
      </c>
      <c r="R106" s="15"/>
      <c r="S106" s="15" t="s">
        <v>940</v>
      </c>
      <c r="T106" s="15">
        <v>0</v>
      </c>
      <c r="U106" s="15">
        <v>0</v>
      </c>
      <c r="V106" s="15">
        <v>0</v>
      </c>
      <c r="W106" s="15">
        <v>0</v>
      </c>
      <c r="X106" s="15" t="s">
        <v>937</v>
      </c>
      <c r="Y106" s="15"/>
      <c r="Z106" s="15"/>
      <c r="AA106" s="41" t="s">
        <v>873</v>
      </c>
      <c r="AB106" s="17" t="s">
        <v>207</v>
      </c>
      <c r="AC106" s="17" t="s">
        <v>58</v>
      </c>
      <c r="AD106" s="18">
        <v>3557080000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18">
        <v>3557080000</v>
      </c>
      <c r="AK106" s="34">
        <v>0</v>
      </c>
      <c r="AL106" s="39">
        <v>296423333</v>
      </c>
      <c r="AM106" s="18">
        <v>3260656664</v>
      </c>
      <c r="AN106" s="34">
        <v>0</v>
      </c>
      <c r="AO106" s="18">
        <v>296423333</v>
      </c>
      <c r="AP106" s="18">
        <v>3260656664</v>
      </c>
      <c r="AQ106" s="34">
        <v>0</v>
      </c>
      <c r="AR106" s="39">
        <v>296423333</v>
      </c>
      <c r="AS106" s="18">
        <v>3260656664</v>
      </c>
      <c r="AT106" s="39">
        <f t="shared" si="56"/>
        <v>3260656664</v>
      </c>
      <c r="AU106" s="18">
        <f t="shared" si="64"/>
        <v>296423336</v>
      </c>
      <c r="AV106" s="34">
        <f t="shared" si="65"/>
        <v>0</v>
      </c>
      <c r="AW106" s="34">
        <f t="shared" si="66"/>
        <v>0</v>
      </c>
      <c r="AX106" s="32">
        <f t="shared" si="67"/>
        <v>0.91666666591698809</v>
      </c>
    </row>
    <row r="107" spans="1:50" ht="18.75" customHeight="1" x14ac:dyDescent="0.2">
      <c r="A107" s="35" t="s">
        <v>55</v>
      </c>
      <c r="B107" s="36" t="s">
        <v>56</v>
      </c>
      <c r="C107" s="36"/>
      <c r="D107" s="36" t="s">
        <v>40</v>
      </c>
      <c r="E107" s="36"/>
      <c r="F107" s="36"/>
      <c r="G107" s="36" t="s">
        <v>41</v>
      </c>
      <c r="H107" s="36"/>
      <c r="I107" s="36" t="s">
        <v>936</v>
      </c>
      <c r="J107" s="36"/>
      <c r="K107" s="36" t="s">
        <v>932</v>
      </c>
      <c r="L107" s="36"/>
      <c r="M107" s="36" t="s">
        <v>933</v>
      </c>
      <c r="N107" s="36"/>
      <c r="O107" s="36" t="s">
        <v>938</v>
      </c>
      <c r="P107" s="36"/>
      <c r="Q107" s="36" t="s">
        <v>942</v>
      </c>
      <c r="R107" s="36"/>
      <c r="S107" s="36" t="s">
        <v>940</v>
      </c>
      <c r="T107" s="36">
        <v>0</v>
      </c>
      <c r="U107" s="36">
        <v>0</v>
      </c>
      <c r="V107" s="36">
        <v>0</v>
      </c>
      <c r="W107" s="36">
        <v>0</v>
      </c>
      <c r="X107" s="36" t="s">
        <v>937</v>
      </c>
      <c r="Y107" s="36"/>
      <c r="Z107" s="36"/>
      <c r="AA107" s="101" t="s">
        <v>874</v>
      </c>
      <c r="AB107" s="38" t="s">
        <v>208</v>
      </c>
      <c r="AC107" s="38" t="s">
        <v>58</v>
      </c>
      <c r="AD107" s="39">
        <v>2747397800</v>
      </c>
      <c r="AE107" s="40">
        <v>0</v>
      </c>
      <c r="AF107" s="40">
        <v>0</v>
      </c>
      <c r="AG107" s="40">
        <v>0</v>
      </c>
      <c r="AH107" s="40">
        <v>0</v>
      </c>
      <c r="AI107" s="40">
        <v>0</v>
      </c>
      <c r="AJ107" s="39">
        <v>2747397800</v>
      </c>
      <c r="AK107" s="40">
        <v>0</v>
      </c>
      <c r="AL107" s="39">
        <v>228949817</v>
      </c>
      <c r="AM107" s="39">
        <v>2518447987</v>
      </c>
      <c r="AN107" s="40">
        <v>0</v>
      </c>
      <c r="AO107" s="18">
        <v>228949817</v>
      </c>
      <c r="AP107" s="39">
        <v>2518447987</v>
      </c>
      <c r="AQ107" s="40">
        <v>0</v>
      </c>
      <c r="AR107" s="39">
        <v>228949817</v>
      </c>
      <c r="AS107" s="39">
        <v>2518447987</v>
      </c>
      <c r="AT107" s="39">
        <f t="shared" si="56"/>
        <v>2518447987</v>
      </c>
      <c r="AU107" s="18">
        <f t="shared" si="64"/>
        <v>228949813</v>
      </c>
      <c r="AV107" s="34">
        <f t="shared" si="65"/>
        <v>0</v>
      </c>
      <c r="AW107" s="34">
        <f t="shared" si="66"/>
        <v>0</v>
      </c>
      <c r="AX107" s="32">
        <f t="shared" si="67"/>
        <v>0.91666666800126284</v>
      </c>
    </row>
    <row r="108" spans="1:50" ht="18.75" customHeight="1" x14ac:dyDescent="0.2">
      <c r="A108" s="14" t="s">
        <v>55</v>
      </c>
      <c r="B108" s="15" t="s">
        <v>56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41" t="s">
        <v>875</v>
      </c>
      <c r="AB108" s="17" t="s">
        <v>209</v>
      </c>
      <c r="AC108" s="17" t="s">
        <v>58</v>
      </c>
      <c r="AD108" s="18">
        <v>1627586535</v>
      </c>
      <c r="AE108" s="34">
        <v>0</v>
      </c>
      <c r="AF108" s="34">
        <v>0</v>
      </c>
      <c r="AG108" s="34">
        <v>0</v>
      </c>
      <c r="AH108" s="34">
        <v>0</v>
      </c>
      <c r="AI108" s="34">
        <v>0</v>
      </c>
      <c r="AJ108" s="18">
        <v>1627586535</v>
      </c>
      <c r="AK108" s="34">
        <v>0</v>
      </c>
      <c r="AL108" s="39">
        <v>200591270</v>
      </c>
      <c r="AM108" s="18">
        <v>1332086252</v>
      </c>
      <c r="AN108" s="34">
        <v>0</v>
      </c>
      <c r="AO108" s="18">
        <v>200591270</v>
      </c>
      <c r="AP108" s="18">
        <v>1332086252</v>
      </c>
      <c r="AQ108" s="34">
        <v>0</v>
      </c>
      <c r="AR108" s="39">
        <v>200591270</v>
      </c>
      <c r="AS108" s="18">
        <v>1332086252</v>
      </c>
      <c r="AT108" s="39">
        <f t="shared" si="56"/>
        <v>1332086252</v>
      </c>
      <c r="AU108" s="18">
        <f t="shared" si="64"/>
        <v>295500283</v>
      </c>
      <c r="AV108" s="34">
        <f t="shared" si="65"/>
        <v>0</v>
      </c>
      <c r="AW108" s="34">
        <f t="shared" si="66"/>
        <v>0</v>
      </c>
      <c r="AX108" s="32">
        <f t="shared" si="67"/>
        <v>0.81844265933301052</v>
      </c>
    </row>
    <row r="109" spans="1:50" ht="18.75" customHeight="1" x14ac:dyDescent="0.2">
      <c r="A109" s="14" t="s">
        <v>55</v>
      </c>
      <c r="B109" s="15" t="s">
        <v>56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41" t="s">
        <v>876</v>
      </c>
      <c r="AB109" s="17" t="s">
        <v>210</v>
      </c>
      <c r="AC109" s="17" t="s">
        <v>58</v>
      </c>
      <c r="AD109" s="18">
        <v>4565923897</v>
      </c>
      <c r="AE109" s="18">
        <v>501305322.20999998</v>
      </c>
      <c r="AF109" s="34">
        <v>0</v>
      </c>
      <c r="AG109" s="34">
        <v>0</v>
      </c>
      <c r="AH109" s="34">
        <v>0</v>
      </c>
      <c r="AI109" s="18">
        <f t="shared" ref="AI109:AI110" si="68">AE109-AF109+AG109-AH109</f>
        <v>501305322.20999998</v>
      </c>
      <c r="AJ109" s="18">
        <f t="shared" ref="AJ109:AJ110" si="69">AD109+AI109</f>
        <v>5067229219.21</v>
      </c>
      <c r="AK109" s="34">
        <v>0</v>
      </c>
      <c r="AL109" s="39">
        <v>229041342.56</v>
      </c>
      <c r="AM109" s="18">
        <v>4794965239.5600004</v>
      </c>
      <c r="AN109" s="34">
        <v>0</v>
      </c>
      <c r="AO109" s="18">
        <v>229041342.56</v>
      </c>
      <c r="AP109" s="18">
        <v>4794965239.5600004</v>
      </c>
      <c r="AQ109" s="34">
        <v>0</v>
      </c>
      <c r="AR109" s="40">
        <v>229041342.56</v>
      </c>
      <c r="AS109" s="18">
        <v>4794965239.5600004</v>
      </c>
      <c r="AT109" s="39">
        <f t="shared" si="56"/>
        <v>4794965239.5600004</v>
      </c>
      <c r="AU109" s="18">
        <f t="shared" si="64"/>
        <v>272263979.64999962</v>
      </c>
      <c r="AV109" s="34">
        <f t="shared" si="65"/>
        <v>0</v>
      </c>
      <c r="AW109" s="34">
        <f t="shared" si="66"/>
        <v>0</v>
      </c>
      <c r="AX109" s="32">
        <f t="shared" si="67"/>
        <v>0.94626965391306161</v>
      </c>
    </row>
    <row r="110" spans="1:50" ht="18.75" customHeight="1" x14ac:dyDescent="0.2">
      <c r="A110" s="35" t="s">
        <v>55</v>
      </c>
      <c r="B110" s="36" t="s">
        <v>56</v>
      </c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101" t="s">
        <v>877</v>
      </c>
      <c r="AB110" s="38" t="s">
        <v>211</v>
      </c>
      <c r="AC110" s="38" t="s">
        <v>58</v>
      </c>
      <c r="AD110" s="39">
        <v>5174713749</v>
      </c>
      <c r="AE110" s="39">
        <v>568146031.83000004</v>
      </c>
      <c r="AF110" s="40">
        <v>0</v>
      </c>
      <c r="AG110" s="40">
        <v>0</v>
      </c>
      <c r="AH110" s="40">
        <v>0</v>
      </c>
      <c r="AI110" s="18">
        <f t="shared" si="68"/>
        <v>568146031.83000004</v>
      </c>
      <c r="AJ110" s="18">
        <f t="shared" si="69"/>
        <v>5742859780.8299999</v>
      </c>
      <c r="AK110" s="40">
        <v>0</v>
      </c>
      <c r="AL110" s="39">
        <v>259580185</v>
      </c>
      <c r="AM110" s="39">
        <v>5434293934</v>
      </c>
      <c r="AN110" s="40">
        <v>0</v>
      </c>
      <c r="AO110" s="18">
        <v>259580185</v>
      </c>
      <c r="AP110" s="39">
        <v>5434293934</v>
      </c>
      <c r="AQ110" s="39">
        <v>259580185</v>
      </c>
      <c r="AR110" s="40">
        <v>0</v>
      </c>
      <c r="AS110" s="39">
        <v>5174713749</v>
      </c>
      <c r="AT110" s="39">
        <f t="shared" si="56"/>
        <v>5434293934</v>
      </c>
      <c r="AU110" s="18">
        <f t="shared" si="64"/>
        <v>308565846.82999992</v>
      </c>
      <c r="AV110" s="34">
        <f t="shared" si="65"/>
        <v>0</v>
      </c>
      <c r="AW110" s="34">
        <f t="shared" si="66"/>
        <v>0</v>
      </c>
      <c r="AX110" s="32">
        <f t="shared" si="67"/>
        <v>0.94626965334239732</v>
      </c>
    </row>
    <row r="111" spans="1:50" ht="18.75" customHeight="1" x14ac:dyDescent="0.2">
      <c r="A111" s="35" t="s">
        <v>55</v>
      </c>
      <c r="B111" s="36" t="s">
        <v>56</v>
      </c>
      <c r="C111" s="36"/>
      <c r="D111" s="36" t="s">
        <v>40</v>
      </c>
      <c r="E111" s="36"/>
      <c r="F111" s="36"/>
      <c r="G111" s="36" t="s">
        <v>41</v>
      </c>
      <c r="H111" s="36"/>
      <c r="I111" s="36" t="s">
        <v>936</v>
      </c>
      <c r="J111" s="36"/>
      <c r="K111" s="36" t="s">
        <v>932</v>
      </c>
      <c r="L111" s="36"/>
      <c r="M111" s="36" t="s">
        <v>933</v>
      </c>
      <c r="N111" s="36"/>
      <c r="O111" s="36" t="s">
        <v>943</v>
      </c>
      <c r="P111" s="36"/>
      <c r="Q111" s="36" t="s">
        <v>939</v>
      </c>
      <c r="R111" s="36"/>
      <c r="S111" s="36" t="s">
        <v>940</v>
      </c>
      <c r="T111" s="36">
        <v>0</v>
      </c>
      <c r="U111" s="36">
        <v>0</v>
      </c>
      <c r="V111" s="36">
        <v>0</v>
      </c>
      <c r="W111" s="36">
        <v>0</v>
      </c>
      <c r="X111" s="36" t="s">
        <v>937</v>
      </c>
      <c r="Y111" s="36"/>
      <c r="Z111" s="36"/>
      <c r="AA111" s="101" t="s">
        <v>878</v>
      </c>
      <c r="AB111" s="38" t="s">
        <v>212</v>
      </c>
      <c r="AC111" s="38" t="s">
        <v>58</v>
      </c>
      <c r="AD111" s="39">
        <v>286350464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39">
        <v>286350464</v>
      </c>
      <c r="AK111" s="40">
        <v>0</v>
      </c>
      <c r="AL111" s="40">
        <v>0</v>
      </c>
      <c r="AM111" s="40">
        <v>0</v>
      </c>
      <c r="AN111" s="40">
        <v>0</v>
      </c>
      <c r="AO111" s="34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f t="shared" si="56"/>
        <v>0</v>
      </c>
      <c r="AU111" s="18">
        <f t="shared" si="64"/>
        <v>286350464</v>
      </c>
      <c r="AV111" s="34">
        <f t="shared" si="65"/>
        <v>0</v>
      </c>
      <c r="AW111" s="34">
        <f t="shared" si="66"/>
        <v>0</v>
      </c>
      <c r="AX111" s="32">
        <f t="shared" si="67"/>
        <v>0</v>
      </c>
    </row>
    <row r="112" spans="1:50" ht="18.75" customHeight="1" x14ac:dyDescent="0.2">
      <c r="A112" s="14" t="s">
        <v>55</v>
      </c>
      <c r="B112" s="15" t="s">
        <v>56</v>
      </c>
      <c r="C112" s="15"/>
      <c r="D112" s="15" t="s">
        <v>40</v>
      </c>
      <c r="E112" s="15"/>
      <c r="F112" s="15"/>
      <c r="G112" s="15" t="s">
        <v>41</v>
      </c>
      <c r="H112" s="15"/>
      <c r="I112" s="15" t="s">
        <v>936</v>
      </c>
      <c r="J112" s="15"/>
      <c r="K112" s="15" t="s">
        <v>932</v>
      </c>
      <c r="L112" s="15"/>
      <c r="M112" s="15" t="s">
        <v>933</v>
      </c>
      <c r="N112" s="15"/>
      <c r="O112" s="15" t="s">
        <v>943</v>
      </c>
      <c r="P112" s="15"/>
      <c r="Q112" s="15" t="s">
        <v>939</v>
      </c>
      <c r="R112" s="15"/>
      <c r="S112" s="15" t="s">
        <v>940</v>
      </c>
      <c r="T112" s="15">
        <v>0</v>
      </c>
      <c r="U112" s="15">
        <v>0</v>
      </c>
      <c r="V112" s="15">
        <v>0</v>
      </c>
      <c r="W112" s="15">
        <v>0</v>
      </c>
      <c r="X112" s="15" t="s">
        <v>937</v>
      </c>
      <c r="Y112" s="15"/>
      <c r="Z112" s="15"/>
      <c r="AA112" s="41" t="s">
        <v>879</v>
      </c>
      <c r="AB112" s="17" t="s">
        <v>213</v>
      </c>
      <c r="AC112" s="17" t="s">
        <v>58</v>
      </c>
      <c r="AD112" s="18">
        <v>3748529000</v>
      </c>
      <c r="AE112" s="34">
        <v>0</v>
      </c>
      <c r="AF112" s="34">
        <v>0</v>
      </c>
      <c r="AG112" s="18">
        <f>1630200000+200000000</f>
        <v>1830200000</v>
      </c>
      <c r="AH112" s="34">
        <v>0</v>
      </c>
      <c r="AI112" s="18">
        <f>AE112-AF112+AG112-AH112</f>
        <v>1830200000</v>
      </c>
      <c r="AJ112" s="18">
        <f>AD112+AI112</f>
        <v>5578729000</v>
      </c>
      <c r="AK112" s="34">
        <v>0</v>
      </c>
      <c r="AL112" s="39">
        <v>312377417</v>
      </c>
      <c r="AM112" s="18">
        <v>5066351587</v>
      </c>
      <c r="AN112" s="34">
        <v>0</v>
      </c>
      <c r="AO112" s="34">
        <v>312377417</v>
      </c>
      <c r="AP112" s="18">
        <v>5066351587</v>
      </c>
      <c r="AQ112" s="34">
        <v>0</v>
      </c>
      <c r="AR112" s="39">
        <v>312377417</v>
      </c>
      <c r="AS112" s="18">
        <v>5066351587</v>
      </c>
      <c r="AT112" s="39">
        <f t="shared" si="56"/>
        <v>5066351587</v>
      </c>
      <c r="AU112" s="18">
        <f t="shared" si="64"/>
        <v>512377413</v>
      </c>
      <c r="AV112" s="34">
        <f t="shared" si="65"/>
        <v>0</v>
      </c>
      <c r="AW112" s="34">
        <f t="shared" si="66"/>
        <v>0</v>
      </c>
      <c r="AX112" s="32">
        <f t="shared" si="67"/>
        <v>0.90815517064908513</v>
      </c>
    </row>
    <row r="113" spans="1:50" ht="18.75" customHeight="1" x14ac:dyDescent="0.2">
      <c r="A113" s="35" t="s">
        <v>55</v>
      </c>
      <c r="B113" s="36" t="s">
        <v>56</v>
      </c>
      <c r="C113" s="36"/>
      <c r="D113" s="36" t="s">
        <v>40</v>
      </c>
      <c r="E113" s="36"/>
      <c r="F113" s="36"/>
      <c r="G113" s="36" t="s">
        <v>41</v>
      </c>
      <c r="H113" s="36"/>
      <c r="I113" s="36" t="s">
        <v>936</v>
      </c>
      <c r="J113" s="36"/>
      <c r="K113" s="36" t="s">
        <v>932</v>
      </c>
      <c r="L113" s="36"/>
      <c r="M113" s="36" t="s">
        <v>933</v>
      </c>
      <c r="N113" s="36"/>
      <c r="O113" s="36" t="s">
        <v>943</v>
      </c>
      <c r="P113" s="36"/>
      <c r="Q113" s="36" t="s">
        <v>944</v>
      </c>
      <c r="R113" s="36"/>
      <c r="S113" s="36" t="s">
        <v>940</v>
      </c>
      <c r="T113" s="36">
        <v>0</v>
      </c>
      <c r="U113" s="36">
        <v>0</v>
      </c>
      <c r="V113" s="36">
        <v>0</v>
      </c>
      <c r="W113" s="36">
        <v>0</v>
      </c>
      <c r="X113" s="36" t="s">
        <v>937</v>
      </c>
      <c r="Y113" s="36"/>
      <c r="Z113" s="36"/>
      <c r="AA113" s="101" t="s">
        <v>880</v>
      </c>
      <c r="AB113" s="38" t="s">
        <v>214</v>
      </c>
      <c r="AC113" s="38" t="s">
        <v>58</v>
      </c>
      <c r="AD113" s="39">
        <v>80525000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39">
        <v>80525000</v>
      </c>
      <c r="AK113" s="40">
        <v>0</v>
      </c>
      <c r="AL113" s="40">
        <v>0</v>
      </c>
      <c r="AM113" s="39">
        <v>80525000</v>
      </c>
      <c r="AN113" s="40">
        <v>0</v>
      </c>
      <c r="AO113" s="34">
        <v>0</v>
      </c>
      <c r="AP113" s="39">
        <v>80525000</v>
      </c>
      <c r="AQ113" s="40">
        <v>0</v>
      </c>
      <c r="AR113" s="40">
        <v>0</v>
      </c>
      <c r="AS113" s="39">
        <v>80525000</v>
      </c>
      <c r="AT113" s="39">
        <f t="shared" si="56"/>
        <v>80525000</v>
      </c>
      <c r="AU113" s="34">
        <f t="shared" si="64"/>
        <v>0</v>
      </c>
      <c r="AV113" s="34">
        <f t="shared" si="65"/>
        <v>0</v>
      </c>
      <c r="AW113" s="34">
        <f t="shared" si="66"/>
        <v>0</v>
      </c>
      <c r="AX113" s="32">
        <f t="shared" si="67"/>
        <v>1</v>
      </c>
    </row>
    <row r="114" spans="1:50" ht="18.75" customHeight="1" x14ac:dyDescent="0.2">
      <c r="A114" s="14" t="s">
        <v>55</v>
      </c>
      <c r="B114" s="15" t="s">
        <v>56</v>
      </c>
      <c r="C114" s="15"/>
      <c r="D114" s="15" t="s">
        <v>40</v>
      </c>
      <c r="E114" s="15"/>
      <c r="F114" s="15"/>
      <c r="G114" s="15" t="s">
        <v>41</v>
      </c>
      <c r="H114" s="15"/>
      <c r="I114" s="15" t="s">
        <v>936</v>
      </c>
      <c r="J114" s="15"/>
      <c r="K114" s="15" t="s">
        <v>932</v>
      </c>
      <c r="L114" s="15"/>
      <c r="M114" s="15" t="s">
        <v>933</v>
      </c>
      <c r="N114" s="15"/>
      <c r="O114" s="15" t="s">
        <v>945</v>
      </c>
      <c r="P114" s="15"/>
      <c r="Q114" s="15" t="s">
        <v>944</v>
      </c>
      <c r="R114" s="15"/>
      <c r="S114" s="15" t="s">
        <v>940</v>
      </c>
      <c r="T114" s="15">
        <v>0</v>
      </c>
      <c r="U114" s="15">
        <v>0</v>
      </c>
      <c r="V114" s="15">
        <v>0</v>
      </c>
      <c r="W114" s="15">
        <v>0</v>
      </c>
      <c r="X114" s="15" t="s">
        <v>937</v>
      </c>
      <c r="Y114" s="15"/>
      <c r="Z114" s="15"/>
      <c r="AA114" s="41" t="s">
        <v>881</v>
      </c>
      <c r="AB114" s="17" t="s">
        <v>214</v>
      </c>
      <c r="AC114" s="17" t="s">
        <v>215</v>
      </c>
      <c r="AD114" s="18">
        <v>10351476177</v>
      </c>
      <c r="AE114" s="18">
        <v>5223029625</v>
      </c>
      <c r="AF114" s="34">
        <v>0</v>
      </c>
      <c r="AG114" s="34">
        <v>0</v>
      </c>
      <c r="AH114" s="34">
        <v>0</v>
      </c>
      <c r="AI114" s="18">
        <f>AE114-AF114+AG114-AH114</f>
        <v>5223029625</v>
      </c>
      <c r="AJ114" s="18">
        <f>AD114+AI114</f>
        <v>15574505802</v>
      </c>
      <c r="AK114" s="34">
        <v>0</v>
      </c>
      <c r="AL114" s="40">
        <v>5223029625</v>
      </c>
      <c r="AM114" s="39">
        <v>15574505802</v>
      </c>
      <c r="AN114" s="34">
        <v>0</v>
      </c>
      <c r="AO114" s="34">
        <v>5223029625</v>
      </c>
      <c r="AP114" s="18">
        <v>15574505802</v>
      </c>
      <c r="AQ114" s="34">
        <v>0</v>
      </c>
      <c r="AR114" s="40">
        <v>5223029625</v>
      </c>
      <c r="AS114" s="18">
        <v>15574505802</v>
      </c>
      <c r="AT114" s="39">
        <f t="shared" si="56"/>
        <v>15574505802</v>
      </c>
      <c r="AU114" s="34">
        <f t="shared" si="64"/>
        <v>0</v>
      </c>
      <c r="AV114" s="34">
        <f t="shared" si="65"/>
        <v>0</v>
      </c>
      <c r="AW114" s="34">
        <f t="shared" si="66"/>
        <v>0</v>
      </c>
      <c r="AX114" s="32">
        <f t="shared" si="67"/>
        <v>1</v>
      </c>
    </row>
    <row r="115" spans="1:50" ht="26.25" customHeight="1" x14ac:dyDescent="0.2">
      <c r="A115" s="14" t="s">
        <v>55</v>
      </c>
      <c r="B115" s="15" t="s">
        <v>56</v>
      </c>
      <c r="C115" s="15"/>
      <c r="D115" s="15" t="s">
        <v>40</v>
      </c>
      <c r="E115" s="15"/>
      <c r="F115" s="15"/>
      <c r="G115" s="15" t="s">
        <v>41</v>
      </c>
      <c r="H115" s="15"/>
      <c r="I115" s="15" t="s">
        <v>936</v>
      </c>
      <c r="J115" s="15"/>
      <c r="K115" s="15" t="s">
        <v>932</v>
      </c>
      <c r="L115" s="15"/>
      <c r="M115" s="15" t="s">
        <v>933</v>
      </c>
      <c r="N115" s="15"/>
      <c r="O115" s="15" t="s">
        <v>946</v>
      </c>
      <c r="P115" s="15"/>
      <c r="Q115" s="15" t="s">
        <v>944</v>
      </c>
      <c r="R115" s="15"/>
      <c r="S115" s="15" t="s">
        <v>940</v>
      </c>
      <c r="T115" s="15">
        <v>0</v>
      </c>
      <c r="U115" s="15">
        <v>0</v>
      </c>
      <c r="V115" s="15">
        <v>0</v>
      </c>
      <c r="W115" s="15">
        <v>0</v>
      </c>
      <c r="X115" s="15" t="s">
        <v>937</v>
      </c>
      <c r="Y115" s="15"/>
      <c r="Z115" s="15"/>
      <c r="AA115" s="41" t="s">
        <v>882</v>
      </c>
      <c r="AB115" s="17" t="s">
        <v>205</v>
      </c>
      <c r="AC115" s="17" t="s">
        <v>216</v>
      </c>
      <c r="AD115" s="18">
        <v>150000000</v>
      </c>
      <c r="AE115" s="18">
        <v>2649057.39</v>
      </c>
      <c r="AF115" s="34">
        <v>0</v>
      </c>
      <c r="AG115" s="34">
        <v>0</v>
      </c>
      <c r="AH115" s="34">
        <v>0</v>
      </c>
      <c r="AI115" s="18">
        <f>AE115-AF115+AG115-AH115</f>
        <v>2649057.39</v>
      </c>
      <c r="AJ115" s="18">
        <f>AD115+AI115</f>
        <v>152649057.38999999</v>
      </c>
      <c r="AK115" s="34">
        <v>0</v>
      </c>
      <c r="AL115" s="39">
        <v>6786480</v>
      </c>
      <c r="AM115" s="39">
        <v>50278245</v>
      </c>
      <c r="AN115" s="34">
        <v>0</v>
      </c>
      <c r="AO115" s="18">
        <v>6786480</v>
      </c>
      <c r="AP115" s="18">
        <v>50278245</v>
      </c>
      <c r="AQ115" s="34">
        <v>0</v>
      </c>
      <c r="AR115" s="39">
        <v>6786480</v>
      </c>
      <c r="AS115" s="18">
        <v>50278245</v>
      </c>
      <c r="AT115" s="39">
        <f t="shared" si="56"/>
        <v>50278245</v>
      </c>
      <c r="AU115" s="18">
        <f t="shared" si="64"/>
        <v>102370812.38999999</v>
      </c>
      <c r="AV115" s="34">
        <f t="shared" si="65"/>
        <v>0</v>
      </c>
      <c r="AW115" s="34">
        <f t="shared" si="66"/>
        <v>0</v>
      </c>
      <c r="AX115" s="32">
        <f t="shared" si="67"/>
        <v>0.32937147375594422</v>
      </c>
    </row>
    <row r="116" spans="1:50" ht="26.25" customHeight="1" x14ac:dyDescent="0.2">
      <c r="A116" s="14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41" t="s">
        <v>984</v>
      </c>
      <c r="AB116" s="42" t="s">
        <v>985</v>
      </c>
      <c r="AC116" s="17"/>
      <c r="AD116" s="34">
        <v>0</v>
      </c>
      <c r="AE116" s="18">
        <v>3000000000</v>
      </c>
      <c r="AF116" s="34">
        <v>0</v>
      </c>
      <c r="AG116" s="18">
        <f>700000000+1040000000</f>
        <v>1740000000</v>
      </c>
      <c r="AH116" s="18">
        <v>500000000</v>
      </c>
      <c r="AI116" s="18">
        <f>AE116-AF116+AG116-AH116</f>
        <v>4240000000</v>
      </c>
      <c r="AJ116" s="18">
        <f>AD116+AI116</f>
        <v>4240000000</v>
      </c>
      <c r="AK116" s="34">
        <v>0</v>
      </c>
      <c r="AL116" s="40">
        <v>0</v>
      </c>
      <c r="AM116" s="39">
        <v>1740000000</v>
      </c>
      <c r="AN116" s="34">
        <v>0</v>
      </c>
      <c r="AO116" s="34">
        <v>0</v>
      </c>
      <c r="AP116" s="18">
        <v>1740000000</v>
      </c>
      <c r="AQ116" s="34">
        <v>0</v>
      </c>
      <c r="AR116" s="40">
        <v>0</v>
      </c>
      <c r="AS116" s="18">
        <v>1740000000</v>
      </c>
      <c r="AT116" s="39">
        <f t="shared" si="56"/>
        <v>1740000000</v>
      </c>
      <c r="AU116" s="18">
        <f t="shared" si="64"/>
        <v>2500000000</v>
      </c>
      <c r="AV116" s="34">
        <f t="shared" si="65"/>
        <v>0</v>
      </c>
      <c r="AW116" s="34">
        <f t="shared" si="66"/>
        <v>0</v>
      </c>
      <c r="AX116" s="32">
        <f t="shared" si="67"/>
        <v>0.41037735849056606</v>
      </c>
    </row>
    <row r="117" spans="1:50" ht="26.25" customHeight="1" x14ac:dyDescent="0.2">
      <c r="A117" s="14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41" t="s">
        <v>1448</v>
      </c>
      <c r="AB117" s="42" t="s">
        <v>1449</v>
      </c>
      <c r="AC117" s="17"/>
      <c r="AD117" s="34">
        <v>0</v>
      </c>
      <c r="AE117" s="34">
        <v>0</v>
      </c>
      <c r="AF117" s="34">
        <v>0</v>
      </c>
      <c r="AG117" s="18">
        <v>962110878</v>
      </c>
      <c r="AH117" s="34">
        <v>0</v>
      </c>
      <c r="AI117" s="18">
        <f>AE117-AF117+AG117-AH117</f>
        <v>962110878</v>
      </c>
      <c r="AJ117" s="18">
        <f>AD117+AI117</f>
        <v>962110878</v>
      </c>
      <c r="AK117" s="34">
        <v>0</v>
      </c>
      <c r="AL117" s="40">
        <v>962110878</v>
      </c>
      <c r="AM117" s="39">
        <v>962110878</v>
      </c>
      <c r="AN117" s="34">
        <v>0</v>
      </c>
      <c r="AO117" s="34">
        <v>0</v>
      </c>
      <c r="AP117" s="34">
        <v>0</v>
      </c>
      <c r="AQ117" s="34">
        <v>0</v>
      </c>
      <c r="AR117" s="40">
        <v>0</v>
      </c>
      <c r="AS117" s="34">
        <v>0</v>
      </c>
      <c r="AT117" s="40">
        <f t="shared" si="56"/>
        <v>0</v>
      </c>
      <c r="AU117" s="34">
        <f t="shared" ref="AU117" si="70">AJ117-AM117</f>
        <v>0</v>
      </c>
      <c r="AV117" s="34">
        <f t="shared" ref="AV117" si="71">AM117-AP117</f>
        <v>962110878</v>
      </c>
      <c r="AW117" s="34">
        <f t="shared" ref="AW117" si="72">AP117-AT117</f>
        <v>0</v>
      </c>
      <c r="AX117" s="32">
        <f t="shared" ref="AX117" si="73">AP117/AJ117</f>
        <v>0</v>
      </c>
    </row>
    <row r="118" spans="1:50" ht="18.75" customHeight="1" x14ac:dyDescent="0.2">
      <c r="A118" s="19" t="s">
        <v>55</v>
      </c>
      <c r="B118" s="19" t="s">
        <v>56</v>
      </c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26" t="s">
        <v>883</v>
      </c>
      <c r="AB118" s="21" t="s">
        <v>217</v>
      </c>
      <c r="AC118" s="22" t="s">
        <v>37</v>
      </c>
      <c r="AD118" s="22">
        <f>AD119</f>
        <v>36000000000</v>
      </c>
      <c r="AE118" s="23">
        <f t="shared" ref="AE118:AW120" si="74">AE119</f>
        <v>0</v>
      </c>
      <c r="AF118" s="23">
        <f t="shared" si="74"/>
        <v>0</v>
      </c>
      <c r="AG118" s="23">
        <f t="shared" si="74"/>
        <v>0</v>
      </c>
      <c r="AH118" s="23">
        <f t="shared" si="74"/>
        <v>0</v>
      </c>
      <c r="AI118" s="23">
        <f t="shared" si="74"/>
        <v>0</v>
      </c>
      <c r="AJ118" s="22">
        <f t="shared" si="74"/>
        <v>36000000000</v>
      </c>
      <c r="AK118" s="23">
        <f t="shared" si="74"/>
        <v>0</v>
      </c>
      <c r="AL118" s="23">
        <f t="shared" si="74"/>
        <v>0</v>
      </c>
      <c r="AM118" s="22">
        <f t="shared" si="74"/>
        <v>29900309374</v>
      </c>
      <c r="AN118" s="23">
        <f t="shared" si="74"/>
        <v>0</v>
      </c>
      <c r="AO118" s="23">
        <f t="shared" si="74"/>
        <v>0</v>
      </c>
      <c r="AP118" s="22">
        <f t="shared" si="74"/>
        <v>29900309374</v>
      </c>
      <c r="AQ118" s="23">
        <f t="shared" si="74"/>
        <v>0</v>
      </c>
      <c r="AR118" s="23">
        <f t="shared" si="74"/>
        <v>0</v>
      </c>
      <c r="AS118" s="22">
        <f t="shared" si="74"/>
        <v>29900309374</v>
      </c>
      <c r="AT118" s="22">
        <f>AQ118+AS118</f>
        <v>29900309374</v>
      </c>
      <c r="AU118" s="22">
        <f t="shared" si="74"/>
        <v>6099690626</v>
      </c>
      <c r="AV118" s="23">
        <f t="shared" si="74"/>
        <v>0</v>
      </c>
      <c r="AW118" s="23">
        <f t="shared" si="74"/>
        <v>0</v>
      </c>
      <c r="AX118" s="24">
        <f t="shared" si="67"/>
        <v>0.83056414927777777</v>
      </c>
    </row>
    <row r="119" spans="1:50" ht="18.75" customHeight="1" x14ac:dyDescent="0.2">
      <c r="A119" s="27" t="s">
        <v>55</v>
      </c>
      <c r="B119" s="27" t="s">
        <v>56</v>
      </c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8" t="s">
        <v>218</v>
      </c>
      <c r="AB119" s="29" t="s">
        <v>219</v>
      </c>
      <c r="AC119" s="30" t="s">
        <v>37</v>
      </c>
      <c r="AD119" s="30">
        <f>AD120</f>
        <v>36000000000</v>
      </c>
      <c r="AE119" s="31">
        <f t="shared" si="74"/>
        <v>0</v>
      </c>
      <c r="AF119" s="31">
        <f t="shared" si="74"/>
        <v>0</v>
      </c>
      <c r="AG119" s="31">
        <f t="shared" si="74"/>
        <v>0</v>
      </c>
      <c r="AH119" s="31">
        <f t="shared" si="74"/>
        <v>0</v>
      </c>
      <c r="AI119" s="31">
        <f t="shared" si="74"/>
        <v>0</v>
      </c>
      <c r="AJ119" s="30">
        <f t="shared" si="74"/>
        <v>36000000000</v>
      </c>
      <c r="AK119" s="31">
        <f t="shared" si="74"/>
        <v>0</v>
      </c>
      <c r="AL119" s="31">
        <f t="shared" si="74"/>
        <v>0</v>
      </c>
      <c r="AM119" s="30">
        <f t="shared" si="74"/>
        <v>29900309374</v>
      </c>
      <c r="AN119" s="31">
        <f t="shared" si="74"/>
        <v>0</v>
      </c>
      <c r="AO119" s="31">
        <f t="shared" si="74"/>
        <v>0</v>
      </c>
      <c r="AP119" s="30">
        <f t="shared" si="74"/>
        <v>29900309374</v>
      </c>
      <c r="AQ119" s="31">
        <f t="shared" si="74"/>
        <v>0</v>
      </c>
      <c r="AR119" s="31">
        <f t="shared" si="74"/>
        <v>0</v>
      </c>
      <c r="AS119" s="30">
        <f t="shared" si="74"/>
        <v>29900309374</v>
      </c>
      <c r="AT119" s="30">
        <f t="shared" ref="AT119:AT123" si="75">AQ119+AS119</f>
        <v>29900309374</v>
      </c>
      <c r="AU119" s="18">
        <f>AJ119-AM119</f>
        <v>6099690626</v>
      </c>
      <c r="AV119" s="34">
        <f>AM119-AP119</f>
        <v>0</v>
      </c>
      <c r="AW119" s="34">
        <f>AP119-AT119</f>
        <v>0</v>
      </c>
      <c r="AX119" s="32">
        <f t="shared" si="67"/>
        <v>0.83056414927777777</v>
      </c>
    </row>
    <row r="120" spans="1:50" ht="22.5" customHeight="1" x14ac:dyDescent="0.2">
      <c r="A120" s="27" t="s">
        <v>55</v>
      </c>
      <c r="B120" s="27" t="s">
        <v>56</v>
      </c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8" t="s">
        <v>220</v>
      </c>
      <c r="AB120" s="29" t="s">
        <v>221</v>
      </c>
      <c r="AC120" s="30" t="s">
        <v>37</v>
      </c>
      <c r="AD120" s="30">
        <f>AD121</f>
        <v>36000000000</v>
      </c>
      <c r="AE120" s="31">
        <f t="shared" si="74"/>
        <v>0</v>
      </c>
      <c r="AF120" s="31">
        <f t="shared" si="74"/>
        <v>0</v>
      </c>
      <c r="AG120" s="31">
        <f t="shared" si="74"/>
        <v>0</v>
      </c>
      <c r="AH120" s="31">
        <f t="shared" si="74"/>
        <v>0</v>
      </c>
      <c r="AI120" s="31">
        <f t="shared" si="74"/>
        <v>0</v>
      </c>
      <c r="AJ120" s="30">
        <f t="shared" si="74"/>
        <v>36000000000</v>
      </c>
      <c r="AK120" s="31">
        <f t="shared" si="74"/>
        <v>0</v>
      </c>
      <c r="AL120" s="31">
        <f t="shared" si="74"/>
        <v>0</v>
      </c>
      <c r="AM120" s="30">
        <f t="shared" si="74"/>
        <v>29900309374</v>
      </c>
      <c r="AN120" s="31">
        <f t="shared" si="74"/>
        <v>0</v>
      </c>
      <c r="AO120" s="31">
        <f t="shared" si="74"/>
        <v>0</v>
      </c>
      <c r="AP120" s="30">
        <f t="shared" si="74"/>
        <v>29900309374</v>
      </c>
      <c r="AQ120" s="31">
        <f t="shared" si="74"/>
        <v>0</v>
      </c>
      <c r="AR120" s="31">
        <f t="shared" si="74"/>
        <v>0</v>
      </c>
      <c r="AS120" s="30">
        <f t="shared" si="74"/>
        <v>29900309374</v>
      </c>
      <c r="AT120" s="30">
        <f t="shared" si="75"/>
        <v>29900309374</v>
      </c>
      <c r="AU120" s="18">
        <f>AJ120-AM120</f>
        <v>6099690626</v>
      </c>
      <c r="AV120" s="34">
        <f>AM120-AP120</f>
        <v>0</v>
      </c>
      <c r="AW120" s="34">
        <f>AP120-AT120</f>
        <v>0</v>
      </c>
      <c r="AX120" s="32">
        <f t="shared" si="67"/>
        <v>0.83056414927777777</v>
      </c>
    </row>
    <row r="121" spans="1:50" ht="27" customHeight="1" x14ac:dyDescent="0.2">
      <c r="A121" s="27" t="s">
        <v>55</v>
      </c>
      <c r="B121" s="27" t="s">
        <v>56</v>
      </c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8" t="s">
        <v>222</v>
      </c>
      <c r="AB121" s="29" t="s">
        <v>223</v>
      </c>
      <c r="AC121" s="30" t="s">
        <v>37</v>
      </c>
      <c r="AD121" s="30">
        <f>AD122+AD123</f>
        <v>36000000000</v>
      </c>
      <c r="AE121" s="31">
        <f t="shared" ref="AE121:AS121" si="76">AE122+AE123</f>
        <v>0</v>
      </c>
      <c r="AF121" s="31">
        <f t="shared" si="76"/>
        <v>0</v>
      </c>
      <c r="AG121" s="31">
        <f t="shared" si="76"/>
        <v>0</v>
      </c>
      <c r="AH121" s="31">
        <f t="shared" si="76"/>
        <v>0</v>
      </c>
      <c r="AI121" s="31">
        <f t="shared" si="76"/>
        <v>0</v>
      </c>
      <c r="AJ121" s="30">
        <f t="shared" si="76"/>
        <v>36000000000</v>
      </c>
      <c r="AK121" s="31">
        <f t="shared" si="76"/>
        <v>0</v>
      </c>
      <c r="AL121" s="31">
        <f t="shared" si="76"/>
        <v>0</v>
      </c>
      <c r="AM121" s="30">
        <f t="shared" si="76"/>
        <v>29900309374</v>
      </c>
      <c r="AN121" s="31">
        <f t="shared" si="76"/>
        <v>0</v>
      </c>
      <c r="AO121" s="31">
        <f t="shared" si="76"/>
        <v>0</v>
      </c>
      <c r="AP121" s="30">
        <f t="shared" si="76"/>
        <v>29900309374</v>
      </c>
      <c r="AQ121" s="31">
        <f t="shared" si="76"/>
        <v>0</v>
      </c>
      <c r="AR121" s="31">
        <f t="shared" si="76"/>
        <v>0</v>
      </c>
      <c r="AS121" s="30">
        <f t="shared" si="76"/>
        <v>29900309374</v>
      </c>
      <c r="AT121" s="30">
        <f t="shared" si="75"/>
        <v>29900309374</v>
      </c>
      <c r="AU121" s="18">
        <f>AJ121-AM121</f>
        <v>6099690626</v>
      </c>
      <c r="AV121" s="34">
        <f>AM121-AP121</f>
        <v>0</v>
      </c>
      <c r="AW121" s="34">
        <f>AP121-AT121</f>
        <v>0</v>
      </c>
      <c r="AX121" s="32">
        <f t="shared" si="67"/>
        <v>0.83056414927777777</v>
      </c>
    </row>
    <row r="122" spans="1:50" ht="18.75" customHeight="1" x14ac:dyDescent="0.2">
      <c r="A122" s="14" t="s">
        <v>55</v>
      </c>
      <c r="B122" s="15" t="s">
        <v>56</v>
      </c>
      <c r="C122" s="15"/>
      <c r="D122" s="15" t="s">
        <v>40</v>
      </c>
      <c r="E122" s="15"/>
      <c r="F122" s="15"/>
      <c r="G122" s="15" t="s">
        <v>41</v>
      </c>
      <c r="H122" s="15"/>
      <c r="I122" s="15" t="s">
        <v>936</v>
      </c>
      <c r="J122" s="15"/>
      <c r="K122" s="15" t="s">
        <v>932</v>
      </c>
      <c r="L122" s="15"/>
      <c r="M122" s="15" t="s">
        <v>933</v>
      </c>
      <c r="N122" s="15"/>
      <c r="O122" s="15" t="s">
        <v>943</v>
      </c>
      <c r="P122" s="15"/>
      <c r="Q122" s="15" t="s">
        <v>939</v>
      </c>
      <c r="R122" s="15"/>
      <c r="S122" s="15" t="s">
        <v>940</v>
      </c>
      <c r="T122" s="15">
        <v>0</v>
      </c>
      <c r="U122" s="15">
        <v>0</v>
      </c>
      <c r="V122" s="15">
        <v>0</v>
      </c>
      <c r="W122" s="15">
        <v>0</v>
      </c>
      <c r="X122" s="15" t="s">
        <v>937</v>
      </c>
      <c r="Y122" s="15"/>
      <c r="Z122" s="15"/>
      <c r="AA122" s="16" t="s">
        <v>224</v>
      </c>
      <c r="AB122" s="17" t="s">
        <v>225</v>
      </c>
      <c r="AC122" s="17" t="s">
        <v>226</v>
      </c>
      <c r="AD122" s="18">
        <v>35280000000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18">
        <v>35280000000</v>
      </c>
      <c r="AK122" s="34">
        <v>0</v>
      </c>
      <c r="AL122" s="18">
        <v>0</v>
      </c>
      <c r="AM122" s="18">
        <v>29713991943</v>
      </c>
      <c r="AN122" s="18">
        <v>0</v>
      </c>
      <c r="AO122" s="18">
        <v>0</v>
      </c>
      <c r="AP122" s="18">
        <v>29713991943</v>
      </c>
      <c r="AQ122" s="34">
        <v>0</v>
      </c>
      <c r="AR122" s="34">
        <v>0</v>
      </c>
      <c r="AS122" s="18">
        <v>29713991943</v>
      </c>
      <c r="AT122" s="39">
        <f t="shared" si="75"/>
        <v>29713991943</v>
      </c>
      <c r="AU122" s="18">
        <f>AJ122-AM122</f>
        <v>5566008057</v>
      </c>
      <c r="AV122" s="34">
        <f>AM122-AP122</f>
        <v>0</v>
      </c>
      <c r="AW122" s="34">
        <f>AP122-AT122</f>
        <v>0</v>
      </c>
      <c r="AX122" s="32">
        <f t="shared" si="67"/>
        <v>0.84223333171768711</v>
      </c>
    </row>
    <row r="123" spans="1:50" ht="18.75" customHeight="1" x14ac:dyDescent="0.2">
      <c r="A123" s="14" t="s">
        <v>55</v>
      </c>
      <c r="B123" s="15" t="s">
        <v>56</v>
      </c>
      <c r="C123" s="15"/>
      <c r="D123" s="15" t="s">
        <v>40</v>
      </c>
      <c r="E123" s="15"/>
      <c r="F123" s="15"/>
      <c r="G123" s="15" t="s">
        <v>41</v>
      </c>
      <c r="H123" s="15"/>
      <c r="I123" s="15" t="s">
        <v>936</v>
      </c>
      <c r="J123" s="15"/>
      <c r="K123" s="15" t="s">
        <v>932</v>
      </c>
      <c r="L123" s="15"/>
      <c r="M123" s="15" t="s">
        <v>933</v>
      </c>
      <c r="N123" s="15"/>
      <c r="O123" s="15" t="s">
        <v>943</v>
      </c>
      <c r="P123" s="15"/>
      <c r="Q123" s="15" t="s">
        <v>939</v>
      </c>
      <c r="R123" s="15"/>
      <c r="S123" s="15" t="s">
        <v>940</v>
      </c>
      <c r="T123" s="15">
        <v>0</v>
      </c>
      <c r="U123" s="15">
        <v>0</v>
      </c>
      <c r="V123" s="15">
        <v>0</v>
      </c>
      <c r="W123" s="15">
        <v>0</v>
      </c>
      <c r="X123" s="15" t="s">
        <v>937</v>
      </c>
      <c r="Y123" s="15"/>
      <c r="Z123" s="15"/>
      <c r="AA123" s="16" t="s">
        <v>227</v>
      </c>
      <c r="AB123" s="17" t="s">
        <v>228</v>
      </c>
      <c r="AC123" s="17" t="s">
        <v>226</v>
      </c>
      <c r="AD123" s="18">
        <v>720000000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18">
        <v>720000000</v>
      </c>
      <c r="AK123" s="34">
        <v>0</v>
      </c>
      <c r="AL123" s="18">
        <v>0</v>
      </c>
      <c r="AM123" s="18">
        <v>186317431</v>
      </c>
      <c r="AN123" s="18">
        <v>0</v>
      </c>
      <c r="AO123" s="18">
        <v>0</v>
      </c>
      <c r="AP123" s="18">
        <v>186317431</v>
      </c>
      <c r="AQ123" s="34">
        <v>0</v>
      </c>
      <c r="AR123" s="34">
        <v>0</v>
      </c>
      <c r="AS123" s="18">
        <v>186317431</v>
      </c>
      <c r="AT123" s="39">
        <f t="shared" si="75"/>
        <v>186317431</v>
      </c>
      <c r="AU123" s="18">
        <f>AJ123-AM123</f>
        <v>533682569</v>
      </c>
      <c r="AV123" s="34">
        <f>AM123-AP123</f>
        <v>0</v>
      </c>
      <c r="AW123" s="34">
        <f>AP123-AT123</f>
        <v>0</v>
      </c>
      <c r="AX123" s="32">
        <f t="shared" si="67"/>
        <v>0.2587742097222222</v>
      </c>
    </row>
    <row r="124" spans="1:50" ht="18.75" customHeight="1" x14ac:dyDescent="0.2">
      <c r="A124" s="19" t="s">
        <v>55</v>
      </c>
      <c r="B124" s="19" t="s">
        <v>56</v>
      </c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26" t="s">
        <v>884</v>
      </c>
      <c r="AB124" s="21" t="s">
        <v>229</v>
      </c>
      <c r="AC124" s="22" t="s">
        <v>56</v>
      </c>
      <c r="AD124" s="22">
        <f>AD125</f>
        <v>42253026328</v>
      </c>
      <c r="AE124" s="22">
        <f t="shared" ref="AE124:AW124" si="77">AE125</f>
        <v>429925823.10000002</v>
      </c>
      <c r="AF124" s="23">
        <f t="shared" si="77"/>
        <v>0</v>
      </c>
      <c r="AG124" s="22">
        <f t="shared" si="77"/>
        <v>184000000</v>
      </c>
      <c r="AH124" s="22">
        <f t="shared" si="77"/>
        <v>6418559646.7200003</v>
      </c>
      <c r="AI124" s="22">
        <f t="shared" si="77"/>
        <v>-5804633823.6199999</v>
      </c>
      <c r="AJ124" s="22">
        <f t="shared" si="77"/>
        <v>36448392504.379997</v>
      </c>
      <c r="AK124" s="23">
        <f t="shared" si="77"/>
        <v>0</v>
      </c>
      <c r="AL124" s="22">
        <f t="shared" si="77"/>
        <v>4070193339.02</v>
      </c>
      <c r="AM124" s="22">
        <f t="shared" si="77"/>
        <v>27808041682.649998</v>
      </c>
      <c r="AN124" s="23">
        <f t="shared" si="77"/>
        <v>0</v>
      </c>
      <c r="AO124" s="22">
        <f t="shared" si="77"/>
        <v>4070193339.02</v>
      </c>
      <c r="AP124" s="22">
        <f t="shared" si="77"/>
        <v>27808041679.649998</v>
      </c>
      <c r="AQ124" s="23">
        <f t="shared" si="77"/>
        <v>4721302.9800000004</v>
      </c>
      <c r="AR124" s="22">
        <f t="shared" si="77"/>
        <v>126153688.03999999</v>
      </c>
      <c r="AS124" s="22">
        <f t="shared" si="77"/>
        <v>23726285196.669998</v>
      </c>
      <c r="AT124" s="22">
        <f>AQ124+AS124</f>
        <v>23731006499.649998</v>
      </c>
      <c r="AU124" s="22">
        <f t="shared" si="77"/>
        <v>8640350821.7299995</v>
      </c>
      <c r="AV124" s="23">
        <f t="shared" si="77"/>
        <v>3</v>
      </c>
      <c r="AW124" s="22">
        <f t="shared" si="77"/>
        <v>4077035180</v>
      </c>
      <c r="AX124" s="24">
        <f t="shared" si="67"/>
        <v>0.76294288359379114</v>
      </c>
    </row>
    <row r="125" spans="1:50" ht="18.75" customHeight="1" x14ac:dyDescent="0.2">
      <c r="A125" s="27" t="s">
        <v>55</v>
      </c>
      <c r="B125" s="27" t="s">
        <v>56</v>
      </c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8" t="s">
        <v>885</v>
      </c>
      <c r="AB125" s="29" t="s">
        <v>230</v>
      </c>
      <c r="AC125" s="30" t="s">
        <v>56</v>
      </c>
      <c r="AD125" s="30">
        <f>AD126+AD132+AD135+AD137+AD138+AD139</f>
        <v>42253026328</v>
      </c>
      <c r="AE125" s="30">
        <f t="shared" ref="AE125:AS125" si="78">AE126+AE132+AE135+AE137+AE138+AE139</f>
        <v>429925823.10000002</v>
      </c>
      <c r="AF125" s="31">
        <f t="shared" si="78"/>
        <v>0</v>
      </c>
      <c r="AG125" s="30">
        <f t="shared" si="78"/>
        <v>184000000</v>
      </c>
      <c r="AH125" s="30">
        <f t="shared" si="78"/>
        <v>6418559646.7200003</v>
      </c>
      <c r="AI125" s="30">
        <f t="shared" si="78"/>
        <v>-5804633823.6199999</v>
      </c>
      <c r="AJ125" s="30">
        <f t="shared" si="78"/>
        <v>36448392504.379997</v>
      </c>
      <c r="AK125" s="31">
        <f t="shared" si="78"/>
        <v>0</v>
      </c>
      <c r="AL125" s="30">
        <f t="shared" si="78"/>
        <v>4070193339.02</v>
      </c>
      <c r="AM125" s="30">
        <f t="shared" si="78"/>
        <v>27808041682.649998</v>
      </c>
      <c r="AN125" s="31">
        <f t="shared" si="78"/>
        <v>0</v>
      </c>
      <c r="AO125" s="30">
        <f t="shared" si="78"/>
        <v>4070193339.02</v>
      </c>
      <c r="AP125" s="30">
        <f t="shared" si="78"/>
        <v>27808041679.649998</v>
      </c>
      <c r="AQ125" s="31">
        <f t="shared" si="78"/>
        <v>4721302.9800000004</v>
      </c>
      <c r="AR125" s="30">
        <f t="shared" si="78"/>
        <v>126153688.03999999</v>
      </c>
      <c r="AS125" s="30">
        <f t="shared" si="78"/>
        <v>23726285196.669998</v>
      </c>
      <c r="AT125" s="30">
        <f t="shared" ref="AT125:AT139" si="79">AQ125+AS125</f>
        <v>23731006499.649998</v>
      </c>
      <c r="AU125" s="18">
        <f>AJ125-AM125</f>
        <v>8640350821.7299995</v>
      </c>
      <c r="AV125" s="34">
        <f>AM125-AP125</f>
        <v>3</v>
      </c>
      <c r="AW125" s="18">
        <f>AP125-AT125</f>
        <v>4077035180</v>
      </c>
      <c r="AX125" s="32">
        <f t="shared" si="67"/>
        <v>0.76294288359379114</v>
      </c>
    </row>
    <row r="126" spans="1:50" ht="18.75" customHeight="1" x14ac:dyDescent="0.2">
      <c r="A126" s="27" t="s">
        <v>55</v>
      </c>
      <c r="B126" s="27" t="s">
        <v>56</v>
      </c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8" t="s">
        <v>886</v>
      </c>
      <c r="AB126" s="29" t="s">
        <v>231</v>
      </c>
      <c r="AC126" s="30" t="s">
        <v>56</v>
      </c>
      <c r="AD126" s="30">
        <f>AD127</f>
        <v>40897026328</v>
      </c>
      <c r="AE126" s="30">
        <f>AE127</f>
        <v>429925823.10000002</v>
      </c>
      <c r="AF126" s="31">
        <f t="shared" ref="AF126:AS126" si="80">AF127</f>
        <v>0</v>
      </c>
      <c r="AG126" s="31">
        <f t="shared" si="80"/>
        <v>0</v>
      </c>
      <c r="AH126" s="30">
        <f t="shared" si="80"/>
        <v>6418559646.7200003</v>
      </c>
      <c r="AI126" s="30">
        <f t="shared" si="80"/>
        <v>-5988633823.6199999</v>
      </c>
      <c r="AJ126" s="30">
        <f t="shared" si="80"/>
        <v>34908392504.379997</v>
      </c>
      <c r="AK126" s="31">
        <f t="shared" si="80"/>
        <v>0</v>
      </c>
      <c r="AL126" s="30">
        <f t="shared" si="80"/>
        <v>4012741469</v>
      </c>
      <c r="AM126" s="30">
        <f t="shared" si="80"/>
        <v>26885230951.599998</v>
      </c>
      <c r="AN126" s="31">
        <f t="shared" si="80"/>
        <v>0</v>
      </c>
      <c r="AO126" s="30">
        <f t="shared" si="80"/>
        <v>4012741469</v>
      </c>
      <c r="AP126" s="30">
        <f t="shared" si="80"/>
        <v>26885230951.599998</v>
      </c>
      <c r="AQ126" s="31">
        <f t="shared" si="80"/>
        <v>0</v>
      </c>
      <c r="AR126" s="31">
        <f t="shared" si="80"/>
        <v>0</v>
      </c>
      <c r="AS126" s="113">
        <f t="shared" si="80"/>
        <v>22833809962.599998</v>
      </c>
      <c r="AT126" s="30">
        <f t="shared" si="79"/>
        <v>22833809962.599998</v>
      </c>
      <c r="AU126" s="18">
        <f>AJ126-AM126</f>
        <v>8023161552.7799988</v>
      </c>
      <c r="AV126" s="34">
        <f>AM126-AP126</f>
        <v>0</v>
      </c>
      <c r="AW126" s="18">
        <f>AP126-AT126</f>
        <v>4051420989</v>
      </c>
      <c r="AX126" s="32">
        <f t="shared" si="67"/>
        <v>0.77016525319023721</v>
      </c>
    </row>
    <row r="127" spans="1:50" ht="29.25" customHeight="1" x14ac:dyDescent="0.2">
      <c r="A127" s="27" t="s">
        <v>55</v>
      </c>
      <c r="B127" s="27" t="s">
        <v>56</v>
      </c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8" t="s">
        <v>887</v>
      </c>
      <c r="AB127" s="29" t="s">
        <v>232</v>
      </c>
      <c r="AC127" s="30" t="s">
        <v>37</v>
      </c>
      <c r="AD127" s="30">
        <f>AD128+AD129+AD130+AD131</f>
        <v>40897026328</v>
      </c>
      <c r="AE127" s="30">
        <f t="shared" ref="AE127:AW127" si="81">AE128+AE129+AE130+AE131</f>
        <v>429925823.10000002</v>
      </c>
      <c r="AF127" s="31">
        <f t="shared" si="81"/>
        <v>0</v>
      </c>
      <c r="AG127" s="31">
        <f t="shared" si="81"/>
        <v>0</v>
      </c>
      <c r="AH127" s="30">
        <f t="shared" si="81"/>
        <v>6418559646.7200003</v>
      </c>
      <c r="AI127" s="30">
        <f t="shared" si="81"/>
        <v>-5988633823.6199999</v>
      </c>
      <c r="AJ127" s="30">
        <f t="shared" si="81"/>
        <v>34908392504.379997</v>
      </c>
      <c r="AK127" s="31">
        <f t="shared" si="81"/>
        <v>0</v>
      </c>
      <c r="AL127" s="30">
        <f t="shared" si="81"/>
        <v>4012741469</v>
      </c>
      <c r="AM127" s="30">
        <f t="shared" si="81"/>
        <v>26885230951.599998</v>
      </c>
      <c r="AN127" s="31">
        <f t="shared" si="81"/>
        <v>0</v>
      </c>
      <c r="AO127" s="30">
        <f t="shared" si="81"/>
        <v>4012741469</v>
      </c>
      <c r="AP127" s="30">
        <f t="shared" si="81"/>
        <v>26885230951.599998</v>
      </c>
      <c r="AQ127" s="31">
        <f t="shared" si="81"/>
        <v>0</v>
      </c>
      <c r="AR127" s="31">
        <f t="shared" si="81"/>
        <v>0</v>
      </c>
      <c r="AS127" s="30">
        <f t="shared" si="81"/>
        <v>22833809962.599998</v>
      </c>
      <c r="AT127" s="30">
        <f t="shared" si="81"/>
        <v>22833809962.599998</v>
      </c>
      <c r="AU127" s="30">
        <f t="shared" si="81"/>
        <v>8023161552.7799988</v>
      </c>
      <c r="AV127" s="31">
        <f t="shared" si="81"/>
        <v>0</v>
      </c>
      <c r="AW127" s="30">
        <f t="shared" si="81"/>
        <v>4051420989</v>
      </c>
      <c r="AX127" s="32">
        <f t="shared" si="67"/>
        <v>0.77016525319023721</v>
      </c>
    </row>
    <row r="128" spans="1:50" ht="18.75" customHeight="1" x14ac:dyDescent="0.2">
      <c r="A128" s="14" t="s">
        <v>55</v>
      </c>
      <c r="B128" s="15" t="s">
        <v>56</v>
      </c>
      <c r="C128" s="15"/>
      <c r="D128" s="15" t="s">
        <v>40</v>
      </c>
      <c r="E128" s="15"/>
      <c r="F128" s="15"/>
      <c r="G128" s="15" t="s">
        <v>41</v>
      </c>
      <c r="H128" s="15"/>
      <c r="I128" s="15" t="s">
        <v>936</v>
      </c>
      <c r="J128" s="15"/>
      <c r="K128" s="15" t="s">
        <v>932</v>
      </c>
      <c r="L128" s="15"/>
      <c r="M128" s="15" t="s">
        <v>933</v>
      </c>
      <c r="N128" s="15"/>
      <c r="O128" s="15" t="s">
        <v>938</v>
      </c>
      <c r="P128" s="15"/>
      <c r="Q128" s="15" t="s">
        <v>939</v>
      </c>
      <c r="R128" s="15"/>
      <c r="S128" s="15" t="s">
        <v>940</v>
      </c>
      <c r="T128" s="15">
        <v>0</v>
      </c>
      <c r="U128" s="15">
        <v>0</v>
      </c>
      <c r="V128" s="15">
        <v>0</v>
      </c>
      <c r="W128" s="15">
        <v>0</v>
      </c>
      <c r="X128" s="15" t="s">
        <v>937</v>
      </c>
      <c r="Y128" s="15"/>
      <c r="Z128" s="15"/>
      <c r="AA128" s="41" t="s">
        <v>888</v>
      </c>
      <c r="AB128" s="17" t="s">
        <v>233</v>
      </c>
      <c r="AC128" s="17" t="s">
        <v>58</v>
      </c>
      <c r="AD128" s="18">
        <v>28000000000</v>
      </c>
      <c r="AE128" s="34">
        <v>0</v>
      </c>
      <c r="AF128" s="34">
        <v>0</v>
      </c>
      <c r="AG128" s="34">
        <v>0</v>
      </c>
      <c r="AH128" s="18">
        <f>900000000+80000000+2830200000+365556246.72+1056495322+24197200+1162110878</f>
        <v>6418559646.7200003</v>
      </c>
      <c r="AI128" s="18">
        <f>AE128-AF128+AG128-AH128</f>
        <v>-6418559646.7200003</v>
      </c>
      <c r="AJ128" s="18">
        <f>AD128+AI128</f>
        <v>21581440353.279999</v>
      </c>
      <c r="AK128" s="34">
        <v>0</v>
      </c>
      <c r="AL128" s="18">
        <v>3697770262</v>
      </c>
      <c r="AM128" s="18">
        <v>14163805063.9</v>
      </c>
      <c r="AN128" s="34">
        <v>0</v>
      </c>
      <c r="AO128" s="18">
        <v>3697770262</v>
      </c>
      <c r="AP128" s="18">
        <v>14163805063.9</v>
      </c>
      <c r="AQ128" s="34">
        <v>0</v>
      </c>
      <c r="AR128" s="34">
        <v>0</v>
      </c>
      <c r="AS128" s="18">
        <v>10466010501.9</v>
      </c>
      <c r="AT128" s="39">
        <f t="shared" si="79"/>
        <v>10466010501.9</v>
      </c>
      <c r="AU128" s="18">
        <f t="shared" ref="AU128:AU139" si="82">AJ128-AM128</f>
        <v>7417635289.3799992</v>
      </c>
      <c r="AV128" s="34">
        <f t="shared" ref="AV128:AV139" si="83">AM128-AP128</f>
        <v>0</v>
      </c>
      <c r="AW128" s="18">
        <f t="shared" ref="AW128:AW139" si="84">AP128-AT128</f>
        <v>3697794562</v>
      </c>
      <c r="AX128" s="32">
        <f t="shared" si="67"/>
        <v>0.65629563328692986</v>
      </c>
    </row>
    <row r="129" spans="1:50" ht="28.5" customHeight="1" x14ac:dyDescent="0.2">
      <c r="A129" s="4" t="s">
        <v>55</v>
      </c>
      <c r="B129" s="4" t="s">
        <v>56</v>
      </c>
      <c r="C129" s="4"/>
      <c r="D129" s="4" t="s">
        <v>40</v>
      </c>
      <c r="E129" s="4"/>
      <c r="F129" s="4"/>
      <c r="G129" s="4" t="s">
        <v>41</v>
      </c>
      <c r="H129" s="4"/>
      <c r="I129" s="4" t="s">
        <v>936</v>
      </c>
      <c r="J129" s="4"/>
      <c r="K129" s="4" t="s">
        <v>932</v>
      </c>
      <c r="L129" s="4"/>
      <c r="M129" s="4" t="s">
        <v>933</v>
      </c>
      <c r="N129" s="4"/>
      <c r="O129" s="4" t="s">
        <v>938</v>
      </c>
      <c r="P129" s="4"/>
      <c r="Q129" s="4" t="s">
        <v>939</v>
      </c>
      <c r="R129" s="4"/>
      <c r="S129" s="4" t="s">
        <v>940</v>
      </c>
      <c r="T129" s="4">
        <v>0</v>
      </c>
      <c r="U129" s="4">
        <v>0</v>
      </c>
      <c r="V129" s="4">
        <v>0</v>
      </c>
      <c r="W129" s="4">
        <v>0</v>
      </c>
      <c r="X129" s="4" t="s">
        <v>937</v>
      </c>
      <c r="Y129" s="4"/>
      <c r="Z129" s="4"/>
      <c r="AA129" s="41" t="s">
        <v>889</v>
      </c>
      <c r="AB129" s="42" t="s">
        <v>234</v>
      </c>
      <c r="AC129" s="43" t="s">
        <v>235</v>
      </c>
      <c r="AD129" s="43">
        <v>10000000000</v>
      </c>
      <c r="AE129" s="44">
        <v>0</v>
      </c>
      <c r="AF129" s="44">
        <v>0</v>
      </c>
      <c r="AG129" s="44">
        <v>0</v>
      </c>
      <c r="AH129" s="44">
        <v>0</v>
      </c>
      <c r="AI129" s="44">
        <v>0</v>
      </c>
      <c r="AJ129" s="43">
        <v>10000000000</v>
      </c>
      <c r="AK129" s="44">
        <v>0</v>
      </c>
      <c r="AL129" s="34">
        <v>0</v>
      </c>
      <c r="AM129" s="43">
        <v>10000000000</v>
      </c>
      <c r="AN129" s="44">
        <v>0</v>
      </c>
      <c r="AO129" s="44">
        <v>0</v>
      </c>
      <c r="AP129" s="43">
        <v>10000000000</v>
      </c>
      <c r="AQ129" s="44">
        <v>0</v>
      </c>
      <c r="AR129" s="34">
        <v>0</v>
      </c>
      <c r="AS129" s="114">
        <v>10000000000</v>
      </c>
      <c r="AT129" s="39">
        <f t="shared" si="79"/>
        <v>10000000000</v>
      </c>
      <c r="AU129" s="34">
        <f t="shared" si="82"/>
        <v>0</v>
      </c>
      <c r="AV129" s="34">
        <f t="shared" si="83"/>
        <v>0</v>
      </c>
      <c r="AW129" s="34">
        <f t="shared" si="84"/>
        <v>0</v>
      </c>
      <c r="AX129" s="32">
        <f t="shared" si="67"/>
        <v>1</v>
      </c>
    </row>
    <row r="130" spans="1:50" ht="27" customHeight="1" x14ac:dyDescent="0.2">
      <c r="A130" s="4" t="s">
        <v>55</v>
      </c>
      <c r="B130" s="4" t="s">
        <v>56</v>
      </c>
      <c r="C130" s="4"/>
      <c r="D130" s="4" t="s">
        <v>40</v>
      </c>
      <c r="E130" s="4"/>
      <c r="F130" s="4"/>
      <c r="G130" s="4" t="s">
        <v>41</v>
      </c>
      <c r="H130" s="4"/>
      <c r="I130" s="4" t="s">
        <v>936</v>
      </c>
      <c r="J130" s="4"/>
      <c r="K130" s="4" t="s">
        <v>932</v>
      </c>
      <c r="L130" s="4"/>
      <c r="M130" s="4" t="s">
        <v>933</v>
      </c>
      <c r="N130" s="4"/>
      <c r="O130" s="4" t="s">
        <v>938</v>
      </c>
      <c r="P130" s="4"/>
      <c r="Q130" s="4" t="s">
        <v>939</v>
      </c>
      <c r="R130" s="4"/>
      <c r="S130" s="4" t="s">
        <v>940</v>
      </c>
      <c r="T130" s="4">
        <v>0</v>
      </c>
      <c r="U130" s="4">
        <v>0</v>
      </c>
      <c r="V130" s="4">
        <v>0</v>
      </c>
      <c r="W130" s="4">
        <v>0</v>
      </c>
      <c r="X130" s="4" t="s">
        <v>937</v>
      </c>
      <c r="Y130" s="4"/>
      <c r="Z130" s="4"/>
      <c r="AA130" s="41" t="s">
        <v>890</v>
      </c>
      <c r="AB130" s="42" t="s">
        <v>236</v>
      </c>
      <c r="AC130" s="38" t="s">
        <v>237</v>
      </c>
      <c r="AD130" s="39">
        <v>2897026328</v>
      </c>
      <c r="AE130" s="40">
        <v>0</v>
      </c>
      <c r="AF130" s="40">
        <v>0</v>
      </c>
      <c r="AG130" s="40">
        <v>0</v>
      </c>
      <c r="AH130" s="40">
        <v>0</v>
      </c>
      <c r="AI130" s="40">
        <v>0</v>
      </c>
      <c r="AJ130" s="39">
        <v>2897026328</v>
      </c>
      <c r="AK130" s="40">
        <v>0</v>
      </c>
      <c r="AL130" s="18">
        <v>314971207</v>
      </c>
      <c r="AM130" s="39">
        <v>2291500064.5999999</v>
      </c>
      <c r="AN130" s="40">
        <v>0</v>
      </c>
      <c r="AO130" s="39">
        <v>314971207</v>
      </c>
      <c r="AP130" s="39">
        <v>2291500064.5999999</v>
      </c>
      <c r="AQ130" s="40">
        <v>0</v>
      </c>
      <c r="AR130" s="34">
        <v>0</v>
      </c>
      <c r="AS130" s="39">
        <v>1937873637.5999999</v>
      </c>
      <c r="AT130" s="39">
        <f t="shared" si="79"/>
        <v>1937873637.5999999</v>
      </c>
      <c r="AU130" s="18">
        <f t="shared" si="82"/>
        <v>605526263.4000001</v>
      </c>
      <c r="AV130" s="34">
        <f t="shared" si="83"/>
        <v>0</v>
      </c>
      <c r="AW130" s="18">
        <f t="shared" si="84"/>
        <v>353626427</v>
      </c>
      <c r="AX130" s="32">
        <f t="shared" si="67"/>
        <v>0.79098351383708931</v>
      </c>
    </row>
    <row r="131" spans="1:50" ht="27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1" t="s">
        <v>994</v>
      </c>
      <c r="AB131" s="42" t="s">
        <v>995</v>
      </c>
      <c r="AC131" s="38"/>
      <c r="AD131" s="39">
        <v>0</v>
      </c>
      <c r="AE131" s="39">
        <v>429925823.10000002</v>
      </c>
      <c r="AF131" s="40">
        <v>0</v>
      </c>
      <c r="AG131" s="40">
        <v>0</v>
      </c>
      <c r="AH131" s="40">
        <v>0</v>
      </c>
      <c r="AI131" s="18">
        <f>AE131-AF131+AG131-AH131</f>
        <v>429925823.10000002</v>
      </c>
      <c r="AJ131" s="18">
        <f>AD131+AI131</f>
        <v>429925823.10000002</v>
      </c>
      <c r="AK131" s="40">
        <v>0</v>
      </c>
      <c r="AL131" s="34">
        <v>0</v>
      </c>
      <c r="AM131" s="39">
        <v>429925823.10000002</v>
      </c>
      <c r="AN131" s="40">
        <v>0</v>
      </c>
      <c r="AO131" s="40">
        <v>0</v>
      </c>
      <c r="AP131" s="40">
        <v>429925823.10000002</v>
      </c>
      <c r="AQ131" s="40">
        <v>0</v>
      </c>
      <c r="AR131" s="34">
        <v>0</v>
      </c>
      <c r="AS131" s="40">
        <v>429925823.10000002</v>
      </c>
      <c r="AT131" s="30">
        <f t="shared" si="79"/>
        <v>429925823.10000002</v>
      </c>
      <c r="AU131" s="34">
        <f t="shared" si="82"/>
        <v>0</v>
      </c>
      <c r="AV131" s="34">
        <f t="shared" si="83"/>
        <v>0</v>
      </c>
      <c r="AW131" s="34">
        <f t="shared" si="84"/>
        <v>0</v>
      </c>
      <c r="AX131" s="32">
        <f t="shared" si="67"/>
        <v>1</v>
      </c>
    </row>
    <row r="132" spans="1:50" ht="18.75" customHeight="1" x14ac:dyDescent="0.2">
      <c r="A132" s="27" t="s">
        <v>55</v>
      </c>
      <c r="B132" s="27" t="s">
        <v>56</v>
      </c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8" t="s">
        <v>891</v>
      </c>
      <c r="AB132" s="29" t="s">
        <v>238</v>
      </c>
      <c r="AC132" s="30" t="s">
        <v>37</v>
      </c>
      <c r="AD132" s="30">
        <f>AD133+AD134</f>
        <v>1000000000</v>
      </c>
      <c r="AE132" s="31">
        <f t="shared" ref="AE132:AS132" si="85">AE133+AE134</f>
        <v>0</v>
      </c>
      <c r="AF132" s="31">
        <f t="shared" si="85"/>
        <v>0</v>
      </c>
      <c r="AG132" s="31">
        <f t="shared" si="85"/>
        <v>0</v>
      </c>
      <c r="AH132" s="31">
        <f t="shared" si="85"/>
        <v>0</v>
      </c>
      <c r="AI132" s="31">
        <f t="shared" si="85"/>
        <v>0</v>
      </c>
      <c r="AJ132" s="30">
        <f t="shared" si="85"/>
        <v>1000000000</v>
      </c>
      <c r="AK132" s="31">
        <f t="shared" si="85"/>
        <v>0</v>
      </c>
      <c r="AL132" s="109">
        <f t="shared" si="85"/>
        <v>43138434.019999996</v>
      </c>
      <c r="AM132" s="109">
        <f t="shared" si="85"/>
        <v>537815028.04999995</v>
      </c>
      <c r="AN132" s="31">
        <f t="shared" si="85"/>
        <v>0</v>
      </c>
      <c r="AO132" s="109">
        <f t="shared" si="85"/>
        <v>43138434.019999996</v>
      </c>
      <c r="AP132" s="109">
        <f t="shared" si="85"/>
        <v>537815025.04999995</v>
      </c>
      <c r="AQ132" s="31">
        <f t="shared" si="85"/>
        <v>2449493.98</v>
      </c>
      <c r="AR132" s="109">
        <f t="shared" si="85"/>
        <v>109569431.03999999</v>
      </c>
      <c r="AS132" s="109">
        <f t="shared" si="85"/>
        <v>535365531.06999999</v>
      </c>
      <c r="AT132" s="30">
        <f t="shared" si="79"/>
        <v>537815025.04999995</v>
      </c>
      <c r="AU132" s="176">
        <f t="shared" si="82"/>
        <v>462184971.95000005</v>
      </c>
      <c r="AV132" s="34">
        <f t="shared" si="83"/>
        <v>3</v>
      </c>
      <c r="AW132" s="18">
        <f t="shared" si="84"/>
        <v>0</v>
      </c>
      <c r="AX132" s="32">
        <f t="shared" si="67"/>
        <v>0.53781502505000001</v>
      </c>
    </row>
    <row r="133" spans="1:50" ht="18.75" customHeight="1" x14ac:dyDescent="0.2">
      <c r="A133" s="4" t="s">
        <v>55</v>
      </c>
      <c r="B133" s="4" t="s">
        <v>56</v>
      </c>
      <c r="C133" s="4"/>
      <c r="D133" s="4" t="s">
        <v>40</v>
      </c>
      <c r="E133" s="4"/>
      <c r="F133" s="4"/>
      <c r="G133" s="4" t="s">
        <v>41</v>
      </c>
      <c r="H133" s="4"/>
      <c r="I133" s="4" t="s">
        <v>936</v>
      </c>
      <c r="J133" s="4"/>
      <c r="K133" s="4" t="s">
        <v>932</v>
      </c>
      <c r="L133" s="4"/>
      <c r="M133" s="4" t="s">
        <v>933</v>
      </c>
      <c r="N133" s="4"/>
      <c r="O133" s="4" t="s">
        <v>938</v>
      </c>
      <c r="P133" s="4"/>
      <c r="Q133" s="4" t="s">
        <v>939</v>
      </c>
      <c r="R133" s="4"/>
      <c r="S133" s="4" t="s">
        <v>940</v>
      </c>
      <c r="T133" s="4">
        <v>0</v>
      </c>
      <c r="U133" s="4">
        <v>0</v>
      </c>
      <c r="V133" s="4">
        <v>0</v>
      </c>
      <c r="W133" s="4">
        <v>0</v>
      </c>
      <c r="X133" s="4" t="s">
        <v>937</v>
      </c>
      <c r="Y133" s="4"/>
      <c r="Z133" s="4"/>
      <c r="AA133" s="41" t="s">
        <v>893</v>
      </c>
      <c r="AB133" s="42" t="s">
        <v>233</v>
      </c>
      <c r="AC133" s="43" t="s">
        <v>58</v>
      </c>
      <c r="AD133" s="43">
        <v>500000000</v>
      </c>
      <c r="AE133" s="44">
        <v>0</v>
      </c>
      <c r="AF133" s="44">
        <v>0</v>
      </c>
      <c r="AG133" s="44">
        <v>0</v>
      </c>
      <c r="AH133" s="44">
        <v>0</v>
      </c>
      <c r="AI133" s="44">
        <v>0</v>
      </c>
      <c r="AJ133" s="43">
        <v>500000000</v>
      </c>
      <c r="AK133" s="44">
        <v>0</v>
      </c>
      <c r="AL133" s="18">
        <v>11388434.02</v>
      </c>
      <c r="AM133" s="43">
        <v>41528573.049999997</v>
      </c>
      <c r="AN133" s="44">
        <v>0</v>
      </c>
      <c r="AO133" s="43">
        <v>11388434.02</v>
      </c>
      <c r="AP133" s="43">
        <v>41528570.049999997</v>
      </c>
      <c r="AQ133" s="44">
        <v>2449493.98</v>
      </c>
      <c r="AR133" s="43">
        <v>8938940.0399999991</v>
      </c>
      <c r="AS133" s="43">
        <v>39079076.07</v>
      </c>
      <c r="AT133" s="39">
        <f t="shared" si="79"/>
        <v>41528570.049999997</v>
      </c>
      <c r="AU133" s="18">
        <f t="shared" si="82"/>
        <v>458471426.94999999</v>
      </c>
      <c r="AV133" s="34">
        <f t="shared" si="83"/>
        <v>3</v>
      </c>
      <c r="AW133" s="18">
        <f t="shared" si="84"/>
        <v>0</v>
      </c>
      <c r="AX133" s="32">
        <f t="shared" si="67"/>
        <v>8.3057140099999996E-2</v>
      </c>
    </row>
    <row r="134" spans="1:50" ht="18.75" customHeight="1" x14ac:dyDescent="0.2">
      <c r="A134" s="4" t="s">
        <v>55</v>
      </c>
      <c r="B134" s="4" t="s">
        <v>56</v>
      </c>
      <c r="C134" s="4"/>
      <c r="D134" s="4" t="s">
        <v>40</v>
      </c>
      <c r="E134" s="4"/>
      <c r="F134" s="4"/>
      <c r="G134" s="4" t="s">
        <v>41</v>
      </c>
      <c r="H134" s="4"/>
      <c r="I134" s="4" t="s">
        <v>936</v>
      </c>
      <c r="J134" s="4"/>
      <c r="K134" s="4" t="s">
        <v>932</v>
      </c>
      <c r="L134" s="4"/>
      <c r="M134" s="4" t="s">
        <v>933</v>
      </c>
      <c r="N134" s="4"/>
      <c r="O134" s="4" t="s">
        <v>938</v>
      </c>
      <c r="P134" s="4"/>
      <c r="Q134" s="4" t="s">
        <v>939</v>
      </c>
      <c r="R134" s="4"/>
      <c r="S134" s="4" t="s">
        <v>940</v>
      </c>
      <c r="T134" s="4">
        <v>0</v>
      </c>
      <c r="U134" s="4">
        <v>0</v>
      </c>
      <c r="V134" s="4">
        <v>0</v>
      </c>
      <c r="W134" s="4">
        <v>0</v>
      </c>
      <c r="X134" s="4" t="s">
        <v>937</v>
      </c>
      <c r="Y134" s="4"/>
      <c r="Z134" s="4"/>
      <c r="AA134" s="41" t="s">
        <v>892</v>
      </c>
      <c r="AB134" s="42" t="s">
        <v>239</v>
      </c>
      <c r="AC134" s="43" t="s">
        <v>240</v>
      </c>
      <c r="AD134" s="43">
        <v>500000000</v>
      </c>
      <c r="AE134" s="44">
        <v>0</v>
      </c>
      <c r="AF134" s="44">
        <v>0</v>
      </c>
      <c r="AG134" s="44">
        <v>0</v>
      </c>
      <c r="AH134" s="44">
        <v>0</v>
      </c>
      <c r="AI134" s="44">
        <v>0</v>
      </c>
      <c r="AJ134" s="43">
        <v>500000000</v>
      </c>
      <c r="AK134" s="44">
        <v>0</v>
      </c>
      <c r="AL134" s="115">
        <v>31750000</v>
      </c>
      <c r="AM134" s="114">
        <v>496286455</v>
      </c>
      <c r="AN134" s="44">
        <v>0</v>
      </c>
      <c r="AO134" s="114">
        <v>31750000</v>
      </c>
      <c r="AP134" s="114">
        <v>496286455</v>
      </c>
      <c r="AQ134" s="44">
        <v>0</v>
      </c>
      <c r="AR134" s="114">
        <v>100630491</v>
      </c>
      <c r="AS134" s="114">
        <v>496286455</v>
      </c>
      <c r="AT134" s="39">
        <f t="shared" si="79"/>
        <v>496286455</v>
      </c>
      <c r="AU134" s="18">
        <f t="shared" si="82"/>
        <v>3713545</v>
      </c>
      <c r="AV134" s="34">
        <f t="shared" si="83"/>
        <v>0</v>
      </c>
      <c r="AW134" s="34">
        <f t="shared" si="84"/>
        <v>0</v>
      </c>
      <c r="AX134" s="32">
        <f t="shared" si="67"/>
        <v>0.99257291000000003</v>
      </c>
    </row>
    <row r="135" spans="1:50" ht="18.75" customHeight="1" x14ac:dyDescent="0.2">
      <c r="A135" s="27" t="s">
        <v>55</v>
      </c>
      <c r="B135" s="27" t="s">
        <v>56</v>
      </c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8" t="s">
        <v>894</v>
      </c>
      <c r="AB135" s="29" t="s">
        <v>241</v>
      </c>
      <c r="AC135" s="30" t="s">
        <v>37</v>
      </c>
      <c r="AD135" s="30">
        <f>AD136</f>
        <v>80000000</v>
      </c>
      <c r="AE135" s="31">
        <f t="shared" ref="AE135:AS135" si="86">AE136</f>
        <v>0</v>
      </c>
      <c r="AF135" s="31">
        <f t="shared" si="86"/>
        <v>0</v>
      </c>
      <c r="AG135" s="30">
        <f t="shared" si="86"/>
        <v>160000000</v>
      </c>
      <c r="AH135" s="31">
        <f t="shared" si="86"/>
        <v>0</v>
      </c>
      <c r="AI135" s="30">
        <f t="shared" si="86"/>
        <v>160000000</v>
      </c>
      <c r="AJ135" s="30">
        <f t="shared" si="86"/>
        <v>240000000</v>
      </c>
      <c r="AK135" s="31">
        <f t="shared" si="86"/>
        <v>0</v>
      </c>
      <c r="AL135" s="30">
        <f t="shared" si="86"/>
        <v>9085260</v>
      </c>
      <c r="AM135" s="109">
        <f t="shared" si="86"/>
        <v>166694775</v>
      </c>
      <c r="AN135" s="31">
        <f t="shared" si="86"/>
        <v>0</v>
      </c>
      <c r="AO135" s="109">
        <f t="shared" si="86"/>
        <v>9085260</v>
      </c>
      <c r="AP135" s="109">
        <f t="shared" si="86"/>
        <v>166694775</v>
      </c>
      <c r="AQ135" s="31">
        <f t="shared" si="86"/>
        <v>0</v>
      </c>
      <c r="AR135" s="30">
        <f t="shared" si="86"/>
        <v>9085260</v>
      </c>
      <c r="AS135" s="109">
        <f t="shared" si="86"/>
        <v>162152145</v>
      </c>
      <c r="AT135" s="30">
        <f t="shared" si="79"/>
        <v>162152145</v>
      </c>
      <c r="AU135" s="176">
        <f t="shared" si="82"/>
        <v>73305225</v>
      </c>
      <c r="AV135" s="34">
        <f t="shared" si="83"/>
        <v>0</v>
      </c>
      <c r="AW135" s="34">
        <f t="shared" si="84"/>
        <v>4542630</v>
      </c>
      <c r="AX135" s="32">
        <f t="shared" si="67"/>
        <v>0.69456156250000001</v>
      </c>
    </row>
    <row r="136" spans="1:50" ht="18.75" customHeight="1" x14ac:dyDescent="0.2">
      <c r="A136" s="4" t="s">
        <v>55</v>
      </c>
      <c r="B136" s="4" t="s">
        <v>56</v>
      </c>
      <c r="C136" s="4"/>
      <c r="D136" s="4" t="s">
        <v>40</v>
      </c>
      <c r="E136" s="4"/>
      <c r="F136" s="4"/>
      <c r="G136" s="4" t="s">
        <v>41</v>
      </c>
      <c r="H136" s="4"/>
      <c r="I136" s="4" t="s">
        <v>936</v>
      </c>
      <c r="J136" s="4"/>
      <c r="K136" s="4" t="s">
        <v>932</v>
      </c>
      <c r="L136" s="4"/>
      <c r="M136" s="4" t="s">
        <v>933</v>
      </c>
      <c r="N136" s="4"/>
      <c r="O136" s="4" t="s">
        <v>938</v>
      </c>
      <c r="P136" s="4"/>
      <c r="Q136" s="4" t="s">
        <v>939</v>
      </c>
      <c r="R136" s="4"/>
      <c r="S136" s="4" t="s">
        <v>940</v>
      </c>
      <c r="T136" s="4">
        <v>0</v>
      </c>
      <c r="U136" s="4">
        <v>0</v>
      </c>
      <c r="V136" s="4">
        <v>0</v>
      </c>
      <c r="W136" s="4">
        <v>0</v>
      </c>
      <c r="X136" s="4" t="s">
        <v>937</v>
      </c>
      <c r="Y136" s="4"/>
      <c r="Z136" s="4"/>
      <c r="AA136" s="41" t="s">
        <v>895</v>
      </c>
      <c r="AB136" s="42" t="s">
        <v>242</v>
      </c>
      <c r="AC136" s="43" t="s">
        <v>58</v>
      </c>
      <c r="AD136" s="43">
        <v>80000000</v>
      </c>
      <c r="AE136" s="44">
        <v>0</v>
      </c>
      <c r="AF136" s="44">
        <v>0</v>
      </c>
      <c r="AG136" s="43">
        <v>160000000</v>
      </c>
      <c r="AH136" s="44">
        <v>0</v>
      </c>
      <c r="AI136" s="18">
        <f>AE136-AF136+AG136-AH136</f>
        <v>160000000</v>
      </c>
      <c r="AJ136" s="18">
        <f>AD136+AI136</f>
        <v>240000000</v>
      </c>
      <c r="AK136" s="44">
        <v>0</v>
      </c>
      <c r="AL136" s="18">
        <v>9085260</v>
      </c>
      <c r="AM136" s="114">
        <v>166694775</v>
      </c>
      <c r="AN136" s="44">
        <v>0</v>
      </c>
      <c r="AO136" s="114">
        <v>9085260</v>
      </c>
      <c r="AP136" s="114">
        <v>166694775</v>
      </c>
      <c r="AQ136" s="44">
        <v>0</v>
      </c>
      <c r="AR136" s="18">
        <v>9085260</v>
      </c>
      <c r="AS136" s="114">
        <v>162152145</v>
      </c>
      <c r="AT136" s="39">
        <f t="shared" si="79"/>
        <v>162152145</v>
      </c>
      <c r="AU136" s="18">
        <f t="shared" si="82"/>
        <v>73305225</v>
      </c>
      <c r="AV136" s="34">
        <f t="shared" si="83"/>
        <v>0</v>
      </c>
      <c r="AW136" s="34">
        <f t="shared" si="84"/>
        <v>4542630</v>
      </c>
      <c r="AX136" s="32">
        <f t="shared" si="67"/>
        <v>0.69456156250000001</v>
      </c>
    </row>
    <row r="137" spans="1:50" ht="18.75" customHeight="1" x14ac:dyDescent="0.2">
      <c r="A137" s="4" t="s">
        <v>55</v>
      </c>
      <c r="B137" s="4" t="s">
        <v>56</v>
      </c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1" t="s">
        <v>896</v>
      </c>
      <c r="AB137" s="42" t="s">
        <v>243</v>
      </c>
      <c r="AC137" s="43" t="s">
        <v>58</v>
      </c>
      <c r="AD137" s="44">
        <v>0</v>
      </c>
      <c r="AE137" s="44">
        <v>0</v>
      </c>
      <c r="AF137" s="44">
        <v>0</v>
      </c>
      <c r="AG137" s="44">
        <v>0</v>
      </c>
      <c r="AH137" s="44">
        <v>0</v>
      </c>
      <c r="AI137" s="44">
        <v>0</v>
      </c>
      <c r="AJ137" s="44">
        <v>0</v>
      </c>
      <c r="AK137" s="44">
        <v>0</v>
      </c>
      <c r="AL137" s="34">
        <v>0</v>
      </c>
      <c r="AM137" s="44">
        <v>0</v>
      </c>
      <c r="AN137" s="44">
        <v>0</v>
      </c>
      <c r="AO137" s="44">
        <v>0</v>
      </c>
      <c r="AP137" s="44">
        <v>0</v>
      </c>
      <c r="AQ137" s="44">
        <v>0</v>
      </c>
      <c r="AR137" s="34">
        <v>0</v>
      </c>
      <c r="AS137" s="44">
        <v>0</v>
      </c>
      <c r="AT137" s="40">
        <f t="shared" si="79"/>
        <v>0</v>
      </c>
      <c r="AU137" s="34">
        <f t="shared" si="82"/>
        <v>0</v>
      </c>
      <c r="AV137" s="34">
        <f t="shared" si="83"/>
        <v>0</v>
      </c>
      <c r="AW137" s="34">
        <f t="shared" si="84"/>
        <v>0</v>
      </c>
      <c r="AX137" s="32">
        <v>0</v>
      </c>
    </row>
    <row r="138" spans="1:50" ht="18.75" customHeight="1" x14ac:dyDescent="0.2">
      <c r="A138" s="4" t="s">
        <v>55</v>
      </c>
      <c r="B138" s="4" t="s">
        <v>56</v>
      </c>
      <c r="C138" s="4"/>
      <c r="D138" s="4" t="s">
        <v>40</v>
      </c>
      <c r="E138" s="4"/>
      <c r="F138" s="4"/>
      <c r="G138" s="4" t="s">
        <v>41</v>
      </c>
      <c r="H138" s="4"/>
      <c r="I138" s="4" t="s">
        <v>936</v>
      </c>
      <c r="J138" s="4"/>
      <c r="K138" s="4" t="s">
        <v>932</v>
      </c>
      <c r="L138" s="4"/>
      <c r="M138" s="4" t="s">
        <v>933</v>
      </c>
      <c r="N138" s="4"/>
      <c r="O138" s="4" t="s">
        <v>938</v>
      </c>
      <c r="P138" s="4"/>
      <c r="Q138" s="4" t="s">
        <v>939</v>
      </c>
      <c r="R138" s="4"/>
      <c r="S138" s="4" t="s">
        <v>940</v>
      </c>
      <c r="T138" s="4">
        <v>0</v>
      </c>
      <c r="U138" s="4">
        <v>0</v>
      </c>
      <c r="V138" s="4">
        <v>0</v>
      </c>
      <c r="W138" s="4">
        <v>0</v>
      </c>
      <c r="X138" s="4" t="s">
        <v>937</v>
      </c>
      <c r="Y138" s="4"/>
      <c r="Z138" s="4"/>
      <c r="AA138" s="41" t="s">
        <v>897</v>
      </c>
      <c r="AB138" s="42" t="s">
        <v>244</v>
      </c>
      <c r="AC138" s="43" t="s">
        <v>58</v>
      </c>
      <c r="AD138" s="43">
        <v>10000000</v>
      </c>
      <c r="AE138" s="44">
        <v>0</v>
      </c>
      <c r="AF138" s="44">
        <v>0</v>
      </c>
      <c r="AG138" s="43">
        <v>24000000</v>
      </c>
      <c r="AH138" s="44">
        <v>0</v>
      </c>
      <c r="AI138" s="18">
        <f>AE138-AF138+AG138-AH138</f>
        <v>24000000</v>
      </c>
      <c r="AJ138" s="18">
        <f>AD138+AI138</f>
        <v>34000000</v>
      </c>
      <c r="AK138" s="44">
        <v>0</v>
      </c>
      <c r="AL138" s="34">
        <v>0</v>
      </c>
      <c r="AM138" s="43">
        <v>11657223</v>
      </c>
      <c r="AN138" s="44">
        <v>0</v>
      </c>
      <c r="AO138" s="44">
        <v>0</v>
      </c>
      <c r="AP138" s="43">
        <v>11657223</v>
      </c>
      <c r="AQ138" s="44">
        <v>0</v>
      </c>
      <c r="AR138" s="34">
        <v>0</v>
      </c>
      <c r="AS138" s="43">
        <v>11657223</v>
      </c>
      <c r="AT138" s="39">
        <f t="shared" si="79"/>
        <v>11657223</v>
      </c>
      <c r="AU138" s="18">
        <f t="shared" si="82"/>
        <v>22342777</v>
      </c>
      <c r="AV138" s="34">
        <f t="shared" si="83"/>
        <v>0</v>
      </c>
      <c r="AW138" s="34">
        <f t="shared" si="84"/>
        <v>0</v>
      </c>
      <c r="AX138" s="32">
        <f t="shared" ref="AX138:AX144" si="87">AP138/AJ138</f>
        <v>0.34285949999999998</v>
      </c>
    </row>
    <row r="139" spans="1:50" ht="18.75" customHeight="1" x14ac:dyDescent="0.2">
      <c r="A139" s="4" t="s">
        <v>55</v>
      </c>
      <c r="B139" s="4" t="s">
        <v>56</v>
      </c>
      <c r="C139" s="4"/>
      <c r="D139" s="4" t="s">
        <v>40</v>
      </c>
      <c r="E139" s="4"/>
      <c r="F139" s="4"/>
      <c r="G139" s="4" t="s">
        <v>41</v>
      </c>
      <c r="H139" s="4"/>
      <c r="I139" s="4" t="s">
        <v>936</v>
      </c>
      <c r="J139" s="4"/>
      <c r="K139" s="4" t="s">
        <v>932</v>
      </c>
      <c r="L139" s="4"/>
      <c r="M139" s="4" t="s">
        <v>933</v>
      </c>
      <c r="N139" s="4"/>
      <c r="O139" s="4" t="s">
        <v>938</v>
      </c>
      <c r="P139" s="4"/>
      <c r="Q139" s="4" t="s">
        <v>942</v>
      </c>
      <c r="R139" s="4"/>
      <c r="S139" s="4" t="s">
        <v>940</v>
      </c>
      <c r="T139" s="4">
        <v>0</v>
      </c>
      <c r="U139" s="4">
        <v>0</v>
      </c>
      <c r="V139" s="4">
        <v>0</v>
      </c>
      <c r="W139" s="4">
        <v>0</v>
      </c>
      <c r="X139" s="4" t="s">
        <v>937</v>
      </c>
      <c r="Y139" s="4"/>
      <c r="Z139" s="4"/>
      <c r="AA139" s="41" t="s">
        <v>898</v>
      </c>
      <c r="AB139" s="42" t="s">
        <v>245</v>
      </c>
      <c r="AC139" s="43" t="s">
        <v>58</v>
      </c>
      <c r="AD139" s="43">
        <v>266000000</v>
      </c>
      <c r="AE139" s="44">
        <v>0</v>
      </c>
      <c r="AF139" s="44">
        <v>0</v>
      </c>
      <c r="AG139" s="44">
        <v>0</v>
      </c>
      <c r="AH139" s="44">
        <v>0</v>
      </c>
      <c r="AI139" s="44">
        <v>0</v>
      </c>
      <c r="AJ139" s="43">
        <v>266000000</v>
      </c>
      <c r="AK139" s="44">
        <v>0</v>
      </c>
      <c r="AL139" s="18">
        <v>5228176</v>
      </c>
      <c r="AM139" s="43">
        <v>206643705</v>
      </c>
      <c r="AN139" s="44">
        <v>0</v>
      </c>
      <c r="AO139" s="43">
        <v>5228176</v>
      </c>
      <c r="AP139" s="43">
        <v>206643705</v>
      </c>
      <c r="AQ139" s="44">
        <v>2271809</v>
      </c>
      <c r="AR139" s="18">
        <v>7498997</v>
      </c>
      <c r="AS139" s="114">
        <v>183300335</v>
      </c>
      <c r="AT139" s="39">
        <f t="shared" si="79"/>
        <v>185572144</v>
      </c>
      <c r="AU139" s="18">
        <f t="shared" si="82"/>
        <v>59356295</v>
      </c>
      <c r="AV139" s="34">
        <f t="shared" si="83"/>
        <v>0</v>
      </c>
      <c r="AW139" s="18">
        <f t="shared" si="84"/>
        <v>21071561</v>
      </c>
      <c r="AX139" s="32">
        <f t="shared" si="87"/>
        <v>0.77685603383458646</v>
      </c>
    </row>
    <row r="140" spans="1:50" ht="18.75" customHeight="1" x14ac:dyDescent="0.2">
      <c r="A140" s="19" t="s">
        <v>55</v>
      </c>
      <c r="B140" s="19" t="s">
        <v>56</v>
      </c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26" t="s">
        <v>899</v>
      </c>
      <c r="AB140" s="21" t="s">
        <v>246</v>
      </c>
      <c r="AC140" s="22" t="s">
        <v>37</v>
      </c>
      <c r="AD140" s="22">
        <f>AD141</f>
        <v>100000000</v>
      </c>
      <c r="AE140" s="23">
        <f t="shared" ref="AE140:AW140" si="88">AE141</f>
        <v>0</v>
      </c>
      <c r="AF140" s="23">
        <f t="shared" si="88"/>
        <v>0</v>
      </c>
      <c r="AG140" s="23">
        <f t="shared" si="88"/>
        <v>0</v>
      </c>
      <c r="AH140" s="23">
        <f t="shared" si="88"/>
        <v>0</v>
      </c>
      <c r="AI140" s="23">
        <f t="shared" si="88"/>
        <v>0</v>
      </c>
      <c r="AJ140" s="22">
        <f t="shared" si="88"/>
        <v>100000000</v>
      </c>
      <c r="AK140" s="23">
        <f t="shared" si="88"/>
        <v>0</v>
      </c>
      <c r="AL140" s="22">
        <f t="shared" si="88"/>
        <v>1530000</v>
      </c>
      <c r="AM140" s="22">
        <f t="shared" si="88"/>
        <v>69416046.120000005</v>
      </c>
      <c r="AN140" s="23">
        <f t="shared" si="88"/>
        <v>0</v>
      </c>
      <c r="AO140" s="22">
        <f t="shared" si="88"/>
        <v>5730000</v>
      </c>
      <c r="AP140" s="22">
        <f t="shared" si="88"/>
        <v>67886046.120000005</v>
      </c>
      <c r="AQ140" s="23">
        <f t="shared" si="88"/>
        <v>0</v>
      </c>
      <c r="AR140" s="22">
        <f t="shared" si="88"/>
        <v>5730000</v>
      </c>
      <c r="AS140" s="22">
        <f t="shared" si="88"/>
        <v>66667200.890000001</v>
      </c>
      <c r="AT140" s="22">
        <f>AQ140+AS140</f>
        <v>66667200.890000001</v>
      </c>
      <c r="AU140" s="22">
        <f t="shared" si="88"/>
        <v>30583953.879999995</v>
      </c>
      <c r="AV140" s="22">
        <f t="shared" si="88"/>
        <v>1530000</v>
      </c>
      <c r="AW140" s="22">
        <f t="shared" si="88"/>
        <v>1218845.2300000042</v>
      </c>
      <c r="AX140" s="24">
        <f t="shared" si="87"/>
        <v>0.6788604612000001</v>
      </c>
    </row>
    <row r="141" spans="1:50" ht="18.75" customHeight="1" x14ac:dyDescent="0.2">
      <c r="A141" s="27" t="s">
        <v>55</v>
      </c>
      <c r="B141" s="27" t="s">
        <v>56</v>
      </c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8" t="s">
        <v>900</v>
      </c>
      <c r="AB141" s="29" t="s">
        <v>247</v>
      </c>
      <c r="AC141" s="30" t="s">
        <v>37</v>
      </c>
      <c r="AD141" s="30">
        <f>AD142+AD143</f>
        <v>100000000</v>
      </c>
      <c r="AE141" s="31">
        <f t="shared" ref="AE141:AS141" si="89">AE142+AE143</f>
        <v>0</v>
      </c>
      <c r="AF141" s="31">
        <f t="shared" si="89"/>
        <v>0</v>
      </c>
      <c r="AG141" s="31">
        <f t="shared" si="89"/>
        <v>0</v>
      </c>
      <c r="AH141" s="31">
        <f t="shared" si="89"/>
        <v>0</v>
      </c>
      <c r="AI141" s="31">
        <f t="shared" si="89"/>
        <v>0</v>
      </c>
      <c r="AJ141" s="30">
        <f t="shared" si="89"/>
        <v>100000000</v>
      </c>
      <c r="AK141" s="31">
        <f t="shared" si="89"/>
        <v>0</v>
      </c>
      <c r="AL141" s="30">
        <f t="shared" si="89"/>
        <v>1530000</v>
      </c>
      <c r="AM141" s="30">
        <f t="shared" si="89"/>
        <v>69416046.120000005</v>
      </c>
      <c r="AN141" s="31">
        <f t="shared" si="89"/>
        <v>0</v>
      </c>
      <c r="AO141" s="30">
        <f t="shared" si="89"/>
        <v>5730000</v>
      </c>
      <c r="AP141" s="30">
        <f t="shared" si="89"/>
        <v>67886046.120000005</v>
      </c>
      <c r="AQ141" s="31">
        <f t="shared" si="89"/>
        <v>0</v>
      </c>
      <c r="AR141" s="30">
        <f t="shared" si="89"/>
        <v>5730000</v>
      </c>
      <c r="AS141" s="30">
        <f t="shared" si="89"/>
        <v>66667200.890000001</v>
      </c>
      <c r="AT141" s="30">
        <f t="shared" ref="AT141:AT143" si="90">AQ141+AS141</f>
        <v>66667200.890000001</v>
      </c>
      <c r="AU141" s="18">
        <f>AJ141-AM141</f>
        <v>30583953.879999995</v>
      </c>
      <c r="AV141" s="110">
        <f>AM141-AP141</f>
        <v>1530000</v>
      </c>
      <c r="AW141" s="18">
        <f>AP141-AT141</f>
        <v>1218845.2300000042</v>
      </c>
      <c r="AX141" s="32">
        <f t="shared" si="87"/>
        <v>0.6788604612000001</v>
      </c>
    </row>
    <row r="142" spans="1:50" ht="18.75" customHeight="1" x14ac:dyDescent="0.2">
      <c r="A142" s="4" t="s">
        <v>55</v>
      </c>
      <c r="B142" s="4" t="s">
        <v>56</v>
      </c>
      <c r="C142" s="4"/>
      <c r="D142" s="4" t="s">
        <v>40</v>
      </c>
      <c r="E142" s="4"/>
      <c r="F142" s="4"/>
      <c r="G142" s="4" t="s">
        <v>41</v>
      </c>
      <c r="H142" s="4"/>
      <c r="I142" s="4" t="s">
        <v>936</v>
      </c>
      <c r="J142" s="4"/>
      <c r="K142" s="4" t="s">
        <v>932</v>
      </c>
      <c r="L142" s="4"/>
      <c r="M142" s="4" t="s">
        <v>933</v>
      </c>
      <c r="N142" s="4"/>
      <c r="O142" s="4" t="s">
        <v>938</v>
      </c>
      <c r="P142" s="4"/>
      <c r="Q142" s="4" t="s">
        <v>942</v>
      </c>
      <c r="R142" s="4"/>
      <c r="S142" s="4" t="s">
        <v>940</v>
      </c>
      <c r="T142" s="4">
        <v>0</v>
      </c>
      <c r="U142" s="4">
        <v>0</v>
      </c>
      <c r="V142" s="4">
        <v>0</v>
      </c>
      <c r="W142" s="4">
        <v>0</v>
      </c>
      <c r="X142" s="4" t="s">
        <v>937</v>
      </c>
      <c r="Y142" s="4"/>
      <c r="Z142" s="4"/>
      <c r="AA142" s="41" t="s">
        <v>901</v>
      </c>
      <c r="AB142" s="42" t="s">
        <v>248</v>
      </c>
      <c r="AC142" s="43" t="s">
        <v>58</v>
      </c>
      <c r="AD142" s="43">
        <v>70000000</v>
      </c>
      <c r="AE142" s="44">
        <v>0</v>
      </c>
      <c r="AF142" s="44">
        <v>0</v>
      </c>
      <c r="AG142" s="44">
        <v>0</v>
      </c>
      <c r="AH142" s="44">
        <v>0</v>
      </c>
      <c r="AI142" s="44">
        <v>0</v>
      </c>
      <c r="AJ142" s="43">
        <v>70000000</v>
      </c>
      <c r="AK142" s="44">
        <v>0</v>
      </c>
      <c r="AL142" s="43">
        <v>1530000</v>
      </c>
      <c r="AM142" s="43">
        <v>69416046.120000005</v>
      </c>
      <c r="AN142" s="44">
        <v>0</v>
      </c>
      <c r="AO142" s="43">
        <v>5730000</v>
      </c>
      <c r="AP142" s="43">
        <v>67886046.120000005</v>
      </c>
      <c r="AQ142" s="44">
        <v>0</v>
      </c>
      <c r="AR142" s="18">
        <v>5730000</v>
      </c>
      <c r="AS142" s="43">
        <v>66667200.890000001</v>
      </c>
      <c r="AT142" s="30">
        <f t="shared" si="90"/>
        <v>66667200.890000001</v>
      </c>
      <c r="AU142" s="18">
        <f>AJ142-AM142</f>
        <v>583953.87999999523</v>
      </c>
      <c r="AV142" s="110">
        <f>AM142-AP142</f>
        <v>1530000</v>
      </c>
      <c r="AW142" s="18">
        <f>AP142-AT142</f>
        <v>1218845.2300000042</v>
      </c>
      <c r="AX142" s="32">
        <f t="shared" si="87"/>
        <v>0.96980065885714295</v>
      </c>
    </row>
    <row r="143" spans="1:50" ht="18.75" customHeight="1" x14ac:dyDescent="0.2">
      <c r="A143" s="4" t="s">
        <v>55</v>
      </c>
      <c r="B143" s="4" t="s">
        <v>56</v>
      </c>
      <c r="C143" s="4"/>
      <c r="D143" s="4" t="s">
        <v>40</v>
      </c>
      <c r="E143" s="4"/>
      <c r="F143" s="4"/>
      <c r="G143" s="4" t="s">
        <v>41</v>
      </c>
      <c r="H143" s="4"/>
      <c r="I143" s="4" t="s">
        <v>936</v>
      </c>
      <c r="J143" s="4"/>
      <c r="K143" s="4" t="s">
        <v>932</v>
      </c>
      <c r="L143" s="4"/>
      <c r="M143" s="4" t="s">
        <v>933</v>
      </c>
      <c r="N143" s="4"/>
      <c r="O143" s="4" t="s">
        <v>938</v>
      </c>
      <c r="P143" s="4"/>
      <c r="Q143" s="4" t="s">
        <v>942</v>
      </c>
      <c r="R143" s="4"/>
      <c r="S143" s="4" t="s">
        <v>940</v>
      </c>
      <c r="T143" s="4">
        <v>0</v>
      </c>
      <c r="U143" s="4">
        <v>0</v>
      </c>
      <c r="V143" s="4">
        <v>0</v>
      </c>
      <c r="W143" s="4">
        <v>0</v>
      </c>
      <c r="X143" s="4" t="s">
        <v>937</v>
      </c>
      <c r="Y143" s="4"/>
      <c r="Z143" s="4"/>
      <c r="AA143" s="41" t="s">
        <v>902</v>
      </c>
      <c r="AB143" s="42" t="s">
        <v>249</v>
      </c>
      <c r="AC143" s="43" t="s">
        <v>58</v>
      </c>
      <c r="AD143" s="43">
        <v>30000000</v>
      </c>
      <c r="AE143" s="44">
        <v>0</v>
      </c>
      <c r="AF143" s="44">
        <v>0</v>
      </c>
      <c r="AG143" s="44">
        <v>0</v>
      </c>
      <c r="AH143" s="44">
        <v>0</v>
      </c>
      <c r="AI143" s="44">
        <v>0</v>
      </c>
      <c r="AJ143" s="43">
        <v>30000000</v>
      </c>
      <c r="AK143" s="44">
        <v>0</v>
      </c>
      <c r="AL143" s="44">
        <v>0</v>
      </c>
      <c r="AM143" s="44">
        <v>0</v>
      </c>
      <c r="AN143" s="44">
        <v>0</v>
      </c>
      <c r="AO143" s="44">
        <v>0</v>
      </c>
      <c r="AP143" s="44">
        <v>0</v>
      </c>
      <c r="AQ143" s="44">
        <v>0</v>
      </c>
      <c r="AR143" s="44">
        <v>0</v>
      </c>
      <c r="AS143" s="44">
        <v>0</v>
      </c>
      <c r="AT143" s="31">
        <f t="shared" si="90"/>
        <v>0</v>
      </c>
      <c r="AU143" s="18">
        <f>AJ143-AM143</f>
        <v>30000000</v>
      </c>
      <c r="AV143" s="34">
        <f>AM143-AP143</f>
        <v>0</v>
      </c>
      <c r="AW143" s="34">
        <f>AP143-AT143</f>
        <v>0</v>
      </c>
      <c r="AX143" s="32">
        <f t="shared" si="87"/>
        <v>0</v>
      </c>
    </row>
    <row r="144" spans="1:50" s="343" customFormat="1" ht="18.75" customHeight="1" x14ac:dyDescent="0.2">
      <c r="A144" s="199"/>
      <c r="B144" s="199"/>
      <c r="C144" s="199"/>
      <c r="D144" s="199"/>
      <c r="E144" s="199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293" t="s">
        <v>996</v>
      </c>
      <c r="AB144" s="294" t="s">
        <v>997</v>
      </c>
      <c r="AC144" s="295"/>
      <c r="AD144" s="49">
        <f>AD149</f>
        <v>0</v>
      </c>
      <c r="AE144" s="48">
        <f>AE149+AE148</f>
        <v>265813663</v>
      </c>
      <c r="AF144" s="49">
        <f t="shared" ref="AF144:AW144" si="91">AF149+AF148</f>
        <v>0</v>
      </c>
      <c r="AG144" s="48">
        <f t="shared" si="91"/>
        <v>365556246.72000003</v>
      </c>
      <c r="AH144" s="49">
        <f t="shared" si="91"/>
        <v>0</v>
      </c>
      <c r="AI144" s="48">
        <f t="shared" si="91"/>
        <v>631369909.72000003</v>
      </c>
      <c r="AJ144" s="48">
        <f t="shared" si="91"/>
        <v>631369909.72000003</v>
      </c>
      <c r="AK144" s="49">
        <f t="shared" si="91"/>
        <v>0</v>
      </c>
      <c r="AL144" s="48">
        <f t="shared" si="91"/>
        <v>0</v>
      </c>
      <c r="AM144" s="48">
        <f t="shared" si="91"/>
        <v>319317437</v>
      </c>
      <c r="AN144" s="49">
        <f t="shared" si="91"/>
        <v>0</v>
      </c>
      <c r="AO144" s="48">
        <f t="shared" si="91"/>
        <v>0</v>
      </c>
      <c r="AP144" s="48">
        <f t="shared" si="91"/>
        <v>319317437</v>
      </c>
      <c r="AQ144" s="49">
        <f t="shared" si="91"/>
        <v>0</v>
      </c>
      <c r="AR144" s="48">
        <f t="shared" si="91"/>
        <v>58477107</v>
      </c>
      <c r="AS144" s="48">
        <f t="shared" si="91"/>
        <v>319317437</v>
      </c>
      <c r="AT144" s="48">
        <f t="shared" si="91"/>
        <v>319317437</v>
      </c>
      <c r="AU144" s="48">
        <f t="shared" si="91"/>
        <v>312052472.72000003</v>
      </c>
      <c r="AV144" s="48">
        <f t="shared" si="91"/>
        <v>0</v>
      </c>
      <c r="AW144" s="48">
        <f t="shared" si="91"/>
        <v>0</v>
      </c>
      <c r="AX144" s="24">
        <f t="shared" si="87"/>
        <v>0.50575333427215574</v>
      </c>
    </row>
    <row r="145" spans="1:50" ht="18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166" t="s">
        <v>998</v>
      </c>
      <c r="AB145" s="167" t="s">
        <v>999</v>
      </c>
      <c r="AC145" s="168"/>
      <c r="AD145" s="44"/>
      <c r="AE145" s="44"/>
      <c r="AF145" s="44"/>
      <c r="AG145" s="44"/>
      <c r="AH145" s="44"/>
      <c r="AI145" s="44"/>
      <c r="AJ145" s="43"/>
      <c r="AK145" s="44"/>
      <c r="AL145" s="44"/>
      <c r="AM145" s="44"/>
      <c r="AN145" s="44"/>
      <c r="AO145" s="43"/>
      <c r="AP145" s="43"/>
      <c r="AQ145" s="44"/>
      <c r="AR145" s="44"/>
      <c r="AS145" s="44"/>
      <c r="AT145" s="31"/>
      <c r="AU145" s="18"/>
      <c r="AV145" s="34"/>
      <c r="AW145" s="18"/>
      <c r="AX145" s="32"/>
    </row>
    <row r="146" spans="1:50" ht="18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166" t="s">
        <v>1000</v>
      </c>
      <c r="AB146" s="167" t="s">
        <v>1001</v>
      </c>
      <c r="AC146" s="168"/>
      <c r="AD146" s="44"/>
      <c r="AE146" s="44"/>
      <c r="AF146" s="44"/>
      <c r="AG146" s="44"/>
      <c r="AH146" s="44"/>
      <c r="AI146" s="44"/>
      <c r="AJ146" s="43"/>
      <c r="AK146" s="44"/>
      <c r="AL146" s="44"/>
      <c r="AM146" s="44"/>
      <c r="AN146" s="44"/>
      <c r="AO146" s="43"/>
      <c r="AP146" s="43"/>
      <c r="AQ146" s="44"/>
      <c r="AR146" s="44"/>
      <c r="AS146" s="44"/>
      <c r="AT146" s="31"/>
      <c r="AU146" s="18"/>
      <c r="AV146" s="34"/>
      <c r="AW146" s="18"/>
      <c r="AX146" s="32"/>
    </row>
    <row r="147" spans="1:50" ht="18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166" t="s">
        <v>1002</v>
      </c>
      <c r="AB147" s="167" t="s">
        <v>1003</v>
      </c>
      <c r="AC147" s="168"/>
      <c r="AD147" s="44"/>
      <c r="AE147" s="44"/>
      <c r="AF147" s="44"/>
      <c r="AG147" s="44"/>
      <c r="AH147" s="44"/>
      <c r="AI147" s="44"/>
      <c r="AJ147" s="43"/>
      <c r="AK147" s="44"/>
      <c r="AL147" s="44"/>
      <c r="AM147" s="44"/>
      <c r="AN147" s="44"/>
      <c r="AO147" s="43"/>
      <c r="AP147" s="43"/>
      <c r="AQ147" s="44"/>
      <c r="AR147" s="44"/>
      <c r="AS147" s="44"/>
      <c r="AT147" s="31"/>
      <c r="AU147" s="18"/>
      <c r="AV147" s="34"/>
      <c r="AW147" s="18"/>
      <c r="AX147" s="32"/>
    </row>
    <row r="148" spans="1:50" ht="18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318" t="s">
        <v>1384</v>
      </c>
      <c r="AB148" s="167" t="s">
        <v>1316</v>
      </c>
      <c r="AC148" s="161"/>
      <c r="AD148" s="34">
        <v>0</v>
      </c>
      <c r="AE148" s="34">
        <v>0</v>
      </c>
      <c r="AF148" s="34">
        <v>0</v>
      </c>
      <c r="AG148" s="18">
        <v>365556246.72000003</v>
      </c>
      <c r="AH148" s="44"/>
      <c r="AI148" s="18">
        <f>AE148-AF148+AG148-AH148</f>
        <v>365556246.72000003</v>
      </c>
      <c r="AJ148" s="18">
        <f>AD148+AI148</f>
        <v>365556246.72000003</v>
      </c>
      <c r="AK148" s="44">
        <v>0</v>
      </c>
      <c r="AL148" s="43">
        <v>0</v>
      </c>
      <c r="AM148" s="43">
        <v>60077107</v>
      </c>
      <c r="AN148" s="44">
        <v>0</v>
      </c>
      <c r="AO148" s="43">
        <v>0</v>
      </c>
      <c r="AP148" s="43">
        <v>60077107</v>
      </c>
      <c r="AQ148" s="44">
        <v>0</v>
      </c>
      <c r="AR148" s="44">
        <v>58477107</v>
      </c>
      <c r="AS148" s="44">
        <v>60077107</v>
      </c>
      <c r="AT148" s="30">
        <f t="shared" ref="AT148:AT149" si="92">AQ148+AS148</f>
        <v>60077107</v>
      </c>
      <c r="AU148" s="18">
        <f>AJ148-AM148</f>
        <v>305479139.72000003</v>
      </c>
      <c r="AV148" s="34">
        <f>AM148-AP148</f>
        <v>0</v>
      </c>
      <c r="AW148" s="34">
        <f>AP148-AT148</f>
        <v>0</v>
      </c>
      <c r="AX148" s="32">
        <f t="shared" ref="AX148:AX153" si="93">AP148/AJ148</f>
        <v>0.16434435887513751</v>
      </c>
    </row>
    <row r="149" spans="1:50" ht="18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166" t="s">
        <v>1004</v>
      </c>
      <c r="AB149" s="167" t="s">
        <v>1005</v>
      </c>
      <c r="AC149" s="168"/>
      <c r="AD149" s="44">
        <v>0</v>
      </c>
      <c r="AE149" s="43">
        <v>265813663</v>
      </c>
      <c r="AF149" s="44">
        <v>0</v>
      </c>
      <c r="AG149" s="44">
        <v>0</v>
      </c>
      <c r="AH149" s="44">
        <v>0</v>
      </c>
      <c r="AI149" s="18">
        <f>AE149-AF149+AG149-AH149</f>
        <v>265813663</v>
      </c>
      <c r="AJ149" s="18">
        <f>AD149+AI149</f>
        <v>265813663</v>
      </c>
      <c r="AK149" s="44">
        <v>0</v>
      </c>
      <c r="AL149" s="44">
        <v>0</v>
      </c>
      <c r="AM149" s="43">
        <v>259240330</v>
      </c>
      <c r="AN149" s="44">
        <v>0</v>
      </c>
      <c r="AO149" s="43">
        <v>0</v>
      </c>
      <c r="AP149" s="43">
        <v>259240330</v>
      </c>
      <c r="AQ149" s="44">
        <v>0</v>
      </c>
      <c r="AR149" s="44">
        <v>0</v>
      </c>
      <c r="AS149" s="44">
        <v>259240330</v>
      </c>
      <c r="AT149" s="30">
        <f t="shared" si="92"/>
        <v>259240330</v>
      </c>
      <c r="AU149" s="18">
        <f>AJ149-AM149</f>
        <v>6573333</v>
      </c>
      <c r="AV149" s="34">
        <f>AM149-AP149</f>
        <v>0</v>
      </c>
      <c r="AW149" s="34">
        <f>AP149-AT149</f>
        <v>0</v>
      </c>
      <c r="AX149" s="32">
        <f t="shared" si="93"/>
        <v>0.97527089869718242</v>
      </c>
    </row>
    <row r="150" spans="1:50" ht="27.75" customHeight="1" x14ac:dyDescent="0.2">
      <c r="A150" s="19" t="s">
        <v>55</v>
      </c>
      <c r="B150" s="19" t="s">
        <v>56</v>
      </c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7" t="s">
        <v>903</v>
      </c>
      <c r="AB150" s="198" t="s">
        <v>250</v>
      </c>
      <c r="AC150" s="22" t="s">
        <v>37</v>
      </c>
      <c r="AD150" s="22">
        <f>AD151+AD155+AD160+AD153</f>
        <v>4677993416.5</v>
      </c>
      <c r="AE150" s="23">
        <f t="shared" ref="AE150:AK150" si="94">AE151+AE155+AE160+AE153</f>
        <v>0</v>
      </c>
      <c r="AF150" s="23">
        <f t="shared" si="94"/>
        <v>0</v>
      </c>
      <c r="AG150" s="22">
        <f>AG151+AG155+AG160+AG153+AG154</f>
        <v>268775300</v>
      </c>
      <c r="AH150" s="23">
        <f t="shared" ref="AH150:AJ150" si="95">AH151+AH155+AH160+AH153+AH154</f>
        <v>0</v>
      </c>
      <c r="AI150" s="22">
        <f t="shared" si="95"/>
        <v>268775300</v>
      </c>
      <c r="AJ150" s="22">
        <f t="shared" si="95"/>
        <v>4946768716.5</v>
      </c>
      <c r="AK150" s="23">
        <f t="shared" si="94"/>
        <v>0</v>
      </c>
      <c r="AL150" s="22">
        <f>AL151+AL155+AL160+AL153+AL154</f>
        <v>202965849.12</v>
      </c>
      <c r="AM150" s="22">
        <f t="shared" ref="AM150:AW150" si="96">AM151+AM155+AM160+AM153+AM154</f>
        <v>4781172734.5799999</v>
      </c>
      <c r="AN150" s="22">
        <f t="shared" si="96"/>
        <v>0</v>
      </c>
      <c r="AO150" s="22">
        <f t="shared" si="96"/>
        <v>202478616.12</v>
      </c>
      <c r="AP150" s="22">
        <f t="shared" si="96"/>
        <v>4778414176.5799999</v>
      </c>
      <c r="AQ150" s="23">
        <f t="shared" si="96"/>
        <v>0</v>
      </c>
      <c r="AR150" s="22">
        <f t="shared" si="96"/>
        <v>202478616.12</v>
      </c>
      <c r="AS150" s="22">
        <f t="shared" si="96"/>
        <v>4778363876.5799999</v>
      </c>
      <c r="AT150" s="22">
        <f t="shared" si="96"/>
        <v>4778363876.5799999</v>
      </c>
      <c r="AU150" s="22">
        <f t="shared" si="96"/>
        <v>165595981.91999999</v>
      </c>
      <c r="AV150" s="22">
        <f t="shared" si="96"/>
        <v>2758558</v>
      </c>
      <c r="AW150" s="22">
        <f t="shared" si="96"/>
        <v>50300</v>
      </c>
      <c r="AX150" s="24">
        <f t="shared" si="93"/>
        <v>0.96596676546480698</v>
      </c>
    </row>
    <row r="151" spans="1:50" ht="18.75" customHeight="1" x14ac:dyDescent="0.2">
      <c r="A151" s="27" t="s">
        <v>55</v>
      </c>
      <c r="B151" s="27" t="s">
        <v>56</v>
      </c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8" t="s">
        <v>904</v>
      </c>
      <c r="AB151" s="29" t="s">
        <v>251</v>
      </c>
      <c r="AC151" s="30" t="s">
        <v>37</v>
      </c>
      <c r="AD151" s="30">
        <f>AD152</f>
        <v>50000000</v>
      </c>
      <c r="AE151" s="31">
        <f t="shared" ref="AE151:AW151" si="97">AE152</f>
        <v>0</v>
      </c>
      <c r="AF151" s="31">
        <f t="shared" si="97"/>
        <v>0</v>
      </c>
      <c r="AG151" s="31">
        <f t="shared" si="97"/>
        <v>0</v>
      </c>
      <c r="AH151" s="31">
        <f t="shared" si="97"/>
        <v>0</v>
      </c>
      <c r="AI151" s="31">
        <f t="shared" si="97"/>
        <v>0</v>
      </c>
      <c r="AJ151" s="30">
        <f>AJ152</f>
        <v>50000000</v>
      </c>
      <c r="AK151" s="31">
        <f t="shared" si="97"/>
        <v>0</v>
      </c>
      <c r="AL151" s="31">
        <f t="shared" si="97"/>
        <v>130097.49</v>
      </c>
      <c r="AM151" s="31">
        <f t="shared" si="97"/>
        <v>130097.49</v>
      </c>
      <c r="AN151" s="31">
        <f t="shared" si="97"/>
        <v>0</v>
      </c>
      <c r="AO151" s="31">
        <f t="shared" si="97"/>
        <v>130097.49</v>
      </c>
      <c r="AP151" s="31">
        <f t="shared" si="97"/>
        <v>130097.49</v>
      </c>
      <c r="AQ151" s="31">
        <f t="shared" si="97"/>
        <v>0</v>
      </c>
      <c r="AR151" s="31">
        <f t="shared" si="97"/>
        <v>130097.49</v>
      </c>
      <c r="AS151" s="31">
        <f t="shared" si="97"/>
        <v>130097.49</v>
      </c>
      <c r="AT151" s="40">
        <f t="shared" si="97"/>
        <v>130097.49</v>
      </c>
      <c r="AU151" s="30">
        <f t="shared" si="97"/>
        <v>49869902.509999998</v>
      </c>
      <c r="AV151" s="31">
        <f t="shared" si="97"/>
        <v>0</v>
      </c>
      <c r="AW151" s="31">
        <f t="shared" si="97"/>
        <v>0</v>
      </c>
      <c r="AX151" s="32">
        <f t="shared" si="93"/>
        <v>2.6019497999999999E-3</v>
      </c>
    </row>
    <row r="152" spans="1:50" ht="18.75" customHeight="1" x14ac:dyDescent="0.2">
      <c r="A152" s="4" t="s">
        <v>55</v>
      </c>
      <c r="B152" s="4" t="s">
        <v>56</v>
      </c>
      <c r="C152" s="4"/>
      <c r="D152" s="4" t="s">
        <v>40</v>
      </c>
      <c r="E152" s="4"/>
      <c r="F152" s="4"/>
      <c r="G152" s="4" t="s">
        <v>41</v>
      </c>
      <c r="H152" s="4"/>
      <c r="I152" s="4" t="s">
        <v>936</v>
      </c>
      <c r="J152" s="4"/>
      <c r="K152" s="4" t="s">
        <v>932</v>
      </c>
      <c r="L152" s="4"/>
      <c r="M152" s="4" t="s">
        <v>933</v>
      </c>
      <c r="N152" s="4"/>
      <c r="O152" s="4" t="s">
        <v>938</v>
      </c>
      <c r="P152" s="4"/>
      <c r="Q152" s="4" t="s">
        <v>942</v>
      </c>
      <c r="R152" s="4"/>
      <c r="S152" s="4" t="s">
        <v>940</v>
      </c>
      <c r="T152" s="4">
        <v>0</v>
      </c>
      <c r="U152" s="4">
        <v>0</v>
      </c>
      <c r="V152" s="4">
        <v>0</v>
      </c>
      <c r="W152" s="4">
        <v>0</v>
      </c>
      <c r="X152" s="4" t="s">
        <v>937</v>
      </c>
      <c r="Y152" s="4"/>
      <c r="Z152" s="4"/>
      <c r="AA152" s="41" t="s">
        <v>905</v>
      </c>
      <c r="AB152" s="42" t="s">
        <v>252</v>
      </c>
      <c r="AC152" s="43" t="s">
        <v>58</v>
      </c>
      <c r="AD152" s="43">
        <v>50000000</v>
      </c>
      <c r="AE152" s="44">
        <v>0</v>
      </c>
      <c r="AF152" s="44">
        <v>0</v>
      </c>
      <c r="AG152" s="44">
        <v>0</v>
      </c>
      <c r="AH152" s="44">
        <v>0</v>
      </c>
      <c r="AI152" s="44">
        <v>0</v>
      </c>
      <c r="AJ152" s="43">
        <v>50000000</v>
      </c>
      <c r="AK152" s="44">
        <v>0</v>
      </c>
      <c r="AL152" s="44">
        <v>130097.49</v>
      </c>
      <c r="AM152" s="44">
        <v>130097.49</v>
      </c>
      <c r="AN152" s="44">
        <v>0</v>
      </c>
      <c r="AO152" s="44">
        <v>130097.49</v>
      </c>
      <c r="AP152" s="44">
        <v>130097.49</v>
      </c>
      <c r="AQ152" s="44">
        <v>0</v>
      </c>
      <c r="AR152" s="44">
        <v>130097.49</v>
      </c>
      <c r="AS152" s="44">
        <v>130097.49</v>
      </c>
      <c r="AT152" s="40">
        <f t="shared" ref="AT152:AT170" si="98">AQ152+AS152</f>
        <v>130097.49</v>
      </c>
      <c r="AU152" s="18">
        <f t="shared" ref="AU152:AU163" si="99">AJ152-AM152</f>
        <v>49869902.509999998</v>
      </c>
      <c r="AV152" s="34">
        <f t="shared" ref="AV152:AV163" si="100">AM152-AP152</f>
        <v>0</v>
      </c>
      <c r="AW152" s="34">
        <f t="shared" ref="AW152:AW163" si="101">AP152-AT152</f>
        <v>0</v>
      </c>
      <c r="AX152" s="32">
        <f t="shared" si="93"/>
        <v>2.6019497999999999E-3</v>
      </c>
    </row>
    <row r="153" spans="1:50" ht="18.75" customHeight="1" x14ac:dyDescent="0.2">
      <c r="A153" s="4" t="s">
        <v>55</v>
      </c>
      <c r="B153" s="4" t="s">
        <v>56</v>
      </c>
      <c r="C153" s="4"/>
      <c r="D153" s="4" t="s">
        <v>40</v>
      </c>
      <c r="E153" s="4"/>
      <c r="F153" s="4"/>
      <c r="G153" s="4" t="s">
        <v>41</v>
      </c>
      <c r="H153" s="4"/>
      <c r="I153" s="4" t="s">
        <v>936</v>
      </c>
      <c r="J153" s="4"/>
      <c r="K153" s="4" t="s">
        <v>932</v>
      </c>
      <c r="L153" s="4"/>
      <c r="M153" s="4" t="s">
        <v>933</v>
      </c>
      <c r="N153" s="4"/>
      <c r="O153" s="4" t="s">
        <v>938</v>
      </c>
      <c r="P153" s="4"/>
      <c r="Q153" s="4" t="s">
        <v>942</v>
      </c>
      <c r="R153" s="4"/>
      <c r="S153" s="4" t="s">
        <v>940</v>
      </c>
      <c r="T153" s="4">
        <v>0</v>
      </c>
      <c r="U153" s="4">
        <v>0</v>
      </c>
      <c r="V153" s="4">
        <v>0</v>
      </c>
      <c r="W153" s="4">
        <v>0</v>
      </c>
      <c r="X153" s="4" t="s">
        <v>937</v>
      </c>
      <c r="Y153" s="4"/>
      <c r="Z153" s="4"/>
      <c r="AA153" s="41" t="s">
        <v>867</v>
      </c>
      <c r="AB153" s="42" t="s">
        <v>253</v>
      </c>
      <c r="AC153" s="43" t="s">
        <v>58</v>
      </c>
      <c r="AD153" s="43">
        <v>50000000</v>
      </c>
      <c r="AE153" s="44">
        <v>0</v>
      </c>
      <c r="AF153" s="44">
        <v>0</v>
      </c>
      <c r="AG153" s="44">
        <v>0</v>
      </c>
      <c r="AH153" s="44">
        <v>0</v>
      </c>
      <c r="AI153" s="44">
        <v>0</v>
      </c>
      <c r="AJ153" s="43">
        <v>50000000</v>
      </c>
      <c r="AK153" s="44">
        <v>0</v>
      </c>
      <c r="AL153" s="43">
        <v>27063190</v>
      </c>
      <c r="AM153" s="43">
        <v>27977880</v>
      </c>
      <c r="AN153" s="115">
        <v>0</v>
      </c>
      <c r="AO153" s="44">
        <v>27063190</v>
      </c>
      <c r="AP153" s="43">
        <v>27977870</v>
      </c>
      <c r="AQ153" s="44">
        <v>0</v>
      </c>
      <c r="AR153" s="44">
        <v>27063190</v>
      </c>
      <c r="AS153" s="43">
        <v>27927570</v>
      </c>
      <c r="AT153" s="39">
        <f t="shared" si="98"/>
        <v>27927570</v>
      </c>
      <c r="AU153" s="18">
        <f t="shared" si="99"/>
        <v>22022120</v>
      </c>
      <c r="AV153" s="110">
        <f t="shared" si="100"/>
        <v>10</v>
      </c>
      <c r="AW153" s="18">
        <f t="shared" si="101"/>
        <v>50300</v>
      </c>
      <c r="AX153" s="32">
        <f t="shared" si="93"/>
        <v>0.55955739999999998</v>
      </c>
    </row>
    <row r="154" spans="1:50" ht="18.75" customHeight="1" x14ac:dyDescent="0.2">
      <c r="A154" s="4" t="s">
        <v>55</v>
      </c>
      <c r="B154" s="4" t="s">
        <v>56</v>
      </c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1" t="s">
        <v>866</v>
      </c>
      <c r="AB154" s="42" t="s">
        <v>254</v>
      </c>
      <c r="AC154" s="43" t="s">
        <v>58</v>
      </c>
      <c r="AD154" s="44">
        <v>0</v>
      </c>
      <c r="AE154" s="44">
        <v>0</v>
      </c>
      <c r="AF154" s="44">
        <v>0</v>
      </c>
      <c r="AG154" s="43">
        <f>10000000+12000000+174000000</f>
        <v>196000000</v>
      </c>
      <c r="AH154" s="44">
        <v>0</v>
      </c>
      <c r="AI154" s="18">
        <f>AE154-AF154+AG154-AH154</f>
        <v>196000000</v>
      </c>
      <c r="AJ154" s="18">
        <f>AD154+AI154</f>
        <v>196000000</v>
      </c>
      <c r="AK154" s="44">
        <v>0</v>
      </c>
      <c r="AL154" s="43">
        <v>175772561.63</v>
      </c>
      <c r="AM154" s="43">
        <v>190921474.59</v>
      </c>
      <c r="AN154" s="44">
        <v>0</v>
      </c>
      <c r="AO154" s="43">
        <v>175285328.63</v>
      </c>
      <c r="AP154" s="43">
        <v>188162926.59</v>
      </c>
      <c r="AQ154" s="44">
        <v>0</v>
      </c>
      <c r="AR154" s="43">
        <v>175285328.63</v>
      </c>
      <c r="AS154" s="43">
        <v>188162926.59</v>
      </c>
      <c r="AT154" s="39">
        <f t="shared" si="98"/>
        <v>188162926.59</v>
      </c>
      <c r="AU154" s="18">
        <f t="shared" si="99"/>
        <v>5078525.4099999964</v>
      </c>
      <c r="AV154" s="18">
        <f t="shared" si="100"/>
        <v>2758548</v>
      </c>
      <c r="AW154" s="34">
        <f t="shared" si="101"/>
        <v>0</v>
      </c>
      <c r="AX154" s="32">
        <v>0</v>
      </c>
    </row>
    <row r="155" spans="1:50" ht="18.75" customHeight="1" x14ac:dyDescent="0.2">
      <c r="A155" s="27" t="s">
        <v>55</v>
      </c>
      <c r="B155" s="27" t="s">
        <v>56</v>
      </c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8" t="s">
        <v>865</v>
      </c>
      <c r="AB155" s="29" t="s">
        <v>255</v>
      </c>
      <c r="AC155" s="30" t="s">
        <v>37</v>
      </c>
      <c r="AD155" s="30">
        <f>AD156+AD159</f>
        <v>4527993416.5</v>
      </c>
      <c r="AE155" s="31">
        <f t="shared" ref="AE155:AS155" si="102">AE156+AE159</f>
        <v>0</v>
      </c>
      <c r="AF155" s="31">
        <f t="shared" si="102"/>
        <v>0</v>
      </c>
      <c r="AG155" s="30">
        <f t="shared" si="102"/>
        <v>72775300</v>
      </c>
      <c r="AH155" s="31">
        <f t="shared" si="102"/>
        <v>0</v>
      </c>
      <c r="AI155" s="18">
        <f>AE155-AF155+AG155-AH155</f>
        <v>72775300</v>
      </c>
      <c r="AJ155" s="18">
        <f>AD155+AI155</f>
        <v>4600768716.5</v>
      </c>
      <c r="AK155" s="31">
        <f t="shared" si="102"/>
        <v>0</v>
      </c>
      <c r="AL155" s="31">
        <f t="shared" si="102"/>
        <v>0</v>
      </c>
      <c r="AM155" s="30">
        <f t="shared" si="102"/>
        <v>4561893282.5</v>
      </c>
      <c r="AN155" s="31">
        <f t="shared" si="102"/>
        <v>0</v>
      </c>
      <c r="AO155" s="30">
        <f t="shared" si="102"/>
        <v>0</v>
      </c>
      <c r="AP155" s="30">
        <f t="shared" si="102"/>
        <v>4561893282.5</v>
      </c>
      <c r="AQ155" s="31">
        <f t="shared" si="102"/>
        <v>0</v>
      </c>
      <c r="AR155" s="30">
        <f t="shared" si="102"/>
        <v>0</v>
      </c>
      <c r="AS155" s="30">
        <f t="shared" si="102"/>
        <v>4561893282.5</v>
      </c>
      <c r="AT155" s="39">
        <f t="shared" si="98"/>
        <v>4561893282.5</v>
      </c>
      <c r="AU155" s="18">
        <f t="shared" si="99"/>
        <v>38875434</v>
      </c>
      <c r="AV155" s="34">
        <f t="shared" si="100"/>
        <v>0</v>
      </c>
      <c r="AW155" s="34">
        <f t="shared" si="101"/>
        <v>0</v>
      </c>
      <c r="AX155" s="32">
        <f t="shared" ref="AX155:AX190" si="103">AP155/AJ155</f>
        <v>0.99155023075587811</v>
      </c>
    </row>
    <row r="156" spans="1:50" ht="18.75" customHeight="1" x14ac:dyDescent="0.2">
      <c r="A156" s="27" t="s">
        <v>55</v>
      </c>
      <c r="B156" s="27" t="s">
        <v>56</v>
      </c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8" t="s">
        <v>864</v>
      </c>
      <c r="AB156" s="29" t="s">
        <v>256</v>
      </c>
      <c r="AC156" s="30" t="s">
        <v>37</v>
      </c>
      <c r="AD156" s="30">
        <f>AD157+AD158</f>
        <v>4477993416.5</v>
      </c>
      <c r="AE156" s="31">
        <f t="shared" ref="AE156:AS156" si="104">AE157+AE158</f>
        <v>0</v>
      </c>
      <c r="AF156" s="31">
        <f t="shared" si="104"/>
        <v>0</v>
      </c>
      <c r="AG156" s="31">
        <f t="shared" si="104"/>
        <v>0</v>
      </c>
      <c r="AH156" s="31">
        <f t="shared" si="104"/>
        <v>0</v>
      </c>
      <c r="AI156" s="31">
        <f t="shared" si="104"/>
        <v>0</v>
      </c>
      <c r="AJ156" s="30">
        <f t="shared" si="104"/>
        <v>4477993416.5</v>
      </c>
      <c r="AK156" s="31">
        <f t="shared" si="104"/>
        <v>0</v>
      </c>
      <c r="AL156" s="31">
        <f t="shared" si="104"/>
        <v>0</v>
      </c>
      <c r="AM156" s="30">
        <f t="shared" si="104"/>
        <v>4477993416.5</v>
      </c>
      <c r="AN156" s="31">
        <f t="shared" si="104"/>
        <v>0</v>
      </c>
      <c r="AO156" s="31">
        <f t="shared" si="104"/>
        <v>0</v>
      </c>
      <c r="AP156" s="30">
        <f t="shared" si="104"/>
        <v>4477993416.5</v>
      </c>
      <c r="AQ156" s="31">
        <f t="shared" si="104"/>
        <v>0</v>
      </c>
      <c r="AR156" s="31">
        <f t="shared" si="104"/>
        <v>0</v>
      </c>
      <c r="AS156" s="30">
        <f t="shared" si="104"/>
        <v>4477993416.5</v>
      </c>
      <c r="AT156" s="39">
        <f t="shared" si="98"/>
        <v>4477993416.5</v>
      </c>
      <c r="AU156" s="34">
        <f t="shared" si="99"/>
        <v>0</v>
      </c>
      <c r="AV156" s="34">
        <f t="shared" si="100"/>
        <v>0</v>
      </c>
      <c r="AW156" s="34">
        <f t="shared" si="101"/>
        <v>0</v>
      </c>
      <c r="AX156" s="32">
        <f t="shared" si="103"/>
        <v>1</v>
      </c>
    </row>
    <row r="157" spans="1:50" ht="18.75" customHeight="1" x14ac:dyDescent="0.2">
      <c r="A157" s="4" t="s">
        <v>55</v>
      </c>
      <c r="B157" s="4" t="s">
        <v>56</v>
      </c>
      <c r="C157" s="4"/>
      <c r="D157" s="4" t="s">
        <v>40</v>
      </c>
      <c r="E157" s="4"/>
      <c r="F157" s="4"/>
      <c r="G157" s="4" t="s">
        <v>41</v>
      </c>
      <c r="H157" s="4"/>
      <c r="I157" s="4" t="s">
        <v>936</v>
      </c>
      <c r="J157" s="4"/>
      <c r="K157" s="4" t="s">
        <v>932</v>
      </c>
      <c r="L157" s="4"/>
      <c r="M157" s="4" t="s">
        <v>933</v>
      </c>
      <c r="N157" s="4"/>
      <c r="O157" s="4" t="s">
        <v>938</v>
      </c>
      <c r="P157" s="4"/>
      <c r="Q157" s="4" t="s">
        <v>942</v>
      </c>
      <c r="R157" s="4"/>
      <c r="S157" s="4" t="s">
        <v>940</v>
      </c>
      <c r="T157" s="4">
        <v>0</v>
      </c>
      <c r="U157" s="4">
        <v>0</v>
      </c>
      <c r="V157" s="4">
        <v>0</v>
      </c>
      <c r="W157" s="4">
        <v>0</v>
      </c>
      <c r="X157" s="4" t="s">
        <v>937</v>
      </c>
      <c r="Y157" s="4"/>
      <c r="Z157" s="4"/>
      <c r="AA157" s="41" t="s">
        <v>863</v>
      </c>
      <c r="AB157" s="42" t="s">
        <v>233</v>
      </c>
      <c r="AC157" s="43" t="s">
        <v>58</v>
      </c>
      <c r="AD157" s="43">
        <v>3177230763</v>
      </c>
      <c r="AE157" s="44">
        <v>0</v>
      </c>
      <c r="AF157" s="44">
        <v>0</v>
      </c>
      <c r="AG157" s="44">
        <v>0</v>
      </c>
      <c r="AH157" s="44">
        <v>0</v>
      </c>
      <c r="AI157" s="44">
        <v>0</v>
      </c>
      <c r="AJ157" s="43">
        <v>3177230763</v>
      </c>
      <c r="AK157" s="44">
        <v>0</v>
      </c>
      <c r="AL157" s="44">
        <f>AM157-AGOSTO!AM156</f>
        <v>0</v>
      </c>
      <c r="AM157" s="43">
        <v>3177230763</v>
      </c>
      <c r="AN157" s="44">
        <v>0</v>
      </c>
      <c r="AO157" s="44">
        <v>0</v>
      </c>
      <c r="AP157" s="43">
        <v>3177230763</v>
      </c>
      <c r="AQ157" s="44">
        <v>0</v>
      </c>
      <c r="AR157" s="44">
        <v>0</v>
      </c>
      <c r="AS157" s="43">
        <v>3177230763</v>
      </c>
      <c r="AT157" s="39">
        <f t="shared" si="98"/>
        <v>3177230763</v>
      </c>
      <c r="AU157" s="34">
        <f t="shared" si="99"/>
        <v>0</v>
      </c>
      <c r="AV157" s="34">
        <f t="shared" si="100"/>
        <v>0</v>
      </c>
      <c r="AW157" s="34">
        <f t="shared" si="101"/>
        <v>0</v>
      </c>
      <c r="AX157" s="32">
        <f t="shared" si="103"/>
        <v>1</v>
      </c>
    </row>
    <row r="158" spans="1:50" ht="18.75" customHeight="1" x14ac:dyDescent="0.2">
      <c r="A158" s="4" t="s">
        <v>55</v>
      </c>
      <c r="B158" s="4" t="s">
        <v>56</v>
      </c>
      <c r="C158" s="4"/>
      <c r="D158" s="4" t="s">
        <v>40</v>
      </c>
      <c r="E158" s="4"/>
      <c r="F158" s="4"/>
      <c r="G158" s="4" t="s">
        <v>41</v>
      </c>
      <c r="H158" s="4"/>
      <c r="I158" s="4" t="s">
        <v>936</v>
      </c>
      <c r="J158" s="4"/>
      <c r="K158" s="4" t="s">
        <v>932</v>
      </c>
      <c r="L158" s="4"/>
      <c r="M158" s="4" t="s">
        <v>933</v>
      </c>
      <c r="N158" s="4"/>
      <c r="O158" s="4" t="s">
        <v>938</v>
      </c>
      <c r="P158" s="4"/>
      <c r="Q158" s="4" t="s">
        <v>942</v>
      </c>
      <c r="R158" s="4"/>
      <c r="S158" s="4" t="s">
        <v>940</v>
      </c>
      <c r="T158" s="4">
        <v>0</v>
      </c>
      <c r="U158" s="4">
        <v>0</v>
      </c>
      <c r="V158" s="4">
        <v>0</v>
      </c>
      <c r="W158" s="4">
        <v>0</v>
      </c>
      <c r="X158" s="4" t="s">
        <v>937</v>
      </c>
      <c r="Y158" s="4"/>
      <c r="Z158" s="4"/>
      <c r="AA158" s="41" t="s">
        <v>862</v>
      </c>
      <c r="AB158" s="42" t="s">
        <v>257</v>
      </c>
      <c r="AC158" s="43" t="s">
        <v>258</v>
      </c>
      <c r="AD158" s="43">
        <v>1300762653.5</v>
      </c>
      <c r="AE158" s="44">
        <v>0</v>
      </c>
      <c r="AF158" s="44">
        <v>0</v>
      </c>
      <c r="AG158" s="44">
        <v>0</v>
      </c>
      <c r="AH158" s="44">
        <v>0</v>
      </c>
      <c r="AI158" s="44">
        <v>0</v>
      </c>
      <c r="AJ158" s="43">
        <v>1300762653.5</v>
      </c>
      <c r="AK158" s="44">
        <v>0</v>
      </c>
      <c r="AL158" s="44">
        <f>AM158-AGOSTO!AM157</f>
        <v>0</v>
      </c>
      <c r="AM158" s="43">
        <v>1300762653.5</v>
      </c>
      <c r="AN158" s="44">
        <v>0</v>
      </c>
      <c r="AO158" s="44">
        <v>0</v>
      </c>
      <c r="AP158" s="43">
        <v>1300762653.5</v>
      </c>
      <c r="AQ158" s="44">
        <v>0</v>
      </c>
      <c r="AR158" s="44">
        <v>0</v>
      </c>
      <c r="AS158" s="43">
        <v>1300762653.5</v>
      </c>
      <c r="AT158" s="39">
        <f t="shared" si="98"/>
        <v>1300762653.5</v>
      </c>
      <c r="AU158" s="34">
        <f t="shared" si="99"/>
        <v>0</v>
      </c>
      <c r="AV158" s="34">
        <f t="shared" si="100"/>
        <v>0</v>
      </c>
      <c r="AW158" s="34">
        <f t="shared" si="101"/>
        <v>0</v>
      </c>
      <c r="AX158" s="32">
        <f t="shared" si="103"/>
        <v>1</v>
      </c>
    </row>
    <row r="159" spans="1:50" ht="18.75" customHeight="1" x14ac:dyDescent="0.2">
      <c r="A159" s="4" t="s">
        <v>55</v>
      </c>
      <c r="B159" s="4" t="s">
        <v>56</v>
      </c>
      <c r="C159" s="4"/>
      <c r="D159" s="4" t="s">
        <v>40</v>
      </c>
      <c r="E159" s="4"/>
      <c r="F159" s="4"/>
      <c r="G159" s="4" t="s">
        <v>41</v>
      </c>
      <c r="H159" s="4"/>
      <c r="I159" s="4" t="s">
        <v>936</v>
      </c>
      <c r="J159" s="4"/>
      <c r="K159" s="4" t="s">
        <v>932</v>
      </c>
      <c r="L159" s="4"/>
      <c r="M159" s="4" t="s">
        <v>933</v>
      </c>
      <c r="N159" s="4"/>
      <c r="O159" s="4" t="s">
        <v>938</v>
      </c>
      <c r="P159" s="4"/>
      <c r="Q159" s="4" t="s">
        <v>942</v>
      </c>
      <c r="R159" s="4"/>
      <c r="S159" s="4" t="s">
        <v>940</v>
      </c>
      <c r="T159" s="4">
        <v>0</v>
      </c>
      <c r="U159" s="4">
        <v>0</v>
      </c>
      <c r="V159" s="4">
        <v>0</v>
      </c>
      <c r="W159" s="4">
        <v>0</v>
      </c>
      <c r="X159" s="4" t="s">
        <v>937</v>
      </c>
      <c r="Y159" s="4"/>
      <c r="Z159" s="4"/>
      <c r="AA159" s="41" t="s">
        <v>861</v>
      </c>
      <c r="AB159" s="42" t="s">
        <v>259</v>
      </c>
      <c r="AC159" s="43" t="s">
        <v>58</v>
      </c>
      <c r="AD159" s="43">
        <v>50000000</v>
      </c>
      <c r="AE159" s="44">
        <v>0</v>
      </c>
      <c r="AF159" s="44">
        <v>0</v>
      </c>
      <c r="AG159" s="43">
        <f>20000000+20000000+32775300</f>
        <v>72775300</v>
      </c>
      <c r="AH159" s="44">
        <v>0</v>
      </c>
      <c r="AI159" s="18">
        <f>AE159-AF159+AG159-AH159</f>
        <v>72775300</v>
      </c>
      <c r="AJ159" s="18">
        <f>AD159+AI159</f>
        <v>122775300</v>
      </c>
      <c r="AK159" s="44">
        <v>0</v>
      </c>
      <c r="AL159" s="44">
        <f>AM159-AGOSTO!AM158</f>
        <v>0</v>
      </c>
      <c r="AM159" s="43">
        <v>83899866</v>
      </c>
      <c r="AN159" s="44">
        <v>0</v>
      </c>
      <c r="AO159" s="44">
        <v>0</v>
      </c>
      <c r="AP159" s="43">
        <v>83899866</v>
      </c>
      <c r="AQ159" s="44">
        <v>0</v>
      </c>
      <c r="AR159" s="44">
        <v>0</v>
      </c>
      <c r="AS159" s="43">
        <v>83899866</v>
      </c>
      <c r="AT159" s="39">
        <f t="shared" si="98"/>
        <v>83899866</v>
      </c>
      <c r="AU159" s="18">
        <f t="shared" si="99"/>
        <v>38875434</v>
      </c>
      <c r="AV159" s="34">
        <f t="shared" si="100"/>
        <v>0</v>
      </c>
      <c r="AW159" s="34">
        <f t="shared" si="101"/>
        <v>0</v>
      </c>
      <c r="AX159" s="32">
        <f t="shared" si="103"/>
        <v>0.68336111579446357</v>
      </c>
    </row>
    <row r="160" spans="1:50" ht="18.75" customHeight="1" x14ac:dyDescent="0.2">
      <c r="A160" s="27" t="s">
        <v>55</v>
      </c>
      <c r="B160" s="27" t="s">
        <v>56</v>
      </c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8" t="s">
        <v>860</v>
      </c>
      <c r="AB160" s="29" t="s">
        <v>260</v>
      </c>
      <c r="AC160" s="30" t="s">
        <v>37</v>
      </c>
      <c r="AD160" s="30">
        <f>AD161+AD163</f>
        <v>50000000</v>
      </c>
      <c r="AE160" s="31">
        <f t="shared" ref="AE160:AS160" si="105">AE161+AE163</f>
        <v>0</v>
      </c>
      <c r="AF160" s="31">
        <f t="shared" si="105"/>
        <v>0</v>
      </c>
      <c r="AG160" s="31">
        <f t="shared" si="105"/>
        <v>0</v>
      </c>
      <c r="AH160" s="31">
        <f t="shared" si="105"/>
        <v>0</v>
      </c>
      <c r="AI160" s="31">
        <f t="shared" si="105"/>
        <v>0</v>
      </c>
      <c r="AJ160" s="30">
        <f t="shared" si="105"/>
        <v>50000000</v>
      </c>
      <c r="AK160" s="31">
        <f t="shared" si="105"/>
        <v>0</v>
      </c>
      <c r="AL160" s="172">
        <f t="shared" si="105"/>
        <v>0</v>
      </c>
      <c r="AM160" s="109">
        <f t="shared" si="105"/>
        <v>250000</v>
      </c>
      <c r="AN160" s="31">
        <f t="shared" si="105"/>
        <v>0</v>
      </c>
      <c r="AO160" s="172">
        <f t="shared" si="105"/>
        <v>0</v>
      </c>
      <c r="AP160" s="109">
        <f t="shared" si="105"/>
        <v>250000</v>
      </c>
      <c r="AQ160" s="31">
        <f t="shared" si="105"/>
        <v>0</v>
      </c>
      <c r="AR160" s="31">
        <f t="shared" si="105"/>
        <v>0</v>
      </c>
      <c r="AS160" s="30">
        <f t="shared" si="105"/>
        <v>250000</v>
      </c>
      <c r="AT160" s="39">
        <f t="shared" si="98"/>
        <v>250000</v>
      </c>
      <c r="AU160" s="176">
        <f t="shared" si="99"/>
        <v>49750000</v>
      </c>
      <c r="AV160" s="34">
        <f t="shared" si="100"/>
        <v>0</v>
      </c>
      <c r="AW160" s="34">
        <f t="shared" si="101"/>
        <v>0</v>
      </c>
      <c r="AX160" s="32">
        <f t="shared" si="103"/>
        <v>5.0000000000000001E-3</v>
      </c>
    </row>
    <row r="161" spans="1:50" ht="18.75" customHeight="1" x14ac:dyDescent="0.2">
      <c r="A161" s="27" t="s">
        <v>55</v>
      </c>
      <c r="B161" s="27" t="s">
        <v>56</v>
      </c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8" t="s">
        <v>859</v>
      </c>
      <c r="AB161" s="29" t="s">
        <v>261</v>
      </c>
      <c r="AC161" s="30" t="s">
        <v>37</v>
      </c>
      <c r="AD161" s="30">
        <f>AD162</f>
        <v>10000000</v>
      </c>
      <c r="AE161" s="31">
        <f t="shared" ref="AE161:AS161" si="106">AE162</f>
        <v>0</v>
      </c>
      <c r="AF161" s="31">
        <f t="shared" si="106"/>
        <v>0</v>
      </c>
      <c r="AG161" s="31">
        <f t="shared" si="106"/>
        <v>0</v>
      </c>
      <c r="AH161" s="31">
        <f t="shared" si="106"/>
        <v>0</v>
      </c>
      <c r="AI161" s="31">
        <f t="shared" si="106"/>
        <v>0</v>
      </c>
      <c r="AJ161" s="30">
        <f t="shared" si="106"/>
        <v>10000000</v>
      </c>
      <c r="AK161" s="31">
        <f t="shared" si="106"/>
        <v>0</v>
      </c>
      <c r="AL161" s="172">
        <f t="shared" si="106"/>
        <v>0</v>
      </c>
      <c r="AM161" s="109">
        <f t="shared" si="106"/>
        <v>250000</v>
      </c>
      <c r="AN161" s="31">
        <f t="shared" si="106"/>
        <v>0</v>
      </c>
      <c r="AO161" s="172">
        <f t="shared" si="106"/>
        <v>0</v>
      </c>
      <c r="AP161" s="109">
        <f t="shared" si="106"/>
        <v>250000</v>
      </c>
      <c r="AQ161" s="31">
        <f t="shared" si="106"/>
        <v>0</v>
      </c>
      <c r="AR161" s="31">
        <f t="shared" si="106"/>
        <v>0</v>
      </c>
      <c r="AS161" s="30">
        <f t="shared" si="106"/>
        <v>250000</v>
      </c>
      <c r="AT161" s="39">
        <f t="shared" si="98"/>
        <v>250000</v>
      </c>
      <c r="AU161" s="176">
        <f t="shared" si="99"/>
        <v>9750000</v>
      </c>
      <c r="AV161" s="34">
        <f t="shared" si="100"/>
        <v>0</v>
      </c>
      <c r="AW161" s="34">
        <f t="shared" si="101"/>
        <v>0</v>
      </c>
      <c r="AX161" s="32">
        <f t="shared" si="103"/>
        <v>2.5000000000000001E-2</v>
      </c>
    </row>
    <row r="162" spans="1:50" ht="18.75" customHeight="1" x14ac:dyDescent="0.2">
      <c r="A162" s="4" t="s">
        <v>55</v>
      </c>
      <c r="B162" s="4" t="s">
        <v>56</v>
      </c>
      <c r="C162" s="4"/>
      <c r="D162" s="4" t="s">
        <v>40</v>
      </c>
      <c r="E162" s="4"/>
      <c r="F162" s="4"/>
      <c r="G162" s="4" t="s">
        <v>41</v>
      </c>
      <c r="H162" s="4"/>
      <c r="I162" s="4" t="s">
        <v>936</v>
      </c>
      <c r="J162" s="4"/>
      <c r="K162" s="4" t="s">
        <v>932</v>
      </c>
      <c r="L162" s="4"/>
      <c r="M162" s="4" t="s">
        <v>933</v>
      </c>
      <c r="N162" s="4"/>
      <c r="O162" s="4" t="s">
        <v>938</v>
      </c>
      <c r="P162" s="4"/>
      <c r="Q162" s="4" t="s">
        <v>942</v>
      </c>
      <c r="R162" s="4"/>
      <c r="S162" s="4" t="s">
        <v>940</v>
      </c>
      <c r="T162" s="4">
        <v>0</v>
      </c>
      <c r="U162" s="4">
        <v>0</v>
      </c>
      <c r="V162" s="4">
        <v>0</v>
      </c>
      <c r="W162" s="4">
        <v>0</v>
      </c>
      <c r="X162" s="4" t="s">
        <v>937</v>
      </c>
      <c r="Y162" s="4"/>
      <c r="Z162" s="4"/>
      <c r="AA162" s="41" t="s">
        <v>858</v>
      </c>
      <c r="AB162" s="42" t="s">
        <v>262</v>
      </c>
      <c r="AC162" s="43" t="s">
        <v>58</v>
      </c>
      <c r="AD162" s="43">
        <v>10000000</v>
      </c>
      <c r="AE162" s="44">
        <v>0</v>
      </c>
      <c r="AF162" s="44">
        <v>0</v>
      </c>
      <c r="AG162" s="44">
        <v>0</v>
      </c>
      <c r="AH162" s="44">
        <v>0</v>
      </c>
      <c r="AI162" s="44">
        <v>0</v>
      </c>
      <c r="AJ162" s="43">
        <v>10000000</v>
      </c>
      <c r="AK162" s="44">
        <v>0</v>
      </c>
      <c r="AL162" s="44">
        <f>AM162-AGOSTO!AM161</f>
        <v>0</v>
      </c>
      <c r="AM162" s="114">
        <v>250000</v>
      </c>
      <c r="AN162" s="44">
        <v>0</v>
      </c>
      <c r="AO162" s="115">
        <v>0</v>
      </c>
      <c r="AP162" s="114">
        <v>250000</v>
      </c>
      <c r="AQ162" s="44">
        <v>0</v>
      </c>
      <c r="AR162" s="44">
        <v>0</v>
      </c>
      <c r="AS162" s="43">
        <v>250000</v>
      </c>
      <c r="AT162" s="39">
        <f t="shared" si="98"/>
        <v>250000</v>
      </c>
      <c r="AU162" s="18">
        <f t="shared" si="99"/>
        <v>9750000</v>
      </c>
      <c r="AV162" s="34">
        <f t="shared" si="100"/>
        <v>0</v>
      </c>
      <c r="AW162" s="34">
        <f t="shared" si="101"/>
        <v>0</v>
      </c>
      <c r="AX162" s="32">
        <f t="shared" si="103"/>
        <v>2.5000000000000001E-2</v>
      </c>
    </row>
    <row r="163" spans="1:50" ht="18.75" customHeight="1" x14ac:dyDescent="0.2">
      <c r="A163" s="4" t="s">
        <v>55</v>
      </c>
      <c r="B163" s="4" t="s">
        <v>56</v>
      </c>
      <c r="C163" s="4"/>
      <c r="D163" s="4" t="s">
        <v>40</v>
      </c>
      <c r="E163" s="4"/>
      <c r="F163" s="4"/>
      <c r="G163" s="4" t="s">
        <v>41</v>
      </c>
      <c r="H163" s="4"/>
      <c r="I163" s="4" t="s">
        <v>936</v>
      </c>
      <c r="J163" s="4"/>
      <c r="K163" s="4" t="s">
        <v>932</v>
      </c>
      <c r="L163" s="4"/>
      <c r="M163" s="4" t="s">
        <v>933</v>
      </c>
      <c r="N163" s="4"/>
      <c r="O163" s="4" t="s">
        <v>938</v>
      </c>
      <c r="P163" s="4"/>
      <c r="Q163" s="4" t="s">
        <v>942</v>
      </c>
      <c r="R163" s="4"/>
      <c r="S163" s="4" t="s">
        <v>940</v>
      </c>
      <c r="T163" s="4">
        <v>0</v>
      </c>
      <c r="U163" s="4">
        <v>0</v>
      </c>
      <c r="V163" s="4">
        <v>0</v>
      </c>
      <c r="W163" s="4">
        <v>0</v>
      </c>
      <c r="X163" s="4" t="s">
        <v>937</v>
      </c>
      <c r="Y163" s="4"/>
      <c r="Z163" s="4"/>
      <c r="AA163" s="41" t="s">
        <v>857</v>
      </c>
      <c r="AB163" s="42" t="s">
        <v>263</v>
      </c>
      <c r="AC163" s="43" t="s">
        <v>58</v>
      </c>
      <c r="AD163" s="43">
        <v>40000000</v>
      </c>
      <c r="AE163" s="44">
        <v>0</v>
      </c>
      <c r="AF163" s="44">
        <v>0</v>
      </c>
      <c r="AG163" s="44">
        <v>0</v>
      </c>
      <c r="AH163" s="44">
        <v>0</v>
      </c>
      <c r="AI163" s="44">
        <v>0</v>
      </c>
      <c r="AJ163" s="43">
        <v>40000000</v>
      </c>
      <c r="AK163" s="44">
        <v>0</v>
      </c>
      <c r="AL163" s="44">
        <f>AM163-AGOSTO!AM162</f>
        <v>0</v>
      </c>
      <c r="AM163" s="44">
        <v>0</v>
      </c>
      <c r="AN163" s="44">
        <v>0</v>
      </c>
      <c r="AO163" s="44">
        <v>0</v>
      </c>
      <c r="AP163" s="44">
        <v>0</v>
      </c>
      <c r="AQ163" s="44">
        <v>0</v>
      </c>
      <c r="AR163" s="44">
        <v>0</v>
      </c>
      <c r="AS163" s="44">
        <v>0</v>
      </c>
      <c r="AT163" s="40">
        <f t="shared" si="98"/>
        <v>0</v>
      </c>
      <c r="AU163" s="18">
        <f t="shared" si="99"/>
        <v>40000000</v>
      </c>
      <c r="AV163" s="34">
        <f t="shared" si="100"/>
        <v>0</v>
      </c>
      <c r="AW163" s="34">
        <f t="shared" si="101"/>
        <v>0</v>
      </c>
      <c r="AX163" s="32">
        <f t="shared" si="103"/>
        <v>0</v>
      </c>
    </row>
    <row r="164" spans="1:50" ht="18.75" customHeight="1" x14ac:dyDescent="0.2">
      <c r="A164" s="19" t="s">
        <v>49</v>
      </c>
      <c r="B164" s="19" t="s">
        <v>50</v>
      </c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26" t="s">
        <v>856</v>
      </c>
      <c r="AB164" s="21" t="s">
        <v>264</v>
      </c>
      <c r="AC164" s="22" t="s">
        <v>37</v>
      </c>
      <c r="AD164" s="22">
        <f>AD165</f>
        <v>58452467165</v>
      </c>
      <c r="AE164" s="22">
        <f t="shared" ref="AE164:AW164" si="107">AE165</f>
        <v>5987472683.25</v>
      </c>
      <c r="AF164" s="23">
        <f t="shared" si="107"/>
        <v>0</v>
      </c>
      <c r="AG164" s="23">
        <f t="shared" si="107"/>
        <v>0</v>
      </c>
      <c r="AH164" s="22">
        <f t="shared" si="107"/>
        <v>22838220315.34</v>
      </c>
      <c r="AI164" s="22">
        <f t="shared" si="107"/>
        <v>-16850747632.09</v>
      </c>
      <c r="AJ164" s="22">
        <f>AJ165</f>
        <v>41601719532.910004</v>
      </c>
      <c r="AK164" s="23">
        <f t="shared" si="107"/>
        <v>0</v>
      </c>
      <c r="AL164" s="22">
        <f t="shared" si="107"/>
        <v>1595950740.3899999</v>
      </c>
      <c r="AM164" s="22">
        <f t="shared" si="107"/>
        <v>29087900420.68</v>
      </c>
      <c r="AN164" s="23">
        <f t="shared" si="107"/>
        <v>0</v>
      </c>
      <c r="AO164" s="22">
        <f t="shared" si="107"/>
        <v>596186967.30999994</v>
      </c>
      <c r="AP164" s="22">
        <f t="shared" si="107"/>
        <v>27802927240.68</v>
      </c>
      <c r="AQ164" s="23">
        <f t="shared" si="107"/>
        <v>72107173.290000007</v>
      </c>
      <c r="AR164" s="22">
        <f t="shared" si="107"/>
        <v>591351968.31999993</v>
      </c>
      <c r="AS164" s="22">
        <f t="shared" si="107"/>
        <v>27645696071.529999</v>
      </c>
      <c r="AT164" s="22">
        <f t="shared" si="98"/>
        <v>27717803244.82</v>
      </c>
      <c r="AU164" s="22">
        <f t="shared" si="107"/>
        <v>12513819112.23</v>
      </c>
      <c r="AV164" s="108">
        <f t="shared" si="107"/>
        <v>1284973180.0000002</v>
      </c>
      <c r="AW164" s="22">
        <f t="shared" si="107"/>
        <v>85123995.860000134</v>
      </c>
      <c r="AX164" s="24">
        <f t="shared" si="103"/>
        <v>0.66831197250598862</v>
      </c>
    </row>
    <row r="165" spans="1:50" ht="18.75" customHeight="1" x14ac:dyDescent="0.2">
      <c r="A165" s="19" t="s">
        <v>55</v>
      </c>
      <c r="B165" s="19" t="s">
        <v>56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26" t="s">
        <v>855</v>
      </c>
      <c r="AB165" s="21" t="s">
        <v>265</v>
      </c>
      <c r="AC165" s="22" t="s">
        <v>37</v>
      </c>
      <c r="AD165" s="22">
        <f>AD166+AD176+AD181+AD171+AD180</f>
        <v>58452467165</v>
      </c>
      <c r="AE165" s="22">
        <f t="shared" ref="AE165:AW165" si="108">AE166+AE176+AE181+AE171+AE180</f>
        <v>5987472683.25</v>
      </c>
      <c r="AF165" s="23">
        <f t="shared" si="108"/>
        <v>0</v>
      </c>
      <c r="AG165" s="23">
        <f t="shared" si="108"/>
        <v>0</v>
      </c>
      <c r="AH165" s="22">
        <f t="shared" si="108"/>
        <v>22838220315.34</v>
      </c>
      <c r="AI165" s="22">
        <f t="shared" si="108"/>
        <v>-16850747632.09</v>
      </c>
      <c r="AJ165" s="22">
        <f t="shared" si="108"/>
        <v>41601719532.910004</v>
      </c>
      <c r="AK165" s="23">
        <f t="shared" si="108"/>
        <v>0</v>
      </c>
      <c r="AL165" s="22">
        <f t="shared" si="108"/>
        <v>1595950740.3899999</v>
      </c>
      <c r="AM165" s="22">
        <f t="shared" si="108"/>
        <v>29087900420.68</v>
      </c>
      <c r="AN165" s="23">
        <f t="shared" si="108"/>
        <v>0</v>
      </c>
      <c r="AO165" s="22">
        <f t="shared" si="108"/>
        <v>596186967.30999994</v>
      </c>
      <c r="AP165" s="22">
        <f t="shared" si="108"/>
        <v>27802927240.68</v>
      </c>
      <c r="AQ165" s="23">
        <f t="shared" si="108"/>
        <v>72107173.290000007</v>
      </c>
      <c r="AR165" s="22">
        <f t="shared" si="108"/>
        <v>591351968.31999993</v>
      </c>
      <c r="AS165" s="22">
        <f t="shared" si="108"/>
        <v>27645696071.529999</v>
      </c>
      <c r="AT165" s="22">
        <f t="shared" si="108"/>
        <v>27717803244.82</v>
      </c>
      <c r="AU165" s="22">
        <f t="shared" si="108"/>
        <v>12513819112.23</v>
      </c>
      <c r="AV165" s="22">
        <f t="shared" si="108"/>
        <v>1284973180.0000002</v>
      </c>
      <c r="AW165" s="22">
        <f t="shared" si="108"/>
        <v>85123995.860000134</v>
      </c>
      <c r="AX165" s="24">
        <f t="shared" si="103"/>
        <v>0.66831197250598862</v>
      </c>
    </row>
    <row r="166" spans="1:50" ht="18.75" customHeight="1" x14ac:dyDescent="0.2">
      <c r="A166" s="19" t="s">
        <v>37</v>
      </c>
      <c r="B166" s="19" t="s">
        <v>37</v>
      </c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26" t="s">
        <v>854</v>
      </c>
      <c r="AB166" s="21" t="s">
        <v>266</v>
      </c>
      <c r="AC166" s="22" t="s">
        <v>37</v>
      </c>
      <c r="AD166" s="22">
        <f>AD167</f>
        <v>28000000000.57</v>
      </c>
      <c r="AE166" s="23">
        <f t="shared" ref="AE166:AW169" si="109">AE167</f>
        <v>0</v>
      </c>
      <c r="AF166" s="23">
        <f t="shared" si="109"/>
        <v>0</v>
      </c>
      <c r="AG166" s="23">
        <f t="shared" si="109"/>
        <v>0</v>
      </c>
      <c r="AH166" s="22">
        <f t="shared" si="109"/>
        <v>15771684621.610001</v>
      </c>
      <c r="AI166" s="22">
        <f t="shared" si="109"/>
        <v>-15771684621.610001</v>
      </c>
      <c r="AJ166" s="22">
        <f t="shared" si="109"/>
        <v>12228315378.959999</v>
      </c>
      <c r="AK166" s="23">
        <f t="shared" si="109"/>
        <v>0</v>
      </c>
      <c r="AL166" s="22">
        <f t="shared" si="109"/>
        <v>24771618</v>
      </c>
      <c r="AM166" s="22">
        <f t="shared" si="109"/>
        <v>11413500786.42</v>
      </c>
      <c r="AN166" s="23">
        <f t="shared" si="109"/>
        <v>0</v>
      </c>
      <c r="AO166" s="22">
        <f t="shared" si="109"/>
        <v>24771618</v>
      </c>
      <c r="AP166" s="22">
        <f t="shared" si="109"/>
        <v>11413500786.42</v>
      </c>
      <c r="AQ166" s="23">
        <f t="shared" si="109"/>
        <v>0</v>
      </c>
      <c r="AR166" s="23">
        <f t="shared" si="109"/>
        <v>24771618</v>
      </c>
      <c r="AS166" s="22">
        <f t="shared" si="109"/>
        <v>11413500786.42</v>
      </c>
      <c r="AT166" s="22">
        <f t="shared" si="98"/>
        <v>11413500786.42</v>
      </c>
      <c r="AU166" s="22">
        <f t="shared" si="109"/>
        <v>814814592.53999901</v>
      </c>
      <c r="AV166" s="23">
        <f t="shared" si="109"/>
        <v>0</v>
      </c>
      <c r="AW166" s="23">
        <f t="shared" si="109"/>
        <v>0</v>
      </c>
      <c r="AX166" s="24">
        <f t="shared" si="103"/>
        <v>0.93336657035015902</v>
      </c>
    </row>
    <row r="167" spans="1:50" ht="18.75" customHeight="1" x14ac:dyDescent="0.2">
      <c r="A167" s="27" t="s">
        <v>37</v>
      </c>
      <c r="B167" s="27" t="s">
        <v>37</v>
      </c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8" t="s">
        <v>853</v>
      </c>
      <c r="AB167" s="29" t="s">
        <v>267</v>
      </c>
      <c r="AC167" s="30" t="s">
        <v>37</v>
      </c>
      <c r="AD167" s="30">
        <f>AD168</f>
        <v>28000000000.57</v>
      </c>
      <c r="AE167" s="31">
        <f t="shared" si="109"/>
        <v>0</v>
      </c>
      <c r="AF167" s="31">
        <f t="shared" si="109"/>
        <v>0</v>
      </c>
      <c r="AG167" s="31">
        <f t="shared" si="109"/>
        <v>0</v>
      </c>
      <c r="AH167" s="30">
        <f t="shared" si="109"/>
        <v>15771684621.610001</v>
      </c>
      <c r="AI167" s="30">
        <f t="shared" si="109"/>
        <v>-15771684621.610001</v>
      </c>
      <c r="AJ167" s="30">
        <f t="shared" si="109"/>
        <v>12228315378.959999</v>
      </c>
      <c r="AK167" s="31">
        <f t="shared" si="109"/>
        <v>0</v>
      </c>
      <c r="AL167" s="30">
        <f t="shared" si="109"/>
        <v>24771618</v>
      </c>
      <c r="AM167" s="30">
        <f t="shared" si="109"/>
        <v>11413500786.42</v>
      </c>
      <c r="AN167" s="31">
        <f t="shared" si="109"/>
        <v>0</v>
      </c>
      <c r="AO167" s="30">
        <f t="shared" si="109"/>
        <v>24771618</v>
      </c>
      <c r="AP167" s="30">
        <f t="shared" si="109"/>
        <v>11413500786.42</v>
      </c>
      <c r="AQ167" s="31">
        <f t="shared" si="109"/>
        <v>0</v>
      </c>
      <c r="AR167" s="31">
        <f t="shared" si="109"/>
        <v>24771618</v>
      </c>
      <c r="AS167" s="30">
        <f t="shared" si="109"/>
        <v>11413500786.42</v>
      </c>
      <c r="AT167" s="30">
        <f t="shared" si="98"/>
        <v>11413500786.42</v>
      </c>
      <c r="AU167" s="18">
        <f>AJ167-AM167</f>
        <v>814814592.53999901</v>
      </c>
      <c r="AV167" s="34">
        <f>AM167-AP167</f>
        <v>0</v>
      </c>
      <c r="AW167" s="34">
        <f>AP167-AT167</f>
        <v>0</v>
      </c>
      <c r="AX167" s="32">
        <f t="shared" si="103"/>
        <v>0.93336657035015902</v>
      </c>
    </row>
    <row r="168" spans="1:50" ht="18.75" customHeight="1" x14ac:dyDescent="0.2">
      <c r="A168" s="27" t="s">
        <v>37</v>
      </c>
      <c r="B168" s="27" t="s">
        <v>37</v>
      </c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8" t="s">
        <v>852</v>
      </c>
      <c r="AB168" s="29" t="s">
        <v>268</v>
      </c>
      <c r="AC168" s="30" t="s">
        <v>37</v>
      </c>
      <c r="AD168" s="30">
        <f>AD169</f>
        <v>28000000000.57</v>
      </c>
      <c r="AE168" s="31">
        <f t="shared" si="109"/>
        <v>0</v>
      </c>
      <c r="AF168" s="31">
        <f t="shared" si="109"/>
        <v>0</v>
      </c>
      <c r="AG168" s="31">
        <f t="shared" si="109"/>
        <v>0</v>
      </c>
      <c r="AH168" s="30">
        <f t="shared" si="109"/>
        <v>15771684621.610001</v>
      </c>
      <c r="AI168" s="30">
        <f t="shared" si="109"/>
        <v>-15771684621.610001</v>
      </c>
      <c r="AJ168" s="30">
        <f t="shared" si="109"/>
        <v>12228315378.959999</v>
      </c>
      <c r="AK168" s="31">
        <f t="shared" si="109"/>
        <v>0</v>
      </c>
      <c r="AL168" s="30">
        <f t="shared" si="109"/>
        <v>24771618</v>
      </c>
      <c r="AM168" s="30">
        <f t="shared" si="109"/>
        <v>11413500786.42</v>
      </c>
      <c r="AN168" s="31">
        <f t="shared" si="109"/>
        <v>0</v>
      </c>
      <c r="AO168" s="30">
        <f t="shared" si="109"/>
        <v>24771618</v>
      </c>
      <c r="AP168" s="30">
        <f t="shared" si="109"/>
        <v>11413500786.42</v>
      </c>
      <c r="AQ168" s="31">
        <f t="shared" si="109"/>
        <v>0</v>
      </c>
      <c r="AR168" s="31">
        <f t="shared" si="109"/>
        <v>24771618</v>
      </c>
      <c r="AS168" s="30">
        <f t="shared" si="109"/>
        <v>11413500786.42</v>
      </c>
      <c r="AT168" s="30">
        <f t="shared" si="98"/>
        <v>11413500786.42</v>
      </c>
      <c r="AU168" s="18">
        <f>AJ168-AM168</f>
        <v>814814592.53999901</v>
      </c>
      <c r="AV168" s="34">
        <f>AM168-AP168</f>
        <v>0</v>
      </c>
      <c r="AW168" s="34">
        <f>AP168-AT168</f>
        <v>0</v>
      </c>
      <c r="AX168" s="32">
        <f t="shared" si="103"/>
        <v>0.93336657035015902</v>
      </c>
    </row>
    <row r="169" spans="1:50" ht="18.75" customHeight="1" x14ac:dyDescent="0.2">
      <c r="A169" s="27" t="s">
        <v>37</v>
      </c>
      <c r="B169" s="27" t="s">
        <v>37</v>
      </c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8" t="s">
        <v>851</v>
      </c>
      <c r="AB169" s="29" t="s">
        <v>269</v>
      </c>
      <c r="AC169" s="30" t="s">
        <v>37</v>
      </c>
      <c r="AD169" s="30">
        <f>AD170</f>
        <v>28000000000.57</v>
      </c>
      <c r="AE169" s="31">
        <f t="shared" si="109"/>
        <v>0</v>
      </c>
      <c r="AF169" s="31">
        <f t="shared" si="109"/>
        <v>0</v>
      </c>
      <c r="AG169" s="31">
        <f t="shared" si="109"/>
        <v>0</v>
      </c>
      <c r="AH169" s="30">
        <f t="shared" si="109"/>
        <v>15771684621.610001</v>
      </c>
      <c r="AI169" s="30">
        <f t="shared" si="109"/>
        <v>-15771684621.610001</v>
      </c>
      <c r="AJ169" s="30">
        <f t="shared" si="109"/>
        <v>12228315378.959999</v>
      </c>
      <c r="AK169" s="31">
        <f t="shared" si="109"/>
        <v>0</v>
      </c>
      <c r="AL169" s="30">
        <f t="shared" si="109"/>
        <v>24771618</v>
      </c>
      <c r="AM169" s="30">
        <f t="shared" si="109"/>
        <v>11413500786.42</v>
      </c>
      <c r="AN169" s="31">
        <f t="shared" si="109"/>
        <v>0</v>
      </c>
      <c r="AO169" s="30">
        <f t="shared" si="109"/>
        <v>24771618</v>
      </c>
      <c r="AP169" s="30">
        <f t="shared" si="109"/>
        <v>11413500786.42</v>
      </c>
      <c r="AQ169" s="31">
        <f t="shared" si="109"/>
        <v>0</v>
      </c>
      <c r="AR169" s="31">
        <f t="shared" si="109"/>
        <v>24771618</v>
      </c>
      <c r="AS169" s="30">
        <f t="shared" si="109"/>
        <v>11413500786.42</v>
      </c>
      <c r="AT169" s="30">
        <f t="shared" si="98"/>
        <v>11413500786.42</v>
      </c>
      <c r="AU169" s="18">
        <f>AJ169-AM169</f>
        <v>814814592.53999901</v>
      </c>
      <c r="AV169" s="34">
        <f>AM169-AP169</f>
        <v>0</v>
      </c>
      <c r="AW169" s="34">
        <f>AP169-AT169</f>
        <v>0</v>
      </c>
      <c r="AX169" s="32">
        <f t="shared" si="103"/>
        <v>0.93336657035015902</v>
      </c>
    </row>
    <row r="170" spans="1:50" ht="18.75" customHeight="1" x14ac:dyDescent="0.2">
      <c r="A170" s="4" t="s">
        <v>55</v>
      </c>
      <c r="B170" s="4" t="s">
        <v>56</v>
      </c>
      <c r="C170" s="4"/>
      <c r="D170" s="4" t="s">
        <v>947</v>
      </c>
      <c r="E170" s="4"/>
      <c r="F170" s="4"/>
      <c r="G170" s="4" t="s">
        <v>41</v>
      </c>
      <c r="H170" s="4"/>
      <c r="I170" s="4" t="s">
        <v>936</v>
      </c>
      <c r="J170" s="4"/>
      <c r="K170" s="4" t="s">
        <v>932</v>
      </c>
      <c r="L170" s="4"/>
      <c r="M170" s="4" t="s">
        <v>933</v>
      </c>
      <c r="N170" s="4"/>
      <c r="O170" s="4" t="s">
        <v>934</v>
      </c>
      <c r="P170" s="4"/>
      <c r="Q170" s="4" t="s">
        <v>935</v>
      </c>
      <c r="R170" s="4"/>
      <c r="S170" s="4" t="s">
        <v>940</v>
      </c>
      <c r="T170" s="4">
        <v>0</v>
      </c>
      <c r="U170" s="4">
        <v>0</v>
      </c>
      <c r="V170" s="4">
        <v>0</v>
      </c>
      <c r="W170" s="4"/>
      <c r="X170" s="4" t="s">
        <v>937</v>
      </c>
      <c r="Y170" s="4"/>
      <c r="Z170" s="4"/>
      <c r="AA170" s="41" t="s">
        <v>850</v>
      </c>
      <c r="AB170" s="42" t="s">
        <v>269</v>
      </c>
      <c r="AC170" s="43" t="s">
        <v>58</v>
      </c>
      <c r="AD170" s="43">
        <v>28000000000.57</v>
      </c>
      <c r="AE170" s="44">
        <v>0</v>
      </c>
      <c r="AF170" s="44">
        <v>0</v>
      </c>
      <c r="AG170" s="44">
        <v>0</v>
      </c>
      <c r="AH170" s="43">
        <v>15771684621.610001</v>
      </c>
      <c r="AI170" s="18">
        <f>AE170-AF170+AG170-AH170</f>
        <v>-15771684621.610001</v>
      </c>
      <c r="AJ170" s="18">
        <f>AD170+AI170</f>
        <v>12228315378.959999</v>
      </c>
      <c r="AK170" s="44">
        <v>0</v>
      </c>
      <c r="AL170" s="43">
        <v>24771618</v>
      </c>
      <c r="AM170" s="43">
        <v>11413500786.42</v>
      </c>
      <c r="AN170" s="44">
        <v>0</v>
      </c>
      <c r="AO170" s="43">
        <v>24771618</v>
      </c>
      <c r="AP170" s="43">
        <v>11413500786.42</v>
      </c>
      <c r="AQ170" s="44">
        <v>0</v>
      </c>
      <c r="AR170" s="44">
        <v>24771618</v>
      </c>
      <c r="AS170" s="43">
        <v>11413500786.42</v>
      </c>
      <c r="AT170" s="39">
        <f t="shared" si="98"/>
        <v>11413500786.42</v>
      </c>
      <c r="AU170" s="18">
        <f>AJ170-AM170</f>
        <v>814814592.53999901</v>
      </c>
      <c r="AV170" s="34">
        <f>AM170-AP170</f>
        <v>0</v>
      </c>
      <c r="AW170" s="34">
        <f>AP170-AT170</f>
        <v>0</v>
      </c>
      <c r="AX170" s="32">
        <f t="shared" si="103"/>
        <v>0.93336657035015902</v>
      </c>
    </row>
    <row r="171" spans="1:50" ht="18.75" customHeight="1" x14ac:dyDescent="0.2">
      <c r="A171" s="19" t="s">
        <v>37</v>
      </c>
      <c r="B171" s="19" t="s">
        <v>37</v>
      </c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26" t="s">
        <v>270</v>
      </c>
      <c r="AB171" s="21" t="s">
        <v>271</v>
      </c>
      <c r="AC171" s="22" t="s">
        <v>37</v>
      </c>
      <c r="AD171" s="22">
        <f>AD172</f>
        <v>21500000000</v>
      </c>
      <c r="AE171" s="23">
        <f t="shared" ref="AE171:AW174" si="110">AE172</f>
        <v>0</v>
      </c>
      <c r="AF171" s="23">
        <f t="shared" si="110"/>
        <v>0</v>
      </c>
      <c r="AG171" s="23">
        <f t="shared" si="110"/>
        <v>0</v>
      </c>
      <c r="AH171" s="22">
        <f t="shared" si="110"/>
        <v>7066535693.7299995</v>
      </c>
      <c r="AI171" s="22">
        <f t="shared" si="110"/>
        <v>-7066535693.7299995</v>
      </c>
      <c r="AJ171" s="22">
        <f t="shared" si="110"/>
        <v>14433464306.27</v>
      </c>
      <c r="AK171" s="23">
        <f t="shared" si="110"/>
        <v>0</v>
      </c>
      <c r="AL171" s="22">
        <f t="shared" si="110"/>
        <v>268742954.94999999</v>
      </c>
      <c r="AM171" s="22">
        <f t="shared" si="110"/>
        <v>12008913034.34</v>
      </c>
      <c r="AN171" s="23">
        <f t="shared" si="110"/>
        <v>0</v>
      </c>
      <c r="AO171" s="22">
        <f t="shared" si="110"/>
        <v>268742954.94999999</v>
      </c>
      <c r="AP171" s="22">
        <f t="shared" si="110"/>
        <v>12008913034.34</v>
      </c>
      <c r="AQ171" s="23">
        <f t="shared" si="110"/>
        <v>0</v>
      </c>
      <c r="AR171" s="22">
        <f t="shared" si="110"/>
        <v>268742954.94999999</v>
      </c>
      <c r="AS171" s="22">
        <f t="shared" si="110"/>
        <v>12008913034.34</v>
      </c>
      <c r="AT171" s="22">
        <f t="shared" si="110"/>
        <v>12008913034.34</v>
      </c>
      <c r="AU171" s="22">
        <f t="shared" si="110"/>
        <v>2424551271.9300003</v>
      </c>
      <c r="AV171" s="23">
        <f t="shared" si="110"/>
        <v>0</v>
      </c>
      <c r="AW171" s="23">
        <f t="shared" si="110"/>
        <v>0</v>
      </c>
      <c r="AX171" s="24">
        <f t="shared" si="103"/>
        <v>0.83201875721016205</v>
      </c>
    </row>
    <row r="172" spans="1:50" ht="18.75" customHeight="1" x14ac:dyDescent="0.2">
      <c r="A172" s="27" t="s">
        <v>37</v>
      </c>
      <c r="B172" s="27" t="s">
        <v>37</v>
      </c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8" t="s">
        <v>849</v>
      </c>
      <c r="AB172" s="29" t="s">
        <v>272</v>
      </c>
      <c r="AC172" s="30" t="s">
        <v>56</v>
      </c>
      <c r="AD172" s="30">
        <f>AD173</f>
        <v>21500000000</v>
      </c>
      <c r="AE172" s="31">
        <f t="shared" si="110"/>
        <v>0</v>
      </c>
      <c r="AF172" s="31">
        <f t="shared" si="110"/>
        <v>0</v>
      </c>
      <c r="AG172" s="31">
        <f t="shared" si="110"/>
        <v>0</v>
      </c>
      <c r="AH172" s="30">
        <f t="shared" si="110"/>
        <v>7066535693.7299995</v>
      </c>
      <c r="AI172" s="30">
        <f t="shared" si="110"/>
        <v>-7066535693.7299995</v>
      </c>
      <c r="AJ172" s="30">
        <f t="shared" si="110"/>
        <v>14433464306.27</v>
      </c>
      <c r="AK172" s="31">
        <f t="shared" si="110"/>
        <v>0</v>
      </c>
      <c r="AL172" s="30">
        <f t="shared" si="110"/>
        <v>268742954.94999999</v>
      </c>
      <c r="AM172" s="30">
        <f t="shared" si="110"/>
        <v>12008913034.34</v>
      </c>
      <c r="AN172" s="31">
        <f t="shared" si="110"/>
        <v>0</v>
      </c>
      <c r="AO172" s="30">
        <f t="shared" si="110"/>
        <v>268742954.94999999</v>
      </c>
      <c r="AP172" s="30">
        <f t="shared" si="110"/>
        <v>12008913034.34</v>
      </c>
      <c r="AQ172" s="31">
        <f t="shared" si="110"/>
        <v>0</v>
      </c>
      <c r="AR172" s="30">
        <f t="shared" si="110"/>
        <v>268742954.94999999</v>
      </c>
      <c r="AS172" s="30">
        <f t="shared" si="110"/>
        <v>12008913034.34</v>
      </c>
      <c r="AT172" s="30">
        <f t="shared" ref="AT172:AT175" si="111">AQ172+AS172</f>
        <v>12008913034.34</v>
      </c>
      <c r="AU172" s="18">
        <f>AJ172-AM172</f>
        <v>2424551271.9300003</v>
      </c>
      <c r="AV172" s="34">
        <f>AM172-AP172</f>
        <v>0</v>
      </c>
      <c r="AW172" s="34">
        <f>AP172-AT172</f>
        <v>0</v>
      </c>
      <c r="AX172" s="32">
        <f t="shared" si="103"/>
        <v>0.83201875721016205</v>
      </c>
    </row>
    <row r="173" spans="1:50" ht="18.75" customHeight="1" x14ac:dyDescent="0.2">
      <c r="A173" s="27" t="s">
        <v>37</v>
      </c>
      <c r="B173" s="27" t="s">
        <v>37</v>
      </c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8" t="s">
        <v>848</v>
      </c>
      <c r="AB173" s="29" t="s">
        <v>268</v>
      </c>
      <c r="AC173" s="30" t="s">
        <v>37</v>
      </c>
      <c r="AD173" s="30">
        <f>AD174</f>
        <v>21500000000</v>
      </c>
      <c r="AE173" s="31">
        <f t="shared" si="110"/>
        <v>0</v>
      </c>
      <c r="AF173" s="31">
        <f t="shared" si="110"/>
        <v>0</v>
      </c>
      <c r="AG173" s="31">
        <f t="shared" si="110"/>
        <v>0</v>
      </c>
      <c r="AH173" s="30">
        <f t="shared" si="110"/>
        <v>7066535693.7299995</v>
      </c>
      <c r="AI173" s="30">
        <f t="shared" si="110"/>
        <v>-7066535693.7299995</v>
      </c>
      <c r="AJ173" s="30">
        <f t="shared" si="110"/>
        <v>14433464306.27</v>
      </c>
      <c r="AK173" s="31">
        <f t="shared" si="110"/>
        <v>0</v>
      </c>
      <c r="AL173" s="30">
        <f t="shared" si="110"/>
        <v>268742954.94999999</v>
      </c>
      <c r="AM173" s="30">
        <f t="shared" si="110"/>
        <v>12008913034.34</v>
      </c>
      <c r="AN173" s="31">
        <f t="shared" si="110"/>
        <v>0</v>
      </c>
      <c r="AO173" s="30">
        <f t="shared" si="110"/>
        <v>268742954.94999999</v>
      </c>
      <c r="AP173" s="30">
        <f t="shared" si="110"/>
        <v>12008913034.34</v>
      </c>
      <c r="AQ173" s="31">
        <f t="shared" si="110"/>
        <v>0</v>
      </c>
      <c r="AR173" s="30">
        <f t="shared" si="110"/>
        <v>268742954.94999999</v>
      </c>
      <c r="AS173" s="30">
        <f t="shared" si="110"/>
        <v>12008913034.34</v>
      </c>
      <c r="AT173" s="30">
        <f t="shared" si="111"/>
        <v>12008913034.34</v>
      </c>
      <c r="AU173" s="18">
        <f>AJ173-AM173</f>
        <v>2424551271.9300003</v>
      </c>
      <c r="AV173" s="34">
        <f>AM173-AP173</f>
        <v>0</v>
      </c>
      <c r="AW173" s="34">
        <f>AP173-AT173</f>
        <v>0</v>
      </c>
      <c r="AX173" s="32">
        <f t="shared" si="103"/>
        <v>0.83201875721016205</v>
      </c>
    </row>
    <row r="174" spans="1:50" ht="18.75" customHeight="1" x14ac:dyDescent="0.2">
      <c r="A174" s="27" t="s">
        <v>37</v>
      </c>
      <c r="B174" s="27" t="s">
        <v>37</v>
      </c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8" t="s">
        <v>847</v>
      </c>
      <c r="AB174" s="29" t="s">
        <v>269</v>
      </c>
      <c r="AC174" s="30" t="s">
        <v>37</v>
      </c>
      <c r="AD174" s="30">
        <f>AD175</f>
        <v>21500000000</v>
      </c>
      <c r="AE174" s="31">
        <f t="shared" si="110"/>
        <v>0</v>
      </c>
      <c r="AF174" s="31">
        <f t="shared" si="110"/>
        <v>0</v>
      </c>
      <c r="AG174" s="31">
        <f t="shared" si="110"/>
        <v>0</v>
      </c>
      <c r="AH174" s="30">
        <f t="shared" si="110"/>
        <v>7066535693.7299995</v>
      </c>
      <c r="AI174" s="30">
        <f t="shared" si="110"/>
        <v>-7066535693.7299995</v>
      </c>
      <c r="AJ174" s="30">
        <f t="shared" si="110"/>
        <v>14433464306.27</v>
      </c>
      <c r="AK174" s="31">
        <f t="shared" si="110"/>
        <v>0</v>
      </c>
      <c r="AL174" s="30">
        <f t="shared" si="110"/>
        <v>268742954.94999999</v>
      </c>
      <c r="AM174" s="30">
        <f t="shared" si="110"/>
        <v>12008913034.34</v>
      </c>
      <c r="AN174" s="31">
        <f t="shared" si="110"/>
        <v>0</v>
      </c>
      <c r="AO174" s="30">
        <f t="shared" si="110"/>
        <v>268742954.94999999</v>
      </c>
      <c r="AP174" s="30">
        <f t="shared" si="110"/>
        <v>12008913034.34</v>
      </c>
      <c r="AQ174" s="31">
        <f t="shared" si="110"/>
        <v>0</v>
      </c>
      <c r="AR174" s="30">
        <f t="shared" si="110"/>
        <v>268742954.94999999</v>
      </c>
      <c r="AS174" s="30">
        <f t="shared" si="110"/>
        <v>12008913034.34</v>
      </c>
      <c r="AT174" s="30">
        <f t="shared" si="111"/>
        <v>12008913034.34</v>
      </c>
      <c r="AU174" s="18">
        <f>AJ174-AM174</f>
        <v>2424551271.9300003</v>
      </c>
      <c r="AV174" s="34">
        <f>AM174-AP174</f>
        <v>0</v>
      </c>
      <c r="AW174" s="34">
        <f>AP174-AT174</f>
        <v>0</v>
      </c>
      <c r="AX174" s="32">
        <f t="shared" si="103"/>
        <v>0.83201875721016205</v>
      </c>
    </row>
    <row r="175" spans="1:50" ht="18.75" customHeight="1" x14ac:dyDescent="0.2">
      <c r="A175" s="4" t="s">
        <v>55</v>
      </c>
      <c r="B175" s="4" t="s">
        <v>56</v>
      </c>
      <c r="C175" s="4"/>
      <c r="D175" s="4" t="s">
        <v>947</v>
      </c>
      <c r="E175" s="4"/>
      <c r="F175" s="4"/>
      <c r="G175" s="4" t="s">
        <v>41</v>
      </c>
      <c r="H175" s="4"/>
      <c r="I175" s="4" t="s">
        <v>936</v>
      </c>
      <c r="J175" s="4"/>
      <c r="K175" s="4" t="s">
        <v>932</v>
      </c>
      <c r="L175" s="4"/>
      <c r="M175" s="4" t="s">
        <v>933</v>
      </c>
      <c r="N175" s="4"/>
      <c r="O175" s="4" t="s">
        <v>934</v>
      </c>
      <c r="P175" s="4"/>
      <c r="Q175" s="4" t="s">
        <v>935</v>
      </c>
      <c r="R175" s="4"/>
      <c r="S175" s="4" t="s">
        <v>940</v>
      </c>
      <c r="T175" s="4">
        <v>0</v>
      </c>
      <c r="U175" s="4">
        <v>0</v>
      </c>
      <c r="V175" s="4">
        <v>0</v>
      </c>
      <c r="W175" s="4"/>
      <c r="X175" s="4" t="s">
        <v>937</v>
      </c>
      <c r="Y175" s="4"/>
      <c r="Z175" s="4"/>
      <c r="AA175" s="41" t="s">
        <v>846</v>
      </c>
      <c r="AB175" s="42" t="s">
        <v>269</v>
      </c>
      <c r="AC175" s="43" t="s">
        <v>58</v>
      </c>
      <c r="AD175" s="43">
        <v>21500000000</v>
      </c>
      <c r="AE175" s="44">
        <v>0</v>
      </c>
      <c r="AF175" s="44">
        <v>0</v>
      </c>
      <c r="AG175" s="44">
        <v>0</v>
      </c>
      <c r="AH175" s="43">
        <v>7066535693.7299995</v>
      </c>
      <c r="AI175" s="18">
        <f>AE175-AF175+AG175-AH175</f>
        <v>-7066535693.7299995</v>
      </c>
      <c r="AJ175" s="18">
        <f>AD175+AI175</f>
        <v>14433464306.27</v>
      </c>
      <c r="AK175" s="44">
        <v>0</v>
      </c>
      <c r="AL175" s="43">
        <v>268742954.94999999</v>
      </c>
      <c r="AM175" s="43">
        <v>12008913034.34</v>
      </c>
      <c r="AN175" s="44">
        <v>0</v>
      </c>
      <c r="AO175" s="43">
        <v>268742954.94999999</v>
      </c>
      <c r="AP175" s="43">
        <v>12008913034.34</v>
      </c>
      <c r="AQ175" s="44">
        <v>0</v>
      </c>
      <c r="AR175" s="43">
        <v>268742954.94999999</v>
      </c>
      <c r="AS175" s="43">
        <v>12008913034.34</v>
      </c>
      <c r="AT175" s="39">
        <f t="shared" si="111"/>
        <v>12008913034.34</v>
      </c>
      <c r="AU175" s="18">
        <f>AJ175-AM175</f>
        <v>2424551271.9300003</v>
      </c>
      <c r="AV175" s="34">
        <f>AM175-AP175</f>
        <v>0</v>
      </c>
      <c r="AW175" s="34">
        <f>AP175-AT175</f>
        <v>0</v>
      </c>
      <c r="AX175" s="32">
        <f t="shared" si="103"/>
        <v>0.83201875721016205</v>
      </c>
    </row>
    <row r="176" spans="1:50" ht="18.75" customHeight="1" x14ac:dyDescent="0.2">
      <c r="A176" s="19" t="s">
        <v>37</v>
      </c>
      <c r="B176" s="19" t="s">
        <v>37</v>
      </c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26" t="s">
        <v>273</v>
      </c>
      <c r="AB176" s="21" t="s">
        <v>274</v>
      </c>
      <c r="AC176" s="22" t="s">
        <v>37</v>
      </c>
      <c r="AD176" s="22">
        <f>AD177</f>
        <v>200000000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2">
        <f>AJ177</f>
        <v>200000000</v>
      </c>
      <c r="AK176" s="23">
        <f t="shared" ref="AK176:AW178" si="112">AK177</f>
        <v>0</v>
      </c>
      <c r="AL176" s="23">
        <f t="shared" si="112"/>
        <v>0</v>
      </c>
      <c r="AM176" s="23">
        <f t="shared" si="112"/>
        <v>0</v>
      </c>
      <c r="AN176" s="23">
        <f t="shared" si="112"/>
        <v>0</v>
      </c>
      <c r="AO176" s="23">
        <f t="shared" si="112"/>
        <v>0</v>
      </c>
      <c r="AP176" s="23">
        <f t="shared" si="112"/>
        <v>0</v>
      </c>
      <c r="AQ176" s="23">
        <f t="shared" si="112"/>
        <v>0</v>
      </c>
      <c r="AR176" s="23">
        <f t="shared" si="112"/>
        <v>0</v>
      </c>
      <c r="AS176" s="23">
        <f t="shared" si="112"/>
        <v>0</v>
      </c>
      <c r="AT176" s="23">
        <f t="shared" si="112"/>
        <v>0</v>
      </c>
      <c r="AU176" s="22">
        <f t="shared" si="112"/>
        <v>200000000</v>
      </c>
      <c r="AV176" s="23">
        <f t="shared" si="112"/>
        <v>0</v>
      </c>
      <c r="AW176" s="23">
        <f t="shared" si="112"/>
        <v>0</v>
      </c>
      <c r="AX176" s="24">
        <f t="shared" si="103"/>
        <v>0</v>
      </c>
    </row>
    <row r="177" spans="1:50" ht="18.75" customHeight="1" x14ac:dyDescent="0.2">
      <c r="A177" s="27" t="s">
        <v>37</v>
      </c>
      <c r="B177" s="27" t="s">
        <v>37</v>
      </c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8" t="s">
        <v>843</v>
      </c>
      <c r="AB177" s="29" t="s">
        <v>267</v>
      </c>
      <c r="AC177" s="30" t="s">
        <v>37</v>
      </c>
      <c r="AD177" s="30">
        <f>AD178</f>
        <v>200000000</v>
      </c>
      <c r="AE177" s="31">
        <v>0</v>
      </c>
      <c r="AF177" s="31">
        <v>0</v>
      </c>
      <c r="AG177" s="31">
        <v>0</v>
      </c>
      <c r="AH177" s="31">
        <v>0</v>
      </c>
      <c r="AI177" s="31">
        <v>0</v>
      </c>
      <c r="AJ177" s="30">
        <f t="shared" ref="AJ177:AJ178" si="113">AJ178</f>
        <v>200000000</v>
      </c>
      <c r="AK177" s="31">
        <f t="shared" si="112"/>
        <v>0</v>
      </c>
      <c r="AL177" s="31">
        <f t="shared" si="112"/>
        <v>0</v>
      </c>
      <c r="AM177" s="31">
        <f t="shared" si="112"/>
        <v>0</v>
      </c>
      <c r="AN177" s="31">
        <f t="shared" si="112"/>
        <v>0</v>
      </c>
      <c r="AO177" s="31">
        <f t="shared" si="112"/>
        <v>0</v>
      </c>
      <c r="AP177" s="31">
        <f t="shared" si="112"/>
        <v>0</v>
      </c>
      <c r="AQ177" s="31">
        <f t="shared" si="112"/>
        <v>0</v>
      </c>
      <c r="AR177" s="31">
        <f t="shared" si="112"/>
        <v>0</v>
      </c>
      <c r="AS177" s="31">
        <f t="shared" si="112"/>
        <v>0</v>
      </c>
      <c r="AT177" s="40">
        <f t="shared" si="112"/>
        <v>0</v>
      </c>
      <c r="AU177" s="30">
        <f t="shared" si="112"/>
        <v>200000000</v>
      </c>
      <c r="AV177" s="31">
        <f t="shared" si="112"/>
        <v>0</v>
      </c>
      <c r="AW177" s="31">
        <f t="shared" si="112"/>
        <v>0</v>
      </c>
      <c r="AX177" s="32">
        <f t="shared" si="103"/>
        <v>0</v>
      </c>
    </row>
    <row r="178" spans="1:50" ht="18.75" customHeight="1" x14ac:dyDescent="0.2">
      <c r="A178" s="27" t="s">
        <v>37</v>
      </c>
      <c r="B178" s="27" t="s">
        <v>37</v>
      </c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8" t="s">
        <v>845</v>
      </c>
      <c r="AB178" s="29" t="s">
        <v>268</v>
      </c>
      <c r="AC178" s="30" t="s">
        <v>37</v>
      </c>
      <c r="AD178" s="30">
        <f>AD179</f>
        <v>200000000</v>
      </c>
      <c r="AE178" s="31">
        <v>0</v>
      </c>
      <c r="AF178" s="31">
        <v>0</v>
      </c>
      <c r="AG178" s="31">
        <v>0</v>
      </c>
      <c r="AH178" s="31">
        <v>0</v>
      </c>
      <c r="AI178" s="31">
        <v>0</v>
      </c>
      <c r="AJ178" s="30">
        <f t="shared" si="113"/>
        <v>200000000</v>
      </c>
      <c r="AK178" s="31">
        <f t="shared" si="112"/>
        <v>0</v>
      </c>
      <c r="AL178" s="31">
        <f t="shared" si="112"/>
        <v>0</v>
      </c>
      <c r="AM178" s="31">
        <f t="shared" si="112"/>
        <v>0</v>
      </c>
      <c r="AN178" s="31">
        <f t="shared" si="112"/>
        <v>0</v>
      </c>
      <c r="AO178" s="31">
        <f t="shared" si="112"/>
        <v>0</v>
      </c>
      <c r="AP178" s="31">
        <f t="shared" si="112"/>
        <v>0</v>
      </c>
      <c r="AQ178" s="31">
        <f t="shared" si="112"/>
        <v>0</v>
      </c>
      <c r="AR178" s="31">
        <f t="shared" si="112"/>
        <v>0</v>
      </c>
      <c r="AS178" s="31">
        <f t="shared" si="112"/>
        <v>0</v>
      </c>
      <c r="AT178" s="40">
        <f t="shared" si="112"/>
        <v>0</v>
      </c>
      <c r="AU178" s="30">
        <f t="shared" si="112"/>
        <v>200000000</v>
      </c>
      <c r="AV178" s="31">
        <f t="shared" si="112"/>
        <v>0</v>
      </c>
      <c r="AW178" s="31">
        <f t="shared" si="112"/>
        <v>0</v>
      </c>
      <c r="AX178" s="32">
        <f t="shared" si="103"/>
        <v>0</v>
      </c>
    </row>
    <row r="179" spans="1:50" ht="18.75" customHeight="1" x14ac:dyDescent="0.2">
      <c r="A179" s="4" t="s">
        <v>55</v>
      </c>
      <c r="B179" s="4" t="s">
        <v>56</v>
      </c>
      <c r="C179" s="4"/>
      <c r="D179" s="4" t="s">
        <v>947</v>
      </c>
      <c r="E179" s="4"/>
      <c r="F179" s="4"/>
      <c r="G179" s="4" t="s">
        <v>41</v>
      </c>
      <c r="H179" s="4"/>
      <c r="I179" s="4" t="s">
        <v>936</v>
      </c>
      <c r="J179" s="4"/>
      <c r="K179" s="4" t="s">
        <v>932</v>
      </c>
      <c r="L179" s="4"/>
      <c r="M179" s="4" t="s">
        <v>933</v>
      </c>
      <c r="N179" s="4"/>
      <c r="O179" s="4" t="s">
        <v>934</v>
      </c>
      <c r="P179" s="4"/>
      <c r="Q179" s="4" t="s">
        <v>935</v>
      </c>
      <c r="R179" s="4"/>
      <c r="S179" s="4" t="s">
        <v>940</v>
      </c>
      <c r="T179" s="4">
        <v>0</v>
      </c>
      <c r="U179" s="4">
        <v>0</v>
      </c>
      <c r="V179" s="4">
        <v>0</v>
      </c>
      <c r="W179" s="4"/>
      <c r="X179" s="4" t="s">
        <v>937</v>
      </c>
      <c r="Y179" s="4"/>
      <c r="Z179" s="4"/>
      <c r="AA179" s="41" t="s">
        <v>844</v>
      </c>
      <c r="AB179" s="42" t="s">
        <v>269</v>
      </c>
      <c r="AC179" s="43" t="s">
        <v>58</v>
      </c>
      <c r="AD179" s="43">
        <v>200000000</v>
      </c>
      <c r="AE179" s="44">
        <v>0</v>
      </c>
      <c r="AF179" s="44">
        <v>0</v>
      </c>
      <c r="AG179" s="44">
        <v>0</v>
      </c>
      <c r="AH179" s="44">
        <v>0</v>
      </c>
      <c r="AI179" s="44">
        <v>0</v>
      </c>
      <c r="AJ179" s="43">
        <v>200000000</v>
      </c>
      <c r="AK179" s="44">
        <v>0</v>
      </c>
      <c r="AL179" s="44">
        <v>0</v>
      </c>
      <c r="AM179" s="44">
        <v>0</v>
      </c>
      <c r="AN179" s="44">
        <v>0</v>
      </c>
      <c r="AO179" s="44">
        <v>0</v>
      </c>
      <c r="AP179" s="44">
        <v>0</v>
      </c>
      <c r="AQ179" s="44">
        <v>0</v>
      </c>
      <c r="AR179" s="44">
        <v>0</v>
      </c>
      <c r="AS179" s="44">
        <v>0</v>
      </c>
      <c r="AT179" s="40">
        <f t="shared" ref="AT179:AT190" si="114">AQ179+AS179</f>
        <v>0</v>
      </c>
      <c r="AU179" s="18">
        <f>AJ179-AM179</f>
        <v>200000000</v>
      </c>
      <c r="AV179" s="34">
        <f>AM179-AP179</f>
        <v>0</v>
      </c>
      <c r="AW179" s="34">
        <f>AP179-AT179</f>
        <v>0</v>
      </c>
      <c r="AX179" s="32">
        <f t="shared" si="103"/>
        <v>0</v>
      </c>
    </row>
    <row r="180" spans="1:50" s="343" customFormat="1" ht="18.75" customHeight="1" x14ac:dyDescent="0.2">
      <c r="A180" s="117" t="s">
        <v>55</v>
      </c>
      <c r="B180" s="117" t="s">
        <v>56</v>
      </c>
      <c r="C180" s="117"/>
      <c r="D180" s="117" t="s">
        <v>947</v>
      </c>
      <c r="E180" s="117"/>
      <c r="F180" s="117"/>
      <c r="G180" s="117" t="s">
        <v>41</v>
      </c>
      <c r="H180" s="117"/>
      <c r="I180" s="117" t="s">
        <v>936</v>
      </c>
      <c r="J180" s="117"/>
      <c r="K180" s="117" t="s">
        <v>932</v>
      </c>
      <c r="L180" s="117"/>
      <c r="M180" s="117" t="s">
        <v>933</v>
      </c>
      <c r="N180" s="117"/>
      <c r="O180" s="117" t="s">
        <v>934</v>
      </c>
      <c r="P180" s="117"/>
      <c r="Q180" s="117" t="s">
        <v>935</v>
      </c>
      <c r="R180" s="117"/>
      <c r="S180" s="117" t="s">
        <v>940</v>
      </c>
      <c r="T180" s="117">
        <v>0</v>
      </c>
      <c r="U180" s="117">
        <v>0</v>
      </c>
      <c r="V180" s="117">
        <v>0</v>
      </c>
      <c r="W180" s="117"/>
      <c r="X180" s="117" t="s">
        <v>937</v>
      </c>
      <c r="Y180" s="117"/>
      <c r="Z180" s="117"/>
      <c r="AA180" s="81" t="s">
        <v>842</v>
      </c>
      <c r="AB180" s="82" t="s">
        <v>275</v>
      </c>
      <c r="AC180" s="83" t="s">
        <v>58</v>
      </c>
      <c r="AD180" s="83">
        <v>5000000000</v>
      </c>
      <c r="AE180" s="79">
        <f>5188937855.29+310221537.39</f>
        <v>5499159392.6800003</v>
      </c>
      <c r="AF180" s="118">
        <v>0</v>
      </c>
      <c r="AG180" s="118">
        <v>0</v>
      </c>
      <c r="AH180" s="118">
        <v>0</v>
      </c>
      <c r="AI180" s="18">
        <f t="shared" ref="AI180" si="115">AE180-AF180+AG180-AH180</f>
        <v>5499159392.6800003</v>
      </c>
      <c r="AJ180" s="176">
        <f>AD180+AI180</f>
        <v>10499159392.68</v>
      </c>
      <c r="AK180" s="145">
        <v>0</v>
      </c>
      <c r="AL180" s="148">
        <v>1043351174.02</v>
      </c>
      <c r="AM180" s="148">
        <v>2783546021.3299999</v>
      </c>
      <c r="AN180" s="145">
        <v>0</v>
      </c>
      <c r="AO180" s="147">
        <v>43587400.939999998</v>
      </c>
      <c r="AP180" s="147">
        <v>1499420440.9300001</v>
      </c>
      <c r="AQ180" s="145">
        <v>460401</v>
      </c>
      <c r="AR180" s="147">
        <v>43126999.939999998</v>
      </c>
      <c r="AS180" s="147">
        <v>1450173316.0699999</v>
      </c>
      <c r="AT180" s="147">
        <f t="shared" si="114"/>
        <v>1450633717.0699999</v>
      </c>
      <c r="AU180" s="119">
        <f>AJ180-AM180</f>
        <v>7715613371.3500004</v>
      </c>
      <c r="AV180" s="119">
        <f>AM180-AP180</f>
        <v>1284125580.3999999</v>
      </c>
      <c r="AW180" s="83">
        <f>AP180-AT180</f>
        <v>48786723.860000134</v>
      </c>
      <c r="AX180" s="118">
        <f t="shared" si="103"/>
        <v>0.14281338008597089</v>
      </c>
    </row>
    <row r="181" spans="1:50" ht="18.75" customHeight="1" x14ac:dyDescent="0.2">
      <c r="A181" s="19" t="s">
        <v>37</v>
      </c>
      <c r="B181" s="19" t="s">
        <v>37</v>
      </c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7" t="s">
        <v>841</v>
      </c>
      <c r="AB181" s="198" t="s">
        <v>276</v>
      </c>
      <c r="AC181" s="22" t="s">
        <v>37</v>
      </c>
      <c r="AD181" s="22">
        <f t="shared" ref="AD181:AS181" si="116">AD182+AD189</f>
        <v>3752467164.4300003</v>
      </c>
      <c r="AE181" s="22">
        <f t="shared" si="116"/>
        <v>488313290.56999999</v>
      </c>
      <c r="AF181" s="23">
        <f t="shared" si="116"/>
        <v>0</v>
      </c>
      <c r="AG181" s="23">
        <f t="shared" si="116"/>
        <v>0</v>
      </c>
      <c r="AH181" s="23">
        <f t="shared" si="116"/>
        <v>0</v>
      </c>
      <c r="AI181" s="22">
        <f t="shared" si="116"/>
        <v>488313290.56999999</v>
      </c>
      <c r="AJ181" s="22">
        <f t="shared" si="116"/>
        <v>4240780455.0000005</v>
      </c>
      <c r="AK181" s="23">
        <f t="shared" si="116"/>
        <v>0</v>
      </c>
      <c r="AL181" s="22">
        <f t="shared" si="116"/>
        <v>259084993.42000002</v>
      </c>
      <c r="AM181" s="22">
        <f t="shared" si="116"/>
        <v>2881940578.5900002</v>
      </c>
      <c r="AN181" s="23">
        <f t="shared" si="116"/>
        <v>0</v>
      </c>
      <c r="AO181" s="22">
        <f t="shared" si="116"/>
        <v>259084993.42000002</v>
      </c>
      <c r="AP181" s="22">
        <f t="shared" si="116"/>
        <v>2881092978.9899998</v>
      </c>
      <c r="AQ181" s="23">
        <f t="shared" si="116"/>
        <v>71646772.290000007</v>
      </c>
      <c r="AR181" s="22">
        <f t="shared" si="116"/>
        <v>254710395.43000001</v>
      </c>
      <c r="AS181" s="22">
        <f t="shared" si="116"/>
        <v>2773108934.6999998</v>
      </c>
      <c r="AT181" s="121">
        <f t="shared" si="114"/>
        <v>2844755706.9899998</v>
      </c>
      <c r="AU181" s="121">
        <f>AJ181-AM181</f>
        <v>1358839876.4100003</v>
      </c>
      <c r="AV181" s="122">
        <f>AM181-AP181</f>
        <v>847599.60000038147</v>
      </c>
      <c r="AW181" s="121">
        <f>AP181-AT181</f>
        <v>36337272</v>
      </c>
      <c r="AX181" s="49">
        <f t="shared" si="103"/>
        <v>0.6793780082609816</v>
      </c>
    </row>
    <row r="182" spans="1:50" ht="18.75" customHeight="1" x14ac:dyDescent="0.2">
      <c r="A182" s="27" t="s">
        <v>37</v>
      </c>
      <c r="B182" s="27" t="s">
        <v>37</v>
      </c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8" t="s">
        <v>840</v>
      </c>
      <c r="AB182" s="29" t="s">
        <v>277</v>
      </c>
      <c r="AC182" s="30" t="s">
        <v>37</v>
      </c>
      <c r="AD182" s="30">
        <f t="shared" ref="AD182:AW182" si="117">AD183+AD184+AD185+AD186+AD188+AD187</f>
        <v>3552467164.4300003</v>
      </c>
      <c r="AE182" s="30">
        <f t="shared" si="117"/>
        <v>488313290.56999999</v>
      </c>
      <c r="AF182" s="31">
        <f t="shared" si="117"/>
        <v>0</v>
      </c>
      <c r="AG182" s="31">
        <f t="shared" si="117"/>
        <v>0</v>
      </c>
      <c r="AH182" s="31">
        <f t="shared" si="117"/>
        <v>0</v>
      </c>
      <c r="AI182" s="30">
        <f t="shared" si="117"/>
        <v>488313290.56999999</v>
      </c>
      <c r="AJ182" s="30">
        <f t="shared" si="117"/>
        <v>4040780455.0000005</v>
      </c>
      <c r="AK182" s="31">
        <f t="shared" si="117"/>
        <v>0</v>
      </c>
      <c r="AL182" s="30">
        <f t="shared" si="117"/>
        <v>185042525.42000002</v>
      </c>
      <c r="AM182" s="30">
        <f t="shared" si="117"/>
        <v>2807898110.5900002</v>
      </c>
      <c r="AN182" s="31">
        <f t="shared" si="117"/>
        <v>0</v>
      </c>
      <c r="AO182" s="30">
        <f t="shared" si="117"/>
        <v>185042525.42000002</v>
      </c>
      <c r="AP182" s="30">
        <f t="shared" si="117"/>
        <v>2807050510.9899998</v>
      </c>
      <c r="AQ182" s="31">
        <f t="shared" si="117"/>
        <v>71646772.290000007</v>
      </c>
      <c r="AR182" s="30">
        <f t="shared" si="117"/>
        <v>180667927.43000001</v>
      </c>
      <c r="AS182" s="30">
        <f t="shared" si="117"/>
        <v>2699066466.6999998</v>
      </c>
      <c r="AT182" s="30">
        <f t="shared" si="117"/>
        <v>2770713238.9899998</v>
      </c>
      <c r="AU182" s="30">
        <f t="shared" si="117"/>
        <v>1232882344.4099998</v>
      </c>
      <c r="AV182" s="30">
        <f t="shared" si="117"/>
        <v>847599.60000014305</v>
      </c>
      <c r="AW182" s="30">
        <f t="shared" si="117"/>
        <v>36337272</v>
      </c>
      <c r="AX182" s="123">
        <f t="shared" si="103"/>
        <v>0.69468028323998599</v>
      </c>
    </row>
    <row r="183" spans="1:50" ht="18.75" customHeight="1" x14ac:dyDescent="0.2">
      <c r="A183" s="4" t="s">
        <v>55</v>
      </c>
      <c r="B183" s="4" t="s">
        <v>56</v>
      </c>
      <c r="C183" s="4"/>
      <c r="D183" s="4" t="s">
        <v>947</v>
      </c>
      <c r="E183" s="4"/>
      <c r="F183" s="4"/>
      <c r="G183" s="4" t="s">
        <v>41</v>
      </c>
      <c r="H183" s="4"/>
      <c r="I183" s="4" t="s">
        <v>936</v>
      </c>
      <c r="J183" s="4"/>
      <c r="K183" s="4" t="s">
        <v>932</v>
      </c>
      <c r="L183" s="4"/>
      <c r="M183" s="4" t="s">
        <v>933</v>
      </c>
      <c r="N183" s="4"/>
      <c r="O183" s="4" t="s">
        <v>934</v>
      </c>
      <c r="P183" s="4"/>
      <c r="Q183" s="4" t="s">
        <v>935</v>
      </c>
      <c r="R183" s="4"/>
      <c r="S183" s="4" t="s">
        <v>940</v>
      </c>
      <c r="T183" s="4">
        <v>0</v>
      </c>
      <c r="U183" s="4">
        <v>0</v>
      </c>
      <c r="V183" s="4">
        <v>0</v>
      </c>
      <c r="W183" s="4"/>
      <c r="X183" s="4" t="s">
        <v>937</v>
      </c>
      <c r="Y183" s="4"/>
      <c r="Z183" s="4"/>
      <c r="AA183" s="41" t="s">
        <v>839</v>
      </c>
      <c r="AB183" s="42" t="s">
        <v>233</v>
      </c>
      <c r="AC183" s="43" t="s">
        <v>58</v>
      </c>
      <c r="AD183" s="43">
        <v>530000000</v>
      </c>
      <c r="AE183" s="44">
        <v>0</v>
      </c>
      <c r="AF183" s="44">
        <v>0</v>
      </c>
      <c r="AG183" s="44">
        <v>0</v>
      </c>
      <c r="AH183" s="44">
        <v>0</v>
      </c>
      <c r="AI183" s="44">
        <v>0</v>
      </c>
      <c r="AJ183" s="43">
        <v>530000000</v>
      </c>
      <c r="AK183" s="44">
        <v>0</v>
      </c>
      <c r="AL183" s="44">
        <v>0</v>
      </c>
      <c r="AM183" s="44">
        <v>0</v>
      </c>
      <c r="AN183" s="44">
        <v>0</v>
      </c>
      <c r="AO183" s="44">
        <v>0</v>
      </c>
      <c r="AP183" s="44">
        <v>0</v>
      </c>
      <c r="AQ183" s="44">
        <v>0</v>
      </c>
      <c r="AR183" s="44">
        <v>0</v>
      </c>
      <c r="AS183" s="44">
        <v>0</v>
      </c>
      <c r="AT183" s="40">
        <f t="shared" si="114"/>
        <v>0</v>
      </c>
      <c r="AU183" s="18">
        <f t="shared" ref="AU183:AU190" si="118">AJ183-AM183</f>
        <v>530000000</v>
      </c>
      <c r="AV183" s="34">
        <f t="shared" ref="AV183:AV190" si="119">AM183-AP183</f>
        <v>0</v>
      </c>
      <c r="AW183" s="34">
        <f t="shared" ref="AW183:AW190" si="120">AP183-AT183</f>
        <v>0</v>
      </c>
      <c r="AX183" s="123">
        <f t="shared" si="103"/>
        <v>0</v>
      </c>
    </row>
    <row r="184" spans="1:50" ht="18.75" customHeight="1" x14ac:dyDescent="0.2">
      <c r="A184" s="140" t="s">
        <v>55</v>
      </c>
      <c r="B184" s="140" t="s">
        <v>56</v>
      </c>
      <c r="C184" s="140"/>
      <c r="D184" s="140" t="s">
        <v>947</v>
      </c>
      <c r="E184" s="140"/>
      <c r="F184" s="140"/>
      <c r="G184" s="140" t="s">
        <v>41</v>
      </c>
      <c r="H184" s="140"/>
      <c r="I184" s="140" t="s">
        <v>936</v>
      </c>
      <c r="J184" s="140"/>
      <c r="K184" s="140" t="s">
        <v>932</v>
      </c>
      <c r="L184" s="140"/>
      <c r="M184" s="140" t="s">
        <v>933</v>
      </c>
      <c r="N184" s="140"/>
      <c r="O184" s="140" t="s">
        <v>934</v>
      </c>
      <c r="P184" s="140"/>
      <c r="Q184" s="140" t="s">
        <v>935</v>
      </c>
      <c r="R184" s="140"/>
      <c r="S184" s="140" t="s">
        <v>940</v>
      </c>
      <c r="T184" s="140">
        <v>0</v>
      </c>
      <c r="U184" s="140">
        <v>0</v>
      </c>
      <c r="V184" s="140">
        <v>0</v>
      </c>
      <c r="W184" s="140"/>
      <c r="X184" s="140" t="s">
        <v>937</v>
      </c>
      <c r="Y184" s="140"/>
      <c r="Z184" s="140"/>
      <c r="AA184" s="134" t="s">
        <v>838</v>
      </c>
      <c r="AB184" s="69" t="s">
        <v>278</v>
      </c>
      <c r="AC184" s="142" t="s">
        <v>253</v>
      </c>
      <c r="AD184" s="142">
        <v>600000000</v>
      </c>
      <c r="AE184" s="143">
        <v>0</v>
      </c>
      <c r="AF184" s="143">
        <v>0</v>
      </c>
      <c r="AG184" s="143">
        <v>0</v>
      </c>
      <c r="AH184" s="143">
        <v>0</v>
      </c>
      <c r="AI184" s="143">
        <v>0</v>
      </c>
      <c r="AJ184" s="142">
        <v>600000000</v>
      </c>
      <c r="AK184" s="143">
        <v>0</v>
      </c>
      <c r="AL184" s="43">
        <v>13765165</v>
      </c>
      <c r="AM184" s="142">
        <v>599999999.13999999</v>
      </c>
      <c r="AN184" s="143">
        <v>0</v>
      </c>
      <c r="AO184" s="143">
        <v>13765165</v>
      </c>
      <c r="AP184" s="142">
        <v>599999999.13999999</v>
      </c>
      <c r="AQ184" s="142">
        <v>63754057.140000001</v>
      </c>
      <c r="AR184" s="142">
        <v>13765165</v>
      </c>
      <c r="AS184" s="142">
        <v>536245942</v>
      </c>
      <c r="AT184" s="267">
        <f t="shared" si="114"/>
        <v>599999999.13999999</v>
      </c>
      <c r="AU184" s="147">
        <f t="shared" si="118"/>
        <v>0.86000001430511475</v>
      </c>
      <c r="AV184" s="145">
        <f t="shared" si="119"/>
        <v>0</v>
      </c>
      <c r="AW184" s="145">
        <f t="shared" si="120"/>
        <v>0</v>
      </c>
      <c r="AX184" s="149">
        <f t="shared" si="103"/>
        <v>0.99999999856666666</v>
      </c>
    </row>
    <row r="185" spans="1:50" ht="25.5" customHeight="1" x14ac:dyDescent="0.2">
      <c r="A185" s="4" t="s">
        <v>55</v>
      </c>
      <c r="B185" s="4" t="s">
        <v>56</v>
      </c>
      <c r="C185" s="4"/>
      <c r="D185" s="4" t="s">
        <v>947</v>
      </c>
      <c r="E185" s="4"/>
      <c r="F185" s="4"/>
      <c r="G185" s="4" t="s">
        <v>41</v>
      </c>
      <c r="H185" s="4"/>
      <c r="I185" s="4" t="s">
        <v>936</v>
      </c>
      <c r="J185" s="4"/>
      <c r="K185" s="4" t="s">
        <v>932</v>
      </c>
      <c r="L185" s="4"/>
      <c r="M185" s="4" t="s">
        <v>933</v>
      </c>
      <c r="N185" s="4"/>
      <c r="O185" s="4" t="s">
        <v>934</v>
      </c>
      <c r="P185" s="4"/>
      <c r="Q185" s="4" t="s">
        <v>935</v>
      </c>
      <c r="R185" s="4"/>
      <c r="S185" s="4" t="s">
        <v>940</v>
      </c>
      <c r="T185" s="4">
        <v>0</v>
      </c>
      <c r="U185" s="4">
        <v>0</v>
      </c>
      <c r="V185" s="4">
        <v>0</v>
      </c>
      <c r="W185" s="4"/>
      <c r="X185" s="4" t="s">
        <v>937</v>
      </c>
      <c r="Y185" s="4"/>
      <c r="Z185" s="4"/>
      <c r="AA185" s="134" t="s">
        <v>837</v>
      </c>
      <c r="AB185" s="69" t="s">
        <v>279</v>
      </c>
      <c r="AC185" s="142" t="s">
        <v>253</v>
      </c>
      <c r="AD185" s="142">
        <v>961836799</v>
      </c>
      <c r="AE185" s="44">
        <v>0</v>
      </c>
      <c r="AF185" s="44">
        <v>0</v>
      </c>
      <c r="AG185" s="44">
        <v>0</v>
      </c>
      <c r="AH185" s="44">
        <v>0</v>
      </c>
      <c r="AI185" s="44">
        <v>0</v>
      </c>
      <c r="AJ185" s="43">
        <v>961836799</v>
      </c>
      <c r="AK185" s="44">
        <v>0</v>
      </c>
      <c r="AL185" s="43">
        <v>103197029</v>
      </c>
      <c r="AM185" s="43">
        <v>808111530.78999996</v>
      </c>
      <c r="AN185" s="44">
        <v>0</v>
      </c>
      <c r="AO185" s="43">
        <v>103197029</v>
      </c>
      <c r="AP185" s="43">
        <v>808111530.78999996</v>
      </c>
      <c r="AQ185" s="44">
        <v>0</v>
      </c>
      <c r="AR185" s="43">
        <v>103197029</v>
      </c>
      <c r="AS185" s="43">
        <v>771774258.78999996</v>
      </c>
      <c r="AT185" s="39">
        <f t="shared" si="114"/>
        <v>771774258.78999996</v>
      </c>
      <c r="AU185" s="18">
        <f t="shared" si="118"/>
        <v>153725268.21000004</v>
      </c>
      <c r="AV185" s="34">
        <f t="shared" si="119"/>
        <v>0</v>
      </c>
      <c r="AW185" s="18">
        <f t="shared" si="120"/>
        <v>36337272</v>
      </c>
      <c r="AX185" s="123">
        <f t="shared" si="103"/>
        <v>0.84017531002159129</v>
      </c>
    </row>
    <row r="186" spans="1:50" ht="18.75" customHeight="1" x14ac:dyDescent="0.2">
      <c r="A186" s="4" t="s">
        <v>55</v>
      </c>
      <c r="B186" s="4" t="s">
        <v>56</v>
      </c>
      <c r="C186" s="4"/>
      <c r="D186" s="4" t="s">
        <v>947</v>
      </c>
      <c r="E186" s="4"/>
      <c r="F186" s="4"/>
      <c r="G186" s="4" t="s">
        <v>41</v>
      </c>
      <c r="H186" s="4"/>
      <c r="I186" s="4" t="s">
        <v>936</v>
      </c>
      <c r="J186" s="4"/>
      <c r="K186" s="4" t="s">
        <v>932</v>
      </c>
      <c r="L186" s="4"/>
      <c r="M186" s="4" t="s">
        <v>933</v>
      </c>
      <c r="N186" s="4"/>
      <c r="O186" s="4" t="s">
        <v>934</v>
      </c>
      <c r="P186" s="4"/>
      <c r="Q186" s="4" t="s">
        <v>935</v>
      </c>
      <c r="R186" s="4"/>
      <c r="S186" s="4" t="s">
        <v>940</v>
      </c>
      <c r="T186" s="4">
        <v>0</v>
      </c>
      <c r="U186" s="4">
        <v>0</v>
      </c>
      <c r="V186" s="4">
        <v>0</v>
      </c>
      <c r="W186" s="4"/>
      <c r="X186" s="4" t="s">
        <v>937</v>
      </c>
      <c r="Y186" s="4"/>
      <c r="Z186" s="4"/>
      <c r="AA186" s="134" t="s">
        <v>836</v>
      </c>
      <c r="AB186" s="69" t="s">
        <v>239</v>
      </c>
      <c r="AC186" s="142" t="s">
        <v>240</v>
      </c>
      <c r="AD186" s="142">
        <v>1460630365.4300001</v>
      </c>
      <c r="AE186" s="44">
        <v>0</v>
      </c>
      <c r="AF186" s="44">
        <v>0</v>
      </c>
      <c r="AG186" s="44">
        <v>0</v>
      </c>
      <c r="AH186" s="44">
        <v>0</v>
      </c>
      <c r="AI186" s="44">
        <v>0</v>
      </c>
      <c r="AJ186" s="43">
        <v>1460630365.4300001</v>
      </c>
      <c r="AK186" s="44">
        <v>0</v>
      </c>
      <c r="AL186" s="43">
        <v>68080331.420000002</v>
      </c>
      <c r="AM186" s="43">
        <v>1399786580.6600001</v>
      </c>
      <c r="AN186" s="44">
        <v>0</v>
      </c>
      <c r="AO186" s="43">
        <v>68080331.420000002</v>
      </c>
      <c r="AP186" s="43">
        <v>1398938981.0599999</v>
      </c>
      <c r="AQ186" s="43">
        <v>7892715.1500000004</v>
      </c>
      <c r="AR186" s="43">
        <v>63705733.43</v>
      </c>
      <c r="AS186" s="43">
        <v>1391046265.9100001</v>
      </c>
      <c r="AT186" s="39">
        <f t="shared" si="114"/>
        <v>1398938981.0600002</v>
      </c>
      <c r="AU186" s="18">
        <f t="shared" si="118"/>
        <v>60843784.769999981</v>
      </c>
      <c r="AV186" s="34">
        <f t="shared" si="119"/>
        <v>847599.60000014305</v>
      </c>
      <c r="AW186" s="34">
        <f t="shared" si="120"/>
        <v>0</v>
      </c>
      <c r="AX186" s="123">
        <f t="shared" si="103"/>
        <v>0.9577638628977575</v>
      </c>
    </row>
    <row r="187" spans="1:50" ht="18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166" t="s">
        <v>1012</v>
      </c>
      <c r="AB187" s="167" t="s">
        <v>1013</v>
      </c>
      <c r="AC187" s="203"/>
      <c r="AD187" s="143">
        <v>0</v>
      </c>
      <c r="AE187" s="43">
        <v>69321334.879999995</v>
      </c>
      <c r="AF187" s="44"/>
      <c r="AG187" s="44"/>
      <c r="AH187" s="44"/>
      <c r="AI187" s="18">
        <f>AE187-AF187+AG187-AH187</f>
        <v>69321334.879999995</v>
      </c>
      <c r="AJ187" s="18">
        <f>AD187+AI187</f>
        <v>69321334.879999995</v>
      </c>
      <c r="AK187" s="44">
        <v>0</v>
      </c>
      <c r="AL187" s="44">
        <v>0</v>
      </c>
      <c r="AM187" s="44">
        <v>0</v>
      </c>
      <c r="AN187" s="44">
        <v>0</v>
      </c>
      <c r="AO187" s="44">
        <v>0</v>
      </c>
      <c r="AP187" s="44">
        <v>0</v>
      </c>
      <c r="AQ187" s="44">
        <v>0</v>
      </c>
      <c r="AR187" s="44">
        <v>0</v>
      </c>
      <c r="AS187" s="44">
        <v>0</v>
      </c>
      <c r="AT187" s="40">
        <f t="shared" si="114"/>
        <v>0</v>
      </c>
      <c r="AU187" s="18">
        <f t="shared" si="118"/>
        <v>69321334.879999995</v>
      </c>
      <c r="AV187" s="34">
        <f t="shared" si="119"/>
        <v>0</v>
      </c>
      <c r="AW187" s="34">
        <f t="shared" si="120"/>
        <v>0</v>
      </c>
      <c r="AX187" s="123">
        <f t="shared" si="103"/>
        <v>0</v>
      </c>
    </row>
    <row r="188" spans="1:50" ht="26.2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166" t="s">
        <v>1010</v>
      </c>
      <c r="AB188" s="167" t="s">
        <v>1011</v>
      </c>
      <c r="AC188" s="203"/>
      <c r="AD188" s="143">
        <v>0</v>
      </c>
      <c r="AE188" s="43">
        <v>418991955.69</v>
      </c>
      <c r="AF188" s="44">
        <v>0</v>
      </c>
      <c r="AG188" s="44">
        <v>0</v>
      </c>
      <c r="AH188" s="44">
        <v>0</v>
      </c>
      <c r="AI188" s="18">
        <f t="shared" ref="AI188" si="121">AE188-AF188+AG188-AH188</f>
        <v>418991955.69</v>
      </c>
      <c r="AJ188" s="18">
        <f t="shared" ref="AJ188" si="122">AD188+AI188</f>
        <v>418991955.69</v>
      </c>
      <c r="AK188" s="44">
        <v>0</v>
      </c>
      <c r="AL188" s="44">
        <v>0</v>
      </c>
      <c r="AM188" s="44">
        <v>0</v>
      </c>
      <c r="AN188" s="44">
        <v>0</v>
      </c>
      <c r="AO188" s="44">
        <v>0</v>
      </c>
      <c r="AP188" s="44">
        <v>0</v>
      </c>
      <c r="AQ188" s="44">
        <v>0</v>
      </c>
      <c r="AR188" s="44">
        <v>0</v>
      </c>
      <c r="AS188" s="44">
        <v>0</v>
      </c>
      <c r="AT188" s="40">
        <f t="shared" si="114"/>
        <v>0</v>
      </c>
      <c r="AU188" s="18">
        <f t="shared" si="118"/>
        <v>418991955.69</v>
      </c>
      <c r="AV188" s="34">
        <f t="shared" si="119"/>
        <v>0</v>
      </c>
      <c r="AW188" s="34">
        <f t="shared" si="120"/>
        <v>0</v>
      </c>
      <c r="AX188" s="123">
        <f t="shared" si="103"/>
        <v>0</v>
      </c>
    </row>
    <row r="189" spans="1:50" ht="18.75" customHeight="1" x14ac:dyDescent="0.2">
      <c r="A189" s="27" t="s">
        <v>37</v>
      </c>
      <c r="B189" s="27" t="s">
        <v>37</v>
      </c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04" t="s">
        <v>835</v>
      </c>
      <c r="AB189" s="205" t="s">
        <v>280</v>
      </c>
      <c r="AC189" s="187" t="s">
        <v>37</v>
      </c>
      <c r="AD189" s="187">
        <f>AD190</f>
        <v>200000000</v>
      </c>
      <c r="AE189" s="31">
        <f t="shared" ref="AE189:AS189" si="123">AE190</f>
        <v>0</v>
      </c>
      <c r="AF189" s="31">
        <f t="shared" si="123"/>
        <v>0</v>
      </c>
      <c r="AG189" s="31">
        <f t="shared" si="123"/>
        <v>0</v>
      </c>
      <c r="AH189" s="31">
        <f t="shared" si="123"/>
        <v>0</v>
      </c>
      <c r="AI189" s="31">
        <f t="shared" si="123"/>
        <v>0</v>
      </c>
      <c r="AJ189" s="30">
        <f t="shared" si="123"/>
        <v>200000000</v>
      </c>
      <c r="AK189" s="31">
        <f t="shared" si="123"/>
        <v>0</v>
      </c>
      <c r="AL189" s="30">
        <f t="shared" si="123"/>
        <v>74042468</v>
      </c>
      <c r="AM189" s="30">
        <f t="shared" si="123"/>
        <v>74042468</v>
      </c>
      <c r="AN189" s="31">
        <f t="shared" si="123"/>
        <v>0</v>
      </c>
      <c r="AO189" s="30">
        <f t="shared" si="123"/>
        <v>74042468</v>
      </c>
      <c r="AP189" s="30">
        <f t="shared" si="123"/>
        <v>74042468</v>
      </c>
      <c r="AQ189" s="31">
        <f t="shared" si="123"/>
        <v>0</v>
      </c>
      <c r="AR189" s="30">
        <f t="shared" si="123"/>
        <v>74042468</v>
      </c>
      <c r="AS189" s="30">
        <f t="shared" si="123"/>
        <v>74042468</v>
      </c>
      <c r="AT189" s="39">
        <f t="shared" si="114"/>
        <v>74042468</v>
      </c>
      <c r="AU189" s="18">
        <f t="shared" si="118"/>
        <v>125957532</v>
      </c>
      <c r="AV189" s="34">
        <f t="shared" si="119"/>
        <v>0</v>
      </c>
      <c r="AW189" s="34">
        <f t="shared" si="120"/>
        <v>0</v>
      </c>
      <c r="AX189" s="123">
        <f t="shared" si="103"/>
        <v>0.37021233999999997</v>
      </c>
    </row>
    <row r="190" spans="1:50" ht="18.75" customHeight="1" x14ac:dyDescent="0.2">
      <c r="A190" s="140" t="s">
        <v>55</v>
      </c>
      <c r="B190" s="140" t="s">
        <v>56</v>
      </c>
      <c r="C190" s="140"/>
      <c r="D190" s="140" t="s">
        <v>947</v>
      </c>
      <c r="E190" s="140"/>
      <c r="F190" s="140"/>
      <c r="G190" s="140" t="s">
        <v>41</v>
      </c>
      <c r="H190" s="140"/>
      <c r="I190" s="140" t="s">
        <v>936</v>
      </c>
      <c r="J190" s="140"/>
      <c r="K190" s="140" t="s">
        <v>932</v>
      </c>
      <c r="L190" s="140"/>
      <c r="M190" s="140" t="s">
        <v>933</v>
      </c>
      <c r="N190" s="140"/>
      <c r="O190" s="140" t="s">
        <v>934</v>
      </c>
      <c r="P190" s="140"/>
      <c r="Q190" s="140" t="s">
        <v>935</v>
      </c>
      <c r="R190" s="140"/>
      <c r="S190" s="140" t="s">
        <v>940</v>
      </c>
      <c r="T190" s="140">
        <v>0</v>
      </c>
      <c r="U190" s="140">
        <v>0</v>
      </c>
      <c r="V190" s="140">
        <v>0</v>
      </c>
      <c r="W190" s="140"/>
      <c r="X190" s="140" t="s">
        <v>937</v>
      </c>
      <c r="Y190" s="140"/>
      <c r="Z190" s="140"/>
      <c r="AA190" s="134" t="s">
        <v>834</v>
      </c>
      <c r="AB190" s="69" t="s">
        <v>281</v>
      </c>
      <c r="AC190" s="142" t="s">
        <v>253</v>
      </c>
      <c r="AD190" s="142">
        <v>200000000</v>
      </c>
      <c r="AE190" s="143">
        <v>0</v>
      </c>
      <c r="AF190" s="143">
        <v>0</v>
      </c>
      <c r="AG190" s="143">
        <v>0</v>
      </c>
      <c r="AH190" s="143">
        <v>0</v>
      </c>
      <c r="AI190" s="143">
        <v>0</v>
      </c>
      <c r="AJ190" s="142">
        <v>200000000</v>
      </c>
      <c r="AK190" s="143">
        <v>0</v>
      </c>
      <c r="AL190" s="142">
        <v>74042468</v>
      </c>
      <c r="AM190" s="142">
        <v>74042468</v>
      </c>
      <c r="AN190" s="143">
        <v>0</v>
      </c>
      <c r="AO190" s="142">
        <v>74042468</v>
      </c>
      <c r="AP190" s="142">
        <v>74042468</v>
      </c>
      <c r="AQ190" s="143">
        <v>0</v>
      </c>
      <c r="AR190" s="142">
        <v>74042468</v>
      </c>
      <c r="AS190" s="142">
        <v>74042468</v>
      </c>
      <c r="AT190" s="267">
        <f t="shared" si="114"/>
        <v>74042468</v>
      </c>
      <c r="AU190" s="147">
        <f t="shared" si="118"/>
        <v>125957532</v>
      </c>
      <c r="AV190" s="145">
        <f t="shared" si="119"/>
        <v>0</v>
      </c>
      <c r="AW190" s="145">
        <f t="shared" si="120"/>
        <v>0</v>
      </c>
      <c r="AX190" s="149">
        <f t="shared" si="103"/>
        <v>0.37021233999999997</v>
      </c>
    </row>
    <row r="191" spans="1:50" ht="18.75" customHeight="1" x14ac:dyDescent="0.2">
      <c r="AA191" s="16"/>
      <c r="AB191" s="17"/>
      <c r="AC191" s="17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34"/>
      <c r="AT191" s="39"/>
      <c r="AU191" s="18"/>
      <c r="AV191" s="34"/>
      <c r="AW191" s="34"/>
      <c r="AX191" s="123"/>
    </row>
    <row r="192" spans="1:50" s="347" customFormat="1" ht="18.75" customHeight="1" x14ac:dyDescent="0.25">
      <c r="A192" s="124"/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7" t="s">
        <v>282</v>
      </c>
      <c r="AB192" s="128" t="s">
        <v>283</v>
      </c>
      <c r="AC192" s="128"/>
      <c r="AD192" s="129">
        <f t="shared" ref="AD192:AS192" si="124">AD252+AD540+AD753+AD862+AD1153+AD1190+AD1250+AD1272+AD1321+AD1336+AD1353+AD1372+AD1474+AD1100</f>
        <v>778687617478</v>
      </c>
      <c r="AE192" s="129">
        <f t="shared" si="124"/>
        <v>268801366920.56003</v>
      </c>
      <c r="AF192" s="130">
        <f t="shared" si="124"/>
        <v>0</v>
      </c>
      <c r="AG192" s="129">
        <f t="shared" si="124"/>
        <v>272121328811.75</v>
      </c>
      <c r="AH192" s="129">
        <f t="shared" si="124"/>
        <v>249283108496.41003</v>
      </c>
      <c r="AI192" s="129">
        <f t="shared" si="124"/>
        <v>291639587235.89996</v>
      </c>
      <c r="AJ192" s="129">
        <f t="shared" si="124"/>
        <v>1070327204713.9003</v>
      </c>
      <c r="AK192" s="129">
        <f t="shared" si="124"/>
        <v>1968474431</v>
      </c>
      <c r="AL192" s="129">
        <f t="shared" si="124"/>
        <v>117674727908.69002</v>
      </c>
      <c r="AM192" s="129">
        <f t="shared" si="124"/>
        <v>851956409347.60999</v>
      </c>
      <c r="AN192" s="129">
        <f t="shared" si="124"/>
        <v>707126091.68000007</v>
      </c>
      <c r="AO192" s="129">
        <f t="shared" si="124"/>
        <v>94107905994.410019</v>
      </c>
      <c r="AP192" s="129">
        <f t="shared" si="124"/>
        <v>745809949723.17004</v>
      </c>
      <c r="AQ192" s="129">
        <f t="shared" si="124"/>
        <v>4820363239.2399998</v>
      </c>
      <c r="AR192" s="129">
        <f t="shared" si="124"/>
        <v>60078353720.170006</v>
      </c>
      <c r="AS192" s="129">
        <f t="shared" si="124"/>
        <v>546687997207.97003</v>
      </c>
      <c r="AT192" s="131">
        <f>AQ192+AS192</f>
        <v>551508360447.21008</v>
      </c>
      <c r="AU192" s="129">
        <f>AU252+AU540+AU753+AU862+AU1153+AU1190+AU1250+AU1272+AU1321+AU1336+AU1353+AU1372+AU1474+AU1100</f>
        <v>218370795366.28995</v>
      </c>
      <c r="AV192" s="129">
        <f>AV252+AV540+AV753+AV862+AV1153+AV1190+AV1250+AV1272+AV1321+AV1336+AV1353+AV1372+AV1474+AV1100</f>
        <v>106146459624.44</v>
      </c>
      <c r="AW192" s="129">
        <f>AW252+AW540+AW753+AW862+AW1153+AW1190+AW1250+AW1272+AW1321+AW1336+AW1353+AW1372+AW1474+AW1100</f>
        <v>194301589275.96005</v>
      </c>
      <c r="AX192" s="132">
        <f>AP192/AJ192</f>
        <v>0.69680556229767698</v>
      </c>
    </row>
    <row r="193" spans="1:50" ht="18.75" customHeight="1" x14ac:dyDescent="0.2">
      <c r="AA193" s="16"/>
      <c r="AB193" s="17"/>
      <c r="AC193" s="17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</row>
    <row r="194" spans="1:50" ht="18.75" customHeight="1" x14ac:dyDescent="0.2">
      <c r="A194" s="58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60"/>
      <c r="AB194" s="21" t="s">
        <v>284</v>
      </c>
      <c r="AC194" s="61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3"/>
    </row>
    <row r="195" spans="1:50" ht="18.75" customHeight="1" x14ac:dyDescent="0.2">
      <c r="A195" s="35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7"/>
      <c r="AB195" s="29" t="s">
        <v>285</v>
      </c>
      <c r="AC195" s="38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0"/>
      <c r="AU195" s="39"/>
      <c r="AV195" s="39"/>
      <c r="AW195" s="39"/>
      <c r="AX195" s="18"/>
    </row>
    <row r="196" spans="1:50" ht="18.75" customHeight="1" x14ac:dyDescent="0.2">
      <c r="A196" s="35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7"/>
      <c r="AB196" s="29" t="s">
        <v>286</v>
      </c>
      <c r="AC196" s="38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0"/>
      <c r="AU196" s="39"/>
      <c r="AV196" s="39"/>
      <c r="AW196" s="39"/>
      <c r="AX196" s="18"/>
    </row>
    <row r="197" spans="1:50" ht="18.75" customHeight="1" x14ac:dyDescent="0.2">
      <c r="A197" s="35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7"/>
      <c r="AB197" s="29" t="s">
        <v>179</v>
      </c>
      <c r="AC197" s="38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0"/>
      <c r="AU197" s="39"/>
      <c r="AV197" s="39"/>
      <c r="AW197" s="39"/>
      <c r="AX197" s="18"/>
    </row>
    <row r="198" spans="1:50" ht="18.75" customHeight="1" x14ac:dyDescent="0.2">
      <c r="A198" s="14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6"/>
      <c r="AB198" s="29" t="s">
        <v>181</v>
      </c>
      <c r="AC198" s="17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30"/>
      <c r="AU198" s="18"/>
      <c r="AV198" s="18"/>
      <c r="AW198" s="18"/>
      <c r="AX198" s="18"/>
    </row>
    <row r="199" spans="1:50" ht="18.75" customHeight="1" x14ac:dyDescent="0.2">
      <c r="A199" s="14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6"/>
      <c r="AB199" s="29" t="s">
        <v>287</v>
      </c>
      <c r="AC199" s="17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30"/>
      <c r="AU199" s="18"/>
      <c r="AV199" s="18"/>
      <c r="AW199" s="18"/>
      <c r="AX199" s="18"/>
    </row>
    <row r="200" spans="1:50" ht="25.5" x14ac:dyDescent="0.2">
      <c r="A200" s="35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28" t="s">
        <v>288</v>
      </c>
      <c r="AB200" s="29" t="s">
        <v>289</v>
      </c>
      <c r="AC200" s="38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0"/>
      <c r="AU200" s="39"/>
      <c r="AV200" s="39"/>
      <c r="AW200" s="39"/>
      <c r="AX200" s="18"/>
    </row>
    <row r="201" spans="1:50" ht="18.75" customHeight="1" x14ac:dyDescent="0.2">
      <c r="A201" s="14" t="s">
        <v>55</v>
      </c>
      <c r="B201" s="15" t="s">
        <v>56</v>
      </c>
      <c r="C201" s="15"/>
      <c r="D201" s="15"/>
      <c r="E201" s="15"/>
      <c r="F201" s="15"/>
      <c r="G201" s="15" t="s">
        <v>41</v>
      </c>
      <c r="H201" s="15"/>
      <c r="I201" s="15" t="s">
        <v>936</v>
      </c>
      <c r="J201" s="15"/>
      <c r="K201" s="15" t="s">
        <v>932</v>
      </c>
      <c r="L201" s="15"/>
      <c r="M201" s="15" t="s">
        <v>933</v>
      </c>
      <c r="N201" s="15"/>
      <c r="O201" s="15" t="s">
        <v>948</v>
      </c>
      <c r="P201" s="15"/>
      <c r="Q201" s="15" t="s">
        <v>942</v>
      </c>
      <c r="R201" s="15"/>
      <c r="S201" s="15" t="s">
        <v>940</v>
      </c>
      <c r="T201" s="15">
        <v>0</v>
      </c>
      <c r="U201" s="15">
        <v>0</v>
      </c>
      <c r="V201" s="15">
        <v>0</v>
      </c>
      <c r="W201" s="15"/>
      <c r="X201" s="15" t="s">
        <v>937</v>
      </c>
      <c r="Y201" s="15"/>
      <c r="Z201" s="15"/>
      <c r="AA201" s="16" t="s">
        <v>290</v>
      </c>
      <c r="AB201" s="17" t="s">
        <v>233</v>
      </c>
      <c r="AC201" s="17" t="s">
        <v>58</v>
      </c>
      <c r="AD201" s="18">
        <v>100000000</v>
      </c>
      <c r="AE201" s="34">
        <v>0</v>
      </c>
      <c r="AF201" s="34">
        <v>0</v>
      </c>
      <c r="AG201" s="34">
        <v>0</v>
      </c>
      <c r="AH201" s="18">
        <v>40000000</v>
      </c>
      <c r="AI201" s="18">
        <f>AE201-AF201+AG201-AH201</f>
        <v>-40000000</v>
      </c>
      <c r="AJ201" s="18">
        <f>AD201+AI201</f>
        <v>60000000</v>
      </c>
      <c r="AK201" s="34">
        <v>0</v>
      </c>
      <c r="AL201" s="34">
        <f>AM201-OCTUBRE!AM200</f>
        <v>0</v>
      </c>
      <c r="AM201" s="18">
        <v>59063618</v>
      </c>
      <c r="AN201" s="18">
        <v>0</v>
      </c>
      <c r="AO201" s="18">
        <v>0</v>
      </c>
      <c r="AP201" s="18">
        <v>50140186</v>
      </c>
      <c r="AQ201" s="34">
        <v>0</v>
      </c>
      <c r="AR201" s="34">
        <v>0</v>
      </c>
      <c r="AS201" s="34">
        <v>0</v>
      </c>
      <c r="AT201" s="40">
        <f t="shared" ref="AT201" si="125">AQ201+AS201</f>
        <v>0</v>
      </c>
      <c r="AU201" s="18">
        <f>AJ201-AM201</f>
        <v>936382</v>
      </c>
      <c r="AV201" s="18">
        <f>AM201-AP201</f>
        <v>8923432</v>
      </c>
      <c r="AW201" s="18">
        <f>AP201-AT201</f>
        <v>50140186</v>
      </c>
      <c r="AX201" s="123">
        <f>AP201/AJ201</f>
        <v>0.8356697666666667</v>
      </c>
    </row>
    <row r="202" spans="1:50" ht="18.75" customHeight="1" x14ac:dyDescent="0.2">
      <c r="A202" s="14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41" t="s">
        <v>288</v>
      </c>
      <c r="AB202" s="29" t="s">
        <v>291</v>
      </c>
      <c r="AC202" s="17"/>
      <c r="AD202" s="18"/>
      <c r="AE202" s="18"/>
      <c r="AF202" s="18"/>
      <c r="AG202" s="18"/>
      <c r="AH202" s="18"/>
      <c r="AI202" s="18"/>
      <c r="AJ202" s="18"/>
      <c r="AK202" s="18"/>
      <c r="AL202" s="18"/>
      <c r="AM202" s="34"/>
      <c r="AN202" s="34"/>
      <c r="AO202" s="34"/>
      <c r="AP202" s="34"/>
      <c r="AQ202" s="34"/>
      <c r="AR202" s="34"/>
      <c r="AS202" s="34"/>
      <c r="AT202" s="31"/>
      <c r="AU202" s="18"/>
      <c r="AV202" s="34"/>
      <c r="AW202" s="34"/>
      <c r="AX202" s="18"/>
    </row>
    <row r="203" spans="1:50" ht="18.75" customHeight="1" x14ac:dyDescent="0.2">
      <c r="A203" s="14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41" t="s">
        <v>1217</v>
      </c>
      <c r="AB203" s="38" t="s">
        <v>1015</v>
      </c>
      <c r="AC203" s="17"/>
      <c r="AD203" s="34">
        <v>0</v>
      </c>
      <c r="AE203" s="34">
        <v>0</v>
      </c>
      <c r="AF203" s="34">
        <v>0</v>
      </c>
      <c r="AG203" s="18">
        <v>1252674808</v>
      </c>
      <c r="AH203" s="34">
        <v>0</v>
      </c>
      <c r="AI203" s="18">
        <f>AE203-AF203+AG203-AH203</f>
        <v>1252674808</v>
      </c>
      <c r="AJ203" s="18">
        <f>AD203+AI203</f>
        <v>1252674808</v>
      </c>
      <c r="AK203" s="34">
        <v>0</v>
      </c>
      <c r="AL203" s="18">
        <v>0</v>
      </c>
      <c r="AM203" s="18">
        <v>1219640391</v>
      </c>
      <c r="AN203" s="34">
        <v>0</v>
      </c>
      <c r="AO203" s="34">
        <v>0</v>
      </c>
      <c r="AP203" s="34">
        <v>0</v>
      </c>
      <c r="AQ203" s="34">
        <v>0</v>
      </c>
      <c r="AR203" s="34">
        <v>0</v>
      </c>
      <c r="AS203" s="34">
        <v>0</v>
      </c>
      <c r="AT203" s="40">
        <f t="shared" ref="AT203" si="126">AQ203+AS203</f>
        <v>0</v>
      </c>
      <c r="AU203" s="18">
        <f>AJ203-AM203</f>
        <v>33034417</v>
      </c>
      <c r="AV203" s="18">
        <f>AM203-AP203</f>
        <v>1219640391</v>
      </c>
      <c r="AW203" s="34">
        <f>AP203-AT203</f>
        <v>0</v>
      </c>
      <c r="AX203" s="123">
        <f>AP203/AJ203</f>
        <v>0</v>
      </c>
    </row>
    <row r="204" spans="1:50" ht="18.75" customHeight="1" x14ac:dyDescent="0.2">
      <c r="A204" s="14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28" t="s">
        <v>288</v>
      </c>
      <c r="AB204" s="29" t="s">
        <v>292</v>
      </c>
      <c r="AC204" s="17"/>
      <c r="AD204" s="18"/>
      <c r="AE204" s="34"/>
      <c r="AF204" s="34"/>
      <c r="AG204" s="34"/>
      <c r="AH204" s="34"/>
      <c r="AI204" s="34"/>
      <c r="AJ204" s="18"/>
      <c r="AK204" s="18"/>
      <c r="AL204" s="18"/>
      <c r="AM204" s="34"/>
      <c r="AN204" s="34"/>
      <c r="AO204" s="34"/>
      <c r="AP204" s="34"/>
      <c r="AQ204" s="34"/>
      <c r="AR204" s="34"/>
      <c r="AS204" s="34"/>
      <c r="AT204" s="31"/>
      <c r="AU204" s="18"/>
      <c r="AV204" s="34"/>
      <c r="AW204" s="34"/>
      <c r="AX204" s="18"/>
    </row>
    <row r="205" spans="1:50" ht="18.75" customHeight="1" x14ac:dyDescent="0.2">
      <c r="A205" s="14" t="s">
        <v>55</v>
      </c>
      <c r="B205" s="15" t="s">
        <v>56</v>
      </c>
      <c r="C205" s="15"/>
      <c r="D205" s="15"/>
      <c r="E205" s="15"/>
      <c r="F205" s="15"/>
      <c r="G205" s="15" t="s">
        <v>41</v>
      </c>
      <c r="H205" s="15"/>
      <c r="I205" s="15" t="s">
        <v>936</v>
      </c>
      <c r="J205" s="15"/>
      <c r="K205" s="15" t="s">
        <v>932</v>
      </c>
      <c r="L205" s="15"/>
      <c r="M205" s="15" t="s">
        <v>933</v>
      </c>
      <c r="N205" s="15"/>
      <c r="O205" s="15" t="s">
        <v>948</v>
      </c>
      <c r="P205" s="15"/>
      <c r="Q205" s="15" t="s">
        <v>942</v>
      </c>
      <c r="R205" s="15"/>
      <c r="S205" s="15" t="s">
        <v>940</v>
      </c>
      <c r="T205" s="15">
        <v>0</v>
      </c>
      <c r="U205" s="15">
        <v>0</v>
      </c>
      <c r="V205" s="15">
        <v>0</v>
      </c>
      <c r="W205" s="15"/>
      <c r="X205" s="15" t="s">
        <v>937</v>
      </c>
      <c r="Y205" s="15"/>
      <c r="Z205" s="15"/>
      <c r="AA205" s="16" t="s">
        <v>293</v>
      </c>
      <c r="AB205" s="17" t="s">
        <v>233</v>
      </c>
      <c r="AC205" s="161" t="s">
        <v>58</v>
      </c>
      <c r="AD205" s="18">
        <v>500000000</v>
      </c>
      <c r="AE205" s="34">
        <v>0</v>
      </c>
      <c r="AF205" s="34">
        <v>0</v>
      </c>
      <c r="AG205" s="18"/>
      <c r="AI205" s="34">
        <f t="shared" ref="AI205:AI206" si="127">AE205-AF205+AG205-AH205</f>
        <v>0</v>
      </c>
      <c r="AJ205" s="18">
        <f t="shared" ref="AJ205:AJ206" si="128">AD205+AI205</f>
        <v>500000000</v>
      </c>
      <c r="AK205" s="34">
        <v>0</v>
      </c>
      <c r="AL205" s="34">
        <f>AM205-OCTUBRE!AM204</f>
        <v>0</v>
      </c>
      <c r="AM205" s="18">
        <v>500000000</v>
      </c>
      <c r="AN205" s="34">
        <v>0</v>
      </c>
      <c r="AO205" s="34">
        <v>0</v>
      </c>
      <c r="AP205" s="18">
        <v>500000000</v>
      </c>
      <c r="AQ205" s="34">
        <v>0</v>
      </c>
      <c r="AR205" s="34">
        <v>0</v>
      </c>
      <c r="AS205" s="34">
        <v>0</v>
      </c>
      <c r="AT205" s="40">
        <f t="shared" ref="AT205:AT206" si="129">AQ205+AS205</f>
        <v>0</v>
      </c>
      <c r="AU205" s="34">
        <f>AJ205-AM205</f>
        <v>0</v>
      </c>
      <c r="AV205" s="34">
        <f>AM205-AP205</f>
        <v>0</v>
      </c>
      <c r="AW205" s="18">
        <f>AP205-AT205</f>
        <v>500000000</v>
      </c>
      <c r="AX205" s="123">
        <f>AP205/AJ205</f>
        <v>1</v>
      </c>
    </row>
    <row r="206" spans="1:50" ht="18.75" customHeight="1" x14ac:dyDescent="0.2">
      <c r="A206" s="14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66" t="s">
        <v>1014</v>
      </c>
      <c r="AB206" s="167" t="s">
        <v>1015</v>
      </c>
      <c r="AC206" s="161"/>
      <c r="AD206" s="34">
        <v>0</v>
      </c>
      <c r="AE206" s="18">
        <v>3410000000</v>
      </c>
      <c r="AF206" s="34">
        <v>0</v>
      </c>
      <c r="AG206" s="34">
        <v>0</v>
      </c>
      <c r="AH206" s="18">
        <f>3410000000</f>
        <v>3410000000</v>
      </c>
      <c r="AI206" s="34">
        <f t="shared" si="127"/>
        <v>0</v>
      </c>
      <c r="AJ206" s="18">
        <f t="shared" si="128"/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40">
        <f t="shared" si="129"/>
        <v>0</v>
      </c>
      <c r="AU206" s="34">
        <f>AJ206-AM206</f>
        <v>0</v>
      </c>
      <c r="AV206" s="34">
        <f>AM206-AP206</f>
        <v>0</v>
      </c>
      <c r="AW206" s="34">
        <f>AP206-AT206</f>
        <v>0</v>
      </c>
      <c r="AX206" s="123">
        <v>0</v>
      </c>
    </row>
    <row r="207" spans="1:50" ht="27" customHeight="1" x14ac:dyDescent="0.2">
      <c r="A207" s="14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69" t="s">
        <v>288</v>
      </c>
      <c r="AB207" s="163" t="s">
        <v>294</v>
      </c>
      <c r="AC207" s="17"/>
      <c r="AD207" s="18"/>
      <c r="AE207" s="34"/>
      <c r="AF207" s="34"/>
      <c r="AG207" s="34"/>
      <c r="AH207" s="34"/>
      <c r="AI207" s="34"/>
      <c r="AJ207" s="18"/>
      <c r="AK207" s="34"/>
      <c r="AL207" s="34"/>
      <c r="AM207" s="34"/>
      <c r="AN207" s="34"/>
      <c r="AO207" s="34"/>
      <c r="AP207" s="34"/>
      <c r="AQ207" s="34"/>
      <c r="AR207" s="145"/>
      <c r="AS207" s="34"/>
      <c r="AT207" s="31"/>
      <c r="AU207" s="18"/>
      <c r="AV207" s="34"/>
      <c r="AW207" s="34"/>
      <c r="AX207" s="18"/>
    </row>
    <row r="208" spans="1:50" ht="18.75" customHeight="1" x14ac:dyDescent="0.2">
      <c r="A208" s="14" t="s">
        <v>55</v>
      </c>
      <c r="B208" s="15" t="s">
        <v>56</v>
      </c>
      <c r="C208" s="15"/>
      <c r="D208" s="15"/>
      <c r="E208" s="15"/>
      <c r="F208" s="15"/>
      <c r="G208" s="15" t="s">
        <v>41</v>
      </c>
      <c r="H208" s="15"/>
      <c r="I208" s="15" t="s">
        <v>936</v>
      </c>
      <c r="J208" s="15"/>
      <c r="K208" s="15" t="s">
        <v>932</v>
      </c>
      <c r="L208" s="15"/>
      <c r="M208" s="15" t="s">
        <v>933</v>
      </c>
      <c r="N208" s="15"/>
      <c r="O208" s="15" t="s">
        <v>948</v>
      </c>
      <c r="P208" s="15"/>
      <c r="Q208" s="15" t="s">
        <v>942</v>
      </c>
      <c r="R208" s="15"/>
      <c r="S208" s="15" t="s">
        <v>940</v>
      </c>
      <c r="T208" s="15">
        <v>0</v>
      </c>
      <c r="U208" s="15">
        <v>0</v>
      </c>
      <c r="V208" s="15">
        <v>0</v>
      </c>
      <c r="W208" s="15"/>
      <c r="X208" s="15" t="s">
        <v>937</v>
      </c>
      <c r="Y208" s="15"/>
      <c r="Z208" s="15"/>
      <c r="AA208" s="16" t="s">
        <v>295</v>
      </c>
      <c r="AB208" s="17" t="s">
        <v>233</v>
      </c>
      <c r="AC208" s="17" t="s">
        <v>58</v>
      </c>
      <c r="AD208" s="18">
        <v>400000000</v>
      </c>
      <c r="AE208" s="34">
        <v>0</v>
      </c>
      <c r="AF208" s="34">
        <v>0</v>
      </c>
      <c r="AG208" s="34">
        <v>0</v>
      </c>
      <c r="AH208" s="34">
        <v>0</v>
      </c>
      <c r="AI208" s="34">
        <f>AE208-AF208+AG208-AH208</f>
        <v>0</v>
      </c>
      <c r="AJ208" s="18">
        <f>AD208+AI208</f>
        <v>400000000</v>
      </c>
      <c r="AK208" s="34">
        <v>0</v>
      </c>
      <c r="AL208" s="18">
        <f>AM208-OCTUBRE!AM207</f>
        <v>202473811.59</v>
      </c>
      <c r="AM208" s="110">
        <v>384449738.19</v>
      </c>
      <c r="AN208" s="34">
        <v>0</v>
      </c>
      <c r="AO208" s="133">
        <v>0</v>
      </c>
      <c r="AP208" s="110">
        <v>175143459.59999999</v>
      </c>
      <c r="AQ208" s="18">
        <v>4000000</v>
      </c>
      <c r="AR208" s="147">
        <v>10250000</v>
      </c>
      <c r="AS208" s="18">
        <v>122502302</v>
      </c>
      <c r="AT208" s="39">
        <f t="shared" ref="AT208:AT209" si="130">AQ208+AS208</f>
        <v>126502302</v>
      </c>
      <c r="AU208" s="18">
        <f>AJ208-AM208</f>
        <v>15550261.810000002</v>
      </c>
      <c r="AV208" s="110">
        <f>AM208-AP208</f>
        <v>209306278.59</v>
      </c>
      <c r="AW208" s="18">
        <f>AP208-AT208</f>
        <v>48641157.599999994</v>
      </c>
      <c r="AX208" s="123">
        <f>AP208/AJ208</f>
        <v>0.43785864899999999</v>
      </c>
    </row>
    <row r="209" spans="1:50" ht="18.75" customHeight="1" x14ac:dyDescent="0.2">
      <c r="A209" s="14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41" t="s">
        <v>1416</v>
      </c>
      <c r="AB209" s="42" t="s">
        <v>233</v>
      </c>
      <c r="AC209" s="17"/>
      <c r="AD209" s="18">
        <v>0</v>
      </c>
      <c r="AE209" s="34">
        <v>0</v>
      </c>
      <c r="AF209" s="34">
        <v>0</v>
      </c>
      <c r="AG209" s="18">
        <f>50000000+77000000</f>
        <v>127000000</v>
      </c>
      <c r="AH209" s="34">
        <v>0</v>
      </c>
      <c r="AI209" s="18">
        <f t="shared" ref="AI209" si="131">AE209-AF209+AG209-AH209</f>
        <v>127000000</v>
      </c>
      <c r="AJ209" s="18">
        <f t="shared" ref="AJ209" si="132">AD209+AI209</f>
        <v>127000000</v>
      </c>
      <c r="AK209" s="18">
        <v>0</v>
      </c>
      <c r="AL209" s="18">
        <v>50000000</v>
      </c>
      <c r="AM209" s="18">
        <v>50000000</v>
      </c>
      <c r="AN209" s="18">
        <v>0</v>
      </c>
      <c r="AO209" s="18">
        <v>0</v>
      </c>
      <c r="AP209" s="34">
        <v>0</v>
      </c>
      <c r="AQ209" s="34">
        <v>0</v>
      </c>
      <c r="AR209" s="145">
        <v>0</v>
      </c>
      <c r="AS209" s="34">
        <v>0</v>
      </c>
      <c r="AT209" s="40">
        <f t="shared" si="130"/>
        <v>0</v>
      </c>
      <c r="AU209" s="18">
        <f>AJ209-AM209</f>
        <v>77000000</v>
      </c>
      <c r="AV209" s="18">
        <f>AM209-AP209</f>
        <v>50000000</v>
      </c>
      <c r="AW209" s="34">
        <f>AP209-AT209</f>
        <v>0</v>
      </c>
      <c r="AX209" s="123">
        <f>AP209/AJ209</f>
        <v>0</v>
      </c>
    </row>
    <row r="210" spans="1:50" ht="18.75" customHeight="1" x14ac:dyDescent="0.2">
      <c r="A210" s="14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6"/>
      <c r="AB210" s="29" t="s">
        <v>189</v>
      </c>
      <c r="AC210" s="17"/>
      <c r="AD210" s="18"/>
      <c r="AE210" s="34"/>
      <c r="AF210" s="34"/>
      <c r="AG210" s="34"/>
      <c r="AH210" s="34"/>
      <c r="AI210" s="34"/>
      <c r="AJ210" s="18"/>
      <c r="AK210" s="34"/>
      <c r="AL210" s="34"/>
      <c r="AM210" s="34"/>
      <c r="AN210" s="34"/>
      <c r="AO210" s="34"/>
      <c r="AP210" s="34"/>
      <c r="AQ210" s="34"/>
      <c r="AR210" s="145"/>
      <c r="AS210" s="18"/>
      <c r="AT210" s="30"/>
      <c r="AU210" s="18"/>
      <c r="AV210" s="18"/>
      <c r="AW210" s="18"/>
      <c r="AX210" s="18"/>
    </row>
    <row r="211" spans="1:50" ht="18.75" customHeight="1" x14ac:dyDescent="0.2">
      <c r="A211" s="14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6"/>
      <c r="AB211" s="29" t="s">
        <v>191</v>
      </c>
      <c r="AC211" s="17"/>
      <c r="AD211" s="18"/>
      <c r="AE211" s="34"/>
      <c r="AF211" s="34"/>
      <c r="AG211" s="34"/>
      <c r="AH211" s="34"/>
      <c r="AI211" s="34"/>
      <c r="AJ211" s="18"/>
      <c r="AK211" s="34"/>
      <c r="AL211" s="34"/>
      <c r="AM211" s="34"/>
      <c r="AN211" s="34"/>
      <c r="AO211" s="34"/>
      <c r="AP211" s="34"/>
      <c r="AQ211" s="34"/>
      <c r="AR211" s="145"/>
      <c r="AS211" s="18"/>
      <c r="AT211" s="30"/>
      <c r="AU211" s="18"/>
      <c r="AV211" s="18"/>
      <c r="AW211" s="18"/>
      <c r="AX211" s="18"/>
    </row>
    <row r="212" spans="1:50" ht="18.75" customHeight="1" x14ac:dyDescent="0.2">
      <c r="A212" s="14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28" t="s">
        <v>288</v>
      </c>
      <c r="AB212" s="29" t="s">
        <v>296</v>
      </c>
      <c r="AC212" s="17"/>
      <c r="AD212" s="18"/>
      <c r="AE212" s="34"/>
      <c r="AF212" s="34"/>
      <c r="AG212" s="34"/>
      <c r="AH212" s="34"/>
      <c r="AI212" s="34"/>
      <c r="AJ212" s="18"/>
      <c r="AK212" s="34"/>
      <c r="AL212" s="34"/>
      <c r="AM212" s="34"/>
      <c r="AN212" s="34"/>
      <c r="AO212" s="34"/>
      <c r="AP212" s="34"/>
      <c r="AQ212" s="34"/>
      <c r="AR212" s="34"/>
      <c r="AS212" s="18"/>
      <c r="AT212" s="30"/>
      <c r="AU212" s="18"/>
      <c r="AV212" s="18"/>
      <c r="AW212" s="18"/>
      <c r="AX212" s="18"/>
    </row>
    <row r="213" spans="1:50" ht="18.75" customHeight="1" x14ac:dyDescent="0.2">
      <c r="A213" s="14" t="s">
        <v>55</v>
      </c>
      <c r="B213" s="15" t="s">
        <v>56</v>
      </c>
      <c r="C213" s="15"/>
      <c r="D213" s="15"/>
      <c r="E213" s="15"/>
      <c r="F213" s="15"/>
      <c r="G213" s="15" t="s">
        <v>41</v>
      </c>
      <c r="H213" s="15"/>
      <c r="I213" s="15" t="s">
        <v>936</v>
      </c>
      <c r="J213" s="15"/>
      <c r="K213" s="15" t="s">
        <v>932</v>
      </c>
      <c r="L213" s="15"/>
      <c r="M213" s="15" t="s">
        <v>933</v>
      </c>
      <c r="N213" s="15"/>
      <c r="O213" s="15" t="s">
        <v>948</v>
      </c>
      <c r="P213" s="15"/>
      <c r="Q213" s="15" t="s">
        <v>942</v>
      </c>
      <c r="R213" s="15"/>
      <c r="S213" s="15" t="s">
        <v>940</v>
      </c>
      <c r="T213" s="15">
        <v>0</v>
      </c>
      <c r="U213" s="15">
        <v>0</v>
      </c>
      <c r="V213" s="15">
        <v>0</v>
      </c>
      <c r="W213" s="15"/>
      <c r="X213" s="15" t="s">
        <v>937</v>
      </c>
      <c r="Y213" s="15"/>
      <c r="Z213" s="15"/>
      <c r="AA213" s="16" t="s">
        <v>297</v>
      </c>
      <c r="AB213" s="17" t="s">
        <v>233</v>
      </c>
      <c r="AC213" s="17" t="s">
        <v>58</v>
      </c>
      <c r="AD213" s="18">
        <v>200000000</v>
      </c>
      <c r="AE213" s="34">
        <v>0</v>
      </c>
      <c r="AF213" s="34">
        <v>0</v>
      </c>
      <c r="AG213" s="18">
        <f>40000000+20000000</f>
        <v>60000000</v>
      </c>
      <c r="AH213" s="34">
        <v>0</v>
      </c>
      <c r="AI213" s="18">
        <f>AE213-AF213+AG213-AH213</f>
        <v>60000000</v>
      </c>
      <c r="AJ213" s="18">
        <f>AD213+AI213</f>
        <v>260000000</v>
      </c>
      <c r="AK213" s="34">
        <v>0</v>
      </c>
      <c r="AL213" s="18">
        <f>AM213-OCTUBRE!AM212</f>
        <v>45000000</v>
      </c>
      <c r="AM213" s="18">
        <v>257000000</v>
      </c>
      <c r="AN213" s="18">
        <v>0</v>
      </c>
      <c r="AO213" s="34">
        <v>0</v>
      </c>
      <c r="AP213" s="34">
        <v>0</v>
      </c>
      <c r="AQ213" s="34">
        <v>0</v>
      </c>
      <c r="AR213" s="34">
        <v>0</v>
      </c>
      <c r="AS213" s="34">
        <v>0</v>
      </c>
      <c r="AT213" s="40">
        <f t="shared" ref="AT213:AT214" si="133">AQ213+AS213</f>
        <v>0</v>
      </c>
      <c r="AU213" s="18">
        <f>AJ213-AM213</f>
        <v>3000000</v>
      </c>
      <c r="AV213" s="18">
        <f>AM213-AP213</f>
        <v>257000000</v>
      </c>
      <c r="AW213" s="34">
        <f>AP213-AT213</f>
        <v>0</v>
      </c>
      <c r="AX213" s="123">
        <f>AP213/AJ213</f>
        <v>0</v>
      </c>
    </row>
    <row r="214" spans="1:50" ht="18.75" customHeight="1" x14ac:dyDescent="0.2">
      <c r="A214" s="14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41" t="s">
        <v>1418</v>
      </c>
      <c r="AB214" s="42" t="s">
        <v>1015</v>
      </c>
      <c r="AC214" s="17"/>
      <c r="AD214" s="34">
        <v>0</v>
      </c>
      <c r="AE214" s="34">
        <v>0</v>
      </c>
      <c r="AF214" s="34">
        <v>0</v>
      </c>
      <c r="AG214" s="18">
        <v>40000000</v>
      </c>
      <c r="AH214" s="34"/>
      <c r="AI214" s="18">
        <f>AE214-AF214+AG214-AH214</f>
        <v>40000000</v>
      </c>
      <c r="AJ214" s="18">
        <f>AD214+AI214</f>
        <v>40000000</v>
      </c>
      <c r="AK214" s="34">
        <v>0</v>
      </c>
      <c r="AL214" s="18">
        <v>33000000</v>
      </c>
      <c r="AM214" s="18">
        <v>33000000</v>
      </c>
      <c r="AN214" s="18">
        <v>0</v>
      </c>
      <c r="AO214" s="34">
        <v>0</v>
      </c>
      <c r="AP214" s="34">
        <v>0</v>
      </c>
      <c r="AQ214" s="34">
        <v>0</v>
      </c>
      <c r="AR214" s="34">
        <v>0</v>
      </c>
      <c r="AS214" s="34">
        <v>0</v>
      </c>
      <c r="AT214" s="40">
        <f t="shared" si="133"/>
        <v>0</v>
      </c>
      <c r="AU214" s="18">
        <f>AJ214-AM214</f>
        <v>7000000</v>
      </c>
      <c r="AV214" s="34">
        <f>AM214-AP214</f>
        <v>33000000</v>
      </c>
      <c r="AW214" s="34">
        <f>AP214-AT214</f>
        <v>0</v>
      </c>
      <c r="AX214" s="123">
        <f>AP214/AJ214</f>
        <v>0</v>
      </c>
    </row>
    <row r="215" spans="1:50" ht="24" customHeight="1" x14ac:dyDescent="0.2">
      <c r="A215" s="14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6"/>
      <c r="AB215" s="29" t="s">
        <v>298</v>
      </c>
      <c r="AC215" s="17"/>
      <c r="AD215" s="34"/>
      <c r="AE215" s="34"/>
      <c r="AF215" s="34"/>
      <c r="AG215" s="34"/>
      <c r="AH215" s="34"/>
      <c r="AI215" s="34"/>
      <c r="AJ215" s="18"/>
      <c r="AK215" s="18"/>
      <c r="AL215" s="18"/>
      <c r="AM215" s="18"/>
      <c r="AN215" s="18"/>
      <c r="AO215" s="18"/>
      <c r="AP215" s="18"/>
      <c r="AQ215" s="18"/>
      <c r="AR215" s="18"/>
      <c r="AS215" s="34"/>
      <c r="AT215" s="31"/>
      <c r="AU215" s="18"/>
      <c r="AV215" s="18"/>
      <c r="AW215" s="18"/>
      <c r="AX215" s="18"/>
    </row>
    <row r="216" spans="1:50" ht="24" customHeight="1" x14ac:dyDescent="0.2">
      <c r="A216" s="14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73" t="s">
        <v>288</v>
      </c>
      <c r="AB216" s="29" t="s">
        <v>1387</v>
      </c>
      <c r="AC216" s="17"/>
      <c r="AD216" s="34"/>
      <c r="AE216" s="34"/>
      <c r="AF216" s="34"/>
      <c r="AG216" s="34"/>
      <c r="AH216" s="34"/>
      <c r="AI216" s="34"/>
      <c r="AJ216" s="18"/>
      <c r="AK216" s="18"/>
      <c r="AL216" s="18"/>
      <c r="AM216" s="18"/>
      <c r="AN216" s="18"/>
      <c r="AO216" s="18"/>
      <c r="AP216" s="18"/>
      <c r="AQ216" s="18"/>
      <c r="AR216" s="18"/>
      <c r="AS216" s="34"/>
      <c r="AT216" s="31"/>
      <c r="AU216" s="18"/>
      <c r="AV216" s="18"/>
      <c r="AW216" s="18"/>
      <c r="AX216" s="18"/>
    </row>
    <row r="217" spans="1:50" ht="24" customHeight="1" x14ac:dyDescent="0.2">
      <c r="A217" s="14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41" t="s">
        <v>1388</v>
      </c>
      <c r="AB217" s="38" t="s">
        <v>233</v>
      </c>
      <c r="AC217" s="17"/>
      <c r="AD217" s="34">
        <v>0</v>
      </c>
      <c r="AE217" s="34">
        <v>0</v>
      </c>
      <c r="AF217" s="34">
        <v>0</v>
      </c>
      <c r="AG217" s="18">
        <v>26243023</v>
      </c>
      <c r="AH217" s="34"/>
      <c r="AI217" s="18">
        <f t="shared" ref="AI217:AI218" si="134">AE217-AF217+AG217-AH217</f>
        <v>26243023</v>
      </c>
      <c r="AJ217" s="18">
        <f t="shared" ref="AJ217:AJ218" si="135">AD217+AI217</f>
        <v>26243023</v>
      </c>
      <c r="AK217" s="34">
        <v>0</v>
      </c>
      <c r="AL217" s="18">
        <f>AM217-OCTUBRE!AM216</f>
        <v>4500000</v>
      </c>
      <c r="AM217" s="18">
        <v>4500000</v>
      </c>
      <c r="AN217" s="34">
        <v>0</v>
      </c>
      <c r="AO217" s="34">
        <v>4500000</v>
      </c>
      <c r="AP217" s="34">
        <v>4500000</v>
      </c>
      <c r="AQ217" s="34">
        <v>0</v>
      </c>
      <c r="AR217" s="34">
        <v>0</v>
      </c>
      <c r="AS217" s="34">
        <v>0</v>
      </c>
      <c r="AT217" s="40">
        <f t="shared" ref="AT217:AT218" si="136">AQ217+AS217</f>
        <v>0</v>
      </c>
      <c r="AU217" s="18">
        <f t="shared" ref="AU217:AU218" si="137">AJ217-AM217</f>
        <v>21743023</v>
      </c>
      <c r="AV217" s="34">
        <f t="shared" ref="AV217:AV218" si="138">AM217-AP217</f>
        <v>0</v>
      </c>
      <c r="AW217" s="18">
        <f t="shared" ref="AW217:AW218" si="139">AP217-AT217</f>
        <v>4500000</v>
      </c>
      <c r="AX217" s="123">
        <f t="shared" ref="AX217:AX218" si="140">AP217/AJ217</f>
        <v>0.17147414762392274</v>
      </c>
    </row>
    <row r="218" spans="1:50" ht="24" customHeight="1" x14ac:dyDescent="0.2">
      <c r="A218" s="14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41" t="s">
        <v>1389</v>
      </c>
      <c r="AB218" s="38" t="s">
        <v>1015</v>
      </c>
      <c r="AC218" s="17"/>
      <c r="AD218" s="34">
        <v>0</v>
      </c>
      <c r="AE218" s="34">
        <v>0</v>
      </c>
      <c r="AF218" s="34">
        <v>0</v>
      </c>
      <c r="AG218" s="18">
        <v>68383715</v>
      </c>
      <c r="AH218" s="34"/>
      <c r="AI218" s="18">
        <f t="shared" si="134"/>
        <v>68383715</v>
      </c>
      <c r="AJ218" s="18">
        <f t="shared" si="135"/>
        <v>68383715</v>
      </c>
      <c r="AK218" s="34">
        <v>0</v>
      </c>
      <c r="AL218" s="18">
        <f>AM218-OCTUBRE!AM217</f>
        <v>26214191</v>
      </c>
      <c r="AM218" s="34">
        <v>26214191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40">
        <f t="shared" si="136"/>
        <v>0</v>
      </c>
      <c r="AU218" s="18">
        <f t="shared" si="137"/>
        <v>42169524</v>
      </c>
      <c r="AV218" s="34">
        <f t="shared" si="138"/>
        <v>26214191</v>
      </c>
      <c r="AW218" s="34">
        <f t="shared" si="139"/>
        <v>0</v>
      </c>
      <c r="AX218" s="123">
        <f t="shared" si="140"/>
        <v>0</v>
      </c>
    </row>
    <row r="219" spans="1:50" ht="18.75" customHeight="1" x14ac:dyDescent="0.2">
      <c r="A219" s="14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28" t="s">
        <v>288</v>
      </c>
      <c r="AB219" s="29" t="s">
        <v>299</v>
      </c>
      <c r="AC219" s="17"/>
      <c r="AD219" s="18"/>
      <c r="AE219" s="34"/>
      <c r="AF219" s="34"/>
      <c r="AG219" s="34"/>
      <c r="AH219" s="34"/>
      <c r="AI219" s="34"/>
      <c r="AJ219" s="18"/>
      <c r="AK219" s="18"/>
      <c r="AL219" s="18"/>
      <c r="AM219" s="18"/>
      <c r="AN219" s="18"/>
      <c r="AO219" s="147"/>
      <c r="AP219" s="18"/>
      <c r="AQ219" s="18"/>
      <c r="AR219" s="147"/>
      <c r="AS219" s="34"/>
      <c r="AT219" s="31"/>
      <c r="AU219" s="18"/>
      <c r="AV219" s="18"/>
      <c r="AW219" s="18"/>
      <c r="AX219" s="18"/>
    </row>
    <row r="220" spans="1:50" ht="18.75" customHeight="1" x14ac:dyDescent="0.2">
      <c r="A220" s="14" t="s">
        <v>55</v>
      </c>
      <c r="B220" s="15" t="s">
        <v>56</v>
      </c>
      <c r="C220" s="15"/>
      <c r="D220" s="15"/>
      <c r="E220" s="15"/>
      <c r="F220" s="15"/>
      <c r="G220" s="15" t="s">
        <v>41</v>
      </c>
      <c r="H220" s="15"/>
      <c r="I220" s="15" t="s">
        <v>936</v>
      </c>
      <c r="J220" s="15"/>
      <c r="K220" s="15" t="s">
        <v>932</v>
      </c>
      <c r="L220" s="15"/>
      <c r="M220" s="15" t="s">
        <v>933</v>
      </c>
      <c r="N220" s="15"/>
      <c r="O220" s="15" t="s">
        <v>948</v>
      </c>
      <c r="P220" s="15"/>
      <c r="Q220" s="15" t="s">
        <v>942</v>
      </c>
      <c r="R220" s="15"/>
      <c r="S220" s="15" t="s">
        <v>940</v>
      </c>
      <c r="T220" s="15">
        <v>0</v>
      </c>
      <c r="U220" s="15">
        <v>0</v>
      </c>
      <c r="V220" s="15">
        <v>0</v>
      </c>
      <c r="W220" s="15"/>
      <c r="X220" s="15" t="s">
        <v>937</v>
      </c>
      <c r="Y220" s="15"/>
      <c r="Z220" s="15"/>
      <c r="AA220" s="16" t="s">
        <v>300</v>
      </c>
      <c r="AB220" s="17" t="s">
        <v>233</v>
      </c>
      <c r="AC220" s="17" t="s">
        <v>58</v>
      </c>
      <c r="AD220" s="18">
        <v>250000000</v>
      </c>
      <c r="AE220" s="34">
        <v>0</v>
      </c>
      <c r="AF220" s="34">
        <v>0</v>
      </c>
      <c r="AG220" s="18">
        <v>200000000</v>
      </c>
      <c r="AH220" s="18">
        <v>77000000</v>
      </c>
      <c r="AI220" s="18">
        <f>AE220-AF220+AG220-AH220</f>
        <v>123000000</v>
      </c>
      <c r="AJ220" s="18">
        <f>AD220+AI220</f>
        <v>373000000</v>
      </c>
      <c r="AK220" s="34">
        <v>0</v>
      </c>
      <c r="AL220" s="18">
        <f>AM220-OCTUBRE!AM219</f>
        <v>13100000</v>
      </c>
      <c r="AM220" s="18">
        <v>346316667.33999997</v>
      </c>
      <c r="AN220" s="34">
        <v>0</v>
      </c>
      <c r="AO220" s="147">
        <v>8500000</v>
      </c>
      <c r="AP220" s="18">
        <v>328316667.33999997</v>
      </c>
      <c r="AQ220" s="18">
        <v>5266667</v>
      </c>
      <c r="AR220" s="147">
        <v>32000000</v>
      </c>
      <c r="AS220" s="18">
        <v>277400000</v>
      </c>
      <c r="AT220" s="39">
        <f t="shared" ref="AT220:AT236" si="141">AQ220+AS220</f>
        <v>282666667</v>
      </c>
      <c r="AU220" s="18">
        <f>AJ220-AM220</f>
        <v>26683332.660000026</v>
      </c>
      <c r="AV220" s="110">
        <f>AM220-AP220</f>
        <v>18000000</v>
      </c>
      <c r="AW220" s="110">
        <f>AP220-AT220</f>
        <v>45650000.339999974</v>
      </c>
      <c r="AX220" s="123">
        <f>AP220/AJ220</f>
        <v>0.88020554246648786</v>
      </c>
    </row>
    <row r="221" spans="1:50" ht="18.75" customHeight="1" x14ac:dyDescent="0.2">
      <c r="A221" s="14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28" t="s">
        <v>288</v>
      </c>
      <c r="AB221" s="29" t="s">
        <v>292</v>
      </c>
      <c r="AC221" s="17"/>
      <c r="AD221" s="18"/>
      <c r="AE221" s="34"/>
      <c r="AF221" s="34"/>
      <c r="AG221" s="34"/>
      <c r="AH221" s="34"/>
      <c r="AI221" s="34"/>
      <c r="AJ221" s="18"/>
      <c r="AK221" s="34"/>
      <c r="AL221" s="18"/>
      <c r="AM221" s="18"/>
      <c r="AN221" s="34"/>
      <c r="AO221" s="145"/>
      <c r="AP221" s="18"/>
      <c r="AQ221" s="18"/>
      <c r="AR221" s="147"/>
      <c r="AS221" s="34"/>
      <c r="AT221" s="31"/>
      <c r="AU221" s="18"/>
      <c r="AV221" s="18"/>
      <c r="AW221" s="18"/>
      <c r="AX221" s="18"/>
    </row>
    <row r="222" spans="1:50" ht="18.75" customHeight="1" x14ac:dyDescent="0.2">
      <c r="A222" s="35" t="s">
        <v>55</v>
      </c>
      <c r="B222" s="36" t="s">
        <v>56</v>
      </c>
      <c r="C222" s="36"/>
      <c r="D222" s="36"/>
      <c r="E222" s="36"/>
      <c r="F222" s="36"/>
      <c r="G222" s="36" t="s">
        <v>41</v>
      </c>
      <c r="H222" s="36"/>
      <c r="I222" s="36" t="s">
        <v>936</v>
      </c>
      <c r="J222" s="36"/>
      <c r="K222" s="36" t="s">
        <v>932</v>
      </c>
      <c r="L222" s="36"/>
      <c r="M222" s="36" t="s">
        <v>933</v>
      </c>
      <c r="N222" s="36"/>
      <c r="O222" s="36" t="s">
        <v>948</v>
      </c>
      <c r="P222" s="36"/>
      <c r="Q222" s="36" t="s">
        <v>942</v>
      </c>
      <c r="R222" s="36"/>
      <c r="S222" s="36" t="s">
        <v>940</v>
      </c>
      <c r="T222" s="36">
        <v>0</v>
      </c>
      <c r="U222" s="36">
        <v>0</v>
      </c>
      <c r="V222" s="36">
        <v>0</v>
      </c>
      <c r="W222" s="36"/>
      <c r="X222" s="36" t="s">
        <v>937</v>
      </c>
      <c r="Y222" s="36"/>
      <c r="Z222" s="36"/>
      <c r="AA222" s="37" t="s">
        <v>301</v>
      </c>
      <c r="AB222" s="38" t="s">
        <v>233</v>
      </c>
      <c r="AC222" s="38" t="s">
        <v>58</v>
      </c>
      <c r="AD222" s="39">
        <v>200000000</v>
      </c>
      <c r="AE222" s="40">
        <v>0</v>
      </c>
      <c r="AF222" s="40">
        <v>0</v>
      </c>
      <c r="AG222" s="18">
        <v>64995888</v>
      </c>
      <c r="AH222" s="18">
        <v>26243023</v>
      </c>
      <c r="AI222" s="18">
        <f t="shared" ref="AI222:AI223" si="142">AE222-AF222+AG222-AH222</f>
        <v>38752865</v>
      </c>
      <c r="AJ222" s="18">
        <f t="shared" ref="AJ222:AJ223" si="143">AD222+AI222</f>
        <v>238752865</v>
      </c>
      <c r="AK222" s="40">
        <v>0</v>
      </c>
      <c r="AL222" s="18">
        <f>AM222-OCTUBRE!AM221</f>
        <v>-357123.94999998808</v>
      </c>
      <c r="AM222" s="39">
        <v>188794145.06</v>
      </c>
      <c r="AN222" s="39">
        <v>0</v>
      </c>
      <c r="AO222" s="267">
        <v>15516666.66</v>
      </c>
      <c r="AP222" s="39">
        <v>183195208.06</v>
      </c>
      <c r="AQ222" s="39">
        <v>6866667</v>
      </c>
      <c r="AR222" s="267">
        <v>17716667</v>
      </c>
      <c r="AS222" s="39">
        <v>112866534</v>
      </c>
      <c r="AT222" s="39">
        <f t="shared" ref="AT222:AT226" si="144">AQ222+AS222</f>
        <v>119733201</v>
      </c>
      <c r="AU222" s="18">
        <f>AJ222-AM222</f>
        <v>49958719.939999998</v>
      </c>
      <c r="AV222" s="18">
        <f>AM222-AP222</f>
        <v>5598937</v>
      </c>
      <c r="AW222" s="18">
        <f>AP222-AT222</f>
        <v>63462007.060000002</v>
      </c>
      <c r="AX222" s="123">
        <f>AP222/AJ222</f>
        <v>0.76730056437228511</v>
      </c>
    </row>
    <row r="223" spans="1:50" ht="18.75" customHeight="1" x14ac:dyDescent="0.2">
      <c r="A223" s="35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101" t="s">
        <v>1234</v>
      </c>
      <c r="AB223" s="251" t="s">
        <v>1015</v>
      </c>
      <c r="AC223" s="38"/>
      <c r="AD223" s="40">
        <v>0</v>
      </c>
      <c r="AE223" s="40"/>
      <c r="AF223" s="40"/>
      <c r="AG223" s="18">
        <v>2307325192</v>
      </c>
      <c r="AH223" s="39">
        <v>268386035</v>
      </c>
      <c r="AI223" s="18">
        <f t="shared" si="142"/>
        <v>2038939157</v>
      </c>
      <c r="AJ223" s="18">
        <f t="shared" si="143"/>
        <v>2038939157</v>
      </c>
      <c r="AK223" s="40">
        <v>0</v>
      </c>
      <c r="AL223" s="34">
        <v>0</v>
      </c>
      <c r="AM223" s="39">
        <v>1845351915.47</v>
      </c>
      <c r="AN223" s="39">
        <v>0</v>
      </c>
      <c r="AO223" s="146">
        <v>0</v>
      </c>
      <c r="AP223" s="40">
        <v>288871373.47000003</v>
      </c>
      <c r="AQ223" s="40">
        <v>0</v>
      </c>
      <c r="AR223" s="146">
        <v>0</v>
      </c>
      <c r="AS223" s="40">
        <v>0</v>
      </c>
      <c r="AT223" s="40">
        <f t="shared" si="144"/>
        <v>0</v>
      </c>
      <c r="AU223" s="18">
        <f>AJ223-AM223</f>
        <v>193587241.52999997</v>
      </c>
      <c r="AV223" s="18">
        <f>AM223-AP223</f>
        <v>1556480542</v>
      </c>
      <c r="AW223" s="18">
        <f>AP223-AT223</f>
        <v>288871373.47000003</v>
      </c>
      <c r="AX223" s="123">
        <f>AP223/AJ223</f>
        <v>0.14167728962301743</v>
      </c>
    </row>
    <row r="224" spans="1:50" ht="26.25" customHeight="1" x14ac:dyDescent="0.2">
      <c r="A224" s="35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28" t="s">
        <v>288</v>
      </c>
      <c r="AB224" s="29" t="s">
        <v>298</v>
      </c>
      <c r="AC224" s="38"/>
      <c r="AD224" s="40"/>
      <c r="AE224" s="40"/>
      <c r="AF224" s="40"/>
      <c r="AG224" s="40"/>
      <c r="AH224" s="40"/>
      <c r="AI224" s="40"/>
      <c r="AJ224" s="39"/>
      <c r="AK224" s="40"/>
      <c r="AL224" s="40"/>
      <c r="AM224" s="40"/>
      <c r="AN224" s="40"/>
      <c r="AO224" s="146"/>
      <c r="AP224" s="40"/>
      <c r="AQ224" s="40"/>
      <c r="AR224" s="146"/>
      <c r="AS224" s="40"/>
      <c r="AT224" s="40">
        <f t="shared" si="144"/>
        <v>0</v>
      </c>
      <c r="AU224" s="34">
        <f>AJ224-AM224</f>
        <v>0</v>
      </c>
      <c r="AV224" s="34">
        <f>AM224-AP224</f>
        <v>0</v>
      </c>
      <c r="AW224" s="34">
        <f>AP224-AT224</f>
        <v>0</v>
      </c>
      <c r="AX224" s="123">
        <v>0</v>
      </c>
    </row>
    <row r="225" spans="1:50" ht="18.75" customHeight="1" x14ac:dyDescent="0.2">
      <c r="A225" s="35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101" t="s">
        <v>1218</v>
      </c>
      <c r="AB225" s="251" t="s">
        <v>233</v>
      </c>
      <c r="AC225" s="38"/>
      <c r="AD225" s="40">
        <v>0</v>
      </c>
      <c r="AE225" s="40">
        <v>0</v>
      </c>
      <c r="AF225" s="40">
        <v>0</v>
      </c>
      <c r="AG225" s="39">
        <v>4935004112</v>
      </c>
      <c r="AH225" s="40">
        <v>0</v>
      </c>
      <c r="AI225" s="18">
        <f>AE225-AF225+AG225-AH225</f>
        <v>4935004112</v>
      </c>
      <c r="AJ225" s="18">
        <f>AD225+AI225</f>
        <v>4935004112</v>
      </c>
      <c r="AK225" s="40">
        <v>0</v>
      </c>
      <c r="AL225" s="34">
        <f>AM225-OCTUBRE!AM224</f>
        <v>0</v>
      </c>
      <c r="AM225" s="39">
        <v>4935004112</v>
      </c>
      <c r="AN225" s="40">
        <v>0</v>
      </c>
      <c r="AO225" s="40">
        <v>0</v>
      </c>
      <c r="AP225" s="39">
        <v>4933250584</v>
      </c>
      <c r="AQ225" s="40">
        <v>0</v>
      </c>
      <c r="AR225" s="146">
        <v>0</v>
      </c>
      <c r="AS225" s="40">
        <v>0</v>
      </c>
      <c r="AT225" s="40">
        <f t="shared" si="144"/>
        <v>0</v>
      </c>
      <c r="AU225" s="34">
        <f>AJ225-AM225</f>
        <v>0</v>
      </c>
      <c r="AV225" s="18">
        <f>AM225-AP225</f>
        <v>1753528</v>
      </c>
      <c r="AW225" s="18">
        <f>AP225-AT225</f>
        <v>4933250584</v>
      </c>
      <c r="AX225" s="123">
        <f>AP225/AJ225</f>
        <v>0.99964467547337277</v>
      </c>
    </row>
    <row r="226" spans="1:50" ht="18.75" customHeight="1" x14ac:dyDescent="0.2">
      <c r="A226" s="35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101" t="s">
        <v>1386</v>
      </c>
      <c r="AB226" s="251" t="s">
        <v>1015</v>
      </c>
      <c r="AC226" s="38"/>
      <c r="AD226" s="40">
        <v>0</v>
      </c>
      <c r="AE226" s="40">
        <v>0</v>
      </c>
      <c r="AF226" s="40">
        <v>0</v>
      </c>
      <c r="AG226" s="39">
        <v>200002320</v>
      </c>
      <c r="AH226" s="40"/>
      <c r="AI226" s="18">
        <f>AE226-AF226+AG226-AH226</f>
        <v>200002320</v>
      </c>
      <c r="AJ226" s="18">
        <f>AD226+AI226</f>
        <v>200002320</v>
      </c>
      <c r="AK226" s="40">
        <v>0</v>
      </c>
      <c r="AL226" s="18">
        <f>AM226-OCTUBRE!AM225</f>
        <v>9000000</v>
      </c>
      <c r="AM226" s="39">
        <v>9000000</v>
      </c>
      <c r="AN226" s="40">
        <v>0</v>
      </c>
      <c r="AO226" s="40">
        <v>9000000</v>
      </c>
      <c r="AP226" s="39">
        <v>9000000</v>
      </c>
      <c r="AQ226" s="40">
        <v>0</v>
      </c>
      <c r="AR226" s="146">
        <v>0</v>
      </c>
      <c r="AS226" s="40">
        <v>0</v>
      </c>
      <c r="AT226" s="40">
        <f t="shared" si="144"/>
        <v>0</v>
      </c>
      <c r="AU226" s="18">
        <f>AJ226-AM226</f>
        <v>191002320</v>
      </c>
      <c r="AV226" s="34">
        <f>AM226-AP226</f>
        <v>0</v>
      </c>
      <c r="AW226" s="34">
        <f>AP226-AT226</f>
        <v>9000000</v>
      </c>
      <c r="AX226" s="123">
        <f>AP226/AJ226</f>
        <v>4.4999478006055131E-2</v>
      </c>
    </row>
    <row r="227" spans="1:50" ht="24.75" customHeight="1" x14ac:dyDescent="0.2">
      <c r="A227" s="14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28" t="s">
        <v>288</v>
      </c>
      <c r="AB227" s="29" t="s">
        <v>302</v>
      </c>
      <c r="AC227" s="17"/>
      <c r="AD227" s="18"/>
      <c r="AE227" s="34"/>
      <c r="AF227" s="34"/>
      <c r="AG227" s="34"/>
      <c r="AH227" s="34"/>
      <c r="AI227" s="34"/>
      <c r="AJ227" s="18"/>
      <c r="AK227" s="34"/>
      <c r="AL227" s="34"/>
      <c r="AM227" s="34"/>
      <c r="AN227" s="34"/>
      <c r="AO227" s="34"/>
      <c r="AP227" s="34"/>
      <c r="AQ227" s="34"/>
      <c r="AR227" s="145"/>
      <c r="AS227" s="34"/>
      <c r="AT227" s="31"/>
      <c r="AU227" s="18"/>
      <c r="AV227" s="34"/>
      <c r="AW227" s="34"/>
      <c r="AX227" s="18"/>
    </row>
    <row r="228" spans="1:50" ht="18.75" customHeight="1" x14ac:dyDescent="0.2">
      <c r="A228" s="14" t="s">
        <v>55</v>
      </c>
      <c r="B228" s="15" t="s">
        <v>56</v>
      </c>
      <c r="C228" s="15"/>
      <c r="D228" s="15"/>
      <c r="E228" s="15"/>
      <c r="F228" s="15"/>
      <c r="G228" s="15" t="s">
        <v>41</v>
      </c>
      <c r="H228" s="15"/>
      <c r="I228" s="15" t="s">
        <v>936</v>
      </c>
      <c r="J228" s="15"/>
      <c r="K228" s="15" t="s">
        <v>932</v>
      </c>
      <c r="L228" s="15"/>
      <c r="M228" s="15" t="s">
        <v>933</v>
      </c>
      <c r="N228" s="15"/>
      <c r="O228" s="15" t="s">
        <v>948</v>
      </c>
      <c r="P228" s="15"/>
      <c r="Q228" s="15" t="s">
        <v>942</v>
      </c>
      <c r="R228" s="15"/>
      <c r="S228" s="15" t="s">
        <v>940</v>
      </c>
      <c r="T228" s="15">
        <v>0</v>
      </c>
      <c r="U228" s="15">
        <v>0</v>
      </c>
      <c r="V228" s="15">
        <v>0</v>
      </c>
      <c r="W228" s="15"/>
      <c r="X228" s="15" t="s">
        <v>937</v>
      </c>
      <c r="Y228" s="15"/>
      <c r="Z228" s="15"/>
      <c r="AA228" s="16" t="s">
        <v>303</v>
      </c>
      <c r="AB228" s="17" t="s">
        <v>233</v>
      </c>
      <c r="AC228" s="17" t="s">
        <v>58</v>
      </c>
      <c r="AD228" s="18">
        <v>850000000</v>
      </c>
      <c r="AE228" s="34">
        <v>0</v>
      </c>
      <c r="AF228" s="34">
        <v>0</v>
      </c>
      <c r="AG228" s="34">
        <v>0</v>
      </c>
      <c r="AH228" s="34">
        <v>0</v>
      </c>
      <c r="AI228" s="34">
        <f>AE228-AF228+AG228-AH228</f>
        <v>0</v>
      </c>
      <c r="AJ228" s="18">
        <f>AD228+AI228</f>
        <v>850000000</v>
      </c>
      <c r="AK228" s="34">
        <v>0</v>
      </c>
      <c r="AL228" s="18">
        <f>AM228-OCTUBRE!AM227</f>
        <v>31105666.659999967</v>
      </c>
      <c r="AM228" s="110">
        <v>807386096.65999997</v>
      </c>
      <c r="AN228" s="133">
        <v>0</v>
      </c>
      <c r="AO228" s="286">
        <v>26766666.66</v>
      </c>
      <c r="AP228" s="110">
        <v>799386096.65999997</v>
      </c>
      <c r="AQ228" s="18">
        <v>27200000</v>
      </c>
      <c r="AR228" s="147">
        <v>63943575</v>
      </c>
      <c r="AS228" s="18">
        <v>569703808.64999998</v>
      </c>
      <c r="AT228" s="39">
        <f t="shared" ref="AT228" si="145">AQ228+AS228</f>
        <v>596903808.64999998</v>
      </c>
      <c r="AU228" s="18">
        <f>AJ228-AM228</f>
        <v>42613903.340000033</v>
      </c>
      <c r="AV228" s="110">
        <f>AM228-AP228</f>
        <v>8000000</v>
      </c>
      <c r="AW228" s="110">
        <f>AP228-AT228</f>
        <v>202482288.00999999</v>
      </c>
      <c r="AX228" s="123">
        <f>AP228/AJ228</f>
        <v>0.94045423136470585</v>
      </c>
    </row>
    <row r="229" spans="1:50" ht="18.75" customHeight="1" x14ac:dyDescent="0.2">
      <c r="A229" s="35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28" t="s">
        <v>288</v>
      </c>
      <c r="AB229" s="29" t="s">
        <v>304</v>
      </c>
      <c r="AC229" s="38"/>
      <c r="AD229" s="39"/>
      <c r="AE229" s="40"/>
      <c r="AF229" s="40"/>
      <c r="AG229" s="40"/>
      <c r="AH229" s="40"/>
      <c r="AI229" s="40"/>
      <c r="AJ229" s="39"/>
      <c r="AK229" s="39"/>
      <c r="AL229" s="39"/>
      <c r="AM229" s="40"/>
      <c r="AN229" s="40"/>
      <c r="AO229" s="40"/>
      <c r="AP229" s="40"/>
      <c r="AQ229" s="39"/>
      <c r="AR229" s="146"/>
      <c r="AS229" s="39"/>
      <c r="AT229" s="31"/>
      <c r="AU229" s="39"/>
      <c r="AV229" s="40"/>
      <c r="AW229" s="40"/>
      <c r="AX229" s="18"/>
    </row>
    <row r="230" spans="1:50" ht="18.75" customHeight="1" x14ac:dyDescent="0.2">
      <c r="A230" s="14" t="s">
        <v>55</v>
      </c>
      <c r="B230" s="15" t="s">
        <v>56</v>
      </c>
      <c r="C230" s="15"/>
      <c r="D230" s="15"/>
      <c r="E230" s="15"/>
      <c r="F230" s="15"/>
      <c r="G230" s="15" t="s">
        <v>41</v>
      </c>
      <c r="H230" s="15"/>
      <c r="I230" s="15" t="s">
        <v>936</v>
      </c>
      <c r="J230" s="15"/>
      <c r="K230" s="15" t="s">
        <v>932</v>
      </c>
      <c r="L230" s="15"/>
      <c r="M230" s="15" t="s">
        <v>933</v>
      </c>
      <c r="N230" s="15"/>
      <c r="O230" s="15" t="s">
        <v>948</v>
      </c>
      <c r="P230" s="15"/>
      <c r="Q230" s="15" t="s">
        <v>942</v>
      </c>
      <c r="R230" s="15"/>
      <c r="S230" s="15" t="s">
        <v>940</v>
      </c>
      <c r="T230" s="15">
        <v>0</v>
      </c>
      <c r="U230" s="15">
        <v>0</v>
      </c>
      <c r="V230" s="15">
        <v>0</v>
      </c>
      <c r="W230" s="15"/>
      <c r="X230" s="15" t="s">
        <v>937</v>
      </c>
      <c r="Y230" s="15"/>
      <c r="Z230" s="15"/>
      <c r="AA230" s="16" t="s">
        <v>305</v>
      </c>
      <c r="AB230" s="17" t="s">
        <v>233</v>
      </c>
      <c r="AC230" s="17" t="s">
        <v>58</v>
      </c>
      <c r="AD230" s="18">
        <v>100000000</v>
      </c>
      <c r="AE230" s="34">
        <v>0</v>
      </c>
      <c r="AF230" s="34">
        <v>0</v>
      </c>
      <c r="AG230" s="34">
        <v>0</v>
      </c>
      <c r="AH230" s="34">
        <v>0</v>
      </c>
      <c r="AI230" s="34">
        <f>AE230-AF230+AG230-AH230</f>
        <v>0</v>
      </c>
      <c r="AJ230" s="18">
        <f>AD230+AI230</f>
        <v>100000000</v>
      </c>
      <c r="AK230" s="34">
        <v>0</v>
      </c>
      <c r="AL230" s="18">
        <f>AM230-OCTUBRE!AM229</f>
        <v>0</v>
      </c>
      <c r="AM230" s="18">
        <v>36000000</v>
      </c>
      <c r="AN230" s="34">
        <v>0</v>
      </c>
      <c r="AO230" s="18">
        <v>0</v>
      </c>
      <c r="AP230" s="18">
        <v>36000000</v>
      </c>
      <c r="AQ230" s="18">
        <v>4500000</v>
      </c>
      <c r="AR230" s="18">
        <v>4500000</v>
      </c>
      <c r="AS230" s="18">
        <v>17100000</v>
      </c>
      <c r="AT230" s="39">
        <f t="shared" ref="AT230:AT232" si="146">AQ230+AS230</f>
        <v>21600000</v>
      </c>
      <c r="AU230" s="18">
        <f>AJ230-AM230</f>
        <v>64000000</v>
      </c>
      <c r="AV230" s="34">
        <f>AM230-AP230</f>
        <v>0</v>
      </c>
      <c r="AW230" s="18">
        <f>AP230-AT230</f>
        <v>14400000</v>
      </c>
      <c r="AX230" s="123">
        <f>AP230/AJ230</f>
        <v>0.36</v>
      </c>
    </row>
    <row r="231" spans="1:50" ht="40.5" customHeight="1" x14ac:dyDescent="0.2">
      <c r="A231" s="14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73" t="s">
        <v>288</v>
      </c>
      <c r="AB231" s="247" t="s">
        <v>958</v>
      </c>
      <c r="AC231" s="17"/>
      <c r="AD231" s="18"/>
      <c r="AE231" s="34"/>
      <c r="AF231" s="34"/>
      <c r="AG231" s="34"/>
      <c r="AH231" s="34"/>
      <c r="AI231" s="34"/>
      <c r="AJ231" s="18"/>
      <c r="AK231" s="34"/>
      <c r="AL231" s="34"/>
      <c r="AM231" s="34"/>
      <c r="AN231" s="34"/>
      <c r="AO231" s="34"/>
      <c r="AP231" s="34"/>
      <c r="AQ231" s="34"/>
      <c r="AR231" s="34"/>
      <c r="AS231" s="34"/>
      <c r="AT231" s="40"/>
      <c r="AU231" s="18"/>
      <c r="AV231" s="34"/>
      <c r="AW231" s="34"/>
      <c r="AX231" s="123"/>
    </row>
    <row r="232" spans="1:50" ht="30" customHeight="1" x14ac:dyDescent="0.2">
      <c r="A232" s="14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250" t="s">
        <v>765</v>
      </c>
      <c r="AB232" s="248" t="s">
        <v>233</v>
      </c>
      <c r="AC232" s="17"/>
      <c r="AD232" s="34">
        <v>0</v>
      </c>
      <c r="AE232" s="34">
        <v>0</v>
      </c>
      <c r="AF232" s="34">
        <v>0</v>
      </c>
      <c r="AG232" s="18">
        <v>200000000</v>
      </c>
      <c r="AH232" s="18">
        <v>200000000</v>
      </c>
      <c r="AI232" s="34">
        <f>AE232-AF232+AG232-AH232</f>
        <v>0</v>
      </c>
      <c r="AJ232" s="34">
        <f>AD232+AI232</f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40">
        <f t="shared" si="146"/>
        <v>0</v>
      </c>
      <c r="AU232" s="34">
        <f>AJ232-AM232</f>
        <v>0</v>
      </c>
      <c r="AV232" s="34">
        <f>AM232-AP232</f>
        <v>0</v>
      </c>
      <c r="AW232" s="34">
        <f>AP232-AT232</f>
        <v>0</v>
      </c>
      <c r="AX232" s="123">
        <v>0</v>
      </c>
    </row>
    <row r="233" spans="1:50" ht="18.75" customHeight="1" x14ac:dyDescent="0.2">
      <c r="A233" s="35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28" t="s">
        <v>288</v>
      </c>
      <c r="AB233" s="249" t="s">
        <v>306</v>
      </c>
      <c r="AC233" s="38"/>
      <c r="AD233" s="39"/>
      <c r="AE233" s="40"/>
      <c r="AF233" s="40"/>
      <c r="AG233" s="40"/>
      <c r="AH233" s="40"/>
      <c r="AI233" s="40"/>
      <c r="AJ233" s="39"/>
      <c r="AK233" s="40"/>
      <c r="AL233" s="40"/>
      <c r="AM233" s="40"/>
      <c r="AN233" s="40"/>
      <c r="AO233" s="40"/>
      <c r="AP233" s="40"/>
      <c r="AQ233" s="40"/>
      <c r="AR233" s="40"/>
      <c r="AS233" s="39"/>
      <c r="AT233" s="30"/>
      <c r="AU233" s="39"/>
      <c r="AV233" s="39"/>
      <c r="AW233" s="40"/>
      <c r="AX233" s="18"/>
    </row>
    <row r="234" spans="1:50" ht="18.75" customHeight="1" x14ac:dyDescent="0.2">
      <c r="A234" s="14" t="s">
        <v>55</v>
      </c>
      <c r="B234" s="15" t="s">
        <v>56</v>
      </c>
      <c r="C234" s="15"/>
      <c r="D234" s="15"/>
      <c r="E234" s="15"/>
      <c r="F234" s="15"/>
      <c r="G234" s="15" t="s">
        <v>41</v>
      </c>
      <c r="H234" s="15"/>
      <c r="I234" s="15" t="s">
        <v>936</v>
      </c>
      <c r="J234" s="15"/>
      <c r="K234" s="15" t="s">
        <v>932</v>
      </c>
      <c r="L234" s="15"/>
      <c r="M234" s="15" t="s">
        <v>933</v>
      </c>
      <c r="N234" s="15"/>
      <c r="O234" s="15" t="s">
        <v>948</v>
      </c>
      <c r="P234" s="15"/>
      <c r="Q234" s="15" t="s">
        <v>942</v>
      </c>
      <c r="R234" s="15"/>
      <c r="S234" s="15" t="s">
        <v>940</v>
      </c>
      <c r="T234" s="15">
        <v>0</v>
      </c>
      <c r="U234" s="15">
        <v>0</v>
      </c>
      <c r="V234" s="15">
        <v>0</v>
      </c>
      <c r="W234" s="15"/>
      <c r="X234" s="15" t="s">
        <v>937</v>
      </c>
      <c r="Y234" s="15"/>
      <c r="Z234" s="15"/>
      <c r="AA234" s="16" t="s">
        <v>307</v>
      </c>
      <c r="AB234" s="17" t="s">
        <v>233</v>
      </c>
      <c r="AC234" s="17" t="s">
        <v>58</v>
      </c>
      <c r="AD234" s="18">
        <v>50000000</v>
      </c>
      <c r="AE234" s="34">
        <v>0</v>
      </c>
      <c r="AF234" s="34">
        <v>0</v>
      </c>
      <c r="AG234" s="34">
        <v>0</v>
      </c>
      <c r="AH234" s="18">
        <v>50000000</v>
      </c>
      <c r="AI234" s="34">
        <f>AE234-AF234+AG234-AH234</f>
        <v>-50000000</v>
      </c>
      <c r="AJ234" s="34">
        <f>AD234+AI234</f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40">
        <f t="shared" si="141"/>
        <v>0</v>
      </c>
      <c r="AU234" s="34">
        <f>AJ234-AM234</f>
        <v>0</v>
      </c>
      <c r="AV234" s="34">
        <f>AM234-AP234</f>
        <v>0</v>
      </c>
      <c r="AW234" s="34">
        <f>AP234-AT234</f>
        <v>0</v>
      </c>
      <c r="AX234" s="123">
        <v>0</v>
      </c>
    </row>
    <row r="235" spans="1:50" ht="18.75" customHeight="1" x14ac:dyDescent="0.2">
      <c r="A235" s="14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28" t="s">
        <v>288</v>
      </c>
      <c r="AB235" s="29" t="s">
        <v>308</v>
      </c>
      <c r="AC235" s="17"/>
      <c r="AD235" s="18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1"/>
      <c r="AU235" s="34"/>
      <c r="AV235" s="18"/>
      <c r="AW235" s="34"/>
      <c r="AX235" s="18"/>
    </row>
    <row r="236" spans="1:50" ht="18.75" customHeight="1" x14ac:dyDescent="0.2">
      <c r="A236" s="35" t="s">
        <v>55</v>
      </c>
      <c r="B236" s="36" t="s">
        <v>56</v>
      </c>
      <c r="C236" s="36"/>
      <c r="D236" s="36"/>
      <c r="E236" s="36"/>
      <c r="F236" s="36"/>
      <c r="G236" s="36" t="s">
        <v>41</v>
      </c>
      <c r="H236" s="36"/>
      <c r="I236" s="36" t="s">
        <v>936</v>
      </c>
      <c r="J236" s="36"/>
      <c r="K236" s="36" t="s">
        <v>932</v>
      </c>
      <c r="L236" s="36"/>
      <c r="M236" s="36" t="s">
        <v>933</v>
      </c>
      <c r="N236" s="36"/>
      <c r="O236" s="36" t="s">
        <v>948</v>
      </c>
      <c r="P236" s="36"/>
      <c r="Q236" s="36" t="s">
        <v>942</v>
      </c>
      <c r="R236" s="36"/>
      <c r="S236" s="36" t="s">
        <v>940</v>
      </c>
      <c r="T236" s="36">
        <v>0</v>
      </c>
      <c r="U236" s="36">
        <v>0</v>
      </c>
      <c r="V236" s="36">
        <v>0</v>
      </c>
      <c r="W236" s="36"/>
      <c r="X236" s="36" t="s">
        <v>937</v>
      </c>
      <c r="Y236" s="36"/>
      <c r="Z236" s="36"/>
      <c r="AA236" s="37" t="s">
        <v>309</v>
      </c>
      <c r="AB236" s="38" t="s">
        <v>233</v>
      </c>
      <c r="AC236" s="38" t="s">
        <v>58</v>
      </c>
      <c r="AD236" s="39">
        <v>50000000</v>
      </c>
      <c r="AE236" s="40">
        <v>0</v>
      </c>
      <c r="AF236" s="40">
        <v>0</v>
      </c>
      <c r="AG236" s="40">
        <v>0</v>
      </c>
      <c r="AH236" s="39">
        <f>20000000+30000000</f>
        <v>50000000</v>
      </c>
      <c r="AI236" s="18">
        <f>AE236-AF236+AG236-AH236</f>
        <v>-50000000</v>
      </c>
      <c r="AJ236" s="34">
        <f>AD236+AI236</f>
        <v>0</v>
      </c>
      <c r="AK236" s="40">
        <v>0</v>
      </c>
      <c r="AL236" s="40">
        <v>0</v>
      </c>
      <c r="AM236" s="40">
        <v>0</v>
      </c>
      <c r="AN236" s="40">
        <v>0</v>
      </c>
      <c r="AO236" s="40">
        <v>0</v>
      </c>
      <c r="AP236" s="40">
        <v>0</v>
      </c>
      <c r="AQ236" s="40">
        <v>0</v>
      </c>
      <c r="AR236" s="40">
        <v>0</v>
      </c>
      <c r="AS236" s="40">
        <v>0</v>
      </c>
      <c r="AT236" s="40">
        <f t="shared" si="141"/>
        <v>0</v>
      </c>
      <c r="AU236" s="34">
        <f>AJ236-AM236</f>
        <v>0</v>
      </c>
      <c r="AV236" s="34">
        <f>AM236-AP236</f>
        <v>0</v>
      </c>
      <c r="AW236" s="34">
        <f>AP236-AT236</f>
        <v>0</v>
      </c>
      <c r="AX236" s="123">
        <v>0</v>
      </c>
    </row>
    <row r="237" spans="1:50" ht="18.75" customHeight="1" x14ac:dyDescent="0.2">
      <c r="A237" s="14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28" t="s">
        <v>288</v>
      </c>
      <c r="AB237" s="29" t="s">
        <v>310</v>
      </c>
      <c r="AC237" s="17"/>
      <c r="AD237" s="18"/>
      <c r="AE237" s="34"/>
      <c r="AF237" s="34"/>
      <c r="AG237" s="34"/>
      <c r="AH237" s="34"/>
      <c r="AI237" s="34"/>
      <c r="AJ237" s="18"/>
      <c r="AK237" s="18"/>
      <c r="AL237" s="18"/>
      <c r="AM237" s="18"/>
      <c r="AN237" s="18"/>
      <c r="AO237" s="18"/>
      <c r="AP237" s="18"/>
      <c r="AQ237" s="18"/>
      <c r="AR237" s="147"/>
      <c r="AS237" s="34"/>
      <c r="AT237" s="31"/>
      <c r="AU237" s="18"/>
      <c r="AV237" s="18"/>
      <c r="AW237" s="18"/>
      <c r="AX237" s="18"/>
    </row>
    <row r="238" spans="1:50" ht="18.75" customHeight="1" x14ac:dyDescent="0.2">
      <c r="A238" s="14" t="s">
        <v>55</v>
      </c>
      <c r="B238" s="15" t="s">
        <v>56</v>
      </c>
      <c r="C238" s="15"/>
      <c r="D238" s="15"/>
      <c r="E238" s="15"/>
      <c r="F238" s="15"/>
      <c r="G238" s="15" t="s">
        <v>41</v>
      </c>
      <c r="H238" s="15"/>
      <c r="I238" s="15" t="s">
        <v>936</v>
      </c>
      <c r="J238" s="15"/>
      <c r="K238" s="15" t="s">
        <v>932</v>
      </c>
      <c r="L238" s="15"/>
      <c r="M238" s="15" t="s">
        <v>933</v>
      </c>
      <c r="N238" s="15"/>
      <c r="O238" s="15" t="s">
        <v>948</v>
      </c>
      <c r="P238" s="15"/>
      <c r="Q238" s="15" t="s">
        <v>942</v>
      </c>
      <c r="R238" s="15"/>
      <c r="S238" s="15" t="s">
        <v>940</v>
      </c>
      <c r="T238" s="15">
        <v>0</v>
      </c>
      <c r="U238" s="15">
        <v>0</v>
      </c>
      <c r="V238" s="15">
        <v>0</v>
      </c>
      <c r="W238" s="15"/>
      <c r="X238" s="15" t="s">
        <v>937</v>
      </c>
      <c r="Y238" s="15"/>
      <c r="Z238" s="15"/>
      <c r="AA238" s="16" t="s">
        <v>311</v>
      </c>
      <c r="AB238" s="17" t="s">
        <v>233</v>
      </c>
      <c r="AC238" s="17" t="s">
        <v>58</v>
      </c>
      <c r="AD238" s="18">
        <v>1400000000</v>
      </c>
      <c r="AE238" s="34">
        <v>0</v>
      </c>
      <c r="AF238" s="34">
        <v>0</v>
      </c>
      <c r="AG238" s="34">
        <v>0</v>
      </c>
      <c r="AH238" s="34">
        <v>0</v>
      </c>
      <c r="AI238" s="18">
        <f t="shared" ref="AI238:AI239" si="147">AE238-AF238+AG238-AH238</f>
        <v>0</v>
      </c>
      <c r="AJ238" s="18">
        <f t="shared" ref="AJ238:AJ239" si="148">AD238+AI238</f>
        <v>1400000000</v>
      </c>
      <c r="AK238" s="34">
        <v>4550000</v>
      </c>
      <c r="AL238" s="18">
        <f>AM238-OCTUBRE!AM237</f>
        <v>66416666.670000076</v>
      </c>
      <c r="AM238" s="18">
        <v>1379972065.6700001</v>
      </c>
      <c r="AN238" s="34">
        <v>0</v>
      </c>
      <c r="AO238" s="18">
        <v>63550000.009999998</v>
      </c>
      <c r="AP238" s="18">
        <v>1339730346.01</v>
      </c>
      <c r="AQ238" s="18">
        <v>0</v>
      </c>
      <c r="AR238" s="147">
        <v>354470857</v>
      </c>
      <c r="AS238" s="18">
        <v>871307627.95000005</v>
      </c>
      <c r="AT238" s="111">
        <f t="shared" ref="AT238:AT239" si="149">AQ238+AS238</f>
        <v>871307627.95000005</v>
      </c>
      <c r="AU238" s="18">
        <f>AJ238-AM238</f>
        <v>20027934.329999924</v>
      </c>
      <c r="AV238" s="110">
        <f>AM238-AP238</f>
        <v>40241719.660000086</v>
      </c>
      <c r="AW238" s="18">
        <f>AP238-AT238</f>
        <v>468422718.05999994</v>
      </c>
      <c r="AX238" s="123">
        <f>AP238/AJ238</f>
        <v>0.95695024714999999</v>
      </c>
    </row>
    <row r="239" spans="1:50" ht="18.75" customHeight="1" x14ac:dyDescent="0.2">
      <c r="A239" s="14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41" t="s">
        <v>1262</v>
      </c>
      <c r="AB239" s="42" t="s">
        <v>1015</v>
      </c>
      <c r="AC239" s="17"/>
      <c r="AD239" s="34">
        <v>0</v>
      </c>
      <c r="AE239" s="34">
        <v>0</v>
      </c>
      <c r="AF239" s="34">
        <v>0</v>
      </c>
      <c r="AG239" s="18">
        <v>200000000</v>
      </c>
      <c r="AH239" s="18">
        <v>40000000</v>
      </c>
      <c r="AI239" s="18">
        <f t="shared" si="147"/>
        <v>160000000</v>
      </c>
      <c r="AJ239" s="18">
        <f t="shared" si="148"/>
        <v>160000000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145">
        <v>0</v>
      </c>
      <c r="AS239" s="34">
        <v>0</v>
      </c>
      <c r="AT239" s="135">
        <f t="shared" si="149"/>
        <v>0</v>
      </c>
      <c r="AU239" s="18">
        <f>AJ239-AM239</f>
        <v>160000000</v>
      </c>
      <c r="AV239" s="133">
        <f>AM239-AP239</f>
        <v>0</v>
      </c>
      <c r="AW239" s="34">
        <f>AP239-AT239</f>
        <v>0</v>
      </c>
      <c r="AX239" s="123">
        <f>AP239/AJ239</f>
        <v>0</v>
      </c>
    </row>
    <row r="240" spans="1:50" ht="18.75" customHeight="1" x14ac:dyDescent="0.2">
      <c r="A240" s="14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73" t="s">
        <v>288</v>
      </c>
      <c r="AB240" s="74" t="s">
        <v>1383</v>
      </c>
      <c r="AC240" s="17"/>
      <c r="AD240" s="34"/>
      <c r="AE240" s="34"/>
      <c r="AF240" s="34"/>
      <c r="AG240" s="18"/>
      <c r="AH240" s="34"/>
      <c r="AI240" s="18"/>
      <c r="AJ240" s="18"/>
      <c r="AK240" s="34"/>
      <c r="AL240" s="34"/>
      <c r="AM240" s="34"/>
      <c r="AN240" s="34"/>
      <c r="AO240" s="34"/>
      <c r="AP240" s="34"/>
      <c r="AQ240" s="34"/>
      <c r="AR240" s="145"/>
      <c r="AS240" s="34"/>
      <c r="AT240" s="135"/>
      <c r="AU240" s="18"/>
      <c r="AV240" s="110"/>
      <c r="AW240" s="18"/>
      <c r="AX240" s="123"/>
    </row>
    <row r="241" spans="1:50" ht="18.75" customHeight="1" x14ac:dyDescent="0.2">
      <c r="A241" s="14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41" t="s">
        <v>1370</v>
      </c>
      <c r="AB241" s="42" t="s">
        <v>233</v>
      </c>
      <c r="AC241" s="17"/>
      <c r="AD241" s="34">
        <v>0</v>
      </c>
      <c r="AE241" s="34">
        <v>0</v>
      </c>
      <c r="AF241" s="34">
        <v>0</v>
      </c>
      <c r="AG241" s="18">
        <v>30000000</v>
      </c>
      <c r="AH241" s="34">
        <v>0</v>
      </c>
      <c r="AI241" s="18">
        <f t="shared" ref="AI241" si="150">AE241-AF241+AG241-AH241</f>
        <v>30000000</v>
      </c>
      <c r="AJ241" s="18">
        <f t="shared" ref="AJ241" si="151">AD241+AI241</f>
        <v>30000000</v>
      </c>
      <c r="AK241" s="34">
        <v>0</v>
      </c>
      <c r="AL241" s="18">
        <f>AM241-OCTUBRE!AM240</f>
        <v>0</v>
      </c>
      <c r="AM241" s="18">
        <v>28000000</v>
      </c>
      <c r="AN241" s="34">
        <v>0</v>
      </c>
      <c r="AO241" s="34">
        <v>6500000</v>
      </c>
      <c r="AP241" s="34">
        <v>21697500</v>
      </c>
      <c r="AQ241" s="34">
        <v>0</v>
      </c>
      <c r="AR241" s="34">
        <v>0</v>
      </c>
      <c r="AS241" s="34">
        <v>0</v>
      </c>
      <c r="AT241" s="135">
        <f t="shared" ref="AT241" si="152">AQ241+AS241</f>
        <v>0</v>
      </c>
      <c r="AU241" s="18">
        <f>AJ241-AM241</f>
        <v>2000000</v>
      </c>
      <c r="AV241" s="110">
        <f>AM241-AP241</f>
        <v>6302500</v>
      </c>
      <c r="AW241" s="18">
        <f>AP241-AT241</f>
        <v>21697500</v>
      </c>
      <c r="AX241" s="123">
        <f>AP241/AJ241</f>
        <v>0.72324999999999995</v>
      </c>
    </row>
    <row r="242" spans="1:50" ht="30.75" customHeight="1" x14ac:dyDescent="0.2">
      <c r="A242" s="35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7"/>
      <c r="AB242" s="29" t="s">
        <v>199</v>
      </c>
      <c r="AC242" s="38"/>
      <c r="AD242" s="39"/>
      <c r="AE242" s="40"/>
      <c r="AF242" s="40"/>
      <c r="AG242" s="40"/>
      <c r="AH242" s="40"/>
      <c r="AI242" s="40"/>
      <c r="AJ242" s="39"/>
      <c r="AK242" s="40"/>
      <c r="AL242" s="39"/>
      <c r="AM242" s="39"/>
      <c r="AN242" s="39"/>
      <c r="AO242" s="39"/>
      <c r="AP242" s="39"/>
      <c r="AQ242" s="40"/>
      <c r="AR242" s="40"/>
      <c r="AS242" s="40"/>
      <c r="AT242" s="31"/>
      <c r="AU242" s="39"/>
      <c r="AV242" s="39"/>
      <c r="AW242" s="39"/>
      <c r="AX242" s="18"/>
    </row>
    <row r="243" spans="1:50" ht="26.25" customHeight="1" x14ac:dyDescent="0.2">
      <c r="A243" s="14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28" t="s">
        <v>288</v>
      </c>
      <c r="AB243" s="29" t="s">
        <v>312</v>
      </c>
      <c r="AC243" s="17"/>
      <c r="AD243" s="18"/>
      <c r="AE243" s="34"/>
      <c r="AF243" s="34"/>
      <c r="AG243" s="34"/>
      <c r="AH243" s="34"/>
      <c r="AI243" s="34"/>
      <c r="AJ243" s="18"/>
      <c r="AK243" s="34"/>
      <c r="AL243" s="18"/>
      <c r="AM243" s="18"/>
      <c r="AN243" s="18"/>
      <c r="AO243" s="18"/>
      <c r="AP243" s="18"/>
      <c r="AQ243" s="34"/>
      <c r="AR243" s="34"/>
      <c r="AS243" s="34"/>
      <c r="AT243" s="31"/>
      <c r="AU243" s="18"/>
      <c r="AV243" s="18"/>
      <c r="AW243" s="18"/>
      <c r="AX243" s="18"/>
    </row>
    <row r="244" spans="1:50" ht="18.75" customHeight="1" x14ac:dyDescent="0.2">
      <c r="A244" s="14" t="s">
        <v>55</v>
      </c>
      <c r="B244" s="15" t="s">
        <v>56</v>
      </c>
      <c r="C244" s="15"/>
      <c r="D244" s="15"/>
      <c r="E244" s="15"/>
      <c r="F244" s="15"/>
      <c r="G244" s="15" t="s">
        <v>41</v>
      </c>
      <c r="H244" s="15"/>
      <c r="I244" s="15" t="s">
        <v>936</v>
      </c>
      <c r="J244" s="15"/>
      <c r="K244" s="15" t="s">
        <v>932</v>
      </c>
      <c r="L244" s="15"/>
      <c r="M244" s="15" t="s">
        <v>933</v>
      </c>
      <c r="N244" s="15"/>
      <c r="O244" s="15" t="s">
        <v>948</v>
      </c>
      <c r="P244" s="15"/>
      <c r="Q244" s="15" t="s">
        <v>942</v>
      </c>
      <c r="R244" s="15"/>
      <c r="S244" s="15" t="s">
        <v>940</v>
      </c>
      <c r="T244" s="15">
        <v>0</v>
      </c>
      <c r="U244" s="15">
        <v>0</v>
      </c>
      <c r="V244" s="15">
        <v>0</v>
      </c>
      <c r="W244" s="15"/>
      <c r="X244" s="15" t="s">
        <v>937</v>
      </c>
      <c r="Y244" s="15"/>
      <c r="Z244" s="15"/>
      <c r="AA244" s="16" t="s">
        <v>313</v>
      </c>
      <c r="AB244" s="17" t="s">
        <v>233</v>
      </c>
      <c r="AC244" s="17" t="s">
        <v>58</v>
      </c>
      <c r="AD244" s="18">
        <v>400000000</v>
      </c>
      <c r="AE244" s="34">
        <v>0</v>
      </c>
      <c r="AF244" s="34">
        <v>0</v>
      </c>
      <c r="AG244" s="34">
        <v>0</v>
      </c>
      <c r="AH244" s="18">
        <v>400000000</v>
      </c>
      <c r="AI244" s="18">
        <f>AE244-AF244+AG244-AH244</f>
        <v>-400000000</v>
      </c>
      <c r="AJ244" s="34">
        <f>AD244+AI244</f>
        <v>0</v>
      </c>
      <c r="AK244" s="34">
        <v>0</v>
      </c>
      <c r="AL244" s="34">
        <v>0</v>
      </c>
      <c r="AM244" s="34">
        <v>0</v>
      </c>
      <c r="AN244" s="34">
        <v>0</v>
      </c>
      <c r="AO244" s="34">
        <v>0</v>
      </c>
      <c r="AP244" s="34">
        <v>0</v>
      </c>
      <c r="AQ244" s="34">
        <v>0</v>
      </c>
      <c r="AR244" s="34">
        <v>0</v>
      </c>
      <c r="AS244" s="34">
        <v>0</v>
      </c>
      <c r="AT244" s="40">
        <f t="shared" ref="AT244" si="153">AQ244+AS244</f>
        <v>0</v>
      </c>
      <c r="AU244" s="18">
        <f>AJ244-AM244</f>
        <v>0</v>
      </c>
      <c r="AV244" s="34">
        <f>AM244-AP244</f>
        <v>0</v>
      </c>
      <c r="AW244" s="34">
        <f>AP244-AT244</f>
        <v>0</v>
      </c>
      <c r="AX244" s="123">
        <v>0</v>
      </c>
    </row>
    <row r="245" spans="1:50" ht="18.75" customHeight="1" x14ac:dyDescent="0.2">
      <c r="A245" s="14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6"/>
      <c r="AB245" s="17"/>
      <c r="AC245" s="17"/>
      <c r="AD245" s="18"/>
      <c r="AE245" s="34"/>
      <c r="AF245" s="34"/>
      <c r="AG245" s="34"/>
      <c r="AH245" s="18"/>
      <c r="AI245" s="18"/>
      <c r="AJ245" s="18"/>
      <c r="AK245" s="34"/>
      <c r="AL245" s="34"/>
      <c r="AM245" s="34"/>
      <c r="AN245" s="34"/>
      <c r="AO245" s="34"/>
      <c r="AP245" s="34"/>
      <c r="AQ245" s="34"/>
      <c r="AR245" s="34"/>
      <c r="AS245" s="34"/>
      <c r="AT245" s="40"/>
      <c r="AU245" s="18"/>
      <c r="AV245" s="34"/>
      <c r="AW245" s="34"/>
      <c r="AX245" s="123"/>
    </row>
    <row r="246" spans="1:50" ht="27" customHeight="1" x14ac:dyDescent="0.2">
      <c r="A246" s="14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73" t="s">
        <v>288</v>
      </c>
      <c r="AB246" s="74" t="s">
        <v>312</v>
      </c>
      <c r="AC246" s="17"/>
      <c r="AD246" s="18"/>
      <c r="AE246" s="34"/>
      <c r="AF246" s="34"/>
      <c r="AG246" s="34"/>
      <c r="AH246" s="18"/>
      <c r="AI246" s="18"/>
      <c r="AJ246" s="18"/>
      <c r="AK246" s="34"/>
      <c r="AL246" s="34"/>
      <c r="AM246" s="34"/>
      <c r="AN246" s="34"/>
      <c r="AO246" s="34"/>
      <c r="AP246" s="34"/>
      <c r="AQ246" s="34"/>
      <c r="AR246" s="34"/>
      <c r="AS246" s="34"/>
      <c r="AT246" s="40"/>
      <c r="AU246" s="18"/>
      <c r="AV246" s="34"/>
      <c r="AW246" s="34"/>
      <c r="AX246" s="123"/>
    </row>
    <row r="247" spans="1:50" ht="18.75" customHeight="1" x14ac:dyDescent="0.2">
      <c r="A247" s="14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41" t="s">
        <v>1240</v>
      </c>
      <c r="AB247" s="42" t="s">
        <v>233</v>
      </c>
      <c r="AC247" s="17"/>
      <c r="AD247" s="34">
        <v>0</v>
      </c>
      <c r="AE247" s="34">
        <v>0</v>
      </c>
      <c r="AF247" s="34">
        <v>0</v>
      </c>
      <c r="AG247" s="18">
        <v>400000000</v>
      </c>
      <c r="AH247" s="44">
        <v>0</v>
      </c>
      <c r="AI247" s="18">
        <f>AE247-AF247+AG247-AH247</f>
        <v>400000000</v>
      </c>
      <c r="AJ247" s="18">
        <f>AD247+AI247</f>
        <v>400000000</v>
      </c>
      <c r="AK247" s="34">
        <v>0</v>
      </c>
      <c r="AL247" s="18">
        <f>AM247-OCTUBRE!AM246</f>
        <v>19513299</v>
      </c>
      <c r="AM247" s="18">
        <v>358794299</v>
      </c>
      <c r="AN247" s="34">
        <v>0</v>
      </c>
      <c r="AO247" s="34">
        <v>19513299</v>
      </c>
      <c r="AP247" s="18">
        <v>358794299</v>
      </c>
      <c r="AQ247" s="34">
        <v>0</v>
      </c>
      <c r="AR247" s="18">
        <v>122379971</v>
      </c>
      <c r="AS247" s="18">
        <v>194552086</v>
      </c>
      <c r="AT247" s="39">
        <f t="shared" ref="AT247" si="154">AQ247+AS247</f>
        <v>194552086</v>
      </c>
      <c r="AU247" s="18">
        <f>AJ247-AM247</f>
        <v>41205701</v>
      </c>
      <c r="AV247" s="34">
        <f>AM247-AP247</f>
        <v>0</v>
      </c>
      <c r="AW247" s="18">
        <f>AP247-AT247</f>
        <v>164242213</v>
      </c>
      <c r="AX247" s="123">
        <v>0</v>
      </c>
    </row>
    <row r="248" spans="1:50" ht="18.75" customHeight="1" x14ac:dyDescent="0.2">
      <c r="A248" s="14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70" t="s">
        <v>1016</v>
      </c>
      <c r="AB248" s="165" t="s">
        <v>997</v>
      </c>
      <c r="AC248" s="161"/>
      <c r="AD248" s="18"/>
      <c r="AE248" s="34"/>
      <c r="AF248" s="34"/>
      <c r="AG248" s="34"/>
      <c r="AH248" s="34"/>
      <c r="AI248" s="34"/>
      <c r="AJ248" s="18"/>
      <c r="AK248" s="34"/>
      <c r="AL248" s="34"/>
      <c r="AM248" s="34"/>
      <c r="AN248" s="34"/>
      <c r="AO248" s="34"/>
      <c r="AP248" s="34"/>
      <c r="AQ248" s="34"/>
      <c r="AR248" s="34"/>
      <c r="AS248" s="34"/>
      <c r="AT248" s="40"/>
      <c r="AU248" s="18"/>
      <c r="AV248" s="34"/>
      <c r="AW248" s="34"/>
      <c r="AX248" s="123"/>
    </row>
    <row r="249" spans="1:50" ht="18.75" customHeight="1" x14ac:dyDescent="0.2">
      <c r="A249" s="14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70" t="s">
        <v>1017</v>
      </c>
      <c r="AB249" s="165" t="s">
        <v>999</v>
      </c>
      <c r="AC249" s="161"/>
      <c r="AD249" s="18"/>
      <c r="AE249" s="34"/>
      <c r="AF249" s="34"/>
      <c r="AG249" s="34"/>
      <c r="AH249" s="34"/>
      <c r="AI249" s="34"/>
      <c r="AJ249" s="18"/>
      <c r="AK249" s="34"/>
      <c r="AL249" s="34"/>
      <c r="AM249" s="34"/>
      <c r="AN249" s="34"/>
      <c r="AO249" s="34"/>
      <c r="AP249" s="34"/>
      <c r="AQ249" s="34"/>
      <c r="AR249" s="34"/>
      <c r="AS249" s="34"/>
      <c r="AT249" s="40"/>
      <c r="AU249" s="18"/>
      <c r="AV249" s="34"/>
      <c r="AW249" s="34"/>
      <c r="AX249" s="123"/>
    </row>
    <row r="250" spans="1:50" ht="18.75" customHeight="1" x14ac:dyDescent="0.2">
      <c r="A250" s="14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70" t="s">
        <v>1018</v>
      </c>
      <c r="AB250" s="165" t="s">
        <v>1001</v>
      </c>
      <c r="AC250" s="161"/>
      <c r="AD250" s="18"/>
      <c r="AE250" s="34"/>
      <c r="AF250" s="34"/>
      <c r="AG250" s="34"/>
      <c r="AH250" s="34"/>
      <c r="AI250" s="34"/>
      <c r="AJ250" s="18"/>
      <c r="AK250" s="34"/>
      <c r="AL250" s="34"/>
      <c r="AM250" s="34"/>
      <c r="AN250" s="34"/>
      <c r="AO250" s="34"/>
      <c r="AP250" s="34"/>
      <c r="AQ250" s="34"/>
      <c r="AR250" s="34"/>
      <c r="AS250" s="34"/>
      <c r="AT250" s="40"/>
      <c r="AU250" s="18"/>
      <c r="AV250" s="34"/>
      <c r="AW250" s="34"/>
      <c r="AX250" s="123"/>
    </row>
    <row r="251" spans="1:50" ht="18.75" customHeight="1" x14ac:dyDescent="0.2">
      <c r="A251" s="14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66" t="s">
        <v>1019</v>
      </c>
      <c r="AB251" s="167" t="s">
        <v>1005</v>
      </c>
      <c r="AC251" s="161"/>
      <c r="AD251" s="34">
        <v>0</v>
      </c>
      <c r="AE251" s="18">
        <v>390355846.72000003</v>
      </c>
      <c r="AF251" s="34">
        <v>0</v>
      </c>
      <c r="AG251" s="34">
        <v>0</v>
      </c>
      <c r="AH251" s="34">
        <v>0</v>
      </c>
      <c r="AI251" s="18">
        <f>AE251-AF251+AG251-AH251</f>
        <v>390355846.72000003</v>
      </c>
      <c r="AJ251" s="18">
        <f>AD251+AI251</f>
        <v>390355846.72000003</v>
      </c>
      <c r="AK251" s="34">
        <v>0</v>
      </c>
      <c r="AL251" s="34">
        <v>0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40">
        <f t="shared" ref="AT251" si="155">AQ251+AS251</f>
        <v>0</v>
      </c>
      <c r="AU251" s="18">
        <f>AJ251-AM251</f>
        <v>390355846.72000003</v>
      </c>
      <c r="AV251" s="34">
        <f>AM251-AP251</f>
        <v>0</v>
      </c>
      <c r="AW251" s="34">
        <f>AP251-AT251</f>
        <v>0</v>
      </c>
      <c r="AX251" s="123">
        <f>AP251/AJ251</f>
        <v>0</v>
      </c>
    </row>
    <row r="252" spans="1:50" ht="18.75" customHeight="1" x14ac:dyDescent="0.2">
      <c r="A252" s="64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/>
      <c r="M252" s="65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5"/>
      <c r="Z252" s="65"/>
      <c r="AA252" s="66"/>
      <c r="AB252" s="47" t="s">
        <v>314</v>
      </c>
      <c r="AC252" s="22" t="s">
        <v>315</v>
      </c>
      <c r="AD252" s="22">
        <f t="shared" ref="AD252:AV252" si="156">SUM(AD200:AD251)</f>
        <v>4500000000</v>
      </c>
      <c r="AE252" s="22">
        <f t="shared" si="156"/>
        <v>3800355846.7200003</v>
      </c>
      <c r="AF252" s="23">
        <f t="shared" si="156"/>
        <v>0</v>
      </c>
      <c r="AG252" s="22">
        <f t="shared" si="156"/>
        <v>10111629058</v>
      </c>
      <c r="AH252" s="22">
        <f t="shared" si="156"/>
        <v>4561629058</v>
      </c>
      <c r="AI252" s="22">
        <f t="shared" si="156"/>
        <v>9350355846.7199993</v>
      </c>
      <c r="AJ252" s="22">
        <f t="shared" si="156"/>
        <v>13850355846.719999</v>
      </c>
      <c r="AK252" s="22">
        <f t="shared" si="156"/>
        <v>4550000</v>
      </c>
      <c r="AL252" s="22">
        <f t="shared" si="156"/>
        <v>499966510.97000009</v>
      </c>
      <c r="AM252" s="22">
        <f t="shared" si="156"/>
        <v>12468487239.390001</v>
      </c>
      <c r="AN252" s="22">
        <f t="shared" si="156"/>
        <v>0</v>
      </c>
      <c r="AO252" s="22">
        <f t="shared" si="156"/>
        <v>153846632.32999998</v>
      </c>
      <c r="AP252" s="22">
        <f t="shared" si="156"/>
        <v>9028025720.1399994</v>
      </c>
      <c r="AQ252" s="22">
        <f t="shared" si="156"/>
        <v>47833334</v>
      </c>
      <c r="AR252" s="22">
        <f t="shared" si="156"/>
        <v>605261070</v>
      </c>
      <c r="AS252" s="22">
        <f t="shared" si="156"/>
        <v>2165432358.6000004</v>
      </c>
      <c r="AT252" s="22">
        <f t="shared" si="156"/>
        <v>2213265692.6000004</v>
      </c>
      <c r="AU252" s="22">
        <f t="shared" si="156"/>
        <v>1381868607.3299999</v>
      </c>
      <c r="AV252" s="22">
        <f t="shared" si="156"/>
        <v>3440461519.25</v>
      </c>
      <c r="AW252" s="22">
        <f>SUM(AW200:AW251)</f>
        <v>6814760027.5400009</v>
      </c>
      <c r="AX252" s="24">
        <f>AP252/AJ252</f>
        <v>0.65182626497484464</v>
      </c>
    </row>
    <row r="253" spans="1:50" ht="18.75" customHeight="1" x14ac:dyDescent="0.2">
      <c r="A253" s="14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6"/>
      <c r="AB253" s="17"/>
      <c r="AC253" s="17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</row>
    <row r="254" spans="1:50" ht="18.75" customHeight="1" x14ac:dyDescent="0.2">
      <c r="A254" s="64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5"/>
      <c r="Z254" s="65"/>
      <c r="AA254" s="66"/>
      <c r="AB254" s="21" t="s">
        <v>316</v>
      </c>
      <c r="AC254" s="67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3"/>
      <c r="AO254" s="63"/>
      <c r="AP254" s="63"/>
      <c r="AQ254" s="63"/>
      <c r="AR254" s="63"/>
      <c r="AS254" s="63"/>
      <c r="AT254" s="63"/>
      <c r="AU254" s="63"/>
      <c r="AV254" s="63"/>
      <c r="AW254" s="63"/>
      <c r="AX254" s="63"/>
    </row>
    <row r="255" spans="1:50" ht="18.75" customHeight="1" x14ac:dyDescent="0.2">
      <c r="A255" s="14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6"/>
      <c r="AB255" s="29" t="s">
        <v>317</v>
      </c>
      <c r="AC255" s="17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30"/>
      <c r="AU255" s="18"/>
      <c r="AV255" s="18"/>
      <c r="AW255" s="18"/>
      <c r="AX255" s="18"/>
    </row>
    <row r="256" spans="1:50" ht="18.75" customHeight="1" x14ac:dyDescent="0.2">
      <c r="A256" s="14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6"/>
      <c r="AB256" s="29" t="s">
        <v>318</v>
      </c>
      <c r="AC256" s="17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30"/>
      <c r="AU256" s="18"/>
      <c r="AV256" s="18"/>
      <c r="AW256" s="18"/>
      <c r="AX256" s="18"/>
    </row>
    <row r="257" spans="1:50" ht="25.5" x14ac:dyDescent="0.2">
      <c r="A257" s="35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7"/>
      <c r="AB257" s="29" t="s">
        <v>319</v>
      </c>
      <c r="AC257" s="38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0"/>
      <c r="AU257" s="39"/>
      <c r="AV257" s="39"/>
      <c r="AW257" s="39"/>
      <c r="AX257" s="18"/>
    </row>
    <row r="258" spans="1:50" ht="18.75" customHeight="1" x14ac:dyDescent="0.2">
      <c r="A258" s="35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7"/>
      <c r="AB258" s="29" t="s">
        <v>320</v>
      </c>
      <c r="AC258" s="38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0"/>
      <c r="AU258" s="39"/>
      <c r="AV258" s="39"/>
      <c r="AW258" s="39"/>
      <c r="AX258" s="18"/>
    </row>
    <row r="259" spans="1:50" ht="18.75" customHeight="1" x14ac:dyDescent="0.2">
      <c r="A259" s="14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6"/>
      <c r="AB259" s="29" t="s">
        <v>46</v>
      </c>
      <c r="AC259" s="17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30"/>
      <c r="AU259" s="18"/>
      <c r="AV259" s="18"/>
      <c r="AW259" s="18"/>
      <c r="AX259" s="18"/>
    </row>
    <row r="260" spans="1:50" ht="18.75" customHeight="1" x14ac:dyDescent="0.2">
      <c r="A260" s="14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6"/>
      <c r="AB260" s="29" t="s">
        <v>48</v>
      </c>
      <c r="AC260" s="17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30"/>
      <c r="AU260" s="18"/>
      <c r="AV260" s="18"/>
      <c r="AW260" s="18"/>
      <c r="AX260" s="18"/>
    </row>
    <row r="261" spans="1:50" ht="18.75" customHeight="1" x14ac:dyDescent="0.2">
      <c r="A261" s="14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6"/>
      <c r="AB261" s="29" t="s">
        <v>52</v>
      </c>
      <c r="AC261" s="17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30"/>
      <c r="AU261" s="18"/>
      <c r="AV261" s="18"/>
      <c r="AW261" s="18"/>
      <c r="AX261" s="18"/>
    </row>
    <row r="262" spans="1:50" ht="18.75" customHeight="1" x14ac:dyDescent="0.2">
      <c r="AA262" s="28" t="s">
        <v>288</v>
      </c>
      <c r="AB262" s="29" t="s">
        <v>54</v>
      </c>
      <c r="AC262" s="17"/>
      <c r="AD262" s="18"/>
      <c r="AE262" s="18"/>
      <c r="AF262" s="18"/>
      <c r="AG262" s="18"/>
      <c r="AH262" s="18"/>
      <c r="AI262" s="18"/>
      <c r="AJ262" s="18"/>
      <c r="AK262" s="18"/>
      <c r="AL262" s="147"/>
      <c r="AM262" s="18"/>
      <c r="AN262" s="18"/>
      <c r="AO262" s="18"/>
      <c r="AP262" s="18"/>
      <c r="AQ262" s="18"/>
      <c r="AR262" s="18"/>
      <c r="AS262" s="18"/>
      <c r="AT262" s="30"/>
      <c r="AU262" s="18"/>
      <c r="AV262" s="18"/>
      <c r="AW262" s="18"/>
      <c r="AX262" s="18"/>
    </row>
    <row r="263" spans="1:50" ht="18.75" customHeight="1" x14ac:dyDescent="0.2">
      <c r="A263" s="4" t="s">
        <v>55</v>
      </c>
      <c r="B263" s="4" t="s">
        <v>56</v>
      </c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1" t="s">
        <v>321</v>
      </c>
      <c r="AB263" s="42" t="s">
        <v>322</v>
      </c>
      <c r="AC263" s="38" t="s">
        <v>58</v>
      </c>
      <c r="AD263" s="39">
        <v>1139356981</v>
      </c>
      <c r="AE263" s="40">
        <v>0</v>
      </c>
      <c r="AF263" s="40">
        <v>0</v>
      </c>
      <c r="AG263" s="40">
        <v>0</v>
      </c>
      <c r="AH263" s="40">
        <v>0</v>
      </c>
      <c r="AI263" s="34">
        <f>AE263-AF263+AG263-AH359</f>
        <v>0</v>
      </c>
      <c r="AJ263" s="18">
        <f>AD263+AI263</f>
        <v>1139356981</v>
      </c>
      <c r="AK263" s="40">
        <v>0</v>
      </c>
      <c r="AL263" s="267">
        <f>AM263-OCTUBRE!AM262</f>
        <v>9981355</v>
      </c>
      <c r="AM263" s="39">
        <v>45486384</v>
      </c>
      <c r="AN263" s="40">
        <v>0</v>
      </c>
      <c r="AO263" s="39">
        <v>8934086</v>
      </c>
      <c r="AP263" s="39">
        <v>38004202</v>
      </c>
      <c r="AQ263" s="40">
        <v>0</v>
      </c>
      <c r="AR263" s="39">
        <v>1224046</v>
      </c>
      <c r="AS263" s="39">
        <v>29839899</v>
      </c>
      <c r="AT263" s="39">
        <f t="shared" ref="AT263:AT264" si="157">AQ263+AS263</f>
        <v>29839899</v>
      </c>
      <c r="AU263" s="18">
        <f>AJ263-AM263</f>
        <v>1093870597</v>
      </c>
      <c r="AV263" s="110">
        <f>AM263-AP263</f>
        <v>7482182</v>
      </c>
      <c r="AW263" s="34">
        <f>AP263-AT263</f>
        <v>8164303</v>
      </c>
      <c r="AX263" s="123">
        <f>AP263/AJ263</f>
        <v>3.3355833714771438E-2</v>
      </c>
    </row>
    <row r="264" spans="1:50" ht="18.75" customHeight="1" x14ac:dyDescent="0.2">
      <c r="A264" s="4" t="s">
        <v>55</v>
      </c>
      <c r="B264" s="4" t="s">
        <v>56</v>
      </c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211" t="s">
        <v>323</v>
      </c>
      <c r="AB264" s="212" t="s">
        <v>324</v>
      </c>
      <c r="AC264" s="244" t="s">
        <v>61</v>
      </c>
      <c r="AD264" s="244">
        <v>9000660718</v>
      </c>
      <c r="AE264" s="233">
        <v>0</v>
      </c>
      <c r="AF264" s="44">
        <v>0</v>
      </c>
      <c r="AG264" s="18">
        <v>366552868</v>
      </c>
      <c r="AH264" s="18">
        <v>1168019605</v>
      </c>
      <c r="AI264" s="18">
        <f t="shared" ref="AI264" si="158">AE264-AF264+AG264-AH264</f>
        <v>-801466737</v>
      </c>
      <c r="AJ264" s="18">
        <f t="shared" ref="AJ264" si="159">AD264+AI264</f>
        <v>8199193981</v>
      </c>
      <c r="AK264" s="44">
        <v>0</v>
      </c>
      <c r="AL264" s="267">
        <f>AM264-OCTUBRE!AM263</f>
        <v>1468016525</v>
      </c>
      <c r="AM264" s="43">
        <v>7788819872</v>
      </c>
      <c r="AN264" s="44">
        <v>0</v>
      </c>
      <c r="AO264" s="43">
        <v>1468016525</v>
      </c>
      <c r="AP264" s="43">
        <v>7787801518</v>
      </c>
      <c r="AQ264" s="44">
        <v>0</v>
      </c>
      <c r="AR264" s="39">
        <v>728739748</v>
      </c>
      <c r="AS264" s="43">
        <v>7048524741</v>
      </c>
      <c r="AT264" s="39">
        <f t="shared" si="157"/>
        <v>7048524741</v>
      </c>
      <c r="AU264" s="18">
        <f>AJ264-AM264</f>
        <v>410374109</v>
      </c>
      <c r="AV264" s="110">
        <f>AM264-AP264</f>
        <v>1018354</v>
      </c>
      <c r="AW264" s="34">
        <f>AP264-AT264</f>
        <v>739276777</v>
      </c>
      <c r="AX264" s="123">
        <f>AP264/AJ264</f>
        <v>0.94982525551251495</v>
      </c>
    </row>
    <row r="265" spans="1:50" x14ac:dyDescent="0.2">
      <c r="AA265" s="16"/>
      <c r="AB265" s="17"/>
      <c r="AC265" s="17"/>
      <c r="AD265" s="18"/>
      <c r="AE265" s="18"/>
      <c r="AF265" s="18"/>
      <c r="AG265" s="18"/>
      <c r="AH265" s="18"/>
      <c r="AI265" s="34"/>
      <c r="AL265" s="150"/>
      <c r="AR265" s="137"/>
      <c r="AW265" s="137"/>
    </row>
    <row r="266" spans="1:50" ht="18.75" customHeight="1" x14ac:dyDescent="0.2">
      <c r="AA266" s="28" t="s">
        <v>288</v>
      </c>
      <c r="AB266" s="29" t="s">
        <v>71</v>
      </c>
      <c r="AC266" s="17"/>
      <c r="AD266" s="18"/>
      <c r="AE266" s="34"/>
      <c r="AF266" s="34"/>
      <c r="AG266" s="34"/>
      <c r="AH266" s="34"/>
      <c r="AI266" s="34"/>
      <c r="AJ266" s="18"/>
      <c r="AK266" s="34"/>
      <c r="AL266" s="147"/>
      <c r="AM266" s="18"/>
      <c r="AN266" s="34"/>
      <c r="AO266" s="18"/>
      <c r="AP266" s="18"/>
      <c r="AQ266" s="34"/>
      <c r="AR266" s="34"/>
      <c r="AS266" s="18"/>
      <c r="AT266" s="30"/>
      <c r="AU266" s="18"/>
      <c r="AV266" s="18"/>
      <c r="AW266" s="34"/>
      <c r="AX266" s="18"/>
    </row>
    <row r="267" spans="1:50" ht="18.75" customHeight="1" x14ac:dyDescent="0.2">
      <c r="A267" s="4" t="s">
        <v>325</v>
      </c>
      <c r="B267" s="4" t="s">
        <v>326</v>
      </c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1" t="s">
        <v>327</v>
      </c>
      <c r="AB267" s="42" t="s">
        <v>328</v>
      </c>
      <c r="AC267" s="43" t="s">
        <v>61</v>
      </c>
      <c r="AD267" s="43">
        <v>391454539</v>
      </c>
      <c r="AE267" s="44">
        <v>0</v>
      </c>
      <c r="AF267" s="44">
        <v>0</v>
      </c>
      <c r="AG267" s="43">
        <v>8684431</v>
      </c>
      <c r="AH267" s="44">
        <v>0</v>
      </c>
      <c r="AI267" s="18">
        <f>AE267-AF267+AG267-AH363</f>
        <v>8684431</v>
      </c>
      <c r="AJ267" s="18">
        <f>AD267+AI267</f>
        <v>400138970</v>
      </c>
      <c r="AK267" s="44">
        <v>0</v>
      </c>
      <c r="AL267" s="267">
        <f>AM267-OCTUBRE!AM266</f>
        <v>0</v>
      </c>
      <c r="AM267" s="43">
        <v>346269521</v>
      </c>
      <c r="AN267" s="44">
        <v>0</v>
      </c>
      <c r="AO267" s="142">
        <v>0</v>
      </c>
      <c r="AP267" s="43">
        <v>346269521</v>
      </c>
      <c r="AQ267" s="44">
        <v>0</v>
      </c>
      <c r="AR267" s="43">
        <v>0</v>
      </c>
      <c r="AS267" s="43">
        <v>346269521</v>
      </c>
      <c r="AT267" s="39">
        <f t="shared" ref="AT267" si="160">AQ267+AS267</f>
        <v>346269521</v>
      </c>
      <c r="AU267" s="18">
        <f>AJ267-AM267</f>
        <v>53869449</v>
      </c>
      <c r="AV267" s="34">
        <f>AM267-AP267</f>
        <v>0</v>
      </c>
      <c r="AW267" s="34">
        <f>AP267-AT267</f>
        <v>0</v>
      </c>
      <c r="AX267" s="123">
        <f>AP267/AJ267</f>
        <v>0.86537315023328021</v>
      </c>
    </row>
    <row r="268" spans="1:50" ht="18.75" customHeight="1" x14ac:dyDescent="0.2">
      <c r="AA268" s="28" t="s">
        <v>288</v>
      </c>
      <c r="AB268" s="29" t="s">
        <v>76</v>
      </c>
      <c r="AC268" s="17"/>
      <c r="AD268" s="18"/>
      <c r="AE268" s="18"/>
      <c r="AF268" s="18"/>
      <c r="AG268" s="18"/>
      <c r="AH268" s="18"/>
      <c r="AI268" s="18"/>
      <c r="AJ268" s="18"/>
      <c r="AK268" s="34"/>
      <c r="AL268" s="147"/>
      <c r="AM268" s="18"/>
      <c r="AN268" s="34"/>
      <c r="AO268" s="147"/>
      <c r="AP268" s="18"/>
      <c r="AQ268" s="34"/>
      <c r="AR268" s="34"/>
      <c r="AS268" s="18"/>
      <c r="AT268" s="30"/>
      <c r="AU268" s="18"/>
      <c r="AV268" s="18"/>
      <c r="AW268" s="34"/>
      <c r="AX268" s="18"/>
    </row>
    <row r="269" spans="1:50" ht="18.75" customHeight="1" x14ac:dyDescent="0.2">
      <c r="A269" s="4" t="s">
        <v>325</v>
      </c>
      <c r="B269" s="4" t="s">
        <v>326</v>
      </c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1" t="s">
        <v>329</v>
      </c>
      <c r="AB269" s="42" t="s">
        <v>328</v>
      </c>
      <c r="AC269" s="43" t="s">
        <v>61</v>
      </c>
      <c r="AD269" s="43">
        <v>277293782</v>
      </c>
      <c r="AE269" s="44">
        <v>0</v>
      </c>
      <c r="AF269" s="44">
        <v>0</v>
      </c>
      <c r="AG269" s="44">
        <v>0</v>
      </c>
      <c r="AH269" s="44">
        <v>0</v>
      </c>
      <c r="AI269" s="44">
        <v>0</v>
      </c>
      <c r="AJ269" s="43">
        <v>277293782</v>
      </c>
      <c r="AK269" s="44">
        <v>0</v>
      </c>
      <c r="AL269" s="267">
        <f>AM269-OCTUBRE!AM268</f>
        <v>40040939</v>
      </c>
      <c r="AM269" s="43">
        <v>241759318</v>
      </c>
      <c r="AN269" s="44">
        <v>0</v>
      </c>
      <c r="AO269" s="142">
        <v>40040939</v>
      </c>
      <c r="AP269" s="43">
        <v>241759318</v>
      </c>
      <c r="AQ269" s="44">
        <v>0</v>
      </c>
      <c r="AR269" s="43">
        <v>15775464</v>
      </c>
      <c r="AS269" s="43">
        <v>217493843</v>
      </c>
      <c r="AT269" s="39">
        <f t="shared" ref="AT269" si="161">AQ269+AS269</f>
        <v>217493843</v>
      </c>
      <c r="AU269" s="18">
        <f>AJ269-AM269</f>
        <v>35534464</v>
      </c>
      <c r="AV269" s="34">
        <f>AM269-AP269</f>
        <v>0</v>
      </c>
      <c r="AW269" s="34">
        <f>AP269-AT269</f>
        <v>24265475</v>
      </c>
      <c r="AX269" s="123">
        <f>AP269/AJ269</f>
        <v>0.87185264760101977</v>
      </c>
    </row>
    <row r="270" spans="1:50" ht="18.75" customHeight="1" x14ac:dyDescent="0.2">
      <c r="AA270" s="16"/>
      <c r="AB270" s="29" t="s">
        <v>81</v>
      </c>
      <c r="AC270" s="17"/>
      <c r="AD270" s="18"/>
      <c r="AE270" s="34"/>
      <c r="AF270" s="34"/>
      <c r="AG270" s="34"/>
      <c r="AH270" s="34"/>
      <c r="AI270" s="34"/>
      <c r="AJ270" s="18"/>
      <c r="AK270" s="34"/>
      <c r="AL270" s="147"/>
      <c r="AM270" s="18"/>
      <c r="AN270" s="34"/>
      <c r="AO270" s="147"/>
      <c r="AP270" s="18"/>
      <c r="AQ270" s="34"/>
      <c r="AR270" s="34"/>
      <c r="AS270" s="18"/>
      <c r="AT270" s="30"/>
      <c r="AU270" s="18"/>
      <c r="AV270" s="18"/>
      <c r="AW270" s="34"/>
      <c r="AX270" s="18"/>
    </row>
    <row r="271" spans="1:50" ht="18.75" customHeight="1" x14ac:dyDescent="0.2">
      <c r="AA271" s="28" t="s">
        <v>288</v>
      </c>
      <c r="AB271" s="29" t="s">
        <v>83</v>
      </c>
      <c r="AC271" s="17"/>
      <c r="AD271" s="18"/>
      <c r="AE271" s="34"/>
      <c r="AF271" s="34"/>
      <c r="AG271" s="34"/>
      <c r="AH271" s="34"/>
      <c r="AI271" s="34"/>
      <c r="AJ271" s="18"/>
      <c r="AK271" s="34"/>
      <c r="AL271" s="147"/>
      <c r="AM271" s="18"/>
      <c r="AN271" s="34"/>
      <c r="AO271" s="18"/>
      <c r="AP271" s="18"/>
      <c r="AQ271" s="34"/>
      <c r="AR271" s="34"/>
      <c r="AS271" s="18"/>
      <c r="AT271" s="30"/>
      <c r="AU271" s="18"/>
      <c r="AV271" s="18"/>
      <c r="AW271" s="34"/>
      <c r="AX271" s="18"/>
    </row>
    <row r="272" spans="1:50" ht="18.75" customHeight="1" x14ac:dyDescent="0.2">
      <c r="A272" s="4" t="s">
        <v>325</v>
      </c>
      <c r="B272" s="4" t="s">
        <v>326</v>
      </c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1" t="s">
        <v>330</v>
      </c>
      <c r="AB272" s="42" t="s">
        <v>328</v>
      </c>
      <c r="AC272" s="43" t="s">
        <v>61</v>
      </c>
      <c r="AD272" s="43">
        <v>863231353</v>
      </c>
      <c r="AE272" s="44">
        <v>0</v>
      </c>
      <c r="AF272" s="44">
        <v>0</v>
      </c>
      <c r="AG272" s="44">
        <v>0</v>
      </c>
      <c r="AH272" s="43">
        <v>200000000</v>
      </c>
      <c r="AI272" s="18">
        <f t="shared" ref="AI272" si="162">AE272-AF272+AG272-AH272</f>
        <v>-200000000</v>
      </c>
      <c r="AJ272" s="18">
        <f t="shared" ref="AJ272" si="163">AD272+AI272</f>
        <v>663231353</v>
      </c>
      <c r="AK272" s="44">
        <v>0</v>
      </c>
      <c r="AL272" s="267">
        <f>AM272-OCTUBRE!AM271</f>
        <v>0</v>
      </c>
      <c r="AM272" s="43">
        <v>40955949</v>
      </c>
      <c r="AN272" s="44">
        <v>0</v>
      </c>
      <c r="AO272" s="142">
        <v>0</v>
      </c>
      <c r="AP272" s="43">
        <v>40955949</v>
      </c>
      <c r="AQ272" s="44">
        <v>0</v>
      </c>
      <c r="AR272" s="44">
        <v>0</v>
      </c>
      <c r="AS272" s="43">
        <v>40955949</v>
      </c>
      <c r="AT272" s="39">
        <f t="shared" ref="AT272" si="164">AQ272+AS272</f>
        <v>40955949</v>
      </c>
      <c r="AU272" s="18">
        <f>AJ272-AM272</f>
        <v>622275404</v>
      </c>
      <c r="AV272" s="34">
        <f>AM272-AP272</f>
        <v>0</v>
      </c>
      <c r="AW272" s="34">
        <f>AP272-AT272</f>
        <v>0</v>
      </c>
      <c r="AX272" s="123">
        <f>AP272/AJ272</f>
        <v>6.1752130406295798E-2</v>
      </c>
    </row>
    <row r="273" spans="1:50" ht="18.75" customHeight="1" x14ac:dyDescent="0.2">
      <c r="AA273" s="28" t="s">
        <v>288</v>
      </c>
      <c r="AB273" s="29" t="s">
        <v>88</v>
      </c>
      <c r="AC273" s="17"/>
      <c r="AD273" s="18"/>
      <c r="AE273" s="34"/>
      <c r="AF273" s="34"/>
      <c r="AG273" s="34"/>
      <c r="AH273" s="34"/>
      <c r="AI273" s="34"/>
      <c r="AJ273" s="18"/>
      <c r="AK273" s="18"/>
      <c r="AL273" s="147"/>
      <c r="AM273" s="18"/>
      <c r="AN273" s="18"/>
      <c r="AO273" s="147"/>
      <c r="AP273" s="18"/>
      <c r="AQ273" s="34"/>
      <c r="AR273" s="34"/>
      <c r="AS273" s="18"/>
      <c r="AT273" s="30"/>
      <c r="AU273" s="18"/>
      <c r="AV273" s="18"/>
      <c r="AW273" s="18"/>
      <c r="AX273" s="18"/>
    </row>
    <row r="274" spans="1:50" ht="18.75" customHeight="1" x14ac:dyDescent="0.2">
      <c r="A274" s="4" t="s">
        <v>325</v>
      </c>
      <c r="B274" s="4" t="s">
        <v>326</v>
      </c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1" t="s">
        <v>331</v>
      </c>
      <c r="AB274" s="42" t="s">
        <v>328</v>
      </c>
      <c r="AC274" s="43" t="s">
        <v>61</v>
      </c>
      <c r="AD274" s="43">
        <v>240951939</v>
      </c>
      <c r="AE274" s="44">
        <v>0</v>
      </c>
      <c r="AF274" s="44">
        <v>0</v>
      </c>
      <c r="AG274" s="43">
        <v>184728231</v>
      </c>
      <c r="AH274" s="44">
        <v>0</v>
      </c>
      <c r="AI274" s="18">
        <f t="shared" ref="AI274" si="165">AE274-AF274+AG274-AH274</f>
        <v>184728231</v>
      </c>
      <c r="AJ274" s="18">
        <f t="shared" ref="AJ274" si="166">AD274+AI274</f>
        <v>425680170</v>
      </c>
      <c r="AK274" s="44">
        <v>0</v>
      </c>
      <c r="AL274" s="267">
        <f>AM274-OCTUBRE!AM273</f>
        <v>299479294</v>
      </c>
      <c r="AM274" s="43">
        <v>371183365</v>
      </c>
      <c r="AN274" s="44">
        <v>0</v>
      </c>
      <c r="AO274" s="142">
        <v>299479294</v>
      </c>
      <c r="AP274" s="43">
        <v>371183365</v>
      </c>
      <c r="AQ274" s="44">
        <v>0</v>
      </c>
      <c r="AR274" s="44">
        <v>0</v>
      </c>
      <c r="AS274" s="43">
        <v>71704071</v>
      </c>
      <c r="AT274" s="39">
        <f t="shared" ref="AT274" si="167">AQ274+AS274</f>
        <v>71704071</v>
      </c>
      <c r="AU274" s="18">
        <f>AJ274-AM274</f>
        <v>54496805</v>
      </c>
      <c r="AV274" s="34">
        <f>AM274-AP274</f>
        <v>0</v>
      </c>
      <c r="AW274" s="18">
        <f>AP274-AT274</f>
        <v>299479294</v>
      </c>
      <c r="AX274" s="123">
        <f>AP274/AJ274</f>
        <v>0.87197711136039058</v>
      </c>
    </row>
    <row r="275" spans="1:50" ht="18.75" customHeight="1" x14ac:dyDescent="0.2">
      <c r="AA275" s="16"/>
      <c r="AB275" s="29" t="s">
        <v>103</v>
      </c>
      <c r="AC275" s="17"/>
      <c r="AD275" s="18"/>
      <c r="AE275" s="34"/>
      <c r="AF275" s="34"/>
      <c r="AG275" s="34"/>
      <c r="AH275" s="34"/>
      <c r="AI275" s="34"/>
      <c r="AJ275" s="18"/>
      <c r="AK275" s="34"/>
      <c r="AL275" s="147"/>
      <c r="AM275" s="18"/>
      <c r="AN275" s="18"/>
      <c r="AO275" s="147"/>
      <c r="AP275" s="18"/>
      <c r="AQ275" s="18"/>
      <c r="AR275" s="18"/>
      <c r="AS275" s="18"/>
      <c r="AT275" s="30"/>
      <c r="AU275" s="18"/>
      <c r="AV275" s="18"/>
      <c r="AW275" s="34"/>
      <c r="AX275" s="18"/>
    </row>
    <row r="276" spans="1:50" ht="18.75" customHeight="1" x14ac:dyDescent="0.2">
      <c r="AA276" s="28" t="s">
        <v>288</v>
      </c>
      <c r="AB276" s="29" t="s">
        <v>105</v>
      </c>
      <c r="AC276" s="17"/>
      <c r="AD276" s="18"/>
      <c r="AE276" s="34"/>
      <c r="AF276" s="34"/>
      <c r="AG276" s="34"/>
      <c r="AH276" s="34"/>
      <c r="AI276" s="34"/>
      <c r="AJ276" s="18"/>
      <c r="AK276" s="34"/>
      <c r="AL276" s="147"/>
      <c r="AM276" s="18"/>
      <c r="AN276" s="18"/>
      <c r="AO276" s="147"/>
      <c r="AP276" s="18"/>
      <c r="AQ276" s="18"/>
      <c r="AR276" s="18"/>
      <c r="AS276" s="18"/>
      <c r="AT276" s="30"/>
      <c r="AU276" s="18"/>
      <c r="AV276" s="18"/>
      <c r="AW276" s="34"/>
      <c r="AX276" s="18"/>
    </row>
    <row r="277" spans="1:50" ht="18.75" customHeight="1" x14ac:dyDescent="0.2">
      <c r="A277" s="4" t="s">
        <v>325</v>
      </c>
      <c r="B277" s="4" t="s">
        <v>326</v>
      </c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1" t="s">
        <v>332</v>
      </c>
      <c r="AB277" s="42" t="s">
        <v>328</v>
      </c>
      <c r="AC277" s="43" t="s">
        <v>61</v>
      </c>
      <c r="AD277" s="43">
        <v>1112875275</v>
      </c>
      <c r="AE277" s="44">
        <v>0</v>
      </c>
      <c r="AF277" s="44">
        <v>0</v>
      </c>
      <c r="AG277" s="44">
        <v>0</v>
      </c>
      <c r="AH277" s="44">
        <v>0</v>
      </c>
      <c r="AI277" s="44">
        <v>0</v>
      </c>
      <c r="AJ277" s="43">
        <v>1112875275</v>
      </c>
      <c r="AK277" s="44">
        <v>0</v>
      </c>
      <c r="AL277" s="267">
        <f>AM277-OCTUBRE!AM276</f>
        <v>180298800</v>
      </c>
      <c r="AM277" s="43">
        <v>977982628</v>
      </c>
      <c r="AN277" s="44">
        <v>0</v>
      </c>
      <c r="AO277" s="142">
        <v>180772600</v>
      </c>
      <c r="AP277" s="43">
        <v>977982628</v>
      </c>
      <c r="AQ277" s="18">
        <v>91465000</v>
      </c>
      <c r="AR277" s="43">
        <v>89307600</v>
      </c>
      <c r="AS277" s="110">
        <v>886517628</v>
      </c>
      <c r="AT277" s="39">
        <f t="shared" ref="AT277" si="168">AQ277+AS277</f>
        <v>977982628</v>
      </c>
      <c r="AU277" s="18">
        <f>AJ277-AM277</f>
        <v>134892647</v>
      </c>
      <c r="AV277" s="110">
        <f>AM277-AP277</f>
        <v>0</v>
      </c>
      <c r="AW277" s="34">
        <f>AP277-AT277</f>
        <v>0</v>
      </c>
      <c r="AX277" s="123">
        <f>AP277/AJ277</f>
        <v>0.87878907005099915</v>
      </c>
    </row>
    <row r="278" spans="1:50" ht="18.75" customHeight="1" x14ac:dyDescent="0.2">
      <c r="AA278" s="28" t="s">
        <v>288</v>
      </c>
      <c r="AB278" s="29" t="s">
        <v>333</v>
      </c>
      <c r="AC278" s="17"/>
      <c r="AD278" s="18"/>
      <c r="AE278" s="34"/>
      <c r="AF278" s="34"/>
      <c r="AG278" s="34"/>
      <c r="AH278" s="34"/>
      <c r="AI278" s="34"/>
      <c r="AJ278" s="18"/>
      <c r="AK278" s="34"/>
      <c r="AL278" s="147"/>
      <c r="AM278" s="18"/>
      <c r="AN278" s="34"/>
      <c r="AO278" s="147"/>
      <c r="AP278" s="18"/>
      <c r="AQ278" s="18"/>
      <c r="AR278" s="148"/>
      <c r="AS278" s="110"/>
      <c r="AT278" s="40"/>
      <c r="AU278" s="18"/>
      <c r="AV278" s="110"/>
      <c r="AW278" s="34"/>
      <c r="AX278" s="18"/>
    </row>
    <row r="279" spans="1:50" ht="18.75" customHeight="1" x14ac:dyDescent="0.2">
      <c r="A279" s="4" t="s">
        <v>325</v>
      </c>
      <c r="B279" s="4" t="s">
        <v>326</v>
      </c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1" t="s">
        <v>334</v>
      </c>
      <c r="AB279" s="42" t="s">
        <v>328</v>
      </c>
      <c r="AC279" s="43" t="s">
        <v>61</v>
      </c>
      <c r="AD279" s="43">
        <v>785176343</v>
      </c>
      <c r="AE279" s="44">
        <v>0</v>
      </c>
      <c r="AF279" s="44">
        <v>0</v>
      </c>
      <c r="AG279" s="44">
        <v>0</v>
      </c>
      <c r="AH279" s="44">
        <v>0</v>
      </c>
      <c r="AI279" s="44">
        <v>0</v>
      </c>
      <c r="AJ279" s="43">
        <v>785176343</v>
      </c>
      <c r="AK279" s="44">
        <v>0</v>
      </c>
      <c r="AL279" s="267">
        <f>AM279-OCTUBRE!AM278</f>
        <v>128125000</v>
      </c>
      <c r="AM279" s="43">
        <v>695389172</v>
      </c>
      <c r="AN279" s="44">
        <v>0</v>
      </c>
      <c r="AO279" s="142">
        <v>128495200</v>
      </c>
      <c r="AP279" s="43">
        <v>695389172</v>
      </c>
      <c r="AQ279" s="18">
        <v>65009500</v>
      </c>
      <c r="AR279" s="43">
        <v>63485700</v>
      </c>
      <c r="AS279" s="110">
        <v>630379672</v>
      </c>
      <c r="AT279" s="39">
        <f t="shared" ref="AT279" si="169">AQ279+AS279</f>
        <v>695389172</v>
      </c>
      <c r="AU279" s="18">
        <f>AJ279-AM279</f>
        <v>89787171</v>
      </c>
      <c r="AV279" s="110">
        <f>AM279-AP279</f>
        <v>0</v>
      </c>
      <c r="AW279" s="34">
        <f>AP279-AT279</f>
        <v>0</v>
      </c>
      <c r="AX279" s="123">
        <f>AP279/AJ279</f>
        <v>0.88564712653345945</v>
      </c>
    </row>
    <row r="280" spans="1:50" ht="18.75" customHeight="1" x14ac:dyDescent="0.2">
      <c r="AA280" s="28" t="s">
        <v>288</v>
      </c>
      <c r="AB280" s="29" t="s">
        <v>115</v>
      </c>
      <c r="AC280" s="17"/>
      <c r="AD280" s="18"/>
      <c r="AE280" s="34"/>
      <c r="AF280" s="34"/>
      <c r="AG280" s="34"/>
      <c r="AH280" s="34"/>
      <c r="AI280" s="34"/>
      <c r="AJ280" s="18"/>
      <c r="AK280" s="34"/>
      <c r="AL280" s="147"/>
      <c r="AM280" s="18"/>
      <c r="AN280" s="34"/>
      <c r="AO280" s="147"/>
      <c r="AP280" s="18"/>
      <c r="AQ280" s="18"/>
      <c r="AR280" s="148"/>
      <c r="AS280" s="110"/>
      <c r="AT280" s="30"/>
      <c r="AU280" s="18"/>
      <c r="AV280" s="18"/>
      <c r="AW280" s="18"/>
      <c r="AX280" s="18"/>
    </row>
    <row r="281" spans="1:50" ht="18.75" customHeight="1" x14ac:dyDescent="0.2">
      <c r="A281" s="4" t="s">
        <v>325</v>
      </c>
      <c r="B281" s="4" t="s">
        <v>326</v>
      </c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1" t="s">
        <v>335</v>
      </c>
      <c r="AB281" s="42" t="s">
        <v>328</v>
      </c>
      <c r="AC281" s="43" t="s">
        <v>61</v>
      </c>
      <c r="AD281" s="43">
        <v>1074031411</v>
      </c>
      <c r="AE281" s="44">
        <v>0</v>
      </c>
      <c r="AF281" s="44">
        <v>0</v>
      </c>
      <c r="AG281" s="43">
        <v>181660833</v>
      </c>
      <c r="AH281" s="44">
        <v>0</v>
      </c>
      <c r="AI281" s="18">
        <f t="shared" ref="AI281" si="170">AE281-AF281+AG281-AH281</f>
        <v>181660833</v>
      </c>
      <c r="AJ281" s="18">
        <f t="shared" ref="AJ281" si="171">AD281+AI281</f>
        <v>1255692244</v>
      </c>
      <c r="AK281" s="44">
        <v>0</v>
      </c>
      <c r="AL281" s="267">
        <f>AM281-OCTUBRE!AM280</f>
        <v>9359740</v>
      </c>
      <c r="AM281" s="43">
        <v>968557748.16999996</v>
      </c>
      <c r="AN281" s="44">
        <v>0</v>
      </c>
      <c r="AO281" s="142">
        <v>9359740</v>
      </c>
      <c r="AP281" s="43">
        <v>968228801.22000003</v>
      </c>
      <c r="AQ281" s="43">
        <v>1559554</v>
      </c>
      <c r="AR281" s="43">
        <v>0</v>
      </c>
      <c r="AS281" s="114">
        <v>958869061.22000003</v>
      </c>
      <c r="AT281" s="39">
        <f t="shared" ref="AT281" si="172">AQ281+AS281</f>
        <v>960428615.22000003</v>
      </c>
      <c r="AU281" s="18">
        <f>AJ281-AM281</f>
        <v>287134495.83000004</v>
      </c>
      <c r="AV281" s="18">
        <f>AM281-AP281</f>
        <v>328946.94999992847</v>
      </c>
      <c r="AW281" s="18">
        <f>AP281-AT281</f>
        <v>7800186</v>
      </c>
      <c r="AX281" s="123">
        <f>AP281/AJ281</f>
        <v>0.77107173819574859</v>
      </c>
    </row>
    <row r="282" spans="1:50" ht="18.75" customHeight="1" x14ac:dyDescent="0.2">
      <c r="AA282" s="28" t="s">
        <v>288</v>
      </c>
      <c r="AB282" s="29" t="s">
        <v>119</v>
      </c>
      <c r="AC282" s="17"/>
      <c r="AD282" s="18"/>
      <c r="AE282" s="34"/>
      <c r="AF282" s="34"/>
      <c r="AG282" s="34"/>
      <c r="AH282" s="34"/>
      <c r="AI282" s="34"/>
      <c r="AJ282" s="18"/>
      <c r="AK282" s="18"/>
      <c r="AL282" s="147"/>
      <c r="AM282" s="18"/>
      <c r="AN282" s="34"/>
      <c r="AO282" s="147"/>
      <c r="AP282" s="18"/>
      <c r="AQ282" s="18"/>
      <c r="AR282" s="148"/>
      <c r="AS282" s="110"/>
      <c r="AT282" s="30"/>
      <c r="AU282" s="18"/>
      <c r="AV282" s="18"/>
      <c r="AW282" s="18"/>
      <c r="AX282" s="18"/>
    </row>
    <row r="283" spans="1:50" ht="18.75" customHeight="1" x14ac:dyDescent="0.2">
      <c r="A283" s="4" t="s">
        <v>325</v>
      </c>
      <c r="B283" s="4" t="s">
        <v>326</v>
      </c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1" t="s">
        <v>336</v>
      </c>
      <c r="AB283" s="42" t="s">
        <v>328</v>
      </c>
      <c r="AC283" s="43" t="s">
        <v>61</v>
      </c>
      <c r="AD283" s="43">
        <v>438243332</v>
      </c>
      <c r="AE283" s="44">
        <v>0</v>
      </c>
      <c r="AF283" s="44">
        <v>0</v>
      </c>
      <c r="AG283" s="43">
        <v>55410568</v>
      </c>
      <c r="AH283" s="44">
        <v>0</v>
      </c>
      <c r="AI283" s="18">
        <f t="shared" ref="AI283" si="173">AE283-AF283+AG283-AH283</f>
        <v>55410568</v>
      </c>
      <c r="AJ283" s="18">
        <f t="shared" ref="AJ283" si="174">AD283+AI283</f>
        <v>493653900</v>
      </c>
      <c r="AK283" s="44">
        <v>0</v>
      </c>
      <c r="AL283" s="267">
        <f>AM283-OCTUBRE!AM282</f>
        <v>72053700</v>
      </c>
      <c r="AM283" s="43">
        <v>355476600</v>
      </c>
      <c r="AN283" s="44">
        <v>0</v>
      </c>
      <c r="AO283" s="142">
        <v>72053700</v>
      </c>
      <c r="AP283" s="43">
        <v>355476600</v>
      </c>
      <c r="AQ283" s="18">
        <v>42303100</v>
      </c>
      <c r="AR283" s="43">
        <v>29750600</v>
      </c>
      <c r="AS283" s="110">
        <v>313173500</v>
      </c>
      <c r="AT283" s="39">
        <f t="shared" ref="AT283:AT297" si="175">AQ283+AS283</f>
        <v>355476600</v>
      </c>
      <c r="AU283" s="18">
        <f>AJ283-AM283</f>
        <v>138177300</v>
      </c>
      <c r="AV283" s="34">
        <f>AM283-AP283</f>
        <v>0</v>
      </c>
      <c r="AW283" s="34">
        <f>AP283-AT283</f>
        <v>0</v>
      </c>
      <c r="AX283" s="123">
        <f>AP283/AJ283</f>
        <v>0.72009276134555</v>
      </c>
    </row>
    <row r="284" spans="1:50" ht="28.5" customHeight="1" x14ac:dyDescent="0.2">
      <c r="AA284" s="28" t="s">
        <v>288</v>
      </c>
      <c r="AB284" s="29" t="s">
        <v>124</v>
      </c>
      <c r="AC284" s="17"/>
      <c r="AD284" s="18"/>
      <c r="AE284" s="34"/>
      <c r="AF284" s="34"/>
      <c r="AG284" s="34"/>
      <c r="AH284" s="34"/>
      <c r="AI284" s="34"/>
      <c r="AJ284" s="18"/>
      <c r="AK284" s="34"/>
      <c r="AL284" s="147"/>
      <c r="AM284" s="18"/>
      <c r="AN284" s="34"/>
      <c r="AO284" s="147"/>
      <c r="AP284" s="18"/>
      <c r="AQ284" s="18"/>
      <c r="AR284" s="145"/>
      <c r="AS284" s="34"/>
      <c r="AT284" s="40">
        <f t="shared" si="175"/>
        <v>0</v>
      </c>
      <c r="AU284" s="18"/>
      <c r="AV284" s="18"/>
      <c r="AW284" s="34"/>
      <c r="AX284" s="18"/>
    </row>
    <row r="285" spans="1:50" ht="18.75" customHeight="1" x14ac:dyDescent="0.2">
      <c r="A285" s="4" t="s">
        <v>325</v>
      </c>
      <c r="B285" s="4" t="s">
        <v>326</v>
      </c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1" t="s">
        <v>337</v>
      </c>
      <c r="AB285" s="42" t="s">
        <v>328</v>
      </c>
      <c r="AC285" s="43" t="s">
        <v>61</v>
      </c>
      <c r="AD285" s="43">
        <v>46632075</v>
      </c>
      <c r="AE285" s="44">
        <v>0</v>
      </c>
      <c r="AF285" s="44">
        <v>0</v>
      </c>
      <c r="AG285" s="43">
        <v>9321725</v>
      </c>
      <c r="AH285" s="44">
        <v>0</v>
      </c>
      <c r="AI285" s="18">
        <f t="shared" ref="AI285" si="176">AE285-AF285+AG285-AH285</f>
        <v>9321725</v>
      </c>
      <c r="AJ285" s="18">
        <f t="shared" ref="AJ285" si="177">AD285+AI285</f>
        <v>55953800</v>
      </c>
      <c r="AK285" s="44">
        <v>0</v>
      </c>
      <c r="AL285" s="267">
        <f>AM285-OCTUBRE!AM284</f>
        <v>7855800</v>
      </c>
      <c r="AM285" s="43">
        <v>41837300</v>
      </c>
      <c r="AN285" s="44">
        <v>0</v>
      </c>
      <c r="AO285" s="142">
        <v>7855800</v>
      </c>
      <c r="AP285" s="43">
        <v>41837300</v>
      </c>
      <c r="AQ285" s="18">
        <v>3971700</v>
      </c>
      <c r="AR285" s="43">
        <v>3884100</v>
      </c>
      <c r="AS285" s="110">
        <v>37865600</v>
      </c>
      <c r="AT285" s="39">
        <f t="shared" si="175"/>
        <v>41837300</v>
      </c>
      <c r="AU285" s="18">
        <f>AJ285-AM285</f>
        <v>14116500</v>
      </c>
      <c r="AV285" s="34">
        <f>AM285-AP285</f>
        <v>0</v>
      </c>
      <c r="AW285" s="34">
        <f>AP285-AT285</f>
        <v>0</v>
      </c>
      <c r="AX285" s="123">
        <f>AP285/AJ285</f>
        <v>0.74771150484864302</v>
      </c>
    </row>
    <row r="286" spans="1:50" ht="18.75" customHeight="1" x14ac:dyDescent="0.2">
      <c r="AA286" s="28" t="s">
        <v>288</v>
      </c>
      <c r="AB286" s="29" t="s">
        <v>129</v>
      </c>
      <c r="AC286" s="17"/>
      <c r="AD286" s="18"/>
      <c r="AE286" s="34"/>
      <c r="AF286" s="34"/>
      <c r="AG286" s="34"/>
      <c r="AH286" s="34"/>
      <c r="AI286" s="34"/>
      <c r="AJ286" s="18"/>
      <c r="AK286" s="34"/>
      <c r="AL286" s="147"/>
      <c r="AM286" s="18"/>
      <c r="AN286" s="34"/>
      <c r="AO286" s="147"/>
      <c r="AP286" s="18"/>
      <c r="AQ286" s="133"/>
      <c r="AR286" s="148"/>
      <c r="AS286" s="110"/>
      <c r="AT286" s="40">
        <f t="shared" si="175"/>
        <v>0</v>
      </c>
      <c r="AU286" s="18"/>
      <c r="AV286" s="18"/>
      <c r="AW286" s="34"/>
      <c r="AX286" s="18"/>
    </row>
    <row r="287" spans="1:50" ht="18.75" customHeight="1" x14ac:dyDescent="0.2">
      <c r="A287" s="4" t="s">
        <v>325</v>
      </c>
      <c r="B287" s="4" t="s">
        <v>326</v>
      </c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1" t="s">
        <v>338</v>
      </c>
      <c r="AB287" s="42" t="s">
        <v>328</v>
      </c>
      <c r="AC287" s="43" t="s">
        <v>61</v>
      </c>
      <c r="AD287" s="43">
        <v>328682499</v>
      </c>
      <c r="AE287" s="44">
        <v>0</v>
      </c>
      <c r="AF287" s="44">
        <v>0</v>
      </c>
      <c r="AG287" s="43">
        <v>41630901</v>
      </c>
      <c r="AH287" s="44">
        <v>0</v>
      </c>
      <c r="AI287" s="18">
        <f t="shared" ref="AI287" si="178">AE287-AF287+AG287-AH287</f>
        <v>41630901</v>
      </c>
      <c r="AJ287" s="18">
        <f t="shared" ref="AJ287" si="179">AD287+AI287</f>
        <v>370313400</v>
      </c>
      <c r="AK287" s="44">
        <v>0</v>
      </c>
      <c r="AL287" s="267">
        <f>AM287-OCTUBRE!AM286</f>
        <v>54052900</v>
      </c>
      <c r="AM287" s="43">
        <v>266667100</v>
      </c>
      <c r="AN287" s="44">
        <v>0</v>
      </c>
      <c r="AO287" s="142">
        <v>54052900</v>
      </c>
      <c r="AP287" s="43">
        <v>266667100</v>
      </c>
      <c r="AQ287" s="18">
        <v>31734300</v>
      </c>
      <c r="AR287" s="43">
        <v>22318600</v>
      </c>
      <c r="AS287" s="18">
        <v>234932800</v>
      </c>
      <c r="AT287" s="39">
        <f t="shared" si="175"/>
        <v>266667100</v>
      </c>
      <c r="AU287" s="18">
        <f>AJ287-AM287</f>
        <v>103646300</v>
      </c>
      <c r="AV287" s="34">
        <f>AM287-AP287</f>
        <v>0</v>
      </c>
      <c r="AW287" s="34">
        <f>AP287-AT287</f>
        <v>0</v>
      </c>
      <c r="AX287" s="123">
        <f>AP287/AJ287</f>
        <v>0.72011193761824444</v>
      </c>
    </row>
    <row r="288" spans="1:50" ht="18.75" customHeight="1" x14ac:dyDescent="0.2">
      <c r="AA288" s="28" t="s">
        <v>288</v>
      </c>
      <c r="AB288" s="29" t="s">
        <v>133</v>
      </c>
      <c r="AC288" s="17"/>
      <c r="AD288" s="18"/>
      <c r="AE288" s="34"/>
      <c r="AF288" s="34"/>
      <c r="AG288" s="34"/>
      <c r="AH288" s="34"/>
      <c r="AI288" s="34"/>
      <c r="AJ288" s="18"/>
      <c r="AK288" s="34"/>
      <c r="AL288" s="147"/>
      <c r="AM288" s="18"/>
      <c r="AN288" s="34"/>
      <c r="AO288" s="147"/>
      <c r="AP288" s="18"/>
      <c r="AQ288" s="133"/>
      <c r="AR288" s="148"/>
      <c r="AS288" s="110"/>
      <c r="AT288" s="40">
        <f t="shared" si="175"/>
        <v>0</v>
      </c>
      <c r="AU288" s="18"/>
      <c r="AV288" s="18"/>
      <c r="AW288" s="34"/>
      <c r="AX288" s="18"/>
    </row>
    <row r="289" spans="1:50" ht="18.75" customHeight="1" x14ac:dyDescent="0.2">
      <c r="A289" s="4" t="s">
        <v>325</v>
      </c>
      <c r="B289" s="4" t="s">
        <v>326</v>
      </c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1" t="s">
        <v>339</v>
      </c>
      <c r="AB289" s="42" t="s">
        <v>328</v>
      </c>
      <c r="AC289" s="43" t="s">
        <v>61</v>
      </c>
      <c r="AD289" s="43">
        <v>54780417</v>
      </c>
      <c r="AE289" s="44">
        <v>0</v>
      </c>
      <c r="AF289" s="44">
        <v>0</v>
      </c>
      <c r="AG289" s="43">
        <v>7109883</v>
      </c>
      <c r="AH289" s="44">
        <v>0</v>
      </c>
      <c r="AI289" s="18">
        <f t="shared" ref="AI289" si="180">AE289-AF289+AG289-AH289</f>
        <v>7109883</v>
      </c>
      <c r="AJ289" s="18">
        <f t="shared" ref="AJ289" si="181">AD289+AI289</f>
        <v>61890300</v>
      </c>
      <c r="AK289" s="44">
        <v>0</v>
      </c>
      <c r="AL289" s="267">
        <f>AM289-OCTUBRE!AM288</f>
        <v>9029600</v>
      </c>
      <c r="AM289" s="43">
        <v>44562200</v>
      </c>
      <c r="AN289" s="44">
        <v>0</v>
      </c>
      <c r="AO289" s="142">
        <v>9029600</v>
      </c>
      <c r="AP289" s="43">
        <v>44562200</v>
      </c>
      <c r="AQ289" s="18">
        <v>5301200</v>
      </c>
      <c r="AR289" s="43">
        <v>3728400</v>
      </c>
      <c r="AS289" s="110">
        <v>39261000</v>
      </c>
      <c r="AT289" s="39">
        <f t="shared" si="175"/>
        <v>44562200</v>
      </c>
      <c r="AU289" s="18">
        <f>AJ289-AM289</f>
        <v>17328100</v>
      </c>
      <c r="AV289" s="34">
        <f>AM289-AP289</f>
        <v>0</v>
      </c>
      <c r="AW289" s="34">
        <f>AP289-AT289</f>
        <v>0</v>
      </c>
      <c r="AX289" s="123">
        <f>AP289/AJ289</f>
        <v>0.720019130623054</v>
      </c>
    </row>
    <row r="290" spans="1:50" ht="18.75" customHeight="1" x14ac:dyDescent="0.2">
      <c r="AA290" s="28" t="s">
        <v>288</v>
      </c>
      <c r="AB290" s="29" t="s">
        <v>138</v>
      </c>
      <c r="AC290" s="17"/>
      <c r="AD290" s="18"/>
      <c r="AE290" s="34"/>
      <c r="AF290" s="34"/>
      <c r="AG290" s="18"/>
      <c r="AH290" s="34"/>
      <c r="AI290" s="34"/>
      <c r="AJ290" s="18"/>
      <c r="AK290" s="34"/>
      <c r="AL290" s="147"/>
      <c r="AM290" s="18"/>
      <c r="AN290" s="34"/>
      <c r="AO290" s="147"/>
      <c r="AP290" s="18"/>
      <c r="AQ290" s="18"/>
      <c r="AR290" s="148"/>
      <c r="AS290" s="110"/>
      <c r="AT290" s="40">
        <f t="shared" si="175"/>
        <v>0</v>
      </c>
      <c r="AU290" s="18"/>
      <c r="AV290" s="18"/>
      <c r="AW290" s="34"/>
      <c r="AX290" s="18"/>
    </row>
    <row r="291" spans="1:50" ht="18.75" customHeight="1" x14ac:dyDescent="0.2">
      <c r="A291" s="4" t="s">
        <v>325</v>
      </c>
      <c r="B291" s="4" t="s">
        <v>326</v>
      </c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1" t="s">
        <v>340</v>
      </c>
      <c r="AB291" s="42" t="s">
        <v>328</v>
      </c>
      <c r="AC291" s="43" t="s">
        <v>61</v>
      </c>
      <c r="AD291" s="43">
        <v>54780417</v>
      </c>
      <c r="AE291" s="44">
        <v>0</v>
      </c>
      <c r="AF291" s="44">
        <v>0</v>
      </c>
      <c r="AG291" s="43">
        <v>7109883</v>
      </c>
      <c r="AH291" s="44">
        <v>0</v>
      </c>
      <c r="AI291" s="18">
        <f t="shared" ref="AI291" si="182">AE291-AF291+AG291-AH291</f>
        <v>7109883</v>
      </c>
      <c r="AJ291" s="18">
        <f t="shared" ref="AJ291" si="183">AD291+AI291</f>
        <v>61890300</v>
      </c>
      <c r="AK291" s="44">
        <v>0</v>
      </c>
      <c r="AL291" s="267">
        <f>AM291-OCTUBRE!AM290</f>
        <v>9029600</v>
      </c>
      <c r="AM291" s="43">
        <v>44562200</v>
      </c>
      <c r="AN291" s="44">
        <v>0</v>
      </c>
      <c r="AO291" s="142">
        <v>9029600</v>
      </c>
      <c r="AP291" s="43">
        <v>44562200</v>
      </c>
      <c r="AQ291" s="18">
        <v>5301200</v>
      </c>
      <c r="AR291" s="43">
        <v>3728400</v>
      </c>
      <c r="AS291" s="110">
        <v>39261000</v>
      </c>
      <c r="AT291" s="39">
        <f t="shared" si="175"/>
        <v>44562200</v>
      </c>
      <c r="AU291" s="18">
        <f>AJ291-AM291</f>
        <v>17328100</v>
      </c>
      <c r="AV291" s="34">
        <f>AM291-AP291</f>
        <v>0</v>
      </c>
      <c r="AW291" s="34">
        <f>AP291-AT291</f>
        <v>0</v>
      </c>
      <c r="AX291" s="123">
        <f>AP291/AJ291</f>
        <v>0.720019130623054</v>
      </c>
    </row>
    <row r="292" spans="1:50" ht="25.5" x14ac:dyDescent="0.2">
      <c r="AA292" s="28" t="s">
        <v>288</v>
      </c>
      <c r="AB292" s="29" t="s">
        <v>145</v>
      </c>
      <c r="AC292" s="17"/>
      <c r="AD292" s="18"/>
      <c r="AE292" s="34"/>
      <c r="AF292" s="34"/>
      <c r="AG292" s="34"/>
      <c r="AH292" s="34"/>
      <c r="AI292" s="34"/>
      <c r="AJ292" s="18"/>
      <c r="AK292" s="34"/>
      <c r="AL292" s="147"/>
      <c r="AM292" s="18"/>
      <c r="AN292" s="34"/>
      <c r="AO292" s="147"/>
      <c r="AP292" s="18"/>
      <c r="AQ292" s="18"/>
      <c r="AR292" s="145"/>
      <c r="AS292" s="34"/>
      <c r="AT292" s="40">
        <f t="shared" si="175"/>
        <v>0</v>
      </c>
      <c r="AU292" s="18"/>
      <c r="AV292" s="18"/>
      <c r="AW292" s="18"/>
      <c r="AX292" s="18"/>
    </row>
    <row r="293" spans="1:50" ht="18.75" customHeight="1" x14ac:dyDescent="0.2">
      <c r="A293" s="4" t="s">
        <v>325</v>
      </c>
      <c r="B293" s="4" t="s">
        <v>326</v>
      </c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1" t="s">
        <v>341</v>
      </c>
      <c r="AB293" s="42" t="s">
        <v>328</v>
      </c>
      <c r="AC293" s="43" t="s">
        <v>61</v>
      </c>
      <c r="AD293" s="43">
        <v>109560833</v>
      </c>
      <c r="AE293" s="44">
        <v>0</v>
      </c>
      <c r="AF293" s="44">
        <v>0</v>
      </c>
      <c r="AG293" s="43">
        <v>14002167</v>
      </c>
      <c r="AH293" s="44">
        <v>0</v>
      </c>
      <c r="AI293" s="18">
        <f t="shared" ref="AI293" si="184">AE293-AF293+AG293-AH293</f>
        <v>14002167</v>
      </c>
      <c r="AJ293" s="18">
        <f t="shared" ref="AJ293" si="185">AD293+AI293</f>
        <v>123563000</v>
      </c>
      <c r="AK293" s="44">
        <v>0</v>
      </c>
      <c r="AL293" s="267">
        <f>AM293-OCTUBRE!AM292</f>
        <v>18028500</v>
      </c>
      <c r="AM293" s="43">
        <v>88960700</v>
      </c>
      <c r="AN293" s="44">
        <v>0</v>
      </c>
      <c r="AO293" s="142">
        <v>18028500</v>
      </c>
      <c r="AP293" s="43">
        <v>88960700</v>
      </c>
      <c r="AQ293" s="18">
        <v>10584500</v>
      </c>
      <c r="AR293" s="43">
        <v>7444000</v>
      </c>
      <c r="AS293" s="110">
        <v>78376200</v>
      </c>
      <c r="AT293" s="39">
        <f t="shared" si="175"/>
        <v>88960700</v>
      </c>
      <c r="AU293" s="18">
        <f>AJ293-AM293</f>
        <v>34602300</v>
      </c>
      <c r="AV293" s="34">
        <f>AM293-AP293</f>
        <v>0</v>
      </c>
      <c r="AW293" s="34">
        <f>AP293-AT293</f>
        <v>0</v>
      </c>
      <c r="AX293" s="123">
        <f>AP293/AJ293</f>
        <v>0.7199622864449714</v>
      </c>
    </row>
    <row r="294" spans="1:50" ht="29.25" customHeight="1" x14ac:dyDescent="0.2">
      <c r="AA294" s="16"/>
      <c r="AB294" s="29" t="s">
        <v>149</v>
      </c>
      <c r="AC294" s="17"/>
      <c r="AD294" s="18"/>
      <c r="AE294" s="34"/>
      <c r="AF294" s="34"/>
      <c r="AG294" s="34"/>
      <c r="AH294" s="34"/>
      <c r="AI294" s="34"/>
      <c r="AJ294" s="18"/>
      <c r="AK294" s="34"/>
      <c r="AL294" s="147"/>
      <c r="AM294" s="18"/>
      <c r="AN294" s="34"/>
      <c r="AO294" s="147"/>
      <c r="AP294" s="18"/>
      <c r="AQ294" s="34"/>
      <c r="AR294" s="34"/>
      <c r="AS294" s="34"/>
      <c r="AT294" s="40"/>
      <c r="AU294" s="18"/>
      <c r="AV294" s="18"/>
      <c r="AW294" s="34"/>
      <c r="AX294" s="18"/>
    </row>
    <row r="295" spans="1:50" ht="18.75" customHeight="1" x14ac:dyDescent="0.2">
      <c r="AA295" s="16"/>
      <c r="AB295" s="29" t="s">
        <v>81</v>
      </c>
      <c r="AC295" s="17"/>
      <c r="AD295" s="18"/>
      <c r="AE295" s="34"/>
      <c r="AF295" s="34"/>
      <c r="AG295" s="34"/>
      <c r="AH295" s="34"/>
      <c r="AI295" s="34"/>
      <c r="AJ295" s="18"/>
      <c r="AK295" s="34"/>
      <c r="AL295" s="147"/>
      <c r="AM295" s="18"/>
      <c r="AN295" s="34"/>
      <c r="AO295" s="147"/>
      <c r="AP295" s="18"/>
      <c r="AQ295" s="34"/>
      <c r="AR295" s="34"/>
      <c r="AS295" s="34"/>
      <c r="AT295" s="40"/>
      <c r="AU295" s="18"/>
      <c r="AV295" s="18"/>
      <c r="AW295" s="34"/>
      <c r="AX295" s="18"/>
    </row>
    <row r="296" spans="1:50" ht="18.75" customHeight="1" x14ac:dyDescent="0.2">
      <c r="AA296" s="28" t="s">
        <v>288</v>
      </c>
      <c r="AB296" s="29" t="s">
        <v>152</v>
      </c>
      <c r="AC296" s="17"/>
      <c r="AD296" s="18"/>
      <c r="AE296" s="34"/>
      <c r="AF296" s="34"/>
      <c r="AG296" s="34"/>
      <c r="AH296" s="34"/>
      <c r="AI296" s="34"/>
      <c r="AJ296" s="18"/>
      <c r="AK296" s="34"/>
      <c r="AL296" s="18"/>
      <c r="AM296" s="18"/>
      <c r="AN296" s="34"/>
      <c r="AO296" s="147"/>
      <c r="AP296" s="18"/>
      <c r="AQ296" s="34"/>
      <c r="AR296" s="34"/>
      <c r="AS296" s="34"/>
      <c r="AT296" s="40"/>
      <c r="AU296" s="18"/>
      <c r="AV296" s="18"/>
      <c r="AW296" s="34"/>
      <c r="AX296" s="18"/>
    </row>
    <row r="297" spans="1:50" ht="18.75" customHeight="1" x14ac:dyDescent="0.2">
      <c r="A297" s="4" t="s">
        <v>325</v>
      </c>
      <c r="B297" s="4" t="s">
        <v>326</v>
      </c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1" t="s">
        <v>342</v>
      </c>
      <c r="AB297" s="42" t="s">
        <v>328</v>
      </c>
      <c r="AC297" s="43" t="s">
        <v>61</v>
      </c>
      <c r="AD297" s="43">
        <v>229777776</v>
      </c>
      <c r="AE297" s="44">
        <v>0</v>
      </c>
      <c r="AF297" s="44">
        <v>0</v>
      </c>
      <c r="AG297" s="43">
        <v>658360983</v>
      </c>
      <c r="AH297" s="44">
        <v>0</v>
      </c>
      <c r="AI297" s="18">
        <f t="shared" ref="AI297" si="186">AE297-AF297+AG297-AH297</f>
        <v>658360983</v>
      </c>
      <c r="AJ297" s="18">
        <f t="shared" ref="AJ297" si="187">AD297+AI297</f>
        <v>888138759</v>
      </c>
      <c r="AK297" s="44">
        <v>0</v>
      </c>
      <c r="AL297" s="267">
        <f>AM297-OCTUBRE!AM296</f>
        <v>372710464</v>
      </c>
      <c r="AM297" s="43">
        <v>485861941</v>
      </c>
      <c r="AN297" s="44">
        <v>0</v>
      </c>
      <c r="AO297" s="142">
        <v>372710464</v>
      </c>
      <c r="AP297" s="43">
        <v>485861941</v>
      </c>
      <c r="AQ297" s="34">
        <v>0</v>
      </c>
      <c r="AR297" s="34">
        <v>0</v>
      </c>
      <c r="AS297" s="110">
        <v>113151477</v>
      </c>
      <c r="AT297" s="39">
        <f t="shared" si="175"/>
        <v>113151477</v>
      </c>
      <c r="AU297" s="18">
        <f>AJ297-AM297</f>
        <v>402276818</v>
      </c>
      <c r="AV297" s="34">
        <f>AM297-AP297</f>
        <v>0</v>
      </c>
      <c r="AW297" s="34">
        <f>AP297-AT297</f>
        <v>372710464</v>
      </c>
      <c r="AX297" s="123">
        <f>AP297/AJ297</f>
        <v>0.54705634235246792</v>
      </c>
    </row>
    <row r="298" spans="1:50" ht="18.75" customHeight="1" x14ac:dyDescent="0.2">
      <c r="AA298" s="28" t="s">
        <v>288</v>
      </c>
      <c r="AB298" s="29" t="s">
        <v>343</v>
      </c>
      <c r="AC298" s="17"/>
      <c r="AD298" s="18"/>
      <c r="AE298" s="34"/>
      <c r="AF298" s="34"/>
      <c r="AG298" s="34"/>
      <c r="AH298" s="34"/>
      <c r="AI298" s="34"/>
      <c r="AJ298" s="18"/>
      <c r="AK298" s="34"/>
      <c r="AL298" s="18"/>
      <c r="AM298" s="18"/>
      <c r="AN298" s="34"/>
      <c r="AO298" s="147"/>
      <c r="AP298" s="18"/>
      <c r="AQ298" s="34"/>
      <c r="AR298" s="34"/>
      <c r="AS298" s="34"/>
      <c r="AT298" s="40"/>
      <c r="AU298" s="18"/>
      <c r="AV298" s="18"/>
      <c r="AW298" s="34"/>
      <c r="AX298" s="18"/>
    </row>
    <row r="299" spans="1:50" ht="18.75" customHeight="1" x14ac:dyDescent="0.2">
      <c r="A299" s="4" t="s">
        <v>325</v>
      </c>
      <c r="B299" s="4" t="s">
        <v>326</v>
      </c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1" t="s">
        <v>344</v>
      </c>
      <c r="AB299" s="42" t="s">
        <v>328</v>
      </c>
      <c r="AC299" s="43" t="s">
        <v>61</v>
      </c>
      <c r="AD299" s="43">
        <v>10000000</v>
      </c>
      <c r="AE299" s="44">
        <v>0</v>
      </c>
      <c r="AF299" s="44">
        <v>0</v>
      </c>
      <c r="AG299" s="44">
        <v>0</v>
      </c>
      <c r="AH299" s="44">
        <v>0</v>
      </c>
      <c r="AI299" s="44">
        <v>0</v>
      </c>
      <c r="AJ299" s="43">
        <v>10000000</v>
      </c>
      <c r="AK299" s="44">
        <v>0</v>
      </c>
      <c r="AL299" s="44">
        <v>0</v>
      </c>
      <c r="AM299" s="44">
        <v>0</v>
      </c>
      <c r="AN299" s="44">
        <v>0</v>
      </c>
      <c r="AO299" s="143">
        <v>0</v>
      </c>
      <c r="AP299" s="44">
        <v>0</v>
      </c>
      <c r="AQ299" s="34">
        <v>0</v>
      </c>
      <c r="AR299" s="34">
        <v>0</v>
      </c>
      <c r="AS299" s="34">
        <v>0</v>
      </c>
      <c r="AT299" s="40">
        <f t="shared" ref="AT299" si="188">AQ299+AS299</f>
        <v>0</v>
      </c>
      <c r="AU299" s="18">
        <f>AJ299-AM299</f>
        <v>10000000</v>
      </c>
      <c r="AV299" s="34">
        <f>AM299-AP299</f>
        <v>0</v>
      </c>
      <c r="AW299" s="34">
        <f>AP299-AT299</f>
        <v>0</v>
      </c>
      <c r="AX299" s="123">
        <f>AP299/AJ299</f>
        <v>0</v>
      </c>
    </row>
    <row r="300" spans="1:50" ht="18.75" customHeight="1" x14ac:dyDescent="0.2">
      <c r="AA300" s="28" t="s">
        <v>288</v>
      </c>
      <c r="AB300" s="29" t="s">
        <v>162</v>
      </c>
      <c r="AC300" s="17"/>
      <c r="AD300" s="18"/>
      <c r="AE300" s="34"/>
      <c r="AF300" s="34"/>
      <c r="AG300" s="34"/>
      <c r="AH300" s="34"/>
      <c r="AI300" s="34"/>
      <c r="AJ300" s="18"/>
      <c r="AK300" s="34"/>
      <c r="AL300" s="18"/>
      <c r="AM300" s="18"/>
      <c r="AN300" s="34"/>
      <c r="AO300" s="147"/>
      <c r="AP300" s="18"/>
      <c r="AQ300" s="34"/>
      <c r="AR300" s="34"/>
      <c r="AS300" s="34"/>
      <c r="AT300" s="40"/>
      <c r="AU300" s="18"/>
      <c r="AV300" s="18"/>
      <c r="AW300" s="34"/>
      <c r="AX300" s="18"/>
    </row>
    <row r="301" spans="1:50" ht="18.75" customHeight="1" x14ac:dyDescent="0.2">
      <c r="A301" s="4" t="s">
        <v>325</v>
      </c>
      <c r="B301" s="4" t="s">
        <v>326</v>
      </c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1" t="s">
        <v>345</v>
      </c>
      <c r="AB301" s="42" t="s">
        <v>328</v>
      </c>
      <c r="AC301" s="43" t="s">
        <v>61</v>
      </c>
      <c r="AD301" s="43">
        <v>31208419</v>
      </c>
      <c r="AE301" s="44">
        <v>0</v>
      </c>
      <c r="AF301" s="44">
        <v>0</v>
      </c>
      <c r="AG301" s="43">
        <v>21214942</v>
      </c>
      <c r="AH301" s="44">
        <v>0</v>
      </c>
      <c r="AI301" s="18">
        <f t="shared" ref="AI301" si="189">AE301-AF301+AG301-AH301</f>
        <v>21214942</v>
      </c>
      <c r="AJ301" s="18">
        <f t="shared" ref="AJ301" si="190">AD301+AI301</f>
        <v>52423361</v>
      </c>
      <c r="AK301" s="44">
        <v>0</v>
      </c>
      <c r="AL301" s="267">
        <f>AM301-OCTUBRE!AM300</f>
        <v>37328934</v>
      </c>
      <c r="AM301" s="43">
        <v>46500222</v>
      </c>
      <c r="AN301" s="44">
        <v>0</v>
      </c>
      <c r="AO301" s="142">
        <v>37328934</v>
      </c>
      <c r="AP301" s="43">
        <v>46500222</v>
      </c>
      <c r="AQ301" s="34">
        <v>0</v>
      </c>
      <c r="AR301" s="34">
        <v>0</v>
      </c>
      <c r="AS301" s="110">
        <v>9171288</v>
      </c>
      <c r="AT301" s="39">
        <f t="shared" ref="AT301" si="191">AQ301+AS301</f>
        <v>9171288</v>
      </c>
      <c r="AU301" s="18">
        <f>AJ301-AM301</f>
        <v>5923139</v>
      </c>
      <c r="AV301" s="34">
        <f>AM301-AP301</f>
        <v>0</v>
      </c>
      <c r="AW301" s="34">
        <f>AP301-AT301</f>
        <v>37328934</v>
      </c>
      <c r="AX301" s="123">
        <f>AP301/AJ301</f>
        <v>0.88701336795250496</v>
      </c>
    </row>
    <row r="302" spans="1:50" ht="18.75" customHeight="1" x14ac:dyDescent="0.2">
      <c r="AA302" s="28" t="s">
        <v>288</v>
      </c>
      <c r="AB302" s="29" t="s">
        <v>346</v>
      </c>
      <c r="AC302" s="17"/>
      <c r="AD302" s="18"/>
      <c r="AE302" s="34"/>
      <c r="AF302" s="34"/>
      <c r="AG302" s="34"/>
      <c r="AH302" s="34"/>
      <c r="AI302" s="34"/>
      <c r="AJ302" s="18"/>
      <c r="AK302" s="34"/>
      <c r="AL302" s="18"/>
      <c r="AM302" s="18"/>
      <c r="AN302" s="34"/>
      <c r="AO302" s="147"/>
      <c r="AP302" s="18"/>
      <c r="AQ302" s="34"/>
      <c r="AR302" s="133"/>
      <c r="AS302" s="110"/>
      <c r="AT302" s="40"/>
      <c r="AU302" s="18"/>
      <c r="AV302" s="18"/>
      <c r="AW302" s="34"/>
      <c r="AX302" s="18"/>
    </row>
    <row r="303" spans="1:50" ht="18.75" customHeight="1" x14ac:dyDescent="0.2">
      <c r="A303" s="4" t="s">
        <v>325</v>
      </c>
      <c r="B303" s="4" t="s">
        <v>326</v>
      </c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1" t="s">
        <v>347</v>
      </c>
      <c r="AB303" s="42" t="s">
        <v>328</v>
      </c>
      <c r="AC303" s="43" t="s">
        <v>61</v>
      </c>
      <c r="AD303" s="43">
        <v>1108512330</v>
      </c>
      <c r="AE303" s="44">
        <v>0</v>
      </c>
      <c r="AF303" s="44">
        <v>0</v>
      </c>
      <c r="AG303" s="44">
        <v>0</v>
      </c>
      <c r="AH303" s="43">
        <v>187767810</v>
      </c>
      <c r="AI303" s="18">
        <f t="shared" ref="AI303" si="192">AE303-AF303+AG303-AH303</f>
        <v>-187767810</v>
      </c>
      <c r="AJ303" s="18">
        <f t="shared" ref="AJ303" si="193">AD303+AI303</f>
        <v>920744520</v>
      </c>
      <c r="AK303" s="44">
        <v>0</v>
      </c>
      <c r="AL303" s="267">
        <f>AM303-OCTUBRE!AM302</f>
        <v>181428031</v>
      </c>
      <c r="AM303" s="43">
        <v>843746895</v>
      </c>
      <c r="AN303" s="44">
        <v>0</v>
      </c>
      <c r="AO303" s="142">
        <v>181428031</v>
      </c>
      <c r="AP303" s="43">
        <v>843310899</v>
      </c>
      <c r="AQ303" s="34">
        <v>0</v>
      </c>
      <c r="AR303" s="18">
        <v>70829201</v>
      </c>
      <c r="AS303" s="110">
        <v>732712069</v>
      </c>
      <c r="AT303" s="39">
        <f t="shared" ref="AT303" si="194">AQ303+AS303</f>
        <v>732712069</v>
      </c>
      <c r="AU303" s="18">
        <f>AJ303-AM303</f>
        <v>76997625</v>
      </c>
      <c r="AV303" s="110">
        <f>AM303-AP303</f>
        <v>435996</v>
      </c>
      <c r="AW303" s="34">
        <f>AP303-AT303</f>
        <v>110598830</v>
      </c>
      <c r="AX303" s="123">
        <f>AP303/AJ303</f>
        <v>0.91590107861842063</v>
      </c>
    </row>
    <row r="304" spans="1:50" ht="18.75" customHeight="1" x14ac:dyDescent="0.2">
      <c r="AA304" s="16"/>
      <c r="AB304" s="29" t="s">
        <v>348</v>
      </c>
      <c r="AC304" s="17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34"/>
      <c r="AO304" s="147"/>
      <c r="AP304" s="18"/>
      <c r="AQ304" s="18"/>
      <c r="AR304" s="18"/>
      <c r="AS304" s="18"/>
      <c r="AT304" s="30"/>
      <c r="AU304" s="18"/>
      <c r="AV304" s="18"/>
      <c r="AW304" s="18"/>
      <c r="AX304" s="18"/>
    </row>
    <row r="305" spans="1:50" ht="18.75" customHeight="1" x14ac:dyDescent="0.2">
      <c r="AA305" s="16"/>
      <c r="AB305" s="29" t="s">
        <v>318</v>
      </c>
      <c r="AC305" s="17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34"/>
      <c r="AO305" s="147"/>
      <c r="AP305" s="18"/>
      <c r="AQ305" s="18"/>
      <c r="AR305" s="18"/>
      <c r="AS305" s="18"/>
      <c r="AT305" s="30"/>
      <c r="AU305" s="18"/>
      <c r="AV305" s="18"/>
      <c r="AW305" s="18"/>
      <c r="AX305" s="18"/>
    </row>
    <row r="306" spans="1:50" ht="25.5" x14ac:dyDescent="0.2">
      <c r="AA306" s="16"/>
      <c r="AB306" s="29" t="s">
        <v>319</v>
      </c>
      <c r="AC306" s="17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34"/>
      <c r="AO306" s="147"/>
      <c r="AP306" s="18"/>
      <c r="AQ306" s="18"/>
      <c r="AR306" s="18"/>
      <c r="AS306" s="18"/>
      <c r="AT306" s="30"/>
      <c r="AU306" s="18"/>
      <c r="AV306" s="18"/>
      <c r="AW306" s="18"/>
      <c r="AX306" s="18"/>
    </row>
    <row r="307" spans="1:50" ht="18.75" customHeight="1" x14ac:dyDescent="0.2">
      <c r="AA307" s="16"/>
      <c r="AB307" s="29" t="s">
        <v>320</v>
      </c>
      <c r="AC307" s="17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34"/>
      <c r="AO307" s="147"/>
      <c r="AP307" s="18"/>
      <c r="AQ307" s="18"/>
      <c r="AR307" s="18"/>
      <c r="AS307" s="18"/>
      <c r="AT307" s="30"/>
      <c r="AU307" s="18"/>
      <c r="AV307" s="18"/>
      <c r="AW307" s="18"/>
      <c r="AX307" s="18"/>
    </row>
    <row r="308" spans="1:50" ht="18.75" customHeight="1" x14ac:dyDescent="0.2">
      <c r="AA308" s="16"/>
      <c r="AB308" s="29" t="s">
        <v>46</v>
      </c>
      <c r="AC308" s="17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34"/>
      <c r="AO308" s="147"/>
      <c r="AP308" s="18"/>
      <c r="AQ308" s="18"/>
      <c r="AR308" s="18"/>
      <c r="AS308" s="18"/>
      <c r="AT308" s="30"/>
      <c r="AU308" s="18"/>
      <c r="AV308" s="18"/>
      <c r="AW308" s="18"/>
      <c r="AX308" s="18"/>
    </row>
    <row r="309" spans="1:50" ht="18.75" customHeight="1" x14ac:dyDescent="0.2">
      <c r="AA309" s="16"/>
      <c r="AB309" s="29" t="s">
        <v>48</v>
      </c>
      <c r="AC309" s="17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34"/>
      <c r="AO309" s="18"/>
      <c r="AP309" s="18"/>
      <c r="AQ309" s="18"/>
      <c r="AR309" s="18"/>
      <c r="AS309" s="18"/>
      <c r="AT309" s="30"/>
      <c r="AU309" s="18"/>
      <c r="AV309" s="18"/>
      <c r="AW309" s="18"/>
      <c r="AX309" s="18"/>
    </row>
    <row r="310" spans="1:50" ht="18.75" customHeight="1" x14ac:dyDescent="0.2">
      <c r="AA310" s="16"/>
      <c r="AB310" s="29" t="s">
        <v>52</v>
      </c>
      <c r="AC310" s="17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34"/>
      <c r="AO310" s="18"/>
      <c r="AP310" s="18"/>
      <c r="AQ310" s="18"/>
      <c r="AR310" s="18"/>
      <c r="AS310" s="18"/>
      <c r="AT310" s="30"/>
      <c r="AU310" s="18"/>
      <c r="AV310" s="18"/>
      <c r="AW310" s="18"/>
      <c r="AX310" s="18"/>
    </row>
    <row r="311" spans="1:50" ht="18.75" customHeight="1" x14ac:dyDescent="0.2">
      <c r="AA311" s="28" t="s">
        <v>288</v>
      </c>
      <c r="AB311" s="29" t="s">
        <v>54</v>
      </c>
      <c r="AC311" s="17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34"/>
      <c r="AO311" s="18"/>
      <c r="AP311" s="18"/>
      <c r="AQ311" s="18"/>
      <c r="AR311" s="18"/>
      <c r="AS311" s="18"/>
      <c r="AT311" s="30"/>
      <c r="AU311" s="18"/>
      <c r="AV311" s="18"/>
      <c r="AW311" s="18"/>
      <c r="AX311" s="18"/>
    </row>
    <row r="312" spans="1:50" ht="18.75" customHeight="1" x14ac:dyDescent="0.2">
      <c r="A312" s="4" t="s">
        <v>55</v>
      </c>
      <c r="B312" s="4" t="s">
        <v>56</v>
      </c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1" t="s">
        <v>323</v>
      </c>
      <c r="AB312" s="42" t="s">
        <v>324</v>
      </c>
      <c r="AC312" s="43" t="s">
        <v>61</v>
      </c>
      <c r="AD312" s="43">
        <v>111646949658</v>
      </c>
      <c r="AE312" s="44">
        <v>0</v>
      </c>
      <c r="AF312" s="44">
        <v>0</v>
      </c>
      <c r="AG312" s="244">
        <v>18397564.699999999</v>
      </c>
      <c r="AH312" s="43">
        <f>316940531.7+7537936770+3425626398</f>
        <v>11280503699.700001</v>
      </c>
      <c r="AI312" s="18">
        <f t="shared" ref="AI312:AI314" si="195">AE312-AF312+AG312-AH312</f>
        <v>-11262106135</v>
      </c>
      <c r="AJ312" s="18">
        <f t="shared" ref="AJ312:AJ314" si="196">AD312+AI312</f>
        <v>100384843523</v>
      </c>
      <c r="AK312" s="44">
        <v>0</v>
      </c>
      <c r="AL312" s="267">
        <f>AM312-OCTUBRE!AM311</f>
        <v>18417870489</v>
      </c>
      <c r="AM312" s="43">
        <v>90988325063.5</v>
      </c>
      <c r="AN312" s="44">
        <v>0</v>
      </c>
      <c r="AO312" s="44">
        <v>18417870489</v>
      </c>
      <c r="AP312" s="43">
        <v>90983397652.5</v>
      </c>
      <c r="AQ312" s="44">
        <v>0</v>
      </c>
      <c r="AR312" s="43">
        <v>9176127590</v>
      </c>
      <c r="AS312" s="43">
        <v>81741654753.5</v>
      </c>
      <c r="AT312" s="253">
        <f t="shared" ref="AT312:AT314" si="197">AQ312+AS312</f>
        <v>81741654753.5</v>
      </c>
      <c r="AU312" s="18">
        <f>AJ312-AM312</f>
        <v>9396518459.5</v>
      </c>
      <c r="AV312" s="18">
        <f>AM312-AP312</f>
        <v>4927411</v>
      </c>
      <c r="AW312" s="18">
        <f>AP312-AT312</f>
        <v>9241742899</v>
      </c>
      <c r="AX312" s="123">
        <f>AP312/AJ312</f>
        <v>0.90634596279122592</v>
      </c>
    </row>
    <row r="313" spans="1:50" ht="18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173" t="s">
        <v>962</v>
      </c>
      <c r="AB313" s="42" t="s">
        <v>963</v>
      </c>
      <c r="AC313" s="43"/>
      <c r="AD313" s="44">
        <v>0</v>
      </c>
      <c r="AE313" s="44">
        <v>0</v>
      </c>
      <c r="AF313" s="44">
        <v>0</v>
      </c>
      <c r="AG313" s="43">
        <v>280746171.69999999</v>
      </c>
      <c r="AH313" s="44">
        <v>0</v>
      </c>
      <c r="AI313" s="18">
        <f t="shared" si="195"/>
        <v>280746171.69999999</v>
      </c>
      <c r="AJ313" s="18">
        <f t="shared" si="196"/>
        <v>280746171.69999999</v>
      </c>
      <c r="AK313" s="44">
        <v>0</v>
      </c>
      <c r="AL313" s="267">
        <f>AM313-OCTUBRE!AM312</f>
        <v>0</v>
      </c>
      <c r="AM313" s="44">
        <v>0</v>
      </c>
      <c r="AN313" s="44">
        <v>0</v>
      </c>
      <c r="AO313" s="44">
        <v>0</v>
      </c>
      <c r="AP313" s="44">
        <v>0</v>
      </c>
      <c r="AQ313" s="44">
        <v>0</v>
      </c>
      <c r="AR313" s="44">
        <v>0</v>
      </c>
      <c r="AS313" s="44">
        <v>0</v>
      </c>
      <c r="AT313" s="275">
        <f t="shared" si="197"/>
        <v>0</v>
      </c>
      <c r="AU313" s="18">
        <f>AJ313-AM313</f>
        <v>280746171.69999999</v>
      </c>
      <c r="AV313" s="133">
        <f>AM313-AP313</f>
        <v>0</v>
      </c>
      <c r="AW313" s="34">
        <f>AP313-AT313</f>
        <v>0</v>
      </c>
      <c r="AX313" s="123">
        <f>AP313/AJ313</f>
        <v>0</v>
      </c>
    </row>
    <row r="314" spans="1:50" ht="26.2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245" t="s">
        <v>1199</v>
      </c>
      <c r="AB314" s="42" t="s">
        <v>1200</v>
      </c>
      <c r="AC314" s="43"/>
      <c r="AD314" s="44">
        <v>0</v>
      </c>
      <c r="AE314" s="43">
        <v>3259928918.5</v>
      </c>
      <c r="AF314" s="44">
        <v>0</v>
      </c>
      <c r="AG314" s="44">
        <v>0</v>
      </c>
      <c r="AH314" s="34">
        <v>0</v>
      </c>
      <c r="AI314" s="18">
        <f t="shared" si="195"/>
        <v>3259928918.5</v>
      </c>
      <c r="AJ314" s="18">
        <f t="shared" si="196"/>
        <v>3259928918.5</v>
      </c>
      <c r="AK314" s="44">
        <v>0</v>
      </c>
      <c r="AL314" s="267">
        <f>AM314-OCTUBRE!AM313</f>
        <v>0</v>
      </c>
      <c r="AM314" s="43">
        <v>3259928918.5</v>
      </c>
      <c r="AN314" s="44">
        <v>0</v>
      </c>
      <c r="AO314" s="44">
        <v>0</v>
      </c>
      <c r="AP314" s="43">
        <v>3259928918.5</v>
      </c>
      <c r="AQ314" s="44">
        <v>0</v>
      </c>
      <c r="AR314" s="44">
        <v>0</v>
      </c>
      <c r="AS314" s="43">
        <v>3259928918.5</v>
      </c>
      <c r="AT314" s="253">
        <f t="shared" si="197"/>
        <v>3259928918.5</v>
      </c>
      <c r="AU314" s="34">
        <f>AJ314-AM314</f>
        <v>0</v>
      </c>
      <c r="AV314" s="133">
        <f>AM314-AP314</f>
        <v>0</v>
      </c>
      <c r="AW314" s="34">
        <f>AP314-AT314</f>
        <v>0</v>
      </c>
      <c r="AX314" s="123">
        <f>AP314/AJ314</f>
        <v>1</v>
      </c>
    </row>
    <row r="315" spans="1:50" ht="29.25" customHeight="1" x14ac:dyDescent="0.2">
      <c r="AA315" s="28" t="s">
        <v>288</v>
      </c>
      <c r="AB315" s="29" t="s">
        <v>63</v>
      </c>
      <c r="AC315" s="17"/>
      <c r="AD315" s="18"/>
      <c r="AE315" s="34"/>
      <c r="AF315" s="34"/>
      <c r="AG315" s="34"/>
      <c r="AH315" s="34"/>
      <c r="AI315" s="34"/>
      <c r="AJ315" s="18"/>
      <c r="AK315" s="34"/>
      <c r="AL315" s="18"/>
      <c r="AM315" s="18"/>
      <c r="AN315" s="34"/>
      <c r="AO315" s="34"/>
      <c r="AP315" s="18"/>
      <c r="AQ315" s="18"/>
      <c r="AR315" s="34"/>
      <c r="AS315" s="18"/>
      <c r="AT315" s="30"/>
      <c r="AU315" s="18"/>
      <c r="AV315" s="34"/>
      <c r="AW315" s="34"/>
      <c r="AX315" s="18"/>
    </row>
    <row r="316" spans="1:50" ht="18.75" customHeight="1" x14ac:dyDescent="0.2">
      <c r="A316" s="4" t="s">
        <v>325</v>
      </c>
      <c r="B316" s="4" t="s">
        <v>326</v>
      </c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1" t="s">
        <v>349</v>
      </c>
      <c r="AB316" s="42" t="s">
        <v>328</v>
      </c>
      <c r="AC316" s="43" t="s">
        <v>61</v>
      </c>
      <c r="AD316" s="43">
        <v>1252925726</v>
      </c>
      <c r="AE316" s="44">
        <v>0</v>
      </c>
      <c r="AF316" s="44">
        <v>0</v>
      </c>
      <c r="AG316" s="43">
        <f>6200000+251040049</f>
        <v>257240049</v>
      </c>
      <c r="AH316" s="44">
        <v>0</v>
      </c>
      <c r="AI316" s="18">
        <f>AE316-AF316+AG316-AH316</f>
        <v>257240049</v>
      </c>
      <c r="AJ316" s="18">
        <f>AD316+AI316</f>
        <v>1510165775</v>
      </c>
      <c r="AK316" s="44">
        <v>0</v>
      </c>
      <c r="AL316" s="267">
        <f>AM316-OCTUBRE!AM315</f>
        <v>314847047</v>
      </c>
      <c r="AM316" s="43">
        <v>1229623677</v>
      </c>
      <c r="AN316" s="44">
        <v>0</v>
      </c>
      <c r="AO316" s="44">
        <v>314847047</v>
      </c>
      <c r="AP316" s="43">
        <v>1229623677</v>
      </c>
      <c r="AQ316" s="44">
        <v>0</v>
      </c>
      <c r="AR316" s="43">
        <v>194703886</v>
      </c>
      <c r="AS316" s="43">
        <v>1109480516</v>
      </c>
      <c r="AT316" s="39">
        <f t="shared" ref="AT316" si="198">AQ316+AS316</f>
        <v>1109480516</v>
      </c>
      <c r="AU316" s="18">
        <f>AJ316-AM316</f>
        <v>280542098</v>
      </c>
      <c r="AV316" s="34">
        <f>AM316-AP316</f>
        <v>0</v>
      </c>
      <c r="AW316" s="34">
        <f>AP316-AT316</f>
        <v>120143161</v>
      </c>
      <c r="AX316" s="123">
        <f>AP316/AJ316</f>
        <v>0.81423092574058631</v>
      </c>
    </row>
    <row r="317" spans="1:50" ht="18.75" customHeight="1" x14ac:dyDescent="0.2">
      <c r="AA317" s="28" t="s">
        <v>288</v>
      </c>
      <c r="AB317" s="29" t="s">
        <v>67</v>
      </c>
      <c r="AC317" s="17"/>
      <c r="AD317" s="18"/>
      <c r="AE317" s="34"/>
      <c r="AF317" s="34"/>
      <c r="AG317" s="34"/>
      <c r="AH317" s="34"/>
      <c r="AI317" s="34"/>
      <c r="AJ317" s="18"/>
      <c r="AK317" s="34"/>
      <c r="AL317" s="18"/>
      <c r="AM317" s="18"/>
      <c r="AN317" s="34"/>
      <c r="AO317" s="34"/>
      <c r="AP317" s="18"/>
      <c r="AQ317" s="34"/>
      <c r="AR317" s="34"/>
      <c r="AS317" s="18"/>
      <c r="AT317" s="39"/>
      <c r="AU317" s="18"/>
      <c r="AV317" s="34"/>
      <c r="AW317" s="34"/>
      <c r="AX317" s="18"/>
    </row>
    <row r="318" spans="1:50" ht="18.75" customHeight="1" x14ac:dyDescent="0.2">
      <c r="A318" s="4" t="s">
        <v>325</v>
      </c>
      <c r="B318" s="4" t="s">
        <v>326</v>
      </c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1" t="s">
        <v>350</v>
      </c>
      <c r="AB318" s="42" t="s">
        <v>328</v>
      </c>
      <c r="AC318" s="43" t="s">
        <v>61</v>
      </c>
      <c r="AD318" s="43">
        <v>29846525</v>
      </c>
      <c r="AE318" s="44">
        <v>0</v>
      </c>
      <c r="AF318" s="44">
        <v>0</v>
      </c>
      <c r="AG318" s="44">
        <v>0</v>
      </c>
      <c r="AH318" s="44">
        <v>0</v>
      </c>
      <c r="AI318" s="34">
        <f>AE318-AF318+AG318-AH318</f>
        <v>0</v>
      </c>
      <c r="AJ318" s="18">
        <f>AD318+AI318</f>
        <v>29846525</v>
      </c>
      <c r="AK318" s="44">
        <v>0</v>
      </c>
      <c r="AL318" s="267">
        <f>AM318-OCTUBRE!AM317</f>
        <v>5434435</v>
      </c>
      <c r="AM318" s="43">
        <v>26263722</v>
      </c>
      <c r="AN318" s="44">
        <v>0</v>
      </c>
      <c r="AO318" s="44">
        <v>5434435</v>
      </c>
      <c r="AP318" s="43">
        <v>26263722</v>
      </c>
      <c r="AQ318" s="44">
        <v>0</v>
      </c>
      <c r="AR318" s="43">
        <v>2769480</v>
      </c>
      <c r="AS318" s="43">
        <v>23598767</v>
      </c>
      <c r="AT318" s="39">
        <f t="shared" ref="AT318" si="199">AQ318+AS318</f>
        <v>23598767</v>
      </c>
      <c r="AU318" s="18">
        <f>AJ318-AM318</f>
        <v>3582803</v>
      </c>
      <c r="AV318" s="34">
        <f>AM318-AP318</f>
        <v>0</v>
      </c>
      <c r="AW318" s="34">
        <f>AP318-AT318</f>
        <v>2664955</v>
      </c>
      <c r="AX318" s="123">
        <f>AP318/AJ318</f>
        <v>0.87995912421965372</v>
      </c>
    </row>
    <row r="319" spans="1:50" ht="18.75" customHeight="1" x14ac:dyDescent="0.2">
      <c r="AA319" s="28" t="s">
        <v>288</v>
      </c>
      <c r="AB319" s="29" t="s">
        <v>69</v>
      </c>
      <c r="AC319" s="17"/>
      <c r="AD319" s="18"/>
      <c r="AE319" s="34"/>
      <c r="AF319" s="34"/>
      <c r="AG319" s="34"/>
      <c r="AH319" s="34"/>
      <c r="AI319" s="34"/>
      <c r="AJ319" s="18"/>
      <c r="AK319" s="34"/>
      <c r="AL319" s="18"/>
      <c r="AM319" s="18"/>
      <c r="AN319" s="34"/>
      <c r="AO319" s="34"/>
      <c r="AP319" s="18"/>
      <c r="AQ319" s="34"/>
      <c r="AR319" s="18"/>
      <c r="AS319" s="18"/>
      <c r="AT319" s="39"/>
      <c r="AU319" s="18"/>
      <c r="AV319" s="18"/>
      <c r="AW319" s="34"/>
      <c r="AX319" s="18"/>
    </row>
    <row r="320" spans="1:50" ht="18.75" customHeight="1" x14ac:dyDescent="0.2">
      <c r="A320" s="4" t="s">
        <v>325</v>
      </c>
      <c r="B320" s="4" t="s">
        <v>326</v>
      </c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1" t="s">
        <v>351</v>
      </c>
      <c r="AB320" s="42" t="s">
        <v>328</v>
      </c>
      <c r="AC320" s="43" t="s">
        <v>61</v>
      </c>
      <c r="AD320" s="43">
        <v>8723052</v>
      </c>
      <c r="AE320" s="44">
        <v>0</v>
      </c>
      <c r="AF320" s="44">
        <v>0</v>
      </c>
      <c r="AG320" s="43">
        <v>36194360</v>
      </c>
      <c r="AH320" s="44">
        <v>0</v>
      </c>
      <c r="AI320" s="18">
        <f>AE320-AF320+AG320-AH320</f>
        <v>36194360</v>
      </c>
      <c r="AJ320" s="18">
        <f>AD320+AI320</f>
        <v>44917412</v>
      </c>
      <c r="AK320" s="44">
        <v>0</v>
      </c>
      <c r="AL320" s="267">
        <f>AM320-OCTUBRE!AM319</f>
        <v>851632</v>
      </c>
      <c r="AM320" s="43">
        <v>28852556</v>
      </c>
      <c r="AN320" s="44">
        <v>0</v>
      </c>
      <c r="AO320" s="44">
        <v>851632</v>
      </c>
      <c r="AP320" s="43">
        <v>28852556</v>
      </c>
      <c r="AQ320" s="44">
        <v>0</v>
      </c>
      <c r="AR320" s="43">
        <v>425816</v>
      </c>
      <c r="AS320" s="43">
        <v>28426740</v>
      </c>
      <c r="AT320" s="39">
        <f t="shared" ref="AT320" si="200">AQ320+AS320</f>
        <v>28426740</v>
      </c>
      <c r="AU320" s="18">
        <f>AJ320-AM320</f>
        <v>16064856</v>
      </c>
      <c r="AV320" s="34">
        <f>AM320-AP320</f>
        <v>0</v>
      </c>
      <c r="AW320" s="34">
        <f>AP320-AT320</f>
        <v>425816</v>
      </c>
      <c r="AX320" s="123">
        <f>AP320/AJ320</f>
        <v>0.64234680306158332</v>
      </c>
    </row>
    <row r="321" spans="1:50" ht="18.75" customHeight="1" x14ac:dyDescent="0.2">
      <c r="AA321" s="28" t="s">
        <v>288</v>
      </c>
      <c r="AB321" s="29" t="s">
        <v>71</v>
      </c>
      <c r="AC321" s="17"/>
      <c r="AD321" s="18"/>
      <c r="AE321" s="34"/>
      <c r="AF321" s="34"/>
      <c r="AG321" s="34"/>
      <c r="AH321" s="34"/>
      <c r="AI321" s="34"/>
      <c r="AJ321" s="18"/>
      <c r="AK321" s="34"/>
      <c r="AL321" s="18"/>
      <c r="AM321" s="18"/>
      <c r="AN321" s="34"/>
      <c r="AO321" s="34"/>
      <c r="AP321" s="18"/>
      <c r="AQ321" s="34"/>
      <c r="AR321" s="18"/>
      <c r="AS321" s="18"/>
      <c r="AT321" s="39"/>
      <c r="AU321" s="18"/>
      <c r="AV321" s="18"/>
      <c r="AW321" s="18"/>
      <c r="AX321" s="18"/>
    </row>
    <row r="322" spans="1:50" ht="18.75" customHeight="1" x14ac:dyDescent="0.2">
      <c r="A322" s="4" t="s">
        <v>325</v>
      </c>
      <c r="B322" s="4" t="s">
        <v>326</v>
      </c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1" t="s">
        <v>327</v>
      </c>
      <c r="AB322" s="42" t="s">
        <v>328</v>
      </c>
      <c r="AC322" s="43" t="s">
        <v>61</v>
      </c>
      <c r="AD322" s="43">
        <v>5466979223</v>
      </c>
      <c r="AE322" s="44">
        <v>0</v>
      </c>
      <c r="AF322" s="44">
        <v>0</v>
      </c>
      <c r="AG322" s="44">
        <v>0</v>
      </c>
      <c r="AH322" s="44">
        <v>0</v>
      </c>
      <c r="AI322" s="34">
        <f>AE322-AF322+AG322-AH322</f>
        <v>0</v>
      </c>
      <c r="AJ322" s="18">
        <f>AD322+AI322</f>
        <v>5466979223</v>
      </c>
      <c r="AK322" s="44">
        <v>0</v>
      </c>
      <c r="AL322" s="267">
        <f>AM322-OCTUBRE!AM321</f>
        <v>8834890</v>
      </c>
      <c r="AM322" s="43">
        <v>5171504344</v>
      </c>
      <c r="AN322" s="44">
        <v>0</v>
      </c>
      <c r="AO322" s="44">
        <v>8834890</v>
      </c>
      <c r="AP322" s="43">
        <v>5171504344</v>
      </c>
      <c r="AQ322" s="44">
        <v>0</v>
      </c>
      <c r="AR322" s="43">
        <v>0</v>
      </c>
      <c r="AS322" s="43">
        <v>5162669454</v>
      </c>
      <c r="AT322" s="39">
        <f t="shared" ref="AT322" si="201">AQ322+AS322</f>
        <v>5162669454</v>
      </c>
      <c r="AU322" s="18">
        <f>AJ322-AM322</f>
        <v>295474879</v>
      </c>
      <c r="AV322" s="34">
        <f>AM322-AP322</f>
        <v>0</v>
      </c>
      <c r="AW322" s="34">
        <f>AP322-AT322</f>
        <v>8834890</v>
      </c>
      <c r="AX322" s="123">
        <f>AP322/AJ322</f>
        <v>0.94595280740103882</v>
      </c>
    </row>
    <row r="323" spans="1:50" ht="18.75" customHeight="1" x14ac:dyDescent="0.2">
      <c r="AA323" s="28" t="s">
        <v>288</v>
      </c>
      <c r="AB323" s="29" t="s">
        <v>76</v>
      </c>
      <c r="AC323" s="17"/>
      <c r="AD323" s="18"/>
      <c r="AE323" s="34"/>
      <c r="AF323" s="34"/>
      <c r="AG323" s="34"/>
      <c r="AH323" s="34"/>
      <c r="AI323" s="34"/>
      <c r="AJ323" s="18"/>
      <c r="AK323" s="34"/>
      <c r="AL323" s="18"/>
      <c r="AM323" s="18"/>
      <c r="AN323" s="34"/>
      <c r="AO323" s="34"/>
      <c r="AP323" s="18"/>
      <c r="AQ323" s="18"/>
      <c r="AR323" s="34"/>
      <c r="AS323" s="18"/>
      <c r="AT323" s="39"/>
      <c r="AU323" s="18"/>
      <c r="AV323" s="18"/>
      <c r="AW323" s="34"/>
      <c r="AX323" s="18"/>
    </row>
    <row r="324" spans="1:50" ht="18.75" customHeight="1" x14ac:dyDescent="0.2">
      <c r="A324" s="4" t="s">
        <v>325</v>
      </c>
      <c r="B324" s="4" t="s">
        <v>326</v>
      </c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1" t="s">
        <v>329</v>
      </c>
      <c r="AB324" s="42" t="s">
        <v>328</v>
      </c>
      <c r="AC324" s="43" t="s">
        <v>61</v>
      </c>
      <c r="AD324" s="43">
        <v>3964855703</v>
      </c>
      <c r="AE324" s="44">
        <v>0</v>
      </c>
      <c r="AF324" s="44">
        <v>0</v>
      </c>
      <c r="AG324" s="43">
        <v>759162061</v>
      </c>
      <c r="AH324" s="44">
        <v>0</v>
      </c>
      <c r="AI324" s="286">
        <f>AE324-AF324+AG324-AH324</f>
        <v>759162061</v>
      </c>
      <c r="AJ324" s="18">
        <f>AD324+AI324</f>
        <v>4724017764</v>
      </c>
      <c r="AK324" s="44">
        <v>0</v>
      </c>
      <c r="AL324" s="267">
        <f>AM324-OCTUBRE!AM323</f>
        <v>593537137</v>
      </c>
      <c r="AM324" s="43">
        <v>4418143859</v>
      </c>
      <c r="AN324" s="44">
        <v>0</v>
      </c>
      <c r="AO324" s="44">
        <v>593537137</v>
      </c>
      <c r="AP324" s="43">
        <v>4418143859</v>
      </c>
      <c r="AQ324" s="44">
        <v>0</v>
      </c>
      <c r="AR324" s="43">
        <v>279349328</v>
      </c>
      <c r="AS324" s="43">
        <v>4103956050</v>
      </c>
      <c r="AT324" s="39">
        <f t="shared" ref="AT324" si="202">AQ324+AS324</f>
        <v>4103956050</v>
      </c>
      <c r="AU324" s="18">
        <f>AJ324-AM324</f>
        <v>305873905</v>
      </c>
      <c r="AV324" s="34">
        <f>AM324-AP324</f>
        <v>0</v>
      </c>
      <c r="AW324" s="34">
        <f>AP324-AT324</f>
        <v>314187809</v>
      </c>
      <c r="AX324" s="123">
        <f>AP324/AJ324</f>
        <v>0.93525132201429206</v>
      </c>
    </row>
    <row r="325" spans="1:50" ht="18.75" customHeight="1" x14ac:dyDescent="0.2">
      <c r="AA325" s="16"/>
      <c r="AB325" s="29" t="s">
        <v>81</v>
      </c>
      <c r="AC325" s="17"/>
      <c r="AD325" s="18"/>
      <c r="AE325" s="34"/>
      <c r="AF325" s="34"/>
      <c r="AG325" s="34"/>
      <c r="AH325" s="34"/>
      <c r="AI325" s="34"/>
      <c r="AJ325" s="18"/>
      <c r="AK325" s="34"/>
      <c r="AL325" s="18"/>
      <c r="AM325" s="18"/>
      <c r="AN325" s="34"/>
      <c r="AO325" s="34"/>
      <c r="AP325" s="18"/>
      <c r="AQ325" s="34"/>
      <c r="AR325" s="34"/>
      <c r="AS325" s="18"/>
      <c r="AT325" s="30"/>
      <c r="AU325" s="18"/>
      <c r="AV325" s="18"/>
      <c r="AW325" s="34"/>
      <c r="AX325" s="18"/>
    </row>
    <row r="326" spans="1:50" ht="18.75" customHeight="1" x14ac:dyDescent="0.2">
      <c r="AA326" s="28" t="s">
        <v>288</v>
      </c>
      <c r="AB326" s="29" t="s">
        <v>83</v>
      </c>
      <c r="AC326" s="17"/>
      <c r="AD326" s="18"/>
      <c r="AE326" s="34"/>
      <c r="AF326" s="34"/>
      <c r="AG326" s="34"/>
      <c r="AH326" s="34"/>
      <c r="AI326" s="34"/>
      <c r="AJ326" s="18"/>
      <c r="AK326" s="34"/>
      <c r="AL326" s="18"/>
      <c r="AM326" s="18"/>
      <c r="AN326" s="34"/>
      <c r="AO326" s="34"/>
      <c r="AP326" s="18"/>
      <c r="AQ326" s="34"/>
      <c r="AR326" s="34"/>
      <c r="AS326" s="18"/>
      <c r="AT326" s="30"/>
      <c r="AU326" s="18"/>
      <c r="AV326" s="18"/>
      <c r="AW326" s="34"/>
      <c r="AX326" s="18"/>
    </row>
    <row r="327" spans="1:50" ht="18.75" customHeight="1" x14ac:dyDescent="0.2">
      <c r="A327" s="4" t="s">
        <v>325</v>
      </c>
      <c r="B327" s="4" t="s">
        <v>326</v>
      </c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1" t="s">
        <v>330</v>
      </c>
      <c r="AB327" s="42" t="s">
        <v>328</v>
      </c>
      <c r="AC327" s="43" t="s">
        <v>61</v>
      </c>
      <c r="AD327" s="43">
        <v>11363953497</v>
      </c>
      <c r="AE327" s="44">
        <v>0</v>
      </c>
      <c r="AF327" s="44">
        <v>0</v>
      </c>
      <c r="AG327" s="44">
        <v>0</v>
      </c>
      <c r="AH327" s="142">
        <v>0</v>
      </c>
      <c r="AI327" s="18">
        <f>AE327-AF327+AG327-AH327</f>
        <v>0</v>
      </c>
      <c r="AJ327" s="18">
        <f>AD327+AI327</f>
        <v>11363953497</v>
      </c>
      <c r="AK327" s="44">
        <v>0</v>
      </c>
      <c r="AL327" s="267">
        <f>AM327-OCTUBRE!AM326</f>
        <v>25431335</v>
      </c>
      <c r="AM327" s="43">
        <v>199603735</v>
      </c>
      <c r="AN327" s="44">
        <v>0</v>
      </c>
      <c r="AO327" s="44">
        <v>25431335</v>
      </c>
      <c r="AP327" s="43">
        <v>199603735</v>
      </c>
      <c r="AQ327" s="44">
        <v>0</v>
      </c>
      <c r="AR327" s="43">
        <v>9693468</v>
      </c>
      <c r="AS327" s="43">
        <v>183865868</v>
      </c>
      <c r="AT327" s="39">
        <f t="shared" ref="AT327" si="203">AQ327+AS327</f>
        <v>183865868</v>
      </c>
      <c r="AU327" s="18">
        <f>AJ327-AM327</f>
        <v>11164349762</v>
      </c>
      <c r="AV327" s="34">
        <f>AM327-AP327</f>
        <v>0</v>
      </c>
      <c r="AW327" s="34">
        <f>AP327-AT327</f>
        <v>15737867</v>
      </c>
      <c r="AX327" s="123">
        <f>AP327/AJ327</f>
        <v>1.7564638490706067E-2</v>
      </c>
    </row>
    <row r="328" spans="1:50" ht="18.75" customHeight="1" x14ac:dyDescent="0.2">
      <c r="AA328" s="28" t="s">
        <v>288</v>
      </c>
      <c r="AB328" s="29" t="s">
        <v>88</v>
      </c>
      <c r="AC328" s="17"/>
      <c r="AD328" s="18"/>
      <c r="AE328" s="34"/>
      <c r="AF328" s="34"/>
      <c r="AG328" s="34"/>
      <c r="AH328" s="34"/>
      <c r="AI328" s="34"/>
      <c r="AJ328" s="18"/>
      <c r="AK328" s="34"/>
      <c r="AL328" s="18"/>
      <c r="AM328" s="18"/>
      <c r="AN328" s="34"/>
      <c r="AO328" s="34"/>
      <c r="AP328" s="18"/>
      <c r="AQ328" s="34"/>
      <c r="AR328" s="18"/>
      <c r="AS328" s="18"/>
      <c r="AT328" s="30"/>
      <c r="AU328" s="18"/>
      <c r="AV328" s="18"/>
      <c r="AW328" s="18"/>
      <c r="AX328" s="18"/>
    </row>
    <row r="329" spans="1:50" ht="18.75" customHeight="1" x14ac:dyDescent="0.2">
      <c r="A329" s="4" t="s">
        <v>325</v>
      </c>
      <c r="B329" s="4" t="s">
        <v>326</v>
      </c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1" t="s">
        <v>331</v>
      </c>
      <c r="AB329" s="42" t="s">
        <v>328</v>
      </c>
      <c r="AC329" s="43" t="s">
        <v>61</v>
      </c>
      <c r="AD329" s="43">
        <v>5983405720</v>
      </c>
      <c r="AE329" s="44">
        <v>0</v>
      </c>
      <c r="AF329" s="44">
        <v>0</v>
      </c>
      <c r="AG329" s="44">
        <v>0</v>
      </c>
      <c r="AH329" s="44">
        <v>0</v>
      </c>
      <c r="AI329" s="34">
        <f>AE329-AF329+AG329-AH329</f>
        <v>0</v>
      </c>
      <c r="AJ329" s="18">
        <f>AD329+AI329</f>
        <v>5983405720</v>
      </c>
      <c r="AK329" s="44">
        <v>0</v>
      </c>
      <c r="AL329" s="267">
        <f>AM329-OCTUBRE!AM328</f>
        <v>5075402883</v>
      </c>
      <c r="AM329" s="43">
        <v>5079628291</v>
      </c>
      <c r="AN329" s="44">
        <v>0</v>
      </c>
      <c r="AO329" s="44">
        <v>5075402883</v>
      </c>
      <c r="AP329" s="43">
        <v>5079628291</v>
      </c>
      <c r="AQ329" s="44">
        <v>0</v>
      </c>
      <c r="AR329" s="43">
        <v>0</v>
      </c>
      <c r="AS329" s="43">
        <v>4225408</v>
      </c>
      <c r="AT329" s="39">
        <f t="shared" ref="AT329" si="204">AQ329+AS329</f>
        <v>4225408</v>
      </c>
      <c r="AU329" s="18">
        <f>AJ329-AM329</f>
        <v>903777429</v>
      </c>
      <c r="AV329" s="34">
        <f>AM329-AP329</f>
        <v>0</v>
      </c>
      <c r="AW329" s="34">
        <f>AP329-AT329</f>
        <v>5075402883</v>
      </c>
      <c r="AX329" s="123">
        <f>AP329/AJ329</f>
        <v>0.84895267489900383</v>
      </c>
    </row>
    <row r="330" spans="1:50" ht="18.75" customHeight="1" x14ac:dyDescent="0.2">
      <c r="AA330" s="16"/>
      <c r="AB330" s="29" t="s">
        <v>103</v>
      </c>
      <c r="AC330" s="17"/>
      <c r="AD330" s="18"/>
      <c r="AE330" s="34"/>
      <c r="AF330" s="34"/>
      <c r="AG330" s="34"/>
      <c r="AH330" s="34"/>
      <c r="AI330" s="34"/>
      <c r="AJ330" s="18"/>
      <c r="AK330" s="34"/>
      <c r="AL330" s="18"/>
      <c r="AM330" s="18"/>
      <c r="AN330" s="34"/>
      <c r="AO330" s="34"/>
      <c r="AP330" s="18"/>
      <c r="AQ330" s="18"/>
      <c r="AR330" s="18"/>
      <c r="AS330" s="18"/>
      <c r="AT330" s="30"/>
      <c r="AU330" s="18"/>
      <c r="AV330" s="18"/>
      <c r="AW330" s="34"/>
      <c r="AX330" s="18"/>
    </row>
    <row r="331" spans="1:50" ht="18.75" customHeight="1" x14ac:dyDescent="0.2">
      <c r="AA331" s="28" t="s">
        <v>288</v>
      </c>
      <c r="AB331" s="29" t="s">
        <v>352</v>
      </c>
      <c r="AC331" s="17"/>
      <c r="AD331" s="18"/>
      <c r="AE331" s="34"/>
      <c r="AF331" s="34"/>
      <c r="AG331" s="34"/>
      <c r="AH331" s="34"/>
      <c r="AI331" s="34"/>
      <c r="AJ331" s="18"/>
      <c r="AK331" s="34"/>
      <c r="AL331" s="18"/>
      <c r="AM331" s="18"/>
      <c r="AN331" s="34"/>
      <c r="AO331" s="34"/>
      <c r="AP331" s="18"/>
      <c r="AQ331" s="18"/>
      <c r="AR331" s="18"/>
      <c r="AS331" s="18"/>
      <c r="AT331" s="30"/>
      <c r="AU331" s="18"/>
      <c r="AV331" s="18"/>
      <c r="AW331" s="34"/>
      <c r="AX331" s="18"/>
    </row>
    <row r="332" spans="1:50" ht="18.75" customHeight="1" x14ac:dyDescent="0.2">
      <c r="A332" s="4" t="s">
        <v>325</v>
      </c>
      <c r="B332" s="4" t="s">
        <v>326</v>
      </c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1" t="s">
        <v>332</v>
      </c>
      <c r="AB332" s="42" t="s">
        <v>328</v>
      </c>
      <c r="AC332" s="43" t="s">
        <v>61</v>
      </c>
      <c r="AD332" s="43">
        <v>13134738179</v>
      </c>
      <c r="AE332" s="44">
        <v>0</v>
      </c>
      <c r="AF332" s="44">
        <v>0</v>
      </c>
      <c r="AG332" s="43">
        <v>103659676</v>
      </c>
      <c r="AH332" s="43">
        <v>2591422632</v>
      </c>
      <c r="AI332" s="18">
        <f>AE332-AF332+AG332-AH332</f>
        <v>-2487762956</v>
      </c>
      <c r="AJ332" s="18">
        <f>AD332+AI332</f>
        <v>10646975223</v>
      </c>
      <c r="AK332" s="44">
        <v>0</v>
      </c>
      <c r="AL332" s="267">
        <f>AM332-OCTUBRE!AM331</f>
        <v>1665711313.999999</v>
      </c>
      <c r="AM332" s="43">
        <v>9321646262.9599991</v>
      </c>
      <c r="AN332" s="44">
        <v>0</v>
      </c>
      <c r="AO332" s="43">
        <v>1665711314</v>
      </c>
      <c r="AP332" s="43">
        <v>9321646262.9599991</v>
      </c>
      <c r="AQ332" s="44">
        <v>0</v>
      </c>
      <c r="AR332" s="43">
        <v>832061636</v>
      </c>
      <c r="AS332" s="43">
        <v>8487996584.96</v>
      </c>
      <c r="AT332" s="39">
        <f t="shared" ref="AT332" si="205">AQ332+AS332</f>
        <v>8487996584.96</v>
      </c>
      <c r="AU332" s="18">
        <f>AJ332-AM332</f>
        <v>1325328960.0400009</v>
      </c>
      <c r="AV332" s="34">
        <f>AM332-AP332</f>
        <v>0</v>
      </c>
      <c r="AW332" s="34">
        <f>AP332-AT332</f>
        <v>833649677.99999905</v>
      </c>
      <c r="AX332" s="123">
        <f>AP332/AJ332</f>
        <v>0.87552061197841669</v>
      </c>
    </row>
    <row r="333" spans="1:50" ht="18.75" customHeight="1" x14ac:dyDescent="0.2">
      <c r="AA333" s="28" t="s">
        <v>288</v>
      </c>
      <c r="AB333" s="29" t="s">
        <v>353</v>
      </c>
      <c r="AC333" s="17"/>
      <c r="AD333" s="18"/>
      <c r="AE333" s="34"/>
      <c r="AF333" s="34"/>
      <c r="AG333" s="34"/>
      <c r="AH333" s="34"/>
      <c r="AI333" s="34"/>
      <c r="AJ333" s="18"/>
      <c r="AK333" s="34"/>
      <c r="AL333" s="18"/>
      <c r="AM333" s="18"/>
      <c r="AN333" s="34"/>
      <c r="AO333" s="18"/>
      <c r="AP333" s="18"/>
      <c r="AQ333" s="34"/>
      <c r="AR333" s="18"/>
      <c r="AS333" s="18"/>
      <c r="AT333" s="30"/>
      <c r="AU333" s="18"/>
      <c r="AV333" s="18"/>
      <c r="AW333" s="34"/>
      <c r="AX333" s="18"/>
    </row>
    <row r="334" spans="1:50" ht="18.75" customHeight="1" x14ac:dyDescent="0.2">
      <c r="A334" s="4" t="s">
        <v>325</v>
      </c>
      <c r="B334" s="4" t="s">
        <v>326</v>
      </c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1" t="s">
        <v>334</v>
      </c>
      <c r="AB334" s="42" t="s">
        <v>328</v>
      </c>
      <c r="AC334" s="43" t="s">
        <v>61</v>
      </c>
      <c r="AD334" s="43">
        <v>9662336131</v>
      </c>
      <c r="AE334" s="44">
        <v>0</v>
      </c>
      <c r="AF334" s="44">
        <v>0</v>
      </c>
      <c r="AG334" s="43">
        <v>791422632</v>
      </c>
      <c r="AH334" s="44">
        <v>0</v>
      </c>
      <c r="AI334" s="18">
        <f>AE334-AF334+AG334-AH334</f>
        <v>791422632</v>
      </c>
      <c r="AJ334" s="18">
        <f>AD334+AI334</f>
        <v>10453758763</v>
      </c>
      <c r="AK334" s="44">
        <v>0</v>
      </c>
      <c r="AL334" s="267">
        <f>AM334-OCTUBRE!AM333</f>
        <v>1769810440.000001</v>
      </c>
      <c r="AM334" s="43">
        <v>9702541352.0400009</v>
      </c>
      <c r="AN334" s="44">
        <v>0</v>
      </c>
      <c r="AO334" s="43">
        <v>1769810440</v>
      </c>
      <c r="AP334" s="43">
        <v>9702541352.0400009</v>
      </c>
      <c r="AQ334" s="44">
        <v>0</v>
      </c>
      <c r="AR334" s="43">
        <v>884061447</v>
      </c>
      <c r="AS334" s="43">
        <v>8816792359.0400009</v>
      </c>
      <c r="AT334" s="39">
        <f t="shared" ref="AT334" si="206">AQ334+AS334</f>
        <v>8816792359.0400009</v>
      </c>
      <c r="AU334" s="18">
        <f>AJ334-AM334</f>
        <v>751217410.95999908</v>
      </c>
      <c r="AV334" s="34">
        <f>AM334-AP334</f>
        <v>0</v>
      </c>
      <c r="AW334" s="34">
        <f>AP334-AT334</f>
        <v>885748993</v>
      </c>
      <c r="AX334" s="123">
        <f>AP334/AJ334</f>
        <v>0.92813901411051736</v>
      </c>
    </row>
    <row r="335" spans="1:50" ht="18.75" customHeight="1" x14ac:dyDescent="0.2">
      <c r="AA335" s="28" t="s">
        <v>288</v>
      </c>
      <c r="AB335" s="29" t="s">
        <v>354</v>
      </c>
      <c r="AC335" s="17"/>
      <c r="AD335" s="18"/>
      <c r="AE335" s="34"/>
      <c r="AF335" s="34"/>
      <c r="AG335" s="34"/>
      <c r="AH335" s="34"/>
      <c r="AI335" s="34"/>
      <c r="AJ335" s="18"/>
      <c r="AK335" s="34"/>
      <c r="AL335" s="18"/>
      <c r="AM335" s="18"/>
      <c r="AN335" s="34"/>
      <c r="AO335" s="18"/>
      <c r="AP335" s="18"/>
      <c r="AQ335" s="34"/>
      <c r="AR335" s="18"/>
      <c r="AS335" s="18"/>
      <c r="AT335" s="30"/>
      <c r="AU335" s="18"/>
      <c r="AV335" s="18"/>
      <c r="AW335" s="34"/>
      <c r="AX335" s="18"/>
    </row>
    <row r="336" spans="1:50" ht="18.75" customHeight="1" x14ac:dyDescent="0.2">
      <c r="A336" s="4" t="s">
        <v>325</v>
      </c>
      <c r="B336" s="4" t="s">
        <v>326</v>
      </c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1" t="s">
        <v>335</v>
      </c>
      <c r="AB336" s="42" t="s">
        <v>328</v>
      </c>
      <c r="AC336" s="43" t="s">
        <v>61</v>
      </c>
      <c r="AD336" s="43">
        <v>8037478566</v>
      </c>
      <c r="AE336" s="44">
        <v>0</v>
      </c>
      <c r="AF336" s="44">
        <v>0</v>
      </c>
      <c r="AG336" s="43">
        <f>1800000000+2732850780</f>
        <v>4532850780</v>
      </c>
      <c r="AH336" s="44">
        <v>0</v>
      </c>
      <c r="AI336" s="18">
        <f>AE336-AF336+AG336-AH336</f>
        <v>4532850780</v>
      </c>
      <c r="AJ336" s="18">
        <f>AD336+AI336</f>
        <v>12570329346</v>
      </c>
      <c r="AK336" s="44">
        <v>0</v>
      </c>
      <c r="AL336" s="267">
        <f>AM336-OCTUBRE!AM335</f>
        <v>2402714142</v>
      </c>
      <c r="AM336" s="43">
        <v>10440192708</v>
      </c>
      <c r="AN336" s="44">
        <v>0</v>
      </c>
      <c r="AO336" s="43">
        <v>2402714142</v>
      </c>
      <c r="AP336" s="43">
        <v>10440192708</v>
      </c>
      <c r="AQ336" s="44">
        <v>0</v>
      </c>
      <c r="AR336" s="43">
        <v>982330831</v>
      </c>
      <c r="AS336" s="43">
        <v>9019809397</v>
      </c>
      <c r="AT336" s="39">
        <f t="shared" ref="AT336" si="207">AQ336+AS336</f>
        <v>9019809397</v>
      </c>
      <c r="AU336" s="18">
        <f>AJ336-AM336</f>
        <v>2130136638</v>
      </c>
      <c r="AV336" s="34">
        <f>AM336-AP336</f>
        <v>0</v>
      </c>
      <c r="AW336" s="34">
        <f>AP336-AT336</f>
        <v>1420383311</v>
      </c>
      <c r="AX336" s="123">
        <f>AP336/AJ336</f>
        <v>0.83054249579563877</v>
      </c>
    </row>
    <row r="337" spans="1:50" ht="18.75" customHeight="1" x14ac:dyDescent="0.2">
      <c r="AA337" s="28" t="s">
        <v>288</v>
      </c>
      <c r="AB337" s="29" t="s">
        <v>119</v>
      </c>
      <c r="AC337" s="17"/>
      <c r="AD337" s="18"/>
      <c r="AE337" s="34"/>
      <c r="AF337" s="34"/>
      <c r="AG337" s="34"/>
      <c r="AH337" s="34"/>
      <c r="AI337" s="34"/>
      <c r="AJ337" s="18"/>
      <c r="AK337" s="34"/>
      <c r="AL337" s="18"/>
      <c r="AM337" s="18"/>
      <c r="AN337" s="34"/>
      <c r="AO337" s="18"/>
      <c r="AP337" s="18"/>
      <c r="AQ337" s="18"/>
      <c r="AR337" s="18"/>
      <c r="AS337" s="18"/>
      <c r="AT337" s="30"/>
      <c r="AU337" s="18"/>
      <c r="AV337" s="18"/>
      <c r="AW337" s="133"/>
      <c r="AX337" s="18"/>
    </row>
    <row r="338" spans="1:50" ht="18.75" customHeight="1" x14ac:dyDescent="0.2">
      <c r="A338" s="4" t="s">
        <v>325</v>
      </c>
      <c r="B338" s="4" t="s">
        <v>326</v>
      </c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1" t="s">
        <v>336</v>
      </c>
      <c r="AB338" s="42" t="s">
        <v>328</v>
      </c>
      <c r="AC338" s="43" t="s">
        <v>61</v>
      </c>
      <c r="AD338" s="43">
        <v>5595577790</v>
      </c>
      <c r="AE338" s="44">
        <v>0</v>
      </c>
      <c r="AF338" s="44">
        <v>0</v>
      </c>
      <c r="AG338" s="44">
        <v>0</v>
      </c>
      <c r="AH338" s="44">
        <v>0</v>
      </c>
      <c r="AI338" s="44">
        <v>0</v>
      </c>
      <c r="AJ338" s="43">
        <v>5595577790</v>
      </c>
      <c r="AK338" s="44">
        <v>0</v>
      </c>
      <c r="AL338" s="267">
        <f>AM338-OCTUBRE!AM337</f>
        <v>1018897700</v>
      </c>
      <c r="AM338" s="43">
        <v>4965545966</v>
      </c>
      <c r="AN338" s="44">
        <v>0</v>
      </c>
      <c r="AO338" s="43">
        <v>1018897700</v>
      </c>
      <c r="AP338" s="43">
        <v>4965545966</v>
      </c>
      <c r="AQ338" s="43">
        <v>607973600</v>
      </c>
      <c r="AR338" s="43">
        <v>410924100</v>
      </c>
      <c r="AS338" s="43">
        <v>4357572366</v>
      </c>
      <c r="AT338" s="39">
        <f t="shared" ref="AT338" si="208">AQ338+AS338</f>
        <v>4965545966</v>
      </c>
      <c r="AU338" s="18">
        <f>AJ338-AM338</f>
        <v>630031824</v>
      </c>
      <c r="AV338" s="34">
        <f>AM338-AP338</f>
        <v>0</v>
      </c>
      <c r="AW338" s="133">
        <f>AP338-AT338</f>
        <v>0</v>
      </c>
      <c r="AX338" s="123">
        <f>AP338/AJ338</f>
        <v>0.88740540340160301</v>
      </c>
    </row>
    <row r="339" spans="1:50" ht="26.25" customHeight="1" x14ac:dyDescent="0.2">
      <c r="AA339" s="28"/>
      <c r="AB339" s="29" t="s">
        <v>124</v>
      </c>
      <c r="AC339" s="17"/>
      <c r="AD339" s="18"/>
      <c r="AE339" s="34"/>
      <c r="AF339" s="34"/>
      <c r="AG339" s="34"/>
      <c r="AH339" s="34"/>
      <c r="AI339" s="34"/>
      <c r="AJ339" s="18"/>
      <c r="AK339" s="34"/>
      <c r="AL339" s="34"/>
      <c r="AM339" s="18"/>
      <c r="AN339" s="34"/>
      <c r="AO339" s="34"/>
      <c r="AP339" s="18"/>
      <c r="AQ339" s="110"/>
      <c r="AR339" s="110"/>
      <c r="AS339" s="110"/>
      <c r="AT339" s="31"/>
      <c r="AU339" s="18"/>
      <c r="AV339" s="18"/>
      <c r="AW339" s="18"/>
      <c r="AX339" s="18"/>
    </row>
    <row r="340" spans="1:50" ht="18.75" customHeight="1" x14ac:dyDescent="0.2">
      <c r="AA340" s="28" t="s">
        <v>288</v>
      </c>
      <c r="AB340" s="29" t="s">
        <v>129</v>
      </c>
      <c r="AC340" s="17"/>
      <c r="AD340" s="18"/>
      <c r="AE340" s="34"/>
      <c r="AF340" s="34"/>
      <c r="AG340" s="34"/>
      <c r="AH340" s="34"/>
      <c r="AI340" s="34"/>
      <c r="AJ340" s="18"/>
      <c r="AK340" s="34"/>
      <c r="AL340" s="34"/>
      <c r="AM340" s="18"/>
      <c r="AN340" s="34"/>
      <c r="AO340" s="34"/>
      <c r="AP340" s="18"/>
      <c r="AQ340" s="110"/>
      <c r="AR340" s="110"/>
      <c r="AS340" s="110"/>
      <c r="AT340" s="31"/>
      <c r="AU340" s="18"/>
      <c r="AV340" s="18"/>
      <c r="AW340" s="18"/>
      <c r="AX340" s="18"/>
    </row>
    <row r="341" spans="1:50" ht="18.75" customHeight="1" x14ac:dyDescent="0.2">
      <c r="A341" s="4" t="s">
        <v>325</v>
      </c>
      <c r="B341" s="4" t="s">
        <v>326</v>
      </c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1" t="s">
        <v>338</v>
      </c>
      <c r="AB341" s="42" t="s">
        <v>328</v>
      </c>
      <c r="AC341" s="43" t="s">
        <v>61</v>
      </c>
      <c r="AD341" s="43">
        <v>4197626620</v>
      </c>
      <c r="AE341" s="44">
        <v>0</v>
      </c>
      <c r="AF341" s="44">
        <v>0</v>
      </c>
      <c r="AG341" s="44">
        <v>0</v>
      </c>
      <c r="AH341" s="44">
        <v>0</v>
      </c>
      <c r="AI341" s="44">
        <v>0</v>
      </c>
      <c r="AJ341" s="43">
        <v>4197626620</v>
      </c>
      <c r="AK341" s="44">
        <v>0</v>
      </c>
      <c r="AL341" s="267">
        <f>AM341-OCTUBRE!AM340</f>
        <v>764278900</v>
      </c>
      <c r="AM341" s="43">
        <v>3724811153</v>
      </c>
      <c r="AN341" s="44">
        <v>0</v>
      </c>
      <c r="AO341" s="43">
        <v>764278900</v>
      </c>
      <c r="AP341" s="43">
        <v>3724811153</v>
      </c>
      <c r="AQ341" s="43">
        <v>456015600</v>
      </c>
      <c r="AR341" s="114">
        <v>308263300</v>
      </c>
      <c r="AS341" s="114">
        <v>3268795553</v>
      </c>
      <c r="AT341" s="39">
        <f t="shared" ref="AT341" si="209">AQ341+AS341</f>
        <v>3724811153</v>
      </c>
      <c r="AU341" s="18">
        <f>AJ341-AM341</f>
        <v>472815467</v>
      </c>
      <c r="AV341" s="34">
        <f>AM341-AP341</f>
        <v>0</v>
      </c>
      <c r="AW341" s="34">
        <f>AP341-AT341</f>
        <v>0</v>
      </c>
      <c r="AX341" s="123">
        <f>AP341/AJ341</f>
        <v>0.88736123771770825</v>
      </c>
    </row>
    <row r="342" spans="1:50" ht="18.75" customHeight="1" x14ac:dyDescent="0.2">
      <c r="AA342" s="28" t="s">
        <v>288</v>
      </c>
      <c r="AB342" s="29" t="s">
        <v>133</v>
      </c>
      <c r="AC342" s="17"/>
      <c r="AD342" s="18"/>
      <c r="AE342" s="34"/>
      <c r="AF342" s="34"/>
      <c r="AG342" s="34"/>
      <c r="AH342" s="34"/>
      <c r="AI342" s="34"/>
      <c r="AJ342" s="18"/>
      <c r="AK342" s="34"/>
      <c r="AL342" s="18"/>
      <c r="AM342" s="18"/>
      <c r="AN342" s="34"/>
      <c r="AO342" s="18"/>
      <c r="AP342" s="18"/>
      <c r="AQ342" s="18"/>
      <c r="AR342" s="110"/>
      <c r="AS342" s="110"/>
      <c r="AT342" s="31"/>
      <c r="AU342" s="18"/>
      <c r="AV342" s="18"/>
      <c r="AW342" s="34"/>
      <c r="AX342" s="18"/>
    </row>
    <row r="343" spans="1:50" ht="18.75" customHeight="1" x14ac:dyDescent="0.2">
      <c r="A343" s="4" t="s">
        <v>325</v>
      </c>
      <c r="B343" s="4" t="s">
        <v>326</v>
      </c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1" t="s">
        <v>339</v>
      </c>
      <c r="AB343" s="42" t="s">
        <v>328</v>
      </c>
      <c r="AC343" s="43" t="s">
        <v>61</v>
      </c>
      <c r="AD343" s="43">
        <v>701459880</v>
      </c>
      <c r="AE343" s="44">
        <v>0</v>
      </c>
      <c r="AF343" s="44">
        <v>0</v>
      </c>
      <c r="AG343" s="44">
        <v>0</v>
      </c>
      <c r="AH343" s="44">
        <v>0</v>
      </c>
      <c r="AI343" s="44">
        <v>0</v>
      </c>
      <c r="AJ343" s="43">
        <v>701459880</v>
      </c>
      <c r="AK343" s="44">
        <v>0</v>
      </c>
      <c r="AL343" s="267">
        <f>AM343-OCTUBRE!AM342</f>
        <v>127603100</v>
      </c>
      <c r="AM343" s="43">
        <v>622562531</v>
      </c>
      <c r="AN343" s="44">
        <v>0</v>
      </c>
      <c r="AO343" s="43">
        <v>127603100</v>
      </c>
      <c r="AP343" s="43">
        <v>622562531</v>
      </c>
      <c r="AQ343" s="43">
        <v>76089600</v>
      </c>
      <c r="AR343" s="114">
        <v>51513500</v>
      </c>
      <c r="AS343" s="114">
        <v>546472931</v>
      </c>
      <c r="AT343" s="39">
        <f t="shared" ref="AT343" si="210">AQ343+AS343</f>
        <v>622562531</v>
      </c>
      <c r="AU343" s="18">
        <f>AJ343-AM343</f>
        <v>78897349</v>
      </c>
      <c r="AV343" s="34">
        <f>AM343-AP343</f>
        <v>0</v>
      </c>
      <c r="AW343" s="34">
        <f>AP343-AT343</f>
        <v>0</v>
      </c>
      <c r="AX343" s="123">
        <f>AP343/AJ343</f>
        <v>0.8875240747909916</v>
      </c>
    </row>
    <row r="344" spans="1:50" ht="18.75" customHeight="1" x14ac:dyDescent="0.2">
      <c r="AA344" s="28" t="s">
        <v>288</v>
      </c>
      <c r="AB344" s="29" t="s">
        <v>138</v>
      </c>
      <c r="AC344" s="17"/>
      <c r="AD344" s="18"/>
      <c r="AE344" s="34"/>
      <c r="AF344" s="34"/>
      <c r="AG344" s="34"/>
      <c r="AH344" s="34"/>
      <c r="AI344" s="34"/>
      <c r="AJ344" s="18"/>
      <c r="AK344" s="34"/>
      <c r="AL344" s="18"/>
      <c r="AM344" s="18"/>
      <c r="AN344" s="34"/>
      <c r="AO344" s="18"/>
      <c r="AP344" s="18"/>
      <c r="AQ344" s="18"/>
      <c r="AR344" s="110"/>
      <c r="AS344" s="110"/>
      <c r="AT344" s="31"/>
      <c r="AU344" s="18"/>
      <c r="AV344" s="18"/>
      <c r="AW344" s="34"/>
      <c r="AX344" s="18"/>
    </row>
    <row r="345" spans="1:50" ht="18.75" customHeight="1" x14ac:dyDescent="0.2">
      <c r="A345" s="4" t="s">
        <v>325</v>
      </c>
      <c r="B345" s="4" t="s">
        <v>326</v>
      </c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1" t="s">
        <v>340</v>
      </c>
      <c r="AB345" s="42" t="s">
        <v>328</v>
      </c>
      <c r="AC345" s="43" t="s">
        <v>61</v>
      </c>
      <c r="AD345" s="43">
        <v>701459880</v>
      </c>
      <c r="AE345" s="44">
        <v>0</v>
      </c>
      <c r="AF345" s="44">
        <v>0</v>
      </c>
      <c r="AG345" s="44">
        <v>0</v>
      </c>
      <c r="AH345" s="44">
        <v>0</v>
      </c>
      <c r="AI345" s="44">
        <v>0</v>
      </c>
      <c r="AJ345" s="43">
        <v>701459880</v>
      </c>
      <c r="AK345" s="44">
        <v>0</v>
      </c>
      <c r="AL345" s="267">
        <f>AM345-OCTUBRE!AM344</f>
        <v>127603100</v>
      </c>
      <c r="AM345" s="43">
        <v>622562531</v>
      </c>
      <c r="AN345" s="44">
        <v>0</v>
      </c>
      <c r="AO345" s="43">
        <v>127603100</v>
      </c>
      <c r="AP345" s="43">
        <v>622562531</v>
      </c>
      <c r="AQ345" s="43">
        <v>76089600</v>
      </c>
      <c r="AR345" s="114">
        <v>51513500</v>
      </c>
      <c r="AS345" s="114">
        <v>546472931</v>
      </c>
      <c r="AT345" s="39">
        <f t="shared" ref="AT345:AT382" si="211">AQ345+AS345</f>
        <v>622562531</v>
      </c>
      <c r="AU345" s="18">
        <f>AJ345-AM345</f>
        <v>78897349</v>
      </c>
      <c r="AV345" s="34">
        <f>AM345-AP345</f>
        <v>0</v>
      </c>
      <c r="AW345" s="34">
        <f>AP345-AT345</f>
        <v>0</v>
      </c>
      <c r="AX345" s="123">
        <f>AP345/AJ345</f>
        <v>0.8875240747909916</v>
      </c>
    </row>
    <row r="346" spans="1:50" ht="25.5" x14ac:dyDescent="0.2">
      <c r="AA346" s="28" t="s">
        <v>288</v>
      </c>
      <c r="AB346" s="29" t="s">
        <v>145</v>
      </c>
      <c r="AC346" s="17"/>
      <c r="AD346" s="18"/>
      <c r="AE346" s="34"/>
      <c r="AF346" s="34"/>
      <c r="AG346" s="34"/>
      <c r="AH346" s="34"/>
      <c r="AI346" s="34"/>
      <c r="AJ346" s="18"/>
      <c r="AK346" s="34"/>
      <c r="AL346" s="18"/>
      <c r="AM346" s="18"/>
      <c r="AN346" s="34"/>
      <c r="AO346" s="18"/>
      <c r="AP346" s="18"/>
      <c r="AQ346" s="18"/>
      <c r="AR346" s="110"/>
      <c r="AS346" s="110"/>
      <c r="AT346" s="31"/>
      <c r="AU346" s="18"/>
      <c r="AV346" s="18"/>
      <c r="AW346" s="34"/>
      <c r="AX346" s="18"/>
    </row>
    <row r="347" spans="1:50" ht="18.75" customHeight="1" x14ac:dyDescent="0.2">
      <c r="A347" s="4" t="s">
        <v>325</v>
      </c>
      <c r="B347" s="4" t="s">
        <v>326</v>
      </c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1" t="s">
        <v>341</v>
      </c>
      <c r="AB347" s="42" t="s">
        <v>328</v>
      </c>
      <c r="AC347" s="43" t="s">
        <v>61</v>
      </c>
      <c r="AD347" s="43">
        <v>1400409285</v>
      </c>
      <c r="AE347" s="44">
        <v>0</v>
      </c>
      <c r="AF347" s="44">
        <v>0</v>
      </c>
      <c r="AG347" s="44">
        <v>0</v>
      </c>
      <c r="AH347" s="44">
        <v>0</v>
      </c>
      <c r="AI347" s="44">
        <v>0</v>
      </c>
      <c r="AJ347" s="43">
        <v>1400409285</v>
      </c>
      <c r="AK347" s="44">
        <v>0</v>
      </c>
      <c r="AL347" s="267">
        <f>AM347-OCTUBRE!AM346</f>
        <v>254914900</v>
      </c>
      <c r="AM347" s="43">
        <v>1242997592</v>
      </c>
      <c r="AN347" s="44">
        <v>0</v>
      </c>
      <c r="AO347" s="43">
        <v>254914900</v>
      </c>
      <c r="AP347" s="43">
        <v>1242997592</v>
      </c>
      <c r="AQ347" s="43">
        <v>152065700</v>
      </c>
      <c r="AR347" s="114">
        <v>102849200</v>
      </c>
      <c r="AS347" s="114">
        <v>1090931892</v>
      </c>
      <c r="AT347" s="39">
        <f t="shared" si="211"/>
        <v>1242997592</v>
      </c>
      <c r="AU347" s="18">
        <f>AJ347-AM347</f>
        <v>157411693</v>
      </c>
      <c r="AV347" s="34">
        <f>AM347-AP347</f>
        <v>0</v>
      </c>
      <c r="AW347" s="34">
        <f>AP347-AT347</f>
        <v>0</v>
      </c>
      <c r="AX347" s="123">
        <f>AP347/AJ347</f>
        <v>0.88759593735484266</v>
      </c>
    </row>
    <row r="348" spans="1:50" ht="28.5" customHeight="1" x14ac:dyDescent="0.2">
      <c r="AA348" s="16"/>
      <c r="AB348" s="29" t="s">
        <v>149</v>
      </c>
      <c r="AC348" s="17"/>
      <c r="AD348" s="18"/>
      <c r="AE348" s="34"/>
      <c r="AF348" s="34"/>
      <c r="AG348" s="34"/>
      <c r="AH348" s="34"/>
      <c r="AI348" s="34"/>
      <c r="AJ348" s="18"/>
      <c r="AK348" s="34"/>
      <c r="AL348" s="18"/>
      <c r="AM348" s="18"/>
      <c r="AN348" s="34"/>
      <c r="AO348" s="34"/>
      <c r="AP348" s="18"/>
      <c r="AQ348" s="34"/>
      <c r="AR348" s="34"/>
      <c r="AS348" s="34"/>
      <c r="AT348" s="31"/>
      <c r="AU348" s="18"/>
      <c r="AV348" s="18"/>
      <c r="AW348" s="18"/>
      <c r="AX348" s="18"/>
    </row>
    <row r="349" spans="1:50" ht="18.75" customHeight="1" x14ac:dyDescent="0.2">
      <c r="AA349" s="16"/>
      <c r="AB349" s="29" t="s">
        <v>81</v>
      </c>
      <c r="AC349" s="17"/>
      <c r="AD349" s="18"/>
      <c r="AE349" s="34"/>
      <c r="AF349" s="34"/>
      <c r="AG349" s="34"/>
      <c r="AH349" s="34"/>
      <c r="AI349" s="34"/>
      <c r="AJ349" s="18"/>
      <c r="AK349" s="34"/>
      <c r="AL349" s="18"/>
      <c r="AM349" s="18"/>
      <c r="AN349" s="34"/>
      <c r="AO349" s="34"/>
      <c r="AP349" s="18"/>
      <c r="AQ349" s="34"/>
      <c r="AR349" s="34"/>
      <c r="AS349" s="34"/>
      <c r="AT349" s="31"/>
      <c r="AU349" s="18"/>
      <c r="AV349" s="18"/>
      <c r="AW349" s="18"/>
      <c r="AX349" s="18"/>
    </row>
    <row r="350" spans="1:50" ht="18.75" customHeight="1" x14ac:dyDescent="0.2">
      <c r="AA350" s="28" t="s">
        <v>288</v>
      </c>
      <c r="AB350" s="29" t="s">
        <v>152</v>
      </c>
      <c r="AC350" s="17"/>
      <c r="AD350" s="18"/>
      <c r="AE350" s="34"/>
      <c r="AF350" s="34"/>
      <c r="AG350" s="34"/>
      <c r="AH350" s="34"/>
      <c r="AI350" s="34"/>
      <c r="AJ350" s="18"/>
      <c r="AK350" s="34"/>
      <c r="AL350" s="18"/>
      <c r="AM350" s="18"/>
      <c r="AN350" s="34"/>
      <c r="AO350" s="34"/>
      <c r="AP350" s="18"/>
      <c r="AQ350" s="34"/>
      <c r="AR350" s="34"/>
      <c r="AS350" s="34"/>
      <c r="AT350" s="31"/>
      <c r="AU350" s="18"/>
      <c r="AV350" s="18"/>
      <c r="AW350" s="18"/>
      <c r="AX350" s="18"/>
    </row>
    <row r="351" spans="1:50" ht="18.75" customHeight="1" x14ac:dyDescent="0.2">
      <c r="A351" s="4" t="s">
        <v>325</v>
      </c>
      <c r="B351" s="4" t="s">
        <v>326</v>
      </c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1" t="s">
        <v>342</v>
      </c>
      <c r="AB351" s="42" t="s">
        <v>328</v>
      </c>
      <c r="AC351" s="43" t="s">
        <v>61</v>
      </c>
      <c r="AD351" s="43">
        <v>10068147601</v>
      </c>
      <c r="AE351" s="44">
        <v>0</v>
      </c>
      <c r="AF351" s="44">
        <v>0</v>
      </c>
      <c r="AG351" s="43">
        <f>6772574709+338075893</f>
        <v>7110650602</v>
      </c>
      <c r="AH351" s="44">
        <v>0</v>
      </c>
      <c r="AI351" s="18">
        <f>AE351-AF351+AG351-AH351</f>
        <v>7110650602</v>
      </c>
      <c r="AJ351" s="18">
        <f>AD351+AI351</f>
        <v>17178798203</v>
      </c>
      <c r="AK351" s="44">
        <v>0</v>
      </c>
      <c r="AL351" s="267">
        <f>AM351-OCTUBRE!AM350</f>
        <v>30936422</v>
      </c>
      <c r="AM351" s="43">
        <v>8620748292</v>
      </c>
      <c r="AN351" s="44">
        <v>0</v>
      </c>
      <c r="AO351" s="44">
        <v>30936422</v>
      </c>
      <c r="AP351" s="43">
        <v>8620748292</v>
      </c>
      <c r="AQ351" s="44">
        <v>0</v>
      </c>
      <c r="AR351" s="114">
        <v>13035248</v>
      </c>
      <c r="AS351" s="114">
        <v>8602847118</v>
      </c>
      <c r="AT351" s="39">
        <f t="shared" ref="AT351" si="212">AQ351+AS351</f>
        <v>8602847118</v>
      </c>
      <c r="AU351" s="18">
        <f>AJ351-AM351</f>
        <v>8558049911</v>
      </c>
      <c r="AV351" s="34">
        <f>AM351-AP351</f>
        <v>0</v>
      </c>
      <c r="AW351" s="18">
        <f>AP351-AT351</f>
        <v>17901174</v>
      </c>
      <c r="AX351" s="123">
        <f>AP351/AJ351</f>
        <v>0.50182487681207677</v>
      </c>
    </row>
    <row r="352" spans="1:50" ht="18.75" customHeight="1" x14ac:dyDescent="0.2">
      <c r="AA352" s="28" t="s">
        <v>288</v>
      </c>
      <c r="AB352" s="29" t="s">
        <v>343</v>
      </c>
      <c r="AC352" s="17"/>
      <c r="AD352" s="18"/>
      <c r="AE352" s="34"/>
      <c r="AF352" s="34"/>
      <c r="AG352" s="34"/>
      <c r="AH352" s="34"/>
      <c r="AI352" s="34"/>
      <c r="AJ352" s="18"/>
      <c r="AK352" s="34"/>
      <c r="AL352" s="18"/>
      <c r="AM352" s="18"/>
      <c r="AN352" s="34"/>
      <c r="AO352" s="34"/>
      <c r="AP352" s="18"/>
      <c r="AQ352" s="34"/>
      <c r="AR352" s="34"/>
      <c r="AS352" s="34"/>
      <c r="AT352" s="31"/>
      <c r="AU352" s="18"/>
      <c r="AV352" s="18"/>
      <c r="AW352" s="34"/>
      <c r="AX352" s="18"/>
    </row>
    <row r="353" spans="1:50" ht="18.75" customHeight="1" x14ac:dyDescent="0.2">
      <c r="A353" s="4" t="s">
        <v>325</v>
      </c>
      <c r="B353" s="4" t="s">
        <v>326</v>
      </c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1" t="s">
        <v>344</v>
      </c>
      <c r="AB353" s="42" t="s">
        <v>328</v>
      </c>
      <c r="AC353" s="43" t="s">
        <v>61</v>
      </c>
      <c r="AD353" s="43">
        <v>10000000</v>
      </c>
      <c r="AE353" s="44">
        <v>0</v>
      </c>
      <c r="AF353" s="44">
        <v>0</v>
      </c>
      <c r="AG353" s="44">
        <v>0</v>
      </c>
      <c r="AH353" s="44">
        <v>0</v>
      </c>
      <c r="AI353" s="44">
        <v>0</v>
      </c>
      <c r="AJ353" s="43">
        <v>10000000</v>
      </c>
      <c r="AK353" s="44">
        <v>0</v>
      </c>
      <c r="AL353" s="267">
        <f>AM353-OCTUBRE!AM352</f>
        <v>0</v>
      </c>
      <c r="AM353" s="44">
        <v>0</v>
      </c>
      <c r="AN353" s="44">
        <v>0</v>
      </c>
      <c r="AO353" s="44">
        <v>0</v>
      </c>
      <c r="AP353" s="44">
        <v>0</v>
      </c>
      <c r="AQ353" s="44">
        <v>0</v>
      </c>
      <c r="AR353" s="44">
        <v>0</v>
      </c>
      <c r="AS353" s="44">
        <v>0</v>
      </c>
      <c r="AT353" s="40">
        <f t="shared" ref="AT353" si="213">AQ353+AS353</f>
        <v>0</v>
      </c>
      <c r="AU353" s="18">
        <f>AJ353-AM353</f>
        <v>10000000</v>
      </c>
      <c r="AV353" s="34">
        <f>AM353-AP353</f>
        <v>0</v>
      </c>
      <c r="AW353" s="34">
        <f>AP353-AT353</f>
        <v>0</v>
      </c>
      <c r="AX353" s="123">
        <f>AP353/AJ353</f>
        <v>0</v>
      </c>
    </row>
    <row r="354" spans="1:50" ht="18.75" customHeight="1" x14ac:dyDescent="0.2">
      <c r="AA354" s="16"/>
      <c r="AB354" s="29" t="s">
        <v>355</v>
      </c>
      <c r="AC354" s="17"/>
      <c r="AD354" s="18"/>
      <c r="AE354" s="34"/>
      <c r="AF354" s="34"/>
      <c r="AG354" s="34"/>
      <c r="AH354" s="34"/>
      <c r="AI354" s="34"/>
      <c r="AJ354" s="18"/>
      <c r="AK354" s="18"/>
      <c r="AL354" s="34"/>
      <c r="AM354" s="18"/>
      <c r="AN354" s="18"/>
      <c r="AO354" s="34"/>
      <c r="AP354" s="18"/>
      <c r="AQ354" s="18"/>
      <c r="AR354" s="18"/>
      <c r="AS354" s="18"/>
      <c r="AT354" s="30"/>
      <c r="AU354" s="18"/>
      <c r="AV354" s="18"/>
      <c r="AW354" s="18"/>
      <c r="AX354" s="18"/>
    </row>
    <row r="355" spans="1:50" ht="18.75" customHeight="1" x14ac:dyDescent="0.2">
      <c r="AA355" s="16"/>
      <c r="AB355" s="29" t="s">
        <v>320</v>
      </c>
      <c r="AC355" s="17"/>
      <c r="AD355" s="18"/>
      <c r="AE355" s="34"/>
      <c r="AF355" s="34"/>
      <c r="AG355" s="34"/>
      <c r="AH355" s="34"/>
      <c r="AI355" s="34"/>
      <c r="AJ355" s="18"/>
      <c r="AK355" s="18"/>
      <c r="AL355" s="34"/>
      <c r="AM355" s="18"/>
      <c r="AN355" s="18"/>
      <c r="AO355" s="34"/>
      <c r="AP355" s="18"/>
      <c r="AQ355" s="18"/>
      <c r="AR355" s="18"/>
      <c r="AS355" s="18"/>
      <c r="AT355" s="30"/>
      <c r="AU355" s="18"/>
      <c r="AV355" s="18"/>
      <c r="AW355" s="18"/>
      <c r="AX355" s="18"/>
    </row>
    <row r="356" spans="1:50" ht="18.75" customHeight="1" x14ac:dyDescent="0.2">
      <c r="AA356" s="16"/>
      <c r="AB356" s="29" t="s">
        <v>46</v>
      </c>
      <c r="AC356" s="17"/>
      <c r="AD356" s="18"/>
      <c r="AE356" s="34"/>
      <c r="AF356" s="34"/>
      <c r="AG356" s="34"/>
      <c r="AH356" s="34"/>
      <c r="AI356" s="34"/>
      <c r="AJ356" s="18"/>
      <c r="AK356" s="18"/>
      <c r="AL356" s="34"/>
      <c r="AM356" s="18"/>
      <c r="AN356" s="18"/>
      <c r="AO356" s="34"/>
      <c r="AP356" s="18"/>
      <c r="AQ356" s="18"/>
      <c r="AR356" s="18"/>
      <c r="AS356" s="18"/>
      <c r="AT356" s="30"/>
      <c r="AU356" s="18"/>
      <c r="AV356" s="18"/>
      <c r="AW356" s="18"/>
      <c r="AX356" s="18"/>
    </row>
    <row r="357" spans="1:50" ht="18.75" customHeight="1" x14ac:dyDescent="0.2">
      <c r="AA357" s="16"/>
      <c r="AB357" s="29" t="s">
        <v>48</v>
      </c>
      <c r="AC357" s="17"/>
      <c r="AD357" s="18"/>
      <c r="AE357" s="34"/>
      <c r="AF357" s="34"/>
      <c r="AG357" s="34"/>
      <c r="AH357" s="34"/>
      <c r="AI357" s="34"/>
      <c r="AJ357" s="18"/>
      <c r="AK357" s="18"/>
      <c r="AL357" s="34"/>
      <c r="AM357" s="18"/>
      <c r="AN357" s="18"/>
      <c r="AO357" s="34"/>
      <c r="AP357" s="18"/>
      <c r="AQ357" s="18"/>
      <c r="AR357" s="18"/>
      <c r="AS357" s="18"/>
      <c r="AT357" s="30"/>
      <c r="AU357" s="18"/>
      <c r="AV357" s="18"/>
      <c r="AW357" s="18"/>
      <c r="AX357" s="18"/>
    </row>
    <row r="358" spans="1:50" ht="18.75" customHeight="1" x14ac:dyDescent="0.2">
      <c r="AA358" s="16"/>
      <c r="AB358" s="29" t="s">
        <v>52</v>
      </c>
      <c r="AC358" s="17"/>
      <c r="AD358" s="18"/>
      <c r="AE358" s="34"/>
      <c r="AF358" s="34"/>
      <c r="AG358" s="34"/>
      <c r="AH358" s="34"/>
      <c r="AI358" s="34"/>
      <c r="AJ358" s="18"/>
      <c r="AK358" s="18"/>
      <c r="AL358" s="34"/>
      <c r="AM358" s="18"/>
      <c r="AN358" s="18"/>
      <c r="AO358" s="34"/>
      <c r="AP358" s="18"/>
      <c r="AQ358" s="18"/>
      <c r="AR358" s="18"/>
      <c r="AS358" s="18"/>
      <c r="AT358" s="30"/>
      <c r="AU358" s="18"/>
      <c r="AV358" s="18"/>
      <c r="AW358" s="18"/>
      <c r="AX358" s="18"/>
    </row>
    <row r="359" spans="1:50" ht="18.75" customHeight="1" x14ac:dyDescent="0.2">
      <c r="AA359" s="28" t="s">
        <v>288</v>
      </c>
      <c r="AB359" s="29" t="s">
        <v>54</v>
      </c>
      <c r="AC359" s="17"/>
      <c r="AD359" s="18"/>
      <c r="AE359" s="34"/>
      <c r="AF359" s="34"/>
      <c r="AG359" s="34"/>
      <c r="AH359" s="34"/>
      <c r="AI359" s="34"/>
      <c r="AJ359" s="18"/>
      <c r="AK359" s="18"/>
      <c r="AL359" s="34"/>
      <c r="AM359" s="18"/>
      <c r="AN359" s="18"/>
      <c r="AO359" s="34"/>
      <c r="AP359" s="18"/>
      <c r="AQ359" s="18"/>
      <c r="AR359" s="18"/>
      <c r="AS359" s="18"/>
      <c r="AT359" s="30"/>
      <c r="AU359" s="18"/>
      <c r="AV359" s="18"/>
      <c r="AW359" s="18"/>
      <c r="AX359" s="18"/>
    </row>
    <row r="360" spans="1:50" ht="18.75" customHeight="1" x14ac:dyDescent="0.2">
      <c r="A360" s="4" t="s">
        <v>55</v>
      </c>
      <c r="B360" s="4" t="s">
        <v>56</v>
      </c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1" t="s">
        <v>323</v>
      </c>
      <c r="AB360" s="42" t="s">
        <v>324</v>
      </c>
      <c r="AC360" s="43" t="s">
        <v>61</v>
      </c>
      <c r="AD360" s="43">
        <v>10521612007</v>
      </c>
      <c r="AE360" s="44">
        <v>0</v>
      </c>
      <c r="AF360" s="44">
        <v>0</v>
      </c>
      <c r="AG360" s="44">
        <v>0</v>
      </c>
      <c r="AH360" s="33">
        <f>342310654+69341819</f>
        <v>411652473</v>
      </c>
      <c r="AI360" s="18">
        <f>AE360-AF360+AG360-AH360</f>
        <v>-411652473</v>
      </c>
      <c r="AJ360" s="18">
        <f>AD360+AI360</f>
        <v>10109959534</v>
      </c>
      <c r="AK360" s="44">
        <v>0</v>
      </c>
      <c r="AL360" s="267">
        <f>AM360-OCTUBRE!AM359</f>
        <v>1739658209</v>
      </c>
      <c r="AM360" s="43">
        <v>8277146837</v>
      </c>
      <c r="AN360" s="44">
        <v>0</v>
      </c>
      <c r="AO360" s="44">
        <v>1739658209</v>
      </c>
      <c r="AP360" s="43">
        <v>8277146837</v>
      </c>
      <c r="AQ360" s="44">
        <v>0</v>
      </c>
      <c r="AR360" s="43">
        <v>867563720</v>
      </c>
      <c r="AS360" s="43">
        <v>7400808034</v>
      </c>
      <c r="AT360" s="39">
        <f t="shared" ref="AT360" si="214">AQ360+AS360</f>
        <v>7400808034</v>
      </c>
      <c r="AU360" s="18">
        <f>AJ360-AM360</f>
        <v>1832812697</v>
      </c>
      <c r="AV360" s="34">
        <f>AM360-AP360</f>
        <v>0</v>
      </c>
      <c r="AW360" s="34">
        <f>AP360-AT360</f>
        <v>876338803</v>
      </c>
      <c r="AX360" s="123">
        <f>AP360/AJ360</f>
        <v>0.81871216290864335</v>
      </c>
    </row>
    <row r="361" spans="1:50" x14ac:dyDescent="0.2">
      <c r="AA361" s="28" t="s">
        <v>288</v>
      </c>
      <c r="AB361" s="29" t="s">
        <v>63</v>
      </c>
      <c r="AC361" s="17"/>
      <c r="AD361" s="18"/>
      <c r="AE361" s="34"/>
      <c r="AF361" s="34"/>
      <c r="AG361" s="34"/>
      <c r="AH361" s="34"/>
      <c r="AI361" s="34"/>
      <c r="AJ361" s="18"/>
      <c r="AK361" s="34"/>
      <c r="AL361" s="267">
        <f>AM361-OCTUBRE!AM360</f>
        <v>0</v>
      </c>
      <c r="AM361" s="18"/>
      <c r="AN361" s="34"/>
      <c r="AO361" s="34"/>
      <c r="AP361" s="18"/>
      <c r="AQ361" s="34"/>
      <c r="AR361" s="34"/>
      <c r="AS361" s="18"/>
      <c r="AT361" s="30"/>
      <c r="AU361" s="18"/>
      <c r="AV361" s="18"/>
      <c r="AW361" s="34"/>
      <c r="AX361" s="18"/>
    </row>
    <row r="362" spans="1:50" ht="18.75" customHeight="1" x14ac:dyDescent="0.2">
      <c r="A362" s="4" t="s">
        <v>325</v>
      </c>
      <c r="B362" s="4" t="s">
        <v>326</v>
      </c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1" t="s">
        <v>349</v>
      </c>
      <c r="AB362" s="42" t="s">
        <v>328</v>
      </c>
      <c r="AC362" s="43" t="s">
        <v>61</v>
      </c>
      <c r="AD362" s="43">
        <v>112494898</v>
      </c>
      <c r="AE362" s="44">
        <v>0</v>
      </c>
      <c r="AF362" s="44">
        <v>0</v>
      </c>
      <c r="AG362" s="43">
        <v>56208251</v>
      </c>
      <c r="AH362" s="44">
        <v>0</v>
      </c>
      <c r="AI362" s="18">
        <f>AE362-AF362+AG362-AH362</f>
        <v>56208251</v>
      </c>
      <c r="AJ362" s="18">
        <f>AD362+AI362</f>
        <v>168703149</v>
      </c>
      <c r="AK362" s="44">
        <v>0</v>
      </c>
      <c r="AL362" s="267">
        <f>AM362-OCTUBRE!AM361</f>
        <v>17989385</v>
      </c>
      <c r="AM362" s="43">
        <v>115837622</v>
      </c>
      <c r="AN362" s="44">
        <v>0</v>
      </c>
      <c r="AO362" s="44">
        <v>17989385</v>
      </c>
      <c r="AP362" s="43">
        <v>115837622</v>
      </c>
      <c r="AQ362" s="44">
        <v>0</v>
      </c>
      <c r="AR362" s="44">
        <v>0</v>
      </c>
      <c r="AS362" s="43">
        <v>97848237</v>
      </c>
      <c r="AT362" s="39">
        <f t="shared" si="211"/>
        <v>97848237</v>
      </c>
      <c r="AU362" s="18">
        <f>AJ362-AM362</f>
        <v>52865527</v>
      </c>
      <c r="AV362" s="34">
        <f>AM362-AP362</f>
        <v>0</v>
      </c>
      <c r="AW362" s="34">
        <f>AP362-AT362</f>
        <v>17989385</v>
      </c>
      <c r="AX362" s="123">
        <f>AP362/AJ362</f>
        <v>0.68663580191973772</v>
      </c>
    </row>
    <row r="363" spans="1:50" ht="18.75" customHeight="1" x14ac:dyDescent="0.2">
      <c r="AA363" s="28" t="s">
        <v>288</v>
      </c>
      <c r="AB363" s="29" t="s">
        <v>71</v>
      </c>
      <c r="AC363" s="17"/>
      <c r="AD363" s="18"/>
      <c r="AE363" s="34"/>
      <c r="AF363" s="34"/>
      <c r="AG363" s="34"/>
      <c r="AH363" s="34"/>
      <c r="AI363" s="34"/>
      <c r="AJ363" s="18"/>
      <c r="AK363" s="34"/>
      <c r="AL363" s="267">
        <f>AM363-OCTUBRE!AM362</f>
        <v>0</v>
      </c>
      <c r="AM363" s="18"/>
      <c r="AN363" s="34"/>
      <c r="AO363" s="18"/>
      <c r="AP363" s="18"/>
      <c r="AQ363" s="34"/>
      <c r="AR363" s="34"/>
      <c r="AS363" s="18"/>
      <c r="AT363" s="30"/>
      <c r="AU363" s="18"/>
      <c r="AV363" s="18"/>
      <c r="AW363" s="34"/>
      <c r="AX363" s="18"/>
    </row>
    <row r="364" spans="1:50" ht="18.75" customHeight="1" x14ac:dyDescent="0.2">
      <c r="A364" s="4" t="s">
        <v>325</v>
      </c>
      <c r="B364" s="4" t="s">
        <v>326</v>
      </c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1" t="s">
        <v>327</v>
      </c>
      <c r="AB364" s="42" t="s">
        <v>328</v>
      </c>
      <c r="AC364" s="43" t="s">
        <v>61</v>
      </c>
      <c r="AD364" s="43">
        <v>532969656</v>
      </c>
      <c r="AE364" s="44">
        <v>0</v>
      </c>
      <c r="AF364" s="44">
        <v>0</v>
      </c>
      <c r="AG364" s="44">
        <v>0</v>
      </c>
      <c r="AH364" s="44">
        <v>0</v>
      </c>
      <c r="AI364" s="44">
        <v>0</v>
      </c>
      <c r="AJ364" s="43">
        <v>532969656</v>
      </c>
      <c r="AK364" s="44">
        <v>0</v>
      </c>
      <c r="AL364" s="267">
        <f>AM364-OCTUBRE!AM363</f>
        <v>924553</v>
      </c>
      <c r="AM364" s="43">
        <v>488446179</v>
      </c>
      <c r="AN364" s="44">
        <v>0</v>
      </c>
      <c r="AO364" s="44">
        <v>924553</v>
      </c>
      <c r="AP364" s="43">
        <v>488446179</v>
      </c>
      <c r="AQ364" s="44">
        <v>0</v>
      </c>
      <c r="AR364" s="44">
        <v>0</v>
      </c>
      <c r="AS364" s="43">
        <v>487521626</v>
      </c>
      <c r="AT364" s="39">
        <f t="shared" si="211"/>
        <v>487521626</v>
      </c>
      <c r="AU364" s="18">
        <f>AJ364-AM364</f>
        <v>44523477</v>
      </c>
      <c r="AV364" s="34">
        <f>AM364-AP364</f>
        <v>0</v>
      </c>
      <c r="AW364" s="34">
        <f>AP364-AT364</f>
        <v>924553</v>
      </c>
      <c r="AX364" s="123">
        <f>AP364/AJ364</f>
        <v>0.91646151615055549</v>
      </c>
    </row>
    <row r="365" spans="1:50" ht="18.75" customHeight="1" x14ac:dyDescent="0.2">
      <c r="AA365" s="28" t="s">
        <v>288</v>
      </c>
      <c r="AB365" s="29" t="s">
        <v>76</v>
      </c>
      <c r="AC365" s="17"/>
      <c r="AD365" s="18"/>
      <c r="AE365" s="34"/>
      <c r="AF365" s="34"/>
      <c r="AG365" s="34"/>
      <c r="AH365" s="34"/>
      <c r="AI365" s="34"/>
      <c r="AJ365" s="18"/>
      <c r="AK365" s="34"/>
      <c r="AL365" s="267">
        <f>AM365-OCTUBRE!AM364</f>
        <v>0</v>
      </c>
      <c r="AM365" s="18"/>
      <c r="AN365" s="34"/>
      <c r="AO365" s="34"/>
      <c r="AP365" s="18"/>
      <c r="AQ365" s="34"/>
      <c r="AR365" s="34"/>
      <c r="AS365" s="18"/>
      <c r="AT365" s="30"/>
      <c r="AU365" s="18"/>
      <c r="AV365" s="18"/>
      <c r="AW365" s="34"/>
      <c r="AX365" s="18"/>
    </row>
    <row r="366" spans="1:50" ht="18.75" customHeight="1" x14ac:dyDescent="0.2">
      <c r="A366" s="4" t="s">
        <v>325</v>
      </c>
      <c r="B366" s="4" t="s">
        <v>326</v>
      </c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1" t="s">
        <v>329</v>
      </c>
      <c r="AB366" s="42" t="s">
        <v>328</v>
      </c>
      <c r="AC366" s="43" t="s">
        <v>61</v>
      </c>
      <c r="AD366" s="43">
        <v>318686698</v>
      </c>
      <c r="AE366" s="44">
        <v>0</v>
      </c>
      <c r="AF366" s="44">
        <v>0</v>
      </c>
      <c r="AG366" s="43">
        <v>13133568</v>
      </c>
      <c r="AH366" s="44">
        <v>0</v>
      </c>
      <c r="AI366" s="18">
        <f>AE366-AF366+AG366-AH366</f>
        <v>13133568</v>
      </c>
      <c r="AJ366" s="18">
        <f>AD366+AI366</f>
        <v>331820266</v>
      </c>
      <c r="AK366" s="44">
        <v>0</v>
      </c>
      <c r="AL366" s="267">
        <f>AM366-OCTUBRE!AM365</f>
        <v>3299512</v>
      </c>
      <c r="AM366" s="43">
        <v>318888235</v>
      </c>
      <c r="AN366" s="44">
        <v>0</v>
      </c>
      <c r="AO366" s="44">
        <v>3299512</v>
      </c>
      <c r="AP366" s="43">
        <v>318888235</v>
      </c>
      <c r="AQ366" s="44">
        <v>0</v>
      </c>
      <c r="AR366" s="44">
        <v>0</v>
      </c>
      <c r="AS366" s="43">
        <v>315588723</v>
      </c>
      <c r="AT366" s="39">
        <f t="shared" si="211"/>
        <v>315588723</v>
      </c>
      <c r="AU366" s="18">
        <f>AJ366-AM366</f>
        <v>12932031</v>
      </c>
      <c r="AV366" s="34">
        <f>AM366-AP366</f>
        <v>0</v>
      </c>
      <c r="AW366" s="34">
        <f>AP366-AT366</f>
        <v>3299512</v>
      </c>
      <c r="AX366" s="123">
        <f>AP366/AJ366</f>
        <v>0.96102700068355684</v>
      </c>
    </row>
    <row r="367" spans="1:50" ht="18.75" customHeight="1" x14ac:dyDescent="0.2">
      <c r="AA367" s="16"/>
      <c r="AB367" s="17"/>
      <c r="AC367" s="17"/>
      <c r="AD367" s="18"/>
      <c r="AE367" s="34"/>
      <c r="AF367" s="34"/>
      <c r="AG367" s="34"/>
      <c r="AH367" s="34"/>
      <c r="AI367" s="34"/>
      <c r="AJ367" s="18"/>
      <c r="AK367" s="18"/>
      <c r="AL367" s="18"/>
      <c r="AM367" s="18"/>
      <c r="AN367" s="34"/>
      <c r="AO367" s="34"/>
      <c r="AP367" s="18"/>
      <c r="AQ367" s="18"/>
      <c r="AR367" s="34"/>
      <c r="AS367" s="18"/>
      <c r="AT367" s="30"/>
      <c r="AU367" s="18"/>
      <c r="AV367" s="18"/>
      <c r="AW367" s="18"/>
      <c r="AX367" s="18"/>
    </row>
    <row r="368" spans="1:50" ht="18.75" customHeight="1" x14ac:dyDescent="0.2">
      <c r="AA368" s="16"/>
      <c r="AB368" s="29" t="s">
        <v>81</v>
      </c>
      <c r="AC368" s="17"/>
      <c r="AD368" s="18"/>
      <c r="AE368" s="34"/>
      <c r="AF368" s="34"/>
      <c r="AG368" s="34"/>
      <c r="AH368" s="34"/>
      <c r="AI368" s="34"/>
      <c r="AJ368" s="18"/>
      <c r="AK368" s="18"/>
      <c r="AL368" s="18"/>
      <c r="AM368" s="18"/>
      <c r="AN368" s="34"/>
      <c r="AO368" s="34"/>
      <c r="AP368" s="18"/>
      <c r="AQ368" s="18"/>
      <c r="AR368" s="34"/>
      <c r="AS368" s="18"/>
      <c r="AT368" s="30"/>
      <c r="AU368" s="18"/>
      <c r="AV368" s="18"/>
      <c r="AW368" s="18"/>
      <c r="AX368" s="18"/>
    </row>
    <row r="369" spans="1:50" ht="18.75" customHeight="1" x14ac:dyDescent="0.2">
      <c r="AA369" s="28" t="s">
        <v>288</v>
      </c>
      <c r="AB369" s="29" t="s">
        <v>83</v>
      </c>
      <c r="AC369" s="17"/>
      <c r="AD369" s="18"/>
      <c r="AE369" s="34"/>
      <c r="AF369" s="34"/>
      <c r="AG369" s="34"/>
      <c r="AH369" s="34"/>
      <c r="AI369" s="34"/>
      <c r="AJ369" s="18"/>
      <c r="AK369" s="18"/>
      <c r="AL369" s="18"/>
      <c r="AM369" s="18"/>
      <c r="AN369" s="34"/>
      <c r="AO369" s="34"/>
      <c r="AP369" s="18"/>
      <c r="AQ369" s="18"/>
      <c r="AR369" s="34"/>
      <c r="AS369" s="18"/>
      <c r="AT369" s="30"/>
      <c r="AU369" s="18"/>
      <c r="AV369" s="18"/>
      <c r="AW369" s="18"/>
      <c r="AX369" s="18"/>
    </row>
    <row r="370" spans="1:50" ht="18.75" customHeight="1" x14ac:dyDescent="0.2">
      <c r="A370" s="4" t="s">
        <v>325</v>
      </c>
      <c r="B370" s="4" t="s">
        <v>326</v>
      </c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1" t="s">
        <v>330</v>
      </c>
      <c r="AB370" s="42" t="s">
        <v>328</v>
      </c>
      <c r="AC370" s="43" t="s">
        <v>61</v>
      </c>
      <c r="AD370" s="43">
        <v>1177756920</v>
      </c>
      <c r="AE370" s="44">
        <v>0</v>
      </c>
      <c r="AF370" s="44">
        <v>0</v>
      </c>
      <c r="AG370" s="44">
        <v>0</v>
      </c>
      <c r="AH370" s="44">
        <v>0</v>
      </c>
      <c r="AI370" s="44">
        <v>0</v>
      </c>
      <c r="AJ370" s="43">
        <v>1177756920</v>
      </c>
      <c r="AK370" s="44">
        <v>0</v>
      </c>
      <c r="AL370" s="267">
        <f>AM370-OCTUBRE!AM369</f>
        <v>1014164</v>
      </c>
      <c r="AM370" s="43">
        <v>31583260</v>
      </c>
      <c r="AN370" s="44">
        <v>0</v>
      </c>
      <c r="AO370" s="44">
        <v>1014164</v>
      </c>
      <c r="AP370" s="110">
        <v>31583260</v>
      </c>
      <c r="AQ370" s="34">
        <v>0</v>
      </c>
      <c r="AR370" s="34">
        <v>0</v>
      </c>
      <c r="AS370" s="110">
        <v>30569096</v>
      </c>
      <c r="AT370" s="39">
        <f t="shared" ref="AT370" si="215">AQ370+AS370</f>
        <v>30569096</v>
      </c>
      <c r="AU370" s="18">
        <f>AJ370-AM370</f>
        <v>1146173660</v>
      </c>
      <c r="AV370" s="34">
        <f>AM370-AP370</f>
        <v>0</v>
      </c>
      <c r="AW370" s="34">
        <f>AP370-AT370</f>
        <v>1014164</v>
      </c>
      <c r="AX370" s="123">
        <f>AP370/AJ370</f>
        <v>2.6816450375855148E-2</v>
      </c>
    </row>
    <row r="371" spans="1:50" ht="18.75" customHeight="1" x14ac:dyDescent="0.2">
      <c r="AA371" s="28" t="s">
        <v>288</v>
      </c>
      <c r="AB371" s="29" t="s">
        <v>88</v>
      </c>
      <c r="AC371" s="17"/>
      <c r="AD371" s="18"/>
      <c r="AE371" s="34"/>
      <c r="AF371" s="34"/>
      <c r="AG371" s="34"/>
      <c r="AH371" s="34"/>
      <c r="AI371" s="34"/>
      <c r="AJ371" s="18"/>
      <c r="AK371" s="34"/>
      <c r="AL371" s="34"/>
      <c r="AM371" s="18"/>
      <c r="AN371" s="34"/>
      <c r="AO371" s="34"/>
      <c r="AP371" s="18"/>
      <c r="AQ371" s="18"/>
      <c r="AR371" s="34"/>
      <c r="AS371" s="18"/>
      <c r="AT371" s="30"/>
      <c r="AU371" s="18"/>
      <c r="AV371" s="18"/>
      <c r="AW371" s="34"/>
      <c r="AX371" s="18"/>
    </row>
    <row r="372" spans="1:50" ht="18.75" customHeight="1" x14ac:dyDescent="0.2">
      <c r="A372" s="4" t="s">
        <v>325</v>
      </c>
      <c r="B372" s="4" t="s">
        <v>326</v>
      </c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1" t="s">
        <v>331</v>
      </c>
      <c r="AB372" s="42" t="s">
        <v>328</v>
      </c>
      <c r="AC372" s="43" t="s">
        <v>61</v>
      </c>
      <c r="AD372" s="43">
        <v>565323320</v>
      </c>
      <c r="AE372" s="44">
        <v>0</v>
      </c>
      <c r="AF372" s="44">
        <v>0</v>
      </c>
      <c r="AG372" s="44">
        <v>0</v>
      </c>
      <c r="AH372" s="44">
        <v>0</v>
      </c>
      <c r="AI372" s="44">
        <v>0</v>
      </c>
      <c r="AJ372" s="43">
        <v>565323320</v>
      </c>
      <c r="AK372" s="44">
        <v>0</v>
      </c>
      <c r="AL372" s="267">
        <f>AM372-OCTUBRE!AM371</f>
        <v>500317884</v>
      </c>
      <c r="AM372" s="43">
        <v>501845459</v>
      </c>
      <c r="AN372" s="44">
        <v>0</v>
      </c>
      <c r="AO372" s="44">
        <v>500317884</v>
      </c>
      <c r="AP372" s="43">
        <v>501845459</v>
      </c>
      <c r="AQ372" s="44">
        <v>0</v>
      </c>
      <c r="AR372" s="44">
        <v>0</v>
      </c>
      <c r="AS372" s="43">
        <v>1527575</v>
      </c>
      <c r="AT372" s="39">
        <f t="shared" si="211"/>
        <v>1527575</v>
      </c>
      <c r="AU372" s="18">
        <f>AJ372-AM372</f>
        <v>63477861</v>
      </c>
      <c r="AV372" s="34">
        <f>AM372-AP372</f>
        <v>0</v>
      </c>
      <c r="AW372" s="34">
        <f>AP372-AT372</f>
        <v>500317884</v>
      </c>
      <c r="AX372" s="123">
        <f>AP372/AJ372</f>
        <v>0.88771405892118516</v>
      </c>
    </row>
    <row r="373" spans="1:50" ht="18.75" customHeight="1" x14ac:dyDescent="0.2">
      <c r="AA373" s="16"/>
      <c r="AB373" s="17"/>
      <c r="AC373" s="17"/>
      <c r="AD373" s="18"/>
      <c r="AE373" s="34"/>
      <c r="AF373" s="34"/>
      <c r="AG373" s="34"/>
      <c r="AH373" s="34"/>
      <c r="AI373" s="34"/>
      <c r="AJ373" s="18"/>
      <c r="AK373" s="34"/>
      <c r="AL373" s="18"/>
      <c r="AM373" s="18"/>
      <c r="AN373" s="18"/>
      <c r="AO373" s="34"/>
      <c r="AP373" s="18"/>
      <c r="AQ373" s="34"/>
      <c r="AR373" s="18"/>
      <c r="AS373" s="18"/>
      <c r="AT373" s="30"/>
      <c r="AU373" s="18"/>
      <c r="AV373" s="18"/>
      <c r="AW373" s="34"/>
      <c r="AX373" s="18"/>
    </row>
    <row r="374" spans="1:50" ht="18.75" customHeight="1" x14ac:dyDescent="0.2">
      <c r="AA374" s="16"/>
      <c r="AB374" s="29" t="s">
        <v>103</v>
      </c>
      <c r="AC374" s="17"/>
      <c r="AD374" s="18"/>
      <c r="AE374" s="34"/>
      <c r="AF374" s="34"/>
      <c r="AG374" s="34"/>
      <c r="AH374" s="34"/>
      <c r="AI374" s="34"/>
      <c r="AJ374" s="18"/>
      <c r="AK374" s="34"/>
      <c r="AL374" s="18"/>
      <c r="AM374" s="18"/>
      <c r="AN374" s="18"/>
      <c r="AO374" s="34"/>
      <c r="AP374" s="18"/>
      <c r="AQ374" s="34"/>
      <c r="AR374" s="18"/>
      <c r="AS374" s="18"/>
      <c r="AT374" s="30"/>
      <c r="AU374" s="18"/>
      <c r="AV374" s="18"/>
      <c r="AW374" s="34"/>
      <c r="AX374" s="18"/>
    </row>
    <row r="375" spans="1:50" ht="24.75" customHeight="1" x14ac:dyDescent="0.2">
      <c r="AA375" s="28" t="s">
        <v>288</v>
      </c>
      <c r="AB375" s="29" t="s">
        <v>352</v>
      </c>
      <c r="AC375" s="17"/>
      <c r="AD375" s="18"/>
      <c r="AE375" s="34"/>
      <c r="AF375" s="34"/>
      <c r="AG375" s="34"/>
      <c r="AH375" s="34"/>
      <c r="AI375" s="34"/>
      <c r="AJ375" s="18"/>
      <c r="AK375" s="34"/>
      <c r="AL375" s="18"/>
      <c r="AM375" s="18"/>
      <c r="AN375" s="18"/>
      <c r="AO375" s="34"/>
      <c r="AP375" s="18"/>
      <c r="AQ375" s="34"/>
      <c r="AR375" s="18"/>
      <c r="AS375" s="18"/>
      <c r="AT375" s="39"/>
      <c r="AU375" s="18"/>
      <c r="AV375" s="18"/>
      <c r="AW375" s="34"/>
      <c r="AX375" s="18"/>
    </row>
    <row r="376" spans="1:50" ht="18.75" customHeight="1" x14ac:dyDescent="0.2">
      <c r="A376" s="4" t="s">
        <v>325</v>
      </c>
      <c r="B376" s="4" t="s">
        <v>326</v>
      </c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1" t="s">
        <v>332</v>
      </c>
      <c r="AB376" s="42" t="s">
        <v>328</v>
      </c>
      <c r="AC376" s="43" t="s">
        <v>61</v>
      </c>
      <c r="AD376" s="43">
        <v>1248245788</v>
      </c>
      <c r="AE376" s="44">
        <v>0</v>
      </c>
      <c r="AF376" s="44">
        <v>0</v>
      </c>
      <c r="AG376" s="44">
        <v>0</v>
      </c>
      <c r="AH376" s="43">
        <v>254649135</v>
      </c>
      <c r="AI376" s="18">
        <f>AE376-AF376+AG376-AH376</f>
        <v>-254649135</v>
      </c>
      <c r="AJ376" s="18">
        <f>AD376+AI376</f>
        <v>993596653</v>
      </c>
      <c r="AK376" s="44">
        <v>0</v>
      </c>
      <c r="AL376" s="267">
        <f>AM376-OCTUBRE!AM375</f>
        <v>157967312</v>
      </c>
      <c r="AM376" s="43">
        <v>887033659.03999996</v>
      </c>
      <c r="AN376" s="44">
        <v>0</v>
      </c>
      <c r="AO376" s="44">
        <v>157967312</v>
      </c>
      <c r="AP376" s="43">
        <v>887033659.03999996</v>
      </c>
      <c r="AQ376" s="44">
        <v>0</v>
      </c>
      <c r="AR376" s="43">
        <v>78606982</v>
      </c>
      <c r="AS376" s="43">
        <v>807673329.03999996</v>
      </c>
      <c r="AT376" s="39">
        <f t="shared" ref="AT376" si="216">AQ376+AS376</f>
        <v>807673329.03999996</v>
      </c>
      <c r="AU376" s="18">
        <f>AJ376-AM376</f>
        <v>106562993.96000004</v>
      </c>
      <c r="AV376" s="34">
        <f>AM376-AP376</f>
        <v>0</v>
      </c>
      <c r="AW376" s="34">
        <f>AP376-AT376</f>
        <v>79360330</v>
      </c>
      <c r="AX376" s="123">
        <f>AP376/AJ376</f>
        <v>0.89275024866654817</v>
      </c>
    </row>
    <row r="377" spans="1:50" ht="18.75" customHeight="1" x14ac:dyDescent="0.2">
      <c r="AA377" s="28" t="s">
        <v>288</v>
      </c>
      <c r="AB377" s="29" t="s">
        <v>353</v>
      </c>
      <c r="AC377" s="17"/>
      <c r="AD377" s="18"/>
      <c r="AE377" s="34"/>
      <c r="AF377" s="34"/>
      <c r="AG377" s="34"/>
      <c r="AH377" s="34"/>
      <c r="AI377" s="34"/>
      <c r="AJ377" s="18"/>
      <c r="AK377" s="34"/>
      <c r="AL377" s="43"/>
      <c r="AM377" s="18"/>
      <c r="AN377" s="34"/>
      <c r="AO377" s="34"/>
      <c r="AP377" s="18"/>
      <c r="AQ377" s="18"/>
      <c r="AR377" s="34"/>
      <c r="AS377" s="18"/>
      <c r="AT377" s="39"/>
      <c r="AU377" s="18"/>
      <c r="AV377" s="18"/>
      <c r="AW377" s="34"/>
      <c r="AX377" s="18"/>
    </row>
    <row r="378" spans="1:50" ht="18.75" customHeight="1" x14ac:dyDescent="0.2">
      <c r="A378" s="4" t="s">
        <v>325</v>
      </c>
      <c r="B378" s="4" t="s">
        <v>326</v>
      </c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1" t="s">
        <v>334</v>
      </c>
      <c r="AB378" s="42" t="s">
        <v>328</v>
      </c>
      <c r="AC378" s="43" t="s">
        <v>61</v>
      </c>
      <c r="AD378" s="43">
        <v>918279775</v>
      </c>
      <c r="AE378" s="44">
        <v>0</v>
      </c>
      <c r="AF378" s="44">
        <v>0</v>
      </c>
      <c r="AG378" s="43">
        <v>83102969</v>
      </c>
      <c r="AH378" s="44">
        <v>0</v>
      </c>
      <c r="AI378" s="18">
        <f>AE378-AF378+AG378-AH378</f>
        <v>83102969</v>
      </c>
      <c r="AJ378" s="18">
        <f>AD378+AI378</f>
        <v>1001382744</v>
      </c>
      <c r="AK378" s="44">
        <v>0</v>
      </c>
      <c r="AL378" s="267">
        <f>AM378-OCTUBRE!AM377</f>
        <v>167839676</v>
      </c>
      <c r="AM378" s="43">
        <v>913027820.96000004</v>
      </c>
      <c r="AN378" s="44">
        <v>0</v>
      </c>
      <c r="AO378" s="44">
        <v>167839676</v>
      </c>
      <c r="AP378" s="43">
        <v>913027820.96000004</v>
      </c>
      <c r="AQ378" s="44">
        <v>0</v>
      </c>
      <c r="AR378" s="43">
        <v>83519637</v>
      </c>
      <c r="AS378" s="43">
        <v>828707781.96000004</v>
      </c>
      <c r="AT378" s="39">
        <f t="shared" si="211"/>
        <v>828707781.96000004</v>
      </c>
      <c r="AU378" s="18">
        <f>AJ378-AM378</f>
        <v>88354923.039999962</v>
      </c>
      <c r="AV378" s="34">
        <f>AM378-AP378</f>
        <v>0</v>
      </c>
      <c r="AW378" s="34">
        <f>AP378-AT378</f>
        <v>84320039</v>
      </c>
      <c r="AX378" s="123">
        <f>AP378/AJ378</f>
        <v>0.91176708050004107</v>
      </c>
    </row>
    <row r="379" spans="1:50" ht="18.75" customHeight="1" x14ac:dyDescent="0.2">
      <c r="AA379" s="28" t="s">
        <v>288</v>
      </c>
      <c r="AB379" s="29" t="s">
        <v>354</v>
      </c>
      <c r="AC379" s="17"/>
      <c r="AD379" s="18"/>
      <c r="AE379" s="34"/>
      <c r="AF379" s="34"/>
      <c r="AG379" s="34"/>
      <c r="AH379" s="34"/>
      <c r="AI379" s="34"/>
      <c r="AJ379" s="18"/>
      <c r="AK379" s="18"/>
      <c r="AL379" s="43"/>
      <c r="AM379" s="18"/>
      <c r="AN379" s="34"/>
      <c r="AO379" s="34"/>
      <c r="AP379" s="18"/>
      <c r="AQ379" s="34"/>
      <c r="AR379" s="34"/>
      <c r="AS379" s="18"/>
      <c r="AT379" s="39"/>
      <c r="AU379" s="18"/>
      <c r="AV379" s="18"/>
      <c r="AW379" s="34"/>
      <c r="AX379" s="18"/>
    </row>
    <row r="380" spans="1:50" ht="18.75" customHeight="1" x14ac:dyDescent="0.2">
      <c r="A380" s="4" t="s">
        <v>325</v>
      </c>
      <c r="B380" s="4" t="s">
        <v>326</v>
      </c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1" t="s">
        <v>335</v>
      </c>
      <c r="AB380" s="42" t="s">
        <v>328</v>
      </c>
      <c r="AC380" s="43" t="s">
        <v>61</v>
      </c>
      <c r="AD380" s="43">
        <v>956127578</v>
      </c>
      <c r="AE380" s="44">
        <v>0</v>
      </c>
      <c r="AF380" s="44">
        <v>0</v>
      </c>
      <c r="AG380" s="43">
        <v>171546166</v>
      </c>
      <c r="AH380" s="44">
        <v>0</v>
      </c>
      <c r="AI380" s="18">
        <f>AE380-AF380+AG380-AH380</f>
        <v>171546166</v>
      </c>
      <c r="AJ380" s="18">
        <f>AD380+AI380</f>
        <v>1127673744</v>
      </c>
      <c r="AK380" s="44">
        <v>0</v>
      </c>
      <c r="AL380" s="267">
        <f>AM380-OCTUBRE!AM379</f>
        <v>83654384</v>
      </c>
      <c r="AM380" s="43">
        <v>1039781962</v>
      </c>
      <c r="AN380" s="44">
        <v>0</v>
      </c>
      <c r="AO380" s="44">
        <v>83654384</v>
      </c>
      <c r="AP380" s="43">
        <v>1039781962</v>
      </c>
      <c r="AQ380" s="43">
        <v>0</v>
      </c>
      <c r="AR380" s="43">
        <v>81877585</v>
      </c>
      <c r="AS380" s="43">
        <v>1038005163</v>
      </c>
      <c r="AT380" s="39">
        <f t="shared" si="211"/>
        <v>1038005163</v>
      </c>
      <c r="AU380" s="18">
        <f>AJ380-AM380</f>
        <v>87891782</v>
      </c>
      <c r="AV380" s="34">
        <f>AM380-AP380</f>
        <v>0</v>
      </c>
      <c r="AW380" s="34">
        <f>AP380-AT380</f>
        <v>1776799</v>
      </c>
      <c r="AX380" s="123">
        <f>AP380/AJ380</f>
        <v>0.92205921041644823</v>
      </c>
    </row>
    <row r="381" spans="1:50" ht="18.75" customHeight="1" x14ac:dyDescent="0.2">
      <c r="AA381" s="28" t="s">
        <v>288</v>
      </c>
      <c r="AB381" s="29" t="s">
        <v>119</v>
      </c>
      <c r="AC381" s="17"/>
      <c r="AD381" s="18"/>
      <c r="AE381" s="34"/>
      <c r="AF381" s="34"/>
      <c r="AG381" s="34"/>
      <c r="AH381" s="34"/>
      <c r="AI381" s="34"/>
      <c r="AJ381" s="18"/>
      <c r="AK381" s="34"/>
      <c r="AL381" s="43"/>
      <c r="AM381" s="18"/>
      <c r="AN381" s="34"/>
      <c r="AO381" s="18"/>
      <c r="AP381" s="18"/>
      <c r="AQ381" s="18"/>
      <c r="AR381" s="18"/>
      <c r="AS381" s="18"/>
      <c r="AT381" s="39"/>
      <c r="AU381" s="18"/>
      <c r="AV381" s="18"/>
      <c r="AW381" s="34"/>
      <c r="AX381" s="18"/>
    </row>
    <row r="382" spans="1:50" ht="18.75" customHeight="1" x14ac:dyDescent="0.2">
      <c r="A382" s="4" t="s">
        <v>325</v>
      </c>
      <c r="B382" s="4" t="s">
        <v>326</v>
      </c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1" t="s">
        <v>336</v>
      </c>
      <c r="AB382" s="42" t="s">
        <v>328</v>
      </c>
      <c r="AC382" s="43" t="s">
        <v>61</v>
      </c>
      <c r="AD382" s="43">
        <v>527278620</v>
      </c>
      <c r="AE382" s="44">
        <v>0</v>
      </c>
      <c r="AF382" s="44">
        <v>0</v>
      </c>
      <c r="AG382" s="44">
        <v>0</v>
      </c>
      <c r="AH382" s="44">
        <v>0</v>
      </c>
      <c r="AI382" s="44">
        <v>0</v>
      </c>
      <c r="AJ382" s="43">
        <v>527278620</v>
      </c>
      <c r="AK382" s="44">
        <v>0</v>
      </c>
      <c r="AL382" s="267">
        <f>AM382-OCTUBRE!AM381</f>
        <v>100430200</v>
      </c>
      <c r="AM382" s="43">
        <v>471151634</v>
      </c>
      <c r="AN382" s="44">
        <v>0</v>
      </c>
      <c r="AO382" s="44">
        <v>100430200</v>
      </c>
      <c r="AP382" s="43">
        <v>471151634</v>
      </c>
      <c r="AQ382" s="43">
        <v>61515800</v>
      </c>
      <c r="AR382" s="43">
        <v>38914400</v>
      </c>
      <c r="AS382" s="43">
        <v>409635834</v>
      </c>
      <c r="AT382" s="39">
        <f t="shared" si="211"/>
        <v>471151634</v>
      </c>
      <c r="AU382" s="18">
        <f>AJ382-AM382</f>
        <v>56126986</v>
      </c>
      <c r="AV382" s="34">
        <f>AM382-AP382</f>
        <v>0</v>
      </c>
      <c r="AW382" s="34">
        <f>AP382-AT382</f>
        <v>0</v>
      </c>
      <c r="AX382" s="123">
        <f>AP382/AJ382</f>
        <v>0.89355345756291049</v>
      </c>
    </row>
    <row r="383" spans="1:50" ht="18.75" customHeight="1" x14ac:dyDescent="0.2">
      <c r="AA383" s="28" t="s">
        <v>288</v>
      </c>
      <c r="AB383" s="29" t="s">
        <v>124</v>
      </c>
      <c r="AC383" s="17"/>
      <c r="AD383" s="18"/>
      <c r="AE383" s="34"/>
      <c r="AF383" s="34"/>
      <c r="AG383" s="34"/>
      <c r="AH383" s="34"/>
      <c r="AI383" s="34"/>
      <c r="AJ383" s="18"/>
      <c r="AK383" s="34"/>
      <c r="AL383" s="18"/>
      <c r="AM383" s="18"/>
      <c r="AN383" s="34"/>
      <c r="AO383" s="34"/>
      <c r="AP383" s="18"/>
      <c r="AQ383" s="34"/>
      <c r="AR383" s="34"/>
      <c r="AS383" s="34"/>
      <c r="AT383" s="40"/>
      <c r="AU383" s="18"/>
      <c r="AV383" s="18"/>
      <c r="AW383" s="18"/>
      <c r="AX383" s="18"/>
    </row>
    <row r="384" spans="1:50" ht="18.75" customHeight="1" x14ac:dyDescent="0.2">
      <c r="AA384" s="28" t="s">
        <v>288</v>
      </c>
      <c r="AB384" s="29" t="s">
        <v>129</v>
      </c>
      <c r="AC384" s="17"/>
      <c r="AD384" s="18"/>
      <c r="AE384" s="34"/>
      <c r="AF384" s="34"/>
      <c r="AG384" s="34"/>
      <c r="AH384" s="34"/>
      <c r="AI384" s="34"/>
      <c r="AJ384" s="18"/>
      <c r="AK384" s="34"/>
      <c r="AL384" s="18"/>
      <c r="AM384" s="18"/>
      <c r="AN384" s="34"/>
      <c r="AO384" s="34"/>
      <c r="AP384" s="18"/>
      <c r="AQ384" s="34"/>
      <c r="AR384" s="34"/>
      <c r="AS384" s="34"/>
      <c r="AT384" s="40"/>
      <c r="AU384" s="18"/>
      <c r="AV384" s="18"/>
      <c r="AW384" s="18"/>
      <c r="AX384" s="18"/>
    </row>
    <row r="385" spans="1:50" ht="18.75" customHeight="1" x14ac:dyDescent="0.2">
      <c r="A385" s="4" t="s">
        <v>325</v>
      </c>
      <c r="B385" s="4" t="s">
        <v>326</v>
      </c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1" t="s">
        <v>338</v>
      </c>
      <c r="AB385" s="42" t="s">
        <v>328</v>
      </c>
      <c r="AC385" s="43" t="s">
        <v>61</v>
      </c>
      <c r="AD385" s="43">
        <v>395516000</v>
      </c>
      <c r="AE385" s="44">
        <v>0</v>
      </c>
      <c r="AF385" s="44">
        <v>0</v>
      </c>
      <c r="AG385" s="44">
        <v>0</v>
      </c>
      <c r="AH385" s="44">
        <v>0</v>
      </c>
      <c r="AI385" s="44">
        <v>0</v>
      </c>
      <c r="AJ385" s="43">
        <v>395516000</v>
      </c>
      <c r="AK385" s="44">
        <v>0</v>
      </c>
      <c r="AL385" s="267">
        <f>AM385-OCTUBRE!AM384</f>
        <v>75325100</v>
      </c>
      <c r="AM385" s="43">
        <v>353477947</v>
      </c>
      <c r="AN385" s="44">
        <v>0</v>
      </c>
      <c r="AO385" s="44">
        <v>75325100</v>
      </c>
      <c r="AP385" s="43">
        <v>353477947</v>
      </c>
      <c r="AQ385" s="43">
        <v>46137000</v>
      </c>
      <c r="AR385" s="43">
        <v>29188100</v>
      </c>
      <c r="AS385" s="43">
        <v>307340947</v>
      </c>
      <c r="AT385" s="39">
        <f t="shared" ref="AT385" si="217">AQ385+AS385</f>
        <v>353477947</v>
      </c>
      <c r="AU385" s="18">
        <f>AJ385-AM385</f>
        <v>42038053</v>
      </c>
      <c r="AV385" s="34">
        <f>AM385-AP385</f>
        <v>0</v>
      </c>
      <c r="AW385" s="34">
        <f>AP385-AT385</f>
        <v>0</v>
      </c>
      <c r="AX385" s="123">
        <f>AP385/AJ385</f>
        <v>0.89371339465407218</v>
      </c>
    </row>
    <row r="386" spans="1:50" ht="18.75" customHeight="1" x14ac:dyDescent="0.2">
      <c r="AA386" s="28" t="s">
        <v>288</v>
      </c>
      <c r="AB386" s="29" t="s">
        <v>133</v>
      </c>
      <c r="AC386" s="17"/>
      <c r="AD386" s="18"/>
      <c r="AE386" s="34"/>
      <c r="AF386" s="34"/>
      <c r="AG386" s="34"/>
      <c r="AH386" s="34"/>
      <c r="AI386" s="34"/>
      <c r="AJ386" s="18"/>
      <c r="AK386" s="34"/>
      <c r="AL386" s="43"/>
      <c r="AM386" s="18"/>
      <c r="AN386" s="34"/>
      <c r="AO386" s="34"/>
      <c r="AP386" s="18"/>
      <c r="AQ386" s="34"/>
      <c r="AR386" s="34"/>
      <c r="AS386" s="34"/>
      <c r="AT386" s="40"/>
      <c r="AU386" s="18"/>
      <c r="AV386" s="18"/>
      <c r="AW386" s="34"/>
      <c r="AX386" s="18"/>
    </row>
    <row r="387" spans="1:50" ht="18.75" customHeight="1" x14ac:dyDescent="0.2">
      <c r="A387" s="4" t="s">
        <v>325</v>
      </c>
      <c r="B387" s="4" t="s">
        <v>326</v>
      </c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1" t="s">
        <v>339</v>
      </c>
      <c r="AB387" s="42" t="s">
        <v>328</v>
      </c>
      <c r="AC387" s="43" t="s">
        <v>61</v>
      </c>
      <c r="AD387" s="43">
        <v>66047960</v>
      </c>
      <c r="AE387" s="44">
        <v>0</v>
      </c>
      <c r="AF387" s="44">
        <v>0</v>
      </c>
      <c r="AG387" s="44">
        <v>0</v>
      </c>
      <c r="AH387" s="44">
        <v>0</v>
      </c>
      <c r="AI387" s="44">
        <v>0</v>
      </c>
      <c r="AJ387" s="43">
        <v>66047960</v>
      </c>
      <c r="AK387" s="44">
        <v>0</v>
      </c>
      <c r="AL387" s="267">
        <f>AM387-OCTUBRE!AM386</f>
        <v>12563200</v>
      </c>
      <c r="AM387" s="43">
        <v>58852269</v>
      </c>
      <c r="AN387" s="44">
        <v>0</v>
      </c>
      <c r="AO387" s="44">
        <v>12563200</v>
      </c>
      <c r="AP387" s="43">
        <v>58852269</v>
      </c>
      <c r="AQ387" s="115">
        <v>7693700</v>
      </c>
      <c r="AR387" s="44">
        <v>4869500</v>
      </c>
      <c r="AS387" s="114">
        <v>51158569</v>
      </c>
      <c r="AT387" s="39">
        <f t="shared" ref="AT387" si="218">AQ387+AS387</f>
        <v>58852269</v>
      </c>
      <c r="AU387" s="18">
        <f>AJ387-AM387</f>
        <v>7195691</v>
      </c>
      <c r="AV387" s="34">
        <f>AM387-AP387</f>
        <v>0</v>
      </c>
      <c r="AW387" s="34">
        <f>AP387-AT387</f>
        <v>0</v>
      </c>
      <c r="AX387" s="123">
        <f>AP387/AJ387</f>
        <v>0.89105354654405677</v>
      </c>
    </row>
    <row r="388" spans="1:50" ht="18.75" customHeight="1" x14ac:dyDescent="0.2">
      <c r="AA388" s="28" t="s">
        <v>288</v>
      </c>
      <c r="AB388" s="29" t="s">
        <v>138</v>
      </c>
      <c r="AC388" s="17"/>
      <c r="AD388" s="18"/>
      <c r="AE388" s="34"/>
      <c r="AF388" s="34"/>
      <c r="AG388" s="34"/>
      <c r="AH388" s="34"/>
      <c r="AI388" s="34"/>
      <c r="AJ388" s="18"/>
      <c r="AK388" s="34"/>
      <c r="AL388" s="43"/>
      <c r="AM388" s="18"/>
      <c r="AN388" s="34"/>
      <c r="AO388" s="34"/>
      <c r="AP388" s="18"/>
      <c r="AQ388" s="133"/>
      <c r="AR388" s="133"/>
      <c r="AS388" s="110"/>
      <c r="AT388" s="40"/>
      <c r="AU388" s="18"/>
      <c r="AV388" s="18"/>
      <c r="AW388" s="34"/>
      <c r="AX388" s="18"/>
    </row>
    <row r="389" spans="1:50" ht="18.75" customHeight="1" x14ac:dyDescent="0.2">
      <c r="A389" s="4" t="s">
        <v>325</v>
      </c>
      <c r="B389" s="4" t="s">
        <v>326</v>
      </c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1" t="s">
        <v>340</v>
      </c>
      <c r="AB389" s="42" t="s">
        <v>328</v>
      </c>
      <c r="AC389" s="43" t="s">
        <v>61</v>
      </c>
      <c r="AD389" s="43">
        <v>66047960</v>
      </c>
      <c r="AE389" s="44">
        <v>0</v>
      </c>
      <c r="AF389" s="44">
        <v>0</v>
      </c>
      <c r="AG389" s="44">
        <v>0</v>
      </c>
      <c r="AH389" s="44">
        <v>0</v>
      </c>
      <c r="AI389" s="44">
        <v>0</v>
      </c>
      <c r="AJ389" s="43">
        <v>66047960</v>
      </c>
      <c r="AK389" s="44">
        <v>0</v>
      </c>
      <c r="AL389" s="267">
        <f>AM389-OCTUBRE!AM388</f>
        <v>12563200</v>
      </c>
      <c r="AM389" s="43">
        <v>58852269</v>
      </c>
      <c r="AN389" s="44">
        <v>0</v>
      </c>
      <c r="AO389" s="44">
        <v>12563200</v>
      </c>
      <c r="AP389" s="43">
        <v>58852269</v>
      </c>
      <c r="AQ389" s="43">
        <v>7693700</v>
      </c>
      <c r="AR389" s="43">
        <v>4869500</v>
      </c>
      <c r="AS389" s="43">
        <v>51158569</v>
      </c>
      <c r="AT389" s="39">
        <f t="shared" ref="AT389" si="219">AQ389+AS389</f>
        <v>58852269</v>
      </c>
      <c r="AU389" s="18">
        <f>AJ389-AM389</f>
        <v>7195691</v>
      </c>
      <c r="AV389" s="34">
        <f>AM389-AP389</f>
        <v>0</v>
      </c>
      <c r="AW389" s="34">
        <f>AP389-AT389</f>
        <v>0</v>
      </c>
      <c r="AX389" s="123">
        <f>AP389/AJ389</f>
        <v>0.89105354654405677</v>
      </c>
    </row>
    <row r="390" spans="1:50" ht="25.5" x14ac:dyDescent="0.2">
      <c r="AA390" s="28" t="s">
        <v>288</v>
      </c>
      <c r="AB390" s="29" t="s">
        <v>145</v>
      </c>
      <c r="AC390" s="17"/>
      <c r="AD390" s="18"/>
      <c r="AE390" s="34"/>
      <c r="AF390" s="34"/>
      <c r="AG390" s="34"/>
      <c r="AH390" s="34"/>
      <c r="AI390" s="34"/>
      <c r="AJ390" s="18"/>
      <c r="AK390" s="34"/>
      <c r="AL390" s="43"/>
      <c r="AM390" s="18"/>
      <c r="AN390" s="34"/>
      <c r="AO390" s="34"/>
      <c r="AP390" s="18"/>
      <c r="AQ390" s="18"/>
      <c r="AR390" s="18"/>
      <c r="AS390" s="18"/>
      <c r="AT390" s="39"/>
      <c r="AU390" s="18"/>
      <c r="AV390" s="18"/>
      <c r="AW390" s="34"/>
      <c r="AX390" s="18"/>
    </row>
    <row r="391" spans="1:50" ht="18.75" customHeight="1" x14ac:dyDescent="0.2">
      <c r="A391" s="4" t="s">
        <v>325</v>
      </c>
      <c r="B391" s="4" t="s">
        <v>326</v>
      </c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1" t="s">
        <v>341</v>
      </c>
      <c r="AB391" s="42" t="s">
        <v>328</v>
      </c>
      <c r="AC391" s="43" t="s">
        <v>61</v>
      </c>
      <c r="AD391" s="43">
        <v>131938455</v>
      </c>
      <c r="AE391" s="44">
        <v>0</v>
      </c>
      <c r="AF391" s="44">
        <v>0</v>
      </c>
      <c r="AG391" s="44">
        <v>0</v>
      </c>
      <c r="AH391" s="44">
        <v>0</v>
      </c>
      <c r="AI391" s="44">
        <v>0</v>
      </c>
      <c r="AJ391" s="43">
        <v>131938455</v>
      </c>
      <c r="AK391" s="44">
        <v>0</v>
      </c>
      <c r="AL391" s="267">
        <f>AM391-OCTUBRE!AM390</f>
        <v>25118000</v>
      </c>
      <c r="AM391" s="43">
        <v>117626508</v>
      </c>
      <c r="AN391" s="44">
        <v>0</v>
      </c>
      <c r="AO391" s="44">
        <v>25118000</v>
      </c>
      <c r="AP391" s="43">
        <v>117626508</v>
      </c>
      <c r="AQ391" s="43">
        <v>15384700</v>
      </c>
      <c r="AR391" s="43">
        <v>9733300</v>
      </c>
      <c r="AS391" s="43">
        <v>102241808</v>
      </c>
      <c r="AT391" s="39">
        <f t="shared" ref="AT391" si="220">AQ391+AS391</f>
        <v>117626508</v>
      </c>
      <c r="AU391" s="18">
        <f>AJ391-AM391</f>
        <v>14311947</v>
      </c>
      <c r="AV391" s="34">
        <f>AM391-AP391</f>
        <v>0</v>
      </c>
      <c r="AW391" s="34">
        <f>AP391-AT391</f>
        <v>0</v>
      </c>
      <c r="AX391" s="123">
        <f>AP391/AJ391</f>
        <v>0.89152558289393335</v>
      </c>
    </row>
    <row r="392" spans="1:50" ht="18.75" customHeight="1" x14ac:dyDescent="0.2">
      <c r="AA392" s="16"/>
      <c r="AB392" s="17"/>
      <c r="AC392" s="17"/>
      <c r="AD392" s="18"/>
      <c r="AE392" s="34"/>
      <c r="AF392" s="34"/>
      <c r="AG392" s="34"/>
      <c r="AH392" s="34"/>
      <c r="AI392" s="34"/>
      <c r="AJ392" s="18"/>
      <c r="AK392" s="34"/>
      <c r="AL392" s="18"/>
      <c r="AM392" s="18"/>
      <c r="AN392" s="34"/>
      <c r="AO392" s="18"/>
      <c r="AP392" s="18"/>
      <c r="AQ392" s="34"/>
      <c r="AR392" s="34"/>
      <c r="AS392" s="34"/>
      <c r="AT392" s="40"/>
      <c r="AU392" s="18"/>
      <c r="AV392" s="18"/>
      <c r="AW392" s="18"/>
      <c r="AX392" s="18"/>
    </row>
    <row r="393" spans="1:50" ht="27" customHeight="1" x14ac:dyDescent="0.2">
      <c r="AA393" s="16"/>
      <c r="AB393" s="29" t="s">
        <v>149</v>
      </c>
      <c r="AC393" s="17"/>
      <c r="AD393" s="18"/>
      <c r="AE393" s="34"/>
      <c r="AF393" s="34"/>
      <c r="AG393" s="34"/>
      <c r="AH393" s="34"/>
      <c r="AI393" s="34"/>
      <c r="AJ393" s="18"/>
      <c r="AK393" s="34"/>
      <c r="AL393" s="18"/>
      <c r="AM393" s="18"/>
      <c r="AN393" s="34"/>
      <c r="AO393" s="18"/>
      <c r="AP393" s="18"/>
      <c r="AQ393" s="34"/>
      <c r="AR393" s="34"/>
      <c r="AS393" s="34"/>
      <c r="AT393" s="40"/>
      <c r="AU393" s="18"/>
      <c r="AV393" s="18"/>
      <c r="AW393" s="18"/>
      <c r="AX393" s="18"/>
    </row>
    <row r="394" spans="1:50" ht="18.75" customHeight="1" x14ac:dyDescent="0.2">
      <c r="AA394" s="16"/>
      <c r="AB394" s="29" t="s">
        <v>81</v>
      </c>
      <c r="AC394" s="17"/>
      <c r="AD394" s="18"/>
      <c r="AE394" s="34"/>
      <c r="AF394" s="34"/>
      <c r="AG394" s="34"/>
      <c r="AH394" s="34"/>
      <c r="AI394" s="34"/>
      <c r="AJ394" s="18"/>
      <c r="AK394" s="34"/>
      <c r="AL394" s="18"/>
      <c r="AM394" s="18"/>
      <c r="AN394" s="34"/>
      <c r="AO394" s="18"/>
      <c r="AP394" s="18"/>
      <c r="AQ394" s="34"/>
      <c r="AR394" s="34"/>
      <c r="AS394" s="34"/>
      <c r="AT394" s="40"/>
      <c r="AU394" s="18"/>
      <c r="AV394" s="18"/>
      <c r="AW394" s="18"/>
      <c r="AX394" s="18"/>
    </row>
    <row r="395" spans="1:50" ht="18.75" customHeight="1" x14ac:dyDescent="0.2">
      <c r="AA395" s="28" t="s">
        <v>288</v>
      </c>
      <c r="AB395" s="29" t="s">
        <v>152</v>
      </c>
      <c r="AC395" s="17"/>
      <c r="AD395" s="18"/>
      <c r="AE395" s="34"/>
      <c r="AF395" s="34"/>
      <c r="AG395" s="34"/>
      <c r="AH395" s="34"/>
      <c r="AI395" s="34"/>
      <c r="AJ395" s="18"/>
      <c r="AK395" s="34"/>
      <c r="AL395" s="18"/>
      <c r="AM395" s="18"/>
      <c r="AN395" s="34"/>
      <c r="AO395" s="18"/>
      <c r="AP395" s="18"/>
      <c r="AQ395" s="34"/>
      <c r="AR395" s="34"/>
      <c r="AS395" s="34"/>
      <c r="AT395" s="40"/>
      <c r="AU395" s="18"/>
      <c r="AV395" s="18"/>
      <c r="AW395" s="18"/>
      <c r="AX395" s="18"/>
    </row>
    <row r="396" spans="1:50" ht="18.75" customHeight="1" x14ac:dyDescent="0.2">
      <c r="A396" s="4" t="s">
        <v>325</v>
      </c>
      <c r="B396" s="4" t="s">
        <v>326</v>
      </c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1" t="s">
        <v>342</v>
      </c>
      <c r="AB396" s="42" t="s">
        <v>328</v>
      </c>
      <c r="AC396" s="43" t="s">
        <v>61</v>
      </c>
      <c r="AD396" s="43">
        <v>1121217736</v>
      </c>
      <c r="AE396" s="44">
        <v>0</v>
      </c>
      <c r="AF396" s="44">
        <v>0</v>
      </c>
      <c r="AG396" s="43">
        <v>342310654</v>
      </c>
      <c r="AH396" s="44">
        <v>0</v>
      </c>
      <c r="AI396" s="18">
        <f>AE396-AF396+AG396-AH396</f>
        <v>342310654</v>
      </c>
      <c r="AJ396" s="18">
        <f>AD396+AI396</f>
        <v>1463528390</v>
      </c>
      <c r="AK396" s="44">
        <v>0</v>
      </c>
      <c r="AL396" s="267">
        <f>AM396-OCTUBRE!AM395</f>
        <v>1240139</v>
      </c>
      <c r="AM396" s="43">
        <v>662254791</v>
      </c>
      <c r="AN396" s="44">
        <v>0</v>
      </c>
      <c r="AO396" s="43">
        <v>1240139</v>
      </c>
      <c r="AP396" s="43">
        <v>662254791</v>
      </c>
      <c r="AQ396" s="44">
        <v>0</v>
      </c>
      <c r="AR396" s="44">
        <v>0</v>
      </c>
      <c r="AS396" s="114">
        <v>661014652</v>
      </c>
      <c r="AT396" s="39">
        <f t="shared" ref="AT396" si="221">AQ396+AS396</f>
        <v>661014652</v>
      </c>
      <c r="AU396" s="18">
        <f>AJ396-AM396</f>
        <v>801273599</v>
      </c>
      <c r="AV396" s="34">
        <f>AM396-AP396</f>
        <v>0</v>
      </c>
      <c r="AW396" s="18">
        <f>AP396-AT396</f>
        <v>1240139</v>
      </c>
      <c r="AX396" s="123">
        <f>AP396/AJ396</f>
        <v>0.45250559915684313</v>
      </c>
    </row>
    <row r="397" spans="1:50" ht="18.75" customHeight="1" x14ac:dyDescent="0.2">
      <c r="AA397" s="28" t="s">
        <v>288</v>
      </c>
      <c r="AB397" s="29" t="s">
        <v>343</v>
      </c>
      <c r="AC397" s="17"/>
      <c r="AD397" s="18"/>
      <c r="AE397" s="34"/>
      <c r="AF397" s="34"/>
      <c r="AG397" s="34"/>
      <c r="AH397" s="34"/>
      <c r="AI397" s="34"/>
      <c r="AJ397" s="18"/>
      <c r="AK397" s="34"/>
      <c r="AL397" s="43"/>
      <c r="AM397" s="18"/>
      <c r="AN397" s="34"/>
      <c r="AO397" s="18"/>
      <c r="AP397" s="18"/>
      <c r="AQ397" s="18"/>
      <c r="AR397" s="18"/>
      <c r="AS397" s="18"/>
      <c r="AT397" s="39"/>
      <c r="AU397" s="18"/>
      <c r="AV397" s="18"/>
      <c r="AW397" s="34"/>
      <c r="AX397" s="18"/>
    </row>
    <row r="398" spans="1:50" ht="18.75" customHeight="1" x14ac:dyDescent="0.2">
      <c r="A398" s="4" t="s">
        <v>325</v>
      </c>
      <c r="B398" s="4" t="s">
        <v>326</v>
      </c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1" t="s">
        <v>344</v>
      </c>
      <c r="AB398" s="42" t="s">
        <v>328</v>
      </c>
      <c r="AC398" s="43" t="s">
        <v>61</v>
      </c>
      <c r="AD398" s="43">
        <v>10000000</v>
      </c>
      <c r="AE398" s="44">
        <v>0</v>
      </c>
      <c r="AF398" s="44">
        <v>0</v>
      </c>
      <c r="AG398" s="44">
        <v>0</v>
      </c>
      <c r="AH398" s="44">
        <v>0</v>
      </c>
      <c r="AI398" s="44">
        <v>0</v>
      </c>
      <c r="AJ398" s="43">
        <v>10000000</v>
      </c>
      <c r="AK398" s="44">
        <v>0</v>
      </c>
      <c r="AL398" s="267">
        <f>AM398-OCTUBRE!AM397</f>
        <v>0</v>
      </c>
      <c r="AM398" s="44">
        <v>0</v>
      </c>
      <c r="AN398" s="44">
        <v>0</v>
      </c>
      <c r="AO398" s="44">
        <v>0</v>
      </c>
      <c r="AP398" s="44">
        <v>0</v>
      </c>
      <c r="AQ398" s="44">
        <v>0</v>
      </c>
      <c r="AR398" s="44">
        <v>0</v>
      </c>
      <c r="AS398" s="44">
        <v>0</v>
      </c>
      <c r="AT398" s="40">
        <f t="shared" ref="AT398:AT433" si="222">AQ398+AS398</f>
        <v>0</v>
      </c>
      <c r="AU398" s="18">
        <f>AJ398-AM398</f>
        <v>10000000</v>
      </c>
      <c r="AV398" s="34">
        <f>AM398-AP398</f>
        <v>0</v>
      </c>
      <c r="AW398" s="34">
        <f>AP398-AT398</f>
        <v>0</v>
      </c>
      <c r="AX398" s="123">
        <f>AP398/AJ398</f>
        <v>0</v>
      </c>
    </row>
    <row r="399" spans="1:50" ht="18.75" customHeight="1" x14ac:dyDescent="0.2">
      <c r="AA399" s="16"/>
      <c r="AB399" s="17"/>
      <c r="AC399" s="17"/>
      <c r="AD399" s="18"/>
      <c r="AE399" s="34"/>
      <c r="AF399" s="34"/>
      <c r="AG399" s="34"/>
      <c r="AH399" s="34"/>
      <c r="AI399" s="34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30"/>
      <c r="AU399" s="18"/>
      <c r="AV399" s="18"/>
      <c r="AW399" s="18"/>
      <c r="AX399" s="18"/>
    </row>
    <row r="400" spans="1:50" ht="18.75" customHeight="1" x14ac:dyDescent="0.2">
      <c r="AA400" s="16"/>
      <c r="AB400" s="29" t="s">
        <v>356</v>
      </c>
      <c r="AC400" s="17"/>
      <c r="AD400" s="18"/>
      <c r="AE400" s="34"/>
      <c r="AF400" s="34"/>
      <c r="AG400" s="34"/>
      <c r="AH400" s="34"/>
      <c r="AI400" s="34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30"/>
      <c r="AU400" s="18"/>
      <c r="AV400" s="18"/>
      <c r="AW400" s="18"/>
      <c r="AX400" s="18"/>
    </row>
    <row r="401" spans="1:50" ht="18.75" customHeight="1" x14ac:dyDescent="0.2">
      <c r="AA401" s="16"/>
      <c r="AB401" s="29" t="s">
        <v>286</v>
      </c>
      <c r="AC401" s="17"/>
      <c r="AD401" s="18"/>
      <c r="AE401" s="34"/>
      <c r="AF401" s="34"/>
      <c r="AG401" s="34"/>
      <c r="AH401" s="34"/>
      <c r="AI401" s="34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30"/>
      <c r="AU401" s="18"/>
      <c r="AV401" s="18"/>
      <c r="AW401" s="18"/>
      <c r="AX401" s="18"/>
    </row>
    <row r="402" spans="1:50" ht="18.75" customHeight="1" x14ac:dyDescent="0.2">
      <c r="AA402" s="16"/>
      <c r="AB402" s="29" t="s">
        <v>179</v>
      </c>
      <c r="AC402" s="17"/>
      <c r="AD402" s="18"/>
      <c r="AE402" s="34"/>
      <c r="AF402" s="34"/>
      <c r="AG402" s="34"/>
      <c r="AH402" s="34"/>
      <c r="AI402" s="34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30"/>
      <c r="AU402" s="18"/>
      <c r="AV402" s="18"/>
      <c r="AW402" s="18"/>
      <c r="AX402" s="18"/>
    </row>
    <row r="403" spans="1:50" ht="18.75" customHeight="1" x14ac:dyDescent="0.2">
      <c r="AA403" s="16"/>
      <c r="AB403" s="29" t="s">
        <v>181</v>
      </c>
      <c r="AC403" s="17"/>
      <c r="AD403" s="18"/>
      <c r="AE403" s="34"/>
      <c r="AF403" s="34"/>
      <c r="AG403" s="34"/>
      <c r="AH403" s="34"/>
      <c r="AI403" s="34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30"/>
      <c r="AU403" s="18"/>
      <c r="AV403" s="18"/>
      <c r="AW403" s="18"/>
      <c r="AX403" s="18"/>
    </row>
    <row r="404" spans="1:50" ht="25.5" x14ac:dyDescent="0.2">
      <c r="AA404" s="16"/>
      <c r="AB404" s="29" t="s">
        <v>183</v>
      </c>
      <c r="AC404" s="17"/>
      <c r="AD404" s="18"/>
      <c r="AE404" s="34"/>
      <c r="AF404" s="34"/>
      <c r="AG404" s="34"/>
      <c r="AH404" s="34"/>
      <c r="AI404" s="34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30"/>
      <c r="AU404" s="18"/>
      <c r="AV404" s="18"/>
      <c r="AW404" s="18"/>
      <c r="AX404" s="18"/>
    </row>
    <row r="405" spans="1:50" ht="18.75" customHeight="1" x14ac:dyDescent="0.2">
      <c r="AA405" s="28" t="s">
        <v>288</v>
      </c>
      <c r="AB405" s="29" t="s">
        <v>320</v>
      </c>
      <c r="AC405" s="17"/>
      <c r="AD405" s="18"/>
      <c r="AE405" s="34"/>
      <c r="AF405" s="34"/>
      <c r="AG405" s="34"/>
      <c r="AH405" s="34"/>
      <c r="AI405" s="34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30"/>
      <c r="AU405" s="18"/>
      <c r="AV405" s="18"/>
      <c r="AW405" s="18"/>
      <c r="AX405" s="18"/>
    </row>
    <row r="406" spans="1:50" ht="18.75" customHeight="1" x14ac:dyDescent="0.2">
      <c r="A406" s="4" t="s">
        <v>55</v>
      </c>
      <c r="B406" s="4" t="s">
        <v>56</v>
      </c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1" t="s">
        <v>357</v>
      </c>
      <c r="AB406" s="42" t="s">
        <v>328</v>
      </c>
      <c r="AC406" s="43" t="s">
        <v>61</v>
      </c>
      <c r="AD406" s="43">
        <v>33040051</v>
      </c>
      <c r="AE406" s="44">
        <v>0</v>
      </c>
      <c r="AF406" s="44">
        <v>0</v>
      </c>
      <c r="AG406" s="44">
        <v>0</v>
      </c>
      <c r="AH406" s="44">
        <v>0</v>
      </c>
      <c r="AI406" s="44">
        <v>0</v>
      </c>
      <c r="AJ406" s="43">
        <v>33040051</v>
      </c>
      <c r="AK406" s="44">
        <v>0</v>
      </c>
      <c r="AL406" s="267">
        <f>AM406-OCTUBRE!AM405</f>
        <v>0</v>
      </c>
      <c r="AM406" s="44">
        <v>2982014.13</v>
      </c>
      <c r="AN406" s="44">
        <v>0</v>
      </c>
      <c r="AO406" s="44">
        <v>0</v>
      </c>
      <c r="AP406" s="44">
        <v>0</v>
      </c>
      <c r="AQ406" s="44">
        <v>0</v>
      </c>
      <c r="AR406" s="44">
        <v>0</v>
      </c>
      <c r="AS406" s="44">
        <v>0</v>
      </c>
      <c r="AT406" s="40">
        <f t="shared" ref="AT406" si="223">AQ406+AS406</f>
        <v>0</v>
      </c>
      <c r="AU406" s="18">
        <f>AJ406-AM406</f>
        <v>30058036.870000001</v>
      </c>
      <c r="AV406" s="18">
        <f>AM406-AP406</f>
        <v>2982014.13</v>
      </c>
      <c r="AW406" s="34">
        <f>AP406-AT406</f>
        <v>0</v>
      </c>
      <c r="AX406" s="123">
        <f>AP406/AJ406</f>
        <v>0</v>
      </c>
    </row>
    <row r="407" spans="1:50" ht="18.75" customHeight="1" x14ac:dyDescent="0.2">
      <c r="AA407" s="16"/>
      <c r="AB407" s="17"/>
      <c r="AC407" s="17"/>
      <c r="AD407" s="18"/>
      <c r="AE407" s="34"/>
      <c r="AF407" s="34"/>
      <c r="AG407" s="34"/>
      <c r="AH407" s="34"/>
      <c r="AI407" s="34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31"/>
      <c r="AU407" s="18"/>
      <c r="AV407" s="18"/>
      <c r="AW407" s="34"/>
      <c r="AX407" s="18"/>
    </row>
    <row r="408" spans="1:50" ht="18.75" customHeight="1" x14ac:dyDescent="0.2">
      <c r="AA408" s="16"/>
      <c r="AB408" s="29" t="s">
        <v>187</v>
      </c>
      <c r="AC408" s="17"/>
      <c r="AD408" s="18"/>
      <c r="AE408" s="34"/>
      <c r="AF408" s="34"/>
      <c r="AG408" s="34"/>
      <c r="AH408" s="34"/>
      <c r="AI408" s="34"/>
      <c r="AJ408" s="18"/>
      <c r="AK408" s="18"/>
      <c r="AL408" s="147"/>
      <c r="AM408" s="18"/>
      <c r="AN408" s="18"/>
      <c r="AO408" s="147"/>
      <c r="AP408" s="18"/>
      <c r="AQ408" s="18"/>
      <c r="AR408" s="18"/>
      <c r="AS408" s="18"/>
      <c r="AT408" s="31"/>
      <c r="AU408" s="18"/>
      <c r="AV408" s="18"/>
      <c r="AW408" s="34"/>
      <c r="AX408" s="18"/>
    </row>
    <row r="409" spans="1:50" ht="25.5" x14ac:dyDescent="0.2">
      <c r="AA409" s="28" t="s">
        <v>288</v>
      </c>
      <c r="AB409" s="68" t="s">
        <v>358</v>
      </c>
      <c r="AC409" s="17"/>
      <c r="AD409" s="18"/>
      <c r="AE409" s="34"/>
      <c r="AF409" s="34"/>
      <c r="AG409" s="34"/>
      <c r="AH409" s="34"/>
      <c r="AI409" s="34"/>
      <c r="AJ409" s="18"/>
      <c r="AK409" s="18"/>
      <c r="AL409" s="147"/>
      <c r="AM409" s="18"/>
      <c r="AN409" s="18"/>
      <c r="AO409" s="147"/>
      <c r="AP409" s="18"/>
      <c r="AQ409" s="18"/>
      <c r="AR409" s="18"/>
      <c r="AS409" s="18"/>
      <c r="AT409" s="31"/>
      <c r="AU409" s="18"/>
      <c r="AV409" s="18"/>
      <c r="AW409" s="34"/>
      <c r="AX409" s="18"/>
    </row>
    <row r="410" spans="1:50" ht="18.75" customHeight="1" x14ac:dyDescent="0.2">
      <c r="AA410" s="41" t="s">
        <v>908</v>
      </c>
      <c r="AB410" s="69" t="s">
        <v>233</v>
      </c>
      <c r="AC410" s="17"/>
      <c r="AD410" s="34">
        <v>0</v>
      </c>
      <c r="AE410" s="34">
        <v>0</v>
      </c>
      <c r="AF410" s="34">
        <v>0</v>
      </c>
      <c r="AG410" s="18">
        <f>2000000000+68793982.7</f>
        <v>2068793982.7</v>
      </c>
      <c r="AH410" s="34">
        <v>0</v>
      </c>
      <c r="AI410" s="18">
        <f>AE410-AF410+AG410-AH410</f>
        <v>2068793982.7</v>
      </c>
      <c r="AJ410" s="18">
        <f>AD410+AI410</f>
        <v>2068793982.7</v>
      </c>
      <c r="AK410" s="34">
        <v>0</v>
      </c>
      <c r="AL410" s="267">
        <f>AM410-OCTUBRE!AM409</f>
        <v>0</v>
      </c>
      <c r="AM410" s="18">
        <v>2067028385.8900001</v>
      </c>
      <c r="AN410" s="34">
        <v>0</v>
      </c>
      <c r="AO410" s="147">
        <v>0</v>
      </c>
      <c r="AP410" s="18">
        <v>2067028385.8900001</v>
      </c>
      <c r="AQ410" s="34">
        <v>0</v>
      </c>
      <c r="AR410" s="34">
        <v>0</v>
      </c>
      <c r="AS410" s="18">
        <v>68656819.170000002</v>
      </c>
      <c r="AT410" s="39">
        <f>AQ410+AS410</f>
        <v>68656819.170000002</v>
      </c>
      <c r="AU410" s="18">
        <f>AJ410-AM410</f>
        <v>1765596.8099999428</v>
      </c>
      <c r="AV410" s="133">
        <f>AM410-AP410</f>
        <v>0</v>
      </c>
      <c r="AW410" s="18">
        <f>AP410-AT410</f>
        <v>1998371566.72</v>
      </c>
      <c r="AX410" s="123">
        <f>AP410/AJ410</f>
        <v>0.99914655745097647</v>
      </c>
    </row>
    <row r="411" spans="1:50" ht="24.75" customHeight="1" x14ac:dyDescent="0.2">
      <c r="A411" s="4" t="s">
        <v>55</v>
      </c>
      <c r="B411" s="4" t="s">
        <v>56</v>
      </c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134" t="s">
        <v>359</v>
      </c>
      <c r="AB411" s="69" t="s">
        <v>360</v>
      </c>
      <c r="AC411" s="43" t="s">
        <v>361</v>
      </c>
      <c r="AD411" s="43">
        <v>800000000</v>
      </c>
      <c r="AE411" s="44">
        <v>0</v>
      </c>
      <c r="AF411" s="44">
        <v>0</v>
      </c>
      <c r="AG411" s="44">
        <v>0</v>
      </c>
      <c r="AH411" s="44">
        <v>0</v>
      </c>
      <c r="AI411" s="34">
        <f t="shared" ref="AI411" si="224">AE411-AF411+AG411-AH411</f>
        <v>0</v>
      </c>
      <c r="AJ411" s="18">
        <f t="shared" ref="AJ411" si="225">AD411+AI411</f>
        <v>800000000</v>
      </c>
      <c r="AK411" s="44">
        <v>0</v>
      </c>
      <c r="AL411" s="267">
        <f>AM411-OCTUBRE!AM410</f>
        <v>0</v>
      </c>
      <c r="AM411" s="43">
        <v>800000000</v>
      </c>
      <c r="AN411" s="44">
        <v>0</v>
      </c>
      <c r="AO411" s="143">
        <v>0</v>
      </c>
      <c r="AP411" s="43">
        <v>800000000</v>
      </c>
      <c r="AQ411" s="44">
        <v>0</v>
      </c>
      <c r="AR411" s="44">
        <v>0</v>
      </c>
      <c r="AS411" s="44">
        <v>0</v>
      </c>
      <c r="AT411" s="40">
        <f t="shared" ref="AT411" si="226">AQ411+AS411</f>
        <v>0</v>
      </c>
      <c r="AU411" s="34">
        <f>AJ411-AM411</f>
        <v>0</v>
      </c>
      <c r="AV411" s="133">
        <f>AM411-AP411</f>
        <v>0</v>
      </c>
      <c r="AW411" s="18">
        <f>AP411-AT411</f>
        <v>800000000</v>
      </c>
      <c r="AX411" s="123">
        <f>AP411/AJ411</f>
        <v>1</v>
      </c>
    </row>
    <row r="412" spans="1:50" x14ac:dyDescent="0.2">
      <c r="AL412" s="150"/>
      <c r="AO412" s="150"/>
    </row>
    <row r="413" spans="1:50" ht="18.75" customHeight="1" x14ac:dyDescent="0.2">
      <c r="AA413" s="16"/>
      <c r="AB413" s="68" t="s">
        <v>189</v>
      </c>
      <c r="AC413" s="17"/>
      <c r="AD413" s="18"/>
      <c r="AE413" s="34"/>
      <c r="AF413" s="34"/>
      <c r="AG413" s="34"/>
      <c r="AH413" s="34"/>
      <c r="AI413" s="34"/>
      <c r="AJ413" s="18"/>
      <c r="AK413" s="18"/>
      <c r="AL413" s="147"/>
      <c r="AM413" s="18"/>
      <c r="AN413" s="18"/>
      <c r="AO413" s="147"/>
      <c r="AP413" s="18"/>
      <c r="AQ413" s="18"/>
      <c r="AR413" s="18"/>
      <c r="AS413" s="18"/>
      <c r="AT413" s="31"/>
      <c r="AU413" s="18"/>
      <c r="AV413" s="18"/>
      <c r="AW413" s="34"/>
      <c r="AX413" s="18"/>
    </row>
    <row r="414" spans="1:50" ht="18.75" customHeight="1" x14ac:dyDescent="0.2">
      <c r="AA414" s="16"/>
      <c r="AB414" s="68" t="s">
        <v>191</v>
      </c>
      <c r="AC414" s="17"/>
      <c r="AD414" s="18"/>
      <c r="AE414" s="34"/>
      <c r="AF414" s="34"/>
      <c r="AG414" s="34"/>
      <c r="AH414" s="34"/>
      <c r="AI414" s="34"/>
      <c r="AJ414" s="18"/>
      <c r="AK414" s="18"/>
      <c r="AL414" s="18"/>
      <c r="AM414" s="18"/>
      <c r="AN414" s="18"/>
      <c r="AO414" s="147"/>
      <c r="AP414" s="18"/>
      <c r="AQ414" s="18"/>
      <c r="AR414" s="18"/>
      <c r="AS414" s="18"/>
      <c r="AT414" s="31"/>
      <c r="AU414" s="18"/>
      <c r="AV414" s="18"/>
      <c r="AW414" s="34"/>
      <c r="AX414" s="18"/>
    </row>
    <row r="415" spans="1:50" ht="18.75" customHeight="1" x14ac:dyDescent="0.2">
      <c r="AA415" s="28" t="s">
        <v>288</v>
      </c>
      <c r="AB415" s="68" t="s">
        <v>362</v>
      </c>
      <c r="AC415" s="17"/>
      <c r="AD415" s="18"/>
      <c r="AE415" s="34"/>
      <c r="AF415" s="34"/>
      <c r="AG415" s="34"/>
      <c r="AH415" s="34"/>
      <c r="AI415" s="34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31"/>
      <c r="AU415" s="18"/>
      <c r="AV415" s="18"/>
      <c r="AW415" s="34"/>
      <c r="AX415" s="18"/>
    </row>
    <row r="416" spans="1:50" ht="18.75" customHeight="1" x14ac:dyDescent="0.2">
      <c r="A416" s="4" t="s">
        <v>55</v>
      </c>
      <c r="B416" s="4" t="s">
        <v>56</v>
      </c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1" t="s">
        <v>363</v>
      </c>
      <c r="AB416" s="69" t="s">
        <v>233</v>
      </c>
      <c r="AC416" s="43" t="s">
        <v>58</v>
      </c>
      <c r="AD416" s="43">
        <v>295200000</v>
      </c>
      <c r="AE416" s="44">
        <v>0</v>
      </c>
      <c r="AF416" s="44">
        <v>0</v>
      </c>
      <c r="AG416" s="43">
        <v>493000000</v>
      </c>
      <c r="AH416" s="44">
        <v>0</v>
      </c>
      <c r="AI416" s="18">
        <f t="shared" ref="AI416:AI423" si="227">AE416-AF416+AG416-AH416</f>
        <v>493000000</v>
      </c>
      <c r="AJ416" s="18">
        <f t="shared" ref="AJ416:AJ423" si="228">AD416+AI416</f>
        <v>788200000</v>
      </c>
      <c r="AK416" s="44">
        <v>0</v>
      </c>
      <c r="AL416" s="43">
        <v>545341721.98000002</v>
      </c>
      <c r="AM416" s="43">
        <v>788149999.98000002</v>
      </c>
      <c r="AN416" s="44">
        <v>0</v>
      </c>
      <c r="AO416" s="43">
        <v>554341721.98000002</v>
      </c>
      <c r="AP416" s="43">
        <v>725165974.25</v>
      </c>
      <c r="AQ416" s="44">
        <v>0</v>
      </c>
      <c r="AR416" s="44">
        <v>0</v>
      </c>
      <c r="AS416" s="44">
        <v>0</v>
      </c>
      <c r="AT416" s="40">
        <f t="shared" ref="AT416:AT423" si="229">AQ416+AS416</f>
        <v>0</v>
      </c>
      <c r="AU416" s="18">
        <f t="shared" ref="AU416:AU423" si="230">AJ416-AM416</f>
        <v>50000.019999980927</v>
      </c>
      <c r="AV416" s="18">
        <f t="shared" ref="AV416:AV423" si="231">AM416-AP416</f>
        <v>62984025.730000019</v>
      </c>
      <c r="AW416" s="18">
        <f t="shared" ref="AW416:AW423" si="232">AP416-AT416</f>
        <v>725165974.25</v>
      </c>
      <c r="AX416" s="123">
        <f t="shared" ref="AX416:AX423" si="233">AP416/AJ416</f>
        <v>0.92002787902816541</v>
      </c>
    </row>
    <row r="417" spans="1:50" ht="18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1" t="s">
        <v>1339</v>
      </c>
      <c r="AB417" s="69" t="s">
        <v>379</v>
      </c>
      <c r="AC417" s="43"/>
      <c r="AD417" s="43"/>
      <c r="AE417" s="43">
        <v>1011332097</v>
      </c>
      <c r="AF417" s="44">
        <v>0</v>
      </c>
      <c r="AG417" s="44">
        <v>0</v>
      </c>
      <c r="AH417" s="44">
        <v>0</v>
      </c>
      <c r="AI417" s="18">
        <f t="shared" si="227"/>
        <v>1011332097</v>
      </c>
      <c r="AJ417" s="18">
        <f t="shared" si="228"/>
        <v>1011332097</v>
      </c>
      <c r="AK417" s="44">
        <v>0</v>
      </c>
      <c r="AL417" s="43">
        <v>1011332097</v>
      </c>
      <c r="AM417" s="43">
        <v>1011332097</v>
      </c>
      <c r="AN417" s="44">
        <v>0</v>
      </c>
      <c r="AO417" s="43">
        <v>1011332097</v>
      </c>
      <c r="AP417" s="43">
        <v>1011332097</v>
      </c>
      <c r="AQ417" s="44">
        <v>0</v>
      </c>
      <c r="AR417" s="44">
        <v>0</v>
      </c>
      <c r="AS417" s="44">
        <v>0</v>
      </c>
      <c r="AT417" s="40">
        <f t="shared" si="229"/>
        <v>0</v>
      </c>
      <c r="AU417" s="100">
        <f t="shared" si="230"/>
        <v>0</v>
      </c>
      <c r="AV417" s="34">
        <f t="shared" si="231"/>
        <v>0</v>
      </c>
      <c r="AW417" s="18">
        <f t="shared" si="232"/>
        <v>1011332097</v>
      </c>
      <c r="AX417" s="123">
        <f t="shared" si="233"/>
        <v>1</v>
      </c>
    </row>
    <row r="418" spans="1:50" ht="18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1" t="s">
        <v>1263</v>
      </c>
      <c r="AB418" s="69" t="s">
        <v>1264</v>
      </c>
      <c r="AC418" s="43"/>
      <c r="AD418" s="43">
        <v>0</v>
      </c>
      <c r="AE418" s="44">
        <v>0</v>
      </c>
      <c r="AF418" s="44">
        <v>0</v>
      </c>
      <c r="AG418" s="43">
        <v>563696519</v>
      </c>
      <c r="AH418" s="43">
        <v>95676637</v>
      </c>
      <c r="AI418" s="18">
        <f t="shared" si="227"/>
        <v>468019882</v>
      </c>
      <c r="AJ418" s="18">
        <f t="shared" si="228"/>
        <v>468019882</v>
      </c>
      <c r="AK418" s="44">
        <v>0</v>
      </c>
      <c r="AL418" s="43">
        <v>208144597.91999999</v>
      </c>
      <c r="AM418" s="43">
        <v>468019882</v>
      </c>
      <c r="AN418" s="44">
        <v>0</v>
      </c>
      <c r="AO418" s="43">
        <v>208144597.91999999</v>
      </c>
      <c r="AP418" s="43">
        <v>468019882</v>
      </c>
      <c r="AQ418" s="44">
        <v>0</v>
      </c>
      <c r="AR418" s="44">
        <v>0</v>
      </c>
      <c r="AS418" s="43">
        <v>14168997.09</v>
      </c>
      <c r="AT418" s="39">
        <f t="shared" si="229"/>
        <v>14168997.09</v>
      </c>
      <c r="AU418" s="100">
        <f t="shared" si="230"/>
        <v>0</v>
      </c>
      <c r="AV418" s="34">
        <f t="shared" si="231"/>
        <v>0</v>
      </c>
      <c r="AW418" s="18">
        <f t="shared" si="232"/>
        <v>453850884.91000003</v>
      </c>
      <c r="AX418" s="123">
        <f t="shared" si="233"/>
        <v>1</v>
      </c>
    </row>
    <row r="419" spans="1:50" ht="18.75" customHeight="1" x14ac:dyDescent="0.2">
      <c r="A419" s="4" t="s">
        <v>55</v>
      </c>
      <c r="B419" s="4" t="s">
        <v>56</v>
      </c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1" t="s">
        <v>364</v>
      </c>
      <c r="AB419" s="69" t="s">
        <v>360</v>
      </c>
      <c r="AC419" s="43" t="s">
        <v>361</v>
      </c>
      <c r="AD419" s="43">
        <v>1948457402</v>
      </c>
      <c r="AE419" s="43">
        <v>334203548.13999999</v>
      </c>
      <c r="AF419" s="44">
        <v>0</v>
      </c>
      <c r="AG419" s="44">
        <v>0</v>
      </c>
      <c r="AH419" s="43">
        <v>1040144569</v>
      </c>
      <c r="AI419" s="18">
        <f t="shared" si="227"/>
        <v>-705941020.86000001</v>
      </c>
      <c r="AJ419" s="18">
        <f t="shared" si="228"/>
        <v>1242516381.1399999</v>
      </c>
      <c r="AK419" s="44">
        <v>0</v>
      </c>
      <c r="AL419" s="43">
        <v>884773281.35000002</v>
      </c>
      <c r="AM419" s="43">
        <v>884773281.35000002</v>
      </c>
      <c r="AN419" s="44">
        <v>0</v>
      </c>
      <c r="AO419" s="43">
        <v>884773281.35000002</v>
      </c>
      <c r="AP419" s="43">
        <v>884773281.35000002</v>
      </c>
      <c r="AQ419" s="44">
        <v>0</v>
      </c>
      <c r="AR419" s="44">
        <v>0</v>
      </c>
      <c r="AS419" s="44">
        <v>0</v>
      </c>
      <c r="AT419" s="40">
        <f t="shared" si="229"/>
        <v>0</v>
      </c>
      <c r="AU419" s="18">
        <f t="shared" si="230"/>
        <v>357743099.78999984</v>
      </c>
      <c r="AV419" s="34">
        <f t="shared" si="231"/>
        <v>0</v>
      </c>
      <c r="AW419" s="18">
        <f t="shared" si="232"/>
        <v>884773281.35000002</v>
      </c>
      <c r="AX419" s="123">
        <f t="shared" si="233"/>
        <v>0.71208178401497357</v>
      </c>
    </row>
    <row r="420" spans="1:50" ht="18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1" t="s">
        <v>1450</v>
      </c>
      <c r="AB420" s="69" t="s">
        <v>1015</v>
      </c>
      <c r="AC420" s="43"/>
      <c r="AD420" s="44">
        <v>0</v>
      </c>
      <c r="AE420" s="44">
        <v>0</v>
      </c>
      <c r="AF420" s="44">
        <v>0</v>
      </c>
      <c r="AG420" s="43">
        <v>145782310</v>
      </c>
      <c r="AH420" s="43"/>
      <c r="AI420" s="18">
        <f t="shared" ref="AI420" si="234">AE420-AF420+AG420-AH420</f>
        <v>145782310</v>
      </c>
      <c r="AJ420" s="18">
        <f t="shared" ref="AJ420" si="235">AD420+AI420</f>
        <v>145782310</v>
      </c>
      <c r="AK420" s="44">
        <v>0</v>
      </c>
      <c r="AL420" s="43">
        <v>145782310</v>
      </c>
      <c r="AM420" s="43">
        <v>145782310</v>
      </c>
      <c r="AN420" s="44">
        <v>0</v>
      </c>
      <c r="AO420" s="43">
        <v>145782310</v>
      </c>
      <c r="AP420" s="43">
        <v>145782310</v>
      </c>
      <c r="AQ420" s="44">
        <v>0</v>
      </c>
      <c r="AR420" s="44">
        <v>0</v>
      </c>
      <c r="AS420" s="44">
        <v>0</v>
      </c>
      <c r="AT420" s="40">
        <f t="shared" ref="AT420" si="236">AQ420+AS420</f>
        <v>0</v>
      </c>
      <c r="AU420" s="18">
        <f t="shared" ref="AU420" si="237">AJ420-AM420</f>
        <v>0</v>
      </c>
      <c r="AV420" s="34">
        <f t="shared" ref="AV420" si="238">AM420-AP420</f>
        <v>0</v>
      </c>
      <c r="AW420" s="18">
        <f t="shared" ref="AW420" si="239">AP420-AT420</f>
        <v>145782310</v>
      </c>
      <c r="AX420" s="123">
        <f t="shared" ref="AX420" si="240">AP420/AJ420</f>
        <v>1</v>
      </c>
    </row>
    <row r="421" spans="1:50" ht="25.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245" t="s">
        <v>1206</v>
      </c>
      <c r="AB421" s="69" t="s">
        <v>1204</v>
      </c>
      <c r="AC421" s="43"/>
      <c r="AD421" s="44">
        <v>0</v>
      </c>
      <c r="AE421" s="43">
        <v>1243761503.24</v>
      </c>
      <c r="AF421" s="44">
        <v>0</v>
      </c>
      <c r="AG421" s="44">
        <v>0</v>
      </c>
      <c r="AH421" s="44">
        <v>0</v>
      </c>
      <c r="AI421" s="18">
        <f t="shared" si="227"/>
        <v>1243761503.24</v>
      </c>
      <c r="AJ421" s="18">
        <f t="shared" si="228"/>
        <v>1243761503.24</v>
      </c>
      <c r="AK421" s="44">
        <v>0</v>
      </c>
      <c r="AL421" s="44">
        <v>0</v>
      </c>
      <c r="AM421" s="43">
        <v>1243761503.24</v>
      </c>
      <c r="AN421" s="44">
        <v>0</v>
      </c>
      <c r="AO421" s="44">
        <v>0</v>
      </c>
      <c r="AP421" s="43">
        <v>1243761503.24</v>
      </c>
      <c r="AQ421" s="44">
        <v>0</v>
      </c>
      <c r="AR421" s="44">
        <v>0</v>
      </c>
      <c r="AS421" s="44">
        <v>0</v>
      </c>
      <c r="AT421" s="40">
        <f t="shared" si="229"/>
        <v>0</v>
      </c>
      <c r="AU421" s="34">
        <f t="shared" si="230"/>
        <v>0</v>
      </c>
      <c r="AV421" s="34">
        <f t="shared" si="231"/>
        <v>0</v>
      </c>
      <c r="AW421" s="18">
        <f t="shared" si="232"/>
        <v>1243761503.24</v>
      </c>
      <c r="AX421" s="123">
        <f t="shared" si="233"/>
        <v>1</v>
      </c>
    </row>
    <row r="422" spans="1:50" ht="18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245" t="s">
        <v>1207</v>
      </c>
      <c r="AB422" s="69" t="s">
        <v>1208</v>
      </c>
      <c r="AC422" s="43"/>
      <c r="AD422" s="44">
        <v>0</v>
      </c>
      <c r="AE422" s="43">
        <v>33301512</v>
      </c>
      <c r="AF422" s="44">
        <v>0</v>
      </c>
      <c r="AG422" s="44">
        <v>0</v>
      </c>
      <c r="AH422" s="44">
        <v>0</v>
      </c>
      <c r="AI422" s="18">
        <f t="shared" si="227"/>
        <v>33301512</v>
      </c>
      <c r="AJ422" s="18">
        <f t="shared" si="228"/>
        <v>33301512</v>
      </c>
      <c r="AK422" s="44">
        <v>0</v>
      </c>
      <c r="AL422" s="44">
        <v>0</v>
      </c>
      <c r="AM422" s="43">
        <v>33301512</v>
      </c>
      <c r="AN422" s="44">
        <v>0</v>
      </c>
      <c r="AO422" s="44">
        <v>0</v>
      </c>
      <c r="AP422" s="43">
        <v>33301512</v>
      </c>
      <c r="AQ422" s="44">
        <v>0</v>
      </c>
      <c r="AR422" s="44">
        <v>0</v>
      </c>
      <c r="AS422" s="43">
        <v>33301512</v>
      </c>
      <c r="AT422" s="39">
        <f t="shared" si="229"/>
        <v>33301512</v>
      </c>
      <c r="AU422" s="34">
        <f t="shared" si="230"/>
        <v>0</v>
      </c>
      <c r="AV422" s="34">
        <f t="shared" si="231"/>
        <v>0</v>
      </c>
      <c r="AW422" s="18">
        <f t="shared" si="232"/>
        <v>0</v>
      </c>
      <c r="AX422" s="123">
        <f t="shared" si="233"/>
        <v>1</v>
      </c>
    </row>
    <row r="423" spans="1:50" ht="18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245" t="s">
        <v>1209</v>
      </c>
      <c r="AB423" s="69" t="s">
        <v>1271</v>
      </c>
      <c r="AC423" s="43"/>
      <c r="AD423" s="44">
        <v>0</v>
      </c>
      <c r="AE423" s="43">
        <v>299273185.5</v>
      </c>
      <c r="AF423" s="44">
        <v>0</v>
      </c>
      <c r="AG423" s="44">
        <v>0</v>
      </c>
      <c r="AH423" s="44">
        <v>0</v>
      </c>
      <c r="AI423" s="18">
        <f t="shared" si="227"/>
        <v>299273185.5</v>
      </c>
      <c r="AJ423" s="18">
        <f t="shared" si="228"/>
        <v>299273185.5</v>
      </c>
      <c r="AK423" s="44">
        <v>0</v>
      </c>
      <c r="AL423" s="44">
        <v>0</v>
      </c>
      <c r="AM423" s="43">
        <v>299273185.5</v>
      </c>
      <c r="AN423" s="44">
        <v>0</v>
      </c>
      <c r="AO423" s="44">
        <v>0</v>
      </c>
      <c r="AP423" s="43">
        <v>299273185.5</v>
      </c>
      <c r="AQ423" s="44">
        <v>0</v>
      </c>
      <c r="AR423" s="44">
        <v>0</v>
      </c>
      <c r="AS423" s="43">
        <v>124621932.45</v>
      </c>
      <c r="AT423" s="39">
        <f t="shared" si="229"/>
        <v>124621932.45</v>
      </c>
      <c r="AU423" s="34">
        <f t="shared" si="230"/>
        <v>0</v>
      </c>
      <c r="AV423" s="34">
        <f t="shared" si="231"/>
        <v>0</v>
      </c>
      <c r="AW423" s="18">
        <f t="shared" si="232"/>
        <v>174651253.05000001</v>
      </c>
      <c r="AX423" s="123">
        <f t="shared" si="233"/>
        <v>1</v>
      </c>
    </row>
    <row r="424" spans="1:50" ht="18.75" customHeight="1" x14ac:dyDescent="0.2">
      <c r="AA424" s="28" t="s">
        <v>288</v>
      </c>
      <c r="AB424" s="68" t="s">
        <v>365</v>
      </c>
      <c r="AC424" s="17"/>
      <c r="AD424" s="18"/>
      <c r="AE424" s="34"/>
      <c r="AF424" s="34"/>
      <c r="AG424" s="34"/>
      <c r="AH424" s="34"/>
      <c r="AI424" s="34"/>
      <c r="AJ424" s="18"/>
      <c r="AK424" s="34"/>
      <c r="AL424" s="34"/>
      <c r="AM424" s="34"/>
      <c r="AN424" s="34"/>
      <c r="AO424" s="34"/>
      <c r="AP424" s="34"/>
      <c r="AQ424" s="34"/>
      <c r="AR424" s="34"/>
      <c r="AS424" s="34"/>
      <c r="AT424" s="40"/>
      <c r="AU424" s="18"/>
      <c r="AV424" s="18"/>
      <c r="AW424" s="18"/>
      <c r="AX424" s="18"/>
    </row>
    <row r="425" spans="1:50" ht="18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173" t="s">
        <v>1320</v>
      </c>
      <c r="AB425" s="69" t="s">
        <v>1264</v>
      </c>
      <c r="AC425" s="43"/>
      <c r="AD425" s="44">
        <v>0</v>
      </c>
      <c r="AE425" s="44">
        <v>0</v>
      </c>
      <c r="AF425" s="44">
        <v>0</v>
      </c>
      <c r="AG425" s="43">
        <v>95676637</v>
      </c>
      <c r="AH425" s="44">
        <v>0</v>
      </c>
      <c r="AI425" s="18">
        <f>AE425-AF425+AG425-AH425</f>
        <v>95676637</v>
      </c>
      <c r="AJ425" s="18">
        <f>AD425+AI425</f>
        <v>95676637</v>
      </c>
      <c r="AK425" s="44">
        <v>0</v>
      </c>
      <c r="AL425" s="44">
        <v>0</v>
      </c>
      <c r="AM425" s="43">
        <v>95676637</v>
      </c>
      <c r="AN425" s="44">
        <v>0</v>
      </c>
      <c r="AO425" s="44">
        <v>0</v>
      </c>
      <c r="AP425" s="43">
        <v>95676637</v>
      </c>
      <c r="AQ425" s="44">
        <v>0</v>
      </c>
      <c r="AR425" s="43">
        <v>95676637</v>
      </c>
      <c r="AS425" s="43">
        <v>95676637</v>
      </c>
      <c r="AT425" s="39">
        <f>AQ425+AS425</f>
        <v>95676637</v>
      </c>
      <c r="AU425" s="34">
        <f>AJ425-AM425</f>
        <v>0</v>
      </c>
      <c r="AV425" s="34">
        <f>AM425-AP425</f>
        <v>0</v>
      </c>
      <c r="AW425" s="18">
        <f>AP425-AT425</f>
        <v>0</v>
      </c>
      <c r="AX425" s="123">
        <f>AP425/AJ425</f>
        <v>1</v>
      </c>
    </row>
    <row r="426" spans="1:50" ht="18.75" customHeight="1" x14ac:dyDescent="0.2">
      <c r="A426" s="4" t="s">
        <v>55</v>
      </c>
      <c r="B426" s="4" t="s">
        <v>56</v>
      </c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1" t="s">
        <v>366</v>
      </c>
      <c r="AB426" s="69" t="s">
        <v>367</v>
      </c>
      <c r="AC426" s="43" t="s">
        <v>368</v>
      </c>
      <c r="AD426" s="43">
        <v>229393430</v>
      </c>
      <c r="AE426" s="44">
        <v>0</v>
      </c>
      <c r="AF426" s="44">
        <v>0</v>
      </c>
      <c r="AG426" s="44">
        <v>0</v>
      </c>
      <c r="AH426" s="44">
        <v>0</v>
      </c>
      <c r="AI426" s="34">
        <f t="shared" ref="AI426:AI428" si="241">AE426-AF426+AG426-AH426</f>
        <v>0</v>
      </c>
      <c r="AJ426" s="18">
        <f t="shared" ref="AJ426:AJ428" si="242">AD426+AI426</f>
        <v>229393430</v>
      </c>
      <c r="AK426" s="44">
        <v>0</v>
      </c>
      <c r="AL426" s="44">
        <v>0</v>
      </c>
      <c r="AM426" s="43">
        <v>21919432.030000001</v>
      </c>
      <c r="AN426" s="44">
        <v>0</v>
      </c>
      <c r="AO426" s="44">
        <v>0</v>
      </c>
      <c r="AP426" s="43">
        <v>21919432.030000001</v>
      </c>
      <c r="AQ426" s="44">
        <v>0</v>
      </c>
      <c r="AR426" s="43">
        <v>21919432.030000001</v>
      </c>
      <c r="AS426" s="43">
        <v>21919432.030000001</v>
      </c>
      <c r="AT426" s="39">
        <f t="shared" si="222"/>
        <v>21919432.030000001</v>
      </c>
      <c r="AU426" s="18">
        <f>AJ426-AM426</f>
        <v>207473997.97</v>
      </c>
      <c r="AV426" s="34">
        <f>AM426-AP426</f>
        <v>0</v>
      </c>
      <c r="AW426" s="18">
        <f>AP426-AT426</f>
        <v>0</v>
      </c>
      <c r="AX426" s="123">
        <f>AP426/AJ426</f>
        <v>9.5553878897054731E-2</v>
      </c>
    </row>
    <row r="427" spans="1:50" ht="18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173" t="s">
        <v>1319</v>
      </c>
      <c r="AB427" s="69" t="s">
        <v>360</v>
      </c>
      <c r="AC427" s="43"/>
      <c r="AD427" s="44">
        <v>0</v>
      </c>
      <c r="AE427" s="44">
        <v>0</v>
      </c>
      <c r="AF427" s="44">
        <v>0</v>
      </c>
      <c r="AG427" s="43">
        <v>1040144569</v>
      </c>
      <c r="AH427" s="44">
        <v>0</v>
      </c>
      <c r="AI427" s="18">
        <f>AE427-AF427+AG427-AH427</f>
        <v>1040144569</v>
      </c>
      <c r="AJ427" s="18">
        <f>AD427+AI427</f>
        <v>1040144569</v>
      </c>
      <c r="AK427" s="44">
        <v>0</v>
      </c>
      <c r="AL427" s="44">
        <v>0</v>
      </c>
      <c r="AM427" s="43">
        <v>1040144569</v>
      </c>
      <c r="AN427" s="44">
        <v>0</v>
      </c>
      <c r="AO427" s="44">
        <v>0</v>
      </c>
      <c r="AP427" s="43">
        <v>1040144569</v>
      </c>
      <c r="AQ427" s="44">
        <v>0</v>
      </c>
      <c r="AR427" s="43">
        <v>1040144569</v>
      </c>
      <c r="AS427" s="43">
        <v>1040144569</v>
      </c>
      <c r="AT427" s="39">
        <f>AQ427+AS427</f>
        <v>1040144569</v>
      </c>
      <c r="AU427" s="18">
        <f>AJ427-AM427</f>
        <v>0</v>
      </c>
      <c r="AV427" s="34">
        <f>AM427-AP427</f>
        <v>0</v>
      </c>
      <c r="AW427" s="18">
        <f>AP427-AT427</f>
        <v>0</v>
      </c>
      <c r="AX427" s="123">
        <f>AP427/AJ427</f>
        <v>1</v>
      </c>
    </row>
    <row r="428" spans="1:50" ht="18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173" t="s">
        <v>1203</v>
      </c>
      <c r="AB428" s="69" t="s">
        <v>1204</v>
      </c>
      <c r="AC428" s="43"/>
      <c r="AD428" s="44">
        <v>0</v>
      </c>
      <c r="AE428" s="43">
        <v>500000000</v>
      </c>
      <c r="AF428" s="44">
        <v>0</v>
      </c>
      <c r="AG428" s="44">
        <v>0</v>
      </c>
      <c r="AH428" s="44">
        <v>0</v>
      </c>
      <c r="AI428" s="18">
        <f t="shared" si="241"/>
        <v>500000000</v>
      </c>
      <c r="AJ428" s="18">
        <f t="shared" si="242"/>
        <v>500000000</v>
      </c>
      <c r="AK428" s="43">
        <v>0</v>
      </c>
      <c r="AL428" s="43">
        <v>499798529.54000002</v>
      </c>
      <c r="AM428" s="43">
        <v>499798529.54000002</v>
      </c>
      <c r="AN428" s="43">
        <v>499798529.54000002</v>
      </c>
      <c r="AO428" s="44">
        <v>0</v>
      </c>
      <c r="AP428" s="44">
        <v>0</v>
      </c>
      <c r="AQ428" s="44">
        <v>0</v>
      </c>
      <c r="AR428" s="44">
        <v>0</v>
      </c>
      <c r="AS428" s="44">
        <v>0</v>
      </c>
      <c r="AT428" s="40">
        <f t="shared" si="222"/>
        <v>0</v>
      </c>
      <c r="AU428" s="18">
        <f>AJ428-AM428</f>
        <v>201470.45999997854</v>
      </c>
      <c r="AV428" s="18">
        <f>AM428-AP428</f>
        <v>499798529.54000002</v>
      </c>
      <c r="AW428" s="18">
        <f>AP428-AT428</f>
        <v>0</v>
      </c>
      <c r="AX428" s="123">
        <f>AP428/AJ428</f>
        <v>0</v>
      </c>
    </row>
    <row r="430" spans="1:50" ht="18.75" customHeight="1" x14ac:dyDescent="0.2">
      <c r="AA430" s="28" t="s">
        <v>288</v>
      </c>
      <c r="AB430" s="68" t="s">
        <v>369</v>
      </c>
      <c r="AC430" s="17"/>
      <c r="AD430" s="18"/>
      <c r="AE430" s="34"/>
      <c r="AF430" s="34"/>
      <c r="AG430" s="34"/>
      <c r="AH430" s="34"/>
      <c r="AI430" s="34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40"/>
      <c r="AU430" s="18"/>
      <c r="AV430" s="18"/>
      <c r="AW430" s="18"/>
      <c r="AX430" s="18"/>
    </row>
    <row r="431" spans="1:50" ht="18.75" customHeight="1" x14ac:dyDescent="0.2">
      <c r="A431" s="4" t="s">
        <v>55</v>
      </c>
      <c r="B431" s="4" t="s">
        <v>56</v>
      </c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1" t="s">
        <v>370</v>
      </c>
      <c r="AB431" s="69" t="s">
        <v>233</v>
      </c>
      <c r="AC431" s="43" t="s">
        <v>58</v>
      </c>
      <c r="AD431" s="43">
        <v>209880000</v>
      </c>
      <c r="AE431" s="44">
        <v>0</v>
      </c>
      <c r="AF431" s="44">
        <v>0</v>
      </c>
      <c r="AG431" s="44">
        <v>0</v>
      </c>
      <c r="AH431" s="44">
        <v>0</v>
      </c>
      <c r="AI431" s="34">
        <f>AE431-AF431+AG431-AH431</f>
        <v>0</v>
      </c>
      <c r="AJ431" s="18">
        <f>AD431+AI431</f>
        <v>209880000</v>
      </c>
      <c r="AK431" s="44">
        <v>0</v>
      </c>
      <c r="AL431" s="43">
        <v>0</v>
      </c>
      <c r="AM431" s="43">
        <v>142733335.31</v>
      </c>
      <c r="AN431" s="44">
        <v>0</v>
      </c>
      <c r="AO431" s="43">
        <v>0</v>
      </c>
      <c r="AP431" s="43">
        <v>142733335.31</v>
      </c>
      <c r="AQ431" s="43">
        <v>0</v>
      </c>
      <c r="AR431" s="43">
        <v>16000000</v>
      </c>
      <c r="AS431" s="43">
        <v>117799997</v>
      </c>
      <c r="AT431" s="39">
        <f t="shared" si="222"/>
        <v>117799997</v>
      </c>
      <c r="AU431" s="18">
        <f>AJ431-AM431</f>
        <v>67146664.689999998</v>
      </c>
      <c r="AV431" s="18">
        <f>AM431-AP431</f>
        <v>0</v>
      </c>
      <c r="AW431" s="18">
        <f>AP431-AT431</f>
        <v>24933338.310000002</v>
      </c>
      <c r="AX431" s="123">
        <f>AP431/AJ431</f>
        <v>0.68007116118734512</v>
      </c>
    </row>
    <row r="432" spans="1:50" ht="18.75" customHeight="1" x14ac:dyDescent="0.2">
      <c r="AA432" s="28" t="s">
        <v>288</v>
      </c>
      <c r="AB432" s="68" t="s">
        <v>371</v>
      </c>
      <c r="AC432" s="17"/>
      <c r="AD432" s="18"/>
      <c r="AE432" s="34"/>
      <c r="AF432" s="34"/>
      <c r="AG432" s="34"/>
      <c r="AH432" s="34"/>
      <c r="AI432" s="34"/>
      <c r="AJ432" s="18"/>
      <c r="AK432" s="18"/>
      <c r="AL432" s="34"/>
      <c r="AM432" s="18"/>
      <c r="AN432" s="18"/>
      <c r="AO432" s="18"/>
      <c r="AP432" s="18"/>
      <c r="AQ432" s="18"/>
      <c r="AR432" s="18"/>
      <c r="AS432" s="18"/>
      <c r="AT432" s="40"/>
      <c r="AU432" s="18"/>
      <c r="AV432" s="18"/>
      <c r="AW432" s="18"/>
      <c r="AX432" s="18"/>
    </row>
    <row r="433" spans="1:50" ht="18.75" customHeight="1" x14ac:dyDescent="0.2">
      <c r="A433" s="4" t="s">
        <v>55</v>
      </c>
      <c r="B433" s="4" t="s">
        <v>56</v>
      </c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1" t="s">
        <v>372</v>
      </c>
      <c r="AB433" s="69" t="s">
        <v>233</v>
      </c>
      <c r="AC433" s="43" t="s">
        <v>58</v>
      </c>
      <c r="AD433" s="43">
        <v>290120000</v>
      </c>
      <c r="AE433" s="44">
        <v>0</v>
      </c>
      <c r="AF433" s="44">
        <v>0</v>
      </c>
      <c r="AG433" s="44">
        <v>0</v>
      </c>
      <c r="AH433" s="43">
        <f>169996000+20000000</f>
        <v>189996000</v>
      </c>
      <c r="AI433" s="18">
        <f>AE433-AF433+AG433-AH433</f>
        <v>-189996000</v>
      </c>
      <c r="AJ433" s="18">
        <f>AD433+AI433</f>
        <v>100124000</v>
      </c>
      <c r="AK433" s="44">
        <v>0</v>
      </c>
      <c r="AL433" s="44">
        <v>0</v>
      </c>
      <c r="AM433" s="43">
        <v>100124000</v>
      </c>
      <c r="AN433" s="44">
        <v>0</v>
      </c>
      <c r="AO433" s="44">
        <v>0</v>
      </c>
      <c r="AP433" s="43">
        <v>100124000</v>
      </c>
      <c r="AQ433" s="44">
        <v>0</v>
      </c>
      <c r="AR433" s="43">
        <v>16687334</v>
      </c>
      <c r="AS433" s="43">
        <v>66749336</v>
      </c>
      <c r="AT433" s="40">
        <f t="shared" si="222"/>
        <v>66749336</v>
      </c>
      <c r="AU433" s="34">
        <f>AJ433-AM433</f>
        <v>0</v>
      </c>
      <c r="AV433" s="34">
        <f>AM433-AP433</f>
        <v>0</v>
      </c>
      <c r="AW433" s="18">
        <f>AP433-AT433</f>
        <v>33374664</v>
      </c>
      <c r="AX433" s="123">
        <f>AP433/AJ433</f>
        <v>1</v>
      </c>
    </row>
    <row r="434" spans="1:50" ht="18.75" customHeight="1" x14ac:dyDescent="0.2">
      <c r="AA434" s="16"/>
      <c r="AB434" s="70"/>
      <c r="AC434" s="17"/>
      <c r="AD434" s="18"/>
      <c r="AE434" s="34"/>
      <c r="AF434" s="34"/>
      <c r="AG434" s="34"/>
      <c r="AH434" s="34"/>
      <c r="AI434" s="34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40"/>
      <c r="AU434" s="18"/>
      <c r="AV434" s="18"/>
      <c r="AW434" s="18"/>
      <c r="AX434" s="18"/>
    </row>
    <row r="435" spans="1:50" ht="38.25" x14ac:dyDescent="0.2">
      <c r="AA435" s="16"/>
      <c r="AB435" s="68" t="s">
        <v>373</v>
      </c>
      <c r="AC435" s="17"/>
      <c r="AD435" s="18"/>
      <c r="AE435" s="34"/>
      <c r="AF435" s="34"/>
      <c r="AG435" s="34"/>
      <c r="AH435" s="34"/>
      <c r="AI435" s="34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40"/>
      <c r="AU435" s="18"/>
      <c r="AV435" s="18"/>
      <c r="AW435" s="18"/>
      <c r="AX435" s="18"/>
    </row>
    <row r="436" spans="1:50" ht="25.5" x14ac:dyDescent="0.2">
      <c r="AA436" s="28"/>
      <c r="AB436" s="68" t="s">
        <v>374</v>
      </c>
      <c r="AC436" s="17"/>
      <c r="AD436" s="18"/>
      <c r="AE436" s="34"/>
      <c r="AF436" s="34"/>
      <c r="AG436" s="34"/>
      <c r="AH436" s="34"/>
      <c r="AI436" s="34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40"/>
      <c r="AU436" s="18"/>
      <c r="AV436" s="18"/>
      <c r="AW436" s="18"/>
      <c r="AX436" s="18"/>
    </row>
    <row r="437" spans="1:50" ht="25.5" x14ac:dyDescent="0.2">
      <c r="AA437" s="28" t="s">
        <v>288</v>
      </c>
      <c r="AB437" s="68" t="s">
        <v>375</v>
      </c>
      <c r="AC437" s="17"/>
      <c r="AD437" s="18"/>
      <c r="AE437" s="34"/>
      <c r="AF437" s="34"/>
      <c r="AG437" s="34"/>
      <c r="AH437" s="34"/>
      <c r="AI437" s="34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40"/>
      <c r="AU437" s="18"/>
      <c r="AV437" s="18"/>
      <c r="AW437" s="18"/>
      <c r="AX437" s="18"/>
    </row>
    <row r="438" spans="1:50" x14ac:dyDescent="0.2">
      <c r="A438" s="4" t="s">
        <v>55</v>
      </c>
      <c r="B438" s="4" t="s">
        <v>56</v>
      </c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1" t="s">
        <v>376</v>
      </c>
      <c r="AB438" s="69" t="s">
        <v>233</v>
      </c>
      <c r="AC438" s="43" t="s">
        <v>58</v>
      </c>
      <c r="AD438" s="43">
        <v>3416292195</v>
      </c>
      <c r="AE438" s="44">
        <v>0</v>
      </c>
      <c r="AF438" s="44">
        <v>0</v>
      </c>
      <c r="AG438" s="44">
        <v>0</v>
      </c>
      <c r="AH438" s="43">
        <v>94960977</v>
      </c>
      <c r="AI438" s="18">
        <f>AE438-AF438+AG438-AH438</f>
        <v>-94960977</v>
      </c>
      <c r="AJ438" s="18">
        <f>AD438+AI438</f>
        <v>3321331218</v>
      </c>
      <c r="AK438" s="44">
        <v>0</v>
      </c>
      <c r="AL438" s="44">
        <v>0</v>
      </c>
      <c r="AM438" s="43">
        <v>3321331218</v>
      </c>
      <c r="AN438" s="44">
        <v>0</v>
      </c>
      <c r="AO438" s="44">
        <v>0</v>
      </c>
      <c r="AP438" s="43">
        <v>3321331218</v>
      </c>
      <c r="AQ438" s="44">
        <v>430541995</v>
      </c>
      <c r="AR438" s="44">
        <v>1154787408</v>
      </c>
      <c r="AS438" s="43">
        <v>1175963849</v>
      </c>
      <c r="AT438" s="39">
        <f t="shared" ref="AT438" si="243">AQ438+AS438</f>
        <v>1606505844</v>
      </c>
      <c r="AU438" s="34">
        <f>AJ438-AM438</f>
        <v>0</v>
      </c>
      <c r="AV438" s="133">
        <f>AM438-AP438</f>
        <v>0</v>
      </c>
      <c r="AW438" s="18">
        <f>AP438-AT438</f>
        <v>1714825374</v>
      </c>
      <c r="AX438" s="123">
        <f>AP438/AJ438</f>
        <v>1</v>
      </c>
    </row>
    <row r="439" spans="1:50" ht="18.75" customHeight="1" x14ac:dyDescent="0.2">
      <c r="AA439" s="28" t="s">
        <v>288</v>
      </c>
      <c r="AB439" s="29" t="s">
        <v>320</v>
      </c>
      <c r="AC439" s="17"/>
      <c r="AD439" s="18"/>
      <c r="AE439" s="34"/>
      <c r="AF439" s="34"/>
      <c r="AG439" s="34"/>
      <c r="AH439" s="34"/>
      <c r="AI439" s="34"/>
      <c r="AJ439" s="18"/>
      <c r="AK439" s="34"/>
      <c r="AL439" s="34"/>
      <c r="AM439" s="18"/>
      <c r="AN439" s="34"/>
      <c r="AO439" s="34"/>
      <c r="AP439" s="18"/>
      <c r="AQ439" s="34"/>
      <c r="AR439" s="34"/>
      <c r="AS439" s="34"/>
      <c r="AT439" s="40"/>
      <c r="AU439" s="18"/>
      <c r="AV439" s="18"/>
      <c r="AW439" s="18"/>
      <c r="AX439" s="18"/>
    </row>
    <row r="440" spans="1:50" ht="18.75" customHeight="1" x14ac:dyDescent="0.2">
      <c r="A440" s="4" t="s">
        <v>55</v>
      </c>
      <c r="B440" s="4" t="s">
        <v>56</v>
      </c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1" t="s">
        <v>377</v>
      </c>
      <c r="AB440" s="42" t="s">
        <v>328</v>
      </c>
      <c r="AC440" s="43" t="s">
        <v>61</v>
      </c>
      <c r="AD440" s="43">
        <v>10632000</v>
      </c>
      <c r="AE440" s="44">
        <v>0</v>
      </c>
      <c r="AF440" s="44">
        <v>0</v>
      </c>
      <c r="AG440" s="44">
        <v>0</v>
      </c>
      <c r="AH440" s="44">
        <v>0</v>
      </c>
      <c r="AI440" s="34">
        <f t="shared" ref="AI440:AI442" si="244">AE440-AF440+AG440-AH440</f>
        <v>0</v>
      </c>
      <c r="AJ440" s="18">
        <f t="shared" ref="AJ440:AJ442" si="245">AD440+AI440</f>
        <v>10632000</v>
      </c>
      <c r="AK440" s="44">
        <v>0</v>
      </c>
      <c r="AL440" s="43">
        <v>0</v>
      </c>
      <c r="AM440" s="43">
        <v>1060000</v>
      </c>
      <c r="AN440" s="44">
        <v>0</v>
      </c>
      <c r="AO440" s="44">
        <v>0</v>
      </c>
      <c r="AP440" s="44">
        <v>931920</v>
      </c>
      <c r="AQ440" s="44">
        <v>0</v>
      </c>
      <c r="AR440" s="44">
        <v>0</v>
      </c>
      <c r="AS440" s="44">
        <v>0</v>
      </c>
      <c r="AT440" s="40">
        <f t="shared" ref="AT440:AT442" si="246">AQ440+AS440</f>
        <v>0</v>
      </c>
      <c r="AU440" s="18">
        <f>AJ440-AM440</f>
        <v>9572000</v>
      </c>
      <c r="AV440" s="18">
        <f>AM440-AP440</f>
        <v>128080</v>
      </c>
      <c r="AW440" s="34">
        <f>AP440-AT440</f>
        <v>931920</v>
      </c>
      <c r="AX440" s="123">
        <f>AP440/AJ440</f>
        <v>8.7652370203160274E-2</v>
      </c>
    </row>
    <row r="441" spans="1:50" ht="18.75" customHeight="1" x14ac:dyDescent="0.2">
      <c r="A441" s="4" t="s">
        <v>55</v>
      </c>
      <c r="B441" s="4" t="s">
        <v>56</v>
      </c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1" t="s">
        <v>378</v>
      </c>
      <c r="AB441" s="42" t="s">
        <v>379</v>
      </c>
      <c r="AC441" s="43" t="s">
        <v>380</v>
      </c>
      <c r="AD441" s="43">
        <v>2835585455</v>
      </c>
      <c r="AE441" s="44">
        <v>0</v>
      </c>
      <c r="AF441" s="44">
        <v>0</v>
      </c>
      <c r="AG441" s="44">
        <v>0</v>
      </c>
      <c r="AH441" s="44">
        <v>0</v>
      </c>
      <c r="AI441" s="34">
        <f t="shared" si="244"/>
        <v>0</v>
      </c>
      <c r="AJ441" s="18">
        <f t="shared" si="245"/>
        <v>2835585455</v>
      </c>
      <c r="AK441" s="44">
        <v>0</v>
      </c>
      <c r="AL441" s="43">
        <v>306687091</v>
      </c>
      <c r="AM441" s="43">
        <v>2079319364</v>
      </c>
      <c r="AN441" s="44">
        <v>0</v>
      </c>
      <c r="AO441" s="43">
        <v>306687091</v>
      </c>
      <c r="AP441" s="43">
        <v>2079319364</v>
      </c>
      <c r="AQ441" s="115">
        <v>306687091</v>
      </c>
      <c r="AR441" s="43">
        <v>61099759</v>
      </c>
      <c r="AS441" s="43">
        <v>1772632273</v>
      </c>
      <c r="AT441" s="39">
        <f t="shared" si="246"/>
        <v>2079319364</v>
      </c>
      <c r="AU441" s="18">
        <f>AJ441-AM441</f>
        <v>756266091</v>
      </c>
      <c r="AV441" s="34">
        <f>AM441-AP441</f>
        <v>0</v>
      </c>
      <c r="AW441" s="18">
        <f>AP441-AT441</f>
        <v>0</v>
      </c>
      <c r="AX441" s="123">
        <f>AP441/AJ441</f>
        <v>0.73329455133631305</v>
      </c>
    </row>
    <row r="442" spans="1:50" ht="18.75" customHeight="1" x14ac:dyDescent="0.2">
      <c r="A442" s="4" t="s">
        <v>55</v>
      </c>
      <c r="B442" s="4" t="s">
        <v>56</v>
      </c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1" t="s">
        <v>381</v>
      </c>
      <c r="AB442" s="42" t="s">
        <v>382</v>
      </c>
      <c r="AC442" s="43" t="s">
        <v>383</v>
      </c>
      <c r="AD442" s="43">
        <v>1274304912</v>
      </c>
      <c r="AE442" s="44">
        <v>0</v>
      </c>
      <c r="AF442" s="44">
        <v>0</v>
      </c>
      <c r="AG442" s="44">
        <v>0</v>
      </c>
      <c r="AH442" s="43">
        <v>563696519</v>
      </c>
      <c r="AI442" s="18">
        <f t="shared" si="244"/>
        <v>-563696519</v>
      </c>
      <c r="AJ442" s="18">
        <f t="shared" si="245"/>
        <v>710608393</v>
      </c>
      <c r="AK442" s="44">
        <v>0</v>
      </c>
      <c r="AL442" s="44">
        <v>0</v>
      </c>
      <c r="AM442" s="44">
        <v>0</v>
      </c>
      <c r="AN442" s="44">
        <v>0</v>
      </c>
      <c r="AO442" s="44">
        <v>0</v>
      </c>
      <c r="AP442" s="44">
        <v>0</v>
      </c>
      <c r="AQ442" s="44">
        <v>0</v>
      </c>
      <c r="AR442" s="43">
        <v>0</v>
      </c>
      <c r="AS442" s="44">
        <v>0</v>
      </c>
      <c r="AT442" s="40">
        <f t="shared" si="246"/>
        <v>0</v>
      </c>
      <c r="AU442" s="18">
        <f>AJ442-AM442</f>
        <v>710608393</v>
      </c>
      <c r="AV442" s="34">
        <f>AM442-AP442</f>
        <v>0</v>
      </c>
      <c r="AW442" s="34">
        <f>AP442-AT442</f>
        <v>0</v>
      </c>
      <c r="AX442" s="123">
        <f>AP442/AJ442</f>
        <v>0</v>
      </c>
    </row>
    <row r="443" spans="1:50" ht="38.25" x14ac:dyDescent="0.2">
      <c r="AA443" s="28" t="s">
        <v>288</v>
      </c>
      <c r="AB443" s="29" t="s">
        <v>384</v>
      </c>
      <c r="AC443" s="17"/>
      <c r="AD443" s="18"/>
      <c r="AE443" s="34"/>
      <c r="AF443" s="34"/>
      <c r="AG443" s="34"/>
      <c r="AH443" s="34"/>
      <c r="AI443" s="34"/>
      <c r="AJ443" s="18"/>
      <c r="AK443" s="18"/>
      <c r="AL443" s="18"/>
      <c r="AM443" s="18"/>
      <c r="AN443" s="34"/>
      <c r="AO443" s="34"/>
      <c r="AP443" s="18"/>
      <c r="AQ443" s="18"/>
      <c r="AR443" s="18"/>
      <c r="AS443" s="18"/>
      <c r="AT443" s="39"/>
      <c r="AU443" s="18"/>
      <c r="AV443" s="18"/>
      <c r="AW443" s="18"/>
      <c r="AX443" s="18"/>
    </row>
    <row r="444" spans="1:50" ht="18.75" customHeight="1" x14ac:dyDescent="0.2">
      <c r="A444" s="4" t="s">
        <v>55</v>
      </c>
      <c r="B444" s="4" t="s">
        <v>56</v>
      </c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1" t="s">
        <v>385</v>
      </c>
      <c r="AB444" s="42" t="s">
        <v>233</v>
      </c>
      <c r="AC444" s="43" t="s">
        <v>58</v>
      </c>
      <c r="AD444" s="43">
        <v>9793380820</v>
      </c>
      <c r="AE444" s="44">
        <v>0</v>
      </c>
      <c r="AF444" s="44">
        <v>0</v>
      </c>
      <c r="AG444" s="44">
        <v>0</v>
      </c>
      <c r="AH444" s="43">
        <f>210000000+7000000</f>
        <v>217000000</v>
      </c>
      <c r="AI444" s="18">
        <f t="shared" ref="AI444:AI450" si="247">AE444-AF444+AG444-AH444</f>
        <v>-217000000</v>
      </c>
      <c r="AJ444" s="18">
        <f t="shared" ref="AJ444:AJ450" si="248">AD444+AI444</f>
        <v>9576380820</v>
      </c>
      <c r="AK444" s="44">
        <v>0</v>
      </c>
      <c r="AL444" s="43">
        <v>0</v>
      </c>
      <c r="AM444" s="43">
        <v>9016270147.4599991</v>
      </c>
      <c r="AN444" s="44">
        <v>0</v>
      </c>
      <c r="AO444" s="43">
        <v>9300000</v>
      </c>
      <c r="AP444" s="43">
        <v>8975403480.7900009</v>
      </c>
      <c r="AQ444" s="43">
        <v>150000</v>
      </c>
      <c r="AR444" s="43">
        <v>40016666</v>
      </c>
      <c r="AS444" s="43">
        <v>889322348</v>
      </c>
      <c r="AT444" s="39">
        <f t="shared" ref="AT444:AT451" si="249">AQ444+AS444</f>
        <v>889472348</v>
      </c>
      <c r="AU444" s="18">
        <f t="shared" ref="AU444:AU451" si="250">AJ444-AM444</f>
        <v>560110672.54000092</v>
      </c>
      <c r="AV444" s="18">
        <f t="shared" ref="AV444:AV451" si="251">AM444-AP444</f>
        <v>40866666.669998169</v>
      </c>
      <c r="AW444" s="110">
        <f t="shared" ref="AW444:AW451" si="252">AP444-AT444</f>
        <v>8085931132.7900009</v>
      </c>
      <c r="AX444" s="123">
        <f t="shared" ref="AX444:AX451" si="253">AP444/AJ444</f>
        <v>0.93724379277452341</v>
      </c>
    </row>
    <row r="445" spans="1:50" ht="18.75" customHeight="1" x14ac:dyDescent="0.2">
      <c r="A445" s="4" t="s">
        <v>55</v>
      </c>
      <c r="B445" s="4" t="s">
        <v>56</v>
      </c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1" t="s">
        <v>386</v>
      </c>
      <c r="AB445" s="42" t="s">
        <v>382</v>
      </c>
      <c r="AC445" s="43" t="s">
        <v>383</v>
      </c>
      <c r="AD445" s="43">
        <v>8000000000</v>
      </c>
      <c r="AE445" s="44">
        <v>0</v>
      </c>
      <c r="AF445" s="44">
        <v>0</v>
      </c>
      <c r="AG445" s="44">
        <v>0</v>
      </c>
      <c r="AH445" s="44">
        <v>0</v>
      </c>
      <c r="AI445" s="18">
        <f t="shared" si="247"/>
        <v>0</v>
      </c>
      <c r="AJ445" s="18">
        <f t="shared" si="248"/>
        <v>8000000000</v>
      </c>
      <c r="AK445" s="44">
        <v>0</v>
      </c>
      <c r="AL445" s="44">
        <v>0</v>
      </c>
      <c r="AM445" s="43">
        <v>8000000000</v>
      </c>
      <c r="AN445" s="44">
        <v>0</v>
      </c>
      <c r="AO445" s="44">
        <v>0</v>
      </c>
      <c r="AP445" s="43">
        <v>8000000000</v>
      </c>
      <c r="AQ445" s="43">
        <v>608368260</v>
      </c>
      <c r="AR445" s="43">
        <v>1309030848</v>
      </c>
      <c r="AS445" s="43">
        <v>3602255252.3000002</v>
      </c>
      <c r="AT445" s="39">
        <f t="shared" si="249"/>
        <v>4210623512.3000002</v>
      </c>
      <c r="AU445" s="34">
        <f t="shared" si="250"/>
        <v>0</v>
      </c>
      <c r="AV445" s="34">
        <f t="shared" si="251"/>
        <v>0</v>
      </c>
      <c r="AW445" s="18">
        <f t="shared" si="252"/>
        <v>3789376487.6999998</v>
      </c>
      <c r="AX445" s="123">
        <f t="shared" si="253"/>
        <v>1</v>
      </c>
    </row>
    <row r="446" spans="1:50" ht="18.75" customHeight="1" x14ac:dyDescent="0.2">
      <c r="A446" s="4" t="s">
        <v>55</v>
      </c>
      <c r="B446" s="4" t="s">
        <v>56</v>
      </c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1" t="s">
        <v>387</v>
      </c>
      <c r="AB446" s="42" t="s">
        <v>388</v>
      </c>
      <c r="AC446" s="43" t="s">
        <v>389</v>
      </c>
      <c r="AD446" s="43">
        <v>951016677</v>
      </c>
      <c r="AE446" s="43">
        <v>94431074</v>
      </c>
      <c r="AF446" s="44">
        <v>0</v>
      </c>
      <c r="AG446" s="44">
        <v>0</v>
      </c>
      <c r="AH446" s="44">
        <v>0</v>
      </c>
      <c r="AI446" s="18">
        <f t="shared" si="247"/>
        <v>94431074</v>
      </c>
      <c r="AJ446" s="18">
        <f t="shared" si="248"/>
        <v>1045447751</v>
      </c>
      <c r="AK446" s="44">
        <v>0</v>
      </c>
      <c r="AL446" s="44">
        <v>0</v>
      </c>
      <c r="AM446" s="43">
        <v>934080451</v>
      </c>
      <c r="AN446" s="44">
        <v>0</v>
      </c>
      <c r="AO446" s="44">
        <v>0</v>
      </c>
      <c r="AP446" s="43">
        <v>934080451</v>
      </c>
      <c r="AQ446" s="44">
        <v>0</v>
      </c>
      <c r="AR446" s="44">
        <v>0</v>
      </c>
      <c r="AS446" s="43">
        <v>934080451</v>
      </c>
      <c r="AT446" s="39">
        <f t="shared" si="249"/>
        <v>934080451</v>
      </c>
      <c r="AU446" s="18">
        <f t="shared" si="250"/>
        <v>111367300</v>
      </c>
      <c r="AV446" s="34">
        <f t="shared" si="251"/>
        <v>0</v>
      </c>
      <c r="AW446" s="34">
        <f t="shared" si="252"/>
        <v>0</v>
      </c>
      <c r="AX446" s="123">
        <f t="shared" si="253"/>
        <v>0.89347406420505082</v>
      </c>
    </row>
    <row r="447" spans="1:50" ht="18.75" customHeight="1" x14ac:dyDescent="0.2">
      <c r="A447" s="4" t="s">
        <v>55</v>
      </c>
      <c r="B447" s="4" t="s">
        <v>56</v>
      </c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1" t="s">
        <v>390</v>
      </c>
      <c r="AB447" s="42" t="s">
        <v>391</v>
      </c>
      <c r="AC447" s="43" t="s">
        <v>392</v>
      </c>
      <c r="AD447" s="43">
        <v>2011708314</v>
      </c>
      <c r="AE447" s="44">
        <v>0</v>
      </c>
      <c r="AF447" s="44">
        <v>0</v>
      </c>
      <c r="AG447" s="44">
        <v>0</v>
      </c>
      <c r="AH447" s="44">
        <v>0</v>
      </c>
      <c r="AI447" s="34">
        <f t="shared" si="247"/>
        <v>0</v>
      </c>
      <c r="AJ447" s="18">
        <f t="shared" si="248"/>
        <v>2011708314</v>
      </c>
      <c r="AK447" s="44">
        <v>0</v>
      </c>
      <c r="AL447" s="44">
        <v>0</v>
      </c>
      <c r="AM447" s="43">
        <v>1978725412.5</v>
      </c>
      <c r="AN447" s="44">
        <v>0</v>
      </c>
      <c r="AO447" s="44">
        <v>0</v>
      </c>
      <c r="AP447" s="43">
        <v>1978725412.5</v>
      </c>
      <c r="AQ447" s="44">
        <v>0</v>
      </c>
      <c r="AR447" s="44">
        <v>0</v>
      </c>
      <c r="AS447" s="43">
        <v>1945742510</v>
      </c>
      <c r="AT447" s="39">
        <f t="shared" si="249"/>
        <v>1945742510</v>
      </c>
      <c r="AU447" s="18">
        <f t="shared" si="250"/>
        <v>32982901.5</v>
      </c>
      <c r="AV447" s="34">
        <f t="shared" si="251"/>
        <v>0</v>
      </c>
      <c r="AW447" s="18">
        <f t="shared" si="252"/>
        <v>32982902.5</v>
      </c>
      <c r="AX447" s="123">
        <f t="shared" si="253"/>
        <v>0.98360453090019884</v>
      </c>
    </row>
    <row r="448" spans="1:50" ht="18.75" customHeight="1" x14ac:dyDescent="0.2">
      <c r="A448" s="4" t="s">
        <v>55</v>
      </c>
      <c r="B448" s="4" t="s">
        <v>56</v>
      </c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1" t="s">
        <v>393</v>
      </c>
      <c r="AB448" s="42" t="s">
        <v>394</v>
      </c>
      <c r="AC448" s="43" t="s">
        <v>368</v>
      </c>
      <c r="AD448" s="43">
        <v>64817304.240000002</v>
      </c>
      <c r="AE448" s="44">
        <v>0</v>
      </c>
      <c r="AF448" s="44">
        <v>0</v>
      </c>
      <c r="AG448" s="44">
        <v>0</v>
      </c>
      <c r="AH448" s="44">
        <v>0</v>
      </c>
      <c r="AI448" s="34">
        <f t="shared" si="247"/>
        <v>0</v>
      </c>
      <c r="AJ448" s="18">
        <f t="shared" si="248"/>
        <v>64817304.240000002</v>
      </c>
      <c r="AK448" s="44">
        <v>0</v>
      </c>
      <c r="AL448" s="44">
        <v>0</v>
      </c>
      <c r="AM448" s="43">
        <v>64817304.240000002</v>
      </c>
      <c r="AN448" s="44">
        <v>0</v>
      </c>
      <c r="AO448" s="44">
        <v>0</v>
      </c>
      <c r="AP448" s="43">
        <v>64817304.240000002</v>
      </c>
      <c r="AQ448" s="44">
        <v>0</v>
      </c>
      <c r="AR448" s="44">
        <v>0</v>
      </c>
      <c r="AS448" s="43">
        <v>64817304.240000002</v>
      </c>
      <c r="AT448" s="39">
        <f t="shared" si="249"/>
        <v>64817304.240000002</v>
      </c>
      <c r="AU448" s="34">
        <f t="shared" si="250"/>
        <v>0</v>
      </c>
      <c r="AV448" s="34">
        <f t="shared" si="251"/>
        <v>0</v>
      </c>
      <c r="AW448" s="34">
        <f t="shared" si="252"/>
        <v>0</v>
      </c>
      <c r="AX448" s="123">
        <f t="shared" si="253"/>
        <v>1</v>
      </c>
    </row>
    <row r="449" spans="1:50" ht="18.75" customHeight="1" x14ac:dyDescent="0.2">
      <c r="AA449" s="245" t="s">
        <v>1213</v>
      </c>
      <c r="AB449" s="42" t="s">
        <v>1214</v>
      </c>
      <c r="AC449" s="17"/>
      <c r="AD449" s="34">
        <v>0</v>
      </c>
      <c r="AE449" s="18">
        <v>437225610.45999998</v>
      </c>
      <c r="AF449" s="34">
        <v>0</v>
      </c>
      <c r="AG449" s="34">
        <v>0</v>
      </c>
      <c r="AH449" s="34">
        <v>0</v>
      </c>
      <c r="AI449" s="18">
        <f t="shared" si="247"/>
        <v>437225610.45999998</v>
      </c>
      <c r="AJ449" s="18">
        <f t="shared" si="248"/>
        <v>437225610.45999998</v>
      </c>
      <c r="AK449" s="44">
        <v>0</v>
      </c>
      <c r="AL449" s="44">
        <v>0</v>
      </c>
      <c r="AM449" s="43">
        <v>437225610.45999998</v>
      </c>
      <c r="AN449" s="44">
        <v>0</v>
      </c>
      <c r="AO449" s="44">
        <v>0</v>
      </c>
      <c r="AP449" s="43">
        <v>437225610.45999998</v>
      </c>
      <c r="AQ449" s="44">
        <v>0</v>
      </c>
      <c r="AR449" s="44">
        <v>0</v>
      </c>
      <c r="AS449" s="43">
        <v>437225610.45999998</v>
      </c>
      <c r="AT449" s="39">
        <f t="shared" si="249"/>
        <v>437225610.45999998</v>
      </c>
      <c r="AU449" s="34">
        <f t="shared" si="250"/>
        <v>0</v>
      </c>
      <c r="AV449" s="34">
        <f t="shared" si="251"/>
        <v>0</v>
      </c>
      <c r="AW449" s="34">
        <f t="shared" si="252"/>
        <v>0</v>
      </c>
      <c r="AX449" s="123">
        <f t="shared" si="253"/>
        <v>1</v>
      </c>
    </row>
    <row r="450" spans="1:50" ht="27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245" t="s">
        <v>1211</v>
      </c>
      <c r="AB450" s="42" t="s">
        <v>1212</v>
      </c>
      <c r="AC450" s="43"/>
      <c r="AD450" s="44">
        <v>0</v>
      </c>
      <c r="AE450" s="43">
        <v>17631990</v>
      </c>
      <c r="AF450" s="44">
        <v>0</v>
      </c>
      <c r="AG450" s="44">
        <v>0</v>
      </c>
      <c r="AH450" s="44">
        <v>0</v>
      </c>
      <c r="AI450" s="18">
        <f t="shared" si="247"/>
        <v>17631990</v>
      </c>
      <c r="AJ450" s="18">
        <f t="shared" si="248"/>
        <v>17631990</v>
      </c>
      <c r="AK450" s="44">
        <v>0</v>
      </c>
      <c r="AL450" s="44">
        <v>0</v>
      </c>
      <c r="AM450" s="43">
        <v>17631990</v>
      </c>
      <c r="AN450" s="44">
        <v>0</v>
      </c>
      <c r="AO450" s="44">
        <v>0</v>
      </c>
      <c r="AP450" s="43">
        <v>17631990</v>
      </c>
      <c r="AQ450" s="44">
        <v>0</v>
      </c>
      <c r="AR450" s="44">
        <v>0</v>
      </c>
      <c r="AS450" s="43">
        <v>17631990</v>
      </c>
      <c r="AT450" s="39">
        <f t="shared" si="249"/>
        <v>17631990</v>
      </c>
      <c r="AU450" s="34">
        <f t="shared" si="250"/>
        <v>0</v>
      </c>
      <c r="AV450" s="34">
        <f t="shared" si="251"/>
        <v>0</v>
      </c>
      <c r="AW450" s="34">
        <f t="shared" si="252"/>
        <v>0</v>
      </c>
      <c r="AX450" s="123">
        <f t="shared" si="253"/>
        <v>1</v>
      </c>
    </row>
    <row r="451" spans="1:50" ht="30" customHeight="1" x14ac:dyDescent="0.2">
      <c r="AA451" s="246" t="s">
        <v>1215</v>
      </c>
      <c r="AB451" s="42" t="s">
        <v>1216</v>
      </c>
      <c r="AC451" s="17"/>
      <c r="AD451" s="34">
        <v>0</v>
      </c>
      <c r="AE451" s="18">
        <v>288008146</v>
      </c>
      <c r="AF451" s="34">
        <v>0</v>
      </c>
      <c r="AG451" s="34">
        <v>0</v>
      </c>
      <c r="AH451" s="34">
        <v>0</v>
      </c>
      <c r="AI451" s="18">
        <f>AE451-AF451+AG451-AH451</f>
        <v>288008146</v>
      </c>
      <c r="AJ451" s="18">
        <f>AD451+AI451</f>
        <v>288008146</v>
      </c>
      <c r="AK451" s="44">
        <v>0</v>
      </c>
      <c r="AL451" s="44">
        <v>0</v>
      </c>
      <c r="AM451" s="43">
        <v>288008146</v>
      </c>
      <c r="AN451" s="44">
        <v>0</v>
      </c>
      <c r="AO451" s="44">
        <v>0</v>
      </c>
      <c r="AP451" s="43">
        <v>288008146</v>
      </c>
      <c r="AQ451" s="44">
        <v>0</v>
      </c>
      <c r="AR451" s="44">
        <v>0</v>
      </c>
      <c r="AS451" s="43">
        <v>288008146</v>
      </c>
      <c r="AT451" s="39">
        <f t="shared" si="249"/>
        <v>288008146</v>
      </c>
      <c r="AU451" s="34">
        <f t="shared" si="250"/>
        <v>0</v>
      </c>
      <c r="AV451" s="34">
        <f t="shared" si="251"/>
        <v>0</v>
      </c>
      <c r="AW451" s="18">
        <f t="shared" si="252"/>
        <v>0</v>
      </c>
      <c r="AX451" s="123">
        <f t="shared" si="253"/>
        <v>1</v>
      </c>
    </row>
    <row r="452" spans="1:50" ht="12.75" customHeight="1" x14ac:dyDescent="0.2">
      <c r="AA452" s="173"/>
      <c r="AB452" s="207"/>
      <c r="AC452" s="17"/>
      <c r="AD452" s="18"/>
      <c r="AE452" s="34"/>
      <c r="AF452" s="34"/>
      <c r="AG452" s="34"/>
      <c r="AH452" s="34"/>
      <c r="AI452" s="34"/>
      <c r="AJ452" s="18"/>
      <c r="AK452" s="18"/>
      <c r="AL452" s="18"/>
      <c r="AM452" s="18"/>
      <c r="AN452" s="34"/>
      <c r="AO452" s="34"/>
      <c r="AP452" s="18"/>
      <c r="AQ452" s="18"/>
      <c r="AR452" s="18"/>
      <c r="AS452" s="18"/>
      <c r="AT452" s="39"/>
      <c r="AU452" s="18"/>
      <c r="AV452" s="18"/>
      <c r="AW452" s="18"/>
      <c r="AX452" s="18"/>
    </row>
    <row r="453" spans="1:50" ht="25.5" x14ac:dyDescent="0.2">
      <c r="AA453" s="16"/>
      <c r="AB453" s="29" t="s">
        <v>195</v>
      </c>
      <c r="AC453" s="17"/>
      <c r="AD453" s="18"/>
      <c r="AE453" s="34"/>
      <c r="AF453" s="34"/>
      <c r="AG453" s="34"/>
      <c r="AH453" s="34"/>
      <c r="AI453" s="34"/>
      <c r="AJ453" s="18"/>
      <c r="AK453" s="18"/>
      <c r="AL453" s="18"/>
      <c r="AM453" s="18"/>
      <c r="AN453" s="34"/>
      <c r="AO453" s="34"/>
      <c r="AP453" s="18"/>
      <c r="AQ453" s="18"/>
      <c r="AR453" s="18"/>
      <c r="AS453" s="18"/>
      <c r="AT453" s="39"/>
      <c r="AU453" s="18"/>
      <c r="AV453" s="18"/>
      <c r="AW453" s="18"/>
      <c r="AX453" s="18"/>
    </row>
    <row r="454" spans="1:50" ht="18.75" customHeight="1" x14ac:dyDescent="0.2">
      <c r="AA454" s="28" t="s">
        <v>288</v>
      </c>
      <c r="AB454" s="29" t="s">
        <v>320</v>
      </c>
      <c r="AC454" s="17"/>
      <c r="AD454" s="18"/>
      <c r="AE454" s="34"/>
      <c r="AF454" s="34"/>
      <c r="AG454" s="34"/>
      <c r="AH454" s="34"/>
      <c r="AI454" s="34"/>
      <c r="AJ454" s="18"/>
      <c r="AK454" s="18"/>
      <c r="AL454" s="18"/>
      <c r="AM454" s="18"/>
      <c r="AN454" s="34"/>
      <c r="AO454" s="34"/>
      <c r="AP454" s="18"/>
      <c r="AQ454" s="18"/>
      <c r="AR454" s="18"/>
      <c r="AS454" s="18"/>
      <c r="AT454" s="39"/>
      <c r="AU454" s="18"/>
      <c r="AV454" s="18"/>
      <c r="AW454" s="18"/>
      <c r="AX454" s="18"/>
    </row>
    <row r="455" spans="1:50" ht="18.75" customHeight="1" x14ac:dyDescent="0.2">
      <c r="A455" s="4" t="s">
        <v>55</v>
      </c>
      <c r="B455" s="4" t="s">
        <v>56</v>
      </c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1" t="s">
        <v>395</v>
      </c>
      <c r="AB455" s="42" t="s">
        <v>233</v>
      </c>
      <c r="AC455" s="43" t="s">
        <v>58</v>
      </c>
      <c r="AD455" s="43">
        <v>77302510</v>
      </c>
      <c r="AE455" s="44">
        <v>0</v>
      </c>
      <c r="AF455" s="44">
        <v>0</v>
      </c>
      <c r="AG455" s="44">
        <v>0</v>
      </c>
      <c r="AH455" s="43">
        <v>736198</v>
      </c>
      <c r="AI455" s="18">
        <f>AE455-AF455+AG455-AH455</f>
        <v>-736198</v>
      </c>
      <c r="AJ455" s="18">
        <f>AD455+AI455</f>
        <v>76566312</v>
      </c>
      <c r="AK455" s="44">
        <v>0</v>
      </c>
      <c r="AL455" s="44">
        <f>AM455-AGOSTO!AM445</f>
        <v>0</v>
      </c>
      <c r="AM455" s="43">
        <v>76566312</v>
      </c>
      <c r="AN455" s="44">
        <v>0</v>
      </c>
      <c r="AO455" s="44">
        <v>0</v>
      </c>
      <c r="AP455" s="43">
        <v>76566312</v>
      </c>
      <c r="AQ455" s="43">
        <v>0</v>
      </c>
      <c r="AR455" s="43">
        <v>16548873</v>
      </c>
      <c r="AS455" s="43">
        <v>56482056</v>
      </c>
      <c r="AT455" s="39">
        <f t="shared" ref="AT455" si="254">AQ455+AS455</f>
        <v>56482056</v>
      </c>
      <c r="AU455" s="34">
        <f>AJ455-AM455</f>
        <v>0</v>
      </c>
      <c r="AV455" s="34">
        <f>AM455-AP455</f>
        <v>0</v>
      </c>
      <c r="AW455" s="18">
        <f>AP455-AT455</f>
        <v>20084256</v>
      </c>
      <c r="AX455" s="123">
        <f>AP455/AJ455</f>
        <v>1</v>
      </c>
    </row>
    <row r="456" spans="1:50" ht="18.75" customHeight="1" x14ac:dyDescent="0.2">
      <c r="AA456" s="16"/>
      <c r="AB456" s="17"/>
      <c r="AC456" s="17"/>
      <c r="AD456" s="18"/>
      <c r="AE456" s="34"/>
      <c r="AF456" s="34"/>
      <c r="AG456" s="34"/>
      <c r="AH456" s="34"/>
      <c r="AI456" s="34"/>
      <c r="AJ456" s="18"/>
      <c r="AK456" s="18"/>
      <c r="AL456" s="18"/>
      <c r="AM456" s="18"/>
      <c r="AN456" s="18"/>
      <c r="AO456" s="18"/>
      <c r="AP456" s="18"/>
      <c r="AQ456" s="34"/>
      <c r="AR456" s="34"/>
      <c r="AS456" s="34"/>
      <c r="AT456" s="40"/>
      <c r="AU456" s="18"/>
      <c r="AV456" s="18"/>
      <c r="AW456" s="18"/>
      <c r="AX456" s="18"/>
    </row>
    <row r="457" spans="1:50" ht="25.5" x14ac:dyDescent="0.2">
      <c r="AA457" s="16"/>
      <c r="AB457" s="29" t="s">
        <v>197</v>
      </c>
      <c r="AC457" s="17"/>
      <c r="AD457" s="18"/>
      <c r="AE457" s="34"/>
      <c r="AF457" s="34"/>
      <c r="AG457" s="34"/>
      <c r="AH457" s="34"/>
      <c r="AI457" s="34"/>
      <c r="AJ457" s="18"/>
      <c r="AK457" s="18"/>
      <c r="AL457" s="18"/>
      <c r="AM457" s="18"/>
      <c r="AN457" s="18"/>
      <c r="AO457" s="18"/>
      <c r="AP457" s="18"/>
      <c r="AQ457" s="34"/>
      <c r="AR457" s="34"/>
      <c r="AS457" s="34"/>
      <c r="AT457" s="40"/>
      <c r="AU457" s="18"/>
      <c r="AV457" s="18"/>
      <c r="AW457" s="18"/>
      <c r="AX457" s="18"/>
    </row>
    <row r="458" spans="1:50" ht="25.5" x14ac:dyDescent="0.2">
      <c r="AA458" s="28" t="s">
        <v>288</v>
      </c>
      <c r="AB458" s="29" t="s">
        <v>396</v>
      </c>
      <c r="AC458" s="17"/>
      <c r="AD458" s="18"/>
      <c r="AE458" s="34"/>
      <c r="AF458" s="34"/>
      <c r="AG458" s="34"/>
      <c r="AH458" s="34"/>
      <c r="AI458" s="34"/>
      <c r="AJ458" s="18"/>
      <c r="AK458" s="18"/>
      <c r="AL458" s="18"/>
      <c r="AM458" s="18"/>
      <c r="AN458" s="18"/>
      <c r="AO458" s="18"/>
      <c r="AP458" s="18"/>
      <c r="AQ458" s="34"/>
      <c r="AR458" s="34"/>
      <c r="AS458" s="34"/>
      <c r="AT458" s="40"/>
      <c r="AU458" s="18"/>
      <c r="AV458" s="18"/>
      <c r="AW458" s="18"/>
      <c r="AX458" s="18"/>
    </row>
    <row r="459" spans="1:50" ht="18.75" customHeight="1" x14ac:dyDescent="0.2">
      <c r="A459" s="4" t="s">
        <v>55</v>
      </c>
      <c r="B459" s="4" t="s">
        <v>56</v>
      </c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1" t="s">
        <v>397</v>
      </c>
      <c r="AB459" s="42" t="s">
        <v>328</v>
      </c>
      <c r="AC459" s="43" t="s">
        <v>61</v>
      </c>
      <c r="AD459" s="43">
        <v>838526678</v>
      </c>
      <c r="AE459" s="44">
        <v>0</v>
      </c>
      <c r="AF459" s="44">
        <v>0</v>
      </c>
      <c r="AG459" s="43">
        <v>27102938</v>
      </c>
      <c r="AH459" s="44">
        <v>0</v>
      </c>
      <c r="AI459" s="18">
        <f>AE459-AF459+AG459-AH459</f>
        <v>27102938</v>
      </c>
      <c r="AJ459" s="18">
        <f>AD459+AI459</f>
        <v>865629616</v>
      </c>
      <c r="AK459" s="44">
        <v>0</v>
      </c>
      <c r="AL459" s="44">
        <f>AM459-AGOSTO!AM449</f>
        <v>0</v>
      </c>
      <c r="AM459" s="43">
        <v>864293138.00999999</v>
      </c>
      <c r="AN459" s="44">
        <v>0</v>
      </c>
      <c r="AO459" s="44">
        <v>0</v>
      </c>
      <c r="AP459" s="43">
        <v>853521647</v>
      </c>
      <c r="AQ459" s="44">
        <v>0</v>
      </c>
      <c r="AR459" s="44">
        <v>0</v>
      </c>
      <c r="AS459" s="44">
        <v>0</v>
      </c>
      <c r="AT459" s="40">
        <f t="shared" ref="AT459" si="255">AQ459+AS459</f>
        <v>0</v>
      </c>
      <c r="AU459" s="18">
        <f>AJ459-AM459</f>
        <v>1336477.9900000095</v>
      </c>
      <c r="AV459" s="18">
        <f>AM459-AP459</f>
        <v>10771491.00999999</v>
      </c>
      <c r="AW459" s="18">
        <f>AP459-AT459</f>
        <v>853521647</v>
      </c>
      <c r="AX459" s="123">
        <f>AP459/AJ459</f>
        <v>0.98601252917390936</v>
      </c>
    </row>
    <row r="460" spans="1:50" ht="18.75" customHeight="1" x14ac:dyDescent="0.2">
      <c r="AA460" s="28" t="s">
        <v>288</v>
      </c>
      <c r="AB460" s="29" t="s">
        <v>320</v>
      </c>
      <c r="AC460" s="17"/>
      <c r="AD460" s="18"/>
      <c r="AE460" s="34"/>
      <c r="AF460" s="34"/>
      <c r="AG460" s="34"/>
      <c r="AH460" s="34"/>
      <c r="AI460" s="34"/>
      <c r="AJ460" s="18"/>
      <c r="AK460" s="18"/>
      <c r="AL460" s="18"/>
      <c r="AM460" s="18"/>
      <c r="AN460" s="34"/>
      <c r="AO460" s="18"/>
      <c r="AP460" s="18"/>
      <c r="AQ460" s="34"/>
      <c r="AR460" s="34"/>
      <c r="AS460" s="34"/>
      <c r="AT460" s="40"/>
      <c r="AU460" s="18"/>
      <c r="AV460" s="18"/>
      <c r="AW460" s="18"/>
      <c r="AX460" s="18"/>
    </row>
    <row r="461" spans="1:50" ht="18.75" customHeight="1" x14ac:dyDescent="0.2">
      <c r="A461" s="4" t="s">
        <v>55</v>
      </c>
      <c r="B461" s="4" t="s">
        <v>56</v>
      </c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1" t="s">
        <v>398</v>
      </c>
      <c r="AB461" s="42" t="s">
        <v>233</v>
      </c>
      <c r="AC461" s="43" t="s">
        <v>58</v>
      </c>
      <c r="AD461" s="43">
        <v>9048558947</v>
      </c>
      <c r="AE461" s="143">
        <v>0</v>
      </c>
      <c r="AF461" s="44">
        <v>0</v>
      </c>
      <c r="AG461" s="43">
        <v>5000000</v>
      </c>
      <c r="AH461" s="44">
        <v>0</v>
      </c>
      <c r="AI461" s="18">
        <f t="shared" ref="AI461:AI462" si="256">AE461-AF461+AG461-AH461</f>
        <v>5000000</v>
      </c>
      <c r="AJ461" s="18">
        <f t="shared" ref="AJ461:AJ462" si="257">AD461+AI461</f>
        <v>9053558947</v>
      </c>
      <c r="AK461" s="44">
        <v>0</v>
      </c>
      <c r="AL461" s="44">
        <v>0</v>
      </c>
      <c r="AM461" s="43">
        <v>9048558947</v>
      </c>
      <c r="AN461" s="44">
        <v>0</v>
      </c>
      <c r="AO461" s="44">
        <v>0</v>
      </c>
      <c r="AP461" s="43">
        <v>9001641826</v>
      </c>
      <c r="AQ461" s="44">
        <v>0</v>
      </c>
      <c r="AR461" s="44">
        <v>0</v>
      </c>
      <c r="AS461" s="43">
        <v>6834352002.1599998</v>
      </c>
      <c r="AT461" s="39">
        <f t="shared" ref="AT461:AT464" si="258">AQ461+AS461</f>
        <v>6834352002.1599998</v>
      </c>
      <c r="AU461" s="18">
        <f>AJ461-AM461</f>
        <v>5000000</v>
      </c>
      <c r="AV461" s="18">
        <f>AM461-AP461</f>
        <v>46917121</v>
      </c>
      <c r="AW461" s="18">
        <f>AP461-AT461</f>
        <v>2167289823.8400002</v>
      </c>
      <c r="AX461" s="123">
        <f>AP461/AJ461</f>
        <v>0.99426555663867378</v>
      </c>
    </row>
    <row r="462" spans="1:50" ht="18.75" customHeight="1" x14ac:dyDescent="0.2">
      <c r="A462" s="4" t="s">
        <v>55</v>
      </c>
      <c r="B462" s="4" t="s">
        <v>56</v>
      </c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1" t="s">
        <v>399</v>
      </c>
      <c r="AB462" s="42" t="s">
        <v>382</v>
      </c>
      <c r="AC462" s="43" t="s">
        <v>383</v>
      </c>
      <c r="AD462" s="43">
        <v>1274304910</v>
      </c>
      <c r="AE462" s="143">
        <v>0</v>
      </c>
      <c r="AF462" s="44">
        <v>0</v>
      </c>
      <c r="AG462" s="44">
        <v>0</v>
      </c>
      <c r="AH462" s="44">
        <v>0</v>
      </c>
      <c r="AI462" s="18">
        <f t="shared" si="256"/>
        <v>0</v>
      </c>
      <c r="AJ462" s="18">
        <f t="shared" si="257"/>
        <v>1274304910</v>
      </c>
      <c r="AK462" s="44">
        <v>0</v>
      </c>
      <c r="AL462" s="44">
        <v>0</v>
      </c>
      <c r="AM462" s="43">
        <v>1274304910</v>
      </c>
      <c r="AN462" s="44">
        <v>0</v>
      </c>
      <c r="AO462" s="44">
        <v>0</v>
      </c>
      <c r="AP462" s="43">
        <v>1274304910</v>
      </c>
      <c r="AQ462" s="44">
        <v>0</v>
      </c>
      <c r="AR462" s="44">
        <v>0</v>
      </c>
      <c r="AS462" s="44">
        <v>1084547875.0999999</v>
      </c>
      <c r="AT462" s="39">
        <f t="shared" si="258"/>
        <v>1084547875.0999999</v>
      </c>
      <c r="AU462" s="34">
        <f>AJ462-AM462</f>
        <v>0</v>
      </c>
      <c r="AV462" s="34">
        <f>AM462-AP462</f>
        <v>0</v>
      </c>
      <c r="AW462" s="18">
        <f>AP462-AT462</f>
        <v>189757034.9000001</v>
      </c>
      <c r="AX462" s="123">
        <f>AP462/AJ462</f>
        <v>1</v>
      </c>
    </row>
    <row r="463" spans="1:50" ht="18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1" t="s">
        <v>986</v>
      </c>
      <c r="AB463" s="42" t="s">
        <v>987</v>
      </c>
      <c r="AC463" s="43"/>
      <c r="AD463" s="44">
        <v>0</v>
      </c>
      <c r="AE463" s="143">
        <v>0</v>
      </c>
      <c r="AF463" s="44">
        <v>0</v>
      </c>
      <c r="AG463" s="43">
        <v>417383651.70999998</v>
      </c>
      <c r="AH463" s="44">
        <v>0</v>
      </c>
      <c r="AI463" s="18">
        <f>AE463-AF463+AG463-AH463</f>
        <v>417383651.70999998</v>
      </c>
      <c r="AJ463" s="18">
        <f>AD463+AI463</f>
        <v>417383651.70999998</v>
      </c>
      <c r="AK463" s="44">
        <v>0</v>
      </c>
      <c r="AL463" s="44">
        <v>0</v>
      </c>
      <c r="AM463" s="43">
        <v>417383651.70999998</v>
      </c>
      <c r="AN463" s="44">
        <v>0</v>
      </c>
      <c r="AO463" s="44">
        <v>0</v>
      </c>
      <c r="AP463" s="43">
        <v>417383651.70999998</v>
      </c>
      <c r="AQ463" s="44">
        <v>0</v>
      </c>
      <c r="AR463" s="44">
        <v>0</v>
      </c>
      <c r="AS463" s="44">
        <v>0</v>
      </c>
      <c r="AT463" s="40">
        <f t="shared" si="258"/>
        <v>0</v>
      </c>
      <c r="AU463" s="34">
        <f>AJ463-AM463</f>
        <v>0</v>
      </c>
      <c r="AV463" s="34">
        <f>AM463-AP463</f>
        <v>0</v>
      </c>
      <c r="AW463" s="18">
        <f>AP463-AT463</f>
        <v>417383651.70999998</v>
      </c>
      <c r="AX463" s="123">
        <f>AP463/AJ463</f>
        <v>1</v>
      </c>
    </row>
    <row r="464" spans="1:50" ht="18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166" t="s">
        <v>1020</v>
      </c>
      <c r="AB464" s="167" t="s">
        <v>1015</v>
      </c>
      <c r="AC464" s="168"/>
      <c r="AD464" s="44">
        <v>0</v>
      </c>
      <c r="AE464" s="142">
        <v>4862312815</v>
      </c>
      <c r="AF464" s="44"/>
      <c r="AG464" s="43"/>
      <c r="AH464" s="43">
        <f>1416953380+371588553+145782310</f>
        <v>1934324243</v>
      </c>
      <c r="AI464" s="18">
        <f>AE464-AF464+AG464-AH464</f>
        <v>2927988572</v>
      </c>
      <c r="AJ464" s="18">
        <f>AD464+AI464</f>
        <v>2927988572</v>
      </c>
      <c r="AK464" s="44">
        <v>0</v>
      </c>
      <c r="AL464" s="44">
        <v>0</v>
      </c>
      <c r="AM464" s="43">
        <v>2927988572</v>
      </c>
      <c r="AN464" s="44">
        <v>0</v>
      </c>
      <c r="AO464" s="43">
        <v>0</v>
      </c>
      <c r="AP464" s="43">
        <v>2927988572</v>
      </c>
      <c r="AQ464" s="44">
        <v>0</v>
      </c>
      <c r="AR464" s="43">
        <v>743581386.08000004</v>
      </c>
      <c r="AS464" s="44">
        <v>762044796.08000004</v>
      </c>
      <c r="AT464" s="40">
        <f t="shared" si="258"/>
        <v>762044796.08000004</v>
      </c>
      <c r="AU464" s="18">
        <f>AJ464-AM464</f>
        <v>0</v>
      </c>
      <c r="AV464" s="18">
        <f>AM464-AP464</f>
        <v>0</v>
      </c>
      <c r="AW464" s="18">
        <f>AP464-AT464</f>
        <v>2165943775.9200001</v>
      </c>
      <c r="AX464" s="123">
        <f>AP464/AJ464</f>
        <v>1</v>
      </c>
    </row>
    <row r="465" spans="1:50" ht="18.75" customHeight="1" x14ac:dyDescent="0.2">
      <c r="AA465" s="169" t="s">
        <v>288</v>
      </c>
      <c r="AB465" s="163" t="s">
        <v>400</v>
      </c>
      <c r="AC465" s="17"/>
      <c r="AD465" s="18"/>
      <c r="AE465" s="145"/>
      <c r="AF465" s="34"/>
      <c r="AG465" s="34"/>
      <c r="AH465" s="34"/>
      <c r="AI465" s="34"/>
      <c r="AJ465" s="18"/>
      <c r="AK465" s="18"/>
      <c r="AL465" s="18"/>
      <c r="AM465" s="18"/>
      <c r="AN465" s="34"/>
      <c r="AO465" s="18"/>
      <c r="AP465" s="18"/>
      <c r="AQ465" s="18"/>
      <c r="AR465" s="34"/>
      <c r="AS465" s="34"/>
      <c r="AT465" s="40"/>
      <c r="AU465" s="18"/>
      <c r="AV465" s="18"/>
      <c r="AW465" s="18"/>
      <c r="AX465" s="18"/>
    </row>
    <row r="466" spans="1:50" ht="18.75" customHeight="1" x14ac:dyDescent="0.2">
      <c r="A466" s="4" t="s">
        <v>55</v>
      </c>
      <c r="B466" s="4" t="s">
        <v>56</v>
      </c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1" t="s">
        <v>401</v>
      </c>
      <c r="AB466" s="42" t="s">
        <v>233</v>
      </c>
      <c r="AC466" s="43" t="s">
        <v>58</v>
      </c>
      <c r="AD466" s="43">
        <v>1000000000</v>
      </c>
      <c r="AE466" s="143">
        <v>0</v>
      </c>
      <c r="AF466" s="44">
        <v>0</v>
      </c>
      <c r="AG466" s="43">
        <v>210000000</v>
      </c>
      <c r="AH466" s="44">
        <v>0</v>
      </c>
      <c r="AI466" s="18">
        <f>AE466-AF466+AG466-AH466</f>
        <v>210000000</v>
      </c>
      <c r="AJ466" s="18">
        <f>AD466+AI466</f>
        <v>1210000000</v>
      </c>
      <c r="AK466" s="44">
        <v>0</v>
      </c>
      <c r="AL466" s="44">
        <v>0</v>
      </c>
      <c r="AM466" s="43">
        <v>1074403332.6700001</v>
      </c>
      <c r="AN466" s="43">
        <v>0</v>
      </c>
      <c r="AO466" s="43">
        <v>17633333.329999998</v>
      </c>
      <c r="AP466" s="43">
        <v>1071886666</v>
      </c>
      <c r="AQ466" s="43">
        <v>12866667</v>
      </c>
      <c r="AR466" s="114">
        <v>97346667</v>
      </c>
      <c r="AS466" s="114">
        <v>865286667</v>
      </c>
      <c r="AT466" s="39">
        <f t="shared" ref="AT466:AT508" si="259">AQ466+AS466</f>
        <v>878153334</v>
      </c>
      <c r="AU466" s="110">
        <f>AJ466-AM466</f>
        <v>135596667.32999992</v>
      </c>
      <c r="AV466" s="110">
        <f>AM466-AP466</f>
        <v>2516666.6700000763</v>
      </c>
      <c r="AW466" s="18">
        <f>AP466-AT466</f>
        <v>193733332</v>
      </c>
      <c r="AX466" s="123">
        <f>AP466/AJ466</f>
        <v>0.8858567487603306</v>
      </c>
    </row>
    <row r="467" spans="1:50" s="343" customFormat="1" ht="28.5" customHeight="1" x14ac:dyDescent="0.2">
      <c r="A467" s="201"/>
      <c r="B467" s="323"/>
      <c r="C467" s="323"/>
      <c r="D467" s="323"/>
      <c r="E467" s="323"/>
      <c r="F467" s="323"/>
      <c r="G467" s="323"/>
      <c r="H467" s="323"/>
      <c r="I467" s="323"/>
      <c r="J467" s="323"/>
      <c r="K467" s="323"/>
      <c r="L467" s="323"/>
      <c r="M467" s="323"/>
      <c r="N467" s="323"/>
      <c r="O467" s="323"/>
      <c r="P467" s="323"/>
      <c r="Q467" s="323"/>
      <c r="R467" s="323"/>
      <c r="S467" s="323"/>
      <c r="T467" s="323"/>
      <c r="U467" s="323"/>
      <c r="V467" s="323"/>
      <c r="W467" s="323"/>
      <c r="X467" s="323"/>
      <c r="Y467" s="323"/>
      <c r="Z467" s="323"/>
      <c r="AA467" s="73" t="s">
        <v>288</v>
      </c>
      <c r="AB467" s="74" t="s">
        <v>1414</v>
      </c>
      <c r="AC467" s="74"/>
      <c r="AD467" s="176"/>
      <c r="AE467" s="118"/>
      <c r="AF467" s="177"/>
      <c r="AG467" s="177"/>
      <c r="AH467" s="177"/>
      <c r="AI467" s="177"/>
      <c r="AJ467" s="176"/>
      <c r="AK467" s="177"/>
      <c r="AL467" s="177"/>
      <c r="AM467" s="176"/>
      <c r="AN467" s="176"/>
      <c r="AO467" s="176"/>
      <c r="AP467" s="176"/>
      <c r="AQ467" s="176"/>
      <c r="AR467" s="176"/>
      <c r="AS467" s="176"/>
      <c r="AT467" s="30"/>
      <c r="AU467" s="176"/>
      <c r="AV467" s="176"/>
      <c r="AW467" s="176"/>
      <c r="AX467" s="176"/>
    </row>
    <row r="468" spans="1:50" ht="18.75" customHeight="1" x14ac:dyDescent="0.2">
      <c r="AA468" s="324" t="s">
        <v>1415</v>
      </c>
      <c r="AB468" s="42" t="s">
        <v>961</v>
      </c>
      <c r="AC468" s="161"/>
      <c r="AD468" s="34">
        <v>0</v>
      </c>
      <c r="AE468" s="145">
        <v>0</v>
      </c>
      <c r="AF468" s="34">
        <v>0</v>
      </c>
      <c r="AG468" s="18">
        <v>2000000</v>
      </c>
      <c r="AH468" s="34">
        <v>0</v>
      </c>
      <c r="AI468" s="18">
        <f>AE468-AF468+AG468-AH468</f>
        <v>2000000</v>
      </c>
      <c r="AJ468" s="18">
        <f>AD468+AI468</f>
        <v>2000000</v>
      </c>
      <c r="AK468" s="34">
        <v>0</v>
      </c>
      <c r="AL468" s="34">
        <v>0</v>
      </c>
      <c r="AM468" s="18">
        <v>2000000</v>
      </c>
      <c r="AN468" s="18">
        <v>0</v>
      </c>
      <c r="AO468" s="18">
        <v>0</v>
      </c>
      <c r="AP468" s="18">
        <v>2000000</v>
      </c>
      <c r="AQ468" s="34">
        <v>0</v>
      </c>
      <c r="AR468" s="34">
        <v>0</v>
      </c>
      <c r="AS468" s="34">
        <v>0</v>
      </c>
      <c r="AT468" s="40">
        <f t="shared" ref="AT468" si="260">AQ468+AS468</f>
        <v>0</v>
      </c>
      <c r="AU468" s="133">
        <f>AJ468-AM468</f>
        <v>0</v>
      </c>
      <c r="AV468" s="133">
        <f>AM468-AP468</f>
        <v>0</v>
      </c>
      <c r="AW468" s="18">
        <f>AP468-AT468</f>
        <v>2000000</v>
      </c>
      <c r="AX468" s="123">
        <f>AP468/AJ468</f>
        <v>1</v>
      </c>
    </row>
    <row r="469" spans="1:50" ht="26.25" customHeight="1" x14ac:dyDescent="0.2">
      <c r="AA469" s="170" t="s">
        <v>288</v>
      </c>
      <c r="AB469" s="165" t="s">
        <v>964</v>
      </c>
      <c r="AC469" s="161"/>
      <c r="AD469" s="18"/>
      <c r="AE469" s="34"/>
      <c r="AF469" s="34"/>
      <c r="AG469" s="34"/>
      <c r="AH469" s="34"/>
      <c r="AI469" s="34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30"/>
      <c r="AU469" s="18"/>
      <c r="AV469" s="18"/>
      <c r="AW469" s="18"/>
      <c r="AX469" s="18"/>
    </row>
    <row r="470" spans="1:50" ht="18.75" customHeight="1" x14ac:dyDescent="0.2">
      <c r="AA470" s="166" t="s">
        <v>965</v>
      </c>
      <c r="AB470" s="167" t="s">
        <v>966</v>
      </c>
      <c r="AC470" s="161"/>
      <c r="AD470" s="34">
        <v>0</v>
      </c>
      <c r="AE470" s="34">
        <v>0</v>
      </c>
      <c r="AF470" s="34">
        <v>0</v>
      </c>
      <c r="AG470" s="18">
        <v>155990000</v>
      </c>
      <c r="AH470" s="34">
        <v>0</v>
      </c>
      <c r="AI470" s="18">
        <f>AE470-AF470+AG470-AH470</f>
        <v>155990000</v>
      </c>
      <c r="AJ470" s="18">
        <f>AD470+AI470</f>
        <v>155990000</v>
      </c>
      <c r="AK470" s="34">
        <v>0</v>
      </c>
      <c r="AL470" s="44">
        <v>0</v>
      </c>
      <c r="AM470" s="18">
        <v>155829436</v>
      </c>
      <c r="AN470" s="34">
        <v>0</v>
      </c>
      <c r="AO470" s="18">
        <v>0</v>
      </c>
      <c r="AP470" s="18">
        <v>155829436</v>
      </c>
      <c r="AQ470" s="34">
        <v>0</v>
      </c>
      <c r="AR470" s="34">
        <v>0</v>
      </c>
      <c r="AS470" s="34">
        <v>0</v>
      </c>
      <c r="AT470" s="40">
        <f t="shared" ref="AT470" si="261">AQ470+AS470</f>
        <v>0</v>
      </c>
      <c r="AU470" s="110">
        <f>AJ470-AM470</f>
        <v>160564</v>
      </c>
      <c r="AV470" s="133">
        <f>AM470-AP470</f>
        <v>0</v>
      </c>
      <c r="AW470" s="18">
        <f>AP470-AT470</f>
        <v>155829436</v>
      </c>
      <c r="AX470" s="123">
        <f>AP470/AJ470</f>
        <v>0.99897067760753899</v>
      </c>
    </row>
    <row r="471" spans="1:50" ht="25.5" x14ac:dyDescent="0.2">
      <c r="AA471" s="28" t="s">
        <v>288</v>
      </c>
      <c r="AB471" s="29" t="s">
        <v>402</v>
      </c>
      <c r="AC471" s="17"/>
      <c r="AD471" s="18"/>
      <c r="AE471" s="34"/>
      <c r="AF471" s="34"/>
      <c r="AG471" s="34"/>
      <c r="AH471" s="34"/>
      <c r="AI471" s="34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30"/>
      <c r="AU471" s="18"/>
      <c r="AV471" s="18"/>
      <c r="AW471" s="18"/>
      <c r="AX471" s="18"/>
    </row>
    <row r="472" spans="1:50" ht="18.75" customHeight="1" x14ac:dyDescent="0.2">
      <c r="A472" s="4" t="s">
        <v>55</v>
      </c>
      <c r="B472" s="4" t="s">
        <v>56</v>
      </c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1" t="s">
        <v>403</v>
      </c>
      <c r="AB472" s="42" t="s">
        <v>233</v>
      </c>
      <c r="AC472" s="43" t="s">
        <v>58</v>
      </c>
      <c r="AD472" s="43">
        <v>206000002.94</v>
      </c>
      <c r="AE472" s="44">
        <v>0</v>
      </c>
      <c r="AF472" s="44">
        <v>0</v>
      </c>
      <c r="AG472" s="44">
        <v>0</v>
      </c>
      <c r="AH472" s="44">
        <v>0</v>
      </c>
      <c r="AI472" s="44">
        <v>0</v>
      </c>
      <c r="AJ472" s="43">
        <v>206000002.94</v>
      </c>
      <c r="AK472" s="44">
        <v>0</v>
      </c>
      <c r="AL472" s="43">
        <v>22089600</v>
      </c>
      <c r="AM472" s="114">
        <v>194356800</v>
      </c>
      <c r="AN472" s="44">
        <v>0</v>
      </c>
      <c r="AO472" s="43">
        <v>22089600</v>
      </c>
      <c r="AP472" s="43">
        <v>194356800</v>
      </c>
      <c r="AQ472" s="44">
        <v>22089600</v>
      </c>
      <c r="AR472" s="44">
        <v>21916800</v>
      </c>
      <c r="AS472" s="43">
        <v>172267200</v>
      </c>
      <c r="AT472" s="39">
        <f t="shared" ref="AT472" si="262">AQ472+AS472</f>
        <v>194356800</v>
      </c>
      <c r="AU472" s="18">
        <f>AJ472-AM472</f>
        <v>11643202.939999998</v>
      </c>
      <c r="AV472" s="34">
        <f>AM472-AP472</f>
        <v>0</v>
      </c>
      <c r="AW472" s="34">
        <f>AP472-AT472</f>
        <v>0</v>
      </c>
      <c r="AX472" s="123">
        <f>AP472/AJ472</f>
        <v>0.94347959818529115</v>
      </c>
    </row>
    <row r="473" spans="1:50" ht="18.75" customHeight="1" x14ac:dyDescent="0.2">
      <c r="AA473" s="28" t="s">
        <v>288</v>
      </c>
      <c r="AB473" s="29" t="s">
        <v>404</v>
      </c>
      <c r="AC473" s="17"/>
      <c r="AD473" s="18"/>
      <c r="AE473" s="34"/>
      <c r="AF473" s="34"/>
      <c r="AG473" s="34"/>
      <c r="AH473" s="34"/>
      <c r="AI473" s="34"/>
      <c r="AJ473" s="18"/>
      <c r="AK473" s="34"/>
      <c r="AL473" s="34"/>
      <c r="AM473" s="34"/>
      <c r="AN473" s="34"/>
      <c r="AO473" s="34"/>
      <c r="AP473" s="18"/>
      <c r="AQ473" s="34"/>
      <c r="AR473" s="34"/>
      <c r="AS473" s="34"/>
      <c r="AT473" s="31"/>
      <c r="AU473" s="18"/>
      <c r="AV473" s="34"/>
      <c r="AW473" s="133"/>
      <c r="AX473" s="18"/>
    </row>
    <row r="474" spans="1:50" ht="18.75" customHeight="1" x14ac:dyDescent="0.2">
      <c r="A474" s="4" t="s">
        <v>55</v>
      </c>
      <c r="B474" s="4" t="s">
        <v>56</v>
      </c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1" t="s">
        <v>405</v>
      </c>
      <c r="AB474" s="42" t="s">
        <v>233</v>
      </c>
      <c r="AC474" s="43" t="s">
        <v>58</v>
      </c>
      <c r="AD474" s="43">
        <v>50000000</v>
      </c>
      <c r="AE474" s="44">
        <v>0</v>
      </c>
      <c r="AF474" s="44">
        <v>0</v>
      </c>
      <c r="AG474" s="44">
        <v>0</v>
      </c>
      <c r="AH474" s="44">
        <v>0</v>
      </c>
      <c r="AI474" s="44">
        <v>0</v>
      </c>
      <c r="AJ474" s="43">
        <v>50000000</v>
      </c>
      <c r="AK474" s="44">
        <v>0</v>
      </c>
      <c r="AL474" s="44">
        <v>0</v>
      </c>
      <c r="AM474" s="43">
        <v>44716552</v>
      </c>
      <c r="AN474" s="44">
        <v>0</v>
      </c>
      <c r="AO474" s="44">
        <v>0</v>
      </c>
      <c r="AP474" s="43">
        <v>44716552</v>
      </c>
      <c r="AQ474" s="44">
        <v>0</v>
      </c>
      <c r="AR474" s="44">
        <v>0</v>
      </c>
      <c r="AS474" s="44">
        <v>0</v>
      </c>
      <c r="AT474" s="40">
        <f t="shared" si="259"/>
        <v>0</v>
      </c>
      <c r="AU474" s="18">
        <f>AJ474-AM474</f>
        <v>5283448</v>
      </c>
      <c r="AV474" s="34">
        <f>AM474-AP474</f>
        <v>0</v>
      </c>
      <c r="AW474" s="18">
        <f>AP474-AT474</f>
        <v>44716552</v>
      </c>
      <c r="AX474" s="123">
        <f>AP474/AJ474</f>
        <v>0.89433103999999997</v>
      </c>
    </row>
    <row r="475" spans="1:50" ht="18.75" customHeight="1" x14ac:dyDescent="0.2">
      <c r="AA475" s="28" t="s">
        <v>288</v>
      </c>
      <c r="AB475" s="29" t="s">
        <v>362</v>
      </c>
      <c r="AC475" s="17"/>
      <c r="AD475" s="18"/>
      <c r="AE475" s="34"/>
      <c r="AF475" s="34"/>
      <c r="AG475" s="34"/>
      <c r="AH475" s="34"/>
      <c r="AI475" s="34"/>
      <c r="AJ475" s="18"/>
      <c r="AK475" s="34"/>
      <c r="AL475" s="34"/>
      <c r="AM475" s="34"/>
      <c r="AN475" s="34"/>
      <c r="AO475" s="34"/>
      <c r="AP475" s="34"/>
      <c r="AQ475" s="34"/>
      <c r="AR475" s="34"/>
      <c r="AS475" s="34"/>
      <c r="AT475" s="31"/>
      <c r="AU475" s="18"/>
      <c r="AV475" s="34"/>
      <c r="AW475" s="133"/>
      <c r="AX475" s="18"/>
    </row>
    <row r="476" spans="1:50" ht="18.75" customHeight="1" x14ac:dyDescent="0.2">
      <c r="A476" s="4" t="s">
        <v>55</v>
      </c>
      <c r="B476" s="4" t="s">
        <v>56</v>
      </c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1" t="s">
        <v>406</v>
      </c>
      <c r="AB476" s="69" t="s">
        <v>379</v>
      </c>
      <c r="AC476" s="43" t="s">
        <v>380</v>
      </c>
      <c r="AD476" s="43">
        <v>155990000</v>
      </c>
      <c r="AF476" s="44">
        <v>0</v>
      </c>
      <c r="AG476" s="44">
        <v>0</v>
      </c>
      <c r="AH476" s="43">
        <v>155990000</v>
      </c>
      <c r="AI476" s="18">
        <f t="shared" ref="AI476:AI477" si="263">AE476-AF476+AG476-AH476</f>
        <v>-155990000</v>
      </c>
      <c r="AJ476" s="34">
        <f t="shared" ref="AJ476:AJ477" si="264">AD476+AI476</f>
        <v>0</v>
      </c>
      <c r="AK476" s="44">
        <v>0</v>
      </c>
      <c r="AL476" s="44">
        <v>0</v>
      </c>
      <c r="AM476" s="44">
        <v>0</v>
      </c>
      <c r="AN476" s="44">
        <v>0</v>
      </c>
      <c r="AO476" s="44">
        <v>0</v>
      </c>
      <c r="AP476" s="44">
        <v>0</v>
      </c>
      <c r="AQ476" s="44">
        <v>0</v>
      </c>
      <c r="AR476" s="44">
        <v>0</v>
      </c>
      <c r="AS476" s="44">
        <v>0</v>
      </c>
      <c r="AT476" s="40">
        <f t="shared" si="259"/>
        <v>0</v>
      </c>
      <c r="AU476" s="18">
        <f>AJ476-AM476</f>
        <v>0</v>
      </c>
      <c r="AV476" s="34">
        <f>AM476-AP476</f>
        <v>0</v>
      </c>
      <c r="AW476" s="133">
        <f>AP476-AT476</f>
        <v>0</v>
      </c>
      <c r="AX476" s="123">
        <v>0</v>
      </c>
    </row>
    <row r="477" spans="1:50" ht="18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1" t="s">
        <v>1340</v>
      </c>
      <c r="AB477" s="69" t="s">
        <v>987</v>
      </c>
      <c r="AC477" s="43"/>
      <c r="AD477" s="44">
        <v>0</v>
      </c>
      <c r="AE477" s="33">
        <v>584691222</v>
      </c>
      <c r="AF477" s="44">
        <v>0</v>
      </c>
      <c r="AG477" s="43">
        <v>504551896.50999999</v>
      </c>
      <c r="AH477" s="44">
        <v>0</v>
      </c>
      <c r="AI477" s="18">
        <f t="shared" si="263"/>
        <v>1089243118.51</v>
      </c>
      <c r="AJ477" s="18">
        <f t="shared" si="264"/>
        <v>1089243118.51</v>
      </c>
      <c r="AK477" s="43">
        <v>0</v>
      </c>
      <c r="AL477" s="43">
        <v>1088487909</v>
      </c>
      <c r="AM477" s="43">
        <v>1088487909</v>
      </c>
      <c r="AN477" s="43">
        <v>0</v>
      </c>
      <c r="AO477" s="43">
        <v>1088487909</v>
      </c>
      <c r="AP477" s="43">
        <v>1088487909</v>
      </c>
      <c r="AQ477" s="43">
        <v>0</v>
      </c>
      <c r="AR477" s="43">
        <v>0</v>
      </c>
      <c r="AS477" s="43">
        <v>0</v>
      </c>
      <c r="AT477" s="40">
        <f t="shared" si="259"/>
        <v>0</v>
      </c>
      <c r="AU477" s="18">
        <f>AJ477-AM477</f>
        <v>755209.50999999046</v>
      </c>
      <c r="AV477" s="34">
        <f>AM477-AP477</f>
        <v>0</v>
      </c>
      <c r="AW477" s="133">
        <f>AP477-AT477</f>
        <v>1088487909</v>
      </c>
      <c r="AX477" s="123">
        <v>0</v>
      </c>
    </row>
    <row r="478" spans="1:50" ht="18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73" t="s">
        <v>288</v>
      </c>
      <c r="AB478" s="82" t="s">
        <v>1321</v>
      </c>
      <c r="AC478" s="43"/>
      <c r="AD478" s="44"/>
      <c r="AE478" s="44"/>
      <c r="AF478" s="44"/>
      <c r="AG478" s="44"/>
      <c r="AH478" s="43"/>
      <c r="AI478" s="18"/>
      <c r="AJ478" s="3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0"/>
      <c r="AU478" s="18"/>
      <c r="AV478" s="34"/>
      <c r="AW478" s="133"/>
      <c r="AX478" s="123"/>
    </row>
    <row r="479" spans="1:50" ht="18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1" t="s">
        <v>1322</v>
      </c>
      <c r="AB479" s="69" t="s">
        <v>233</v>
      </c>
      <c r="AC479" s="43"/>
      <c r="AD479" s="44">
        <v>0</v>
      </c>
      <c r="AE479" s="44">
        <v>0</v>
      </c>
      <c r="AF479" s="44">
        <v>0</v>
      </c>
      <c r="AG479" s="43">
        <v>20000000</v>
      </c>
      <c r="AH479" s="43">
        <v>20000000</v>
      </c>
      <c r="AI479" s="34">
        <f>AE479-AF479+AG479-AH479</f>
        <v>0</v>
      </c>
      <c r="AJ479" s="34">
        <f>AD479+AI479</f>
        <v>0</v>
      </c>
      <c r="AK479" s="44">
        <v>0</v>
      </c>
      <c r="AL479" s="44">
        <v>0</v>
      </c>
      <c r="AM479" s="44">
        <v>0</v>
      </c>
      <c r="AN479" s="44">
        <v>0</v>
      </c>
      <c r="AO479" s="143">
        <v>0</v>
      </c>
      <c r="AP479" s="44">
        <v>0</v>
      </c>
      <c r="AQ479" s="44">
        <v>0</v>
      </c>
      <c r="AR479" s="44">
        <v>0</v>
      </c>
      <c r="AS479" s="44">
        <v>0</v>
      </c>
      <c r="AT479" s="40">
        <f t="shared" ref="AT479" si="265">AQ479+AS479</f>
        <v>0</v>
      </c>
      <c r="AU479" s="18">
        <f>AJ479-AM479</f>
        <v>0</v>
      </c>
      <c r="AV479" s="34">
        <f>AM479-AP479</f>
        <v>0</v>
      </c>
      <c r="AW479" s="133">
        <f>AP479-AT479</f>
        <v>0</v>
      </c>
      <c r="AX479" s="123">
        <v>0</v>
      </c>
    </row>
    <row r="480" spans="1:50" ht="18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73" t="s">
        <v>288</v>
      </c>
      <c r="AB480" s="82" t="s">
        <v>365</v>
      </c>
      <c r="AC480" s="43"/>
      <c r="AD480" s="44"/>
      <c r="AE480" s="44"/>
      <c r="AF480" s="44"/>
      <c r="AG480" s="44"/>
      <c r="AH480" s="43"/>
      <c r="AI480" s="18"/>
      <c r="AJ480" s="18"/>
      <c r="AK480" s="44"/>
      <c r="AL480" s="44"/>
      <c r="AM480" s="44"/>
      <c r="AN480" s="44"/>
      <c r="AO480" s="143"/>
      <c r="AP480" s="44"/>
      <c r="AQ480" s="44"/>
      <c r="AR480" s="44"/>
      <c r="AS480" s="44"/>
      <c r="AT480" s="40"/>
      <c r="AU480" s="18"/>
      <c r="AV480" s="34"/>
      <c r="AW480" s="133"/>
      <c r="AX480" s="123"/>
    </row>
    <row r="481" spans="1:50" ht="18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1" t="s">
        <v>988</v>
      </c>
      <c r="AB481" s="69" t="s">
        <v>978</v>
      </c>
      <c r="AC481" s="43"/>
      <c r="AD481" s="44">
        <v>0</v>
      </c>
      <c r="AE481" s="43">
        <v>1006706985</v>
      </c>
      <c r="AF481" s="44">
        <v>0</v>
      </c>
      <c r="AG481" s="43">
        <v>1227570664.1400001</v>
      </c>
      <c r="AH481" s="43">
        <v>504551896.50999999</v>
      </c>
      <c r="AI481" s="18">
        <f>AE481-AF481+AG481-AH481</f>
        <v>1729725752.6300004</v>
      </c>
      <c r="AJ481" s="18">
        <f>AD481+AI481</f>
        <v>1729725752.6300004</v>
      </c>
      <c r="AK481" s="43">
        <v>0</v>
      </c>
      <c r="AL481" s="43">
        <v>1033293110.6</v>
      </c>
      <c r="AM481" s="43">
        <v>1723919545.23</v>
      </c>
      <c r="AN481" s="43">
        <v>0</v>
      </c>
      <c r="AO481" s="142">
        <v>0</v>
      </c>
      <c r="AP481" s="43">
        <v>690625719.45000005</v>
      </c>
      <c r="AQ481" s="43">
        <v>51707714.079999998</v>
      </c>
      <c r="AR481" s="43">
        <v>155451585.93000001</v>
      </c>
      <c r="AS481" s="43">
        <v>480300806.93000001</v>
      </c>
      <c r="AT481" s="39">
        <f t="shared" ref="AT481:AT482" si="266">AQ481+AS481</f>
        <v>532008521.00999999</v>
      </c>
      <c r="AU481" s="18">
        <f>AJ481-AM481</f>
        <v>5806207.4000003338</v>
      </c>
      <c r="AV481" s="18">
        <f>AM481-AP481</f>
        <v>1033293825.78</v>
      </c>
      <c r="AW481" s="18">
        <f>AP481-AT481</f>
        <v>158617198.44000006</v>
      </c>
      <c r="AX481" s="123">
        <v>0</v>
      </c>
    </row>
    <row r="482" spans="1:50" ht="18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1" t="s">
        <v>1298</v>
      </c>
      <c r="AB482" s="69" t="s">
        <v>978</v>
      </c>
      <c r="AC482" s="43"/>
      <c r="AD482" s="44"/>
      <c r="AE482" s="44">
        <v>0</v>
      </c>
      <c r="AF482" s="44">
        <v>0</v>
      </c>
      <c r="AG482" s="43">
        <v>60900682</v>
      </c>
      <c r="AH482" s="43"/>
      <c r="AI482" s="18">
        <f>AE482-AF482+AG482-AH482</f>
        <v>60900682</v>
      </c>
      <c r="AJ482" s="18">
        <f>AD482+AI482</f>
        <v>60900682</v>
      </c>
      <c r="AK482" s="43">
        <v>0</v>
      </c>
      <c r="AL482" s="43">
        <v>60900682</v>
      </c>
      <c r="AM482" s="43">
        <v>60900682</v>
      </c>
      <c r="AN482" s="43">
        <v>0</v>
      </c>
      <c r="AO482" s="142">
        <v>0</v>
      </c>
      <c r="AP482" s="44">
        <v>0</v>
      </c>
      <c r="AQ482" s="44">
        <v>0</v>
      </c>
      <c r="AR482" s="44">
        <v>0</v>
      </c>
      <c r="AS482" s="44">
        <v>0</v>
      </c>
      <c r="AT482" s="40">
        <f t="shared" si="266"/>
        <v>0</v>
      </c>
      <c r="AU482" s="34">
        <f>AJ482-AM482</f>
        <v>0</v>
      </c>
      <c r="AV482" s="18">
        <f>AM482-AP482</f>
        <v>60900682</v>
      </c>
      <c r="AW482" s="34">
        <f>AP482-AT482</f>
        <v>0</v>
      </c>
      <c r="AX482" s="123">
        <v>0</v>
      </c>
    </row>
    <row r="483" spans="1:50" ht="25.5" x14ac:dyDescent="0.2">
      <c r="AA483" s="28" t="s">
        <v>288</v>
      </c>
      <c r="AB483" s="29" t="s">
        <v>407</v>
      </c>
      <c r="AC483" s="17"/>
      <c r="AD483" s="18"/>
      <c r="AE483" s="34"/>
      <c r="AF483" s="34"/>
      <c r="AG483" s="34"/>
      <c r="AH483" s="34"/>
      <c r="AI483" s="34"/>
      <c r="AJ483" s="18"/>
      <c r="AK483" s="34"/>
      <c r="AL483" s="34"/>
      <c r="AM483" s="34"/>
      <c r="AN483" s="34"/>
      <c r="AO483" s="145"/>
      <c r="AP483" s="34"/>
      <c r="AQ483" s="34"/>
      <c r="AR483" s="34"/>
      <c r="AS483" s="34"/>
      <c r="AT483" s="31"/>
      <c r="AU483" s="18"/>
      <c r="AV483" s="34"/>
      <c r="AW483" s="133"/>
      <c r="AX483" s="18"/>
    </row>
    <row r="484" spans="1:50" ht="18.75" customHeight="1" x14ac:dyDescent="0.2">
      <c r="A484" s="4" t="s">
        <v>55</v>
      </c>
      <c r="B484" s="4" t="s">
        <v>56</v>
      </c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1" t="s">
        <v>408</v>
      </c>
      <c r="AB484" s="42" t="s">
        <v>233</v>
      </c>
      <c r="AC484" s="43" t="s">
        <v>58</v>
      </c>
      <c r="AD484" s="43">
        <v>126488672</v>
      </c>
      <c r="AE484" s="44">
        <v>0</v>
      </c>
      <c r="AF484" s="44">
        <v>0</v>
      </c>
      <c r="AG484" s="44">
        <v>0</v>
      </c>
      <c r="AH484" s="44">
        <v>0</v>
      </c>
      <c r="AI484" s="44">
        <v>0</v>
      </c>
      <c r="AJ484" s="43">
        <v>126488672</v>
      </c>
      <c r="AK484" s="44">
        <v>0</v>
      </c>
      <c r="AL484" s="44">
        <v>0</v>
      </c>
      <c r="AM484" s="43">
        <v>126488672</v>
      </c>
      <c r="AN484" s="44">
        <v>0</v>
      </c>
      <c r="AO484" s="143">
        <v>0</v>
      </c>
      <c r="AP484" s="43">
        <v>126488672</v>
      </c>
      <c r="AQ484" s="44">
        <v>0</v>
      </c>
      <c r="AR484" s="44">
        <v>0</v>
      </c>
      <c r="AS484" s="44">
        <v>0</v>
      </c>
      <c r="AT484" s="40">
        <f t="shared" ref="AT484:AT485" si="267">AQ484+AS484</f>
        <v>0</v>
      </c>
      <c r="AU484" s="34">
        <f>AJ484-AM484</f>
        <v>0</v>
      </c>
      <c r="AV484" s="34">
        <f>AM484-AP484</f>
        <v>0</v>
      </c>
      <c r="AW484" s="18">
        <f>AP484-AT484</f>
        <v>126488672</v>
      </c>
      <c r="AX484" s="123">
        <f>AP484/AJ484</f>
        <v>1</v>
      </c>
    </row>
    <row r="485" spans="1:50" ht="18.75" customHeight="1" x14ac:dyDescent="0.2">
      <c r="A485" s="4" t="s">
        <v>55</v>
      </c>
      <c r="B485" s="4" t="s">
        <v>56</v>
      </c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1" t="s">
        <v>409</v>
      </c>
      <c r="AB485" s="42" t="s">
        <v>379</v>
      </c>
      <c r="AC485" s="43" t="s">
        <v>380</v>
      </c>
      <c r="AD485" s="43">
        <v>373511328</v>
      </c>
      <c r="AE485" s="44">
        <v>0</v>
      </c>
      <c r="AF485" s="44">
        <v>0</v>
      </c>
      <c r="AG485" s="44">
        <v>0</v>
      </c>
      <c r="AH485" s="44">
        <v>0</v>
      </c>
      <c r="AI485" s="44">
        <v>0</v>
      </c>
      <c r="AJ485" s="43">
        <v>373511328</v>
      </c>
      <c r="AK485" s="44">
        <v>0</v>
      </c>
      <c r="AL485" s="44">
        <v>0</v>
      </c>
      <c r="AM485" s="43">
        <v>373511328</v>
      </c>
      <c r="AN485" s="44">
        <v>0</v>
      </c>
      <c r="AO485" s="143">
        <v>0</v>
      </c>
      <c r="AP485" s="43">
        <v>373511328</v>
      </c>
      <c r="AQ485" s="44">
        <v>0</v>
      </c>
      <c r="AR485" s="43">
        <v>0</v>
      </c>
      <c r="AS485" s="43">
        <v>150000000</v>
      </c>
      <c r="AT485" s="39">
        <f t="shared" si="267"/>
        <v>150000000</v>
      </c>
      <c r="AU485" s="34">
        <f>AJ485-AM485</f>
        <v>0</v>
      </c>
      <c r="AV485" s="34">
        <f>AM485-AP485</f>
        <v>0</v>
      </c>
      <c r="AW485" s="18">
        <f>AP485-AT485</f>
        <v>223511328</v>
      </c>
      <c r="AX485" s="123">
        <f>AP485/AJ485</f>
        <v>1</v>
      </c>
    </row>
    <row r="486" spans="1:50" ht="25.5" x14ac:dyDescent="0.2">
      <c r="AA486" s="28" t="s">
        <v>288</v>
      </c>
      <c r="AB486" s="29" t="s">
        <v>410</v>
      </c>
      <c r="AC486" s="17"/>
      <c r="AD486" s="18"/>
      <c r="AE486" s="145"/>
      <c r="AF486" s="34"/>
      <c r="AG486" s="34"/>
      <c r="AH486" s="34"/>
      <c r="AI486" s="34"/>
      <c r="AJ486" s="18"/>
      <c r="AK486" s="34"/>
      <c r="AL486" s="34"/>
      <c r="AM486" s="34"/>
      <c r="AN486" s="34"/>
      <c r="AO486" s="145"/>
      <c r="AP486" s="34"/>
      <c r="AQ486" s="34"/>
      <c r="AR486" s="34"/>
      <c r="AS486" s="34"/>
      <c r="AT486" s="31"/>
      <c r="AU486" s="18"/>
      <c r="AV486" s="34"/>
      <c r="AW486" s="18"/>
      <c r="AX486" s="18"/>
    </row>
    <row r="487" spans="1:50" ht="18.75" customHeight="1" x14ac:dyDescent="0.2">
      <c r="A487" s="4" t="s">
        <v>55</v>
      </c>
      <c r="B487" s="4" t="s">
        <v>56</v>
      </c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1" t="s">
        <v>411</v>
      </c>
      <c r="AB487" s="42" t="s">
        <v>412</v>
      </c>
      <c r="AC487" s="43" t="s">
        <v>380</v>
      </c>
      <c r="AD487" s="43">
        <v>6161937303</v>
      </c>
      <c r="AE487" s="143">
        <v>0</v>
      </c>
      <c r="AF487" s="44">
        <v>0</v>
      </c>
      <c r="AG487" s="44">
        <v>0</v>
      </c>
      <c r="AH487" s="44">
        <v>0</v>
      </c>
      <c r="AI487" s="44">
        <v>0</v>
      </c>
      <c r="AJ487" s="43">
        <v>6161937303</v>
      </c>
      <c r="AK487" s="43">
        <v>1317307558</v>
      </c>
      <c r="AL487" s="44">
        <v>0</v>
      </c>
      <c r="AM487" s="43">
        <v>4844629745</v>
      </c>
      <c r="AN487" s="44">
        <v>0</v>
      </c>
      <c r="AO487" s="143">
        <v>0</v>
      </c>
      <c r="AP487" s="43">
        <v>4844629745</v>
      </c>
      <c r="AQ487" s="43">
        <v>0</v>
      </c>
      <c r="AR487" s="44">
        <v>0</v>
      </c>
      <c r="AS487" s="43">
        <v>4844629745</v>
      </c>
      <c r="AT487" s="39">
        <f t="shared" ref="AT487:AT489" si="268">AQ487+AS487</f>
        <v>4844629745</v>
      </c>
      <c r="AU487" s="18">
        <f>AJ487-AM487</f>
        <v>1317307558</v>
      </c>
      <c r="AV487" s="34">
        <f>AM487-AP487</f>
        <v>0</v>
      </c>
      <c r="AW487" s="34">
        <f>AP487-AT487</f>
        <v>0</v>
      </c>
      <c r="AX487" s="123">
        <f>AP487/AJ487</f>
        <v>0.78621860411357058</v>
      </c>
    </row>
    <row r="488" spans="1:50" ht="18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1" t="s">
        <v>977</v>
      </c>
      <c r="AB488" s="42" t="s">
        <v>978</v>
      </c>
      <c r="AC488" s="43"/>
      <c r="AD488" s="43"/>
      <c r="AE488" s="142">
        <v>2137085601</v>
      </c>
      <c r="AF488" s="44">
        <v>0</v>
      </c>
      <c r="AG488" s="44">
        <v>0</v>
      </c>
      <c r="AH488" s="43">
        <v>1644954315.8499999</v>
      </c>
      <c r="AI488" s="18">
        <f>AE488-AF488+AG488-AH488</f>
        <v>492131285.1500001</v>
      </c>
      <c r="AJ488" s="18">
        <f>AD488+AI488</f>
        <v>492131285.1500001</v>
      </c>
      <c r="AK488" s="44">
        <v>0</v>
      </c>
      <c r="AL488" s="44">
        <v>0</v>
      </c>
      <c r="AM488" s="43">
        <v>492131285.14999998</v>
      </c>
      <c r="AN488" s="44">
        <v>0</v>
      </c>
      <c r="AO488" s="142">
        <v>0</v>
      </c>
      <c r="AP488" s="43">
        <v>492131285.14999998</v>
      </c>
      <c r="AQ488" s="43">
        <v>25718521.640000001</v>
      </c>
      <c r="AR488" s="44">
        <v>157447610.81</v>
      </c>
      <c r="AS488" s="43">
        <v>466412763.50999999</v>
      </c>
      <c r="AT488" s="39">
        <f t="shared" si="268"/>
        <v>492131285.14999998</v>
      </c>
      <c r="AU488" s="34">
        <f>AJ488-AM488</f>
        <v>0</v>
      </c>
      <c r="AV488" s="34">
        <f>AM488-AP488</f>
        <v>0</v>
      </c>
      <c r="AW488" s="18">
        <f>AP488-AT488</f>
        <v>0</v>
      </c>
      <c r="AX488" s="123">
        <f>AP488/AJ488</f>
        <v>0.99999999999999978</v>
      </c>
    </row>
    <row r="489" spans="1:50" ht="18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173" t="s">
        <v>1201</v>
      </c>
      <c r="AB489" s="42" t="s">
        <v>1202</v>
      </c>
      <c r="AC489" s="43"/>
      <c r="AD489" s="44">
        <v>0</v>
      </c>
      <c r="AE489" s="142">
        <v>60900682</v>
      </c>
      <c r="AF489" s="44">
        <v>0</v>
      </c>
      <c r="AG489" s="44">
        <v>0</v>
      </c>
      <c r="AH489" s="43">
        <v>60900682</v>
      </c>
      <c r="AI489" s="34">
        <f>AE489-AF489+AG489-AH489</f>
        <v>0</v>
      </c>
      <c r="AJ489" s="34">
        <f>AD489+AI489</f>
        <v>0</v>
      </c>
      <c r="AK489" s="44">
        <v>0</v>
      </c>
      <c r="AL489" s="44">
        <v>0</v>
      </c>
      <c r="AM489" s="44">
        <v>0</v>
      </c>
      <c r="AN489" s="44">
        <v>0</v>
      </c>
      <c r="AO489" s="143">
        <v>0</v>
      </c>
      <c r="AP489" s="43">
        <v>0</v>
      </c>
      <c r="AQ489" s="44">
        <v>0</v>
      </c>
      <c r="AR489" s="44">
        <f>AS489-SEPTIEMBRE!AS481</f>
        <v>0</v>
      </c>
      <c r="AS489" s="44">
        <v>0</v>
      </c>
      <c r="AT489" s="40">
        <f t="shared" si="268"/>
        <v>0</v>
      </c>
      <c r="AU489" s="34">
        <f>AJ489-AM489</f>
        <v>0</v>
      </c>
      <c r="AV489" s="34">
        <f>AM489-AP489</f>
        <v>0</v>
      </c>
      <c r="AW489" s="34">
        <f>AP489-AT489</f>
        <v>0</v>
      </c>
      <c r="AX489" s="123">
        <v>0</v>
      </c>
    </row>
    <row r="490" spans="1:50" ht="18.75" customHeight="1" x14ac:dyDescent="0.2">
      <c r="AA490" s="28" t="s">
        <v>288</v>
      </c>
      <c r="AB490" s="29" t="s">
        <v>320</v>
      </c>
      <c r="AC490" s="17"/>
      <c r="AD490" s="18"/>
      <c r="AE490" s="145"/>
      <c r="AF490" s="34"/>
      <c r="AG490" s="34"/>
      <c r="AH490" s="34"/>
      <c r="AI490" s="34"/>
      <c r="AJ490" s="18"/>
      <c r="AK490" s="18"/>
      <c r="AL490" s="18"/>
      <c r="AM490" s="18"/>
      <c r="AN490" s="18"/>
      <c r="AO490" s="147"/>
      <c r="AP490" s="18"/>
      <c r="AQ490" s="18"/>
      <c r="AR490" s="34"/>
      <c r="AS490" s="34"/>
      <c r="AT490" s="31"/>
      <c r="AU490" s="18"/>
      <c r="AV490" s="34"/>
      <c r="AW490" s="18"/>
      <c r="AX490" s="18"/>
    </row>
    <row r="491" spans="1:50" ht="18.75" customHeight="1" x14ac:dyDescent="0.2">
      <c r="A491" s="4" t="s">
        <v>37</v>
      </c>
      <c r="B491" s="4" t="s">
        <v>37</v>
      </c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1" t="s">
        <v>413</v>
      </c>
      <c r="AB491" s="42" t="s">
        <v>233</v>
      </c>
      <c r="AC491" s="43" t="s">
        <v>58</v>
      </c>
      <c r="AD491" s="43">
        <v>1212000000</v>
      </c>
      <c r="AE491" s="143">
        <v>0</v>
      </c>
      <c r="AF491" s="44">
        <v>0</v>
      </c>
      <c r="AG491" s="44">
        <v>0</v>
      </c>
      <c r="AH491" s="44">
        <v>0</v>
      </c>
      <c r="AI491" s="44">
        <v>0</v>
      </c>
      <c r="AJ491" s="43">
        <v>1212000000</v>
      </c>
      <c r="AK491" s="44">
        <v>0</v>
      </c>
      <c r="AL491" s="44">
        <v>0</v>
      </c>
      <c r="AM491" s="43">
        <v>1161315332</v>
      </c>
      <c r="AN491" s="44">
        <v>0</v>
      </c>
      <c r="AO491" s="143">
        <v>0</v>
      </c>
      <c r="AP491" s="43">
        <v>1161315332</v>
      </c>
      <c r="AQ491" s="44">
        <v>0</v>
      </c>
      <c r="AR491" s="142">
        <v>0</v>
      </c>
      <c r="AS491" s="43">
        <v>196705860</v>
      </c>
      <c r="AT491" s="39">
        <f t="shared" ref="AT491:AT492" si="269">AQ491+AS491</f>
        <v>196705860</v>
      </c>
      <c r="AU491" s="18">
        <f>AJ491-AM491</f>
        <v>50684668</v>
      </c>
      <c r="AV491" s="34">
        <f>AM491-AP491</f>
        <v>0</v>
      </c>
      <c r="AW491" s="18">
        <f>AP491-AT491</f>
        <v>964609472</v>
      </c>
      <c r="AX491" s="123">
        <f>AP491/AJ491</f>
        <v>0.95818096699669963</v>
      </c>
    </row>
    <row r="492" spans="1:50" ht="18.75" customHeight="1" x14ac:dyDescent="0.2">
      <c r="A492" s="4" t="s">
        <v>55</v>
      </c>
      <c r="B492" s="4" t="s">
        <v>56</v>
      </c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1" t="s">
        <v>414</v>
      </c>
      <c r="AB492" s="42" t="s">
        <v>328</v>
      </c>
      <c r="AC492" s="43" t="s">
        <v>61</v>
      </c>
      <c r="AD492" s="43">
        <v>13807166550</v>
      </c>
      <c r="AE492" s="44">
        <v>0</v>
      </c>
      <c r="AF492" s="44">
        <v>0</v>
      </c>
      <c r="AG492" s="44">
        <v>0</v>
      </c>
      <c r="AH492" s="43">
        <f>23257108+31152316</f>
        <v>54409424</v>
      </c>
      <c r="AI492" s="18">
        <f>AE492-AF492+AG492-AH492</f>
        <v>-54409424</v>
      </c>
      <c r="AJ492" s="18">
        <f>AD492+AI492</f>
        <v>13752757126</v>
      </c>
      <c r="AK492" s="44">
        <v>0</v>
      </c>
      <c r="AL492" s="44">
        <v>0</v>
      </c>
      <c r="AM492" s="43">
        <v>13147919116</v>
      </c>
      <c r="AN492" s="44">
        <v>0</v>
      </c>
      <c r="AO492" s="43">
        <v>0</v>
      </c>
      <c r="AP492" s="43">
        <v>13147919116</v>
      </c>
      <c r="AQ492" s="44">
        <v>0</v>
      </c>
      <c r="AR492" s="142">
        <v>441104960</v>
      </c>
      <c r="AS492" s="43">
        <v>9564016500</v>
      </c>
      <c r="AT492" s="39">
        <f t="shared" si="269"/>
        <v>9564016500</v>
      </c>
      <c r="AU492" s="18">
        <f>AJ492-AM492</f>
        <v>604838010</v>
      </c>
      <c r="AV492" s="34">
        <f>AM492-AP492</f>
        <v>0</v>
      </c>
      <c r="AW492" s="18">
        <f>AP492-AT492</f>
        <v>3583902616</v>
      </c>
      <c r="AX492" s="123">
        <f>AP492/AJ492</f>
        <v>0.95602059976348053</v>
      </c>
    </row>
    <row r="493" spans="1:50" ht="38.25" x14ac:dyDescent="0.2">
      <c r="AA493" s="28" t="s">
        <v>288</v>
      </c>
      <c r="AB493" s="29" t="s">
        <v>415</v>
      </c>
      <c r="AC493" s="17"/>
      <c r="AD493" s="18"/>
      <c r="AE493" s="34"/>
      <c r="AF493" s="34"/>
      <c r="AG493" s="34"/>
      <c r="AH493" s="34"/>
      <c r="AI493" s="34"/>
      <c r="AJ493" s="18"/>
      <c r="AK493" s="34"/>
      <c r="AL493" s="34"/>
      <c r="AM493" s="18"/>
      <c r="AN493" s="18"/>
      <c r="AO493" s="18"/>
      <c r="AP493" s="18"/>
      <c r="AQ493" s="34"/>
      <c r="AR493" s="34"/>
      <c r="AS493" s="34"/>
      <c r="AT493" s="40"/>
      <c r="AU493" s="18"/>
      <c r="AV493" s="34"/>
      <c r="AW493" s="18"/>
      <c r="AX493" s="18"/>
    </row>
    <row r="494" spans="1:50" ht="18.75" customHeight="1" x14ac:dyDescent="0.2">
      <c r="A494" s="4" t="s">
        <v>55</v>
      </c>
      <c r="B494" s="4" t="s">
        <v>56</v>
      </c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1" t="s">
        <v>416</v>
      </c>
      <c r="AB494" s="42" t="s">
        <v>379</v>
      </c>
      <c r="AC494" s="43" t="s">
        <v>380</v>
      </c>
      <c r="AD494" s="43">
        <v>50000000</v>
      </c>
      <c r="AE494" s="44">
        <v>0</v>
      </c>
      <c r="AF494" s="44">
        <v>0</v>
      </c>
      <c r="AG494" s="44">
        <v>0</v>
      </c>
      <c r="AH494" s="44">
        <v>0</v>
      </c>
      <c r="AI494" s="44">
        <v>0</v>
      </c>
      <c r="AJ494" s="43">
        <v>50000000</v>
      </c>
      <c r="AK494" s="44">
        <v>0</v>
      </c>
      <c r="AL494" s="44">
        <v>0</v>
      </c>
      <c r="AM494" s="43">
        <v>50000000</v>
      </c>
      <c r="AN494" s="44">
        <v>0</v>
      </c>
      <c r="AO494" s="44">
        <v>0</v>
      </c>
      <c r="AP494" s="43">
        <v>50000000</v>
      </c>
      <c r="AQ494" s="44">
        <v>0</v>
      </c>
      <c r="AR494" s="43">
        <v>0</v>
      </c>
      <c r="AS494" s="43">
        <v>20000000</v>
      </c>
      <c r="AT494" s="39">
        <f t="shared" ref="AT494:AT496" si="270">AQ494+AS494</f>
        <v>20000000</v>
      </c>
      <c r="AU494" s="34">
        <f>AJ494-AM494</f>
        <v>0</v>
      </c>
      <c r="AV494" s="34">
        <f>AM494-AP494</f>
        <v>0</v>
      </c>
      <c r="AW494" s="18">
        <f>AP494-AT494</f>
        <v>30000000</v>
      </c>
      <c r="AX494" s="123">
        <f>AP494/AJ494</f>
        <v>1</v>
      </c>
    </row>
    <row r="495" spans="1:50" ht="26.2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173" t="s">
        <v>1205</v>
      </c>
      <c r="AB495" s="42" t="s">
        <v>1204</v>
      </c>
      <c r="AC495" s="43"/>
      <c r="AD495" s="44">
        <v>0</v>
      </c>
      <c r="AE495" s="43">
        <v>200000000</v>
      </c>
      <c r="AF495" s="44">
        <v>0</v>
      </c>
      <c r="AG495" s="44">
        <v>0</v>
      </c>
      <c r="AH495" s="44">
        <v>0</v>
      </c>
      <c r="AI495" s="18">
        <f>AE495-AF495+AG495-AH495</f>
        <v>200000000</v>
      </c>
      <c r="AJ495" s="18">
        <f>AD495+AI495</f>
        <v>200000000</v>
      </c>
      <c r="AK495" s="44">
        <v>0</v>
      </c>
      <c r="AL495" s="43">
        <v>0</v>
      </c>
      <c r="AM495" s="43">
        <v>139265053</v>
      </c>
      <c r="AN495" s="44">
        <v>0</v>
      </c>
      <c r="AO495" s="44">
        <v>138515053</v>
      </c>
      <c r="AP495" s="44">
        <v>139265053</v>
      </c>
      <c r="AQ495" s="44">
        <v>0</v>
      </c>
      <c r="AR495" s="44">
        <v>0</v>
      </c>
      <c r="AS495" s="44">
        <v>0</v>
      </c>
      <c r="AT495" s="40">
        <f t="shared" si="270"/>
        <v>0</v>
      </c>
      <c r="AU495" s="18">
        <f>AJ495-AM495</f>
        <v>60734947</v>
      </c>
      <c r="AV495" s="34">
        <f>AM495-AP495</f>
        <v>0</v>
      </c>
      <c r="AW495" s="18">
        <f>AP495-AT495</f>
        <v>139265053</v>
      </c>
      <c r="AX495" s="123">
        <f>AP495/AJ495</f>
        <v>0.69632526500000003</v>
      </c>
    </row>
    <row r="496" spans="1:50" ht="18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173" t="s">
        <v>1297</v>
      </c>
      <c r="AB496" s="42" t="s">
        <v>328</v>
      </c>
      <c r="AC496" s="43"/>
      <c r="AD496" s="44">
        <v>0</v>
      </c>
      <c r="AE496" s="43">
        <v>0</v>
      </c>
      <c r="AF496" s="44">
        <v>0</v>
      </c>
      <c r="AG496" s="43">
        <v>31152316</v>
      </c>
      <c r="AH496" s="44">
        <v>0</v>
      </c>
      <c r="AI496" s="18">
        <f>AE496-AF496+AG496-AH496</f>
        <v>31152316</v>
      </c>
      <c r="AJ496" s="18">
        <f>AD496+AI496</f>
        <v>31152316</v>
      </c>
      <c r="AK496" s="44">
        <v>0</v>
      </c>
      <c r="AL496" s="44">
        <f>AM496-AGOSTO!AM484</f>
        <v>0</v>
      </c>
      <c r="AM496" s="43">
        <v>31152316</v>
      </c>
      <c r="AN496" s="44">
        <v>0</v>
      </c>
      <c r="AO496" s="326">
        <v>0</v>
      </c>
      <c r="AP496" s="43">
        <v>31152316</v>
      </c>
      <c r="AQ496" s="44">
        <v>0</v>
      </c>
      <c r="AR496" s="44">
        <v>0</v>
      </c>
      <c r="AS496" s="44">
        <v>0</v>
      </c>
      <c r="AT496" s="40">
        <f t="shared" si="270"/>
        <v>0</v>
      </c>
      <c r="AU496" s="34">
        <f>AJ496-AM496</f>
        <v>0</v>
      </c>
      <c r="AV496" s="18">
        <f>AM496-AP496</f>
        <v>0</v>
      </c>
      <c r="AW496" s="18">
        <f>AP496-AT496</f>
        <v>31152316</v>
      </c>
      <c r="AX496" s="123">
        <f>AP496/AJ496</f>
        <v>1</v>
      </c>
    </row>
    <row r="497" spans="1:50" ht="25.5" x14ac:dyDescent="0.2">
      <c r="AA497" s="28" t="s">
        <v>288</v>
      </c>
      <c r="AB497" s="29" t="s">
        <v>418</v>
      </c>
      <c r="AC497" s="17"/>
      <c r="AD497" s="18"/>
      <c r="AE497" s="34"/>
      <c r="AF497" s="34"/>
      <c r="AG497" s="34"/>
      <c r="AH497" s="34"/>
      <c r="AI497" s="34"/>
      <c r="AJ497" s="18"/>
      <c r="AK497" s="34"/>
      <c r="AL497" s="34"/>
      <c r="AM497" s="34"/>
      <c r="AN497" s="34"/>
      <c r="AO497" s="100"/>
      <c r="AP497" s="34"/>
      <c r="AQ497" s="34"/>
      <c r="AR497" s="34"/>
      <c r="AS497" s="34"/>
      <c r="AT497" s="40"/>
      <c r="AU497" s="34"/>
      <c r="AV497" s="34"/>
      <c r="AW497" s="34"/>
      <c r="AX497" s="18"/>
    </row>
    <row r="498" spans="1:50" x14ac:dyDescent="0.2">
      <c r="A498" s="4" t="s">
        <v>55</v>
      </c>
      <c r="B498" s="4" t="s">
        <v>56</v>
      </c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1" t="s">
        <v>419</v>
      </c>
      <c r="AB498" s="42" t="s">
        <v>233</v>
      </c>
      <c r="AC498" s="43" t="s">
        <v>58</v>
      </c>
      <c r="AD498" s="43">
        <v>200000000</v>
      </c>
      <c r="AE498" s="44">
        <v>0</v>
      </c>
      <c r="AF498" s="44">
        <v>0</v>
      </c>
      <c r="AG498" s="44">
        <v>0</v>
      </c>
      <c r="AH498" s="43">
        <v>97910418</v>
      </c>
      <c r="AI498" s="18">
        <f>AE498-AF498+AG498-AH498</f>
        <v>-97910418</v>
      </c>
      <c r="AJ498" s="18">
        <f>AD498+AI498</f>
        <v>102089582</v>
      </c>
      <c r="AK498" s="44">
        <v>0</v>
      </c>
      <c r="AL498" s="44">
        <f>AM498-AGOSTO!AM486</f>
        <v>0</v>
      </c>
      <c r="AM498" s="43">
        <v>102089582</v>
      </c>
      <c r="AN498" s="44">
        <v>0</v>
      </c>
      <c r="AO498" s="326">
        <v>0</v>
      </c>
      <c r="AP498" s="43">
        <v>102089582</v>
      </c>
      <c r="AQ498" s="44">
        <v>0</v>
      </c>
      <c r="AR498" s="44">
        <v>0</v>
      </c>
      <c r="AS498" s="43">
        <v>101553680.63</v>
      </c>
      <c r="AT498" s="39">
        <f t="shared" si="259"/>
        <v>101553680.63</v>
      </c>
      <c r="AU498" s="34">
        <f>AJ498-AM498</f>
        <v>0</v>
      </c>
      <c r="AV498" s="34">
        <f>AM498-AP498</f>
        <v>0</v>
      </c>
      <c r="AW498" s="18">
        <f>AP498-AT498</f>
        <v>535901.37000000477</v>
      </c>
      <c r="AX498" s="123">
        <f>AP498/AJ498</f>
        <v>1</v>
      </c>
    </row>
    <row r="499" spans="1:50" ht="25.5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73" t="s">
        <v>288</v>
      </c>
      <c r="AB499" s="74" t="s">
        <v>1364</v>
      </c>
      <c r="AC499" s="43"/>
      <c r="AD499" s="43"/>
      <c r="AE499" s="44"/>
      <c r="AF499" s="44"/>
      <c r="AG499" s="44"/>
      <c r="AH499" s="43"/>
      <c r="AI499" s="18"/>
      <c r="AJ499" s="18"/>
      <c r="AK499" s="44"/>
      <c r="AL499" s="43"/>
      <c r="AM499" s="43"/>
      <c r="AN499" s="44"/>
      <c r="AO499" s="43"/>
      <c r="AP499" s="43"/>
      <c r="AQ499" s="43"/>
      <c r="AR499" s="43"/>
      <c r="AS499" s="43"/>
      <c r="AT499" s="40"/>
      <c r="AU499" s="18"/>
      <c r="AV499" s="34"/>
      <c r="AW499" s="18"/>
      <c r="AX499" s="123"/>
    </row>
    <row r="500" spans="1:50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1" t="s">
        <v>1365</v>
      </c>
      <c r="AB500" s="42" t="s">
        <v>233</v>
      </c>
      <c r="AC500" s="43"/>
      <c r="AD500" s="44">
        <v>0</v>
      </c>
      <c r="AE500" s="44">
        <v>0</v>
      </c>
      <c r="AF500" s="44">
        <v>0</v>
      </c>
      <c r="AG500" s="43">
        <f>100000000</f>
        <v>100000000</v>
      </c>
      <c r="AH500" s="43">
        <v>93000000</v>
      </c>
      <c r="AI500" s="18">
        <f>AE500-AF500+AG500-AH500</f>
        <v>7000000</v>
      </c>
      <c r="AJ500" s="18">
        <f>AD500+AI500</f>
        <v>7000000</v>
      </c>
      <c r="AK500" s="44">
        <v>0</v>
      </c>
      <c r="AL500" s="44">
        <v>0</v>
      </c>
      <c r="AM500" s="44">
        <v>7000000</v>
      </c>
      <c r="AN500" s="44">
        <v>0</v>
      </c>
      <c r="AO500" s="43">
        <v>0</v>
      </c>
      <c r="AP500" s="43">
        <v>6066666.6600000001</v>
      </c>
      <c r="AQ500" s="43">
        <v>0</v>
      </c>
      <c r="AR500" s="43">
        <v>350000</v>
      </c>
      <c r="AS500" s="43">
        <v>350000</v>
      </c>
      <c r="AT500" s="40">
        <f t="shared" ref="AT500" si="271">AQ500+AS500</f>
        <v>350000</v>
      </c>
      <c r="AU500" s="18">
        <f>AJ500-AM500</f>
        <v>0</v>
      </c>
      <c r="AV500" s="18">
        <f>AM500-AP500</f>
        <v>933333.33999999985</v>
      </c>
      <c r="AW500" s="18">
        <f>AP500-AT500</f>
        <v>5716666.6600000001</v>
      </c>
      <c r="AX500" s="123">
        <f>AP500/AJ500</f>
        <v>0.86666666571428574</v>
      </c>
    </row>
    <row r="501" spans="1:50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73" t="s">
        <v>288</v>
      </c>
      <c r="AB501" s="74" t="s">
        <v>1362</v>
      </c>
      <c r="AC501" s="43"/>
      <c r="AD501" s="44"/>
      <c r="AE501" s="44"/>
      <c r="AF501" s="44"/>
      <c r="AG501" s="44"/>
      <c r="AH501" s="43"/>
      <c r="AI501" s="18"/>
      <c r="AJ501" s="18"/>
      <c r="AK501" s="44"/>
      <c r="AL501" s="44"/>
      <c r="AM501" s="44"/>
      <c r="AN501" s="44"/>
      <c r="AO501" s="44"/>
      <c r="AP501" s="44"/>
      <c r="AQ501" s="44"/>
      <c r="AR501" s="44"/>
      <c r="AS501" s="44"/>
      <c r="AT501" s="40"/>
      <c r="AU501" s="18"/>
      <c r="AV501" s="34"/>
      <c r="AW501" s="34"/>
      <c r="AX501" s="123"/>
    </row>
    <row r="502" spans="1:50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1" t="s">
        <v>1363</v>
      </c>
      <c r="AB502" s="42" t="s">
        <v>233</v>
      </c>
      <c r="AC502" s="43"/>
      <c r="AD502" s="44">
        <v>0</v>
      </c>
      <c r="AE502" s="44">
        <v>0</v>
      </c>
      <c r="AF502" s="44">
        <v>0</v>
      </c>
      <c r="AG502" s="43">
        <v>400000000</v>
      </c>
      <c r="AH502" s="43">
        <f>400000000</f>
        <v>400000000</v>
      </c>
      <c r="AI502" s="34">
        <f>AE502-AF502+AG502-AH502</f>
        <v>0</v>
      </c>
      <c r="AJ502" s="34">
        <f>AD502+AI502</f>
        <v>0</v>
      </c>
      <c r="AK502" s="44">
        <v>0</v>
      </c>
      <c r="AL502" s="44">
        <v>0</v>
      </c>
      <c r="AM502" s="44">
        <v>0</v>
      </c>
      <c r="AN502" s="44">
        <v>0</v>
      </c>
      <c r="AO502" s="44">
        <v>0</v>
      </c>
      <c r="AP502" s="44">
        <v>0</v>
      </c>
      <c r="AQ502" s="44">
        <v>0</v>
      </c>
      <c r="AR502" s="44">
        <v>0</v>
      </c>
      <c r="AS502" s="44">
        <v>0</v>
      </c>
      <c r="AT502" s="40">
        <f t="shared" ref="AT502" si="272">AQ502+AS502</f>
        <v>0</v>
      </c>
      <c r="AU502" s="18">
        <f>AJ502-AM502</f>
        <v>0</v>
      </c>
      <c r="AV502" s="34">
        <f>AM502-AP502</f>
        <v>0</v>
      </c>
      <c r="AW502" s="34">
        <f>AP502-AT502</f>
        <v>0</v>
      </c>
      <c r="AX502" s="123">
        <v>0</v>
      </c>
    </row>
    <row r="503" spans="1:50" ht="51" x14ac:dyDescent="0.2">
      <c r="AA503" s="28" t="s">
        <v>288</v>
      </c>
      <c r="AB503" s="29" t="s">
        <v>420</v>
      </c>
      <c r="AC503" s="17"/>
      <c r="AD503" s="18"/>
      <c r="AE503" s="34"/>
      <c r="AF503" s="34"/>
      <c r="AG503" s="34"/>
      <c r="AH503" s="34"/>
      <c r="AI503" s="34"/>
      <c r="AJ503" s="18"/>
      <c r="AK503" s="34"/>
      <c r="AL503" s="147"/>
      <c r="AM503" s="18"/>
      <c r="AN503" s="34"/>
      <c r="AO503" s="147"/>
      <c r="AP503" s="18"/>
      <c r="AQ503" s="18"/>
      <c r="AR503" s="147"/>
      <c r="AS503" s="18"/>
      <c r="AT503" s="40"/>
      <c r="AU503" s="18"/>
      <c r="AV503" s="18"/>
      <c r="AW503" s="18"/>
      <c r="AX503" s="18"/>
    </row>
    <row r="504" spans="1:50" x14ac:dyDescent="0.2">
      <c r="A504" s="4" t="s">
        <v>55</v>
      </c>
      <c r="B504" s="4" t="s">
        <v>56</v>
      </c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1" t="s">
        <v>421</v>
      </c>
      <c r="AB504" s="42" t="s">
        <v>328</v>
      </c>
      <c r="AC504" s="43" t="s">
        <v>61</v>
      </c>
      <c r="AD504" s="43">
        <v>501573828</v>
      </c>
      <c r="AE504" s="44">
        <v>0</v>
      </c>
      <c r="AF504" s="44">
        <v>0</v>
      </c>
      <c r="AG504" s="43">
        <v>280746171.69999999</v>
      </c>
      <c r="AH504" s="43">
        <f>3845830+18397564.7</f>
        <v>22243394.699999999</v>
      </c>
      <c r="AI504" s="18">
        <f>AE504-AF504+AG504-AH504</f>
        <v>258502777</v>
      </c>
      <c r="AJ504" s="18">
        <f>AD504+AI504</f>
        <v>760076605</v>
      </c>
      <c r="AK504" s="44">
        <v>0</v>
      </c>
      <c r="AL504" s="142">
        <v>0</v>
      </c>
      <c r="AM504" s="43">
        <v>728949107.65999997</v>
      </c>
      <c r="AN504" s="44">
        <v>0</v>
      </c>
      <c r="AO504" s="142">
        <v>6906666.6600000001</v>
      </c>
      <c r="AP504" s="43">
        <v>721267441</v>
      </c>
      <c r="AQ504" s="43">
        <v>110880001</v>
      </c>
      <c r="AR504" s="142">
        <v>95181667</v>
      </c>
      <c r="AS504" s="43">
        <v>489958333</v>
      </c>
      <c r="AT504" s="39">
        <f t="shared" si="259"/>
        <v>600838334</v>
      </c>
      <c r="AU504" s="18">
        <f>AJ504-AM504</f>
        <v>31127497.340000033</v>
      </c>
      <c r="AV504" s="18">
        <f>AM504-AP504</f>
        <v>7681666.6599999666</v>
      </c>
      <c r="AW504" s="18">
        <f>AP504-AT504</f>
        <v>120429107</v>
      </c>
      <c r="AX504" s="123">
        <f>AP504/AJ504</f>
        <v>0.94894045712668662</v>
      </c>
    </row>
    <row r="505" spans="1:50" ht="25.5" x14ac:dyDescent="0.2">
      <c r="A505" s="4" t="s">
        <v>55</v>
      </c>
      <c r="B505" s="4" t="s">
        <v>56</v>
      </c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1" t="s">
        <v>422</v>
      </c>
      <c r="AB505" s="42" t="s">
        <v>423</v>
      </c>
      <c r="AC505" s="43" t="s">
        <v>424</v>
      </c>
      <c r="AD505" s="43">
        <v>370346171.69999999</v>
      </c>
      <c r="AE505" s="44">
        <v>0</v>
      </c>
      <c r="AF505" s="44">
        <v>0</v>
      </c>
      <c r="AG505" s="44">
        <v>0</v>
      </c>
      <c r="AH505" s="43">
        <v>280746171.69999999</v>
      </c>
      <c r="AI505" s="18">
        <f>AE505-AF505+AG505-AH505</f>
        <v>-280746171.69999999</v>
      </c>
      <c r="AJ505" s="18">
        <f>AD505+AI505</f>
        <v>89600000</v>
      </c>
      <c r="AK505" s="44">
        <v>0</v>
      </c>
      <c r="AL505" s="143">
        <v>0</v>
      </c>
      <c r="AM505" s="43">
        <v>89600000</v>
      </c>
      <c r="AN505" s="43">
        <v>0</v>
      </c>
      <c r="AO505" s="143">
        <v>0</v>
      </c>
      <c r="AP505" s="43">
        <v>89600000</v>
      </c>
      <c r="AQ505" s="43">
        <v>28933332</v>
      </c>
      <c r="AR505" s="142">
        <v>5600000</v>
      </c>
      <c r="AS505" s="43">
        <v>60666668</v>
      </c>
      <c r="AT505" s="39">
        <f t="shared" si="259"/>
        <v>89600000</v>
      </c>
      <c r="AU505" s="34">
        <f>AJ505-AM505</f>
        <v>0</v>
      </c>
      <c r="AV505" s="34">
        <f>AM505-AP505</f>
        <v>0</v>
      </c>
      <c r="AW505" s="18">
        <f>AP505-AT505</f>
        <v>0</v>
      </c>
      <c r="AX505" s="123">
        <f>AP505/AJ505</f>
        <v>1</v>
      </c>
    </row>
    <row r="506" spans="1:50" ht="18.75" customHeight="1" x14ac:dyDescent="0.2">
      <c r="AA506" s="28" t="s">
        <v>288</v>
      </c>
      <c r="AB506" s="29" t="s">
        <v>400</v>
      </c>
      <c r="AC506" s="17"/>
      <c r="AD506" s="18"/>
      <c r="AE506" s="34"/>
      <c r="AF506" s="34"/>
      <c r="AG506" s="34"/>
      <c r="AH506" s="34"/>
      <c r="AI506" s="34"/>
      <c r="AJ506" s="18"/>
      <c r="AK506" s="34"/>
      <c r="AL506" s="147"/>
      <c r="AM506" s="18"/>
      <c r="AN506" s="34"/>
      <c r="AO506" s="18"/>
      <c r="AP506" s="18"/>
      <c r="AQ506" s="34"/>
      <c r="AR506" s="145"/>
      <c r="AS506" s="34"/>
      <c r="AT506" s="40"/>
      <c r="AU506" s="18"/>
      <c r="AV506" s="18"/>
      <c r="AW506" s="18"/>
      <c r="AX506" s="18"/>
    </row>
    <row r="507" spans="1:50" ht="18.75" customHeight="1" x14ac:dyDescent="0.2">
      <c r="A507" s="4" t="s">
        <v>55</v>
      </c>
      <c r="B507" s="4" t="s">
        <v>56</v>
      </c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1" t="s">
        <v>425</v>
      </c>
      <c r="AB507" s="42" t="s">
        <v>233</v>
      </c>
      <c r="AC507" s="43" t="s">
        <v>58</v>
      </c>
      <c r="AD507" s="43">
        <v>318078211</v>
      </c>
      <c r="AE507" s="44">
        <v>0</v>
      </c>
      <c r="AF507" s="44">
        <v>0</v>
      </c>
      <c r="AG507" s="44">
        <v>0</v>
      </c>
      <c r="AH507" s="43">
        <v>68793982.700000003</v>
      </c>
      <c r="AI507" s="18">
        <f>AE507-AF507+AG507-AH507</f>
        <v>-68793982.700000003</v>
      </c>
      <c r="AJ507" s="18">
        <f>AD507+AI507</f>
        <v>249284228.30000001</v>
      </c>
      <c r="AK507" s="44">
        <v>0</v>
      </c>
      <c r="AL507" s="142">
        <v>0</v>
      </c>
      <c r="AM507" s="43">
        <v>249284228.30000001</v>
      </c>
      <c r="AN507" s="315">
        <v>0</v>
      </c>
      <c r="AO507" s="43">
        <v>0</v>
      </c>
      <c r="AP507" s="43">
        <v>249284228.30000001</v>
      </c>
      <c r="AQ507" s="44">
        <v>0</v>
      </c>
      <c r="AR507" s="142">
        <v>16610000</v>
      </c>
      <c r="AS507" s="114">
        <v>233176667</v>
      </c>
      <c r="AT507" s="39">
        <f t="shared" si="259"/>
        <v>233176667</v>
      </c>
      <c r="AU507" s="18">
        <f>AJ507-AM507</f>
        <v>0</v>
      </c>
      <c r="AV507" s="34">
        <f>AM507-AP507</f>
        <v>0</v>
      </c>
      <c r="AW507" s="18">
        <f>AP507-AT507</f>
        <v>16107561.300000012</v>
      </c>
      <c r="AX507" s="123">
        <f>AP507/AJ507</f>
        <v>1</v>
      </c>
    </row>
    <row r="508" spans="1:50" ht="18.75" customHeight="1" x14ac:dyDescent="0.2">
      <c r="A508" s="4" t="s">
        <v>55</v>
      </c>
      <c r="B508" s="4" t="s">
        <v>56</v>
      </c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1" t="s">
        <v>426</v>
      </c>
      <c r="AB508" s="42" t="s">
        <v>427</v>
      </c>
      <c r="AC508" s="43" t="s">
        <v>428</v>
      </c>
      <c r="AD508" s="43">
        <v>12674978.119999999</v>
      </c>
      <c r="AE508" s="44">
        <v>0</v>
      </c>
      <c r="AF508" s="44">
        <v>0</v>
      </c>
      <c r="AG508" s="44">
        <v>0</v>
      </c>
      <c r="AH508" s="44">
        <v>0</v>
      </c>
      <c r="AI508" s="44">
        <v>0</v>
      </c>
      <c r="AJ508" s="43">
        <v>12674978.119999999</v>
      </c>
      <c r="AK508" s="44">
        <v>0</v>
      </c>
      <c r="AL508" s="143">
        <v>0</v>
      </c>
      <c r="AM508" s="44">
        <v>0</v>
      </c>
      <c r="AN508" s="44">
        <v>0</v>
      </c>
      <c r="AO508" s="44">
        <v>0</v>
      </c>
      <c r="AP508" s="44">
        <v>0</v>
      </c>
      <c r="AQ508" s="44">
        <v>0</v>
      </c>
      <c r="AR508" s="143">
        <v>0</v>
      </c>
      <c r="AS508" s="44">
        <v>0</v>
      </c>
      <c r="AT508" s="40">
        <f t="shared" si="259"/>
        <v>0</v>
      </c>
      <c r="AU508" s="18">
        <f>AJ508-AM508</f>
        <v>12674978.119999999</v>
      </c>
      <c r="AV508" s="34">
        <f>AM508-AP508</f>
        <v>0</v>
      </c>
      <c r="AW508" s="34">
        <f>AP508-AT508</f>
        <v>0</v>
      </c>
      <c r="AX508" s="123">
        <f>AP508/AJ508</f>
        <v>0</v>
      </c>
    </row>
    <row r="509" spans="1:50" ht="18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73" t="s">
        <v>288</v>
      </c>
      <c r="AB509" s="74" t="s">
        <v>1366</v>
      </c>
      <c r="AC509" s="168"/>
      <c r="AD509" s="43"/>
      <c r="AE509" s="44"/>
      <c r="AF509" s="44"/>
      <c r="AG509" s="44"/>
      <c r="AH509" s="44"/>
      <c r="AI509" s="44"/>
      <c r="AJ509" s="43"/>
      <c r="AK509" s="44"/>
      <c r="AL509" s="143"/>
      <c r="AM509" s="44"/>
      <c r="AN509" s="44"/>
      <c r="AO509" s="44"/>
      <c r="AP509" s="44"/>
      <c r="AQ509" s="44"/>
      <c r="AR509" s="143"/>
      <c r="AS509" s="44"/>
      <c r="AT509" s="40"/>
      <c r="AU509" s="18"/>
      <c r="AV509" s="34"/>
      <c r="AW509" s="34"/>
      <c r="AX509" s="123"/>
    </row>
    <row r="510" spans="1:50" ht="18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1" t="s">
        <v>1367</v>
      </c>
      <c r="AB510" s="42" t="s">
        <v>233</v>
      </c>
      <c r="AC510" s="168"/>
      <c r="AD510" s="44">
        <v>0</v>
      </c>
      <c r="AE510" s="44">
        <v>0</v>
      </c>
      <c r="AF510" s="44">
        <v>0</v>
      </c>
      <c r="AG510" s="43">
        <v>20000000</v>
      </c>
      <c r="AH510" s="44">
        <v>0</v>
      </c>
      <c r="AI510" s="18">
        <f>AE510-AF510+AG510-AH510</f>
        <v>20000000</v>
      </c>
      <c r="AJ510" s="18">
        <f>AD510+AI510</f>
        <v>20000000</v>
      </c>
      <c r="AK510" s="44">
        <v>0</v>
      </c>
      <c r="AL510" s="44">
        <v>0</v>
      </c>
      <c r="AM510" s="44">
        <v>20000000</v>
      </c>
      <c r="AN510" s="44">
        <v>0</v>
      </c>
      <c r="AO510" s="43">
        <v>20000000</v>
      </c>
      <c r="AP510" s="43">
        <v>20000000</v>
      </c>
      <c r="AQ510" s="44">
        <v>0</v>
      </c>
      <c r="AR510" s="143">
        <v>0</v>
      </c>
      <c r="AS510" s="44">
        <v>0</v>
      </c>
      <c r="AT510" s="40">
        <f t="shared" ref="AT510" si="273">AQ510+AS510</f>
        <v>0</v>
      </c>
      <c r="AU510" s="34">
        <f>AJ510-AM510</f>
        <v>0</v>
      </c>
      <c r="AV510" s="34">
        <f>AM510-AP510</f>
        <v>0</v>
      </c>
      <c r="AW510" s="34">
        <f>AP510-AT510</f>
        <v>20000000</v>
      </c>
      <c r="AX510" s="123">
        <f>AP510/AJ510</f>
        <v>1</v>
      </c>
    </row>
    <row r="511" spans="1:50" ht="18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1"/>
      <c r="AB511" s="42"/>
      <c r="AC511" s="168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0"/>
      <c r="AU511" s="18"/>
      <c r="AV511" s="34"/>
      <c r="AW511" s="34"/>
      <c r="AX511" s="123"/>
    </row>
    <row r="512" spans="1:50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170" t="s">
        <v>1016</v>
      </c>
      <c r="AB512" s="170" t="s">
        <v>997</v>
      </c>
      <c r="AC512" s="168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0"/>
      <c r="AU512" s="18"/>
      <c r="AV512" s="34"/>
      <c r="AW512" s="34"/>
      <c r="AX512" s="123"/>
    </row>
    <row r="513" spans="1:50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170" t="s">
        <v>1017</v>
      </c>
      <c r="AB513" s="170" t="s">
        <v>999</v>
      </c>
      <c r="AC513" s="168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0"/>
      <c r="AU513" s="18"/>
      <c r="AV513" s="34"/>
      <c r="AW513" s="34"/>
      <c r="AX513" s="123"/>
    </row>
    <row r="514" spans="1:50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170" t="s">
        <v>1018</v>
      </c>
      <c r="AB514" s="170" t="s">
        <v>1001</v>
      </c>
      <c r="AC514" s="168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0"/>
      <c r="AU514" s="18"/>
      <c r="AV514" s="34"/>
      <c r="AW514" s="34"/>
      <c r="AX514" s="123"/>
    </row>
    <row r="515" spans="1:50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170" t="s">
        <v>1021</v>
      </c>
      <c r="AB515" s="165" t="s">
        <v>1003</v>
      </c>
      <c r="AC515" s="168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0"/>
      <c r="AU515" s="18"/>
      <c r="AV515" s="34"/>
      <c r="AW515" s="34"/>
      <c r="AX515" s="123"/>
    </row>
    <row r="516" spans="1:50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166" t="s">
        <v>1019</v>
      </c>
      <c r="AB516" s="167" t="s">
        <v>1005</v>
      </c>
      <c r="AC516" s="168"/>
      <c r="AD516" s="44">
        <v>0</v>
      </c>
      <c r="AE516" s="43">
        <v>289968755.39999998</v>
      </c>
      <c r="AF516" s="44">
        <v>0</v>
      </c>
      <c r="AG516" s="44">
        <v>0</v>
      </c>
      <c r="AH516" s="44">
        <v>0</v>
      </c>
      <c r="AI516" s="18">
        <f t="shared" ref="AI516:AI517" si="274">AE516-AF516+AG516-AH516</f>
        <v>289968755.39999998</v>
      </c>
      <c r="AJ516" s="18">
        <f t="shared" ref="AJ516:AJ517" si="275">AD516+AI516</f>
        <v>289968755.39999998</v>
      </c>
      <c r="AK516" s="44">
        <v>0</v>
      </c>
      <c r="AL516" s="44">
        <f>AM516-AGOSTO!AM498</f>
        <v>0</v>
      </c>
      <c r="AM516" s="43">
        <v>97697299.079999998</v>
      </c>
      <c r="AN516" s="44">
        <v>0</v>
      </c>
      <c r="AO516" s="44">
        <v>0</v>
      </c>
      <c r="AP516" s="43">
        <v>97697299.079999998</v>
      </c>
      <c r="AQ516" s="44">
        <v>0</v>
      </c>
      <c r="AR516" s="44">
        <v>0</v>
      </c>
      <c r="AS516" s="43">
        <v>2031817</v>
      </c>
      <c r="AT516" s="39">
        <f t="shared" ref="AT516:AT517" si="276">AQ516+AS516</f>
        <v>2031817</v>
      </c>
      <c r="AU516" s="18">
        <f>AJ516-AM516</f>
        <v>192271456.31999999</v>
      </c>
      <c r="AV516" s="34">
        <f>AM516-AP516</f>
        <v>0</v>
      </c>
      <c r="AW516" s="18">
        <f>AP516-AT516</f>
        <v>95665482.079999998</v>
      </c>
      <c r="AX516" s="123">
        <f>AP516/AJ516</f>
        <v>0.33692353834891831</v>
      </c>
    </row>
    <row r="517" spans="1:50" ht="25.5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166" t="s">
        <v>1022</v>
      </c>
      <c r="AB517" s="167" t="s">
        <v>1023</v>
      </c>
      <c r="AC517" s="168"/>
      <c r="AD517" s="44">
        <v>0</v>
      </c>
      <c r="AE517" s="43">
        <v>185022377.55000001</v>
      </c>
      <c r="AF517" s="44">
        <v>0</v>
      </c>
      <c r="AG517" s="44">
        <v>0</v>
      </c>
      <c r="AH517" s="44">
        <v>0</v>
      </c>
      <c r="AI517" s="18">
        <f t="shared" si="274"/>
        <v>185022377.55000001</v>
      </c>
      <c r="AJ517" s="18">
        <f t="shared" si="275"/>
        <v>185022377.55000001</v>
      </c>
      <c r="AK517" s="44">
        <v>0</v>
      </c>
      <c r="AL517" s="44">
        <v>0</v>
      </c>
      <c r="AM517" s="43">
        <v>185022377.55000001</v>
      </c>
      <c r="AN517" s="44">
        <v>0</v>
      </c>
      <c r="AO517" s="44">
        <v>0</v>
      </c>
      <c r="AP517" s="43">
        <v>185022377.55000001</v>
      </c>
      <c r="AQ517" s="44">
        <v>0</v>
      </c>
      <c r="AR517" s="44">
        <v>0</v>
      </c>
      <c r="AS517" s="43">
        <v>185022377.55000001</v>
      </c>
      <c r="AT517" s="39">
        <f t="shared" si="276"/>
        <v>185022377.55000001</v>
      </c>
      <c r="AU517" s="34">
        <f>AJ517-AM517</f>
        <v>0</v>
      </c>
      <c r="AV517" s="34">
        <f>AM517-AP517</f>
        <v>0</v>
      </c>
      <c r="AW517" s="34">
        <f>AP517-AT517</f>
        <v>0</v>
      </c>
      <c r="AX517" s="123">
        <f>AP517/AJ517</f>
        <v>1</v>
      </c>
    </row>
    <row r="518" spans="1:50" ht="18.75" customHeight="1" x14ac:dyDescent="0.2">
      <c r="AA518" s="16"/>
      <c r="AB518" s="17"/>
      <c r="AC518" s="17"/>
      <c r="AD518" s="18"/>
      <c r="AE518" s="34"/>
      <c r="AF518" s="34"/>
      <c r="AG518" s="34"/>
      <c r="AH518" s="34"/>
      <c r="AI518" s="34"/>
      <c r="AJ518" s="18"/>
      <c r="AK518" s="34"/>
      <c r="AL518" s="18"/>
      <c r="AM518" s="18"/>
      <c r="AN518" s="18"/>
      <c r="AO518" s="18"/>
      <c r="AP518" s="18"/>
      <c r="AQ518" s="18"/>
      <c r="AR518" s="18"/>
      <c r="AS518" s="18"/>
      <c r="AT518" s="40"/>
      <c r="AU518" s="18"/>
      <c r="AV518" s="18"/>
      <c r="AW518" s="18"/>
      <c r="AX518" s="18"/>
    </row>
    <row r="519" spans="1:50" ht="18.75" customHeight="1" x14ac:dyDescent="0.2">
      <c r="AA519" s="16"/>
      <c r="AB519" s="29" t="s">
        <v>429</v>
      </c>
      <c r="AC519" s="17"/>
      <c r="AD519" s="18"/>
      <c r="AE519" s="34"/>
      <c r="AF519" s="34"/>
      <c r="AG519" s="34"/>
      <c r="AH519" s="34"/>
      <c r="AI519" s="34"/>
      <c r="AJ519" s="18"/>
      <c r="AK519" s="34"/>
      <c r="AL519" s="18"/>
      <c r="AM519" s="18"/>
      <c r="AN519" s="18"/>
      <c r="AO519" s="18"/>
      <c r="AP519" s="18"/>
      <c r="AQ519" s="18"/>
      <c r="AR519" s="18"/>
      <c r="AS519" s="18"/>
      <c r="AT519" s="40"/>
      <c r="AU519" s="18"/>
      <c r="AV519" s="18"/>
      <c r="AW519" s="18"/>
      <c r="AX519" s="18"/>
    </row>
    <row r="520" spans="1:50" ht="18.75" customHeight="1" x14ac:dyDescent="0.2">
      <c r="AA520" s="16"/>
      <c r="AB520" s="29" t="s">
        <v>286</v>
      </c>
      <c r="AC520" s="17"/>
      <c r="AD520" s="18"/>
      <c r="AE520" s="34"/>
      <c r="AF520" s="34"/>
      <c r="AG520" s="34"/>
      <c r="AH520" s="34"/>
      <c r="AI520" s="34"/>
      <c r="AJ520" s="18"/>
      <c r="AK520" s="34"/>
      <c r="AL520" s="18"/>
      <c r="AM520" s="18"/>
      <c r="AN520" s="18"/>
      <c r="AO520" s="18"/>
      <c r="AP520" s="18"/>
      <c r="AQ520" s="18"/>
      <c r="AR520" s="18"/>
      <c r="AS520" s="18"/>
      <c r="AT520" s="40"/>
      <c r="AU520" s="18"/>
      <c r="AV520" s="18"/>
      <c r="AW520" s="18"/>
      <c r="AX520" s="18"/>
    </row>
    <row r="521" spans="1:50" ht="18.75" customHeight="1" x14ac:dyDescent="0.2">
      <c r="AA521" s="16"/>
      <c r="AB521" s="29" t="s">
        <v>179</v>
      </c>
      <c r="AC521" s="17"/>
      <c r="AD521" s="18"/>
      <c r="AE521" s="34"/>
      <c r="AF521" s="34"/>
      <c r="AG521" s="34"/>
      <c r="AH521" s="34"/>
      <c r="AI521" s="34"/>
      <c r="AJ521" s="18"/>
      <c r="AK521" s="34"/>
      <c r="AL521" s="18"/>
      <c r="AM521" s="18"/>
      <c r="AN521" s="18"/>
      <c r="AO521" s="18"/>
      <c r="AP521" s="18"/>
      <c r="AQ521" s="18"/>
      <c r="AR521" s="18"/>
      <c r="AS521" s="18"/>
      <c r="AT521" s="40"/>
      <c r="AU521" s="18"/>
      <c r="AV521" s="18"/>
      <c r="AW521" s="18"/>
      <c r="AX521" s="18"/>
    </row>
    <row r="522" spans="1:50" ht="18.75" customHeight="1" x14ac:dyDescent="0.2">
      <c r="AA522" s="16"/>
      <c r="AB522" s="29" t="s">
        <v>189</v>
      </c>
      <c r="AC522" s="17"/>
      <c r="AD522" s="18"/>
      <c r="AE522" s="34"/>
      <c r="AF522" s="34"/>
      <c r="AG522" s="34"/>
      <c r="AH522" s="34"/>
      <c r="AI522" s="34"/>
      <c r="AJ522" s="18"/>
      <c r="AK522" s="34"/>
      <c r="AL522" s="18"/>
      <c r="AM522" s="18"/>
      <c r="AN522" s="18"/>
      <c r="AO522" s="18"/>
      <c r="AP522" s="18"/>
      <c r="AQ522" s="18"/>
      <c r="AR522" s="18"/>
      <c r="AS522" s="18"/>
      <c r="AT522" s="40"/>
      <c r="AU522" s="18"/>
      <c r="AV522" s="18"/>
      <c r="AW522" s="18"/>
      <c r="AX522" s="18"/>
    </row>
    <row r="523" spans="1:50" ht="18.75" customHeight="1" x14ac:dyDescent="0.2">
      <c r="AA523" s="16"/>
      <c r="AB523" s="29" t="s">
        <v>199</v>
      </c>
      <c r="AC523" s="17"/>
      <c r="AD523" s="18"/>
      <c r="AE523" s="34"/>
      <c r="AF523" s="34"/>
      <c r="AG523" s="34"/>
      <c r="AH523" s="34"/>
      <c r="AI523" s="34"/>
      <c r="AJ523" s="18"/>
      <c r="AK523" s="34"/>
      <c r="AL523" s="18"/>
      <c r="AM523" s="18"/>
      <c r="AN523" s="18"/>
      <c r="AO523" s="18"/>
      <c r="AP523" s="18"/>
      <c r="AQ523" s="18"/>
      <c r="AR523" s="18"/>
      <c r="AS523" s="18"/>
      <c r="AT523" s="40"/>
      <c r="AU523" s="18"/>
      <c r="AV523" s="18"/>
      <c r="AW523" s="18"/>
      <c r="AX523" s="18"/>
    </row>
    <row r="524" spans="1:50" ht="25.5" x14ac:dyDescent="0.2">
      <c r="AA524" s="28" t="s">
        <v>288</v>
      </c>
      <c r="AB524" s="29" t="s">
        <v>418</v>
      </c>
      <c r="AC524" s="17"/>
      <c r="AD524" s="18"/>
      <c r="AE524" s="34"/>
      <c r="AF524" s="34"/>
      <c r="AG524" s="34"/>
      <c r="AH524" s="34"/>
      <c r="AI524" s="34"/>
      <c r="AJ524" s="18"/>
      <c r="AK524" s="34"/>
      <c r="AL524" s="18"/>
      <c r="AM524" s="18"/>
      <c r="AN524" s="18"/>
      <c r="AO524" s="18"/>
      <c r="AP524" s="18"/>
      <c r="AQ524" s="18"/>
      <c r="AR524" s="18"/>
      <c r="AS524" s="18"/>
      <c r="AT524" s="40"/>
      <c r="AU524" s="18"/>
      <c r="AV524" s="18"/>
      <c r="AW524" s="18"/>
      <c r="AX524" s="18"/>
    </row>
    <row r="525" spans="1:50" ht="18.75" customHeight="1" x14ac:dyDescent="0.2">
      <c r="A525" s="4" t="s">
        <v>55</v>
      </c>
      <c r="B525" s="4" t="s">
        <v>56</v>
      </c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1" t="s">
        <v>419</v>
      </c>
      <c r="AB525" s="42" t="s">
        <v>233</v>
      </c>
      <c r="AC525" s="43" t="s">
        <v>58</v>
      </c>
      <c r="AD525" s="43">
        <v>2364833525</v>
      </c>
      <c r="AE525" s="44">
        <v>0</v>
      </c>
      <c r="AF525" s="44">
        <v>0</v>
      </c>
      <c r="AG525" s="44">
        <v>0</v>
      </c>
      <c r="AH525" s="18">
        <v>1500000000</v>
      </c>
      <c r="AI525" s="18">
        <f>AE525-AF525+AG525-AH525</f>
        <v>-1500000000</v>
      </c>
      <c r="AJ525" s="18">
        <f>AD525+AI525</f>
        <v>864833525</v>
      </c>
      <c r="AK525" s="44">
        <v>0</v>
      </c>
      <c r="AL525" s="44">
        <v>0</v>
      </c>
      <c r="AM525" s="43">
        <v>864833525</v>
      </c>
      <c r="AN525" s="44">
        <v>0</v>
      </c>
      <c r="AO525" s="44">
        <v>0</v>
      </c>
      <c r="AP525" s="43">
        <v>864832420</v>
      </c>
      <c r="AQ525" s="44">
        <v>0</v>
      </c>
      <c r="AR525" s="43">
        <v>12537659</v>
      </c>
      <c r="AS525" s="43">
        <v>577630135</v>
      </c>
      <c r="AT525" s="39">
        <f t="shared" ref="AT525:AT528" si="277">AQ525+AS525</f>
        <v>577630135</v>
      </c>
      <c r="AU525" s="34">
        <f>AJ525-AM525</f>
        <v>0</v>
      </c>
      <c r="AV525" s="18">
        <f>AM525-AP525</f>
        <v>1105</v>
      </c>
      <c r="AW525" s="18">
        <f>AP525-AT525</f>
        <v>287202285</v>
      </c>
      <c r="AX525" s="123">
        <f>AP525/AJ525</f>
        <v>0.99999872229745024</v>
      </c>
    </row>
    <row r="526" spans="1:50" ht="18.75" customHeight="1" x14ac:dyDescent="0.2">
      <c r="A526" s="4" t="s">
        <v>55</v>
      </c>
      <c r="B526" s="4" t="s">
        <v>56</v>
      </c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1" t="s">
        <v>430</v>
      </c>
      <c r="AB526" s="42" t="s">
        <v>431</v>
      </c>
      <c r="AC526" s="43" t="s">
        <v>432</v>
      </c>
      <c r="AD526" s="43">
        <v>1269842288</v>
      </c>
      <c r="AE526" s="44">
        <v>0</v>
      </c>
      <c r="AF526" s="44">
        <v>0</v>
      </c>
      <c r="AG526" s="44">
        <v>0</v>
      </c>
      <c r="AH526" s="44">
        <v>0</v>
      </c>
      <c r="AI526" s="44">
        <v>0</v>
      </c>
      <c r="AJ526" s="43">
        <v>1269842288</v>
      </c>
      <c r="AK526" s="44">
        <v>0</v>
      </c>
      <c r="AL526" s="44">
        <v>0</v>
      </c>
      <c r="AM526" s="43">
        <v>1269842288</v>
      </c>
      <c r="AN526" s="44">
        <v>0</v>
      </c>
      <c r="AO526" s="43">
        <v>0</v>
      </c>
      <c r="AP526" s="43">
        <v>1269842288</v>
      </c>
      <c r="AQ526" s="43">
        <v>0</v>
      </c>
      <c r="AR526" s="43">
        <v>161238436</v>
      </c>
      <c r="AS526" s="43">
        <v>787010884</v>
      </c>
      <c r="AT526" s="39">
        <f t="shared" si="277"/>
        <v>787010884</v>
      </c>
      <c r="AU526" s="34">
        <f>AJ526-AM526</f>
        <v>0</v>
      </c>
      <c r="AV526" s="18">
        <f>AM526-AP526</f>
        <v>0</v>
      </c>
      <c r="AW526" s="18">
        <f>AP526-AT526</f>
        <v>482831404</v>
      </c>
      <c r="AX526" s="123">
        <f>AP526/AJ526</f>
        <v>1</v>
      </c>
    </row>
    <row r="527" spans="1:50" ht="18.75" customHeight="1" x14ac:dyDescent="0.2">
      <c r="A527" s="4" t="s">
        <v>55</v>
      </c>
      <c r="B527" s="4" t="s">
        <v>56</v>
      </c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1" t="s">
        <v>433</v>
      </c>
      <c r="AB527" s="42" t="s">
        <v>434</v>
      </c>
      <c r="AC527" s="43" t="s">
        <v>428</v>
      </c>
      <c r="AD527" s="43">
        <v>1185147617</v>
      </c>
      <c r="AE527" s="43">
        <v>266312363.37</v>
      </c>
      <c r="AF527" s="44">
        <v>0</v>
      </c>
      <c r="AG527" s="44">
        <v>0</v>
      </c>
      <c r="AH527" s="44">
        <v>0</v>
      </c>
      <c r="AI527" s="18">
        <f>AE527-AF527+AG527-AH527</f>
        <v>266312363.37</v>
      </c>
      <c r="AJ527" s="18">
        <f>AD527+AI527</f>
        <v>1451459980.3699999</v>
      </c>
      <c r="AK527" s="44">
        <v>0</v>
      </c>
      <c r="AL527" s="44">
        <v>0</v>
      </c>
      <c r="AM527" s="43">
        <v>799588657</v>
      </c>
      <c r="AN527" s="44">
        <v>0</v>
      </c>
      <c r="AO527" s="44">
        <v>0</v>
      </c>
      <c r="AP527" s="43">
        <v>799580047</v>
      </c>
      <c r="AQ527" s="44">
        <v>0</v>
      </c>
      <c r="AR527" s="43">
        <v>107646652</v>
      </c>
      <c r="AS527" s="44">
        <v>475847561</v>
      </c>
      <c r="AT527" s="39">
        <f t="shared" si="277"/>
        <v>475847561</v>
      </c>
      <c r="AU527" s="18">
        <f>AJ527-AM527</f>
        <v>651871323.36999989</v>
      </c>
      <c r="AV527" s="18">
        <f>AM527-AP527</f>
        <v>8610</v>
      </c>
      <c r="AW527" s="18">
        <f>AP527-AT527</f>
        <v>323732486</v>
      </c>
      <c r="AX527" s="123">
        <f>AP527/AJ527</f>
        <v>0.55087984361523668</v>
      </c>
    </row>
    <row r="528" spans="1:50" ht="18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166" t="s">
        <v>1024</v>
      </c>
      <c r="AB528" s="167" t="s">
        <v>1025</v>
      </c>
      <c r="AC528" s="168"/>
      <c r="AD528" s="44">
        <v>0</v>
      </c>
      <c r="AE528" s="43">
        <v>860456218.52999997</v>
      </c>
      <c r="AF528" s="44">
        <v>0</v>
      </c>
      <c r="AG528" s="44">
        <v>0</v>
      </c>
      <c r="AH528" s="44">
        <v>0</v>
      </c>
      <c r="AI528" s="18">
        <f>AE528-AF528+AG528-AH528</f>
        <v>860456218.52999997</v>
      </c>
      <c r="AJ528" s="18">
        <f>AD528+AI528</f>
        <v>860456218.52999997</v>
      </c>
      <c r="AK528" s="44">
        <v>0</v>
      </c>
      <c r="AL528" s="44">
        <v>0</v>
      </c>
      <c r="AM528" s="43">
        <v>374888075</v>
      </c>
      <c r="AN528" s="44">
        <v>0</v>
      </c>
      <c r="AO528" s="44">
        <v>0</v>
      </c>
      <c r="AP528" s="43">
        <v>374888075</v>
      </c>
      <c r="AQ528" s="43">
        <v>0</v>
      </c>
      <c r="AR528" s="43">
        <v>0</v>
      </c>
      <c r="AS528" s="44">
        <v>69637548</v>
      </c>
      <c r="AT528" s="39">
        <f t="shared" si="277"/>
        <v>69637548</v>
      </c>
      <c r="AU528" s="18">
        <f>AJ528-AM528</f>
        <v>485568143.52999997</v>
      </c>
      <c r="AV528" s="18">
        <f>AM528-AP528</f>
        <v>0</v>
      </c>
      <c r="AW528" s="18">
        <f>AP528-AT528</f>
        <v>305250527</v>
      </c>
      <c r="AX528" s="123">
        <f>AP528/AJ528</f>
        <v>0.43568524106950768</v>
      </c>
    </row>
    <row r="529" spans="1:50" ht="25.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208" t="s">
        <v>288</v>
      </c>
      <c r="AB529" s="209" t="s">
        <v>959</v>
      </c>
      <c r="AC529" s="43"/>
      <c r="AD529" s="43"/>
      <c r="AE529" s="44"/>
      <c r="AF529" s="44"/>
      <c r="AG529" s="44"/>
      <c r="AH529" s="44"/>
      <c r="AI529" s="44"/>
      <c r="AJ529" s="43"/>
      <c r="AK529" s="44"/>
      <c r="AL529" s="44"/>
      <c r="AM529" s="44"/>
      <c r="AN529" s="44"/>
      <c r="AO529" s="44"/>
      <c r="AP529" s="44"/>
      <c r="AQ529" s="44"/>
      <c r="AR529" s="44"/>
      <c r="AS529" s="44"/>
      <c r="AT529" s="40"/>
      <c r="AU529" s="18"/>
      <c r="AV529" s="34"/>
      <c r="AW529" s="34"/>
      <c r="AX529" s="123"/>
    </row>
    <row r="530" spans="1:50" ht="18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160" t="s">
        <v>960</v>
      </c>
      <c r="AB530" s="42" t="s">
        <v>961</v>
      </c>
      <c r="AC530" s="43"/>
      <c r="AD530" s="44">
        <v>0</v>
      </c>
      <c r="AE530" s="44">
        <v>0</v>
      </c>
      <c r="AF530" s="44">
        <v>0</v>
      </c>
      <c r="AG530" s="43">
        <v>1500000000</v>
      </c>
      <c r="AH530" s="43">
        <v>1500000000</v>
      </c>
      <c r="AI530" s="34">
        <f>AE530-AF530+AG530-AH530</f>
        <v>0</v>
      </c>
      <c r="AJ530" s="34">
        <f>AD530+AI530</f>
        <v>0</v>
      </c>
      <c r="AK530" s="44">
        <v>0</v>
      </c>
      <c r="AL530" s="44">
        <v>0</v>
      </c>
      <c r="AM530" s="44">
        <v>0</v>
      </c>
      <c r="AN530" s="44">
        <v>0</v>
      </c>
      <c r="AO530" s="44">
        <v>0</v>
      </c>
      <c r="AP530" s="44">
        <v>0</v>
      </c>
      <c r="AQ530" s="44">
        <v>0</v>
      </c>
      <c r="AR530" s="44">
        <v>0</v>
      </c>
      <c r="AS530" s="44">
        <v>0</v>
      </c>
      <c r="AT530" s="40">
        <f t="shared" ref="AT530" si="278">AQ530+AS530</f>
        <v>0</v>
      </c>
      <c r="AU530" s="18">
        <f>AJ530-AM530</f>
        <v>0</v>
      </c>
      <c r="AV530" s="34">
        <f>AM530-AP530</f>
        <v>0</v>
      </c>
      <c r="AW530" s="34">
        <f>AP530-AT530</f>
        <v>0</v>
      </c>
      <c r="AX530" s="123">
        <v>0</v>
      </c>
    </row>
    <row r="531" spans="1:50" ht="18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160"/>
      <c r="AB531" s="42"/>
      <c r="AC531" s="43"/>
      <c r="AD531" s="44"/>
      <c r="AE531" s="44"/>
      <c r="AF531" s="44"/>
      <c r="AG531" s="43"/>
      <c r="AH531" s="44"/>
      <c r="AI531" s="18"/>
      <c r="AJ531" s="18"/>
      <c r="AK531" s="44"/>
      <c r="AL531" s="44"/>
      <c r="AM531" s="44"/>
      <c r="AN531" s="44"/>
      <c r="AO531" s="44"/>
      <c r="AP531" s="44"/>
      <c r="AQ531" s="44"/>
      <c r="AR531" s="44"/>
      <c r="AS531" s="44"/>
      <c r="AT531" s="40"/>
      <c r="AU531" s="18"/>
      <c r="AV531" s="34"/>
      <c r="AW531" s="34"/>
      <c r="AX531" s="123"/>
    </row>
    <row r="532" spans="1:50" ht="18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166"/>
      <c r="AB532" s="165" t="s">
        <v>1026</v>
      </c>
      <c r="AC532" s="168"/>
      <c r="AD532" s="44"/>
      <c r="AE532" s="44"/>
      <c r="AF532" s="44"/>
      <c r="AG532" s="43"/>
      <c r="AH532" s="44"/>
      <c r="AI532" s="18"/>
      <c r="AJ532" s="18"/>
      <c r="AK532" s="44"/>
      <c r="AL532" s="44"/>
      <c r="AM532" s="44"/>
      <c r="AN532" s="44"/>
      <c r="AO532" s="44"/>
      <c r="AP532" s="44"/>
      <c r="AQ532" s="44"/>
      <c r="AR532" s="44"/>
      <c r="AS532" s="44"/>
      <c r="AT532" s="40"/>
      <c r="AU532" s="18"/>
      <c r="AV532" s="34"/>
      <c r="AW532" s="34"/>
      <c r="AX532" s="123"/>
    </row>
    <row r="533" spans="1:50" ht="25.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166" t="s">
        <v>991</v>
      </c>
      <c r="AB533" s="167" t="s">
        <v>992</v>
      </c>
      <c r="AC533" s="168"/>
      <c r="AD533" s="44">
        <v>0</v>
      </c>
      <c r="AE533" s="43">
        <v>720712175</v>
      </c>
      <c r="AF533" s="44">
        <v>0</v>
      </c>
      <c r="AG533" s="44">
        <v>0</v>
      </c>
      <c r="AH533" s="44">
        <v>0</v>
      </c>
      <c r="AI533" s="18">
        <f>AE533-AF533+AG533-AH533</f>
        <v>720712175</v>
      </c>
      <c r="AJ533" s="18">
        <f>AD533+AI533</f>
        <v>720712175</v>
      </c>
      <c r="AK533" s="44">
        <v>0</v>
      </c>
      <c r="AL533" s="44">
        <v>0</v>
      </c>
      <c r="AM533" s="44">
        <v>0</v>
      </c>
      <c r="AN533" s="44">
        <v>0</v>
      </c>
      <c r="AO533" s="44">
        <v>0</v>
      </c>
      <c r="AP533" s="44">
        <v>0</v>
      </c>
      <c r="AQ533" s="44">
        <v>0</v>
      </c>
      <c r="AR533" s="44">
        <v>0</v>
      </c>
      <c r="AS533" s="44">
        <v>0</v>
      </c>
      <c r="AT533" s="40">
        <f t="shared" ref="AT533" si="279">AQ533+AS533</f>
        <v>0</v>
      </c>
      <c r="AU533" s="18">
        <f>AJ533-AM533</f>
        <v>720712175</v>
      </c>
      <c r="AV533" s="34">
        <f>AM533-AP533</f>
        <v>0</v>
      </c>
      <c r="AW533" s="34">
        <f>AP533-AT533</f>
        <v>0</v>
      </c>
      <c r="AX533" s="123">
        <f>AP533/AJ533</f>
        <v>0</v>
      </c>
    </row>
    <row r="534" spans="1:50" ht="18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210"/>
      <c r="AB534" s="207"/>
      <c r="AC534" s="43"/>
      <c r="AD534" s="44"/>
      <c r="AE534" s="44"/>
      <c r="AF534" s="44"/>
      <c r="AG534" s="43"/>
      <c r="AH534" s="44"/>
      <c r="AI534" s="18"/>
      <c r="AJ534" s="18"/>
      <c r="AK534" s="44"/>
      <c r="AL534" s="44"/>
      <c r="AM534" s="44"/>
      <c r="AN534" s="44"/>
      <c r="AO534" s="44"/>
      <c r="AP534" s="44"/>
      <c r="AQ534" s="44"/>
      <c r="AR534" s="44"/>
      <c r="AS534" s="44"/>
      <c r="AT534" s="40"/>
      <c r="AU534" s="18"/>
      <c r="AV534" s="34"/>
      <c r="AW534" s="18"/>
      <c r="AX534" s="123"/>
    </row>
    <row r="535" spans="1:50" ht="18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170" t="s">
        <v>1016</v>
      </c>
      <c r="AB535" s="170" t="s">
        <v>997</v>
      </c>
      <c r="AC535" s="168"/>
      <c r="AD535" s="44"/>
      <c r="AE535" s="44"/>
      <c r="AF535" s="44"/>
      <c r="AG535" s="43"/>
      <c r="AH535" s="44"/>
      <c r="AI535" s="18"/>
      <c r="AJ535" s="18"/>
      <c r="AK535" s="44"/>
      <c r="AL535" s="44"/>
      <c r="AM535" s="44"/>
      <c r="AN535" s="44"/>
      <c r="AO535" s="44"/>
      <c r="AP535" s="44"/>
      <c r="AQ535" s="44"/>
      <c r="AR535" s="44"/>
      <c r="AS535" s="44"/>
      <c r="AT535" s="40"/>
      <c r="AU535" s="18"/>
      <c r="AV535" s="34"/>
      <c r="AW535" s="18"/>
      <c r="AX535" s="123"/>
    </row>
    <row r="536" spans="1:50" ht="18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170" t="s">
        <v>1017</v>
      </c>
      <c r="AB536" s="170" t="s">
        <v>999</v>
      </c>
      <c r="AC536" s="168"/>
      <c r="AD536" s="44"/>
      <c r="AE536" s="44"/>
      <c r="AF536" s="44"/>
      <c r="AG536" s="43"/>
      <c r="AH536" s="44"/>
      <c r="AI536" s="18"/>
      <c r="AJ536" s="18"/>
      <c r="AK536" s="44"/>
      <c r="AL536" s="44"/>
      <c r="AM536" s="44"/>
      <c r="AN536" s="44"/>
      <c r="AO536" s="44"/>
      <c r="AP536" s="44"/>
      <c r="AQ536" s="44"/>
      <c r="AR536" s="44"/>
      <c r="AS536" s="44"/>
      <c r="AT536" s="40"/>
      <c r="AU536" s="18"/>
      <c r="AV536" s="34"/>
      <c r="AW536" s="18"/>
      <c r="AX536" s="123"/>
    </row>
    <row r="537" spans="1:50" ht="18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170" t="s">
        <v>1018</v>
      </c>
      <c r="AB537" s="170" t="s">
        <v>1001</v>
      </c>
      <c r="AC537" s="168"/>
      <c r="AD537" s="44"/>
      <c r="AE537" s="44"/>
      <c r="AF537" s="44"/>
      <c r="AG537" s="43"/>
      <c r="AH537" s="44"/>
      <c r="AI537" s="18"/>
      <c r="AJ537" s="18"/>
      <c r="AK537" s="44"/>
      <c r="AL537" s="44"/>
      <c r="AM537" s="44"/>
      <c r="AN537" s="44"/>
      <c r="AO537" s="44"/>
      <c r="AP537" s="44"/>
      <c r="AQ537" s="44"/>
      <c r="AR537" s="44"/>
      <c r="AS537" s="44"/>
      <c r="AT537" s="40"/>
      <c r="AU537" s="18"/>
      <c r="AV537" s="34"/>
      <c r="AW537" s="18"/>
      <c r="AX537" s="123"/>
    </row>
    <row r="538" spans="1:50" ht="18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170" t="s">
        <v>1021</v>
      </c>
      <c r="AB538" s="165" t="s">
        <v>1003</v>
      </c>
      <c r="AC538" s="168"/>
      <c r="AD538" s="44"/>
      <c r="AE538" s="44"/>
      <c r="AF538" s="44"/>
      <c r="AG538" s="43"/>
      <c r="AH538" s="44"/>
      <c r="AI538" s="18"/>
      <c r="AJ538" s="18"/>
      <c r="AK538" s="44"/>
      <c r="AL538" s="44"/>
      <c r="AM538" s="44"/>
      <c r="AN538" s="44"/>
      <c r="AO538" s="44"/>
      <c r="AP538" s="44"/>
      <c r="AQ538" s="44"/>
      <c r="AR538" s="44"/>
      <c r="AS538" s="44"/>
      <c r="AT538" s="40"/>
      <c r="AU538" s="18"/>
      <c r="AV538" s="34"/>
      <c r="AW538" s="18"/>
      <c r="AX538" s="123"/>
    </row>
    <row r="539" spans="1:50" ht="18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166" t="s">
        <v>1027</v>
      </c>
      <c r="AB539" s="167" t="s">
        <v>1028</v>
      </c>
      <c r="AC539" s="168"/>
      <c r="AD539" s="44">
        <v>0</v>
      </c>
      <c r="AE539" s="43">
        <v>20398035</v>
      </c>
      <c r="AF539" s="44">
        <v>0</v>
      </c>
      <c r="AG539" s="44">
        <v>0</v>
      </c>
      <c r="AH539" s="44">
        <v>0</v>
      </c>
      <c r="AI539" s="18">
        <f>AE539-AF539+AG539-AH539</f>
        <v>20398035</v>
      </c>
      <c r="AJ539" s="18">
        <f>AD539+AI539</f>
        <v>20398035</v>
      </c>
      <c r="AK539" s="44">
        <v>0</v>
      </c>
      <c r="AL539" s="44">
        <v>0</v>
      </c>
      <c r="AM539" s="43">
        <v>20398035</v>
      </c>
      <c r="AN539" s="44">
        <v>0</v>
      </c>
      <c r="AO539" s="43">
        <v>0</v>
      </c>
      <c r="AP539" s="43">
        <v>20398035</v>
      </c>
      <c r="AQ539" s="44">
        <v>0</v>
      </c>
      <c r="AR539" s="44">
        <v>0</v>
      </c>
      <c r="AS539" s="43">
        <v>20398035</v>
      </c>
      <c r="AT539" s="39">
        <f t="shared" ref="AT539" si="280">AQ539+AS539</f>
        <v>20398035</v>
      </c>
      <c r="AU539" s="34">
        <f>AJ539-AM539</f>
        <v>0</v>
      </c>
      <c r="AV539" s="34">
        <f>AM539-AP539</f>
        <v>0</v>
      </c>
      <c r="AW539" s="34">
        <f>AP539-AT539</f>
        <v>0</v>
      </c>
      <c r="AX539" s="123">
        <f>AP539/AJ539</f>
        <v>1</v>
      </c>
    </row>
    <row r="540" spans="1:50" s="343" customFormat="1" ht="18.75" customHeight="1" x14ac:dyDescent="0.2">
      <c r="A540" s="45"/>
      <c r="B540" s="45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6"/>
      <c r="AB540" s="47" t="s">
        <v>435</v>
      </c>
      <c r="AC540" s="48"/>
      <c r="AD540" s="48">
        <f t="shared" ref="AD540:AW540" si="281">SUM(AD260:AD539)</f>
        <v>301961738926</v>
      </c>
      <c r="AE540" s="48">
        <f t="shared" si="281"/>
        <v>18713664814.689999</v>
      </c>
      <c r="AF540" s="49">
        <f t="shared" si="281"/>
        <v>0</v>
      </c>
      <c r="AG540" s="48">
        <f t="shared" si="281"/>
        <v>25481905257.159996</v>
      </c>
      <c r="AH540" s="48">
        <f t="shared" si="281"/>
        <v>26634050783.16</v>
      </c>
      <c r="AI540" s="48">
        <f t="shared" si="281"/>
        <v>17561519288.689999</v>
      </c>
      <c r="AJ540" s="48">
        <f t="shared" si="281"/>
        <v>319523258214.69006</v>
      </c>
      <c r="AK540" s="48">
        <f t="shared" si="281"/>
        <v>1317307558</v>
      </c>
      <c r="AL540" s="48">
        <f t="shared" si="281"/>
        <v>44208034896.389999</v>
      </c>
      <c r="AM540" s="48">
        <f t="shared" si="281"/>
        <v>267568454248.16</v>
      </c>
      <c r="AN540" s="49">
        <f t="shared" si="281"/>
        <v>499798529.54000002</v>
      </c>
      <c r="AO540" s="48">
        <f t="shared" si="281"/>
        <v>42815194358.240005</v>
      </c>
      <c r="AP540" s="48">
        <f t="shared" si="281"/>
        <v>265784477540.67996</v>
      </c>
      <c r="AQ540" s="48">
        <f t="shared" si="281"/>
        <v>3361832235.7199998</v>
      </c>
      <c r="AR540" s="48">
        <f t="shared" si="281"/>
        <v>21326905862.850002</v>
      </c>
      <c r="AS540" s="48">
        <f t="shared" si="281"/>
        <v>205985805813.91998</v>
      </c>
      <c r="AT540" s="48">
        <f t="shared" si="281"/>
        <v>209347638049.63998</v>
      </c>
      <c r="AU540" s="48">
        <f t="shared" si="281"/>
        <v>51954803966.530006</v>
      </c>
      <c r="AV540" s="48">
        <f t="shared" si="281"/>
        <v>1783976707.4799981</v>
      </c>
      <c r="AW540" s="48">
        <f t="shared" si="281"/>
        <v>56436839491.040016</v>
      </c>
      <c r="AX540" s="24">
        <f>AP540/AJ540</f>
        <v>0.83181574645216405</v>
      </c>
    </row>
    <row r="541" spans="1:50" ht="18.75" customHeight="1" x14ac:dyDescent="0.2">
      <c r="AA541" s="16"/>
      <c r="AB541" s="17"/>
      <c r="AC541" s="17"/>
      <c r="AD541" s="18"/>
      <c r="AE541" s="34"/>
      <c r="AF541" s="34"/>
      <c r="AG541" s="34"/>
      <c r="AH541" s="34"/>
      <c r="AI541" s="34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</row>
    <row r="542" spans="1:50" ht="18.75" customHeight="1" x14ac:dyDescent="0.2">
      <c r="A542" s="25"/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66"/>
      <c r="AB542" s="21" t="s">
        <v>436</v>
      </c>
      <c r="AC542" s="67"/>
      <c r="AD542" s="63"/>
      <c r="AE542" s="72"/>
      <c r="AF542" s="72"/>
      <c r="AG542" s="72"/>
      <c r="AH542" s="72"/>
      <c r="AI542" s="72"/>
      <c r="AJ542" s="63"/>
      <c r="AK542" s="63"/>
      <c r="AL542" s="63"/>
      <c r="AM542" s="63"/>
      <c r="AN542" s="63"/>
      <c r="AO542" s="63"/>
      <c r="AP542" s="63"/>
      <c r="AQ542" s="63"/>
      <c r="AR542" s="63"/>
      <c r="AS542" s="63"/>
      <c r="AT542" s="63"/>
      <c r="AU542" s="63"/>
      <c r="AV542" s="63"/>
      <c r="AW542" s="63"/>
      <c r="AX542" s="63"/>
    </row>
    <row r="543" spans="1:50" ht="18.75" customHeight="1" x14ac:dyDescent="0.2">
      <c r="AA543" s="16"/>
      <c r="AB543" s="29" t="s">
        <v>38</v>
      </c>
      <c r="AC543" s="17"/>
      <c r="AD543" s="18"/>
      <c r="AE543" s="34"/>
      <c r="AF543" s="34"/>
      <c r="AG543" s="34"/>
      <c r="AH543" s="34"/>
      <c r="AI543" s="34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</row>
    <row r="544" spans="1:50" ht="18.75" customHeight="1" x14ac:dyDescent="0.2">
      <c r="AA544" s="16"/>
      <c r="AB544" s="29" t="s">
        <v>285</v>
      </c>
      <c r="AC544" s="17"/>
      <c r="AD544" s="18"/>
      <c r="AE544" s="34"/>
      <c r="AF544" s="34"/>
      <c r="AG544" s="34"/>
      <c r="AH544" s="34"/>
      <c r="AI544" s="34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</row>
    <row r="545" spans="1:50" ht="18.75" customHeight="1" x14ac:dyDescent="0.2">
      <c r="AA545" s="16"/>
      <c r="AB545" s="29" t="s">
        <v>286</v>
      </c>
      <c r="AC545" s="17"/>
      <c r="AD545" s="18"/>
      <c r="AE545" s="34"/>
      <c r="AF545" s="34"/>
      <c r="AG545" s="34"/>
      <c r="AH545" s="34"/>
      <c r="AI545" s="34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</row>
    <row r="546" spans="1:50" ht="18.75" customHeight="1" x14ac:dyDescent="0.2">
      <c r="AA546" s="16"/>
      <c r="AB546" s="29" t="s">
        <v>179</v>
      </c>
      <c r="AC546" s="17"/>
      <c r="AD546" s="18"/>
      <c r="AE546" s="34"/>
      <c r="AF546" s="34"/>
      <c r="AG546" s="34"/>
      <c r="AH546" s="34"/>
      <c r="AI546" s="34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</row>
    <row r="547" spans="1:50" ht="18.75" customHeight="1" x14ac:dyDescent="0.2">
      <c r="AA547" s="16"/>
      <c r="AB547" s="29" t="s">
        <v>181</v>
      </c>
      <c r="AC547" s="17"/>
      <c r="AD547" s="18"/>
      <c r="AE547" s="34"/>
      <c r="AF547" s="34"/>
      <c r="AG547" s="34"/>
      <c r="AH547" s="34"/>
      <c r="AI547" s="34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</row>
    <row r="548" spans="1:50" ht="18.75" customHeight="1" x14ac:dyDescent="0.2">
      <c r="AA548" s="73" t="s">
        <v>1348</v>
      </c>
      <c r="AB548" s="29" t="s">
        <v>1349</v>
      </c>
      <c r="AC548" s="17"/>
      <c r="AD548" s="18"/>
      <c r="AE548" s="34"/>
      <c r="AF548" s="34"/>
      <c r="AG548" s="34"/>
      <c r="AH548" s="34"/>
      <c r="AI548" s="34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</row>
    <row r="549" spans="1:50" ht="25.5" customHeight="1" x14ac:dyDescent="0.2">
      <c r="AA549" s="73" t="s">
        <v>288</v>
      </c>
      <c r="AB549" s="29" t="s">
        <v>1350</v>
      </c>
      <c r="AC549" s="17"/>
      <c r="AD549" s="18"/>
      <c r="AE549" s="34"/>
      <c r="AF549" s="34"/>
      <c r="AG549" s="34"/>
      <c r="AH549" s="34"/>
      <c r="AI549" s="34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</row>
    <row r="550" spans="1:50" ht="18.75" customHeight="1" x14ac:dyDescent="0.2">
      <c r="AA550" s="41" t="s">
        <v>1351</v>
      </c>
      <c r="AB550" s="38" t="s">
        <v>233</v>
      </c>
      <c r="AC550" s="17"/>
      <c r="AD550" s="34">
        <v>0</v>
      </c>
      <c r="AE550" s="34">
        <v>0</v>
      </c>
      <c r="AF550" s="34">
        <v>0</v>
      </c>
      <c r="AG550" s="18">
        <v>3000000000</v>
      </c>
      <c r="AH550" s="18">
        <v>1500000000</v>
      </c>
      <c r="AI550" s="43">
        <f t="shared" ref="AI550" si="282">AE550-AF550+AG550-AH550</f>
        <v>1500000000</v>
      </c>
      <c r="AJ550" s="142">
        <f t="shared" ref="AJ550" si="283">AD550+AI550</f>
        <v>1500000000</v>
      </c>
      <c r="AK550" s="34">
        <v>0</v>
      </c>
      <c r="AL550" s="34">
        <v>0</v>
      </c>
      <c r="AM550" s="34">
        <v>0</v>
      </c>
      <c r="AN550" s="34">
        <v>0</v>
      </c>
      <c r="AO550" s="34">
        <v>0</v>
      </c>
      <c r="AP550" s="34">
        <v>0</v>
      </c>
      <c r="AQ550" s="34">
        <v>0</v>
      </c>
      <c r="AR550" s="34">
        <v>0</v>
      </c>
      <c r="AS550" s="34">
        <v>0</v>
      </c>
      <c r="AT550" s="267">
        <f t="shared" ref="AT550" si="284">AQ550+AS550</f>
        <v>0</v>
      </c>
      <c r="AU550" s="147">
        <f>AJ550-AM550</f>
        <v>1500000000</v>
      </c>
      <c r="AV550" s="145">
        <f>AM550-AP550</f>
        <v>0</v>
      </c>
      <c r="AW550" s="145">
        <f>AP550-AT550</f>
        <v>0</v>
      </c>
      <c r="AX550" s="149">
        <f>AP550/AJ550</f>
        <v>0</v>
      </c>
    </row>
    <row r="551" spans="1:50" ht="18.75" customHeight="1" x14ac:dyDescent="0.2">
      <c r="AA551" s="41" t="s">
        <v>1460</v>
      </c>
      <c r="AB551" s="251" t="s">
        <v>453</v>
      </c>
      <c r="AC551" s="17"/>
      <c r="AD551" s="34">
        <v>0</v>
      </c>
      <c r="AE551" s="34">
        <v>0</v>
      </c>
      <c r="AF551" s="34">
        <v>0</v>
      </c>
      <c r="AG551" s="18">
        <v>3000000000</v>
      </c>
      <c r="AH551" s="18">
        <v>0</v>
      </c>
      <c r="AI551" s="43">
        <f t="shared" ref="AI551" si="285">AE551-AF551+AG551-AH551</f>
        <v>3000000000</v>
      </c>
      <c r="AJ551" s="142">
        <f t="shared" ref="AJ551" si="286">AD551+AI551</f>
        <v>3000000000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4">
        <v>0</v>
      </c>
      <c r="AQ551" s="34">
        <v>0</v>
      </c>
      <c r="AR551" s="34">
        <v>0</v>
      </c>
      <c r="AS551" s="34">
        <v>0</v>
      </c>
      <c r="AT551" s="267">
        <f t="shared" ref="AT551" si="287">AQ551+AS551</f>
        <v>0</v>
      </c>
      <c r="AU551" s="147">
        <f>AJ551-AM551</f>
        <v>3000000000</v>
      </c>
      <c r="AV551" s="145">
        <f>AM551-AP551</f>
        <v>0</v>
      </c>
      <c r="AW551" s="145">
        <f>AP551-AT551</f>
        <v>0</v>
      </c>
      <c r="AX551" s="149">
        <f>AP551/AJ551</f>
        <v>0</v>
      </c>
    </row>
    <row r="552" spans="1:50" ht="25.5" x14ac:dyDescent="0.2">
      <c r="AA552" s="16"/>
      <c r="AB552" s="29" t="s">
        <v>437</v>
      </c>
      <c r="AC552" s="17"/>
      <c r="AD552" s="18"/>
      <c r="AE552" s="34"/>
      <c r="AF552" s="34"/>
      <c r="AG552" s="34"/>
      <c r="AH552" s="34"/>
      <c r="AI552" s="34"/>
      <c r="AJ552" s="18"/>
      <c r="AK552" s="34"/>
      <c r="AL552" s="145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</row>
    <row r="553" spans="1:50" ht="18.75" customHeight="1" x14ac:dyDescent="0.2">
      <c r="A553" s="140" t="s">
        <v>55</v>
      </c>
      <c r="B553" s="140" t="s">
        <v>56</v>
      </c>
      <c r="C553" s="140"/>
      <c r="D553" s="140"/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  <c r="Z553" s="140"/>
      <c r="AA553" s="134" t="s">
        <v>438</v>
      </c>
      <c r="AB553" s="69" t="s">
        <v>439</v>
      </c>
      <c r="AC553" s="142" t="s">
        <v>428</v>
      </c>
      <c r="AD553" s="142">
        <v>43946996</v>
      </c>
      <c r="AE553" s="143">
        <v>0</v>
      </c>
      <c r="AF553" s="143">
        <v>0</v>
      </c>
      <c r="AG553" s="143">
        <v>0</v>
      </c>
      <c r="AH553" s="143">
        <v>0</v>
      </c>
      <c r="AI553" s="44">
        <f t="shared" ref="AI553:AI554" si="288">AE553-AF553+AG553-AH553</f>
        <v>0</v>
      </c>
      <c r="AJ553" s="142">
        <f t="shared" ref="AJ553:AJ554" si="289">AD553+AI553</f>
        <v>43946996</v>
      </c>
      <c r="AK553" s="143">
        <v>0</v>
      </c>
      <c r="AL553" s="143">
        <f>AM553-OCTUBRE!AM550</f>
        <v>0</v>
      </c>
      <c r="AM553" s="142">
        <v>11998508.08</v>
      </c>
      <c r="AN553" s="143">
        <v>0</v>
      </c>
      <c r="AO553" s="142">
        <v>0</v>
      </c>
      <c r="AP553" s="142">
        <v>9684443</v>
      </c>
      <c r="AQ553" s="143">
        <v>0</v>
      </c>
      <c r="AR553" s="143">
        <v>0</v>
      </c>
      <c r="AS553" s="142">
        <v>2006443</v>
      </c>
      <c r="AT553" s="267">
        <f t="shared" ref="AT553:AT554" si="290">AQ553+AS553</f>
        <v>2006443</v>
      </c>
      <c r="AU553" s="147">
        <f>AJ553-AM553</f>
        <v>31948487.920000002</v>
      </c>
      <c r="AV553" s="147">
        <f>AM553-AP553</f>
        <v>2314065.08</v>
      </c>
      <c r="AW553" s="147">
        <f>AP553-AT553</f>
        <v>7678000</v>
      </c>
      <c r="AX553" s="149">
        <f>AP553/AJ553</f>
        <v>0.22036643869810807</v>
      </c>
    </row>
    <row r="554" spans="1:50" ht="18.75" customHeight="1" x14ac:dyDescent="0.2">
      <c r="A554" s="140"/>
      <c r="B554" s="140"/>
      <c r="C554" s="140"/>
      <c r="D554" s="140"/>
      <c r="E554" s="140"/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  <c r="Y554" s="140"/>
      <c r="Z554" s="140"/>
      <c r="AA554" s="134" t="s">
        <v>1331</v>
      </c>
      <c r="AB554" s="69" t="s">
        <v>1074</v>
      </c>
      <c r="AC554" s="142"/>
      <c r="AD554" s="143">
        <v>0</v>
      </c>
      <c r="AE554" s="143">
        <v>0</v>
      </c>
      <c r="AF554" s="143">
        <v>0</v>
      </c>
      <c r="AG554" s="142">
        <v>62000000</v>
      </c>
      <c r="AH554" s="143">
        <v>0</v>
      </c>
      <c r="AI554" s="43">
        <f t="shared" si="288"/>
        <v>62000000</v>
      </c>
      <c r="AJ554" s="142">
        <f t="shared" si="289"/>
        <v>62000000</v>
      </c>
      <c r="AK554" s="143">
        <v>0</v>
      </c>
      <c r="AL554" s="143">
        <f>AM554-OCTUBRE!AM551</f>
        <v>0</v>
      </c>
      <c r="AM554" s="142">
        <v>51447403.130000003</v>
      </c>
      <c r="AN554" s="143">
        <v>0</v>
      </c>
      <c r="AO554" s="142">
        <v>16429288.75</v>
      </c>
      <c r="AP554" s="142">
        <v>16429288.75</v>
      </c>
      <c r="AQ554" s="143">
        <v>0</v>
      </c>
      <c r="AR554" s="143">
        <v>0</v>
      </c>
      <c r="AS554" s="143">
        <v>0</v>
      </c>
      <c r="AT554" s="146">
        <f t="shared" si="290"/>
        <v>0</v>
      </c>
      <c r="AU554" s="147">
        <f>AJ554-AM554</f>
        <v>10552596.869999997</v>
      </c>
      <c r="AV554" s="147">
        <f>AM554-AP554</f>
        <v>35018114.380000003</v>
      </c>
      <c r="AW554" s="147">
        <f>AP554-AT554</f>
        <v>16429288.75</v>
      </c>
      <c r="AX554" s="149">
        <f>AP554/AJ554</f>
        <v>0.26498852822580643</v>
      </c>
    </row>
    <row r="555" spans="1:50" ht="43.5" customHeight="1" x14ac:dyDescent="0.2">
      <c r="AA555" s="28" t="s">
        <v>288</v>
      </c>
      <c r="AB555" s="29" t="s">
        <v>440</v>
      </c>
      <c r="AC555" s="17"/>
      <c r="AD555" s="18"/>
      <c r="AE555" s="34"/>
      <c r="AF555" s="34"/>
      <c r="AG555" s="34"/>
      <c r="AH555" s="34"/>
      <c r="AI555" s="34"/>
      <c r="AJ555" s="18"/>
      <c r="AK555" s="34"/>
      <c r="AL555" s="145"/>
      <c r="AM555" s="34"/>
      <c r="AN555" s="34"/>
      <c r="AO555" s="34"/>
      <c r="AP555" s="34"/>
      <c r="AQ555" s="34"/>
      <c r="AR555" s="34"/>
      <c r="AS555" s="34"/>
      <c r="AT555" s="40"/>
      <c r="AU555" s="18"/>
      <c r="AV555" s="34"/>
      <c r="AW555" s="18"/>
      <c r="AX555" s="18"/>
    </row>
    <row r="556" spans="1:50" ht="18.75" customHeight="1" x14ac:dyDescent="0.2">
      <c r="A556" s="4" t="s">
        <v>55</v>
      </c>
      <c r="B556" s="4" t="s">
        <v>56</v>
      </c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1" t="s">
        <v>441</v>
      </c>
      <c r="AB556" s="42" t="s">
        <v>439</v>
      </c>
      <c r="AC556" s="43" t="s">
        <v>428</v>
      </c>
      <c r="AD556" s="43">
        <v>3500000</v>
      </c>
      <c r="AE556" s="44">
        <v>0</v>
      </c>
      <c r="AF556" s="44">
        <v>0</v>
      </c>
      <c r="AG556" s="44">
        <v>0</v>
      </c>
      <c r="AH556" s="44">
        <v>0</v>
      </c>
      <c r="AI556" s="44">
        <v>0</v>
      </c>
      <c r="AJ556" s="43">
        <v>3500000</v>
      </c>
      <c r="AK556" s="44">
        <v>0</v>
      </c>
      <c r="AL556" s="143">
        <v>0</v>
      </c>
      <c r="AM556" s="44">
        <v>0</v>
      </c>
      <c r="AN556" s="44">
        <v>0</v>
      </c>
      <c r="AO556" s="44">
        <v>0</v>
      </c>
      <c r="AP556" s="44">
        <v>0</v>
      </c>
      <c r="AQ556" s="44">
        <v>0</v>
      </c>
      <c r="AR556" s="44">
        <v>0</v>
      </c>
      <c r="AS556" s="44">
        <v>0</v>
      </c>
      <c r="AT556" s="40">
        <f>AQ556+AS556</f>
        <v>0</v>
      </c>
      <c r="AU556" s="18">
        <f>AJ556-AM556</f>
        <v>3500000</v>
      </c>
      <c r="AV556" s="34">
        <f>AM556-AP556</f>
        <v>0</v>
      </c>
      <c r="AW556" s="34">
        <f>AP556-AT556</f>
        <v>0</v>
      </c>
      <c r="AX556" s="123">
        <f>AP556/AJ556</f>
        <v>0</v>
      </c>
    </row>
    <row r="557" spans="1:50" ht="18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73" t="s">
        <v>288</v>
      </c>
      <c r="AB557" s="74" t="s">
        <v>291</v>
      </c>
      <c r="AC557" s="43"/>
      <c r="AD557" s="43"/>
      <c r="AE557" s="44"/>
      <c r="AF557" s="44"/>
      <c r="AG557" s="44"/>
      <c r="AH557" s="44"/>
      <c r="AI557" s="44"/>
      <c r="AJ557" s="43"/>
      <c r="AK557" s="44"/>
      <c r="AL557" s="143"/>
      <c r="AM557" s="43"/>
      <c r="AN557" s="43"/>
      <c r="AO557" s="43"/>
      <c r="AP557" s="43"/>
      <c r="AQ557" s="44"/>
      <c r="AR557" s="44"/>
      <c r="AS557" s="44"/>
      <c r="AT557" s="40"/>
      <c r="AU557" s="43"/>
      <c r="AV557" s="44"/>
      <c r="AW557" s="44"/>
      <c r="AX557" s="43"/>
    </row>
    <row r="558" spans="1:50" ht="18.75" customHeight="1" x14ac:dyDescent="0.2">
      <c r="A558" s="4" t="s">
        <v>55</v>
      </c>
      <c r="B558" s="4" t="s">
        <v>56</v>
      </c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1" t="s">
        <v>442</v>
      </c>
      <c r="AB558" s="42" t="s">
        <v>439</v>
      </c>
      <c r="AC558" s="43" t="s">
        <v>428</v>
      </c>
      <c r="AD558" s="43">
        <v>105900000</v>
      </c>
      <c r="AE558" s="44">
        <v>0</v>
      </c>
      <c r="AF558" s="44">
        <v>0</v>
      </c>
      <c r="AG558" s="44">
        <v>0</v>
      </c>
      <c r="AH558" s="44">
        <v>0</v>
      </c>
      <c r="AI558" s="44">
        <v>0</v>
      </c>
      <c r="AJ558" s="43">
        <v>105900000</v>
      </c>
      <c r="AK558" s="44">
        <v>0</v>
      </c>
      <c r="AL558" s="143">
        <f>AM558-OCTUBRE!AM555</f>
        <v>0</v>
      </c>
      <c r="AM558" s="142">
        <v>96844010.140000001</v>
      </c>
      <c r="AN558" s="43">
        <v>0</v>
      </c>
      <c r="AO558" s="43">
        <v>96693576.140000001</v>
      </c>
      <c r="AP558" s="43">
        <v>96844010.140000001</v>
      </c>
      <c r="AQ558" s="44">
        <v>0</v>
      </c>
      <c r="AR558" s="44">
        <v>0</v>
      </c>
      <c r="AS558" s="43">
        <v>150434</v>
      </c>
      <c r="AT558" s="39">
        <f>AQ558+AS558</f>
        <v>150434</v>
      </c>
      <c r="AU558" s="18">
        <f>AJ558-AM558</f>
        <v>9055989.8599999994</v>
      </c>
      <c r="AV558" s="18">
        <f>AM558-AP558</f>
        <v>0</v>
      </c>
      <c r="AW558" s="18">
        <f>AP558-AT558</f>
        <v>96693576.140000001</v>
      </c>
      <c r="AX558" s="123">
        <f>AP558/AJ558</f>
        <v>0.9144854593012276</v>
      </c>
    </row>
    <row r="559" spans="1:50" ht="18.75" customHeight="1" x14ac:dyDescent="0.2">
      <c r="AA559" s="16"/>
      <c r="AB559" s="29" t="s">
        <v>189</v>
      </c>
      <c r="AC559" s="17"/>
      <c r="AD559" s="18"/>
      <c r="AE559" s="34"/>
      <c r="AF559" s="34"/>
      <c r="AG559" s="34"/>
      <c r="AH559" s="34"/>
      <c r="AI559" s="34"/>
      <c r="AJ559" s="18"/>
      <c r="AK559" s="34"/>
      <c r="AL559" s="145"/>
      <c r="AM559" s="18"/>
      <c r="AN559" s="18"/>
      <c r="AO559" s="18"/>
      <c r="AP559" s="18"/>
      <c r="AQ559" s="18"/>
      <c r="AR559" s="18"/>
      <c r="AS559" s="18"/>
      <c r="AT559" s="39"/>
      <c r="AU559" s="18"/>
      <c r="AV559" s="34"/>
      <c r="AW559" s="18"/>
      <c r="AX559" s="18"/>
    </row>
    <row r="560" spans="1:50" ht="18.75" customHeight="1" x14ac:dyDescent="0.2">
      <c r="AA560" s="16"/>
      <c r="AB560" s="29" t="s">
        <v>191</v>
      </c>
      <c r="AC560" s="17"/>
      <c r="AD560" s="18"/>
      <c r="AE560" s="34"/>
      <c r="AF560" s="34"/>
      <c r="AG560" s="34"/>
      <c r="AH560" s="34"/>
      <c r="AI560" s="34"/>
      <c r="AJ560" s="18"/>
      <c r="AK560" s="34"/>
      <c r="AL560" s="34"/>
      <c r="AM560" s="18"/>
      <c r="AN560" s="18"/>
      <c r="AO560" s="18"/>
      <c r="AP560" s="18"/>
      <c r="AQ560" s="18"/>
      <c r="AR560" s="18"/>
      <c r="AS560" s="18"/>
      <c r="AT560" s="39"/>
      <c r="AU560" s="18"/>
      <c r="AV560" s="34"/>
      <c r="AW560" s="18"/>
      <c r="AX560" s="18"/>
    </row>
    <row r="561" spans="1:50" ht="18.75" customHeight="1" x14ac:dyDescent="0.2">
      <c r="AA561" s="28" t="s">
        <v>288</v>
      </c>
      <c r="AB561" s="29" t="s">
        <v>443</v>
      </c>
      <c r="AC561" s="17"/>
      <c r="AD561" s="18"/>
      <c r="AE561" s="34"/>
      <c r="AF561" s="34"/>
      <c r="AG561" s="34"/>
      <c r="AH561" s="34"/>
      <c r="AI561" s="34"/>
      <c r="AJ561" s="147"/>
      <c r="AK561" s="34"/>
      <c r="AL561" s="34"/>
      <c r="AM561" s="18"/>
      <c r="AN561" s="18"/>
      <c r="AO561" s="18"/>
      <c r="AP561" s="18"/>
      <c r="AQ561" s="18"/>
      <c r="AR561" s="18"/>
      <c r="AS561" s="18"/>
      <c r="AT561" s="39"/>
      <c r="AU561" s="18"/>
      <c r="AV561" s="34"/>
      <c r="AW561" s="18"/>
      <c r="AX561" s="18"/>
    </row>
    <row r="562" spans="1:50" ht="18.75" customHeight="1" x14ac:dyDescent="0.2">
      <c r="A562" s="4" t="s">
        <v>55</v>
      </c>
      <c r="B562" s="4" t="s">
        <v>56</v>
      </c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1" t="s">
        <v>444</v>
      </c>
      <c r="AB562" s="42" t="s">
        <v>233</v>
      </c>
      <c r="AC562" s="43" t="s">
        <v>58</v>
      </c>
      <c r="AD562" s="43">
        <v>530557116</v>
      </c>
      <c r="AE562" s="44">
        <v>0</v>
      </c>
      <c r="AF562" s="44">
        <v>0</v>
      </c>
      <c r="AG562" s="44">
        <v>0</v>
      </c>
      <c r="AH562" s="43">
        <v>530557116</v>
      </c>
      <c r="AI562" s="43">
        <f>AE562-AF562+AG562-AH562</f>
        <v>-530557116</v>
      </c>
      <c r="AJ562" s="143">
        <f>AD562+AI562</f>
        <v>0</v>
      </c>
      <c r="AK562" s="44">
        <v>0</v>
      </c>
      <c r="AL562" s="143">
        <f>AM562-OCTUBRE!AM559</f>
        <v>0</v>
      </c>
      <c r="AM562" s="44">
        <v>0</v>
      </c>
      <c r="AN562" s="44">
        <v>0</v>
      </c>
      <c r="AO562" s="44">
        <v>0</v>
      </c>
      <c r="AP562" s="44">
        <v>0</v>
      </c>
      <c r="AQ562" s="44">
        <v>0</v>
      </c>
      <c r="AR562" s="44">
        <v>0</v>
      </c>
      <c r="AS562" s="44">
        <v>0</v>
      </c>
      <c r="AT562" s="40">
        <f>AQ562+AS562</f>
        <v>0</v>
      </c>
      <c r="AU562" s="18">
        <f>AJ562-AM562</f>
        <v>0</v>
      </c>
      <c r="AV562" s="34">
        <f>AM562-AP562</f>
        <v>0</v>
      </c>
      <c r="AW562" s="34">
        <f>AP562-AT562</f>
        <v>0</v>
      </c>
      <c r="AX562" s="123">
        <v>0</v>
      </c>
    </row>
    <row r="563" spans="1:50" ht="18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1" t="s">
        <v>1233</v>
      </c>
      <c r="AB563" s="42" t="s">
        <v>453</v>
      </c>
      <c r="AC563" s="43"/>
      <c r="AD563" s="44">
        <v>0</v>
      </c>
      <c r="AE563" s="43">
        <v>11666787329</v>
      </c>
      <c r="AF563" s="44">
        <v>0</v>
      </c>
      <c r="AG563" s="44">
        <v>0</v>
      </c>
      <c r="AH563" s="43">
        <v>8000000000</v>
      </c>
      <c r="AI563" s="43">
        <f>AE563-AF563+AG563-AH563</f>
        <v>3666787329</v>
      </c>
      <c r="AJ563" s="142">
        <f>AD563+AI563</f>
        <v>3666787329</v>
      </c>
      <c r="AK563" s="44">
        <v>0</v>
      </c>
      <c r="AL563" s="143">
        <f>AM563-OCTUBRE!AM560</f>
        <v>0</v>
      </c>
      <c r="AM563" s="44">
        <v>0</v>
      </c>
      <c r="AN563" s="44">
        <v>0</v>
      </c>
      <c r="AO563" s="44">
        <v>0</v>
      </c>
      <c r="AP563" s="44">
        <v>0</v>
      </c>
      <c r="AQ563" s="44">
        <v>0</v>
      </c>
      <c r="AR563" s="44">
        <v>0</v>
      </c>
      <c r="AS563" s="44">
        <v>0</v>
      </c>
      <c r="AT563" s="40">
        <f>AQ563+AS563</f>
        <v>0</v>
      </c>
      <c r="AU563" s="18">
        <f>AJ563-AM563</f>
        <v>3666787329</v>
      </c>
      <c r="AV563" s="34">
        <f>AM563-AP563</f>
        <v>0</v>
      </c>
      <c r="AW563" s="34">
        <f>AP563-AT563</f>
        <v>0</v>
      </c>
      <c r="AX563" s="123">
        <f>AP563/AJ563</f>
        <v>0</v>
      </c>
    </row>
    <row r="564" spans="1:50" ht="28.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1" t="s">
        <v>1317</v>
      </c>
      <c r="AB564" s="42" t="s">
        <v>1304</v>
      </c>
      <c r="AC564" s="43"/>
      <c r="AD564" s="44">
        <v>0</v>
      </c>
      <c r="AE564" s="44">
        <v>0</v>
      </c>
      <c r="AF564" s="44">
        <v>0</v>
      </c>
      <c r="AG564" s="43">
        <v>100000000</v>
      </c>
      <c r="AH564" s="44">
        <v>0</v>
      </c>
      <c r="AI564" s="43">
        <f>AE564-AF564+AG564-AH564</f>
        <v>100000000</v>
      </c>
      <c r="AJ564" s="142">
        <f>AD564+AI564</f>
        <v>100000000</v>
      </c>
      <c r="AK564" s="44">
        <v>0</v>
      </c>
      <c r="AL564" s="143">
        <f>AM564-OCTUBRE!AM561</f>
        <v>0</v>
      </c>
      <c r="AM564" s="43">
        <v>80312448.849999994</v>
      </c>
      <c r="AN564" s="44">
        <v>0</v>
      </c>
      <c r="AO564" s="44">
        <v>0</v>
      </c>
      <c r="AP564" s="44">
        <v>0</v>
      </c>
      <c r="AQ564" s="44">
        <v>0</v>
      </c>
      <c r="AR564" s="44">
        <v>0</v>
      </c>
      <c r="AS564" s="44">
        <v>0</v>
      </c>
      <c r="AT564" s="40">
        <f>AQ564+AS564</f>
        <v>0</v>
      </c>
      <c r="AU564" s="18">
        <f>AJ564-AM564</f>
        <v>19687551.150000006</v>
      </c>
      <c r="AV564" s="18">
        <f>AM564-AP564</f>
        <v>80312448.849999994</v>
      </c>
      <c r="AW564" s="34">
        <f>AP564-AT564</f>
        <v>0</v>
      </c>
      <c r="AX564" s="123">
        <f>AP564/AJ564</f>
        <v>0</v>
      </c>
    </row>
    <row r="565" spans="1:50" ht="18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73" t="s">
        <v>288</v>
      </c>
      <c r="AB565" s="74" t="s">
        <v>362</v>
      </c>
      <c r="AC565" s="43"/>
      <c r="AD565" s="44"/>
      <c r="AE565" s="44"/>
      <c r="AF565" s="44"/>
      <c r="AG565" s="44"/>
      <c r="AH565" s="44"/>
      <c r="AI565" s="44"/>
      <c r="AJ565" s="142"/>
      <c r="AK565" s="44"/>
      <c r="AL565" s="44"/>
      <c r="AM565" s="44"/>
      <c r="AN565" s="44"/>
      <c r="AO565" s="44"/>
      <c r="AP565" s="44"/>
      <c r="AQ565" s="44"/>
      <c r="AR565" s="44"/>
      <c r="AS565" s="44"/>
      <c r="AT565" s="40"/>
      <c r="AU565" s="18"/>
      <c r="AV565" s="34"/>
      <c r="AW565" s="34"/>
      <c r="AX565" s="123"/>
    </row>
    <row r="566" spans="1:50" ht="18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1" t="s">
        <v>363</v>
      </c>
      <c r="AB566" s="42" t="s">
        <v>233</v>
      </c>
      <c r="AC566" s="43"/>
      <c r="AD566" s="44">
        <v>0</v>
      </c>
      <c r="AE566" s="44">
        <v>0</v>
      </c>
      <c r="AF566" s="44">
        <v>0</v>
      </c>
      <c r="AG566" s="43">
        <f>2658700461.7+2311004507</f>
        <v>4969704968.6999998</v>
      </c>
      <c r="AH566" s="44">
        <v>0</v>
      </c>
      <c r="AI566" s="43">
        <f>AE566-AF566+AG566-AH566</f>
        <v>4969704968.6999998</v>
      </c>
      <c r="AJ566" s="147">
        <f>AD566+AI566</f>
        <v>4969704968.6999998</v>
      </c>
      <c r="AK566" s="44">
        <v>0</v>
      </c>
      <c r="AL566" s="143">
        <f>AM566-OCTUBRE!AM563</f>
        <v>0</v>
      </c>
      <c r="AM566" s="43">
        <v>2658700461.6999998</v>
      </c>
      <c r="AN566" s="44">
        <v>0</v>
      </c>
      <c r="AO566" s="143">
        <v>0</v>
      </c>
      <c r="AP566" s="43">
        <v>2658700461.6999998</v>
      </c>
      <c r="AQ566" s="44">
        <v>0</v>
      </c>
      <c r="AR566" s="43">
        <v>0</v>
      </c>
      <c r="AS566" s="43">
        <v>2658700461.6999998</v>
      </c>
      <c r="AT566" s="39">
        <f>AQ566+AS566</f>
        <v>2658700461.6999998</v>
      </c>
      <c r="AU566" s="18">
        <f>AJ566-AM566</f>
        <v>2311004507</v>
      </c>
      <c r="AV566" s="34">
        <f>AM566-AP566</f>
        <v>0</v>
      </c>
      <c r="AW566" s="34">
        <f>AP566-AT566</f>
        <v>0</v>
      </c>
      <c r="AX566" s="123">
        <f>AP566/AJ566</f>
        <v>0.53498154889373162</v>
      </c>
    </row>
    <row r="567" spans="1:50" ht="18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1" t="s">
        <v>975</v>
      </c>
      <c r="AB567" s="42" t="s">
        <v>453</v>
      </c>
      <c r="AC567" s="43"/>
      <c r="AD567" s="44">
        <v>0</v>
      </c>
      <c r="AE567" s="44">
        <v>0</v>
      </c>
      <c r="AF567" s="44">
        <v>0</v>
      </c>
      <c r="AG567" s="43">
        <f>11046667966</f>
        <v>11046667966</v>
      </c>
      <c r="AH567" s="44"/>
      <c r="AI567" s="43">
        <f>AE567-AF567+AG567-AH567</f>
        <v>11046667966</v>
      </c>
      <c r="AJ567" s="147">
        <f>AD567+AI567</f>
        <v>11046667966</v>
      </c>
      <c r="AK567" s="44">
        <v>0</v>
      </c>
      <c r="AL567" s="143">
        <f>AM567-OCTUBRE!AM564</f>
        <v>0</v>
      </c>
      <c r="AM567" s="43">
        <v>10699323813</v>
      </c>
      <c r="AN567" s="44">
        <v>0</v>
      </c>
      <c r="AO567" s="44">
        <v>0</v>
      </c>
      <c r="AP567" s="43">
        <v>10699323813</v>
      </c>
      <c r="AQ567" s="44">
        <v>0</v>
      </c>
      <c r="AR567" s="43">
        <v>548735806.10000002</v>
      </c>
      <c r="AS567" s="43">
        <v>771424939.58000004</v>
      </c>
      <c r="AT567" s="39">
        <f>AQ567+AS567</f>
        <v>771424939.58000004</v>
      </c>
      <c r="AU567" s="18">
        <f>AJ567-AM567</f>
        <v>347344153</v>
      </c>
      <c r="AV567" s="34">
        <f>AM567-AP567</f>
        <v>0</v>
      </c>
      <c r="AW567" s="18">
        <f>AP567-AT567</f>
        <v>9927898873.4200001</v>
      </c>
      <c r="AX567" s="123">
        <f>AP567/AJ567</f>
        <v>0.96855665852643769</v>
      </c>
    </row>
    <row r="568" spans="1:50" ht="25.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1" t="s">
        <v>1301</v>
      </c>
      <c r="AB568" s="42" t="s">
        <v>1302</v>
      </c>
      <c r="AC568" s="43"/>
      <c r="AD568" s="44">
        <v>0</v>
      </c>
      <c r="AE568" s="44">
        <v>0</v>
      </c>
      <c r="AF568" s="44">
        <v>0</v>
      </c>
      <c r="AG568" s="43">
        <v>478121018</v>
      </c>
      <c r="AH568" s="44"/>
      <c r="AI568" s="43">
        <f t="shared" ref="AI568" si="291">AE568-AF568+AG568-AH568</f>
        <v>478121018</v>
      </c>
      <c r="AJ568" s="142">
        <f t="shared" ref="AJ568" si="292">AD568+AI568</f>
        <v>478121018</v>
      </c>
      <c r="AK568" s="44">
        <v>0</v>
      </c>
      <c r="AL568" s="143">
        <f>AM568-OCTUBRE!AM565</f>
        <v>0</v>
      </c>
      <c r="AM568" s="43">
        <v>463121018</v>
      </c>
      <c r="AN568" s="44">
        <v>0</v>
      </c>
      <c r="AO568" s="143">
        <v>0</v>
      </c>
      <c r="AP568" s="43">
        <v>463121018</v>
      </c>
      <c r="AQ568" s="44">
        <v>0</v>
      </c>
      <c r="AR568" s="43">
        <v>0</v>
      </c>
      <c r="AS568" s="43">
        <v>389732468</v>
      </c>
      <c r="AT568" s="39">
        <f t="shared" ref="AT568" si="293">AQ568+AS568</f>
        <v>389732468</v>
      </c>
      <c r="AU568" s="18">
        <f t="shared" ref="AU568" si="294">AJ568-AM568</f>
        <v>15000000</v>
      </c>
      <c r="AV568" s="34">
        <f t="shared" ref="AV568" si="295">AM568-AP568</f>
        <v>0</v>
      </c>
      <c r="AW568" s="18">
        <f t="shared" ref="AW568" si="296">AP568-AT568</f>
        <v>73388550</v>
      </c>
      <c r="AX568" s="123">
        <f t="shared" ref="AX568" si="297">AP568/AJ568</f>
        <v>0.96862718969614514</v>
      </c>
    </row>
    <row r="569" spans="1:50" ht="18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73" t="s">
        <v>288</v>
      </c>
      <c r="AB569" s="74" t="s">
        <v>296</v>
      </c>
      <c r="AC569" s="43"/>
      <c r="AD569" s="44"/>
      <c r="AE569" s="44"/>
      <c r="AF569" s="44"/>
      <c r="AG569" s="44"/>
      <c r="AH569" s="44"/>
      <c r="AI569" s="44"/>
      <c r="AJ569" s="142"/>
      <c r="AK569" s="44"/>
      <c r="AL569" s="44"/>
      <c r="AM569" s="44"/>
      <c r="AN569" s="44"/>
      <c r="AO569" s="143"/>
      <c r="AP569" s="44"/>
      <c r="AQ569" s="44"/>
      <c r="AR569" s="44"/>
      <c r="AS569" s="44"/>
      <c r="AT569" s="40"/>
      <c r="AU569" s="18"/>
      <c r="AV569" s="34"/>
      <c r="AW569" s="34"/>
      <c r="AX569" s="123"/>
    </row>
    <row r="570" spans="1:50" ht="18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1" t="s">
        <v>973</v>
      </c>
      <c r="AB570" s="42" t="s">
        <v>453</v>
      </c>
      <c r="AC570" s="43"/>
      <c r="AD570" s="44">
        <v>0</v>
      </c>
      <c r="AE570" s="43">
        <f>11046667966+38953332034</f>
        <v>50000000000</v>
      </c>
      <c r="AF570" s="44">
        <v>0</v>
      </c>
      <c r="AG570" s="44">
        <v>0</v>
      </c>
      <c r="AH570" s="43">
        <f>11046667966+38953332034</f>
        <v>50000000000</v>
      </c>
      <c r="AI570" s="44">
        <f>AE570-AF570+AG570-AH570</f>
        <v>0</v>
      </c>
      <c r="AJ570" s="143">
        <f>AD570+AI570</f>
        <v>0</v>
      </c>
      <c r="AK570" s="44">
        <v>0</v>
      </c>
      <c r="AL570" s="44">
        <v>0</v>
      </c>
      <c r="AM570" s="44">
        <v>0</v>
      </c>
      <c r="AN570" s="44">
        <v>0</v>
      </c>
      <c r="AO570" s="143">
        <v>0</v>
      </c>
      <c r="AP570" s="44">
        <v>0</v>
      </c>
      <c r="AQ570" s="44">
        <v>0</v>
      </c>
      <c r="AR570" s="44">
        <v>0</v>
      </c>
      <c r="AS570" s="44">
        <v>0</v>
      </c>
      <c r="AT570" s="40">
        <f>AQ570+AS570</f>
        <v>0</v>
      </c>
      <c r="AU570" s="18">
        <f>AJ570-AM570</f>
        <v>0</v>
      </c>
      <c r="AV570" s="34">
        <f>AM570-AP570</f>
        <v>0</v>
      </c>
      <c r="AW570" s="34">
        <f>AP570-AT570</f>
        <v>0</v>
      </c>
      <c r="AX570" s="123">
        <v>0</v>
      </c>
    </row>
    <row r="571" spans="1:50" ht="18.75" customHeight="1" x14ac:dyDescent="0.2">
      <c r="AA571" s="28" t="s">
        <v>288</v>
      </c>
      <c r="AB571" s="29" t="s">
        <v>445</v>
      </c>
      <c r="AC571" s="17"/>
      <c r="AD571" s="18"/>
      <c r="AE571" s="18"/>
      <c r="AF571" s="18"/>
      <c r="AG571" s="18"/>
      <c r="AH571" s="18"/>
      <c r="AI571" s="18"/>
      <c r="AJ571" s="147"/>
      <c r="AK571" s="34"/>
      <c r="AL571" s="34"/>
      <c r="AM571" s="34"/>
      <c r="AN571" s="34"/>
      <c r="AO571" s="34"/>
      <c r="AP571" s="34"/>
      <c r="AQ571" s="34"/>
      <c r="AR571" s="34"/>
      <c r="AS571" s="34"/>
      <c r="AT571" s="40"/>
      <c r="AU571" s="18"/>
      <c r="AV571" s="34"/>
      <c r="AW571" s="18"/>
      <c r="AX571" s="18"/>
    </row>
    <row r="572" spans="1:50" ht="18.75" customHeight="1" x14ac:dyDescent="0.2">
      <c r="A572" s="4" t="s">
        <v>55</v>
      </c>
      <c r="B572" s="4" t="s">
        <v>56</v>
      </c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1" t="s">
        <v>446</v>
      </c>
      <c r="AB572" s="42" t="s">
        <v>233</v>
      </c>
      <c r="AC572" s="43" t="s">
        <v>58</v>
      </c>
      <c r="AD572" s="43">
        <v>1315360000</v>
      </c>
      <c r="AE572" s="44">
        <v>0</v>
      </c>
      <c r="AF572" s="44">
        <v>0</v>
      </c>
      <c r="AG572" s="43">
        <f>24165016+458969140</f>
        <v>483134156</v>
      </c>
      <c r="AH572" s="43">
        <v>200000000</v>
      </c>
      <c r="AI572" s="43">
        <f>AE572-AF572+AG572-AH572</f>
        <v>283134156</v>
      </c>
      <c r="AJ572" s="142">
        <f>AD572+AI572</f>
        <v>1598494156</v>
      </c>
      <c r="AK572" s="44">
        <v>0</v>
      </c>
      <c r="AL572" s="143">
        <f>AM572-OCTUBRE!AM569</f>
        <v>0</v>
      </c>
      <c r="AM572" s="114">
        <v>1491103998</v>
      </c>
      <c r="AN572" s="44">
        <v>0</v>
      </c>
      <c r="AO572" s="114">
        <v>0</v>
      </c>
      <c r="AP572" s="114">
        <v>1491103998</v>
      </c>
      <c r="AQ572" s="44">
        <v>0</v>
      </c>
      <c r="AR572" s="114"/>
      <c r="AS572" s="114">
        <v>24165016</v>
      </c>
      <c r="AT572" s="111">
        <f>AQ572+AS572</f>
        <v>24165016</v>
      </c>
      <c r="AU572" s="18">
        <f>AJ572-AM572</f>
        <v>107390158</v>
      </c>
      <c r="AV572" s="34">
        <f>AM572-AP572</f>
        <v>0</v>
      </c>
      <c r="AW572" s="18">
        <f>AP572-AT572</f>
        <v>1466938982</v>
      </c>
      <c r="AX572" s="123">
        <f>AP572/AJ572</f>
        <v>0.93281792266996566</v>
      </c>
    </row>
    <row r="573" spans="1:50" ht="18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1" t="s">
        <v>1444</v>
      </c>
      <c r="AB573" s="42" t="s">
        <v>1443</v>
      </c>
      <c r="AC573" s="43"/>
      <c r="AD573" s="43">
        <v>0</v>
      </c>
      <c r="AE573" s="43">
        <v>267362838.50999999</v>
      </c>
      <c r="AF573" s="44">
        <v>0</v>
      </c>
      <c r="AG573" s="44">
        <v>0</v>
      </c>
      <c r="AH573" s="44">
        <v>0</v>
      </c>
      <c r="AI573" s="43">
        <f>AE573-AF573+AG573-AH573</f>
        <v>267362838.50999999</v>
      </c>
      <c r="AJ573" s="142">
        <f>AD573+AI573</f>
        <v>267362838.50999999</v>
      </c>
      <c r="AK573" s="44">
        <v>0</v>
      </c>
      <c r="AL573" s="143">
        <f>AM573-OCTUBRE!AM570</f>
        <v>0</v>
      </c>
      <c r="AM573" s="114">
        <v>0</v>
      </c>
      <c r="AN573" s="44">
        <v>0</v>
      </c>
      <c r="AO573" s="114">
        <v>0</v>
      </c>
      <c r="AP573" s="115">
        <v>0</v>
      </c>
      <c r="AQ573" s="44">
        <v>0</v>
      </c>
      <c r="AR573" s="115">
        <v>0</v>
      </c>
      <c r="AS573" s="115">
        <v>0</v>
      </c>
      <c r="AT573" s="135">
        <f>AQ573+AS573</f>
        <v>0</v>
      </c>
      <c r="AU573" s="18">
        <f>AJ573-AM573</f>
        <v>267362838.50999999</v>
      </c>
      <c r="AV573" s="34">
        <f>AM573-AP573</f>
        <v>0</v>
      </c>
      <c r="AW573" s="18">
        <f>AP573-AT573</f>
        <v>0</v>
      </c>
      <c r="AX573" s="123">
        <f>AP573/AJ573</f>
        <v>0</v>
      </c>
    </row>
    <row r="574" spans="1:50" ht="18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73" t="s">
        <v>288</v>
      </c>
      <c r="AB574" s="74" t="s">
        <v>1352</v>
      </c>
      <c r="AC574" s="43"/>
      <c r="AD574" s="43"/>
      <c r="AE574" s="44"/>
      <c r="AF574" s="44"/>
      <c r="AG574" s="43"/>
      <c r="AH574" s="43"/>
      <c r="AI574" s="43"/>
      <c r="AJ574" s="142"/>
      <c r="AK574" s="44"/>
      <c r="AL574" s="115"/>
      <c r="AM574" s="114"/>
      <c r="AN574" s="44"/>
      <c r="AO574" s="114"/>
      <c r="AP574" s="114"/>
      <c r="AQ574" s="44"/>
      <c r="AR574" s="114"/>
      <c r="AS574" s="114"/>
      <c r="AT574" s="111"/>
      <c r="AU574" s="18"/>
      <c r="AV574" s="18"/>
      <c r="AW574" s="34"/>
      <c r="AX574" s="123"/>
    </row>
    <row r="575" spans="1:50" ht="18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1" t="s">
        <v>1353</v>
      </c>
      <c r="AB575" s="42" t="s">
        <v>233</v>
      </c>
      <c r="AC575" s="43"/>
      <c r="AD575" s="44">
        <v>0</v>
      </c>
      <c r="AE575" s="44">
        <v>0</v>
      </c>
      <c r="AF575" s="44">
        <v>0</v>
      </c>
      <c r="AG575" s="43">
        <v>1100000000</v>
      </c>
      <c r="AH575" s="43">
        <f>915000000+185000000</f>
        <v>1100000000</v>
      </c>
      <c r="AI575" s="44">
        <f>AE575-AF575+AG575-AH575</f>
        <v>0</v>
      </c>
      <c r="AJ575" s="143">
        <f>AD575+AI575</f>
        <v>0</v>
      </c>
      <c r="AK575" s="44">
        <v>0</v>
      </c>
      <c r="AL575" s="115">
        <v>0</v>
      </c>
      <c r="AM575" s="115">
        <v>0</v>
      </c>
      <c r="AN575" s="44">
        <v>0</v>
      </c>
      <c r="AO575" s="115">
        <v>0</v>
      </c>
      <c r="AP575" s="115">
        <v>0</v>
      </c>
      <c r="AQ575" s="44">
        <v>0</v>
      </c>
      <c r="AR575" s="115">
        <v>0</v>
      </c>
      <c r="AS575" s="115">
        <v>0</v>
      </c>
      <c r="AT575" s="135">
        <f>AQ575+AS575</f>
        <v>0</v>
      </c>
      <c r="AU575" s="18">
        <f>AJ575-AM575</f>
        <v>0</v>
      </c>
      <c r="AV575" s="34">
        <f>AM575-AP575</f>
        <v>0</v>
      </c>
      <c r="AW575" s="34">
        <f>AP575-AT575</f>
        <v>0</v>
      </c>
      <c r="AX575" s="123">
        <v>0</v>
      </c>
    </row>
    <row r="576" spans="1:50" ht="18.75" customHeight="1" x14ac:dyDescent="0.2">
      <c r="AA576" s="28" t="s">
        <v>288</v>
      </c>
      <c r="AB576" s="29" t="s">
        <v>447</v>
      </c>
      <c r="AC576" s="17"/>
      <c r="AD576" s="18"/>
      <c r="AE576" s="34"/>
      <c r="AF576" s="34"/>
      <c r="AG576" s="18"/>
      <c r="AH576" s="76"/>
      <c r="AI576" s="18"/>
      <c r="AJ576" s="18"/>
      <c r="AK576" s="34"/>
      <c r="AL576" s="34"/>
      <c r="AM576" s="34"/>
      <c r="AN576" s="34"/>
      <c r="AO576" s="34"/>
      <c r="AP576" s="34"/>
      <c r="AQ576" s="34"/>
      <c r="AR576" s="34"/>
      <c r="AS576" s="34"/>
      <c r="AT576" s="40"/>
      <c r="AU576" s="18"/>
      <c r="AV576" s="34"/>
      <c r="AW576" s="34"/>
      <c r="AX576" s="18"/>
    </row>
    <row r="577" spans="1:50" ht="18.75" customHeight="1" x14ac:dyDescent="0.2">
      <c r="A577" s="4" t="s">
        <v>55</v>
      </c>
      <c r="B577" s="4" t="s">
        <v>56</v>
      </c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1" t="s">
        <v>448</v>
      </c>
      <c r="AB577" s="42" t="s">
        <v>449</v>
      </c>
      <c r="AC577" s="43" t="s">
        <v>428</v>
      </c>
      <c r="AD577" s="43">
        <v>1568183063</v>
      </c>
      <c r="AE577" s="44">
        <v>0</v>
      </c>
      <c r="AF577" s="44">
        <v>0</v>
      </c>
      <c r="AG577" s="75">
        <v>0</v>
      </c>
      <c r="AH577" s="43">
        <v>1200000000</v>
      </c>
      <c r="AI577" s="43">
        <f>AE577-AF577+AG577-AH577</f>
        <v>-1200000000</v>
      </c>
      <c r="AJ577" s="43">
        <f>AD577+AI577</f>
        <v>368183063</v>
      </c>
      <c r="AK577" s="44">
        <v>0</v>
      </c>
      <c r="AL577" s="44">
        <f>AM577-AGOSTO!AM552</f>
        <v>0</v>
      </c>
      <c r="AM577" s="44">
        <v>0</v>
      </c>
      <c r="AN577" s="44">
        <v>0</v>
      </c>
      <c r="AO577" s="44">
        <f>AP577-SEPTIEMBRE!AP567</f>
        <v>0</v>
      </c>
      <c r="AP577" s="44">
        <v>0</v>
      </c>
      <c r="AQ577" s="44">
        <v>0</v>
      </c>
      <c r="AR577" s="44">
        <v>0</v>
      </c>
      <c r="AS577" s="44">
        <v>0</v>
      </c>
      <c r="AT577" s="40">
        <f t="shared" ref="AT577:AT689" si="298">AQ577+AS577</f>
        <v>0</v>
      </c>
      <c r="AU577" s="18">
        <f>AJ577-AM577</f>
        <v>368183063</v>
      </c>
      <c r="AV577" s="34">
        <f>AM577-AP577</f>
        <v>0</v>
      </c>
      <c r="AW577" s="34">
        <f>AP577-AT577</f>
        <v>0</v>
      </c>
      <c r="AX577" s="123">
        <f>AP577/AJ577</f>
        <v>0</v>
      </c>
    </row>
    <row r="578" spans="1:50" ht="18.75" customHeight="1" x14ac:dyDescent="0.2">
      <c r="A578" s="4" t="s">
        <v>55</v>
      </c>
      <c r="B578" s="4" t="s">
        <v>56</v>
      </c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1" t="s">
        <v>450</v>
      </c>
      <c r="AB578" s="42" t="s">
        <v>451</v>
      </c>
      <c r="AC578" s="43" t="s">
        <v>428</v>
      </c>
      <c r="AD578" s="43">
        <v>54121641</v>
      </c>
      <c r="AE578" s="44">
        <v>0</v>
      </c>
      <c r="AF578" s="44">
        <v>0</v>
      </c>
      <c r="AG578" s="75">
        <v>0</v>
      </c>
      <c r="AH578" s="75">
        <v>0</v>
      </c>
      <c r="AI578" s="44">
        <v>0</v>
      </c>
      <c r="AJ578" s="43">
        <v>54121641</v>
      </c>
      <c r="AK578" s="44">
        <v>0</v>
      </c>
      <c r="AL578" s="44">
        <v>0</v>
      </c>
      <c r="AM578" s="44">
        <v>0</v>
      </c>
      <c r="AN578" s="44">
        <v>0</v>
      </c>
      <c r="AO578" s="44">
        <f>AP578-SEPTIEMBRE!AP568</f>
        <v>0</v>
      </c>
      <c r="AP578" s="44">
        <v>0</v>
      </c>
      <c r="AQ578" s="44">
        <v>0</v>
      </c>
      <c r="AR578" s="44">
        <v>0</v>
      </c>
      <c r="AS578" s="44">
        <v>0</v>
      </c>
      <c r="AT578" s="40">
        <f t="shared" si="298"/>
        <v>0</v>
      </c>
      <c r="AU578" s="18">
        <f>AJ578-AM578</f>
        <v>54121641</v>
      </c>
      <c r="AV578" s="34">
        <f>AM578-AP578</f>
        <v>0</v>
      </c>
      <c r="AW578" s="34">
        <f>AP578-AT578</f>
        <v>0</v>
      </c>
      <c r="AX578" s="123">
        <f>AP578/AJ578</f>
        <v>0</v>
      </c>
    </row>
    <row r="579" spans="1:50" ht="18.75" customHeight="1" x14ac:dyDescent="0.2">
      <c r="A579" s="4" t="s">
        <v>55</v>
      </c>
      <c r="B579" s="4" t="s">
        <v>56</v>
      </c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1" t="s">
        <v>452</v>
      </c>
      <c r="AB579" s="42" t="s">
        <v>453</v>
      </c>
      <c r="AC579" s="43" t="s">
        <v>454</v>
      </c>
      <c r="AD579" s="43">
        <v>13500000000</v>
      </c>
      <c r="AE579" s="44">
        <v>0</v>
      </c>
      <c r="AF579" s="44">
        <v>0</v>
      </c>
      <c r="AG579" s="75">
        <v>0</v>
      </c>
      <c r="AH579" s="43">
        <v>10658999538</v>
      </c>
      <c r="AI579" s="43">
        <f>AE579-AF579+AG579-AH579</f>
        <v>-10658999538</v>
      </c>
      <c r="AJ579" s="43">
        <f>AD579+AI579</f>
        <v>2841000462</v>
      </c>
      <c r="AK579" s="44">
        <v>0</v>
      </c>
      <c r="AL579" s="44">
        <v>0</v>
      </c>
      <c r="AM579" s="44">
        <v>0</v>
      </c>
      <c r="AN579" s="44">
        <v>0</v>
      </c>
      <c r="AO579" s="44">
        <f>AP579-SEPTIEMBRE!AP569</f>
        <v>0</v>
      </c>
      <c r="AP579" s="44">
        <v>0</v>
      </c>
      <c r="AQ579" s="44">
        <v>0</v>
      </c>
      <c r="AR579" s="44">
        <v>0</v>
      </c>
      <c r="AS579" s="44">
        <v>0</v>
      </c>
      <c r="AT579" s="40">
        <f t="shared" si="298"/>
        <v>0</v>
      </c>
      <c r="AU579" s="18">
        <f>AJ579-AM579</f>
        <v>2841000462</v>
      </c>
      <c r="AV579" s="34">
        <f>AM579-AP579</f>
        <v>0</v>
      </c>
      <c r="AW579" s="34">
        <f>AP579-AT579</f>
        <v>0</v>
      </c>
      <c r="AX579" s="123">
        <f>AP579/AJ579</f>
        <v>0</v>
      </c>
    </row>
    <row r="580" spans="1:50" ht="18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166" t="s">
        <v>1035</v>
      </c>
      <c r="AB580" s="167" t="s">
        <v>1036</v>
      </c>
      <c r="AC580" s="168"/>
      <c r="AD580" s="43">
        <v>0</v>
      </c>
      <c r="AE580" s="43">
        <v>3208930754.3099999</v>
      </c>
      <c r="AF580" s="44">
        <v>0</v>
      </c>
      <c r="AG580" s="75">
        <v>0</v>
      </c>
      <c r="AH580" s="43">
        <v>0</v>
      </c>
      <c r="AI580" s="43">
        <f>AE580-AF580+AG580-AH580</f>
        <v>3208930754.3099999</v>
      </c>
      <c r="AJ580" s="43">
        <f>AD580+AI580</f>
        <v>3208930754.3099999</v>
      </c>
      <c r="AK580" s="44">
        <v>0</v>
      </c>
      <c r="AL580" s="44">
        <v>0</v>
      </c>
      <c r="AM580" s="44">
        <v>0</v>
      </c>
      <c r="AN580" s="44">
        <v>0</v>
      </c>
      <c r="AO580" s="44">
        <f>AP580-SEPTIEMBRE!AP570</f>
        <v>0</v>
      </c>
      <c r="AP580" s="44">
        <v>0</v>
      </c>
      <c r="AQ580" s="44">
        <v>0</v>
      </c>
      <c r="AR580" s="44">
        <v>0</v>
      </c>
      <c r="AS580" s="44">
        <v>0</v>
      </c>
      <c r="AT580" s="40">
        <f t="shared" si="298"/>
        <v>0</v>
      </c>
      <c r="AU580" s="18">
        <f>AJ580-AM580</f>
        <v>3208930754.3099999</v>
      </c>
      <c r="AV580" s="34">
        <f>AM580-AP580</f>
        <v>0</v>
      </c>
      <c r="AW580" s="34">
        <f>AP580-AT580</f>
        <v>0</v>
      </c>
      <c r="AX580" s="123">
        <f>AP580/AJ580</f>
        <v>0</v>
      </c>
    </row>
    <row r="581" spans="1:50" ht="18.75" customHeight="1" x14ac:dyDescent="0.2">
      <c r="AA581" s="169" t="s">
        <v>288</v>
      </c>
      <c r="AB581" s="163" t="s">
        <v>455</v>
      </c>
      <c r="AC581" s="17"/>
      <c r="AD581" s="18"/>
      <c r="AE581" s="34"/>
      <c r="AF581" s="34"/>
      <c r="AG581" s="76"/>
      <c r="AH581" s="18"/>
      <c r="AI581" s="18"/>
      <c r="AJ581" s="18"/>
      <c r="AK581" s="34"/>
      <c r="AL581" s="34"/>
      <c r="AM581" s="34"/>
      <c r="AN581" s="34"/>
      <c r="AO581" s="34"/>
      <c r="AP581" s="34"/>
      <c r="AQ581" s="34"/>
      <c r="AR581" s="34"/>
      <c r="AS581" s="34"/>
      <c r="AT581" s="40"/>
      <c r="AU581" s="18"/>
      <c r="AV581" s="34"/>
      <c r="AW581" s="34"/>
      <c r="AX581" s="18"/>
    </row>
    <row r="582" spans="1:50" ht="18.75" customHeight="1" x14ac:dyDescent="0.2">
      <c r="A582" s="4" t="s">
        <v>55</v>
      </c>
      <c r="B582" s="4" t="s">
        <v>56</v>
      </c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1" t="s">
        <v>456</v>
      </c>
      <c r="AB582" s="42" t="s">
        <v>233</v>
      </c>
      <c r="AC582" s="43" t="s">
        <v>58</v>
      </c>
      <c r="AD582" s="43">
        <v>1983597115.25</v>
      </c>
      <c r="AE582" s="43">
        <v>6280000000</v>
      </c>
      <c r="AF582" s="44">
        <v>0</v>
      </c>
      <c r="AG582" s="43">
        <f>15401381+3051706945.3+915000000</f>
        <v>3982108326.3000002</v>
      </c>
      <c r="AH582" s="43">
        <v>547969140</v>
      </c>
      <c r="AI582" s="43">
        <f>AE582-AF582+AG582-AH582</f>
        <v>9714139186.2999992</v>
      </c>
      <c r="AJ582" s="43">
        <f>AD582+AI582</f>
        <v>11697736301.549999</v>
      </c>
      <c r="AK582" s="43">
        <v>0</v>
      </c>
      <c r="AL582" s="143">
        <f>AM582-OCTUBRE!AM578</f>
        <v>0</v>
      </c>
      <c r="AM582" s="43">
        <v>3767108326.3000002</v>
      </c>
      <c r="AN582" s="44">
        <v>0</v>
      </c>
      <c r="AO582" s="44">
        <v>0</v>
      </c>
      <c r="AP582" s="43">
        <v>3751706945.3000002</v>
      </c>
      <c r="AQ582" s="44">
        <v>0</v>
      </c>
      <c r="AR582" s="44">
        <v>0</v>
      </c>
      <c r="AS582" s="43">
        <v>3751706945.3000002</v>
      </c>
      <c r="AT582" s="39">
        <f t="shared" si="298"/>
        <v>3751706945.3000002</v>
      </c>
      <c r="AU582" s="18">
        <f>AJ582-AM582</f>
        <v>7930627975.249999</v>
      </c>
      <c r="AV582" s="18">
        <f>AM582-AP582</f>
        <v>15401381</v>
      </c>
      <c r="AW582" s="34">
        <f>AP582-AT582</f>
        <v>0</v>
      </c>
      <c r="AX582" s="123">
        <f>AP582/AJ582</f>
        <v>0.32072076584619907</v>
      </c>
    </row>
    <row r="583" spans="1:50" ht="18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1" t="s">
        <v>1341</v>
      </c>
      <c r="AB583" s="42" t="s">
        <v>1342</v>
      </c>
      <c r="AC583" s="43"/>
      <c r="AD583" s="43">
        <v>0</v>
      </c>
      <c r="AE583" s="43">
        <v>1712498186</v>
      </c>
      <c r="AF583" s="44"/>
      <c r="AG583" s="43"/>
      <c r="AH583" s="43"/>
      <c r="AI583" s="43">
        <f>AE583-AF583+AG583-AH583</f>
        <v>1712498186</v>
      </c>
      <c r="AJ583" s="43">
        <f>AD583+AI583</f>
        <v>1712498186</v>
      </c>
      <c r="AK583" s="44">
        <v>0</v>
      </c>
      <c r="AL583" s="143">
        <f>AM583-OCTUBRE!AM579</f>
        <v>0</v>
      </c>
      <c r="AM583" s="44">
        <v>0</v>
      </c>
      <c r="AN583" s="44">
        <v>0</v>
      </c>
      <c r="AO583" s="44">
        <v>0</v>
      </c>
      <c r="AP583" s="43">
        <v>0</v>
      </c>
      <c r="AQ583" s="44">
        <v>0</v>
      </c>
      <c r="AR583" s="44">
        <v>0</v>
      </c>
      <c r="AS583" s="44">
        <v>0</v>
      </c>
      <c r="AT583" s="40">
        <f t="shared" si="298"/>
        <v>0</v>
      </c>
      <c r="AU583" s="18">
        <f>AJ583-AM583</f>
        <v>1712498186</v>
      </c>
      <c r="AV583" s="34">
        <f>AM583-AP583</f>
        <v>0</v>
      </c>
      <c r="AW583" s="34">
        <f>AP583-AT583</f>
        <v>0</v>
      </c>
      <c r="AX583" s="123">
        <f>AP583/AJ583</f>
        <v>0</v>
      </c>
    </row>
    <row r="584" spans="1:50" ht="18.75" customHeight="1" x14ac:dyDescent="0.2">
      <c r="A584" s="4" t="s">
        <v>55</v>
      </c>
      <c r="B584" s="4" t="s">
        <v>56</v>
      </c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1" t="s">
        <v>457</v>
      </c>
      <c r="AB584" s="42" t="s">
        <v>458</v>
      </c>
      <c r="AC584" s="43" t="s">
        <v>454</v>
      </c>
      <c r="AD584" s="44">
        <v>0</v>
      </c>
      <c r="AE584" s="43">
        <v>14100000000</v>
      </c>
      <c r="AF584" s="44">
        <v>0</v>
      </c>
      <c r="AG584" s="43">
        <v>20296364215</v>
      </c>
      <c r="AH584" s="43">
        <v>4465674190.3299999</v>
      </c>
      <c r="AI584" s="43">
        <f>AE584-AF584+AG584-AH584</f>
        <v>29930690024.669998</v>
      </c>
      <c r="AJ584" s="43">
        <f>AD584+AI584</f>
        <v>29930690024.669998</v>
      </c>
      <c r="AK584" s="44">
        <v>0</v>
      </c>
      <c r="AL584" s="143">
        <f>AM584-OCTUBRE!AM580</f>
        <v>0</v>
      </c>
      <c r="AM584" s="43">
        <v>19256924334</v>
      </c>
      <c r="AN584" s="44">
        <v>0</v>
      </c>
      <c r="AO584" s="44">
        <v>0</v>
      </c>
      <c r="AP584" s="43">
        <v>19256924334</v>
      </c>
      <c r="AQ584" s="43">
        <v>70537680.719999999</v>
      </c>
      <c r="AR584" s="43">
        <v>1669072637.48</v>
      </c>
      <c r="AS584" s="43">
        <v>3763209218.5100002</v>
      </c>
      <c r="AT584" s="39">
        <f t="shared" si="298"/>
        <v>3833746899.23</v>
      </c>
      <c r="AU584" s="18">
        <f>AJ584-AM584</f>
        <v>10673765690.669998</v>
      </c>
      <c r="AV584" s="133">
        <f>AM584-AP584</f>
        <v>0</v>
      </c>
      <c r="AW584" s="18">
        <f>AP584-AT584</f>
        <v>15423177434.77</v>
      </c>
      <c r="AX584" s="123">
        <f>AP584/AJ584</f>
        <v>0.6433839085610028</v>
      </c>
    </row>
    <row r="585" spans="1:50" ht="18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1" t="s">
        <v>1300</v>
      </c>
      <c r="AB585" s="42" t="s">
        <v>1015</v>
      </c>
      <c r="AC585" s="43"/>
      <c r="AD585" s="44">
        <v>0</v>
      </c>
      <c r="AE585" s="44">
        <v>0</v>
      </c>
      <c r="AF585" s="44">
        <v>0</v>
      </c>
      <c r="AG585" s="43">
        <v>1743353380</v>
      </c>
      <c r="AH585" s="44">
        <v>0</v>
      </c>
      <c r="AI585" s="43">
        <f>AE585-AF585+AG585-AH585</f>
        <v>1743353380</v>
      </c>
      <c r="AJ585" s="43">
        <f>AD585+AI585</f>
        <v>1743353380</v>
      </c>
      <c r="AK585" s="44">
        <v>0</v>
      </c>
      <c r="AL585" s="143">
        <f>AM585-OCTUBRE!AM581</f>
        <v>0</v>
      </c>
      <c r="AM585" s="43">
        <v>1727085164.7</v>
      </c>
      <c r="AN585" s="44">
        <v>0</v>
      </c>
      <c r="AO585" s="44">
        <v>0</v>
      </c>
      <c r="AP585" s="43">
        <v>1727085164.7</v>
      </c>
      <c r="AQ585" s="44">
        <v>0</v>
      </c>
      <c r="AR585" s="43">
        <v>0</v>
      </c>
      <c r="AS585" s="43">
        <v>1723222063.1199999</v>
      </c>
      <c r="AT585" s="39">
        <f t="shared" si="298"/>
        <v>1723222063.1199999</v>
      </c>
      <c r="AU585" s="18">
        <f>AJ585-AM585</f>
        <v>16268215.299999952</v>
      </c>
      <c r="AV585" s="34">
        <f>AM585-AP585</f>
        <v>0</v>
      </c>
      <c r="AW585" s="18">
        <f>AP585-AT585</f>
        <v>3863101.5800001621</v>
      </c>
      <c r="AX585" s="123">
        <f>AP585/AJ585</f>
        <v>0.99066843504786162</v>
      </c>
    </row>
    <row r="586" spans="1:50" ht="18.75" customHeight="1" x14ac:dyDescent="0.2">
      <c r="AA586" s="28" t="s">
        <v>288</v>
      </c>
      <c r="AB586" s="29" t="s">
        <v>459</v>
      </c>
      <c r="AC586" s="17"/>
      <c r="AD586" s="18"/>
      <c r="AE586" s="34"/>
      <c r="AF586" s="34"/>
      <c r="AG586" s="18"/>
      <c r="AH586" s="34"/>
      <c r="AI586" s="18"/>
      <c r="AJ586" s="18"/>
      <c r="AK586" s="34"/>
      <c r="AL586" s="34"/>
      <c r="AM586" s="18"/>
      <c r="AN586" s="34"/>
      <c r="AO586" s="145"/>
      <c r="AP586" s="18"/>
      <c r="AQ586" s="34"/>
      <c r="AR586" s="34"/>
      <c r="AS586" s="34"/>
      <c r="AT586" s="40"/>
      <c r="AU586" s="18"/>
      <c r="AV586" s="18"/>
      <c r="AW586" s="18"/>
      <c r="AX586" s="18"/>
    </row>
    <row r="587" spans="1:50" ht="18.75" customHeight="1" x14ac:dyDescent="0.2">
      <c r="A587" s="4" t="s">
        <v>55</v>
      </c>
      <c r="B587" s="4" t="s">
        <v>56</v>
      </c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1" t="s">
        <v>460</v>
      </c>
      <c r="AB587" s="42" t="s">
        <v>233</v>
      </c>
      <c r="AC587" s="43" t="s">
        <v>58</v>
      </c>
      <c r="AD587" s="43">
        <v>867728401</v>
      </c>
      <c r="AE587" s="44">
        <v>0</v>
      </c>
      <c r="AF587" s="44">
        <v>0</v>
      </c>
      <c r="AG587" s="44">
        <v>0</v>
      </c>
      <c r="AH587" s="44">
        <v>0</v>
      </c>
      <c r="AI587" s="44">
        <v>0</v>
      </c>
      <c r="AJ587" s="43">
        <v>867728401</v>
      </c>
      <c r="AK587" s="44">
        <v>0</v>
      </c>
      <c r="AL587" s="142">
        <f>AM587-OCTUBRE!AM583</f>
        <v>-38712537.799999952</v>
      </c>
      <c r="AM587" s="43">
        <v>829015863.20000005</v>
      </c>
      <c r="AN587" s="44">
        <v>0</v>
      </c>
      <c r="AO587" s="44">
        <v>0</v>
      </c>
      <c r="AP587" s="43">
        <v>829015863.20000005</v>
      </c>
      <c r="AQ587" s="44">
        <v>0</v>
      </c>
      <c r="AR587" s="43">
        <v>0</v>
      </c>
      <c r="AS587" s="43">
        <v>790343041.20000005</v>
      </c>
      <c r="AT587" s="39">
        <f t="shared" si="298"/>
        <v>790343041.20000005</v>
      </c>
      <c r="AU587" s="18">
        <f>AJ587-AM587</f>
        <v>38712537.799999952</v>
      </c>
      <c r="AV587" s="18">
        <f>AM587-AP587</f>
        <v>0</v>
      </c>
      <c r="AW587" s="18">
        <f>AP587-AT587</f>
        <v>38672822</v>
      </c>
      <c r="AX587" s="123">
        <f>AP587/AJ587</f>
        <v>0.95538634236774289</v>
      </c>
    </row>
    <row r="588" spans="1:50" ht="18.75" customHeight="1" x14ac:dyDescent="0.2">
      <c r="A588" s="4" t="s">
        <v>55</v>
      </c>
      <c r="B588" s="4" t="s">
        <v>56</v>
      </c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1" t="s">
        <v>461</v>
      </c>
      <c r="AB588" s="42" t="s">
        <v>462</v>
      </c>
      <c r="AC588" s="43" t="s">
        <v>428</v>
      </c>
      <c r="AD588" s="43">
        <v>208691582</v>
      </c>
      <c r="AE588" s="44">
        <v>0</v>
      </c>
      <c r="AF588" s="44">
        <v>0</v>
      </c>
      <c r="AG588" s="44">
        <v>0</v>
      </c>
      <c r="AH588" s="44">
        <v>0</v>
      </c>
      <c r="AI588" s="44">
        <v>0</v>
      </c>
      <c r="AJ588" s="43">
        <v>208691582</v>
      </c>
      <c r="AK588" s="44">
        <v>0</v>
      </c>
      <c r="AL588" s="142">
        <f>AM588-OCTUBRE!AM584</f>
        <v>0</v>
      </c>
      <c r="AM588" s="44">
        <v>0</v>
      </c>
      <c r="AN588" s="44">
        <v>0</v>
      </c>
      <c r="AO588" s="44">
        <v>0</v>
      </c>
      <c r="AP588" s="44">
        <v>0</v>
      </c>
      <c r="AQ588" s="44">
        <v>0</v>
      </c>
      <c r="AR588" s="44">
        <v>0</v>
      </c>
      <c r="AS588" s="44">
        <v>0</v>
      </c>
      <c r="AT588" s="40">
        <f t="shared" si="298"/>
        <v>0</v>
      </c>
      <c r="AU588" s="18">
        <f>AJ588-AM588</f>
        <v>208691582</v>
      </c>
      <c r="AV588" s="34">
        <f>AM588-AP588</f>
        <v>0</v>
      </c>
      <c r="AW588" s="34">
        <f>AP588-AT588</f>
        <v>0</v>
      </c>
      <c r="AX588" s="123">
        <f>AP588/AJ588</f>
        <v>0</v>
      </c>
    </row>
    <row r="589" spans="1:50" ht="24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166" t="s">
        <v>1045</v>
      </c>
      <c r="AB589" s="167" t="s">
        <v>1044</v>
      </c>
      <c r="AC589" s="168"/>
      <c r="AD589" s="44">
        <v>0</v>
      </c>
      <c r="AE589" s="43">
        <v>439408481</v>
      </c>
      <c r="AF589" s="44">
        <v>0</v>
      </c>
      <c r="AG589" s="43">
        <v>1681878981.2</v>
      </c>
      <c r="AH589" s="44">
        <v>0</v>
      </c>
      <c r="AI589" s="43">
        <f>AE589-AF589+AG589-AH589</f>
        <v>2121287462.2</v>
      </c>
      <c r="AJ589" s="43">
        <f>AD589+AI589</f>
        <v>2121287462.2</v>
      </c>
      <c r="AK589" s="44">
        <v>0</v>
      </c>
      <c r="AL589" s="142">
        <f>AM589-OCTUBRE!AM585</f>
        <v>-23878754.200000048</v>
      </c>
      <c r="AM589" s="43">
        <v>2097408708</v>
      </c>
      <c r="AN589" s="44">
        <v>0</v>
      </c>
      <c r="AO589" s="44">
        <v>2097408708</v>
      </c>
      <c r="AP589" s="44">
        <v>2097408708</v>
      </c>
      <c r="AQ589" s="44">
        <v>0</v>
      </c>
      <c r="AR589" s="44">
        <v>0</v>
      </c>
      <c r="AS589" s="44">
        <v>0</v>
      </c>
      <c r="AT589" s="40">
        <f t="shared" si="298"/>
        <v>0</v>
      </c>
      <c r="AU589" s="18">
        <f>AJ589-AM589</f>
        <v>23878754.200000048</v>
      </c>
      <c r="AV589" s="18">
        <f>AM589-AP589</f>
        <v>0</v>
      </c>
      <c r="AW589" s="18">
        <f>AP589-AT589</f>
        <v>2097408708</v>
      </c>
      <c r="AX589" s="123">
        <f>AP589/AJ589</f>
        <v>0.98874327283524543</v>
      </c>
    </row>
    <row r="590" spans="1:50" ht="21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171" t="s">
        <v>288</v>
      </c>
      <c r="AB590" s="213" t="s">
        <v>1040</v>
      </c>
      <c r="AC590" s="168"/>
      <c r="AD590" s="44"/>
      <c r="AE590" s="44"/>
      <c r="AF590" s="44"/>
      <c r="AG590" s="44"/>
      <c r="AH590" s="44"/>
      <c r="AI590" s="44"/>
      <c r="AJ590" s="43"/>
      <c r="AK590" s="44"/>
      <c r="AL590" s="44"/>
      <c r="AM590" s="44"/>
      <c r="AN590" s="44"/>
      <c r="AO590" s="44"/>
      <c r="AP590" s="44"/>
      <c r="AQ590" s="44"/>
      <c r="AR590" s="44"/>
      <c r="AS590" s="44"/>
      <c r="AT590" s="40"/>
      <c r="AU590" s="18"/>
      <c r="AV590" s="34"/>
      <c r="AW590" s="34"/>
      <c r="AX590" s="123"/>
    </row>
    <row r="591" spans="1:50" ht="21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229" t="s">
        <v>1398</v>
      </c>
      <c r="AB591" s="230" t="s">
        <v>233</v>
      </c>
      <c r="AC591" s="168"/>
      <c r="AD591" s="44"/>
      <c r="AE591" s="44"/>
      <c r="AF591" s="44"/>
      <c r="AG591" s="43">
        <v>127000000</v>
      </c>
      <c r="AH591" s="44"/>
      <c r="AI591" s="43">
        <f>AE591-AF591+AG591-AH591</f>
        <v>127000000</v>
      </c>
      <c r="AJ591" s="43">
        <f>AD591+AI591</f>
        <v>127000000</v>
      </c>
      <c r="AK591" s="44">
        <v>0</v>
      </c>
      <c r="AL591" s="44">
        <v>0</v>
      </c>
      <c r="AM591" s="44">
        <v>0</v>
      </c>
      <c r="AN591" s="44">
        <v>0</v>
      </c>
      <c r="AO591" s="44">
        <v>0</v>
      </c>
      <c r="AP591" s="44">
        <v>0</v>
      </c>
      <c r="AQ591" s="44">
        <v>0</v>
      </c>
      <c r="AR591" s="44">
        <v>0</v>
      </c>
      <c r="AS591" s="44">
        <v>0</v>
      </c>
      <c r="AT591" s="40">
        <f t="shared" ref="AT591:AT593" si="299">AQ591+AS591</f>
        <v>0</v>
      </c>
      <c r="AU591" s="18">
        <f>AJ591-AM591</f>
        <v>127000000</v>
      </c>
      <c r="AV591" s="34">
        <f>AM591-AP591</f>
        <v>0</v>
      </c>
      <c r="AW591" s="18">
        <f>AP591-AT591</f>
        <v>0</v>
      </c>
      <c r="AX591" s="123">
        <f>AP591/AJ591</f>
        <v>0</v>
      </c>
    </row>
    <row r="592" spans="1:50" ht="18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166" t="s">
        <v>1041</v>
      </c>
      <c r="AB592" s="167" t="s">
        <v>1015</v>
      </c>
      <c r="AC592" s="168"/>
      <c r="AD592" s="44">
        <v>0</v>
      </c>
      <c r="AE592" s="43">
        <v>117329833</v>
      </c>
      <c r="AF592" s="44">
        <v>0</v>
      </c>
      <c r="AG592" s="43">
        <v>8000000</v>
      </c>
      <c r="AH592" s="44">
        <v>0</v>
      </c>
      <c r="AI592" s="43">
        <f>AE592-AF592+AG592-AH592</f>
        <v>125329833</v>
      </c>
      <c r="AJ592" s="43">
        <f>AD592+AI592</f>
        <v>125329833</v>
      </c>
      <c r="AK592" s="44">
        <v>0</v>
      </c>
      <c r="AL592" s="142">
        <f>AM592-OCTUBRE!AM588</f>
        <v>18092268</v>
      </c>
      <c r="AM592" s="43">
        <v>82853668</v>
      </c>
      <c r="AN592" s="44">
        <v>0</v>
      </c>
      <c r="AO592" s="44">
        <v>18092268</v>
      </c>
      <c r="AP592" s="43">
        <v>82853668</v>
      </c>
      <c r="AQ592" s="44">
        <v>0</v>
      </c>
      <c r="AR592" s="44">
        <v>0</v>
      </c>
      <c r="AS592" s="44">
        <v>0</v>
      </c>
      <c r="AT592" s="40">
        <f t="shared" si="299"/>
        <v>0</v>
      </c>
      <c r="AU592" s="18">
        <f>AJ592-AM592</f>
        <v>42476165</v>
      </c>
      <c r="AV592" s="34">
        <f>AM592-AP592</f>
        <v>0</v>
      </c>
      <c r="AW592" s="18">
        <f>AP592-AT592</f>
        <v>82853668</v>
      </c>
      <c r="AX592" s="123">
        <f>AP592/AJ592</f>
        <v>0.66108496290743479</v>
      </c>
    </row>
    <row r="593" spans="1:50" ht="28.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229" t="s">
        <v>1303</v>
      </c>
      <c r="AB593" s="230" t="s">
        <v>1304</v>
      </c>
      <c r="AC593" s="168"/>
      <c r="AD593" s="44">
        <v>0</v>
      </c>
      <c r="AE593" s="44">
        <v>0</v>
      </c>
      <c r="AF593" s="44">
        <v>0</v>
      </c>
      <c r="AG593" s="43">
        <v>130000000</v>
      </c>
      <c r="AH593" s="44">
        <v>0</v>
      </c>
      <c r="AI593" s="43">
        <f>AE593-AF593+AG593-AH593</f>
        <v>130000000</v>
      </c>
      <c r="AJ593" s="43">
        <f>AD593+AI593</f>
        <v>130000000</v>
      </c>
      <c r="AK593" s="44">
        <v>0</v>
      </c>
      <c r="AL593" s="44">
        <v>0</v>
      </c>
      <c r="AM593" s="44">
        <v>0</v>
      </c>
      <c r="AN593" s="44">
        <v>0</v>
      </c>
      <c r="AO593" s="44">
        <v>0</v>
      </c>
      <c r="AP593" s="44">
        <v>0</v>
      </c>
      <c r="AQ593" s="44">
        <v>0</v>
      </c>
      <c r="AR593" s="44">
        <v>0</v>
      </c>
      <c r="AS593" s="44">
        <v>0</v>
      </c>
      <c r="AT593" s="40">
        <f t="shared" si="299"/>
        <v>0</v>
      </c>
      <c r="AU593" s="18">
        <f>AJ593-AM593</f>
        <v>130000000</v>
      </c>
      <c r="AV593" s="34">
        <f>AM593-AP593</f>
        <v>0</v>
      </c>
      <c r="AW593" s="34">
        <f>AP593-AT593</f>
        <v>0</v>
      </c>
      <c r="AX593" s="123">
        <f>AP593/AJ593</f>
        <v>0</v>
      </c>
    </row>
    <row r="594" spans="1:50" ht="22.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208" t="s">
        <v>288</v>
      </c>
      <c r="AB594" s="209" t="s">
        <v>463</v>
      </c>
      <c r="AC594" s="43"/>
      <c r="AD594" s="43"/>
      <c r="AE594" s="44"/>
      <c r="AF594" s="44"/>
      <c r="AG594" s="43"/>
      <c r="AH594" s="44"/>
      <c r="AI594" s="43"/>
      <c r="AJ594" s="142"/>
      <c r="AK594" s="44"/>
      <c r="AL594" s="44"/>
      <c r="AM594" s="44"/>
      <c r="AN594" s="44"/>
      <c r="AO594" s="44"/>
      <c r="AP594" s="44"/>
      <c r="AQ594" s="44"/>
      <c r="AR594" s="44"/>
      <c r="AS594" s="44"/>
      <c r="AT594" s="40"/>
      <c r="AU594" s="43"/>
      <c r="AV594" s="44"/>
      <c r="AW594" s="44"/>
      <c r="AX594" s="43"/>
    </row>
    <row r="595" spans="1:50" ht="18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134" t="s">
        <v>464</v>
      </c>
      <c r="AB595" s="17" t="s">
        <v>458</v>
      </c>
      <c r="AC595" s="43"/>
      <c r="AD595" s="44">
        <v>0</v>
      </c>
      <c r="AE595" s="44">
        <v>0</v>
      </c>
      <c r="AF595" s="44">
        <v>0</v>
      </c>
      <c r="AG595" s="43">
        <v>1555449996</v>
      </c>
      <c r="AH595" s="44">
        <v>0</v>
      </c>
      <c r="AI595" s="43">
        <f>AE595-AF595+AG595-AH595</f>
        <v>1555449996</v>
      </c>
      <c r="AJ595" s="142">
        <f>AD595+AI595</f>
        <v>1555449996</v>
      </c>
      <c r="AK595" s="44">
        <v>0</v>
      </c>
      <c r="AL595" s="44">
        <v>0</v>
      </c>
      <c r="AM595" s="44">
        <v>0</v>
      </c>
      <c r="AN595" s="44">
        <v>0</v>
      </c>
      <c r="AO595" s="44">
        <v>0</v>
      </c>
      <c r="AP595" s="44">
        <v>0</v>
      </c>
      <c r="AQ595" s="44">
        <v>0</v>
      </c>
      <c r="AR595" s="44">
        <v>0</v>
      </c>
      <c r="AS595" s="44">
        <v>0</v>
      </c>
      <c r="AT595" s="40">
        <f>AQ595+AS595</f>
        <v>0</v>
      </c>
      <c r="AU595" s="18">
        <f>AJ595-AM595</f>
        <v>1555449996</v>
      </c>
      <c r="AV595" s="34">
        <f>AM595-AP595</f>
        <v>0</v>
      </c>
      <c r="AW595" s="34">
        <f>AP595-AT595</f>
        <v>0</v>
      </c>
      <c r="AX595" s="123">
        <f>AP595/AJ595</f>
        <v>0</v>
      </c>
    </row>
    <row r="596" spans="1:50" ht="18.75" customHeight="1" x14ac:dyDescent="0.2">
      <c r="AA596" s="28" t="s">
        <v>288</v>
      </c>
      <c r="AB596" s="29" t="s">
        <v>465</v>
      </c>
      <c r="AC596" s="17"/>
      <c r="AD596" s="18"/>
      <c r="AE596" s="34"/>
      <c r="AF596" s="34"/>
      <c r="AG596" s="18"/>
      <c r="AH596" s="34"/>
      <c r="AI596" s="18"/>
      <c r="AJ596" s="147"/>
      <c r="AK596" s="34"/>
      <c r="AL596" s="34"/>
      <c r="AM596" s="34"/>
      <c r="AN596" s="34"/>
      <c r="AO596" s="34"/>
      <c r="AP596" s="34"/>
      <c r="AQ596" s="34"/>
      <c r="AR596" s="34"/>
      <c r="AS596" s="34"/>
      <c r="AT596" s="40"/>
      <c r="AU596" s="18"/>
      <c r="AV596" s="34"/>
      <c r="AW596" s="34"/>
      <c r="AX596" s="18"/>
    </row>
    <row r="597" spans="1:50" ht="18.75" customHeight="1" x14ac:dyDescent="0.2">
      <c r="A597" s="4" t="s">
        <v>55</v>
      </c>
      <c r="B597" s="4" t="s">
        <v>56</v>
      </c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1" t="s">
        <v>466</v>
      </c>
      <c r="AB597" s="42" t="s">
        <v>233</v>
      </c>
      <c r="AC597" s="43" t="s">
        <v>58</v>
      </c>
      <c r="AD597" s="44">
        <v>0</v>
      </c>
      <c r="AE597" s="43">
        <v>2600000000</v>
      </c>
      <c r="AF597" s="44">
        <v>0</v>
      </c>
      <c r="AG597" s="43">
        <v>95000000</v>
      </c>
      <c r="AH597" s="44">
        <v>0</v>
      </c>
      <c r="AI597" s="43">
        <f>AE597-AF597+AG597-AH597</f>
        <v>2695000000</v>
      </c>
      <c r="AJ597" s="142">
        <f>AD597+AI597</f>
        <v>2695000000</v>
      </c>
      <c r="AK597" s="44">
        <v>0</v>
      </c>
      <c r="AL597" s="142">
        <f>AM597-OCTUBRE!AM593</f>
        <v>2600000000</v>
      </c>
      <c r="AM597" s="43">
        <v>2694976390.8499999</v>
      </c>
      <c r="AN597" s="43">
        <v>0</v>
      </c>
      <c r="AO597" s="43">
        <v>2600000000</v>
      </c>
      <c r="AP597" s="43">
        <v>2694976390.8499999</v>
      </c>
      <c r="AQ597" s="44">
        <v>0</v>
      </c>
      <c r="AR597" s="44">
        <v>0</v>
      </c>
      <c r="AS597" s="44">
        <v>0</v>
      </c>
      <c r="AT597" s="40">
        <f>AQ597+AS597</f>
        <v>0</v>
      </c>
      <c r="AU597" s="18">
        <f>AJ597-AM597</f>
        <v>23609.150000095367</v>
      </c>
      <c r="AV597" s="34">
        <f>AM597-AP597</f>
        <v>0</v>
      </c>
      <c r="AW597" s="110">
        <f>AP597-AT597</f>
        <v>2694976390.8499999</v>
      </c>
      <c r="AX597" s="123">
        <f>AP597/AJ597</f>
        <v>0.99999123964749537</v>
      </c>
    </row>
    <row r="598" spans="1:50" ht="18.75" customHeight="1" x14ac:dyDescent="0.2">
      <c r="AA598" s="16"/>
      <c r="AB598" s="29" t="s">
        <v>467</v>
      </c>
      <c r="AC598" s="17"/>
      <c r="AD598" s="34"/>
      <c r="AE598" s="34"/>
      <c r="AF598" s="34"/>
      <c r="AG598" s="18"/>
      <c r="AH598" s="34"/>
      <c r="AI598" s="18"/>
      <c r="AJ598" s="147"/>
      <c r="AK598" s="34"/>
      <c r="AL598" s="34"/>
      <c r="AM598" s="34"/>
      <c r="AN598" s="34"/>
      <c r="AO598" s="34"/>
      <c r="AP598" s="34"/>
      <c r="AQ598" s="34"/>
      <c r="AR598" s="34"/>
      <c r="AS598" s="34"/>
      <c r="AT598" s="40"/>
      <c r="AU598" s="18"/>
      <c r="AV598" s="34"/>
      <c r="AW598" s="34"/>
      <c r="AX598" s="18"/>
    </row>
    <row r="599" spans="1:50" ht="18.75" customHeight="1" x14ac:dyDescent="0.2">
      <c r="A599" s="4" t="s">
        <v>55</v>
      </c>
      <c r="B599" s="4" t="s">
        <v>56</v>
      </c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1" t="s">
        <v>468</v>
      </c>
      <c r="AB599" s="42" t="s">
        <v>458</v>
      </c>
      <c r="AC599" s="43" t="s">
        <v>454</v>
      </c>
      <c r="AD599" s="44">
        <v>0</v>
      </c>
      <c r="AE599" s="44">
        <v>0</v>
      </c>
      <c r="AF599" s="44">
        <v>0</v>
      </c>
      <c r="AG599" s="43">
        <v>1331864802</v>
      </c>
      <c r="AH599" s="44">
        <v>0</v>
      </c>
      <c r="AI599" s="43">
        <f>AE599-AF599+AG599-AH599</f>
        <v>1331864802</v>
      </c>
      <c r="AJ599" s="43">
        <f>AD599+AI599</f>
        <v>1331864802</v>
      </c>
      <c r="AK599" s="44">
        <v>0</v>
      </c>
      <c r="AL599" s="142">
        <f>AM599-OCTUBRE!AM595</f>
        <v>0</v>
      </c>
      <c r="AM599" s="43">
        <v>1162835095</v>
      </c>
      <c r="AN599" s="43">
        <v>0</v>
      </c>
      <c r="AO599" s="43">
        <v>0</v>
      </c>
      <c r="AP599" s="43">
        <v>1162835095</v>
      </c>
      <c r="AQ599" s="44">
        <v>0</v>
      </c>
      <c r="AR599" s="44">
        <v>0</v>
      </c>
      <c r="AS599" s="44">
        <v>0</v>
      </c>
      <c r="AT599" s="40">
        <f>AQ599+AS599</f>
        <v>0</v>
      </c>
      <c r="AU599" s="18">
        <f>AJ599-AM599</f>
        <v>169029707</v>
      </c>
      <c r="AV599" s="18">
        <f>AM599-AP599</f>
        <v>0</v>
      </c>
      <c r="AW599" s="18">
        <f>AP599-AT599</f>
        <v>1162835095</v>
      </c>
      <c r="AX599" s="123">
        <f>AP599/AJ599</f>
        <v>0.87308793899637871</v>
      </c>
    </row>
    <row r="600" spans="1:50" ht="18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170" t="s">
        <v>288</v>
      </c>
      <c r="AB600" s="170" t="s">
        <v>970</v>
      </c>
      <c r="AC600" s="168"/>
      <c r="AD600" s="44"/>
      <c r="AE600" s="44"/>
      <c r="AF600" s="44"/>
      <c r="AG600" s="43"/>
      <c r="AH600" s="44"/>
      <c r="AI600" s="43"/>
      <c r="AJ600" s="43"/>
      <c r="AK600" s="44"/>
      <c r="AL600" s="44"/>
      <c r="AM600" s="44"/>
      <c r="AN600" s="44"/>
      <c r="AO600" s="44"/>
      <c r="AP600" s="44"/>
      <c r="AQ600" s="44"/>
      <c r="AR600" s="44"/>
      <c r="AS600" s="44"/>
      <c r="AT600" s="40"/>
      <c r="AU600" s="18"/>
      <c r="AV600" s="34"/>
      <c r="AW600" s="34"/>
      <c r="AX600" s="123"/>
    </row>
    <row r="601" spans="1:50" ht="18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166" t="s">
        <v>969</v>
      </c>
      <c r="AB601" s="166" t="s">
        <v>233</v>
      </c>
      <c r="AC601" s="168"/>
      <c r="AD601" s="44">
        <v>0</v>
      </c>
      <c r="AE601" s="44">
        <v>0</v>
      </c>
      <c r="AF601" s="44">
        <v>0</v>
      </c>
      <c r="AG601" s="43">
        <v>138279379</v>
      </c>
      <c r="AH601" s="43">
        <v>4993574</v>
      </c>
      <c r="AI601" s="43">
        <f>AE601-AF601+AG601-AH601</f>
        <v>133285805</v>
      </c>
      <c r="AJ601" s="43">
        <f>AD601+AI601</f>
        <v>133285805</v>
      </c>
      <c r="AK601" s="44">
        <v>0</v>
      </c>
      <c r="AL601" s="43">
        <f>AM601-OCTUBRE!AM597</f>
        <v>0</v>
      </c>
      <c r="AM601" s="43">
        <v>133285804.41</v>
      </c>
      <c r="AN601" s="43">
        <v>0</v>
      </c>
      <c r="AO601" s="43">
        <v>0</v>
      </c>
      <c r="AP601" s="43">
        <v>133285804.41</v>
      </c>
      <c r="AQ601" s="44">
        <v>0</v>
      </c>
      <c r="AR601" s="44">
        <v>0</v>
      </c>
      <c r="AS601" s="44">
        <v>0</v>
      </c>
      <c r="AT601" s="40">
        <f>AQ601+AS601</f>
        <v>0</v>
      </c>
      <c r="AU601" s="18">
        <f>AJ601-AM601</f>
        <v>0.59000000357627869</v>
      </c>
      <c r="AV601" s="34">
        <f>AM601-AP601</f>
        <v>0</v>
      </c>
      <c r="AW601" s="18">
        <f>AP601-AT601</f>
        <v>133285804.41</v>
      </c>
      <c r="AX601" s="123">
        <f>AP601/AJ601</f>
        <v>0.99999999557342212</v>
      </c>
    </row>
    <row r="602" spans="1:50" ht="18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166" t="s">
        <v>1442</v>
      </c>
      <c r="AB602" s="166" t="s">
        <v>1443</v>
      </c>
      <c r="AC602" s="168"/>
      <c r="AD602" s="44">
        <v>0</v>
      </c>
      <c r="AE602" s="43">
        <v>401044257.76999998</v>
      </c>
      <c r="AF602" s="44">
        <v>0</v>
      </c>
      <c r="AG602" s="43">
        <v>0</v>
      </c>
      <c r="AH602" s="43"/>
      <c r="AI602" s="43">
        <f>AE602-AF602+AG602-AH602</f>
        <v>401044257.76999998</v>
      </c>
      <c r="AJ602" s="43">
        <f>AD602+AI602</f>
        <v>401044257.76999998</v>
      </c>
      <c r="AK602" s="44">
        <v>0</v>
      </c>
      <c r="AL602" s="43">
        <v>0</v>
      </c>
      <c r="AM602" s="43">
        <v>0</v>
      </c>
      <c r="AN602" s="43">
        <v>0</v>
      </c>
      <c r="AO602" s="43">
        <v>0</v>
      </c>
      <c r="AP602" s="43">
        <v>0</v>
      </c>
      <c r="AQ602" s="44">
        <v>0</v>
      </c>
      <c r="AR602" s="44">
        <v>0</v>
      </c>
      <c r="AS602" s="44">
        <v>0</v>
      </c>
      <c r="AT602" s="40">
        <f>AQ602+AS602</f>
        <v>0</v>
      </c>
      <c r="AU602" s="18">
        <f>AJ602-AM602</f>
        <v>401044257.76999998</v>
      </c>
      <c r="AV602" s="34">
        <f>AM602-AP602</f>
        <v>0</v>
      </c>
      <c r="AW602" s="18">
        <f>AP602-AT602</f>
        <v>0</v>
      </c>
      <c r="AX602" s="123">
        <f>AP602/AJ602</f>
        <v>0</v>
      </c>
    </row>
    <row r="603" spans="1:50" ht="22.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166" t="s">
        <v>1042</v>
      </c>
      <c r="AB603" s="167" t="s">
        <v>1015</v>
      </c>
      <c r="AC603" s="168"/>
      <c r="AD603" s="44">
        <v>0</v>
      </c>
      <c r="AE603" s="43">
        <v>20000000</v>
      </c>
      <c r="AF603" s="44">
        <v>0</v>
      </c>
      <c r="AG603" s="43">
        <f>50000000+50000000</f>
        <v>100000000</v>
      </c>
      <c r="AH603" s="44">
        <v>0</v>
      </c>
      <c r="AI603" s="43">
        <f t="shared" ref="AI603:AI605" si="300">AE603-AF603+AG603-AH603</f>
        <v>120000000</v>
      </c>
      <c r="AJ603" s="43">
        <f t="shared" ref="AJ603:AJ605" si="301">AD603+AI603</f>
        <v>120000000</v>
      </c>
      <c r="AK603" s="44">
        <v>0</v>
      </c>
      <c r="AL603" s="43">
        <f>AM603-OCTUBRE!AM598</f>
        <v>-7997588.799999997</v>
      </c>
      <c r="AM603" s="43">
        <v>112002411.2</v>
      </c>
      <c r="AN603" s="43">
        <v>0</v>
      </c>
      <c r="AO603" s="44">
        <v>112002411.2</v>
      </c>
      <c r="AP603" s="44">
        <v>112002411.2</v>
      </c>
      <c r="AQ603" s="44">
        <v>0</v>
      </c>
      <c r="AR603" s="44">
        <v>0</v>
      </c>
      <c r="AS603" s="44">
        <v>0</v>
      </c>
      <c r="AT603" s="40">
        <f t="shared" ref="AT603:AT605" si="302">AQ603+AS603</f>
        <v>0</v>
      </c>
      <c r="AU603" s="18">
        <f>AJ603-AM603</f>
        <v>7997588.799999997</v>
      </c>
      <c r="AV603" s="18">
        <f>AM603-AP603</f>
        <v>0</v>
      </c>
      <c r="AW603" s="34">
        <f>AP603-AT603</f>
        <v>112002411.2</v>
      </c>
      <c r="AX603" s="123">
        <f>AP603/AJ603</f>
        <v>0.93335342666666665</v>
      </c>
    </row>
    <row r="604" spans="1:50" ht="27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229" t="s">
        <v>1305</v>
      </c>
      <c r="AB604" s="230" t="s">
        <v>1304</v>
      </c>
      <c r="AC604" s="168"/>
      <c r="AD604" s="44">
        <v>0</v>
      </c>
      <c r="AE604" s="43">
        <v>0</v>
      </c>
      <c r="AF604" s="44">
        <v>0</v>
      </c>
      <c r="AG604" s="43">
        <v>60000000</v>
      </c>
      <c r="AH604" s="43">
        <v>0</v>
      </c>
      <c r="AI604" s="43">
        <f>AE604-AF604+AG604-AH604</f>
        <v>60000000</v>
      </c>
      <c r="AJ604" s="43">
        <f>AD604+AI604</f>
        <v>60000000</v>
      </c>
      <c r="AK604" s="44">
        <v>0</v>
      </c>
      <c r="AL604" s="43">
        <f>AM604-OCTUBRE!AM599</f>
        <v>0</v>
      </c>
      <c r="AM604" s="43">
        <v>20279244.800000001</v>
      </c>
      <c r="AN604" s="43">
        <v>0</v>
      </c>
      <c r="AO604" s="143">
        <v>20279244.800000001</v>
      </c>
      <c r="AP604" s="44">
        <v>20279244.800000001</v>
      </c>
      <c r="AQ604" s="44">
        <v>0</v>
      </c>
      <c r="AR604" s="44">
        <v>0</v>
      </c>
      <c r="AS604" s="44">
        <v>0</v>
      </c>
      <c r="AT604" s="40">
        <f>AQ604+AS604</f>
        <v>0</v>
      </c>
      <c r="AU604" s="18">
        <f>AJ604-AM604</f>
        <v>39720755.200000003</v>
      </c>
      <c r="AV604" s="34">
        <f>AM604-AP604</f>
        <v>0</v>
      </c>
      <c r="AW604" s="34">
        <f>AP604-AT604</f>
        <v>20279244.800000001</v>
      </c>
      <c r="AX604" s="123">
        <f>AP604/AJ604</f>
        <v>0.33798741333333332</v>
      </c>
    </row>
    <row r="605" spans="1:50" ht="27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166" t="s">
        <v>1043</v>
      </c>
      <c r="AB605" s="167" t="s">
        <v>1044</v>
      </c>
      <c r="AC605" s="168"/>
      <c r="AD605" s="44">
        <v>0</v>
      </c>
      <c r="AE605" s="43">
        <v>2160000000</v>
      </c>
      <c r="AF605" s="44">
        <v>0</v>
      </c>
      <c r="AG605" s="44">
        <v>0</v>
      </c>
      <c r="AH605" s="43">
        <f>1681878981.2+478121018</f>
        <v>2159999999.1999998</v>
      </c>
      <c r="AI605" s="43">
        <f t="shared" si="300"/>
        <v>0.80000019073486328</v>
      </c>
      <c r="AJ605" s="43">
        <f t="shared" si="301"/>
        <v>0.80000019073486328</v>
      </c>
      <c r="AK605" s="44">
        <v>0</v>
      </c>
      <c r="AL605" s="43">
        <v>0</v>
      </c>
      <c r="AM605" s="43">
        <v>0</v>
      </c>
      <c r="AN605" s="43">
        <v>0</v>
      </c>
      <c r="AO605" s="143">
        <v>0</v>
      </c>
      <c r="AP605" s="44">
        <v>0</v>
      </c>
      <c r="AQ605" s="44">
        <v>0</v>
      </c>
      <c r="AR605" s="44">
        <v>0</v>
      </c>
      <c r="AS605" s="44">
        <v>0</v>
      </c>
      <c r="AT605" s="40">
        <f t="shared" si="302"/>
        <v>0</v>
      </c>
      <c r="AU605" s="18">
        <f>AJ605-AM605</f>
        <v>0.80000019073486328</v>
      </c>
      <c r="AV605" s="34">
        <f>AM605-AP605</f>
        <v>0</v>
      </c>
      <c r="AW605" s="34">
        <f>AP605-AT605</f>
        <v>0</v>
      </c>
      <c r="AX605" s="123">
        <f>AP605/AJ605</f>
        <v>0</v>
      </c>
    </row>
    <row r="606" spans="1:50" ht="18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171" t="s">
        <v>288</v>
      </c>
      <c r="AB606" s="171" t="s">
        <v>971</v>
      </c>
      <c r="AC606" s="168"/>
      <c r="AD606" s="44"/>
      <c r="AE606" s="44"/>
      <c r="AF606" s="44"/>
      <c r="AG606" s="43"/>
      <c r="AH606" s="44"/>
      <c r="AI606" s="43"/>
      <c r="AJ606" s="43"/>
      <c r="AK606" s="44"/>
      <c r="AL606" s="44"/>
      <c r="AM606" s="44"/>
      <c r="AN606" s="44"/>
      <c r="AO606" s="143"/>
      <c r="AP606" s="44"/>
      <c r="AQ606" s="44"/>
      <c r="AR606" s="44"/>
      <c r="AS606" s="44"/>
      <c r="AT606" s="40"/>
      <c r="AU606" s="18"/>
      <c r="AV606" s="34"/>
      <c r="AW606" s="34"/>
      <c r="AX606" s="123"/>
    </row>
    <row r="607" spans="1:50" ht="18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166" t="s">
        <v>968</v>
      </c>
      <c r="AB607" s="166" t="s">
        <v>233</v>
      </c>
      <c r="AC607" s="168"/>
      <c r="AD607" s="44">
        <v>0</v>
      </c>
      <c r="AE607" s="44">
        <v>0</v>
      </c>
      <c r="AF607" s="44">
        <v>0</v>
      </c>
      <c r="AG607" s="43">
        <v>610000000</v>
      </c>
      <c r="AH607" s="44"/>
      <c r="AI607" s="43">
        <f>AE607-AF607+AG607-AH607</f>
        <v>610000000</v>
      </c>
      <c r="AJ607" s="43">
        <f>AD607+AI607</f>
        <v>610000000</v>
      </c>
      <c r="AK607" s="44">
        <v>0</v>
      </c>
      <c r="AL607" s="43">
        <f>AM607-OCTUBRE!AM602</f>
        <v>0</v>
      </c>
      <c r="AM607" s="43">
        <v>315483673.32999998</v>
      </c>
      <c r="AN607" s="44">
        <v>0</v>
      </c>
      <c r="AO607" s="142">
        <v>0</v>
      </c>
      <c r="AP607" s="43">
        <v>315483673.32999998</v>
      </c>
      <c r="AQ607" s="43">
        <v>0</v>
      </c>
      <c r="AR607" s="43">
        <v>17416667</v>
      </c>
      <c r="AS607" s="43">
        <v>38806665</v>
      </c>
      <c r="AT607" s="39">
        <f>AQ607+AS607</f>
        <v>38806665</v>
      </c>
      <c r="AU607" s="18">
        <f>AJ607-AM607</f>
        <v>294516326.67000002</v>
      </c>
      <c r="AV607" s="18">
        <f>AM607-AP607</f>
        <v>0</v>
      </c>
      <c r="AW607" s="18">
        <f>AP607-AT607</f>
        <v>276677008.32999998</v>
      </c>
      <c r="AX607" s="123">
        <f>AP607/AJ607</f>
        <v>0.5171863497213115</v>
      </c>
    </row>
    <row r="608" spans="1:50" ht="18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171" t="s">
        <v>288</v>
      </c>
      <c r="AB608" s="171" t="s">
        <v>1346</v>
      </c>
      <c r="AC608" s="168"/>
      <c r="AD608" s="44"/>
      <c r="AE608" s="44"/>
      <c r="AF608" s="44"/>
      <c r="AG608" s="43"/>
      <c r="AH608" s="44"/>
      <c r="AI608" s="43"/>
      <c r="AJ608" s="43"/>
      <c r="AK608" s="44"/>
      <c r="AL608" s="43"/>
      <c r="AM608" s="43"/>
      <c r="AN608" s="43"/>
      <c r="AO608" s="142"/>
      <c r="AP608" s="43"/>
      <c r="AQ608" s="43"/>
      <c r="AR608" s="43"/>
      <c r="AS608" s="43"/>
      <c r="AT608" s="39"/>
      <c r="AU608" s="18"/>
      <c r="AV608" s="18"/>
      <c r="AW608" s="18"/>
      <c r="AX608" s="123"/>
    </row>
    <row r="609" spans="1:50" ht="18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229" t="s">
        <v>1347</v>
      </c>
      <c r="AB609" s="229" t="s">
        <v>233</v>
      </c>
      <c r="AC609" s="168"/>
      <c r="AD609" s="44">
        <v>0</v>
      </c>
      <c r="AE609" s="44">
        <v>0</v>
      </c>
      <c r="AF609" s="44">
        <v>0</v>
      </c>
      <c r="AG609" s="43">
        <v>7000000000</v>
      </c>
      <c r="AH609" s="43">
        <v>7000000000</v>
      </c>
      <c r="AI609" s="44">
        <f>AE609-AF609+AG609-AH609</f>
        <v>0</v>
      </c>
      <c r="AJ609" s="44">
        <f>AD609+AI609</f>
        <v>0</v>
      </c>
      <c r="AK609" s="44">
        <v>0</v>
      </c>
      <c r="AL609" s="44">
        <v>0</v>
      </c>
      <c r="AM609" s="44">
        <v>0</v>
      </c>
      <c r="AN609" s="44">
        <v>0</v>
      </c>
      <c r="AO609" s="143">
        <v>0</v>
      </c>
      <c r="AP609" s="44">
        <v>0</v>
      </c>
      <c r="AQ609" s="44">
        <v>0</v>
      </c>
      <c r="AR609" s="44">
        <v>0</v>
      </c>
      <c r="AS609" s="44">
        <v>0</v>
      </c>
      <c r="AT609" s="40">
        <f>AQ609+AS609</f>
        <v>0</v>
      </c>
      <c r="AU609" s="18">
        <f>AJ609-AM609</f>
        <v>0</v>
      </c>
      <c r="AV609" s="34">
        <f>AM609-AP609</f>
        <v>0</v>
      </c>
      <c r="AW609" s="34">
        <f>AP609-AT609</f>
        <v>0</v>
      </c>
      <c r="AX609" s="123">
        <v>0</v>
      </c>
    </row>
    <row r="610" spans="1:50" ht="18.75" customHeight="1" x14ac:dyDescent="0.2">
      <c r="AA610" s="169" t="s">
        <v>288</v>
      </c>
      <c r="AB610" s="205" t="s">
        <v>469</v>
      </c>
      <c r="AC610" s="17"/>
      <c r="AD610" s="18"/>
      <c r="AE610" s="18"/>
      <c r="AF610" s="18"/>
      <c r="AG610" s="18"/>
      <c r="AH610" s="34"/>
      <c r="AI610" s="18"/>
      <c r="AJ610" s="18"/>
      <c r="AK610" s="34"/>
      <c r="AL610" s="34"/>
      <c r="AM610" s="34"/>
      <c r="AN610" s="34"/>
      <c r="AO610" s="145"/>
      <c r="AP610" s="34"/>
      <c r="AQ610" s="34"/>
      <c r="AR610" s="34"/>
      <c r="AS610" s="34"/>
      <c r="AT610" s="40"/>
      <c r="AU610" s="18"/>
      <c r="AV610" s="34"/>
      <c r="AW610" s="18"/>
      <c r="AX610" s="18"/>
    </row>
    <row r="611" spans="1:50" ht="18.75" customHeight="1" x14ac:dyDescent="0.2">
      <c r="A611" s="4" t="s">
        <v>55</v>
      </c>
      <c r="B611" s="4" t="s">
        <v>56</v>
      </c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211" t="s">
        <v>470</v>
      </c>
      <c r="AB611" s="265" t="s">
        <v>233</v>
      </c>
      <c r="AC611" s="43" t="s">
        <v>58</v>
      </c>
      <c r="AD611" s="43">
        <v>128000000</v>
      </c>
      <c r="AE611" s="44">
        <v>0</v>
      </c>
      <c r="AF611" s="44">
        <v>0</v>
      </c>
      <c r="AG611" s="43">
        <v>89000000</v>
      </c>
      <c r="AH611" s="43">
        <v>127000000</v>
      </c>
      <c r="AI611" s="43">
        <f>AE611-AF611+AG611-AH611</f>
        <v>-38000000</v>
      </c>
      <c r="AJ611" s="43">
        <f>AD611+AI611</f>
        <v>90000000</v>
      </c>
      <c r="AK611" s="44">
        <v>0</v>
      </c>
      <c r="AL611" s="44">
        <v>0</v>
      </c>
      <c r="AM611" s="44">
        <v>0</v>
      </c>
      <c r="AN611" s="44">
        <v>0</v>
      </c>
      <c r="AO611" s="44">
        <v>0</v>
      </c>
      <c r="AP611" s="44">
        <v>0</v>
      </c>
      <c r="AQ611" s="44">
        <v>0</v>
      </c>
      <c r="AR611" s="44">
        <v>0</v>
      </c>
      <c r="AS611" s="44">
        <v>0</v>
      </c>
      <c r="AT611" s="40">
        <f>AQ611+AS611</f>
        <v>0</v>
      </c>
      <c r="AU611" s="18">
        <f>AJ611-AM611</f>
        <v>90000000</v>
      </c>
      <c r="AV611" s="34">
        <f>AM611-AP611</f>
        <v>0</v>
      </c>
      <c r="AW611" s="34">
        <f>AP611-AT611</f>
        <v>0</v>
      </c>
      <c r="AX611" s="123">
        <f>AP611/AJ611</f>
        <v>0</v>
      </c>
    </row>
    <row r="612" spans="1:50" ht="28.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166" t="s">
        <v>1029</v>
      </c>
      <c r="AB612" s="266" t="s">
        <v>1030</v>
      </c>
      <c r="AC612" s="168"/>
      <c r="AD612" s="44">
        <v>0</v>
      </c>
      <c r="AE612" s="43">
        <v>451451337.30000001</v>
      </c>
      <c r="AF612" s="44">
        <v>0</v>
      </c>
      <c r="AG612" s="44">
        <v>0</v>
      </c>
      <c r="AH612" s="43">
        <v>451451337.30000001</v>
      </c>
      <c r="AI612" s="44">
        <f t="shared" ref="AI612:AI614" si="303">AE612-AF612+AG612-AH612</f>
        <v>0</v>
      </c>
      <c r="AJ612" s="44">
        <f t="shared" ref="AJ612:AJ614" si="304">AD612+AI612</f>
        <v>0</v>
      </c>
      <c r="AK612" s="44">
        <v>0</v>
      </c>
      <c r="AL612" s="44">
        <v>0</v>
      </c>
      <c r="AM612" s="44">
        <v>0</v>
      </c>
      <c r="AN612" s="44">
        <v>0</v>
      </c>
      <c r="AO612" s="44">
        <v>0</v>
      </c>
      <c r="AP612" s="44">
        <v>0</v>
      </c>
      <c r="AQ612" s="44">
        <v>0</v>
      </c>
      <c r="AR612" s="44">
        <v>0</v>
      </c>
      <c r="AS612" s="44">
        <v>0</v>
      </c>
      <c r="AT612" s="40">
        <f t="shared" ref="AT612:AT614" si="305">AQ612+AS612</f>
        <v>0</v>
      </c>
      <c r="AU612" s="34">
        <f>AJ612-AM612</f>
        <v>0</v>
      </c>
      <c r="AV612" s="34">
        <f>AM612-AP612</f>
        <v>0</v>
      </c>
      <c r="AW612" s="34">
        <f>AP612-AT612</f>
        <v>0</v>
      </c>
      <c r="AX612" s="123">
        <v>0</v>
      </c>
    </row>
    <row r="613" spans="1:50" ht="18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166" t="s">
        <v>1031</v>
      </c>
      <c r="AB613" s="266" t="s">
        <v>1032</v>
      </c>
      <c r="AC613" s="168"/>
      <c r="AD613" s="44">
        <v>0</v>
      </c>
      <c r="AE613" s="43">
        <v>700000000</v>
      </c>
      <c r="AF613" s="44">
        <v>0</v>
      </c>
      <c r="AG613" s="44">
        <v>0</v>
      </c>
      <c r="AH613" s="43">
        <v>700000000</v>
      </c>
      <c r="AI613" s="44">
        <f t="shared" si="303"/>
        <v>0</v>
      </c>
      <c r="AJ613" s="44">
        <f t="shared" si="304"/>
        <v>0</v>
      </c>
      <c r="AK613" s="44">
        <v>0</v>
      </c>
      <c r="AL613" s="44">
        <v>0</v>
      </c>
      <c r="AM613" s="44">
        <v>0</v>
      </c>
      <c r="AN613" s="44">
        <v>0</v>
      </c>
      <c r="AO613" s="44">
        <v>0</v>
      </c>
      <c r="AP613" s="44">
        <v>0</v>
      </c>
      <c r="AQ613" s="44">
        <v>0</v>
      </c>
      <c r="AR613" s="44">
        <v>0</v>
      </c>
      <c r="AS613" s="44">
        <v>0</v>
      </c>
      <c r="AT613" s="40">
        <f t="shared" si="305"/>
        <v>0</v>
      </c>
      <c r="AU613" s="34">
        <f>AJ613-AM613</f>
        <v>0</v>
      </c>
      <c r="AV613" s="34">
        <f>AM613-AP613</f>
        <v>0</v>
      </c>
      <c r="AW613" s="34">
        <f>AP613-AT613</f>
        <v>0</v>
      </c>
      <c r="AX613" s="123">
        <v>0</v>
      </c>
    </row>
    <row r="614" spans="1:50" ht="18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166" t="s">
        <v>1033</v>
      </c>
      <c r="AB614" s="167" t="s">
        <v>1034</v>
      </c>
      <c r="AC614" s="168"/>
      <c r="AD614" s="44">
        <v>0</v>
      </c>
      <c r="AE614" s="43">
        <v>1040743</v>
      </c>
      <c r="AF614" s="44">
        <v>0</v>
      </c>
      <c r="AG614" s="44">
        <v>0</v>
      </c>
      <c r="AH614" s="43">
        <v>1040743</v>
      </c>
      <c r="AI614" s="44">
        <f t="shared" si="303"/>
        <v>0</v>
      </c>
      <c r="AJ614" s="44">
        <f t="shared" si="304"/>
        <v>0</v>
      </c>
      <c r="AK614" s="44">
        <v>0</v>
      </c>
      <c r="AL614" s="44">
        <v>0</v>
      </c>
      <c r="AM614" s="44">
        <v>0</v>
      </c>
      <c r="AN614" s="44">
        <v>0</v>
      </c>
      <c r="AO614" s="44">
        <v>0</v>
      </c>
      <c r="AP614" s="44">
        <v>0</v>
      </c>
      <c r="AQ614" s="44">
        <v>0</v>
      </c>
      <c r="AR614" s="44">
        <v>0</v>
      </c>
      <c r="AS614" s="44">
        <v>0</v>
      </c>
      <c r="AT614" s="40">
        <f t="shared" si="305"/>
        <v>0</v>
      </c>
      <c r="AU614" s="34">
        <f>AJ614-AM614</f>
        <v>0</v>
      </c>
      <c r="AV614" s="34">
        <f>AM614-AP614</f>
        <v>0</v>
      </c>
      <c r="AW614" s="34">
        <f>AP614-AT614</f>
        <v>0</v>
      </c>
      <c r="AX614" s="123">
        <v>0</v>
      </c>
    </row>
    <row r="615" spans="1:50" ht="18.75" customHeight="1" x14ac:dyDescent="0.2">
      <c r="AA615" s="169" t="s">
        <v>288</v>
      </c>
      <c r="AB615" s="163" t="s">
        <v>471</v>
      </c>
      <c r="AC615" s="17"/>
      <c r="AD615" s="18"/>
      <c r="AE615" s="34"/>
      <c r="AF615" s="34"/>
      <c r="AG615" s="34"/>
      <c r="AH615" s="18"/>
      <c r="AI615" s="18"/>
      <c r="AJ615" s="18"/>
      <c r="AK615" s="34"/>
      <c r="AL615" s="34"/>
      <c r="AM615" s="34"/>
      <c r="AN615" s="34"/>
      <c r="AO615" s="34"/>
      <c r="AP615" s="34"/>
      <c r="AQ615" s="34"/>
      <c r="AR615" s="34"/>
      <c r="AS615" s="34"/>
      <c r="AT615" s="40"/>
      <c r="AU615" s="18"/>
      <c r="AV615" s="34"/>
      <c r="AW615" s="34"/>
      <c r="AX615" s="18"/>
    </row>
    <row r="616" spans="1:50" ht="18.75" customHeight="1" x14ac:dyDescent="0.2">
      <c r="A616" s="4" t="s">
        <v>55</v>
      </c>
      <c r="B616" s="4" t="s">
        <v>56</v>
      </c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1" t="s">
        <v>472</v>
      </c>
      <c r="AB616" s="42" t="s">
        <v>453</v>
      </c>
      <c r="AC616" s="43" t="s">
        <v>454</v>
      </c>
      <c r="AD616" s="43">
        <v>16500000000</v>
      </c>
      <c r="AE616" s="44">
        <v>0</v>
      </c>
      <c r="AF616" s="44">
        <v>0</v>
      </c>
      <c r="AG616" s="44">
        <v>0</v>
      </c>
      <c r="AH616" s="43">
        <v>16500000000</v>
      </c>
      <c r="AI616" s="43">
        <f>AE616-AF616+AG616-AH616</f>
        <v>-16500000000</v>
      </c>
      <c r="AJ616" s="44">
        <f>AD616+AI616</f>
        <v>0</v>
      </c>
      <c r="AK616" s="44">
        <v>0</v>
      </c>
      <c r="AL616" s="44">
        <v>0</v>
      </c>
      <c r="AM616" s="44">
        <v>0</v>
      </c>
      <c r="AN616" s="44">
        <v>0</v>
      </c>
      <c r="AO616" s="44">
        <v>0</v>
      </c>
      <c r="AP616" s="44">
        <v>0</v>
      </c>
      <c r="AQ616" s="44">
        <v>0</v>
      </c>
      <c r="AR616" s="44">
        <v>0</v>
      </c>
      <c r="AS616" s="44">
        <v>0</v>
      </c>
      <c r="AT616" s="40">
        <f>AQ616+AS616</f>
        <v>0</v>
      </c>
      <c r="AU616" s="34">
        <f>AJ616-AM616</f>
        <v>0</v>
      </c>
      <c r="AV616" s="34">
        <f>AM616-AP616</f>
        <v>0</v>
      </c>
      <c r="AW616" s="34">
        <f>AP616-AT616</f>
        <v>0</v>
      </c>
      <c r="AX616" s="123">
        <v>0</v>
      </c>
    </row>
    <row r="617" spans="1:50" ht="25.5" x14ac:dyDescent="0.2">
      <c r="AA617" s="28" t="s">
        <v>288</v>
      </c>
      <c r="AB617" s="29" t="s">
        <v>473</v>
      </c>
      <c r="AC617" s="17"/>
      <c r="AD617" s="18"/>
      <c r="AE617" s="18"/>
      <c r="AF617" s="18"/>
      <c r="AG617" s="18"/>
      <c r="AH617" s="18"/>
      <c r="AI617" s="18"/>
      <c r="AJ617" s="18"/>
      <c r="AK617" s="34"/>
      <c r="AL617" s="34"/>
      <c r="AM617" s="34"/>
      <c r="AN617" s="34"/>
      <c r="AO617" s="34"/>
      <c r="AP617" s="34"/>
      <c r="AQ617" s="18"/>
      <c r="AR617" s="18"/>
      <c r="AS617" s="18"/>
      <c r="AT617" s="40"/>
      <c r="AU617" s="18"/>
      <c r="AV617" s="34"/>
      <c r="AW617" s="34"/>
      <c r="AX617" s="18"/>
    </row>
    <row r="618" spans="1:50" ht="18.75" customHeight="1" x14ac:dyDescent="0.2">
      <c r="A618" s="4" t="s">
        <v>55</v>
      </c>
      <c r="B618" s="4" t="s">
        <v>56</v>
      </c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1" t="s">
        <v>474</v>
      </c>
      <c r="AB618" s="42" t="s">
        <v>233</v>
      </c>
      <c r="AC618" s="43" t="s">
        <v>58</v>
      </c>
      <c r="AD618" s="44">
        <v>0</v>
      </c>
      <c r="AE618" s="44">
        <v>0</v>
      </c>
      <c r="AF618" s="44">
        <v>0</v>
      </c>
      <c r="AG618" s="43">
        <v>22204778</v>
      </c>
      <c r="AH618" s="43">
        <v>22204778</v>
      </c>
      <c r="AI618" s="44">
        <f>AE618-AF618+AG618-AH618</f>
        <v>0</v>
      </c>
      <c r="AJ618" s="44">
        <f>AD618+AI618</f>
        <v>0</v>
      </c>
      <c r="AK618" s="44">
        <v>0</v>
      </c>
      <c r="AL618" s="44">
        <v>0</v>
      </c>
      <c r="AM618" s="44">
        <v>0</v>
      </c>
      <c r="AN618" s="44">
        <v>0</v>
      </c>
      <c r="AO618" s="44">
        <v>0</v>
      </c>
      <c r="AP618" s="44">
        <v>0</v>
      </c>
      <c r="AQ618" s="44">
        <v>0</v>
      </c>
      <c r="AR618" s="44">
        <v>0</v>
      </c>
      <c r="AS618" s="44">
        <v>0</v>
      </c>
      <c r="AT618" s="40">
        <f>AQ618+AS618</f>
        <v>0</v>
      </c>
      <c r="AU618" s="18">
        <f>AJ618-AM618</f>
        <v>0</v>
      </c>
      <c r="AV618" s="34">
        <f>AM618-AP618</f>
        <v>0</v>
      </c>
      <c r="AW618" s="34">
        <f>AP618-AT618</f>
        <v>0</v>
      </c>
      <c r="AX618" s="123">
        <v>0</v>
      </c>
    </row>
    <row r="619" spans="1:50" ht="18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1" t="s">
        <v>1279</v>
      </c>
      <c r="AB619" s="42" t="s">
        <v>1280</v>
      </c>
      <c r="AC619" s="168"/>
      <c r="AD619" s="44">
        <v>0</v>
      </c>
      <c r="AE619" s="44">
        <v>0</v>
      </c>
      <c r="AF619" s="44">
        <v>0</v>
      </c>
      <c r="AG619" s="43">
        <v>451451337.30000001</v>
      </c>
      <c r="AH619" s="44"/>
      <c r="AI619" s="43">
        <f t="shared" ref="AI619:AI623" si="306">AE619-AF619+AG619-AH619</f>
        <v>451451337.30000001</v>
      </c>
      <c r="AJ619" s="43">
        <f t="shared" ref="AJ619:AJ623" si="307">AD619+AI619</f>
        <v>451451337.30000001</v>
      </c>
      <c r="AK619" s="44">
        <v>0</v>
      </c>
      <c r="AL619" s="43">
        <f>AM619-OCTUBRE!AM614</f>
        <v>0</v>
      </c>
      <c r="AM619" s="43">
        <v>451451337</v>
      </c>
      <c r="AN619" s="44">
        <v>0</v>
      </c>
      <c r="AO619" s="43">
        <v>0</v>
      </c>
      <c r="AP619" s="43">
        <v>451451337</v>
      </c>
      <c r="AQ619" s="44">
        <v>0</v>
      </c>
      <c r="AR619" s="44">
        <v>0</v>
      </c>
      <c r="AS619" s="44">
        <v>0</v>
      </c>
      <c r="AT619" s="40">
        <f t="shared" ref="AT619:AT622" si="308">AQ619+AS619</f>
        <v>0</v>
      </c>
      <c r="AU619" s="18">
        <f t="shared" ref="AU619:AU622" si="309">AJ619-AM619</f>
        <v>0.30000001192092896</v>
      </c>
      <c r="AV619" s="34">
        <f t="shared" ref="AV619:AV622" si="310">AM619-AP619</f>
        <v>0</v>
      </c>
      <c r="AW619" s="18">
        <f t="shared" ref="AW619:AW622" si="311">AP619-AT619</f>
        <v>451451337</v>
      </c>
      <c r="AX619" s="123">
        <f t="shared" ref="AX619:AX622" si="312">AP619/AJ619</f>
        <v>0.99999999933547656</v>
      </c>
    </row>
    <row r="620" spans="1:50" ht="18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1" t="s">
        <v>1281</v>
      </c>
      <c r="AB620" s="42" t="s">
        <v>1032</v>
      </c>
      <c r="AC620" s="168"/>
      <c r="AD620" s="44">
        <v>0</v>
      </c>
      <c r="AE620" s="44">
        <v>0</v>
      </c>
      <c r="AF620" s="44">
        <v>0</v>
      </c>
      <c r="AG620" s="43">
        <v>700000000</v>
      </c>
      <c r="AH620" s="43">
        <v>266610214</v>
      </c>
      <c r="AI620" s="43">
        <f t="shared" si="306"/>
        <v>433389786</v>
      </c>
      <c r="AJ620" s="43">
        <f t="shared" si="307"/>
        <v>433389786</v>
      </c>
      <c r="AK620" s="44">
        <v>0</v>
      </c>
      <c r="AL620" s="43">
        <f>AM620-OCTUBRE!AM615</f>
        <v>0</v>
      </c>
      <c r="AM620" s="43">
        <v>396716101</v>
      </c>
      <c r="AN620" s="44">
        <v>0</v>
      </c>
      <c r="AO620" s="43">
        <v>0</v>
      </c>
      <c r="AP620" s="43">
        <v>396716101</v>
      </c>
      <c r="AQ620" s="44">
        <v>0</v>
      </c>
      <c r="AR620" s="44">
        <v>0</v>
      </c>
      <c r="AS620" s="44">
        <v>0</v>
      </c>
      <c r="AT620" s="40">
        <f t="shared" si="308"/>
        <v>0</v>
      </c>
      <c r="AU620" s="18">
        <f t="shared" si="309"/>
        <v>36673685</v>
      </c>
      <c r="AV620" s="34">
        <f t="shared" si="310"/>
        <v>0</v>
      </c>
      <c r="AW620" s="18">
        <f t="shared" si="311"/>
        <v>396716101</v>
      </c>
      <c r="AX620" s="123">
        <f t="shared" si="312"/>
        <v>0.91537944320635189</v>
      </c>
    </row>
    <row r="621" spans="1:50" ht="29.2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1" t="s">
        <v>1282</v>
      </c>
      <c r="AB621" s="42" t="s">
        <v>1047</v>
      </c>
      <c r="AC621" s="168"/>
      <c r="AD621" s="44">
        <v>0</v>
      </c>
      <c r="AE621" s="44">
        <v>0</v>
      </c>
      <c r="AF621" s="44">
        <v>0</v>
      </c>
      <c r="AG621" s="43">
        <v>186255799.66</v>
      </c>
      <c r="AH621" s="44"/>
      <c r="AI621" s="43">
        <f t="shared" si="306"/>
        <v>186255799.66</v>
      </c>
      <c r="AJ621" s="43">
        <f t="shared" si="307"/>
        <v>186255799.66</v>
      </c>
      <c r="AK621" s="44">
        <v>0</v>
      </c>
      <c r="AL621" s="44">
        <v>0</v>
      </c>
      <c r="AM621" s="44">
        <v>0</v>
      </c>
      <c r="AN621" s="44">
        <v>0</v>
      </c>
      <c r="AO621" s="44">
        <f>AP621-SEPTIEMBRE!AP609</f>
        <v>0</v>
      </c>
      <c r="AP621" s="44">
        <v>0</v>
      </c>
      <c r="AQ621" s="44">
        <v>0</v>
      </c>
      <c r="AR621" s="44">
        <v>0</v>
      </c>
      <c r="AS621" s="44">
        <v>0</v>
      </c>
      <c r="AT621" s="40">
        <f t="shared" si="308"/>
        <v>0</v>
      </c>
      <c r="AU621" s="18">
        <f t="shared" si="309"/>
        <v>186255799.66</v>
      </c>
      <c r="AV621" s="34">
        <f t="shared" si="310"/>
        <v>0</v>
      </c>
      <c r="AW621" s="34">
        <f t="shared" si="311"/>
        <v>0</v>
      </c>
      <c r="AX621" s="123">
        <f t="shared" si="312"/>
        <v>0</v>
      </c>
    </row>
    <row r="622" spans="1:50" ht="18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1" t="s">
        <v>1283</v>
      </c>
      <c r="AB622" s="42" t="s">
        <v>1284</v>
      </c>
      <c r="AC622" s="168"/>
      <c r="AD622" s="44">
        <v>0</v>
      </c>
      <c r="AE622" s="44">
        <v>0</v>
      </c>
      <c r="AF622" s="44">
        <v>0</v>
      </c>
      <c r="AG622" s="43">
        <v>1040743</v>
      </c>
      <c r="AH622" s="44"/>
      <c r="AI622" s="43">
        <f t="shared" si="306"/>
        <v>1040743</v>
      </c>
      <c r="AJ622" s="43">
        <f t="shared" si="307"/>
        <v>1040743</v>
      </c>
      <c r="AK622" s="44">
        <v>0</v>
      </c>
      <c r="AL622" s="44">
        <v>0</v>
      </c>
      <c r="AM622" s="44">
        <v>0</v>
      </c>
      <c r="AN622" s="44">
        <v>0</v>
      </c>
      <c r="AO622" s="44">
        <v>0</v>
      </c>
      <c r="AP622" s="44">
        <v>0</v>
      </c>
      <c r="AQ622" s="44">
        <v>0</v>
      </c>
      <c r="AR622" s="44">
        <v>0</v>
      </c>
      <c r="AS622" s="44">
        <v>0</v>
      </c>
      <c r="AT622" s="40">
        <f t="shared" si="308"/>
        <v>0</v>
      </c>
      <c r="AU622" s="18">
        <f t="shared" si="309"/>
        <v>1040743</v>
      </c>
      <c r="AV622" s="34">
        <f t="shared" si="310"/>
        <v>0</v>
      </c>
      <c r="AW622" s="34">
        <f t="shared" si="311"/>
        <v>0</v>
      </c>
      <c r="AX622" s="123">
        <f t="shared" si="312"/>
        <v>0</v>
      </c>
    </row>
    <row r="623" spans="1:50" ht="27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166" t="s">
        <v>1046</v>
      </c>
      <c r="AB623" s="167" t="s">
        <v>1047</v>
      </c>
      <c r="AC623" s="168"/>
      <c r="AD623" s="44">
        <v>0</v>
      </c>
      <c r="AE623" s="43">
        <v>186255799.66</v>
      </c>
      <c r="AF623" s="44">
        <v>0</v>
      </c>
      <c r="AG623" s="44">
        <v>0</v>
      </c>
      <c r="AH623" s="43">
        <v>186255799.66</v>
      </c>
      <c r="AI623" s="44">
        <f t="shared" si="306"/>
        <v>0</v>
      </c>
      <c r="AJ623" s="44">
        <f t="shared" si="307"/>
        <v>0</v>
      </c>
      <c r="AK623" s="44">
        <v>0</v>
      </c>
      <c r="AL623" s="44">
        <v>0</v>
      </c>
      <c r="AM623" s="44">
        <v>0</v>
      </c>
      <c r="AN623" s="44">
        <v>0</v>
      </c>
      <c r="AO623" s="44">
        <v>0</v>
      </c>
      <c r="AP623" s="44">
        <v>0</v>
      </c>
      <c r="AQ623" s="44">
        <v>0</v>
      </c>
      <c r="AR623" s="44">
        <v>0</v>
      </c>
      <c r="AS623" s="44">
        <v>0</v>
      </c>
      <c r="AT623" s="40">
        <f>AQ623+AS623</f>
        <v>0</v>
      </c>
      <c r="AU623" s="34">
        <f>AJ623-AM623</f>
        <v>0</v>
      </c>
      <c r="AV623" s="34">
        <f>AM623-AP623</f>
        <v>0</v>
      </c>
      <c r="AW623" s="34">
        <f>AP623-AT623</f>
        <v>0</v>
      </c>
      <c r="AX623" s="123">
        <v>0</v>
      </c>
    </row>
    <row r="624" spans="1:50" ht="25.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171" t="s">
        <v>288</v>
      </c>
      <c r="AB624" s="213" t="s">
        <v>1037</v>
      </c>
      <c r="AC624" s="168"/>
      <c r="AD624" s="44"/>
      <c r="AE624" s="44"/>
      <c r="AF624" s="44"/>
      <c r="AG624" s="43"/>
      <c r="AH624" s="44"/>
      <c r="AI624" s="43"/>
      <c r="AJ624" s="43"/>
      <c r="AK624" s="44"/>
      <c r="AL624" s="44"/>
      <c r="AM624" s="44"/>
      <c r="AN624" s="44"/>
      <c r="AO624" s="44"/>
      <c r="AP624" s="44"/>
      <c r="AQ624" s="44"/>
      <c r="AR624" s="44"/>
      <c r="AS624" s="44"/>
      <c r="AT624" s="40"/>
      <c r="AU624" s="18"/>
      <c r="AV624" s="34"/>
      <c r="AW624" s="34"/>
      <c r="AX624" s="123"/>
    </row>
    <row r="625" spans="1:50" ht="28.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166" t="s">
        <v>1038</v>
      </c>
      <c r="AB625" s="167" t="s">
        <v>1039</v>
      </c>
      <c r="AC625" s="168"/>
      <c r="AD625" s="44">
        <v>0</v>
      </c>
      <c r="AE625" s="43">
        <v>266733201.66</v>
      </c>
      <c r="AF625" s="44">
        <v>0</v>
      </c>
      <c r="AG625" s="44">
        <v>0</v>
      </c>
      <c r="AH625" s="44">
        <v>0</v>
      </c>
      <c r="AI625" s="43">
        <f>AE625-AF625+AG625-AH625</f>
        <v>266733201.66</v>
      </c>
      <c r="AJ625" s="43">
        <f>AD625+AI625</f>
        <v>266733201.66</v>
      </c>
      <c r="AK625" s="44">
        <v>0</v>
      </c>
      <c r="AL625" s="44">
        <v>0</v>
      </c>
      <c r="AM625" s="44">
        <v>0</v>
      </c>
      <c r="AN625" s="44">
        <v>0</v>
      </c>
      <c r="AO625" s="44">
        <v>0</v>
      </c>
      <c r="AP625" s="44">
        <v>0</v>
      </c>
      <c r="AQ625" s="44">
        <v>0</v>
      </c>
      <c r="AR625" s="44">
        <v>0</v>
      </c>
      <c r="AS625" s="44">
        <v>0</v>
      </c>
      <c r="AT625" s="40">
        <f>AQ625+AS625</f>
        <v>0</v>
      </c>
      <c r="AU625" s="18">
        <f>AJ625-AM625</f>
        <v>266733201.66</v>
      </c>
      <c r="AV625" s="34">
        <f>AM625-AP625</f>
        <v>0</v>
      </c>
      <c r="AW625" s="34">
        <f>AP625-AT625</f>
        <v>0</v>
      </c>
      <c r="AX625" s="123">
        <f>AP625/AJ625</f>
        <v>0</v>
      </c>
    </row>
    <row r="626" spans="1:50" x14ac:dyDescent="0.2">
      <c r="AA626" s="162"/>
      <c r="AB626" s="163" t="s">
        <v>475</v>
      </c>
      <c r="AC626" s="17"/>
      <c r="AD626" s="34"/>
      <c r="AE626" s="34"/>
      <c r="AF626" s="34"/>
      <c r="AG626" s="18"/>
      <c r="AH626" s="34"/>
      <c r="AI626" s="18"/>
      <c r="AJ626" s="18"/>
      <c r="AK626" s="34"/>
      <c r="AL626" s="34"/>
      <c r="AM626" s="34"/>
      <c r="AN626" s="34"/>
      <c r="AO626" s="34"/>
      <c r="AP626" s="34"/>
      <c r="AQ626" s="34"/>
      <c r="AR626" s="34"/>
      <c r="AS626" s="34"/>
      <c r="AT626" s="40"/>
      <c r="AU626" s="18"/>
      <c r="AV626" s="34"/>
      <c r="AW626" s="18"/>
      <c r="AX626" s="18"/>
    </row>
    <row r="627" spans="1:50" x14ac:dyDescent="0.2">
      <c r="A627" s="4" t="s">
        <v>55</v>
      </c>
      <c r="B627" s="4" t="s">
        <v>56</v>
      </c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1" t="s">
        <v>476</v>
      </c>
      <c r="AB627" s="42" t="s">
        <v>458</v>
      </c>
      <c r="AC627" s="43" t="s">
        <v>454</v>
      </c>
      <c r="AD627" s="44">
        <v>0</v>
      </c>
      <c r="AE627" s="44">
        <v>0</v>
      </c>
      <c r="AF627" s="44">
        <v>0</v>
      </c>
      <c r="AG627" s="43">
        <v>3975320525</v>
      </c>
      <c r="AH627" s="44">
        <v>0</v>
      </c>
      <c r="AI627" s="43">
        <f>AE627-AF627+AG627-AH627</f>
        <v>3975320525</v>
      </c>
      <c r="AJ627" s="43">
        <f>AD627+AI627</f>
        <v>3975320525</v>
      </c>
      <c r="AK627" s="115">
        <v>0</v>
      </c>
      <c r="AL627" s="43">
        <f>AM627-OCTUBRE!AM622</f>
        <v>0</v>
      </c>
      <c r="AM627" s="114">
        <v>3461849211</v>
      </c>
      <c r="AN627" s="44">
        <v>0</v>
      </c>
      <c r="AO627" s="44">
        <v>0</v>
      </c>
      <c r="AP627" s="43">
        <v>3461849211</v>
      </c>
      <c r="AQ627" s="43">
        <v>0</v>
      </c>
      <c r="AR627" s="43">
        <v>152279452</v>
      </c>
      <c r="AS627" s="43">
        <v>1326842096</v>
      </c>
      <c r="AT627" s="39">
        <f>AQ627+AS627</f>
        <v>1326842096</v>
      </c>
      <c r="AU627" s="18">
        <f>AJ627-AM627</f>
        <v>513471314</v>
      </c>
      <c r="AV627" s="133">
        <f>AM627-AP627</f>
        <v>0</v>
      </c>
      <c r="AW627" s="18">
        <f>AP627-AT627</f>
        <v>2135007115</v>
      </c>
      <c r="AX627" s="123">
        <f>AP627/AJ627</f>
        <v>0.87083524189536887</v>
      </c>
    </row>
    <row r="628" spans="1:50" ht="25.5" x14ac:dyDescent="0.2">
      <c r="AA628" s="28" t="s">
        <v>288</v>
      </c>
      <c r="AB628" s="29" t="s">
        <v>477</v>
      </c>
      <c r="AC628" s="17"/>
      <c r="AD628" s="18"/>
      <c r="AE628" s="18"/>
      <c r="AF628" s="18"/>
      <c r="AG628" s="18"/>
      <c r="AH628" s="18"/>
      <c r="AI628" s="18"/>
      <c r="AJ628" s="18"/>
      <c r="AK628" s="34"/>
      <c r="AL628" s="145"/>
      <c r="AM628" s="18"/>
      <c r="AN628" s="18"/>
      <c r="AO628" s="18"/>
      <c r="AP628" s="18"/>
      <c r="AQ628" s="34"/>
      <c r="AR628" s="34"/>
      <c r="AS628" s="34"/>
      <c r="AT628" s="40"/>
      <c r="AU628" s="18"/>
      <c r="AV628" s="34"/>
      <c r="AW628" s="18"/>
      <c r="AX628" s="18"/>
    </row>
    <row r="629" spans="1:50" x14ac:dyDescent="0.2">
      <c r="A629" s="4" t="s">
        <v>55</v>
      </c>
      <c r="B629" s="4" t="s">
        <v>56</v>
      </c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1" t="s">
        <v>478</v>
      </c>
      <c r="AB629" s="42" t="s">
        <v>233</v>
      </c>
      <c r="AC629" s="43" t="s">
        <v>58</v>
      </c>
      <c r="AD629" s="43">
        <v>389814494</v>
      </c>
      <c r="AE629" s="44">
        <v>0</v>
      </c>
      <c r="AF629" s="44">
        <v>0</v>
      </c>
      <c r="AG629" s="43">
        <v>50860045</v>
      </c>
      <c r="AH629" s="44">
        <v>0</v>
      </c>
      <c r="AI629" s="43">
        <f>AE629-AF629+AG629-AH629</f>
        <v>50860045</v>
      </c>
      <c r="AJ629" s="43">
        <f>AD629+AI629</f>
        <v>440674539</v>
      </c>
      <c r="AK629" s="44">
        <v>0</v>
      </c>
      <c r="AL629" s="143">
        <v>0</v>
      </c>
      <c r="AM629" s="43">
        <v>440674539</v>
      </c>
      <c r="AN629" s="44">
        <v>0</v>
      </c>
      <c r="AO629" s="44">
        <v>0</v>
      </c>
      <c r="AP629" s="43">
        <v>440674539</v>
      </c>
      <c r="AQ629" s="44">
        <v>0</v>
      </c>
      <c r="AR629" s="44">
        <v>0</v>
      </c>
      <c r="AS629" s="43">
        <v>305702683.25</v>
      </c>
      <c r="AT629" s="39">
        <f>AQ629+AS629</f>
        <v>305702683.25</v>
      </c>
      <c r="AU629" s="34">
        <f>AJ629-AM629</f>
        <v>0</v>
      </c>
      <c r="AV629" s="34">
        <f>AM629-AP629</f>
        <v>0</v>
      </c>
      <c r="AW629" s="18">
        <f>AP629-AT629</f>
        <v>134971855.75</v>
      </c>
      <c r="AX629" s="123">
        <f>AP629/AJ629</f>
        <v>1</v>
      </c>
    </row>
    <row r="630" spans="1:50" ht="25.5" x14ac:dyDescent="0.2">
      <c r="A630" s="4" t="s">
        <v>55</v>
      </c>
      <c r="B630" s="4" t="s">
        <v>56</v>
      </c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1" t="s">
        <v>479</v>
      </c>
      <c r="AB630" s="42" t="s">
        <v>480</v>
      </c>
      <c r="AC630" s="43" t="s">
        <v>368</v>
      </c>
      <c r="AD630" s="43">
        <v>88687399.159999996</v>
      </c>
      <c r="AE630" s="44">
        <v>0</v>
      </c>
      <c r="AF630" s="44">
        <v>0</v>
      </c>
      <c r="AG630" s="44">
        <v>0</v>
      </c>
      <c r="AH630" s="44">
        <v>0</v>
      </c>
      <c r="AI630" s="44">
        <v>0</v>
      </c>
      <c r="AJ630" s="142">
        <v>88687399.159999996</v>
      </c>
      <c r="AK630" s="44">
        <v>0</v>
      </c>
      <c r="AL630" s="143">
        <v>0</v>
      </c>
      <c r="AM630" s="43">
        <v>88687399</v>
      </c>
      <c r="AN630" s="44">
        <v>0</v>
      </c>
      <c r="AO630" s="44">
        <v>0</v>
      </c>
      <c r="AP630" s="43">
        <v>88687399</v>
      </c>
      <c r="AQ630" s="44">
        <v>0</v>
      </c>
      <c r="AR630" s="44">
        <v>0</v>
      </c>
      <c r="AS630" s="43">
        <v>82109841</v>
      </c>
      <c r="AT630" s="39">
        <f>AQ630+AS630</f>
        <v>82109841</v>
      </c>
      <c r="AU630" s="18">
        <f>AJ630-AM630</f>
        <v>0.15999999642372131</v>
      </c>
      <c r="AV630" s="34">
        <f>AM630-AP630</f>
        <v>0</v>
      </c>
      <c r="AW630" s="18">
        <f>AP630-AT630</f>
        <v>6577558</v>
      </c>
      <c r="AX630" s="123">
        <f>AP630/AJ630</f>
        <v>0.99999999819591057</v>
      </c>
    </row>
    <row r="631" spans="1:50" ht="25.5" x14ac:dyDescent="0.2">
      <c r="AA631" s="28" t="s">
        <v>288</v>
      </c>
      <c r="AB631" s="29" t="s">
        <v>481</v>
      </c>
      <c r="AC631" s="17"/>
      <c r="AD631" s="18"/>
      <c r="AE631" s="18"/>
      <c r="AF631" s="18"/>
      <c r="AG631" s="18"/>
      <c r="AH631" s="18"/>
      <c r="AI631" s="18"/>
      <c r="AJ631" s="147"/>
      <c r="AK631" s="34"/>
      <c r="AL631" s="145"/>
      <c r="AM631" s="18"/>
      <c r="AN631" s="34"/>
      <c r="AO631" s="18"/>
      <c r="AP631" s="18"/>
      <c r="AQ631" s="34"/>
      <c r="AR631" s="34"/>
      <c r="AS631" s="34"/>
      <c r="AT631" s="40"/>
      <c r="AU631" s="18"/>
      <c r="AV631" s="34"/>
      <c r="AW631" s="18"/>
      <c r="AX631" s="18"/>
    </row>
    <row r="632" spans="1:50" x14ac:dyDescent="0.2">
      <c r="A632" s="4" t="s">
        <v>55</v>
      </c>
      <c r="B632" s="4" t="s">
        <v>56</v>
      </c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1" t="s">
        <v>482</v>
      </c>
      <c r="AB632" s="42" t="s">
        <v>233</v>
      </c>
      <c r="AC632" s="43" t="s">
        <v>58</v>
      </c>
      <c r="AD632" s="43">
        <v>732098782</v>
      </c>
      <c r="AE632" s="44">
        <v>0</v>
      </c>
      <c r="AF632" s="44">
        <v>0</v>
      </c>
      <c r="AG632" s="43">
        <f>96486764+3167867568.08</f>
        <v>3264354332.0799999</v>
      </c>
      <c r="AH632" s="44">
        <v>0</v>
      </c>
      <c r="AI632" s="43">
        <f>AE632-AF632+AG632-AH632</f>
        <v>3264354332.0799999</v>
      </c>
      <c r="AJ632" s="142">
        <f>AD632+AI632</f>
        <v>3996453114.0799999</v>
      </c>
      <c r="AK632" s="44">
        <v>0</v>
      </c>
      <c r="AL632" s="143">
        <v>0</v>
      </c>
      <c r="AM632" s="43">
        <v>828287647.5</v>
      </c>
      <c r="AN632" s="44">
        <v>0</v>
      </c>
      <c r="AO632" s="143">
        <v>0</v>
      </c>
      <c r="AP632" s="43">
        <v>828287647.5</v>
      </c>
      <c r="AQ632" s="44">
        <v>0</v>
      </c>
      <c r="AR632" s="44">
        <v>0</v>
      </c>
      <c r="AS632" s="43">
        <v>588667166.63999999</v>
      </c>
      <c r="AT632" s="39">
        <f>AQ632+AS632</f>
        <v>588667166.63999999</v>
      </c>
      <c r="AU632" s="18">
        <f>AJ632-AM632</f>
        <v>3168165466.5799999</v>
      </c>
      <c r="AV632" s="34">
        <f>AM632-AP632</f>
        <v>0</v>
      </c>
      <c r="AW632" s="18">
        <f>AP632-AT632</f>
        <v>239620480.86000001</v>
      </c>
      <c r="AX632" s="123">
        <f>AP632/AJ632</f>
        <v>0.20725568994712834</v>
      </c>
    </row>
    <row r="633" spans="1:50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1" t="s">
        <v>1458</v>
      </c>
      <c r="AB633" s="42" t="s">
        <v>453</v>
      </c>
      <c r="AC633" s="43"/>
      <c r="AD633" s="43">
        <v>0</v>
      </c>
      <c r="AE633" s="44">
        <v>0</v>
      </c>
      <c r="AF633" s="44">
        <v>0</v>
      </c>
      <c r="AG633" s="43">
        <v>20142558347.43</v>
      </c>
      <c r="AH633" s="44">
        <v>0</v>
      </c>
      <c r="AI633" s="43">
        <f>AE633-AF633+AG633-AH633</f>
        <v>20142558347.43</v>
      </c>
      <c r="AJ633" s="142">
        <f>AD633+AI633</f>
        <v>20142558347.43</v>
      </c>
      <c r="AK633" s="44">
        <v>0</v>
      </c>
      <c r="AL633" s="142">
        <v>20142555459.169998</v>
      </c>
      <c r="AM633" s="43">
        <v>20142555459.169998</v>
      </c>
      <c r="AN633" s="44">
        <v>0</v>
      </c>
      <c r="AO633" s="143">
        <v>0</v>
      </c>
      <c r="AP633" s="43">
        <v>0</v>
      </c>
      <c r="AQ633" s="44">
        <v>0</v>
      </c>
      <c r="AR633" s="44">
        <v>0</v>
      </c>
      <c r="AS633" s="43">
        <v>0</v>
      </c>
      <c r="AT633" s="39">
        <f>AQ633+AS633</f>
        <v>0</v>
      </c>
      <c r="AU633" s="18">
        <f>AJ633-AM633</f>
        <v>2888.2600021362305</v>
      </c>
      <c r="AV633" s="18">
        <f>AM633-AP633</f>
        <v>20142555459.169998</v>
      </c>
      <c r="AW633" s="18">
        <f>AP633-AT633</f>
        <v>0</v>
      </c>
      <c r="AX633" s="123">
        <f>AP633/AJ633</f>
        <v>0</v>
      </c>
    </row>
    <row r="634" spans="1:50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1" t="s">
        <v>1385</v>
      </c>
      <c r="AB634" s="42" t="s">
        <v>453</v>
      </c>
      <c r="AC634" s="43"/>
      <c r="AD634" s="44">
        <v>0</v>
      </c>
      <c r="AE634" s="43">
        <f>17804659196+8428553475</f>
        <v>26233212671</v>
      </c>
      <c r="AF634" s="44">
        <v>0</v>
      </c>
      <c r="AG634" s="44">
        <v>0</v>
      </c>
      <c r="AH634" s="43">
        <v>8428553475</v>
      </c>
      <c r="AI634" s="43">
        <f>AE634-AF634+AG634-AH634</f>
        <v>17804659196</v>
      </c>
      <c r="AJ634" s="142">
        <f>AD634+AI634</f>
        <v>17804659196</v>
      </c>
      <c r="AK634" s="44">
        <v>0</v>
      </c>
      <c r="AL634" s="143">
        <v>0</v>
      </c>
      <c r="AM634" s="43">
        <v>16145424861</v>
      </c>
      <c r="AN634" s="43">
        <v>0</v>
      </c>
      <c r="AO634" s="142">
        <v>0</v>
      </c>
      <c r="AP634" s="43">
        <v>16145424861</v>
      </c>
      <c r="AQ634" s="44">
        <v>0</v>
      </c>
      <c r="AR634" s="43">
        <v>484834167.37</v>
      </c>
      <c r="AS634" s="43">
        <v>3229932848.0700002</v>
      </c>
      <c r="AT634" s="39">
        <f>AQ634+AS634</f>
        <v>3229932848.0700002</v>
      </c>
      <c r="AU634" s="18">
        <f>AJ634-AM634</f>
        <v>1659234335</v>
      </c>
      <c r="AV634" s="34">
        <f>AM634-AP634</f>
        <v>0</v>
      </c>
      <c r="AW634" s="18">
        <f>AP634-AT634</f>
        <v>12915492012.93</v>
      </c>
      <c r="AX634" s="327">
        <f>AP634/AJ634</f>
        <v>0.90680898091142548</v>
      </c>
    </row>
    <row r="635" spans="1:50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73" t="s">
        <v>288</v>
      </c>
      <c r="AB635" s="74" t="s">
        <v>1391</v>
      </c>
      <c r="AC635" s="43"/>
      <c r="AD635" s="44"/>
      <c r="AE635" s="43"/>
      <c r="AF635" s="44"/>
      <c r="AG635" s="44"/>
      <c r="AH635" s="44"/>
      <c r="AI635" s="43"/>
      <c r="AJ635" s="142"/>
      <c r="AK635" s="44"/>
      <c r="AL635" s="143"/>
      <c r="AM635" s="43"/>
      <c r="AN635" s="43"/>
      <c r="AO635" s="142"/>
      <c r="AP635" s="43"/>
      <c r="AQ635" s="44"/>
      <c r="AR635" s="44"/>
      <c r="AS635" s="44"/>
      <c r="AT635" s="39"/>
      <c r="AU635" s="18"/>
      <c r="AV635" s="34"/>
      <c r="AW635" s="18"/>
      <c r="AX635" s="40"/>
    </row>
    <row r="636" spans="1:50" x14ac:dyDescent="0.2">
      <c r="A636" s="333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16" t="s">
        <v>1392</v>
      </c>
      <c r="AB636" s="42" t="s">
        <v>233</v>
      </c>
      <c r="AC636" s="43"/>
      <c r="AD636" s="44">
        <v>0</v>
      </c>
      <c r="AE636" s="44">
        <v>0</v>
      </c>
      <c r="AF636" s="44">
        <v>0</v>
      </c>
      <c r="AG636" s="43">
        <v>5265449112.3999996</v>
      </c>
      <c r="AH636" s="43">
        <f>135000000+2687253507</f>
        <v>2822253507</v>
      </c>
      <c r="AI636" s="43">
        <f>AE636-AF636+AG636-AH636</f>
        <v>2443195605.3999996</v>
      </c>
      <c r="AJ636" s="142">
        <f>AD636+AI636</f>
        <v>2443195605.3999996</v>
      </c>
      <c r="AK636" s="44">
        <v>0</v>
      </c>
      <c r="AL636" s="143">
        <v>0</v>
      </c>
      <c r="AM636" s="43">
        <v>0</v>
      </c>
      <c r="AN636" s="43">
        <v>0</v>
      </c>
      <c r="AO636" s="143">
        <v>0</v>
      </c>
      <c r="AP636" s="44">
        <v>0</v>
      </c>
      <c r="AQ636" s="44">
        <v>0</v>
      </c>
      <c r="AR636" s="44">
        <v>0</v>
      </c>
      <c r="AS636" s="44">
        <v>0</v>
      </c>
      <c r="AT636" s="40">
        <f>AQ636+AS636</f>
        <v>0</v>
      </c>
      <c r="AU636" s="18">
        <f>AJ636-AM636</f>
        <v>2443195605.3999996</v>
      </c>
      <c r="AV636" s="34">
        <f>AM636-AP636</f>
        <v>0</v>
      </c>
      <c r="AW636" s="18">
        <f>AP636-AT636</f>
        <v>0</v>
      </c>
      <c r="AX636" s="327">
        <f>AP636/AJ636</f>
        <v>0</v>
      </c>
    </row>
    <row r="637" spans="1:50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1" t="s">
        <v>1457</v>
      </c>
      <c r="AB637" s="42" t="s">
        <v>453</v>
      </c>
      <c r="AC637" s="43"/>
      <c r="AD637" s="44">
        <v>0</v>
      </c>
      <c r="AE637" s="44">
        <v>0</v>
      </c>
      <c r="AF637" s="44">
        <v>0</v>
      </c>
      <c r="AG637" s="43">
        <v>35102994149.330002</v>
      </c>
      <c r="AH637" s="44">
        <v>0</v>
      </c>
      <c r="AI637" s="43">
        <f>AE637-AF637+AG637-AH637</f>
        <v>35102994149.330002</v>
      </c>
      <c r="AJ637" s="142">
        <f>AD637+AI637</f>
        <v>35102994149.330002</v>
      </c>
      <c r="AK637" s="44">
        <v>0</v>
      </c>
      <c r="AL637" s="142">
        <v>35102994149.330002</v>
      </c>
      <c r="AM637" s="43">
        <v>35102994149.330002</v>
      </c>
      <c r="AN637" s="43">
        <v>0</v>
      </c>
      <c r="AO637" s="142">
        <v>0</v>
      </c>
      <c r="AP637" s="43">
        <v>0</v>
      </c>
      <c r="AQ637" s="44">
        <v>0</v>
      </c>
      <c r="AR637" s="44">
        <v>0</v>
      </c>
      <c r="AS637" s="44">
        <v>0</v>
      </c>
      <c r="AT637" s="40">
        <f>AQ637+AS637</f>
        <v>0</v>
      </c>
      <c r="AU637" s="18">
        <f>AJ637-AM637</f>
        <v>0</v>
      </c>
      <c r="AV637" s="18">
        <f>AM637-AP637</f>
        <v>35102994149.330002</v>
      </c>
      <c r="AW637" s="18">
        <f>AP637-AT637</f>
        <v>0</v>
      </c>
      <c r="AX637" s="327">
        <f>AP637/AJ637</f>
        <v>0</v>
      </c>
    </row>
    <row r="638" spans="1:50" x14ac:dyDescent="0.2">
      <c r="AA638" s="28" t="s">
        <v>288</v>
      </c>
      <c r="AB638" s="29" t="s">
        <v>483</v>
      </c>
      <c r="AC638" s="17"/>
      <c r="AD638" s="18"/>
      <c r="AE638" s="34"/>
      <c r="AF638" s="34"/>
      <c r="AG638" s="18"/>
      <c r="AH638" s="34"/>
      <c r="AI638" s="18"/>
      <c r="AJ638" s="147"/>
      <c r="AK638" s="34"/>
      <c r="AL638" s="145"/>
      <c r="AM638" s="18"/>
      <c r="AN638" s="34"/>
      <c r="AO638" s="145"/>
      <c r="AP638" s="18"/>
      <c r="AQ638" s="34"/>
      <c r="AR638" s="34"/>
      <c r="AS638" s="34"/>
      <c r="AT638" s="40"/>
      <c r="AU638" s="18"/>
      <c r="AV638" s="34"/>
      <c r="AW638" s="18"/>
      <c r="AX638" s="18"/>
    </row>
    <row r="639" spans="1:50" x14ac:dyDescent="0.2">
      <c r="A639" s="4" t="s">
        <v>55</v>
      </c>
      <c r="B639" s="4" t="s">
        <v>56</v>
      </c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1" t="s">
        <v>484</v>
      </c>
      <c r="AB639" s="42" t="s">
        <v>233</v>
      </c>
      <c r="AC639" s="43" t="s">
        <v>58</v>
      </c>
      <c r="AD639" s="44">
        <v>0</v>
      </c>
      <c r="AE639" s="44">
        <v>0</v>
      </c>
      <c r="AF639" s="44">
        <v>0</v>
      </c>
      <c r="AG639" s="43">
        <f>60325921.15+40465552+22204778</f>
        <v>122996251.15000001</v>
      </c>
      <c r="AH639" s="44">
        <v>0</v>
      </c>
      <c r="AI639" s="43">
        <f>AE639-AF639+AG639-AH639</f>
        <v>122996251.15000001</v>
      </c>
      <c r="AJ639" s="142">
        <f>AD639+AI639</f>
        <v>122996251.15000001</v>
      </c>
      <c r="AK639" s="44">
        <v>0</v>
      </c>
      <c r="AL639" s="142">
        <f>AM639-OCTUBRE!AM633</f>
        <v>22204778</v>
      </c>
      <c r="AM639" s="43">
        <v>122962899.22</v>
      </c>
      <c r="AN639" s="43">
        <v>0</v>
      </c>
      <c r="AO639" s="142">
        <v>22204778</v>
      </c>
      <c r="AP639" s="43">
        <v>122962899.22</v>
      </c>
      <c r="AQ639" s="44">
        <v>0</v>
      </c>
      <c r="AR639" s="44">
        <v>0</v>
      </c>
      <c r="AS639" s="43">
        <v>52143967.32</v>
      </c>
      <c r="AT639" s="39">
        <f>AQ639+AS639</f>
        <v>52143967.32</v>
      </c>
      <c r="AU639" s="18">
        <f>AJ639-AM639</f>
        <v>33351.930000007153</v>
      </c>
      <c r="AV639" s="34">
        <f>AM639-AP639</f>
        <v>0</v>
      </c>
      <c r="AW639" s="18">
        <f>AP639-AT639</f>
        <v>70818931.900000006</v>
      </c>
      <c r="AX639" s="123">
        <f>AP639/AJ639</f>
        <v>0.99972883783295696</v>
      </c>
    </row>
    <row r="640" spans="1:50" x14ac:dyDescent="0.2">
      <c r="AA640" s="28" t="s">
        <v>288</v>
      </c>
      <c r="AB640" s="29" t="s">
        <v>485</v>
      </c>
      <c r="AC640" s="17"/>
      <c r="AD640" s="18"/>
      <c r="AE640" s="34"/>
      <c r="AF640" s="34"/>
      <c r="AG640" s="18"/>
      <c r="AH640" s="34"/>
      <c r="AI640" s="18"/>
      <c r="AJ640" s="147"/>
      <c r="AK640" s="34"/>
      <c r="AL640" s="147"/>
      <c r="AM640" s="18"/>
      <c r="AN640" s="34"/>
      <c r="AO640" s="145"/>
      <c r="AP640" s="18"/>
      <c r="AQ640" s="34"/>
      <c r="AR640" s="34"/>
      <c r="AS640" s="34"/>
      <c r="AT640" s="40"/>
      <c r="AU640" s="18"/>
      <c r="AV640" s="34"/>
      <c r="AW640" s="34"/>
      <c r="AX640" s="18"/>
    </row>
    <row r="641" spans="1:50" x14ac:dyDescent="0.2">
      <c r="A641" s="4" t="s">
        <v>55</v>
      </c>
      <c r="B641" s="4" t="s">
        <v>56</v>
      </c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1" t="s">
        <v>972</v>
      </c>
      <c r="AB641" s="42" t="s">
        <v>233</v>
      </c>
      <c r="AC641" s="43" t="s">
        <v>58</v>
      </c>
      <c r="AD641" s="43">
        <v>530557116</v>
      </c>
      <c r="AE641" s="44">
        <v>0</v>
      </c>
      <c r="AF641" s="44">
        <v>0</v>
      </c>
      <c r="AG641" s="43">
        <v>66683319.520000003</v>
      </c>
      <c r="AH641" s="43">
        <v>530557116</v>
      </c>
      <c r="AI641" s="43">
        <f>AE641-AF641+AG641-AH641</f>
        <v>-463873796.48000002</v>
      </c>
      <c r="AJ641" s="142">
        <f>AD641+AI641</f>
        <v>66683319.519999981</v>
      </c>
      <c r="AK641" s="44">
        <v>0</v>
      </c>
      <c r="AL641" s="143">
        <v>0</v>
      </c>
      <c r="AM641" s="44">
        <v>0</v>
      </c>
      <c r="AN641" s="44">
        <v>0</v>
      </c>
      <c r="AO641" s="143">
        <v>0</v>
      </c>
      <c r="AP641" s="44">
        <v>0</v>
      </c>
      <c r="AQ641" s="44">
        <v>0</v>
      </c>
      <c r="AR641" s="44">
        <v>0</v>
      </c>
      <c r="AS641" s="44">
        <v>0</v>
      </c>
      <c r="AT641" s="40">
        <f>AQ641+AS641</f>
        <v>0</v>
      </c>
      <c r="AU641" s="18">
        <f>AJ641-AM641</f>
        <v>66683319.519999981</v>
      </c>
      <c r="AV641" s="34">
        <f>AM641-AP641</f>
        <v>0</v>
      </c>
      <c r="AW641" s="34">
        <f>AP641-AT641</f>
        <v>0</v>
      </c>
      <c r="AX641" s="123">
        <v>0</v>
      </c>
    </row>
    <row r="642" spans="1:50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1" t="s">
        <v>1459</v>
      </c>
      <c r="AB642" s="42" t="s">
        <v>453</v>
      </c>
      <c r="AC642" s="43"/>
      <c r="AD642" s="44">
        <v>0</v>
      </c>
      <c r="AE642" s="44">
        <v>0</v>
      </c>
      <c r="AF642" s="44">
        <v>0</v>
      </c>
      <c r="AG642" s="43">
        <v>1602007202.5699999</v>
      </c>
      <c r="AH642" s="44">
        <v>0</v>
      </c>
      <c r="AI642" s="43">
        <f>AE642-AF642+AG642-AH642</f>
        <v>1602007202.5699999</v>
      </c>
      <c r="AJ642" s="142">
        <f>AD642+AI642</f>
        <v>1602007202.5699999</v>
      </c>
      <c r="AK642" s="44">
        <v>0</v>
      </c>
      <c r="AL642" s="142">
        <v>1602007202.5699999</v>
      </c>
      <c r="AM642" s="43">
        <v>1602007202.5699999</v>
      </c>
      <c r="AN642" s="44">
        <v>0</v>
      </c>
      <c r="AO642" s="143">
        <v>0</v>
      </c>
      <c r="AP642" s="44">
        <v>0</v>
      </c>
      <c r="AQ642" s="44">
        <v>0</v>
      </c>
      <c r="AR642" s="44">
        <v>0</v>
      </c>
      <c r="AS642" s="44">
        <v>0</v>
      </c>
      <c r="AT642" s="40">
        <f>AQ642+AS642</f>
        <v>0</v>
      </c>
      <c r="AU642" s="18">
        <f>AJ642-AM642</f>
        <v>0</v>
      </c>
      <c r="AV642" s="18">
        <f>AM642-AP642</f>
        <v>1602007202.5699999</v>
      </c>
      <c r="AW642" s="34">
        <f>AP642-AT642</f>
        <v>0</v>
      </c>
      <c r="AX642" s="123">
        <v>0</v>
      </c>
    </row>
    <row r="643" spans="1:50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1" t="s">
        <v>1393</v>
      </c>
      <c r="AB643" s="42" t="s">
        <v>1032</v>
      </c>
      <c r="AC643" s="43"/>
      <c r="AD643" s="44">
        <v>0</v>
      </c>
      <c r="AE643" s="44">
        <v>0</v>
      </c>
      <c r="AF643" s="44">
        <v>0</v>
      </c>
      <c r="AG643" s="43">
        <v>190248626.05000001</v>
      </c>
      <c r="AH643" s="44">
        <v>0</v>
      </c>
      <c r="AI643" s="43">
        <f>AE643-AF643+AG643-AH643</f>
        <v>190248626.05000001</v>
      </c>
      <c r="AJ643" s="142">
        <f>AD643+AI643</f>
        <v>190248626.05000001</v>
      </c>
      <c r="AK643" s="44">
        <v>0</v>
      </c>
      <c r="AL643" s="143">
        <v>0</v>
      </c>
      <c r="AM643" s="44">
        <v>0</v>
      </c>
      <c r="AN643" s="44">
        <v>0</v>
      </c>
      <c r="AO643" s="143">
        <v>0</v>
      </c>
      <c r="AP643" s="44">
        <v>0</v>
      </c>
      <c r="AQ643" s="44">
        <v>0</v>
      </c>
      <c r="AR643" s="44">
        <v>0</v>
      </c>
      <c r="AS643" s="44">
        <v>0</v>
      </c>
      <c r="AT643" s="40">
        <f>AQ643+AS643</f>
        <v>0</v>
      </c>
      <c r="AU643" s="18">
        <f>AJ643-AM643</f>
        <v>190248626.05000001</v>
      </c>
      <c r="AV643" s="34">
        <f>AM643-AP643</f>
        <v>0</v>
      </c>
      <c r="AW643" s="34">
        <f>AP643-AT643</f>
        <v>0</v>
      </c>
      <c r="AX643" s="123">
        <v>0</v>
      </c>
    </row>
    <row r="644" spans="1:50" ht="38.25" x14ac:dyDescent="0.2">
      <c r="AA644" s="16"/>
      <c r="AB644" s="29" t="s">
        <v>193</v>
      </c>
      <c r="AC644" s="17"/>
      <c r="AD644" s="18"/>
      <c r="AE644" s="34"/>
      <c r="AF644" s="34"/>
      <c r="AG644" s="18"/>
      <c r="AH644" s="18"/>
      <c r="AI644" s="18"/>
      <c r="AJ644" s="147"/>
      <c r="AK644" s="34"/>
      <c r="AL644" s="145"/>
      <c r="AM644" s="34"/>
      <c r="AN644" s="34"/>
      <c r="AO644" s="145"/>
      <c r="AP644" s="34"/>
      <c r="AQ644" s="34"/>
      <c r="AR644" s="145"/>
      <c r="AS644" s="34"/>
      <c r="AT644" s="40"/>
      <c r="AU644" s="18"/>
      <c r="AV644" s="34"/>
      <c r="AW644" s="18"/>
      <c r="AX644" s="18"/>
    </row>
    <row r="645" spans="1:50" ht="18.75" customHeight="1" x14ac:dyDescent="0.2">
      <c r="AA645" s="28" t="s">
        <v>288</v>
      </c>
      <c r="AB645" s="29" t="s">
        <v>487</v>
      </c>
      <c r="AC645" s="17"/>
      <c r="AD645" s="18"/>
      <c r="AE645" s="34"/>
      <c r="AF645" s="34"/>
      <c r="AG645" s="18"/>
      <c r="AH645" s="18"/>
      <c r="AI645" s="18"/>
      <c r="AJ645" s="147"/>
      <c r="AK645" s="34"/>
      <c r="AL645" s="145"/>
      <c r="AM645" s="34"/>
      <c r="AN645" s="34"/>
      <c r="AO645" s="145"/>
      <c r="AP645" s="34"/>
      <c r="AQ645" s="34"/>
      <c r="AR645" s="145"/>
      <c r="AS645" s="34"/>
      <c r="AT645" s="40"/>
      <c r="AU645" s="18"/>
      <c r="AV645" s="34"/>
      <c r="AW645" s="18"/>
      <c r="AX645" s="18"/>
    </row>
    <row r="646" spans="1:50" ht="18.75" customHeight="1" x14ac:dyDescent="0.2">
      <c r="A646" s="4" t="s">
        <v>55</v>
      </c>
      <c r="B646" s="4" t="s">
        <v>56</v>
      </c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1" t="s">
        <v>488</v>
      </c>
      <c r="AB646" s="42" t="s">
        <v>439</v>
      </c>
      <c r="AC646" s="43" t="s">
        <v>428</v>
      </c>
      <c r="AD646" s="43">
        <v>14800000000</v>
      </c>
      <c r="AE646" s="44">
        <v>0</v>
      </c>
      <c r="AF646" s="44">
        <v>0</v>
      </c>
      <c r="AG646" s="44">
        <v>0</v>
      </c>
      <c r="AH646" s="43">
        <f>265538240+219103236.8</f>
        <v>484641476.80000001</v>
      </c>
      <c r="AI646" s="43">
        <f>AE646-AF646+AG646-AH646</f>
        <v>-484641476.80000001</v>
      </c>
      <c r="AJ646" s="43">
        <f>AD646+AI646</f>
        <v>14315358523.200001</v>
      </c>
      <c r="AK646" s="44">
        <v>0</v>
      </c>
      <c r="AL646" s="144">
        <f>AM646-OCTUBRE!AM639</f>
        <v>933523568</v>
      </c>
      <c r="AM646" s="114">
        <v>9964181231</v>
      </c>
      <c r="AN646" s="44">
        <v>0</v>
      </c>
      <c r="AO646" s="144">
        <v>933523568</v>
      </c>
      <c r="AP646" s="114">
        <v>9964181231</v>
      </c>
      <c r="AQ646" s="44">
        <v>0</v>
      </c>
      <c r="AR646" s="144">
        <v>933523568</v>
      </c>
      <c r="AS646" s="114">
        <v>9964181231</v>
      </c>
      <c r="AT646" s="111">
        <f t="shared" si="298"/>
        <v>9964181231</v>
      </c>
      <c r="AU646" s="18">
        <f t="shared" ref="AU646:AU651" si="313">AJ646-AM646</f>
        <v>4351177292.2000008</v>
      </c>
      <c r="AV646" s="34">
        <f t="shared" ref="AV646:AV651" si="314">AM646-AP646</f>
        <v>0</v>
      </c>
      <c r="AW646" s="34">
        <f t="shared" ref="AW646:AW651" si="315">AP646-AT646</f>
        <v>0</v>
      </c>
      <c r="AX646" s="123">
        <f t="shared" ref="AX646:AX651" si="316">AP646/AJ646</f>
        <v>0.69604831865382055</v>
      </c>
    </row>
    <row r="647" spans="1:50" ht="18.75" customHeight="1" x14ac:dyDescent="0.2">
      <c r="A647" s="4" t="s">
        <v>55</v>
      </c>
      <c r="B647" s="4" t="s">
        <v>56</v>
      </c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1" t="s">
        <v>489</v>
      </c>
      <c r="AB647" s="42" t="s">
        <v>490</v>
      </c>
      <c r="AC647" s="43" t="s">
        <v>368</v>
      </c>
      <c r="AD647" s="43">
        <v>28000000.199999999</v>
      </c>
      <c r="AE647" s="44">
        <v>0</v>
      </c>
      <c r="AF647" s="44">
        <v>0</v>
      </c>
      <c r="AG647" s="44">
        <v>0</v>
      </c>
      <c r="AH647" s="44">
        <v>0</v>
      </c>
      <c r="AI647" s="43">
        <f>AE647-AF647+AG647-AH647</f>
        <v>0</v>
      </c>
      <c r="AJ647" s="43">
        <f>AD647+AI647</f>
        <v>28000000.199999999</v>
      </c>
      <c r="AK647" s="44">
        <v>0</v>
      </c>
      <c r="AL647" s="144">
        <f>AM647-OCTUBRE!AM640</f>
        <v>2155330</v>
      </c>
      <c r="AM647" s="114">
        <v>25677263</v>
      </c>
      <c r="AN647" s="44">
        <v>0</v>
      </c>
      <c r="AO647" s="144">
        <v>2155330</v>
      </c>
      <c r="AP647" s="114">
        <v>25677263</v>
      </c>
      <c r="AQ647" s="44">
        <v>0</v>
      </c>
      <c r="AR647" s="144">
        <v>7627060</v>
      </c>
      <c r="AS647" s="114">
        <v>25677263</v>
      </c>
      <c r="AT647" s="111">
        <f t="shared" si="298"/>
        <v>25677263</v>
      </c>
      <c r="AU647" s="18">
        <f t="shared" si="313"/>
        <v>2322737.1999999993</v>
      </c>
      <c r="AV647" s="34">
        <f t="shared" si="314"/>
        <v>0</v>
      </c>
      <c r="AW647" s="34">
        <f t="shared" si="315"/>
        <v>0</v>
      </c>
      <c r="AX647" s="123">
        <f t="shared" si="316"/>
        <v>0.91704510059253497</v>
      </c>
    </row>
    <row r="648" spans="1:50" ht="18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166" t="s">
        <v>1073</v>
      </c>
      <c r="AB648" s="167" t="s">
        <v>1074</v>
      </c>
      <c r="AC648" s="168"/>
      <c r="AD648" s="44">
        <v>0</v>
      </c>
      <c r="AE648" s="43">
        <v>505000000</v>
      </c>
      <c r="AF648" s="44">
        <v>0</v>
      </c>
      <c r="AG648" s="44">
        <v>0</v>
      </c>
      <c r="AH648" s="44">
        <v>0</v>
      </c>
      <c r="AI648" s="43">
        <f t="shared" ref="AI648:AI650" si="317">AE648-AF648+AG648-AH648</f>
        <v>505000000</v>
      </c>
      <c r="AJ648" s="43">
        <f t="shared" ref="AJ648:AJ651" si="318">AD648+AI648</f>
        <v>505000000</v>
      </c>
      <c r="AK648" s="44">
        <v>0</v>
      </c>
      <c r="AL648" s="144">
        <f>AM648-OCTUBRE!AM641</f>
        <v>0</v>
      </c>
      <c r="AM648" s="43">
        <v>474423566.54000002</v>
      </c>
      <c r="AN648" s="44">
        <v>0</v>
      </c>
      <c r="AO648" s="142">
        <v>474423564.11000001</v>
      </c>
      <c r="AP648" s="43">
        <v>474423564.11000001</v>
      </c>
      <c r="AQ648" s="44">
        <v>0</v>
      </c>
      <c r="AR648" s="258">
        <v>0</v>
      </c>
      <c r="AS648" s="115">
        <v>0</v>
      </c>
      <c r="AT648" s="135">
        <f t="shared" si="298"/>
        <v>0</v>
      </c>
      <c r="AU648" s="18">
        <f t="shared" si="313"/>
        <v>30576433.459999979</v>
      </c>
      <c r="AV648" s="18">
        <f t="shared" si="314"/>
        <v>2.4300000071525574</v>
      </c>
      <c r="AW648" s="18">
        <f t="shared" si="315"/>
        <v>474423564.11000001</v>
      </c>
      <c r="AX648" s="123">
        <f t="shared" si="316"/>
        <v>0.93945260219801985</v>
      </c>
    </row>
    <row r="649" spans="1:50" ht="18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166" t="s">
        <v>1075</v>
      </c>
      <c r="AB649" s="167" t="s">
        <v>1074</v>
      </c>
      <c r="AC649" s="168"/>
      <c r="AD649" s="44">
        <v>0</v>
      </c>
      <c r="AE649" s="43">
        <v>13000000</v>
      </c>
      <c r="AF649" s="44">
        <v>0</v>
      </c>
      <c r="AG649" s="44">
        <v>0</v>
      </c>
      <c r="AH649" s="44">
        <v>0</v>
      </c>
      <c r="AI649" s="43">
        <f t="shared" si="317"/>
        <v>13000000</v>
      </c>
      <c r="AJ649" s="43">
        <f t="shared" si="318"/>
        <v>13000000</v>
      </c>
      <c r="AK649" s="44">
        <v>0</v>
      </c>
      <c r="AL649" s="144">
        <f>AM649-OCTUBRE!AM642</f>
        <v>3237599</v>
      </c>
      <c r="AM649" s="43">
        <v>3237599</v>
      </c>
      <c r="AN649" s="43">
        <v>0</v>
      </c>
      <c r="AO649" s="142">
        <v>3237599</v>
      </c>
      <c r="AP649" s="43">
        <v>3237599</v>
      </c>
      <c r="AQ649" s="44">
        <v>0</v>
      </c>
      <c r="AR649" s="142">
        <v>3237599</v>
      </c>
      <c r="AS649" s="43">
        <v>3237599</v>
      </c>
      <c r="AT649" s="39">
        <f t="shared" si="298"/>
        <v>3237599</v>
      </c>
      <c r="AU649" s="18">
        <f t="shared" si="313"/>
        <v>9762401</v>
      </c>
      <c r="AV649" s="34">
        <f t="shared" si="314"/>
        <v>0</v>
      </c>
      <c r="AW649" s="34">
        <f t="shared" si="315"/>
        <v>0</v>
      </c>
      <c r="AX649" s="123">
        <f t="shared" si="316"/>
        <v>0.24904607692307693</v>
      </c>
    </row>
    <row r="650" spans="1:50" ht="18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166" t="s">
        <v>1076</v>
      </c>
      <c r="AB650" s="167" t="s">
        <v>1074</v>
      </c>
      <c r="AC650" s="168"/>
      <c r="AD650" s="44">
        <v>0</v>
      </c>
      <c r="AE650" s="43">
        <v>30358521.859999999</v>
      </c>
      <c r="AF650" s="44">
        <v>0</v>
      </c>
      <c r="AG650" s="44">
        <v>0</v>
      </c>
      <c r="AH650" s="44">
        <v>0</v>
      </c>
      <c r="AI650" s="43">
        <f t="shared" si="317"/>
        <v>30358521.859999999</v>
      </c>
      <c r="AJ650" s="43">
        <f t="shared" si="318"/>
        <v>30358521.859999999</v>
      </c>
      <c r="AK650" s="44">
        <v>0</v>
      </c>
      <c r="AL650" s="144">
        <f>AM650-OCTUBRE!AM643</f>
        <v>0</v>
      </c>
      <c r="AM650" s="115">
        <v>0</v>
      </c>
      <c r="AN650" s="44">
        <v>0</v>
      </c>
      <c r="AO650" s="258">
        <v>0</v>
      </c>
      <c r="AP650" s="115">
        <v>0</v>
      </c>
      <c r="AQ650" s="44">
        <v>0</v>
      </c>
      <c r="AR650" s="258">
        <v>0</v>
      </c>
      <c r="AS650" s="115">
        <v>0</v>
      </c>
      <c r="AT650" s="135">
        <f t="shared" si="298"/>
        <v>0</v>
      </c>
      <c r="AU650" s="18">
        <f t="shared" si="313"/>
        <v>30358521.859999999</v>
      </c>
      <c r="AV650" s="34">
        <f t="shared" si="314"/>
        <v>0</v>
      </c>
      <c r="AW650" s="34">
        <f t="shared" si="315"/>
        <v>0</v>
      </c>
      <c r="AX650" s="123">
        <f t="shared" si="316"/>
        <v>0</v>
      </c>
    </row>
    <row r="651" spans="1:50" ht="18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166" t="s">
        <v>1077</v>
      </c>
      <c r="AB651" s="167" t="s">
        <v>1074</v>
      </c>
      <c r="AC651" s="168"/>
      <c r="AD651" s="44">
        <v>0</v>
      </c>
      <c r="AE651" s="43">
        <v>4485910634</v>
      </c>
      <c r="AF651" s="44">
        <v>0</v>
      </c>
      <c r="AG651" s="43">
        <v>524000000</v>
      </c>
      <c r="AH651" s="43">
        <v>1886000000</v>
      </c>
      <c r="AI651" s="43">
        <f>AE651-AF651+AG651-AH651</f>
        <v>3123910634</v>
      </c>
      <c r="AJ651" s="142">
        <f t="shared" si="318"/>
        <v>3123910634</v>
      </c>
      <c r="AK651" s="44">
        <v>0</v>
      </c>
      <c r="AL651" s="144">
        <f>AM651-OCTUBRE!AM644</f>
        <v>-577389443.19999981</v>
      </c>
      <c r="AM651" s="43">
        <v>2258479222.8400002</v>
      </c>
      <c r="AN651" s="44">
        <v>0</v>
      </c>
      <c r="AO651" s="142">
        <v>2185278858.8000002</v>
      </c>
      <c r="AP651" s="43">
        <v>2258479222.8400002</v>
      </c>
      <c r="AQ651" s="43">
        <v>1878451.76</v>
      </c>
      <c r="AR651" s="142">
        <v>25539148.219999999</v>
      </c>
      <c r="AS651" s="43">
        <v>44041834.119999997</v>
      </c>
      <c r="AT651" s="39">
        <f t="shared" si="298"/>
        <v>45920285.879999995</v>
      </c>
      <c r="AU651" s="18">
        <f t="shared" si="313"/>
        <v>865431411.15999985</v>
      </c>
      <c r="AV651" s="18">
        <f t="shared" si="314"/>
        <v>0</v>
      </c>
      <c r="AW651" s="325">
        <f t="shared" si="315"/>
        <v>2212558936.96</v>
      </c>
      <c r="AX651" s="123">
        <f t="shared" si="316"/>
        <v>0.72296537495636959</v>
      </c>
    </row>
    <row r="652" spans="1:50" ht="25.5" x14ac:dyDescent="0.2">
      <c r="AA652" s="162"/>
      <c r="AB652" s="163" t="s">
        <v>195</v>
      </c>
      <c r="AC652" s="17"/>
      <c r="AD652" s="18"/>
      <c r="AE652" s="34"/>
      <c r="AF652" s="34"/>
      <c r="AG652" s="34"/>
      <c r="AH652" s="34"/>
      <c r="AI652" s="34"/>
      <c r="AJ652" s="18"/>
      <c r="AK652" s="34"/>
      <c r="AL652" s="147"/>
      <c r="AM652" s="18"/>
      <c r="AN652" s="34"/>
      <c r="AO652" s="147"/>
      <c r="AP652" s="18"/>
      <c r="AQ652" s="18"/>
      <c r="AR652" s="147"/>
      <c r="AS652" s="18"/>
      <c r="AT652" s="30"/>
      <c r="AU652" s="18"/>
      <c r="AV652" s="18"/>
      <c r="AW652" s="18"/>
      <c r="AX652" s="18"/>
    </row>
    <row r="653" spans="1:50" ht="18.75" customHeight="1" x14ac:dyDescent="0.2">
      <c r="AA653" s="28" t="s">
        <v>288</v>
      </c>
      <c r="AB653" s="29" t="s">
        <v>487</v>
      </c>
      <c r="AC653" s="17"/>
      <c r="AD653" s="18"/>
      <c r="AE653" s="34"/>
      <c r="AF653" s="34"/>
      <c r="AG653" s="34"/>
      <c r="AH653" s="34"/>
      <c r="AI653" s="34"/>
      <c r="AJ653" s="18"/>
      <c r="AK653" s="34"/>
      <c r="AL653" s="147"/>
      <c r="AM653" s="18"/>
      <c r="AN653" s="34"/>
      <c r="AO653" s="18"/>
      <c r="AP653" s="18"/>
      <c r="AQ653" s="18"/>
      <c r="AR653" s="147"/>
      <c r="AS653" s="18"/>
      <c r="AT653" s="30"/>
      <c r="AU653" s="18"/>
      <c r="AV653" s="18"/>
      <c r="AW653" s="18"/>
      <c r="AX653" s="18"/>
    </row>
    <row r="654" spans="1:50" ht="18.75" customHeight="1" x14ac:dyDescent="0.2">
      <c r="A654" s="4" t="s">
        <v>55</v>
      </c>
      <c r="B654" s="4" t="s">
        <v>56</v>
      </c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1" t="s">
        <v>491</v>
      </c>
      <c r="AB654" s="42" t="s">
        <v>490</v>
      </c>
      <c r="AC654" s="43" t="s">
        <v>368</v>
      </c>
      <c r="AD654" s="43">
        <v>192000000</v>
      </c>
      <c r="AE654" s="44">
        <v>0</v>
      </c>
      <c r="AF654" s="44">
        <v>0</v>
      </c>
      <c r="AG654" s="44">
        <v>0</v>
      </c>
      <c r="AH654" s="44">
        <v>0</v>
      </c>
      <c r="AI654" s="44">
        <v>0</v>
      </c>
      <c r="AJ654" s="43">
        <v>192000000</v>
      </c>
      <c r="AK654" s="44">
        <v>0</v>
      </c>
      <c r="AL654" s="143">
        <f>AM654-AGOSTO!AM618</f>
        <v>0</v>
      </c>
      <c r="AM654" s="43">
        <v>166971871</v>
      </c>
      <c r="AN654" s="44">
        <v>0</v>
      </c>
      <c r="AO654" s="44">
        <v>0</v>
      </c>
      <c r="AP654" s="43">
        <v>166971871</v>
      </c>
      <c r="AQ654" s="44">
        <v>0</v>
      </c>
      <c r="AR654" s="142">
        <v>15179261</v>
      </c>
      <c r="AS654" s="43">
        <v>136107374</v>
      </c>
      <c r="AT654" s="39">
        <f>AQ654+AS654</f>
        <v>136107374</v>
      </c>
      <c r="AU654" s="18">
        <f>AJ654-AM654</f>
        <v>25028129</v>
      </c>
      <c r="AV654" s="34">
        <f>AM654-AP654</f>
        <v>0</v>
      </c>
      <c r="AW654" s="18">
        <f>AP654-AT654</f>
        <v>30864497</v>
      </c>
      <c r="AX654" s="123">
        <f>AP654/AJ654</f>
        <v>0.86964516145833337</v>
      </c>
    </row>
    <row r="655" spans="1:50" ht="25.5" x14ac:dyDescent="0.2">
      <c r="AA655" s="16"/>
      <c r="AB655" s="29" t="s">
        <v>197</v>
      </c>
      <c r="AC655" s="17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34"/>
      <c r="AO655" s="34"/>
      <c r="AP655" s="18"/>
      <c r="AQ655" s="34"/>
      <c r="AR655" s="145"/>
      <c r="AS655" s="34"/>
      <c r="AT655" s="40"/>
      <c r="AU655" s="18"/>
      <c r="AV655" s="18"/>
      <c r="AW655" s="18"/>
      <c r="AX655" s="18"/>
    </row>
    <row r="656" spans="1:50" ht="17.25" customHeight="1" x14ac:dyDescent="0.2">
      <c r="AA656" s="170" t="s">
        <v>288</v>
      </c>
      <c r="AB656" s="165" t="s">
        <v>1048</v>
      </c>
      <c r="AC656" s="161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34"/>
      <c r="AO656" s="34"/>
      <c r="AP656" s="18"/>
      <c r="AQ656" s="34"/>
      <c r="AR656" s="145"/>
      <c r="AS656" s="34"/>
      <c r="AT656" s="40"/>
      <c r="AU656" s="18"/>
      <c r="AV656" s="18"/>
      <c r="AW656" s="18"/>
      <c r="AX656" s="18"/>
    </row>
    <row r="657" spans="1:50" ht="16.5" customHeight="1" x14ac:dyDescent="0.2">
      <c r="AA657" s="166" t="s">
        <v>1049</v>
      </c>
      <c r="AB657" s="167" t="s">
        <v>1015</v>
      </c>
      <c r="AC657" s="161"/>
      <c r="AD657" s="34">
        <v>0</v>
      </c>
      <c r="AE657" s="18">
        <v>40000000</v>
      </c>
      <c r="AF657" s="34">
        <v>0</v>
      </c>
      <c r="AG657" s="34">
        <v>0</v>
      </c>
      <c r="AH657" s="18">
        <v>40000000</v>
      </c>
      <c r="AI657" s="44">
        <f>AE657-AF657+AG657-AH657</f>
        <v>0</v>
      </c>
      <c r="AJ657" s="44">
        <f>AD657+AI657</f>
        <v>0</v>
      </c>
      <c r="AK657" s="34">
        <v>0</v>
      </c>
      <c r="AL657" s="34">
        <v>0</v>
      </c>
      <c r="AM657" s="34">
        <v>0</v>
      </c>
      <c r="AN657" s="34">
        <v>0</v>
      </c>
      <c r="AO657" s="34">
        <v>0</v>
      </c>
      <c r="AP657" s="34">
        <v>0</v>
      </c>
      <c r="AQ657" s="34">
        <v>0</v>
      </c>
      <c r="AR657" s="145">
        <v>0</v>
      </c>
      <c r="AS657" s="34">
        <v>0</v>
      </c>
      <c r="AT657" s="135">
        <f t="shared" ref="AT657" si="319">AQ657+AS657</f>
        <v>0</v>
      </c>
      <c r="AU657" s="34">
        <f>AJ657-AM657</f>
        <v>0</v>
      </c>
      <c r="AV657" s="34">
        <f>AM657-AP657</f>
        <v>0</v>
      </c>
      <c r="AW657" s="34">
        <f>AP657-AT657</f>
        <v>0</v>
      </c>
      <c r="AX657" s="123">
        <v>0</v>
      </c>
    </row>
    <row r="658" spans="1:50" ht="18.75" customHeight="1" x14ac:dyDescent="0.2">
      <c r="AA658" s="162"/>
      <c r="AB658" s="163" t="s">
        <v>492</v>
      </c>
      <c r="AC658" s="17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34"/>
      <c r="AO658" s="34"/>
      <c r="AP658" s="18"/>
      <c r="AQ658" s="34"/>
      <c r="AR658" s="145"/>
      <c r="AS658" s="34"/>
      <c r="AT658" s="40"/>
      <c r="AU658" s="18"/>
      <c r="AV658" s="18"/>
      <c r="AW658" s="18"/>
      <c r="AX658" s="18"/>
    </row>
    <row r="659" spans="1:50" ht="18.75" customHeight="1" x14ac:dyDescent="0.2">
      <c r="A659" s="4" t="s">
        <v>55</v>
      </c>
      <c r="B659" s="4" t="s">
        <v>56</v>
      </c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1" t="s">
        <v>493</v>
      </c>
      <c r="AB659" s="42" t="s">
        <v>233</v>
      </c>
      <c r="AC659" s="43" t="s">
        <v>58</v>
      </c>
      <c r="AD659" s="44">
        <v>0</v>
      </c>
      <c r="AE659" s="44">
        <v>0</v>
      </c>
      <c r="AF659" s="44">
        <v>0</v>
      </c>
      <c r="AG659" s="142">
        <f>503000000+376249000</f>
        <v>879249000</v>
      </c>
      <c r="AH659" s="43">
        <v>21088294</v>
      </c>
      <c r="AI659" s="43">
        <f>AE659-AF659+AG659-AH659</f>
        <v>858160706</v>
      </c>
      <c r="AJ659" s="43">
        <f>AD659+AI659</f>
        <v>858160706</v>
      </c>
      <c r="AK659" s="44">
        <v>0</v>
      </c>
      <c r="AL659" s="44">
        <f>AM659-AGOSTO!AM623</f>
        <v>0</v>
      </c>
      <c r="AM659" s="43">
        <v>481911706</v>
      </c>
      <c r="AN659" s="44">
        <v>0</v>
      </c>
      <c r="AO659" s="44">
        <v>0</v>
      </c>
      <c r="AP659" s="43">
        <v>481911706</v>
      </c>
      <c r="AQ659" s="44">
        <v>0</v>
      </c>
      <c r="AR659" s="142">
        <v>0</v>
      </c>
      <c r="AS659" s="43">
        <v>395271867.51999998</v>
      </c>
      <c r="AT659" s="39">
        <f>AQ659+AS659</f>
        <v>395271867.51999998</v>
      </c>
      <c r="AU659" s="18">
        <f>AJ659-AM659</f>
        <v>376249000</v>
      </c>
      <c r="AV659" s="34">
        <f>AM659-AP659</f>
        <v>0</v>
      </c>
      <c r="AW659" s="18">
        <f>AP659-AT659</f>
        <v>86639838.480000019</v>
      </c>
      <c r="AX659" s="123">
        <f>AP659/AJ659</f>
        <v>0.56156347247155358</v>
      </c>
    </row>
    <row r="660" spans="1:50" ht="26.25" customHeight="1" x14ac:dyDescent="0.2">
      <c r="AA660" s="28" t="s">
        <v>288</v>
      </c>
      <c r="AB660" s="29" t="s">
        <v>494</v>
      </c>
      <c r="AC660" s="17"/>
      <c r="AD660" s="18"/>
      <c r="AE660" s="34"/>
      <c r="AF660" s="34"/>
      <c r="AG660" s="18"/>
      <c r="AH660" s="34"/>
      <c r="AI660" s="18"/>
      <c r="AJ660" s="18"/>
      <c r="AK660" s="34"/>
      <c r="AL660" s="34"/>
      <c r="AM660" s="18"/>
      <c r="AN660" s="34"/>
      <c r="AO660" s="18"/>
      <c r="AP660" s="18"/>
      <c r="AQ660" s="34"/>
      <c r="AR660" s="145"/>
      <c r="AS660" s="34"/>
      <c r="AT660" s="40"/>
      <c r="AU660" s="34"/>
      <c r="AV660" s="34"/>
      <c r="AW660" s="18"/>
      <c r="AX660" s="18"/>
    </row>
    <row r="661" spans="1:50" ht="18.75" customHeight="1" x14ac:dyDescent="0.2">
      <c r="A661" s="4" t="s">
        <v>55</v>
      </c>
      <c r="B661" s="4" t="s">
        <v>56</v>
      </c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1" t="s">
        <v>495</v>
      </c>
      <c r="AB661" s="42" t="s">
        <v>233</v>
      </c>
      <c r="AC661" s="43" t="s">
        <v>58</v>
      </c>
      <c r="AD661" s="43">
        <v>100000000</v>
      </c>
      <c r="AE661" s="44">
        <v>0</v>
      </c>
      <c r="AF661" s="44">
        <v>0</v>
      </c>
      <c r="AG661" s="44">
        <v>0</v>
      </c>
      <c r="AH661" s="43">
        <v>30591703</v>
      </c>
      <c r="AI661" s="44">
        <f>AE661-AF661+AG661-AH661</f>
        <v>-30591703</v>
      </c>
      <c r="AJ661" s="43">
        <f>AD661+AI661</f>
        <v>69408297</v>
      </c>
      <c r="AK661" s="44">
        <v>0</v>
      </c>
      <c r="AL661" s="44">
        <v>0</v>
      </c>
      <c r="AM661" s="43">
        <v>69408297</v>
      </c>
      <c r="AN661" s="44">
        <v>0</v>
      </c>
      <c r="AO661" s="44">
        <v>0</v>
      </c>
      <c r="AP661" s="43">
        <v>69408297</v>
      </c>
      <c r="AQ661" s="43">
        <v>0</v>
      </c>
      <c r="AR661" s="143">
        <v>0</v>
      </c>
      <c r="AS661" s="43">
        <v>69408297</v>
      </c>
      <c r="AT661" s="39">
        <f>AQ661+AS661</f>
        <v>69408297</v>
      </c>
      <c r="AU661" s="34">
        <f>AJ661-AM661</f>
        <v>0</v>
      </c>
      <c r="AV661" s="34">
        <f>AM661-AP661</f>
        <v>0</v>
      </c>
      <c r="AW661" s="34">
        <f>AP661-AT661</f>
        <v>0</v>
      </c>
      <c r="AX661" s="123">
        <f>AP661/AJ661</f>
        <v>1</v>
      </c>
    </row>
    <row r="662" spans="1:50" ht="18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1" t="s">
        <v>976</v>
      </c>
      <c r="AB662" s="42" t="s">
        <v>449</v>
      </c>
      <c r="AC662" s="43"/>
      <c r="AD662" s="44">
        <v>0</v>
      </c>
      <c r="AE662" s="44">
        <v>0</v>
      </c>
      <c r="AF662" s="44">
        <v>0</v>
      </c>
      <c r="AG662" s="43">
        <v>1200000000</v>
      </c>
      <c r="AH662" s="44"/>
      <c r="AI662" s="43">
        <f>AE662-AF662+AG662-AH662</f>
        <v>1200000000</v>
      </c>
      <c r="AJ662" s="43">
        <f>AD662+AI662</f>
        <v>1200000000</v>
      </c>
      <c r="AK662" s="44">
        <v>0</v>
      </c>
      <c r="AL662" s="43">
        <v>816670081.5</v>
      </c>
      <c r="AM662" s="43">
        <v>816670081.5</v>
      </c>
      <c r="AN662" s="44">
        <v>0</v>
      </c>
      <c r="AO662" s="43">
        <v>816670081.5</v>
      </c>
      <c r="AP662" s="43">
        <v>816670081.5</v>
      </c>
      <c r="AQ662" s="44">
        <v>0</v>
      </c>
      <c r="AR662" s="143">
        <v>0</v>
      </c>
      <c r="AS662" s="44">
        <v>0</v>
      </c>
      <c r="AT662" s="40">
        <f>AQ662+AS662</f>
        <v>0</v>
      </c>
      <c r="AU662" s="18">
        <f>AJ662-AM662</f>
        <v>383329918.5</v>
      </c>
      <c r="AV662" s="18">
        <f>AM662-AP662</f>
        <v>0</v>
      </c>
      <c r="AW662" s="18">
        <f>AP662-AT662</f>
        <v>816670081.5</v>
      </c>
      <c r="AX662" s="123">
        <f>AP662/AJ662</f>
        <v>0.68055840125</v>
      </c>
    </row>
    <row r="663" spans="1:50" ht="18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1" t="s">
        <v>288</v>
      </c>
      <c r="AB663" s="74" t="s">
        <v>463</v>
      </c>
      <c r="AC663" s="43"/>
      <c r="AD663" s="43"/>
      <c r="AE663" s="44"/>
      <c r="AF663" s="44"/>
      <c r="AG663" s="43"/>
      <c r="AH663" s="44"/>
      <c r="AI663" s="43"/>
      <c r="AJ663" s="43"/>
      <c r="AK663" s="44"/>
      <c r="AL663" s="44"/>
      <c r="AM663" s="43"/>
      <c r="AN663" s="44"/>
      <c r="AO663" s="44"/>
      <c r="AP663" s="43"/>
      <c r="AQ663" s="44"/>
      <c r="AR663" s="143"/>
      <c r="AS663" s="44"/>
      <c r="AT663" s="40"/>
      <c r="AU663" s="43"/>
      <c r="AV663" s="43"/>
      <c r="AW663" s="43"/>
      <c r="AX663" s="32"/>
    </row>
    <row r="664" spans="1:50" ht="18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139" t="s">
        <v>909</v>
      </c>
      <c r="AB664" s="42" t="s">
        <v>233</v>
      </c>
      <c r="AC664" s="43"/>
      <c r="AD664" s="44">
        <v>0</v>
      </c>
      <c r="AE664" s="44">
        <v>0</v>
      </c>
      <c r="AF664" s="44">
        <v>0</v>
      </c>
      <c r="AG664" s="43">
        <v>1556000000</v>
      </c>
      <c r="AH664" s="44">
        <v>0</v>
      </c>
      <c r="AI664" s="43">
        <f>AE664-AF664+AG664-AH664</f>
        <v>1556000000</v>
      </c>
      <c r="AJ664" s="43">
        <f>AD664+AI664</f>
        <v>1556000000</v>
      </c>
      <c r="AK664" s="44">
        <v>0</v>
      </c>
      <c r="AL664" s="44">
        <f>AM664-AGOSTO!AM628</f>
        <v>0</v>
      </c>
      <c r="AM664" s="43">
        <v>1555449996</v>
      </c>
      <c r="AN664" s="44">
        <v>0</v>
      </c>
      <c r="AO664" s="44">
        <v>0</v>
      </c>
      <c r="AP664" s="43">
        <v>1555449996</v>
      </c>
      <c r="AQ664" s="44">
        <v>0</v>
      </c>
      <c r="AR664" s="143">
        <f>AS664-MAYO!AS605</f>
        <v>0</v>
      </c>
      <c r="AS664" s="43">
        <v>1555449996</v>
      </c>
      <c r="AT664" s="39">
        <f>AQ664+AS664</f>
        <v>1555449996</v>
      </c>
      <c r="AU664" s="18">
        <f>AJ664-AM664</f>
        <v>550004</v>
      </c>
      <c r="AV664" s="34">
        <f>AM664-AP664</f>
        <v>0</v>
      </c>
      <c r="AW664" s="34">
        <f>AP664-AT664</f>
        <v>0</v>
      </c>
      <c r="AX664" s="123">
        <f>AP664/AJ664</f>
        <v>0.99964652699228795</v>
      </c>
    </row>
    <row r="665" spans="1:50" ht="26.2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170" t="s">
        <v>288</v>
      </c>
      <c r="AB665" s="165" t="s">
        <v>1050</v>
      </c>
      <c r="AC665" s="168"/>
      <c r="AD665" s="44"/>
      <c r="AE665" s="44"/>
      <c r="AF665" s="44"/>
      <c r="AG665" s="43"/>
      <c r="AH665" s="44"/>
      <c r="AI665" s="43"/>
      <c r="AJ665" s="43"/>
      <c r="AK665" s="44"/>
      <c r="AL665" s="44"/>
      <c r="AM665" s="43"/>
      <c r="AN665" s="44"/>
      <c r="AO665" s="44"/>
      <c r="AP665" s="43"/>
      <c r="AQ665" s="44"/>
      <c r="AR665" s="143"/>
      <c r="AS665" s="43"/>
      <c r="AT665" s="39"/>
      <c r="AU665" s="18"/>
      <c r="AV665" s="34"/>
      <c r="AW665" s="34"/>
      <c r="AX665" s="123"/>
    </row>
    <row r="666" spans="1:50" ht="18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166" t="s">
        <v>1051</v>
      </c>
      <c r="AB666" s="167" t="s">
        <v>1015</v>
      </c>
      <c r="AC666" s="168"/>
      <c r="AD666" s="44">
        <v>0</v>
      </c>
      <c r="AE666" s="43">
        <v>40000000</v>
      </c>
      <c r="AF666" s="44">
        <v>0</v>
      </c>
      <c r="AG666" s="44">
        <v>0</v>
      </c>
      <c r="AH666" s="43">
        <v>40000000</v>
      </c>
      <c r="AI666" s="44">
        <f>AE666-AF666+AG666-AH666</f>
        <v>0</v>
      </c>
      <c r="AJ666" s="44">
        <f>AD666+AI666</f>
        <v>0</v>
      </c>
      <c r="AK666" s="44">
        <v>0</v>
      </c>
      <c r="AL666" s="44">
        <v>0</v>
      </c>
      <c r="AM666" s="44">
        <v>0</v>
      </c>
      <c r="AN666" s="44">
        <v>0</v>
      </c>
      <c r="AO666" s="44">
        <v>0</v>
      </c>
      <c r="AP666" s="43">
        <v>0</v>
      </c>
      <c r="AQ666" s="44">
        <v>0</v>
      </c>
      <c r="AR666" s="143">
        <v>0</v>
      </c>
      <c r="AS666" s="44">
        <v>0</v>
      </c>
      <c r="AT666" s="135">
        <f t="shared" ref="AT666" si="320">AQ666+AS666</f>
        <v>0</v>
      </c>
      <c r="AU666" s="34">
        <f>AJ666-AM666</f>
        <v>0</v>
      </c>
      <c r="AV666" s="34">
        <f>AM666-AP666</f>
        <v>0</v>
      </c>
      <c r="AW666" s="34">
        <f>AP666-AT666</f>
        <v>0</v>
      </c>
      <c r="AX666" s="123">
        <v>0</v>
      </c>
    </row>
    <row r="667" spans="1:50" ht="28.5" customHeight="1" x14ac:dyDescent="0.2">
      <c r="AA667" s="169" t="s">
        <v>288</v>
      </c>
      <c r="AB667" s="163" t="s">
        <v>496</v>
      </c>
      <c r="AC667" s="17"/>
      <c r="AD667" s="34"/>
      <c r="AE667" s="34"/>
      <c r="AF667" s="34"/>
      <c r="AG667" s="18"/>
      <c r="AH667" s="34"/>
      <c r="AI667" s="18"/>
      <c r="AJ667" s="18"/>
      <c r="AK667" s="18"/>
      <c r="AL667" s="18"/>
      <c r="AM667" s="18"/>
      <c r="AN667" s="18"/>
      <c r="AO667" s="18"/>
      <c r="AP667" s="18"/>
      <c r="AQ667" s="34"/>
      <c r="AR667" s="145"/>
      <c r="AS667" s="34"/>
      <c r="AT667" s="40"/>
      <c r="AU667" s="18"/>
      <c r="AV667" s="18"/>
      <c r="AW667" s="18"/>
      <c r="AX667" s="18"/>
    </row>
    <row r="668" spans="1:50" ht="18.75" customHeight="1" x14ac:dyDescent="0.2">
      <c r="A668" s="4" t="s">
        <v>55</v>
      </c>
      <c r="B668" s="4" t="s">
        <v>56</v>
      </c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1" t="s">
        <v>497</v>
      </c>
      <c r="AB668" s="42" t="s">
        <v>233</v>
      </c>
      <c r="AC668" s="43" t="s">
        <v>58</v>
      </c>
      <c r="AD668" s="44">
        <v>0</v>
      </c>
      <c r="AE668" s="44">
        <v>0</v>
      </c>
      <c r="AF668" s="44">
        <v>0</v>
      </c>
      <c r="AG668" s="43">
        <f>91680424+36720621</f>
        <v>128401045</v>
      </c>
      <c r="AH668" s="43">
        <v>11419181</v>
      </c>
      <c r="AI668" s="43">
        <f>AE668-AF668+AG668-AH668</f>
        <v>116981864</v>
      </c>
      <c r="AJ668" s="43">
        <f>AD668+AI668</f>
        <v>116981864</v>
      </c>
      <c r="AK668" s="44">
        <v>0</v>
      </c>
      <c r="AL668" s="115">
        <f>AM668-AGOSTO!AM632</f>
        <v>0</v>
      </c>
      <c r="AM668" s="114">
        <v>116981864</v>
      </c>
      <c r="AN668" s="44">
        <v>0</v>
      </c>
      <c r="AO668" s="44">
        <v>0</v>
      </c>
      <c r="AP668" s="114">
        <v>116981864</v>
      </c>
      <c r="AQ668" s="44">
        <v>0</v>
      </c>
      <c r="AR668" s="142">
        <v>0</v>
      </c>
      <c r="AS668" s="114">
        <v>116981864</v>
      </c>
      <c r="AT668" s="39">
        <f>AQ668+AS668</f>
        <v>116981864</v>
      </c>
      <c r="AU668" s="34">
        <f>AJ668-AM668</f>
        <v>0</v>
      </c>
      <c r="AV668" s="34">
        <f>AM668-AP668</f>
        <v>0</v>
      </c>
      <c r="AW668" s="34">
        <f>AP668-AT668</f>
        <v>0</v>
      </c>
      <c r="AX668" s="123">
        <f>AP668/AJ668</f>
        <v>1</v>
      </c>
    </row>
    <row r="669" spans="1:50" ht="18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73" t="s">
        <v>288</v>
      </c>
      <c r="AB669" s="74" t="s">
        <v>970</v>
      </c>
      <c r="AC669" s="43"/>
      <c r="AD669" s="44"/>
      <c r="AE669" s="44"/>
      <c r="AF669" s="44"/>
      <c r="AG669" s="43"/>
      <c r="AH669" s="43"/>
      <c r="AI669" s="43"/>
      <c r="AJ669" s="43"/>
      <c r="AK669" s="44"/>
      <c r="AL669" s="115"/>
      <c r="AM669" s="114"/>
      <c r="AN669" s="44"/>
      <c r="AO669" s="44"/>
      <c r="AP669" s="114"/>
      <c r="AQ669" s="44"/>
      <c r="AR669" s="142"/>
      <c r="AS669" s="114"/>
      <c r="AT669" s="39"/>
      <c r="AU669" s="34"/>
      <c r="AV669" s="34"/>
      <c r="AW669" s="34"/>
      <c r="AX669" s="123"/>
    </row>
    <row r="670" spans="1:50" ht="18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1" t="s">
        <v>1369</v>
      </c>
      <c r="AB670" s="42" t="s">
        <v>233</v>
      </c>
      <c r="AC670" s="43"/>
      <c r="AD670" s="44">
        <v>0</v>
      </c>
      <c r="AE670" s="44">
        <v>0</v>
      </c>
      <c r="AF670" s="44">
        <v>0</v>
      </c>
      <c r="AG670" s="43">
        <v>1097910418</v>
      </c>
      <c r="AH670" s="44">
        <v>0</v>
      </c>
      <c r="AI670" s="43">
        <f>AE670-AF670+AG670-AH670</f>
        <v>1097910418</v>
      </c>
      <c r="AJ670" s="43">
        <f>AD670+AI670</f>
        <v>1097910418</v>
      </c>
      <c r="AK670" s="43">
        <v>0</v>
      </c>
      <c r="AL670" s="43">
        <v>1097910418</v>
      </c>
      <c r="AM670" s="43">
        <v>1097910418</v>
      </c>
      <c r="AN670" s="43">
        <v>0</v>
      </c>
      <c r="AO670" s="43">
        <v>1097910418</v>
      </c>
      <c r="AP670" s="43">
        <v>1097910418</v>
      </c>
      <c r="AQ670" s="44">
        <v>0</v>
      </c>
      <c r="AR670" s="143">
        <v>0</v>
      </c>
      <c r="AS670" s="115">
        <v>0</v>
      </c>
      <c r="AT670" s="40">
        <f t="shared" ref="AT670:AT671" si="321">AQ670+AS670</f>
        <v>0</v>
      </c>
      <c r="AU670" s="18">
        <f t="shared" ref="AU670:AU671" si="322">AJ670-AM670</f>
        <v>0</v>
      </c>
      <c r="AV670" s="34">
        <f t="shared" ref="AV670:AV671" si="323">AM670-AP670</f>
        <v>0</v>
      </c>
      <c r="AW670" s="18">
        <f t="shared" ref="AW670:AW671" si="324">AP670-AT670</f>
        <v>1097910418</v>
      </c>
      <c r="AX670" s="123">
        <f t="shared" ref="AX670:AX671" si="325">AP670/AJ670</f>
        <v>1</v>
      </c>
    </row>
    <row r="671" spans="1:50" ht="18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1" t="s">
        <v>1368</v>
      </c>
      <c r="AB671" s="42" t="s">
        <v>1015</v>
      </c>
      <c r="AC671" s="43"/>
      <c r="AD671" s="44">
        <v>0</v>
      </c>
      <c r="AE671" s="44">
        <v>0</v>
      </c>
      <c r="AF671" s="44">
        <v>0</v>
      </c>
      <c r="AG671" s="43">
        <v>702089582</v>
      </c>
      <c r="AH671" s="44">
        <v>0</v>
      </c>
      <c r="AI671" s="43">
        <f>AE671-AF671+AG671-AH671</f>
        <v>702089582</v>
      </c>
      <c r="AJ671" s="43">
        <f>AD671+AI671</f>
        <v>702089582</v>
      </c>
      <c r="AK671" s="43">
        <v>0</v>
      </c>
      <c r="AL671" s="43">
        <v>702089582</v>
      </c>
      <c r="AM671" s="43">
        <v>702089582</v>
      </c>
      <c r="AN671" s="43">
        <v>0</v>
      </c>
      <c r="AO671" s="142">
        <v>702089582</v>
      </c>
      <c r="AP671" s="43">
        <v>702089582</v>
      </c>
      <c r="AQ671" s="44">
        <v>0</v>
      </c>
      <c r="AR671" s="143">
        <v>0</v>
      </c>
      <c r="AS671" s="115">
        <v>0</v>
      </c>
      <c r="AT671" s="40">
        <f t="shared" si="321"/>
        <v>0</v>
      </c>
      <c r="AU671" s="18">
        <f t="shared" si="322"/>
        <v>0</v>
      </c>
      <c r="AV671" s="34">
        <f t="shared" si="323"/>
        <v>0</v>
      </c>
      <c r="AW671" s="18">
        <f t="shared" si="324"/>
        <v>702089582</v>
      </c>
      <c r="AX671" s="123">
        <f t="shared" si="325"/>
        <v>1</v>
      </c>
    </row>
    <row r="672" spans="1:50" ht="18.75" customHeight="1" x14ac:dyDescent="0.2">
      <c r="AA672" s="28" t="s">
        <v>288</v>
      </c>
      <c r="AB672" s="29" t="s">
        <v>498</v>
      </c>
      <c r="AC672" s="17"/>
      <c r="AD672" s="18"/>
      <c r="AE672" s="34"/>
      <c r="AF672" s="34"/>
      <c r="AG672" s="18"/>
      <c r="AH672" s="18"/>
      <c r="AI672" s="18"/>
      <c r="AJ672" s="18"/>
      <c r="AK672" s="34"/>
      <c r="AL672" s="34"/>
      <c r="AM672" s="34"/>
      <c r="AN672" s="34"/>
      <c r="AO672" s="145"/>
      <c r="AP672" s="34"/>
      <c r="AQ672" s="34"/>
      <c r="AR672" s="145"/>
      <c r="AS672" s="34"/>
      <c r="AT672" s="40"/>
      <c r="AU672" s="18"/>
      <c r="AV672" s="18"/>
      <c r="AW672" s="18"/>
      <c r="AX672" s="18"/>
    </row>
    <row r="673" spans="1:50" ht="18.75" customHeight="1" x14ac:dyDescent="0.2">
      <c r="A673" s="4" t="s">
        <v>55</v>
      </c>
      <c r="B673" s="4" t="s">
        <v>56</v>
      </c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1" t="s">
        <v>499</v>
      </c>
      <c r="AB673" s="42" t="s">
        <v>233</v>
      </c>
      <c r="AC673" s="43" t="s">
        <v>58</v>
      </c>
      <c r="AD673" s="43">
        <v>5000000000</v>
      </c>
      <c r="AE673" s="44">
        <v>0</v>
      </c>
      <c r="AF673" s="44">
        <v>0</v>
      </c>
      <c r="AG673" s="44">
        <v>0</v>
      </c>
      <c r="AH673" s="43">
        <f>2332895811.15+800401381+119719609</f>
        <v>3253016801.1500001</v>
      </c>
      <c r="AI673" s="43">
        <f>AE673-AF673+AG673-AH673</f>
        <v>-3253016801.1500001</v>
      </c>
      <c r="AJ673" s="142">
        <f>AD673+AI673</f>
        <v>1746983198.8499999</v>
      </c>
      <c r="AK673" s="44">
        <v>0</v>
      </c>
      <c r="AL673" s="43">
        <v>0</v>
      </c>
      <c r="AM673" s="43">
        <v>1735894360.8800001</v>
      </c>
      <c r="AN673" s="43">
        <v>0</v>
      </c>
      <c r="AO673" s="142">
        <v>0</v>
      </c>
      <c r="AP673" s="43">
        <v>1735894360.8800001</v>
      </c>
      <c r="AQ673" s="43">
        <v>0</v>
      </c>
      <c r="AR673" s="142">
        <v>358675231.5</v>
      </c>
      <c r="AS673" s="43">
        <v>1434700926</v>
      </c>
      <c r="AT673" s="39">
        <f>AQ673+AS673</f>
        <v>1434700926</v>
      </c>
      <c r="AU673" s="18">
        <f>AJ673-AM673</f>
        <v>11088837.96999979</v>
      </c>
      <c r="AV673" s="18">
        <f>AM673-AP673</f>
        <v>0</v>
      </c>
      <c r="AW673" s="18">
        <f>AP673-AT673</f>
        <v>301193434.88000011</v>
      </c>
      <c r="AX673" s="123">
        <f>AP673/AJ673</f>
        <v>0.99365257892731917</v>
      </c>
    </row>
    <row r="674" spans="1:50" ht="18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166" t="s">
        <v>1052</v>
      </c>
      <c r="AB674" s="167" t="s">
        <v>1015</v>
      </c>
      <c r="AC674" s="168"/>
      <c r="AD674" s="44">
        <v>0</v>
      </c>
      <c r="AE674" s="43">
        <v>3500000000</v>
      </c>
      <c r="AF674" s="44"/>
      <c r="AG674" s="44"/>
      <c r="AH674" s="43">
        <f>769916142.32+86300000+1100000000</f>
        <v>1956216142.3200002</v>
      </c>
      <c r="AI674" s="43">
        <f>AE674-AF674+AG674-AH674</f>
        <v>1543783857.6799998</v>
      </c>
      <c r="AJ674" s="142">
        <f>AD674+AI674</f>
        <v>1543783857.6799998</v>
      </c>
      <c r="AK674" s="44">
        <v>0</v>
      </c>
      <c r="AL674" s="43">
        <v>268662128.00999999</v>
      </c>
      <c r="AM674" s="43">
        <v>1498136466.2</v>
      </c>
      <c r="AN674" s="43">
        <v>8775000</v>
      </c>
      <c r="AO674" s="142">
        <v>-5220000</v>
      </c>
      <c r="AP674" s="43">
        <v>1180514338.1900001</v>
      </c>
      <c r="AQ674" s="43">
        <v>17550000</v>
      </c>
      <c r="AR674" s="142">
        <v>156278333</v>
      </c>
      <c r="AS674" s="43">
        <v>257801111</v>
      </c>
      <c r="AT674" s="39">
        <f t="shared" ref="AT674:AT675" si="326">AQ674+AS674</f>
        <v>275351111</v>
      </c>
      <c r="AU674" s="18">
        <f>AJ674-AM674</f>
        <v>45647391.479999781</v>
      </c>
      <c r="AV674" s="18">
        <f>AM674-AP674</f>
        <v>317622128.00999999</v>
      </c>
      <c r="AW674" s="18">
        <f>AP674-AT674</f>
        <v>905163227.19000006</v>
      </c>
      <c r="AX674" s="123">
        <f>AP674/AJ674</f>
        <v>0.76468887293852028</v>
      </c>
    </row>
    <row r="675" spans="1:50" ht="24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229" t="s">
        <v>1224</v>
      </c>
      <c r="AB675" s="230" t="s">
        <v>1055</v>
      </c>
      <c r="AC675" s="168"/>
      <c r="AD675" s="44">
        <v>0</v>
      </c>
      <c r="AE675" s="44">
        <v>0</v>
      </c>
      <c r="AF675" s="44">
        <v>0</v>
      </c>
      <c r="AG675" s="43">
        <v>769916142.32000005</v>
      </c>
      <c r="AH675" s="43">
        <f>290000000+53638412.05</f>
        <v>343638412.05000001</v>
      </c>
      <c r="AI675" s="43">
        <f>AE675-AF675+AG675-AH675</f>
        <v>426277730.27000004</v>
      </c>
      <c r="AJ675" s="142">
        <f>AD675+AI675</f>
        <v>426277730.27000004</v>
      </c>
      <c r="AK675" s="44">
        <v>0</v>
      </c>
      <c r="AL675" s="43">
        <v>0</v>
      </c>
      <c r="AM675" s="43">
        <v>400790450</v>
      </c>
      <c r="AN675" s="43">
        <v>0</v>
      </c>
      <c r="AO675" s="142">
        <v>0</v>
      </c>
      <c r="AP675" s="43">
        <v>400790450</v>
      </c>
      <c r="AQ675" s="44">
        <v>123660145</v>
      </c>
      <c r="AR675" s="143">
        <v>0</v>
      </c>
      <c r="AS675" s="44">
        <v>0</v>
      </c>
      <c r="AT675" s="135">
        <f t="shared" si="326"/>
        <v>123660145</v>
      </c>
      <c r="AU675" s="18">
        <f>AJ675-AM675</f>
        <v>25487280.270000041</v>
      </c>
      <c r="AV675" s="34">
        <f>AM675-AP675</f>
        <v>0</v>
      </c>
      <c r="AW675" s="18">
        <f>AP675-AT675</f>
        <v>277130305</v>
      </c>
      <c r="AX675" s="123">
        <f>AP675/AJ675</f>
        <v>0.94020968382782588</v>
      </c>
    </row>
    <row r="676" spans="1:50" ht="18.75" customHeight="1" x14ac:dyDescent="0.2">
      <c r="AA676" s="169" t="s">
        <v>288</v>
      </c>
      <c r="AB676" s="163" t="s">
        <v>483</v>
      </c>
      <c r="AC676" s="17"/>
      <c r="AD676" s="18"/>
      <c r="AE676" s="34"/>
      <c r="AF676" s="34"/>
      <c r="AG676" s="18"/>
      <c r="AH676" s="18"/>
      <c r="AI676" s="18"/>
      <c r="AJ676" s="147"/>
      <c r="AK676" s="34"/>
      <c r="AL676" s="34"/>
      <c r="AM676" s="34"/>
      <c r="AN676" s="34"/>
      <c r="AO676" s="145"/>
      <c r="AP676" s="34"/>
      <c r="AQ676" s="34"/>
      <c r="AR676" s="145"/>
      <c r="AS676" s="34"/>
      <c r="AT676" s="40"/>
      <c r="AU676" s="18"/>
      <c r="AV676" s="34"/>
      <c r="AW676" s="18"/>
      <c r="AX676" s="18"/>
    </row>
    <row r="677" spans="1:50" ht="18.75" customHeight="1" x14ac:dyDescent="0.2">
      <c r="A677" s="4" t="s">
        <v>55</v>
      </c>
      <c r="B677" s="4" t="s">
        <v>56</v>
      </c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1" t="s">
        <v>500</v>
      </c>
      <c r="AB677" s="42" t="s">
        <v>233</v>
      </c>
      <c r="AC677" s="43" t="s">
        <v>58</v>
      </c>
      <c r="AD677" s="44">
        <v>0</v>
      </c>
      <c r="AE677" s="44">
        <v>0</v>
      </c>
      <c r="AF677" s="44">
        <v>0</v>
      </c>
      <c r="AG677" s="43">
        <f>36519672</f>
        <v>36519672</v>
      </c>
      <c r="AH677" s="44">
        <v>0</v>
      </c>
      <c r="AI677" s="43">
        <f>AE677-AF677+AG677-AH677</f>
        <v>36519672</v>
      </c>
      <c r="AJ677" s="142">
        <f>AD677+AI677</f>
        <v>36519672</v>
      </c>
      <c r="AK677" s="44">
        <v>0</v>
      </c>
      <c r="AL677" s="44">
        <v>0</v>
      </c>
      <c r="AM677" s="43">
        <v>36519672</v>
      </c>
      <c r="AN677" s="44">
        <v>0</v>
      </c>
      <c r="AO677" s="44">
        <v>0</v>
      </c>
      <c r="AP677" s="43">
        <v>36519672</v>
      </c>
      <c r="AQ677" s="44">
        <v>0</v>
      </c>
      <c r="AR677" s="143">
        <v>0</v>
      </c>
      <c r="AS677" s="43">
        <v>36519672</v>
      </c>
      <c r="AT677" s="39">
        <f>AQ677+AS677</f>
        <v>36519672</v>
      </c>
      <c r="AU677" s="34">
        <f>AJ677-AM677</f>
        <v>0</v>
      </c>
      <c r="AV677" s="34">
        <f>AM677-AP677</f>
        <v>0</v>
      </c>
      <c r="AW677" s="34">
        <f>AP677-AT677</f>
        <v>0</v>
      </c>
      <c r="AX677" s="123">
        <f>AP677/AJ677</f>
        <v>1</v>
      </c>
    </row>
    <row r="678" spans="1:50" ht="18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1" t="s">
        <v>1278</v>
      </c>
      <c r="AB678" s="42" t="s">
        <v>1015</v>
      </c>
      <c r="AC678" s="43"/>
      <c r="AD678" s="44">
        <v>0</v>
      </c>
      <c r="AE678" s="44">
        <v>0</v>
      </c>
      <c r="AF678" s="44">
        <v>0</v>
      </c>
      <c r="AG678" s="43">
        <v>25000000</v>
      </c>
      <c r="AH678" s="44">
        <v>0</v>
      </c>
      <c r="AI678" s="43">
        <f>AE678-AF678+AG678-AH678</f>
        <v>25000000</v>
      </c>
      <c r="AJ678" s="142">
        <f>AD678+AI678</f>
        <v>25000000</v>
      </c>
      <c r="AK678" s="44">
        <v>0</v>
      </c>
      <c r="AL678" s="44">
        <v>0</v>
      </c>
      <c r="AM678" s="43">
        <v>25000000</v>
      </c>
      <c r="AN678" s="44">
        <v>0</v>
      </c>
      <c r="AO678" s="43">
        <v>0</v>
      </c>
      <c r="AP678" s="43">
        <v>25000000</v>
      </c>
      <c r="AQ678" s="44">
        <v>0</v>
      </c>
      <c r="AR678" s="143">
        <v>0</v>
      </c>
      <c r="AS678" s="44">
        <v>0</v>
      </c>
      <c r="AT678" s="40">
        <f>AQ678+AS678</f>
        <v>0</v>
      </c>
      <c r="AU678" s="34">
        <f>AJ678-AM678</f>
        <v>0</v>
      </c>
      <c r="AV678" s="34">
        <f>AM678-AP678</f>
        <v>0</v>
      </c>
      <c r="AW678" s="18">
        <f>AP678-AT678</f>
        <v>25000000</v>
      </c>
      <c r="AX678" s="123">
        <f>AP678/AJ678</f>
        <v>1</v>
      </c>
    </row>
    <row r="679" spans="1:50" ht="18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73" t="s">
        <v>1249</v>
      </c>
      <c r="AB679" s="74" t="s">
        <v>1265</v>
      </c>
      <c r="AC679" s="43"/>
      <c r="AD679" s="44"/>
      <c r="AE679" s="44"/>
      <c r="AF679" s="44"/>
      <c r="AG679" s="43"/>
      <c r="AH679" s="44"/>
      <c r="AI679" s="43"/>
      <c r="AJ679" s="142"/>
      <c r="AK679" s="44"/>
      <c r="AL679" s="44"/>
      <c r="AM679" s="43"/>
      <c r="AN679" s="44"/>
      <c r="AO679" s="44"/>
      <c r="AP679" s="43"/>
      <c r="AQ679" s="44"/>
      <c r="AR679" s="143"/>
      <c r="AS679" s="44"/>
      <c r="AT679" s="40"/>
      <c r="AU679" s="18"/>
      <c r="AV679" s="34"/>
      <c r="AW679" s="34"/>
      <c r="AX679" s="123"/>
    </row>
    <row r="680" spans="1:50" ht="18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1" t="s">
        <v>1266</v>
      </c>
      <c r="AB680" s="42" t="s">
        <v>1015</v>
      </c>
      <c r="AC680" s="43"/>
      <c r="AD680" s="44">
        <v>0</v>
      </c>
      <c r="AE680" s="44">
        <v>0</v>
      </c>
      <c r="AF680" s="44">
        <v>0</v>
      </c>
      <c r="AG680" s="43">
        <f>22000000+11300000</f>
        <v>33300000</v>
      </c>
      <c r="AH680" s="44"/>
      <c r="AI680" s="43">
        <f>AE680-AF680+AG680-AH680</f>
        <v>33300000</v>
      </c>
      <c r="AJ680" s="142">
        <f>AD680+AI680</f>
        <v>33300000</v>
      </c>
      <c r="AK680" s="44">
        <v>0</v>
      </c>
      <c r="AL680" s="43">
        <f>AM680-OCTUBRE!AM673</f>
        <v>-3394104.84</v>
      </c>
      <c r="AM680" s="43">
        <v>29901647</v>
      </c>
      <c r="AN680" s="43">
        <v>0</v>
      </c>
      <c r="AO680" s="43">
        <v>29901647</v>
      </c>
      <c r="AP680" s="43">
        <v>29901647</v>
      </c>
      <c r="AQ680" s="44">
        <v>0</v>
      </c>
      <c r="AR680" s="143">
        <v>0</v>
      </c>
      <c r="AS680" s="44">
        <v>0</v>
      </c>
      <c r="AT680" s="40">
        <f>AQ680+AS680</f>
        <v>0</v>
      </c>
      <c r="AU680" s="18">
        <f>AJ680-AM680</f>
        <v>3398353</v>
      </c>
      <c r="AV680" s="34">
        <f>AM680-AP680</f>
        <v>0</v>
      </c>
      <c r="AW680" s="34">
        <f>AP680-AT680</f>
        <v>29901647</v>
      </c>
      <c r="AX680" s="123">
        <f>AP680/AJ680</f>
        <v>0.89794735735735731</v>
      </c>
    </row>
    <row r="681" spans="1:50" ht="27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1" t="s">
        <v>1397</v>
      </c>
      <c r="AB681" s="42" t="s">
        <v>1055</v>
      </c>
      <c r="AC681" s="43"/>
      <c r="AD681" s="44"/>
      <c r="AE681" s="44"/>
      <c r="AF681" s="44"/>
      <c r="AG681" s="43">
        <v>30000000</v>
      </c>
      <c r="AH681" s="44"/>
      <c r="AI681" s="43">
        <f>AE681-AF681+AG681-AH681</f>
        <v>30000000</v>
      </c>
      <c r="AJ681" s="142">
        <f>AD681+AI681</f>
        <v>30000000</v>
      </c>
      <c r="AK681" s="44">
        <v>0</v>
      </c>
      <c r="AL681" s="44">
        <v>0</v>
      </c>
      <c r="AM681" s="44">
        <v>0</v>
      </c>
      <c r="AN681" s="44">
        <v>0</v>
      </c>
      <c r="AO681" s="44">
        <v>0</v>
      </c>
      <c r="AP681" s="44">
        <v>0</v>
      </c>
      <c r="AQ681" s="44">
        <v>0</v>
      </c>
      <c r="AR681" s="143">
        <v>0</v>
      </c>
      <c r="AS681" s="44">
        <v>0</v>
      </c>
      <c r="AT681" s="40">
        <f>AQ681+AS681</f>
        <v>0</v>
      </c>
      <c r="AU681" s="18">
        <f>AJ681-AM681</f>
        <v>30000000</v>
      </c>
      <c r="AV681" s="34">
        <f>AM681-AP681</f>
        <v>0</v>
      </c>
      <c r="AW681" s="34">
        <f>AP681-AT681</f>
        <v>0</v>
      </c>
      <c r="AX681" s="123">
        <f>AP681/AJ681</f>
        <v>0</v>
      </c>
    </row>
    <row r="682" spans="1:50" ht="27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73" t="s">
        <v>288</v>
      </c>
      <c r="AB682" s="74" t="s">
        <v>1429</v>
      </c>
      <c r="AC682" s="43"/>
      <c r="AD682" s="44"/>
      <c r="AE682" s="44"/>
      <c r="AF682" s="44"/>
      <c r="AG682" s="43"/>
      <c r="AH682" s="44"/>
      <c r="AI682" s="43"/>
      <c r="AJ682" s="142"/>
      <c r="AK682" s="44"/>
      <c r="AL682" s="44"/>
      <c r="AM682" s="44"/>
      <c r="AN682" s="44"/>
      <c r="AO682" s="44"/>
      <c r="AP682" s="44"/>
      <c r="AQ682" s="44"/>
      <c r="AR682" s="143"/>
      <c r="AS682" s="44"/>
      <c r="AT682" s="40"/>
      <c r="AU682" s="18"/>
      <c r="AV682" s="34"/>
      <c r="AW682" s="34"/>
      <c r="AX682" s="123"/>
    </row>
    <row r="683" spans="1:50" ht="27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1" t="s">
        <v>1430</v>
      </c>
      <c r="AB683" s="42" t="s">
        <v>233</v>
      </c>
      <c r="AC683" s="43"/>
      <c r="AD683" s="44">
        <v>0</v>
      </c>
      <c r="AE683" s="44">
        <v>0</v>
      </c>
      <c r="AF683" s="44">
        <v>0</v>
      </c>
      <c r="AG683" s="43">
        <v>135000000</v>
      </c>
      <c r="AH683" s="44">
        <v>0</v>
      </c>
      <c r="AI683" s="43">
        <f>AE683-AF683+AG683-AH683</f>
        <v>135000000</v>
      </c>
      <c r="AJ683" s="142">
        <f>AD683+AI683</f>
        <v>135000000</v>
      </c>
      <c r="AK683" s="44">
        <v>0</v>
      </c>
      <c r="AL683" s="43">
        <v>134096188.8</v>
      </c>
      <c r="AM683" s="43">
        <v>134096188.8</v>
      </c>
      <c r="AN683" s="43">
        <v>0</v>
      </c>
      <c r="AO683" s="43">
        <v>134096188.8</v>
      </c>
      <c r="AP683" s="43">
        <v>134096188.8</v>
      </c>
      <c r="AQ683" s="44">
        <v>0</v>
      </c>
      <c r="AR683" s="143">
        <v>0</v>
      </c>
      <c r="AS683" s="44">
        <v>0</v>
      </c>
      <c r="AT683" s="40">
        <f>AQ683+AS683</f>
        <v>0</v>
      </c>
      <c r="AU683" s="18">
        <f>AJ683-AM683</f>
        <v>903811.20000000298</v>
      </c>
      <c r="AV683" s="34">
        <f>AM683-AP683</f>
        <v>0</v>
      </c>
      <c r="AW683" s="34">
        <f>AP683-AT683</f>
        <v>134096188.8</v>
      </c>
      <c r="AX683" s="123">
        <f>AP683/AJ683</f>
        <v>0.99330510222222224</v>
      </c>
    </row>
    <row r="684" spans="1:50" ht="18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73" t="s">
        <v>288</v>
      </c>
      <c r="AB684" s="74" t="s">
        <v>1394</v>
      </c>
      <c r="AC684" s="43"/>
      <c r="AD684" s="44"/>
      <c r="AE684" s="44"/>
      <c r="AF684" s="44"/>
      <c r="AG684" s="43"/>
      <c r="AH684" s="44"/>
      <c r="AI684" s="43"/>
      <c r="AJ684" s="142"/>
      <c r="AK684" s="44"/>
      <c r="AL684" s="44"/>
      <c r="AM684" s="44"/>
      <c r="AN684" s="44"/>
      <c r="AO684" s="44"/>
      <c r="AP684" s="44"/>
      <c r="AQ684" s="44"/>
      <c r="AR684" s="143"/>
      <c r="AS684" s="44"/>
      <c r="AT684" s="40"/>
      <c r="AU684" s="18"/>
      <c r="AV684" s="34"/>
      <c r="AW684" s="34"/>
      <c r="AX684" s="123"/>
    </row>
    <row r="685" spans="1:50" ht="28.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1" t="s">
        <v>1395</v>
      </c>
      <c r="AB685" s="42" t="s">
        <v>1055</v>
      </c>
      <c r="AC685" s="43"/>
      <c r="AD685" s="44">
        <v>0</v>
      </c>
      <c r="AE685" s="44">
        <v>0</v>
      </c>
      <c r="AF685" s="44">
        <v>0</v>
      </c>
      <c r="AG685" s="43">
        <v>23638412.050000001</v>
      </c>
      <c r="AH685" s="44">
        <v>0</v>
      </c>
      <c r="AI685" s="43">
        <f>AE685-AF685+AG685-AH685</f>
        <v>23638412.050000001</v>
      </c>
      <c r="AJ685" s="142">
        <f>AD685+AI685</f>
        <v>23638412.050000001</v>
      </c>
      <c r="AK685" s="44">
        <v>0</v>
      </c>
      <c r="AL685" s="43">
        <v>548764</v>
      </c>
      <c r="AM685" s="43">
        <v>548764</v>
      </c>
      <c r="AN685" s="44">
        <v>0</v>
      </c>
      <c r="AO685" s="44">
        <v>0</v>
      </c>
      <c r="AP685" s="44">
        <v>0</v>
      </c>
      <c r="AQ685" s="44">
        <v>0</v>
      </c>
      <c r="AR685" s="143">
        <v>0</v>
      </c>
      <c r="AS685" s="44">
        <v>0</v>
      </c>
      <c r="AT685" s="40">
        <f t="shared" ref="AT685:AT686" si="327">AQ685+AS685</f>
        <v>0</v>
      </c>
      <c r="AU685" s="18">
        <f t="shared" ref="AU685:AU686" si="328">AJ685-AM685</f>
        <v>23089648.050000001</v>
      </c>
      <c r="AV685" s="18">
        <f t="shared" ref="AV685:AV686" si="329">AM685-AP685</f>
        <v>548764</v>
      </c>
      <c r="AW685" s="34">
        <f t="shared" ref="AW685:AW686" si="330">AP685-AT685</f>
        <v>0</v>
      </c>
      <c r="AX685" s="123">
        <f t="shared" ref="AX685:AX686" si="331">AP685/AJ685</f>
        <v>0</v>
      </c>
    </row>
    <row r="686" spans="1:50" ht="18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1" t="s">
        <v>1396</v>
      </c>
      <c r="AB686" s="42" t="s">
        <v>1032</v>
      </c>
      <c r="AC686" s="43"/>
      <c r="AD686" s="44"/>
      <c r="AE686" s="44"/>
      <c r="AF686" s="44">
        <v>0</v>
      </c>
      <c r="AG686" s="43">
        <v>76361587.950000003</v>
      </c>
      <c r="AH686" s="44"/>
      <c r="AI686" s="43">
        <f>AE686-AF686+AG686-AH686</f>
        <v>76361587.950000003</v>
      </c>
      <c r="AJ686" s="142">
        <f>AD686+AI686</f>
        <v>76361587.950000003</v>
      </c>
      <c r="AK686" s="44">
        <v>0</v>
      </c>
      <c r="AL686" s="43">
        <v>76361587</v>
      </c>
      <c r="AM686" s="43">
        <v>76361587</v>
      </c>
      <c r="AN686" s="44">
        <v>0</v>
      </c>
      <c r="AO686" s="44">
        <v>0</v>
      </c>
      <c r="AP686" s="44">
        <v>0</v>
      </c>
      <c r="AQ686" s="44">
        <v>0</v>
      </c>
      <c r="AR686" s="143">
        <v>0</v>
      </c>
      <c r="AS686" s="44">
        <v>0</v>
      </c>
      <c r="AT686" s="40">
        <f t="shared" si="327"/>
        <v>0</v>
      </c>
      <c r="AU686" s="18">
        <f t="shared" si="328"/>
        <v>0.95000000298023224</v>
      </c>
      <c r="AV686" s="18">
        <f t="shared" si="329"/>
        <v>76361587</v>
      </c>
      <c r="AW686" s="34">
        <f t="shared" si="330"/>
        <v>0</v>
      </c>
      <c r="AX686" s="123">
        <f t="shared" si="331"/>
        <v>0</v>
      </c>
    </row>
    <row r="687" spans="1:50" ht="18.75" customHeight="1" x14ac:dyDescent="0.2">
      <c r="AA687" s="28" t="s">
        <v>288</v>
      </c>
      <c r="AB687" s="29" t="s">
        <v>487</v>
      </c>
      <c r="AC687" s="17"/>
      <c r="AD687" s="18"/>
      <c r="AE687" s="34"/>
      <c r="AF687" s="34"/>
      <c r="AG687" s="18"/>
      <c r="AH687" s="18"/>
      <c r="AI687" s="18"/>
      <c r="AJ687" s="147"/>
      <c r="AK687" s="18"/>
      <c r="AL687" s="147"/>
      <c r="AM687" s="18"/>
      <c r="AN687" s="34"/>
      <c r="AO687" s="145"/>
      <c r="AP687" s="18"/>
      <c r="AQ687" s="18"/>
      <c r="AR687" s="147"/>
      <c r="AS687" s="18"/>
      <c r="AT687" s="39"/>
      <c r="AU687" s="18"/>
      <c r="AV687" s="18"/>
      <c r="AW687" s="18"/>
      <c r="AX687" s="18"/>
    </row>
    <row r="688" spans="1:50" ht="18.75" customHeight="1" x14ac:dyDescent="0.2">
      <c r="A688" s="4" t="s">
        <v>55</v>
      </c>
      <c r="B688" s="4" t="s">
        <v>56</v>
      </c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1" t="s">
        <v>501</v>
      </c>
      <c r="AB688" s="42" t="s">
        <v>439</v>
      </c>
      <c r="AC688" s="43" t="s">
        <v>428</v>
      </c>
      <c r="AD688" s="43">
        <v>4549743506</v>
      </c>
      <c r="AE688" s="44">
        <v>0</v>
      </c>
      <c r="AF688" s="44">
        <v>0</v>
      </c>
      <c r="AG688" s="43">
        <v>265538240</v>
      </c>
      <c r="AH688" s="44">
        <v>0</v>
      </c>
      <c r="AI688" s="43">
        <f>AE688-AF688+AG688-AH688</f>
        <v>265538240</v>
      </c>
      <c r="AJ688" s="142">
        <f>AD688+AI688</f>
        <v>4815281746</v>
      </c>
      <c r="AK688" s="44">
        <v>0</v>
      </c>
      <c r="AL688" s="142">
        <v>0</v>
      </c>
      <c r="AM688" s="43">
        <v>3862688885.6500001</v>
      </c>
      <c r="AN688" s="43">
        <v>0</v>
      </c>
      <c r="AO688" s="142">
        <v>0</v>
      </c>
      <c r="AP688" s="43">
        <v>3856999733.6500001</v>
      </c>
      <c r="AQ688" s="43">
        <v>0</v>
      </c>
      <c r="AR688" s="142">
        <v>433816992.44999999</v>
      </c>
      <c r="AS688" s="43">
        <v>1767776304.8800001</v>
      </c>
      <c r="AT688" s="39">
        <f t="shared" si="298"/>
        <v>1767776304.8800001</v>
      </c>
      <c r="AU688" s="18">
        <f>AJ688-AM688</f>
        <v>952592860.3499999</v>
      </c>
      <c r="AV688" s="110">
        <f>AM688-AP688</f>
        <v>5689152</v>
      </c>
      <c r="AW688" s="18">
        <f>AP688-AT688</f>
        <v>2089223428.77</v>
      </c>
      <c r="AX688" s="123">
        <f>AP688/AJ688</f>
        <v>0.80099149688467686</v>
      </c>
    </row>
    <row r="689" spans="1:50" ht="18.75" customHeight="1" x14ac:dyDescent="0.2">
      <c r="A689" s="4" t="s">
        <v>55</v>
      </c>
      <c r="B689" s="4" t="s">
        <v>56</v>
      </c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1" t="s">
        <v>502</v>
      </c>
      <c r="AB689" s="42" t="s">
        <v>490</v>
      </c>
      <c r="AC689" s="43" t="s">
        <v>368</v>
      </c>
      <c r="AD689" s="43">
        <v>104829219</v>
      </c>
      <c r="AE689" s="44">
        <v>0</v>
      </c>
      <c r="AF689" s="44">
        <v>0</v>
      </c>
      <c r="AG689" s="44">
        <v>0</v>
      </c>
      <c r="AH689" s="43">
        <v>53364831</v>
      </c>
      <c r="AI689" s="43">
        <f>AE689-AF689+AG689-AH689</f>
        <v>-53364831</v>
      </c>
      <c r="AJ689" s="142">
        <f>AD689+AI689</f>
        <v>51464388</v>
      </c>
      <c r="AK689" s="44">
        <v>0</v>
      </c>
      <c r="AL689" s="143">
        <v>0</v>
      </c>
      <c r="AM689" s="43">
        <v>51464387.640000001</v>
      </c>
      <c r="AN689" s="44">
        <v>0</v>
      </c>
      <c r="AO689" s="142">
        <v>0</v>
      </c>
      <c r="AP689" s="43">
        <v>51464387.640000001</v>
      </c>
      <c r="AQ689" s="44">
        <v>0</v>
      </c>
      <c r="AR689" s="142">
        <v>0</v>
      </c>
      <c r="AS689" s="43">
        <v>51464387.640000001</v>
      </c>
      <c r="AT689" s="39">
        <f t="shared" si="298"/>
        <v>51464387.640000001</v>
      </c>
      <c r="AU689" s="18">
        <f>AJ689-AM689</f>
        <v>0.35999999940395355</v>
      </c>
      <c r="AV689" s="34">
        <f>AM689-AP689</f>
        <v>0</v>
      </c>
      <c r="AW689" s="34">
        <f>AP689-AT689</f>
        <v>0</v>
      </c>
      <c r="AX689" s="123">
        <f>AP689/AJ689</f>
        <v>0.99999999300487163</v>
      </c>
    </row>
    <row r="690" spans="1:50" ht="18.75" customHeight="1" x14ac:dyDescent="0.2">
      <c r="AA690" s="28" t="s">
        <v>288</v>
      </c>
      <c r="AB690" s="29" t="s">
        <v>400</v>
      </c>
      <c r="AC690" s="17"/>
      <c r="AD690" s="18"/>
      <c r="AE690" s="34"/>
      <c r="AF690" s="34"/>
      <c r="AG690" s="18"/>
      <c r="AH690" s="18"/>
      <c r="AI690" s="18"/>
      <c r="AJ690" s="147"/>
      <c r="AK690" s="34"/>
      <c r="AL690" s="145"/>
      <c r="AM690" s="18"/>
      <c r="AN690" s="18"/>
      <c r="AO690" s="147"/>
      <c r="AP690" s="18"/>
      <c r="AQ690" s="18"/>
      <c r="AR690" s="147"/>
      <c r="AS690" s="18"/>
      <c r="AT690" s="39"/>
      <c r="AU690" s="18"/>
      <c r="AV690" s="18"/>
      <c r="AW690" s="18"/>
      <c r="AX690" s="18"/>
    </row>
    <row r="691" spans="1:50" ht="18.75" customHeight="1" x14ac:dyDescent="0.2">
      <c r="A691" s="4" t="s">
        <v>55</v>
      </c>
      <c r="B691" s="4" t="s">
        <v>56</v>
      </c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1" t="s">
        <v>401</v>
      </c>
      <c r="AB691" s="42" t="s">
        <v>233</v>
      </c>
      <c r="AC691" s="43" t="s">
        <v>58</v>
      </c>
      <c r="AD691" s="43">
        <v>2673811725</v>
      </c>
      <c r="AE691" s="44">
        <v>0</v>
      </c>
      <c r="AF691" s="44">
        <v>0</v>
      </c>
      <c r="AG691" s="43">
        <v>1500000000</v>
      </c>
      <c r="AH691" s="44">
        <v>0</v>
      </c>
      <c r="AI691" s="43">
        <f>AE691-AF691+AG691-AH691</f>
        <v>1500000000</v>
      </c>
      <c r="AJ691" s="43">
        <f>AD691+AI691</f>
        <v>4173811725</v>
      </c>
      <c r="AK691" s="44">
        <v>0</v>
      </c>
      <c r="AL691" s="142">
        <f>AM691-OCTUBRE!AM682</f>
        <v>-3346666.6700000763</v>
      </c>
      <c r="AM691" s="43">
        <v>4105053333.3299999</v>
      </c>
      <c r="AN691" s="44">
        <v>0</v>
      </c>
      <c r="AO691" s="142">
        <v>-3346666.67</v>
      </c>
      <c r="AP691" s="43">
        <v>4093053333.3299999</v>
      </c>
      <c r="AQ691" s="114">
        <v>81993334</v>
      </c>
      <c r="AR691" s="144">
        <v>131333334</v>
      </c>
      <c r="AS691" s="114">
        <v>3903396665</v>
      </c>
      <c r="AT691" s="111">
        <f t="shared" ref="AT691:AT721" si="332">AQ691+AS691</f>
        <v>3985389999</v>
      </c>
      <c r="AU691" s="18">
        <f>AJ691-AM691</f>
        <v>68758391.670000076</v>
      </c>
      <c r="AV691" s="110">
        <f>AM691-AP691</f>
        <v>12000000</v>
      </c>
      <c r="AW691" s="18">
        <f>AP691-AT691</f>
        <v>107663334.32999992</v>
      </c>
      <c r="AX691" s="123">
        <f>AP691/AJ691</f>
        <v>0.9806511656512249</v>
      </c>
    </row>
    <row r="692" spans="1:50" ht="18.75" customHeight="1" x14ac:dyDescent="0.2">
      <c r="A692" s="4" t="s">
        <v>55</v>
      </c>
      <c r="B692" s="4" t="s">
        <v>56</v>
      </c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1" t="s">
        <v>503</v>
      </c>
      <c r="AB692" s="42" t="s">
        <v>439</v>
      </c>
      <c r="AC692" s="43" t="s">
        <v>428</v>
      </c>
      <c r="AD692" s="43">
        <v>1237500000</v>
      </c>
      <c r="AE692" s="44">
        <v>0</v>
      </c>
      <c r="AF692" s="44">
        <v>0</v>
      </c>
      <c r="AG692" s="44">
        <v>0</v>
      </c>
      <c r="AH692" s="44">
        <v>0</v>
      </c>
      <c r="AI692" s="44">
        <v>0</v>
      </c>
      <c r="AJ692" s="43">
        <v>1237500000</v>
      </c>
      <c r="AK692" s="43">
        <v>0</v>
      </c>
      <c r="AL692" s="142">
        <f>AM692-OCTUBRE!AM683</f>
        <v>0</v>
      </c>
      <c r="AM692" s="43">
        <v>1155283333</v>
      </c>
      <c r="AN692" s="44">
        <v>0</v>
      </c>
      <c r="AO692" s="142">
        <v>0</v>
      </c>
      <c r="AP692" s="43">
        <v>1155283333</v>
      </c>
      <c r="AQ692" s="114">
        <v>19283333</v>
      </c>
      <c r="AR692" s="144">
        <v>84500000</v>
      </c>
      <c r="AS692" s="114">
        <v>1060003334</v>
      </c>
      <c r="AT692" s="111">
        <f t="shared" si="332"/>
        <v>1079286667</v>
      </c>
      <c r="AU692" s="18">
        <f>AJ692-AM692</f>
        <v>82216667</v>
      </c>
      <c r="AV692" s="110">
        <f>AM692-AP692</f>
        <v>0</v>
      </c>
      <c r="AW692" s="18">
        <f>AP692-AT692</f>
        <v>75996666</v>
      </c>
      <c r="AX692" s="123">
        <f>AP692/AJ692</f>
        <v>0.93356228929292928</v>
      </c>
    </row>
    <row r="693" spans="1:50" ht="23.2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166" t="s">
        <v>1053</v>
      </c>
      <c r="AB693" s="167" t="s">
        <v>1015</v>
      </c>
      <c r="AC693" s="168"/>
      <c r="AD693" s="44">
        <v>0</v>
      </c>
      <c r="AE693" s="43">
        <v>230083857.68000001</v>
      </c>
      <c r="AF693" s="44">
        <v>0</v>
      </c>
      <c r="AG693" s="43">
        <f>769916142.32+1100000000</f>
        <v>1869916142.3200002</v>
      </c>
      <c r="AH693" s="44">
        <v>0</v>
      </c>
      <c r="AI693" s="43">
        <f t="shared" ref="AI693:AI695" si="333">AE693-AF693+AG693-AH693</f>
        <v>2100000000.0000002</v>
      </c>
      <c r="AJ693" s="43">
        <f t="shared" ref="AJ693:AJ695" si="334">AD693+AI693</f>
        <v>2100000000.0000002</v>
      </c>
      <c r="AK693" s="44">
        <v>0</v>
      </c>
      <c r="AL693" s="142">
        <f>AM693-OCTUBRE!AM684</f>
        <v>12894999.659999847</v>
      </c>
      <c r="AM693" s="43">
        <v>1880396666.3099999</v>
      </c>
      <c r="AN693" s="43">
        <v>13333333.33</v>
      </c>
      <c r="AO693" s="142">
        <v>49786666.329999998</v>
      </c>
      <c r="AP693" s="43">
        <v>1835816666.3099999</v>
      </c>
      <c r="AQ693" s="43">
        <v>66326667</v>
      </c>
      <c r="AR693" s="142">
        <v>443818333</v>
      </c>
      <c r="AS693" s="43">
        <v>750846667</v>
      </c>
      <c r="AT693" s="39">
        <f t="shared" si="332"/>
        <v>817173334</v>
      </c>
      <c r="AU693" s="18">
        <f>AJ693-AM693</f>
        <v>219603333.6900003</v>
      </c>
      <c r="AV693" s="18">
        <f>AM693-AP693</f>
        <v>44580000</v>
      </c>
      <c r="AW693" s="18">
        <f>AP693-AT693</f>
        <v>1018643332.3099999</v>
      </c>
      <c r="AX693" s="123">
        <f>AP693/AJ693</f>
        <v>0.87419841252857133</v>
      </c>
    </row>
    <row r="694" spans="1:50" ht="25.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214" t="s">
        <v>1054</v>
      </c>
      <c r="AB694" s="215" t="s">
        <v>1055</v>
      </c>
      <c r="AC694" s="168"/>
      <c r="AD694" s="44">
        <v>0</v>
      </c>
      <c r="AE694" s="43">
        <v>769916142.32000005</v>
      </c>
      <c r="AF694" s="44">
        <v>0</v>
      </c>
      <c r="AG694" s="44">
        <v>0</v>
      </c>
      <c r="AH694" s="43">
        <v>769916142.32000005</v>
      </c>
      <c r="AI694" s="44">
        <f t="shared" si="333"/>
        <v>0</v>
      </c>
      <c r="AJ694" s="44">
        <f t="shared" si="334"/>
        <v>0</v>
      </c>
      <c r="AK694" s="44">
        <v>0</v>
      </c>
      <c r="AL694" s="142">
        <f>AM694-OCTUBRE!AM685</f>
        <v>0</v>
      </c>
      <c r="AM694" s="44">
        <v>0</v>
      </c>
      <c r="AN694" s="44">
        <v>0</v>
      </c>
      <c r="AO694" s="142">
        <v>0</v>
      </c>
      <c r="AP694" s="44">
        <v>0</v>
      </c>
      <c r="AQ694" s="115">
        <v>0</v>
      </c>
      <c r="AR694" s="258">
        <v>0</v>
      </c>
      <c r="AS694" s="115">
        <v>0</v>
      </c>
      <c r="AT694" s="135">
        <f t="shared" si="332"/>
        <v>0</v>
      </c>
      <c r="AU694" s="34">
        <f>AJ694-AM694</f>
        <v>0</v>
      </c>
      <c r="AV694" s="34">
        <f>AM694-AP694</f>
        <v>0</v>
      </c>
      <c r="AW694" s="34">
        <f>AP694-AT694</f>
        <v>0</v>
      </c>
      <c r="AX694" s="123">
        <v>0</v>
      </c>
    </row>
    <row r="695" spans="1:50" ht="25.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166" t="s">
        <v>1078</v>
      </c>
      <c r="AB695" s="167" t="s">
        <v>1074</v>
      </c>
      <c r="AC695" s="168"/>
      <c r="AD695" s="44">
        <v>0</v>
      </c>
      <c r="AE695" s="43">
        <v>1200000000</v>
      </c>
      <c r="AF695" s="216">
        <v>0</v>
      </c>
      <c r="AG695" s="44">
        <v>0</v>
      </c>
      <c r="AH695" s="33">
        <v>86000000</v>
      </c>
      <c r="AI695" s="43">
        <f t="shared" si="333"/>
        <v>1114000000</v>
      </c>
      <c r="AJ695" s="142">
        <f t="shared" si="334"/>
        <v>1114000000</v>
      </c>
      <c r="AK695" s="44">
        <v>0</v>
      </c>
      <c r="AL695" s="142">
        <f>AM695-OCTUBRE!AM686</f>
        <v>10483333.330000043</v>
      </c>
      <c r="AM695" s="43">
        <v>346416666.66000003</v>
      </c>
      <c r="AN695" s="44">
        <v>0</v>
      </c>
      <c r="AO695" s="142">
        <v>10483333.33</v>
      </c>
      <c r="AP695" s="43">
        <v>346416666.66000003</v>
      </c>
      <c r="AQ695" s="43">
        <v>12000000</v>
      </c>
      <c r="AR695" s="142">
        <v>102250000</v>
      </c>
      <c r="AS695" s="43">
        <v>140300001</v>
      </c>
      <c r="AT695" s="39">
        <f t="shared" si="332"/>
        <v>152300001</v>
      </c>
      <c r="AU695" s="18">
        <f>AJ695-AM695</f>
        <v>767583333.33999991</v>
      </c>
      <c r="AV695" s="34">
        <f>AM695-AP695</f>
        <v>0</v>
      </c>
      <c r="AW695" s="18">
        <f>AP695-AT695</f>
        <v>194116665.66000003</v>
      </c>
      <c r="AX695" s="123">
        <f>AP695/AJ695</f>
        <v>0.3109664871274686</v>
      </c>
    </row>
    <row r="696" spans="1:50" ht="17.2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219"/>
      <c r="AB696" s="220"/>
      <c r="AC696" s="168"/>
      <c r="AD696" s="43"/>
      <c r="AE696" s="43"/>
      <c r="AF696" s="44"/>
      <c r="AG696" s="44"/>
      <c r="AH696" s="44"/>
      <c r="AI696" s="44"/>
      <c r="AJ696" s="43"/>
      <c r="AK696" s="44"/>
      <c r="AL696" s="142"/>
      <c r="AM696" s="43"/>
      <c r="AN696" s="43"/>
      <c r="AO696" s="142"/>
      <c r="AP696" s="43"/>
      <c r="AQ696" s="114"/>
      <c r="AR696" s="144"/>
      <c r="AS696" s="114"/>
      <c r="AT696" s="111"/>
      <c r="AU696" s="18"/>
      <c r="AV696" s="110"/>
      <c r="AW696" s="18"/>
      <c r="AX696" s="123"/>
    </row>
    <row r="697" spans="1:50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170" t="s">
        <v>1016</v>
      </c>
      <c r="AB697" s="170" t="s">
        <v>1068</v>
      </c>
      <c r="AC697" s="168"/>
      <c r="AD697" s="43"/>
      <c r="AE697" s="43"/>
      <c r="AF697" s="44"/>
      <c r="AG697" s="44"/>
      <c r="AH697" s="44"/>
      <c r="AI697" s="44"/>
      <c r="AJ697" s="43"/>
      <c r="AK697" s="44"/>
      <c r="AL697" s="43"/>
      <c r="AM697" s="43"/>
      <c r="AN697" s="43"/>
      <c r="AO697" s="142"/>
      <c r="AP697" s="43"/>
      <c r="AQ697" s="114"/>
      <c r="AR697" s="144"/>
      <c r="AS697" s="114"/>
      <c r="AT697" s="111"/>
      <c r="AU697" s="18"/>
      <c r="AV697" s="110"/>
      <c r="AW697" s="18"/>
      <c r="AX697" s="123"/>
    </row>
    <row r="698" spans="1:50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170" t="s">
        <v>1017</v>
      </c>
      <c r="AB698" s="170" t="s">
        <v>1069</v>
      </c>
      <c r="AC698" s="168"/>
      <c r="AD698" s="43"/>
      <c r="AE698" s="43"/>
      <c r="AF698" s="44"/>
      <c r="AG698" s="44"/>
      <c r="AH698" s="44"/>
      <c r="AI698" s="44"/>
      <c r="AJ698" s="43"/>
      <c r="AK698" s="44"/>
      <c r="AL698" s="43"/>
      <c r="AM698" s="43"/>
      <c r="AN698" s="43"/>
      <c r="AO698" s="142"/>
      <c r="AP698" s="43"/>
      <c r="AQ698" s="114"/>
      <c r="AR698" s="144"/>
      <c r="AS698" s="114"/>
      <c r="AT698" s="111"/>
      <c r="AU698" s="18"/>
      <c r="AV698" s="110"/>
      <c r="AW698" s="18"/>
      <c r="AX698" s="123"/>
    </row>
    <row r="699" spans="1:50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170" t="s">
        <v>1018</v>
      </c>
      <c r="AB699" s="170" t="s">
        <v>286</v>
      </c>
      <c r="AC699" s="168"/>
      <c r="AD699" s="43"/>
      <c r="AE699" s="43"/>
      <c r="AF699" s="44"/>
      <c r="AG699" s="44"/>
      <c r="AH699" s="44"/>
      <c r="AI699" s="44"/>
      <c r="AJ699" s="43"/>
      <c r="AK699" s="44"/>
      <c r="AL699" s="43"/>
      <c r="AM699" s="43"/>
      <c r="AN699" s="43"/>
      <c r="AO699" s="142"/>
      <c r="AP699" s="43"/>
      <c r="AQ699" s="114"/>
      <c r="AR699" s="144"/>
      <c r="AS699" s="114"/>
      <c r="AT699" s="111"/>
      <c r="AU699" s="18"/>
      <c r="AV699" s="110"/>
      <c r="AW699" s="18"/>
      <c r="AX699" s="123"/>
    </row>
    <row r="700" spans="1:50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170" t="s">
        <v>1021</v>
      </c>
      <c r="AB700" s="165" t="s">
        <v>1070</v>
      </c>
      <c r="AC700" s="168"/>
      <c r="AD700" s="43"/>
      <c r="AE700" s="43"/>
      <c r="AF700" s="44"/>
      <c r="AG700" s="44"/>
      <c r="AH700" s="44"/>
      <c r="AI700" s="44"/>
      <c r="AJ700" s="43"/>
      <c r="AK700" s="44"/>
      <c r="AL700" s="43"/>
      <c r="AM700" s="43"/>
      <c r="AN700" s="43"/>
      <c r="AO700" s="142"/>
      <c r="AP700" s="43"/>
      <c r="AQ700" s="114"/>
      <c r="AR700" s="144"/>
      <c r="AS700" s="114"/>
      <c r="AT700" s="111"/>
      <c r="AU700" s="18"/>
      <c r="AV700" s="110"/>
      <c r="AW700" s="18"/>
      <c r="AX700" s="123"/>
    </row>
    <row r="701" spans="1:50" ht="25.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166" t="s">
        <v>1019</v>
      </c>
      <c r="AB701" s="167" t="s">
        <v>1005</v>
      </c>
      <c r="AC701" s="168"/>
      <c r="AD701" s="44">
        <v>0</v>
      </c>
      <c r="AE701" s="217">
        <v>7731979438.25</v>
      </c>
      <c r="AF701" s="216">
        <v>0</v>
      </c>
      <c r="AG701" s="44">
        <v>0</v>
      </c>
      <c r="AH701" s="44">
        <v>0</v>
      </c>
      <c r="AI701" s="43">
        <f t="shared" ref="AI701:AI708" si="335">AE701-AF701+AG701-AH701</f>
        <v>7731979438.25</v>
      </c>
      <c r="AJ701" s="43">
        <f t="shared" ref="AJ701:AJ708" si="336">AD701+AI701</f>
        <v>7731979438.25</v>
      </c>
      <c r="AK701" s="44">
        <v>0</v>
      </c>
      <c r="AL701" s="142">
        <v>95134242</v>
      </c>
      <c r="AM701" s="43">
        <v>6166370312.9399996</v>
      </c>
      <c r="AN701" s="44">
        <v>0</v>
      </c>
      <c r="AO701" s="142">
        <v>95134242</v>
      </c>
      <c r="AP701" s="43">
        <v>6166370312.9399996</v>
      </c>
      <c r="AQ701" s="115">
        <v>0</v>
      </c>
      <c r="AR701" s="144">
        <v>113549779.95999999</v>
      </c>
      <c r="AS701" s="114">
        <v>2099011097.22</v>
      </c>
      <c r="AT701" s="111">
        <f t="shared" ref="AT701:AT708" si="337">AQ701+AS701</f>
        <v>2099011097.22</v>
      </c>
      <c r="AU701" s="18">
        <f t="shared" ref="AU701:AU708" si="338">AJ701-AM701</f>
        <v>1565609125.3100004</v>
      </c>
      <c r="AV701" s="34">
        <f t="shared" ref="AV701:AV708" si="339">AM701-AP701</f>
        <v>0</v>
      </c>
      <c r="AW701" s="18">
        <f t="shared" ref="AW701:AW708" si="340">AP701-AT701</f>
        <v>4067359215.7199993</v>
      </c>
      <c r="AX701" s="123">
        <f t="shared" ref="AX701:AX708" si="341">AP701/AJ701</f>
        <v>0.79751509457397773</v>
      </c>
    </row>
    <row r="702" spans="1:50" ht="25.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166" t="s">
        <v>1056</v>
      </c>
      <c r="AB702" s="167" t="s">
        <v>1057</v>
      </c>
      <c r="AC702" s="168"/>
      <c r="AD702" s="44">
        <v>0</v>
      </c>
      <c r="AE702" s="217">
        <v>427067817.00999999</v>
      </c>
      <c r="AF702" s="216">
        <v>0</v>
      </c>
      <c r="AG702" s="44">
        <v>0</v>
      </c>
      <c r="AH702" s="44">
        <v>0</v>
      </c>
      <c r="AI702" s="43">
        <f t="shared" si="335"/>
        <v>427067817.00999999</v>
      </c>
      <c r="AJ702" s="43">
        <f t="shared" si="336"/>
        <v>427067817.00999999</v>
      </c>
      <c r="AK702" s="44">
        <v>0</v>
      </c>
      <c r="AL702" s="143">
        <v>0</v>
      </c>
      <c r="AM702" s="43">
        <v>427067817.00999999</v>
      </c>
      <c r="AN702" s="44">
        <v>0</v>
      </c>
      <c r="AO702" s="143">
        <v>0</v>
      </c>
      <c r="AP702" s="43">
        <v>427067817.00999999</v>
      </c>
      <c r="AQ702" s="115">
        <v>0</v>
      </c>
      <c r="AR702" s="143">
        <v>0</v>
      </c>
      <c r="AS702" s="43">
        <v>425039138.57999998</v>
      </c>
      <c r="AT702" s="39">
        <f t="shared" si="337"/>
        <v>425039138.57999998</v>
      </c>
      <c r="AU702" s="34">
        <f t="shared" si="338"/>
        <v>0</v>
      </c>
      <c r="AV702" s="34">
        <f t="shared" si="339"/>
        <v>0</v>
      </c>
      <c r="AW702" s="18">
        <f t="shared" si="340"/>
        <v>2028678.4300000072</v>
      </c>
      <c r="AX702" s="123">
        <f t="shared" si="341"/>
        <v>1</v>
      </c>
    </row>
    <row r="703" spans="1:50" ht="25.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166" t="s">
        <v>1060</v>
      </c>
      <c r="AB703" s="167" t="s">
        <v>1061</v>
      </c>
      <c r="AC703" s="168"/>
      <c r="AD703" s="44">
        <v>0</v>
      </c>
      <c r="AE703" s="217">
        <v>255374883.63</v>
      </c>
      <c r="AF703" s="216">
        <v>0</v>
      </c>
      <c r="AG703" s="44">
        <v>0</v>
      </c>
      <c r="AH703" s="44">
        <v>0</v>
      </c>
      <c r="AI703" s="43">
        <f>AE703-AF703+AG703-AH703</f>
        <v>255374883.63</v>
      </c>
      <c r="AJ703" s="43">
        <f>AD703+AI703</f>
        <v>255374883.63</v>
      </c>
      <c r="AK703" s="44">
        <v>0</v>
      </c>
      <c r="AL703" s="143">
        <v>0</v>
      </c>
      <c r="AM703" s="43">
        <v>255374883.63</v>
      </c>
      <c r="AN703" s="44">
        <v>0</v>
      </c>
      <c r="AO703" s="143">
        <v>0</v>
      </c>
      <c r="AP703" s="43">
        <v>255374883.63</v>
      </c>
      <c r="AQ703" s="115">
        <v>0</v>
      </c>
      <c r="AR703" s="143">
        <v>0</v>
      </c>
      <c r="AS703" s="43">
        <v>254437726.47999999</v>
      </c>
      <c r="AT703" s="39">
        <f>AQ703+AS703</f>
        <v>254437726.47999999</v>
      </c>
      <c r="AU703" s="34">
        <f t="shared" si="338"/>
        <v>0</v>
      </c>
      <c r="AV703" s="34">
        <f t="shared" si="339"/>
        <v>0</v>
      </c>
      <c r="AW703" s="18">
        <f t="shared" si="340"/>
        <v>937157.15000000596</v>
      </c>
      <c r="AX703" s="123">
        <f t="shared" si="341"/>
        <v>1</v>
      </c>
    </row>
    <row r="704" spans="1:50" ht="25.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166" t="s">
        <v>1058</v>
      </c>
      <c r="AB704" s="167" t="s">
        <v>1059</v>
      </c>
      <c r="AC704" s="168"/>
      <c r="AD704" s="44">
        <v>0</v>
      </c>
      <c r="AE704" s="217">
        <v>4369426346.8800001</v>
      </c>
      <c r="AF704" s="216">
        <v>0</v>
      </c>
      <c r="AG704" s="44">
        <v>0</v>
      </c>
      <c r="AH704" s="44">
        <v>0</v>
      </c>
      <c r="AI704" s="43">
        <f t="shared" si="335"/>
        <v>4369426346.8800001</v>
      </c>
      <c r="AJ704" s="43">
        <f t="shared" si="336"/>
        <v>4369426346.8800001</v>
      </c>
      <c r="AK704" s="44">
        <v>0</v>
      </c>
      <c r="AL704" s="142">
        <v>0</v>
      </c>
      <c r="AM704" s="43">
        <v>2896488940.7199998</v>
      </c>
      <c r="AN704" s="44">
        <v>0</v>
      </c>
      <c r="AO704" s="142">
        <v>0</v>
      </c>
      <c r="AP704" s="43">
        <v>2896488940.7199998</v>
      </c>
      <c r="AQ704" s="44">
        <v>0</v>
      </c>
      <c r="AR704" s="143">
        <v>66785190.700000003</v>
      </c>
      <c r="AS704" s="43">
        <v>2109939335.3399999</v>
      </c>
      <c r="AT704" s="39">
        <f t="shared" si="337"/>
        <v>2109939335.3399999</v>
      </c>
      <c r="AU704" s="18">
        <f t="shared" si="338"/>
        <v>1472937406.1600003</v>
      </c>
      <c r="AV704" s="34">
        <f t="shared" si="339"/>
        <v>0</v>
      </c>
      <c r="AW704" s="18">
        <f t="shared" si="340"/>
        <v>786549605.37999988</v>
      </c>
      <c r="AX704" s="123">
        <f t="shared" si="341"/>
        <v>0.66289913383898669</v>
      </c>
    </row>
    <row r="705" spans="1:50" ht="25.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166" t="s">
        <v>1062</v>
      </c>
      <c r="AB705" s="167" t="s">
        <v>1063</v>
      </c>
      <c r="AC705" s="168"/>
      <c r="AD705" s="44">
        <v>0</v>
      </c>
      <c r="AE705" s="217">
        <v>116816300</v>
      </c>
      <c r="AF705" s="216">
        <v>0</v>
      </c>
      <c r="AG705" s="44">
        <v>0</v>
      </c>
      <c r="AH705" s="44">
        <v>0</v>
      </c>
      <c r="AI705" s="43">
        <f t="shared" si="335"/>
        <v>116816300</v>
      </c>
      <c r="AJ705" s="43">
        <f t="shared" si="336"/>
        <v>116816300</v>
      </c>
      <c r="AK705" s="44">
        <v>0</v>
      </c>
      <c r="AL705" s="143">
        <v>0</v>
      </c>
      <c r="AM705" s="44">
        <v>0</v>
      </c>
      <c r="AN705" s="44">
        <v>0</v>
      </c>
      <c r="AO705" s="143">
        <v>0</v>
      </c>
      <c r="AP705" s="43">
        <v>0</v>
      </c>
      <c r="AQ705" s="115">
        <v>0</v>
      </c>
      <c r="AR705" s="143">
        <v>0</v>
      </c>
      <c r="AS705" s="44">
        <v>0</v>
      </c>
      <c r="AT705" s="40">
        <f t="shared" si="337"/>
        <v>0</v>
      </c>
      <c r="AU705" s="18">
        <f t="shared" si="338"/>
        <v>116816300</v>
      </c>
      <c r="AV705" s="34">
        <f t="shared" si="339"/>
        <v>0</v>
      </c>
      <c r="AW705" s="34">
        <f t="shared" si="340"/>
        <v>0</v>
      </c>
      <c r="AX705" s="123">
        <f t="shared" si="341"/>
        <v>0</v>
      </c>
    </row>
    <row r="706" spans="1:50" ht="25.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166" t="s">
        <v>1064</v>
      </c>
      <c r="AB706" s="167" t="s">
        <v>1065</v>
      </c>
      <c r="AC706" s="168"/>
      <c r="AD706" s="44">
        <v>0</v>
      </c>
      <c r="AE706" s="217">
        <v>122396604.84999999</v>
      </c>
      <c r="AF706" s="216">
        <v>0</v>
      </c>
      <c r="AG706" s="44">
        <v>0</v>
      </c>
      <c r="AH706" s="44">
        <v>0</v>
      </c>
      <c r="AI706" s="43">
        <f t="shared" si="335"/>
        <v>122396604.84999999</v>
      </c>
      <c r="AJ706" s="43">
        <f t="shared" si="336"/>
        <v>122396604.84999999</v>
      </c>
      <c r="AK706" s="44">
        <v>0</v>
      </c>
      <c r="AL706" s="143">
        <v>0</v>
      </c>
      <c r="AM706" s="43">
        <v>122396604.84999999</v>
      </c>
      <c r="AN706" s="44">
        <v>0</v>
      </c>
      <c r="AO706" s="143">
        <v>0</v>
      </c>
      <c r="AP706" s="43">
        <v>122396604.84999999</v>
      </c>
      <c r="AQ706" s="115">
        <v>0</v>
      </c>
      <c r="AR706" s="143">
        <v>0</v>
      </c>
      <c r="AS706" s="43">
        <v>122396604.84999999</v>
      </c>
      <c r="AT706" s="39">
        <f t="shared" si="337"/>
        <v>122396604.84999999</v>
      </c>
      <c r="AU706" s="18">
        <f t="shared" si="338"/>
        <v>0</v>
      </c>
      <c r="AV706" s="34">
        <f t="shared" si="339"/>
        <v>0</v>
      </c>
      <c r="AW706" s="34">
        <f t="shared" si="340"/>
        <v>0</v>
      </c>
      <c r="AX706" s="123">
        <f t="shared" si="341"/>
        <v>1</v>
      </c>
    </row>
    <row r="707" spans="1:50" ht="25.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166" t="s">
        <v>1066</v>
      </c>
      <c r="AB707" s="167" t="s">
        <v>1067</v>
      </c>
      <c r="AC707" s="168"/>
      <c r="AD707" s="44">
        <v>0</v>
      </c>
      <c r="AE707" s="217">
        <v>256369955.99000001</v>
      </c>
      <c r="AF707" s="216">
        <v>0</v>
      </c>
      <c r="AG707" s="44">
        <v>0</v>
      </c>
      <c r="AH707" s="44">
        <v>0</v>
      </c>
      <c r="AI707" s="43">
        <f t="shared" si="335"/>
        <v>256369955.99000001</v>
      </c>
      <c r="AJ707" s="43">
        <f t="shared" si="336"/>
        <v>256369955.99000001</v>
      </c>
      <c r="AK707" s="44">
        <v>0</v>
      </c>
      <c r="AL707" s="143">
        <v>0</v>
      </c>
      <c r="AM707" s="43">
        <v>232210009.36000001</v>
      </c>
      <c r="AN707" s="44">
        <v>0</v>
      </c>
      <c r="AO707" s="143">
        <v>0</v>
      </c>
      <c r="AP707" s="43">
        <v>232210009.36000001</v>
      </c>
      <c r="AQ707" s="115">
        <v>0</v>
      </c>
      <c r="AR707" s="143">
        <v>0</v>
      </c>
      <c r="AS707" s="43">
        <v>232210009.36000001</v>
      </c>
      <c r="AT707" s="39">
        <f t="shared" si="337"/>
        <v>232210009.36000001</v>
      </c>
      <c r="AU707" s="18">
        <f t="shared" si="338"/>
        <v>24159946.629999995</v>
      </c>
      <c r="AV707" s="34">
        <f t="shared" si="339"/>
        <v>0</v>
      </c>
      <c r="AW707" s="34">
        <f t="shared" si="340"/>
        <v>0</v>
      </c>
      <c r="AX707" s="123">
        <f t="shared" si="341"/>
        <v>0.90576139650723198</v>
      </c>
    </row>
    <row r="708" spans="1:50" ht="25.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229" t="s">
        <v>1381</v>
      </c>
      <c r="AB708" s="230" t="s">
        <v>1382</v>
      </c>
      <c r="AC708" s="168"/>
      <c r="AD708" s="44">
        <v>0</v>
      </c>
      <c r="AE708" s="217">
        <v>200000000</v>
      </c>
      <c r="AF708" s="216">
        <v>0</v>
      </c>
      <c r="AG708" s="44">
        <v>0</v>
      </c>
      <c r="AH708" s="44">
        <v>0</v>
      </c>
      <c r="AI708" s="43">
        <f t="shared" si="335"/>
        <v>200000000</v>
      </c>
      <c r="AJ708" s="43">
        <f t="shared" si="336"/>
        <v>200000000</v>
      </c>
      <c r="AK708" s="44">
        <v>0</v>
      </c>
      <c r="AL708" s="142">
        <v>0</v>
      </c>
      <c r="AM708" s="43">
        <v>198234786.47999999</v>
      </c>
      <c r="AN708" s="44">
        <v>0</v>
      </c>
      <c r="AO708" s="43">
        <v>0</v>
      </c>
      <c r="AP708" s="43">
        <v>198234786.47999999</v>
      </c>
      <c r="AQ708" s="115">
        <v>0</v>
      </c>
      <c r="AR708" s="143">
        <v>0</v>
      </c>
      <c r="AS708" s="44">
        <v>198234786.47999999</v>
      </c>
      <c r="AT708" s="40">
        <f t="shared" si="337"/>
        <v>198234786.47999999</v>
      </c>
      <c r="AU708" s="18">
        <f t="shared" si="338"/>
        <v>1765213.5200000107</v>
      </c>
      <c r="AV708" s="34">
        <f t="shared" si="339"/>
        <v>0</v>
      </c>
      <c r="AW708" s="34">
        <f t="shared" si="340"/>
        <v>0</v>
      </c>
      <c r="AX708" s="123">
        <f t="shared" si="341"/>
        <v>0.99117393239999996</v>
      </c>
    </row>
    <row r="709" spans="1:50" ht="18.75" customHeight="1" x14ac:dyDescent="0.2">
      <c r="AA709" s="162"/>
      <c r="AB709" s="163" t="s">
        <v>199</v>
      </c>
      <c r="AC709" s="17"/>
      <c r="AD709" s="18"/>
      <c r="AE709" s="34"/>
      <c r="AF709" s="34"/>
      <c r="AG709" s="34"/>
      <c r="AH709" s="34"/>
      <c r="AI709" s="34"/>
      <c r="AJ709" s="18"/>
      <c r="AK709" s="18"/>
      <c r="AL709" s="18"/>
      <c r="AM709" s="18"/>
      <c r="AN709" s="18"/>
      <c r="AO709" s="18"/>
      <c r="AP709" s="18"/>
      <c r="AQ709" s="34"/>
      <c r="AR709" s="34"/>
      <c r="AS709" s="34"/>
      <c r="AT709" s="40"/>
      <c r="AU709" s="18"/>
      <c r="AV709" s="18"/>
      <c r="AW709" s="18"/>
      <c r="AX709" s="18"/>
    </row>
    <row r="710" spans="1:50" ht="18.75" customHeight="1" x14ac:dyDescent="0.2">
      <c r="AA710" s="28" t="s">
        <v>288</v>
      </c>
      <c r="AB710" s="29" t="s">
        <v>1079</v>
      </c>
      <c r="AC710" s="17"/>
      <c r="AD710" s="18"/>
      <c r="AE710" s="34"/>
      <c r="AF710" s="34"/>
      <c r="AG710" s="34"/>
      <c r="AH710" s="34"/>
      <c r="AI710" s="34"/>
      <c r="AJ710" s="18"/>
      <c r="AK710" s="18"/>
      <c r="AL710" s="18"/>
      <c r="AM710" s="18"/>
      <c r="AN710" s="18"/>
      <c r="AO710" s="18"/>
      <c r="AP710" s="18"/>
      <c r="AQ710" s="34"/>
      <c r="AR710" s="34"/>
      <c r="AS710" s="34"/>
      <c r="AT710" s="40"/>
      <c r="AU710" s="18"/>
      <c r="AV710" s="18"/>
      <c r="AW710" s="18"/>
      <c r="AX710" s="18"/>
    </row>
    <row r="711" spans="1:50" ht="18.75" customHeight="1" x14ac:dyDescent="0.2">
      <c r="A711" s="4" t="s">
        <v>55</v>
      </c>
      <c r="B711" s="4" t="s">
        <v>56</v>
      </c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1" t="s">
        <v>505</v>
      </c>
      <c r="AB711" s="42" t="s">
        <v>439</v>
      </c>
      <c r="AC711" s="43" t="s">
        <v>428</v>
      </c>
      <c r="AD711" s="43">
        <v>1896134100.8599999</v>
      </c>
      <c r="AE711" s="44">
        <v>0</v>
      </c>
      <c r="AF711" s="44">
        <v>0</v>
      </c>
      <c r="AG711" s="44">
        <v>0</v>
      </c>
      <c r="AH711" s="44">
        <v>0</v>
      </c>
      <c r="AI711" s="44">
        <v>0</v>
      </c>
      <c r="AJ711" s="43">
        <v>1896134100.8599999</v>
      </c>
      <c r="AK711" s="44">
        <v>0</v>
      </c>
      <c r="AL711" s="43">
        <v>0</v>
      </c>
      <c r="AM711" s="114">
        <v>1827225023</v>
      </c>
      <c r="AN711" s="44">
        <v>0</v>
      </c>
      <c r="AO711" s="44">
        <v>0</v>
      </c>
      <c r="AP711" s="43">
        <v>1827225023</v>
      </c>
      <c r="AQ711" s="43">
        <v>35013072.5</v>
      </c>
      <c r="AR711" s="43">
        <v>0</v>
      </c>
      <c r="AS711" s="43">
        <v>579568423.64999998</v>
      </c>
      <c r="AT711" s="39">
        <f>AQ711+AS711</f>
        <v>614581496.14999998</v>
      </c>
      <c r="AU711" s="18">
        <f>AJ711-AM711</f>
        <v>68909077.859999895</v>
      </c>
      <c r="AV711" s="133">
        <f>AM711-AP711</f>
        <v>0</v>
      </c>
      <c r="AW711" s="18">
        <f>AP711-AT711</f>
        <v>1212643526.8499999</v>
      </c>
      <c r="AX711" s="123">
        <f>AP711/AJ711</f>
        <v>0.96365812005134766</v>
      </c>
    </row>
    <row r="712" spans="1:50" ht="18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214" t="s">
        <v>1080</v>
      </c>
      <c r="AB712" s="215" t="s">
        <v>1074</v>
      </c>
      <c r="AC712" s="168"/>
      <c r="AD712" s="44">
        <v>0</v>
      </c>
      <c r="AE712" s="43">
        <v>100000000</v>
      </c>
      <c r="AF712" s="44">
        <v>0</v>
      </c>
      <c r="AG712" s="44">
        <v>0</v>
      </c>
      <c r="AH712" s="44">
        <v>0</v>
      </c>
      <c r="AI712" s="43">
        <f>AE712-AF712+AG712-AH712</f>
        <v>100000000</v>
      </c>
      <c r="AJ712" s="43">
        <f>AD712+AI712</f>
        <v>100000000</v>
      </c>
      <c r="AK712" s="44">
        <v>0</v>
      </c>
      <c r="AL712" s="115">
        <v>0</v>
      </c>
      <c r="AM712" s="115">
        <v>0</v>
      </c>
      <c r="AN712" s="44">
        <v>0</v>
      </c>
      <c r="AO712" s="44">
        <v>0</v>
      </c>
      <c r="AP712" s="44">
        <v>0</v>
      </c>
      <c r="AQ712" s="44">
        <v>0</v>
      </c>
      <c r="AR712" s="44">
        <v>0</v>
      </c>
      <c r="AS712" s="44">
        <v>0</v>
      </c>
      <c r="AT712" s="40">
        <f t="shared" ref="AT712" si="342">AQ712+AS712</f>
        <v>0</v>
      </c>
      <c r="AU712" s="18">
        <f>AJ712-AM712</f>
        <v>100000000</v>
      </c>
      <c r="AV712" s="34">
        <f>AM712-AP712</f>
        <v>0</v>
      </c>
      <c r="AW712" s="34">
        <f>AP712-AT712</f>
        <v>0</v>
      </c>
      <c r="AX712" s="123">
        <f>AP712/AJ712</f>
        <v>0</v>
      </c>
    </row>
    <row r="713" spans="1:50" ht="18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170" t="s">
        <v>288</v>
      </c>
      <c r="AB713" s="165" t="s">
        <v>1084</v>
      </c>
      <c r="AC713" s="168"/>
      <c r="AD713" s="44"/>
      <c r="AE713" s="43"/>
      <c r="AF713" s="44"/>
      <c r="AG713" s="44"/>
      <c r="AH713" s="44"/>
      <c r="AI713" s="44"/>
      <c r="AJ713" s="43"/>
      <c r="AK713" s="44"/>
      <c r="AL713" s="115"/>
      <c r="AM713" s="115"/>
      <c r="AN713" s="44"/>
      <c r="AO713" s="44"/>
      <c r="AP713" s="44"/>
      <c r="AQ713" s="44"/>
      <c r="AR713" s="44"/>
      <c r="AS713" s="44"/>
      <c r="AT713" s="40"/>
      <c r="AU713" s="18"/>
      <c r="AV713" s="133"/>
      <c r="AW713" s="34"/>
      <c r="AX713" s="123"/>
    </row>
    <row r="714" spans="1:50" ht="18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166" t="s">
        <v>1085</v>
      </c>
      <c r="AB714" s="167" t="s">
        <v>1074</v>
      </c>
      <c r="AC714" s="168"/>
      <c r="AD714" s="44">
        <v>0</v>
      </c>
      <c r="AE714" s="43">
        <v>3115350000</v>
      </c>
      <c r="AF714" s="44">
        <v>0</v>
      </c>
      <c r="AG714" s="44">
        <v>0</v>
      </c>
      <c r="AH714" s="43">
        <f>466710000+2648640000</f>
        <v>3115350000</v>
      </c>
      <c r="AI714" s="44">
        <f>AE714-AF714+AG714-AH714</f>
        <v>0</v>
      </c>
      <c r="AJ714" s="143">
        <f>AD714+AI714</f>
        <v>0</v>
      </c>
      <c r="AK714" s="44">
        <v>0</v>
      </c>
      <c r="AL714" s="115">
        <v>0</v>
      </c>
      <c r="AM714" s="115">
        <v>0</v>
      </c>
      <c r="AN714" s="44">
        <v>0</v>
      </c>
      <c r="AO714" s="44">
        <v>0</v>
      </c>
      <c r="AP714" s="44">
        <v>0</v>
      </c>
      <c r="AQ714" s="44">
        <v>0</v>
      </c>
      <c r="AR714" s="44">
        <v>0</v>
      </c>
      <c r="AS714" s="44">
        <v>0</v>
      </c>
      <c r="AT714" s="40">
        <f t="shared" ref="AT714" si="343">AQ714+AS714</f>
        <v>0</v>
      </c>
      <c r="AU714" s="18">
        <f>AJ714-AM714</f>
        <v>0</v>
      </c>
      <c r="AV714" s="34">
        <f>AM714-AP714</f>
        <v>0</v>
      </c>
      <c r="AW714" s="34">
        <f>AP714-AT714</f>
        <v>0</v>
      </c>
      <c r="AX714" s="123">
        <v>0</v>
      </c>
    </row>
    <row r="715" spans="1:50" ht="18.75" customHeight="1" x14ac:dyDescent="0.2">
      <c r="AA715" s="169" t="s">
        <v>288</v>
      </c>
      <c r="AB715" s="163" t="s">
        <v>506</v>
      </c>
      <c r="AC715" s="17"/>
      <c r="AD715" s="18"/>
      <c r="AE715" s="34"/>
      <c r="AF715" s="34"/>
      <c r="AG715" s="34"/>
      <c r="AH715" s="34"/>
      <c r="AI715" s="34"/>
      <c r="AJ715" s="18"/>
      <c r="AK715" s="34"/>
      <c r="AL715" s="133"/>
      <c r="AM715" s="110"/>
      <c r="AN715" s="34"/>
      <c r="AO715" s="145"/>
      <c r="AP715" s="34"/>
      <c r="AQ715" s="34"/>
      <c r="AR715" s="34"/>
      <c r="AS715" s="34"/>
      <c r="AT715" s="40"/>
      <c r="AU715" s="18"/>
      <c r="AV715" s="34"/>
      <c r="AW715" s="18"/>
      <c r="AX715" s="18"/>
    </row>
    <row r="716" spans="1:50" ht="18.75" customHeight="1" x14ac:dyDescent="0.2">
      <c r="A716" s="4" t="s">
        <v>55</v>
      </c>
      <c r="B716" s="4" t="s">
        <v>56</v>
      </c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1" t="s">
        <v>507</v>
      </c>
      <c r="AB716" s="42" t="s">
        <v>439</v>
      </c>
      <c r="AC716" s="43" t="s">
        <v>428</v>
      </c>
      <c r="AD716" s="43">
        <v>6191009183.8000002</v>
      </c>
      <c r="AE716" s="44">
        <v>0</v>
      </c>
      <c r="AF716" s="44">
        <v>0</v>
      </c>
      <c r="AG716" s="44">
        <v>0</v>
      </c>
      <c r="AH716" s="43">
        <f>4680084481.8+76000000+907367029.2</f>
        <v>5663451511</v>
      </c>
      <c r="AI716" s="43">
        <f>AE716-AF716+AG716-AH716</f>
        <v>-5663451511</v>
      </c>
      <c r="AJ716" s="43">
        <f>AD716+AI716</f>
        <v>527557672.80000019</v>
      </c>
      <c r="AK716" s="44">
        <v>0</v>
      </c>
      <c r="AL716" s="115">
        <v>0</v>
      </c>
      <c r="AM716" s="114">
        <v>527557672.80000001</v>
      </c>
      <c r="AN716" s="44">
        <v>0</v>
      </c>
      <c r="AO716" s="143">
        <v>0</v>
      </c>
      <c r="AP716" s="114">
        <v>527557672.80000001</v>
      </c>
      <c r="AQ716" s="44">
        <v>0</v>
      </c>
      <c r="AR716" s="44">
        <v>0</v>
      </c>
      <c r="AS716" s="43">
        <v>527557672.80000001</v>
      </c>
      <c r="AT716" s="39">
        <f>AQ716+AS716</f>
        <v>527557672.80000001</v>
      </c>
      <c r="AU716" s="34">
        <f>AJ716-AM716</f>
        <v>0</v>
      </c>
      <c r="AV716" s="34">
        <f>AM716-AP716</f>
        <v>0</v>
      </c>
      <c r="AW716" s="34">
        <f>AP716-AT716</f>
        <v>0</v>
      </c>
      <c r="AX716" s="123">
        <f>AP716/AJ716</f>
        <v>0.99999999999999967</v>
      </c>
    </row>
    <row r="717" spans="1:50" ht="18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166" t="s">
        <v>1081</v>
      </c>
      <c r="AB717" s="167" t="s">
        <v>1074</v>
      </c>
      <c r="AC717" s="168"/>
      <c r="AD717" s="43">
        <v>0</v>
      </c>
      <c r="AE717" s="43">
        <v>12071695000</v>
      </c>
      <c r="AF717" s="44">
        <v>0</v>
      </c>
      <c r="AG717" s="43">
        <v>2648640000</v>
      </c>
      <c r="AH717" s="44">
        <v>0</v>
      </c>
      <c r="AI717" s="43">
        <f>AE717-AF717+AG717-AH717</f>
        <v>14720335000</v>
      </c>
      <c r="AJ717" s="142">
        <f>AD717+AI717</f>
        <v>14720335000</v>
      </c>
      <c r="AK717" s="44">
        <v>0</v>
      </c>
      <c r="AL717" s="43">
        <v>3879799982</v>
      </c>
      <c r="AM717" s="43">
        <v>11092694439.93</v>
      </c>
      <c r="AN717" s="43">
        <v>0</v>
      </c>
      <c r="AO717" s="142">
        <v>0</v>
      </c>
      <c r="AP717" s="43">
        <v>7212894457.9300003</v>
      </c>
      <c r="AQ717" s="44">
        <v>0</v>
      </c>
      <c r="AR717" s="43">
        <v>0</v>
      </c>
      <c r="AS717" s="43">
        <v>665494321.32000005</v>
      </c>
      <c r="AT717" s="111">
        <f t="shared" ref="AT717" si="344">AQ717+AS717</f>
        <v>665494321.32000005</v>
      </c>
      <c r="AU717" s="18">
        <f>AJ717-AM717</f>
        <v>3627640560.0699997</v>
      </c>
      <c r="AV717" s="18">
        <f>AM717-AP717</f>
        <v>3879799982</v>
      </c>
      <c r="AW717" s="18">
        <f>AP717-AT717</f>
        <v>6547400136.6100006</v>
      </c>
      <c r="AX717" s="123">
        <f>AP717/AJ717</f>
        <v>0.48999526559212142</v>
      </c>
    </row>
    <row r="718" spans="1:50" ht="18.75" customHeight="1" x14ac:dyDescent="0.2">
      <c r="AA718" s="169" t="s">
        <v>288</v>
      </c>
      <c r="AB718" s="163" t="s">
        <v>508</v>
      </c>
      <c r="AC718" s="17"/>
      <c r="AD718" s="18"/>
      <c r="AE718" s="34"/>
      <c r="AF718" s="34"/>
      <c r="AG718" s="34"/>
      <c r="AH718" s="34"/>
      <c r="AI718" s="34"/>
      <c r="AJ718" s="18"/>
      <c r="AK718" s="34"/>
      <c r="AL718" s="34"/>
      <c r="AM718" s="34"/>
      <c r="AN718" s="34"/>
      <c r="AO718" s="145"/>
      <c r="AP718" s="34"/>
      <c r="AQ718" s="34"/>
      <c r="AR718" s="34"/>
      <c r="AS718" s="34"/>
      <c r="AT718" s="40"/>
      <c r="AU718" s="18"/>
      <c r="AV718" s="34"/>
      <c r="AW718" s="18"/>
      <c r="AX718" s="18"/>
    </row>
    <row r="719" spans="1:50" ht="18.75" customHeight="1" x14ac:dyDescent="0.2">
      <c r="A719" s="4" t="s">
        <v>55</v>
      </c>
      <c r="B719" s="4" t="s">
        <v>56</v>
      </c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1" t="s">
        <v>509</v>
      </c>
      <c r="AB719" s="42" t="s">
        <v>439</v>
      </c>
      <c r="AC719" s="43" t="s">
        <v>428</v>
      </c>
      <c r="AD719" s="43">
        <v>9340881185.3400002</v>
      </c>
      <c r="AE719" s="44">
        <v>0</v>
      </c>
      <c r="AF719" s="44">
        <v>0</v>
      </c>
      <c r="AG719" s="43">
        <f>4680084481.8+1126470266</f>
        <v>5806554747.8000002</v>
      </c>
      <c r="AH719" s="44">
        <v>0</v>
      </c>
      <c r="AI719" s="43">
        <f>AE719-AF719+AG719-AH719</f>
        <v>5806554747.8000002</v>
      </c>
      <c r="AJ719" s="43">
        <f>AD719+AI719</f>
        <v>15147435933.139999</v>
      </c>
      <c r="AK719" s="44">
        <v>0</v>
      </c>
      <c r="AL719" s="143">
        <v>0</v>
      </c>
      <c r="AM719" s="43">
        <v>14766414723.66</v>
      </c>
      <c r="AN719" s="44">
        <v>0</v>
      </c>
      <c r="AO719" s="143">
        <v>0</v>
      </c>
      <c r="AP719" s="43">
        <v>14766414723.66</v>
      </c>
      <c r="AQ719" s="43">
        <v>0</v>
      </c>
      <c r="AR719" s="43">
        <v>80421695</v>
      </c>
      <c r="AS719" s="43">
        <v>80421695</v>
      </c>
      <c r="AT719" s="39">
        <f t="shared" si="332"/>
        <v>80421695</v>
      </c>
      <c r="AU719" s="18">
        <f>AJ719-AM719</f>
        <v>381021209.47999954</v>
      </c>
      <c r="AV719" s="34">
        <f>AM719-AP719</f>
        <v>0</v>
      </c>
      <c r="AW719" s="18">
        <f>AP719-AT719</f>
        <v>14685993028.66</v>
      </c>
      <c r="AX719" s="123">
        <f>AP719/AJ719</f>
        <v>0.97484582795650643</v>
      </c>
    </row>
    <row r="720" spans="1:50" ht="18.75" customHeight="1" x14ac:dyDescent="0.2">
      <c r="A720" s="4" t="s">
        <v>55</v>
      </c>
      <c r="B720" s="4" t="s">
        <v>56</v>
      </c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1" t="s">
        <v>510</v>
      </c>
      <c r="AB720" s="42" t="s">
        <v>490</v>
      </c>
      <c r="AC720" s="43" t="s">
        <v>368</v>
      </c>
      <c r="AD720" s="43">
        <v>659690762</v>
      </c>
      <c r="AE720" s="44">
        <v>0</v>
      </c>
      <c r="AF720" s="44">
        <v>0</v>
      </c>
      <c r="AG720" s="44">
        <v>0</v>
      </c>
      <c r="AH720" s="44">
        <v>0</v>
      </c>
      <c r="AI720" s="44">
        <v>0</v>
      </c>
      <c r="AJ720" s="43">
        <v>659690762</v>
      </c>
      <c r="AK720" s="44">
        <v>0</v>
      </c>
      <c r="AL720" s="143">
        <v>0</v>
      </c>
      <c r="AM720" s="43">
        <v>582174687</v>
      </c>
      <c r="AN720" s="44">
        <v>0</v>
      </c>
      <c r="AO720" s="143">
        <v>0</v>
      </c>
      <c r="AP720" s="43">
        <v>582174687</v>
      </c>
      <c r="AQ720" s="44">
        <v>0</v>
      </c>
      <c r="AR720" s="44">
        <v>0</v>
      </c>
      <c r="AS720" s="44">
        <v>0</v>
      </c>
      <c r="AT720" s="40">
        <f t="shared" si="332"/>
        <v>0</v>
      </c>
      <c r="AU720" s="18">
        <f>AJ720-AM720</f>
        <v>77516075</v>
      </c>
      <c r="AV720" s="34">
        <f>AM720-AP720</f>
        <v>0</v>
      </c>
      <c r="AW720" s="34">
        <f>AP720-AT720</f>
        <v>582174687</v>
      </c>
      <c r="AX720" s="123">
        <f>AP720/AJ720</f>
        <v>0.88249634606828098</v>
      </c>
    </row>
    <row r="721" spans="1:50" ht="18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166" t="s">
        <v>1086</v>
      </c>
      <c r="AB721" s="167" t="s">
        <v>1074</v>
      </c>
      <c r="AC721" s="168"/>
      <c r="AD721" s="44">
        <v>0</v>
      </c>
      <c r="AE721" s="43">
        <v>7500000000</v>
      </c>
      <c r="AF721" s="44">
        <v>0</v>
      </c>
      <c r="AG721" s="44">
        <v>0</v>
      </c>
      <c r="AH721" s="43">
        <v>500000000</v>
      </c>
      <c r="AI721" s="43">
        <f>AE721-AF721+AG721-AH721</f>
        <v>7000000000</v>
      </c>
      <c r="AJ721" s="43">
        <f>AD721+AI721</f>
        <v>7000000000</v>
      </c>
      <c r="AK721" s="44">
        <v>0</v>
      </c>
      <c r="AL721" s="143">
        <v>0</v>
      </c>
      <c r="AM721" s="43">
        <v>1998289237</v>
      </c>
      <c r="AN721" s="44">
        <v>0</v>
      </c>
      <c r="AO721" s="143">
        <v>0</v>
      </c>
      <c r="AP721" s="43">
        <v>1998289237</v>
      </c>
      <c r="AQ721" s="44">
        <v>0</v>
      </c>
      <c r="AR721" s="43">
        <v>0</v>
      </c>
      <c r="AS721" s="43">
        <v>10839399</v>
      </c>
      <c r="AT721" s="135">
        <f t="shared" si="332"/>
        <v>10839399</v>
      </c>
      <c r="AU721" s="18">
        <f>AJ721-AM721</f>
        <v>5001710763</v>
      </c>
      <c r="AV721" s="34">
        <f>AM721-AP721</f>
        <v>0</v>
      </c>
      <c r="AW721" s="18">
        <f>AP721-AT721</f>
        <v>1987449838</v>
      </c>
      <c r="AX721" s="123">
        <f>AP721/AJ721</f>
        <v>0.28546989099999998</v>
      </c>
    </row>
    <row r="722" spans="1:50" ht="18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171" t="s">
        <v>288</v>
      </c>
      <c r="AB722" s="213" t="s">
        <v>1082</v>
      </c>
      <c r="AC722" s="168"/>
      <c r="AD722" s="44"/>
      <c r="AE722" s="44"/>
      <c r="AF722" s="44"/>
      <c r="AG722" s="44"/>
      <c r="AH722" s="44"/>
      <c r="AI722" s="44"/>
      <c r="AJ722" s="43"/>
      <c r="AK722" s="44"/>
      <c r="AL722" s="143"/>
      <c r="AM722" s="44"/>
      <c r="AN722" s="44"/>
      <c r="AO722" s="143"/>
      <c r="AP722" s="44"/>
      <c r="AQ722" s="44"/>
      <c r="AR722" s="44"/>
      <c r="AS722" s="44"/>
      <c r="AT722" s="40"/>
      <c r="AU722" s="18"/>
      <c r="AV722" s="34"/>
      <c r="AW722" s="34"/>
      <c r="AX722" s="123"/>
    </row>
    <row r="723" spans="1:50" ht="18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166" t="s">
        <v>1083</v>
      </c>
      <c r="AB723" s="167" t="s">
        <v>1074</v>
      </c>
      <c r="AC723" s="168"/>
      <c r="AD723" s="44">
        <v>0</v>
      </c>
      <c r="AE723" s="43">
        <v>926394000</v>
      </c>
      <c r="AF723" s="44">
        <v>0</v>
      </c>
      <c r="AG723" s="43">
        <f>1886000000+466710000</f>
        <v>2352710000</v>
      </c>
      <c r="AH723" s="44">
        <v>0</v>
      </c>
      <c r="AI723" s="43">
        <f>AE723-AF723+AG723-AH723</f>
        <v>3279104000</v>
      </c>
      <c r="AJ723" s="43">
        <f>AD723+AI723</f>
        <v>3279104000</v>
      </c>
      <c r="AK723" s="44">
        <v>0</v>
      </c>
      <c r="AL723" s="143">
        <v>0</v>
      </c>
      <c r="AM723" s="43">
        <v>2941786693</v>
      </c>
      <c r="AN723" s="43">
        <v>0</v>
      </c>
      <c r="AO723" s="142">
        <v>0</v>
      </c>
      <c r="AP723" s="43">
        <v>2941786693</v>
      </c>
      <c r="AQ723" s="44">
        <v>0</v>
      </c>
      <c r="AR723" s="43">
        <v>196916083</v>
      </c>
      <c r="AS723" s="43">
        <v>464941731</v>
      </c>
      <c r="AT723" s="39">
        <f t="shared" ref="AT723:AT724" si="345">AQ723+AS723</f>
        <v>464941731</v>
      </c>
      <c r="AU723" s="18">
        <f>AJ723-AM723</f>
        <v>337317307</v>
      </c>
      <c r="AV723" s="34">
        <f>AM723-AP723</f>
        <v>0</v>
      </c>
      <c r="AW723" s="18">
        <f>AP723-AT723</f>
        <v>2476844962</v>
      </c>
      <c r="AX723" s="123">
        <f>AP723/AJ723</f>
        <v>0.89713125689212658</v>
      </c>
    </row>
    <row r="724" spans="1:50" ht="18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229" t="s">
        <v>1261</v>
      </c>
      <c r="AB724" s="230" t="s">
        <v>490</v>
      </c>
      <c r="AC724" s="168"/>
      <c r="AD724" s="44">
        <v>0</v>
      </c>
      <c r="AE724" s="43">
        <v>0</v>
      </c>
      <c r="AF724" s="44">
        <v>0</v>
      </c>
      <c r="AG724" s="43">
        <v>53364831</v>
      </c>
      <c r="AH724" s="44">
        <v>0</v>
      </c>
      <c r="AI724" s="43">
        <f>AE724-AF724+AG724-AH724</f>
        <v>53364831</v>
      </c>
      <c r="AJ724" s="43">
        <f>AD724+AI724</f>
        <v>53364831</v>
      </c>
      <c r="AK724" s="43">
        <v>0</v>
      </c>
      <c r="AL724" s="142">
        <v>0</v>
      </c>
      <c r="AM724" s="43">
        <v>16130896</v>
      </c>
      <c r="AN724" s="43">
        <v>0</v>
      </c>
      <c r="AO724" s="142">
        <f>AP724-SEPTIEMBRE!AP700</f>
        <v>0</v>
      </c>
      <c r="AP724" s="43">
        <v>16130896</v>
      </c>
      <c r="AQ724" s="44">
        <v>0</v>
      </c>
      <c r="AR724" s="44">
        <v>0</v>
      </c>
      <c r="AS724" s="44">
        <v>0</v>
      </c>
      <c r="AT724" s="135">
        <f t="shared" si="345"/>
        <v>0</v>
      </c>
      <c r="AU724" s="18">
        <f>AJ724-AM724</f>
        <v>37233935</v>
      </c>
      <c r="AV724" s="18">
        <f>AM724-AP724</f>
        <v>0</v>
      </c>
      <c r="AW724" s="18">
        <f>AP724-AT724</f>
        <v>16130896</v>
      </c>
      <c r="AX724" s="123">
        <f>AP724/AJ724</f>
        <v>0.30227578159106322</v>
      </c>
    </row>
    <row r="725" spans="1:50" ht="18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206"/>
      <c r="AB725" s="207"/>
      <c r="AC725" s="43"/>
      <c r="AD725" s="44"/>
      <c r="AE725" s="44"/>
      <c r="AF725" s="44"/>
      <c r="AG725" s="44"/>
      <c r="AH725" s="44"/>
      <c r="AI725" s="44"/>
      <c r="AJ725" s="43"/>
      <c r="AK725" s="44"/>
      <c r="AL725" s="143"/>
      <c r="AM725" s="44"/>
      <c r="AN725" s="44"/>
      <c r="AO725" s="143"/>
      <c r="AP725" s="44"/>
      <c r="AQ725" s="44"/>
      <c r="AR725" s="44"/>
      <c r="AS725" s="44"/>
      <c r="AT725" s="40"/>
      <c r="AU725" s="34"/>
      <c r="AV725" s="34"/>
      <c r="AW725" s="34"/>
      <c r="AX725" s="123"/>
    </row>
    <row r="726" spans="1:50" ht="24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73" t="s">
        <v>288</v>
      </c>
      <c r="AB726" s="74" t="s">
        <v>197</v>
      </c>
      <c r="AC726" s="43"/>
      <c r="AD726" s="44"/>
      <c r="AE726" s="44"/>
      <c r="AF726" s="44"/>
      <c r="AG726" s="44"/>
      <c r="AH726" s="44"/>
      <c r="AI726" s="44"/>
      <c r="AJ726" s="43"/>
      <c r="AK726" s="44"/>
      <c r="AL726" s="44"/>
      <c r="AM726" s="44"/>
      <c r="AN726" s="44"/>
      <c r="AO726" s="143"/>
      <c r="AP726" s="44"/>
      <c r="AQ726" s="44"/>
      <c r="AR726" s="44"/>
      <c r="AS726" s="44"/>
      <c r="AT726" s="40"/>
      <c r="AU726" s="34"/>
      <c r="AV726" s="34"/>
      <c r="AW726" s="34"/>
      <c r="AX726" s="123"/>
    </row>
    <row r="727" spans="1:50" ht="18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159" t="s">
        <v>967</v>
      </c>
      <c r="AB727" s="42" t="s">
        <v>439</v>
      </c>
      <c r="AC727" s="43"/>
      <c r="AD727" s="44">
        <v>0</v>
      </c>
      <c r="AE727" s="44">
        <v>0</v>
      </c>
      <c r="AF727" s="44">
        <v>0</v>
      </c>
      <c r="AG727" s="43">
        <v>76000000</v>
      </c>
      <c r="AH727" s="44">
        <v>0</v>
      </c>
      <c r="AI727" s="43">
        <f>AE727-AF727+AG727-AH727</f>
        <v>76000000</v>
      </c>
      <c r="AJ727" s="43">
        <f>AD727+AI727</f>
        <v>76000000</v>
      </c>
      <c r="AK727" s="44">
        <v>0</v>
      </c>
      <c r="AL727" s="44">
        <v>0</v>
      </c>
      <c r="AM727" s="44">
        <v>0</v>
      </c>
      <c r="AN727" s="44">
        <v>0</v>
      </c>
      <c r="AO727" s="44">
        <v>0</v>
      </c>
      <c r="AP727" s="44">
        <v>0</v>
      </c>
      <c r="AQ727" s="44">
        <v>0</v>
      </c>
      <c r="AR727" s="44">
        <v>0</v>
      </c>
      <c r="AS727" s="44">
        <v>0</v>
      </c>
      <c r="AT727" s="40">
        <f t="shared" ref="AT727" si="346">AQ727+AS727</f>
        <v>0</v>
      </c>
      <c r="AU727" s="18">
        <f>AJ727-AM727</f>
        <v>76000000</v>
      </c>
      <c r="AV727" s="34">
        <f>AM727-AP727</f>
        <v>0</v>
      </c>
      <c r="AW727" s="34">
        <f>AP727-AT727</f>
        <v>0</v>
      </c>
      <c r="AX727" s="123">
        <f>AP727/AJ727</f>
        <v>0</v>
      </c>
    </row>
    <row r="728" spans="1:50" ht="25.5" x14ac:dyDescent="0.2">
      <c r="AA728" s="16"/>
      <c r="AB728" s="29" t="s">
        <v>511</v>
      </c>
      <c r="AC728" s="17"/>
      <c r="AD728" s="18"/>
      <c r="AE728" s="18"/>
      <c r="AF728" s="18"/>
      <c r="AG728" s="18"/>
      <c r="AH728" s="18"/>
      <c r="AI728" s="18"/>
      <c r="AJ728" s="18"/>
      <c r="AK728" s="18"/>
      <c r="AL728" s="34"/>
      <c r="AM728" s="18"/>
      <c r="AN728" s="18"/>
      <c r="AO728" s="18"/>
      <c r="AP728" s="18"/>
      <c r="AQ728" s="34"/>
      <c r="AR728" s="34"/>
      <c r="AS728" s="34"/>
      <c r="AT728" s="40"/>
      <c r="AU728" s="18"/>
      <c r="AV728" s="18"/>
      <c r="AW728" s="18"/>
      <c r="AX728" s="18"/>
    </row>
    <row r="729" spans="1:50" ht="18.75" customHeight="1" x14ac:dyDescent="0.2">
      <c r="AA729" s="16"/>
      <c r="AB729" s="29" t="s">
        <v>285</v>
      </c>
      <c r="AC729" s="17"/>
      <c r="AD729" s="18"/>
      <c r="AE729" s="18"/>
      <c r="AF729" s="18"/>
      <c r="AG729" s="18"/>
      <c r="AH729" s="18"/>
      <c r="AI729" s="18"/>
      <c r="AJ729" s="18"/>
      <c r="AK729" s="18"/>
      <c r="AL729" s="34"/>
      <c r="AM729" s="18"/>
      <c r="AN729" s="18"/>
      <c r="AO729" s="18"/>
      <c r="AP729" s="18"/>
      <c r="AQ729" s="18"/>
      <c r="AR729" s="18"/>
      <c r="AS729" s="18"/>
      <c r="AT729" s="30"/>
      <c r="AU729" s="18"/>
      <c r="AV729" s="18"/>
      <c r="AW729" s="18"/>
      <c r="AX729" s="18"/>
    </row>
    <row r="730" spans="1:50" ht="18.75" customHeight="1" x14ac:dyDescent="0.2">
      <c r="AA730" s="16"/>
      <c r="AB730" s="29" t="s">
        <v>286</v>
      </c>
      <c r="AC730" s="17"/>
      <c r="AD730" s="18"/>
      <c r="AE730" s="18"/>
      <c r="AF730" s="18"/>
      <c r="AG730" s="18"/>
      <c r="AH730" s="18"/>
      <c r="AI730" s="18"/>
      <c r="AJ730" s="18"/>
      <c r="AK730" s="18"/>
      <c r="AL730" s="34"/>
      <c r="AM730" s="18"/>
      <c r="AN730" s="18"/>
      <c r="AO730" s="18"/>
      <c r="AP730" s="18"/>
      <c r="AQ730" s="18"/>
      <c r="AR730" s="18"/>
      <c r="AS730" s="18"/>
      <c r="AT730" s="30"/>
      <c r="AU730" s="18"/>
      <c r="AV730" s="18"/>
      <c r="AW730" s="18"/>
      <c r="AX730" s="18"/>
    </row>
    <row r="731" spans="1:50" ht="18.75" customHeight="1" x14ac:dyDescent="0.2">
      <c r="AA731" s="16"/>
      <c r="AB731" s="29" t="s">
        <v>179</v>
      </c>
      <c r="AC731" s="17"/>
      <c r="AD731" s="18"/>
      <c r="AE731" s="18"/>
      <c r="AF731" s="18"/>
      <c r="AG731" s="18"/>
      <c r="AH731" s="18"/>
      <c r="AI731" s="18"/>
      <c r="AJ731" s="18"/>
      <c r="AK731" s="18"/>
      <c r="AL731" s="34"/>
      <c r="AM731" s="18"/>
      <c r="AN731" s="18"/>
      <c r="AO731" s="18"/>
      <c r="AP731" s="18"/>
      <c r="AQ731" s="18"/>
      <c r="AR731" s="18"/>
      <c r="AS731" s="18"/>
      <c r="AT731" s="30"/>
      <c r="AU731" s="18"/>
      <c r="AV731" s="18"/>
      <c r="AW731" s="18"/>
      <c r="AX731" s="18"/>
    </row>
    <row r="732" spans="1:50" ht="18.75" customHeight="1" x14ac:dyDescent="0.2">
      <c r="AA732" s="16"/>
      <c r="AB732" s="29" t="s">
        <v>189</v>
      </c>
      <c r="AC732" s="17"/>
      <c r="AD732" s="18"/>
      <c r="AE732" s="18"/>
      <c r="AF732" s="18"/>
      <c r="AG732" s="18"/>
      <c r="AH732" s="18"/>
      <c r="AI732" s="18"/>
      <c r="AJ732" s="18"/>
      <c r="AK732" s="18"/>
      <c r="AL732" s="34"/>
      <c r="AM732" s="18"/>
      <c r="AN732" s="18"/>
      <c r="AO732" s="18"/>
      <c r="AP732" s="18"/>
      <c r="AQ732" s="18"/>
      <c r="AR732" s="18"/>
      <c r="AS732" s="18"/>
      <c r="AT732" s="30"/>
      <c r="AU732" s="18"/>
      <c r="AV732" s="18"/>
      <c r="AW732" s="18"/>
      <c r="AX732" s="18"/>
    </row>
    <row r="733" spans="1:50" ht="18.75" customHeight="1" x14ac:dyDescent="0.2">
      <c r="AA733" s="16"/>
      <c r="AB733" s="29" t="s">
        <v>199</v>
      </c>
      <c r="AC733" s="17"/>
      <c r="AD733" s="18"/>
      <c r="AE733" s="18"/>
      <c r="AF733" s="18"/>
      <c r="AG733" s="18"/>
      <c r="AH733" s="18"/>
      <c r="AI733" s="18"/>
      <c r="AJ733" s="18"/>
      <c r="AK733" s="18"/>
      <c r="AL733" s="34"/>
      <c r="AM733" s="18"/>
      <c r="AN733" s="18"/>
      <c r="AO733" s="18"/>
      <c r="AP733" s="18"/>
      <c r="AQ733" s="18"/>
      <c r="AR733" s="18"/>
      <c r="AS733" s="18"/>
      <c r="AT733" s="30"/>
      <c r="AU733" s="18"/>
      <c r="AV733" s="18"/>
      <c r="AW733" s="18"/>
      <c r="AX733" s="18"/>
    </row>
    <row r="734" spans="1:50" ht="25.5" x14ac:dyDescent="0.2">
      <c r="AA734" s="28" t="s">
        <v>288</v>
      </c>
      <c r="AB734" s="29" t="s">
        <v>512</v>
      </c>
      <c r="AC734" s="17"/>
      <c r="AD734" s="18"/>
      <c r="AE734" s="18"/>
      <c r="AF734" s="18"/>
      <c r="AG734" s="18"/>
      <c r="AH734" s="18"/>
      <c r="AI734" s="18"/>
      <c r="AJ734" s="18"/>
      <c r="AK734" s="18"/>
      <c r="AL734" s="34"/>
      <c r="AM734" s="18"/>
      <c r="AN734" s="18"/>
      <c r="AO734" s="18"/>
      <c r="AP734" s="18"/>
      <c r="AQ734" s="18"/>
      <c r="AR734" s="18"/>
      <c r="AS734" s="18"/>
      <c r="AT734" s="30"/>
      <c r="AU734" s="18"/>
      <c r="AV734" s="18"/>
      <c r="AW734" s="18"/>
      <c r="AX734" s="18"/>
    </row>
    <row r="735" spans="1:50" ht="18.75" customHeight="1" x14ac:dyDescent="0.2">
      <c r="A735" s="4" t="s">
        <v>55</v>
      </c>
      <c r="B735" s="4" t="s">
        <v>56</v>
      </c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1" t="s">
        <v>513</v>
      </c>
      <c r="AB735" s="42" t="s">
        <v>233</v>
      </c>
      <c r="AC735" s="43" t="s">
        <v>58</v>
      </c>
      <c r="AD735" s="43">
        <v>331060322</v>
      </c>
      <c r="AE735" s="44">
        <v>0</v>
      </c>
      <c r="AF735" s="44">
        <v>0</v>
      </c>
      <c r="AG735" s="44">
        <v>0</v>
      </c>
      <c r="AH735" s="44">
        <v>0</v>
      </c>
      <c r="AI735" s="44">
        <v>0</v>
      </c>
      <c r="AJ735" s="43">
        <v>331060322</v>
      </c>
      <c r="AK735" s="44">
        <v>0</v>
      </c>
      <c r="AL735" s="44">
        <f>AM735-AGOSTO!AM689</f>
        <v>0</v>
      </c>
      <c r="AM735" s="43">
        <v>326730531</v>
      </c>
      <c r="AN735" s="44">
        <v>0</v>
      </c>
      <c r="AO735" s="143">
        <v>0</v>
      </c>
      <c r="AP735" s="43">
        <v>326730531</v>
      </c>
      <c r="AQ735" s="34">
        <v>0</v>
      </c>
      <c r="AR735" s="145">
        <v>0</v>
      </c>
      <c r="AS735" s="18">
        <v>326730531</v>
      </c>
      <c r="AT735" s="39">
        <f t="shared" ref="AT735:AT740" si="347">AQ735+AS735</f>
        <v>326730531</v>
      </c>
      <c r="AU735" s="18">
        <f t="shared" ref="AU735:AU740" si="348">AJ735-AM735</f>
        <v>4329791</v>
      </c>
      <c r="AV735" s="34">
        <f t="shared" ref="AV735:AV740" si="349">AM735-AP735</f>
        <v>0</v>
      </c>
      <c r="AW735" s="34">
        <f t="shared" ref="AW735:AW740" si="350">AP735-AT735</f>
        <v>0</v>
      </c>
      <c r="AX735" s="123">
        <f t="shared" ref="AX735:AX740" si="351">AP735/AJ735</f>
        <v>0.98692144388115466</v>
      </c>
    </row>
    <row r="736" spans="1:50" ht="18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1" t="s">
        <v>1343</v>
      </c>
      <c r="AB736" s="42" t="s">
        <v>1264</v>
      </c>
      <c r="AC736" s="43"/>
      <c r="AD736" s="43">
        <v>0</v>
      </c>
      <c r="AE736" s="252">
        <v>646616873</v>
      </c>
      <c r="AF736" s="44">
        <v>0</v>
      </c>
      <c r="AG736" s="44">
        <v>0</v>
      </c>
      <c r="AH736" s="44">
        <v>0</v>
      </c>
      <c r="AI736" s="43">
        <f>AE736-AF736+AG736-AH736</f>
        <v>646616873</v>
      </c>
      <c r="AJ736" s="43">
        <f>AD736+AI736</f>
        <v>646616873</v>
      </c>
      <c r="AK736" s="44">
        <v>0</v>
      </c>
      <c r="AL736" s="44">
        <v>0</v>
      </c>
      <c r="AM736" s="43">
        <v>604641981</v>
      </c>
      <c r="AN736" s="44"/>
      <c r="AO736" s="143">
        <f>AP736-SEPTIEMBRE!AP712</f>
        <v>0</v>
      </c>
      <c r="AP736" s="43">
        <v>604641981</v>
      </c>
      <c r="AQ736" s="34">
        <v>0</v>
      </c>
      <c r="AR736" s="145">
        <v>0</v>
      </c>
      <c r="AS736" s="18">
        <v>604641981</v>
      </c>
      <c r="AT736" s="39">
        <f t="shared" si="347"/>
        <v>604641981</v>
      </c>
      <c r="AU736" s="18">
        <f t="shared" si="348"/>
        <v>41974892</v>
      </c>
      <c r="AV736" s="34">
        <f t="shared" si="349"/>
        <v>0</v>
      </c>
      <c r="AW736" s="34">
        <f t="shared" si="350"/>
        <v>0</v>
      </c>
      <c r="AX736" s="123">
        <f t="shared" si="351"/>
        <v>0.93508537473626985</v>
      </c>
    </row>
    <row r="737" spans="1:50" ht="18.75" customHeight="1" x14ac:dyDescent="0.2">
      <c r="A737" s="4" t="s">
        <v>55</v>
      </c>
      <c r="B737" s="4" t="s">
        <v>56</v>
      </c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1" t="s">
        <v>514</v>
      </c>
      <c r="AB737" s="42" t="s">
        <v>515</v>
      </c>
      <c r="AC737" s="43" t="s">
        <v>516</v>
      </c>
      <c r="AD737" s="43">
        <v>6887333116</v>
      </c>
      <c r="AE737" s="44">
        <v>0</v>
      </c>
      <c r="AF737" s="44">
        <v>0</v>
      </c>
      <c r="AG737" s="44">
        <v>0</v>
      </c>
      <c r="AH737" s="44">
        <v>0</v>
      </c>
      <c r="AI737" s="44">
        <v>0</v>
      </c>
      <c r="AJ737" s="43">
        <v>6887333116</v>
      </c>
      <c r="AK737" s="43">
        <v>646616873</v>
      </c>
      <c r="AL737" s="142">
        <v>496232098</v>
      </c>
      <c r="AM737" s="43">
        <v>5890392250</v>
      </c>
      <c r="AN737" s="114">
        <v>0</v>
      </c>
      <c r="AO737" s="142">
        <v>496232098</v>
      </c>
      <c r="AP737" s="114">
        <v>5890392250</v>
      </c>
      <c r="AQ737" s="18">
        <v>0</v>
      </c>
      <c r="AR737" s="148">
        <v>496232098</v>
      </c>
      <c r="AS737" s="110">
        <v>5890392250</v>
      </c>
      <c r="AT737" s="39">
        <f t="shared" si="347"/>
        <v>5890392250</v>
      </c>
      <c r="AU737" s="18">
        <f t="shared" si="348"/>
        <v>996940866</v>
      </c>
      <c r="AV737" s="34">
        <f t="shared" si="349"/>
        <v>0</v>
      </c>
      <c r="AW737" s="18">
        <f t="shared" si="350"/>
        <v>0</v>
      </c>
      <c r="AX737" s="123">
        <f t="shared" si="351"/>
        <v>0.85525008748538656</v>
      </c>
    </row>
    <row r="738" spans="1:50" x14ac:dyDescent="0.2">
      <c r="A738" s="4" t="s">
        <v>55</v>
      </c>
      <c r="B738" s="4" t="s">
        <v>56</v>
      </c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1" t="s">
        <v>517</v>
      </c>
      <c r="AB738" s="42" t="s">
        <v>518</v>
      </c>
      <c r="AC738" s="43" t="s">
        <v>428</v>
      </c>
      <c r="AD738" s="43">
        <v>263626220</v>
      </c>
      <c r="AE738" s="44">
        <v>0</v>
      </c>
      <c r="AF738" s="44">
        <v>0</v>
      </c>
      <c r="AG738" s="44">
        <v>0</v>
      </c>
      <c r="AH738" s="44">
        <v>0</v>
      </c>
      <c r="AI738" s="44">
        <v>0</v>
      </c>
      <c r="AJ738" s="43">
        <v>263626220</v>
      </c>
      <c r="AK738" s="44">
        <v>0</v>
      </c>
      <c r="AL738" s="43">
        <v>177942427</v>
      </c>
      <c r="AM738" s="43">
        <v>177942427</v>
      </c>
      <c r="AN738" s="43">
        <v>0</v>
      </c>
      <c r="AO738" s="142">
        <v>177942427</v>
      </c>
      <c r="AP738" s="43">
        <v>177942427</v>
      </c>
      <c r="AQ738" s="18">
        <v>177942427</v>
      </c>
      <c r="AR738" s="145">
        <v>0</v>
      </c>
      <c r="AS738" s="34">
        <v>0</v>
      </c>
      <c r="AT738" s="40">
        <f t="shared" si="347"/>
        <v>177942427</v>
      </c>
      <c r="AU738" s="18">
        <f t="shared" si="348"/>
        <v>85683793</v>
      </c>
      <c r="AV738" s="34">
        <f t="shared" si="349"/>
        <v>0</v>
      </c>
      <c r="AW738" s="34">
        <f t="shared" si="350"/>
        <v>0</v>
      </c>
      <c r="AX738" s="123">
        <f t="shared" si="351"/>
        <v>0.6749800038858047</v>
      </c>
    </row>
    <row r="739" spans="1:50" ht="25.5" x14ac:dyDescent="0.2">
      <c r="A739" s="4" t="s">
        <v>55</v>
      </c>
      <c r="B739" s="4" t="s">
        <v>56</v>
      </c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1" t="s">
        <v>519</v>
      </c>
      <c r="AB739" s="42" t="s">
        <v>520</v>
      </c>
      <c r="AC739" s="43" t="s">
        <v>368</v>
      </c>
      <c r="AD739" s="43">
        <v>6200094.4000000004</v>
      </c>
      <c r="AE739" s="44">
        <v>0</v>
      </c>
      <c r="AF739" s="44">
        <v>0</v>
      </c>
      <c r="AG739" s="44">
        <v>0</v>
      </c>
      <c r="AH739" s="44">
        <v>0</v>
      </c>
      <c r="AI739" s="44">
        <v>0</v>
      </c>
      <c r="AJ739" s="43">
        <v>6200094.4000000004</v>
      </c>
      <c r="AK739" s="44">
        <v>0</v>
      </c>
      <c r="AL739" s="44">
        <v>0</v>
      </c>
      <c r="AM739" s="44">
        <v>0</v>
      </c>
      <c r="AN739" s="44">
        <v>0</v>
      </c>
      <c r="AO739" s="143">
        <v>0</v>
      </c>
      <c r="AP739" s="44">
        <v>0</v>
      </c>
      <c r="AQ739" s="34">
        <v>0</v>
      </c>
      <c r="AR739" s="145">
        <v>0</v>
      </c>
      <c r="AS739" s="34">
        <v>0</v>
      </c>
      <c r="AT739" s="40">
        <f t="shared" si="347"/>
        <v>0</v>
      </c>
      <c r="AU739" s="18">
        <f t="shared" si="348"/>
        <v>6200094.4000000004</v>
      </c>
      <c r="AV739" s="34">
        <f t="shared" si="349"/>
        <v>0</v>
      </c>
      <c r="AW739" s="34">
        <f t="shared" si="350"/>
        <v>0</v>
      </c>
      <c r="AX739" s="123">
        <f t="shared" si="351"/>
        <v>0</v>
      </c>
    </row>
    <row r="740" spans="1:50" ht="25.5" x14ac:dyDescent="0.2">
      <c r="A740" s="4" t="s">
        <v>55</v>
      </c>
      <c r="B740" s="4" t="s">
        <v>56</v>
      </c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1" t="s">
        <v>521</v>
      </c>
      <c r="AB740" s="42" t="s">
        <v>522</v>
      </c>
      <c r="AC740" s="43" t="s">
        <v>368</v>
      </c>
      <c r="AD740" s="43">
        <v>112310609.13</v>
      </c>
      <c r="AE740" s="44">
        <v>0</v>
      </c>
      <c r="AF740" s="44">
        <v>0</v>
      </c>
      <c r="AG740" s="44">
        <v>0</v>
      </c>
      <c r="AH740" s="44">
        <v>0</v>
      </c>
      <c r="AI740" s="44">
        <v>0</v>
      </c>
      <c r="AJ740" s="43">
        <v>112310609.13</v>
      </c>
      <c r="AK740" s="44">
        <v>0</v>
      </c>
      <c r="AL740" s="44">
        <v>0</v>
      </c>
      <c r="AM740" s="44">
        <v>0</v>
      </c>
      <c r="AN740" s="44">
        <v>0</v>
      </c>
      <c r="AO740" s="44">
        <v>0</v>
      </c>
      <c r="AP740" s="44">
        <v>0</v>
      </c>
      <c r="AQ740" s="34">
        <v>0</v>
      </c>
      <c r="AR740" s="145">
        <v>0</v>
      </c>
      <c r="AS740" s="34">
        <v>0</v>
      </c>
      <c r="AT740" s="40">
        <f t="shared" si="347"/>
        <v>0</v>
      </c>
      <c r="AU740" s="18">
        <f t="shared" si="348"/>
        <v>112310609.13</v>
      </c>
      <c r="AV740" s="34">
        <f t="shared" si="349"/>
        <v>0</v>
      </c>
      <c r="AW740" s="34">
        <f t="shared" si="350"/>
        <v>0</v>
      </c>
      <c r="AX740" s="123">
        <f t="shared" si="351"/>
        <v>0</v>
      </c>
    </row>
    <row r="741" spans="1:50" ht="18.75" customHeight="1" x14ac:dyDescent="0.2">
      <c r="AA741" s="16"/>
      <c r="AB741" s="17"/>
      <c r="AC741" s="17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34"/>
      <c r="AR741" s="34"/>
      <c r="AS741" s="34"/>
      <c r="AT741" s="40"/>
      <c r="AU741" s="18"/>
      <c r="AV741" s="18"/>
      <c r="AW741" s="18"/>
      <c r="AX741" s="18"/>
    </row>
    <row r="742" spans="1:50" ht="18.75" customHeight="1" x14ac:dyDescent="0.2">
      <c r="AA742" s="16"/>
      <c r="AB742" s="29" t="s">
        <v>523</v>
      </c>
      <c r="AC742" s="17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34"/>
      <c r="AR742" s="34"/>
      <c r="AS742" s="34"/>
      <c r="AT742" s="40"/>
      <c r="AU742" s="18"/>
      <c r="AV742" s="18"/>
      <c r="AW742" s="18"/>
      <c r="AX742" s="18"/>
    </row>
    <row r="743" spans="1:50" ht="18.75" customHeight="1" x14ac:dyDescent="0.2">
      <c r="AA743" s="16"/>
      <c r="AB743" s="29" t="s">
        <v>285</v>
      </c>
      <c r="AC743" s="17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34"/>
      <c r="AR743" s="34"/>
      <c r="AS743" s="34"/>
      <c r="AT743" s="40"/>
      <c r="AU743" s="18"/>
      <c r="AV743" s="18"/>
      <c r="AW743" s="18"/>
      <c r="AX743" s="18"/>
    </row>
    <row r="744" spans="1:50" ht="18.75" customHeight="1" x14ac:dyDescent="0.2">
      <c r="AA744" s="16"/>
      <c r="AB744" s="29" t="s">
        <v>286</v>
      </c>
      <c r="AC744" s="17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34"/>
      <c r="AR744" s="34"/>
      <c r="AS744" s="34"/>
      <c r="AT744" s="40"/>
      <c r="AU744" s="18"/>
      <c r="AV744" s="18"/>
      <c r="AW744" s="18"/>
      <c r="AX744" s="18"/>
    </row>
    <row r="745" spans="1:50" ht="18.75" customHeight="1" x14ac:dyDescent="0.2">
      <c r="AA745" s="16"/>
      <c r="AB745" s="29" t="s">
        <v>179</v>
      </c>
      <c r="AC745" s="17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34"/>
      <c r="AR745" s="34"/>
      <c r="AS745" s="34"/>
      <c r="AT745" s="40"/>
      <c r="AU745" s="18"/>
      <c r="AV745" s="18"/>
      <c r="AW745" s="18"/>
      <c r="AX745" s="18"/>
    </row>
    <row r="746" spans="1:50" ht="18.75" customHeight="1" x14ac:dyDescent="0.2">
      <c r="AA746" s="16"/>
      <c r="AB746" s="29" t="s">
        <v>189</v>
      </c>
      <c r="AC746" s="17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34"/>
      <c r="AR746" s="34"/>
      <c r="AS746" s="34"/>
      <c r="AT746" s="40"/>
      <c r="AU746" s="18"/>
      <c r="AV746" s="18"/>
      <c r="AW746" s="18"/>
      <c r="AX746" s="18"/>
    </row>
    <row r="747" spans="1:50" ht="18.75" customHeight="1" x14ac:dyDescent="0.2">
      <c r="AA747" s="16"/>
      <c r="AB747" s="29" t="s">
        <v>191</v>
      </c>
      <c r="AC747" s="17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34"/>
      <c r="AR747" s="34"/>
      <c r="AS747" s="34"/>
      <c r="AT747" s="40"/>
      <c r="AU747" s="18"/>
      <c r="AV747" s="18"/>
      <c r="AW747" s="18"/>
      <c r="AX747" s="18"/>
    </row>
    <row r="748" spans="1:50" ht="18.75" customHeight="1" x14ac:dyDescent="0.2">
      <c r="AA748" s="28" t="s">
        <v>288</v>
      </c>
      <c r="AB748" s="29" t="s">
        <v>459</v>
      </c>
      <c r="AC748" s="17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34"/>
      <c r="AR748" s="34"/>
      <c r="AS748" s="34"/>
      <c r="AT748" s="40"/>
      <c r="AU748" s="18"/>
      <c r="AV748" s="18"/>
      <c r="AW748" s="18"/>
      <c r="AX748" s="18"/>
    </row>
    <row r="749" spans="1:50" ht="25.5" x14ac:dyDescent="0.2">
      <c r="A749" s="4" t="s">
        <v>55</v>
      </c>
      <c r="B749" s="4" t="s">
        <v>56</v>
      </c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1" t="s">
        <v>524</v>
      </c>
      <c r="AB749" s="42" t="s">
        <v>525</v>
      </c>
      <c r="AC749" s="43" t="s">
        <v>428</v>
      </c>
      <c r="AD749" s="43">
        <v>47990790</v>
      </c>
      <c r="AE749" s="44">
        <v>0</v>
      </c>
      <c r="AF749" s="44">
        <v>0</v>
      </c>
      <c r="AG749" s="44">
        <v>0</v>
      </c>
      <c r="AH749" s="44">
        <v>0</v>
      </c>
      <c r="AI749" s="44">
        <v>0</v>
      </c>
      <c r="AJ749" s="43">
        <v>47990790</v>
      </c>
      <c r="AK749" s="44">
        <v>0</v>
      </c>
      <c r="AL749" s="44">
        <v>0</v>
      </c>
      <c r="AM749" s="44">
        <v>0</v>
      </c>
      <c r="AN749" s="44">
        <v>0</v>
      </c>
      <c r="AO749" s="44">
        <v>0</v>
      </c>
      <c r="AP749" s="44">
        <v>0</v>
      </c>
      <c r="AQ749" s="34">
        <v>0</v>
      </c>
      <c r="AR749" s="145">
        <v>0</v>
      </c>
      <c r="AS749" s="34">
        <v>0</v>
      </c>
      <c r="AT749" s="40">
        <f t="shared" ref="AT749:AT751" si="352">AQ749+AS749</f>
        <v>0</v>
      </c>
      <c r="AU749" s="18">
        <f>AJ749-AM749</f>
        <v>47990790</v>
      </c>
      <c r="AV749" s="34">
        <f>AM749-AP749</f>
        <v>0</v>
      </c>
      <c r="AW749" s="34">
        <f>AP749-AT749</f>
        <v>0</v>
      </c>
      <c r="AX749" s="123">
        <f>AP749/AJ749</f>
        <v>0</v>
      </c>
    </row>
    <row r="750" spans="1:50" ht="25.5" x14ac:dyDescent="0.2">
      <c r="A750" s="4" t="s">
        <v>55</v>
      </c>
      <c r="B750" s="4" t="s">
        <v>56</v>
      </c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1" t="s">
        <v>526</v>
      </c>
      <c r="AB750" s="42" t="s">
        <v>527</v>
      </c>
      <c r="AC750" s="43" t="s">
        <v>428</v>
      </c>
      <c r="AD750" s="43">
        <v>1098509998.8599999</v>
      </c>
      <c r="AE750" s="44">
        <v>0</v>
      </c>
      <c r="AF750" s="44">
        <v>0</v>
      </c>
      <c r="AG750" s="44">
        <v>0</v>
      </c>
      <c r="AH750" s="44">
        <v>0</v>
      </c>
      <c r="AI750" s="44">
        <v>0</v>
      </c>
      <c r="AJ750" s="43">
        <v>1098509998.8599999</v>
      </c>
      <c r="AK750" s="44">
        <v>0</v>
      </c>
      <c r="AL750" s="44">
        <v>0</v>
      </c>
      <c r="AM750" s="44">
        <v>0</v>
      </c>
      <c r="AN750" s="44">
        <v>0</v>
      </c>
      <c r="AO750" s="44">
        <v>0</v>
      </c>
      <c r="AP750" s="44">
        <v>0</v>
      </c>
      <c r="AQ750" s="34">
        <v>0</v>
      </c>
      <c r="AR750" s="145">
        <v>0</v>
      </c>
      <c r="AS750" s="34">
        <v>0</v>
      </c>
      <c r="AT750" s="40">
        <f t="shared" si="352"/>
        <v>0</v>
      </c>
      <c r="AU750" s="18">
        <f>AJ750-AM750</f>
        <v>1098509998.8599999</v>
      </c>
      <c r="AV750" s="34">
        <f>AM750-AP750</f>
        <v>0</v>
      </c>
      <c r="AW750" s="34">
        <f>AP750-AT750</f>
        <v>0</v>
      </c>
      <c r="AX750" s="123">
        <f>AP750/AJ750</f>
        <v>0</v>
      </c>
    </row>
    <row r="751" spans="1:50" ht="25.5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173" t="s">
        <v>1071</v>
      </c>
      <c r="AB751" s="218" t="s">
        <v>1072</v>
      </c>
      <c r="AC751" s="43"/>
      <c r="AD751" s="44">
        <v>0</v>
      </c>
      <c r="AE751" s="43">
        <v>1788940976.47</v>
      </c>
      <c r="AF751" s="44">
        <v>0</v>
      </c>
      <c r="AG751" s="44">
        <v>0</v>
      </c>
      <c r="AH751" s="44">
        <v>0</v>
      </c>
      <c r="AI751" s="43">
        <f>AE751-AF751+AG751-AH751</f>
        <v>1788940976.47</v>
      </c>
      <c r="AJ751" s="43">
        <f>AD751+AI751</f>
        <v>1788940976.47</v>
      </c>
      <c r="AK751" s="44">
        <v>0</v>
      </c>
      <c r="AL751" s="142">
        <v>-111440107</v>
      </c>
      <c r="AM751" s="43">
        <v>1070473875.92</v>
      </c>
      <c r="AN751" s="44">
        <v>0</v>
      </c>
      <c r="AO751" s="43">
        <v>0</v>
      </c>
      <c r="AP751" s="43">
        <v>1070473875.92</v>
      </c>
      <c r="AQ751" s="34">
        <v>0</v>
      </c>
      <c r="AR751" s="147">
        <v>0</v>
      </c>
      <c r="AS751" s="18">
        <v>816062786.69000006</v>
      </c>
      <c r="AT751" s="39">
        <f t="shared" si="352"/>
        <v>816062786.69000006</v>
      </c>
      <c r="AU751" s="18">
        <f>AJ751-AM751</f>
        <v>718467100.55000007</v>
      </c>
      <c r="AV751" s="18">
        <f>AM751-AP751</f>
        <v>0</v>
      </c>
      <c r="AW751" s="18">
        <f>AP751-AT751</f>
        <v>254411089.2299999</v>
      </c>
      <c r="AX751" s="123">
        <f>AP751/AJ751</f>
        <v>0.59838412222648951</v>
      </c>
    </row>
    <row r="752" spans="1:50" x14ac:dyDescent="0.2">
      <c r="AA752" s="16"/>
      <c r="AB752" s="17"/>
      <c r="AC752" s="17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30"/>
      <c r="AU752" s="18"/>
      <c r="AV752" s="18"/>
      <c r="AW752" s="18"/>
      <c r="AX752" s="18"/>
    </row>
    <row r="753" spans="1:50" s="343" customFormat="1" ht="18.75" customHeight="1" x14ac:dyDescent="0.2">
      <c r="A753" s="50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46"/>
      <c r="AB753" s="47" t="s">
        <v>528</v>
      </c>
      <c r="AC753" s="47"/>
      <c r="AD753" s="48">
        <f t="shared" ref="AD753:AW753" si="353">SUM(AD546:AD751)</f>
        <v>94071374538</v>
      </c>
      <c r="AE753" s="48">
        <f t="shared" si="353"/>
        <v>171254752784.15002</v>
      </c>
      <c r="AF753" s="49">
        <f t="shared" si="353"/>
        <v>0</v>
      </c>
      <c r="AG753" s="48">
        <f t="shared" si="353"/>
        <v>156122461577.13</v>
      </c>
      <c r="AH753" s="48">
        <f t="shared" si="353"/>
        <v>135658815022.13002</v>
      </c>
      <c r="AI753" s="48">
        <f t="shared" si="353"/>
        <v>191718399339.14996</v>
      </c>
      <c r="AJ753" s="48">
        <f t="shared" si="353"/>
        <v>285789773877.14996</v>
      </c>
      <c r="AK753" s="48">
        <f t="shared" si="353"/>
        <v>646616873</v>
      </c>
      <c r="AL753" s="48">
        <f t="shared" si="353"/>
        <v>67429436982.860016</v>
      </c>
      <c r="AM753" s="48">
        <f t="shared" si="353"/>
        <v>211728264049.13</v>
      </c>
      <c r="AN753" s="48">
        <f t="shared" si="353"/>
        <v>22108333.329999998</v>
      </c>
      <c r="AO753" s="48">
        <f t="shared" si="353"/>
        <v>12183409212.089998</v>
      </c>
      <c r="AP753" s="48">
        <f t="shared" si="353"/>
        <v>150411059613.31003</v>
      </c>
      <c r="AQ753" s="48">
        <f t="shared" si="353"/>
        <v>606185110.98000002</v>
      </c>
      <c r="AR753" s="48">
        <f t="shared" si="353"/>
        <v>6522022436.7799997</v>
      </c>
      <c r="AS753" s="48">
        <f t="shared" si="353"/>
        <v>56619952181.62001</v>
      </c>
      <c r="AT753" s="48">
        <f t="shared" si="353"/>
        <v>57226137292.600014</v>
      </c>
      <c r="AU753" s="48">
        <f t="shared" si="353"/>
        <v>74061509828.019989</v>
      </c>
      <c r="AV753" s="48">
        <f t="shared" si="353"/>
        <v>61317204435.82</v>
      </c>
      <c r="AW753" s="48">
        <f t="shared" si="353"/>
        <v>93184922320.710007</v>
      </c>
      <c r="AX753" s="24">
        <f>AP753/AJ753</f>
        <v>0.52629965576713034</v>
      </c>
    </row>
    <row r="754" spans="1:50" ht="18.75" customHeight="1" x14ac:dyDescent="0.2">
      <c r="AA754" s="16"/>
      <c r="AB754" s="17"/>
      <c r="AC754" s="17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</row>
    <row r="755" spans="1:50" ht="18.75" customHeight="1" x14ac:dyDescent="0.2">
      <c r="A755" s="25"/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66"/>
      <c r="AB755" s="21" t="s">
        <v>529</v>
      </c>
      <c r="AC755" s="67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U755" s="63"/>
      <c r="AV755" s="63"/>
      <c r="AW755" s="63"/>
      <c r="AX755" s="63"/>
    </row>
    <row r="756" spans="1:50" ht="18.75" customHeight="1" x14ac:dyDescent="0.2">
      <c r="AA756" s="16"/>
      <c r="AB756" s="29" t="s">
        <v>286</v>
      </c>
      <c r="AC756" s="17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</row>
    <row r="757" spans="1:50" ht="18.75" customHeight="1" x14ac:dyDescent="0.2">
      <c r="AA757" s="41" t="s">
        <v>1219</v>
      </c>
      <c r="AB757" s="29" t="s">
        <v>575</v>
      </c>
      <c r="AC757" s="17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</row>
    <row r="758" spans="1:50" ht="18.75" customHeight="1" x14ac:dyDescent="0.2">
      <c r="AA758" s="73" t="s">
        <v>288</v>
      </c>
      <c r="AB758" s="29" t="s">
        <v>1220</v>
      </c>
      <c r="AC758" s="17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</row>
    <row r="759" spans="1:50" ht="18.75" customHeight="1" x14ac:dyDescent="0.2">
      <c r="AA759" s="41" t="s">
        <v>1221</v>
      </c>
      <c r="AB759" s="38" t="s">
        <v>961</v>
      </c>
      <c r="AC759" s="17"/>
      <c r="AD759" s="34">
        <v>0</v>
      </c>
      <c r="AE759" s="18">
        <v>90000000</v>
      </c>
      <c r="AF759" s="34">
        <v>0</v>
      </c>
      <c r="AG759" s="18">
        <v>374200000</v>
      </c>
      <c r="AH759" s="34">
        <v>0</v>
      </c>
      <c r="AI759" s="43">
        <f>AE759-AF759+AG759-AH759</f>
        <v>464200000</v>
      </c>
      <c r="AJ759" s="43">
        <f>AD759+AI759</f>
        <v>464200000</v>
      </c>
      <c r="AK759" s="34">
        <v>0</v>
      </c>
      <c r="AL759" s="18">
        <f>AM759-OCTUBRE!AM750</f>
        <v>47284609.999999985</v>
      </c>
      <c r="AM759" s="18">
        <v>163911746.72999999</v>
      </c>
      <c r="AN759" s="34">
        <v>0</v>
      </c>
      <c r="AO759" s="34">
        <v>0</v>
      </c>
      <c r="AP759" s="18">
        <v>116627136.73</v>
      </c>
      <c r="AQ759" s="34">
        <v>0</v>
      </c>
      <c r="AR759" s="18">
        <v>116627136.73</v>
      </c>
      <c r="AS759" s="18">
        <v>116627136.73</v>
      </c>
      <c r="AT759" s="39">
        <f t="shared" ref="AT759" si="354">AQ759+AS759</f>
        <v>116627136.73</v>
      </c>
      <c r="AU759" s="18">
        <f>AJ759-AM759</f>
        <v>300288253.26999998</v>
      </c>
      <c r="AV759" s="18">
        <f>AM759-AP759</f>
        <v>47284609.999999985</v>
      </c>
      <c r="AW759" s="18">
        <f>AP759-AT759</f>
        <v>0</v>
      </c>
      <c r="AX759" s="123">
        <f>AP759/AJ759</f>
        <v>0.25124329325721673</v>
      </c>
    </row>
    <row r="760" spans="1:50" ht="18.75" customHeight="1" x14ac:dyDescent="0.2">
      <c r="AA760" s="73" t="s">
        <v>288</v>
      </c>
      <c r="AB760" s="29" t="s">
        <v>1445</v>
      </c>
      <c r="AC760" s="17"/>
      <c r="AD760" s="34"/>
      <c r="AE760" s="18"/>
      <c r="AF760" s="34"/>
      <c r="AG760" s="18"/>
      <c r="AH760" s="34"/>
      <c r="AI760" s="43"/>
      <c r="AJ760" s="43"/>
      <c r="AK760" s="34"/>
      <c r="AL760" s="18"/>
      <c r="AM760" s="18"/>
      <c r="AN760" s="34"/>
      <c r="AO760" s="34"/>
      <c r="AP760" s="34"/>
      <c r="AQ760" s="34"/>
      <c r="AR760" s="34"/>
      <c r="AS760" s="34"/>
      <c r="AT760" s="40"/>
      <c r="AU760" s="18"/>
      <c r="AV760" s="18"/>
      <c r="AW760" s="18"/>
      <c r="AX760" s="123"/>
    </row>
    <row r="761" spans="1:50" ht="18.75" customHeight="1" x14ac:dyDescent="0.2">
      <c r="AA761" s="41" t="s">
        <v>1446</v>
      </c>
      <c r="AB761" s="251" t="s">
        <v>233</v>
      </c>
      <c r="AC761" s="17"/>
      <c r="AD761" s="34">
        <v>0</v>
      </c>
      <c r="AE761" s="18">
        <v>70000000</v>
      </c>
      <c r="AF761" s="34">
        <v>0</v>
      </c>
      <c r="AG761" s="34">
        <v>0</v>
      </c>
      <c r="AH761" s="34">
        <v>0</v>
      </c>
      <c r="AI761" s="43">
        <f>AE761-AF761+AG761-AH761</f>
        <v>70000000</v>
      </c>
      <c r="AJ761" s="43">
        <f>AD761+AI761</f>
        <v>70000000</v>
      </c>
      <c r="AK761" s="34">
        <v>0</v>
      </c>
      <c r="AL761" s="18">
        <v>62287245</v>
      </c>
      <c r="AM761" s="18">
        <v>62287245</v>
      </c>
      <c r="AN761" s="34">
        <v>0</v>
      </c>
      <c r="AO761" s="34">
        <v>0</v>
      </c>
      <c r="AP761" s="34">
        <v>0</v>
      </c>
      <c r="AQ761" s="34">
        <v>0</v>
      </c>
      <c r="AR761" s="34">
        <v>0</v>
      </c>
      <c r="AS761" s="34">
        <v>0</v>
      </c>
      <c r="AT761" s="40">
        <f t="shared" ref="AT761" si="355">AQ761+AS761</f>
        <v>0</v>
      </c>
      <c r="AU761" s="18">
        <f>AJ761-AM761</f>
        <v>7712755</v>
      </c>
      <c r="AV761" s="18">
        <f>AM761-AP761</f>
        <v>62287245</v>
      </c>
      <c r="AW761" s="18">
        <f>AP761-AT761</f>
        <v>0</v>
      </c>
      <c r="AX761" s="123">
        <f>AP761/AJ761</f>
        <v>0</v>
      </c>
    </row>
    <row r="762" spans="1:50" ht="18.75" customHeight="1" x14ac:dyDescent="0.2">
      <c r="AA762" s="73" t="s">
        <v>288</v>
      </c>
      <c r="AB762" s="29" t="s">
        <v>1306</v>
      </c>
      <c r="AC762" s="17"/>
      <c r="AD762" s="34"/>
      <c r="AE762" s="34"/>
      <c r="AF762" s="34"/>
      <c r="AG762" s="18"/>
      <c r="AH762" s="34"/>
      <c r="AI762" s="43"/>
      <c r="AJ762" s="43"/>
      <c r="AK762" s="18"/>
      <c r="AL762" s="18"/>
      <c r="AM762" s="18"/>
      <c r="AN762" s="18"/>
      <c r="AO762" s="18"/>
      <c r="AP762" s="18"/>
      <c r="AQ762" s="18"/>
      <c r="AR762" s="18"/>
      <c r="AS762" s="18"/>
      <c r="AT762" s="40"/>
      <c r="AU762" s="18"/>
      <c r="AV762" s="34"/>
      <c r="AW762" s="34"/>
      <c r="AX762" s="123"/>
    </row>
    <row r="763" spans="1:50" ht="18.75" customHeight="1" x14ac:dyDescent="0.2">
      <c r="AA763" s="41" t="s">
        <v>1307</v>
      </c>
      <c r="AB763" s="251" t="s">
        <v>1015</v>
      </c>
      <c r="AC763" s="17"/>
      <c r="AD763" s="34">
        <v>0</v>
      </c>
      <c r="AE763" s="34">
        <v>0</v>
      </c>
      <c r="AF763" s="34">
        <v>0</v>
      </c>
      <c r="AG763" s="18">
        <v>204000000</v>
      </c>
      <c r="AH763" s="34">
        <v>0</v>
      </c>
      <c r="AI763" s="43">
        <f>AE763-AF763+AG763-AH763</f>
        <v>204000000</v>
      </c>
      <c r="AJ763" s="43">
        <f>AD763+AI763</f>
        <v>204000000</v>
      </c>
      <c r="AK763" s="34">
        <v>0</v>
      </c>
      <c r="AL763" s="18">
        <f>AM763-OCTUBRE!AM752</f>
        <v>-8711642.2700000107</v>
      </c>
      <c r="AM763" s="18">
        <v>195288357.72999999</v>
      </c>
      <c r="AN763" s="34">
        <v>0</v>
      </c>
      <c r="AO763" s="34">
        <v>195288357.72999999</v>
      </c>
      <c r="AP763" s="34">
        <v>195288357.72999999</v>
      </c>
      <c r="AQ763" s="34">
        <v>0</v>
      </c>
      <c r="AR763" s="34">
        <v>0</v>
      </c>
      <c r="AS763" s="34">
        <v>0</v>
      </c>
      <c r="AT763" s="40">
        <f t="shared" ref="AT763" si="356">AQ763+AS763</f>
        <v>0</v>
      </c>
      <c r="AU763" s="18">
        <f>AJ763-AM763</f>
        <v>8711642.2700000107</v>
      </c>
      <c r="AV763" s="18">
        <f>AM763-AP763</f>
        <v>0</v>
      </c>
      <c r="AW763" s="18">
        <f>AP763-AT763</f>
        <v>195288357.72999999</v>
      </c>
      <c r="AX763" s="123">
        <f>AP763/AJ763</f>
        <v>0.95729587122549009</v>
      </c>
    </row>
    <row r="764" spans="1:50" ht="39.75" customHeight="1" x14ac:dyDescent="0.2">
      <c r="AA764" s="73" t="s">
        <v>288</v>
      </c>
      <c r="AB764" s="29" t="s">
        <v>1372</v>
      </c>
      <c r="AC764" s="17"/>
      <c r="AD764" s="34"/>
      <c r="AE764" s="34"/>
      <c r="AF764" s="34"/>
      <c r="AG764" s="18"/>
      <c r="AH764" s="34"/>
      <c r="AI764" s="43"/>
      <c r="AJ764" s="43"/>
      <c r="AK764" s="34"/>
      <c r="AL764" s="34"/>
      <c r="AM764" s="34"/>
      <c r="AN764" s="34"/>
      <c r="AO764" s="34"/>
      <c r="AP764" s="34"/>
      <c r="AQ764" s="34"/>
      <c r="AR764" s="34"/>
      <c r="AS764" s="34"/>
      <c r="AT764" s="40"/>
      <c r="AU764" s="18"/>
      <c r="AV764" s="34"/>
      <c r="AW764" s="34"/>
      <c r="AX764" s="123"/>
    </row>
    <row r="765" spans="1:50" ht="18.75" customHeight="1" x14ac:dyDescent="0.2">
      <c r="AA765" s="41" t="s">
        <v>1373</v>
      </c>
      <c r="AB765" s="251" t="s">
        <v>1015</v>
      </c>
      <c r="AC765" s="17"/>
      <c r="AD765" s="34">
        <v>0</v>
      </c>
      <c r="AE765" s="34">
        <v>0</v>
      </c>
      <c r="AF765" s="34">
        <v>0</v>
      </c>
      <c r="AG765" s="18">
        <v>15000000</v>
      </c>
      <c r="AH765" s="18">
        <v>15000000</v>
      </c>
      <c r="AI765" s="44">
        <f>AE765-AF765+AG765-AH765</f>
        <v>0</v>
      </c>
      <c r="AJ765" s="44">
        <f>AD765+AI765</f>
        <v>0</v>
      </c>
      <c r="AK765" s="34">
        <v>0</v>
      </c>
      <c r="AL765" s="34">
        <v>0</v>
      </c>
      <c r="AM765" s="34">
        <v>0</v>
      </c>
      <c r="AN765" s="34">
        <v>0</v>
      </c>
      <c r="AO765" s="34">
        <v>0</v>
      </c>
      <c r="AP765" s="34">
        <v>0</v>
      </c>
      <c r="AQ765" s="34">
        <v>0</v>
      </c>
      <c r="AR765" s="34">
        <v>0</v>
      </c>
      <c r="AS765" s="34">
        <v>0</v>
      </c>
      <c r="AT765" s="40">
        <f t="shared" ref="AT765" si="357">AQ765+AS765</f>
        <v>0</v>
      </c>
      <c r="AU765" s="18">
        <f>AJ765-AM765</f>
        <v>0</v>
      </c>
      <c r="AV765" s="34">
        <f>AM765-AP765</f>
        <v>0</v>
      </c>
      <c r="AW765" s="34">
        <f>AP765-AT765</f>
        <v>0</v>
      </c>
      <c r="AX765" s="123">
        <v>0</v>
      </c>
    </row>
    <row r="766" spans="1:50" ht="30" customHeight="1" x14ac:dyDescent="0.2">
      <c r="AA766" s="73" t="s">
        <v>288</v>
      </c>
      <c r="AB766" s="29" t="s">
        <v>531</v>
      </c>
      <c r="AC766" s="17"/>
      <c r="AD766" s="34"/>
      <c r="AE766" s="34"/>
      <c r="AF766" s="34"/>
      <c r="AG766" s="18"/>
      <c r="AH766" s="34"/>
      <c r="AI766" s="43"/>
      <c r="AJ766" s="43"/>
      <c r="AK766" s="34"/>
      <c r="AL766" s="34"/>
      <c r="AM766" s="34"/>
      <c r="AN766" s="34"/>
      <c r="AO766" s="34"/>
      <c r="AP766" s="34"/>
      <c r="AQ766" s="34"/>
      <c r="AR766" s="34"/>
      <c r="AS766" s="34"/>
      <c r="AT766" s="40"/>
      <c r="AU766" s="18"/>
      <c r="AV766" s="34"/>
      <c r="AW766" s="34"/>
      <c r="AX766" s="123"/>
    </row>
    <row r="767" spans="1:50" ht="18.75" customHeight="1" x14ac:dyDescent="0.2">
      <c r="AA767" s="41" t="s">
        <v>1325</v>
      </c>
      <c r="AB767" s="251" t="s">
        <v>233</v>
      </c>
      <c r="AC767" s="17"/>
      <c r="AD767" s="34"/>
      <c r="AE767" s="34">
        <v>0</v>
      </c>
      <c r="AF767" s="34">
        <v>0</v>
      </c>
      <c r="AG767" s="18">
        <v>60000000</v>
      </c>
      <c r="AH767" s="34">
        <v>0</v>
      </c>
      <c r="AI767" s="43">
        <f>AE767-AF767+AG767-AH767</f>
        <v>60000000</v>
      </c>
      <c r="AJ767" s="43">
        <f>AD767+AI767</f>
        <v>60000000</v>
      </c>
      <c r="AK767" s="18">
        <v>0</v>
      </c>
      <c r="AL767" s="18">
        <f>AM767-OCTUBRE!AM756</f>
        <v>57379595</v>
      </c>
      <c r="AM767" s="18">
        <v>57379595</v>
      </c>
      <c r="AN767" s="34">
        <v>0</v>
      </c>
      <c r="AO767" s="34">
        <v>0</v>
      </c>
      <c r="AP767" s="34">
        <v>0</v>
      </c>
      <c r="AQ767" s="34">
        <v>0</v>
      </c>
      <c r="AR767" s="34">
        <v>0</v>
      </c>
      <c r="AS767" s="34">
        <v>0</v>
      </c>
      <c r="AT767" s="40">
        <f t="shared" ref="AT767" si="358">AQ767+AS767</f>
        <v>0</v>
      </c>
      <c r="AU767" s="18">
        <f>AJ767-AM767</f>
        <v>2620405</v>
      </c>
      <c r="AV767" s="18">
        <f>AM767-AP767</f>
        <v>57379595</v>
      </c>
      <c r="AW767" s="34">
        <f>AP767-AT767</f>
        <v>0</v>
      </c>
      <c r="AX767" s="123">
        <f>AP767/AJ767</f>
        <v>0</v>
      </c>
    </row>
    <row r="768" spans="1:50" ht="27" customHeight="1" x14ac:dyDescent="0.2">
      <c r="AA768" s="41"/>
      <c r="AB768" s="29" t="s">
        <v>1248</v>
      </c>
      <c r="AC768" s="17"/>
      <c r="AD768" s="34"/>
      <c r="AE768" s="34"/>
      <c r="AF768" s="34"/>
      <c r="AG768" s="18"/>
      <c r="AH768" s="34"/>
      <c r="AI768" s="43"/>
      <c r="AJ768" s="43"/>
      <c r="AK768" s="34"/>
      <c r="AL768" s="34"/>
      <c r="AM768" s="34"/>
      <c r="AN768" s="34"/>
      <c r="AO768" s="34"/>
      <c r="AP768" s="34"/>
      <c r="AQ768" s="34"/>
      <c r="AR768" s="34"/>
      <c r="AS768" s="34"/>
      <c r="AT768" s="40"/>
      <c r="AU768" s="18"/>
      <c r="AV768" s="34"/>
      <c r="AW768" s="34"/>
      <c r="AX768" s="123"/>
    </row>
    <row r="769" spans="1:50" ht="18.75" customHeight="1" x14ac:dyDescent="0.2">
      <c r="AA769" s="41" t="s">
        <v>1308</v>
      </c>
      <c r="AB769" s="38" t="s">
        <v>1015</v>
      </c>
      <c r="AC769" s="17"/>
      <c r="AD769" s="34">
        <v>0</v>
      </c>
      <c r="AE769" s="34">
        <v>0</v>
      </c>
      <c r="AF769" s="34">
        <v>0</v>
      </c>
      <c r="AG769" s="18">
        <v>212000000</v>
      </c>
      <c r="AH769" s="34">
        <v>0</v>
      </c>
      <c r="AI769" s="43">
        <f>AE769-AF769+AG769-AH769</f>
        <v>212000000</v>
      </c>
      <c r="AJ769" s="43">
        <f>AD769+AI769</f>
        <v>212000000</v>
      </c>
      <c r="AK769" s="18">
        <v>0</v>
      </c>
      <c r="AL769" s="18">
        <f>AM769-OCTUBRE!AL758</f>
        <v>0</v>
      </c>
      <c r="AM769" s="18">
        <v>208300000</v>
      </c>
      <c r="AN769" s="18">
        <v>0</v>
      </c>
      <c r="AO769" s="34">
        <v>0</v>
      </c>
      <c r="AP769" s="34">
        <v>0</v>
      </c>
      <c r="AQ769" s="34">
        <v>0</v>
      </c>
      <c r="AR769" s="34">
        <v>0</v>
      </c>
      <c r="AS769" s="34">
        <v>0</v>
      </c>
      <c r="AT769" s="40">
        <f t="shared" ref="AT769" si="359">AQ769+AS769</f>
        <v>0</v>
      </c>
      <c r="AU769" s="18">
        <f>AJ769-AM769</f>
        <v>3700000</v>
      </c>
      <c r="AV769" s="286">
        <f>AM769-AP769</f>
        <v>208300000</v>
      </c>
      <c r="AW769" s="34">
        <f>AP769-AT769</f>
        <v>0</v>
      </c>
      <c r="AX769" s="123">
        <f>AP769/AJ769</f>
        <v>0</v>
      </c>
    </row>
    <row r="770" spans="1:50" ht="18.75" customHeight="1" x14ac:dyDescent="0.2">
      <c r="AA770" s="16"/>
      <c r="AB770" s="29" t="s">
        <v>179</v>
      </c>
      <c r="AC770" s="17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</row>
    <row r="771" spans="1:50" ht="18.75" customHeight="1" x14ac:dyDescent="0.2">
      <c r="AA771" s="16"/>
      <c r="AB771" s="29" t="s">
        <v>181</v>
      </c>
      <c r="AC771" s="17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</row>
    <row r="772" spans="1:50" x14ac:dyDescent="0.2">
      <c r="AA772" s="16"/>
      <c r="AB772" s="29" t="s">
        <v>530</v>
      </c>
      <c r="AC772" s="17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30"/>
      <c r="AU772" s="18"/>
      <c r="AV772" s="18"/>
      <c r="AW772" s="18"/>
      <c r="AX772" s="18"/>
    </row>
    <row r="773" spans="1:50" ht="25.5" x14ac:dyDescent="0.2">
      <c r="AA773" s="28" t="s">
        <v>288</v>
      </c>
      <c r="AB773" s="29" t="s">
        <v>531</v>
      </c>
      <c r="AC773" s="17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30"/>
      <c r="AU773" s="18"/>
      <c r="AV773" s="18"/>
      <c r="AW773" s="18"/>
      <c r="AX773" s="18"/>
    </row>
    <row r="774" spans="1:50" x14ac:dyDescent="0.2">
      <c r="A774" s="4" t="s">
        <v>55</v>
      </c>
      <c r="B774" s="4" t="s">
        <v>56</v>
      </c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1" t="s">
        <v>532</v>
      </c>
      <c r="AB774" s="42" t="s">
        <v>233</v>
      </c>
      <c r="AC774" s="43" t="s">
        <v>58</v>
      </c>
      <c r="AD774" s="43">
        <v>40000000.659999996</v>
      </c>
      <c r="AE774" s="44">
        <v>0</v>
      </c>
      <c r="AF774" s="44">
        <v>0</v>
      </c>
      <c r="AG774" s="43">
        <f>250000000+102000000</f>
        <v>352000000</v>
      </c>
      <c r="AH774" s="43">
        <f>70000000+32962480</f>
        <v>102962480</v>
      </c>
      <c r="AI774" s="43">
        <f>AE774-AF774+AG774-AH774</f>
        <v>249037520</v>
      </c>
      <c r="AJ774" s="43">
        <f>AD774+AI774</f>
        <v>289037520.65999997</v>
      </c>
      <c r="AK774" s="44">
        <v>0</v>
      </c>
      <c r="AL774" s="43">
        <f>AM774-OCTUBRE!AM763</f>
        <v>99988786.620000005</v>
      </c>
      <c r="AM774" s="43">
        <v>285676306.62</v>
      </c>
      <c r="AN774" s="44">
        <v>0</v>
      </c>
      <c r="AO774" s="44">
        <v>0</v>
      </c>
      <c r="AP774" s="43">
        <v>179537520</v>
      </c>
      <c r="AQ774" s="18">
        <v>0</v>
      </c>
      <c r="AR774" s="34">
        <v>85622520</v>
      </c>
      <c r="AS774" s="34">
        <v>85622520</v>
      </c>
      <c r="AT774" s="40">
        <f t="shared" ref="AT774" si="360">AQ774+AS774</f>
        <v>85622520</v>
      </c>
      <c r="AU774" s="18">
        <f>AJ774-AM774</f>
        <v>3361214.0399999619</v>
      </c>
      <c r="AV774" s="286">
        <f>AM774-AP774</f>
        <v>106138786.62</v>
      </c>
      <c r="AW774" s="18">
        <f>AP774-AT774</f>
        <v>93915000</v>
      </c>
      <c r="AX774" s="123">
        <f>AP774/AJ774</f>
        <v>0.62115644913517376</v>
      </c>
    </row>
    <row r="775" spans="1:50" ht="25.5" x14ac:dyDescent="0.2">
      <c r="AA775" s="28" t="s">
        <v>288</v>
      </c>
      <c r="AB775" s="29" t="s">
        <v>533</v>
      </c>
      <c r="AC775" s="17"/>
      <c r="AD775" s="18"/>
      <c r="AE775" s="34"/>
      <c r="AF775" s="34"/>
      <c r="AG775" s="34"/>
      <c r="AH775" s="34"/>
      <c r="AI775" s="34"/>
      <c r="AJ775" s="18"/>
      <c r="AK775" s="18"/>
      <c r="AL775" s="18"/>
      <c r="AM775" s="18"/>
      <c r="AN775" s="18"/>
      <c r="AO775" s="34"/>
      <c r="AP775" s="18"/>
      <c r="AQ775" s="34"/>
      <c r="AR775" s="34"/>
      <c r="AS775" s="34"/>
      <c r="AT775" s="40"/>
      <c r="AU775" s="18"/>
      <c r="AV775" s="18"/>
      <c r="AW775" s="18"/>
      <c r="AX775" s="123"/>
    </row>
    <row r="776" spans="1:50" x14ac:dyDescent="0.2">
      <c r="A776" s="4" t="s">
        <v>55</v>
      </c>
      <c r="B776" s="4" t="s">
        <v>56</v>
      </c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1" t="s">
        <v>534</v>
      </c>
      <c r="AB776" s="42" t="s">
        <v>233</v>
      </c>
      <c r="AC776" s="43" t="s">
        <v>58</v>
      </c>
      <c r="AD776" s="43">
        <v>100000000</v>
      </c>
      <c r="AE776" s="44">
        <v>0</v>
      </c>
      <c r="AF776" s="44">
        <v>0</v>
      </c>
      <c r="AG776" s="44">
        <v>0</v>
      </c>
      <c r="AH776" s="43">
        <v>4654516</v>
      </c>
      <c r="AI776" s="43">
        <f>AE776-AF776+AG776-AH776</f>
        <v>-4654516</v>
      </c>
      <c r="AJ776" s="43">
        <f>AD776+AI776</f>
        <v>95345484</v>
      </c>
      <c r="AK776" s="44">
        <v>0</v>
      </c>
      <c r="AL776" s="43">
        <f>AM776-OCTUBRE!AM765</f>
        <v>0</v>
      </c>
      <c r="AM776" s="43">
        <v>95345484</v>
      </c>
      <c r="AN776" s="44">
        <v>0</v>
      </c>
      <c r="AO776" s="44">
        <v>47672742</v>
      </c>
      <c r="AP776" s="43">
        <v>95345484</v>
      </c>
      <c r="AQ776" s="34">
        <v>47672742</v>
      </c>
      <c r="AR776" s="34">
        <v>0</v>
      </c>
      <c r="AS776" s="34">
        <v>0</v>
      </c>
      <c r="AT776" s="40">
        <f t="shared" ref="AT776" si="361">AQ776+AS776</f>
        <v>47672742</v>
      </c>
      <c r="AU776" s="34">
        <f>AJ776-AM776</f>
        <v>0</v>
      </c>
      <c r="AV776" s="34">
        <f>AM776-AP776</f>
        <v>0</v>
      </c>
      <c r="AW776" s="18">
        <f>AP776-AT776</f>
        <v>47672742</v>
      </c>
      <c r="AX776" s="123">
        <f>AP776/AJ776</f>
        <v>1</v>
      </c>
    </row>
    <row r="777" spans="1:50" ht="25.5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73" t="s">
        <v>288</v>
      </c>
      <c r="AB777" s="74" t="s">
        <v>1257</v>
      </c>
      <c r="AC777" s="43"/>
      <c r="AD777" s="43"/>
      <c r="AE777" s="44"/>
      <c r="AF777" s="44"/>
      <c r="AG777" s="44"/>
      <c r="AH777" s="44"/>
      <c r="AI777" s="44"/>
      <c r="AJ777" s="43"/>
      <c r="AK777" s="44"/>
      <c r="AL777" s="44"/>
      <c r="AM777" s="43"/>
      <c r="AN777" s="44"/>
      <c r="AO777" s="44"/>
      <c r="AP777" s="44"/>
      <c r="AQ777" s="34"/>
      <c r="AR777" s="34"/>
      <c r="AS777" s="34"/>
      <c r="AT777" s="40"/>
      <c r="AU777" s="18"/>
      <c r="AV777" s="34"/>
      <c r="AW777" s="34"/>
      <c r="AX777" s="123"/>
    </row>
    <row r="778" spans="1:50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1" t="s">
        <v>1258</v>
      </c>
      <c r="AB778" s="42" t="s">
        <v>961</v>
      </c>
      <c r="AC778" s="43"/>
      <c r="AD778" s="44">
        <v>0</v>
      </c>
      <c r="AE778" s="44">
        <v>0</v>
      </c>
      <c r="AF778" s="44">
        <v>0</v>
      </c>
      <c r="AG778" s="43">
        <v>200000000</v>
      </c>
      <c r="AH778" s="43">
        <v>100000000</v>
      </c>
      <c r="AI778" s="43">
        <f>AE778-AF778+AG778-AH778</f>
        <v>100000000</v>
      </c>
      <c r="AJ778" s="142">
        <f>AD778+AI778</f>
        <v>100000000</v>
      </c>
      <c r="AK778" s="44">
        <v>0</v>
      </c>
      <c r="AL778" s="43">
        <f>AM778-OCTUBRE!AM767</f>
        <v>0</v>
      </c>
      <c r="AM778" s="43">
        <v>100000000</v>
      </c>
      <c r="AN778" s="43">
        <v>0</v>
      </c>
      <c r="AO778" s="44">
        <v>0</v>
      </c>
      <c r="AP778" s="44">
        <v>0</v>
      </c>
      <c r="AQ778" s="34">
        <v>0</v>
      </c>
      <c r="AR778" s="34">
        <v>0</v>
      </c>
      <c r="AS778" s="34">
        <v>0</v>
      </c>
      <c r="AT778" s="40">
        <f t="shared" ref="AT778:AT779" si="362">AQ778+AS778</f>
        <v>0</v>
      </c>
      <c r="AU778" s="18">
        <f>AJ778-AM778</f>
        <v>0</v>
      </c>
      <c r="AV778" s="18">
        <f>AM778-AP778</f>
        <v>100000000</v>
      </c>
      <c r="AW778" s="34">
        <f>AP778-AT778</f>
        <v>0</v>
      </c>
      <c r="AX778" s="123">
        <f>AP778/AJ778</f>
        <v>0</v>
      </c>
    </row>
    <row r="779" spans="1:50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1" t="s">
        <v>1405</v>
      </c>
      <c r="AB779" s="42" t="s">
        <v>1015</v>
      </c>
      <c r="AC779" s="43"/>
      <c r="AD779" s="44">
        <v>0</v>
      </c>
      <c r="AE779" s="44">
        <v>0</v>
      </c>
      <c r="AF779" s="44">
        <v>0</v>
      </c>
      <c r="AG779" s="43">
        <v>108000000</v>
      </c>
      <c r="AH779" s="43">
        <v>0</v>
      </c>
      <c r="AI779" s="43">
        <f>AE779-AF779+AG779-AH779</f>
        <v>108000000</v>
      </c>
      <c r="AJ779" s="142">
        <f>AD779+AI779</f>
        <v>108000000</v>
      </c>
      <c r="AK779" s="44">
        <v>0</v>
      </c>
      <c r="AL779" s="43">
        <f>AM779-OCTUBRE!AM768</f>
        <v>0</v>
      </c>
      <c r="AM779" s="43">
        <v>107997610</v>
      </c>
      <c r="AN779" s="44">
        <v>0</v>
      </c>
      <c r="AO779" s="44">
        <v>0</v>
      </c>
      <c r="AP779" s="44">
        <v>0</v>
      </c>
      <c r="AQ779" s="34">
        <v>0</v>
      </c>
      <c r="AR779" s="34">
        <v>0</v>
      </c>
      <c r="AS779" s="34">
        <v>0</v>
      </c>
      <c r="AT779" s="40">
        <f t="shared" si="362"/>
        <v>0</v>
      </c>
      <c r="AU779" s="18">
        <f>AJ779-AM779</f>
        <v>2390</v>
      </c>
      <c r="AV779" s="18">
        <f>AM779-AP779</f>
        <v>107997610</v>
      </c>
      <c r="AW779" s="34">
        <f>AP779-AT779</f>
        <v>0</v>
      </c>
      <c r="AX779" s="123">
        <f>AP779/AJ779</f>
        <v>0</v>
      </c>
    </row>
    <row r="780" spans="1:50" x14ac:dyDescent="0.2">
      <c r="AA780" s="16"/>
      <c r="AB780" s="17"/>
      <c r="AC780" s="17"/>
      <c r="AD780" s="18"/>
      <c r="AE780" s="34"/>
      <c r="AF780" s="34"/>
      <c r="AG780" s="34"/>
      <c r="AH780" s="34"/>
      <c r="AI780" s="34"/>
      <c r="AJ780" s="18"/>
      <c r="AK780" s="34"/>
      <c r="AL780" s="34"/>
      <c r="AM780" s="34"/>
      <c r="AN780" s="34"/>
      <c r="AO780" s="34"/>
      <c r="AP780" s="34"/>
      <c r="AQ780" s="18"/>
      <c r="AR780" s="18"/>
      <c r="AS780" s="18"/>
      <c r="AT780" s="31"/>
      <c r="AU780" s="18"/>
      <c r="AV780" s="34"/>
      <c r="AW780" s="34"/>
      <c r="AX780" s="18"/>
    </row>
    <row r="781" spans="1:50" ht="25.5" x14ac:dyDescent="0.2">
      <c r="AA781" s="16"/>
      <c r="AB781" s="29" t="s">
        <v>183</v>
      </c>
      <c r="AC781" s="17"/>
      <c r="AD781" s="18"/>
      <c r="AE781" s="34"/>
      <c r="AF781" s="34"/>
      <c r="AG781" s="34"/>
      <c r="AH781" s="34"/>
      <c r="AI781" s="34"/>
      <c r="AJ781" s="18"/>
      <c r="AK781" s="34"/>
      <c r="AL781" s="34"/>
      <c r="AM781" s="34"/>
      <c r="AN781" s="34"/>
      <c r="AO781" s="34"/>
      <c r="AP781" s="34"/>
      <c r="AQ781" s="18"/>
      <c r="AR781" s="18"/>
      <c r="AS781" s="18"/>
      <c r="AT781" s="31"/>
      <c r="AU781" s="18"/>
      <c r="AV781" s="34"/>
      <c r="AW781" s="34"/>
      <c r="AX781" s="18"/>
    </row>
    <row r="782" spans="1:50" ht="25.5" x14ac:dyDescent="0.2">
      <c r="AA782" s="28" t="s">
        <v>288</v>
      </c>
      <c r="AB782" s="29" t="s">
        <v>535</v>
      </c>
      <c r="AC782" s="17"/>
      <c r="AD782" s="18"/>
      <c r="AE782" s="34"/>
      <c r="AF782" s="34"/>
      <c r="AG782" s="34"/>
      <c r="AH782" s="34"/>
      <c r="AI782" s="34"/>
      <c r="AJ782" s="18"/>
      <c r="AK782" s="34"/>
      <c r="AL782" s="34"/>
      <c r="AM782" s="34"/>
      <c r="AN782" s="34"/>
      <c r="AO782" s="34"/>
      <c r="AP782" s="34"/>
      <c r="AQ782" s="18"/>
      <c r="AR782" s="18"/>
      <c r="AS782" s="18"/>
      <c r="AT782" s="31"/>
      <c r="AU782" s="18"/>
      <c r="AV782" s="34"/>
      <c r="AW782" s="34"/>
      <c r="AX782" s="18"/>
    </row>
    <row r="783" spans="1:50" x14ac:dyDescent="0.2">
      <c r="A783" s="4" t="s">
        <v>55</v>
      </c>
      <c r="B783" s="4" t="s">
        <v>56</v>
      </c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1" t="s">
        <v>536</v>
      </c>
      <c r="AB783" s="42" t="s">
        <v>233</v>
      </c>
      <c r="AC783" s="43" t="s">
        <v>58</v>
      </c>
      <c r="AD783" s="43">
        <v>246000000</v>
      </c>
      <c r="AE783" s="44">
        <v>0</v>
      </c>
      <c r="AF783" s="44">
        <v>0</v>
      </c>
      <c r="AG783" s="43">
        <f>200000000+187705246</f>
        <v>387705246</v>
      </c>
      <c r="AH783" s="44">
        <v>0</v>
      </c>
      <c r="AI783" s="43">
        <f>AE783-AF783+AG783-AH783</f>
        <v>387705246</v>
      </c>
      <c r="AJ783" s="43">
        <f>AD783+AI783</f>
        <v>633705246</v>
      </c>
      <c r="AK783" s="44">
        <v>0</v>
      </c>
      <c r="AL783" s="44">
        <f>AM783-OCTUBRE!AM772</f>
        <v>0</v>
      </c>
      <c r="AM783" s="43">
        <v>587645703.83000004</v>
      </c>
      <c r="AN783" s="44">
        <v>0</v>
      </c>
      <c r="AO783" s="43">
        <v>141645703.83000001</v>
      </c>
      <c r="AP783" s="43">
        <v>587645703.83000004</v>
      </c>
      <c r="AQ783" s="44">
        <v>0</v>
      </c>
      <c r="AR783" s="43">
        <v>54270048.740000002</v>
      </c>
      <c r="AS783" s="43">
        <v>446000000</v>
      </c>
      <c r="AT783" s="39">
        <f t="shared" ref="AT783:AT788" si="363">AQ783+AS783</f>
        <v>446000000</v>
      </c>
      <c r="AU783" s="18">
        <f t="shared" ref="AU783:AU786" si="364">AJ783-AM783</f>
        <v>46059542.169999957</v>
      </c>
      <c r="AV783" s="286">
        <f t="shared" ref="AV783:AV786" si="365">AM783-AP783</f>
        <v>0</v>
      </c>
      <c r="AW783" s="18">
        <f t="shared" ref="AW783:AW786" si="366">AP783-AT783</f>
        <v>141645703.83000004</v>
      </c>
      <c r="AX783" s="123">
        <f t="shared" ref="AX783:AX786" si="367">AP783/AJ783</f>
        <v>0.92731708872424268</v>
      </c>
    </row>
    <row r="784" spans="1:50" x14ac:dyDescent="0.2">
      <c r="A784" s="4" t="s">
        <v>55</v>
      </c>
      <c r="B784" s="4" t="s">
        <v>56</v>
      </c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1" t="s">
        <v>537</v>
      </c>
      <c r="AB784" s="42" t="s">
        <v>538</v>
      </c>
      <c r="AC784" s="43" t="s">
        <v>253</v>
      </c>
      <c r="AD784" s="43">
        <v>603350727</v>
      </c>
      <c r="AE784" s="44">
        <v>0</v>
      </c>
      <c r="AF784" s="44">
        <v>0</v>
      </c>
      <c r="AG784" s="44">
        <v>0</v>
      </c>
      <c r="AH784" s="44">
        <v>0</v>
      </c>
      <c r="AI784" s="44">
        <v>0</v>
      </c>
      <c r="AJ784" s="43">
        <v>603350727</v>
      </c>
      <c r="AK784" s="44">
        <v>0</v>
      </c>
      <c r="AL784" s="44">
        <f>AM784-OCTUBRE!AM773</f>
        <v>0</v>
      </c>
      <c r="AM784" s="43">
        <v>603350726</v>
      </c>
      <c r="AN784" s="44">
        <v>0</v>
      </c>
      <c r="AO784" s="43">
        <v>0</v>
      </c>
      <c r="AP784" s="43">
        <v>603350726</v>
      </c>
      <c r="AQ784" s="44">
        <v>0</v>
      </c>
      <c r="AR784" s="43">
        <v>152338480.38999999</v>
      </c>
      <c r="AS784" s="43">
        <v>603349699.48000002</v>
      </c>
      <c r="AT784" s="39">
        <f t="shared" si="363"/>
        <v>603349699.48000002</v>
      </c>
      <c r="AU784" s="18">
        <f t="shared" si="364"/>
        <v>1</v>
      </c>
      <c r="AV784" s="34">
        <f t="shared" si="365"/>
        <v>0</v>
      </c>
      <c r="AW784" s="18">
        <f t="shared" si="366"/>
        <v>1026.5199999809265</v>
      </c>
      <c r="AX784" s="123">
        <f t="shared" si="367"/>
        <v>0.99999999834258924</v>
      </c>
    </row>
    <row r="785" spans="1:50" ht="25.5" x14ac:dyDescent="0.2">
      <c r="A785" s="4" t="s">
        <v>55</v>
      </c>
      <c r="B785" s="4" t="s">
        <v>56</v>
      </c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1" t="s">
        <v>539</v>
      </c>
      <c r="AB785" s="42" t="s">
        <v>540</v>
      </c>
      <c r="AC785" s="43" t="s">
        <v>253</v>
      </c>
      <c r="AD785" s="43">
        <v>850649274</v>
      </c>
      <c r="AE785" s="44">
        <v>0</v>
      </c>
      <c r="AF785" s="44">
        <v>0</v>
      </c>
      <c r="AG785" s="44">
        <v>0</v>
      </c>
      <c r="AH785" s="44">
        <v>0</v>
      </c>
      <c r="AI785" s="44">
        <v>0</v>
      </c>
      <c r="AJ785" s="43">
        <v>850649274</v>
      </c>
      <c r="AK785" s="44">
        <v>0</v>
      </c>
      <c r="AL785" s="44">
        <f>AM785-OCTUBRE!AM774</f>
        <v>0</v>
      </c>
      <c r="AM785" s="43">
        <v>369641575.10000002</v>
      </c>
      <c r="AN785" s="44">
        <v>0</v>
      </c>
      <c r="AO785" s="43">
        <v>0</v>
      </c>
      <c r="AP785" s="43">
        <v>369641575.10000002</v>
      </c>
      <c r="AQ785" s="44">
        <v>0</v>
      </c>
      <c r="AR785" s="43">
        <v>155383144.11000001</v>
      </c>
      <c r="AS785" s="43">
        <v>369641575.10000002</v>
      </c>
      <c r="AT785" s="39">
        <f t="shared" si="363"/>
        <v>369641575.10000002</v>
      </c>
      <c r="AU785" s="18">
        <f t="shared" si="364"/>
        <v>481007698.89999998</v>
      </c>
      <c r="AV785" s="34">
        <f t="shared" si="365"/>
        <v>0</v>
      </c>
      <c r="AW785" s="18">
        <f t="shared" si="366"/>
        <v>0</v>
      </c>
      <c r="AX785" s="123">
        <f t="shared" si="367"/>
        <v>0.43454051675355926</v>
      </c>
    </row>
    <row r="786" spans="1:50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1" t="s">
        <v>1087</v>
      </c>
      <c r="AB786" s="42" t="s">
        <v>1015</v>
      </c>
      <c r="AC786" s="43"/>
      <c r="AD786" s="44">
        <v>0</v>
      </c>
      <c r="AE786" s="43">
        <v>800000000</v>
      </c>
      <c r="AF786" s="44">
        <v>0</v>
      </c>
      <c r="AG786" s="44">
        <v>0</v>
      </c>
      <c r="AH786" s="43">
        <v>166521000</v>
      </c>
      <c r="AI786" s="43">
        <f>AE786-AF786+AG786-AH786</f>
        <v>633479000</v>
      </c>
      <c r="AJ786" s="43">
        <f>AD786+AI786</f>
        <v>633479000</v>
      </c>
      <c r="AK786" s="44">
        <v>0</v>
      </c>
      <c r="AL786" s="44">
        <f>AM786-OCTUBRE!AM775</f>
        <v>0</v>
      </c>
      <c r="AM786" s="43">
        <v>633396745</v>
      </c>
      <c r="AN786" s="44">
        <v>0</v>
      </c>
      <c r="AO786" s="43">
        <v>633396628.94000006</v>
      </c>
      <c r="AP786" s="43">
        <v>633396628.94000006</v>
      </c>
      <c r="AQ786" s="44">
        <v>0</v>
      </c>
      <c r="AR786" s="43">
        <v>0</v>
      </c>
      <c r="AS786" s="43">
        <v>0</v>
      </c>
      <c r="AT786" s="39">
        <f t="shared" si="363"/>
        <v>0</v>
      </c>
      <c r="AU786" s="18">
        <f t="shared" si="364"/>
        <v>82255</v>
      </c>
      <c r="AV786" s="286">
        <f t="shared" si="365"/>
        <v>116.05999994277954</v>
      </c>
      <c r="AW786" s="18">
        <f t="shared" si="366"/>
        <v>633396628.94000006</v>
      </c>
      <c r="AX786" s="123">
        <f t="shared" si="367"/>
        <v>0.99986997033840119</v>
      </c>
    </row>
    <row r="787" spans="1:50" ht="25.5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1" t="s">
        <v>1323</v>
      </c>
      <c r="AB787" s="42" t="s">
        <v>1324</v>
      </c>
      <c r="AC787" s="43"/>
      <c r="AD787" s="44">
        <v>0</v>
      </c>
      <c r="AE787" s="44">
        <v>0</v>
      </c>
      <c r="AF787" s="44">
        <v>0</v>
      </c>
      <c r="AG787" s="43">
        <f>443349582+74942912</f>
        <v>518292494</v>
      </c>
      <c r="AH787" s="44">
        <v>0</v>
      </c>
      <c r="AI787" s="43">
        <f>AE787-AF787+AG787-AH787</f>
        <v>518292494</v>
      </c>
      <c r="AJ787" s="43">
        <f>AD787+AI787</f>
        <v>518292494</v>
      </c>
      <c r="AK787" s="44">
        <v>0</v>
      </c>
      <c r="AL787" s="44">
        <f>AM787-OCTUBRE!AM776</f>
        <v>0</v>
      </c>
      <c r="AM787" s="43">
        <v>518292494</v>
      </c>
      <c r="AN787" s="44">
        <v>0</v>
      </c>
      <c r="AO787" s="43">
        <v>518292494</v>
      </c>
      <c r="AP787" s="43">
        <v>518292494</v>
      </c>
      <c r="AQ787" s="44">
        <v>0</v>
      </c>
      <c r="AR787" s="43">
        <v>234040940.22999999</v>
      </c>
      <c r="AS787" s="43">
        <v>234040940.22999999</v>
      </c>
      <c r="AT787" s="39">
        <f t="shared" si="363"/>
        <v>234040940.22999999</v>
      </c>
      <c r="AU787" s="34">
        <f>AJ787-AM787</f>
        <v>0</v>
      </c>
      <c r="AV787" s="34">
        <f>AM787-AP787</f>
        <v>0</v>
      </c>
      <c r="AW787" s="18">
        <f>AP787-AT787</f>
        <v>284251553.76999998</v>
      </c>
      <c r="AX787" s="123">
        <f>AP787/AJ787</f>
        <v>1</v>
      </c>
    </row>
    <row r="788" spans="1:50" ht="25.5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1" t="s">
        <v>1406</v>
      </c>
      <c r="AB788" s="42" t="s">
        <v>1407</v>
      </c>
      <c r="AC788" s="43"/>
      <c r="AD788" s="44">
        <v>0</v>
      </c>
      <c r="AE788" s="44">
        <v>0</v>
      </c>
      <c r="AF788" s="44">
        <v>0</v>
      </c>
      <c r="AG788" s="43">
        <v>49245310</v>
      </c>
      <c r="AH788" s="44">
        <v>0</v>
      </c>
      <c r="AI788" s="43">
        <f>AE788-AF788+AG788-AH788</f>
        <v>49245310</v>
      </c>
      <c r="AJ788" s="43">
        <f>AD788+AI788</f>
        <v>49245310</v>
      </c>
      <c r="AK788" s="44">
        <v>0</v>
      </c>
      <c r="AL788" s="44">
        <f>AM788-OCTUBRE!AM777</f>
        <v>0</v>
      </c>
      <c r="AM788" s="43">
        <v>49245310</v>
      </c>
      <c r="AN788" s="44">
        <v>0</v>
      </c>
      <c r="AO788" s="43">
        <v>49245310</v>
      </c>
      <c r="AP788" s="43">
        <v>49245310</v>
      </c>
      <c r="AQ788" s="44">
        <v>0</v>
      </c>
      <c r="AR788" s="44">
        <v>0</v>
      </c>
      <c r="AS788" s="44">
        <v>0</v>
      </c>
      <c r="AT788" s="40">
        <f t="shared" si="363"/>
        <v>0</v>
      </c>
      <c r="AU788" s="34">
        <f>AJ788-AM788</f>
        <v>0</v>
      </c>
      <c r="AV788" s="34">
        <f>AM788-AP788</f>
        <v>0</v>
      </c>
      <c r="AW788" s="18">
        <f>AP788-AT788</f>
        <v>49245310</v>
      </c>
      <c r="AX788" s="123">
        <f>AP788/AJ788</f>
        <v>1</v>
      </c>
    </row>
    <row r="789" spans="1:50" ht="25.5" customHeight="1" x14ac:dyDescent="0.2">
      <c r="AA789" s="41"/>
      <c r="AB789" s="29" t="s">
        <v>1309</v>
      </c>
      <c r="AC789" s="17"/>
      <c r="AD789" s="34"/>
      <c r="AE789" s="34"/>
      <c r="AF789" s="34"/>
      <c r="AG789" s="18"/>
      <c r="AH789" s="34"/>
      <c r="AI789" s="43"/>
      <c r="AJ789" s="43"/>
      <c r="AK789" s="34"/>
      <c r="AL789" s="34"/>
      <c r="AM789" s="18"/>
      <c r="AN789" s="18"/>
      <c r="AO789" s="18"/>
      <c r="AP789" s="18"/>
      <c r="AQ789" s="18"/>
      <c r="AR789" s="18"/>
      <c r="AS789" s="18"/>
      <c r="AT789" s="40"/>
      <c r="AU789" s="18"/>
      <c r="AV789" s="34"/>
      <c r="AW789" s="34"/>
      <c r="AX789" s="123"/>
    </row>
    <row r="790" spans="1:50" ht="18.75" customHeight="1" x14ac:dyDescent="0.2">
      <c r="AA790" s="41" t="s">
        <v>1310</v>
      </c>
      <c r="AB790" s="38" t="s">
        <v>1015</v>
      </c>
      <c r="AC790" s="17"/>
      <c r="AD790" s="34">
        <v>0</v>
      </c>
      <c r="AE790" s="34">
        <v>0</v>
      </c>
      <c r="AF790" s="34">
        <v>0</v>
      </c>
      <c r="AG790" s="18">
        <v>50521000</v>
      </c>
      <c r="AH790" s="34">
        <v>0</v>
      </c>
      <c r="AI790" s="43">
        <f t="shared" ref="AI790:AI791" si="368">AE790-AF790+AG790-AH790</f>
        <v>50521000</v>
      </c>
      <c r="AJ790" s="43">
        <f t="shared" ref="AJ790:AJ791" si="369">AD790+AI790</f>
        <v>50521000</v>
      </c>
      <c r="AK790" s="44">
        <v>0</v>
      </c>
      <c r="AL790" s="44">
        <f>AM790-OCTUBRE!AM779</f>
        <v>0</v>
      </c>
      <c r="AM790" s="43">
        <v>43784325</v>
      </c>
      <c r="AN790" s="44">
        <v>0</v>
      </c>
      <c r="AO790" s="44">
        <v>43784325</v>
      </c>
      <c r="AP790" s="44">
        <v>43784325</v>
      </c>
      <c r="AQ790" s="44">
        <v>0</v>
      </c>
      <c r="AR790" s="44">
        <v>0</v>
      </c>
      <c r="AS790" s="34">
        <v>0</v>
      </c>
      <c r="AT790" s="40">
        <f t="shared" ref="AT790:AT791" si="370">AQ790+AS790</f>
        <v>0</v>
      </c>
      <c r="AU790" s="18">
        <f t="shared" ref="AU790:AU791" si="371">AJ790-AM790</f>
        <v>6736675</v>
      </c>
      <c r="AV790" s="34">
        <f t="shared" ref="AV790:AV791" si="372">AM790-AP790</f>
        <v>0</v>
      </c>
      <c r="AW790" s="18">
        <f t="shared" ref="AW790:AW791" si="373">AP790-AT790</f>
        <v>43784325</v>
      </c>
      <c r="AX790" s="123">
        <f t="shared" ref="AX790:AX791" si="374">AP790/AJ790</f>
        <v>0.86665594505255239</v>
      </c>
    </row>
    <row r="791" spans="1:50" ht="28.5" customHeight="1" x14ac:dyDescent="0.2">
      <c r="AA791" s="41" t="s">
        <v>1311</v>
      </c>
      <c r="AB791" s="251" t="s">
        <v>1312</v>
      </c>
      <c r="AC791" s="17"/>
      <c r="AD791" s="34">
        <v>0</v>
      </c>
      <c r="AE791" s="34">
        <v>0</v>
      </c>
      <c r="AF791" s="34">
        <v>0</v>
      </c>
      <c r="AG791" s="18">
        <v>18479000</v>
      </c>
      <c r="AH791" s="34">
        <v>0</v>
      </c>
      <c r="AI791" s="43">
        <f t="shared" si="368"/>
        <v>18479000</v>
      </c>
      <c r="AJ791" s="43">
        <f t="shared" si="369"/>
        <v>18479000</v>
      </c>
      <c r="AK791" s="44">
        <v>0</v>
      </c>
      <c r="AL791" s="44">
        <f>AM791-OCTUBRE!AM780</f>
        <v>0</v>
      </c>
      <c r="AM791" s="43">
        <v>18383120</v>
      </c>
      <c r="AN791" s="44">
        <v>0</v>
      </c>
      <c r="AO791" s="43">
        <v>18383120</v>
      </c>
      <c r="AP791" s="43">
        <v>18383120</v>
      </c>
      <c r="AQ791" s="44">
        <v>0</v>
      </c>
      <c r="AR791" s="44">
        <v>0</v>
      </c>
      <c r="AS791" s="34">
        <v>0</v>
      </c>
      <c r="AT791" s="40">
        <f t="shared" si="370"/>
        <v>0</v>
      </c>
      <c r="AU791" s="18">
        <f t="shared" si="371"/>
        <v>95880</v>
      </c>
      <c r="AV791" s="34">
        <f t="shared" si="372"/>
        <v>0</v>
      </c>
      <c r="AW791" s="18">
        <f t="shared" si="373"/>
        <v>18383120</v>
      </c>
      <c r="AX791" s="123">
        <f t="shared" si="374"/>
        <v>0.99481140754369823</v>
      </c>
    </row>
    <row r="792" spans="1:50" x14ac:dyDescent="0.2">
      <c r="AA792" s="41"/>
      <c r="AB792" s="29" t="s">
        <v>1313</v>
      </c>
      <c r="AC792" s="17"/>
      <c r="AD792" s="34"/>
      <c r="AE792" s="34"/>
      <c r="AF792" s="34"/>
      <c r="AG792" s="18"/>
      <c r="AH792" s="34"/>
      <c r="AI792" s="43"/>
      <c r="AJ792" s="43"/>
      <c r="AK792" s="34"/>
      <c r="AL792" s="34"/>
      <c r="AM792" s="18"/>
      <c r="AN792" s="18"/>
      <c r="AO792" s="18"/>
      <c r="AP792" s="18"/>
      <c r="AQ792" s="18"/>
      <c r="AR792" s="18"/>
      <c r="AS792" s="34"/>
      <c r="AT792" s="40"/>
      <c r="AU792" s="18"/>
      <c r="AV792" s="34"/>
      <c r="AW792" s="18"/>
      <c r="AX792" s="123"/>
    </row>
    <row r="793" spans="1:50" ht="28.5" customHeight="1" x14ac:dyDescent="0.2">
      <c r="AA793" s="41" t="s">
        <v>1314</v>
      </c>
      <c r="AB793" s="251" t="s">
        <v>1312</v>
      </c>
      <c r="AC793" s="17"/>
      <c r="AD793" s="34">
        <v>0</v>
      </c>
      <c r="AE793" s="34">
        <v>0</v>
      </c>
      <c r="AF793" s="34">
        <v>0</v>
      </c>
      <c r="AG793" s="18">
        <v>25000000</v>
      </c>
      <c r="AH793" s="34">
        <v>0</v>
      </c>
      <c r="AI793" s="43">
        <f t="shared" ref="AI793" si="375">AE793-AF793+AG793-AH793</f>
        <v>25000000</v>
      </c>
      <c r="AJ793" s="43">
        <f t="shared" ref="AJ793" si="376">AD793+AI793</f>
        <v>25000000</v>
      </c>
      <c r="AK793" s="34">
        <v>0</v>
      </c>
      <c r="AL793" s="44">
        <f>AM793-OCTUBRE!AM782</f>
        <v>0</v>
      </c>
      <c r="AM793" s="18">
        <v>23821836</v>
      </c>
      <c r="AN793" s="34">
        <v>0</v>
      </c>
      <c r="AO793" s="18">
        <v>23821836</v>
      </c>
      <c r="AP793" s="18">
        <v>23821836</v>
      </c>
      <c r="AQ793" s="34">
        <v>0</v>
      </c>
      <c r="AR793" s="34">
        <v>0</v>
      </c>
      <c r="AS793" s="34">
        <v>0</v>
      </c>
      <c r="AT793" s="40">
        <f t="shared" ref="AT793" si="377">AQ793+AS793</f>
        <v>0</v>
      </c>
      <c r="AU793" s="18">
        <f t="shared" ref="AU793" si="378">AJ793-AM793</f>
        <v>1178164</v>
      </c>
      <c r="AV793" s="34">
        <f t="shared" ref="AV793" si="379">AM793-AP793</f>
        <v>0</v>
      </c>
      <c r="AW793" s="18">
        <f t="shared" ref="AW793" si="380">AP793-AT793</f>
        <v>23821836</v>
      </c>
      <c r="AX793" s="123">
        <f t="shared" ref="AX793" si="381">AP793/AJ793</f>
        <v>0.95287343999999996</v>
      </c>
    </row>
    <row r="794" spans="1:50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1"/>
      <c r="AB794" s="42"/>
      <c r="AC794" s="43"/>
      <c r="AD794" s="44"/>
      <c r="AE794" s="43"/>
      <c r="AF794" s="44"/>
      <c r="AG794" s="44"/>
      <c r="AH794" s="43"/>
      <c r="AI794" s="43"/>
      <c r="AJ794" s="43"/>
      <c r="AK794" s="44"/>
      <c r="AL794" s="44"/>
      <c r="AM794" s="44"/>
      <c r="AN794" s="44"/>
      <c r="AO794" s="43"/>
      <c r="AP794" s="43"/>
      <c r="AQ794" s="44"/>
      <c r="AR794" s="44"/>
      <c r="AS794" s="44"/>
      <c r="AT794" s="40"/>
      <c r="AU794" s="18"/>
      <c r="AV794" s="34"/>
      <c r="AW794" s="18"/>
      <c r="AX794" s="123"/>
    </row>
    <row r="795" spans="1:50" ht="25.5" x14ac:dyDescent="0.2">
      <c r="AA795" s="73" t="s">
        <v>288</v>
      </c>
      <c r="AB795" s="74" t="s">
        <v>1222</v>
      </c>
      <c r="AC795" s="17"/>
      <c r="AD795" s="34"/>
      <c r="AE795" s="34"/>
      <c r="AF795" s="34"/>
      <c r="AG795" s="34"/>
      <c r="AH795" s="34"/>
      <c r="AI795" s="34"/>
      <c r="AJ795" s="18"/>
      <c r="AK795" s="34"/>
      <c r="AL795" s="34"/>
      <c r="AM795" s="34"/>
      <c r="AN795" s="34"/>
      <c r="AO795" s="18"/>
      <c r="AP795" s="18"/>
      <c r="AQ795" s="34"/>
      <c r="AR795" s="34"/>
      <c r="AS795" s="18"/>
      <c r="AT795" s="30"/>
      <c r="AU795" s="18"/>
      <c r="AV795" s="34"/>
      <c r="AW795" s="18"/>
      <c r="AX795" s="18"/>
    </row>
    <row r="796" spans="1:50" x14ac:dyDescent="0.2">
      <c r="AA796" s="41" t="s">
        <v>1223</v>
      </c>
      <c r="AB796" s="42" t="s">
        <v>961</v>
      </c>
      <c r="AC796" s="17"/>
      <c r="AD796" s="34">
        <v>0</v>
      </c>
      <c r="AE796" s="34">
        <v>0</v>
      </c>
      <c r="AF796" s="34">
        <v>0</v>
      </c>
      <c r="AG796" s="18">
        <v>115200000</v>
      </c>
      <c r="AH796" s="34">
        <v>0</v>
      </c>
      <c r="AI796" s="43">
        <f>AE796-AF796+AG796-AH796</f>
        <v>115200000</v>
      </c>
      <c r="AJ796" s="43">
        <f>AD796+AI796</f>
        <v>115200000</v>
      </c>
      <c r="AK796" s="34">
        <v>0</v>
      </c>
      <c r="AL796" s="44">
        <f>AM796-OCTUBRE!AM785</f>
        <v>0</v>
      </c>
      <c r="AM796" s="18">
        <v>32864331</v>
      </c>
      <c r="AN796" s="34">
        <v>0</v>
      </c>
      <c r="AO796" s="18">
        <v>0</v>
      </c>
      <c r="AP796" s="18">
        <v>32864331</v>
      </c>
      <c r="AQ796" s="34">
        <v>0</v>
      </c>
      <c r="AR796" s="34">
        <v>0</v>
      </c>
      <c r="AS796" s="34">
        <v>0</v>
      </c>
      <c r="AT796" s="40">
        <f t="shared" ref="AT796" si="382">AQ796+AS796</f>
        <v>0</v>
      </c>
      <c r="AU796" s="18">
        <f>AJ796-AM796</f>
        <v>82335669</v>
      </c>
      <c r="AV796" s="18">
        <f>AM796-AP796</f>
        <v>0</v>
      </c>
      <c r="AW796" s="18">
        <f>AP796-AT796</f>
        <v>32864331</v>
      </c>
      <c r="AX796" s="123">
        <f>AP796/AJ796</f>
        <v>0.28528065104166667</v>
      </c>
    </row>
    <row r="797" spans="1:50" ht="25.5" x14ac:dyDescent="0.2">
      <c r="AA797" s="41"/>
      <c r="AB797" s="74" t="s">
        <v>1326</v>
      </c>
      <c r="AC797" s="17"/>
      <c r="AD797" s="34"/>
      <c r="AE797" s="34"/>
      <c r="AF797" s="34"/>
      <c r="AG797" s="18"/>
      <c r="AH797" s="34"/>
      <c r="AI797" s="43"/>
      <c r="AJ797" s="43"/>
      <c r="AK797" s="34"/>
      <c r="AL797" s="34"/>
      <c r="AM797" s="34"/>
      <c r="AN797" s="34"/>
      <c r="AO797" s="34"/>
      <c r="AP797" s="34"/>
      <c r="AQ797" s="34"/>
      <c r="AR797" s="34"/>
      <c r="AS797" s="34"/>
      <c r="AT797" s="40"/>
      <c r="AU797" s="18"/>
      <c r="AV797" s="34"/>
      <c r="AW797" s="34"/>
      <c r="AX797" s="123"/>
    </row>
    <row r="798" spans="1:50" x14ac:dyDescent="0.2">
      <c r="AA798" s="73" t="s">
        <v>288</v>
      </c>
      <c r="AB798" s="74" t="s">
        <v>1327</v>
      </c>
      <c r="AC798" s="17"/>
      <c r="AD798" s="34"/>
      <c r="AE798" s="34"/>
      <c r="AF798" s="34"/>
      <c r="AG798" s="18"/>
      <c r="AH798" s="34"/>
      <c r="AI798" s="43"/>
      <c r="AJ798" s="43"/>
      <c r="AK798" s="34"/>
      <c r="AL798" s="34"/>
      <c r="AM798" s="34"/>
      <c r="AN798" s="34"/>
      <c r="AO798" s="34"/>
      <c r="AP798" s="34"/>
      <c r="AQ798" s="34"/>
      <c r="AR798" s="34"/>
      <c r="AS798" s="34"/>
      <c r="AT798" s="40"/>
      <c r="AU798" s="18"/>
      <c r="AV798" s="34"/>
      <c r="AW798" s="34"/>
      <c r="AX798" s="123"/>
    </row>
    <row r="799" spans="1:50" x14ac:dyDescent="0.2">
      <c r="AA799" s="41" t="s">
        <v>311</v>
      </c>
      <c r="AB799" s="42" t="s">
        <v>961</v>
      </c>
      <c r="AC799" s="17"/>
      <c r="AD799" s="34">
        <v>0</v>
      </c>
      <c r="AE799" s="34">
        <v>0</v>
      </c>
      <c r="AF799" s="34">
        <v>0</v>
      </c>
      <c r="AG799" s="18">
        <v>100000000</v>
      </c>
      <c r="AH799" s="34">
        <v>0</v>
      </c>
      <c r="AI799" s="43">
        <f>AE799-AF799+AG799-AH799</f>
        <v>100000000</v>
      </c>
      <c r="AJ799" s="142">
        <f>AD799+AI799</f>
        <v>100000000</v>
      </c>
      <c r="AK799" s="34">
        <v>0</v>
      </c>
      <c r="AL799" s="44">
        <f>AM799-OCTUBRE!AM788</f>
        <v>0</v>
      </c>
      <c r="AM799" s="18">
        <v>50000000</v>
      </c>
      <c r="AN799" s="18">
        <v>0</v>
      </c>
      <c r="AO799" s="34">
        <v>0</v>
      </c>
      <c r="AP799" s="34">
        <v>0</v>
      </c>
      <c r="AQ799" s="34">
        <v>0</v>
      </c>
      <c r="AR799" s="34">
        <v>0</v>
      </c>
      <c r="AS799" s="34">
        <v>0</v>
      </c>
      <c r="AT799" s="40">
        <f t="shared" ref="AT799" si="383">AQ799+AS799</f>
        <v>0</v>
      </c>
      <c r="AU799" s="18">
        <f>AJ799-AM799</f>
        <v>50000000</v>
      </c>
      <c r="AV799" s="18">
        <f>AM799-AP799</f>
        <v>50000000</v>
      </c>
      <c r="AW799" s="34">
        <f>AP799-AT799</f>
        <v>0</v>
      </c>
      <c r="AX799" s="123">
        <f>AP799/AJ799</f>
        <v>0</v>
      </c>
    </row>
    <row r="800" spans="1:50" x14ac:dyDescent="0.2">
      <c r="AA800" s="16"/>
      <c r="AB800" s="29" t="s">
        <v>199</v>
      </c>
      <c r="AC800" s="17"/>
      <c r="AD800" s="18"/>
      <c r="AE800" s="34"/>
      <c r="AF800" s="34"/>
      <c r="AG800" s="34"/>
      <c r="AH800" s="34"/>
      <c r="AI800" s="34"/>
      <c r="AJ800" s="18"/>
      <c r="AK800" s="34"/>
      <c r="AL800" s="34"/>
      <c r="AM800" s="18"/>
      <c r="AN800" s="18"/>
      <c r="AO800" s="18"/>
      <c r="AP800" s="18"/>
      <c r="AQ800" s="18"/>
      <c r="AR800" s="18"/>
      <c r="AS800" s="18"/>
      <c r="AT800" s="30"/>
      <c r="AU800" s="18"/>
      <c r="AV800" s="34"/>
      <c r="AW800" s="18"/>
      <c r="AX800" s="18"/>
    </row>
    <row r="801" spans="1:50" ht="25.5" x14ac:dyDescent="0.2">
      <c r="AA801" s="28" t="s">
        <v>288</v>
      </c>
      <c r="AB801" s="29" t="s">
        <v>531</v>
      </c>
      <c r="AC801" s="17"/>
      <c r="AD801" s="18"/>
      <c r="AE801" s="34"/>
      <c r="AF801" s="34"/>
      <c r="AG801" s="34"/>
      <c r="AH801" s="34"/>
      <c r="AI801" s="34"/>
      <c r="AJ801" s="18"/>
      <c r="AK801" s="34"/>
      <c r="AL801" s="34"/>
      <c r="AM801" s="18"/>
      <c r="AN801" s="18"/>
      <c r="AO801" s="18"/>
      <c r="AP801" s="18"/>
      <c r="AQ801" s="18"/>
      <c r="AR801" s="18"/>
      <c r="AS801" s="18"/>
      <c r="AT801" s="30"/>
      <c r="AU801" s="18"/>
      <c r="AV801" s="34"/>
      <c r="AW801" s="18"/>
      <c r="AX801" s="18"/>
    </row>
    <row r="802" spans="1:50" x14ac:dyDescent="0.2">
      <c r="A802" s="4" t="s">
        <v>55</v>
      </c>
      <c r="B802" s="4" t="s">
        <v>56</v>
      </c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1" t="s">
        <v>541</v>
      </c>
      <c r="AB802" s="42" t="s">
        <v>233</v>
      </c>
      <c r="AC802" s="43" t="s">
        <v>58</v>
      </c>
      <c r="AD802" s="43">
        <v>190000000</v>
      </c>
      <c r="AE802" s="44">
        <v>0</v>
      </c>
      <c r="AF802" s="44">
        <v>0</v>
      </c>
      <c r="AG802" s="43">
        <v>37616996</v>
      </c>
      <c r="AH802" s="43">
        <v>60000000</v>
      </c>
      <c r="AI802" s="43">
        <f>AE802-AF802+AG802-AH802</f>
        <v>-22383004</v>
      </c>
      <c r="AJ802" s="43">
        <f>AD802+AI802</f>
        <v>167616996</v>
      </c>
      <c r="AK802" s="43">
        <v>0</v>
      </c>
      <c r="AL802" s="43">
        <f>AM802-OCTUBRE!AM791</f>
        <v>2200011</v>
      </c>
      <c r="AM802" s="43">
        <v>167170055</v>
      </c>
      <c r="AN802" s="44">
        <v>0</v>
      </c>
      <c r="AO802" s="43">
        <v>4800024</v>
      </c>
      <c r="AP802" s="43">
        <v>112000055</v>
      </c>
      <c r="AQ802" s="43">
        <v>0</v>
      </c>
      <c r="AR802" s="43">
        <v>13500000</v>
      </c>
      <c r="AS802" s="43">
        <v>90766667</v>
      </c>
      <c r="AT802" s="39">
        <f t="shared" ref="AT802" si="384">AQ802+AS802</f>
        <v>90766667</v>
      </c>
      <c r="AU802" s="18">
        <f>AJ802-AM802</f>
        <v>446941</v>
      </c>
      <c r="AV802" s="286">
        <f>AM802-AP802</f>
        <v>55170000</v>
      </c>
      <c r="AW802" s="18">
        <f>AP802-AT802</f>
        <v>21233388</v>
      </c>
      <c r="AX802" s="123">
        <f>AP802/AJ802</f>
        <v>0.66819032480453233</v>
      </c>
    </row>
    <row r="803" spans="1:50" ht="38.25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73" t="s">
        <v>288</v>
      </c>
      <c r="AB803" s="74" t="s">
        <v>1371</v>
      </c>
      <c r="AC803" s="43"/>
      <c r="AD803" s="43"/>
      <c r="AE803" s="44"/>
      <c r="AF803" s="44"/>
      <c r="AG803" s="43"/>
      <c r="AH803" s="43"/>
      <c r="AI803" s="43"/>
      <c r="AJ803" s="43"/>
      <c r="AK803" s="43"/>
      <c r="AL803" s="43"/>
      <c r="AM803" s="43"/>
      <c r="AN803" s="44"/>
      <c r="AO803" s="44"/>
      <c r="AP803" s="43"/>
      <c r="AQ803" s="43"/>
      <c r="AR803" s="43"/>
      <c r="AS803" s="43"/>
      <c r="AT803" s="39"/>
      <c r="AU803" s="18"/>
      <c r="AV803" s="18"/>
      <c r="AW803" s="18"/>
      <c r="AX803" s="123"/>
    </row>
    <row r="804" spans="1:50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1" t="s">
        <v>913</v>
      </c>
      <c r="AB804" s="42" t="s">
        <v>233</v>
      </c>
      <c r="AC804" s="43"/>
      <c r="AD804" s="43">
        <v>0</v>
      </c>
      <c r="AE804" s="44">
        <v>0</v>
      </c>
      <c r="AF804" s="44">
        <v>0</v>
      </c>
      <c r="AG804" s="43">
        <v>60000000</v>
      </c>
      <c r="AH804" s="43">
        <v>60000000</v>
      </c>
      <c r="AI804" s="44">
        <f>AE804-AF804+AG804-AH804</f>
        <v>0</v>
      </c>
      <c r="AJ804" s="44">
        <f>AD804+AI804</f>
        <v>0</v>
      </c>
      <c r="AK804" s="44">
        <v>0</v>
      </c>
      <c r="AL804" s="44">
        <f>AM804-OCTUBRE!AM793</f>
        <v>0</v>
      </c>
      <c r="AM804" s="44">
        <v>0</v>
      </c>
      <c r="AN804" s="44">
        <v>0</v>
      </c>
      <c r="AO804" s="44">
        <v>0</v>
      </c>
      <c r="AP804" s="44">
        <v>0</v>
      </c>
      <c r="AQ804" s="44">
        <v>0</v>
      </c>
      <c r="AR804" s="44">
        <v>0</v>
      </c>
      <c r="AS804" s="44">
        <v>0</v>
      </c>
      <c r="AT804" s="40">
        <v>0</v>
      </c>
      <c r="AU804" s="18">
        <f t="shared" ref="AU804:AU805" si="385">AJ804-AM804</f>
        <v>0</v>
      </c>
      <c r="AV804" s="34">
        <f t="shared" ref="AV804:AV805" si="386">AM804-AP804</f>
        <v>0</v>
      </c>
      <c r="AW804" s="34">
        <f t="shared" ref="AW804:AW805" si="387">AP804-AT804</f>
        <v>0</v>
      </c>
      <c r="AX804" s="123">
        <v>0</v>
      </c>
    </row>
    <row r="805" spans="1:50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1" t="s">
        <v>1286</v>
      </c>
      <c r="AB805" s="42" t="s">
        <v>1015</v>
      </c>
      <c r="AC805" s="43"/>
      <c r="AD805" s="43"/>
      <c r="AE805" s="44"/>
      <c r="AF805" s="44"/>
      <c r="AG805" s="43">
        <v>15000000</v>
      </c>
      <c r="AH805" s="43">
        <v>15000000</v>
      </c>
      <c r="AI805" s="44">
        <f>AE805-AF805+AG805-AH805</f>
        <v>0</v>
      </c>
      <c r="AJ805" s="44">
        <f>AD805+AI805</f>
        <v>0</v>
      </c>
      <c r="AK805" s="44">
        <v>0</v>
      </c>
      <c r="AL805" s="44">
        <f>AM805-OCTUBRE!AM794</f>
        <v>0</v>
      </c>
      <c r="AM805" s="44">
        <v>0</v>
      </c>
      <c r="AN805" s="44">
        <v>0</v>
      </c>
      <c r="AO805" s="44">
        <v>0</v>
      </c>
      <c r="AP805" s="44">
        <v>0</v>
      </c>
      <c r="AQ805" s="44">
        <v>0</v>
      </c>
      <c r="AR805" s="44">
        <v>0</v>
      </c>
      <c r="AS805" s="44">
        <v>0</v>
      </c>
      <c r="AT805" s="40">
        <f t="shared" ref="AT805" si="388">AQ805+AS805</f>
        <v>0</v>
      </c>
      <c r="AU805" s="18">
        <f t="shared" si="385"/>
        <v>0</v>
      </c>
      <c r="AV805" s="34">
        <f t="shared" si="386"/>
        <v>0</v>
      </c>
      <c r="AW805" s="34">
        <f t="shared" si="387"/>
        <v>0</v>
      </c>
      <c r="AX805" s="123">
        <v>0</v>
      </c>
    </row>
    <row r="806" spans="1:50" x14ac:dyDescent="0.2">
      <c r="AA806" s="28" t="s">
        <v>288</v>
      </c>
      <c r="AB806" s="29" t="s">
        <v>542</v>
      </c>
      <c r="AC806" s="17"/>
      <c r="AD806" s="18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1"/>
      <c r="AU806" s="18"/>
      <c r="AV806" s="34"/>
      <c r="AW806" s="34"/>
      <c r="AX806" s="18"/>
    </row>
    <row r="807" spans="1:50" x14ac:dyDescent="0.2">
      <c r="A807" s="4" t="s">
        <v>55</v>
      </c>
      <c r="B807" s="4" t="s">
        <v>56</v>
      </c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1" t="s">
        <v>543</v>
      </c>
      <c r="AB807" s="42" t="s">
        <v>233</v>
      </c>
      <c r="AC807" s="43" t="s">
        <v>58</v>
      </c>
      <c r="AD807" s="43">
        <v>229000000</v>
      </c>
      <c r="AE807" s="44">
        <v>0</v>
      </c>
      <c r="AF807" s="44">
        <v>0</v>
      </c>
      <c r="AG807" s="44">
        <v>0</v>
      </c>
      <c r="AH807" s="43">
        <v>229000000</v>
      </c>
      <c r="AI807" s="43">
        <f>AE807-AF807+AG807-AH807</f>
        <v>-229000000</v>
      </c>
      <c r="AJ807" s="44">
        <f>AD807+AI807</f>
        <v>0</v>
      </c>
      <c r="AK807" s="44">
        <v>0</v>
      </c>
      <c r="AL807" s="44">
        <f>AM807-OCTUBRE!AM796</f>
        <v>0</v>
      </c>
      <c r="AM807" s="44">
        <v>0</v>
      </c>
      <c r="AN807" s="44">
        <v>0</v>
      </c>
      <c r="AO807" s="44">
        <v>0</v>
      </c>
      <c r="AP807" s="44">
        <v>0</v>
      </c>
      <c r="AQ807" s="44">
        <v>0</v>
      </c>
      <c r="AR807" s="44">
        <v>0</v>
      </c>
      <c r="AS807" s="44">
        <v>0</v>
      </c>
      <c r="AT807" s="40">
        <f t="shared" ref="AT807" si="389">AQ807+AS807</f>
        <v>0</v>
      </c>
      <c r="AU807" s="34">
        <f>AJ807-AM807</f>
        <v>0</v>
      </c>
      <c r="AV807" s="34">
        <f>AM807-AP807</f>
        <v>0</v>
      </c>
      <c r="AW807" s="34">
        <f>AP807-AT807</f>
        <v>0</v>
      </c>
      <c r="AX807" s="123">
        <v>0</v>
      </c>
    </row>
    <row r="808" spans="1:50" ht="25.5" x14ac:dyDescent="0.2">
      <c r="AA808" s="28" t="s">
        <v>288</v>
      </c>
      <c r="AB808" s="29" t="s">
        <v>544</v>
      </c>
      <c r="AC808" s="17"/>
      <c r="AD808" s="18"/>
      <c r="AE808" s="34"/>
      <c r="AF808" s="34"/>
      <c r="AG808" s="34"/>
      <c r="AH808" s="34"/>
      <c r="AI808" s="34"/>
      <c r="AJ808" s="18"/>
      <c r="AK808" s="34"/>
      <c r="AL808" s="34"/>
      <c r="AM808" s="34"/>
      <c r="AN808" s="34"/>
      <c r="AO808" s="34"/>
      <c r="AP808" s="34"/>
      <c r="AQ808" s="34"/>
      <c r="AR808" s="34"/>
      <c r="AS808" s="34"/>
      <c r="AT808" s="31"/>
      <c r="AU808" s="34"/>
      <c r="AV808" s="34"/>
      <c r="AW808" s="34"/>
      <c r="AX808" s="18"/>
    </row>
    <row r="809" spans="1:50" x14ac:dyDescent="0.2">
      <c r="A809" s="4" t="s">
        <v>55</v>
      </c>
      <c r="B809" s="4" t="s">
        <v>56</v>
      </c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1" t="s">
        <v>545</v>
      </c>
      <c r="AB809" s="42" t="s">
        <v>233</v>
      </c>
      <c r="AC809" s="43" t="s">
        <v>58</v>
      </c>
      <c r="AD809" s="43">
        <v>150000000</v>
      </c>
      <c r="AE809" s="44">
        <v>0</v>
      </c>
      <c r="AF809" s="44">
        <v>0</v>
      </c>
      <c r="AG809" s="44">
        <v>0</v>
      </c>
      <c r="AH809" s="44">
        <v>0</v>
      </c>
      <c r="AI809" s="44">
        <v>0</v>
      </c>
      <c r="AJ809" s="43">
        <v>150000000</v>
      </c>
      <c r="AK809" s="44">
        <v>0</v>
      </c>
      <c r="AL809" s="44">
        <f>AM809-OCTUBRE!AM798</f>
        <v>0</v>
      </c>
      <c r="AM809" s="43">
        <v>150000000</v>
      </c>
      <c r="AN809" s="44">
        <v>0</v>
      </c>
      <c r="AO809" s="44">
        <v>0</v>
      </c>
      <c r="AP809" s="43">
        <v>150000000</v>
      </c>
      <c r="AQ809" s="44">
        <v>0</v>
      </c>
      <c r="AR809" s="43">
        <v>0</v>
      </c>
      <c r="AS809" s="43">
        <v>150000000</v>
      </c>
      <c r="AT809" s="39">
        <f t="shared" ref="AT809" si="390">AQ809+AS809</f>
        <v>150000000</v>
      </c>
      <c r="AU809" s="34">
        <f>AJ809-AM809</f>
        <v>0</v>
      </c>
      <c r="AV809" s="34">
        <f>AM809-AP809</f>
        <v>0</v>
      </c>
      <c r="AW809" s="34">
        <f>AP809-AT809</f>
        <v>0</v>
      </c>
      <c r="AX809" s="123">
        <f>AP809/AJ809</f>
        <v>1</v>
      </c>
    </row>
    <row r="810" spans="1:50" ht="38.25" x14ac:dyDescent="0.2">
      <c r="AA810" s="28" t="s">
        <v>288</v>
      </c>
      <c r="AB810" s="29" t="s">
        <v>546</v>
      </c>
      <c r="AC810" s="17"/>
      <c r="AD810" s="18"/>
      <c r="AE810" s="34"/>
      <c r="AF810" s="34"/>
      <c r="AG810" s="34"/>
      <c r="AH810" s="34"/>
      <c r="AI810" s="34"/>
      <c r="AJ810" s="18"/>
      <c r="AK810" s="34"/>
      <c r="AL810" s="34"/>
      <c r="AM810" s="18"/>
      <c r="AN810" s="18"/>
      <c r="AO810" s="18"/>
      <c r="AP810" s="18"/>
      <c r="AQ810" s="34"/>
      <c r="AR810" s="18"/>
      <c r="AS810" s="18"/>
      <c r="AT810" s="30"/>
      <c r="AU810" s="18"/>
      <c r="AV810" s="18"/>
      <c r="AW810" s="18"/>
      <c r="AX810" s="18"/>
    </row>
    <row r="811" spans="1:50" x14ac:dyDescent="0.2">
      <c r="A811" s="4" t="s">
        <v>55</v>
      </c>
      <c r="B811" s="4" t="s">
        <v>56</v>
      </c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1" t="s">
        <v>547</v>
      </c>
      <c r="AB811" s="42" t="s">
        <v>233</v>
      </c>
      <c r="AC811" s="43" t="s">
        <v>58</v>
      </c>
      <c r="AD811" s="43">
        <v>80000000</v>
      </c>
      <c r="AE811" s="44">
        <v>0</v>
      </c>
      <c r="AF811" s="44">
        <v>0</v>
      </c>
      <c r="AG811" s="44">
        <v>0</v>
      </c>
      <c r="AH811" s="44">
        <v>0</v>
      </c>
      <c r="AI811" s="44">
        <v>0</v>
      </c>
      <c r="AJ811" s="43">
        <v>80000000</v>
      </c>
      <c r="AK811" s="44">
        <v>0</v>
      </c>
      <c r="AL811" s="44">
        <f>AM811-OCTUBRE!AM800</f>
        <v>0</v>
      </c>
      <c r="AM811" s="43">
        <v>80000000</v>
      </c>
      <c r="AN811" s="44">
        <v>0</v>
      </c>
      <c r="AO811" s="44">
        <v>0</v>
      </c>
      <c r="AP811" s="110">
        <v>80000000</v>
      </c>
      <c r="AQ811" s="34">
        <v>0</v>
      </c>
      <c r="AR811" s="18">
        <v>2333334</v>
      </c>
      <c r="AS811" s="18">
        <v>80000000</v>
      </c>
      <c r="AT811" s="39">
        <f t="shared" ref="AT811:AT846" si="391">AQ811+AS811</f>
        <v>80000000</v>
      </c>
      <c r="AU811" s="34">
        <f>AJ811-AM811</f>
        <v>0</v>
      </c>
      <c r="AV811" s="34">
        <f>AM811-AP811</f>
        <v>0</v>
      </c>
      <c r="AW811" s="18">
        <f>AP811-AT811</f>
        <v>0</v>
      </c>
      <c r="AX811" s="123">
        <f>AP811/AJ811</f>
        <v>1</v>
      </c>
    </row>
    <row r="812" spans="1:50" ht="38.25" x14ac:dyDescent="0.2">
      <c r="AA812" s="28" t="s">
        <v>288</v>
      </c>
      <c r="AB812" s="29" t="s">
        <v>548</v>
      </c>
      <c r="AC812" s="17"/>
      <c r="AD812" s="18"/>
      <c r="AE812" s="34"/>
      <c r="AF812" s="34"/>
      <c r="AG812" s="34"/>
      <c r="AH812" s="34"/>
      <c r="AI812" s="34"/>
      <c r="AJ812" s="18"/>
      <c r="AK812" s="18"/>
      <c r="AL812" s="34"/>
      <c r="AM812" s="18"/>
      <c r="AN812" s="18"/>
      <c r="AO812" s="18"/>
      <c r="AP812" s="34"/>
      <c r="AQ812" s="34"/>
      <c r="AR812" s="34"/>
      <c r="AS812" s="34"/>
      <c r="AT812" s="40"/>
      <c r="AU812" s="18"/>
      <c r="AV812" s="18"/>
      <c r="AW812" s="18"/>
      <c r="AX812" s="18"/>
    </row>
    <row r="813" spans="1:50" x14ac:dyDescent="0.2">
      <c r="A813" s="4" t="s">
        <v>55</v>
      </c>
      <c r="B813" s="4" t="s">
        <v>56</v>
      </c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1" t="s">
        <v>549</v>
      </c>
      <c r="AB813" s="42" t="s">
        <v>233</v>
      </c>
      <c r="AC813" s="43" t="s">
        <v>58</v>
      </c>
      <c r="AD813" s="43">
        <v>40000000</v>
      </c>
      <c r="AE813" s="44">
        <v>0</v>
      </c>
      <c r="AF813" s="44">
        <v>0</v>
      </c>
      <c r="AG813" s="44">
        <v>0</v>
      </c>
      <c r="AH813" s="44">
        <v>0</v>
      </c>
      <c r="AI813" s="44">
        <v>0</v>
      </c>
      <c r="AJ813" s="43">
        <v>40000000</v>
      </c>
      <c r="AK813" s="44">
        <v>0</v>
      </c>
      <c r="AL813" s="43">
        <f>AM813-OCTUBRE!AM802</f>
        <v>7000000</v>
      </c>
      <c r="AM813" s="43">
        <v>37989019</v>
      </c>
      <c r="AN813" s="44">
        <v>0</v>
      </c>
      <c r="AO813" s="43">
        <v>0</v>
      </c>
      <c r="AP813" s="18">
        <v>30989019</v>
      </c>
      <c r="AQ813" s="34">
        <v>0</v>
      </c>
      <c r="AR813" s="18">
        <v>26801544.91</v>
      </c>
      <c r="AS813" s="18">
        <v>30989019</v>
      </c>
      <c r="AT813" s="39">
        <f t="shared" si="391"/>
        <v>30989019</v>
      </c>
      <c r="AU813" s="18">
        <f>AJ813-AM813</f>
        <v>2010981</v>
      </c>
      <c r="AV813" s="18">
        <f>AM813-AP813</f>
        <v>7000000</v>
      </c>
      <c r="AW813" s="18">
        <f>AP813-AT813</f>
        <v>0</v>
      </c>
      <c r="AX813" s="123">
        <f>AP813/AJ813</f>
        <v>0.774725475</v>
      </c>
    </row>
    <row r="814" spans="1:50" ht="25.5" x14ac:dyDescent="0.2">
      <c r="AA814" s="28" t="s">
        <v>288</v>
      </c>
      <c r="AB814" s="29" t="s">
        <v>550</v>
      </c>
      <c r="AC814" s="17"/>
      <c r="AD814" s="18"/>
      <c r="AE814" s="34"/>
      <c r="AF814" s="34"/>
      <c r="AG814" s="34"/>
      <c r="AH814" s="34"/>
      <c r="AI814" s="34"/>
      <c r="AJ814" s="18"/>
      <c r="AK814" s="34"/>
      <c r="AL814" s="18"/>
      <c r="AM814" s="18"/>
      <c r="AN814" s="34"/>
      <c r="AO814" s="34"/>
      <c r="AP814" s="34"/>
      <c r="AQ814" s="34"/>
      <c r="AR814" s="34"/>
      <c r="AS814" s="34"/>
      <c r="AT814" s="40"/>
      <c r="AU814" s="18"/>
      <c r="AV814" s="34"/>
      <c r="AW814" s="18"/>
      <c r="AX814" s="18"/>
    </row>
    <row r="815" spans="1:50" x14ac:dyDescent="0.2">
      <c r="A815" s="4" t="s">
        <v>55</v>
      </c>
      <c r="B815" s="4" t="s">
        <v>56</v>
      </c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1" t="s">
        <v>551</v>
      </c>
      <c r="AB815" s="42" t="s">
        <v>233</v>
      </c>
      <c r="AC815" s="43" t="s">
        <v>58</v>
      </c>
      <c r="AD815" s="43">
        <v>670000000</v>
      </c>
      <c r="AE815" s="44">
        <v>0</v>
      </c>
      <c r="AF815" s="44">
        <v>0</v>
      </c>
      <c r="AG815" s="43">
        <v>932000000</v>
      </c>
      <c r="AH815" s="43">
        <f>782000000+60000000+3900000</f>
        <v>845900000</v>
      </c>
      <c r="AI815" s="43">
        <f>AE815-AF815+AG815-AH815</f>
        <v>86100000</v>
      </c>
      <c r="AJ815" s="43">
        <f>AD815+AI815</f>
        <v>756100000</v>
      </c>
      <c r="AK815" s="44">
        <v>0</v>
      </c>
      <c r="AL815" s="43">
        <f>AM815-OCTUBRE!AM804</f>
        <v>-466687</v>
      </c>
      <c r="AM815" s="43">
        <v>751081835</v>
      </c>
      <c r="AN815" s="44">
        <v>0</v>
      </c>
      <c r="AO815" s="43">
        <v>-1666687</v>
      </c>
      <c r="AP815" s="18">
        <v>749881835</v>
      </c>
      <c r="AQ815" s="18">
        <v>44980650</v>
      </c>
      <c r="AR815" s="18">
        <v>52103358</v>
      </c>
      <c r="AS815" s="18">
        <v>518045853.73000002</v>
      </c>
      <c r="AT815" s="39">
        <f t="shared" ref="AT815:AT819" si="392">AQ815+AS815</f>
        <v>563026503.73000002</v>
      </c>
      <c r="AU815" s="18">
        <f>AJ815-AM815</f>
        <v>5018165</v>
      </c>
      <c r="AV815" s="18">
        <f>AM815-AP815</f>
        <v>1200000</v>
      </c>
      <c r="AW815" s="18">
        <f>AP815-AT815</f>
        <v>186855331.26999998</v>
      </c>
      <c r="AX815" s="123">
        <f>AP815/AJ815</f>
        <v>0.99177600185160697</v>
      </c>
    </row>
    <row r="816" spans="1:50" x14ac:dyDescent="0.2">
      <c r="A816" s="4" t="s">
        <v>55</v>
      </c>
      <c r="B816" s="4" t="s">
        <v>56</v>
      </c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1" t="s">
        <v>552</v>
      </c>
      <c r="AB816" s="42" t="s">
        <v>382</v>
      </c>
      <c r="AC816" s="43" t="s">
        <v>383</v>
      </c>
      <c r="AD816" s="43">
        <v>120000000</v>
      </c>
      <c r="AE816" s="44">
        <v>0</v>
      </c>
      <c r="AF816" s="44">
        <v>0</v>
      </c>
      <c r="AG816" s="44">
        <v>0</v>
      </c>
      <c r="AH816" s="44">
        <v>0</v>
      </c>
      <c r="AI816" s="43">
        <f t="shared" ref="AI816:AI819" si="393">AE816-AF816+AG816-AH816</f>
        <v>0</v>
      </c>
      <c r="AJ816" s="43">
        <f t="shared" ref="AJ816:AJ819" si="394">AD816+AI816</f>
        <v>120000000</v>
      </c>
      <c r="AK816" s="44">
        <v>0</v>
      </c>
      <c r="AL816" s="44">
        <f>AM816-OCTUBRE!AM805</f>
        <v>0</v>
      </c>
      <c r="AM816" s="43">
        <v>117768033</v>
      </c>
      <c r="AN816" s="44">
        <v>0</v>
      </c>
      <c r="AO816" s="43">
        <v>0</v>
      </c>
      <c r="AP816" s="18">
        <v>1886133</v>
      </c>
      <c r="AQ816" s="18">
        <v>0</v>
      </c>
      <c r="AR816" s="34">
        <v>1472517</v>
      </c>
      <c r="AS816" s="18">
        <v>1472517</v>
      </c>
      <c r="AT816" s="39">
        <f t="shared" si="392"/>
        <v>1472517</v>
      </c>
      <c r="AU816" s="18">
        <f>AJ816-AM816</f>
        <v>2231967</v>
      </c>
      <c r="AV816" s="18">
        <f>AM816-AP816</f>
        <v>115881900</v>
      </c>
      <c r="AW816" s="18">
        <f>AP816-AT816</f>
        <v>413616</v>
      </c>
      <c r="AX816" s="123">
        <f>AP816/AJ816</f>
        <v>1.5717775E-2</v>
      </c>
    </row>
    <row r="817" spans="1:50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1" t="s">
        <v>1092</v>
      </c>
      <c r="AB817" s="42" t="s">
        <v>1095</v>
      </c>
      <c r="AC817" s="43"/>
      <c r="AD817" s="44">
        <v>0</v>
      </c>
      <c r="AE817" s="43">
        <v>28189.13</v>
      </c>
      <c r="AF817" s="44">
        <v>0</v>
      </c>
      <c r="AG817" s="44">
        <v>0</v>
      </c>
      <c r="AH817" s="44">
        <v>0</v>
      </c>
      <c r="AI817" s="43">
        <f t="shared" si="393"/>
        <v>28189.13</v>
      </c>
      <c r="AJ817" s="43">
        <f t="shared" si="394"/>
        <v>28189.13</v>
      </c>
      <c r="AK817" s="44">
        <v>0</v>
      </c>
      <c r="AL817" s="44">
        <f>AM817-OCTUBRE!AM806</f>
        <v>0</v>
      </c>
      <c r="AM817" s="43">
        <v>28189.13</v>
      </c>
      <c r="AN817" s="44">
        <v>0</v>
      </c>
      <c r="AO817" s="44">
        <v>0</v>
      </c>
      <c r="AP817" s="18">
        <v>28189.13</v>
      </c>
      <c r="AQ817" s="18">
        <v>28189.13</v>
      </c>
      <c r="AR817" s="34">
        <v>0</v>
      </c>
      <c r="AS817" s="34">
        <v>0</v>
      </c>
      <c r="AT817" s="39">
        <f t="shared" si="392"/>
        <v>28189.13</v>
      </c>
      <c r="AU817" s="34">
        <f>AJ817-AM817</f>
        <v>0</v>
      </c>
      <c r="AV817" s="34">
        <f>AM817-AP817</f>
        <v>0</v>
      </c>
      <c r="AW817" s="18">
        <f>AP817-AT817</f>
        <v>0</v>
      </c>
      <c r="AX817" s="123">
        <f>AP817/AJ817</f>
        <v>1</v>
      </c>
    </row>
    <row r="818" spans="1:50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1" t="s">
        <v>1093</v>
      </c>
      <c r="AB818" s="42" t="s">
        <v>1096</v>
      </c>
      <c r="AC818" s="43"/>
      <c r="AD818" s="44">
        <v>0</v>
      </c>
      <c r="AE818" s="43">
        <v>5349132</v>
      </c>
      <c r="AF818" s="44">
        <v>0</v>
      </c>
      <c r="AG818" s="43">
        <v>5349132</v>
      </c>
      <c r="AH818" s="43">
        <v>5349132</v>
      </c>
      <c r="AI818" s="43">
        <f t="shared" si="393"/>
        <v>5349132</v>
      </c>
      <c r="AJ818" s="43">
        <f t="shared" si="394"/>
        <v>5349132</v>
      </c>
      <c r="AK818" s="44">
        <v>0</v>
      </c>
      <c r="AL818" s="44">
        <f>AM818-OCTUBRE!AM807</f>
        <v>0</v>
      </c>
      <c r="AM818" s="43">
        <v>5349132</v>
      </c>
      <c r="AN818" s="44">
        <v>0</v>
      </c>
      <c r="AO818" s="44">
        <v>0</v>
      </c>
      <c r="AP818" s="18">
        <v>5349132</v>
      </c>
      <c r="AQ818" s="18">
        <v>5349132</v>
      </c>
      <c r="AR818" s="34">
        <v>0</v>
      </c>
      <c r="AS818" s="34">
        <v>0</v>
      </c>
      <c r="AT818" s="39">
        <f t="shared" si="392"/>
        <v>5349132</v>
      </c>
      <c r="AU818" s="34">
        <f>AJ818-AM818</f>
        <v>0</v>
      </c>
      <c r="AV818" s="34">
        <f>AM818-AP818</f>
        <v>0</v>
      </c>
      <c r="AW818" s="18">
        <f>AP818-AT818</f>
        <v>0</v>
      </c>
      <c r="AX818" s="123">
        <f>AP818/AJ818</f>
        <v>1</v>
      </c>
    </row>
    <row r="819" spans="1:50" ht="25.5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1" t="s">
        <v>1094</v>
      </c>
      <c r="AB819" s="42" t="s">
        <v>1097</v>
      </c>
      <c r="AC819" s="43"/>
      <c r="AD819" s="44">
        <v>0</v>
      </c>
      <c r="AE819" s="43">
        <v>11995542.140000001</v>
      </c>
      <c r="AF819" s="44">
        <v>0</v>
      </c>
      <c r="AG819" s="43">
        <v>11995542.140000001</v>
      </c>
      <c r="AH819" s="43">
        <v>11995542.140000001</v>
      </c>
      <c r="AI819" s="43">
        <f t="shared" si="393"/>
        <v>11995542.140000001</v>
      </c>
      <c r="AJ819" s="43">
        <f t="shared" si="394"/>
        <v>11995542.140000001</v>
      </c>
      <c r="AK819" s="44">
        <v>0</v>
      </c>
      <c r="AL819" s="44">
        <f>AM819-OCTUBRE!AM808</f>
        <v>0</v>
      </c>
      <c r="AM819" s="43">
        <v>11995542.140000001</v>
      </c>
      <c r="AN819" s="44">
        <v>0</v>
      </c>
      <c r="AO819" s="143">
        <v>0</v>
      </c>
      <c r="AP819" s="147">
        <v>11995542.140000001</v>
      </c>
      <c r="AQ819" s="147">
        <v>11995542.140000001</v>
      </c>
      <c r="AR819" s="145">
        <v>0</v>
      </c>
      <c r="AS819" s="34">
        <v>0</v>
      </c>
      <c r="AT819" s="39">
        <f t="shared" si="392"/>
        <v>11995542.140000001</v>
      </c>
      <c r="AU819" s="34">
        <f>AJ819-AM819</f>
        <v>0</v>
      </c>
      <c r="AV819" s="34">
        <f>AM819-AP819</f>
        <v>0</v>
      </c>
      <c r="AW819" s="18">
        <f>AP819-AT819</f>
        <v>0</v>
      </c>
      <c r="AX819" s="123">
        <f>AP819/AJ819</f>
        <v>1</v>
      </c>
    </row>
    <row r="820" spans="1:50" ht="25.5" x14ac:dyDescent="0.2">
      <c r="AA820" s="28"/>
      <c r="AB820" s="29" t="s">
        <v>553</v>
      </c>
      <c r="AC820" s="17"/>
      <c r="AD820" s="18"/>
      <c r="AE820" s="34"/>
      <c r="AF820" s="34"/>
      <c r="AG820" s="34"/>
      <c r="AH820" s="34"/>
      <c r="AI820" s="34"/>
      <c r="AJ820" s="18"/>
      <c r="AK820" s="34"/>
      <c r="AL820" s="147"/>
      <c r="AM820" s="18"/>
      <c r="AN820" s="18"/>
      <c r="AO820" s="147"/>
      <c r="AP820" s="147"/>
      <c r="AQ820" s="147"/>
      <c r="AR820" s="147"/>
      <c r="AS820" s="18"/>
      <c r="AT820" s="30"/>
      <c r="AU820" s="18"/>
      <c r="AV820" s="18"/>
      <c r="AW820" s="18"/>
      <c r="AX820" s="18"/>
    </row>
    <row r="821" spans="1:50" x14ac:dyDescent="0.2">
      <c r="A821" s="4" t="s">
        <v>55</v>
      </c>
      <c r="B821" s="4" t="s">
        <v>56</v>
      </c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1" t="s">
        <v>554</v>
      </c>
      <c r="AB821" s="42" t="s">
        <v>233</v>
      </c>
      <c r="AC821" s="43" t="s">
        <v>58</v>
      </c>
      <c r="AD821" s="43">
        <v>200000000</v>
      </c>
      <c r="AE821" s="44">
        <v>0</v>
      </c>
      <c r="AF821" s="44">
        <v>0</v>
      </c>
      <c r="AG821" s="44">
        <v>0</v>
      </c>
      <c r="AH821" s="43">
        <v>22300000</v>
      </c>
      <c r="AI821" s="43">
        <f t="shared" ref="AI821:AI822" si="395">AE821-AF821+AG821-AH821</f>
        <v>-22300000</v>
      </c>
      <c r="AJ821" s="43">
        <f t="shared" ref="AJ821:AJ822" si="396">AD821+AI821</f>
        <v>177700000</v>
      </c>
      <c r="AK821" s="44">
        <v>0</v>
      </c>
      <c r="AL821" s="43">
        <f>AM821-OCTUBRE!AM810</f>
        <v>60890.359999984503</v>
      </c>
      <c r="AM821" s="43">
        <v>172098919.63999999</v>
      </c>
      <c r="AN821" s="44">
        <v>0</v>
      </c>
      <c r="AO821" s="142">
        <v>60890.36</v>
      </c>
      <c r="AP821" s="142">
        <v>172098919.63999999</v>
      </c>
      <c r="AQ821" s="143">
        <v>0</v>
      </c>
      <c r="AR821" s="142">
        <v>14760890.359999999</v>
      </c>
      <c r="AS821" s="43">
        <v>148313534.63999999</v>
      </c>
      <c r="AT821" s="39">
        <f t="shared" si="391"/>
        <v>148313534.63999999</v>
      </c>
      <c r="AU821" s="18">
        <f>AJ821-AM821</f>
        <v>5601080.3600000143</v>
      </c>
      <c r="AV821" s="34">
        <f>AM821-AP821</f>
        <v>0</v>
      </c>
      <c r="AW821" s="18">
        <f>AP821-AT821</f>
        <v>23785385</v>
      </c>
      <c r="AX821" s="123">
        <f>AP821/AJ821</f>
        <v>0.96848013303320191</v>
      </c>
    </row>
    <row r="822" spans="1:50" x14ac:dyDescent="0.2">
      <c r="A822" s="316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1" t="s">
        <v>1236</v>
      </c>
      <c r="AB822" s="42" t="s">
        <v>1015</v>
      </c>
      <c r="AC822" s="43"/>
      <c r="AD822" s="43">
        <v>0</v>
      </c>
      <c r="AE822" s="43">
        <v>200000000</v>
      </c>
      <c r="AF822" s="44">
        <v>0</v>
      </c>
      <c r="AG822" s="44">
        <v>0</v>
      </c>
      <c r="AH822" s="43">
        <v>145000000</v>
      </c>
      <c r="AI822" s="43">
        <f t="shared" si="395"/>
        <v>55000000</v>
      </c>
      <c r="AJ822" s="43">
        <f t="shared" si="396"/>
        <v>55000000</v>
      </c>
      <c r="AK822" s="44">
        <v>0</v>
      </c>
      <c r="AL822" s="43">
        <f>AM822-OCTUBRE!AM811</f>
        <v>3600000</v>
      </c>
      <c r="AM822" s="43">
        <v>50600000</v>
      </c>
      <c r="AN822" s="44">
        <v>0</v>
      </c>
      <c r="AO822" s="142">
        <v>3600000</v>
      </c>
      <c r="AP822" s="142">
        <v>20600000</v>
      </c>
      <c r="AQ822" s="143">
        <v>0</v>
      </c>
      <c r="AR822" s="142">
        <v>4000000</v>
      </c>
      <c r="AS822" s="43">
        <v>10600000</v>
      </c>
      <c r="AT822" s="39">
        <f t="shared" si="391"/>
        <v>10600000</v>
      </c>
      <c r="AU822" s="18">
        <f>AJ822-AM822</f>
        <v>4400000</v>
      </c>
      <c r="AV822" s="18">
        <f>AM822-AP822</f>
        <v>30000000</v>
      </c>
      <c r="AW822" s="18">
        <f>AP822-AT822</f>
        <v>10000000</v>
      </c>
      <c r="AX822" s="123">
        <f>AP822/AJ822</f>
        <v>0.37454545454545457</v>
      </c>
    </row>
    <row r="823" spans="1:50" ht="25.5" x14ac:dyDescent="0.2">
      <c r="AA823" s="28" t="s">
        <v>288</v>
      </c>
      <c r="AB823" s="29" t="s">
        <v>535</v>
      </c>
      <c r="AC823" s="17"/>
      <c r="AD823" s="18"/>
      <c r="AE823" s="34"/>
      <c r="AF823" s="34"/>
      <c r="AG823" s="34"/>
      <c r="AH823" s="34"/>
      <c r="AI823" s="34"/>
      <c r="AJ823" s="18"/>
      <c r="AK823" s="34"/>
      <c r="AL823" s="145"/>
      <c r="AM823" s="18"/>
      <c r="AN823" s="34"/>
      <c r="AO823" s="147"/>
      <c r="AP823" s="147"/>
      <c r="AQ823" s="145"/>
      <c r="AR823" s="147"/>
      <c r="AS823" s="18"/>
      <c r="AT823" s="30"/>
      <c r="AU823" s="18"/>
      <c r="AV823" s="18"/>
      <c r="AW823" s="18"/>
      <c r="AX823" s="18"/>
    </row>
    <row r="824" spans="1:50" x14ac:dyDescent="0.2">
      <c r="A824" s="4" t="s">
        <v>55</v>
      </c>
      <c r="B824" s="4" t="s">
        <v>56</v>
      </c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1" t="s">
        <v>555</v>
      </c>
      <c r="AB824" s="42" t="s">
        <v>233</v>
      </c>
      <c r="AC824" s="43" t="s">
        <v>58</v>
      </c>
      <c r="AD824" s="43">
        <v>1154000000</v>
      </c>
      <c r="AE824" s="44">
        <v>0</v>
      </c>
      <c r="AF824" s="44">
        <v>0</v>
      </c>
      <c r="AG824" s="43">
        <f>32000000+60000000</f>
        <v>92000000</v>
      </c>
      <c r="AH824" s="43">
        <v>187705246</v>
      </c>
      <c r="AI824" s="43">
        <f t="shared" ref="AI824:AI830" si="397">AE824-AF824+AG824-AH824</f>
        <v>-95705246</v>
      </c>
      <c r="AJ824" s="43">
        <f t="shared" ref="AJ824:AJ830" si="398">AD824+AI824</f>
        <v>1058294754</v>
      </c>
      <c r="AK824" s="44">
        <v>0</v>
      </c>
      <c r="AL824" s="43">
        <f>AM824-OCTUBRE!AM813</f>
        <v>1936667</v>
      </c>
      <c r="AM824" s="43">
        <v>1048978063</v>
      </c>
      <c r="AN824" s="44">
        <v>0</v>
      </c>
      <c r="AO824" s="142">
        <v>5686667</v>
      </c>
      <c r="AP824" s="142">
        <v>1048978063</v>
      </c>
      <c r="AQ824" s="143">
        <v>0</v>
      </c>
      <c r="AR824" s="142">
        <v>104436471</v>
      </c>
      <c r="AS824" s="43">
        <v>797604614</v>
      </c>
      <c r="AT824" s="39">
        <f t="shared" si="391"/>
        <v>797604614</v>
      </c>
      <c r="AU824" s="18">
        <f t="shared" ref="AU824:AU830" si="399">AJ824-AM824</f>
        <v>9316691</v>
      </c>
      <c r="AV824" s="18">
        <f t="shared" ref="AV824:AV830" si="400">AM824-AP824</f>
        <v>0</v>
      </c>
      <c r="AW824" s="18">
        <f t="shared" ref="AW824:AW830" si="401">AP824-AT824</f>
        <v>251373449</v>
      </c>
      <c r="AX824" s="123">
        <f t="shared" ref="AX824:AX829" si="402">AP824/AJ824</f>
        <v>0.99119650648858837</v>
      </c>
    </row>
    <row r="825" spans="1:50" ht="25.5" x14ac:dyDescent="0.2">
      <c r="A825" s="4" t="s">
        <v>55</v>
      </c>
      <c r="B825" s="4" t="s">
        <v>56</v>
      </c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1" t="s">
        <v>556</v>
      </c>
      <c r="AB825" s="42" t="s">
        <v>279</v>
      </c>
      <c r="AC825" s="43" t="s">
        <v>253</v>
      </c>
      <c r="AD825" s="43">
        <v>3243996468</v>
      </c>
      <c r="AE825" s="44">
        <v>0</v>
      </c>
      <c r="AF825" s="44">
        <v>0</v>
      </c>
      <c r="AG825" s="44">
        <v>0</v>
      </c>
      <c r="AH825" s="44">
        <v>0</v>
      </c>
      <c r="AI825" s="44">
        <f t="shared" si="397"/>
        <v>0</v>
      </c>
      <c r="AJ825" s="43">
        <f t="shared" si="398"/>
        <v>3243996468</v>
      </c>
      <c r="AK825" s="44">
        <v>0</v>
      </c>
      <c r="AL825" s="43">
        <f>AM825-OCTUBRE!AM814</f>
        <v>-1510498.4800000191</v>
      </c>
      <c r="AM825" s="43">
        <v>3160126194.5999999</v>
      </c>
      <c r="AN825" s="44">
        <v>0</v>
      </c>
      <c r="AO825" s="142">
        <v>-1510498.48</v>
      </c>
      <c r="AP825" s="142">
        <v>3154626194.5999999</v>
      </c>
      <c r="AQ825" s="143">
        <v>0</v>
      </c>
      <c r="AR825" s="142">
        <v>443607308.51999998</v>
      </c>
      <c r="AS825" s="43">
        <v>2582960461.5999999</v>
      </c>
      <c r="AT825" s="39">
        <f t="shared" si="391"/>
        <v>2582960461.5999999</v>
      </c>
      <c r="AU825" s="18">
        <f t="shared" si="399"/>
        <v>83870273.400000095</v>
      </c>
      <c r="AV825" s="18">
        <f t="shared" si="400"/>
        <v>5500000</v>
      </c>
      <c r="AW825" s="18">
        <f t="shared" si="401"/>
        <v>571665733</v>
      </c>
      <c r="AX825" s="123">
        <f t="shared" si="402"/>
        <v>0.9724505639011688</v>
      </c>
    </row>
    <row r="826" spans="1:50" ht="38.25" x14ac:dyDescent="0.2">
      <c r="A826" s="4" t="s">
        <v>55</v>
      </c>
      <c r="B826" s="4" t="s">
        <v>56</v>
      </c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1" t="s">
        <v>557</v>
      </c>
      <c r="AB826" s="42" t="s">
        <v>558</v>
      </c>
      <c r="AC826" s="43" t="s">
        <v>368</v>
      </c>
      <c r="AD826" s="43">
        <v>101429564.34</v>
      </c>
      <c r="AE826" s="44">
        <v>0</v>
      </c>
      <c r="AF826" s="44">
        <v>0</v>
      </c>
      <c r="AG826" s="44">
        <v>0</v>
      </c>
      <c r="AH826" s="44">
        <v>0</v>
      </c>
      <c r="AI826" s="44">
        <f t="shared" si="397"/>
        <v>0</v>
      </c>
      <c r="AJ826" s="43">
        <f t="shared" si="398"/>
        <v>101429564.34</v>
      </c>
      <c r="AK826" s="44">
        <v>0</v>
      </c>
      <c r="AL826" s="43">
        <f>AM826-OCTUBRE!AM815</f>
        <v>15460002</v>
      </c>
      <c r="AM826" s="43">
        <v>55460002</v>
      </c>
      <c r="AN826" s="44">
        <v>0</v>
      </c>
      <c r="AO826" s="143">
        <v>0</v>
      </c>
      <c r="AP826" s="142">
        <v>40000000</v>
      </c>
      <c r="AQ826" s="143">
        <v>0</v>
      </c>
      <c r="AR826" s="143">
        <v>6381026</v>
      </c>
      <c r="AS826" s="43">
        <v>6381026</v>
      </c>
      <c r="AT826" s="39">
        <f t="shared" si="391"/>
        <v>6381026</v>
      </c>
      <c r="AU826" s="18">
        <f t="shared" si="399"/>
        <v>45969562.340000004</v>
      </c>
      <c r="AV826" s="18">
        <f t="shared" si="400"/>
        <v>15460002</v>
      </c>
      <c r="AW826" s="18">
        <f t="shared" si="401"/>
        <v>33618974</v>
      </c>
      <c r="AX826" s="123">
        <f t="shared" si="402"/>
        <v>0.39436233666465137</v>
      </c>
    </row>
    <row r="827" spans="1:50" ht="25.5" x14ac:dyDescent="0.2">
      <c r="A827" s="4" t="s">
        <v>55</v>
      </c>
      <c r="B827" s="4" t="s">
        <v>56</v>
      </c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1" t="s">
        <v>559</v>
      </c>
      <c r="AB827" s="42" t="s">
        <v>540</v>
      </c>
      <c r="AC827" s="43" t="s">
        <v>253</v>
      </c>
      <c r="AD827" s="43">
        <v>1690003316</v>
      </c>
      <c r="AE827" s="44">
        <v>0</v>
      </c>
      <c r="AF827" s="44">
        <v>0</v>
      </c>
      <c r="AG827" s="44">
        <v>0</v>
      </c>
      <c r="AH827" s="44">
        <v>0</v>
      </c>
      <c r="AI827" s="44">
        <f t="shared" si="397"/>
        <v>0</v>
      </c>
      <c r="AJ827" s="43">
        <f t="shared" si="398"/>
        <v>1690003316</v>
      </c>
      <c r="AK827" s="44">
        <v>0</v>
      </c>
      <c r="AL827" s="43">
        <f>AM827-OCTUBRE!AM816</f>
        <v>0</v>
      </c>
      <c r="AM827" s="43">
        <v>1661510016</v>
      </c>
      <c r="AN827" s="44">
        <v>0</v>
      </c>
      <c r="AO827" s="143">
        <v>0</v>
      </c>
      <c r="AP827" s="142">
        <v>1661510016</v>
      </c>
      <c r="AQ827" s="145">
        <v>0</v>
      </c>
      <c r="AR827" s="142">
        <v>0</v>
      </c>
      <c r="AS827" s="18">
        <v>1021011288</v>
      </c>
      <c r="AT827" s="39">
        <f t="shared" si="391"/>
        <v>1021011288</v>
      </c>
      <c r="AU827" s="18">
        <f t="shared" si="399"/>
        <v>28493300</v>
      </c>
      <c r="AV827" s="18">
        <f t="shared" si="400"/>
        <v>0</v>
      </c>
      <c r="AW827" s="18">
        <f t="shared" si="401"/>
        <v>640498728</v>
      </c>
      <c r="AX827" s="123">
        <f t="shared" si="402"/>
        <v>0.98314009225293142</v>
      </c>
    </row>
    <row r="828" spans="1:50" ht="38.25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1" t="s">
        <v>1088</v>
      </c>
      <c r="AB828" s="42" t="s">
        <v>1089</v>
      </c>
      <c r="AC828" s="43"/>
      <c r="AD828" s="44">
        <v>0</v>
      </c>
      <c r="AE828" s="43">
        <v>56264221.140000001</v>
      </c>
      <c r="AF828" s="44">
        <v>0</v>
      </c>
      <c r="AG828" s="44">
        <v>0</v>
      </c>
      <c r="AH828" s="43">
        <v>49245310</v>
      </c>
      <c r="AI828" s="43">
        <f t="shared" si="397"/>
        <v>7018911.1400000006</v>
      </c>
      <c r="AJ828" s="43">
        <f t="shared" si="398"/>
        <v>7018911.1400000006</v>
      </c>
      <c r="AK828" s="44">
        <v>0</v>
      </c>
      <c r="AL828" s="43">
        <f>AM828-OCTUBRE!AM817</f>
        <v>0</v>
      </c>
      <c r="AM828" s="44">
        <v>0</v>
      </c>
      <c r="AN828" s="44">
        <v>0</v>
      </c>
      <c r="AO828" s="143">
        <f>AP828-JULIO!AP745</f>
        <v>0</v>
      </c>
      <c r="AP828" s="143">
        <v>0</v>
      </c>
      <c r="AQ828" s="145">
        <v>0</v>
      </c>
      <c r="AR828" s="143">
        <f>AS828-JULIO!AS745</f>
        <v>0</v>
      </c>
      <c r="AS828" s="34">
        <v>0</v>
      </c>
      <c r="AT828" s="40">
        <f t="shared" si="391"/>
        <v>0</v>
      </c>
      <c r="AU828" s="18">
        <f t="shared" si="399"/>
        <v>7018911.1400000006</v>
      </c>
      <c r="AV828" s="34">
        <f t="shared" si="400"/>
        <v>0</v>
      </c>
      <c r="AW828" s="34">
        <f t="shared" si="401"/>
        <v>0</v>
      </c>
      <c r="AX828" s="123">
        <f t="shared" si="402"/>
        <v>0</v>
      </c>
    </row>
    <row r="829" spans="1:50" ht="25.5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1" t="s">
        <v>1090</v>
      </c>
      <c r="AB829" s="42" t="s">
        <v>1011</v>
      </c>
      <c r="AC829" s="43"/>
      <c r="AD829" s="44">
        <v>0</v>
      </c>
      <c r="AE829" s="43">
        <v>1134339181.01</v>
      </c>
      <c r="AF829" s="44">
        <v>0</v>
      </c>
      <c r="AG829" s="44">
        <v>0</v>
      </c>
      <c r="AH829" s="43">
        <f>486828582+74942912</f>
        <v>561771494</v>
      </c>
      <c r="AI829" s="43">
        <f t="shared" si="397"/>
        <v>572567687.00999999</v>
      </c>
      <c r="AJ829" s="43">
        <f t="shared" si="398"/>
        <v>572567687.00999999</v>
      </c>
      <c r="AK829" s="43">
        <v>0</v>
      </c>
      <c r="AL829" s="43">
        <f>AM829-OCTUBRE!AM818</f>
        <v>4600000</v>
      </c>
      <c r="AM829" s="43">
        <v>209450007.33000001</v>
      </c>
      <c r="AN829" s="44">
        <v>0</v>
      </c>
      <c r="AO829" s="142">
        <v>0</v>
      </c>
      <c r="AP829" s="142">
        <v>204850007.33000001</v>
      </c>
      <c r="AQ829" s="145">
        <v>0</v>
      </c>
      <c r="AR829" s="142">
        <v>65566668</v>
      </c>
      <c r="AS829" s="18">
        <v>132366668</v>
      </c>
      <c r="AT829" s="39">
        <f t="shared" si="391"/>
        <v>132366668</v>
      </c>
      <c r="AU829" s="18">
        <f t="shared" si="399"/>
        <v>363117679.67999995</v>
      </c>
      <c r="AV829" s="18">
        <f t="shared" si="400"/>
        <v>4600000</v>
      </c>
      <c r="AW829" s="18">
        <f t="shared" si="401"/>
        <v>72483339.330000013</v>
      </c>
      <c r="AX829" s="123">
        <f t="shared" si="402"/>
        <v>0.35777430682430789</v>
      </c>
    </row>
    <row r="830" spans="1:50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1" t="s">
        <v>1091</v>
      </c>
      <c r="AB830" s="42" t="s">
        <v>1015</v>
      </c>
      <c r="AC830" s="43"/>
      <c r="AD830" s="44">
        <v>0</v>
      </c>
      <c r="AE830" s="43">
        <v>300000000</v>
      </c>
      <c r="AF830" s="44">
        <v>0</v>
      </c>
      <c r="AG830" s="44">
        <v>0</v>
      </c>
      <c r="AH830" s="43">
        <v>300000000</v>
      </c>
      <c r="AI830" s="43">
        <f t="shared" si="397"/>
        <v>0</v>
      </c>
      <c r="AJ830" s="43">
        <f t="shared" si="398"/>
        <v>0</v>
      </c>
      <c r="AK830" s="44">
        <v>0</v>
      </c>
      <c r="AL830" s="143">
        <f>AM830-JULIO!AM747</f>
        <v>0</v>
      </c>
      <c r="AM830" s="44">
        <v>0</v>
      </c>
      <c r="AN830" s="44">
        <v>0</v>
      </c>
      <c r="AO830" s="143">
        <v>0</v>
      </c>
      <c r="AP830" s="44">
        <v>0</v>
      </c>
      <c r="AQ830" s="34">
        <v>0</v>
      </c>
      <c r="AR830" s="143">
        <f>AS830-JULIO!AS747</f>
        <v>0</v>
      </c>
      <c r="AS830" s="34">
        <v>0</v>
      </c>
      <c r="AT830" s="40">
        <v>0</v>
      </c>
      <c r="AU830" s="18">
        <f t="shared" si="399"/>
        <v>0</v>
      </c>
      <c r="AV830" s="34">
        <f t="shared" si="400"/>
        <v>0</v>
      </c>
      <c r="AW830" s="34">
        <f t="shared" si="401"/>
        <v>0</v>
      </c>
      <c r="AX830" s="123">
        <v>0</v>
      </c>
    </row>
    <row r="831" spans="1:50" ht="25.5" x14ac:dyDescent="0.2">
      <c r="AA831" s="28" t="s">
        <v>288</v>
      </c>
      <c r="AB831" s="29" t="s">
        <v>560</v>
      </c>
      <c r="AC831" s="17"/>
      <c r="AD831" s="18"/>
      <c r="AE831" s="34"/>
      <c r="AF831" s="34"/>
      <c r="AG831" s="34"/>
      <c r="AH831" s="34"/>
      <c r="AI831" s="34"/>
      <c r="AJ831" s="18"/>
      <c r="AK831" s="18"/>
      <c r="AL831" s="147"/>
      <c r="AM831" s="18"/>
      <c r="AN831" s="34"/>
      <c r="AO831" s="145"/>
      <c r="AP831" s="18"/>
      <c r="AQ831" s="34"/>
      <c r="AR831" s="145"/>
      <c r="AS831" s="34"/>
      <c r="AT831" s="40"/>
      <c r="AU831" s="18"/>
      <c r="AV831" s="18"/>
      <c r="AW831" s="18"/>
      <c r="AX831" s="18"/>
    </row>
    <row r="832" spans="1:50" x14ac:dyDescent="0.2">
      <c r="A832" s="4" t="s">
        <v>55</v>
      </c>
      <c r="B832" s="4" t="s">
        <v>56</v>
      </c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1" t="s">
        <v>561</v>
      </c>
      <c r="AB832" s="42" t="s">
        <v>233</v>
      </c>
      <c r="AC832" s="43" t="s">
        <v>58</v>
      </c>
      <c r="AD832" s="43">
        <v>510000000</v>
      </c>
      <c r="AE832" s="44">
        <v>0</v>
      </c>
      <c r="AF832" s="44">
        <v>0</v>
      </c>
      <c r="AG832" s="43">
        <v>20000000</v>
      </c>
      <c r="AH832" s="43">
        <f>10000000+9600000</f>
        <v>19600000</v>
      </c>
      <c r="AI832" s="43">
        <f>AE832-AF832+AG832-AH832</f>
        <v>400000</v>
      </c>
      <c r="AJ832" s="43">
        <f>AD832+AI832</f>
        <v>510400000</v>
      </c>
      <c r="AK832" s="44">
        <v>0</v>
      </c>
      <c r="AL832" s="142">
        <f>AM832-OCTUBRE!AM821</f>
        <v>-27057154</v>
      </c>
      <c r="AM832" s="43">
        <v>443462672</v>
      </c>
      <c r="AN832" s="44">
        <v>0</v>
      </c>
      <c r="AO832" s="142">
        <v>47942876</v>
      </c>
      <c r="AP832" s="114">
        <v>427948672</v>
      </c>
      <c r="AQ832" s="18">
        <v>2100000</v>
      </c>
      <c r="AR832" s="147">
        <v>21513333</v>
      </c>
      <c r="AS832" s="18">
        <v>172940000</v>
      </c>
      <c r="AT832" s="39">
        <f t="shared" ref="AT832:AT834" si="403">AQ832+AS832</f>
        <v>175040000</v>
      </c>
      <c r="AU832" s="18">
        <f>AJ832-AM832</f>
        <v>66937328</v>
      </c>
      <c r="AV832" s="18">
        <f>AM832-AP832</f>
        <v>15514000</v>
      </c>
      <c r="AW832" s="18">
        <f>AP832-AT832</f>
        <v>252908672</v>
      </c>
      <c r="AX832" s="123">
        <f>AP832/AJ832</f>
        <v>0.83845742946708468</v>
      </c>
    </row>
    <row r="833" spans="1:50" ht="18.75" customHeight="1" x14ac:dyDescent="0.2">
      <c r="A833" s="4" t="s">
        <v>55</v>
      </c>
      <c r="B833" s="4" t="s">
        <v>56</v>
      </c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1" t="s">
        <v>562</v>
      </c>
      <c r="AB833" s="42" t="s">
        <v>382</v>
      </c>
      <c r="AC833" s="43" t="s">
        <v>383</v>
      </c>
      <c r="AD833" s="43">
        <v>770000000</v>
      </c>
      <c r="AE833" s="44">
        <v>0</v>
      </c>
      <c r="AF833" s="44">
        <v>0</v>
      </c>
      <c r="AG833" s="44">
        <v>0</v>
      </c>
      <c r="AH833" s="44">
        <v>0</v>
      </c>
      <c r="AI833" s="44">
        <v>0</v>
      </c>
      <c r="AJ833" s="43">
        <v>770000000</v>
      </c>
      <c r="AK833" s="44">
        <v>0</v>
      </c>
      <c r="AL833" s="142">
        <f>AM833-OCTUBRE!AM822</f>
        <v>0</v>
      </c>
      <c r="AM833" s="43">
        <v>770000000</v>
      </c>
      <c r="AN833" s="44">
        <v>0</v>
      </c>
      <c r="AO833" s="143">
        <v>0</v>
      </c>
      <c r="AP833" s="114">
        <v>718500000</v>
      </c>
      <c r="AQ833" s="34">
        <v>0</v>
      </c>
      <c r="AR833" s="147">
        <v>190500000</v>
      </c>
      <c r="AS833" s="18">
        <v>496500000</v>
      </c>
      <c r="AT833" s="39">
        <f t="shared" si="403"/>
        <v>496500000</v>
      </c>
      <c r="AU833" s="34">
        <f>AJ833-AM833</f>
        <v>0</v>
      </c>
      <c r="AV833" s="18">
        <f>AM833-AP833</f>
        <v>51500000</v>
      </c>
      <c r="AW833" s="18">
        <f>AP833-AT833</f>
        <v>222000000</v>
      </c>
      <c r="AX833" s="123">
        <f>AP833/AJ833</f>
        <v>0.93311688311688312</v>
      </c>
    </row>
    <row r="834" spans="1:50" ht="18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1" t="s">
        <v>1235</v>
      </c>
      <c r="AB834" s="42" t="s">
        <v>1015</v>
      </c>
      <c r="AC834" s="43"/>
      <c r="AD834" s="44">
        <v>0</v>
      </c>
      <c r="AE834" s="43">
        <v>25000000</v>
      </c>
      <c r="AF834" s="44">
        <v>0</v>
      </c>
      <c r="AG834" s="44">
        <v>0</v>
      </c>
      <c r="AH834" s="44">
        <v>0</v>
      </c>
      <c r="AI834" s="43">
        <f>AE834-AF834+AG834-AH834</f>
        <v>25000000</v>
      </c>
      <c r="AJ834" s="43">
        <f>AD834+AI834</f>
        <v>25000000</v>
      </c>
      <c r="AK834" s="44">
        <v>0</v>
      </c>
      <c r="AL834" s="142">
        <f>AM834-OCTUBRE!AM823</f>
        <v>0</v>
      </c>
      <c r="AM834" s="44">
        <v>0</v>
      </c>
      <c r="AN834" s="44">
        <v>0</v>
      </c>
      <c r="AO834" s="143">
        <v>0</v>
      </c>
      <c r="AP834" s="114">
        <v>0</v>
      </c>
      <c r="AQ834" s="34">
        <v>0</v>
      </c>
      <c r="AR834" s="145">
        <v>0</v>
      </c>
      <c r="AS834" s="34">
        <v>0</v>
      </c>
      <c r="AT834" s="39">
        <f t="shared" si="403"/>
        <v>0</v>
      </c>
      <c r="AU834" s="18">
        <f>AJ834-AM834</f>
        <v>25000000</v>
      </c>
      <c r="AV834" s="133">
        <f>AM834-AP834</f>
        <v>0</v>
      </c>
      <c r="AW834" s="18">
        <f>AP834-AT834</f>
        <v>0</v>
      </c>
      <c r="AX834" s="123">
        <f>AP834/AJ834</f>
        <v>0</v>
      </c>
    </row>
    <row r="835" spans="1:50" ht="25.5" customHeight="1" x14ac:dyDescent="0.2">
      <c r="AA835" s="28" t="s">
        <v>288</v>
      </c>
      <c r="AB835" s="29" t="s">
        <v>563</v>
      </c>
      <c r="AC835" s="17"/>
      <c r="AD835" s="18"/>
      <c r="AE835" s="34"/>
      <c r="AF835" s="34"/>
      <c r="AG835" s="34"/>
      <c r="AH835" s="34"/>
      <c r="AI835" s="34"/>
      <c r="AJ835" s="18"/>
      <c r="AK835" s="18"/>
      <c r="AL835" s="147"/>
      <c r="AM835" s="18"/>
      <c r="AN835" s="34"/>
      <c r="AO835" s="147"/>
      <c r="AP835" s="110"/>
      <c r="AQ835" s="34"/>
      <c r="AR835" s="145"/>
      <c r="AS835" s="34"/>
      <c r="AT835" s="40"/>
      <c r="AU835" s="18"/>
      <c r="AV835" s="34"/>
      <c r="AW835" s="18"/>
      <c r="AX835" s="18"/>
    </row>
    <row r="836" spans="1:50" ht="18.75" customHeight="1" x14ac:dyDescent="0.2">
      <c r="A836" s="4" t="s">
        <v>55</v>
      </c>
      <c r="B836" s="4" t="s">
        <v>56</v>
      </c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1" t="s">
        <v>564</v>
      </c>
      <c r="AB836" s="42" t="s">
        <v>233</v>
      </c>
      <c r="AC836" s="43" t="s">
        <v>58</v>
      </c>
      <c r="AD836" s="43">
        <v>150000000</v>
      </c>
      <c r="AE836" s="44">
        <v>0</v>
      </c>
      <c r="AF836" s="44">
        <v>0</v>
      </c>
      <c r="AG836" s="43">
        <f>200000000+318600000</f>
        <v>518600000</v>
      </c>
      <c r="AH836" s="43">
        <f>173600000+17200000</f>
        <v>190800000</v>
      </c>
      <c r="AI836" s="43">
        <f>AE836-AF836+AG836-AH836</f>
        <v>327800000</v>
      </c>
      <c r="AJ836" s="43">
        <f>AD836+AI836</f>
        <v>477800000</v>
      </c>
      <c r="AK836" s="43">
        <v>0</v>
      </c>
      <c r="AL836" s="142">
        <f>AM836-OCTUBRE!AM825</f>
        <v>22553172</v>
      </c>
      <c r="AM836" s="43">
        <v>429675958</v>
      </c>
      <c r="AN836" s="43">
        <v>0</v>
      </c>
      <c r="AO836" s="142">
        <v>4440000</v>
      </c>
      <c r="AP836" s="43">
        <v>355525955</v>
      </c>
      <c r="AQ836" s="34">
        <v>0</v>
      </c>
      <c r="AR836" s="147">
        <v>72199433</v>
      </c>
      <c r="AS836" s="18">
        <v>234612765</v>
      </c>
      <c r="AT836" s="39">
        <f t="shared" ref="AT836:AT838" si="404">AQ836+AS836</f>
        <v>234612765</v>
      </c>
      <c r="AU836" s="18">
        <f>AJ836-AM836</f>
        <v>48124042</v>
      </c>
      <c r="AV836" s="18">
        <f>AM836-AP836</f>
        <v>74150003</v>
      </c>
      <c r="AW836" s="110">
        <f>AP836-AT836</f>
        <v>120913190</v>
      </c>
      <c r="AX836" s="123">
        <f>AP836/AJ836</f>
        <v>0.74408948304730016</v>
      </c>
    </row>
    <row r="837" spans="1:50" ht="18.75" customHeight="1" x14ac:dyDescent="0.2">
      <c r="A837" s="4" t="s">
        <v>55</v>
      </c>
      <c r="B837" s="4" t="s">
        <v>56</v>
      </c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1" t="s">
        <v>565</v>
      </c>
      <c r="AB837" s="42" t="s">
        <v>382</v>
      </c>
      <c r="AC837" s="43" t="s">
        <v>383</v>
      </c>
      <c r="AD837" s="43">
        <v>1110000000</v>
      </c>
      <c r="AE837" s="44">
        <v>0</v>
      </c>
      <c r="AF837" s="44">
        <v>0</v>
      </c>
      <c r="AG837" s="44">
        <v>0</v>
      </c>
      <c r="AH837" s="44">
        <v>0</v>
      </c>
      <c r="AI837" s="44">
        <v>0</v>
      </c>
      <c r="AJ837" s="43">
        <v>1110000000</v>
      </c>
      <c r="AK837" s="43">
        <v>0</v>
      </c>
      <c r="AL837" s="142">
        <f>AM837-OCTUBRE!AM826</f>
        <v>-53158829</v>
      </c>
      <c r="AM837" s="43">
        <v>1056841171</v>
      </c>
      <c r="AN837" s="43">
        <v>0</v>
      </c>
      <c r="AO837" s="142">
        <v>35415220</v>
      </c>
      <c r="AP837" s="43">
        <v>1051649411</v>
      </c>
      <c r="AQ837" s="34">
        <v>0</v>
      </c>
      <c r="AR837" s="147">
        <v>142923779</v>
      </c>
      <c r="AS837" s="18">
        <v>861827047</v>
      </c>
      <c r="AT837" s="39">
        <f t="shared" si="404"/>
        <v>861827047</v>
      </c>
      <c r="AU837" s="18">
        <f>AJ837-AM837</f>
        <v>53158829</v>
      </c>
      <c r="AV837" s="18">
        <f>AM837-AP837</f>
        <v>5191760</v>
      </c>
      <c r="AW837" s="110">
        <f>AP837-AT837</f>
        <v>189822364</v>
      </c>
      <c r="AX837" s="123">
        <f>AP837/AJ837</f>
        <v>0.94743190180180181</v>
      </c>
    </row>
    <row r="838" spans="1:50" ht="18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1" t="s">
        <v>1098</v>
      </c>
      <c r="AB838" s="42" t="s">
        <v>1015</v>
      </c>
      <c r="AC838" s="43"/>
      <c r="AD838" s="44">
        <v>0</v>
      </c>
      <c r="AE838" s="43">
        <v>326400000</v>
      </c>
      <c r="AF838" s="44">
        <v>0</v>
      </c>
      <c r="AG838" s="44">
        <v>0</v>
      </c>
      <c r="AH838" s="43">
        <v>326400000</v>
      </c>
      <c r="AI838" s="44">
        <v>0</v>
      </c>
      <c r="AJ838" s="44">
        <f>AD838+AI838</f>
        <v>0</v>
      </c>
      <c r="AK838" s="44">
        <v>0</v>
      </c>
      <c r="AL838" s="143">
        <v>0</v>
      </c>
      <c r="AM838" s="44">
        <v>0</v>
      </c>
      <c r="AN838" s="44">
        <v>0</v>
      </c>
      <c r="AO838" s="143">
        <v>0</v>
      </c>
      <c r="AP838" s="44">
        <v>0</v>
      </c>
      <c r="AQ838" s="34">
        <v>0</v>
      </c>
      <c r="AR838" s="145">
        <v>0</v>
      </c>
      <c r="AS838" s="34">
        <v>0</v>
      </c>
      <c r="AT838" s="40">
        <f t="shared" si="404"/>
        <v>0</v>
      </c>
      <c r="AU838" s="34">
        <f>AJ838-AM838</f>
        <v>0</v>
      </c>
      <c r="AV838" s="34">
        <f>AM838-AP838</f>
        <v>0</v>
      </c>
      <c r="AW838" s="133">
        <f>AP838-AT838</f>
        <v>0</v>
      </c>
      <c r="AX838" s="123">
        <v>0</v>
      </c>
    </row>
    <row r="839" spans="1:50" ht="27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73" t="s">
        <v>288</v>
      </c>
      <c r="AB839" s="74" t="s">
        <v>1259</v>
      </c>
      <c r="AC839" s="43"/>
      <c r="AD839" s="43"/>
      <c r="AE839" s="43"/>
      <c r="AF839" s="44"/>
      <c r="AG839" s="44"/>
      <c r="AH839" s="44"/>
      <c r="AI839" s="43"/>
      <c r="AJ839" s="43"/>
      <c r="AK839" s="44"/>
      <c r="AL839" s="115"/>
      <c r="AM839" s="115"/>
      <c r="AN839" s="44"/>
      <c r="AO839" s="143"/>
      <c r="AP839" s="44"/>
      <c r="AQ839" s="34"/>
      <c r="AR839" s="145"/>
      <c r="AS839" s="34"/>
      <c r="AT839" s="40"/>
      <c r="AU839" s="18"/>
      <c r="AV839" s="34"/>
      <c r="AW839" s="133"/>
      <c r="AX839" s="123"/>
    </row>
    <row r="840" spans="1:50" ht="18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1" t="s">
        <v>1260</v>
      </c>
      <c r="AB840" s="42" t="s">
        <v>961</v>
      </c>
      <c r="AC840" s="43"/>
      <c r="AD840" s="44">
        <v>0</v>
      </c>
      <c r="AE840" s="44">
        <v>0</v>
      </c>
      <c r="AF840" s="44">
        <v>0</v>
      </c>
      <c r="AG840" s="43">
        <v>29000000</v>
      </c>
      <c r="AH840" s="43">
        <v>29000000</v>
      </c>
      <c r="AI840" s="44">
        <f>AE840-AF840+AG840-AH840</f>
        <v>0</v>
      </c>
      <c r="AJ840" s="44">
        <f>AD840+AI840</f>
        <v>0</v>
      </c>
      <c r="AK840" s="44">
        <v>0</v>
      </c>
      <c r="AL840" s="115">
        <v>0</v>
      </c>
      <c r="AM840" s="115">
        <v>0</v>
      </c>
      <c r="AN840" s="44">
        <v>0</v>
      </c>
      <c r="AO840" s="143">
        <v>0</v>
      </c>
      <c r="AP840" s="44">
        <v>0</v>
      </c>
      <c r="AQ840" s="34">
        <v>0</v>
      </c>
      <c r="AR840" s="145">
        <v>0</v>
      </c>
      <c r="AS840" s="34">
        <v>0</v>
      </c>
      <c r="AT840" s="40">
        <f t="shared" ref="AT840" si="405">AQ840+AS840</f>
        <v>0</v>
      </c>
      <c r="AU840" s="34">
        <f>AJ840-AM840</f>
        <v>0</v>
      </c>
      <c r="AV840" s="34">
        <f>AM840-AP840</f>
        <v>0</v>
      </c>
      <c r="AW840" s="133">
        <f>AP840-AT840</f>
        <v>0</v>
      </c>
      <c r="AX840" s="123">
        <v>0</v>
      </c>
    </row>
    <row r="841" spans="1:50" ht="26.25" customHeight="1" x14ac:dyDescent="0.2">
      <c r="AA841" s="28" t="s">
        <v>288</v>
      </c>
      <c r="AB841" s="29" t="s">
        <v>566</v>
      </c>
      <c r="AC841" s="17"/>
      <c r="AD841" s="18"/>
      <c r="AE841" s="34"/>
      <c r="AF841" s="34"/>
      <c r="AG841" s="34"/>
      <c r="AH841" s="34"/>
      <c r="AI841" s="34"/>
      <c r="AJ841" s="18"/>
      <c r="AK841" s="18"/>
      <c r="AL841" s="147"/>
      <c r="AM841" s="18"/>
      <c r="AN841" s="18"/>
      <c r="AO841" s="147"/>
      <c r="AP841" s="110"/>
      <c r="AQ841" s="18"/>
      <c r="AR841" s="147"/>
      <c r="AS841" s="18"/>
      <c r="AT841" s="30"/>
      <c r="AU841" s="18"/>
      <c r="AV841" s="18"/>
      <c r="AW841" s="18"/>
      <c r="AX841" s="18"/>
    </row>
    <row r="842" spans="1:50" ht="18.75" customHeight="1" x14ac:dyDescent="0.2">
      <c r="A842" s="4" t="s">
        <v>55</v>
      </c>
      <c r="B842" s="4" t="s">
        <v>56</v>
      </c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1" t="s">
        <v>567</v>
      </c>
      <c r="AB842" s="42" t="s">
        <v>233</v>
      </c>
      <c r="AC842" s="43" t="s">
        <v>58</v>
      </c>
      <c r="AD842" s="43">
        <v>771000000</v>
      </c>
      <c r="AE842" s="44">
        <v>0</v>
      </c>
      <c r="AF842" s="44">
        <v>0</v>
      </c>
      <c r="AG842" s="43">
        <v>29000000</v>
      </c>
      <c r="AH842" s="43">
        <v>49000000</v>
      </c>
      <c r="AI842" s="43">
        <f>AE842-AF842+AG842-AH842</f>
        <v>-20000000</v>
      </c>
      <c r="AJ842" s="43">
        <f>AD842+AI842</f>
        <v>751000000</v>
      </c>
      <c r="AK842" s="44">
        <v>0</v>
      </c>
      <c r="AL842" s="142">
        <f>AM842-OCTUBRE!AM831</f>
        <v>15602215.360000014</v>
      </c>
      <c r="AM842" s="43">
        <v>678841826.97000003</v>
      </c>
      <c r="AN842" s="44">
        <v>0</v>
      </c>
      <c r="AO842" s="144">
        <v>22352215.359999999</v>
      </c>
      <c r="AP842" s="114">
        <v>678841826.97000003</v>
      </c>
      <c r="AQ842" s="43">
        <v>0</v>
      </c>
      <c r="AR842" s="142">
        <v>56552223.359999999</v>
      </c>
      <c r="AS842" s="43">
        <v>580451293.63999999</v>
      </c>
      <c r="AT842" s="39">
        <f t="shared" si="391"/>
        <v>580451293.63999999</v>
      </c>
      <c r="AU842" s="18">
        <f>AJ842-AM842</f>
        <v>72158173.029999971</v>
      </c>
      <c r="AV842" s="34">
        <f>AM842-AP842</f>
        <v>0</v>
      </c>
      <c r="AW842" s="18">
        <f>AP842-AT842</f>
        <v>98390533.330000043</v>
      </c>
      <c r="AX842" s="123">
        <f>AP842/AJ842</f>
        <v>0.90391721300932093</v>
      </c>
    </row>
    <row r="843" spans="1:50" ht="18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1" t="s">
        <v>1390</v>
      </c>
      <c r="AB843" s="42" t="s">
        <v>1015</v>
      </c>
      <c r="AC843" s="43"/>
      <c r="AD843" s="44">
        <v>0</v>
      </c>
      <c r="AE843" s="43">
        <v>883600000</v>
      </c>
      <c r="AF843" s="44">
        <v>0</v>
      </c>
      <c r="AG843" s="44">
        <v>0</v>
      </c>
      <c r="AH843" s="43">
        <v>108000000</v>
      </c>
      <c r="AI843" s="43">
        <f>AE843-AF843+AG843-AH843</f>
        <v>775600000</v>
      </c>
      <c r="AJ843" s="43">
        <f>AD843+AI843</f>
        <v>775600000</v>
      </c>
      <c r="AK843" s="44">
        <v>0</v>
      </c>
      <c r="AL843" s="142">
        <f>AM843-OCTUBRE!AM832</f>
        <v>-12000000</v>
      </c>
      <c r="AM843" s="43">
        <v>736078177</v>
      </c>
      <c r="AN843" s="44">
        <v>0</v>
      </c>
      <c r="AO843" s="142">
        <v>0</v>
      </c>
      <c r="AP843" s="43">
        <v>736078177</v>
      </c>
      <c r="AQ843" s="44">
        <v>0</v>
      </c>
      <c r="AR843" s="142">
        <v>48030001</v>
      </c>
      <c r="AS843" s="43">
        <v>103778333</v>
      </c>
      <c r="AT843" s="39">
        <f t="shared" si="391"/>
        <v>103778333</v>
      </c>
      <c r="AU843" s="18">
        <f>AJ843-AM843</f>
        <v>39521823</v>
      </c>
      <c r="AV843" s="34">
        <f>AM843-AP843</f>
        <v>0</v>
      </c>
      <c r="AW843" s="18">
        <f>AP843-AT843</f>
        <v>632299844</v>
      </c>
      <c r="AX843" s="123">
        <f>AP843/AJ843</f>
        <v>0.94904354951005676</v>
      </c>
    </row>
    <row r="844" spans="1:50" ht="31.5" customHeight="1" x14ac:dyDescent="0.2">
      <c r="AA844" s="28" t="s">
        <v>288</v>
      </c>
      <c r="AB844" s="29" t="s">
        <v>568</v>
      </c>
      <c r="AC844" s="17"/>
      <c r="AD844" s="18"/>
      <c r="AE844" s="34"/>
      <c r="AF844" s="34"/>
      <c r="AG844" s="34"/>
      <c r="AH844" s="34"/>
      <c r="AI844" s="34"/>
      <c r="AJ844" s="18"/>
      <c r="AK844" s="34"/>
      <c r="AL844" s="147"/>
      <c r="AM844" s="18"/>
      <c r="AN844" s="18"/>
      <c r="AO844" s="148"/>
      <c r="AP844" s="110"/>
      <c r="AQ844" s="18"/>
      <c r="AR844" s="147"/>
      <c r="AS844" s="18"/>
      <c r="AT844" s="30"/>
      <c r="AU844" s="18"/>
      <c r="AV844" s="18"/>
      <c r="AW844" s="18"/>
      <c r="AX844" s="18"/>
    </row>
    <row r="845" spans="1:50" ht="18.75" customHeight="1" x14ac:dyDescent="0.2">
      <c r="A845" s="4" t="s">
        <v>55</v>
      </c>
      <c r="B845" s="4" t="s">
        <v>56</v>
      </c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1" t="s">
        <v>569</v>
      </c>
      <c r="AB845" s="42" t="s">
        <v>233</v>
      </c>
      <c r="AC845" s="43" t="s">
        <v>58</v>
      </c>
      <c r="AD845" s="43">
        <v>230000000</v>
      </c>
      <c r="AE845" s="44">
        <v>0</v>
      </c>
      <c r="AF845" s="44">
        <v>0</v>
      </c>
      <c r="AG845" s="44">
        <v>0</v>
      </c>
      <c r="AH845" s="44">
        <v>0</v>
      </c>
      <c r="AI845" s="44">
        <v>0</v>
      </c>
      <c r="AJ845" s="43">
        <v>230000000</v>
      </c>
      <c r="AK845" s="44">
        <v>0</v>
      </c>
      <c r="AL845" s="142">
        <f>AM845-OCTUBRE!AM834</f>
        <v>0</v>
      </c>
      <c r="AM845" s="43">
        <v>229369254</v>
      </c>
      <c r="AN845" s="44">
        <v>0</v>
      </c>
      <c r="AO845" s="144">
        <v>0</v>
      </c>
      <c r="AP845" s="114">
        <v>220831290</v>
      </c>
      <c r="AQ845" s="34">
        <v>0</v>
      </c>
      <c r="AR845" s="147">
        <v>28408304.09</v>
      </c>
      <c r="AS845" s="18">
        <v>201874971.09</v>
      </c>
      <c r="AT845" s="39">
        <f t="shared" si="391"/>
        <v>201874971.09</v>
      </c>
      <c r="AU845" s="18">
        <f>AJ845-AM845</f>
        <v>630746</v>
      </c>
      <c r="AV845" s="18">
        <f>AM845-AP845</f>
        <v>8537964</v>
      </c>
      <c r="AW845" s="18">
        <f>AP845-AT845</f>
        <v>18956318.909999996</v>
      </c>
      <c r="AX845" s="123">
        <f>AP845/AJ845</f>
        <v>0.96013604347826087</v>
      </c>
    </row>
    <row r="846" spans="1:50" ht="18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1" t="s">
        <v>1099</v>
      </c>
      <c r="AB846" s="42" t="s">
        <v>1015</v>
      </c>
      <c r="AC846" s="43"/>
      <c r="AD846" s="44">
        <v>0</v>
      </c>
      <c r="AE846" s="43">
        <v>65000000</v>
      </c>
      <c r="AF846" s="44">
        <v>0</v>
      </c>
      <c r="AG846" s="43">
        <v>25000000</v>
      </c>
      <c r="AH846" s="44">
        <v>0</v>
      </c>
      <c r="AI846" s="43">
        <f>AE846-AF846+AG846-AH846</f>
        <v>90000000</v>
      </c>
      <c r="AJ846" s="43">
        <f>AD846+AI846</f>
        <v>90000000</v>
      </c>
      <c r="AK846" s="44">
        <v>0</v>
      </c>
      <c r="AL846" s="142">
        <f>AM846-OCTUBRE!AM835</f>
        <v>4500000</v>
      </c>
      <c r="AM846" s="43">
        <v>56799970</v>
      </c>
      <c r="AN846" s="44">
        <v>0</v>
      </c>
      <c r="AO846" s="142">
        <v>14699970</v>
      </c>
      <c r="AP846" s="43">
        <v>31799970</v>
      </c>
      <c r="AQ846" s="34">
        <v>0</v>
      </c>
      <c r="AR846" s="147">
        <v>3500000</v>
      </c>
      <c r="AS846" s="18">
        <v>3500000</v>
      </c>
      <c r="AT846" s="39">
        <f t="shared" si="391"/>
        <v>3500000</v>
      </c>
      <c r="AU846" s="18">
        <f>AJ846-AM846</f>
        <v>33200030</v>
      </c>
      <c r="AV846" s="18">
        <f>AM846-AP846</f>
        <v>25000000</v>
      </c>
      <c r="AW846" s="133">
        <f>AP846-AT846</f>
        <v>28299970</v>
      </c>
      <c r="AX846" s="123">
        <f>AP846/AJ846</f>
        <v>0.35333300000000001</v>
      </c>
    </row>
    <row r="847" spans="1:50" ht="27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73" t="s">
        <v>288</v>
      </c>
      <c r="AB847" s="74" t="s">
        <v>1408</v>
      </c>
      <c r="AC847" s="43"/>
      <c r="AD847" s="44"/>
      <c r="AE847" s="43"/>
      <c r="AF847" s="44"/>
      <c r="AG847" s="43"/>
      <c r="AH847" s="44"/>
      <c r="AI847" s="43"/>
      <c r="AJ847" s="43"/>
      <c r="AK847" s="44"/>
      <c r="AL847" s="142"/>
      <c r="AM847" s="43"/>
      <c r="AN847" s="44"/>
      <c r="AO847" s="142"/>
      <c r="AP847" s="43"/>
      <c r="AQ847" s="34"/>
      <c r="AR847" s="145"/>
      <c r="AS847" s="34"/>
      <c r="AT847" s="40"/>
      <c r="AU847" s="18"/>
      <c r="AV847" s="18"/>
      <c r="AW847" s="133"/>
      <c r="AX847" s="123"/>
    </row>
    <row r="848" spans="1:50" ht="18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1" t="s">
        <v>1409</v>
      </c>
      <c r="AB848" s="42" t="s">
        <v>233</v>
      </c>
      <c r="AC848" s="43"/>
      <c r="AD848" s="44">
        <v>0</v>
      </c>
      <c r="AE848" s="44">
        <v>0</v>
      </c>
      <c r="AF848" s="44">
        <v>0</v>
      </c>
      <c r="AG848" s="43">
        <v>60000000</v>
      </c>
      <c r="AH848" s="44">
        <v>0</v>
      </c>
      <c r="AI848" s="43">
        <f t="shared" ref="AI848:AI849" si="406">AE848-AF848+AG848-AH848</f>
        <v>60000000</v>
      </c>
      <c r="AJ848" s="43">
        <f t="shared" ref="AJ848:AJ849" si="407">AD848+AI848</f>
        <v>60000000</v>
      </c>
      <c r="AK848" s="44">
        <v>0</v>
      </c>
      <c r="AL848" s="142">
        <f>AM848-OCTUBRE!AM837</f>
        <v>25266715</v>
      </c>
      <c r="AM848" s="43">
        <v>31266715</v>
      </c>
      <c r="AN848" s="44">
        <v>0</v>
      </c>
      <c r="AO848" s="142">
        <v>10666675</v>
      </c>
      <c r="AP848" s="43">
        <v>13666675</v>
      </c>
      <c r="AQ848" s="34">
        <v>0</v>
      </c>
      <c r="AR848" s="147">
        <v>200000</v>
      </c>
      <c r="AS848" s="18">
        <v>200000</v>
      </c>
      <c r="AT848" s="39">
        <f t="shared" ref="AT848:AT849" si="408">AQ848+AS848</f>
        <v>200000</v>
      </c>
      <c r="AU848" s="18">
        <f t="shared" ref="AU848:AU849" si="409">AJ848-AM848</f>
        <v>28733285</v>
      </c>
      <c r="AV848" s="18">
        <f t="shared" ref="AV848:AV849" si="410">AM848-AP848</f>
        <v>17600040</v>
      </c>
      <c r="AW848" s="18">
        <f t="shared" ref="AW848:AW849" si="411">AP848-AT848</f>
        <v>13466675</v>
      </c>
      <c r="AX848" s="123">
        <f t="shared" ref="AX848:AX849" si="412">AP848/AJ848</f>
        <v>0.22777791666666666</v>
      </c>
    </row>
    <row r="849" spans="1:50" ht="18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1" t="s">
        <v>1411</v>
      </c>
      <c r="AB849" s="42" t="s">
        <v>1410</v>
      </c>
      <c r="AC849" s="43"/>
      <c r="AD849" s="44"/>
      <c r="AE849" s="44"/>
      <c r="AF849" s="44">
        <v>0</v>
      </c>
      <c r="AG849" s="43">
        <v>15000000</v>
      </c>
      <c r="AH849" s="44"/>
      <c r="AI849" s="43">
        <f t="shared" si="406"/>
        <v>15000000</v>
      </c>
      <c r="AJ849" s="43">
        <f t="shared" si="407"/>
        <v>15000000</v>
      </c>
      <c r="AK849" s="44">
        <v>0</v>
      </c>
      <c r="AL849" s="142">
        <f>AM849-OCTUBRE!AM838</f>
        <v>-2999960</v>
      </c>
      <c r="AM849" s="43">
        <v>12000040</v>
      </c>
      <c r="AN849" s="44">
        <v>0</v>
      </c>
      <c r="AO849" s="142">
        <v>12000040</v>
      </c>
      <c r="AP849" s="43">
        <v>12000040</v>
      </c>
      <c r="AQ849" s="34">
        <v>0</v>
      </c>
      <c r="AR849" s="145">
        <v>0</v>
      </c>
      <c r="AS849" s="34">
        <v>0</v>
      </c>
      <c r="AT849" s="40">
        <f t="shared" si="408"/>
        <v>0</v>
      </c>
      <c r="AU849" s="18">
        <f t="shared" si="409"/>
        <v>2999960</v>
      </c>
      <c r="AV849" s="18">
        <f t="shared" si="410"/>
        <v>0</v>
      </c>
      <c r="AW849" s="18">
        <f t="shared" si="411"/>
        <v>12000040</v>
      </c>
      <c r="AX849" s="123">
        <f t="shared" si="412"/>
        <v>0.80000266666666664</v>
      </c>
    </row>
    <row r="850" spans="1:50" ht="27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73" t="s">
        <v>288</v>
      </c>
      <c r="AB850" s="74" t="s">
        <v>1412</v>
      </c>
      <c r="AC850" s="43"/>
      <c r="AD850" s="44"/>
      <c r="AE850" s="44"/>
      <c r="AF850" s="44"/>
      <c r="AG850" s="43"/>
      <c r="AH850" s="44"/>
      <c r="AI850" s="43"/>
      <c r="AJ850" s="43"/>
      <c r="AK850" s="44"/>
      <c r="AL850" s="142"/>
      <c r="AM850" s="43"/>
      <c r="AN850" s="44"/>
      <c r="AO850" s="258"/>
      <c r="AP850" s="115"/>
      <c r="AQ850" s="34"/>
      <c r="AR850" s="145"/>
      <c r="AS850" s="34"/>
      <c r="AT850" s="40"/>
      <c r="AU850" s="18"/>
      <c r="AV850" s="18"/>
      <c r="AW850" s="133"/>
      <c r="AX850" s="123"/>
    </row>
    <row r="851" spans="1:50" ht="18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1" t="s">
        <v>1413</v>
      </c>
      <c r="AB851" s="42" t="s">
        <v>1015</v>
      </c>
      <c r="AC851" s="43"/>
      <c r="AD851" s="44">
        <v>0</v>
      </c>
      <c r="AE851" s="44">
        <v>0</v>
      </c>
      <c r="AF851" s="44">
        <v>0</v>
      </c>
      <c r="AG851" s="43">
        <v>15000000</v>
      </c>
      <c r="AH851" s="44">
        <v>0</v>
      </c>
      <c r="AI851" s="43">
        <f t="shared" ref="AI851" si="413">AE851-AF851+AG851-AH851</f>
        <v>15000000</v>
      </c>
      <c r="AJ851" s="43">
        <f t="shared" ref="AJ851" si="414">AD851+AI851</f>
        <v>15000000</v>
      </c>
      <c r="AK851" s="44">
        <v>0</v>
      </c>
      <c r="AL851" s="142">
        <f>AM851-OCTUBRE!AM840</f>
        <v>14815663.779999999</v>
      </c>
      <c r="AM851" s="43">
        <v>14815663.779999999</v>
      </c>
      <c r="AN851" s="44">
        <v>0</v>
      </c>
      <c r="AO851" s="258">
        <v>0</v>
      </c>
      <c r="AP851" s="115">
        <v>0</v>
      </c>
      <c r="AQ851" s="34">
        <v>0</v>
      </c>
      <c r="AR851" s="145">
        <v>0</v>
      </c>
      <c r="AS851" s="34">
        <v>0</v>
      </c>
      <c r="AT851" s="40">
        <f t="shared" ref="AT851" si="415">AQ851+AS851</f>
        <v>0</v>
      </c>
      <c r="AU851" s="18">
        <f t="shared" ref="AU851" si="416">AJ851-AM851</f>
        <v>184336.22000000067</v>
      </c>
      <c r="AV851" s="18">
        <f t="shared" ref="AV851" si="417">AM851-AP851</f>
        <v>14815663.779999999</v>
      </c>
      <c r="AW851" s="34">
        <f t="shared" ref="AW851" si="418">AP851-AT851</f>
        <v>0</v>
      </c>
      <c r="AX851" s="123">
        <f t="shared" ref="AX851" si="419">AP851/AJ851</f>
        <v>0</v>
      </c>
    </row>
    <row r="852" spans="1:50" ht="18.75" customHeight="1" x14ac:dyDescent="0.2">
      <c r="AA852" s="28" t="s">
        <v>288</v>
      </c>
      <c r="AB852" s="29" t="s">
        <v>570</v>
      </c>
      <c r="AC852" s="17"/>
      <c r="AD852" s="18"/>
      <c r="AE852" s="34"/>
      <c r="AF852" s="34"/>
      <c r="AG852" s="34"/>
      <c r="AH852" s="34"/>
      <c r="AI852" s="34"/>
      <c r="AJ852" s="18"/>
      <c r="AK852" s="34"/>
      <c r="AL852" s="147"/>
      <c r="AM852" s="18"/>
      <c r="AN852" s="34"/>
      <c r="AO852" s="148"/>
      <c r="AP852" s="110"/>
      <c r="AQ852" s="34"/>
      <c r="AR852" s="147"/>
      <c r="AS852" s="18"/>
      <c r="AT852" s="39"/>
      <c r="AU852" s="18"/>
      <c r="AV852" s="18"/>
      <c r="AW852" s="18"/>
      <c r="AX852" s="18"/>
    </row>
    <row r="853" spans="1:50" ht="18.75" customHeight="1" x14ac:dyDescent="0.2">
      <c r="A853" s="4" t="s">
        <v>55</v>
      </c>
      <c r="B853" s="4" t="s">
        <v>56</v>
      </c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1" t="s">
        <v>571</v>
      </c>
      <c r="AB853" s="42" t="s">
        <v>233</v>
      </c>
      <c r="AC853" s="43" t="s">
        <v>58</v>
      </c>
      <c r="AD853" s="43">
        <v>300000000</v>
      </c>
      <c r="AE853" s="44">
        <v>0</v>
      </c>
      <c r="AF853" s="44">
        <v>0</v>
      </c>
      <c r="AG853" s="44">
        <v>0</v>
      </c>
      <c r="AH853" s="43">
        <v>60000000</v>
      </c>
      <c r="AI853" s="43">
        <f>AE853-AF853+AG853-AH853</f>
        <v>-60000000</v>
      </c>
      <c r="AJ853" s="43">
        <f>AD853+AI853</f>
        <v>240000000</v>
      </c>
      <c r="AK853" s="44">
        <v>0</v>
      </c>
      <c r="AL853" s="142">
        <f>AM853-OCTUBRE!AM842</f>
        <v>-3000004</v>
      </c>
      <c r="AM853" s="43">
        <v>232100022.34</v>
      </c>
      <c r="AN853" s="44">
        <v>0</v>
      </c>
      <c r="AO853" s="144">
        <v>999996</v>
      </c>
      <c r="AP853" s="114">
        <v>232100022.34</v>
      </c>
      <c r="AQ853" s="18">
        <v>0</v>
      </c>
      <c r="AR853" s="147">
        <v>34316667</v>
      </c>
      <c r="AS853" s="18">
        <v>166416665</v>
      </c>
      <c r="AT853" s="39">
        <f t="shared" ref="AT853" si="420">AQ853+AS853</f>
        <v>166416665</v>
      </c>
      <c r="AU853" s="18">
        <f>AJ853-AM853</f>
        <v>7899977.6599999964</v>
      </c>
      <c r="AV853" s="34">
        <f>AM853-AP853</f>
        <v>0</v>
      </c>
      <c r="AW853" s="18">
        <f>AP853-AT853</f>
        <v>65683357.340000004</v>
      </c>
      <c r="AX853" s="123">
        <f>AP853/AJ853</f>
        <v>0.96708342641666667</v>
      </c>
    </row>
    <row r="854" spans="1:50" ht="18.75" customHeight="1" x14ac:dyDescent="0.2">
      <c r="AA854" s="28" t="s">
        <v>288</v>
      </c>
      <c r="AB854" s="29" t="s">
        <v>400</v>
      </c>
      <c r="AC854" s="17"/>
      <c r="AD854" s="18"/>
      <c r="AE854" s="34"/>
      <c r="AF854" s="34"/>
      <c r="AG854" s="34"/>
      <c r="AH854" s="34"/>
      <c r="AI854" s="34"/>
      <c r="AJ854" s="18"/>
      <c r="AK854" s="34"/>
      <c r="AL854" s="147"/>
      <c r="AM854" s="18"/>
      <c r="AN854" s="34"/>
      <c r="AO854" s="148"/>
      <c r="AP854" s="110"/>
      <c r="AQ854" s="18"/>
      <c r="AR854" s="147"/>
      <c r="AS854" s="18"/>
      <c r="AT854" s="39"/>
      <c r="AU854" s="18"/>
      <c r="AV854" s="110"/>
      <c r="AW854" s="18"/>
      <c r="AX854" s="18"/>
    </row>
    <row r="855" spans="1:50" ht="18.75" customHeight="1" x14ac:dyDescent="0.2">
      <c r="A855" s="4" t="s">
        <v>55</v>
      </c>
      <c r="B855" s="4" t="s">
        <v>56</v>
      </c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1" t="s">
        <v>425</v>
      </c>
      <c r="AB855" s="42" t="s">
        <v>233</v>
      </c>
      <c r="AC855" s="43" t="s">
        <v>58</v>
      </c>
      <c r="AD855" s="43">
        <v>440000000</v>
      </c>
      <c r="AE855" s="44">
        <v>0</v>
      </c>
      <c r="AF855" s="44">
        <v>0</v>
      </c>
      <c r="AG855" s="43">
        <f>42000000+12000000</f>
        <v>54000000</v>
      </c>
      <c r="AH855" s="44">
        <v>0</v>
      </c>
      <c r="AI855" s="43">
        <f>AE855-AF855+AG855-AH855</f>
        <v>54000000</v>
      </c>
      <c r="AJ855" s="43">
        <f>AD855+AI855</f>
        <v>494000000</v>
      </c>
      <c r="AK855" s="44">
        <v>0</v>
      </c>
      <c r="AL855" s="142">
        <f>AM855-OCTUBRE!AM844</f>
        <v>-266660</v>
      </c>
      <c r="AM855" s="43">
        <v>483875239.32999998</v>
      </c>
      <c r="AN855" s="44">
        <v>0</v>
      </c>
      <c r="AO855" s="144">
        <f>AP855-OCTUBRE!AP844</f>
        <v>-1266661</v>
      </c>
      <c r="AP855" s="114">
        <v>482873238.32999998</v>
      </c>
      <c r="AQ855" s="18">
        <v>3200000</v>
      </c>
      <c r="AR855" s="147">
        <v>46500000.329999998</v>
      </c>
      <c r="AS855" s="18">
        <v>429396668.32999998</v>
      </c>
      <c r="AT855" s="39">
        <f t="shared" ref="AT855:AT856" si="421">AQ855+AS855</f>
        <v>432596668.32999998</v>
      </c>
      <c r="AU855" s="18">
        <f>AJ855-AM855</f>
        <v>10124760.670000017</v>
      </c>
      <c r="AV855" s="18">
        <f>AM855-AP855</f>
        <v>1002001</v>
      </c>
      <c r="AW855" s="18">
        <f>AP855-AT855</f>
        <v>50276570</v>
      </c>
      <c r="AX855" s="123">
        <f>AP855/AJ855</f>
        <v>0.97747619095141702</v>
      </c>
    </row>
    <row r="856" spans="1:50" ht="18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1" t="s">
        <v>1256</v>
      </c>
      <c r="AB856" s="42" t="s">
        <v>1015</v>
      </c>
      <c r="AC856" s="43"/>
      <c r="AD856" s="44">
        <v>0</v>
      </c>
      <c r="AE856" s="44">
        <v>0</v>
      </c>
      <c r="AF856" s="44">
        <v>0</v>
      </c>
      <c r="AG856" s="43">
        <v>120000000</v>
      </c>
      <c r="AH856" s="43">
        <v>30000000</v>
      </c>
      <c r="AI856" s="43">
        <f>AE856-AF856+AG856-AH856</f>
        <v>90000000</v>
      </c>
      <c r="AJ856" s="43">
        <f>AD856+AI856</f>
        <v>90000000</v>
      </c>
      <c r="AK856" s="44">
        <v>0</v>
      </c>
      <c r="AL856" s="142">
        <f>AM856-OCTUBRE!AM845</f>
        <v>3333320</v>
      </c>
      <c r="AM856" s="43">
        <v>88269962.359999999</v>
      </c>
      <c r="AN856" s="44">
        <v>0</v>
      </c>
      <c r="AO856" s="142">
        <f>AP856-OCTUBRE!AP845</f>
        <v>0</v>
      </c>
      <c r="AP856" s="43">
        <v>84936642.359999999</v>
      </c>
      <c r="AQ856" s="34">
        <v>0</v>
      </c>
      <c r="AR856" s="18">
        <v>23833333</v>
      </c>
      <c r="AS856" s="18">
        <v>37993333</v>
      </c>
      <c r="AT856" s="39">
        <f t="shared" si="421"/>
        <v>37993333</v>
      </c>
      <c r="AU856" s="18">
        <f>AJ856-AM856</f>
        <v>1730037.6400000006</v>
      </c>
      <c r="AV856" s="18">
        <f>AM856-AP856</f>
        <v>3333320</v>
      </c>
      <c r="AW856" s="18">
        <f>AP856-AT856</f>
        <v>46943309.359999999</v>
      </c>
      <c r="AX856" s="123">
        <f>AP856/AJ856</f>
        <v>0.94374047066666666</v>
      </c>
    </row>
    <row r="857" spans="1:50" ht="18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73" t="s">
        <v>1016</v>
      </c>
      <c r="AB857" s="74" t="s">
        <v>1068</v>
      </c>
      <c r="AC857" s="43"/>
      <c r="AD857" s="43"/>
      <c r="AE857" s="44"/>
      <c r="AF857" s="44"/>
      <c r="AG857" s="43"/>
      <c r="AH857" s="44"/>
      <c r="AI857" s="43"/>
      <c r="AJ857" s="43"/>
      <c r="AK857" s="44"/>
      <c r="AL857" s="43"/>
      <c r="AM857" s="43"/>
      <c r="AN857" s="44"/>
      <c r="AO857" s="115"/>
      <c r="AP857" s="115"/>
      <c r="AQ857" s="34"/>
      <c r="AR857" s="34"/>
      <c r="AS857" s="34"/>
      <c r="AT857" s="40"/>
      <c r="AU857" s="18"/>
      <c r="AV857" s="133"/>
      <c r="AW857" s="18"/>
      <c r="AX857" s="123"/>
    </row>
    <row r="858" spans="1:50" ht="18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73" t="s">
        <v>1017</v>
      </c>
      <c r="AB858" s="74" t="s">
        <v>1069</v>
      </c>
      <c r="AC858" s="43"/>
      <c r="AD858" s="43"/>
      <c r="AE858" s="44"/>
      <c r="AF858" s="44"/>
      <c r="AG858" s="43"/>
      <c r="AH858" s="44"/>
      <c r="AI858" s="43"/>
      <c r="AJ858" s="43"/>
      <c r="AK858" s="44"/>
      <c r="AL858" s="43"/>
      <c r="AM858" s="43"/>
      <c r="AN858" s="44"/>
      <c r="AO858" s="115"/>
      <c r="AP858" s="115"/>
      <c r="AQ858" s="34"/>
      <c r="AR858" s="34"/>
      <c r="AS858" s="34"/>
      <c r="AT858" s="40"/>
      <c r="AU858" s="18"/>
      <c r="AV858" s="133"/>
      <c r="AW858" s="18"/>
      <c r="AX858" s="123"/>
    </row>
    <row r="859" spans="1:50" ht="18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73" t="s">
        <v>1018</v>
      </c>
      <c r="AB859" s="74" t="s">
        <v>286</v>
      </c>
      <c r="AC859" s="43"/>
      <c r="AD859" s="43"/>
      <c r="AE859" s="44"/>
      <c r="AF859" s="44"/>
      <c r="AG859" s="43"/>
      <c r="AH859" s="44"/>
      <c r="AI859" s="43"/>
      <c r="AJ859" s="43"/>
      <c r="AK859" s="44"/>
      <c r="AL859" s="43"/>
      <c r="AM859" s="43"/>
      <c r="AN859" s="44"/>
      <c r="AO859" s="115"/>
      <c r="AP859" s="115"/>
      <c r="AQ859" s="34"/>
      <c r="AR859" s="34"/>
      <c r="AS859" s="34"/>
      <c r="AT859" s="40"/>
      <c r="AU859" s="18"/>
      <c r="AV859" s="133"/>
      <c r="AW859" s="18"/>
      <c r="AX859" s="123"/>
    </row>
    <row r="860" spans="1:50" ht="18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73" t="s">
        <v>1021</v>
      </c>
      <c r="AB860" s="74" t="s">
        <v>1070</v>
      </c>
      <c r="AC860" s="43"/>
      <c r="AD860" s="43"/>
      <c r="AE860" s="44"/>
      <c r="AF860" s="44"/>
      <c r="AG860" s="43"/>
      <c r="AH860" s="44"/>
      <c r="AI860" s="43"/>
      <c r="AJ860" s="43"/>
      <c r="AK860" s="44"/>
      <c r="AL860" s="43"/>
      <c r="AM860" s="43"/>
      <c r="AN860" s="44"/>
      <c r="AO860" s="115"/>
      <c r="AP860" s="115"/>
      <c r="AQ860" s="34"/>
      <c r="AR860" s="34"/>
      <c r="AS860" s="34"/>
      <c r="AT860" s="40"/>
      <c r="AU860" s="18"/>
      <c r="AV860" s="133"/>
      <c r="AW860" s="18"/>
      <c r="AX860" s="123"/>
    </row>
    <row r="861" spans="1:50" ht="18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1" t="s">
        <v>1019</v>
      </c>
      <c r="AB861" s="42" t="s">
        <v>1005</v>
      </c>
      <c r="AC861" s="43"/>
      <c r="AD861" s="44">
        <v>0</v>
      </c>
      <c r="AE861" s="43">
        <v>4577320</v>
      </c>
      <c r="AF861" s="44">
        <v>0</v>
      </c>
      <c r="AG861" s="44">
        <v>0</v>
      </c>
      <c r="AH861" s="44">
        <v>0</v>
      </c>
      <c r="AI861" s="43">
        <f>AE861-AF861+AG861-AH861</f>
        <v>4577320</v>
      </c>
      <c r="AJ861" s="43">
        <f>AD861+AI861</f>
        <v>4577320</v>
      </c>
      <c r="AK861" s="44">
        <v>0</v>
      </c>
      <c r="AL861" s="43">
        <v>0</v>
      </c>
      <c r="AM861" s="43">
        <v>3697408</v>
      </c>
      <c r="AN861" s="44">
        <v>0</v>
      </c>
      <c r="AO861" s="43">
        <v>0</v>
      </c>
      <c r="AP861" s="43">
        <v>3697408</v>
      </c>
      <c r="AQ861" s="34">
        <v>0</v>
      </c>
      <c r="AR861" s="34">
        <v>0</v>
      </c>
      <c r="AS861" s="18">
        <v>3697408</v>
      </c>
      <c r="AT861" s="39">
        <f t="shared" ref="AT861" si="422">AQ861+AS861</f>
        <v>3697408</v>
      </c>
      <c r="AU861" s="18">
        <f>AJ861-AM861</f>
        <v>879912</v>
      </c>
      <c r="AV861" s="34">
        <f>AM861-AP861</f>
        <v>0</v>
      </c>
      <c r="AW861" s="34">
        <f>AP861-AT861</f>
        <v>0</v>
      </c>
      <c r="AX861" s="123">
        <f>AP861/AJ861</f>
        <v>0.80776699029126209</v>
      </c>
    </row>
    <row r="862" spans="1:50" s="343" customFormat="1" ht="18.75" customHeight="1" x14ac:dyDescent="0.2">
      <c r="A862" s="50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46"/>
      <c r="AB862" s="47" t="s">
        <v>572</v>
      </c>
      <c r="AC862" s="47"/>
      <c r="AD862" s="48">
        <f t="shared" ref="AD862:AV862" si="423">SUM(AD757:AD861)</f>
        <v>13989429350</v>
      </c>
      <c r="AE862" s="48">
        <f t="shared" si="423"/>
        <v>3972553585.4200001</v>
      </c>
      <c r="AF862" s="49">
        <f t="shared" si="423"/>
        <v>0</v>
      </c>
      <c r="AG862" s="48">
        <f t="shared" si="423"/>
        <v>4829204720.1399994</v>
      </c>
      <c r="AH862" s="48">
        <f t="shared" si="423"/>
        <v>3695204720.1400003</v>
      </c>
      <c r="AI862" s="48">
        <f t="shared" si="423"/>
        <v>5106553585.4200001</v>
      </c>
      <c r="AJ862" s="48">
        <f t="shared" si="423"/>
        <v>19095982935.419998</v>
      </c>
      <c r="AK862" s="49">
        <f t="shared" si="423"/>
        <v>0</v>
      </c>
      <c r="AL862" s="48">
        <f t="shared" si="423"/>
        <v>278697458.36999989</v>
      </c>
      <c r="AM862" s="48">
        <f t="shared" si="423"/>
        <v>17153311598.630001</v>
      </c>
      <c r="AN862" s="49">
        <f t="shared" si="423"/>
        <v>0</v>
      </c>
      <c r="AO862" s="48">
        <f t="shared" si="423"/>
        <v>1829751244.7399998</v>
      </c>
      <c r="AP862" s="48">
        <f t="shared" si="423"/>
        <v>15962466982.17</v>
      </c>
      <c r="AQ862" s="48">
        <f t="shared" si="423"/>
        <v>115326255.27</v>
      </c>
      <c r="AR862" s="48">
        <f t="shared" si="423"/>
        <v>2201722461.77</v>
      </c>
      <c r="AS862" s="48">
        <f t="shared" si="423"/>
        <v>10718982004.57</v>
      </c>
      <c r="AT862" s="48">
        <f t="shared" si="423"/>
        <v>10834308259.839998</v>
      </c>
      <c r="AU862" s="48">
        <f t="shared" si="423"/>
        <v>1942671336.79</v>
      </c>
      <c r="AV862" s="48">
        <f t="shared" si="423"/>
        <v>1190844616.4599998</v>
      </c>
      <c r="AW862" s="48">
        <f>SUM(AW757:AW861)</f>
        <v>5128158722.329999</v>
      </c>
      <c r="AX862" s="24">
        <f>AP862/AJ862</f>
        <v>0.83590706150884608</v>
      </c>
    </row>
    <row r="863" spans="1:50" ht="18.75" customHeight="1" x14ac:dyDescent="0.2">
      <c r="AA863" s="16"/>
      <c r="AB863" s="17"/>
      <c r="AC863" s="17"/>
      <c r="AD863" s="18"/>
      <c r="AE863" s="34"/>
      <c r="AF863" s="34"/>
      <c r="AG863" s="34"/>
      <c r="AH863" s="34"/>
      <c r="AI863" s="34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</row>
    <row r="864" spans="1:50" ht="18.75" customHeight="1" x14ac:dyDescent="0.2">
      <c r="A864" s="25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66"/>
      <c r="AB864" s="21" t="s">
        <v>573</v>
      </c>
      <c r="AC864" s="67"/>
      <c r="AD864" s="63"/>
      <c r="AE864" s="72"/>
      <c r="AF864" s="72"/>
      <c r="AG864" s="72"/>
      <c r="AH864" s="72"/>
      <c r="AI864" s="72"/>
      <c r="AJ864" s="63"/>
      <c r="AK864" s="63"/>
      <c r="AL864" s="63"/>
      <c r="AM864" s="63"/>
      <c r="AN864" s="63"/>
      <c r="AO864" s="63"/>
      <c r="AP864" s="63"/>
      <c r="AQ864" s="63"/>
      <c r="AR864" s="63"/>
      <c r="AS864" s="63"/>
      <c r="AT864" s="63"/>
      <c r="AU864" s="63"/>
      <c r="AV864" s="63"/>
      <c r="AW864" s="63"/>
      <c r="AX864" s="63"/>
    </row>
    <row r="865" spans="1:50" ht="18.75" customHeight="1" x14ac:dyDescent="0.2">
      <c r="AA865" s="16"/>
      <c r="AB865" s="29" t="s">
        <v>286</v>
      </c>
      <c r="AC865" s="17"/>
      <c r="AD865" s="18"/>
      <c r="AE865" s="34"/>
      <c r="AF865" s="34"/>
      <c r="AG865" s="34"/>
      <c r="AH865" s="34"/>
      <c r="AI865" s="34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</row>
    <row r="866" spans="1:50" ht="18.75" customHeight="1" x14ac:dyDescent="0.2">
      <c r="AA866" s="16"/>
      <c r="AB866" s="29" t="s">
        <v>574</v>
      </c>
      <c r="AC866" s="17"/>
      <c r="AD866" s="18"/>
      <c r="AE866" s="34"/>
      <c r="AF866" s="34"/>
      <c r="AG866" s="34"/>
      <c r="AH866" s="34"/>
      <c r="AI866" s="34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</row>
    <row r="867" spans="1:50" ht="18.75" customHeight="1" x14ac:dyDescent="0.2">
      <c r="AA867" s="16"/>
      <c r="AB867" s="29" t="s">
        <v>575</v>
      </c>
      <c r="AC867" s="17"/>
      <c r="AD867" s="18"/>
      <c r="AE867" s="34"/>
      <c r="AF867" s="34"/>
      <c r="AG867" s="34"/>
      <c r="AH867" s="34"/>
      <c r="AI867" s="34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</row>
    <row r="868" spans="1:50" ht="18.75" customHeight="1" x14ac:dyDescent="0.2">
      <c r="AA868" s="16"/>
      <c r="AB868" s="29" t="s">
        <v>576</v>
      </c>
      <c r="AC868" s="17"/>
      <c r="AD868" s="18"/>
      <c r="AE868" s="34"/>
      <c r="AF868" s="34"/>
      <c r="AG868" s="34"/>
      <c r="AH868" s="34"/>
      <c r="AI868" s="34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</row>
    <row r="869" spans="1:50" x14ac:dyDescent="0.2">
      <c r="AA869" s="16"/>
      <c r="AB869" s="29" t="s">
        <v>577</v>
      </c>
      <c r="AC869" s="17"/>
      <c r="AD869" s="18"/>
      <c r="AE869" s="34"/>
      <c r="AF869" s="34"/>
      <c r="AG869" s="34"/>
      <c r="AH869" s="34"/>
      <c r="AI869" s="34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</row>
    <row r="870" spans="1:50" ht="25.5" x14ac:dyDescent="0.2">
      <c r="AA870" s="16"/>
      <c r="AB870" s="29" t="s">
        <v>578</v>
      </c>
      <c r="AC870" s="17"/>
      <c r="AD870" s="18"/>
      <c r="AE870" s="34"/>
      <c r="AF870" s="34"/>
      <c r="AG870" s="34"/>
      <c r="AH870" s="34"/>
      <c r="AI870" s="34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30"/>
      <c r="AU870" s="18"/>
      <c r="AV870" s="18"/>
      <c r="AW870" s="18"/>
      <c r="AX870" s="18"/>
    </row>
    <row r="871" spans="1:50" ht="25.5" x14ac:dyDescent="0.2">
      <c r="AA871" s="16"/>
      <c r="AB871" s="29" t="s">
        <v>579</v>
      </c>
      <c r="AC871" s="17"/>
      <c r="AD871" s="18"/>
      <c r="AE871" s="34"/>
      <c r="AF871" s="34"/>
      <c r="AG871" s="34"/>
      <c r="AH871" s="34"/>
      <c r="AI871" s="34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30"/>
      <c r="AU871" s="18"/>
      <c r="AV871" s="18"/>
      <c r="AW871" s="18"/>
      <c r="AX871" s="18"/>
    </row>
    <row r="872" spans="1:50" x14ac:dyDescent="0.2">
      <c r="A872" s="4" t="s">
        <v>55</v>
      </c>
      <c r="B872" s="4" t="s">
        <v>56</v>
      </c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1" t="s">
        <v>580</v>
      </c>
      <c r="AB872" s="42" t="s">
        <v>233</v>
      </c>
      <c r="AC872" s="43" t="s">
        <v>58</v>
      </c>
      <c r="AD872" s="43">
        <v>50000000</v>
      </c>
      <c r="AE872" s="44">
        <v>0</v>
      </c>
      <c r="AF872" s="44">
        <v>0</v>
      </c>
      <c r="AG872" s="44">
        <v>0</v>
      </c>
      <c r="AH872" s="43">
        <v>50000000</v>
      </c>
      <c r="AI872" s="43">
        <f>AE872-AF872+AG872-AH872</f>
        <v>-50000000</v>
      </c>
      <c r="AJ872" s="44">
        <f>AD872+AI872</f>
        <v>0</v>
      </c>
      <c r="AK872" s="44">
        <v>0</v>
      </c>
      <c r="AL872" s="44">
        <v>0</v>
      </c>
      <c r="AM872" s="44">
        <v>0</v>
      </c>
      <c r="AN872" s="44">
        <v>0</v>
      </c>
      <c r="AO872" s="44">
        <v>0</v>
      </c>
      <c r="AP872" s="44">
        <v>0</v>
      </c>
      <c r="AQ872" s="34">
        <v>0</v>
      </c>
      <c r="AR872" s="34">
        <v>0</v>
      </c>
      <c r="AS872" s="34">
        <v>0</v>
      </c>
      <c r="AT872" s="40">
        <f t="shared" ref="AT872:AT922" si="424">AQ872+AS872</f>
        <v>0</v>
      </c>
      <c r="AU872" s="18">
        <f>AJ872-AM872</f>
        <v>0</v>
      </c>
      <c r="AV872" s="133">
        <f>AM872-AP872</f>
        <v>0</v>
      </c>
      <c r="AW872" s="34">
        <f>AP872-AT872</f>
        <v>0</v>
      </c>
      <c r="AX872" s="123">
        <v>0</v>
      </c>
    </row>
    <row r="873" spans="1:50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1" t="s">
        <v>1421</v>
      </c>
      <c r="AB873" s="42" t="s">
        <v>233</v>
      </c>
      <c r="AC873" s="43"/>
      <c r="AD873" s="43">
        <v>0</v>
      </c>
      <c r="AE873" s="44">
        <v>0</v>
      </c>
      <c r="AF873" s="44">
        <v>0</v>
      </c>
      <c r="AG873" s="43">
        <v>2700000</v>
      </c>
      <c r="AH873" s="43"/>
      <c r="AI873" s="43">
        <f>AE873-AF873+AG873-AH873</f>
        <v>2700000</v>
      </c>
      <c r="AJ873" s="43">
        <f>AD873+AI873</f>
        <v>2700000</v>
      </c>
      <c r="AK873" s="44">
        <v>0</v>
      </c>
      <c r="AL873" s="43">
        <f>AM873-OCTUBRE!AM862</f>
        <v>2673930</v>
      </c>
      <c r="AM873" s="43">
        <v>2673930</v>
      </c>
      <c r="AN873" s="44">
        <v>0</v>
      </c>
      <c r="AO873" s="44">
        <v>0</v>
      </c>
      <c r="AP873" s="44">
        <v>0</v>
      </c>
      <c r="AQ873" s="34">
        <v>0</v>
      </c>
      <c r="AR873" s="34">
        <v>0</v>
      </c>
      <c r="AS873" s="34">
        <v>0</v>
      </c>
      <c r="AT873" s="40">
        <f t="shared" si="424"/>
        <v>0</v>
      </c>
      <c r="AU873" s="18">
        <f>AJ873-AM873</f>
        <v>26070</v>
      </c>
      <c r="AV873" s="18">
        <f>AM873-AP873</f>
        <v>2673930</v>
      </c>
      <c r="AW873" s="34">
        <f>AP873-AT873</f>
        <v>0</v>
      </c>
      <c r="AX873" s="123">
        <f>AP873/AJ873</f>
        <v>0</v>
      </c>
    </row>
    <row r="874" spans="1:50" ht="38.25" x14ac:dyDescent="0.2">
      <c r="AA874" s="28" t="s">
        <v>288</v>
      </c>
      <c r="AB874" s="29" t="s">
        <v>581</v>
      </c>
      <c r="AC874" s="17"/>
      <c r="AD874" s="18"/>
      <c r="AE874" s="18"/>
      <c r="AF874" s="18"/>
      <c r="AG874" s="18"/>
      <c r="AH874" s="18"/>
      <c r="AI874" s="18"/>
      <c r="AJ874" s="18"/>
      <c r="AK874" s="34"/>
      <c r="AL874" s="34"/>
      <c r="AM874" s="34"/>
      <c r="AN874" s="34"/>
      <c r="AO874" s="34"/>
      <c r="AP874" s="34"/>
      <c r="AQ874" s="34"/>
      <c r="AR874" s="34"/>
      <c r="AS874" s="34"/>
      <c r="AT874" s="40"/>
      <c r="AU874" s="18"/>
      <c r="AV874" s="34"/>
      <c r="AW874" s="34"/>
      <c r="AX874" s="18"/>
    </row>
    <row r="875" spans="1:50" x14ac:dyDescent="0.2">
      <c r="A875" s="4" t="s">
        <v>55</v>
      </c>
      <c r="B875" s="4" t="s">
        <v>56</v>
      </c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1" t="s">
        <v>582</v>
      </c>
      <c r="AB875" s="42" t="s">
        <v>233</v>
      </c>
      <c r="AC875" s="43" t="s">
        <v>58</v>
      </c>
      <c r="AD875" s="43">
        <v>75000000</v>
      </c>
      <c r="AE875" s="44">
        <v>0</v>
      </c>
      <c r="AF875" s="44">
        <v>0</v>
      </c>
      <c r="AG875" s="44">
        <v>0</v>
      </c>
      <c r="AH875" s="43">
        <v>75000000</v>
      </c>
      <c r="AI875" s="43">
        <f>AE875-AF875+AG875-AH875</f>
        <v>-75000000</v>
      </c>
      <c r="AJ875" s="44">
        <f>AD875+AI875</f>
        <v>0</v>
      </c>
      <c r="AK875" s="44">
        <v>0</v>
      </c>
      <c r="AL875" s="44">
        <v>0</v>
      </c>
      <c r="AM875" s="44">
        <v>0</v>
      </c>
      <c r="AN875" s="44">
        <v>0</v>
      </c>
      <c r="AO875" s="44">
        <v>0</v>
      </c>
      <c r="AP875" s="44">
        <v>0</v>
      </c>
      <c r="AQ875" s="34">
        <v>0</v>
      </c>
      <c r="AR875" s="34">
        <v>0</v>
      </c>
      <c r="AS875" s="34">
        <v>0</v>
      </c>
      <c r="AT875" s="40">
        <f t="shared" ref="AT875" si="425">AQ875+AS875</f>
        <v>0</v>
      </c>
      <c r="AU875" s="34">
        <f>AJ875-AM875</f>
        <v>0</v>
      </c>
      <c r="AV875" s="133">
        <f>AM875-AP875</f>
        <v>0</v>
      </c>
      <c r="AW875" s="34">
        <f>AP875-AT875</f>
        <v>0</v>
      </c>
      <c r="AX875" s="123">
        <v>0</v>
      </c>
    </row>
    <row r="876" spans="1:50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73" t="s">
        <v>288</v>
      </c>
      <c r="AB876" s="74" t="s">
        <v>600</v>
      </c>
      <c r="AC876" s="43"/>
      <c r="AD876" s="43"/>
      <c r="AE876" s="44"/>
      <c r="AF876" s="44"/>
      <c r="AH876" s="43"/>
      <c r="AK876" s="44"/>
      <c r="AL876" s="44"/>
      <c r="AM876" s="44"/>
      <c r="AN876" s="44"/>
      <c r="AO876" s="44"/>
      <c r="AP876" s="44"/>
      <c r="AQ876" s="34"/>
      <c r="AR876" s="34"/>
      <c r="AS876" s="34"/>
      <c r="AT876" s="40"/>
      <c r="AU876" s="43"/>
      <c r="AV876" s="44"/>
      <c r="AW876" s="44"/>
      <c r="AX876" s="32"/>
    </row>
    <row r="877" spans="1:50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1" t="s">
        <v>911</v>
      </c>
      <c r="AB877" s="42" t="s">
        <v>233</v>
      </c>
      <c r="AC877" s="43"/>
      <c r="AD877" s="44">
        <v>0</v>
      </c>
      <c r="AE877" s="44">
        <v>0</v>
      </c>
      <c r="AF877" s="44">
        <v>0</v>
      </c>
      <c r="AG877" s="43">
        <f>31295090+46856431.35</f>
        <v>78151521.349999994</v>
      </c>
      <c r="AH877" s="44">
        <v>0</v>
      </c>
      <c r="AI877" s="43">
        <f>AE877-AF877+AG877-AH877</f>
        <v>78151521.349999994</v>
      </c>
      <c r="AJ877" s="43">
        <f>AD877+AI877</f>
        <v>78151521.349999994</v>
      </c>
      <c r="AK877" s="43">
        <v>0</v>
      </c>
      <c r="AL877" s="43">
        <f>AM877-OCTUBRE!AM866</f>
        <v>52982100</v>
      </c>
      <c r="AM877" s="43">
        <v>52982100</v>
      </c>
      <c r="AN877" s="43">
        <v>0</v>
      </c>
      <c r="AO877" s="43">
        <v>52982100</v>
      </c>
      <c r="AP877" s="43">
        <v>52982100</v>
      </c>
      <c r="AQ877" s="34">
        <v>0</v>
      </c>
      <c r="AR877" s="34">
        <v>0</v>
      </c>
      <c r="AS877" s="76">
        <v>0</v>
      </c>
      <c r="AT877" s="40">
        <f t="shared" ref="AT877" si="426">AQ877+AS877</f>
        <v>0</v>
      </c>
      <c r="AU877" s="18">
        <f>AJ877-AM877</f>
        <v>25169421.349999994</v>
      </c>
      <c r="AV877" s="133">
        <f>AM877-AP877</f>
        <v>0</v>
      </c>
      <c r="AW877" s="18">
        <f>AP877-AT877</f>
        <v>52982100</v>
      </c>
      <c r="AX877" s="123">
        <f>AP877/AJ877</f>
        <v>0.6779407372342855</v>
      </c>
    </row>
    <row r="878" spans="1:50" x14ac:dyDescent="0.2">
      <c r="AA878" s="16"/>
      <c r="AB878" s="17"/>
      <c r="AC878" s="17"/>
      <c r="AD878" s="18"/>
      <c r="AE878" s="34"/>
      <c r="AF878" s="34"/>
      <c r="AG878" s="34"/>
      <c r="AH878" s="18"/>
      <c r="AI878" s="18"/>
      <c r="AJ878" s="18"/>
      <c r="AK878" s="18"/>
      <c r="AL878" s="18"/>
      <c r="AM878" s="18"/>
      <c r="AN878" s="18"/>
      <c r="AO878" s="18"/>
      <c r="AP878" s="18"/>
      <c r="AQ878" s="34"/>
      <c r="AR878" s="34"/>
      <c r="AS878" s="18"/>
      <c r="AT878" s="30"/>
      <c r="AU878" s="18"/>
      <c r="AV878" s="18"/>
      <c r="AW878" s="18"/>
      <c r="AX878" s="18"/>
    </row>
    <row r="879" spans="1:50" x14ac:dyDescent="0.2">
      <c r="AA879" s="16"/>
      <c r="AB879" s="29" t="s">
        <v>179</v>
      </c>
      <c r="AC879" s="17"/>
      <c r="AD879" s="18"/>
      <c r="AE879" s="34"/>
      <c r="AF879" s="34"/>
      <c r="AG879" s="34"/>
      <c r="AH879" s="18"/>
      <c r="AI879" s="18"/>
      <c r="AJ879" s="18"/>
      <c r="AK879" s="18"/>
      <c r="AL879" s="18"/>
      <c r="AM879" s="18"/>
      <c r="AN879" s="18"/>
      <c r="AO879" s="18"/>
      <c r="AP879" s="18"/>
      <c r="AQ879" s="34"/>
      <c r="AR879" s="34"/>
      <c r="AS879" s="18"/>
      <c r="AT879" s="30"/>
      <c r="AU879" s="18"/>
      <c r="AV879" s="18"/>
      <c r="AW879" s="18"/>
      <c r="AX879" s="18"/>
    </row>
    <row r="880" spans="1:50" x14ac:dyDescent="0.2">
      <c r="AA880" s="16"/>
      <c r="AB880" s="29" t="s">
        <v>181</v>
      </c>
      <c r="AC880" s="17"/>
      <c r="AD880" s="18"/>
      <c r="AE880" s="34"/>
      <c r="AF880" s="34"/>
      <c r="AG880" s="34"/>
      <c r="AH880" s="18"/>
      <c r="AI880" s="18"/>
      <c r="AJ880" s="18"/>
      <c r="AK880" s="18"/>
      <c r="AL880" s="18"/>
      <c r="AM880" s="18"/>
      <c r="AN880" s="18"/>
      <c r="AO880" s="18"/>
      <c r="AP880" s="18"/>
      <c r="AQ880" s="34"/>
      <c r="AR880" s="34"/>
      <c r="AS880" s="18"/>
      <c r="AT880" s="30"/>
      <c r="AU880" s="18"/>
      <c r="AV880" s="18"/>
      <c r="AW880" s="18"/>
      <c r="AX880" s="18"/>
    </row>
    <row r="881" spans="1:50" ht="25.5" x14ac:dyDescent="0.2">
      <c r="AA881" s="16"/>
      <c r="AB881" s="29" t="s">
        <v>185</v>
      </c>
      <c r="AC881" s="17"/>
      <c r="AD881" s="18"/>
      <c r="AE881" s="34"/>
      <c r="AF881" s="34"/>
      <c r="AG881" s="34"/>
      <c r="AH881" s="18"/>
      <c r="AI881" s="18"/>
      <c r="AJ881" s="18"/>
      <c r="AK881" s="18"/>
      <c r="AL881" s="18"/>
      <c r="AM881" s="18"/>
      <c r="AN881" s="18"/>
      <c r="AO881" s="18"/>
      <c r="AP881" s="18"/>
      <c r="AQ881" s="34"/>
      <c r="AR881" s="34"/>
      <c r="AS881" s="18"/>
      <c r="AT881" s="30"/>
      <c r="AU881" s="18"/>
      <c r="AV881" s="18"/>
      <c r="AW881" s="18"/>
      <c r="AX881" s="18"/>
    </row>
    <row r="882" spans="1:50" ht="25.5" x14ac:dyDescent="0.2">
      <c r="AA882" s="28" t="s">
        <v>288</v>
      </c>
      <c r="AB882" s="29" t="s">
        <v>583</v>
      </c>
      <c r="AC882" s="17"/>
      <c r="AD882" s="18"/>
      <c r="AE882" s="34"/>
      <c r="AF882" s="34"/>
      <c r="AG882" s="34"/>
      <c r="AH882" s="18"/>
      <c r="AI882" s="18"/>
      <c r="AJ882" s="18"/>
      <c r="AK882" s="34"/>
      <c r="AL882" s="34"/>
      <c r="AM882" s="34"/>
      <c r="AN882" s="34"/>
      <c r="AO882" s="34"/>
      <c r="AP882" s="34"/>
      <c r="AQ882" s="34"/>
      <c r="AR882" s="34"/>
      <c r="AS882" s="18"/>
      <c r="AT882" s="30"/>
      <c r="AU882" s="18"/>
      <c r="AV882" s="18"/>
      <c r="AW882" s="18"/>
      <c r="AX882" s="18"/>
    </row>
    <row r="883" spans="1:50" x14ac:dyDescent="0.2">
      <c r="A883" s="4" t="s">
        <v>55</v>
      </c>
      <c r="B883" s="4" t="s">
        <v>56</v>
      </c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1" t="s">
        <v>584</v>
      </c>
      <c r="AB883" s="42" t="s">
        <v>233</v>
      </c>
      <c r="AC883" s="43" t="s">
        <v>58</v>
      </c>
      <c r="AD883" s="43">
        <v>50000000</v>
      </c>
      <c r="AE883" s="44">
        <v>0</v>
      </c>
      <c r="AF883" s="44">
        <v>0</v>
      </c>
      <c r="AG883" s="43">
        <v>93300000</v>
      </c>
      <c r="AH883" s="44">
        <v>0</v>
      </c>
      <c r="AI883" s="43">
        <f>AE883-AF883+AG883-AH883</f>
        <v>93300000</v>
      </c>
      <c r="AJ883" s="43">
        <f>AD883+AI883</f>
        <v>143300000</v>
      </c>
      <c r="AK883" s="43">
        <v>0</v>
      </c>
      <c r="AL883" s="43">
        <f>AM883-OCTUBRE!AM872</f>
        <v>82834935.200000003</v>
      </c>
      <c r="AM883" s="43">
        <v>126004791.31</v>
      </c>
      <c r="AN883" s="43">
        <v>50668253.479999997</v>
      </c>
      <c r="AO883" s="43">
        <v>22499507.199999999</v>
      </c>
      <c r="AP883" s="43">
        <v>65669363.310000002</v>
      </c>
      <c r="AQ883" s="44">
        <v>0</v>
      </c>
      <c r="AR883" s="44">
        <v>0</v>
      </c>
      <c r="AS883" s="43">
        <v>43169856.109999999</v>
      </c>
      <c r="AT883" s="39">
        <f t="shared" si="424"/>
        <v>43169856.109999999</v>
      </c>
      <c r="AU883" s="18">
        <f>AJ883-AM883</f>
        <v>17295208.689999998</v>
      </c>
      <c r="AV883" s="18">
        <f>AM883-AP883</f>
        <v>60335428</v>
      </c>
      <c r="AW883" s="18">
        <f>AP883-AT883</f>
        <v>22499507.200000003</v>
      </c>
      <c r="AX883" s="123">
        <f>AP883/AJ883</f>
        <v>0.45826492191207258</v>
      </c>
    </row>
    <row r="884" spans="1:50" ht="25.5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73" t="s">
        <v>288</v>
      </c>
      <c r="AB884" s="74" t="s">
        <v>1375</v>
      </c>
      <c r="AC884" s="43"/>
      <c r="AD884" s="43"/>
      <c r="AE884" s="44"/>
      <c r="AF884" s="44"/>
      <c r="AG884" s="44"/>
      <c r="AH884" s="44"/>
      <c r="AI884" s="44"/>
      <c r="AJ884" s="43"/>
      <c r="AK884" s="44"/>
      <c r="AL884" s="44"/>
      <c r="AM884" s="43"/>
      <c r="AN884" s="43"/>
      <c r="AO884" s="44"/>
      <c r="AP884" s="43"/>
      <c r="AQ884" s="43"/>
      <c r="AR884" s="43"/>
      <c r="AS884" s="43"/>
      <c r="AT884" s="40"/>
      <c r="AU884" s="18"/>
      <c r="AV884" s="34"/>
      <c r="AW884" s="34"/>
      <c r="AX884" s="123"/>
    </row>
    <row r="885" spans="1:50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1" t="s">
        <v>1376</v>
      </c>
      <c r="AB885" s="42" t="s">
        <v>233</v>
      </c>
      <c r="AC885" s="43"/>
      <c r="AD885" s="44">
        <v>0</v>
      </c>
      <c r="AE885" s="44">
        <v>0</v>
      </c>
      <c r="AF885" s="44">
        <v>0</v>
      </c>
      <c r="AG885" s="43">
        <v>30000000</v>
      </c>
      <c r="AH885" s="44"/>
      <c r="AI885" s="43">
        <f>AE885-AF885+AG885-AH885</f>
        <v>30000000</v>
      </c>
      <c r="AJ885" s="43">
        <f>AD885+AI885</f>
        <v>30000000</v>
      </c>
      <c r="AK885" s="44">
        <v>0</v>
      </c>
      <c r="AL885" s="44">
        <v>0</v>
      </c>
      <c r="AM885" s="44">
        <v>0</v>
      </c>
      <c r="AN885" s="44">
        <v>0</v>
      </c>
      <c r="AO885" s="44">
        <v>0</v>
      </c>
      <c r="AP885" s="43">
        <v>0</v>
      </c>
      <c r="AQ885" s="44">
        <v>0</v>
      </c>
      <c r="AR885" s="44">
        <v>0</v>
      </c>
      <c r="AS885" s="44">
        <v>0</v>
      </c>
      <c r="AT885" s="40">
        <f t="shared" ref="AT885" si="427">AQ885+AS885</f>
        <v>0</v>
      </c>
      <c r="AU885" s="18">
        <f>AJ885-AM885</f>
        <v>30000000</v>
      </c>
      <c r="AV885" s="34">
        <f>AM885-AP885</f>
        <v>0</v>
      </c>
      <c r="AW885" s="34">
        <f>AP885-AT885</f>
        <v>0</v>
      </c>
      <c r="AX885" s="123">
        <f>AP885/AJ885</f>
        <v>0</v>
      </c>
    </row>
    <row r="886" spans="1:50" ht="25.5" x14ac:dyDescent="0.2">
      <c r="AA886" s="73" t="s">
        <v>288</v>
      </c>
      <c r="AB886" s="29" t="s">
        <v>637</v>
      </c>
      <c r="AC886" s="17"/>
      <c r="AD886" s="34"/>
      <c r="AE886" s="34"/>
      <c r="AF886" s="34"/>
      <c r="AG886" s="34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30"/>
      <c r="AU886" s="18"/>
      <c r="AV886" s="18"/>
      <c r="AW886" s="34"/>
      <c r="AX886" s="18"/>
    </row>
    <row r="887" spans="1:50" x14ac:dyDescent="0.2">
      <c r="AA887" s="41" t="s">
        <v>1253</v>
      </c>
      <c r="AB887" s="38" t="s">
        <v>233</v>
      </c>
      <c r="AC887" s="17"/>
      <c r="AD887" s="34">
        <v>0</v>
      </c>
      <c r="AE887" s="34">
        <v>0</v>
      </c>
      <c r="AF887" s="34">
        <v>0</v>
      </c>
      <c r="AG887" s="18">
        <v>30000000</v>
      </c>
      <c r="AH887" s="18">
        <v>30000000</v>
      </c>
      <c r="AI887" s="43">
        <f>AE887-AF887+AG887-AH887</f>
        <v>0</v>
      </c>
      <c r="AJ887" s="43">
        <f>AD887+AI887</f>
        <v>0</v>
      </c>
      <c r="AK887" s="34">
        <v>0</v>
      </c>
      <c r="AL887" s="34">
        <v>0</v>
      </c>
      <c r="AM887" s="34">
        <v>0</v>
      </c>
      <c r="AN887" s="34">
        <v>0</v>
      </c>
      <c r="AO887" s="34">
        <v>0</v>
      </c>
      <c r="AP887" s="34">
        <v>0</v>
      </c>
      <c r="AQ887" s="34">
        <v>0</v>
      </c>
      <c r="AR887" s="34">
        <v>0</v>
      </c>
      <c r="AS887" s="34">
        <v>0</v>
      </c>
      <c r="AT887" s="40">
        <f t="shared" ref="AT887" si="428">AQ887+AS887</f>
        <v>0</v>
      </c>
      <c r="AU887" s="34">
        <f>AJ887-AM887</f>
        <v>0</v>
      </c>
      <c r="AV887" s="133">
        <f>AM887-AP887</f>
        <v>0</v>
      </c>
      <c r="AW887" s="34">
        <f>AP887-AT887</f>
        <v>0</v>
      </c>
      <c r="AX887" s="123">
        <v>0</v>
      </c>
    </row>
    <row r="888" spans="1:50" x14ac:dyDescent="0.2">
      <c r="AA888" s="16"/>
      <c r="AB888" s="29"/>
      <c r="AC888" s="17"/>
      <c r="AD888" s="18"/>
      <c r="AE888" s="34"/>
      <c r="AF888" s="34"/>
      <c r="AG888" s="34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30"/>
      <c r="AU888" s="34"/>
      <c r="AV888" s="18"/>
      <c r="AW888" s="18"/>
      <c r="AX888" s="18"/>
    </row>
    <row r="889" spans="1:50" ht="25.5" x14ac:dyDescent="0.2">
      <c r="AA889" s="28" t="s">
        <v>288</v>
      </c>
      <c r="AB889" s="29" t="s">
        <v>585</v>
      </c>
      <c r="AC889" s="17"/>
      <c r="AD889" s="18"/>
      <c r="AE889" s="34"/>
      <c r="AF889" s="34"/>
      <c r="AG889" s="34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30"/>
      <c r="AU889" s="34"/>
      <c r="AV889" s="18"/>
      <c r="AW889" s="18"/>
      <c r="AX889" s="18"/>
    </row>
    <row r="890" spans="1:50" x14ac:dyDescent="0.2">
      <c r="A890" s="4" t="s">
        <v>55</v>
      </c>
      <c r="B890" s="4" t="s">
        <v>56</v>
      </c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1" t="s">
        <v>586</v>
      </c>
      <c r="AB890" s="42" t="s">
        <v>233</v>
      </c>
      <c r="AC890" s="43" t="s">
        <v>58</v>
      </c>
      <c r="AD890" s="43">
        <v>165000000</v>
      </c>
      <c r="AE890" s="44">
        <v>0</v>
      </c>
      <c r="AF890" s="44">
        <v>0</v>
      </c>
      <c r="AG890" s="44">
        <v>0</v>
      </c>
      <c r="AH890" s="43">
        <v>22500000</v>
      </c>
      <c r="AI890" s="43">
        <f>AE890-AF890+AG890-AH890</f>
        <v>-22500000</v>
      </c>
      <c r="AJ890" s="43">
        <f>AD890+AI890</f>
        <v>142500000</v>
      </c>
      <c r="AK890" s="44">
        <v>0</v>
      </c>
      <c r="AL890" s="44">
        <v>0</v>
      </c>
      <c r="AM890" s="43">
        <v>142500000</v>
      </c>
      <c r="AN890" s="44">
        <v>0</v>
      </c>
      <c r="AO890" s="44">
        <v>0</v>
      </c>
      <c r="AP890" s="18">
        <v>142500000</v>
      </c>
      <c r="AQ890" s="34">
        <v>0</v>
      </c>
      <c r="AR890" s="34">
        <v>0</v>
      </c>
      <c r="AS890" s="34">
        <v>0</v>
      </c>
      <c r="AT890" s="40">
        <f t="shared" ref="AT890" si="429">AQ890+AS890</f>
        <v>0</v>
      </c>
      <c r="AU890" s="34">
        <f>AJ890-AM890</f>
        <v>0</v>
      </c>
      <c r="AV890" s="133">
        <f>AM890-AP890</f>
        <v>0</v>
      </c>
      <c r="AW890" s="18">
        <f>AP890-AT890</f>
        <v>142500000</v>
      </c>
      <c r="AX890" s="123">
        <f>AP890/AJ890</f>
        <v>1</v>
      </c>
    </row>
    <row r="891" spans="1:50" ht="25.5" x14ac:dyDescent="0.2">
      <c r="AA891" s="28" t="s">
        <v>288</v>
      </c>
      <c r="AB891" s="29" t="s">
        <v>587</v>
      </c>
      <c r="AC891" s="17"/>
      <c r="AD891" s="18"/>
      <c r="AE891" s="34"/>
      <c r="AF891" s="34"/>
      <c r="AG891" s="34"/>
      <c r="AH891" s="34"/>
      <c r="AI891" s="34"/>
      <c r="AJ891" s="18"/>
      <c r="AK891" s="18"/>
      <c r="AL891" s="18"/>
      <c r="AM891" s="18"/>
      <c r="AN891" s="34"/>
      <c r="AO891" s="34"/>
      <c r="AP891" s="18"/>
      <c r="AQ891" s="34"/>
      <c r="AR891" s="34"/>
      <c r="AS891" s="34"/>
      <c r="AT891" s="40"/>
      <c r="AU891" s="18"/>
      <c r="AV891" s="34"/>
      <c r="AW891" s="18"/>
      <c r="AX891" s="18"/>
    </row>
    <row r="892" spans="1:50" x14ac:dyDescent="0.2">
      <c r="A892" s="4" t="s">
        <v>55</v>
      </c>
      <c r="B892" s="4" t="s">
        <v>56</v>
      </c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1" t="s">
        <v>588</v>
      </c>
      <c r="AB892" s="42" t="s">
        <v>233</v>
      </c>
      <c r="AC892" s="43" t="s">
        <v>58</v>
      </c>
      <c r="AD892" s="43">
        <v>360000000</v>
      </c>
      <c r="AE892" s="44">
        <v>0</v>
      </c>
      <c r="AF892" s="44">
        <v>0</v>
      </c>
      <c r="AG892" s="44">
        <v>0</v>
      </c>
      <c r="AH892" s="44">
        <v>0</v>
      </c>
      <c r="AI892" s="44">
        <v>0</v>
      </c>
      <c r="AJ892" s="43">
        <v>360000000</v>
      </c>
      <c r="AK892" s="44">
        <v>0</v>
      </c>
      <c r="AL892" s="115">
        <v>0</v>
      </c>
      <c r="AM892" s="114">
        <v>320207103</v>
      </c>
      <c r="AN892" s="44">
        <v>0</v>
      </c>
      <c r="AO892" s="44">
        <v>0</v>
      </c>
      <c r="AP892" s="18">
        <v>320207103</v>
      </c>
      <c r="AQ892" s="34">
        <v>0</v>
      </c>
      <c r="AR892" s="18">
        <v>35578567</v>
      </c>
      <c r="AS892" s="18">
        <v>284628536</v>
      </c>
      <c r="AT892" s="39">
        <f t="shared" ref="AT892" si="430">AQ892+AS892</f>
        <v>284628536</v>
      </c>
      <c r="AU892" s="18">
        <f>AJ892-AM892</f>
        <v>39792897</v>
      </c>
      <c r="AV892" s="133">
        <f>AM892-AP892</f>
        <v>0</v>
      </c>
      <c r="AW892" s="18">
        <f>AP892-AT892</f>
        <v>35578567</v>
      </c>
      <c r="AX892" s="123">
        <f>AP892/AJ892</f>
        <v>0.88946417499999997</v>
      </c>
    </row>
    <row r="893" spans="1:50" ht="25.5" x14ac:dyDescent="0.2">
      <c r="AA893" s="28" t="s">
        <v>288</v>
      </c>
      <c r="AB893" s="29" t="s">
        <v>589</v>
      </c>
      <c r="AC893" s="17"/>
      <c r="AD893" s="18"/>
      <c r="AE893" s="34"/>
      <c r="AF893" s="34"/>
      <c r="AG893" s="34"/>
      <c r="AH893" s="34"/>
      <c r="AI893" s="34"/>
      <c r="AJ893" s="18"/>
      <c r="AK893" s="34"/>
      <c r="AL893" s="34"/>
      <c r="AM893" s="34"/>
      <c r="AN893" s="34"/>
      <c r="AO893" s="34"/>
      <c r="AP893" s="34"/>
      <c r="AQ893" s="34"/>
      <c r="AR893" s="34"/>
      <c r="AS893" s="34"/>
      <c r="AT893" s="40"/>
      <c r="AU893" s="18"/>
      <c r="AV893" s="18"/>
      <c r="AW893" s="34"/>
      <c r="AX893" s="18"/>
    </row>
    <row r="894" spans="1:50" x14ac:dyDescent="0.2">
      <c r="A894" s="4" t="s">
        <v>55</v>
      </c>
      <c r="B894" s="4" t="s">
        <v>56</v>
      </c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1" t="s">
        <v>590</v>
      </c>
      <c r="AB894" s="42" t="s">
        <v>233</v>
      </c>
      <c r="AC894" s="43" t="s">
        <v>58</v>
      </c>
      <c r="AD894" s="43">
        <v>2564591998.2600002</v>
      </c>
      <c r="AE894" s="44">
        <v>0</v>
      </c>
      <c r="AF894" s="44">
        <v>0</v>
      </c>
      <c r="AG894" s="43">
        <v>185000000</v>
      </c>
      <c r="AH894" s="43">
        <f>602281020+113189627.21+185000000</f>
        <v>900470647.21000004</v>
      </c>
      <c r="AI894" s="43">
        <f>AE894-AF894+AG894-AH894</f>
        <v>-715470647.21000004</v>
      </c>
      <c r="AJ894" s="43">
        <f>AD894+AI894</f>
        <v>1849121351.0500002</v>
      </c>
      <c r="AK894" s="44">
        <v>0</v>
      </c>
      <c r="AL894" s="44">
        <v>0</v>
      </c>
      <c r="AM894" s="44">
        <v>0</v>
      </c>
      <c r="AN894" s="44">
        <v>0</v>
      </c>
      <c r="AO894" s="44">
        <v>0</v>
      </c>
      <c r="AP894" s="34">
        <v>0</v>
      </c>
      <c r="AQ894" s="34">
        <v>0</v>
      </c>
      <c r="AR894" s="34">
        <v>0</v>
      </c>
      <c r="AS894" s="34">
        <v>0</v>
      </c>
      <c r="AT894" s="40">
        <f t="shared" ref="AT894:AT895" si="431">AQ894+AS894</f>
        <v>0</v>
      </c>
      <c r="AU894" s="18">
        <f>AJ894-AM894</f>
        <v>1849121351.0500002</v>
      </c>
      <c r="AV894" s="133">
        <f>AM894-AP894</f>
        <v>0</v>
      </c>
      <c r="AW894" s="34">
        <f>AP894-AT894</f>
        <v>0</v>
      </c>
      <c r="AX894" s="123">
        <f>AP894/AJ894</f>
        <v>0</v>
      </c>
    </row>
    <row r="895" spans="1:50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1" t="s">
        <v>1100</v>
      </c>
      <c r="AB895" s="42" t="s">
        <v>1015</v>
      </c>
      <c r="AC895" s="43"/>
      <c r="AD895" s="43">
        <v>0</v>
      </c>
      <c r="AE895" s="43">
        <v>40000000</v>
      </c>
      <c r="AF895" s="44"/>
      <c r="AG895" s="44"/>
      <c r="AH895" s="291">
        <v>40000000</v>
      </c>
      <c r="AI895" s="43">
        <f>AE895-AF895+AG895-AH895</f>
        <v>0</v>
      </c>
      <c r="AJ895" s="43">
        <f>AD895+AI895</f>
        <v>0</v>
      </c>
      <c r="AK895" s="44">
        <v>0</v>
      </c>
      <c r="AL895" s="44">
        <v>0</v>
      </c>
      <c r="AM895" s="44">
        <v>0</v>
      </c>
      <c r="AN895" s="44">
        <v>0</v>
      </c>
      <c r="AO895" s="44">
        <v>0</v>
      </c>
      <c r="AP895" s="34">
        <v>0</v>
      </c>
      <c r="AQ895" s="34">
        <v>0</v>
      </c>
      <c r="AR895" s="34">
        <v>0</v>
      </c>
      <c r="AS895" s="34">
        <v>0</v>
      </c>
      <c r="AT895" s="40">
        <f t="shared" si="431"/>
        <v>0</v>
      </c>
      <c r="AU895" s="18">
        <f>AJ895-AM895</f>
        <v>0</v>
      </c>
      <c r="AV895" s="133">
        <f>AM895-AP895</f>
        <v>0</v>
      </c>
      <c r="AW895" s="34">
        <f>AP895-AT895</f>
        <v>0</v>
      </c>
      <c r="AX895" s="123">
        <v>0</v>
      </c>
    </row>
    <row r="896" spans="1:50" x14ac:dyDescent="0.2">
      <c r="AA896" s="16"/>
      <c r="AB896" s="17"/>
      <c r="AC896" s="17"/>
      <c r="AD896" s="18"/>
      <c r="AE896" s="34"/>
      <c r="AF896" s="34"/>
      <c r="AG896" s="34"/>
      <c r="AH896" s="34"/>
      <c r="AI896" s="34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30"/>
      <c r="AU896" s="18"/>
      <c r="AV896" s="18"/>
      <c r="AW896" s="18"/>
      <c r="AX896" s="18"/>
    </row>
    <row r="897" spans="1:50" ht="25.5" x14ac:dyDescent="0.2">
      <c r="AA897" s="16"/>
      <c r="AB897" s="29" t="s">
        <v>197</v>
      </c>
      <c r="AC897" s="17"/>
      <c r="AD897" s="18"/>
      <c r="AE897" s="34"/>
      <c r="AF897" s="34"/>
      <c r="AG897" s="34"/>
      <c r="AH897" s="34"/>
      <c r="AI897" s="34"/>
      <c r="AJ897" s="18"/>
      <c r="AK897" s="18"/>
      <c r="AL897" s="18"/>
      <c r="AM897" s="18"/>
      <c r="AN897" s="18"/>
      <c r="AO897" s="18"/>
      <c r="AP897" s="18"/>
      <c r="AQ897" s="18"/>
      <c r="AR897" s="147"/>
      <c r="AS897" s="18"/>
      <c r="AT897" s="30"/>
      <c r="AU897" s="18"/>
      <c r="AV897" s="18"/>
      <c r="AW897" s="18"/>
      <c r="AX897" s="18"/>
    </row>
    <row r="898" spans="1:50" x14ac:dyDescent="0.2">
      <c r="AA898" s="28" t="s">
        <v>288</v>
      </c>
      <c r="AB898" s="29" t="s">
        <v>591</v>
      </c>
      <c r="AC898" s="17"/>
      <c r="AD898" s="18"/>
      <c r="AE898" s="34"/>
      <c r="AF898" s="34"/>
      <c r="AG898" s="34"/>
      <c r="AH898" s="34"/>
      <c r="AI898" s="34"/>
      <c r="AJ898" s="18"/>
      <c r="AK898" s="18"/>
      <c r="AL898" s="18"/>
      <c r="AM898" s="18"/>
      <c r="AN898" s="18"/>
      <c r="AO898" s="18"/>
      <c r="AP898" s="18"/>
      <c r="AQ898" s="18"/>
      <c r="AR898" s="147"/>
      <c r="AS898" s="18"/>
      <c r="AT898" s="30"/>
      <c r="AU898" s="18"/>
      <c r="AV898" s="18"/>
      <c r="AW898" s="18"/>
      <c r="AX898" s="18"/>
    </row>
    <row r="899" spans="1:50" x14ac:dyDescent="0.2">
      <c r="A899" s="314" t="s">
        <v>55</v>
      </c>
      <c r="B899" s="4" t="s">
        <v>56</v>
      </c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1" t="s">
        <v>592</v>
      </c>
      <c r="AB899" s="42" t="s">
        <v>233</v>
      </c>
      <c r="AC899" s="43" t="s">
        <v>58</v>
      </c>
      <c r="AD899" s="43">
        <v>458060751</v>
      </c>
      <c r="AE899" s="44">
        <v>0</v>
      </c>
      <c r="AF899" s="44">
        <v>0</v>
      </c>
      <c r="AG899" s="43">
        <v>118300000</v>
      </c>
      <c r="AH899" s="43">
        <v>8750000</v>
      </c>
      <c r="AI899" s="43">
        <f>AE899-AF899+AG899-AH899</f>
        <v>109550000</v>
      </c>
      <c r="AJ899" s="43">
        <f>AD899+AI899</f>
        <v>567610751</v>
      </c>
      <c r="AK899" s="44">
        <v>0</v>
      </c>
      <c r="AL899" s="43">
        <f>AM899-OCTUBRE!AM888</f>
        <v>-9523333</v>
      </c>
      <c r="AM899" s="43">
        <v>533474084.63999999</v>
      </c>
      <c r="AN899" s="44">
        <v>0</v>
      </c>
      <c r="AO899" s="43">
        <v>-10303333</v>
      </c>
      <c r="AP899" s="43">
        <v>532694084.63999999</v>
      </c>
      <c r="AQ899" s="110">
        <v>18500000</v>
      </c>
      <c r="AR899" s="148">
        <v>54033333</v>
      </c>
      <c r="AS899" s="18">
        <v>425567419</v>
      </c>
      <c r="AT899" s="39">
        <f t="shared" ref="AT899" si="432">AQ899+AS899</f>
        <v>444067419</v>
      </c>
      <c r="AU899" s="18">
        <f>AJ899-AM899</f>
        <v>34136666.360000014</v>
      </c>
      <c r="AV899" s="18">
        <f>AM899-AP899</f>
        <v>780000</v>
      </c>
      <c r="AW899" s="18">
        <f>AP899-AT899</f>
        <v>88626665.639999986</v>
      </c>
      <c r="AX899" s="123">
        <f>AP899/AJ899</f>
        <v>0.93848483965730944</v>
      </c>
    </row>
    <row r="900" spans="1:50" ht="25.5" x14ac:dyDescent="0.2">
      <c r="AA900" s="28" t="s">
        <v>288</v>
      </c>
      <c r="AB900" s="29" t="s">
        <v>593</v>
      </c>
      <c r="AC900" s="17"/>
      <c r="AD900" s="18"/>
      <c r="AE900" s="34"/>
      <c r="AF900" s="34"/>
      <c r="AG900" s="34"/>
      <c r="AH900" s="34"/>
      <c r="AI900" s="34"/>
      <c r="AJ900" s="18"/>
      <c r="AK900" s="34"/>
      <c r="AL900" s="18"/>
      <c r="AM900" s="18"/>
      <c r="AN900" s="34"/>
      <c r="AO900" s="34"/>
      <c r="AP900" s="18"/>
      <c r="AQ900" s="110"/>
      <c r="AR900" s="148"/>
      <c r="AS900" s="18"/>
      <c r="AT900" s="39"/>
      <c r="AU900" s="18"/>
      <c r="AV900" s="18"/>
      <c r="AW900" s="18"/>
      <c r="AX900" s="18"/>
    </row>
    <row r="901" spans="1:50" x14ac:dyDescent="0.2">
      <c r="A901" s="4" t="s">
        <v>55</v>
      </c>
      <c r="B901" s="4" t="s">
        <v>56</v>
      </c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1" t="s">
        <v>594</v>
      </c>
      <c r="AB901" s="42" t="s">
        <v>233</v>
      </c>
      <c r="AC901" s="43" t="s">
        <v>58</v>
      </c>
      <c r="AD901" s="43">
        <v>522500000</v>
      </c>
      <c r="AE901" s="44">
        <v>0</v>
      </c>
      <c r="AF901" s="44">
        <v>0</v>
      </c>
      <c r="AG901" s="43">
        <f>140000000+185000000</f>
        <v>325000000</v>
      </c>
      <c r="AH901" s="43">
        <v>185000000</v>
      </c>
      <c r="AI901" s="43">
        <f>AE901-AF901+AG901-AH901</f>
        <v>140000000</v>
      </c>
      <c r="AJ901" s="43">
        <f>AD901+AI901</f>
        <v>662500000</v>
      </c>
      <c r="AK901" s="44">
        <v>0</v>
      </c>
      <c r="AL901" s="43">
        <f>AM901-OCTUBRE!AM890</f>
        <v>1000000</v>
      </c>
      <c r="AM901" s="43">
        <v>579949999.98000002</v>
      </c>
      <c r="AN901" s="43">
        <v>0</v>
      </c>
      <c r="AO901" s="43">
        <v>0</v>
      </c>
      <c r="AP901" s="43">
        <v>578949999.98000002</v>
      </c>
      <c r="AQ901" s="110">
        <v>10500000</v>
      </c>
      <c r="AR901" s="148">
        <v>57500000</v>
      </c>
      <c r="AS901" s="18">
        <v>468366668</v>
      </c>
      <c r="AT901" s="39">
        <f t="shared" ref="AT901" si="433">AQ901+AS901</f>
        <v>478866668</v>
      </c>
      <c r="AU901" s="18">
        <f>AJ901-AM901</f>
        <v>82550000.019999981</v>
      </c>
      <c r="AV901" s="18">
        <f>AM901-AP901</f>
        <v>1000000</v>
      </c>
      <c r="AW901" s="18">
        <f>AP901-AT901</f>
        <v>100083331.98000002</v>
      </c>
      <c r="AX901" s="123">
        <f>AP901/AJ901</f>
        <v>0.87388679242264156</v>
      </c>
    </row>
    <row r="902" spans="1:50" ht="25.5" x14ac:dyDescent="0.2">
      <c r="AA902" s="28" t="s">
        <v>288</v>
      </c>
      <c r="AB902" s="29" t="s">
        <v>583</v>
      </c>
      <c r="AC902" s="17"/>
      <c r="AD902" s="18"/>
      <c r="AE902" s="34"/>
      <c r="AF902" s="34"/>
      <c r="AG902" s="34"/>
      <c r="AH902" s="34"/>
      <c r="AI902" s="34"/>
      <c r="AJ902" s="18"/>
      <c r="AK902" s="18"/>
      <c r="AL902" s="18"/>
      <c r="AM902" s="18"/>
      <c r="AN902" s="34"/>
      <c r="AO902" s="34"/>
      <c r="AP902" s="18"/>
      <c r="AQ902" s="34"/>
      <c r="AR902" s="145"/>
      <c r="AS902" s="18"/>
      <c r="AT902" s="39"/>
      <c r="AU902" s="18"/>
      <c r="AV902" s="18"/>
      <c r="AW902" s="18"/>
      <c r="AX902" s="18"/>
    </row>
    <row r="903" spans="1:50" x14ac:dyDescent="0.2">
      <c r="A903" s="4" t="s">
        <v>55</v>
      </c>
      <c r="B903" s="4" t="s">
        <v>56</v>
      </c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1" t="s">
        <v>595</v>
      </c>
      <c r="AB903" s="42" t="s">
        <v>233</v>
      </c>
      <c r="AC903" s="43" t="s">
        <v>58</v>
      </c>
      <c r="AD903" s="43">
        <v>100000000</v>
      </c>
      <c r="AE903" s="44">
        <v>0</v>
      </c>
      <c r="AF903" s="44">
        <v>0</v>
      </c>
      <c r="AG903" s="44">
        <v>0</v>
      </c>
      <c r="AH903" s="43">
        <v>46000000</v>
      </c>
      <c r="AI903" s="43">
        <f>AE903-AF903+AG903-AH903</f>
        <v>-46000000</v>
      </c>
      <c r="AJ903" s="43">
        <f>AD903+AI903</f>
        <v>54000000</v>
      </c>
      <c r="AK903" s="44">
        <v>0</v>
      </c>
      <c r="AL903" s="43">
        <f>AM903-OCTUBRE!AM892</f>
        <v>0</v>
      </c>
      <c r="AM903" s="43">
        <v>54000000</v>
      </c>
      <c r="AN903" s="44">
        <v>0</v>
      </c>
      <c r="AO903" s="44">
        <v>0</v>
      </c>
      <c r="AP903" s="43">
        <v>54000000</v>
      </c>
      <c r="AQ903" s="34">
        <v>0</v>
      </c>
      <c r="AR903" s="147">
        <v>7000000</v>
      </c>
      <c r="AS903" s="18">
        <v>44633333</v>
      </c>
      <c r="AT903" s="39">
        <f t="shared" ref="AT903" si="434">AQ903+AS903</f>
        <v>44633333</v>
      </c>
      <c r="AU903" s="34">
        <f>AJ903-AM903</f>
        <v>0</v>
      </c>
      <c r="AV903" s="34">
        <f>AM903-AP903</f>
        <v>0</v>
      </c>
      <c r="AW903" s="18">
        <f>AP903-AT903</f>
        <v>9366667</v>
      </c>
      <c r="AX903" s="123">
        <f>AP903/AJ903</f>
        <v>1</v>
      </c>
    </row>
    <row r="904" spans="1:50" ht="25.5" x14ac:dyDescent="0.2">
      <c r="AA904" s="28" t="s">
        <v>288</v>
      </c>
      <c r="AB904" s="29" t="s">
        <v>596</v>
      </c>
      <c r="AC904" s="17"/>
      <c r="AD904" s="18"/>
      <c r="AE904" s="34"/>
      <c r="AF904" s="34"/>
      <c r="AG904" s="34"/>
      <c r="AH904" s="34"/>
      <c r="AI904" s="34"/>
      <c r="AJ904" s="18"/>
      <c r="AK904" s="34"/>
      <c r="AL904" s="133"/>
      <c r="AM904" s="110"/>
      <c r="AN904" s="34"/>
      <c r="AO904" s="34"/>
      <c r="AP904" s="34"/>
      <c r="AQ904" s="34"/>
      <c r="AR904" s="145"/>
      <c r="AS904" s="18"/>
      <c r="AT904" s="39"/>
      <c r="AU904" s="18"/>
      <c r="AV904" s="18"/>
      <c r="AW904" s="18"/>
      <c r="AX904" s="18"/>
    </row>
    <row r="905" spans="1:50" x14ac:dyDescent="0.2">
      <c r="A905" s="4" t="s">
        <v>55</v>
      </c>
      <c r="B905" s="4" t="s">
        <v>56</v>
      </c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1" t="s">
        <v>597</v>
      </c>
      <c r="AB905" s="42" t="s">
        <v>233</v>
      </c>
      <c r="AC905" s="43" t="s">
        <v>58</v>
      </c>
      <c r="AD905" s="43">
        <v>279700000</v>
      </c>
      <c r="AE905" s="44">
        <v>0</v>
      </c>
      <c r="AF905" s="44">
        <v>0</v>
      </c>
      <c r="AG905" s="44">
        <v>0</v>
      </c>
      <c r="AH905" s="44">
        <v>0</v>
      </c>
      <c r="AI905" s="44">
        <v>0</v>
      </c>
      <c r="AJ905" s="43">
        <v>279700000</v>
      </c>
      <c r="AK905" s="44">
        <v>0</v>
      </c>
      <c r="AL905" s="43">
        <f>AM905-OCTUBRE!AM894</f>
        <v>5466666.6699999869</v>
      </c>
      <c r="AM905" s="114">
        <v>244786666.66999999</v>
      </c>
      <c r="AN905" s="44">
        <v>0</v>
      </c>
      <c r="AO905" s="43">
        <v>3166666.67</v>
      </c>
      <c r="AP905" s="114">
        <v>242486666.66999999</v>
      </c>
      <c r="AQ905" s="34">
        <v>0</v>
      </c>
      <c r="AR905" s="147">
        <v>24200000</v>
      </c>
      <c r="AS905" s="18">
        <v>201673333</v>
      </c>
      <c r="AT905" s="39">
        <f t="shared" ref="AT905" si="435">AQ905+AS905</f>
        <v>201673333</v>
      </c>
      <c r="AU905" s="18">
        <f>AJ905-AM905</f>
        <v>34913333.330000013</v>
      </c>
      <c r="AV905" s="18">
        <f>AM905-AP905</f>
        <v>2300000</v>
      </c>
      <c r="AW905" s="18">
        <f>AP905-AT905</f>
        <v>40813333.669999987</v>
      </c>
      <c r="AX905" s="123">
        <f>AP905/AJ905</f>
        <v>0.86695268741508758</v>
      </c>
    </row>
    <row r="906" spans="1:50" ht="38.25" x14ac:dyDescent="0.2">
      <c r="AA906" s="28" t="s">
        <v>288</v>
      </c>
      <c r="AB906" s="29" t="s">
        <v>598</v>
      </c>
      <c r="AC906" s="17"/>
      <c r="AD906" s="18"/>
      <c r="AE906" s="34"/>
      <c r="AF906" s="34"/>
      <c r="AG906" s="34"/>
      <c r="AH906" s="34"/>
      <c r="AI906" s="34"/>
      <c r="AJ906" s="18"/>
      <c r="AK906" s="34"/>
      <c r="AL906" s="34"/>
      <c r="AM906" s="18"/>
      <c r="AN906" s="18"/>
      <c r="AO906" s="18"/>
      <c r="AP906" s="18"/>
      <c r="AQ906" s="110"/>
      <c r="AR906" s="148"/>
      <c r="AS906" s="18"/>
      <c r="AT906" s="30"/>
      <c r="AU906" s="18"/>
      <c r="AV906" s="18"/>
      <c r="AW906" s="18"/>
      <c r="AX906" s="18"/>
    </row>
    <row r="907" spans="1:50" x14ac:dyDescent="0.2">
      <c r="A907" s="4" t="s">
        <v>55</v>
      </c>
      <c r="B907" s="4" t="s">
        <v>56</v>
      </c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1" t="s">
        <v>599</v>
      </c>
      <c r="AB907" s="42" t="s">
        <v>233</v>
      </c>
      <c r="AC907" s="43" t="s">
        <v>58</v>
      </c>
      <c r="AD907" s="43">
        <v>418000000</v>
      </c>
      <c r="AE907" s="44">
        <v>0</v>
      </c>
      <c r="AF907" s="44">
        <v>0</v>
      </c>
      <c r="AG907" s="43">
        <v>22500000</v>
      </c>
      <c r="AH907" s="43">
        <v>30000000</v>
      </c>
      <c r="AI907" s="142">
        <f>AE907-AF907+AG907-AH907</f>
        <v>-7500000</v>
      </c>
      <c r="AJ907" s="142">
        <f>AD907+AI907</f>
        <v>410500000</v>
      </c>
      <c r="AK907" s="44">
        <v>0</v>
      </c>
      <c r="AL907" s="43">
        <v>0</v>
      </c>
      <c r="AM907" s="43">
        <v>409500000.02999997</v>
      </c>
      <c r="AN907" s="44">
        <v>0</v>
      </c>
      <c r="AO907" s="43">
        <v>0</v>
      </c>
      <c r="AP907" s="43">
        <v>409500000.02999997</v>
      </c>
      <c r="AQ907" s="18">
        <v>6000000</v>
      </c>
      <c r="AR907" s="148">
        <v>39500000</v>
      </c>
      <c r="AS907" s="110">
        <v>332366670</v>
      </c>
      <c r="AT907" s="111">
        <f t="shared" si="424"/>
        <v>338366670</v>
      </c>
      <c r="AU907" s="18">
        <f>AJ907-AM907</f>
        <v>999999.97000002861</v>
      </c>
      <c r="AV907" s="133">
        <f>AM907-AP907</f>
        <v>0</v>
      </c>
      <c r="AW907" s="18">
        <f>AP907-AT907</f>
        <v>71133330.029999971</v>
      </c>
      <c r="AX907" s="123">
        <f>AP907/AJ907</f>
        <v>0.99756394647990254</v>
      </c>
    </row>
    <row r="908" spans="1:50" x14ac:dyDescent="0.2">
      <c r="AA908" s="28" t="s">
        <v>288</v>
      </c>
      <c r="AB908" s="29" t="s">
        <v>600</v>
      </c>
      <c r="AC908" s="17"/>
      <c r="AD908" s="18"/>
      <c r="AE908" s="34"/>
      <c r="AF908" s="34"/>
      <c r="AG908" s="34"/>
      <c r="AH908" s="34"/>
      <c r="AI908" s="34"/>
      <c r="AJ908" s="18"/>
      <c r="AK908" s="34"/>
      <c r="AL908" s="34"/>
      <c r="AM908" s="18"/>
      <c r="AN908" s="34"/>
      <c r="AO908" s="34"/>
      <c r="AP908" s="18"/>
      <c r="AQ908" s="34"/>
      <c r="AR908" s="145"/>
      <c r="AS908" s="34"/>
      <c r="AT908" s="40"/>
      <c r="AU908" s="18"/>
      <c r="AV908" s="18"/>
      <c r="AW908" s="18"/>
      <c r="AX908" s="18"/>
    </row>
    <row r="909" spans="1:50" x14ac:dyDescent="0.2">
      <c r="A909" s="140" t="s">
        <v>55</v>
      </c>
      <c r="B909" s="140" t="s">
        <v>56</v>
      </c>
      <c r="C909" s="140"/>
      <c r="D909" s="140"/>
      <c r="E909" s="140"/>
      <c r="F909" s="140"/>
      <c r="G909" s="140"/>
      <c r="H909" s="140"/>
      <c r="I909" s="140"/>
      <c r="J909" s="140"/>
      <c r="K909" s="140"/>
      <c r="L909" s="140"/>
      <c r="M909" s="140"/>
      <c r="N909" s="140"/>
      <c r="O909" s="140"/>
      <c r="P909" s="140"/>
      <c r="Q909" s="140"/>
      <c r="R909" s="140"/>
      <c r="S909" s="140"/>
      <c r="T909" s="140"/>
      <c r="U909" s="140"/>
      <c r="V909" s="140"/>
      <c r="W909" s="140"/>
      <c r="X909" s="140"/>
      <c r="Y909" s="140"/>
      <c r="Z909" s="140"/>
      <c r="AA909" s="134" t="s">
        <v>601</v>
      </c>
      <c r="AB909" s="69" t="s">
        <v>233</v>
      </c>
      <c r="AC909" s="142" t="s">
        <v>58</v>
      </c>
      <c r="AD909" s="142">
        <v>337300000</v>
      </c>
      <c r="AE909" s="143">
        <v>0</v>
      </c>
      <c r="AF909" s="143">
        <v>0</v>
      </c>
      <c r="AG909" s="143">
        <v>0</v>
      </c>
      <c r="AH909" s="142">
        <f>31295090+46856431.35</f>
        <v>78151521.349999994</v>
      </c>
      <c r="AI909" s="142">
        <f>AE909-AF909+AG909-AH909</f>
        <v>-78151521.349999994</v>
      </c>
      <c r="AJ909" s="142">
        <f>AD909+AI909</f>
        <v>259148478.65000001</v>
      </c>
      <c r="AK909" s="143">
        <v>0</v>
      </c>
      <c r="AL909" s="43">
        <f>AM909-AGOSTO!AM864</f>
        <v>0</v>
      </c>
      <c r="AM909" s="144">
        <v>259148478.65000001</v>
      </c>
      <c r="AN909" s="143">
        <v>0</v>
      </c>
      <c r="AO909" s="143">
        <v>0</v>
      </c>
      <c r="AP909" s="142">
        <v>259148478.65000001</v>
      </c>
      <c r="AQ909" s="145">
        <v>0</v>
      </c>
      <c r="AR909" s="147">
        <v>25668003.940000001</v>
      </c>
      <c r="AS909" s="147">
        <v>159546726.40000001</v>
      </c>
      <c r="AT909" s="267">
        <f t="shared" ref="AT909" si="436">AQ909+AS909</f>
        <v>159546726.40000001</v>
      </c>
      <c r="AU909" s="145">
        <f>AJ909-AM909</f>
        <v>0</v>
      </c>
      <c r="AV909" s="175">
        <f>AM909-AP909</f>
        <v>0</v>
      </c>
      <c r="AW909" s="147">
        <f>AP909-AT909</f>
        <v>99601752.25</v>
      </c>
      <c r="AX909" s="149">
        <f>AP909/AJ909</f>
        <v>1</v>
      </c>
    </row>
    <row r="910" spans="1:50" ht="25.5" x14ac:dyDescent="0.2">
      <c r="AA910" s="28" t="s">
        <v>288</v>
      </c>
      <c r="AB910" s="29" t="s">
        <v>602</v>
      </c>
      <c r="AC910" s="17"/>
      <c r="AD910" s="18"/>
      <c r="AE910" s="18"/>
      <c r="AF910" s="18"/>
      <c r="AG910" s="18"/>
      <c r="AH910" s="18"/>
      <c r="AI910" s="18"/>
      <c r="AJ910" s="18"/>
      <c r="AK910" s="34"/>
      <c r="AL910" s="34"/>
      <c r="AM910" s="34"/>
      <c r="AN910" s="34"/>
      <c r="AO910" s="34"/>
      <c r="AP910" s="34"/>
      <c r="AQ910" s="34"/>
      <c r="AR910" s="34"/>
      <c r="AS910" s="34"/>
      <c r="AT910" s="40"/>
      <c r="AU910" s="18"/>
      <c r="AV910" s="18"/>
      <c r="AW910" s="18"/>
      <c r="AX910" s="18"/>
    </row>
    <row r="911" spans="1:50" x14ac:dyDescent="0.2">
      <c r="A911" s="4" t="s">
        <v>55</v>
      </c>
      <c r="B911" s="4" t="s">
        <v>56</v>
      </c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1" t="s">
        <v>603</v>
      </c>
      <c r="AB911" s="42" t="s">
        <v>233</v>
      </c>
      <c r="AC911" s="43" t="s">
        <v>58</v>
      </c>
      <c r="AD911" s="44">
        <v>0</v>
      </c>
      <c r="AE911" s="44">
        <v>0</v>
      </c>
      <c r="AF911" s="44">
        <v>0</v>
      </c>
      <c r="AG911" s="43">
        <v>4400000</v>
      </c>
      <c r="AH911" s="44">
        <v>0</v>
      </c>
      <c r="AI911" s="43">
        <f>AE911-AF911+AG911-AH911</f>
        <v>4400000</v>
      </c>
      <c r="AJ911" s="43">
        <f>AD911+AI911</f>
        <v>4400000</v>
      </c>
      <c r="AK911" s="44">
        <v>0</v>
      </c>
      <c r="AL911" s="43">
        <f>AM911-SEPTIEMBRE!AM877</f>
        <v>0</v>
      </c>
      <c r="AM911" s="44">
        <v>0</v>
      </c>
      <c r="AN911" s="44">
        <v>0</v>
      </c>
      <c r="AO911" s="44">
        <v>0</v>
      </c>
      <c r="AP911" s="44">
        <v>0</v>
      </c>
      <c r="AQ911" s="34">
        <v>0</v>
      </c>
      <c r="AR911" s="34">
        <v>0</v>
      </c>
      <c r="AS911" s="34">
        <v>0</v>
      </c>
      <c r="AT911" s="40">
        <f t="shared" ref="AT911" si="437">AQ911+AS911</f>
        <v>0</v>
      </c>
      <c r="AU911" s="18">
        <f>AJ911-AM911</f>
        <v>4400000</v>
      </c>
      <c r="AV911" s="133">
        <f>AM911-AP911</f>
        <v>0</v>
      </c>
      <c r="AW911" s="34">
        <f>AP911-AT911</f>
        <v>0</v>
      </c>
      <c r="AX911" s="123">
        <f>AP911/AJ911</f>
        <v>0</v>
      </c>
    </row>
    <row r="912" spans="1:50" ht="25.5" x14ac:dyDescent="0.2">
      <c r="AA912" s="28" t="s">
        <v>288</v>
      </c>
      <c r="AB912" s="29" t="s">
        <v>197</v>
      </c>
      <c r="AC912" s="17"/>
      <c r="AD912" s="34"/>
      <c r="AE912" s="34"/>
      <c r="AF912" s="34"/>
      <c r="AG912" s="18"/>
      <c r="AH912" s="34"/>
      <c r="AI912" s="18"/>
      <c r="AJ912" s="147"/>
      <c r="AK912" s="34"/>
      <c r="AL912" s="34"/>
      <c r="AM912" s="34"/>
      <c r="AN912" s="34"/>
      <c r="AO912" s="34"/>
      <c r="AP912" s="34"/>
      <c r="AQ912" s="34"/>
      <c r="AR912" s="34"/>
      <c r="AS912" s="34"/>
      <c r="AT912" s="40"/>
      <c r="AU912" s="18"/>
      <c r="AV912" s="34"/>
      <c r="AW912" s="34"/>
      <c r="AX912" s="18"/>
    </row>
    <row r="913" spans="1:50" x14ac:dyDescent="0.2">
      <c r="A913" s="4" t="s">
        <v>55</v>
      </c>
      <c r="B913" s="4" t="s">
        <v>56</v>
      </c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1" t="s">
        <v>604</v>
      </c>
      <c r="AB913" s="42" t="s">
        <v>233</v>
      </c>
      <c r="AC913" s="43" t="s">
        <v>58</v>
      </c>
      <c r="AD913" s="44">
        <v>0</v>
      </c>
      <c r="AE913" s="44">
        <v>0</v>
      </c>
      <c r="AF913" s="44">
        <v>0</v>
      </c>
      <c r="AG913" s="43">
        <f>88500000</f>
        <v>88500000</v>
      </c>
      <c r="AH913" s="43">
        <v>20700000</v>
      </c>
      <c r="AI913" s="43">
        <f>AE913-AF913+AG913-AH913</f>
        <v>67800000</v>
      </c>
      <c r="AJ913" s="142">
        <f>AD913+AI913</f>
        <v>67800000</v>
      </c>
      <c r="AK913" s="44">
        <v>0</v>
      </c>
      <c r="AL913" s="43">
        <f>AM913-OCTUBRE!AM902</f>
        <v>0</v>
      </c>
      <c r="AM913" s="43">
        <v>23280000</v>
      </c>
      <c r="AN913" s="44">
        <v>0</v>
      </c>
      <c r="AO913" s="43">
        <v>0</v>
      </c>
      <c r="AP913" s="43">
        <v>23280000</v>
      </c>
      <c r="AQ913" s="34">
        <v>0</v>
      </c>
      <c r="AR913" s="34">
        <v>0</v>
      </c>
      <c r="AS913" s="34">
        <v>0</v>
      </c>
      <c r="AT913" s="40">
        <f t="shared" ref="AT913:AT915" si="438">AQ913+AS913</f>
        <v>0</v>
      </c>
      <c r="AU913" s="18">
        <f>AJ913-AM913</f>
        <v>44520000</v>
      </c>
      <c r="AV913" s="34">
        <f>AM913-AP913</f>
        <v>0</v>
      </c>
      <c r="AW913" s="18">
        <f>AP913-AT913</f>
        <v>23280000</v>
      </c>
      <c r="AX913" s="123">
        <f>AP913/AJ913</f>
        <v>0.3433628318584071</v>
      </c>
    </row>
    <row r="914" spans="1:50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1" t="s">
        <v>1225</v>
      </c>
      <c r="AB914" s="42" t="s">
        <v>233</v>
      </c>
      <c r="AC914" s="43"/>
      <c r="AD914" s="44">
        <v>0</v>
      </c>
      <c r="AE914" s="44">
        <v>0</v>
      </c>
      <c r="AF914" s="44">
        <v>0</v>
      </c>
      <c r="AG914" s="43">
        <f>113189627.21+602281020</f>
        <v>715470647.21000004</v>
      </c>
      <c r="AH914" s="43"/>
      <c r="AI914" s="43">
        <f>AE914-AF914+AG914-AH914</f>
        <v>715470647.21000004</v>
      </c>
      <c r="AJ914" s="142">
        <f>AD914+AI914</f>
        <v>715470647.21000004</v>
      </c>
      <c r="AK914" s="44">
        <v>0</v>
      </c>
      <c r="AL914" s="43">
        <f>AM914-OCTUBRE!AM903</f>
        <v>0</v>
      </c>
      <c r="AM914" s="43">
        <v>715470647.21000004</v>
      </c>
      <c r="AN914" s="44">
        <v>0</v>
      </c>
      <c r="AO914" s="43">
        <v>715470647.21000004</v>
      </c>
      <c r="AP914" s="43">
        <v>715470647.21000004</v>
      </c>
      <c r="AQ914" s="34">
        <v>0</v>
      </c>
      <c r="AR914" s="34">
        <v>0</v>
      </c>
      <c r="AS914" s="34">
        <v>0</v>
      </c>
      <c r="AT914" s="40">
        <f t="shared" si="438"/>
        <v>0</v>
      </c>
      <c r="AU914" s="34">
        <f>AJ914-AM914</f>
        <v>0</v>
      </c>
      <c r="AV914" s="34">
        <f>AM914-AP914</f>
        <v>0</v>
      </c>
      <c r="AW914" s="18">
        <f>AP914-AT914</f>
        <v>715470647.21000004</v>
      </c>
      <c r="AX914" s="123">
        <f>AP914/AJ914</f>
        <v>1</v>
      </c>
    </row>
    <row r="915" spans="1:50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1" t="s">
        <v>1318</v>
      </c>
      <c r="AB915" s="42" t="s">
        <v>1015</v>
      </c>
      <c r="AC915" s="43"/>
      <c r="AD915" s="44">
        <v>0</v>
      </c>
      <c r="AE915" s="44">
        <v>0</v>
      </c>
      <c r="AF915" s="44">
        <v>0</v>
      </c>
      <c r="AG915" s="43">
        <f>40000000</f>
        <v>40000000</v>
      </c>
      <c r="AH915" s="43"/>
      <c r="AI915" s="43">
        <f>AE915-AF915+AG915-AH915</f>
        <v>40000000</v>
      </c>
      <c r="AJ915" s="142">
        <f>AD915+AI915</f>
        <v>40000000</v>
      </c>
      <c r="AK915" s="44">
        <v>0</v>
      </c>
      <c r="AL915" s="43">
        <f>AM915-OCTUBRE!AM904</f>
        <v>-21227568.210000001</v>
      </c>
      <c r="AM915" s="43">
        <v>18772431.789999999</v>
      </c>
      <c r="AN915" s="44">
        <v>0</v>
      </c>
      <c r="AO915" s="43">
        <v>18772431.789999999</v>
      </c>
      <c r="AP915" s="43">
        <v>18772431.789999999</v>
      </c>
      <c r="AQ915" s="34">
        <v>0</v>
      </c>
      <c r="AR915" s="34">
        <v>0</v>
      </c>
      <c r="AS915" s="34">
        <v>0</v>
      </c>
      <c r="AT915" s="40">
        <f t="shared" si="438"/>
        <v>0</v>
      </c>
      <c r="AU915" s="18">
        <f>AJ915-AM915</f>
        <v>21227568.210000001</v>
      </c>
      <c r="AV915" s="34">
        <f>AM915-AP915</f>
        <v>0</v>
      </c>
      <c r="AW915" s="18">
        <f>AP915-AT915</f>
        <v>18772431.789999999</v>
      </c>
      <c r="AX915" s="123">
        <f>AP915/AJ915</f>
        <v>0.46931079474999998</v>
      </c>
    </row>
    <row r="916" spans="1:50" ht="25.5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73" t="s">
        <v>288</v>
      </c>
      <c r="AB916" s="74" t="s">
        <v>1378</v>
      </c>
      <c r="AC916" s="43"/>
      <c r="AD916" s="44"/>
      <c r="AE916" s="44"/>
      <c r="AF916" s="44"/>
      <c r="AG916" s="43"/>
      <c r="AH916" s="43"/>
      <c r="AI916" s="43"/>
      <c r="AJ916" s="43"/>
      <c r="AK916" s="44"/>
      <c r="AL916" s="44"/>
      <c r="AM916" s="44"/>
      <c r="AN916" s="44"/>
      <c r="AO916" s="44"/>
      <c r="AP916" s="44"/>
      <c r="AQ916" s="34"/>
      <c r="AR916" s="34"/>
      <c r="AS916" s="34"/>
      <c r="AT916" s="40"/>
      <c r="AU916" s="18"/>
      <c r="AV916" s="133"/>
      <c r="AW916" s="34"/>
      <c r="AX916" s="123"/>
    </row>
    <row r="917" spans="1:50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1" t="s">
        <v>1377</v>
      </c>
      <c r="AB917" s="42" t="s">
        <v>233</v>
      </c>
      <c r="AC917" s="43"/>
      <c r="AD917" s="44"/>
      <c r="AE917" s="44">
        <v>0</v>
      </c>
      <c r="AF917" s="44">
        <v>0</v>
      </c>
      <c r="AG917" s="43">
        <v>20000000</v>
      </c>
      <c r="AH917" s="43">
        <v>0</v>
      </c>
      <c r="AI917" s="43">
        <f>AE917-AF917+AG917-AH917</f>
        <v>20000000</v>
      </c>
      <c r="AJ917" s="43">
        <f>AD917+AI917</f>
        <v>20000000</v>
      </c>
      <c r="AK917" s="43">
        <v>0</v>
      </c>
      <c r="AL917" s="43">
        <v>0</v>
      </c>
      <c r="AM917" s="43">
        <v>20000000</v>
      </c>
      <c r="AN917" s="43">
        <v>0</v>
      </c>
      <c r="AO917" s="43">
        <v>20000000</v>
      </c>
      <c r="AP917" s="43">
        <v>20000000</v>
      </c>
      <c r="AQ917" s="34">
        <v>0</v>
      </c>
      <c r="AR917" s="34">
        <v>0</v>
      </c>
      <c r="AS917" s="34">
        <v>0</v>
      </c>
      <c r="AT917" s="40">
        <f t="shared" ref="AT917" si="439">AQ917+AS917</f>
        <v>0</v>
      </c>
      <c r="AU917" s="18">
        <f>AJ917-AM917</f>
        <v>0</v>
      </c>
      <c r="AV917" s="34">
        <f>AM917-AP917</f>
        <v>0</v>
      </c>
      <c r="AW917" s="18">
        <f>AP917-AT917</f>
        <v>20000000</v>
      </c>
      <c r="AX917" s="123">
        <f>AP917/AJ917</f>
        <v>1</v>
      </c>
    </row>
    <row r="918" spans="1:50" ht="38.25" x14ac:dyDescent="0.2">
      <c r="AA918" s="28" t="s">
        <v>288</v>
      </c>
      <c r="AB918" s="29" t="s">
        <v>606</v>
      </c>
      <c r="AC918" s="17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30"/>
      <c r="AU918" s="18"/>
      <c r="AV918" s="34"/>
      <c r="AW918" s="18"/>
      <c r="AX918" s="18"/>
    </row>
    <row r="919" spans="1:50" x14ac:dyDescent="0.2">
      <c r="A919" s="4" t="s">
        <v>55</v>
      </c>
      <c r="B919" s="4" t="s">
        <v>56</v>
      </c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1" t="s">
        <v>607</v>
      </c>
      <c r="AB919" s="42" t="s">
        <v>233</v>
      </c>
      <c r="AC919" s="43" t="s">
        <v>58</v>
      </c>
      <c r="AD919" s="43">
        <v>859800000</v>
      </c>
      <c r="AE919" s="44">
        <v>0</v>
      </c>
      <c r="AF919" s="44">
        <v>0</v>
      </c>
      <c r="AG919" s="43">
        <f>300000000+313000000+8750000</f>
        <v>621750000</v>
      </c>
      <c r="AH919" s="43">
        <f>900000+258300000</f>
        <v>259200000</v>
      </c>
      <c r="AI919" s="43">
        <f>AE919-AF919+AG919-AH919</f>
        <v>362550000</v>
      </c>
      <c r="AJ919" s="43">
        <f>AD919+AI919</f>
        <v>1222350000</v>
      </c>
      <c r="AK919" s="44">
        <v>0</v>
      </c>
      <c r="AL919" s="43">
        <f>AM919-OCTUBRE!AM908</f>
        <v>4218829.6700000763</v>
      </c>
      <c r="AM919" s="43">
        <v>978172532.35000002</v>
      </c>
      <c r="AN919" s="44">
        <v>0</v>
      </c>
      <c r="AO919" s="43">
        <v>57939396.670000002</v>
      </c>
      <c r="AP919" s="43">
        <v>978172532.35000002</v>
      </c>
      <c r="AQ919" s="18">
        <v>7000000</v>
      </c>
      <c r="AR919" s="110">
        <v>99850000</v>
      </c>
      <c r="AS919" s="110">
        <v>669938303.39999998</v>
      </c>
      <c r="AT919" s="111">
        <f t="shared" si="424"/>
        <v>676938303.39999998</v>
      </c>
      <c r="AU919" s="18">
        <f>AJ919-AM919</f>
        <v>244177467.64999998</v>
      </c>
      <c r="AV919" s="18">
        <f>AM919-AP919</f>
        <v>0</v>
      </c>
      <c r="AW919" s="18">
        <f>AP919-AT919</f>
        <v>301234228.95000005</v>
      </c>
      <c r="AX919" s="123">
        <f>AP919/AJ919</f>
        <v>0.80023931963022055</v>
      </c>
    </row>
    <row r="920" spans="1:50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1" t="s">
        <v>1101</v>
      </c>
      <c r="AB920" s="42" t="s">
        <v>1015</v>
      </c>
      <c r="AC920" s="43"/>
      <c r="AD920" s="43">
        <v>0</v>
      </c>
      <c r="AE920" s="43">
        <v>25000000</v>
      </c>
      <c r="AF920" s="44">
        <v>0</v>
      </c>
      <c r="AG920" s="44">
        <v>0</v>
      </c>
      <c r="AH920" s="44">
        <v>0</v>
      </c>
      <c r="AI920" s="43">
        <f>AE920-AF920+AG920-AH920</f>
        <v>25000000</v>
      </c>
      <c r="AJ920" s="43">
        <f>AD920+AI920</f>
        <v>25000000</v>
      </c>
      <c r="AK920" s="44">
        <v>0</v>
      </c>
      <c r="AL920" s="43">
        <f>AM920-OCTUBRE!AM909</f>
        <v>0</v>
      </c>
      <c r="AM920" s="44">
        <v>0</v>
      </c>
      <c r="AN920" s="44">
        <v>0</v>
      </c>
      <c r="AO920" s="44">
        <v>0</v>
      </c>
      <c r="AP920" s="44">
        <v>0</v>
      </c>
      <c r="AQ920" s="34">
        <v>0</v>
      </c>
      <c r="AR920" s="133">
        <v>0</v>
      </c>
      <c r="AS920" s="133">
        <v>0</v>
      </c>
      <c r="AT920" s="135">
        <f t="shared" si="424"/>
        <v>0</v>
      </c>
      <c r="AU920" s="18">
        <f>AJ920-AM920</f>
        <v>25000000</v>
      </c>
      <c r="AV920" s="34">
        <f>AM920-AP920</f>
        <v>0</v>
      </c>
      <c r="AW920" s="18">
        <f>AP920-AT920</f>
        <v>0</v>
      </c>
      <c r="AX920" s="123">
        <f>AP920/AJ920</f>
        <v>0</v>
      </c>
    </row>
    <row r="921" spans="1:50" ht="25.5" x14ac:dyDescent="0.2">
      <c r="AA921" s="28" t="s">
        <v>288</v>
      </c>
      <c r="AB921" s="29" t="s">
        <v>608</v>
      </c>
      <c r="AC921" s="17"/>
      <c r="AD921" s="18"/>
      <c r="AE921" s="34"/>
      <c r="AF921" s="34"/>
      <c r="AG921" s="34"/>
      <c r="AH921" s="18"/>
      <c r="AI921" s="18"/>
      <c r="AJ921" s="18"/>
      <c r="AK921" s="34"/>
      <c r="AL921" s="18"/>
      <c r="AM921" s="18"/>
      <c r="AN921" s="34"/>
      <c r="AO921" s="147"/>
      <c r="AP921" s="18"/>
      <c r="AQ921" s="34"/>
      <c r="AR921" s="34"/>
      <c r="AS921" s="34"/>
      <c r="AT921" s="40">
        <f t="shared" si="424"/>
        <v>0</v>
      </c>
      <c r="AU921" s="18"/>
      <c r="AV921" s="34"/>
      <c r="AW921" s="18"/>
      <c r="AX921" s="18"/>
    </row>
    <row r="922" spans="1:50" x14ac:dyDescent="0.2">
      <c r="A922" s="4" t="s">
        <v>55</v>
      </c>
      <c r="B922" s="4" t="s">
        <v>56</v>
      </c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1" t="s">
        <v>609</v>
      </c>
      <c r="AB922" s="42" t="s">
        <v>233</v>
      </c>
      <c r="AC922" s="43" t="s">
        <v>58</v>
      </c>
      <c r="AD922" s="43">
        <v>20000000</v>
      </c>
      <c r="AE922" s="44">
        <v>0</v>
      </c>
      <c r="AF922" s="44">
        <v>0</v>
      </c>
      <c r="AG922" s="44">
        <v>0</v>
      </c>
      <c r="AH922" s="43">
        <v>20000000</v>
      </c>
      <c r="AI922" s="43">
        <f>AE922-AF922+AG922-AH922</f>
        <v>-20000000</v>
      </c>
      <c r="AJ922" s="43">
        <f>AD922+AI922</f>
        <v>0</v>
      </c>
      <c r="AK922" s="44">
        <v>0</v>
      </c>
      <c r="AL922" s="143">
        <v>0</v>
      </c>
      <c r="AM922" s="44">
        <v>0</v>
      </c>
      <c r="AN922" s="44">
        <v>0</v>
      </c>
      <c r="AO922" s="143">
        <f>AP922-'MARZO '!AP689</f>
        <v>0</v>
      </c>
      <c r="AP922" s="44">
        <v>0</v>
      </c>
      <c r="AQ922" s="34">
        <v>0</v>
      </c>
      <c r="AR922" s="145">
        <v>0</v>
      </c>
      <c r="AS922" s="34">
        <v>0</v>
      </c>
      <c r="AT922" s="40">
        <f t="shared" si="424"/>
        <v>0</v>
      </c>
      <c r="AU922" s="18">
        <f>AJ922-AM922</f>
        <v>0</v>
      </c>
      <c r="AV922" s="133">
        <f>AM922-AP922</f>
        <v>0</v>
      </c>
      <c r="AW922" s="34">
        <f>AP922-AT922</f>
        <v>0</v>
      </c>
      <c r="AX922" s="123">
        <v>0</v>
      </c>
    </row>
    <row r="923" spans="1:50" x14ac:dyDescent="0.2">
      <c r="AA923" s="28" t="s">
        <v>288</v>
      </c>
      <c r="AB923" s="29" t="s">
        <v>400</v>
      </c>
      <c r="AC923" s="17"/>
      <c r="AD923" s="18"/>
      <c r="AE923" s="34"/>
      <c r="AF923" s="34"/>
      <c r="AG923" s="34"/>
      <c r="AH923" s="34"/>
      <c r="AI923" s="34"/>
      <c r="AJ923" s="18"/>
      <c r="AK923" s="34"/>
      <c r="AL923" s="147"/>
      <c r="AM923" s="18"/>
      <c r="AN923" s="34"/>
      <c r="AO923" s="145"/>
      <c r="AP923" s="18"/>
      <c r="AQ923" s="34"/>
      <c r="AR923" s="145"/>
      <c r="AS923" s="34"/>
      <c r="AT923" s="40"/>
      <c r="AU923" s="18"/>
      <c r="AV923" s="34"/>
      <c r="AW923" s="18"/>
      <c r="AX923" s="18"/>
    </row>
    <row r="924" spans="1:50" x14ac:dyDescent="0.2">
      <c r="A924" s="4" t="s">
        <v>55</v>
      </c>
      <c r="B924" s="4" t="s">
        <v>56</v>
      </c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1" t="s">
        <v>610</v>
      </c>
      <c r="AB924" s="42" t="s">
        <v>233</v>
      </c>
      <c r="AC924" s="43" t="s">
        <v>58</v>
      </c>
      <c r="AD924" s="43">
        <v>379500000</v>
      </c>
      <c r="AE924" s="44">
        <v>0</v>
      </c>
      <c r="AF924" s="44">
        <v>0</v>
      </c>
      <c r="AG924" s="44">
        <v>0</v>
      </c>
      <c r="AH924" s="44">
        <v>0</v>
      </c>
      <c r="AI924" s="44">
        <v>0</v>
      </c>
      <c r="AJ924" s="43">
        <v>379500000</v>
      </c>
      <c r="AK924" s="43">
        <v>0</v>
      </c>
      <c r="AL924" s="43">
        <f>AM924-OCTUBRE!AM913</f>
        <v>-3383334</v>
      </c>
      <c r="AM924" s="43">
        <v>372299999.32999998</v>
      </c>
      <c r="AN924" s="43">
        <v>0</v>
      </c>
      <c r="AO924" s="142">
        <v>-3383334</v>
      </c>
      <c r="AP924" s="43">
        <v>372299999.32999998</v>
      </c>
      <c r="AQ924" s="18">
        <v>1283333</v>
      </c>
      <c r="AR924" s="147">
        <v>33183333</v>
      </c>
      <c r="AS924" s="18">
        <v>302666666</v>
      </c>
      <c r="AT924" s="111">
        <f t="shared" ref="AT924" si="440">AQ924+AS924</f>
        <v>303949999</v>
      </c>
      <c r="AU924" s="18">
        <f>AJ924-AM924</f>
        <v>7200000.6700000167</v>
      </c>
      <c r="AV924" s="133">
        <f>AM924-AP924</f>
        <v>0</v>
      </c>
      <c r="AW924" s="18">
        <f>AP924-AT924</f>
        <v>68350000.329999983</v>
      </c>
      <c r="AX924" s="123">
        <f>AP924/AJ924</f>
        <v>0.98102766621870874</v>
      </c>
    </row>
    <row r="925" spans="1:50" x14ac:dyDescent="0.2">
      <c r="AA925" s="73" t="s">
        <v>288</v>
      </c>
      <c r="AB925" s="74" t="s">
        <v>292</v>
      </c>
      <c r="AC925" s="17"/>
      <c r="AD925" s="18"/>
      <c r="AE925" s="34"/>
      <c r="AF925" s="34"/>
      <c r="AG925" s="34"/>
      <c r="AH925" s="18"/>
      <c r="AI925" s="18"/>
      <c r="AJ925" s="18"/>
      <c r="AK925" s="34"/>
      <c r="AL925" s="145"/>
      <c r="AM925" s="34"/>
      <c r="AN925" s="34"/>
      <c r="AO925" s="145"/>
      <c r="AP925" s="34"/>
      <c r="AQ925" s="34"/>
      <c r="AR925" s="145"/>
      <c r="AS925" s="34"/>
      <c r="AT925" s="40"/>
      <c r="AU925" s="18"/>
      <c r="AV925" s="34"/>
      <c r="AW925" s="34"/>
      <c r="AX925" s="18"/>
    </row>
    <row r="926" spans="1:50" x14ac:dyDescent="0.2">
      <c r="AA926" s="41" t="s">
        <v>311</v>
      </c>
      <c r="AB926" s="42" t="s">
        <v>233</v>
      </c>
      <c r="AC926" s="17"/>
      <c r="AD926" s="18">
        <v>0</v>
      </c>
      <c r="AE926" s="34">
        <v>0</v>
      </c>
      <c r="AF926" s="34">
        <v>0</v>
      </c>
      <c r="AG926" s="18">
        <v>185000000</v>
      </c>
      <c r="AH926" s="18">
        <v>0</v>
      </c>
      <c r="AI926" s="43">
        <f>AE926-AF926+AG926-AH926</f>
        <v>185000000</v>
      </c>
      <c r="AJ926" s="43">
        <f>AD926+AI926</f>
        <v>185000000</v>
      </c>
      <c r="AK926" s="18">
        <v>0</v>
      </c>
      <c r="AL926" s="43">
        <v>0</v>
      </c>
      <c r="AM926" s="18">
        <v>85000000</v>
      </c>
      <c r="AN926" s="18">
        <v>0</v>
      </c>
      <c r="AO926" s="145">
        <v>0</v>
      </c>
      <c r="AP926" s="34">
        <v>0</v>
      </c>
      <c r="AQ926" s="34">
        <v>0</v>
      </c>
      <c r="AR926" s="145">
        <v>0</v>
      </c>
      <c r="AS926" s="34">
        <v>0</v>
      </c>
      <c r="AT926" s="135">
        <f t="shared" ref="AT926" si="441">AQ926+AS926</f>
        <v>0</v>
      </c>
      <c r="AU926" s="18">
        <f>AJ926-AM926</f>
        <v>100000000</v>
      </c>
      <c r="AV926" s="18">
        <f>AM926-AP926</f>
        <v>85000000</v>
      </c>
      <c r="AW926" s="34">
        <f>AP926-AT926</f>
        <v>0</v>
      </c>
      <c r="AX926" s="123">
        <f>AP926/AJ926</f>
        <v>0</v>
      </c>
    </row>
    <row r="927" spans="1:50" x14ac:dyDescent="0.2">
      <c r="AA927" s="16"/>
      <c r="AB927" s="17"/>
      <c r="AC927" s="17"/>
      <c r="AD927" s="18"/>
      <c r="AE927" s="34"/>
      <c r="AF927" s="34"/>
      <c r="AG927" s="34"/>
      <c r="AH927" s="18"/>
      <c r="AI927" s="18"/>
      <c r="AJ927" s="18"/>
      <c r="AK927" s="34"/>
      <c r="AL927" s="18"/>
      <c r="AM927" s="18"/>
      <c r="AN927" s="18"/>
      <c r="AO927" s="147"/>
      <c r="AP927" s="18"/>
      <c r="AQ927" s="34"/>
      <c r="AR927" s="145"/>
      <c r="AS927" s="34"/>
      <c r="AT927" s="40"/>
      <c r="AU927" s="18"/>
      <c r="AV927" s="34"/>
      <c r="AW927" s="18"/>
      <c r="AX927" s="18"/>
    </row>
    <row r="928" spans="1:50" x14ac:dyDescent="0.2">
      <c r="AA928" s="16"/>
      <c r="AB928" s="29" t="s">
        <v>199</v>
      </c>
      <c r="AC928" s="17"/>
      <c r="AD928" s="18"/>
      <c r="AE928" s="34"/>
      <c r="AF928" s="34"/>
      <c r="AG928" s="34"/>
      <c r="AH928" s="18"/>
      <c r="AI928" s="18"/>
      <c r="AJ928" s="18"/>
      <c r="AK928" s="34"/>
      <c r="AL928" s="18"/>
      <c r="AM928" s="18"/>
      <c r="AN928" s="18"/>
      <c r="AO928" s="147"/>
      <c r="AP928" s="18"/>
      <c r="AQ928" s="34"/>
      <c r="AR928" s="145"/>
      <c r="AS928" s="34"/>
      <c r="AT928" s="40"/>
      <c r="AU928" s="18"/>
      <c r="AV928" s="18"/>
      <c r="AW928" s="18"/>
      <c r="AX928" s="18"/>
    </row>
    <row r="929" spans="1:50" ht="38.25" x14ac:dyDescent="0.2">
      <c r="AA929" s="28" t="s">
        <v>288</v>
      </c>
      <c r="AB929" s="29" t="s">
        <v>611</v>
      </c>
      <c r="AC929" s="17"/>
      <c r="AD929" s="18"/>
      <c r="AE929" s="34"/>
      <c r="AF929" s="34"/>
      <c r="AG929" s="34"/>
      <c r="AH929" s="18"/>
      <c r="AI929" s="18"/>
      <c r="AJ929" s="18"/>
      <c r="AK929" s="34"/>
      <c r="AL929" s="18"/>
      <c r="AM929" s="18"/>
      <c r="AN929" s="18"/>
      <c r="AO929" s="18"/>
      <c r="AP929" s="18"/>
      <c r="AQ929" s="34"/>
      <c r="AR929" s="145"/>
      <c r="AS929" s="34"/>
      <c r="AT929" s="40"/>
      <c r="AU929" s="18"/>
      <c r="AV929" s="18"/>
      <c r="AW929" s="18"/>
      <c r="AX929" s="18"/>
    </row>
    <row r="930" spans="1:50" x14ac:dyDescent="0.2">
      <c r="A930" s="4" t="s">
        <v>55</v>
      </c>
      <c r="B930" s="4" t="s">
        <v>56</v>
      </c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1" t="s">
        <v>612</v>
      </c>
      <c r="AB930" s="42" t="s">
        <v>233</v>
      </c>
      <c r="AC930" s="43" t="s">
        <v>58</v>
      </c>
      <c r="AD930" s="43">
        <v>725000000</v>
      </c>
      <c r="AE930" s="44">
        <v>0</v>
      </c>
      <c r="AF930" s="44">
        <v>0</v>
      </c>
      <c r="AG930" s="43">
        <v>20700000</v>
      </c>
      <c r="AH930" s="43">
        <f>17000000+313000000</f>
        <v>330000000</v>
      </c>
      <c r="AI930" s="43">
        <f>AE930-AF930+AG930-AH930</f>
        <v>-309300000</v>
      </c>
      <c r="AJ930" s="43">
        <f>AD930+AI930</f>
        <v>415700000</v>
      </c>
      <c r="AK930" s="296">
        <v>0</v>
      </c>
      <c r="AL930" s="43">
        <f>AM930-OCTUBRE!AM919</f>
        <v>0</v>
      </c>
      <c r="AM930" s="4">
        <v>415700000</v>
      </c>
      <c r="AN930" s="296">
        <v>0</v>
      </c>
      <c r="AO930" s="140">
        <v>20467677</v>
      </c>
      <c r="AP930" s="4">
        <v>248496867</v>
      </c>
      <c r="AQ930" s="296">
        <v>454260</v>
      </c>
      <c r="AR930" s="140">
        <v>28460964</v>
      </c>
      <c r="AS930" s="4">
        <v>229965946</v>
      </c>
      <c r="AT930" s="111">
        <f t="shared" ref="AT930:AT931" si="442">AQ930+AS930</f>
        <v>230420206</v>
      </c>
      <c r="AU930" s="110">
        <f>AJ930-AM930</f>
        <v>0</v>
      </c>
      <c r="AV930" s="110">
        <f>AM930-AP930</f>
        <v>167203133</v>
      </c>
      <c r="AW930" s="18">
        <f>AP930-AT930</f>
        <v>18076661</v>
      </c>
      <c r="AX930" s="123">
        <f>AP930/AJ930</f>
        <v>0.59777932884291551</v>
      </c>
    </row>
    <row r="931" spans="1:50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1" t="s">
        <v>1102</v>
      </c>
      <c r="AB931" s="42" t="s">
        <v>1015</v>
      </c>
      <c r="AC931" s="43"/>
      <c r="AD931" s="44">
        <v>0</v>
      </c>
      <c r="AE931" s="43">
        <v>12000000</v>
      </c>
      <c r="AF931" s="44">
        <v>0</v>
      </c>
      <c r="AG931" s="44">
        <v>0</v>
      </c>
      <c r="AH931" s="44">
        <v>0</v>
      </c>
      <c r="AI931" s="43">
        <f>AE931-AF931+AG931-AH931</f>
        <v>12000000</v>
      </c>
      <c r="AJ931" s="43">
        <f>AD931+AI931</f>
        <v>12000000</v>
      </c>
      <c r="AK931" s="44">
        <v>0</v>
      </c>
      <c r="AL931" s="43">
        <f>AM931-OCTUBRE!AM920</f>
        <v>0</v>
      </c>
      <c r="AM931" s="43">
        <v>2300000</v>
      </c>
      <c r="AN931" s="44">
        <v>0</v>
      </c>
      <c r="AO931" s="43">
        <v>0</v>
      </c>
      <c r="AP931" s="43">
        <v>2300000</v>
      </c>
      <c r="AQ931" s="34">
        <v>0</v>
      </c>
      <c r="AR931" s="147">
        <v>0</v>
      </c>
      <c r="AS931" s="18">
        <v>2300000</v>
      </c>
      <c r="AT931" s="39">
        <f t="shared" si="442"/>
        <v>2300000</v>
      </c>
      <c r="AU931" s="110">
        <f>AJ931-AM931</f>
        <v>9700000</v>
      </c>
      <c r="AV931" s="18">
        <f>AM931-AP931</f>
        <v>0</v>
      </c>
      <c r="AW931" s="34">
        <f>AP931-AT931</f>
        <v>0</v>
      </c>
      <c r="AX931" s="123">
        <f>AP931/AJ931</f>
        <v>0.19166666666666668</v>
      </c>
    </row>
    <row r="932" spans="1:50" x14ac:dyDescent="0.2">
      <c r="AA932" s="16"/>
      <c r="AB932" s="17"/>
      <c r="AC932" s="17"/>
      <c r="AD932" s="34"/>
      <c r="AE932" s="18"/>
      <c r="AF932" s="18"/>
      <c r="AG932" s="18"/>
      <c r="AH932" s="18"/>
      <c r="AI932" s="18"/>
      <c r="AJ932" s="18"/>
      <c r="AK932" s="34"/>
      <c r="AL932" s="34"/>
      <c r="AM932" s="34"/>
      <c r="AN932" s="18"/>
      <c r="AO932" s="18"/>
      <c r="AP932" s="18"/>
      <c r="AQ932" s="34"/>
      <c r="AR932" s="145"/>
      <c r="AS932" s="34"/>
      <c r="AT932" s="40"/>
      <c r="AU932" s="18"/>
      <c r="AV932" s="18"/>
      <c r="AW932" s="18"/>
      <c r="AX932" s="18"/>
    </row>
    <row r="933" spans="1:50" x14ac:dyDescent="0.2">
      <c r="AA933" s="73" t="s">
        <v>1016</v>
      </c>
      <c r="AB933" s="74" t="s">
        <v>1068</v>
      </c>
      <c r="AC933" s="17"/>
      <c r="AD933" s="34"/>
      <c r="AE933" s="18"/>
      <c r="AF933" s="18"/>
      <c r="AG933" s="18"/>
      <c r="AH933" s="18"/>
      <c r="AI933" s="18"/>
      <c r="AJ933" s="18"/>
      <c r="AK933" s="34"/>
      <c r="AL933" s="34"/>
      <c r="AM933" s="34"/>
      <c r="AN933" s="18"/>
      <c r="AO933" s="18"/>
      <c r="AP933" s="18"/>
      <c r="AQ933" s="34"/>
      <c r="AR933" s="145"/>
      <c r="AS933" s="34"/>
      <c r="AT933" s="40"/>
      <c r="AU933" s="18"/>
      <c r="AV933" s="18"/>
      <c r="AW933" s="18"/>
      <c r="AX933" s="18"/>
    </row>
    <row r="934" spans="1:50" x14ac:dyDescent="0.2">
      <c r="AA934" s="73" t="s">
        <v>1017</v>
      </c>
      <c r="AB934" s="74" t="s">
        <v>1069</v>
      </c>
      <c r="AC934" s="17"/>
      <c r="AD934" s="34"/>
      <c r="AE934" s="18"/>
      <c r="AF934" s="18"/>
      <c r="AG934" s="18"/>
      <c r="AH934" s="18"/>
      <c r="AI934" s="18"/>
      <c r="AJ934" s="18"/>
      <c r="AK934" s="34"/>
      <c r="AL934" s="34"/>
      <c r="AM934" s="34"/>
      <c r="AN934" s="18"/>
      <c r="AO934" s="18"/>
      <c r="AP934" s="18"/>
      <c r="AQ934" s="34"/>
      <c r="AR934" s="145"/>
      <c r="AS934" s="34"/>
      <c r="AT934" s="40"/>
      <c r="AU934" s="18"/>
      <c r="AV934" s="18"/>
      <c r="AW934" s="18"/>
      <c r="AX934" s="18"/>
    </row>
    <row r="935" spans="1:50" x14ac:dyDescent="0.2">
      <c r="AA935" s="73" t="s">
        <v>1018</v>
      </c>
      <c r="AB935" s="74" t="s">
        <v>286</v>
      </c>
      <c r="AC935" s="17"/>
      <c r="AD935" s="34"/>
      <c r="AE935" s="18"/>
      <c r="AF935" s="18"/>
      <c r="AG935" s="18"/>
      <c r="AH935" s="18"/>
      <c r="AI935" s="18"/>
      <c r="AJ935" s="18"/>
      <c r="AK935" s="34"/>
      <c r="AL935" s="34"/>
      <c r="AM935" s="34"/>
      <c r="AN935" s="18"/>
      <c r="AO935" s="18"/>
      <c r="AP935" s="18"/>
      <c r="AQ935" s="34"/>
      <c r="AR935" s="34"/>
      <c r="AS935" s="34"/>
      <c r="AT935" s="40"/>
      <c r="AU935" s="18"/>
      <c r="AV935" s="18"/>
      <c r="AW935" s="18"/>
      <c r="AX935" s="18"/>
    </row>
    <row r="936" spans="1:50" x14ac:dyDescent="0.2">
      <c r="AA936" s="73" t="s">
        <v>1021</v>
      </c>
      <c r="AB936" s="74" t="s">
        <v>1070</v>
      </c>
      <c r="AC936" s="17"/>
      <c r="AD936" s="34"/>
      <c r="AE936" s="18"/>
      <c r="AF936" s="18"/>
      <c r="AG936" s="18"/>
      <c r="AH936" s="18"/>
      <c r="AI936" s="18"/>
      <c r="AJ936" s="18"/>
      <c r="AK936" s="34"/>
      <c r="AL936" s="34"/>
      <c r="AM936" s="34"/>
      <c r="AN936" s="18"/>
      <c r="AO936" s="18"/>
      <c r="AP936" s="18"/>
      <c r="AQ936" s="34"/>
      <c r="AR936" s="34"/>
      <c r="AS936" s="34"/>
      <c r="AT936" s="40"/>
      <c r="AU936" s="18"/>
      <c r="AV936" s="18"/>
      <c r="AW936" s="18"/>
      <c r="AX936" s="18"/>
    </row>
    <row r="937" spans="1:50" x14ac:dyDescent="0.2">
      <c r="A937" s="150"/>
      <c r="B937" s="276"/>
      <c r="C937" s="276"/>
      <c r="D937" s="276"/>
      <c r="E937" s="276"/>
      <c r="F937" s="276"/>
      <c r="G937" s="276"/>
      <c r="H937" s="276"/>
      <c r="I937" s="276"/>
      <c r="J937" s="276"/>
      <c r="K937" s="276"/>
      <c r="L937" s="276"/>
      <c r="M937" s="276"/>
      <c r="N937" s="276"/>
      <c r="O937" s="276"/>
      <c r="P937" s="276"/>
      <c r="Q937" s="276"/>
      <c r="R937" s="276"/>
      <c r="S937" s="276"/>
      <c r="T937" s="276"/>
      <c r="U937" s="276"/>
      <c r="V937" s="276"/>
      <c r="W937" s="276"/>
      <c r="X937" s="276"/>
      <c r="Y937" s="276"/>
      <c r="Z937" s="276"/>
      <c r="AA937" s="139" t="s">
        <v>1019</v>
      </c>
      <c r="AB937" s="70" t="s">
        <v>1005</v>
      </c>
      <c r="AC937" s="70"/>
      <c r="AD937" s="145">
        <v>0</v>
      </c>
      <c r="AE937" s="147">
        <v>6986666</v>
      </c>
      <c r="AF937" s="145">
        <v>0</v>
      </c>
      <c r="AG937" s="145">
        <v>0</v>
      </c>
      <c r="AH937" s="145">
        <v>0</v>
      </c>
      <c r="AI937" s="142">
        <f>AE937-AF937+AG937-AH937</f>
        <v>6986666</v>
      </c>
      <c r="AJ937" s="142">
        <f>AD937+AI937</f>
        <v>6986666</v>
      </c>
      <c r="AK937" s="145">
        <v>0</v>
      </c>
      <c r="AL937" s="44">
        <f>AM937-SEPTIEMBRE!AM903</f>
        <v>0</v>
      </c>
      <c r="AM937" s="145">
        <v>0</v>
      </c>
      <c r="AN937" s="145">
        <v>0</v>
      </c>
      <c r="AO937" s="145">
        <v>0</v>
      </c>
      <c r="AP937" s="145">
        <v>0</v>
      </c>
      <c r="AQ937" s="145">
        <v>0</v>
      </c>
      <c r="AR937" s="145">
        <v>0</v>
      </c>
      <c r="AS937" s="145">
        <v>0</v>
      </c>
      <c r="AT937" s="277">
        <f t="shared" ref="AT937" si="443">AQ937+AS937</f>
        <v>0</v>
      </c>
      <c r="AU937" s="148">
        <f>AJ937-AM937</f>
        <v>6986666</v>
      </c>
      <c r="AV937" s="175">
        <f>AM937-AP937</f>
        <v>0</v>
      </c>
      <c r="AW937" s="145">
        <f>AP937-AT937</f>
        <v>0</v>
      </c>
      <c r="AX937" s="149">
        <f>AP937/AJ937</f>
        <v>0</v>
      </c>
    </row>
    <row r="938" spans="1:50" x14ac:dyDescent="0.2">
      <c r="AA938" s="16"/>
      <c r="AB938" s="17"/>
      <c r="AC938" s="17"/>
      <c r="AD938" s="18"/>
      <c r="AE938" s="18"/>
      <c r="AF938" s="18"/>
      <c r="AG938" s="18"/>
      <c r="AH938" s="18"/>
      <c r="AI938" s="18"/>
      <c r="AJ938" s="18"/>
      <c r="AK938" s="34"/>
      <c r="AL938" s="34"/>
      <c r="AM938" s="18"/>
      <c r="AN938" s="18"/>
      <c r="AO938" s="18"/>
      <c r="AP938" s="18"/>
      <c r="AQ938" s="34"/>
      <c r="AR938" s="34"/>
      <c r="AS938" s="34"/>
      <c r="AT938" s="40"/>
      <c r="AU938" s="18"/>
      <c r="AV938" s="18"/>
      <c r="AW938" s="18"/>
      <c r="AX938" s="18"/>
    </row>
    <row r="939" spans="1:50" ht="38.25" x14ac:dyDescent="0.2">
      <c r="AA939" s="16"/>
      <c r="AB939" s="29" t="s">
        <v>613</v>
      </c>
      <c r="AC939" s="17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30"/>
      <c r="AU939" s="18"/>
      <c r="AV939" s="18"/>
      <c r="AW939" s="18"/>
      <c r="AX939" s="18"/>
    </row>
    <row r="940" spans="1:50" x14ac:dyDescent="0.2">
      <c r="AA940" s="16"/>
      <c r="AB940" s="29" t="s">
        <v>614</v>
      </c>
      <c r="AC940" s="17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30"/>
      <c r="AU940" s="18"/>
      <c r="AV940" s="18"/>
      <c r="AW940" s="18"/>
      <c r="AX940" s="18"/>
    </row>
    <row r="941" spans="1:50" x14ac:dyDescent="0.2">
      <c r="AA941" s="16"/>
      <c r="AB941" s="29" t="s">
        <v>286</v>
      </c>
      <c r="AC941" s="17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30"/>
      <c r="AU941" s="18"/>
      <c r="AV941" s="18"/>
      <c r="AW941" s="18"/>
      <c r="AX941" s="18"/>
    </row>
    <row r="942" spans="1:50" x14ac:dyDescent="0.2">
      <c r="AA942" s="16"/>
      <c r="AB942" s="29" t="s">
        <v>574</v>
      </c>
      <c r="AC942" s="17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30"/>
      <c r="AU942" s="18"/>
      <c r="AV942" s="18"/>
      <c r="AW942" s="18"/>
      <c r="AX942" s="18"/>
    </row>
    <row r="943" spans="1:50" x14ac:dyDescent="0.2">
      <c r="AA943" s="16"/>
      <c r="AB943" s="29" t="s">
        <v>575</v>
      </c>
      <c r="AC943" s="17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30"/>
      <c r="AU943" s="18"/>
      <c r="AV943" s="18"/>
      <c r="AW943" s="18"/>
      <c r="AX943" s="18"/>
    </row>
    <row r="944" spans="1:50" x14ac:dyDescent="0.2">
      <c r="AA944" s="16"/>
      <c r="AB944" s="29" t="s">
        <v>576</v>
      </c>
      <c r="AC944" s="17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30"/>
      <c r="AU944" s="18"/>
      <c r="AV944" s="18"/>
      <c r="AW944" s="18"/>
      <c r="AX944" s="18"/>
    </row>
    <row r="945" spans="1:50" x14ac:dyDescent="0.2">
      <c r="AA945" s="16"/>
      <c r="AB945" s="29" t="s">
        <v>615</v>
      </c>
      <c r="AC945" s="17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30"/>
      <c r="AU945" s="18"/>
      <c r="AV945" s="18"/>
      <c r="AW945" s="18"/>
      <c r="AX945" s="18"/>
    </row>
    <row r="946" spans="1:50" ht="25.5" x14ac:dyDescent="0.2">
      <c r="AA946" s="16"/>
      <c r="AB946" s="29" t="s">
        <v>579</v>
      </c>
      <c r="AC946" s="17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30"/>
      <c r="AU946" s="18"/>
      <c r="AV946" s="18"/>
      <c r="AW946" s="18"/>
      <c r="AX946" s="18"/>
    </row>
    <row r="947" spans="1:50" ht="25.5" x14ac:dyDescent="0.2">
      <c r="AA947" s="41" t="s">
        <v>1229</v>
      </c>
      <c r="AB947" s="38" t="s">
        <v>1228</v>
      </c>
      <c r="AC947" s="17"/>
      <c r="AD947" s="34">
        <v>0</v>
      </c>
      <c r="AE947" s="34">
        <v>0</v>
      </c>
      <c r="AF947" s="34">
        <v>0</v>
      </c>
      <c r="AG947" s="18">
        <f>283500000+31000000+279000000</f>
        <v>593500000</v>
      </c>
      <c r="AH947" s="34">
        <v>0</v>
      </c>
      <c r="AI947" s="43">
        <f>AE947-AF947+AG947-AH947</f>
        <v>593500000</v>
      </c>
      <c r="AJ947" s="142">
        <f>AD947+AI947</f>
        <v>593500000</v>
      </c>
      <c r="AK947" s="34">
        <v>0</v>
      </c>
      <c r="AL947" s="43">
        <f>AM947-OCTUBRE!AM936</f>
        <v>88577116</v>
      </c>
      <c r="AM947" s="18">
        <v>519034829.27999997</v>
      </c>
      <c r="AN947" s="34">
        <v>0</v>
      </c>
      <c r="AO947" s="18">
        <v>88577116</v>
      </c>
      <c r="AP947" s="18">
        <v>519034829.27999997</v>
      </c>
      <c r="AQ947" s="34">
        <v>0</v>
      </c>
      <c r="AR947" s="34">
        <v>0</v>
      </c>
      <c r="AS947" s="34">
        <v>0</v>
      </c>
      <c r="AT947" s="135">
        <f t="shared" ref="AT947" si="444">AQ947+AS947</f>
        <v>0</v>
      </c>
      <c r="AU947" s="110">
        <f>AJ947-AM947</f>
        <v>74465170.720000029</v>
      </c>
      <c r="AV947" s="34">
        <f>AM947-AP947</f>
        <v>0</v>
      </c>
      <c r="AW947" s="18">
        <f>AP947-AT947</f>
        <v>519034829.27999997</v>
      </c>
      <c r="AX947" s="123">
        <f>AP947/AJ947</f>
        <v>0.87453214705981464</v>
      </c>
    </row>
    <row r="948" spans="1:50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73" t="s">
        <v>288</v>
      </c>
      <c r="AB948" s="74" t="s">
        <v>643</v>
      </c>
      <c r="AC948" s="43"/>
      <c r="AD948" s="43"/>
      <c r="AE948" s="44"/>
      <c r="AF948" s="44"/>
      <c r="AG948" s="44"/>
      <c r="AH948" s="44"/>
      <c r="AI948" s="44"/>
      <c r="AJ948" s="43"/>
      <c r="AK948" s="44"/>
      <c r="AL948" s="44"/>
      <c r="AM948" s="43"/>
      <c r="AN948" s="43"/>
      <c r="AO948" s="44"/>
      <c r="AP948" s="43"/>
      <c r="AQ948" s="44"/>
      <c r="AR948" s="44"/>
      <c r="AS948" s="44"/>
      <c r="AT948" s="40"/>
      <c r="AU948" s="18"/>
      <c r="AV948" s="34"/>
      <c r="AW948" s="18"/>
      <c r="AX948" s="123"/>
    </row>
    <row r="949" spans="1:50" ht="25.5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1" t="s">
        <v>1332</v>
      </c>
      <c r="AB949" s="42" t="s">
        <v>1243</v>
      </c>
      <c r="AC949" s="43"/>
      <c r="AD949" s="43">
        <v>0</v>
      </c>
      <c r="AE949" s="44">
        <v>0</v>
      </c>
      <c r="AF949" s="44">
        <v>0</v>
      </c>
      <c r="AG949" s="43">
        <f>440517900+277638500</f>
        <v>718156400</v>
      </c>
      <c r="AH949" s="44">
        <v>0</v>
      </c>
      <c r="AI949" s="43">
        <f>AE948-AF948+AG949-AH948</f>
        <v>718156400</v>
      </c>
      <c r="AJ949" s="43">
        <f>AD948+AI949</f>
        <v>718156400</v>
      </c>
      <c r="AK949" s="44">
        <v>0</v>
      </c>
      <c r="AL949" s="18">
        <f>AM949-SEPTIEMBRE!AM915</f>
        <v>0</v>
      </c>
      <c r="AM949" s="44">
        <v>0</v>
      </c>
      <c r="AN949" s="44">
        <v>0</v>
      </c>
      <c r="AO949" s="44">
        <v>0</v>
      </c>
      <c r="AP949" s="44">
        <v>0</v>
      </c>
      <c r="AQ949" s="44">
        <v>0</v>
      </c>
      <c r="AR949" s="44">
        <v>0</v>
      </c>
      <c r="AS949" s="44">
        <v>0</v>
      </c>
      <c r="AT949" s="40">
        <f>AQ949+AS949</f>
        <v>0</v>
      </c>
      <c r="AU949" s="18">
        <f>AJ949-AM949</f>
        <v>718156400</v>
      </c>
      <c r="AV949" s="34">
        <f>AM949-AP949</f>
        <v>0</v>
      </c>
      <c r="AW949" s="18">
        <f>AP949-AT949</f>
        <v>0</v>
      </c>
      <c r="AX949" s="123">
        <f>AP949/AJ949</f>
        <v>0</v>
      </c>
    </row>
    <row r="950" spans="1:50" ht="25.5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73" t="s">
        <v>288</v>
      </c>
      <c r="AB950" s="74" t="s">
        <v>1241</v>
      </c>
      <c r="AC950" s="43"/>
      <c r="AD950" s="43"/>
      <c r="AE950" s="44"/>
      <c r="AF950" s="44"/>
      <c r="AG950" s="44"/>
      <c r="AH950" s="44"/>
      <c r="AI950" s="44"/>
      <c r="AJ950" s="43"/>
      <c r="AK950" s="44"/>
      <c r="AL950" s="44"/>
      <c r="AM950" s="43"/>
      <c r="AN950" s="43"/>
      <c r="AO950" s="44"/>
      <c r="AP950" s="44"/>
      <c r="AQ950" s="44"/>
      <c r="AR950" s="44"/>
      <c r="AS950" s="44"/>
      <c r="AT950" s="40"/>
      <c r="AU950" s="18"/>
      <c r="AV950" s="34"/>
      <c r="AW950" s="18"/>
      <c r="AX950" s="123"/>
    </row>
    <row r="951" spans="1:50" ht="25.5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1" t="s">
        <v>1242</v>
      </c>
      <c r="AB951" s="42" t="s">
        <v>1243</v>
      </c>
      <c r="AC951" s="43"/>
      <c r="AD951" s="44">
        <v>0</v>
      </c>
      <c r="AE951" s="44">
        <v>0</v>
      </c>
      <c r="AF951" s="44">
        <v>0</v>
      </c>
      <c r="AG951" s="43">
        <f>2905817258+1260816850</f>
        <v>4166634108</v>
      </c>
      <c r="AH951" s="44">
        <v>0</v>
      </c>
      <c r="AI951" s="43">
        <f>AE950-AF950+AG951-AH950</f>
        <v>4166634108</v>
      </c>
      <c r="AJ951" s="43">
        <f>AD950+AI951</f>
        <v>4166634108</v>
      </c>
      <c r="AK951" s="44">
        <v>0</v>
      </c>
      <c r="AL951" s="43">
        <f>AM951-OCTUBRE!AM940</f>
        <v>598497598</v>
      </c>
      <c r="AM951" s="43">
        <v>2764513280</v>
      </c>
      <c r="AN951" s="44">
        <v>0</v>
      </c>
      <c r="AO951" s="43">
        <v>598497598</v>
      </c>
      <c r="AP951" s="43">
        <v>2764513280</v>
      </c>
      <c r="AQ951" s="44">
        <v>0</v>
      </c>
      <c r="AR951" s="44">
        <v>0</v>
      </c>
      <c r="AS951" s="44">
        <v>0</v>
      </c>
      <c r="AT951" s="40">
        <f>AQ951+AS951</f>
        <v>0</v>
      </c>
      <c r="AU951" s="18">
        <f>AJ951-AM951</f>
        <v>1402120828</v>
      </c>
      <c r="AV951" s="34">
        <f>AM951-AP951</f>
        <v>0</v>
      </c>
      <c r="AW951" s="18">
        <f>AP951-AT951</f>
        <v>2764513280</v>
      </c>
      <c r="AX951" s="123">
        <f>AP951/AJ951</f>
        <v>0.66348837175121589</v>
      </c>
    </row>
    <row r="952" spans="1:50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16" t="s">
        <v>1255</v>
      </c>
      <c r="AB952" s="42" t="s">
        <v>233</v>
      </c>
      <c r="AC952" s="43"/>
      <c r="AD952" s="44">
        <v>0</v>
      </c>
      <c r="AE952" s="44">
        <v>0</v>
      </c>
      <c r="AF952" s="44">
        <v>0</v>
      </c>
      <c r="AG952" s="43">
        <v>134254307</v>
      </c>
      <c r="AH952" s="44"/>
      <c r="AI952" s="43">
        <f>AE951-AF951+AG952-AH951</f>
        <v>134254307</v>
      </c>
      <c r="AJ952" s="43">
        <f>AD951+AI952</f>
        <v>134254307</v>
      </c>
      <c r="AK952" s="44">
        <v>0</v>
      </c>
      <c r="AL952" s="18">
        <f>AM952-SEPTIEMBRE!AM918</f>
        <v>0</v>
      </c>
      <c r="AM952" s="43">
        <v>130495581</v>
      </c>
      <c r="AN952" s="44">
        <v>0</v>
      </c>
      <c r="AO952" s="43">
        <v>0</v>
      </c>
      <c r="AP952" s="43">
        <v>130495581</v>
      </c>
      <c r="AQ952" s="44">
        <v>0</v>
      </c>
      <c r="AR952" s="44">
        <v>0</v>
      </c>
      <c r="AS952" s="44">
        <v>0</v>
      </c>
      <c r="AT952" s="40">
        <f>AQ952+AS952</f>
        <v>0</v>
      </c>
      <c r="AU952" s="18">
        <f>AJ952-AM952</f>
        <v>3758726</v>
      </c>
      <c r="AV952" s="34">
        <f>AM952-AP952</f>
        <v>0</v>
      </c>
      <c r="AW952" s="18">
        <f>AP952-AT952</f>
        <v>130495581</v>
      </c>
      <c r="AX952" s="123">
        <f>AP952/AJ952</f>
        <v>0.97200293916827563</v>
      </c>
    </row>
    <row r="953" spans="1:50" ht="38.25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73" t="s">
        <v>1249</v>
      </c>
      <c r="AB953" s="74" t="s">
        <v>1250</v>
      </c>
      <c r="AC953" s="43"/>
      <c r="AD953" s="44"/>
      <c r="AE953" s="44"/>
      <c r="AF953" s="44"/>
      <c r="AG953" s="43"/>
      <c r="AH953" s="44"/>
      <c r="AI953" s="43"/>
      <c r="AJ953" s="43"/>
      <c r="AK953" s="44"/>
      <c r="AL953" s="44"/>
      <c r="AM953" s="44"/>
      <c r="AN953" s="44"/>
      <c r="AO953" s="44"/>
      <c r="AP953" s="44"/>
      <c r="AQ953" s="44"/>
      <c r="AR953" s="44"/>
      <c r="AS953" s="44"/>
      <c r="AT953" s="40"/>
      <c r="AU953" s="18"/>
      <c r="AV953" s="34"/>
      <c r="AW953" s="34"/>
      <c r="AX953" s="123"/>
    </row>
    <row r="954" spans="1:50" ht="25.5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1" t="s">
        <v>1251</v>
      </c>
      <c r="AB954" s="42" t="s">
        <v>1243</v>
      </c>
      <c r="AC954" s="43"/>
      <c r="AD954" s="44">
        <v>0</v>
      </c>
      <c r="AE954" s="44">
        <v>0</v>
      </c>
      <c r="AF954" s="44">
        <v>0</v>
      </c>
      <c r="AG954" s="43">
        <v>65000000</v>
      </c>
      <c r="AH954" s="44">
        <v>0</v>
      </c>
      <c r="AI954" s="43">
        <f>AE953-AF953+AG954-AH953</f>
        <v>65000000</v>
      </c>
      <c r="AJ954" s="43">
        <f>AD953+AI954</f>
        <v>65000000</v>
      </c>
      <c r="AK954" s="44">
        <v>0</v>
      </c>
      <c r="AL954" s="18">
        <f>AM954-SEPTIEMBRE!AM920</f>
        <v>0</v>
      </c>
      <c r="AM954" s="43">
        <v>64982607</v>
      </c>
      <c r="AN954" s="44">
        <v>0</v>
      </c>
      <c r="AO954" s="43">
        <v>0</v>
      </c>
      <c r="AP954" s="43">
        <v>64982607</v>
      </c>
      <c r="AQ954" s="44">
        <v>0</v>
      </c>
      <c r="AR954" s="44">
        <v>0</v>
      </c>
      <c r="AS954" s="44">
        <v>0</v>
      </c>
      <c r="AT954" s="40">
        <f>AQ954+AS954</f>
        <v>0</v>
      </c>
      <c r="AU954" s="18">
        <f>AJ954-AM954</f>
        <v>17393</v>
      </c>
      <c r="AV954" s="18">
        <f>AM954-AP954</f>
        <v>0</v>
      </c>
      <c r="AW954" s="18">
        <f>AP954-AT954</f>
        <v>64982607</v>
      </c>
      <c r="AX954" s="123">
        <f>AP954/AJ954</f>
        <v>0.99973241538461544</v>
      </c>
    </row>
    <row r="955" spans="1:50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73" t="s">
        <v>288</v>
      </c>
      <c r="AB955" s="74" t="s">
        <v>1244</v>
      </c>
      <c r="AC955" s="43"/>
      <c r="AD955" s="44"/>
      <c r="AE955" s="44"/>
      <c r="AF955" s="44"/>
      <c r="AG955" s="44"/>
      <c r="AH955" s="44"/>
      <c r="AI955" s="44"/>
      <c r="AJ955" s="43"/>
      <c r="AK955" s="44"/>
      <c r="AL955" s="44"/>
      <c r="AM955" s="43"/>
      <c r="AN955" s="43"/>
      <c r="AO955" s="44"/>
      <c r="AP955" s="44"/>
      <c r="AQ955" s="44"/>
      <c r="AR955" s="44"/>
      <c r="AS955" s="44"/>
      <c r="AT955" s="40"/>
      <c r="AU955" s="18"/>
      <c r="AV955" s="34"/>
      <c r="AW955" s="18"/>
      <c r="AX955" s="123"/>
    </row>
    <row r="956" spans="1:50" ht="25.5" x14ac:dyDescent="0.2">
      <c r="AA956" s="41" t="s">
        <v>1245</v>
      </c>
      <c r="AB956" s="42" t="s">
        <v>1243</v>
      </c>
      <c r="AC956" s="17"/>
      <c r="AD956" s="34">
        <v>0</v>
      </c>
      <c r="AE956" s="34">
        <v>0</v>
      </c>
      <c r="AF956" s="34">
        <v>0</v>
      </c>
      <c r="AG956" s="18">
        <f>350000000</f>
        <v>350000000</v>
      </c>
      <c r="AH956" s="34">
        <v>0</v>
      </c>
      <c r="AI956" s="43">
        <f>AE955-AF955+AG956-AH955</f>
        <v>350000000</v>
      </c>
      <c r="AJ956" s="43">
        <f>AD955+AI956</f>
        <v>350000000</v>
      </c>
      <c r="AK956" s="18">
        <v>0</v>
      </c>
      <c r="AL956" s="43">
        <f>AM956-OCTUBRE!AM945</f>
        <v>104541538.45999998</v>
      </c>
      <c r="AM956" s="18">
        <v>316891538.45999998</v>
      </c>
      <c r="AN956" s="18">
        <v>0</v>
      </c>
      <c r="AO956" s="18">
        <v>104541538.45999999</v>
      </c>
      <c r="AP956" s="18">
        <v>316891538.45999998</v>
      </c>
      <c r="AQ956" s="34">
        <v>0</v>
      </c>
      <c r="AR956" s="34">
        <v>0</v>
      </c>
      <c r="AS956" s="34">
        <v>0</v>
      </c>
      <c r="AT956" s="40">
        <f>AQ956+AS956</f>
        <v>0</v>
      </c>
      <c r="AU956" s="18">
        <f>AJ956-AM956</f>
        <v>33108461.540000021</v>
      </c>
      <c r="AV956" s="34">
        <f>AM956-AP956</f>
        <v>0</v>
      </c>
      <c r="AW956" s="18">
        <f>AP956-AT956</f>
        <v>316891538.45999998</v>
      </c>
      <c r="AX956" s="123">
        <f>AP956/AJ956</f>
        <v>0.90540439559999997</v>
      </c>
    </row>
    <row r="957" spans="1:50" ht="25.5" x14ac:dyDescent="0.2">
      <c r="AA957" s="73" t="s">
        <v>288</v>
      </c>
      <c r="AB957" s="74" t="s">
        <v>1246</v>
      </c>
      <c r="AC957" s="17"/>
      <c r="AD957" s="34"/>
      <c r="AE957" s="34"/>
      <c r="AF957" s="34"/>
      <c r="AG957" s="18"/>
      <c r="AH957" s="34"/>
      <c r="AI957" s="43"/>
      <c r="AJ957" s="43"/>
      <c r="AK957" s="34"/>
      <c r="AL957" s="34"/>
      <c r="AM957" s="34"/>
      <c r="AN957" s="34"/>
      <c r="AO957" s="34"/>
      <c r="AP957" s="34"/>
      <c r="AQ957" s="34"/>
      <c r="AR957" s="34"/>
      <c r="AS957" s="34"/>
      <c r="AT957" s="30"/>
      <c r="AU957" s="18"/>
      <c r="AV957" s="34"/>
      <c r="AW957" s="34"/>
      <c r="AX957" s="18"/>
    </row>
    <row r="958" spans="1:50" ht="25.5" x14ac:dyDescent="0.2">
      <c r="AA958" s="41" t="s">
        <v>1247</v>
      </c>
      <c r="AB958" s="42" t="s">
        <v>1243</v>
      </c>
      <c r="AC958" s="17"/>
      <c r="AD958" s="34">
        <v>0</v>
      </c>
      <c r="AE958" s="34">
        <v>0</v>
      </c>
      <c r="AF958" s="34">
        <v>0</v>
      </c>
      <c r="AG958" s="18">
        <v>1067000000</v>
      </c>
      <c r="AH958" s="34">
        <v>0</v>
      </c>
      <c r="AI958" s="43">
        <f>AE957-AF957+AG958-AH957</f>
        <v>1067000000</v>
      </c>
      <c r="AJ958" s="43">
        <f>AD957+AI958</f>
        <v>1067000000</v>
      </c>
      <c r="AK958" s="34">
        <v>0</v>
      </c>
      <c r="AL958" s="34">
        <f>AM958-SEPTIEMBRE!AM924</f>
        <v>0</v>
      </c>
      <c r="AM958" s="18">
        <v>794235900</v>
      </c>
      <c r="AN958" s="34">
        <v>0</v>
      </c>
      <c r="AO958" s="18">
        <v>0</v>
      </c>
      <c r="AP958" s="18">
        <v>794235900</v>
      </c>
      <c r="AQ958" s="34">
        <v>0</v>
      </c>
      <c r="AR958" s="34">
        <v>0</v>
      </c>
      <c r="AS958" s="34">
        <v>0</v>
      </c>
      <c r="AT958" s="40">
        <f>AQ958+AS958</f>
        <v>0</v>
      </c>
      <c r="AU958" s="18">
        <f>AJ958-AM958</f>
        <v>272764100</v>
      </c>
      <c r="AV958" s="34">
        <f>AM958-AP958</f>
        <v>0</v>
      </c>
      <c r="AW958" s="18">
        <f>AP958-AT958</f>
        <v>794235900</v>
      </c>
      <c r="AX958" s="123">
        <f>AP958/AJ958</f>
        <v>0.74436354264292404</v>
      </c>
    </row>
    <row r="959" spans="1:50" x14ac:dyDescent="0.2">
      <c r="AA959" s="73" t="s">
        <v>288</v>
      </c>
      <c r="AB959" s="74" t="s">
        <v>635</v>
      </c>
      <c r="AC959" s="17"/>
      <c r="AD959" s="34"/>
      <c r="AE959" s="34"/>
      <c r="AF959" s="34"/>
      <c r="AG959" s="18"/>
      <c r="AH959" s="34"/>
      <c r="AI959" s="43"/>
      <c r="AJ959" s="43"/>
      <c r="AK959" s="34"/>
      <c r="AL959" s="34"/>
      <c r="AM959" s="34"/>
      <c r="AN959" s="34"/>
      <c r="AO959" s="34"/>
      <c r="AP959" s="34"/>
      <c r="AQ959" s="34"/>
      <c r="AR959" s="34"/>
      <c r="AS959" s="34"/>
      <c r="AT959" s="30"/>
      <c r="AU959" s="18"/>
      <c r="AV959" s="34"/>
      <c r="AW959" s="34"/>
      <c r="AX959" s="18"/>
    </row>
    <row r="960" spans="1:50" ht="25.5" x14ac:dyDescent="0.2">
      <c r="AA960" s="134" t="s">
        <v>1252</v>
      </c>
      <c r="AB960" s="42" t="s">
        <v>1243</v>
      </c>
      <c r="AC960" s="17"/>
      <c r="AD960" s="34">
        <v>0</v>
      </c>
      <c r="AE960" s="34">
        <v>0</v>
      </c>
      <c r="AF960" s="34">
        <v>0</v>
      </c>
      <c r="AG960" s="18">
        <v>148000000</v>
      </c>
      <c r="AH960" s="34"/>
      <c r="AI960" s="43">
        <f>AE959-AF959+AG960-AH959</f>
        <v>148000000</v>
      </c>
      <c r="AJ960" s="43">
        <f>AD959+AI960</f>
        <v>148000000</v>
      </c>
      <c r="AK960" s="34">
        <v>0</v>
      </c>
      <c r="AL960" s="34">
        <f>AM960-SEPTIEMBRE!AM926</f>
        <v>0</v>
      </c>
      <c r="AM960" s="18">
        <v>102623815</v>
      </c>
      <c r="AN960" s="18">
        <v>0</v>
      </c>
      <c r="AO960" s="18">
        <v>0</v>
      </c>
      <c r="AP960" s="18">
        <v>102623815</v>
      </c>
      <c r="AQ960" s="34">
        <v>0</v>
      </c>
      <c r="AR960" s="34">
        <v>0</v>
      </c>
      <c r="AS960" s="34">
        <v>0</v>
      </c>
      <c r="AT960" s="40">
        <f>AQ960+AS960</f>
        <v>0</v>
      </c>
      <c r="AU960" s="18">
        <f>AJ960-AM960</f>
        <v>45376185</v>
      </c>
      <c r="AV960" s="34">
        <f>AM960-AP960</f>
        <v>0</v>
      </c>
      <c r="AW960" s="18">
        <f>AP960-AT960</f>
        <v>102623815</v>
      </c>
      <c r="AX960" s="123">
        <f>AP960/AJ960</f>
        <v>0.69340415540540545</v>
      </c>
    </row>
    <row r="961" spans="1:50" x14ac:dyDescent="0.2">
      <c r="AA961" s="41"/>
      <c r="AB961" s="38"/>
      <c r="AC961" s="17"/>
      <c r="AD961" s="34"/>
      <c r="AE961" s="34"/>
      <c r="AF961" s="34"/>
      <c r="AG961" s="18"/>
      <c r="AH961" s="34"/>
      <c r="AI961" s="43"/>
      <c r="AJ961" s="142"/>
      <c r="AK961" s="34"/>
      <c r="AL961" s="34"/>
      <c r="AM961" s="18"/>
      <c r="AN961" s="34"/>
      <c r="AO961" s="34"/>
      <c r="AP961" s="18"/>
      <c r="AQ961" s="34"/>
      <c r="AR961" s="34"/>
      <c r="AS961" s="34"/>
      <c r="AT961" s="135"/>
      <c r="AU961" s="110"/>
      <c r="AV961" s="133"/>
      <c r="AW961" s="34"/>
      <c r="AX961" s="123"/>
    </row>
    <row r="962" spans="1:50" ht="25.5" x14ac:dyDescent="0.2">
      <c r="AA962" s="28" t="s">
        <v>288</v>
      </c>
      <c r="AB962" s="29" t="s">
        <v>616</v>
      </c>
      <c r="AC962" s="17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34"/>
      <c r="AO962" s="34"/>
      <c r="AP962" s="18"/>
      <c r="AQ962" s="18"/>
      <c r="AR962" s="18"/>
      <c r="AS962" s="18"/>
      <c r="AT962" s="30"/>
      <c r="AU962" s="18"/>
      <c r="AV962" s="34"/>
      <c r="AW962" s="18"/>
      <c r="AX962" s="18"/>
    </row>
    <row r="963" spans="1:50" x14ac:dyDescent="0.2">
      <c r="A963" s="4" t="s">
        <v>55</v>
      </c>
      <c r="B963" s="4" t="s">
        <v>56</v>
      </c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1" t="s">
        <v>617</v>
      </c>
      <c r="AB963" s="42" t="s">
        <v>618</v>
      </c>
      <c r="AC963" s="43" t="s">
        <v>619</v>
      </c>
      <c r="AD963" s="43">
        <v>100000000</v>
      </c>
      <c r="AE963" s="44">
        <v>0</v>
      </c>
      <c r="AF963" s="44">
        <v>0</v>
      </c>
      <c r="AG963" s="43">
        <f>770000000+704534301</f>
        <v>1474534301</v>
      </c>
      <c r="AH963" s="137">
        <v>0</v>
      </c>
      <c r="AI963" s="43">
        <f>AE963-AF963+AG963-AH963</f>
        <v>1474534301</v>
      </c>
      <c r="AJ963" s="43">
        <f>AD963+AI963</f>
        <v>1574534301</v>
      </c>
      <c r="AK963" s="44">
        <v>0</v>
      </c>
      <c r="AL963" s="115">
        <v>0</v>
      </c>
      <c r="AM963" s="114">
        <v>1565609440</v>
      </c>
      <c r="AN963" s="44">
        <v>0</v>
      </c>
      <c r="AO963" s="44">
        <v>0</v>
      </c>
      <c r="AP963" s="43">
        <v>1565609440</v>
      </c>
      <c r="AQ963" s="44">
        <v>0</v>
      </c>
      <c r="AR963" s="44">
        <v>430777200</v>
      </c>
      <c r="AS963" s="43">
        <v>447408640</v>
      </c>
      <c r="AT963" s="39">
        <f t="shared" ref="AT963:AT965" si="445">AQ963+AS963</f>
        <v>447408640</v>
      </c>
      <c r="AU963" s="18">
        <f>AJ963-AM963</f>
        <v>8924861</v>
      </c>
      <c r="AV963" s="133">
        <f>AM963-AP963</f>
        <v>0</v>
      </c>
      <c r="AW963" s="18">
        <f>AP963-AT963</f>
        <v>1118200800</v>
      </c>
      <c r="AX963" s="123">
        <f>AP963/AJ963</f>
        <v>0.99433174558704007</v>
      </c>
    </row>
    <row r="964" spans="1:50" ht="24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1" t="s">
        <v>1419</v>
      </c>
      <c r="AB964" s="42" t="s">
        <v>1104</v>
      </c>
      <c r="AC964" s="43"/>
      <c r="AD964" s="43"/>
      <c r="AE964" s="44"/>
      <c r="AF964" s="44"/>
      <c r="AG964" s="43">
        <v>228836000</v>
      </c>
      <c r="AH964" s="43"/>
      <c r="AI964" s="43">
        <f>AE964-AF964+AG964-AH964</f>
        <v>228836000</v>
      </c>
      <c r="AJ964" s="43">
        <f>AD964+AI964</f>
        <v>228836000</v>
      </c>
      <c r="AK964" s="44">
        <v>0</v>
      </c>
      <c r="AL964" s="43">
        <f>AM964-OCTUBRE!AM953</f>
        <v>228836000</v>
      </c>
      <c r="AM964" s="43">
        <v>228836000</v>
      </c>
      <c r="AN964" s="44">
        <v>0</v>
      </c>
      <c r="AO964" s="44">
        <v>228836000</v>
      </c>
      <c r="AP964" s="44">
        <v>228836000</v>
      </c>
      <c r="AQ964" s="44">
        <v>0</v>
      </c>
      <c r="AR964" s="44">
        <v>0</v>
      </c>
      <c r="AS964" s="44">
        <v>0</v>
      </c>
      <c r="AT964" s="40">
        <f t="shared" si="445"/>
        <v>0</v>
      </c>
      <c r="AU964" s="34">
        <f>AJ964-AM964</f>
        <v>0</v>
      </c>
      <c r="AV964" s="133">
        <f>AM964-AP964</f>
        <v>0</v>
      </c>
      <c r="AW964" s="18">
        <f>AP964-AT964</f>
        <v>228836000</v>
      </c>
      <c r="AX964" s="123">
        <f>AP964/AJ964</f>
        <v>1</v>
      </c>
    </row>
    <row r="965" spans="1:50" ht="27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1" t="s">
        <v>1289</v>
      </c>
      <c r="AB965" s="42" t="s">
        <v>1290</v>
      </c>
      <c r="AC965" s="43"/>
      <c r="AD965" s="43">
        <v>0</v>
      </c>
      <c r="AE965" s="44">
        <v>0</v>
      </c>
      <c r="AF965" s="44">
        <v>0</v>
      </c>
      <c r="AG965" s="43">
        <v>424146000</v>
      </c>
      <c r="AH965" s="44">
        <v>0</v>
      </c>
      <c r="AI965" s="43">
        <f>AE965-AF965+AG965-AH965</f>
        <v>424146000</v>
      </c>
      <c r="AJ965" s="43">
        <f>AD965+AI965</f>
        <v>424146000</v>
      </c>
      <c r="AK965" s="44">
        <v>0</v>
      </c>
      <c r="AL965" s="43">
        <v>0</v>
      </c>
      <c r="AM965" s="43">
        <v>191280850</v>
      </c>
      <c r="AN965" s="44">
        <v>0</v>
      </c>
      <c r="AO965" s="44">
        <v>0</v>
      </c>
      <c r="AP965" s="44">
        <v>191280850</v>
      </c>
      <c r="AQ965" s="44">
        <v>0</v>
      </c>
      <c r="AR965" s="44">
        <v>0</v>
      </c>
      <c r="AS965" s="44">
        <v>0</v>
      </c>
      <c r="AT965" s="40">
        <f t="shared" si="445"/>
        <v>0</v>
      </c>
      <c r="AU965" s="18">
        <f>AJ965-AM965</f>
        <v>232865150</v>
      </c>
      <c r="AV965" s="18">
        <f>AM965-AP965</f>
        <v>0</v>
      </c>
      <c r="AW965" s="18">
        <f>AP965-AT965</f>
        <v>191280850</v>
      </c>
      <c r="AX965" s="123">
        <f>AP965/AJ965</f>
        <v>0.4509787903222004</v>
      </c>
    </row>
    <row r="966" spans="1:50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1"/>
      <c r="AB966" s="42"/>
      <c r="AC966" s="43"/>
      <c r="AD966" s="43"/>
      <c r="AE966" s="44"/>
      <c r="AF966" s="44"/>
      <c r="AG966" s="43"/>
      <c r="AH966" s="137"/>
      <c r="AI966" s="43"/>
      <c r="AJ966" s="43"/>
      <c r="AK966" s="44"/>
      <c r="AL966" s="115"/>
      <c r="AM966" s="114"/>
      <c r="AN966" s="44"/>
      <c r="AO966" s="44"/>
      <c r="AP966" s="43"/>
      <c r="AQ966" s="44"/>
      <c r="AR966" s="44"/>
      <c r="AS966" s="43"/>
      <c r="AT966" s="39"/>
      <c r="AU966" s="18"/>
      <c r="AV966" s="133"/>
      <c r="AW966" s="18"/>
      <c r="AX966" s="123"/>
    </row>
    <row r="967" spans="1:50" x14ac:dyDescent="0.2">
      <c r="AA967" s="16"/>
      <c r="AB967" s="17"/>
      <c r="AC967" s="17"/>
      <c r="AD967" s="18"/>
      <c r="AE967" s="34"/>
      <c r="AF967" s="34"/>
      <c r="AG967" s="34"/>
      <c r="AH967" s="34"/>
      <c r="AI967" s="34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30"/>
      <c r="AU967" s="18"/>
      <c r="AV967" s="18"/>
      <c r="AW967" s="18"/>
      <c r="AX967" s="18"/>
    </row>
    <row r="968" spans="1:50" x14ac:dyDescent="0.2">
      <c r="AA968" s="16"/>
      <c r="AB968" s="29" t="s">
        <v>620</v>
      </c>
      <c r="AC968" s="17"/>
      <c r="AD968" s="18"/>
      <c r="AE968" s="34"/>
      <c r="AF968" s="34"/>
      <c r="AG968" s="34"/>
      <c r="AH968" s="34"/>
      <c r="AI968" s="34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30"/>
      <c r="AU968" s="18"/>
      <c r="AV968" s="18"/>
      <c r="AW968" s="18"/>
      <c r="AX968" s="18"/>
    </row>
    <row r="969" spans="1:50" ht="25.5" x14ac:dyDescent="0.2">
      <c r="AA969" s="16"/>
      <c r="AB969" s="29" t="s">
        <v>621</v>
      </c>
      <c r="AC969" s="17"/>
      <c r="AD969" s="18"/>
      <c r="AE969" s="34"/>
      <c r="AF969" s="34"/>
      <c r="AG969" s="34"/>
      <c r="AH969" s="34"/>
      <c r="AI969" s="34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30"/>
      <c r="AU969" s="18"/>
      <c r="AV969" s="18"/>
      <c r="AW969" s="18"/>
      <c r="AX969" s="18"/>
    </row>
    <row r="970" spans="1:50" ht="25.5" x14ac:dyDescent="0.2">
      <c r="AA970" s="28" t="s">
        <v>288</v>
      </c>
      <c r="AB970" s="29" t="s">
        <v>616</v>
      </c>
      <c r="AC970" s="17"/>
      <c r="AD970" s="18"/>
      <c r="AE970" s="34"/>
      <c r="AF970" s="34"/>
      <c r="AG970" s="34"/>
      <c r="AH970" s="34"/>
      <c r="AI970" s="34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30"/>
      <c r="AU970" s="18"/>
      <c r="AV970" s="18"/>
      <c r="AW970" s="18"/>
      <c r="AX970" s="18"/>
    </row>
    <row r="971" spans="1:50" x14ac:dyDescent="0.2">
      <c r="A971" s="4" t="s">
        <v>55</v>
      </c>
      <c r="B971" s="4" t="s">
        <v>56</v>
      </c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1" t="s">
        <v>622</v>
      </c>
      <c r="AB971" s="42" t="s">
        <v>618</v>
      </c>
      <c r="AC971" s="43" t="s">
        <v>619</v>
      </c>
      <c r="AD971" s="43">
        <v>162000000</v>
      </c>
      <c r="AE971" s="44">
        <v>0</v>
      </c>
      <c r="AF971" s="44">
        <v>0</v>
      </c>
      <c r="AG971" s="43">
        <f>24729623+163270377</f>
        <v>188000000</v>
      </c>
      <c r="AH971" s="44">
        <v>0</v>
      </c>
      <c r="AI971" s="43">
        <f>AE971-AF971+AG971-AH971</f>
        <v>188000000</v>
      </c>
      <c r="AJ971" s="43">
        <f>AD971+AI971</f>
        <v>350000000</v>
      </c>
      <c r="AK971" s="44">
        <v>0</v>
      </c>
      <c r="AL971" s="44">
        <v>0</v>
      </c>
      <c r="AM971" s="43">
        <v>297576901</v>
      </c>
      <c r="AN971" s="43">
        <v>0</v>
      </c>
      <c r="AO971" s="43">
        <v>0</v>
      </c>
      <c r="AP971" s="43">
        <v>297576901</v>
      </c>
      <c r="AQ971" s="44">
        <v>0</v>
      </c>
      <c r="AR971" s="44">
        <v>0</v>
      </c>
      <c r="AS971" s="43">
        <v>297576901</v>
      </c>
      <c r="AT971" s="39">
        <f t="shared" ref="AT971" si="446">AQ971+AS971</f>
        <v>297576901</v>
      </c>
      <c r="AU971" s="18">
        <f>AJ971-AM971</f>
        <v>52423099</v>
      </c>
      <c r="AV971" s="133">
        <f>AM971-AP971</f>
        <v>0</v>
      </c>
      <c r="AW971" s="18">
        <f>AP971-AT971</f>
        <v>0</v>
      </c>
      <c r="AX971" s="123">
        <f>AP971/AJ971</f>
        <v>0.85021971714285716</v>
      </c>
    </row>
    <row r="972" spans="1:50" x14ac:dyDescent="0.2">
      <c r="AA972" s="16"/>
      <c r="AB972" s="17"/>
      <c r="AC972" s="17"/>
      <c r="AD972" s="18"/>
      <c r="AE972" s="34"/>
      <c r="AF972" s="34"/>
      <c r="AG972" s="34"/>
      <c r="AH972" s="34"/>
      <c r="AI972" s="34"/>
      <c r="AJ972" s="18"/>
      <c r="AK972" s="34"/>
      <c r="AL972" s="34"/>
      <c r="AM972" s="34"/>
      <c r="AN972" s="34"/>
      <c r="AO972" s="34"/>
      <c r="AP972" s="34"/>
      <c r="AQ972" s="34"/>
      <c r="AR972" s="34"/>
      <c r="AS972" s="34"/>
      <c r="AT972" s="31"/>
      <c r="AU972" s="18"/>
      <c r="AV972" s="18"/>
      <c r="AW972" s="18"/>
      <c r="AX972" s="18"/>
    </row>
    <row r="973" spans="1:50" x14ac:dyDescent="0.2">
      <c r="AA973" s="16"/>
      <c r="AB973" s="29" t="s">
        <v>623</v>
      </c>
      <c r="AC973" s="17"/>
      <c r="AD973" s="18"/>
      <c r="AE973" s="34"/>
      <c r="AF973" s="34"/>
      <c r="AG973" s="34"/>
      <c r="AH973" s="34"/>
      <c r="AI973" s="34"/>
      <c r="AJ973" s="18"/>
      <c r="AK973" s="34"/>
      <c r="AL973" s="34"/>
      <c r="AM973" s="34"/>
      <c r="AN973" s="34"/>
      <c r="AO973" s="34"/>
      <c r="AP973" s="34"/>
      <c r="AQ973" s="34"/>
      <c r="AR973" s="34"/>
      <c r="AS973" s="34"/>
      <c r="AT973" s="31"/>
      <c r="AU973" s="18"/>
      <c r="AV973" s="18"/>
      <c r="AW973" s="18"/>
      <c r="AX973" s="18"/>
    </row>
    <row r="974" spans="1:50" ht="25.5" x14ac:dyDescent="0.2">
      <c r="AA974" s="16"/>
      <c r="AB974" s="29" t="s">
        <v>624</v>
      </c>
      <c r="AC974" s="17"/>
      <c r="AD974" s="18"/>
      <c r="AE974" s="34"/>
      <c r="AF974" s="34"/>
      <c r="AG974" s="34"/>
      <c r="AH974" s="34"/>
      <c r="AI974" s="34"/>
      <c r="AJ974" s="18"/>
      <c r="AK974" s="34"/>
      <c r="AL974" s="34"/>
      <c r="AM974" s="34"/>
      <c r="AN974" s="34"/>
      <c r="AO974" s="34"/>
      <c r="AP974" s="34"/>
      <c r="AQ974" s="34"/>
      <c r="AR974" s="34"/>
      <c r="AS974" s="34"/>
      <c r="AT974" s="31"/>
      <c r="AU974" s="18"/>
      <c r="AV974" s="18"/>
      <c r="AW974" s="18"/>
      <c r="AX974" s="18"/>
    </row>
    <row r="975" spans="1:50" ht="25.5" x14ac:dyDescent="0.2">
      <c r="AA975" s="28" t="s">
        <v>288</v>
      </c>
      <c r="AB975" s="29" t="s">
        <v>616</v>
      </c>
      <c r="AC975" s="17"/>
      <c r="AD975" s="18"/>
      <c r="AE975" s="34"/>
      <c r="AF975" s="34"/>
      <c r="AG975" s="34"/>
      <c r="AH975" s="34"/>
      <c r="AI975" s="34"/>
      <c r="AJ975" s="18"/>
      <c r="AK975" s="34"/>
      <c r="AL975" s="34"/>
      <c r="AM975" s="34"/>
      <c r="AN975" s="34"/>
      <c r="AO975" s="34"/>
      <c r="AP975" s="34"/>
      <c r="AQ975" s="34"/>
      <c r="AR975" s="34"/>
      <c r="AS975" s="34"/>
      <c r="AT975" s="31"/>
      <c r="AU975" s="18"/>
      <c r="AV975" s="18"/>
      <c r="AW975" s="18"/>
      <c r="AX975" s="18"/>
    </row>
    <row r="976" spans="1:50" x14ac:dyDescent="0.2">
      <c r="A976" s="4" t="s">
        <v>55</v>
      </c>
      <c r="B976" s="4" t="s">
        <v>56</v>
      </c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1" t="s">
        <v>625</v>
      </c>
      <c r="AB976" s="42" t="s">
        <v>618</v>
      </c>
      <c r="AC976" s="43" t="s">
        <v>619</v>
      </c>
      <c r="AD976" s="43">
        <v>163270377</v>
      </c>
      <c r="AE976" s="44">
        <v>0</v>
      </c>
      <c r="AF976" s="44">
        <v>0</v>
      </c>
      <c r="AG976" s="44">
        <v>0</v>
      </c>
      <c r="AH976" s="142">
        <f>163270377</f>
        <v>163270377</v>
      </c>
      <c r="AI976" s="43">
        <f>AE976-AF976+AG976-AH976</f>
        <v>-163270377</v>
      </c>
      <c r="AJ976" s="44">
        <f>AD976+AI976</f>
        <v>0</v>
      </c>
      <c r="AK976" s="44">
        <v>0</v>
      </c>
      <c r="AL976" s="44">
        <v>0</v>
      </c>
      <c r="AM976" s="44">
        <v>0</v>
      </c>
      <c r="AN976" s="44">
        <v>0</v>
      </c>
      <c r="AO976" s="44">
        <v>0</v>
      </c>
      <c r="AP976" s="44">
        <v>0</v>
      </c>
      <c r="AQ976" s="44">
        <v>0</v>
      </c>
      <c r="AR976" s="44">
        <v>0</v>
      </c>
      <c r="AS976" s="44">
        <v>0</v>
      </c>
      <c r="AT976" s="40">
        <f t="shared" ref="AT976:AT977" si="447">AQ976+AS976</f>
        <v>0</v>
      </c>
      <c r="AU976" s="34">
        <f>AJ976-AM976</f>
        <v>0</v>
      </c>
      <c r="AV976" s="133">
        <f>AM976-AP976</f>
        <v>0</v>
      </c>
      <c r="AW976" s="34">
        <f>AP976-AT976</f>
        <v>0</v>
      </c>
      <c r="AX976" s="123">
        <v>0</v>
      </c>
    </row>
    <row r="977" spans="1:50" ht="25.5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1" t="s">
        <v>1426</v>
      </c>
      <c r="AB977" s="42" t="s">
        <v>1228</v>
      </c>
      <c r="AC977" s="43"/>
      <c r="AD977" s="44">
        <v>0</v>
      </c>
      <c r="AE977" s="44">
        <v>0</v>
      </c>
      <c r="AF977" s="44">
        <v>0</v>
      </c>
      <c r="AG977" s="43">
        <v>69400000</v>
      </c>
      <c r="AH977" s="142">
        <v>0</v>
      </c>
      <c r="AI977" s="43">
        <f>AE977-AF977+AG977-AH977</f>
        <v>69400000</v>
      </c>
      <c r="AJ977" s="43">
        <f>AD977+AI977</f>
        <v>69400000</v>
      </c>
      <c r="AK977" s="44">
        <v>0</v>
      </c>
      <c r="AL977" s="44">
        <v>0</v>
      </c>
      <c r="AM977" s="44">
        <v>0</v>
      </c>
      <c r="AN977" s="44">
        <v>0</v>
      </c>
      <c r="AO977" s="44">
        <v>0</v>
      </c>
      <c r="AP977" s="44">
        <v>0</v>
      </c>
      <c r="AQ977" s="44">
        <v>0</v>
      </c>
      <c r="AR977" s="44">
        <v>0</v>
      </c>
      <c r="AS977" s="44">
        <v>0</v>
      </c>
      <c r="AT977" s="40">
        <f t="shared" si="447"/>
        <v>0</v>
      </c>
      <c r="AU977" s="18">
        <f>AJ977-AM977</f>
        <v>69400000</v>
      </c>
      <c r="AV977" s="133">
        <f>AM977-AP977</f>
        <v>0</v>
      </c>
      <c r="AW977" s="34">
        <f>AP977-AT977</f>
        <v>0</v>
      </c>
      <c r="AX977" s="123">
        <v>0</v>
      </c>
    </row>
    <row r="978" spans="1:50" x14ac:dyDescent="0.2">
      <c r="AA978" s="16"/>
      <c r="AB978" s="17"/>
      <c r="AC978" s="17"/>
      <c r="AD978" s="18"/>
      <c r="AE978" s="18"/>
      <c r="AF978" s="18"/>
      <c r="AG978" s="18"/>
      <c r="AH978" s="18"/>
      <c r="AI978" s="18"/>
      <c r="AJ978" s="18"/>
      <c r="AK978" s="34"/>
      <c r="AL978" s="34"/>
      <c r="AM978" s="34"/>
      <c r="AN978" s="34"/>
      <c r="AO978" s="34"/>
      <c r="AP978" s="34"/>
      <c r="AQ978" s="18"/>
      <c r="AR978" s="18"/>
      <c r="AS978" s="18"/>
      <c r="AT978" s="30"/>
      <c r="AU978" s="18"/>
      <c r="AV978" s="18"/>
      <c r="AW978" s="18"/>
      <c r="AX978" s="18"/>
    </row>
    <row r="979" spans="1:50" ht="25.5" x14ac:dyDescent="0.2">
      <c r="AA979" s="16"/>
      <c r="AB979" s="29" t="s">
        <v>626</v>
      </c>
      <c r="AC979" s="17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30"/>
      <c r="AU979" s="18"/>
      <c r="AV979" s="18"/>
      <c r="AW979" s="18"/>
      <c r="AX979" s="18"/>
    </row>
    <row r="980" spans="1:50" ht="25.5" x14ac:dyDescent="0.2">
      <c r="AA980" s="16"/>
      <c r="AB980" s="29" t="s">
        <v>627</v>
      </c>
      <c r="AC980" s="17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30"/>
      <c r="AU980" s="18"/>
      <c r="AV980" s="18"/>
      <c r="AW980" s="18"/>
      <c r="AX980" s="18"/>
    </row>
    <row r="981" spans="1:50" x14ac:dyDescent="0.2">
      <c r="AA981" s="16"/>
      <c r="AB981" s="29" t="s">
        <v>628</v>
      </c>
      <c r="AC981" s="17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30"/>
      <c r="AU981" s="18"/>
      <c r="AV981" s="18"/>
      <c r="AW981" s="18"/>
      <c r="AX981" s="18"/>
    </row>
    <row r="982" spans="1:50" x14ac:dyDescent="0.2">
      <c r="AA982" s="16"/>
      <c r="AB982" s="29" t="s">
        <v>629</v>
      </c>
      <c r="AC982" s="17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30"/>
      <c r="AU982" s="18"/>
      <c r="AV982" s="18"/>
      <c r="AW982" s="18"/>
      <c r="AX982" s="18"/>
    </row>
    <row r="983" spans="1:50" ht="25.5" x14ac:dyDescent="0.2">
      <c r="AA983" s="28" t="s">
        <v>288</v>
      </c>
      <c r="AB983" s="29" t="s">
        <v>616</v>
      </c>
      <c r="AC983" s="17"/>
      <c r="AD983" s="18"/>
      <c r="AE983" s="34"/>
      <c r="AF983" s="34"/>
      <c r="AG983" s="34"/>
      <c r="AH983" s="34"/>
      <c r="AI983" s="34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30"/>
      <c r="AU983" s="18"/>
      <c r="AV983" s="18"/>
      <c r="AW983" s="18"/>
      <c r="AX983" s="18"/>
    </row>
    <row r="984" spans="1:50" x14ac:dyDescent="0.2">
      <c r="A984" s="140" t="s">
        <v>55</v>
      </c>
      <c r="B984" s="140" t="s">
        <v>56</v>
      </c>
      <c r="C984" s="140"/>
      <c r="D984" s="140"/>
      <c r="E984" s="140"/>
      <c r="F984" s="140"/>
      <c r="G984" s="140"/>
      <c r="H984" s="140"/>
      <c r="I984" s="140"/>
      <c r="J984" s="140"/>
      <c r="K984" s="140"/>
      <c r="L984" s="140"/>
      <c r="M984" s="140"/>
      <c r="N984" s="140"/>
      <c r="O984" s="140"/>
      <c r="P984" s="140"/>
      <c r="Q984" s="140"/>
      <c r="R984" s="140"/>
      <c r="S984" s="140"/>
      <c r="T984" s="140"/>
      <c r="U984" s="140"/>
      <c r="V984" s="140"/>
      <c r="W984" s="140"/>
      <c r="X984" s="140"/>
      <c r="Y984" s="140"/>
      <c r="Z984" s="140"/>
      <c r="AA984" s="134" t="s">
        <v>630</v>
      </c>
      <c r="AB984" s="69" t="s">
        <v>618</v>
      </c>
      <c r="AC984" s="142" t="s">
        <v>619</v>
      </c>
      <c r="AD984" s="142">
        <v>100000000</v>
      </c>
      <c r="AE984" s="143">
        <v>0</v>
      </c>
      <c r="AF984" s="143">
        <v>0</v>
      </c>
      <c r="AG984" s="142">
        <f>222721043+10000000</f>
        <v>232721043</v>
      </c>
      <c r="AH984" s="142">
        <v>74931884</v>
      </c>
      <c r="AI984" s="142">
        <f>AE984-AF984+AG984-AH984</f>
        <v>157789159</v>
      </c>
      <c r="AJ984" s="142">
        <f>AD984+AI984</f>
        <v>257789159</v>
      </c>
      <c r="AK984" s="143">
        <v>0</v>
      </c>
      <c r="AL984" s="43">
        <f>AM984-OCTUBRE!AM973</f>
        <v>0</v>
      </c>
      <c r="AM984" s="142">
        <v>17033100</v>
      </c>
      <c r="AN984" s="143">
        <v>0</v>
      </c>
      <c r="AO984" s="143">
        <v>0</v>
      </c>
      <c r="AP984" s="142">
        <v>17033100</v>
      </c>
      <c r="AQ984" s="143">
        <v>0</v>
      </c>
      <c r="AR984" s="142">
        <v>0</v>
      </c>
      <c r="AS984" s="142">
        <v>9627100</v>
      </c>
      <c r="AT984" s="267">
        <f t="shared" ref="AT984:AT985" si="448">AQ984+AS984</f>
        <v>9627100</v>
      </c>
      <c r="AU984" s="147">
        <f>AJ984-AM984</f>
        <v>240756059</v>
      </c>
      <c r="AV984" s="175">
        <f>AM984-AP984</f>
        <v>0</v>
      </c>
      <c r="AW984" s="147">
        <f>AP984-AT984</f>
        <v>7406000</v>
      </c>
      <c r="AX984" s="149">
        <f>AP984/AJ984</f>
        <v>6.6073763792371107E-2</v>
      </c>
    </row>
    <row r="985" spans="1:50" ht="24.75" customHeight="1" x14ac:dyDescent="0.2">
      <c r="A985" s="140"/>
      <c r="B985" s="140"/>
      <c r="C985" s="140"/>
      <c r="D985" s="140"/>
      <c r="E985" s="140"/>
      <c r="F985" s="140"/>
      <c r="G985" s="140"/>
      <c r="H985" s="140"/>
      <c r="I985" s="140"/>
      <c r="J985" s="140"/>
      <c r="K985" s="140"/>
      <c r="L985" s="140"/>
      <c r="M985" s="140"/>
      <c r="N985" s="140"/>
      <c r="O985" s="140"/>
      <c r="P985" s="140"/>
      <c r="Q985" s="140"/>
      <c r="R985" s="140"/>
      <c r="S985" s="140"/>
      <c r="T985" s="140"/>
      <c r="U985" s="140"/>
      <c r="V985" s="140"/>
      <c r="W985" s="140"/>
      <c r="X985" s="140"/>
      <c r="Y985" s="140"/>
      <c r="Z985" s="140"/>
      <c r="AA985" s="134" t="s">
        <v>1420</v>
      </c>
      <c r="AB985" s="69" t="s">
        <v>1104</v>
      </c>
      <c r="AC985" s="142"/>
      <c r="AD985" s="143">
        <v>0</v>
      </c>
      <c r="AE985" s="143">
        <v>0</v>
      </c>
      <c r="AF985" s="143">
        <v>0</v>
      </c>
      <c r="AG985" s="142">
        <v>316960893</v>
      </c>
      <c r="AH985" s="142">
        <v>0</v>
      </c>
      <c r="AI985" s="142">
        <f>AE985-AF985+AG985-AH985</f>
        <v>316960893</v>
      </c>
      <c r="AJ985" s="142">
        <f>AD985+AI985</f>
        <v>316960893</v>
      </c>
      <c r="AK985" s="143">
        <v>0</v>
      </c>
      <c r="AL985" s="43">
        <f>AM985-OCTUBRE!AM974</f>
        <v>316960893</v>
      </c>
      <c r="AM985" s="142">
        <v>316960893</v>
      </c>
      <c r="AN985" s="143">
        <v>0</v>
      </c>
      <c r="AO985" s="142">
        <v>316960893</v>
      </c>
      <c r="AP985" s="142">
        <v>316960893</v>
      </c>
      <c r="AQ985" s="143">
        <v>0</v>
      </c>
      <c r="AR985" s="143">
        <v>0</v>
      </c>
      <c r="AS985" s="143">
        <v>0</v>
      </c>
      <c r="AT985" s="146">
        <f t="shared" si="448"/>
        <v>0</v>
      </c>
      <c r="AU985" s="145">
        <f>AJ985-AM985</f>
        <v>0</v>
      </c>
      <c r="AV985" s="175">
        <f>AM985-AP985</f>
        <v>0</v>
      </c>
      <c r="AW985" s="147">
        <f>AP985-AT985</f>
        <v>316960893</v>
      </c>
      <c r="AX985" s="149">
        <f>AP985/AJ985</f>
        <v>1</v>
      </c>
    </row>
    <row r="986" spans="1:50" x14ac:dyDescent="0.2">
      <c r="AA986" s="16"/>
      <c r="AB986" s="17"/>
      <c r="AC986" s="17"/>
      <c r="AD986" s="18"/>
      <c r="AE986" s="34"/>
      <c r="AF986" s="34"/>
      <c r="AG986" s="34"/>
      <c r="AH986" s="34"/>
      <c r="AI986" s="34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30"/>
      <c r="AU986" s="18"/>
      <c r="AV986" s="18"/>
      <c r="AW986" s="18"/>
      <c r="AX986" s="18"/>
    </row>
    <row r="987" spans="1:50" x14ac:dyDescent="0.2">
      <c r="AA987" s="16"/>
      <c r="AB987" s="29" t="s">
        <v>631</v>
      </c>
      <c r="AC987" s="17"/>
      <c r="AD987" s="18"/>
      <c r="AE987" s="34"/>
      <c r="AF987" s="34"/>
      <c r="AG987" s="34"/>
      <c r="AH987" s="34"/>
      <c r="AI987" s="34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30"/>
      <c r="AU987" s="18"/>
      <c r="AV987" s="18"/>
      <c r="AW987" s="18"/>
      <c r="AX987" s="18"/>
    </row>
    <row r="988" spans="1:50" x14ac:dyDescent="0.2">
      <c r="AA988" s="16"/>
      <c r="AB988" s="29" t="s">
        <v>632</v>
      </c>
      <c r="AC988" s="17"/>
      <c r="AD988" s="18"/>
      <c r="AE988" s="34"/>
      <c r="AF988" s="34"/>
      <c r="AG988" s="34"/>
      <c r="AH988" s="34"/>
      <c r="AI988" s="34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30"/>
      <c r="AU988" s="18"/>
      <c r="AV988" s="18"/>
      <c r="AW988" s="18"/>
      <c r="AX988" s="18"/>
    </row>
    <row r="989" spans="1:50" x14ac:dyDescent="0.2">
      <c r="AA989" s="16"/>
      <c r="AB989" s="29" t="s">
        <v>633</v>
      </c>
      <c r="AC989" s="17"/>
      <c r="AD989" s="18"/>
      <c r="AE989" s="34"/>
      <c r="AF989" s="34"/>
      <c r="AG989" s="34"/>
      <c r="AH989" s="34"/>
      <c r="AI989" s="34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30"/>
      <c r="AU989" s="18"/>
      <c r="AV989" s="18"/>
      <c r="AW989" s="18"/>
      <c r="AX989" s="18"/>
    </row>
    <row r="990" spans="1:50" x14ac:dyDescent="0.2">
      <c r="AA990" s="16"/>
      <c r="AB990" s="29" t="s">
        <v>634</v>
      </c>
      <c r="AC990" s="17"/>
      <c r="AD990" s="18"/>
      <c r="AE990" s="34"/>
      <c r="AF990" s="34"/>
      <c r="AG990" s="34"/>
      <c r="AH990" s="34"/>
      <c r="AI990" s="34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30"/>
      <c r="AU990" s="18"/>
      <c r="AV990" s="18"/>
      <c r="AW990" s="18"/>
      <c r="AX990" s="18"/>
    </row>
    <row r="991" spans="1:50" x14ac:dyDescent="0.2">
      <c r="AA991" s="16"/>
      <c r="AB991" s="29" t="s">
        <v>635</v>
      </c>
      <c r="AC991" s="17"/>
      <c r="AD991" s="18"/>
      <c r="AE991" s="34"/>
      <c r="AF991" s="34"/>
      <c r="AG991" s="34"/>
      <c r="AH991" s="34"/>
      <c r="AI991" s="34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30"/>
      <c r="AU991" s="18"/>
      <c r="AV991" s="18"/>
      <c r="AW991" s="18"/>
      <c r="AX991" s="18"/>
    </row>
    <row r="992" spans="1:50" ht="25.5" x14ac:dyDescent="0.2">
      <c r="AA992" s="28" t="s">
        <v>288</v>
      </c>
      <c r="AB992" s="29" t="s">
        <v>616</v>
      </c>
      <c r="AC992" s="17"/>
      <c r="AD992" s="18"/>
      <c r="AE992" s="34"/>
      <c r="AF992" s="34"/>
      <c r="AG992" s="34"/>
      <c r="AH992" s="34"/>
      <c r="AI992" s="34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30"/>
      <c r="AU992" s="18"/>
      <c r="AV992" s="18"/>
      <c r="AW992" s="18"/>
      <c r="AX992" s="18"/>
    </row>
    <row r="993" spans="1:50" ht="18.75" customHeight="1" x14ac:dyDescent="0.2">
      <c r="A993" s="4" t="s">
        <v>55</v>
      </c>
      <c r="B993" s="4" t="s">
        <v>56</v>
      </c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1" t="s">
        <v>636</v>
      </c>
      <c r="AB993" s="42" t="s">
        <v>618</v>
      </c>
      <c r="AC993" s="43" t="s">
        <v>619</v>
      </c>
      <c r="AD993" s="43">
        <v>80000000</v>
      </c>
      <c r="AE993" s="44">
        <v>0</v>
      </c>
      <c r="AF993" s="44">
        <v>0</v>
      </c>
      <c r="AG993" s="44">
        <v>0</v>
      </c>
      <c r="AH993" s="43">
        <v>45841551</v>
      </c>
      <c r="AI993" s="43">
        <f>AE993-AF993+AG993-AH993</f>
        <v>-45841551</v>
      </c>
      <c r="AJ993" s="43">
        <f>AD993+AI993</f>
        <v>34158449</v>
      </c>
      <c r="AK993" s="44">
        <v>0</v>
      </c>
      <c r="AL993" s="44">
        <v>0</v>
      </c>
      <c r="AM993" s="44">
        <v>0</v>
      </c>
      <c r="AN993" s="44">
        <v>0</v>
      </c>
      <c r="AO993" s="44">
        <v>0</v>
      </c>
      <c r="AP993" s="44">
        <v>0</v>
      </c>
      <c r="AQ993" s="44">
        <v>0</v>
      </c>
      <c r="AR993" s="44">
        <v>0</v>
      </c>
      <c r="AS993" s="44">
        <v>0</v>
      </c>
      <c r="AT993" s="40">
        <f t="shared" ref="AT993" si="449">AQ993+AS993</f>
        <v>0</v>
      </c>
      <c r="AU993" s="18">
        <f>AJ993-AM993</f>
        <v>34158449</v>
      </c>
      <c r="AV993" s="133">
        <f>AM993-AP993</f>
        <v>0</v>
      </c>
      <c r="AW993" s="34">
        <f>AP993-AT993</f>
        <v>0</v>
      </c>
      <c r="AX993" s="123">
        <f>AP993/AJ993</f>
        <v>0</v>
      </c>
    </row>
    <row r="994" spans="1:50" ht="18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73" t="s">
        <v>288</v>
      </c>
      <c r="AB994" s="74" t="s">
        <v>1399</v>
      </c>
      <c r="AC994" s="43"/>
      <c r="AD994" s="43"/>
      <c r="AE994" s="44"/>
      <c r="AF994" s="44"/>
      <c r="AG994" s="44"/>
      <c r="AH994" s="44"/>
      <c r="AI994" s="44"/>
      <c r="AJ994" s="43"/>
      <c r="AK994" s="44"/>
      <c r="AL994" s="44"/>
      <c r="AM994" s="44"/>
      <c r="AN994" s="44"/>
      <c r="AO994" s="44"/>
      <c r="AP994" s="44"/>
      <c r="AQ994" s="44"/>
      <c r="AR994" s="44"/>
      <c r="AS994" s="44"/>
      <c r="AT994" s="40"/>
      <c r="AU994" s="18"/>
      <c r="AV994" s="133"/>
      <c r="AW994" s="34"/>
      <c r="AX994" s="123"/>
    </row>
    <row r="995" spans="1:50" ht="27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1" t="s">
        <v>1400</v>
      </c>
      <c r="AB995" s="42" t="s">
        <v>1104</v>
      </c>
      <c r="AC995" s="43"/>
      <c r="AD995" s="44">
        <v>0</v>
      </c>
      <c r="AE995" s="44">
        <v>0</v>
      </c>
      <c r="AF995" s="44">
        <v>0</v>
      </c>
      <c r="AG995" s="43">
        <v>100861425</v>
      </c>
      <c r="AH995" s="44">
        <v>0</v>
      </c>
      <c r="AI995" s="43">
        <f t="shared" ref="AI995:AI999" si="450">AE995-AF995+AG995-AH995</f>
        <v>100861425</v>
      </c>
      <c r="AJ995" s="43">
        <f t="shared" ref="AJ995:AJ999" si="451">AD995+AI995</f>
        <v>100861425</v>
      </c>
      <c r="AK995" s="44">
        <v>0</v>
      </c>
      <c r="AL995" s="43">
        <v>0</v>
      </c>
      <c r="AM995" s="43">
        <v>100861425</v>
      </c>
      <c r="AN995" s="43">
        <v>0</v>
      </c>
      <c r="AO995" s="43">
        <v>100861425</v>
      </c>
      <c r="AP995" s="43">
        <v>100861425</v>
      </c>
      <c r="AQ995" s="44">
        <v>0</v>
      </c>
      <c r="AR995" s="44">
        <v>0</v>
      </c>
      <c r="AS995" s="44">
        <v>0</v>
      </c>
      <c r="AT995" s="40">
        <f t="shared" ref="AT995:AT999" si="452">AQ995+AS995</f>
        <v>0</v>
      </c>
      <c r="AU995" s="34">
        <f t="shared" ref="AU995:AU999" si="453">AJ995-AM995</f>
        <v>0</v>
      </c>
      <c r="AV995" s="34">
        <f t="shared" ref="AV995:AV999" si="454">AM995-AP995</f>
        <v>0</v>
      </c>
      <c r="AW995" s="18">
        <f t="shared" ref="AW995:AW999" si="455">AP995-AT995</f>
        <v>100861425</v>
      </c>
      <c r="AX995" s="123">
        <f t="shared" ref="AX995:AX999" si="456">AP995/AJ995</f>
        <v>1</v>
      </c>
    </row>
    <row r="996" spans="1:50" ht="25.5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1" t="s">
        <v>1401</v>
      </c>
      <c r="AB996" s="42" t="s">
        <v>1104</v>
      </c>
      <c r="AC996" s="43"/>
      <c r="AD996" s="44">
        <v>0</v>
      </c>
      <c r="AE996" s="44">
        <v>0</v>
      </c>
      <c r="AF996" s="44">
        <v>0</v>
      </c>
      <c r="AG996" s="43">
        <v>6039250</v>
      </c>
      <c r="AH996" s="44">
        <v>0</v>
      </c>
      <c r="AI996" s="43">
        <f t="shared" si="450"/>
        <v>6039250</v>
      </c>
      <c r="AJ996" s="43">
        <f t="shared" si="451"/>
        <v>6039250</v>
      </c>
      <c r="AK996" s="44">
        <v>0</v>
      </c>
      <c r="AL996" s="43">
        <f>AM996-OCTUBRE!AM985</f>
        <v>-1149242</v>
      </c>
      <c r="AM996" s="43">
        <v>4890008</v>
      </c>
      <c r="AN996" s="43">
        <v>0</v>
      </c>
      <c r="AO996" s="43">
        <v>4890008</v>
      </c>
      <c r="AP996" s="43">
        <v>4890008</v>
      </c>
      <c r="AQ996" s="44">
        <v>0</v>
      </c>
      <c r="AR996" s="44">
        <v>0</v>
      </c>
      <c r="AS996" s="44">
        <v>0</v>
      </c>
      <c r="AT996" s="40">
        <f t="shared" si="452"/>
        <v>0</v>
      </c>
      <c r="AU996" s="18">
        <f t="shared" si="453"/>
        <v>1149242</v>
      </c>
      <c r="AV996" s="34">
        <f t="shared" si="454"/>
        <v>0</v>
      </c>
      <c r="AW996" s="18">
        <f t="shared" si="455"/>
        <v>4890008</v>
      </c>
      <c r="AX996" s="123">
        <f t="shared" si="456"/>
        <v>0.80970451628927431</v>
      </c>
    </row>
    <row r="997" spans="1:50" ht="25.5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1" t="s">
        <v>1402</v>
      </c>
      <c r="AB997" s="42" t="s">
        <v>1104</v>
      </c>
      <c r="AC997" s="43"/>
      <c r="AD997" s="44">
        <v>0</v>
      </c>
      <c r="AE997" s="44">
        <v>0</v>
      </c>
      <c r="AF997" s="44">
        <v>0</v>
      </c>
      <c r="AG997" s="43">
        <v>1664925590</v>
      </c>
      <c r="AH997" s="44">
        <v>0</v>
      </c>
      <c r="AI997" s="43">
        <f t="shared" si="450"/>
        <v>1664925590</v>
      </c>
      <c r="AJ997" s="43">
        <f t="shared" si="451"/>
        <v>1664925590</v>
      </c>
      <c r="AK997" s="44">
        <v>0</v>
      </c>
      <c r="AL997" s="43">
        <f>AM997-OCTUBRE!AM986</f>
        <v>-46325872</v>
      </c>
      <c r="AM997" s="43">
        <v>1618599718</v>
      </c>
      <c r="AN997" s="43">
        <v>0</v>
      </c>
      <c r="AO997" s="43">
        <v>1609381978</v>
      </c>
      <c r="AP997" s="43">
        <v>1609381978</v>
      </c>
      <c r="AQ997" s="44">
        <v>0</v>
      </c>
      <c r="AR997" s="44">
        <v>0</v>
      </c>
      <c r="AS997" s="44">
        <v>0</v>
      </c>
      <c r="AT997" s="40">
        <f t="shared" si="452"/>
        <v>0</v>
      </c>
      <c r="AU997" s="18">
        <f t="shared" si="453"/>
        <v>46325872</v>
      </c>
      <c r="AV997" s="18">
        <f t="shared" si="454"/>
        <v>9217740</v>
      </c>
      <c r="AW997" s="18">
        <f t="shared" si="455"/>
        <v>1609381978</v>
      </c>
      <c r="AX997" s="123">
        <f t="shared" si="456"/>
        <v>0.96663898234635215</v>
      </c>
    </row>
    <row r="998" spans="1:50" ht="25.5" x14ac:dyDescent="0.2">
      <c r="AA998" s="41" t="s">
        <v>1403</v>
      </c>
      <c r="AB998" s="17" t="s">
        <v>1104</v>
      </c>
      <c r="AC998" s="17"/>
      <c r="AD998" s="34">
        <v>0</v>
      </c>
      <c r="AE998" s="34">
        <v>0</v>
      </c>
      <c r="AF998" s="34">
        <v>0</v>
      </c>
      <c r="AG998" s="18">
        <v>214182240</v>
      </c>
      <c r="AH998" s="34">
        <v>0</v>
      </c>
      <c r="AI998" s="43">
        <f t="shared" si="450"/>
        <v>214182240</v>
      </c>
      <c r="AJ998" s="43">
        <f t="shared" si="451"/>
        <v>214182240</v>
      </c>
      <c r="AK998" s="34">
        <v>0</v>
      </c>
      <c r="AL998" s="43">
        <f>AM998-OCTUBRE!AM987</f>
        <v>0</v>
      </c>
      <c r="AM998" s="18">
        <v>214182240</v>
      </c>
      <c r="AN998" s="18">
        <v>71543990</v>
      </c>
      <c r="AO998" s="34">
        <v>0</v>
      </c>
      <c r="AP998" s="34">
        <v>0</v>
      </c>
      <c r="AQ998" s="34">
        <v>0</v>
      </c>
      <c r="AR998" s="34">
        <v>0</v>
      </c>
      <c r="AS998" s="34">
        <v>0</v>
      </c>
      <c r="AT998" s="40">
        <f t="shared" si="452"/>
        <v>0</v>
      </c>
      <c r="AU998" s="34">
        <f t="shared" si="453"/>
        <v>0</v>
      </c>
      <c r="AV998" s="18">
        <f t="shared" si="454"/>
        <v>214182240</v>
      </c>
      <c r="AW998" s="34">
        <f t="shared" si="455"/>
        <v>0</v>
      </c>
      <c r="AX998" s="123">
        <f t="shared" si="456"/>
        <v>0</v>
      </c>
    </row>
    <row r="999" spans="1:50" ht="25.5" x14ac:dyDescent="0.2">
      <c r="AA999" s="41" t="s">
        <v>1404</v>
      </c>
      <c r="AB999" s="17" t="s">
        <v>1104</v>
      </c>
      <c r="AC999" s="17"/>
      <c r="AD999" s="34">
        <v>0</v>
      </c>
      <c r="AE999" s="34">
        <v>0</v>
      </c>
      <c r="AF999" s="34">
        <v>0</v>
      </c>
      <c r="AG999" s="18">
        <v>21051100</v>
      </c>
      <c r="AH999" s="34">
        <v>0</v>
      </c>
      <c r="AI999" s="43">
        <f t="shared" si="450"/>
        <v>21051100</v>
      </c>
      <c r="AJ999" s="43">
        <f t="shared" si="451"/>
        <v>21051100</v>
      </c>
      <c r="AK999" s="34">
        <v>0</v>
      </c>
      <c r="AL999" s="43">
        <f>AM999-OCTUBRE!AM988</f>
        <v>-6</v>
      </c>
      <c r="AM999" s="18">
        <v>21051093</v>
      </c>
      <c r="AN999" s="18">
        <v>0</v>
      </c>
      <c r="AO999" s="34">
        <v>21051093</v>
      </c>
      <c r="AP999" s="34">
        <v>21051093</v>
      </c>
      <c r="AQ999" s="34">
        <v>0</v>
      </c>
      <c r="AR999" s="34">
        <v>0</v>
      </c>
      <c r="AS999" s="34">
        <v>0</v>
      </c>
      <c r="AT999" s="40">
        <f t="shared" si="452"/>
        <v>0</v>
      </c>
      <c r="AU999" s="18">
        <f t="shared" si="453"/>
        <v>7</v>
      </c>
      <c r="AV999" s="18">
        <f t="shared" si="454"/>
        <v>0</v>
      </c>
      <c r="AW999" s="18">
        <f t="shared" si="455"/>
        <v>21051093</v>
      </c>
      <c r="AX999" s="123">
        <f t="shared" si="456"/>
        <v>0.99999966747580882</v>
      </c>
    </row>
    <row r="1000" spans="1:50" x14ac:dyDescent="0.2">
      <c r="AA1000" s="16"/>
      <c r="AB1000" s="17"/>
      <c r="AC1000" s="17"/>
      <c r="AD1000" s="18"/>
      <c r="AE1000" s="34"/>
      <c r="AF1000" s="34"/>
      <c r="AG1000" s="34"/>
      <c r="AH1000" s="34"/>
      <c r="AI1000" s="34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30"/>
      <c r="AU1000" s="18"/>
      <c r="AV1000" s="18"/>
      <c r="AW1000" s="18"/>
      <c r="AX1000" s="18"/>
    </row>
    <row r="1001" spans="1:50" ht="18.75" customHeight="1" x14ac:dyDescent="0.2">
      <c r="AA1001" s="16"/>
      <c r="AB1001" s="29" t="s">
        <v>179</v>
      </c>
      <c r="AC1001" s="17"/>
      <c r="AD1001" s="18"/>
      <c r="AE1001" s="34"/>
      <c r="AF1001" s="34"/>
      <c r="AG1001" s="34"/>
      <c r="AH1001" s="34"/>
      <c r="AI1001" s="34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30"/>
      <c r="AU1001" s="18"/>
      <c r="AV1001" s="18"/>
      <c r="AW1001" s="18"/>
      <c r="AX1001" s="18"/>
    </row>
    <row r="1002" spans="1:50" ht="18.75" customHeight="1" x14ac:dyDescent="0.2">
      <c r="AA1002" s="16"/>
      <c r="AB1002" s="29" t="s">
        <v>181</v>
      </c>
      <c r="AC1002" s="17"/>
      <c r="AD1002" s="18"/>
      <c r="AE1002" s="34"/>
      <c r="AF1002" s="34"/>
      <c r="AG1002" s="34"/>
      <c r="AH1002" s="34"/>
      <c r="AI1002" s="34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30"/>
      <c r="AU1002" s="18"/>
      <c r="AV1002" s="18"/>
      <c r="AW1002" s="18"/>
      <c r="AX1002" s="18"/>
    </row>
    <row r="1003" spans="1:50" ht="25.5" x14ac:dyDescent="0.2">
      <c r="AA1003" s="16"/>
      <c r="AB1003" s="29" t="s">
        <v>637</v>
      </c>
      <c r="AC1003" s="17"/>
      <c r="AD1003" s="18"/>
      <c r="AE1003" s="34"/>
      <c r="AF1003" s="34"/>
      <c r="AG1003" s="34"/>
      <c r="AH1003" s="34"/>
      <c r="AI1003" s="34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30"/>
      <c r="AU1003" s="18"/>
      <c r="AV1003" s="18"/>
      <c r="AW1003" s="18"/>
      <c r="AX1003" s="18"/>
    </row>
    <row r="1004" spans="1:50" ht="28.5" customHeight="1" x14ac:dyDescent="0.2">
      <c r="AA1004" s="28" t="s">
        <v>288</v>
      </c>
      <c r="AB1004" s="29" t="s">
        <v>637</v>
      </c>
      <c r="AC1004" s="17"/>
      <c r="AD1004" s="18"/>
      <c r="AE1004" s="34"/>
      <c r="AF1004" s="34"/>
      <c r="AG1004" s="34"/>
      <c r="AH1004" s="34"/>
      <c r="AI1004" s="34"/>
      <c r="AJ1004" s="18"/>
      <c r="AK1004" s="34"/>
      <c r="AL1004" s="34"/>
      <c r="AM1004" s="18"/>
      <c r="AN1004" s="18"/>
      <c r="AO1004" s="18"/>
      <c r="AP1004" s="18"/>
      <c r="AQ1004" s="18"/>
      <c r="AR1004" s="18"/>
      <c r="AS1004" s="18"/>
      <c r="AT1004" s="30"/>
      <c r="AU1004" s="18"/>
      <c r="AV1004" s="18"/>
      <c r="AW1004" s="18"/>
      <c r="AX1004" s="18"/>
    </row>
    <row r="1005" spans="1:50" ht="27.75" customHeight="1" x14ac:dyDescent="0.2">
      <c r="AA1005" s="101" t="s">
        <v>1227</v>
      </c>
      <c r="AB1005" s="251" t="s">
        <v>1228</v>
      </c>
      <c r="AC1005" s="17"/>
      <c r="AD1005" s="34">
        <v>0</v>
      </c>
      <c r="AE1005" s="34">
        <v>0</v>
      </c>
      <c r="AF1005" s="34">
        <v>0</v>
      </c>
      <c r="AG1005" s="18">
        <f>70000000+170000000+360000000+100000000+414842700+77000000+500000000+73000000</f>
        <v>1764842700</v>
      </c>
      <c r="AH1005" s="34">
        <v>0</v>
      </c>
      <c r="AI1005" s="43">
        <f>AE1005-AF1005+AG1005-AH1005</f>
        <v>1764842700</v>
      </c>
      <c r="AJ1005" s="142">
        <f>AD1005+AI1005</f>
        <v>1764842700</v>
      </c>
      <c r="AK1005" s="18">
        <v>0</v>
      </c>
      <c r="AL1005" s="18">
        <f>AM1005-OCTUBRE!AM994</f>
        <v>583222069.8499999</v>
      </c>
      <c r="AM1005" s="18">
        <v>1133922102.8499999</v>
      </c>
      <c r="AN1005" s="18">
        <v>0</v>
      </c>
      <c r="AO1005" s="18">
        <v>1016734423.85</v>
      </c>
      <c r="AP1005" s="18">
        <v>1070734414.85</v>
      </c>
      <c r="AQ1005" s="34">
        <v>0</v>
      </c>
      <c r="AR1005" s="34">
        <v>0</v>
      </c>
      <c r="AS1005" s="34">
        <v>0</v>
      </c>
      <c r="AT1005" s="40">
        <f t="shared" ref="AT1005:AT1006" si="457">AQ1005+AS1005</f>
        <v>0</v>
      </c>
      <c r="AU1005" s="18">
        <f>AJ1005-AM1005</f>
        <v>630920597.1500001</v>
      </c>
      <c r="AV1005" s="18">
        <f>AM1005-AP1005</f>
        <v>63187687.999999881</v>
      </c>
      <c r="AW1005" s="18">
        <f>AP1005-AT1005</f>
        <v>1070734414.85</v>
      </c>
      <c r="AX1005" s="123">
        <f>AP1005/AJ1005</f>
        <v>0.60670246410629114</v>
      </c>
    </row>
    <row r="1006" spans="1:50" ht="27.75" customHeight="1" x14ac:dyDescent="0.2">
      <c r="AA1006" s="101" t="s">
        <v>1423</v>
      </c>
      <c r="AB1006" s="251" t="s">
        <v>1424</v>
      </c>
      <c r="AC1006" s="17"/>
      <c r="AD1006" s="34">
        <v>0</v>
      </c>
      <c r="AE1006" s="34">
        <v>0</v>
      </c>
      <c r="AF1006" s="34">
        <v>0</v>
      </c>
      <c r="AG1006" s="18">
        <v>200000000</v>
      </c>
      <c r="AH1006" s="34"/>
      <c r="AI1006" s="43">
        <f>AE1006-AF1006+AG1006-AH1006</f>
        <v>200000000</v>
      </c>
      <c r="AJ1006" s="142">
        <f>AD1006+AI1006</f>
        <v>200000000</v>
      </c>
      <c r="AK1006" s="34">
        <v>0</v>
      </c>
      <c r="AL1006" s="18">
        <v>191185313</v>
      </c>
      <c r="AM1006" s="18">
        <v>191185313</v>
      </c>
      <c r="AN1006" s="34">
        <v>0</v>
      </c>
      <c r="AO1006" s="34">
        <v>0</v>
      </c>
      <c r="AP1006" s="18">
        <v>0</v>
      </c>
      <c r="AQ1006" s="34">
        <v>0</v>
      </c>
      <c r="AR1006" s="34">
        <v>0</v>
      </c>
      <c r="AS1006" s="34">
        <v>0</v>
      </c>
      <c r="AT1006" s="40">
        <f t="shared" si="457"/>
        <v>0</v>
      </c>
      <c r="AU1006" s="18">
        <f>AJ1006-AM1006</f>
        <v>8814687</v>
      </c>
      <c r="AV1006" s="18">
        <f>AM1006-AP1006</f>
        <v>191185313</v>
      </c>
      <c r="AW1006" s="18">
        <f>AP1006-AT1006</f>
        <v>0</v>
      </c>
      <c r="AX1006" s="123">
        <f>AP1006/AJ1006</f>
        <v>0</v>
      </c>
    </row>
    <row r="1007" spans="1:50" ht="25.5" x14ac:dyDescent="0.2">
      <c r="AA1007" s="28" t="s">
        <v>288</v>
      </c>
      <c r="AB1007" s="29" t="s">
        <v>616</v>
      </c>
      <c r="AC1007" s="17"/>
      <c r="AD1007" s="18"/>
      <c r="AE1007" s="34"/>
      <c r="AF1007" s="34"/>
      <c r="AG1007" s="34"/>
      <c r="AH1007" s="34"/>
      <c r="AI1007" s="34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30"/>
      <c r="AU1007" s="18"/>
      <c r="AV1007" s="34"/>
      <c r="AW1007" s="18"/>
      <c r="AX1007" s="18"/>
    </row>
    <row r="1008" spans="1:50" ht="23.25" customHeight="1" x14ac:dyDescent="0.2">
      <c r="A1008" s="4" t="s">
        <v>55</v>
      </c>
      <c r="B1008" s="4" t="s">
        <v>56</v>
      </c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1" t="s">
        <v>639</v>
      </c>
      <c r="AB1008" s="42" t="s">
        <v>618</v>
      </c>
      <c r="AC1008" s="43" t="s">
        <v>619</v>
      </c>
      <c r="AD1008" s="43">
        <v>1601743650</v>
      </c>
      <c r="AE1008" s="44">
        <v>0</v>
      </c>
      <c r="AF1008" s="44">
        <v>0</v>
      </c>
      <c r="AG1008" s="43">
        <v>35841551</v>
      </c>
      <c r="AH1008" s="43">
        <v>794729623</v>
      </c>
      <c r="AI1008" s="43">
        <f>AE1008-AF1008+AG1008-AH1008</f>
        <v>-758888072</v>
      </c>
      <c r="AJ1008" s="43">
        <f>AD1008+AI1008</f>
        <v>842855578</v>
      </c>
      <c r="AK1008" s="43">
        <v>0</v>
      </c>
      <c r="AL1008" s="43">
        <f>AM1008-OCTUBRE!AM997</f>
        <v>278067752.5</v>
      </c>
      <c r="AM1008" s="43">
        <v>835067752.5</v>
      </c>
      <c r="AN1008" s="43">
        <v>0</v>
      </c>
      <c r="AO1008" s="43">
        <v>278067752.5</v>
      </c>
      <c r="AP1008" s="43">
        <v>835067752.5</v>
      </c>
      <c r="AQ1008" s="44">
        <v>0</v>
      </c>
      <c r="AR1008" s="44">
        <v>0</v>
      </c>
      <c r="AS1008" s="44">
        <v>0</v>
      </c>
      <c r="AT1008" s="40">
        <f t="shared" ref="AT1008:AT1009" si="458">AQ1008+AS1008</f>
        <v>0</v>
      </c>
      <c r="AU1008" s="18">
        <f>AJ1008-AM1008</f>
        <v>7787825.5</v>
      </c>
      <c r="AV1008" s="34">
        <f>AM1008-AP1008</f>
        <v>0</v>
      </c>
      <c r="AW1008" s="18">
        <f>AP1008-AT1008</f>
        <v>835067752.5</v>
      </c>
      <c r="AX1008" s="123">
        <f>AP1008/AJ1008</f>
        <v>0.99076018987917291</v>
      </c>
    </row>
    <row r="1009" spans="1:50" ht="31.5" customHeight="1" x14ac:dyDescent="0.2">
      <c r="A1009" s="4" t="s">
        <v>55</v>
      </c>
      <c r="B1009" s="4" t="s">
        <v>56</v>
      </c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1" t="s">
        <v>640</v>
      </c>
      <c r="AB1009" s="42" t="s">
        <v>641</v>
      </c>
      <c r="AC1009" s="43" t="s">
        <v>642</v>
      </c>
      <c r="AD1009" s="43">
        <v>20790000</v>
      </c>
      <c r="AE1009" s="44">
        <v>0</v>
      </c>
      <c r="AF1009" s="44">
        <v>0</v>
      </c>
      <c r="AG1009" s="44">
        <v>0</v>
      </c>
      <c r="AH1009" s="44">
        <v>0</v>
      </c>
      <c r="AI1009" s="44">
        <v>0</v>
      </c>
      <c r="AJ1009" s="43">
        <v>20790000</v>
      </c>
      <c r="AK1009" s="44">
        <v>0</v>
      </c>
      <c r="AL1009" s="44">
        <v>0</v>
      </c>
      <c r="AM1009" s="44">
        <v>0</v>
      </c>
      <c r="AN1009" s="44">
        <v>0</v>
      </c>
      <c r="AO1009" s="44">
        <v>0</v>
      </c>
      <c r="AP1009" s="44">
        <v>0</v>
      </c>
      <c r="AQ1009" s="44">
        <v>0</v>
      </c>
      <c r="AR1009" s="44">
        <v>0</v>
      </c>
      <c r="AS1009" s="44">
        <v>0</v>
      </c>
      <c r="AT1009" s="40">
        <f t="shared" si="458"/>
        <v>0</v>
      </c>
      <c r="AU1009" s="18">
        <f>AJ1009-AM1009</f>
        <v>20790000</v>
      </c>
      <c r="AV1009" s="133">
        <f>AM1009-AP1009</f>
        <v>0</v>
      </c>
      <c r="AW1009" s="34">
        <f>AP1009-AT1009</f>
        <v>0</v>
      </c>
      <c r="AX1009" s="123">
        <f>AP1009/AJ1009</f>
        <v>0</v>
      </c>
    </row>
    <row r="1010" spans="1:50" ht="27.75" customHeight="1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73" t="s">
        <v>288</v>
      </c>
      <c r="AB1010" s="74" t="s">
        <v>637</v>
      </c>
      <c r="AC1010" s="43"/>
      <c r="AD1010" s="43"/>
      <c r="AE1010" s="44"/>
      <c r="AF1010" s="44"/>
      <c r="AG1010" s="43"/>
      <c r="AH1010" s="44"/>
      <c r="AI1010" s="43"/>
      <c r="AJ1010" s="43"/>
      <c r="AK1010" s="44"/>
      <c r="AL1010" s="44"/>
      <c r="AM1010" s="44"/>
      <c r="AN1010" s="44"/>
      <c r="AO1010" s="44"/>
      <c r="AP1010" s="44"/>
      <c r="AQ1010" s="44"/>
      <c r="AR1010" s="44"/>
      <c r="AS1010" s="44"/>
      <c r="AT1010" s="40"/>
      <c r="AU1010" s="18"/>
      <c r="AV1010" s="133"/>
      <c r="AW1010" s="34"/>
      <c r="AX1010" s="123"/>
    </row>
    <row r="1011" spans="1:50" ht="26.25" customHeight="1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1" t="s">
        <v>1291</v>
      </c>
      <c r="AB1011" s="42" t="s">
        <v>1290</v>
      </c>
      <c r="AC1011" s="43"/>
      <c r="AD1011" s="44">
        <v>0</v>
      </c>
      <c r="AE1011" s="44">
        <v>0</v>
      </c>
      <c r="AF1011" s="44">
        <v>0</v>
      </c>
      <c r="AG1011" s="43">
        <v>77854000</v>
      </c>
      <c r="AH1011" s="44"/>
      <c r="AI1011" s="43">
        <f>AE1011-AF1011+AG1011-AH1011</f>
        <v>77854000</v>
      </c>
      <c r="AJ1011" s="43">
        <f>AD1011+AI1011</f>
        <v>77854000</v>
      </c>
      <c r="AK1011" s="44">
        <v>0</v>
      </c>
      <c r="AL1011" s="44">
        <f>AM1011-OCTUBRE!AM1000</f>
        <v>0</v>
      </c>
      <c r="AM1011" s="43">
        <v>56222898</v>
      </c>
      <c r="AN1011" s="44">
        <v>0</v>
      </c>
      <c r="AO1011" s="43">
        <v>0</v>
      </c>
      <c r="AP1011" s="43">
        <v>56222898</v>
      </c>
      <c r="AQ1011" s="43">
        <v>14716531.27</v>
      </c>
      <c r="AR1011" s="43">
        <v>24157595</v>
      </c>
      <c r="AS1011" s="43">
        <v>24157595</v>
      </c>
      <c r="AT1011" s="39">
        <f t="shared" ref="AT1011" si="459">AQ1011+AS1011</f>
        <v>38874126.269999996</v>
      </c>
      <c r="AU1011" s="18">
        <f>AJ1011-AM1011</f>
        <v>21631102</v>
      </c>
      <c r="AV1011" s="133">
        <f>AM1011-AP1011</f>
        <v>0</v>
      </c>
      <c r="AW1011" s="18">
        <f>AP1011-AT1011</f>
        <v>17348771.730000004</v>
      </c>
      <c r="AX1011" s="123">
        <f>AP1011/AJ1011</f>
        <v>0.72215811647442651</v>
      </c>
    </row>
    <row r="1012" spans="1:50" ht="18.75" customHeight="1" x14ac:dyDescent="0.2">
      <c r="AA1012" s="73" t="s">
        <v>288</v>
      </c>
      <c r="AB1012" s="74" t="s">
        <v>1294</v>
      </c>
      <c r="AC1012" s="17"/>
      <c r="AD1012" s="34"/>
      <c r="AE1012" s="34"/>
      <c r="AF1012" s="34"/>
      <c r="AG1012" s="34"/>
      <c r="AH1012" s="34"/>
      <c r="AI1012" s="34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30"/>
      <c r="AU1012" s="18"/>
      <c r="AV1012" s="18"/>
      <c r="AW1012" s="18"/>
      <c r="AX1012" s="18"/>
    </row>
    <row r="1013" spans="1:50" ht="26.25" customHeight="1" x14ac:dyDescent="0.2">
      <c r="AA1013" s="41" t="s">
        <v>1335</v>
      </c>
      <c r="AB1013" s="38" t="s">
        <v>1296</v>
      </c>
      <c r="AC1013" s="17"/>
      <c r="AD1013" s="34">
        <v>0</v>
      </c>
      <c r="AE1013" s="34">
        <v>0</v>
      </c>
      <c r="AF1013" s="34">
        <v>0</v>
      </c>
      <c r="AG1013" s="18">
        <v>85000000</v>
      </c>
      <c r="AH1013" s="34">
        <v>0</v>
      </c>
      <c r="AI1013" s="43">
        <f>AE1013-AF1013+AG1013-AH1013</f>
        <v>85000000</v>
      </c>
      <c r="AJ1013" s="142">
        <f>AD1013+AI1013</f>
        <v>85000000</v>
      </c>
      <c r="AK1013" s="34">
        <v>0</v>
      </c>
      <c r="AL1013" s="44">
        <f>AM1013-OCTUBRE!AM1002</f>
        <v>0</v>
      </c>
      <c r="AM1013" s="18">
        <v>10939314.810000001</v>
      </c>
      <c r="AN1013" s="34">
        <v>0</v>
      </c>
      <c r="AO1013" s="34">
        <v>0</v>
      </c>
      <c r="AP1013" s="18">
        <v>10939314.810000001</v>
      </c>
      <c r="AQ1013" s="34">
        <v>0</v>
      </c>
      <c r="AR1013" s="34">
        <v>0</v>
      </c>
      <c r="AS1013" s="34">
        <v>0</v>
      </c>
      <c r="AT1013" s="40">
        <f t="shared" ref="AT1013" si="460">AQ1013+AS1013</f>
        <v>0</v>
      </c>
      <c r="AU1013" s="18">
        <f>AJ1013-AM1013</f>
        <v>74060685.189999998</v>
      </c>
      <c r="AV1013" s="18">
        <f>AM1013-AP1013</f>
        <v>0</v>
      </c>
      <c r="AW1013" s="18">
        <f>AP1013-AT1013</f>
        <v>10939314.810000001</v>
      </c>
      <c r="AX1013" s="123">
        <f>AP1013/AJ1013</f>
        <v>0.12869782129411766</v>
      </c>
    </row>
    <row r="1014" spans="1:50" ht="26.25" customHeight="1" x14ac:dyDescent="0.2">
      <c r="AA1014" s="28" t="s">
        <v>288</v>
      </c>
      <c r="AB1014" s="29" t="s">
        <v>643</v>
      </c>
      <c r="AC1014" s="17"/>
      <c r="AD1014" s="18"/>
      <c r="AE1014" s="34"/>
      <c r="AF1014" s="34"/>
      <c r="AG1014" s="34"/>
      <c r="AH1014" s="34"/>
      <c r="AI1014" s="34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30"/>
      <c r="AU1014" s="18"/>
      <c r="AV1014" s="18"/>
      <c r="AW1014" s="18"/>
      <c r="AX1014" s="18"/>
    </row>
    <row r="1015" spans="1:50" ht="19.5" customHeight="1" x14ac:dyDescent="0.2">
      <c r="A1015" s="4" t="s">
        <v>55</v>
      </c>
      <c r="B1015" s="4" t="s">
        <v>56</v>
      </c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1" t="s">
        <v>644</v>
      </c>
      <c r="AB1015" s="42" t="s">
        <v>618</v>
      </c>
      <c r="AC1015" s="43" t="s">
        <v>619</v>
      </c>
      <c r="AD1015" s="43">
        <v>530000000</v>
      </c>
      <c r="AE1015" s="44">
        <v>0</v>
      </c>
      <c r="AF1015" s="44">
        <v>0</v>
      </c>
      <c r="AG1015" s="43">
        <v>89810000</v>
      </c>
      <c r="AH1015" s="44">
        <v>0</v>
      </c>
      <c r="AI1015" s="43">
        <f>AE1015-AF1015+AG1015-AH1015</f>
        <v>89810000</v>
      </c>
      <c r="AJ1015" s="43">
        <f>AD1015+AI1015</f>
        <v>619810000</v>
      </c>
      <c r="AK1015" s="43">
        <v>0</v>
      </c>
      <c r="AL1015" s="43">
        <f>AM1015-OCTUBRE!AM1004</f>
        <v>2450000</v>
      </c>
      <c r="AM1015" s="43">
        <v>604926665.30999994</v>
      </c>
      <c r="AN1015" s="43">
        <v>0</v>
      </c>
      <c r="AO1015" s="142">
        <v>0</v>
      </c>
      <c r="AP1015" s="43">
        <v>602476665.30999994</v>
      </c>
      <c r="AQ1015" s="43">
        <v>12500000</v>
      </c>
      <c r="AR1015" s="43">
        <v>47700000</v>
      </c>
      <c r="AS1015" s="43">
        <v>489859996</v>
      </c>
      <c r="AT1015" s="111">
        <f t="shared" ref="AT1015:AT1016" si="461">AQ1015+AS1015</f>
        <v>502359996</v>
      </c>
      <c r="AU1015" s="18">
        <f>AJ1015-AM1015</f>
        <v>14883334.690000057</v>
      </c>
      <c r="AV1015" s="18">
        <f>AM1015-AP1015</f>
        <v>2450000</v>
      </c>
      <c r="AW1015" s="18">
        <f>AP1015-AT1015</f>
        <v>100116669.30999994</v>
      </c>
      <c r="AX1015" s="123">
        <f>AP1015/AJ1015</f>
        <v>0.97203443847308035</v>
      </c>
    </row>
    <row r="1016" spans="1:50" ht="25.5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16" t="s">
        <v>1103</v>
      </c>
      <c r="AB1016" s="42" t="s">
        <v>1104</v>
      </c>
      <c r="AC1016" s="43"/>
      <c r="AD1016" s="43">
        <v>0</v>
      </c>
      <c r="AE1016" s="43">
        <v>15774292916.77</v>
      </c>
      <c r="AF1016" s="44">
        <v>0</v>
      </c>
      <c r="AG1016" s="44">
        <v>0</v>
      </c>
      <c r="AH1016" s="43">
        <f>101000000+4989317258+364000000+360000000+1955725079.14+484793739.37+4037357655+569400000+868743396</f>
        <v>13730337127.51</v>
      </c>
      <c r="AI1016" s="43">
        <f>AE1016-AF1016+AG1016-AH1016</f>
        <v>2043955789.2600002</v>
      </c>
      <c r="AJ1016" s="43">
        <f>AD1016+AI1016</f>
        <v>2043955789.2600002</v>
      </c>
      <c r="AK1016" s="43">
        <v>0</v>
      </c>
      <c r="AL1016" s="43">
        <f>AM1016-OCTUBRE!AM1005</f>
        <v>-172307799.32999992</v>
      </c>
      <c r="AM1016" s="43">
        <v>1427366200.6700001</v>
      </c>
      <c r="AN1016" s="43">
        <v>31283333.329999998</v>
      </c>
      <c r="AO1016" s="142">
        <v>216932867.33000001</v>
      </c>
      <c r="AP1016" s="43">
        <v>1350632867.3199999</v>
      </c>
      <c r="AQ1016" s="43">
        <v>26483334</v>
      </c>
      <c r="AR1016" s="43">
        <v>184243333</v>
      </c>
      <c r="AS1016" s="43">
        <v>809609996</v>
      </c>
      <c r="AT1016" s="39">
        <f t="shared" si="461"/>
        <v>836093330</v>
      </c>
      <c r="AU1016" s="18">
        <f>AJ1016-AM1016</f>
        <v>616589588.59000015</v>
      </c>
      <c r="AV1016" s="18">
        <f>AM1016-AP1016</f>
        <v>76733333.350000143</v>
      </c>
      <c r="AW1016" s="18">
        <f>AP1016-AT1016</f>
        <v>514539537.31999993</v>
      </c>
      <c r="AX1016" s="123">
        <f>AP1016/AJ1016</f>
        <v>0.66079358194385751</v>
      </c>
    </row>
    <row r="1017" spans="1:50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73" t="s">
        <v>288</v>
      </c>
      <c r="AB1017" s="74" t="s">
        <v>1417</v>
      </c>
      <c r="AC1017" s="43"/>
      <c r="AD1017" s="43"/>
      <c r="AE1017" s="43"/>
      <c r="AF1017" s="44"/>
      <c r="AG1017" s="44"/>
      <c r="AH1017" s="43"/>
      <c r="AI1017" s="43"/>
      <c r="AJ1017" s="43"/>
      <c r="AK1017" s="44"/>
      <c r="AL1017" s="43"/>
      <c r="AM1017" s="43"/>
      <c r="AN1017" s="43"/>
      <c r="AO1017" s="142"/>
      <c r="AP1017" s="43"/>
      <c r="AQ1017" s="114"/>
      <c r="AR1017" s="114"/>
      <c r="AS1017" s="43"/>
      <c r="AT1017" s="39"/>
      <c r="AU1017" s="18"/>
      <c r="AV1017" s="18"/>
      <c r="AW1017" s="18"/>
      <c r="AX1017" s="123"/>
    </row>
    <row r="1018" spans="1:50" ht="25.5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1" t="s">
        <v>1103</v>
      </c>
      <c r="AB1018" s="42" t="s">
        <v>1228</v>
      </c>
      <c r="AC1018" s="43"/>
      <c r="AD1018" s="43"/>
      <c r="AE1018" s="43"/>
      <c r="AF1018" s="44"/>
      <c r="AG1018" s="44"/>
      <c r="AH1018" s="43"/>
      <c r="AI1018" s="43"/>
      <c r="AJ1018" s="43"/>
      <c r="AK1018" s="44"/>
      <c r="AL1018" s="43"/>
      <c r="AM1018" s="43"/>
      <c r="AN1018" s="43"/>
      <c r="AO1018" s="142"/>
      <c r="AP1018" s="43"/>
      <c r="AQ1018" s="114"/>
      <c r="AR1018" s="114"/>
      <c r="AS1018" s="43"/>
      <c r="AT1018" s="39"/>
      <c r="AU1018" s="18"/>
      <c r="AV1018" s="18"/>
      <c r="AW1018" s="18"/>
      <c r="AX1018" s="123"/>
    </row>
    <row r="1019" spans="1:50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73" t="s">
        <v>288</v>
      </c>
      <c r="AB1019" s="74" t="s">
        <v>1379</v>
      </c>
      <c r="AC1019" s="43"/>
      <c r="AD1019" s="43"/>
      <c r="AE1019" s="43"/>
      <c r="AF1019" s="44"/>
      <c r="AG1019" s="44"/>
      <c r="AH1019" s="43"/>
      <c r="AI1019" s="43"/>
      <c r="AJ1019" s="43"/>
      <c r="AK1019" s="44"/>
      <c r="AL1019" s="43"/>
      <c r="AM1019" s="43"/>
      <c r="AN1019" s="43"/>
      <c r="AO1019" s="43"/>
      <c r="AP1019" s="43"/>
      <c r="AQ1019" s="114"/>
      <c r="AR1019" s="114"/>
      <c r="AS1019" s="43"/>
      <c r="AT1019" s="39"/>
      <c r="AU1019" s="18"/>
      <c r="AV1019" s="18"/>
      <c r="AW1019" s="18"/>
      <c r="AX1019" s="123"/>
    </row>
    <row r="1020" spans="1:50" ht="25.5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1" t="s">
        <v>1380</v>
      </c>
      <c r="AB1020" s="42" t="s">
        <v>1104</v>
      </c>
      <c r="AC1020" s="43"/>
      <c r="AD1020" s="44">
        <v>0</v>
      </c>
      <c r="AE1020" s="44">
        <v>0</v>
      </c>
      <c r="AF1020" s="44">
        <v>0</v>
      </c>
      <c r="AG1020" s="43">
        <v>484793739.37</v>
      </c>
      <c r="AH1020" s="43">
        <v>0</v>
      </c>
      <c r="AI1020" s="43">
        <f>AE1020-AF1020+AG1020-AH1020</f>
        <v>484793739.37</v>
      </c>
      <c r="AJ1020" s="43">
        <f>AD1020+AI1020</f>
        <v>484793739.37</v>
      </c>
      <c r="AK1020" s="43">
        <v>0</v>
      </c>
      <c r="AL1020" s="43">
        <v>0</v>
      </c>
      <c r="AM1020" s="43">
        <v>484793739.37</v>
      </c>
      <c r="AN1020" s="43">
        <v>0</v>
      </c>
      <c r="AO1020" s="43">
        <v>0</v>
      </c>
      <c r="AP1020" s="44">
        <v>0</v>
      </c>
      <c r="AQ1020" s="44">
        <v>0</v>
      </c>
      <c r="AR1020" s="44">
        <v>0</v>
      </c>
      <c r="AS1020" s="44">
        <v>0</v>
      </c>
      <c r="AT1020" s="40">
        <f t="shared" ref="AT1020:AT1021" si="462">AQ1020+AS1020</f>
        <v>0</v>
      </c>
      <c r="AU1020" s="18">
        <f>AJ1020-AM1020</f>
        <v>0</v>
      </c>
      <c r="AV1020" s="18">
        <f>AM1020-AP1020</f>
        <v>484793739.37</v>
      </c>
      <c r="AW1020" s="34">
        <f>AP1020-AT1020</f>
        <v>0</v>
      </c>
      <c r="AX1020" s="123">
        <f>AP1020/AJ1020</f>
        <v>0</v>
      </c>
    </row>
    <row r="1021" spans="1:50" ht="25.5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1" t="s">
        <v>1422</v>
      </c>
      <c r="AB1021" s="42" t="s">
        <v>1104</v>
      </c>
      <c r="AC1021" s="43"/>
      <c r="AD1021" s="43">
        <v>0</v>
      </c>
      <c r="AE1021" s="44">
        <v>0</v>
      </c>
      <c r="AF1021" s="44">
        <v>0</v>
      </c>
      <c r="AG1021" s="43">
        <v>249946503</v>
      </c>
      <c r="AH1021" s="44">
        <v>0</v>
      </c>
      <c r="AI1021" s="43">
        <f t="shared" ref="AI1021" si="463">AE1021-AF1021+AG1021-AH1021</f>
        <v>249946503</v>
      </c>
      <c r="AJ1021" s="43">
        <f t="shared" ref="AJ1021" si="464">AD1021+AI1021</f>
        <v>249946503</v>
      </c>
      <c r="AK1021" s="43">
        <v>0</v>
      </c>
      <c r="AL1021" s="43">
        <v>249946503</v>
      </c>
      <c r="AM1021" s="43">
        <v>249946503</v>
      </c>
      <c r="AN1021" s="43">
        <v>0</v>
      </c>
      <c r="AO1021" s="43">
        <v>249946503</v>
      </c>
      <c r="AP1021" s="43">
        <v>249946503</v>
      </c>
      <c r="AQ1021" s="44">
        <v>0</v>
      </c>
      <c r="AR1021" s="44">
        <v>0</v>
      </c>
      <c r="AS1021" s="44">
        <v>0</v>
      </c>
      <c r="AT1021" s="40">
        <f t="shared" si="462"/>
        <v>0</v>
      </c>
      <c r="AU1021" s="34">
        <f>AJ1021-AM1021</f>
        <v>0</v>
      </c>
      <c r="AV1021" s="34">
        <f>AM1021-AP1021</f>
        <v>0</v>
      </c>
      <c r="AW1021" s="18">
        <f>AP1021-AT1021</f>
        <v>249946503</v>
      </c>
      <c r="AX1021" s="123">
        <f>AP1021/AJ1021</f>
        <v>1</v>
      </c>
    </row>
    <row r="1022" spans="1:50" ht="25.5" x14ac:dyDescent="0.2">
      <c r="AA1022" s="28" t="s">
        <v>288</v>
      </c>
      <c r="AB1022" s="29" t="s">
        <v>616</v>
      </c>
      <c r="AC1022" s="17"/>
      <c r="AD1022" s="18"/>
      <c r="AE1022" s="34"/>
      <c r="AF1022" s="34"/>
      <c r="AG1022" s="34"/>
      <c r="AH1022" s="34"/>
      <c r="AI1022" s="34"/>
      <c r="AJ1022" s="18"/>
      <c r="AK1022" s="18"/>
      <c r="AL1022" s="34"/>
      <c r="AM1022" s="18"/>
      <c r="AN1022" s="34"/>
      <c r="AO1022" s="18"/>
      <c r="AP1022" s="18"/>
      <c r="AQ1022" s="34"/>
      <c r="AR1022" s="18"/>
      <c r="AS1022" s="18"/>
      <c r="AT1022" s="30"/>
      <c r="AU1022" s="18"/>
      <c r="AV1022" s="18"/>
      <c r="AW1022" s="18"/>
      <c r="AX1022" s="18"/>
    </row>
    <row r="1023" spans="1:50" x14ac:dyDescent="0.2">
      <c r="A1023" s="4" t="s">
        <v>55</v>
      </c>
      <c r="B1023" s="4" t="s">
        <v>56</v>
      </c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1" t="s">
        <v>645</v>
      </c>
      <c r="AB1023" s="42" t="s">
        <v>618</v>
      </c>
      <c r="AC1023" s="43" t="s">
        <v>619</v>
      </c>
      <c r="AD1023" s="43">
        <v>2879425052</v>
      </c>
      <c r="AE1023" s="44">
        <v>0</v>
      </c>
      <c r="AF1023" s="44">
        <v>0</v>
      </c>
      <c r="AG1023" s="44">
        <v>0</v>
      </c>
      <c r="AH1023" s="43">
        <f>221572545+222721043+89810000</f>
        <v>534103588</v>
      </c>
      <c r="AI1023" s="43">
        <f>AE1023-AF1023+AG1023-AH1023</f>
        <v>-534103588</v>
      </c>
      <c r="AJ1023" s="43">
        <f>AD1023+AI1023</f>
        <v>2345321464</v>
      </c>
      <c r="AK1023" s="43">
        <v>0</v>
      </c>
      <c r="AL1023" s="43">
        <f>AM1023-OCTUBRE!AM1012</f>
        <v>-3143721.3699998856</v>
      </c>
      <c r="AM1023" s="114">
        <v>1851203083</v>
      </c>
      <c r="AN1023" s="115">
        <v>0</v>
      </c>
      <c r="AO1023" s="43">
        <v>0</v>
      </c>
      <c r="AP1023" s="43">
        <v>1851203083</v>
      </c>
      <c r="AQ1023" s="44">
        <v>0</v>
      </c>
      <c r="AR1023" s="43">
        <v>79742526</v>
      </c>
      <c r="AS1023" s="43">
        <v>290925059.19999999</v>
      </c>
      <c r="AT1023" s="39">
        <f t="shared" ref="AT1023:AT1027" si="465">AQ1023+AS1023</f>
        <v>290925059.19999999</v>
      </c>
      <c r="AU1023" s="18">
        <f>AJ1023-AM1023</f>
        <v>494118381</v>
      </c>
      <c r="AV1023" s="133">
        <f>AM1023-AP1023</f>
        <v>0</v>
      </c>
      <c r="AW1023" s="18">
        <f>AP1023-AT1023</f>
        <v>1560278023.8</v>
      </c>
      <c r="AX1023" s="123">
        <f>AP1023/AJ1023</f>
        <v>0.78931741827950963</v>
      </c>
    </row>
    <row r="1024" spans="1:50" ht="25.5" x14ac:dyDescent="0.2">
      <c r="A1024" s="4" t="s">
        <v>55</v>
      </c>
      <c r="B1024" s="4" t="s">
        <v>56</v>
      </c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1" t="s">
        <v>646</v>
      </c>
      <c r="AB1024" s="42" t="s">
        <v>647</v>
      </c>
      <c r="AC1024" s="43" t="s">
        <v>642</v>
      </c>
      <c r="AD1024" s="43">
        <v>404210000</v>
      </c>
      <c r="AE1024" s="44">
        <v>0</v>
      </c>
      <c r="AF1024" s="44">
        <v>0</v>
      </c>
      <c r="AG1024" s="44">
        <v>0</v>
      </c>
      <c r="AH1024" s="44">
        <v>0</v>
      </c>
      <c r="AI1024" s="44">
        <f t="shared" ref="AI1024:AI1026" si="466">AE1024-AF1024+AG1024-AH1024</f>
        <v>0</v>
      </c>
      <c r="AJ1024" s="43">
        <f t="shared" ref="AJ1024:AJ1026" si="467">AD1024+AI1024</f>
        <v>404210000</v>
      </c>
      <c r="AK1024" s="44">
        <v>0</v>
      </c>
      <c r="AL1024" s="43">
        <f>AM1024-OCTUBRE!AM1013</f>
        <v>3400000</v>
      </c>
      <c r="AM1024" s="114">
        <v>300443333.32999998</v>
      </c>
      <c r="AN1024" s="43">
        <v>0</v>
      </c>
      <c r="AO1024" s="43">
        <v>6400000</v>
      </c>
      <c r="AP1024" s="43">
        <v>300443333.32999998</v>
      </c>
      <c r="AQ1024" s="44">
        <v>1900000</v>
      </c>
      <c r="AR1024" s="43">
        <v>18220000</v>
      </c>
      <c r="AS1024" s="43">
        <v>213933516.63</v>
      </c>
      <c r="AT1024" s="39">
        <f t="shared" si="465"/>
        <v>215833516.63</v>
      </c>
      <c r="AU1024" s="18">
        <f>AJ1024-AM1024</f>
        <v>103766666.67000002</v>
      </c>
      <c r="AV1024" s="34">
        <f>AM1024-AP1024</f>
        <v>0</v>
      </c>
      <c r="AW1024" s="18">
        <f>AP1024-AT1024</f>
        <v>84609816.699999988</v>
      </c>
      <c r="AX1024" s="123">
        <f>AP1024/AJ1024</f>
        <v>0.74328525600554163</v>
      </c>
    </row>
    <row r="1025" spans="1:50" ht="25.5" x14ac:dyDescent="0.2">
      <c r="A1025" s="4" t="s">
        <v>55</v>
      </c>
      <c r="B1025" s="4" t="s">
        <v>56</v>
      </c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1" t="s">
        <v>648</v>
      </c>
      <c r="AB1025" s="42" t="s">
        <v>649</v>
      </c>
      <c r="AC1025" s="43" t="s">
        <v>650</v>
      </c>
      <c r="AD1025" s="43">
        <v>425000000</v>
      </c>
      <c r="AE1025" s="44">
        <v>0</v>
      </c>
      <c r="AF1025" s="44">
        <v>0</v>
      </c>
      <c r="AG1025" s="44">
        <v>0</v>
      </c>
      <c r="AH1025" s="44">
        <v>0</v>
      </c>
      <c r="AI1025" s="44">
        <f t="shared" si="466"/>
        <v>0</v>
      </c>
      <c r="AJ1025" s="43">
        <f t="shared" si="467"/>
        <v>425000000</v>
      </c>
      <c r="AK1025" s="44">
        <v>0</v>
      </c>
      <c r="AL1025" s="43">
        <f>AM1025-OCTUBRE!AM1014</f>
        <v>1860000</v>
      </c>
      <c r="AM1025" s="114">
        <v>182446666.68000001</v>
      </c>
      <c r="AN1025" s="43">
        <v>0</v>
      </c>
      <c r="AO1025" s="43">
        <v>1860000</v>
      </c>
      <c r="AP1025" s="43">
        <v>182446666.68000001</v>
      </c>
      <c r="AQ1025" s="43">
        <v>3500000</v>
      </c>
      <c r="AR1025" s="43">
        <v>15180000</v>
      </c>
      <c r="AS1025" s="43">
        <v>148306668</v>
      </c>
      <c r="AT1025" s="39">
        <f t="shared" si="465"/>
        <v>151806668</v>
      </c>
      <c r="AU1025" s="18">
        <f>AJ1025-AM1025</f>
        <v>242553333.31999999</v>
      </c>
      <c r="AV1025" s="133">
        <f>AM1025-AP1025</f>
        <v>0</v>
      </c>
      <c r="AW1025" s="18">
        <f>AP1025-AT1025</f>
        <v>30639998.680000007</v>
      </c>
      <c r="AX1025" s="123">
        <f>AP1025/AJ1025</f>
        <v>0.42928627454117646</v>
      </c>
    </row>
    <row r="1026" spans="1:50" ht="25.5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1" t="s">
        <v>1105</v>
      </c>
      <c r="AB1026" s="42" t="s">
        <v>1106</v>
      </c>
      <c r="AC1026" s="43"/>
      <c r="AD1026" s="44">
        <v>0</v>
      </c>
      <c r="AE1026" s="43">
        <v>997743934.5</v>
      </c>
      <c r="AF1026" s="44">
        <v>0</v>
      </c>
      <c r="AG1026" s="44">
        <v>0</v>
      </c>
      <c r="AH1026" s="43">
        <f>502000000+200000000</f>
        <v>702000000</v>
      </c>
      <c r="AI1026" s="43">
        <f t="shared" si="466"/>
        <v>295743934.5</v>
      </c>
      <c r="AJ1026" s="43">
        <f t="shared" si="467"/>
        <v>295743934.5</v>
      </c>
      <c r="AK1026" s="44">
        <v>0</v>
      </c>
      <c r="AL1026" s="43">
        <f>AM1026-OCTUBRE!AM1015</f>
        <v>0</v>
      </c>
      <c r="AM1026" s="115">
        <v>0</v>
      </c>
      <c r="AN1026" s="115">
        <v>0</v>
      </c>
      <c r="AO1026" s="44">
        <v>0</v>
      </c>
      <c r="AP1026" s="44">
        <v>0</v>
      </c>
      <c r="AQ1026" s="44">
        <v>0</v>
      </c>
      <c r="AR1026" s="44">
        <v>0</v>
      </c>
      <c r="AS1026" s="44">
        <v>0</v>
      </c>
      <c r="AT1026" s="40">
        <f t="shared" si="465"/>
        <v>0</v>
      </c>
      <c r="AU1026" s="18">
        <f>AJ1026-AM1026</f>
        <v>295743934.5</v>
      </c>
      <c r="AV1026" s="133">
        <f>AM1026-AP1026</f>
        <v>0</v>
      </c>
      <c r="AW1026" s="34">
        <f>AP1026-AT1026</f>
        <v>0</v>
      </c>
      <c r="AX1026" s="123">
        <f>AP1026/AJ1026</f>
        <v>0</v>
      </c>
    </row>
    <row r="1027" spans="1:50" ht="25.5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1" t="s">
        <v>1107</v>
      </c>
      <c r="AB1027" s="42" t="s">
        <v>1108</v>
      </c>
      <c r="AC1027" s="43"/>
      <c r="AD1027" s="44">
        <v>0</v>
      </c>
      <c r="AE1027" s="43">
        <v>997743934.5</v>
      </c>
      <c r="AF1027" s="44">
        <v>0</v>
      </c>
      <c r="AG1027" s="44">
        <v>0</v>
      </c>
      <c r="AH1027" s="44">
        <v>0</v>
      </c>
      <c r="AI1027" s="43">
        <f>AE1027-AF1027+AG1027-AH1027</f>
        <v>997743934.5</v>
      </c>
      <c r="AJ1027" s="43">
        <f>AD1027+AI1027</f>
        <v>997743934.5</v>
      </c>
      <c r="AK1027" s="44">
        <v>0</v>
      </c>
      <c r="AL1027" s="43">
        <f>AM1027-OCTUBRE!AM1016</f>
        <v>0</v>
      </c>
      <c r="AM1027" s="43">
        <v>389597406.32999998</v>
      </c>
      <c r="AN1027" s="115">
        <v>0</v>
      </c>
      <c r="AO1027" s="43">
        <v>0</v>
      </c>
      <c r="AP1027" s="43">
        <v>389597406.32999998</v>
      </c>
      <c r="AQ1027" s="44">
        <v>0</v>
      </c>
      <c r="AR1027" s="43">
        <v>2500000</v>
      </c>
      <c r="AS1027" s="43">
        <v>4250000</v>
      </c>
      <c r="AT1027" s="39">
        <f t="shared" si="465"/>
        <v>4250000</v>
      </c>
      <c r="AU1027" s="18">
        <f>AJ1027-AM1027</f>
        <v>608146528.17000008</v>
      </c>
      <c r="AV1027" s="18">
        <f>AM1027-AP1027</f>
        <v>0</v>
      </c>
      <c r="AW1027" s="18">
        <f>AP1027-AT1027</f>
        <v>385347406.32999998</v>
      </c>
      <c r="AX1027" s="123">
        <f>AP1027/AJ1027</f>
        <v>0.39047835106633766</v>
      </c>
    </row>
    <row r="1028" spans="1:50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1"/>
      <c r="AB1028" s="42"/>
      <c r="AC1028" s="43"/>
      <c r="AD1028" s="44"/>
      <c r="AE1028" s="43"/>
      <c r="AF1028" s="44"/>
      <c r="AG1028" s="44"/>
      <c r="AH1028" s="44"/>
      <c r="AI1028" s="43"/>
      <c r="AJ1028" s="43"/>
      <c r="AK1028" s="44"/>
      <c r="AL1028" s="43"/>
      <c r="AM1028" s="43"/>
      <c r="AN1028" s="115"/>
      <c r="AO1028" s="43"/>
      <c r="AP1028" s="43"/>
      <c r="AQ1028" s="44"/>
      <c r="AR1028" s="44"/>
      <c r="AS1028" s="44"/>
      <c r="AT1028" s="40"/>
      <c r="AU1028" s="18"/>
      <c r="AV1028" s="18"/>
      <c r="AW1028" s="18"/>
      <c r="AX1028" s="123"/>
    </row>
    <row r="1029" spans="1:50" x14ac:dyDescent="0.2">
      <c r="AA1029" s="16"/>
      <c r="AB1029" s="29" t="s">
        <v>199</v>
      </c>
      <c r="AC1029" s="17"/>
      <c r="AD1029" s="18"/>
      <c r="AE1029" s="34"/>
      <c r="AF1029" s="34"/>
      <c r="AG1029" s="34"/>
      <c r="AH1029" s="34"/>
      <c r="AI1029" s="34"/>
      <c r="AJ1029" s="18"/>
      <c r="AK1029" s="34"/>
      <c r="AL1029" s="34"/>
      <c r="AM1029" s="34"/>
      <c r="AN1029" s="34"/>
      <c r="AO1029" s="34"/>
      <c r="AP1029" s="34"/>
      <c r="AQ1029" s="18"/>
      <c r="AR1029" s="18"/>
      <c r="AS1029" s="18"/>
      <c r="AT1029" s="30"/>
      <c r="AU1029" s="18"/>
      <c r="AV1029" s="18"/>
      <c r="AW1029" s="18"/>
      <c r="AX1029" s="18"/>
    </row>
    <row r="1030" spans="1:50" ht="25.5" x14ac:dyDescent="0.2">
      <c r="AA1030" s="28" t="s">
        <v>288</v>
      </c>
      <c r="AB1030" s="29" t="s">
        <v>616</v>
      </c>
      <c r="AC1030" s="17"/>
      <c r="AD1030" s="18"/>
      <c r="AE1030" s="34"/>
      <c r="AF1030" s="34"/>
      <c r="AG1030" s="34"/>
      <c r="AH1030" s="34"/>
      <c r="AI1030" s="34"/>
      <c r="AJ1030" s="18"/>
      <c r="AK1030" s="34"/>
      <c r="AL1030" s="34"/>
      <c r="AM1030" s="34"/>
      <c r="AN1030" s="34"/>
      <c r="AO1030" s="34"/>
      <c r="AP1030" s="34"/>
      <c r="AQ1030" s="18"/>
      <c r="AR1030" s="18"/>
      <c r="AS1030" s="18"/>
      <c r="AT1030" s="30"/>
      <c r="AU1030" s="18"/>
      <c r="AV1030" s="18"/>
      <c r="AW1030" s="18"/>
      <c r="AX1030" s="18"/>
    </row>
    <row r="1031" spans="1:50" x14ac:dyDescent="0.2">
      <c r="A1031" s="4" t="s">
        <v>55</v>
      </c>
      <c r="B1031" s="4" t="s">
        <v>56</v>
      </c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134" t="s">
        <v>651</v>
      </c>
      <c r="AB1031" s="42" t="s">
        <v>618</v>
      </c>
      <c r="AC1031" s="43" t="s">
        <v>619</v>
      </c>
      <c r="AD1031" s="43">
        <v>408029872</v>
      </c>
      <c r="AE1031" s="44">
        <v>0</v>
      </c>
      <c r="AF1031" s="44">
        <v>0</v>
      </c>
      <c r="AG1031" s="44">
        <v>0</v>
      </c>
      <c r="AH1031" s="43">
        <v>408029872</v>
      </c>
      <c r="AI1031" s="43">
        <f>AE1031-AF1031+AG1031-AH1031</f>
        <v>-408029872</v>
      </c>
      <c r="AJ1031" s="44">
        <f>AD1031+AI1031</f>
        <v>0</v>
      </c>
      <c r="AK1031" s="44">
        <v>0</v>
      </c>
      <c r="AL1031" s="44">
        <v>0</v>
      </c>
      <c r="AM1031" s="44">
        <v>0</v>
      </c>
      <c r="AN1031" s="44">
        <v>0</v>
      </c>
      <c r="AO1031" s="44">
        <v>0</v>
      </c>
      <c r="AP1031" s="44">
        <v>0</v>
      </c>
      <c r="AQ1031" s="44">
        <v>0</v>
      </c>
      <c r="AR1031" s="44">
        <v>0</v>
      </c>
      <c r="AS1031" s="44">
        <v>0</v>
      </c>
      <c r="AT1031" s="40">
        <f t="shared" ref="AT1031:AT1032" si="468">AQ1031+AS1031</f>
        <v>0</v>
      </c>
      <c r="AU1031" s="34">
        <f>AJ1031-AM1031</f>
        <v>0</v>
      </c>
      <c r="AV1031" s="133">
        <f>AM1031-AP1031</f>
        <v>0</v>
      </c>
      <c r="AW1031" s="34">
        <f>AP1031-AT1031</f>
        <v>0</v>
      </c>
      <c r="AX1031" s="123">
        <v>0</v>
      </c>
    </row>
    <row r="1032" spans="1:50" ht="38.25" x14ac:dyDescent="0.2">
      <c r="A1032" s="4" t="s">
        <v>55</v>
      </c>
      <c r="B1032" s="4" t="s">
        <v>56</v>
      </c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1" t="s">
        <v>652</v>
      </c>
      <c r="AB1032" s="42" t="s">
        <v>653</v>
      </c>
      <c r="AC1032" s="43" t="s">
        <v>368</v>
      </c>
      <c r="AD1032" s="43">
        <v>159146685.47999999</v>
      </c>
      <c r="AE1032" s="44">
        <v>0</v>
      </c>
      <c r="AF1032" s="44">
        <v>0</v>
      </c>
      <c r="AG1032" s="44">
        <v>0</v>
      </c>
      <c r="AH1032" s="44">
        <v>0</v>
      </c>
      <c r="AI1032" s="44">
        <f>AE1032-AF1032+AG1032-AH1032</f>
        <v>0</v>
      </c>
      <c r="AJ1032" s="43">
        <f>AD1032+AI1032</f>
        <v>159146685.47999999</v>
      </c>
      <c r="AK1032" s="43">
        <v>0</v>
      </c>
      <c r="AL1032" s="43">
        <f>AM1032-OCTUBRE!AM1021</f>
        <v>0</v>
      </c>
      <c r="AM1032" s="43">
        <v>70000000</v>
      </c>
      <c r="AN1032" s="43">
        <v>0</v>
      </c>
      <c r="AO1032" s="43">
        <v>70000000</v>
      </c>
      <c r="AP1032" s="43">
        <v>70000000</v>
      </c>
      <c r="AQ1032" s="44">
        <v>0</v>
      </c>
      <c r="AR1032" s="44">
        <v>0</v>
      </c>
      <c r="AS1032" s="44">
        <v>0</v>
      </c>
      <c r="AT1032" s="40">
        <f t="shared" si="468"/>
        <v>0</v>
      </c>
      <c r="AU1032" s="18">
        <f>AJ1032-AM1032</f>
        <v>89146685.479999989</v>
      </c>
      <c r="AV1032" s="34">
        <f>AM1032-AP1032</f>
        <v>0</v>
      </c>
      <c r="AW1032" s="18">
        <f>AP1032-AT1032</f>
        <v>70000000</v>
      </c>
      <c r="AX1032" s="123">
        <f>AP1032/AJ1032</f>
        <v>0.43984579250817585</v>
      </c>
    </row>
    <row r="1033" spans="1:50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73" t="s">
        <v>288</v>
      </c>
      <c r="AB1033" s="74" t="s">
        <v>487</v>
      </c>
      <c r="AC1033" s="43"/>
      <c r="AD1033" s="43"/>
      <c r="AE1033" s="44"/>
      <c r="AF1033" s="44"/>
      <c r="AG1033" s="44"/>
      <c r="AH1033" s="44"/>
      <c r="AI1033" s="44"/>
      <c r="AJ1033" s="43"/>
      <c r="AK1033" s="44"/>
      <c r="AL1033" s="43"/>
      <c r="AM1033" s="43"/>
      <c r="AN1033" s="44"/>
      <c r="AO1033" s="44"/>
      <c r="AP1033" s="43"/>
      <c r="AQ1033" s="18"/>
      <c r="AR1033" s="18"/>
      <c r="AS1033" s="18"/>
      <c r="AT1033" s="111"/>
      <c r="AU1033" s="18"/>
      <c r="AV1033" s="133"/>
      <c r="AW1033" s="18"/>
      <c r="AX1033" s="123"/>
    </row>
    <row r="1034" spans="1:50" ht="25.5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1" t="s">
        <v>1333</v>
      </c>
      <c r="AB1034" s="42" t="s">
        <v>1359</v>
      </c>
      <c r="AC1034" s="43"/>
      <c r="AD1034" s="43">
        <v>0</v>
      </c>
      <c r="AE1034" s="44">
        <v>0</v>
      </c>
      <c r="AF1034" s="44">
        <v>0</v>
      </c>
      <c r="AG1034" s="43">
        <v>1415207179.1400001</v>
      </c>
      <c r="AH1034" s="44">
        <v>0</v>
      </c>
      <c r="AI1034" s="43">
        <f>AE1034-AF1034+AG1034-AH1034</f>
        <v>1415207179.1400001</v>
      </c>
      <c r="AJ1034" s="43">
        <f>AD1034+AI1034</f>
        <v>1415207179.1400001</v>
      </c>
      <c r="AK1034" s="44">
        <v>0</v>
      </c>
      <c r="AL1034" s="43">
        <f>AM1034-OCTUBRE!AM1023</f>
        <v>-39068816.410000086</v>
      </c>
      <c r="AM1034" s="43">
        <v>1237990535</v>
      </c>
      <c r="AN1034" s="44">
        <v>0</v>
      </c>
      <c r="AO1034" s="43">
        <v>1237990535</v>
      </c>
      <c r="AP1034" s="43">
        <v>1237990535</v>
      </c>
      <c r="AQ1034" s="34">
        <v>0</v>
      </c>
      <c r="AR1034" s="34">
        <v>0</v>
      </c>
      <c r="AS1034" s="34">
        <v>0</v>
      </c>
      <c r="AT1034" s="135">
        <f t="shared" ref="AT1034" si="469">AQ1034+AS1034</f>
        <v>0</v>
      </c>
      <c r="AU1034" s="18">
        <f>AJ1034-AM1034</f>
        <v>177216644.1400001</v>
      </c>
      <c r="AV1034" s="34">
        <f>AM1034-AP1034</f>
        <v>0</v>
      </c>
      <c r="AW1034" s="18">
        <f>AP1034-AT1034</f>
        <v>1237990535</v>
      </c>
      <c r="AX1034" s="123">
        <f>AP1034/AJ1034</f>
        <v>0.87477689008920101</v>
      </c>
    </row>
    <row r="1035" spans="1:50" x14ac:dyDescent="0.2">
      <c r="AA1035" s="16"/>
      <c r="AB1035" s="29" t="s">
        <v>654</v>
      </c>
      <c r="AC1035" s="17"/>
      <c r="AD1035" s="18"/>
      <c r="AE1035" s="34"/>
      <c r="AF1035" s="34"/>
      <c r="AG1035" s="34"/>
      <c r="AH1035" s="34"/>
      <c r="AI1035" s="34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30"/>
      <c r="AU1035" s="18"/>
      <c r="AV1035" s="18"/>
      <c r="AW1035" s="18"/>
      <c r="AX1035" s="18"/>
    </row>
    <row r="1036" spans="1:50" x14ac:dyDescent="0.2">
      <c r="AA1036" s="16"/>
      <c r="AB1036" s="29" t="s">
        <v>614</v>
      </c>
      <c r="AC1036" s="17"/>
      <c r="AD1036" s="18"/>
      <c r="AE1036" s="34"/>
      <c r="AF1036" s="34"/>
      <c r="AG1036" s="34"/>
      <c r="AH1036" s="34"/>
      <c r="AI1036" s="34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30"/>
      <c r="AU1036" s="18"/>
      <c r="AV1036" s="18"/>
      <c r="AW1036" s="18"/>
      <c r="AX1036" s="18"/>
    </row>
    <row r="1037" spans="1:50" x14ac:dyDescent="0.2">
      <c r="AA1037" s="16"/>
      <c r="AB1037" s="29" t="s">
        <v>286</v>
      </c>
      <c r="AC1037" s="17"/>
      <c r="AD1037" s="18"/>
      <c r="AE1037" s="34"/>
      <c r="AF1037" s="34"/>
      <c r="AG1037" s="34"/>
      <c r="AH1037" s="34"/>
      <c r="AI1037" s="34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30"/>
      <c r="AU1037" s="18"/>
      <c r="AV1037" s="18"/>
      <c r="AW1037" s="18"/>
      <c r="AX1037" s="18"/>
    </row>
    <row r="1038" spans="1:50" x14ac:dyDescent="0.2">
      <c r="AA1038" s="16"/>
      <c r="AB1038" s="29" t="s">
        <v>181</v>
      </c>
      <c r="AC1038" s="17"/>
      <c r="AD1038" s="18"/>
      <c r="AE1038" s="34"/>
      <c r="AF1038" s="34"/>
      <c r="AG1038" s="34"/>
      <c r="AH1038" s="34"/>
      <c r="AI1038" s="34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30"/>
      <c r="AU1038" s="18"/>
      <c r="AV1038" s="18"/>
      <c r="AW1038" s="18"/>
      <c r="AX1038" s="18"/>
    </row>
    <row r="1039" spans="1:50" ht="25.5" x14ac:dyDescent="0.2">
      <c r="AA1039" s="16"/>
      <c r="AB1039" s="29" t="s">
        <v>637</v>
      </c>
      <c r="AC1039" s="17"/>
      <c r="AD1039" s="18"/>
      <c r="AE1039" s="34"/>
      <c r="AF1039" s="34"/>
      <c r="AG1039" s="34"/>
      <c r="AH1039" s="34"/>
      <c r="AI1039" s="34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30"/>
      <c r="AU1039" s="18"/>
      <c r="AV1039" s="18"/>
      <c r="AW1039" s="18"/>
      <c r="AX1039" s="18"/>
    </row>
    <row r="1040" spans="1:50" ht="25.5" x14ac:dyDescent="0.2">
      <c r="AA1040" s="28" t="s">
        <v>288</v>
      </c>
      <c r="AB1040" s="29" t="s">
        <v>655</v>
      </c>
      <c r="AC1040" s="17"/>
      <c r="AD1040" s="18"/>
      <c r="AE1040" s="34"/>
      <c r="AF1040" s="34"/>
      <c r="AG1040" s="34"/>
      <c r="AH1040" s="34"/>
      <c r="AI1040" s="34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30"/>
      <c r="AU1040" s="18"/>
      <c r="AV1040" s="18"/>
      <c r="AW1040" s="18"/>
      <c r="AX1040" s="18"/>
    </row>
    <row r="1041" spans="1:50" x14ac:dyDescent="0.2">
      <c r="A1041" s="4" t="s">
        <v>55</v>
      </c>
      <c r="B1041" s="4" t="s">
        <v>56</v>
      </c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1" t="s">
        <v>656</v>
      </c>
      <c r="AB1041" s="42" t="s">
        <v>233</v>
      </c>
      <c r="AC1041" s="43" t="s">
        <v>58</v>
      </c>
      <c r="AD1041" s="43">
        <v>800000000</v>
      </c>
      <c r="AE1041" s="44">
        <v>0</v>
      </c>
      <c r="AF1041" s="44">
        <v>0</v>
      </c>
      <c r="AG1041" s="44">
        <v>0</v>
      </c>
      <c r="AH1041" s="44">
        <v>0</v>
      </c>
      <c r="AI1041" s="44">
        <v>0</v>
      </c>
      <c r="AJ1041" s="43">
        <v>800000000</v>
      </c>
      <c r="AK1041" s="44">
        <v>0</v>
      </c>
      <c r="AL1041" s="44">
        <v>0</v>
      </c>
      <c r="AM1041" s="44">
        <v>0</v>
      </c>
      <c r="AN1041" s="44">
        <v>0</v>
      </c>
      <c r="AO1041" s="44">
        <v>0</v>
      </c>
      <c r="AP1041" s="44">
        <v>0</v>
      </c>
      <c r="AQ1041" s="44">
        <v>0</v>
      </c>
      <c r="AR1041" s="44">
        <v>0</v>
      </c>
      <c r="AS1041" s="44">
        <v>0</v>
      </c>
      <c r="AT1041" s="40">
        <f t="shared" ref="AT1041" si="470">AQ1041+AS1041</f>
        <v>0</v>
      </c>
      <c r="AU1041" s="18">
        <f>AJ1041-AM1041</f>
        <v>800000000</v>
      </c>
      <c r="AV1041" s="34">
        <f>AM1041-AP1041</f>
        <v>0</v>
      </c>
      <c r="AW1041" s="34">
        <f>AP1041-AT1041</f>
        <v>0</v>
      </c>
      <c r="AX1041" s="123">
        <f>AP1041/AJ1041</f>
        <v>0</v>
      </c>
    </row>
    <row r="1042" spans="1:50" ht="18.75" customHeight="1" x14ac:dyDescent="0.2">
      <c r="AA1042" s="16"/>
      <c r="AB1042" s="29" t="s">
        <v>189</v>
      </c>
      <c r="AC1042" s="17"/>
      <c r="AD1042" s="18"/>
      <c r="AE1042" s="34"/>
      <c r="AF1042" s="34"/>
      <c r="AG1042" s="34"/>
      <c r="AH1042" s="34"/>
      <c r="AI1042" s="34"/>
      <c r="AJ1042" s="18"/>
      <c r="AK1042" s="18"/>
      <c r="AL1042" s="34"/>
      <c r="AM1042" s="18"/>
      <c r="AN1042" s="18"/>
      <c r="AO1042" s="18"/>
      <c r="AP1042" s="18"/>
      <c r="AQ1042" s="18"/>
      <c r="AR1042" s="18"/>
      <c r="AS1042" s="18"/>
      <c r="AT1042" s="30"/>
      <c r="AU1042" s="18"/>
      <c r="AV1042" s="18"/>
      <c r="AW1042" s="18"/>
      <c r="AX1042" s="18"/>
    </row>
    <row r="1043" spans="1:50" ht="38.25" x14ac:dyDescent="0.2">
      <c r="AA1043" s="16"/>
      <c r="AB1043" s="29" t="s">
        <v>193</v>
      </c>
      <c r="AC1043" s="17"/>
      <c r="AD1043" s="18"/>
      <c r="AE1043" s="34"/>
      <c r="AF1043" s="34"/>
      <c r="AG1043" s="34"/>
      <c r="AH1043" s="34"/>
      <c r="AI1043" s="34"/>
      <c r="AJ1043" s="18"/>
      <c r="AK1043" s="18"/>
      <c r="AL1043" s="34"/>
      <c r="AM1043" s="18"/>
      <c r="AN1043" s="18"/>
      <c r="AO1043" s="18"/>
      <c r="AP1043" s="18"/>
      <c r="AQ1043" s="18"/>
      <c r="AR1043" s="18"/>
      <c r="AS1043" s="18"/>
      <c r="AT1043" s="30"/>
      <c r="AU1043" s="18"/>
      <c r="AV1043" s="18"/>
      <c r="AW1043" s="18"/>
      <c r="AX1043" s="18"/>
    </row>
    <row r="1044" spans="1:50" ht="25.5" x14ac:dyDescent="0.2">
      <c r="AA1044" s="28" t="s">
        <v>288</v>
      </c>
      <c r="AB1044" s="29" t="s">
        <v>616</v>
      </c>
      <c r="AC1044" s="17"/>
      <c r="AD1044" s="18"/>
      <c r="AE1044" s="34"/>
      <c r="AF1044" s="34"/>
      <c r="AG1044" s="34"/>
      <c r="AH1044" s="34"/>
      <c r="AI1044" s="34"/>
      <c r="AJ1044" s="18"/>
      <c r="AK1044" s="18"/>
      <c r="AL1044" s="34"/>
      <c r="AM1044" s="18"/>
      <c r="AN1044" s="18"/>
      <c r="AO1044" s="18"/>
      <c r="AP1044" s="18"/>
      <c r="AQ1044" s="18"/>
      <c r="AR1044" s="147"/>
      <c r="AS1044" s="18"/>
      <c r="AT1044" s="30"/>
      <c r="AU1044" s="18"/>
      <c r="AV1044" s="18"/>
      <c r="AW1044" s="18"/>
      <c r="AX1044" s="18"/>
    </row>
    <row r="1045" spans="1:50" x14ac:dyDescent="0.2">
      <c r="A1045" s="4" t="s">
        <v>37</v>
      </c>
      <c r="B1045" s="4" t="s">
        <v>37</v>
      </c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1" t="s">
        <v>657</v>
      </c>
      <c r="AB1045" s="42" t="s">
        <v>233</v>
      </c>
      <c r="AC1045" s="43" t="s">
        <v>58</v>
      </c>
      <c r="AD1045" s="43">
        <v>400000000</v>
      </c>
      <c r="AE1045" s="44">
        <v>0</v>
      </c>
      <c r="AF1045" s="44">
        <v>0</v>
      </c>
      <c r="AG1045" s="44">
        <v>0</v>
      </c>
      <c r="AH1045" s="44">
        <v>0</v>
      </c>
      <c r="AI1045" s="44">
        <v>0</v>
      </c>
      <c r="AJ1045" s="43">
        <v>400000000</v>
      </c>
      <c r="AK1045" s="44">
        <v>0</v>
      </c>
      <c r="AL1045" s="44">
        <v>0</v>
      </c>
      <c r="AM1045" s="43">
        <v>399068768</v>
      </c>
      <c r="AN1045" s="44">
        <v>0</v>
      </c>
      <c r="AO1045" s="44">
        <v>0</v>
      </c>
      <c r="AP1045" s="43">
        <v>399068768</v>
      </c>
      <c r="AQ1045" s="44">
        <v>0</v>
      </c>
      <c r="AR1045" s="143">
        <v>0</v>
      </c>
      <c r="AS1045" s="43">
        <v>399068768</v>
      </c>
      <c r="AT1045" s="39">
        <f t="shared" ref="AT1045:AT1046" si="471">AQ1045+AS1045</f>
        <v>399068768</v>
      </c>
      <c r="AU1045" s="18">
        <f>AJ1045-AM1045</f>
        <v>931232</v>
      </c>
      <c r="AV1045" s="34">
        <f>AM1045-AP1045</f>
        <v>0</v>
      </c>
      <c r="AW1045" s="18">
        <f>AP1045-AT1045</f>
        <v>0</v>
      </c>
      <c r="AX1045" s="123">
        <f>AP1045/AJ1045</f>
        <v>0.99767192000000005</v>
      </c>
    </row>
    <row r="1046" spans="1:50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1" t="s">
        <v>1226</v>
      </c>
      <c r="AB1046" s="42" t="s">
        <v>1110</v>
      </c>
      <c r="AC1046" s="43"/>
      <c r="AD1046" s="43">
        <v>0</v>
      </c>
      <c r="AE1046" s="44">
        <v>0</v>
      </c>
      <c r="AF1046" s="44">
        <v>0</v>
      </c>
      <c r="AG1046" s="43">
        <v>502777408.16000003</v>
      </c>
      <c r="AH1046" s="44">
        <v>0</v>
      </c>
      <c r="AI1046" s="43">
        <f>AE1046-AF1046+AG1046-AH1046</f>
        <v>502777408.16000003</v>
      </c>
      <c r="AJ1046" s="43">
        <f>AD1046+AI1046</f>
        <v>502777408.16000003</v>
      </c>
      <c r="AK1046" s="44">
        <v>0</v>
      </c>
      <c r="AL1046" s="44">
        <f>AM1046-OCTUBRE!AM1035</f>
        <v>-6732</v>
      </c>
      <c r="AM1046" s="43">
        <v>501778012</v>
      </c>
      <c r="AN1046" s="44">
        <v>0</v>
      </c>
      <c r="AO1046" s="44">
        <v>-6732</v>
      </c>
      <c r="AP1046" s="43">
        <v>501778012</v>
      </c>
      <c r="AQ1046" s="44">
        <v>0</v>
      </c>
      <c r="AR1046" s="142">
        <v>0</v>
      </c>
      <c r="AS1046" s="43">
        <v>307686777</v>
      </c>
      <c r="AT1046" s="39">
        <f t="shared" si="471"/>
        <v>307686777</v>
      </c>
      <c r="AU1046" s="18">
        <f>AJ1046-AM1046</f>
        <v>999396.16000002623</v>
      </c>
      <c r="AV1046" s="34">
        <f>AM1046-AP1046</f>
        <v>0</v>
      </c>
      <c r="AW1046" s="18">
        <f>AP1046-AT1046</f>
        <v>194091235</v>
      </c>
      <c r="AX1046" s="123">
        <f>AP1046/AJ1046</f>
        <v>0.99801224927019394</v>
      </c>
    </row>
    <row r="1047" spans="1:50" x14ac:dyDescent="0.2">
      <c r="AA1047" s="16"/>
      <c r="AB1047" s="17"/>
      <c r="AC1047" s="17"/>
      <c r="AD1047" s="18"/>
      <c r="AE1047" s="34"/>
      <c r="AF1047" s="34"/>
      <c r="AG1047" s="34"/>
      <c r="AH1047" s="34"/>
      <c r="AI1047" s="34"/>
      <c r="AJ1047" s="18"/>
      <c r="AK1047" s="18"/>
      <c r="AL1047" s="18"/>
      <c r="AM1047" s="18"/>
      <c r="AN1047" s="18"/>
      <c r="AO1047" s="34"/>
      <c r="AP1047" s="18"/>
      <c r="AQ1047" s="18"/>
      <c r="AR1047" s="147"/>
      <c r="AS1047" s="18"/>
      <c r="AT1047" s="30"/>
      <c r="AU1047" s="18"/>
      <c r="AV1047" s="34"/>
      <c r="AW1047" s="34"/>
      <c r="AX1047" s="18"/>
    </row>
    <row r="1048" spans="1:50" ht="25.5" x14ac:dyDescent="0.2">
      <c r="AA1048" s="16"/>
      <c r="AB1048" s="29" t="s">
        <v>197</v>
      </c>
      <c r="AC1048" s="17"/>
      <c r="AD1048" s="18"/>
      <c r="AE1048" s="34"/>
      <c r="AF1048" s="34"/>
      <c r="AG1048" s="34"/>
      <c r="AH1048" s="34"/>
      <c r="AI1048" s="34"/>
      <c r="AJ1048" s="18"/>
      <c r="AK1048" s="18"/>
      <c r="AL1048" s="18"/>
      <c r="AM1048" s="18"/>
      <c r="AN1048" s="18"/>
      <c r="AO1048" s="18"/>
      <c r="AP1048" s="18"/>
      <c r="AQ1048" s="18"/>
      <c r="AR1048" s="147"/>
      <c r="AS1048" s="18"/>
      <c r="AT1048" s="30"/>
      <c r="AU1048" s="18"/>
      <c r="AV1048" s="34"/>
      <c r="AW1048" s="34"/>
      <c r="AX1048" s="18"/>
    </row>
    <row r="1049" spans="1:50" ht="25.5" x14ac:dyDescent="0.2">
      <c r="AA1049" s="28" t="s">
        <v>288</v>
      </c>
      <c r="AB1049" s="29" t="s">
        <v>616</v>
      </c>
      <c r="AC1049" s="17"/>
      <c r="AD1049" s="18"/>
      <c r="AE1049" s="34"/>
      <c r="AF1049" s="34"/>
      <c r="AG1049" s="34"/>
      <c r="AH1049" s="34"/>
      <c r="AI1049" s="34"/>
      <c r="AJ1049" s="18"/>
      <c r="AK1049" s="18"/>
      <c r="AL1049" s="18"/>
      <c r="AM1049" s="18"/>
      <c r="AN1049" s="18"/>
      <c r="AO1049" s="18"/>
      <c r="AP1049" s="18"/>
      <c r="AQ1049" s="18"/>
      <c r="AR1049" s="147"/>
      <c r="AS1049" s="18"/>
      <c r="AT1049" s="30"/>
      <c r="AU1049" s="18"/>
      <c r="AV1049" s="34"/>
      <c r="AW1049" s="34"/>
      <c r="AX1049" s="18"/>
    </row>
    <row r="1050" spans="1:50" x14ac:dyDescent="0.2">
      <c r="A1050" s="4" t="s">
        <v>55</v>
      </c>
      <c r="B1050" s="4" t="s">
        <v>56</v>
      </c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1" t="s">
        <v>658</v>
      </c>
      <c r="AB1050" s="42" t="s">
        <v>233</v>
      </c>
      <c r="AC1050" s="43" t="s">
        <v>58</v>
      </c>
      <c r="AD1050" s="43">
        <v>80000001.5</v>
      </c>
      <c r="AE1050" s="44">
        <v>0</v>
      </c>
      <c r="AF1050" s="44">
        <v>0</v>
      </c>
      <c r="AG1050" s="44">
        <v>0</v>
      </c>
      <c r="AH1050" s="44">
        <v>0</v>
      </c>
      <c r="AI1050" s="44">
        <v>0</v>
      </c>
      <c r="AJ1050" s="43">
        <v>80000001.5</v>
      </c>
      <c r="AK1050" s="44">
        <v>0</v>
      </c>
      <c r="AL1050" s="43">
        <v>0</v>
      </c>
      <c r="AM1050" s="43">
        <v>79970932</v>
      </c>
      <c r="AN1050" s="43">
        <v>0</v>
      </c>
      <c r="AO1050" s="43">
        <v>5924730</v>
      </c>
      <c r="AP1050" s="43">
        <v>77924730</v>
      </c>
      <c r="AQ1050" s="44">
        <v>0</v>
      </c>
      <c r="AR1050" s="44">
        <v>0</v>
      </c>
      <c r="AS1050" s="44">
        <v>0</v>
      </c>
      <c r="AT1050" s="40">
        <f t="shared" ref="AT1050:AT1052" si="472">AQ1050+AS1050</f>
        <v>0</v>
      </c>
      <c r="AU1050" s="18">
        <f>AJ1050-AM1050</f>
        <v>29069.5</v>
      </c>
      <c r="AV1050" s="18">
        <f>AM1050-AP1050</f>
        <v>2046202</v>
      </c>
      <c r="AW1050" s="18">
        <f>AP1050-AT1050</f>
        <v>77924730</v>
      </c>
      <c r="AX1050" s="123">
        <f>AP1050/AJ1050</f>
        <v>0.97405910673639173</v>
      </c>
    </row>
    <row r="1051" spans="1:50" ht="25.5" x14ac:dyDescent="0.2">
      <c r="A1051" s="4" t="s">
        <v>55</v>
      </c>
      <c r="B1051" s="4" t="s">
        <v>56</v>
      </c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1" t="s">
        <v>659</v>
      </c>
      <c r="AB1051" s="42" t="s">
        <v>660</v>
      </c>
      <c r="AC1051" s="43" t="s">
        <v>368</v>
      </c>
      <c r="AD1051" s="43">
        <v>18064798.5</v>
      </c>
      <c r="AE1051" s="44">
        <v>0</v>
      </c>
      <c r="AF1051" s="44">
        <v>0</v>
      </c>
      <c r="AG1051" s="44">
        <v>0</v>
      </c>
      <c r="AH1051" s="44">
        <v>0</v>
      </c>
      <c r="AI1051" s="44">
        <v>0</v>
      </c>
      <c r="AJ1051" s="43">
        <v>18064798.5</v>
      </c>
      <c r="AK1051" s="44">
        <v>0</v>
      </c>
      <c r="AL1051" s="43">
        <v>0</v>
      </c>
      <c r="AM1051" s="43">
        <v>18064798</v>
      </c>
      <c r="AN1051" s="43">
        <v>0</v>
      </c>
      <c r="AO1051" s="44">
        <v>0</v>
      </c>
      <c r="AP1051" s="44">
        <v>0</v>
      </c>
      <c r="AQ1051" s="44">
        <v>0</v>
      </c>
      <c r="AR1051" s="44">
        <v>0</v>
      </c>
      <c r="AS1051" s="44">
        <v>0</v>
      </c>
      <c r="AT1051" s="40">
        <f t="shared" si="472"/>
        <v>0</v>
      </c>
      <c r="AU1051" s="18">
        <f>AJ1051-AM1051</f>
        <v>0.5</v>
      </c>
      <c r="AV1051" s="18">
        <f>AM1051-AP1051</f>
        <v>18064798</v>
      </c>
      <c r="AW1051" s="34">
        <f>AP1051-AT1051</f>
        <v>0</v>
      </c>
      <c r="AX1051" s="123">
        <f>AP1051/AJ1051</f>
        <v>0</v>
      </c>
    </row>
    <row r="1052" spans="1:50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1" t="s">
        <v>1109</v>
      </c>
      <c r="AB1052" s="42" t="s">
        <v>1110</v>
      </c>
      <c r="AC1052" s="43"/>
      <c r="AD1052" s="44">
        <v>0</v>
      </c>
      <c r="AE1052" s="43">
        <v>502777408.16000003</v>
      </c>
      <c r="AF1052" s="44">
        <v>0</v>
      </c>
      <c r="AG1052" s="44">
        <v>0</v>
      </c>
      <c r="AH1052" s="43">
        <v>502777408.16000003</v>
      </c>
      <c r="AI1052" s="44">
        <f>AE1052-AF1052+AG1052-AH1052</f>
        <v>0</v>
      </c>
      <c r="AJ1052" s="44">
        <f>AD1052+AI1052</f>
        <v>0</v>
      </c>
      <c r="AK1052" s="44">
        <v>0</v>
      </c>
      <c r="AL1052" s="44">
        <v>0</v>
      </c>
      <c r="AM1052" s="44">
        <v>0</v>
      </c>
      <c r="AN1052" s="44">
        <v>0</v>
      </c>
      <c r="AO1052" s="44">
        <v>0</v>
      </c>
      <c r="AP1052" s="44">
        <v>0</v>
      </c>
      <c r="AQ1052" s="44">
        <v>0</v>
      </c>
      <c r="AR1052" s="44">
        <v>0</v>
      </c>
      <c r="AS1052" s="44">
        <v>0</v>
      </c>
      <c r="AT1052" s="40">
        <f t="shared" si="472"/>
        <v>0</v>
      </c>
      <c r="AU1052" s="34">
        <f>AJ1052-AM1052</f>
        <v>0</v>
      </c>
      <c r="AV1052" s="133">
        <f>AM1052-AP1052</f>
        <v>0</v>
      </c>
      <c r="AW1052" s="34">
        <f>AP1052-AT1052</f>
        <v>0</v>
      </c>
      <c r="AX1052" s="123">
        <v>0</v>
      </c>
    </row>
    <row r="1053" spans="1:50" x14ac:dyDescent="0.2">
      <c r="AA1053" s="16"/>
      <c r="AB1053" s="17"/>
      <c r="AC1053" s="17"/>
      <c r="AD1053" s="18"/>
      <c r="AE1053" s="34"/>
      <c r="AF1053" s="34"/>
      <c r="AG1053" s="34"/>
      <c r="AH1053" s="34"/>
      <c r="AI1053" s="34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30"/>
      <c r="AU1053" s="18"/>
      <c r="AV1053" s="18"/>
      <c r="AW1053" s="18"/>
      <c r="AX1053" s="18"/>
    </row>
    <row r="1054" spans="1:50" x14ac:dyDescent="0.2">
      <c r="AA1054" s="16"/>
      <c r="AB1054" s="29" t="s">
        <v>661</v>
      </c>
      <c r="AC1054" s="17"/>
      <c r="AD1054" s="18"/>
      <c r="AE1054" s="34"/>
      <c r="AF1054" s="34"/>
      <c r="AG1054" s="34"/>
      <c r="AH1054" s="34"/>
      <c r="AI1054" s="34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30"/>
      <c r="AU1054" s="18"/>
      <c r="AV1054" s="18"/>
      <c r="AW1054" s="18"/>
      <c r="AX1054" s="18"/>
    </row>
    <row r="1055" spans="1:50" x14ac:dyDescent="0.2">
      <c r="AA1055" s="16"/>
      <c r="AB1055" s="29" t="s">
        <v>614</v>
      </c>
      <c r="AC1055" s="17"/>
      <c r="AD1055" s="18"/>
      <c r="AE1055" s="34"/>
      <c r="AF1055" s="34"/>
      <c r="AG1055" s="34"/>
      <c r="AH1055" s="34"/>
      <c r="AI1055" s="34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30"/>
      <c r="AU1055" s="18"/>
      <c r="AV1055" s="18"/>
      <c r="AW1055" s="18"/>
      <c r="AX1055" s="18"/>
    </row>
    <row r="1056" spans="1:50" x14ac:dyDescent="0.2">
      <c r="AA1056" s="16"/>
      <c r="AB1056" s="29" t="s">
        <v>286</v>
      </c>
      <c r="AC1056" s="17"/>
      <c r="AD1056" s="18"/>
      <c r="AE1056" s="34"/>
      <c r="AF1056" s="34"/>
      <c r="AG1056" s="34"/>
      <c r="AH1056" s="34"/>
      <c r="AI1056" s="34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30"/>
      <c r="AU1056" s="18"/>
      <c r="AV1056" s="18"/>
      <c r="AW1056" s="18"/>
      <c r="AX1056" s="18"/>
    </row>
    <row r="1057" spans="1:50" x14ac:dyDescent="0.2">
      <c r="AA1057" s="16"/>
      <c r="AB1057" s="29" t="s">
        <v>179</v>
      </c>
      <c r="AC1057" s="17"/>
      <c r="AD1057" s="18"/>
      <c r="AE1057" s="34"/>
      <c r="AF1057" s="34"/>
      <c r="AG1057" s="34"/>
      <c r="AH1057" s="34"/>
      <c r="AI1057" s="34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30"/>
      <c r="AU1057" s="18"/>
      <c r="AV1057" s="18"/>
      <c r="AW1057" s="18"/>
      <c r="AX1057" s="18"/>
    </row>
    <row r="1058" spans="1:50" x14ac:dyDescent="0.2">
      <c r="AA1058" s="16"/>
      <c r="AB1058" s="29" t="s">
        <v>189</v>
      </c>
      <c r="AC1058" s="17"/>
      <c r="AD1058" s="18"/>
      <c r="AE1058" s="34"/>
      <c r="AF1058" s="34"/>
      <c r="AG1058" s="34"/>
      <c r="AH1058" s="34"/>
      <c r="AI1058" s="34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30"/>
      <c r="AU1058" s="18"/>
      <c r="AV1058" s="18"/>
      <c r="AW1058" s="18"/>
      <c r="AX1058" s="18"/>
    </row>
    <row r="1059" spans="1:50" ht="25.5" x14ac:dyDescent="0.2">
      <c r="AA1059" s="16"/>
      <c r="AB1059" s="29" t="s">
        <v>197</v>
      </c>
      <c r="AC1059" s="17"/>
      <c r="AD1059" s="18"/>
      <c r="AE1059" s="34"/>
      <c r="AF1059" s="34"/>
      <c r="AG1059" s="34"/>
      <c r="AH1059" s="34"/>
      <c r="AI1059" s="34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30"/>
      <c r="AU1059" s="18"/>
      <c r="AV1059" s="18"/>
      <c r="AW1059" s="18"/>
      <c r="AX1059" s="18"/>
    </row>
    <row r="1060" spans="1:50" x14ac:dyDescent="0.2">
      <c r="AA1060" s="28" t="s">
        <v>288</v>
      </c>
      <c r="AB1060" s="29" t="s">
        <v>591</v>
      </c>
      <c r="AC1060" s="17"/>
      <c r="AD1060" s="18"/>
      <c r="AE1060" s="34"/>
      <c r="AF1060" s="34"/>
      <c r="AG1060" s="34"/>
      <c r="AH1060" s="34"/>
      <c r="AI1060" s="34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30"/>
      <c r="AU1060" s="18"/>
      <c r="AV1060" s="18"/>
      <c r="AW1060" s="18"/>
      <c r="AX1060" s="18"/>
    </row>
    <row r="1061" spans="1:50" ht="25.5" x14ac:dyDescent="0.2">
      <c r="A1061" s="4" t="s">
        <v>55</v>
      </c>
      <c r="B1061" s="4" t="s">
        <v>56</v>
      </c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1" t="s">
        <v>662</v>
      </c>
      <c r="AB1061" s="42" t="s">
        <v>1238</v>
      </c>
      <c r="AC1061" s="43" t="s">
        <v>368</v>
      </c>
      <c r="AD1061" s="43">
        <v>3179405.26</v>
      </c>
      <c r="AE1061" s="44">
        <v>0</v>
      </c>
      <c r="AF1061" s="44">
        <v>0</v>
      </c>
      <c r="AG1061" s="44">
        <v>0</v>
      </c>
      <c r="AH1061" s="44">
        <v>0</v>
      </c>
      <c r="AI1061" s="44">
        <v>0</v>
      </c>
      <c r="AJ1061" s="43">
        <v>3179405.26</v>
      </c>
      <c r="AK1061" s="44">
        <v>0</v>
      </c>
      <c r="AL1061" s="44">
        <f>AM1061-AGOSTO!AM988</f>
        <v>0</v>
      </c>
      <c r="AM1061" s="43">
        <v>1739249</v>
      </c>
      <c r="AN1061" s="44">
        <v>0</v>
      </c>
      <c r="AO1061" s="44">
        <v>0</v>
      </c>
      <c r="AP1061" s="43">
        <v>1739249</v>
      </c>
      <c r="AQ1061" s="44">
        <v>0</v>
      </c>
      <c r="AR1061" s="43">
        <v>0</v>
      </c>
      <c r="AS1061" s="43">
        <v>72582</v>
      </c>
      <c r="AT1061" s="40">
        <f t="shared" ref="AT1061:AT1062" si="473">AQ1061+AS1061</f>
        <v>72582</v>
      </c>
      <c r="AU1061" s="18">
        <f>AJ1061-AM1061</f>
        <v>1440156.2599999998</v>
      </c>
      <c r="AV1061" s="133">
        <f>AM1061-AP1061</f>
        <v>0</v>
      </c>
      <c r="AW1061" s="18">
        <f>AP1061-AT1061</f>
        <v>1666667</v>
      </c>
      <c r="AX1061" s="123">
        <f>AP1061/AJ1061</f>
        <v>0.54703595728466525</v>
      </c>
    </row>
    <row r="1062" spans="1:50" ht="25.5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1" t="s">
        <v>1111</v>
      </c>
      <c r="AB1062" s="42" t="s">
        <v>1112</v>
      </c>
      <c r="AC1062" s="43"/>
      <c r="AD1062" s="44">
        <v>0</v>
      </c>
      <c r="AE1062" s="43">
        <v>58361947.520000003</v>
      </c>
      <c r="AF1062" s="44">
        <v>0</v>
      </c>
      <c r="AG1062" s="44">
        <v>0</v>
      </c>
      <c r="AH1062" s="44">
        <v>0</v>
      </c>
      <c r="AI1062" s="43">
        <f>AE1062-AF1062+AG1062-AH1062</f>
        <v>58361947.520000003</v>
      </c>
      <c r="AJ1062" s="43">
        <f>AD1062+AI1062</f>
        <v>58361947.520000003</v>
      </c>
      <c r="AK1062" s="44">
        <v>0</v>
      </c>
      <c r="AL1062" s="44">
        <v>0</v>
      </c>
      <c r="AM1062" s="44">
        <v>0</v>
      </c>
      <c r="AN1062" s="44">
        <v>0</v>
      </c>
      <c r="AO1062" s="44">
        <v>0</v>
      </c>
      <c r="AP1062" s="44">
        <v>0</v>
      </c>
      <c r="AQ1062" s="44">
        <v>0</v>
      </c>
      <c r="AR1062" s="44">
        <v>0</v>
      </c>
      <c r="AS1062" s="44">
        <v>0</v>
      </c>
      <c r="AT1062" s="40">
        <f t="shared" si="473"/>
        <v>0</v>
      </c>
      <c r="AU1062" s="18">
        <f>AJ1062-AM1062</f>
        <v>58361947.520000003</v>
      </c>
      <c r="AV1062" s="133">
        <f>AM1062-AP1062</f>
        <v>0</v>
      </c>
      <c r="AW1062" s="34">
        <f>AP1062-AT1062</f>
        <v>0</v>
      </c>
      <c r="AX1062" s="123">
        <f>AP1062/AJ1062</f>
        <v>0</v>
      </c>
    </row>
    <row r="1063" spans="1:50" x14ac:dyDescent="0.2">
      <c r="AA1063" s="16"/>
      <c r="AB1063" s="17"/>
      <c r="AC1063" s="17"/>
      <c r="AD1063" s="18"/>
      <c r="AE1063" s="34"/>
      <c r="AF1063" s="34"/>
      <c r="AG1063" s="34"/>
      <c r="AH1063" s="34"/>
      <c r="AI1063" s="34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30"/>
      <c r="AU1063" s="18"/>
      <c r="AV1063" s="18"/>
      <c r="AW1063" s="18"/>
      <c r="AX1063" s="18"/>
    </row>
    <row r="1064" spans="1:50" ht="25.5" x14ac:dyDescent="0.2">
      <c r="AA1064" s="16"/>
      <c r="AB1064" s="29" t="s">
        <v>663</v>
      </c>
      <c r="AC1064" s="17"/>
      <c r="AD1064" s="18"/>
      <c r="AE1064" s="34"/>
      <c r="AF1064" s="34"/>
      <c r="AG1064" s="34"/>
      <c r="AH1064" s="34"/>
      <c r="AI1064" s="34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30"/>
      <c r="AU1064" s="18"/>
      <c r="AV1064" s="18"/>
      <c r="AW1064" s="18"/>
      <c r="AX1064" s="18"/>
    </row>
    <row r="1065" spans="1:50" x14ac:dyDescent="0.2">
      <c r="AA1065" s="16"/>
      <c r="AB1065" s="29" t="s">
        <v>614</v>
      </c>
      <c r="AC1065" s="17"/>
      <c r="AD1065" s="18"/>
      <c r="AE1065" s="34"/>
      <c r="AF1065" s="34"/>
      <c r="AG1065" s="34"/>
      <c r="AH1065" s="34"/>
      <c r="AI1065" s="34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30"/>
      <c r="AU1065" s="18"/>
      <c r="AV1065" s="18"/>
      <c r="AW1065" s="18"/>
      <c r="AX1065" s="18"/>
    </row>
    <row r="1066" spans="1:50" x14ac:dyDescent="0.2">
      <c r="AA1066" s="16"/>
      <c r="AB1066" s="29" t="s">
        <v>286</v>
      </c>
      <c r="AC1066" s="17"/>
      <c r="AD1066" s="18"/>
      <c r="AE1066" s="34"/>
      <c r="AF1066" s="34"/>
      <c r="AG1066" s="34"/>
      <c r="AH1066" s="34"/>
      <c r="AI1066" s="34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30"/>
      <c r="AU1066" s="18"/>
      <c r="AV1066" s="18"/>
      <c r="AW1066" s="18"/>
      <c r="AX1066" s="18"/>
    </row>
    <row r="1067" spans="1:50" ht="18.75" customHeight="1" x14ac:dyDescent="0.2">
      <c r="AA1067" s="16"/>
      <c r="AB1067" s="29" t="s">
        <v>664</v>
      </c>
      <c r="AC1067" s="17"/>
      <c r="AD1067" s="18"/>
      <c r="AE1067" s="34"/>
      <c r="AF1067" s="34"/>
      <c r="AG1067" s="34"/>
      <c r="AH1067" s="34"/>
      <c r="AI1067" s="34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30"/>
      <c r="AU1067" s="18"/>
      <c r="AV1067" s="18"/>
      <c r="AW1067" s="18"/>
      <c r="AX1067" s="18"/>
    </row>
    <row r="1068" spans="1:50" ht="18.75" customHeight="1" x14ac:dyDescent="0.2">
      <c r="AA1068" s="16"/>
      <c r="AB1068" s="29" t="s">
        <v>575</v>
      </c>
      <c r="AC1068" s="17"/>
      <c r="AD1068" s="18"/>
      <c r="AE1068" s="34"/>
      <c r="AF1068" s="34"/>
      <c r="AG1068" s="34"/>
      <c r="AH1068" s="34"/>
      <c r="AI1068" s="34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30"/>
      <c r="AU1068" s="18"/>
      <c r="AV1068" s="18"/>
      <c r="AW1068" s="18"/>
      <c r="AX1068" s="18"/>
    </row>
    <row r="1069" spans="1:50" ht="18.75" customHeight="1" x14ac:dyDescent="0.2">
      <c r="AA1069" s="16"/>
      <c r="AB1069" s="29" t="s">
        <v>631</v>
      </c>
      <c r="AC1069" s="17"/>
      <c r="AD1069" s="18"/>
      <c r="AE1069" s="34"/>
      <c r="AF1069" s="34"/>
      <c r="AG1069" s="34"/>
      <c r="AH1069" s="34"/>
      <c r="AI1069" s="34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30"/>
      <c r="AU1069" s="18"/>
      <c r="AV1069" s="18"/>
      <c r="AW1069" s="18"/>
      <c r="AX1069" s="18"/>
    </row>
    <row r="1070" spans="1:50" ht="18.75" customHeight="1" x14ac:dyDescent="0.2">
      <c r="AA1070" s="16"/>
      <c r="AB1070" s="29" t="s">
        <v>632</v>
      </c>
      <c r="AC1070" s="17"/>
      <c r="AD1070" s="18"/>
      <c r="AE1070" s="34"/>
      <c r="AF1070" s="34"/>
      <c r="AG1070" s="34"/>
      <c r="AH1070" s="34"/>
      <c r="AI1070" s="34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30"/>
      <c r="AU1070" s="18"/>
      <c r="AV1070" s="18"/>
      <c r="AW1070" s="18"/>
      <c r="AX1070" s="18"/>
    </row>
    <row r="1071" spans="1:50" ht="18.75" customHeight="1" x14ac:dyDescent="0.2">
      <c r="AA1071" s="16"/>
      <c r="AB1071" s="29" t="s">
        <v>633</v>
      </c>
      <c r="AC1071" s="17"/>
      <c r="AD1071" s="18"/>
      <c r="AE1071" s="34"/>
      <c r="AF1071" s="34"/>
      <c r="AG1071" s="34"/>
      <c r="AH1071" s="34"/>
      <c r="AI1071" s="34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30"/>
      <c r="AU1071" s="18"/>
      <c r="AV1071" s="18"/>
      <c r="AW1071" s="18"/>
      <c r="AX1071" s="18"/>
    </row>
    <row r="1072" spans="1:50" ht="18.75" customHeight="1" x14ac:dyDescent="0.2">
      <c r="AA1072" s="16"/>
      <c r="AB1072" s="29" t="s">
        <v>634</v>
      </c>
      <c r="AC1072" s="17"/>
      <c r="AD1072" s="18"/>
      <c r="AE1072" s="34"/>
      <c r="AF1072" s="34"/>
      <c r="AG1072" s="34"/>
      <c r="AH1072" s="34"/>
      <c r="AI1072" s="34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30"/>
      <c r="AU1072" s="18"/>
      <c r="AV1072" s="18"/>
      <c r="AW1072" s="18"/>
      <c r="AX1072" s="18"/>
    </row>
    <row r="1073" spans="1:50" ht="18.75" customHeight="1" x14ac:dyDescent="0.2">
      <c r="AA1073" s="16"/>
      <c r="AB1073" s="29" t="s">
        <v>635</v>
      </c>
      <c r="AC1073" s="17"/>
      <c r="AD1073" s="18"/>
      <c r="AE1073" s="34"/>
      <c r="AF1073" s="34"/>
      <c r="AG1073" s="34"/>
      <c r="AH1073" s="34"/>
      <c r="AI1073" s="34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30"/>
      <c r="AU1073" s="18"/>
      <c r="AV1073" s="18"/>
      <c r="AW1073" s="18"/>
      <c r="AX1073" s="18"/>
    </row>
    <row r="1074" spans="1:50" ht="18.75" customHeight="1" x14ac:dyDescent="0.2">
      <c r="AA1074" s="28" t="s">
        <v>288</v>
      </c>
      <c r="AB1074" s="29" t="s">
        <v>665</v>
      </c>
      <c r="AC1074" s="17"/>
      <c r="AD1074" s="18"/>
      <c r="AE1074" s="34"/>
      <c r="AF1074" s="34"/>
      <c r="AG1074" s="34"/>
      <c r="AH1074" s="34"/>
      <c r="AI1074" s="34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30"/>
      <c r="AU1074" s="18"/>
      <c r="AV1074" s="18"/>
      <c r="AW1074" s="18"/>
      <c r="AX1074" s="18"/>
    </row>
    <row r="1075" spans="1:50" ht="18.75" customHeight="1" x14ac:dyDescent="0.2">
      <c r="A1075" s="4" t="s">
        <v>37</v>
      </c>
      <c r="B1075" s="4" t="s">
        <v>37</v>
      </c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1" t="s">
        <v>666</v>
      </c>
      <c r="AB1075" s="42" t="s">
        <v>233</v>
      </c>
      <c r="AC1075" s="43" t="s">
        <v>58</v>
      </c>
      <c r="AD1075" s="43">
        <v>22000000</v>
      </c>
      <c r="AE1075" s="44">
        <v>0</v>
      </c>
      <c r="AF1075" s="44">
        <v>0</v>
      </c>
      <c r="AG1075" s="44">
        <v>0</v>
      </c>
      <c r="AH1075" s="44">
        <v>0</v>
      </c>
      <c r="AI1075" s="44">
        <v>0</v>
      </c>
      <c r="AJ1075" s="43">
        <v>22000000</v>
      </c>
      <c r="AK1075" s="44">
        <v>0</v>
      </c>
      <c r="AL1075" s="44">
        <v>0</v>
      </c>
      <c r="AM1075" s="44">
        <v>0</v>
      </c>
      <c r="AN1075" s="44">
        <v>0</v>
      </c>
      <c r="AO1075" s="44">
        <v>0</v>
      </c>
      <c r="AP1075" s="44">
        <v>0</v>
      </c>
      <c r="AQ1075" s="44">
        <v>0</v>
      </c>
      <c r="AR1075" s="44">
        <v>0</v>
      </c>
      <c r="AS1075" s="44">
        <v>0</v>
      </c>
      <c r="AT1075" s="40">
        <f t="shared" ref="AT1075" si="474">AQ1075+AS1075</f>
        <v>0</v>
      </c>
      <c r="AU1075" s="18">
        <f>AJ1075-AM1075</f>
        <v>22000000</v>
      </c>
      <c r="AV1075" s="133">
        <f>AM1075-AP1075</f>
        <v>0</v>
      </c>
      <c r="AW1075" s="34">
        <f>AP1075-AT1075</f>
        <v>0</v>
      </c>
      <c r="AX1075" s="123">
        <f>AP1075/AJ1075</f>
        <v>0</v>
      </c>
    </row>
    <row r="1076" spans="1:50" ht="25.5" x14ac:dyDescent="0.2">
      <c r="AA1076" s="81" t="s">
        <v>288</v>
      </c>
      <c r="AB1076" s="74" t="s">
        <v>1248</v>
      </c>
      <c r="AC1076" s="17"/>
      <c r="AD1076" s="34"/>
      <c r="AE1076" s="34"/>
      <c r="AF1076" s="34"/>
      <c r="AG1076" s="18"/>
      <c r="AH1076" s="34"/>
      <c r="AI1076" s="43"/>
      <c r="AJ1076" s="43"/>
      <c r="AK1076" s="34"/>
      <c r="AL1076" s="34"/>
      <c r="AM1076" s="34"/>
      <c r="AN1076" s="34"/>
      <c r="AO1076" s="34"/>
      <c r="AP1076" s="34"/>
      <c r="AQ1076" s="34"/>
      <c r="AR1076" s="34"/>
      <c r="AS1076" s="34"/>
      <c r="AT1076" s="30"/>
      <c r="AU1076" s="18"/>
      <c r="AV1076" s="18"/>
      <c r="AW1076" s="34"/>
      <c r="AX1076" s="18"/>
    </row>
    <row r="1077" spans="1:50" x14ac:dyDescent="0.2">
      <c r="AA1077" s="134" t="s">
        <v>1254</v>
      </c>
      <c r="AB1077" s="42" t="s">
        <v>961</v>
      </c>
      <c r="AC1077" s="17"/>
      <c r="AD1077" s="34">
        <v>0</v>
      </c>
      <c r="AE1077" s="34">
        <v>0</v>
      </c>
      <c r="AF1077" s="34">
        <v>0</v>
      </c>
      <c r="AG1077" s="18">
        <v>54735904</v>
      </c>
      <c r="AH1077" s="34">
        <v>0</v>
      </c>
      <c r="AI1077" s="43">
        <f>AE1076-AF1076+AG1077-AH1076</f>
        <v>54735904</v>
      </c>
      <c r="AJ1077" s="43">
        <f>AD1076+AI1077</f>
        <v>54735904</v>
      </c>
      <c r="AK1077" s="34">
        <v>0</v>
      </c>
      <c r="AL1077" s="18">
        <v>0</v>
      </c>
      <c r="AM1077" s="18">
        <v>42349844</v>
      </c>
      <c r="AN1077" s="34">
        <v>0</v>
      </c>
      <c r="AO1077" s="34">
        <v>0</v>
      </c>
      <c r="AP1077" s="18">
        <v>42349844</v>
      </c>
      <c r="AQ1077" s="34">
        <v>0</v>
      </c>
      <c r="AR1077" s="34">
        <v>0</v>
      </c>
      <c r="AS1077" s="34">
        <v>0</v>
      </c>
      <c r="AT1077" s="40">
        <f t="shared" ref="AT1077" si="475">AQ1077+AS1077</f>
        <v>0</v>
      </c>
      <c r="AU1077" s="18">
        <f t="shared" ref="AU1077" si="476">AJ1077-AM1077</f>
        <v>12386060</v>
      </c>
      <c r="AV1077" s="34">
        <f t="shared" ref="AV1077" si="477">AM1077-AP1077</f>
        <v>0</v>
      </c>
      <c r="AW1077" s="18">
        <f t="shared" ref="AW1077" si="478">AP1077-AT1077</f>
        <v>42349844</v>
      </c>
      <c r="AX1077" s="123">
        <f t="shared" ref="AX1077" si="479">AP1077/AJ1077</f>
        <v>0.77371233331598943</v>
      </c>
    </row>
    <row r="1078" spans="1:50" ht="18.75" customHeight="1" x14ac:dyDescent="0.2">
      <c r="AA1078" s="16"/>
      <c r="AB1078" s="17"/>
      <c r="AC1078" s="17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30"/>
      <c r="AU1078" s="18"/>
      <c r="AV1078" s="34"/>
      <c r="AW1078" s="34"/>
      <c r="AX1078" s="18"/>
    </row>
    <row r="1079" spans="1:50" ht="18.75" customHeight="1" x14ac:dyDescent="0.2">
      <c r="AA1079" s="16"/>
      <c r="AB1079" s="29" t="s">
        <v>179</v>
      </c>
      <c r="AC1079" s="17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30"/>
      <c r="AU1079" s="18"/>
      <c r="AV1079" s="34"/>
      <c r="AW1079" s="34"/>
      <c r="AX1079" s="18"/>
    </row>
    <row r="1080" spans="1:50" ht="18.75" customHeight="1" x14ac:dyDescent="0.2">
      <c r="AA1080" s="16"/>
      <c r="AB1080" s="29" t="s">
        <v>181</v>
      </c>
      <c r="AC1080" s="17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30"/>
      <c r="AU1080" s="18"/>
      <c r="AV1080" s="34"/>
      <c r="AW1080" s="34"/>
      <c r="AX1080" s="18"/>
    </row>
    <row r="1081" spans="1:50" ht="25.5" x14ac:dyDescent="0.2">
      <c r="AA1081" s="16"/>
      <c r="AB1081" s="29" t="s">
        <v>183</v>
      </c>
      <c r="AC1081" s="17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30"/>
      <c r="AU1081" s="18"/>
      <c r="AV1081" s="34"/>
      <c r="AW1081" s="34"/>
      <c r="AX1081" s="18"/>
    </row>
    <row r="1082" spans="1:50" ht="18.75" customHeight="1" x14ac:dyDescent="0.2">
      <c r="AA1082" s="28" t="s">
        <v>288</v>
      </c>
      <c r="AB1082" s="29" t="s">
        <v>667</v>
      </c>
      <c r="AC1082" s="17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30"/>
      <c r="AU1082" s="18"/>
      <c r="AV1082" s="34"/>
      <c r="AW1082" s="34"/>
      <c r="AX1082" s="18"/>
    </row>
    <row r="1083" spans="1:50" ht="18.75" customHeight="1" x14ac:dyDescent="0.2">
      <c r="A1083" s="4" t="s">
        <v>668</v>
      </c>
      <c r="B1083" s="4" t="s">
        <v>669</v>
      </c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1" t="s">
        <v>670</v>
      </c>
      <c r="AB1083" s="42" t="s">
        <v>233</v>
      </c>
      <c r="AC1083" s="43" t="s">
        <v>58</v>
      </c>
      <c r="AD1083" s="43">
        <v>1000000000</v>
      </c>
      <c r="AE1083" s="44">
        <v>0</v>
      </c>
      <c r="AF1083" s="44">
        <v>0</v>
      </c>
      <c r="AG1083" s="44">
        <v>0</v>
      </c>
      <c r="AH1083" s="43">
        <v>557151874</v>
      </c>
      <c r="AI1083" s="43">
        <f>AE1083-AF1083+AG1083-AH1083</f>
        <v>-557151874</v>
      </c>
      <c r="AJ1083" s="43">
        <f>AD1083+AI1083</f>
        <v>442848126</v>
      </c>
      <c r="AK1083" s="44">
        <v>0</v>
      </c>
      <c r="AL1083" s="44">
        <v>0</v>
      </c>
      <c r="AM1083" s="44">
        <v>0</v>
      </c>
      <c r="AN1083" s="44">
        <v>0</v>
      </c>
      <c r="AO1083" s="44">
        <v>0</v>
      </c>
      <c r="AP1083" s="44">
        <v>0</v>
      </c>
      <c r="AQ1083" s="44">
        <v>0</v>
      </c>
      <c r="AR1083" s="44">
        <v>0</v>
      </c>
      <c r="AS1083" s="44">
        <v>0</v>
      </c>
      <c r="AT1083" s="40">
        <f t="shared" ref="AT1083" si="480">AQ1083+AS1083</f>
        <v>0</v>
      </c>
      <c r="AU1083" s="18">
        <f>AJ1083-AM1083</f>
        <v>442848126</v>
      </c>
      <c r="AV1083" s="133">
        <f>AM1083-AP1083</f>
        <v>0</v>
      </c>
      <c r="AW1083" s="34">
        <f>AP1083-AT1083</f>
        <v>0</v>
      </c>
      <c r="AX1083" s="123">
        <f>AP1083/AJ1083</f>
        <v>0</v>
      </c>
    </row>
    <row r="1084" spans="1:50" ht="18.75" customHeight="1" x14ac:dyDescent="0.2">
      <c r="AA1084" s="16"/>
      <c r="AB1084" s="17"/>
      <c r="AC1084" s="17"/>
      <c r="AD1084" s="18"/>
      <c r="AE1084" s="34"/>
      <c r="AF1084" s="34"/>
      <c r="AG1084" s="34"/>
      <c r="AH1084" s="34"/>
      <c r="AI1084" s="34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30"/>
      <c r="AU1084" s="18"/>
      <c r="AV1084" s="34"/>
      <c r="AW1084" s="34"/>
      <c r="AX1084" s="18"/>
    </row>
    <row r="1085" spans="1:50" ht="25.5" x14ac:dyDescent="0.2">
      <c r="AA1085" s="16"/>
      <c r="AB1085" s="29" t="s">
        <v>637</v>
      </c>
      <c r="AC1085" s="17"/>
      <c r="AD1085" s="18"/>
      <c r="AE1085" s="34"/>
      <c r="AF1085" s="34"/>
      <c r="AG1085" s="34"/>
      <c r="AH1085" s="34"/>
      <c r="AI1085" s="34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30"/>
      <c r="AU1085" s="18"/>
      <c r="AV1085" s="34"/>
      <c r="AW1085" s="34"/>
      <c r="AX1085" s="18"/>
    </row>
    <row r="1086" spans="1:50" ht="18.75" customHeight="1" x14ac:dyDescent="0.2">
      <c r="AA1086" s="28" t="s">
        <v>288</v>
      </c>
      <c r="AB1086" s="29" t="s">
        <v>667</v>
      </c>
      <c r="AC1086" s="17"/>
      <c r="AD1086" s="18"/>
      <c r="AE1086" s="34"/>
      <c r="AF1086" s="34"/>
      <c r="AG1086" s="34"/>
      <c r="AH1086" s="34"/>
      <c r="AI1086" s="34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30"/>
      <c r="AU1086" s="18"/>
      <c r="AV1086" s="34"/>
      <c r="AW1086" s="34"/>
      <c r="AX1086" s="18"/>
    </row>
    <row r="1087" spans="1:50" ht="18.75" customHeight="1" x14ac:dyDescent="0.2">
      <c r="A1087" s="4" t="s">
        <v>55</v>
      </c>
      <c r="B1087" s="4" t="s">
        <v>56</v>
      </c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1" t="s">
        <v>671</v>
      </c>
      <c r="AB1087" s="42" t="s">
        <v>233</v>
      </c>
      <c r="AC1087" s="43" t="s">
        <v>58</v>
      </c>
      <c r="AD1087" s="43">
        <v>856200000</v>
      </c>
      <c r="AE1087" s="44">
        <v>0</v>
      </c>
      <c r="AF1087" s="44">
        <v>0</v>
      </c>
      <c r="AG1087" s="43">
        <v>368161663</v>
      </c>
      <c r="AH1087" s="44">
        <v>0</v>
      </c>
      <c r="AI1087" s="43">
        <f>AE1087-AF1087+AG1087-AH1087</f>
        <v>368161663</v>
      </c>
      <c r="AJ1087" s="43">
        <f>AD1087+AI1087</f>
        <v>1224361663</v>
      </c>
      <c r="AK1087" s="44">
        <v>0</v>
      </c>
      <c r="AL1087" s="43">
        <f>AM1087-OCTUBRE!AM1076</f>
        <v>-85297656</v>
      </c>
      <c r="AM1087" s="43">
        <v>656993540</v>
      </c>
      <c r="AN1087" s="44">
        <v>0</v>
      </c>
      <c r="AO1087" s="43">
        <v>487000000</v>
      </c>
      <c r="AP1087" s="43">
        <v>656993540</v>
      </c>
      <c r="AQ1087" s="43">
        <v>0</v>
      </c>
      <c r="AR1087" s="43">
        <v>100292997.69</v>
      </c>
      <c r="AS1087" s="43">
        <v>100292997.69</v>
      </c>
      <c r="AT1087" s="39">
        <f t="shared" ref="AT1087" si="481">AQ1087+AS1087</f>
        <v>100292997.69</v>
      </c>
      <c r="AU1087" s="18">
        <f>AJ1087-AM1087</f>
        <v>567368123</v>
      </c>
      <c r="AV1087" s="34">
        <f>AM1087-AP1087</f>
        <v>0</v>
      </c>
      <c r="AW1087" s="18">
        <f>AP1087-AT1087</f>
        <v>556700542.30999994</v>
      </c>
      <c r="AX1087" s="123">
        <f>AP1087/AJ1087</f>
        <v>0.53660087525951883</v>
      </c>
    </row>
    <row r="1088" spans="1:50" ht="18.75" customHeight="1" x14ac:dyDescent="0.2">
      <c r="AA1088" s="16"/>
      <c r="AB1088" s="17"/>
      <c r="AC1088" s="17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30"/>
      <c r="AU1088" s="18"/>
      <c r="AV1088" s="34"/>
      <c r="AW1088" s="34"/>
      <c r="AX1088" s="18"/>
    </row>
    <row r="1089" spans="1:50" ht="18.75" customHeight="1" x14ac:dyDescent="0.2">
      <c r="AA1089" s="16"/>
      <c r="AB1089" s="29" t="s">
        <v>189</v>
      </c>
      <c r="AC1089" s="17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30"/>
      <c r="AU1089" s="18"/>
      <c r="AV1089" s="34"/>
      <c r="AW1089" s="34"/>
      <c r="AX1089" s="18"/>
    </row>
    <row r="1090" spans="1:50" ht="25.5" x14ac:dyDescent="0.2">
      <c r="AA1090" s="16"/>
      <c r="AB1090" s="29" t="s">
        <v>197</v>
      </c>
      <c r="AC1090" s="17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30"/>
      <c r="AU1090" s="18"/>
      <c r="AV1090" s="34"/>
      <c r="AW1090" s="34"/>
      <c r="AX1090" s="18"/>
    </row>
    <row r="1091" spans="1:50" ht="29.25" customHeight="1" x14ac:dyDescent="0.2">
      <c r="AA1091" s="28" t="s">
        <v>288</v>
      </c>
      <c r="AB1091" s="29" t="s">
        <v>667</v>
      </c>
      <c r="AC1091" s="17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30"/>
      <c r="AU1091" s="18"/>
      <c r="AV1091" s="18"/>
      <c r="AW1091" s="18"/>
      <c r="AX1091" s="18"/>
    </row>
    <row r="1092" spans="1:50" ht="18.75" customHeight="1" x14ac:dyDescent="0.2">
      <c r="A1092" s="4" t="s">
        <v>55</v>
      </c>
      <c r="B1092" s="4" t="s">
        <v>56</v>
      </c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1" t="s">
        <v>672</v>
      </c>
      <c r="AB1092" s="42" t="s">
        <v>233</v>
      </c>
      <c r="AC1092" s="43" t="s">
        <v>58</v>
      </c>
      <c r="AD1092" s="43">
        <v>500000000</v>
      </c>
      <c r="AE1092" s="44">
        <v>0</v>
      </c>
      <c r="AF1092" s="44">
        <v>0</v>
      </c>
      <c r="AG1092" s="44">
        <v>0</v>
      </c>
      <c r="AH1092" s="44">
        <v>0</v>
      </c>
      <c r="AI1092" s="44">
        <v>0</v>
      </c>
      <c r="AJ1092" s="43">
        <v>500000000</v>
      </c>
      <c r="AK1092" s="44">
        <v>0</v>
      </c>
      <c r="AL1092" s="43">
        <f>AM1092-OCTUBRE!AM1081</f>
        <v>14033333.339999974</v>
      </c>
      <c r="AM1092" s="43">
        <v>296497576.33999997</v>
      </c>
      <c r="AN1092" s="43">
        <v>4000000</v>
      </c>
      <c r="AO1092" s="43">
        <v>10033333.34</v>
      </c>
      <c r="AP1092" s="43">
        <v>292497576.33999997</v>
      </c>
      <c r="AQ1092" s="43">
        <v>5833333</v>
      </c>
      <c r="AR1092" s="43">
        <v>34000000</v>
      </c>
      <c r="AS1092" s="43">
        <v>143933333</v>
      </c>
      <c r="AT1092" s="111">
        <f t="shared" ref="AT1092:AT1094" si="482">AQ1092+AS1092</f>
        <v>149766666</v>
      </c>
      <c r="AU1092" s="18">
        <f>AJ1092-AM1092</f>
        <v>203502423.66000003</v>
      </c>
      <c r="AV1092" s="18">
        <f>AM1092-AP1092</f>
        <v>4000000</v>
      </c>
      <c r="AW1092" s="18">
        <f>AP1092-AT1092</f>
        <v>142730910.33999997</v>
      </c>
      <c r="AX1092" s="123">
        <f>AP1092/AJ1092</f>
        <v>0.58499515267999991</v>
      </c>
    </row>
    <row r="1093" spans="1:50" ht="28.5" customHeight="1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1" t="s">
        <v>1113</v>
      </c>
      <c r="AB1093" s="42" t="s">
        <v>1114</v>
      </c>
      <c r="AC1093" s="43"/>
      <c r="AD1093" s="44">
        <v>0</v>
      </c>
      <c r="AE1093" s="43">
        <v>116018634.52</v>
      </c>
      <c r="AF1093" s="44">
        <v>0</v>
      </c>
      <c r="AG1093" s="44">
        <v>0</v>
      </c>
      <c r="AH1093" s="44">
        <v>0</v>
      </c>
      <c r="AI1093" s="43">
        <f t="shared" ref="AI1093:AI1094" si="483">AE1093-AF1093+AG1093-AH1093</f>
        <v>116018634.52</v>
      </c>
      <c r="AJ1093" s="43">
        <f t="shared" ref="AJ1093:AJ1094" si="484">AD1093+AI1093</f>
        <v>116018634.52</v>
      </c>
      <c r="AK1093" s="44">
        <v>0</v>
      </c>
      <c r="AL1093" s="43">
        <f>AM1093-OCTUBRE!AM1082</f>
        <v>0</v>
      </c>
      <c r="AM1093" s="43">
        <v>69755420</v>
      </c>
      <c r="AN1093" s="43">
        <v>0</v>
      </c>
      <c r="AO1093" s="43">
        <v>0</v>
      </c>
      <c r="AP1093" s="43">
        <v>69755420</v>
      </c>
      <c r="AQ1093" s="44">
        <v>0</v>
      </c>
      <c r="AR1093" s="44">
        <v>0</v>
      </c>
      <c r="AS1093" s="44">
        <v>0</v>
      </c>
      <c r="AT1093" s="135">
        <f t="shared" si="482"/>
        <v>0</v>
      </c>
      <c r="AU1093" s="18">
        <f>AJ1093-AM1093</f>
        <v>46263214.519999996</v>
      </c>
      <c r="AV1093" s="34">
        <f>AM1093-AP1093</f>
        <v>0</v>
      </c>
      <c r="AW1093" s="18">
        <f>AP1093-AT1093</f>
        <v>69755420</v>
      </c>
      <c r="AX1093" s="123">
        <f>AP1093/AJ1093</f>
        <v>0.60124324242046767</v>
      </c>
    </row>
    <row r="1094" spans="1:50" ht="25.5" customHeight="1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1" t="s">
        <v>1115</v>
      </c>
      <c r="AB1094" s="42" t="s">
        <v>1044</v>
      </c>
      <c r="AC1094" s="43"/>
      <c r="AD1094" s="44">
        <v>0</v>
      </c>
      <c r="AE1094" s="43">
        <v>90000000</v>
      </c>
      <c r="AF1094" s="44">
        <v>0</v>
      </c>
      <c r="AG1094" s="44">
        <v>0</v>
      </c>
      <c r="AH1094" s="44">
        <v>0</v>
      </c>
      <c r="AI1094" s="43">
        <f t="shared" si="483"/>
        <v>90000000</v>
      </c>
      <c r="AJ1094" s="43">
        <f t="shared" si="484"/>
        <v>90000000</v>
      </c>
      <c r="AK1094" s="44">
        <v>0</v>
      </c>
      <c r="AL1094" s="43">
        <f>AM1094-OCTUBRE!AM1083</f>
        <v>0</v>
      </c>
      <c r="AM1094" s="43">
        <v>89999270</v>
      </c>
      <c r="AN1094" s="43">
        <v>0</v>
      </c>
      <c r="AO1094" s="44">
        <v>0</v>
      </c>
      <c r="AP1094" s="44">
        <v>0</v>
      </c>
      <c r="AQ1094" s="44">
        <v>0</v>
      </c>
      <c r="AR1094" s="44">
        <v>0</v>
      </c>
      <c r="AS1094" s="44">
        <v>0</v>
      </c>
      <c r="AT1094" s="135">
        <f t="shared" si="482"/>
        <v>0</v>
      </c>
      <c r="AU1094" s="18">
        <f>AJ1094-AM1094</f>
        <v>730</v>
      </c>
      <c r="AV1094" s="18">
        <f>AM1094-AP1094</f>
        <v>89999270</v>
      </c>
      <c r="AW1094" s="34">
        <f>AP1094-AT1094</f>
        <v>0</v>
      </c>
      <c r="AX1094" s="123">
        <f>AP1094/AJ1094</f>
        <v>0</v>
      </c>
    </row>
    <row r="1095" spans="1:50" ht="18.75" customHeight="1" x14ac:dyDescent="0.2">
      <c r="AA1095" s="16"/>
      <c r="AB1095" s="17"/>
      <c r="AC1095" s="17"/>
      <c r="AD1095" s="18"/>
      <c r="AE1095" s="34"/>
      <c r="AF1095" s="34"/>
      <c r="AG1095" s="34"/>
      <c r="AH1095" s="34"/>
      <c r="AI1095" s="34"/>
      <c r="AJ1095" s="18"/>
      <c r="AK1095" s="18"/>
      <c r="AL1095" s="18"/>
      <c r="AM1095" s="18"/>
      <c r="AN1095" s="18"/>
      <c r="AO1095" s="18"/>
      <c r="AP1095" s="18"/>
      <c r="AQ1095" s="34"/>
      <c r="AR1095" s="34"/>
      <c r="AS1095" s="34"/>
      <c r="AT1095" s="31"/>
      <c r="AU1095" s="18"/>
      <c r="AV1095" s="18"/>
      <c r="AW1095" s="18"/>
      <c r="AX1095" s="18"/>
    </row>
    <row r="1096" spans="1:50" ht="23.25" customHeight="1" x14ac:dyDescent="0.2">
      <c r="AA1096" s="16"/>
      <c r="AB1096" s="29" t="s">
        <v>199</v>
      </c>
      <c r="AC1096" s="17"/>
      <c r="AD1096" s="18"/>
      <c r="AE1096" s="34"/>
      <c r="AF1096" s="34"/>
      <c r="AG1096" s="34"/>
      <c r="AH1096" s="34"/>
      <c r="AI1096" s="34"/>
      <c r="AJ1096" s="18"/>
      <c r="AK1096" s="18"/>
      <c r="AL1096" s="18"/>
      <c r="AM1096" s="18"/>
      <c r="AN1096" s="18"/>
      <c r="AO1096" s="18"/>
      <c r="AP1096" s="18"/>
      <c r="AQ1096" s="34"/>
      <c r="AR1096" s="34"/>
      <c r="AS1096" s="34"/>
      <c r="AT1096" s="31"/>
      <c r="AU1096" s="18"/>
      <c r="AV1096" s="18"/>
      <c r="AW1096" s="18"/>
      <c r="AX1096" s="18"/>
    </row>
    <row r="1097" spans="1:50" ht="25.5" customHeight="1" x14ac:dyDescent="0.2">
      <c r="AA1097" s="28" t="s">
        <v>288</v>
      </c>
      <c r="AB1097" s="29" t="s">
        <v>667</v>
      </c>
      <c r="AC1097" s="17"/>
      <c r="AD1097" s="18"/>
      <c r="AE1097" s="34"/>
      <c r="AF1097" s="34"/>
      <c r="AG1097" s="34"/>
      <c r="AH1097" s="34"/>
      <c r="AI1097" s="34"/>
      <c r="AJ1097" s="18"/>
      <c r="AK1097" s="18"/>
      <c r="AL1097" s="18"/>
      <c r="AM1097" s="18"/>
      <c r="AN1097" s="18"/>
      <c r="AO1097" s="18"/>
      <c r="AP1097" s="18"/>
      <c r="AQ1097" s="34"/>
      <c r="AR1097" s="34"/>
      <c r="AS1097" s="34"/>
      <c r="AT1097" s="31"/>
      <c r="AU1097" s="18"/>
      <c r="AV1097" s="18"/>
      <c r="AW1097" s="18"/>
      <c r="AX1097" s="18"/>
    </row>
    <row r="1098" spans="1:50" ht="18.75" customHeight="1" x14ac:dyDescent="0.2">
      <c r="A1098" s="4" t="s">
        <v>55</v>
      </c>
      <c r="B1098" s="4" t="s">
        <v>56</v>
      </c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1" t="s">
        <v>673</v>
      </c>
      <c r="AB1098" s="42" t="s">
        <v>233</v>
      </c>
      <c r="AC1098" s="43" t="s">
        <v>58</v>
      </c>
      <c r="AD1098" s="43">
        <v>121800000</v>
      </c>
      <c r="AE1098" s="44">
        <v>0</v>
      </c>
      <c r="AF1098" s="44">
        <v>0</v>
      </c>
      <c r="AG1098" s="44">
        <v>0</v>
      </c>
      <c r="AH1098" s="44">
        <v>0</v>
      </c>
      <c r="AI1098" s="44">
        <v>0</v>
      </c>
      <c r="AJ1098" s="43">
        <v>121800000</v>
      </c>
      <c r="AK1098" s="44">
        <v>0</v>
      </c>
      <c r="AL1098" s="43">
        <f>AM1098-OCTUBRE!AM1087</f>
        <v>2800000</v>
      </c>
      <c r="AM1098" s="43">
        <v>33950000</v>
      </c>
      <c r="AN1098" s="43">
        <v>0</v>
      </c>
      <c r="AO1098" s="43">
        <v>2800000</v>
      </c>
      <c r="AP1098" s="43">
        <v>33950000</v>
      </c>
      <c r="AQ1098" s="44">
        <v>0</v>
      </c>
      <c r="AR1098" s="43">
        <v>5600000</v>
      </c>
      <c r="AS1098" s="43">
        <v>33950000</v>
      </c>
      <c r="AT1098" s="39">
        <f t="shared" ref="AT1098" si="485">AQ1098+AS1098</f>
        <v>33950000</v>
      </c>
      <c r="AU1098" s="18">
        <f>AJ1098-AM1098</f>
        <v>87850000</v>
      </c>
      <c r="AV1098" s="133">
        <f>AM1098-AP1098</f>
        <v>0</v>
      </c>
      <c r="AW1098" s="34">
        <f>AP1098-AT1098</f>
        <v>0</v>
      </c>
      <c r="AX1098" s="123">
        <f>AP1098/AJ1098</f>
        <v>0.27873563218390807</v>
      </c>
    </row>
    <row r="1099" spans="1:50" ht="18.75" customHeight="1" x14ac:dyDescent="0.2">
      <c r="AA1099" s="16"/>
      <c r="AB1099" s="17"/>
      <c r="AC1099" s="17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34"/>
      <c r="AR1099" s="34"/>
      <c r="AS1099" s="34"/>
      <c r="AT1099" s="31"/>
      <c r="AU1099" s="18"/>
      <c r="AV1099" s="18"/>
      <c r="AW1099" s="18"/>
      <c r="AX1099" s="18"/>
    </row>
    <row r="1100" spans="1:50" s="343" customFormat="1" ht="18.75" customHeight="1" x14ac:dyDescent="0.2">
      <c r="A1100" s="50"/>
      <c r="B1100" s="77"/>
      <c r="C1100" s="77"/>
      <c r="D1100" s="77"/>
      <c r="E1100" s="77"/>
      <c r="F1100" s="77"/>
      <c r="G1100" s="77"/>
      <c r="H1100" s="77"/>
      <c r="I1100" s="77"/>
      <c r="J1100" s="77"/>
      <c r="K1100" s="77"/>
      <c r="L1100" s="77"/>
      <c r="M1100" s="77"/>
      <c r="N1100" s="77"/>
      <c r="O1100" s="77"/>
      <c r="P1100" s="77"/>
      <c r="Q1100" s="77"/>
      <c r="R1100" s="77"/>
      <c r="S1100" s="77"/>
      <c r="T1100" s="77"/>
      <c r="U1100" s="77"/>
      <c r="V1100" s="77"/>
      <c r="W1100" s="77"/>
      <c r="X1100" s="77"/>
      <c r="Y1100" s="77"/>
      <c r="Z1100" s="77"/>
      <c r="AA1100" s="46"/>
      <c r="AB1100" s="47" t="s">
        <v>674</v>
      </c>
      <c r="AC1100" s="47"/>
      <c r="AD1100" s="48">
        <f t="shared" ref="AD1100:AS1100" si="486">SUM(AD870:AD1099)</f>
        <v>18199312591</v>
      </c>
      <c r="AE1100" s="48">
        <f t="shared" si="486"/>
        <v>18620925441.970001</v>
      </c>
      <c r="AF1100" s="49">
        <f t="shared" si="486"/>
        <v>0</v>
      </c>
      <c r="AG1100" s="48">
        <f t="shared" si="486"/>
        <v>20093945473.23</v>
      </c>
      <c r="AH1100" s="48">
        <f t="shared" si="486"/>
        <v>19608945473.23</v>
      </c>
      <c r="AI1100" s="48">
        <f t="shared" si="486"/>
        <v>19105925441.970001</v>
      </c>
      <c r="AJ1100" s="48">
        <f t="shared" si="486"/>
        <v>37305238032.969994</v>
      </c>
      <c r="AK1100" s="49">
        <f t="shared" si="486"/>
        <v>0</v>
      </c>
      <c r="AL1100" s="48">
        <f t="shared" si="486"/>
        <v>2432120498.3699999</v>
      </c>
      <c r="AM1100" s="48">
        <f t="shared" si="486"/>
        <v>25842100906.889999</v>
      </c>
      <c r="AN1100" s="48">
        <f t="shared" si="486"/>
        <v>157495576.81</v>
      </c>
      <c r="AO1100" s="48">
        <f t="shared" si="486"/>
        <v>7554892822.0200005</v>
      </c>
      <c r="AP1100" s="48">
        <f t="shared" si="486"/>
        <v>24366948092.170002</v>
      </c>
      <c r="AQ1100" s="121">
        <f t="shared" si="486"/>
        <v>108670791.27</v>
      </c>
      <c r="AR1100" s="121">
        <f t="shared" si="486"/>
        <v>1347387852.6300001</v>
      </c>
      <c r="AS1100" s="121">
        <f t="shared" si="486"/>
        <v>6885483386.4299994</v>
      </c>
      <c r="AT1100" s="108">
        <f>AQ1100+AS1100</f>
        <v>6994154177.6999998</v>
      </c>
      <c r="AU1100" s="48">
        <f>SUM(AU870:AU1099)</f>
        <v>11463137126.08</v>
      </c>
      <c r="AV1100" s="48">
        <f>SUM(AV870:AV1099)</f>
        <v>1475152814.72</v>
      </c>
      <c r="AW1100" s="48">
        <f>SUM(AW870:AW1099)</f>
        <v>17372793914.469997</v>
      </c>
      <c r="AX1100" s="24">
        <f>AP1100/AJ1100</f>
        <v>0.6531776602158319</v>
      </c>
    </row>
    <row r="1101" spans="1:50" s="343" customFormat="1" ht="18.75" customHeight="1" x14ac:dyDescent="0.2">
      <c r="A1101" s="79"/>
      <c r="B1101" s="80"/>
      <c r="C1101" s="80"/>
      <c r="D1101" s="80"/>
      <c r="E1101" s="80"/>
      <c r="F1101" s="80"/>
      <c r="G1101" s="80"/>
      <c r="H1101" s="80"/>
      <c r="I1101" s="80"/>
      <c r="J1101" s="80"/>
      <c r="K1101" s="80"/>
      <c r="L1101" s="80"/>
      <c r="M1101" s="80"/>
      <c r="N1101" s="80"/>
      <c r="O1101" s="80"/>
      <c r="P1101" s="80"/>
      <c r="Q1101" s="80"/>
      <c r="R1101" s="80"/>
      <c r="S1101" s="80"/>
      <c r="T1101" s="80"/>
      <c r="U1101" s="80"/>
      <c r="V1101" s="80"/>
      <c r="W1101" s="80"/>
      <c r="X1101" s="80"/>
      <c r="Y1101" s="80"/>
      <c r="Z1101" s="80"/>
      <c r="AA1101" s="81"/>
      <c r="AB1101" s="82"/>
      <c r="AC1101" s="82"/>
      <c r="AD1101" s="83"/>
      <c r="AE1101" s="83"/>
      <c r="AF1101" s="83"/>
      <c r="AG1101" s="83"/>
      <c r="AH1101" s="83"/>
      <c r="AI1101" s="83"/>
      <c r="AJ1101" s="83"/>
      <c r="AK1101" s="83"/>
      <c r="AL1101" s="83"/>
      <c r="AM1101" s="83"/>
      <c r="AN1101" s="83"/>
      <c r="AO1101" s="83"/>
      <c r="AP1101" s="83"/>
      <c r="AQ1101" s="83"/>
      <c r="AR1101" s="83"/>
      <c r="AS1101" s="83"/>
      <c r="AT1101" s="83"/>
      <c r="AU1101" s="83"/>
      <c r="AV1101" s="83"/>
      <c r="AW1101" s="83"/>
      <c r="AX1101" s="83"/>
    </row>
    <row r="1102" spans="1:50" ht="18.75" customHeight="1" x14ac:dyDescent="0.2">
      <c r="A1102" s="25"/>
      <c r="B1102" s="71"/>
      <c r="C1102" s="71"/>
      <c r="D1102" s="71"/>
      <c r="E1102" s="71"/>
      <c r="F1102" s="71"/>
      <c r="G1102" s="71"/>
      <c r="H1102" s="71"/>
      <c r="I1102" s="71"/>
      <c r="J1102" s="71"/>
      <c r="K1102" s="71"/>
      <c r="L1102" s="71"/>
      <c r="M1102" s="71"/>
      <c r="N1102" s="71"/>
      <c r="O1102" s="71"/>
      <c r="P1102" s="71"/>
      <c r="Q1102" s="71"/>
      <c r="R1102" s="71"/>
      <c r="S1102" s="71"/>
      <c r="T1102" s="71"/>
      <c r="U1102" s="71"/>
      <c r="V1102" s="71"/>
      <c r="W1102" s="71"/>
      <c r="X1102" s="71"/>
      <c r="Y1102" s="71"/>
      <c r="Z1102" s="71"/>
      <c r="AA1102" s="66"/>
      <c r="AB1102" s="21" t="s">
        <v>675</v>
      </c>
      <c r="AC1102" s="67"/>
      <c r="AD1102" s="63"/>
      <c r="AE1102" s="63"/>
      <c r="AF1102" s="63"/>
      <c r="AG1102" s="63"/>
      <c r="AH1102" s="63"/>
      <c r="AI1102" s="63"/>
      <c r="AJ1102" s="63"/>
      <c r="AK1102" s="63"/>
      <c r="AL1102" s="63"/>
      <c r="AM1102" s="63"/>
      <c r="AN1102" s="63"/>
      <c r="AO1102" s="63"/>
      <c r="AP1102" s="63"/>
      <c r="AQ1102" s="63"/>
      <c r="AR1102" s="63"/>
      <c r="AS1102" s="63"/>
      <c r="AT1102" s="63"/>
      <c r="AU1102" s="63"/>
      <c r="AV1102" s="63"/>
      <c r="AW1102" s="63"/>
      <c r="AX1102" s="63"/>
    </row>
    <row r="1103" spans="1:50" ht="18.75" customHeight="1" x14ac:dyDescent="0.2">
      <c r="AA1103" s="16"/>
      <c r="AB1103" s="29" t="s">
        <v>676</v>
      </c>
      <c r="AC1103" s="17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</row>
    <row r="1104" spans="1:50" ht="18.75" customHeight="1" x14ac:dyDescent="0.2">
      <c r="AA1104" s="16"/>
      <c r="AB1104" s="29" t="s">
        <v>286</v>
      </c>
      <c r="AC1104" s="17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</row>
    <row r="1105" spans="1:50" ht="18.75" customHeight="1" x14ac:dyDescent="0.2">
      <c r="AA1105" s="16"/>
      <c r="AB1105" s="29" t="s">
        <v>179</v>
      </c>
      <c r="AC1105" s="17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</row>
    <row r="1106" spans="1:50" ht="18.75" customHeight="1" x14ac:dyDescent="0.2">
      <c r="AA1106" s="16"/>
      <c r="AB1106" s="29" t="s">
        <v>181</v>
      </c>
      <c r="AC1106" s="17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  <c r="AQ1106" s="18"/>
      <c r="AR1106" s="18"/>
      <c r="AS1106" s="18"/>
      <c r="AT1106" s="18"/>
      <c r="AU1106" s="18"/>
      <c r="AV1106" s="18"/>
      <c r="AW1106" s="18"/>
      <c r="AX1106" s="18"/>
    </row>
    <row r="1107" spans="1:50" ht="18.75" customHeight="1" x14ac:dyDescent="0.2">
      <c r="AA1107" s="16"/>
      <c r="AB1107" s="29" t="s">
        <v>187</v>
      </c>
      <c r="AC1107" s="17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30"/>
      <c r="AU1107" s="18"/>
      <c r="AV1107" s="18"/>
      <c r="AW1107" s="18"/>
      <c r="AX1107" s="18"/>
    </row>
    <row r="1108" spans="1:50" ht="18.75" customHeight="1" x14ac:dyDescent="0.2">
      <c r="AA1108" s="28" t="s">
        <v>288</v>
      </c>
      <c r="AB1108" s="29" t="s">
        <v>292</v>
      </c>
      <c r="AC1108" s="17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30"/>
      <c r="AU1108" s="18"/>
      <c r="AV1108" s="18"/>
      <c r="AW1108" s="18"/>
      <c r="AX1108" s="18"/>
    </row>
    <row r="1109" spans="1:50" ht="18.75" customHeight="1" x14ac:dyDescent="0.2">
      <c r="A1109" s="4" t="s">
        <v>55</v>
      </c>
      <c r="B1109" s="4" t="s">
        <v>56</v>
      </c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1" t="s">
        <v>677</v>
      </c>
      <c r="AB1109" s="42" t="s">
        <v>233</v>
      </c>
      <c r="AC1109" s="43" t="s">
        <v>58</v>
      </c>
      <c r="AD1109" s="43">
        <v>10000000</v>
      </c>
      <c r="AE1109" s="44">
        <v>0</v>
      </c>
      <c r="AF1109" s="44">
        <v>0</v>
      </c>
      <c r="AG1109" s="44">
        <v>0</v>
      </c>
      <c r="AH1109" s="43">
        <v>10000000</v>
      </c>
      <c r="AI1109" s="43">
        <f>AE1109-AF1109+AG1109-AH1109</f>
        <v>-10000000</v>
      </c>
      <c r="AJ1109" s="43">
        <f>AD1109+AI1109</f>
        <v>0</v>
      </c>
      <c r="AK1109" s="44">
        <v>0</v>
      </c>
      <c r="AL1109" s="44">
        <v>0</v>
      </c>
      <c r="AM1109" s="44">
        <v>0</v>
      </c>
      <c r="AN1109" s="44">
        <v>0</v>
      </c>
      <c r="AO1109" s="44">
        <v>0</v>
      </c>
      <c r="AP1109" s="44">
        <v>0</v>
      </c>
      <c r="AQ1109" s="44">
        <v>0</v>
      </c>
      <c r="AR1109" s="44">
        <v>0</v>
      </c>
      <c r="AS1109" s="44">
        <v>0</v>
      </c>
      <c r="AT1109" s="40">
        <f t="shared" ref="AT1109" si="487">AQ1109+AS1109</f>
        <v>0</v>
      </c>
      <c r="AU1109" s="18">
        <f>AJ1109-AM1109</f>
        <v>0</v>
      </c>
      <c r="AV1109" s="133">
        <f>AM1109-AP1109</f>
        <v>0</v>
      </c>
      <c r="AW1109" s="34">
        <f>AP1109-AT1109</f>
        <v>0</v>
      </c>
      <c r="AX1109" s="123">
        <v>0</v>
      </c>
    </row>
    <row r="1110" spans="1:50" ht="25.5" x14ac:dyDescent="0.2">
      <c r="AA1110" s="28" t="s">
        <v>288</v>
      </c>
      <c r="AB1110" s="29" t="s">
        <v>678</v>
      </c>
      <c r="AC1110" s="17"/>
      <c r="AD1110" s="18"/>
      <c r="AE1110" s="18"/>
      <c r="AF1110" s="18"/>
      <c r="AG1110" s="18"/>
      <c r="AH1110" s="18"/>
      <c r="AI1110" s="18"/>
      <c r="AJ1110" s="18"/>
      <c r="AK1110" s="34"/>
      <c r="AL1110" s="34"/>
      <c r="AM1110" s="34"/>
      <c r="AN1110" s="34"/>
      <c r="AO1110" s="34"/>
      <c r="AP1110" s="34"/>
      <c r="AQ1110" s="34"/>
      <c r="AR1110" s="34"/>
      <c r="AS1110" s="34"/>
      <c r="AT1110" s="40"/>
      <c r="AU1110" s="18"/>
      <c r="AV1110" s="34"/>
      <c r="AW1110" s="34"/>
      <c r="AX1110" s="18"/>
    </row>
    <row r="1111" spans="1:50" x14ac:dyDescent="0.2">
      <c r="A1111" s="4" t="s">
        <v>55</v>
      </c>
      <c r="B1111" s="4" t="s">
        <v>56</v>
      </c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1" t="s">
        <v>981</v>
      </c>
      <c r="AB1111" s="42" t="s">
        <v>233</v>
      </c>
      <c r="AC1111" s="43" t="s">
        <v>58</v>
      </c>
      <c r="AD1111" s="43">
        <v>14000000</v>
      </c>
      <c r="AE1111" s="44">
        <v>0</v>
      </c>
      <c r="AF1111" s="44">
        <v>0</v>
      </c>
      <c r="AG1111" s="44">
        <v>0</v>
      </c>
      <c r="AH1111" s="44">
        <v>0</v>
      </c>
      <c r="AI1111" s="44">
        <v>0</v>
      </c>
      <c r="AJ1111" s="43">
        <v>14000000</v>
      </c>
      <c r="AK1111" s="44">
        <v>0</v>
      </c>
      <c r="AL1111" s="43">
        <v>0</v>
      </c>
      <c r="AM1111" s="43">
        <v>11566485</v>
      </c>
      <c r="AN1111" s="43">
        <v>0</v>
      </c>
      <c r="AO1111" s="43">
        <v>0</v>
      </c>
      <c r="AP1111" s="43">
        <v>11566485</v>
      </c>
      <c r="AQ1111" s="44">
        <v>0</v>
      </c>
      <c r="AR1111" s="44">
        <v>0</v>
      </c>
      <c r="AS1111" s="44">
        <v>0</v>
      </c>
      <c r="AT1111" s="40">
        <f t="shared" ref="AT1111:AT1143" si="488">AQ1111+AS1111</f>
        <v>0</v>
      </c>
      <c r="AU1111" s="18">
        <f>AJ1111-AM1111</f>
        <v>2433515</v>
      </c>
      <c r="AV1111" s="34">
        <f>AM1111-AP1111</f>
        <v>0</v>
      </c>
      <c r="AW1111" s="18">
        <f>AP1111-AT1111</f>
        <v>11566485</v>
      </c>
      <c r="AX1111" s="123">
        <f>AP1111/AJ1111</f>
        <v>0.82617750000000001</v>
      </c>
    </row>
    <row r="1112" spans="1:50" x14ac:dyDescent="0.2">
      <c r="AA1112" s="73" t="s">
        <v>288</v>
      </c>
      <c r="AB1112" s="74" t="s">
        <v>292</v>
      </c>
      <c r="AC1112" s="17"/>
      <c r="AD1112" s="18"/>
      <c r="AE1112" s="34"/>
      <c r="AF1112" s="34"/>
      <c r="AG1112" s="34"/>
      <c r="AH1112" s="34"/>
      <c r="AI1112" s="34"/>
      <c r="AJ1112" s="18"/>
      <c r="AK1112" s="34"/>
      <c r="AL1112" s="34"/>
      <c r="AM1112" s="34"/>
      <c r="AN1112" s="34"/>
      <c r="AO1112" s="34"/>
      <c r="AP1112" s="34"/>
      <c r="AQ1112" s="18"/>
      <c r="AR1112" s="18"/>
      <c r="AS1112" s="18"/>
      <c r="AT1112" s="30"/>
      <c r="AU1112" s="18"/>
      <c r="AV1112" s="34"/>
      <c r="AW1112" s="18"/>
      <c r="AX1112" s="18"/>
    </row>
    <row r="1113" spans="1:50" x14ac:dyDescent="0.2">
      <c r="AA1113" s="41" t="s">
        <v>1374</v>
      </c>
      <c r="AB1113" s="42" t="s">
        <v>233</v>
      </c>
      <c r="AC1113" s="17"/>
      <c r="AD1113" s="18">
        <v>0</v>
      </c>
      <c r="AE1113" s="34">
        <v>0</v>
      </c>
      <c r="AF1113" s="34">
        <v>0</v>
      </c>
      <c r="AG1113" s="18">
        <v>5000000</v>
      </c>
      <c r="AH1113" s="34">
        <v>0</v>
      </c>
      <c r="AI1113" s="43">
        <f>AE1113-AF1113+AG1113-AH1113</f>
        <v>5000000</v>
      </c>
      <c r="AJ1113" s="43">
        <f>AD1113+AI1113</f>
        <v>5000000</v>
      </c>
      <c r="AK1113" s="18">
        <v>0</v>
      </c>
      <c r="AL1113" s="18">
        <f>AM1113-OCTUBRE!AM1102</f>
        <v>270000</v>
      </c>
      <c r="AM1113" s="18">
        <v>3270000</v>
      </c>
      <c r="AN1113" s="18">
        <v>0</v>
      </c>
      <c r="AO1113" s="18">
        <v>3270000</v>
      </c>
      <c r="AP1113" s="18">
        <v>3270000</v>
      </c>
      <c r="AQ1113" s="34">
        <v>0</v>
      </c>
      <c r="AR1113" s="34">
        <v>0</v>
      </c>
      <c r="AS1113" s="34">
        <v>0</v>
      </c>
      <c r="AT1113" s="40">
        <f t="shared" ref="AT1113" si="489">AQ1113+AS1113</f>
        <v>0</v>
      </c>
      <c r="AU1113" s="18">
        <f>AJ1113-AM1113</f>
        <v>1730000</v>
      </c>
      <c r="AV1113" s="34">
        <f>AM1113-AP1113</f>
        <v>0</v>
      </c>
      <c r="AW1113" s="34">
        <f>AP1113-AT1113</f>
        <v>3270000</v>
      </c>
      <c r="AX1113" s="123">
        <f>AP1113/AJ1113</f>
        <v>0.65400000000000003</v>
      </c>
    </row>
    <row r="1114" spans="1:50" x14ac:dyDescent="0.2">
      <c r="AA1114" s="16"/>
      <c r="AB1114" s="17"/>
      <c r="AC1114" s="17"/>
      <c r="AD1114" s="18"/>
      <c r="AE1114" s="34"/>
      <c r="AF1114" s="34"/>
      <c r="AG1114" s="34"/>
      <c r="AH1114" s="34"/>
      <c r="AI1114" s="34"/>
      <c r="AJ1114" s="18"/>
      <c r="AK1114" s="34"/>
      <c r="AL1114" s="34"/>
      <c r="AM1114" s="34"/>
      <c r="AN1114" s="34"/>
      <c r="AO1114" s="34"/>
      <c r="AP1114" s="34"/>
      <c r="AQ1114" s="18"/>
      <c r="AR1114" s="18"/>
      <c r="AS1114" s="18"/>
      <c r="AT1114" s="30"/>
      <c r="AU1114" s="18"/>
      <c r="AV1114" s="18"/>
      <c r="AW1114" s="18"/>
      <c r="AX1114" s="18"/>
    </row>
    <row r="1115" spans="1:50" x14ac:dyDescent="0.2">
      <c r="AA1115" s="16"/>
      <c r="AB1115" s="29" t="s">
        <v>189</v>
      </c>
      <c r="AC1115" s="17"/>
      <c r="AD1115" s="18"/>
      <c r="AE1115" s="34"/>
      <c r="AF1115" s="34"/>
      <c r="AG1115" s="34"/>
      <c r="AH1115" s="34"/>
      <c r="AI1115" s="34"/>
      <c r="AJ1115" s="18"/>
      <c r="AK1115" s="34"/>
      <c r="AL1115" s="34"/>
      <c r="AM1115" s="34"/>
      <c r="AN1115" s="34"/>
      <c r="AO1115" s="34"/>
      <c r="AP1115" s="34"/>
      <c r="AQ1115" s="18"/>
      <c r="AR1115" s="18"/>
      <c r="AS1115" s="18"/>
      <c r="AT1115" s="30"/>
      <c r="AU1115" s="18"/>
      <c r="AV1115" s="18"/>
      <c r="AW1115" s="18"/>
      <c r="AX1115" s="18"/>
    </row>
    <row r="1116" spans="1:50" ht="25.5" x14ac:dyDescent="0.2">
      <c r="AA1116" s="16"/>
      <c r="AB1116" s="29" t="s">
        <v>197</v>
      </c>
      <c r="AC1116" s="17"/>
      <c r="AD1116" s="18"/>
      <c r="AE1116" s="34"/>
      <c r="AF1116" s="34"/>
      <c r="AG1116" s="34"/>
      <c r="AH1116" s="34"/>
      <c r="AI1116" s="34"/>
      <c r="AJ1116" s="18"/>
      <c r="AK1116" s="34"/>
      <c r="AL1116" s="34"/>
      <c r="AM1116" s="34"/>
      <c r="AN1116" s="34"/>
      <c r="AO1116" s="34"/>
      <c r="AP1116" s="34"/>
      <c r="AQ1116" s="18"/>
      <c r="AR1116" s="18"/>
      <c r="AS1116" s="18"/>
      <c r="AT1116" s="30"/>
      <c r="AU1116" s="18"/>
      <c r="AV1116" s="18"/>
      <c r="AW1116" s="18"/>
      <c r="AX1116" s="18"/>
    </row>
    <row r="1117" spans="1:50" x14ac:dyDescent="0.2">
      <c r="AA1117" s="28" t="s">
        <v>288</v>
      </c>
      <c r="AB1117" s="29" t="s">
        <v>292</v>
      </c>
      <c r="AC1117" s="17"/>
      <c r="AD1117" s="18"/>
      <c r="AE1117" s="34"/>
      <c r="AF1117" s="34"/>
      <c r="AG1117" s="34"/>
      <c r="AH1117" s="34"/>
      <c r="AI1117" s="34"/>
      <c r="AJ1117" s="18"/>
      <c r="AK1117" s="34"/>
      <c r="AL1117" s="34"/>
      <c r="AM1117" s="34"/>
      <c r="AN1117" s="34"/>
      <c r="AO1117" s="34"/>
      <c r="AP1117" s="34"/>
      <c r="AQ1117" s="18"/>
      <c r="AR1117" s="18"/>
      <c r="AS1117" s="18"/>
      <c r="AT1117" s="30"/>
      <c r="AU1117" s="18"/>
      <c r="AV1117" s="18"/>
      <c r="AW1117" s="18"/>
      <c r="AX1117" s="18"/>
    </row>
    <row r="1118" spans="1:50" x14ac:dyDescent="0.2">
      <c r="A1118" s="4" t="s">
        <v>55</v>
      </c>
      <c r="B1118" s="4" t="s">
        <v>56</v>
      </c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1" t="s">
        <v>680</v>
      </c>
      <c r="AB1118" s="42" t="s">
        <v>233</v>
      </c>
      <c r="AC1118" s="43" t="s">
        <v>58</v>
      </c>
      <c r="AD1118" s="43">
        <v>90000000</v>
      </c>
      <c r="AE1118" s="44">
        <v>0</v>
      </c>
      <c r="AF1118" s="44">
        <v>0</v>
      </c>
      <c r="AG1118" s="44">
        <v>0</v>
      </c>
      <c r="AH1118" s="43">
        <v>90000000</v>
      </c>
      <c r="AI1118" s="43">
        <f>AE1118-AF1118+AG1118-AH1118</f>
        <v>-90000000</v>
      </c>
      <c r="AJ1118" s="43">
        <f>AD1118+AI1118</f>
        <v>0</v>
      </c>
      <c r="AK1118" s="44">
        <v>0</v>
      </c>
      <c r="AL1118" s="44">
        <v>0</v>
      </c>
      <c r="AM1118" s="44">
        <v>0</v>
      </c>
      <c r="AN1118" s="44">
        <v>0</v>
      </c>
      <c r="AO1118" s="44">
        <v>0</v>
      </c>
      <c r="AP1118" s="44">
        <v>0</v>
      </c>
      <c r="AQ1118" s="44">
        <v>0</v>
      </c>
      <c r="AR1118" s="44">
        <v>0</v>
      </c>
      <c r="AS1118" s="44">
        <v>0</v>
      </c>
      <c r="AT1118" s="40">
        <f t="shared" ref="AT1118" si="490">AQ1118+AS1118</f>
        <v>0</v>
      </c>
      <c r="AU1118" s="18">
        <f>AJ1118-AM1118</f>
        <v>0</v>
      </c>
      <c r="AV1118" s="133">
        <f>AM1118-AP1118</f>
        <v>0</v>
      </c>
      <c r="AW1118" s="34">
        <f>AP1118-AT1118</f>
        <v>0</v>
      </c>
      <c r="AX1118" s="123">
        <v>0</v>
      </c>
    </row>
    <row r="1119" spans="1:50" ht="25.5" x14ac:dyDescent="0.2">
      <c r="AA1119" s="28" t="s">
        <v>288</v>
      </c>
      <c r="AB1119" s="29" t="s">
        <v>678</v>
      </c>
      <c r="AC1119" s="17"/>
      <c r="AD1119" s="18"/>
      <c r="AE1119" s="34"/>
      <c r="AF1119" s="34"/>
      <c r="AG1119" s="34"/>
      <c r="AH1119" s="34"/>
      <c r="AI1119" s="34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30"/>
      <c r="AU1119" s="18"/>
      <c r="AV1119" s="18"/>
      <c r="AW1119" s="18"/>
      <c r="AX1119" s="18"/>
    </row>
    <row r="1120" spans="1:50" x14ac:dyDescent="0.2">
      <c r="A1120" s="4" t="s">
        <v>55</v>
      </c>
      <c r="B1120" s="4" t="s">
        <v>56</v>
      </c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1" t="s">
        <v>681</v>
      </c>
      <c r="AB1120" s="42" t="s">
        <v>233</v>
      </c>
      <c r="AC1120" s="43" t="s">
        <v>58</v>
      </c>
      <c r="AD1120" s="43">
        <v>4085500000</v>
      </c>
      <c r="AE1120" s="44">
        <v>0</v>
      </c>
      <c r="AF1120" s="44">
        <v>0</v>
      </c>
      <c r="AG1120" s="43">
        <v>2080000000</v>
      </c>
      <c r="AH1120" s="43">
        <f>1800000000+1856300000+210000000+60000000</f>
        <v>3926300000</v>
      </c>
      <c r="AI1120" s="43">
        <f>AE1120-AF1120+AG1120-AH1120</f>
        <v>-1846300000</v>
      </c>
      <c r="AJ1120" s="43">
        <f>AD1120+AI1120</f>
        <v>2239200000</v>
      </c>
      <c r="AK1120" s="44">
        <v>0</v>
      </c>
      <c r="AL1120" s="43">
        <f>AM1120-OCTUBRE!AM1109</f>
        <v>3000000</v>
      </c>
      <c r="AM1120" s="43">
        <v>1681450000</v>
      </c>
      <c r="AN1120" s="43">
        <v>0</v>
      </c>
      <c r="AO1120" s="43">
        <v>3000000</v>
      </c>
      <c r="AP1120" s="43">
        <v>1681450000</v>
      </c>
      <c r="AQ1120" s="43">
        <v>13000000</v>
      </c>
      <c r="AR1120" s="43">
        <v>210902667</v>
      </c>
      <c r="AS1120" s="43">
        <v>1279066532.3299999</v>
      </c>
      <c r="AT1120" s="111">
        <f t="shared" ref="AT1120" si="491">AQ1120+AS1120</f>
        <v>1292066532.3299999</v>
      </c>
      <c r="AU1120" s="18">
        <f>AJ1120-AM1120</f>
        <v>557750000</v>
      </c>
      <c r="AV1120" s="110">
        <f>AM1120-AP1120</f>
        <v>0</v>
      </c>
      <c r="AW1120" s="18">
        <f>AP1120-AT1120</f>
        <v>389383467.67000008</v>
      </c>
      <c r="AX1120" s="123">
        <f>AP1120/AJ1120</f>
        <v>0.75091550553769204</v>
      </c>
    </row>
    <row r="1121" spans="1:50" ht="25.5" x14ac:dyDescent="0.2">
      <c r="AA1121" s="28" t="s">
        <v>288</v>
      </c>
      <c r="AB1121" s="29" t="s">
        <v>682</v>
      </c>
      <c r="AC1121" s="17"/>
      <c r="AD1121" s="18"/>
      <c r="AE1121" s="34"/>
      <c r="AF1121" s="34"/>
      <c r="AG1121" s="34"/>
      <c r="AH1121" s="34"/>
      <c r="AI1121" s="34"/>
      <c r="AJ1121" s="18"/>
      <c r="AK1121" s="34"/>
      <c r="AL1121" s="18"/>
      <c r="AM1121" s="18"/>
      <c r="AN1121" s="18"/>
      <c r="AO1121" s="18"/>
      <c r="AP1121" s="18"/>
      <c r="AQ1121" s="18"/>
      <c r="AR1121" s="18"/>
      <c r="AS1121" s="18"/>
      <c r="AT1121" s="31"/>
      <c r="AU1121" s="18"/>
      <c r="AV1121" s="18"/>
      <c r="AW1121" s="18"/>
      <c r="AX1121" s="18"/>
    </row>
    <row r="1122" spans="1:50" x14ac:dyDescent="0.2">
      <c r="A1122" s="4" t="s">
        <v>55</v>
      </c>
      <c r="B1122" s="4" t="s">
        <v>56</v>
      </c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1" t="s">
        <v>683</v>
      </c>
      <c r="AB1122" s="42" t="s">
        <v>233</v>
      </c>
      <c r="AC1122" s="43" t="s">
        <v>58</v>
      </c>
      <c r="AD1122" s="43">
        <v>467600000</v>
      </c>
      <c r="AE1122" s="44">
        <v>0</v>
      </c>
      <c r="AF1122" s="44">
        <v>0</v>
      </c>
      <c r="AG1122" s="43">
        <f>2580000000+60000000</f>
        <v>2640000000</v>
      </c>
      <c r="AH1122" s="43">
        <v>2240000000</v>
      </c>
      <c r="AI1122" s="43">
        <f>AE1122-AF1122+AG1122-AH1122</f>
        <v>400000000</v>
      </c>
      <c r="AJ1122" s="43">
        <f>AD1122+AI1122</f>
        <v>867600000</v>
      </c>
      <c r="AK1122" s="44">
        <v>0</v>
      </c>
      <c r="AL1122" s="43">
        <v>13850000</v>
      </c>
      <c r="AM1122" s="43">
        <v>794840000</v>
      </c>
      <c r="AN1122" s="44">
        <v>0</v>
      </c>
      <c r="AO1122" s="43">
        <v>8000000</v>
      </c>
      <c r="AP1122" s="43">
        <v>716990000</v>
      </c>
      <c r="AQ1122" s="43">
        <v>19000000</v>
      </c>
      <c r="AR1122" s="43">
        <v>90200000</v>
      </c>
      <c r="AS1122" s="43">
        <v>563529999</v>
      </c>
      <c r="AT1122" s="111">
        <f t="shared" ref="AT1122" si="492">AQ1122+AS1122</f>
        <v>582529999</v>
      </c>
      <c r="AU1122" s="18">
        <f>AJ1122-AM1122</f>
        <v>72760000</v>
      </c>
      <c r="AV1122" s="110">
        <f>AM1122-AP1122</f>
        <v>77850000</v>
      </c>
      <c r="AW1122" s="18">
        <f>AP1122-AT1122</f>
        <v>134460001</v>
      </c>
      <c r="AX1122" s="123">
        <f>AP1122/AJ1122</f>
        <v>0.82640617796219451</v>
      </c>
    </row>
    <row r="1123" spans="1:50" ht="25.5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73" t="s">
        <v>288</v>
      </c>
      <c r="AB1123" s="74" t="s">
        <v>197</v>
      </c>
      <c r="AC1123" s="43"/>
      <c r="AD1123" s="43"/>
      <c r="AE1123" s="44"/>
      <c r="AF1123" s="44"/>
      <c r="AG1123" s="43"/>
      <c r="AH1123" s="43"/>
      <c r="AI1123" s="43"/>
      <c r="AJ1123" s="43"/>
      <c r="AK1123" s="44"/>
      <c r="AL1123" s="44"/>
      <c r="AM1123" s="43"/>
      <c r="AN1123" s="44"/>
      <c r="AO1123" s="44"/>
      <c r="AP1123" s="43"/>
      <c r="AQ1123" s="44"/>
      <c r="AR1123" s="114"/>
      <c r="AS1123" s="114"/>
      <c r="AT1123" s="111"/>
      <c r="AU1123" s="18"/>
      <c r="AV1123" s="110"/>
      <c r="AW1123" s="18"/>
      <c r="AX1123" s="123"/>
    </row>
    <row r="1124" spans="1:50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1" t="s">
        <v>305</v>
      </c>
      <c r="AB1124" s="42" t="s">
        <v>233</v>
      </c>
      <c r="AC1124" s="43"/>
      <c r="AD1124" s="44">
        <v>0</v>
      </c>
      <c r="AE1124" s="44">
        <v>0</v>
      </c>
      <c r="AF1124" s="44">
        <v>0</v>
      </c>
      <c r="AG1124" s="43">
        <f>1800000000+1620000000</f>
        <v>3420000000</v>
      </c>
      <c r="AH1124" s="259">
        <v>0</v>
      </c>
      <c r="AI1124" s="43">
        <f>AE1124-AF1124+AG1124-AH1124</f>
        <v>3420000000</v>
      </c>
      <c r="AJ1124" s="43">
        <f>AD1124+AI1124</f>
        <v>3420000000</v>
      </c>
      <c r="AK1124" s="44">
        <v>0</v>
      </c>
      <c r="AL1124" s="44">
        <v>0</v>
      </c>
      <c r="AM1124" s="43">
        <v>2919988003</v>
      </c>
      <c r="AN1124" s="44">
        <v>0</v>
      </c>
      <c r="AO1124" s="44">
        <v>0</v>
      </c>
      <c r="AP1124" s="43">
        <v>2919988003</v>
      </c>
      <c r="AQ1124" s="44">
        <v>0</v>
      </c>
      <c r="AR1124" s="114">
        <v>0</v>
      </c>
      <c r="AS1124" s="114">
        <v>2023997606</v>
      </c>
      <c r="AT1124" s="111">
        <f t="shared" ref="AT1124" si="493">AQ1124+AS1124</f>
        <v>2023997606</v>
      </c>
      <c r="AU1124" s="18">
        <f>AJ1124-AM1124</f>
        <v>500011997</v>
      </c>
      <c r="AV1124" s="133">
        <f>AM1124-AP1124</f>
        <v>0</v>
      </c>
      <c r="AW1124" s="18">
        <f>AP1124-AT1124</f>
        <v>895990397</v>
      </c>
      <c r="AX1124" s="123">
        <f>AP1124/AJ1124</f>
        <v>0.85379766169590643</v>
      </c>
    </row>
    <row r="1125" spans="1:50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73" t="s">
        <v>288</v>
      </c>
      <c r="AB1125" s="74" t="s">
        <v>1276</v>
      </c>
      <c r="AC1125" s="43"/>
      <c r="AD1125" s="44"/>
      <c r="AE1125" s="44"/>
      <c r="AF1125" s="44"/>
      <c r="AG1125" s="43"/>
      <c r="AH1125" s="259"/>
      <c r="AI1125" s="43"/>
      <c r="AJ1125" s="43"/>
      <c r="AK1125" s="44"/>
      <c r="AL1125" s="44"/>
      <c r="AM1125" s="43"/>
      <c r="AN1125" s="44"/>
      <c r="AO1125" s="44"/>
      <c r="AP1125" s="43"/>
      <c r="AQ1125" s="44"/>
      <c r="AR1125" s="114"/>
      <c r="AS1125" s="114"/>
      <c r="AT1125" s="111"/>
      <c r="AU1125" s="18"/>
      <c r="AV1125" s="133"/>
      <c r="AW1125" s="34"/>
      <c r="AX1125" s="123"/>
    </row>
    <row r="1126" spans="1:50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1" t="s">
        <v>1277</v>
      </c>
      <c r="AB1126" s="42" t="s">
        <v>233</v>
      </c>
      <c r="AC1126" s="43"/>
      <c r="AD1126" s="44">
        <v>0</v>
      </c>
      <c r="AE1126" s="44">
        <v>0</v>
      </c>
      <c r="AF1126" s="44">
        <v>0</v>
      </c>
      <c r="AG1126" s="43">
        <v>100000000</v>
      </c>
      <c r="AH1126" s="259">
        <v>0</v>
      </c>
      <c r="AI1126" s="43">
        <f>AE1126-AF1126+AG1126-AH1126</f>
        <v>100000000</v>
      </c>
      <c r="AJ1126" s="43">
        <f>AD1126+AI1126</f>
        <v>100000000</v>
      </c>
      <c r="AK1126" s="44">
        <v>0</v>
      </c>
      <c r="AL1126" s="44">
        <v>0</v>
      </c>
      <c r="AM1126" s="43">
        <v>100000000</v>
      </c>
      <c r="AN1126" s="44">
        <v>0</v>
      </c>
      <c r="AO1126" s="44">
        <v>0</v>
      </c>
      <c r="AP1126" s="43">
        <v>100000000</v>
      </c>
      <c r="AQ1126" s="44">
        <v>0</v>
      </c>
      <c r="AR1126" s="44">
        <v>0</v>
      </c>
      <c r="AS1126" s="43">
        <v>50000000</v>
      </c>
      <c r="AT1126" s="39">
        <f t="shared" ref="AT1126" si="494">AQ1126+AS1126</f>
        <v>50000000</v>
      </c>
      <c r="AU1126" s="34">
        <f>AJ1126-AM1126</f>
        <v>0</v>
      </c>
      <c r="AV1126" s="133">
        <f>AM1126-AP1126</f>
        <v>0</v>
      </c>
      <c r="AW1126" s="18">
        <f>AP1126-AT1126</f>
        <v>50000000</v>
      </c>
      <c r="AX1126" s="123">
        <f>AP1126/AJ1126</f>
        <v>1</v>
      </c>
    </row>
    <row r="1127" spans="1:50" x14ac:dyDescent="0.2">
      <c r="AA1127" s="28" t="s">
        <v>288</v>
      </c>
      <c r="AB1127" s="68" t="s">
        <v>684</v>
      </c>
      <c r="AC1127" s="17"/>
      <c r="AD1127" s="18"/>
      <c r="AE1127" s="34"/>
      <c r="AF1127" s="34"/>
      <c r="AG1127" s="34"/>
      <c r="AH1127" s="34"/>
      <c r="AI1127" s="34"/>
      <c r="AJ1127" s="18"/>
      <c r="AK1127" s="34"/>
      <c r="AL1127" s="18"/>
      <c r="AM1127" s="18"/>
      <c r="AN1127" s="34"/>
      <c r="AO1127" s="34"/>
      <c r="AP1127" s="18"/>
      <c r="AQ1127" s="34"/>
      <c r="AR1127" s="34"/>
      <c r="AS1127" s="34"/>
      <c r="AT1127" s="31"/>
      <c r="AU1127" s="18"/>
      <c r="AV1127" s="18"/>
      <c r="AW1127" s="18"/>
      <c r="AX1127" s="18"/>
    </row>
    <row r="1128" spans="1:50" x14ac:dyDescent="0.2">
      <c r="A1128" s="4" t="s">
        <v>55</v>
      </c>
      <c r="B1128" s="4" t="s">
        <v>56</v>
      </c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1" t="s">
        <v>685</v>
      </c>
      <c r="AB1128" s="69" t="s">
        <v>233</v>
      </c>
      <c r="AC1128" s="43" t="s">
        <v>58</v>
      </c>
      <c r="AD1128" s="43">
        <v>6107898530</v>
      </c>
      <c r="AE1128" s="44">
        <v>0</v>
      </c>
      <c r="AF1128" s="44">
        <v>0</v>
      </c>
      <c r="AG1128" s="44">
        <v>0</v>
      </c>
      <c r="AH1128" s="43">
        <f>3080123215+3000000000</f>
        <v>6080123215</v>
      </c>
      <c r="AI1128" s="43">
        <f>AE1128-AF1128+AG1128-AH1128</f>
        <v>-6080123215</v>
      </c>
      <c r="AJ1128" s="43">
        <f>AD1128+AI1128</f>
        <v>27775315</v>
      </c>
      <c r="AK1128" s="43">
        <v>0</v>
      </c>
      <c r="AL1128" s="43">
        <v>2790200</v>
      </c>
      <c r="AM1128" s="43">
        <v>16811200</v>
      </c>
      <c r="AN1128" s="43">
        <v>0</v>
      </c>
      <c r="AO1128" s="44">
        <v>16811200</v>
      </c>
      <c r="AP1128" s="44">
        <v>16811200</v>
      </c>
      <c r="AQ1128" s="44">
        <v>0</v>
      </c>
      <c r="AR1128" s="44">
        <v>0</v>
      </c>
      <c r="AS1128" s="44">
        <v>0</v>
      </c>
      <c r="AT1128" s="40">
        <f t="shared" ref="AT1128:AT1129" si="495">AQ1128+AS1128</f>
        <v>0</v>
      </c>
      <c r="AU1128" s="18">
        <f>AJ1128-AM1128</f>
        <v>10964115</v>
      </c>
      <c r="AV1128" s="34">
        <f>AM1128-AP1128</f>
        <v>0</v>
      </c>
      <c r="AW1128" s="34">
        <f>AP1128-AT1128</f>
        <v>16811200</v>
      </c>
      <c r="AX1128" s="123">
        <f>AP1128/AJ1128</f>
        <v>0.60525686207339147</v>
      </c>
    </row>
    <row r="1129" spans="1:50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1" t="s">
        <v>1447</v>
      </c>
      <c r="AB1129" s="69" t="s">
        <v>1443</v>
      </c>
      <c r="AC1129" s="43"/>
      <c r="AD1129" s="43">
        <v>0</v>
      </c>
      <c r="AE1129" s="43">
        <v>668407096.27999997</v>
      </c>
      <c r="AF1129" s="44">
        <v>0</v>
      </c>
      <c r="AG1129" s="44">
        <v>0</v>
      </c>
      <c r="AH1129" s="43">
        <v>0</v>
      </c>
      <c r="AI1129" s="43">
        <f>AE1129-AF1129+AG1129-AH1129</f>
        <v>668407096.27999997</v>
      </c>
      <c r="AJ1129" s="43">
        <f>AD1129+AI1129</f>
        <v>668407096.27999997</v>
      </c>
      <c r="AK1129" s="43">
        <v>0</v>
      </c>
      <c r="AL1129" s="43">
        <v>0</v>
      </c>
      <c r="AM1129" s="43">
        <v>0</v>
      </c>
      <c r="AN1129" s="43">
        <v>0</v>
      </c>
      <c r="AO1129" s="44">
        <v>0</v>
      </c>
      <c r="AP1129" s="44">
        <v>0</v>
      </c>
      <c r="AQ1129" s="44">
        <v>0</v>
      </c>
      <c r="AR1129" s="44">
        <v>0</v>
      </c>
      <c r="AS1129" s="44">
        <v>0</v>
      </c>
      <c r="AT1129" s="39">
        <f t="shared" si="495"/>
        <v>0</v>
      </c>
      <c r="AU1129" s="18">
        <f>AJ1129-AM1129</f>
        <v>668407096.27999997</v>
      </c>
      <c r="AV1129" s="133">
        <f>AM1129-AP1129</f>
        <v>0</v>
      </c>
      <c r="AW1129" s="18">
        <f>AP1129-AT1129</f>
        <v>0</v>
      </c>
      <c r="AX1129" s="123">
        <f>AP1129/AJ1129</f>
        <v>0</v>
      </c>
    </row>
    <row r="1130" spans="1:50" ht="25.5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73" t="s">
        <v>288</v>
      </c>
      <c r="AB1130" s="82" t="s">
        <v>197</v>
      </c>
      <c r="AC1130" s="43"/>
      <c r="AD1130" s="43"/>
      <c r="AE1130" s="44"/>
      <c r="AF1130" s="44"/>
      <c r="AG1130" s="44"/>
      <c r="AH1130" s="44"/>
      <c r="AI1130" s="44"/>
      <c r="AJ1130" s="43"/>
      <c r="AK1130" s="44"/>
      <c r="AL1130" s="44"/>
      <c r="AM1130" s="44"/>
      <c r="AN1130" s="43"/>
      <c r="AO1130" s="43"/>
      <c r="AP1130" s="44"/>
      <c r="AQ1130" s="44"/>
      <c r="AR1130" s="44"/>
      <c r="AS1130" s="44"/>
      <c r="AT1130" s="40"/>
      <c r="AU1130" s="18"/>
      <c r="AV1130" s="133"/>
      <c r="AW1130" s="34"/>
      <c r="AX1130" s="123"/>
    </row>
    <row r="1131" spans="1:50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1" t="s">
        <v>974</v>
      </c>
      <c r="AB1131" s="69" t="s">
        <v>233</v>
      </c>
      <c r="AC1131" s="43"/>
      <c r="AD1131" s="44">
        <v>0</v>
      </c>
      <c r="AE1131" s="44">
        <v>0</v>
      </c>
      <c r="AF1131" s="44">
        <v>0</v>
      </c>
      <c r="AG1131" s="43">
        <f>2240000000+1080123215</f>
        <v>3320123215</v>
      </c>
      <c r="AH1131" s="43">
        <v>500000000</v>
      </c>
      <c r="AI1131" s="43">
        <f>AE1131-AF1131+AG1131-AH1131</f>
        <v>2820123215</v>
      </c>
      <c r="AJ1131" s="43">
        <f>AD1131+AI1131</f>
        <v>2820123215</v>
      </c>
      <c r="AK1131" s="43">
        <v>0</v>
      </c>
      <c r="AL1131" s="43">
        <v>0</v>
      </c>
      <c r="AM1131" s="43">
        <v>2454343719</v>
      </c>
      <c r="AN1131" s="43">
        <v>0</v>
      </c>
      <c r="AO1131" s="43">
        <v>0</v>
      </c>
      <c r="AP1131" s="43">
        <v>2454343719</v>
      </c>
      <c r="AQ1131" s="44">
        <v>0</v>
      </c>
      <c r="AR1131" s="44">
        <v>0</v>
      </c>
      <c r="AS1131" s="44">
        <v>0</v>
      </c>
      <c r="AT1131" s="135">
        <f t="shared" ref="AT1131:AT1132" si="496">AQ1131+AS1131</f>
        <v>0</v>
      </c>
      <c r="AU1131" s="110">
        <f>AJ1131-AM1131</f>
        <v>365779496</v>
      </c>
      <c r="AV1131" s="34">
        <f>AM1131-AP1131</f>
        <v>0</v>
      </c>
      <c r="AW1131" s="18">
        <f>AP1131-AT1131</f>
        <v>2454343719</v>
      </c>
      <c r="AX1131" s="123">
        <f>AP1131/AJ1131</f>
        <v>0.87029662602880276</v>
      </c>
    </row>
    <row r="1132" spans="1:50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1" t="s">
        <v>1292</v>
      </c>
      <c r="AB1132" s="69" t="s">
        <v>233</v>
      </c>
      <c r="AC1132" s="43"/>
      <c r="AD1132" s="44">
        <v>0</v>
      </c>
      <c r="AE1132" s="44">
        <v>0</v>
      </c>
      <c r="AF1132" s="44">
        <v>0</v>
      </c>
      <c r="AG1132" s="43">
        <v>2000000000</v>
      </c>
      <c r="AH1132" s="43">
        <v>500000000</v>
      </c>
      <c r="AI1132" s="43">
        <f>AE1132-AF1132+AG1132-AH1132</f>
        <v>1500000000</v>
      </c>
      <c r="AJ1132" s="43">
        <f>AD1132+AI1132</f>
        <v>1500000000</v>
      </c>
      <c r="AK1132" s="44">
        <v>0</v>
      </c>
      <c r="AL1132" s="43">
        <v>412166169.55000001</v>
      </c>
      <c r="AM1132" s="43">
        <v>412166169.55000001</v>
      </c>
      <c r="AN1132" s="44">
        <v>0</v>
      </c>
      <c r="AO1132" s="44">
        <v>0</v>
      </c>
      <c r="AP1132" s="44">
        <v>0</v>
      </c>
      <c r="AQ1132" s="44">
        <v>0</v>
      </c>
      <c r="AR1132" s="44">
        <v>0</v>
      </c>
      <c r="AS1132" s="44">
        <v>0</v>
      </c>
      <c r="AT1132" s="135">
        <f t="shared" si="496"/>
        <v>0</v>
      </c>
      <c r="AU1132" s="110">
        <f>AJ1132-AM1132</f>
        <v>1087833830.45</v>
      </c>
      <c r="AV1132" s="18">
        <f>AM1132-AP1132</f>
        <v>412166169.55000001</v>
      </c>
      <c r="AW1132" s="18">
        <f>AP1132-AT1132</f>
        <v>0</v>
      </c>
      <c r="AX1132" s="123">
        <f>AP1132/AJ1132</f>
        <v>0</v>
      </c>
    </row>
    <row r="1133" spans="1:50" x14ac:dyDescent="0.2">
      <c r="AA1133" s="28" t="s">
        <v>288</v>
      </c>
      <c r="AB1133" s="29" t="s">
        <v>306</v>
      </c>
      <c r="AC1133" s="17"/>
      <c r="AD1133" s="18"/>
      <c r="AE1133" s="34"/>
      <c r="AF1133" s="34"/>
      <c r="AG1133" s="34"/>
      <c r="AH1133" s="34"/>
      <c r="AI1133" s="34"/>
      <c r="AJ1133" s="18"/>
      <c r="AK1133" s="34"/>
      <c r="AL1133" s="18"/>
      <c r="AM1133" s="18"/>
      <c r="AN1133" s="34"/>
      <c r="AO1133" s="34"/>
      <c r="AP1133" s="18"/>
      <c r="AQ1133" s="34"/>
      <c r="AR1133" s="34"/>
      <c r="AS1133" s="34"/>
      <c r="AT1133" s="31"/>
      <c r="AU1133" s="18"/>
      <c r="AV1133" s="34"/>
      <c r="AW1133" s="18"/>
      <c r="AX1133" s="18"/>
    </row>
    <row r="1134" spans="1:50" x14ac:dyDescent="0.2">
      <c r="A1134" s="4" t="s">
        <v>55</v>
      </c>
      <c r="B1134" s="4" t="s">
        <v>56</v>
      </c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1" t="s">
        <v>307</v>
      </c>
      <c r="AB1134" s="42" t="s">
        <v>233</v>
      </c>
      <c r="AC1134" s="43" t="s">
        <v>58</v>
      </c>
      <c r="AD1134" s="43">
        <v>147500000</v>
      </c>
      <c r="AE1134" s="44">
        <v>0</v>
      </c>
      <c r="AF1134" s="44">
        <v>0</v>
      </c>
      <c r="AG1134" s="43">
        <v>6300000</v>
      </c>
      <c r="AH1134" s="44">
        <v>0</v>
      </c>
      <c r="AI1134" s="43">
        <f>AE1134-AF1134+AG1134-AH1134</f>
        <v>6300000</v>
      </c>
      <c r="AJ1134" s="43">
        <f>AD1134+AI1134</f>
        <v>153800000</v>
      </c>
      <c r="AK1134" s="44">
        <v>0</v>
      </c>
      <c r="AL1134" s="43">
        <v>0</v>
      </c>
      <c r="AM1134" s="43">
        <v>150026667</v>
      </c>
      <c r="AN1134" s="44">
        <v>0</v>
      </c>
      <c r="AO1134" s="43">
        <v>0</v>
      </c>
      <c r="AP1134" s="43">
        <v>150026667</v>
      </c>
      <c r="AQ1134" s="43">
        <v>0</v>
      </c>
      <c r="AR1134" s="114">
        <v>14300000</v>
      </c>
      <c r="AS1134" s="114">
        <v>126736667</v>
      </c>
      <c r="AT1134" s="111">
        <f t="shared" ref="AT1134" si="497">AQ1134+AS1134</f>
        <v>126736667</v>
      </c>
      <c r="AU1134" s="110">
        <f>AJ1134-AM1134</f>
        <v>3773333</v>
      </c>
      <c r="AV1134" s="133">
        <f>AM1134-AP1134</f>
        <v>0</v>
      </c>
      <c r="AW1134" s="18">
        <f>AP1134-AT1134</f>
        <v>23290000</v>
      </c>
      <c r="AX1134" s="123">
        <f>AP1134/AJ1134</f>
        <v>0.97546597529258783</v>
      </c>
    </row>
    <row r="1135" spans="1:50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73" t="s">
        <v>288</v>
      </c>
      <c r="AB1135" s="74" t="s">
        <v>292</v>
      </c>
      <c r="AC1135" s="43"/>
      <c r="AD1135" s="43"/>
      <c r="AE1135" s="44"/>
      <c r="AF1135" s="44"/>
      <c r="AG1135" s="43"/>
      <c r="AH1135" s="44"/>
      <c r="AI1135" s="43"/>
      <c r="AJ1135" s="43"/>
      <c r="AK1135" s="44"/>
      <c r="AL1135" s="44"/>
      <c r="AM1135" s="43"/>
      <c r="AN1135" s="44"/>
      <c r="AO1135" s="44"/>
      <c r="AP1135" s="43"/>
      <c r="AQ1135" s="43"/>
      <c r="AR1135" s="114"/>
      <c r="AS1135" s="114"/>
      <c r="AT1135" s="111"/>
      <c r="AU1135" s="110"/>
      <c r="AV1135" s="133"/>
      <c r="AW1135" s="18"/>
      <c r="AX1135" s="123"/>
    </row>
    <row r="1136" spans="1:50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1" t="s">
        <v>311</v>
      </c>
      <c r="AB1136" s="42" t="s">
        <v>233</v>
      </c>
      <c r="AC1136" s="43"/>
      <c r="AD1136" s="43"/>
      <c r="AE1136" s="44">
        <v>0</v>
      </c>
      <c r="AF1136" s="44">
        <v>0</v>
      </c>
      <c r="AG1136" s="43">
        <v>70000000</v>
      </c>
      <c r="AH1136" s="44">
        <v>0</v>
      </c>
      <c r="AI1136" s="43">
        <f>AE1136-AF1136+AG1136-AH1136</f>
        <v>70000000</v>
      </c>
      <c r="AJ1136" s="43">
        <f>AD1136+AI1136</f>
        <v>70000000</v>
      </c>
      <c r="AK1136" s="44">
        <v>0</v>
      </c>
      <c r="AL1136" s="44">
        <v>8840000</v>
      </c>
      <c r="AM1136" s="43">
        <v>15240000</v>
      </c>
      <c r="AN1136" s="44">
        <v>0</v>
      </c>
      <c r="AO1136" s="44">
        <v>3640000</v>
      </c>
      <c r="AP1136" s="43">
        <v>10040000</v>
      </c>
      <c r="AQ1136" s="44">
        <v>0</v>
      </c>
      <c r="AR1136" s="43">
        <v>533333</v>
      </c>
      <c r="AS1136" s="43">
        <v>533333</v>
      </c>
      <c r="AT1136" s="39">
        <f t="shared" ref="AT1136" si="498">AQ1136+AS1136</f>
        <v>533333</v>
      </c>
      <c r="AU1136" s="110">
        <f>AJ1136-AM1136</f>
        <v>54760000</v>
      </c>
      <c r="AV1136" s="18">
        <f>AM1136-AP1136</f>
        <v>5200000</v>
      </c>
      <c r="AW1136" s="18">
        <f>AP1136-AT1136</f>
        <v>9506667</v>
      </c>
      <c r="AX1136" s="123">
        <f>AP1136/AJ1136</f>
        <v>0.14342857142857143</v>
      </c>
    </row>
    <row r="1137" spans="1:50" x14ac:dyDescent="0.2">
      <c r="AA1137" s="28" t="s">
        <v>288</v>
      </c>
      <c r="AB1137" s="29" t="s">
        <v>400</v>
      </c>
      <c r="AC1137" s="17"/>
      <c r="AD1137" s="18"/>
      <c r="AE1137" s="34"/>
      <c r="AF1137" s="34"/>
      <c r="AG1137" s="34"/>
      <c r="AH1137" s="34"/>
      <c r="AI1137" s="34"/>
      <c r="AJ1137" s="18"/>
      <c r="AK1137" s="34"/>
      <c r="AL1137" s="34"/>
      <c r="AM1137" s="18"/>
      <c r="AN1137" s="34"/>
      <c r="AO1137" s="34"/>
      <c r="AP1137" s="18"/>
      <c r="AQ1137" s="18"/>
      <c r="AR1137" s="110"/>
      <c r="AS1137" s="110"/>
      <c r="AT1137" s="109"/>
      <c r="AU1137" s="110"/>
      <c r="AV1137" s="18"/>
      <c r="AW1137" s="18"/>
      <c r="AX1137" s="18"/>
    </row>
    <row r="1138" spans="1:50" x14ac:dyDescent="0.2">
      <c r="A1138" s="4" t="s">
        <v>55</v>
      </c>
      <c r="B1138" s="4" t="s">
        <v>56</v>
      </c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1" t="s">
        <v>401</v>
      </c>
      <c r="AB1138" s="42" t="s">
        <v>233</v>
      </c>
      <c r="AC1138" s="43" t="s">
        <v>58</v>
      </c>
      <c r="AD1138" s="43">
        <v>996500000</v>
      </c>
      <c r="AE1138" s="44">
        <v>0</v>
      </c>
      <c r="AF1138" s="44">
        <v>0</v>
      </c>
      <c r="AG1138" s="43">
        <f>140000000+5000000+20000000</f>
        <v>165000000</v>
      </c>
      <c r="AH1138" s="43">
        <v>100000000</v>
      </c>
      <c r="AI1138" s="43">
        <f>AE1138-AF1138+AG1138-AH1138</f>
        <v>65000000</v>
      </c>
      <c r="AJ1138" s="43">
        <f>AD1138+AI1138</f>
        <v>1061500000</v>
      </c>
      <c r="AK1138" s="44">
        <v>0</v>
      </c>
      <c r="AL1138" s="43">
        <f>AM1138-OCTUBRE!AM1126</f>
        <v>5000000</v>
      </c>
      <c r="AM1138" s="43">
        <v>953600000</v>
      </c>
      <c r="AN1138" s="44">
        <v>1400000</v>
      </c>
      <c r="AO1138" s="43">
        <v>3000000</v>
      </c>
      <c r="AP1138" s="43">
        <v>951600000</v>
      </c>
      <c r="AQ1138" s="18">
        <v>2800000</v>
      </c>
      <c r="AR1138" s="110">
        <v>97586667</v>
      </c>
      <c r="AS1138" s="110">
        <v>797116667</v>
      </c>
      <c r="AT1138" s="111">
        <f t="shared" ref="AT1138:AT1141" si="499">AQ1138+AS1138</f>
        <v>799916667</v>
      </c>
      <c r="AU1138" s="110">
        <f>AJ1138-AM1138</f>
        <v>107900000</v>
      </c>
      <c r="AV1138" s="18">
        <f>AM1138-AP1138</f>
        <v>2000000</v>
      </c>
      <c r="AW1138" s="18">
        <f>AP1138-AT1138</f>
        <v>151683333</v>
      </c>
      <c r="AX1138" s="123">
        <f>AP1138/AJ1138</f>
        <v>0.8964672633066415</v>
      </c>
    </row>
    <row r="1139" spans="1:50" x14ac:dyDescent="0.2">
      <c r="A1139" s="4" t="s">
        <v>55</v>
      </c>
      <c r="B1139" s="4" t="s">
        <v>56</v>
      </c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1" t="s">
        <v>686</v>
      </c>
      <c r="AB1139" s="42" t="s">
        <v>687</v>
      </c>
      <c r="AC1139" s="43" t="s">
        <v>428</v>
      </c>
      <c r="AD1139" s="43">
        <v>51500000</v>
      </c>
      <c r="AE1139" s="44">
        <v>0</v>
      </c>
      <c r="AF1139" s="44">
        <v>0</v>
      </c>
      <c r="AG1139" s="44">
        <v>0</v>
      </c>
      <c r="AH1139" s="44">
        <v>0</v>
      </c>
      <c r="AI1139" s="44">
        <v>0</v>
      </c>
      <c r="AJ1139" s="43">
        <v>51500000</v>
      </c>
      <c r="AK1139" s="44">
        <v>0</v>
      </c>
      <c r="AL1139" s="44">
        <v>0</v>
      </c>
      <c r="AM1139" s="43">
        <v>51400000</v>
      </c>
      <c r="AN1139" s="44">
        <v>0</v>
      </c>
      <c r="AO1139" s="44">
        <v>0</v>
      </c>
      <c r="AP1139" s="43">
        <v>51400000</v>
      </c>
      <c r="AQ1139" s="18">
        <v>0</v>
      </c>
      <c r="AR1139" s="18">
        <v>310000</v>
      </c>
      <c r="AS1139" s="18">
        <v>51400000</v>
      </c>
      <c r="AT1139" s="39">
        <f t="shared" si="499"/>
        <v>51400000</v>
      </c>
      <c r="AU1139" s="18">
        <f>AJ1139-AM1139</f>
        <v>100000</v>
      </c>
      <c r="AV1139" s="133">
        <f>AM1139-AP1139</f>
        <v>0</v>
      </c>
      <c r="AW1139" s="18">
        <f>AP1139-AT1139</f>
        <v>0</v>
      </c>
      <c r="AX1139" s="123">
        <f>AP1139/AJ1139</f>
        <v>0.99805825242718449</v>
      </c>
    </row>
    <row r="1140" spans="1:50" ht="25.5" x14ac:dyDescent="0.2">
      <c r="A1140" s="4" t="s">
        <v>55</v>
      </c>
      <c r="B1140" s="4" t="s">
        <v>56</v>
      </c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1" t="s">
        <v>688</v>
      </c>
      <c r="AB1140" s="42" t="s">
        <v>689</v>
      </c>
      <c r="AC1140" s="43" t="s">
        <v>368</v>
      </c>
      <c r="AD1140" s="43">
        <v>6785951</v>
      </c>
      <c r="AE1140" s="44">
        <v>0</v>
      </c>
      <c r="AF1140" s="44">
        <v>0</v>
      </c>
      <c r="AG1140" s="44">
        <v>0</v>
      </c>
      <c r="AH1140" s="44">
        <v>0</v>
      </c>
      <c r="AI1140" s="44">
        <v>0</v>
      </c>
      <c r="AJ1140" s="43">
        <v>6785951</v>
      </c>
      <c r="AK1140" s="44">
        <v>0</v>
      </c>
      <c r="AL1140" s="44">
        <v>0</v>
      </c>
      <c r="AM1140" s="44">
        <v>0</v>
      </c>
      <c r="AN1140" s="44">
        <v>0</v>
      </c>
      <c r="AO1140" s="44">
        <v>0</v>
      </c>
      <c r="AP1140" s="44">
        <v>0</v>
      </c>
      <c r="AQ1140" s="34">
        <v>0</v>
      </c>
      <c r="AR1140" s="34">
        <v>0</v>
      </c>
      <c r="AS1140" s="34">
        <v>0</v>
      </c>
      <c r="AT1140" s="40">
        <f t="shared" si="499"/>
        <v>0</v>
      </c>
      <c r="AU1140" s="18">
        <f>AJ1140-AM1140</f>
        <v>6785951</v>
      </c>
      <c r="AV1140" s="133">
        <f>AM1140-AP1140</f>
        <v>0</v>
      </c>
      <c r="AW1140" s="34">
        <f>AP1140-AT1140</f>
        <v>0</v>
      </c>
      <c r="AX1140" s="123">
        <f>AP1140/AJ1140</f>
        <v>0</v>
      </c>
    </row>
    <row r="1141" spans="1:50" ht="25.5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1" t="s">
        <v>1116</v>
      </c>
      <c r="AB1141" s="42" t="s">
        <v>1117</v>
      </c>
      <c r="AC1141" s="43"/>
      <c r="AD1141" s="44">
        <v>0</v>
      </c>
      <c r="AE1141" s="43">
        <v>138409128.97</v>
      </c>
      <c r="AF1141" s="44">
        <v>0</v>
      </c>
      <c r="AG1141" s="44">
        <v>0</v>
      </c>
      <c r="AH1141" s="44">
        <v>0</v>
      </c>
      <c r="AI1141" s="43">
        <f>AE1141-AF1141+AG1141-AH1141</f>
        <v>138409128.97</v>
      </c>
      <c r="AJ1141" s="43">
        <f>AD1141+AI1141</f>
        <v>138409128.97</v>
      </c>
      <c r="AK1141" s="44">
        <v>0</v>
      </c>
      <c r="AL1141" s="43">
        <v>3900000</v>
      </c>
      <c r="AM1141" s="43">
        <v>99425487.629999995</v>
      </c>
      <c r="AN1141" s="44">
        <v>0</v>
      </c>
      <c r="AO1141" s="43">
        <v>3900000</v>
      </c>
      <c r="AP1141" s="43">
        <v>99425487.629999995</v>
      </c>
      <c r="AQ1141" s="34">
        <v>0</v>
      </c>
      <c r="AR1141" s="18">
        <v>10970000</v>
      </c>
      <c r="AS1141" s="18">
        <v>20275284</v>
      </c>
      <c r="AT1141" s="39">
        <f t="shared" si="499"/>
        <v>20275284</v>
      </c>
      <c r="AU1141" s="18">
        <f>AJ1141-AM1141</f>
        <v>38983641.340000004</v>
      </c>
      <c r="AV1141" s="18">
        <f>AM1141-AP1141</f>
        <v>0</v>
      </c>
      <c r="AW1141" s="18">
        <f>AP1141-AT1141</f>
        <v>79150203.629999995</v>
      </c>
      <c r="AX1141" s="123">
        <f>AP1141/AJ1141</f>
        <v>0.71834486908410744</v>
      </c>
    </row>
    <row r="1142" spans="1:50" ht="25.5" x14ac:dyDescent="0.2">
      <c r="AA1142" s="28" t="s">
        <v>288</v>
      </c>
      <c r="AB1142" s="29" t="s">
        <v>690</v>
      </c>
      <c r="AC1142" s="17"/>
      <c r="AD1142" s="18"/>
      <c r="AE1142" s="34"/>
      <c r="AF1142" s="34"/>
      <c r="AG1142" s="34"/>
      <c r="AH1142" s="34"/>
      <c r="AI1142" s="34"/>
      <c r="AJ1142" s="18"/>
      <c r="AK1142" s="34"/>
      <c r="AL1142" s="34"/>
      <c r="AM1142" s="34"/>
      <c r="AN1142" s="34"/>
      <c r="AO1142" s="34"/>
      <c r="AP1142" s="34"/>
      <c r="AQ1142" s="18"/>
      <c r="AR1142" s="34"/>
      <c r="AS1142" s="34"/>
      <c r="AT1142" s="40"/>
      <c r="AU1142" s="18"/>
      <c r="AV1142" s="34"/>
      <c r="AW1142" s="18"/>
      <c r="AX1142" s="18"/>
    </row>
    <row r="1143" spans="1:50" x14ac:dyDescent="0.2">
      <c r="A1143" s="4" t="s">
        <v>55</v>
      </c>
      <c r="B1143" s="4" t="s">
        <v>56</v>
      </c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1" t="s">
        <v>691</v>
      </c>
      <c r="AB1143" s="42" t="s">
        <v>233</v>
      </c>
      <c r="AC1143" s="43" t="s">
        <v>58</v>
      </c>
      <c r="AD1143" s="43">
        <v>368900000</v>
      </c>
      <c r="AE1143" s="44">
        <v>0</v>
      </c>
      <c r="AF1143" s="44">
        <v>0</v>
      </c>
      <c r="AG1143" s="43">
        <f>80000000+50000000+60000000</f>
        <v>190000000</v>
      </c>
      <c r="AH1143" s="44">
        <v>0</v>
      </c>
      <c r="AI1143" s="43">
        <f>AE1143-AF1143+AG1143-AH1143</f>
        <v>190000000</v>
      </c>
      <c r="AJ1143" s="43">
        <f>AD1143+AI1143</f>
        <v>558900000</v>
      </c>
      <c r="AK1143" s="44">
        <v>0</v>
      </c>
      <c r="AL1143" s="114">
        <v>7680000</v>
      </c>
      <c r="AM1143" s="114">
        <v>479260000</v>
      </c>
      <c r="AN1143" s="115">
        <v>0</v>
      </c>
      <c r="AO1143" s="114">
        <v>7680000</v>
      </c>
      <c r="AP1143" s="114">
        <v>467080000</v>
      </c>
      <c r="AQ1143" s="18">
        <v>12960000</v>
      </c>
      <c r="AR1143" s="18">
        <v>57866667</v>
      </c>
      <c r="AS1143" s="18">
        <v>342200000</v>
      </c>
      <c r="AT1143" s="39">
        <f t="shared" si="488"/>
        <v>355160000</v>
      </c>
      <c r="AU1143" s="18">
        <f>AJ1143-AM1143</f>
        <v>79640000</v>
      </c>
      <c r="AV1143" s="18">
        <f>AM1143-AP1143</f>
        <v>12180000</v>
      </c>
      <c r="AW1143" s="18">
        <f>AP1143-AT1143</f>
        <v>111920000</v>
      </c>
      <c r="AX1143" s="123">
        <f>AP1143/AJ1143</f>
        <v>0.83571300769368406</v>
      </c>
    </row>
    <row r="1144" spans="1:50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1"/>
      <c r="AB1144" s="42"/>
      <c r="AC1144" s="43"/>
      <c r="AD1144" s="43"/>
      <c r="AE1144" s="44"/>
      <c r="AF1144" s="44"/>
      <c r="AG1144" s="44"/>
      <c r="AH1144" s="44"/>
      <c r="AI1144" s="44"/>
      <c r="AJ1144" s="43"/>
      <c r="AK1144" s="44"/>
      <c r="AL1144" s="114"/>
      <c r="AM1144" s="114"/>
      <c r="AN1144" s="115"/>
      <c r="AO1144" s="114"/>
      <c r="AP1144" s="114"/>
      <c r="AQ1144" s="18"/>
      <c r="AR1144" s="18"/>
      <c r="AS1144" s="18"/>
      <c r="AT1144" s="39"/>
      <c r="AU1144" s="18"/>
      <c r="AV1144" s="133"/>
      <c r="AW1144" s="18"/>
      <c r="AX1144" s="123"/>
    </row>
    <row r="1145" spans="1:50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73" t="s">
        <v>288</v>
      </c>
      <c r="AB1145" s="74" t="s">
        <v>1230</v>
      </c>
      <c r="AC1145" s="43"/>
      <c r="AD1145" s="43"/>
      <c r="AE1145" s="44"/>
      <c r="AF1145" s="44"/>
      <c r="AG1145" s="44"/>
      <c r="AH1145" s="44"/>
      <c r="AI1145" s="44"/>
      <c r="AJ1145" s="43"/>
      <c r="AK1145" s="44"/>
      <c r="AL1145" s="114"/>
      <c r="AM1145" s="114"/>
      <c r="AN1145" s="115"/>
      <c r="AO1145" s="114"/>
      <c r="AP1145" s="114"/>
      <c r="AQ1145" s="18"/>
      <c r="AR1145" s="18"/>
      <c r="AS1145" s="18"/>
      <c r="AT1145" s="39"/>
      <c r="AU1145" s="18"/>
      <c r="AV1145" s="133"/>
      <c r="AW1145" s="18"/>
      <c r="AX1145" s="123"/>
    </row>
    <row r="1146" spans="1:50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1" t="s">
        <v>1231</v>
      </c>
      <c r="AB1146" s="42" t="s">
        <v>1232</v>
      </c>
      <c r="AC1146" s="43"/>
      <c r="AD1146" s="44">
        <v>0</v>
      </c>
      <c r="AE1146" s="44">
        <v>0</v>
      </c>
      <c r="AF1146" s="44">
        <v>0</v>
      </c>
      <c r="AG1146" s="43">
        <f>150000000+100000000</f>
        <v>250000000</v>
      </c>
      <c r="AH1146" s="44"/>
      <c r="AI1146" s="43">
        <f>AE1146-AF1146+AG1146-AH1146</f>
        <v>250000000</v>
      </c>
      <c r="AJ1146" s="43">
        <f>AD1146+AI1146</f>
        <v>250000000</v>
      </c>
      <c r="AK1146" s="44">
        <v>0</v>
      </c>
      <c r="AL1146" s="43">
        <v>0</v>
      </c>
      <c r="AM1146" s="43">
        <v>249395963.37</v>
      </c>
      <c r="AN1146" s="43">
        <v>0</v>
      </c>
      <c r="AO1146" s="43">
        <v>0</v>
      </c>
      <c r="AP1146" s="43">
        <v>249395963.37</v>
      </c>
      <c r="AQ1146" s="34">
        <v>0</v>
      </c>
      <c r="AR1146" s="34">
        <v>0</v>
      </c>
      <c r="AS1146" s="34">
        <v>0</v>
      </c>
      <c r="AT1146" s="40">
        <f t="shared" ref="AT1146" si="500">AQ1146+AS1146</f>
        <v>0</v>
      </c>
      <c r="AU1146" s="18">
        <f>AJ1146-AM1146</f>
        <v>604036.62999999523</v>
      </c>
      <c r="AV1146" s="34">
        <f>AM1146-AP1146</f>
        <v>0</v>
      </c>
      <c r="AW1146" s="18">
        <f>AP1146-AT1146</f>
        <v>249395963.37</v>
      </c>
      <c r="AX1146" s="123">
        <f>AP1146/AJ1146</f>
        <v>0.99758385348</v>
      </c>
    </row>
    <row r="1147" spans="1:50" ht="18.75" customHeight="1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73" t="s">
        <v>1016</v>
      </c>
      <c r="AB1147" s="74" t="s">
        <v>1068</v>
      </c>
      <c r="AC1147" s="43"/>
      <c r="AD1147" s="44"/>
      <c r="AE1147" s="44"/>
      <c r="AF1147" s="44"/>
      <c r="AG1147" s="44"/>
      <c r="AH1147" s="44"/>
      <c r="AI1147" s="44"/>
      <c r="AJ1147" s="43"/>
      <c r="AK1147" s="44"/>
      <c r="AL1147" s="115"/>
      <c r="AM1147" s="115"/>
      <c r="AN1147" s="115"/>
      <c r="AO1147" s="115"/>
      <c r="AP1147" s="115"/>
      <c r="AQ1147" s="34"/>
      <c r="AR1147" s="34"/>
      <c r="AS1147" s="34"/>
      <c r="AT1147" s="40"/>
      <c r="AU1147" s="18"/>
      <c r="AV1147" s="133"/>
      <c r="AW1147" s="34"/>
      <c r="AX1147" s="123"/>
    </row>
    <row r="1148" spans="1:50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73" t="s">
        <v>1017</v>
      </c>
      <c r="AB1148" s="74" t="s">
        <v>1069</v>
      </c>
      <c r="AC1148" s="43"/>
      <c r="AD1148" s="44"/>
      <c r="AE1148" s="44"/>
      <c r="AF1148" s="44"/>
      <c r="AG1148" s="44"/>
      <c r="AH1148" s="44"/>
      <c r="AI1148" s="44"/>
      <c r="AJ1148" s="43"/>
      <c r="AK1148" s="44"/>
      <c r="AL1148" s="115"/>
      <c r="AM1148" s="115"/>
      <c r="AN1148" s="115"/>
      <c r="AO1148" s="115"/>
      <c r="AP1148" s="115"/>
      <c r="AQ1148" s="34"/>
      <c r="AR1148" s="34"/>
      <c r="AS1148" s="34"/>
      <c r="AT1148" s="40"/>
      <c r="AU1148" s="18"/>
      <c r="AV1148" s="133"/>
      <c r="AW1148" s="34"/>
      <c r="AX1148" s="123"/>
    </row>
    <row r="1149" spans="1:50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73" t="s">
        <v>1018</v>
      </c>
      <c r="AB1149" s="74" t="s">
        <v>286</v>
      </c>
      <c r="AC1149" s="43"/>
      <c r="AD1149" s="44"/>
      <c r="AE1149" s="44"/>
      <c r="AF1149" s="44"/>
      <c r="AG1149" s="44"/>
      <c r="AH1149" s="44"/>
      <c r="AI1149" s="44"/>
      <c r="AJ1149" s="43"/>
      <c r="AK1149" s="44"/>
      <c r="AL1149" s="115"/>
      <c r="AM1149" s="115"/>
      <c r="AN1149" s="115"/>
      <c r="AO1149" s="115"/>
      <c r="AP1149" s="115"/>
      <c r="AQ1149" s="34"/>
      <c r="AR1149" s="34"/>
      <c r="AS1149" s="34"/>
      <c r="AT1149" s="40"/>
      <c r="AU1149" s="18"/>
      <c r="AV1149" s="133"/>
      <c r="AW1149" s="34"/>
      <c r="AX1149" s="123"/>
    </row>
    <row r="1150" spans="1:50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73" t="s">
        <v>1021</v>
      </c>
      <c r="AB1150" s="74" t="s">
        <v>1070</v>
      </c>
      <c r="AC1150" s="43"/>
      <c r="AD1150" s="44"/>
      <c r="AE1150" s="44"/>
      <c r="AF1150" s="44"/>
      <c r="AG1150" s="44"/>
      <c r="AH1150" s="44"/>
      <c r="AI1150" s="44"/>
      <c r="AJ1150" s="43"/>
      <c r="AK1150" s="44"/>
      <c r="AL1150" s="115"/>
      <c r="AM1150" s="115"/>
      <c r="AN1150" s="115"/>
      <c r="AO1150" s="115"/>
      <c r="AP1150" s="115"/>
      <c r="AQ1150" s="34"/>
      <c r="AR1150" s="34"/>
      <c r="AS1150" s="34"/>
      <c r="AT1150" s="40"/>
      <c r="AU1150" s="18"/>
      <c r="AV1150" s="133"/>
      <c r="AW1150" s="34"/>
      <c r="AX1150" s="123"/>
    </row>
    <row r="1151" spans="1:50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1" t="s">
        <v>1019</v>
      </c>
      <c r="AB1151" s="42" t="s">
        <v>1005</v>
      </c>
      <c r="AC1151" s="43"/>
      <c r="AD1151" s="44">
        <v>0</v>
      </c>
      <c r="AE1151" s="43">
        <v>5053333</v>
      </c>
      <c r="AF1151" s="44">
        <v>0</v>
      </c>
      <c r="AG1151" s="44">
        <v>0</v>
      </c>
      <c r="AH1151" s="44">
        <v>0</v>
      </c>
      <c r="AI1151" s="43">
        <f>AE1151-AF1151+AG1151-AH1151</f>
        <v>5053333</v>
      </c>
      <c r="AJ1151" s="43">
        <f>AD1151+AI1151</f>
        <v>5053333</v>
      </c>
      <c r="AK1151" s="44">
        <v>0</v>
      </c>
      <c r="AL1151" s="115">
        <v>0</v>
      </c>
      <c r="AM1151" s="115">
        <v>0</v>
      </c>
      <c r="AN1151" s="115">
        <v>0</v>
      </c>
      <c r="AO1151" s="115">
        <v>0</v>
      </c>
      <c r="AP1151" s="115">
        <v>0</v>
      </c>
      <c r="AQ1151" s="34">
        <v>0</v>
      </c>
      <c r="AR1151" s="34">
        <v>0</v>
      </c>
      <c r="AS1151" s="34">
        <v>0</v>
      </c>
      <c r="AT1151" s="40">
        <f t="shared" ref="AT1151" si="501">AQ1151+AS1151</f>
        <v>0</v>
      </c>
      <c r="AU1151" s="18">
        <f>AJ1151-AM1151</f>
        <v>5053333</v>
      </c>
      <c r="AV1151" s="133">
        <f>AM1151-AP1151</f>
        <v>0</v>
      </c>
      <c r="AW1151" s="34">
        <f>AP1151-AT1151</f>
        <v>0</v>
      </c>
      <c r="AX1151" s="123">
        <f>AP1151/AJ1151</f>
        <v>0</v>
      </c>
    </row>
    <row r="1152" spans="1:50" x14ac:dyDescent="0.2">
      <c r="AA1152" s="16"/>
      <c r="AB1152" s="17"/>
      <c r="AC1152" s="17"/>
      <c r="AD1152" s="18"/>
      <c r="AE1152" s="34"/>
      <c r="AF1152" s="34"/>
      <c r="AG1152" s="34"/>
      <c r="AH1152" s="34"/>
      <c r="AI1152" s="34"/>
      <c r="AJ1152" s="18"/>
      <c r="AK1152" s="18"/>
      <c r="AL1152" s="18"/>
      <c r="AM1152" s="18"/>
      <c r="AN1152" s="34"/>
      <c r="AO1152" s="18"/>
      <c r="AP1152" s="18"/>
      <c r="AQ1152" s="18"/>
      <c r="AR1152" s="34"/>
      <c r="AS1152" s="34"/>
      <c r="AT1152" s="40"/>
      <c r="AU1152" s="18"/>
      <c r="AV1152" s="18"/>
      <c r="AW1152" s="34"/>
      <c r="AX1152" s="18"/>
    </row>
    <row r="1153" spans="1:50" ht="18.75" customHeight="1" x14ac:dyDescent="0.2">
      <c r="AA1153" s="46"/>
      <c r="AB1153" s="47" t="s">
        <v>692</v>
      </c>
      <c r="AC1153" s="47"/>
      <c r="AD1153" s="48">
        <f t="shared" ref="AD1153:AS1153" si="502">SUM(AD1105:AD1152)</f>
        <v>12346184481</v>
      </c>
      <c r="AE1153" s="48">
        <f t="shared" si="502"/>
        <v>811869558.25</v>
      </c>
      <c r="AF1153" s="49">
        <f t="shared" si="502"/>
        <v>0</v>
      </c>
      <c r="AG1153" s="48">
        <f t="shared" si="502"/>
        <v>14246423215</v>
      </c>
      <c r="AH1153" s="48">
        <f t="shared" si="502"/>
        <v>13446423215</v>
      </c>
      <c r="AI1153" s="48">
        <f t="shared" si="502"/>
        <v>1611869558.2499998</v>
      </c>
      <c r="AJ1153" s="48">
        <f t="shared" si="502"/>
        <v>13958054039.249998</v>
      </c>
      <c r="AK1153" s="49">
        <f t="shared" si="502"/>
        <v>0</v>
      </c>
      <c r="AL1153" s="48">
        <f t="shared" si="502"/>
        <v>457496369.55000001</v>
      </c>
      <c r="AM1153" s="48">
        <f t="shared" si="502"/>
        <v>10392783694.549999</v>
      </c>
      <c r="AN1153" s="49">
        <f t="shared" si="502"/>
        <v>1400000</v>
      </c>
      <c r="AO1153" s="48">
        <f t="shared" si="502"/>
        <v>49301200</v>
      </c>
      <c r="AP1153" s="48">
        <f t="shared" si="502"/>
        <v>9883387525</v>
      </c>
      <c r="AQ1153" s="48">
        <f t="shared" si="502"/>
        <v>47760000</v>
      </c>
      <c r="AR1153" s="121">
        <f t="shared" si="502"/>
        <v>482669334</v>
      </c>
      <c r="AS1153" s="121">
        <f t="shared" si="502"/>
        <v>5254856088.3299999</v>
      </c>
      <c r="AT1153" s="108">
        <f>AQ1153+AS1153</f>
        <v>5302616088.3299999</v>
      </c>
      <c r="AU1153" s="48">
        <f>SUM(AU1105:AU1152)</f>
        <v>3565270344.6999998</v>
      </c>
      <c r="AV1153" s="48">
        <f>SUM(AV1105:AV1152)</f>
        <v>509396169.55000001</v>
      </c>
      <c r="AW1153" s="48">
        <f>SUM(AW1105:AW1152)</f>
        <v>4580771436.6700001</v>
      </c>
      <c r="AX1153" s="24">
        <f>AP1153/AJ1153</f>
        <v>0.70807775189922251</v>
      </c>
    </row>
    <row r="1154" spans="1:50" ht="18.75" customHeight="1" x14ac:dyDescent="0.2">
      <c r="AA1154" s="16"/>
      <c r="AB1154" s="17"/>
      <c r="AC1154" s="17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</row>
    <row r="1155" spans="1:50" ht="18.75" customHeight="1" x14ac:dyDescent="0.2">
      <c r="A1155" s="25"/>
      <c r="B1155" s="71"/>
      <c r="C1155" s="71"/>
      <c r="D1155" s="71"/>
      <c r="E1155" s="71"/>
      <c r="F1155" s="71"/>
      <c r="G1155" s="71"/>
      <c r="H1155" s="71"/>
      <c r="I1155" s="71"/>
      <c r="J1155" s="71"/>
      <c r="K1155" s="71"/>
      <c r="L1155" s="71"/>
      <c r="M1155" s="71"/>
      <c r="N1155" s="71"/>
      <c r="O1155" s="71"/>
      <c r="P1155" s="71"/>
      <c r="Q1155" s="71"/>
      <c r="R1155" s="71"/>
      <c r="S1155" s="71"/>
      <c r="T1155" s="71"/>
      <c r="U1155" s="71"/>
      <c r="V1155" s="71"/>
      <c r="W1155" s="71"/>
      <c r="X1155" s="71"/>
      <c r="Y1155" s="71"/>
      <c r="Z1155" s="71"/>
      <c r="AA1155" s="66"/>
      <c r="AB1155" s="21" t="s">
        <v>693</v>
      </c>
      <c r="AC1155" s="67"/>
      <c r="AD1155" s="63"/>
      <c r="AE1155" s="63"/>
      <c r="AF1155" s="63"/>
      <c r="AG1155" s="63"/>
      <c r="AH1155" s="63"/>
      <c r="AI1155" s="63"/>
      <c r="AJ1155" s="63"/>
      <c r="AK1155" s="63"/>
      <c r="AL1155" s="63"/>
      <c r="AM1155" s="63"/>
      <c r="AN1155" s="63"/>
      <c r="AO1155" s="63"/>
      <c r="AP1155" s="63"/>
      <c r="AQ1155" s="63"/>
      <c r="AR1155" s="63"/>
      <c r="AS1155" s="63"/>
      <c r="AT1155" s="63"/>
      <c r="AU1155" s="63"/>
      <c r="AV1155" s="63"/>
      <c r="AW1155" s="63"/>
      <c r="AX1155" s="63"/>
    </row>
    <row r="1156" spans="1:50" ht="18.75" customHeight="1" x14ac:dyDescent="0.2">
      <c r="AA1156" s="16"/>
      <c r="AB1156" s="29" t="s">
        <v>285</v>
      </c>
      <c r="AC1156" s="17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</row>
    <row r="1157" spans="1:50" ht="18.75" customHeight="1" x14ac:dyDescent="0.2">
      <c r="AA1157" s="16"/>
      <c r="AB1157" s="29" t="s">
        <v>286</v>
      </c>
      <c r="AC1157" s="17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</row>
    <row r="1158" spans="1:50" ht="18.75" customHeight="1" x14ac:dyDescent="0.2">
      <c r="AA1158" s="16"/>
      <c r="AB1158" s="29" t="s">
        <v>179</v>
      </c>
      <c r="AC1158" s="17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</row>
    <row r="1159" spans="1:50" x14ac:dyDescent="0.2">
      <c r="AA1159" s="16"/>
      <c r="AB1159" s="29" t="s">
        <v>189</v>
      </c>
      <c r="AC1159" s="17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  <c r="AQ1159" s="18"/>
      <c r="AR1159" s="18"/>
      <c r="AS1159" s="18"/>
      <c r="AT1159" s="18"/>
      <c r="AU1159" s="18"/>
      <c r="AV1159" s="18"/>
      <c r="AW1159" s="18"/>
      <c r="AX1159" s="18"/>
    </row>
    <row r="1160" spans="1:50" ht="38.25" x14ac:dyDescent="0.2">
      <c r="AA1160" s="16"/>
      <c r="AB1160" s="29" t="s">
        <v>193</v>
      </c>
      <c r="AC1160" s="17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30"/>
      <c r="AU1160" s="18"/>
      <c r="AV1160" s="18"/>
      <c r="AW1160" s="18"/>
      <c r="AX1160" s="18"/>
    </row>
    <row r="1161" spans="1:50" ht="25.5" x14ac:dyDescent="0.2">
      <c r="AA1161" s="28" t="s">
        <v>288</v>
      </c>
      <c r="AB1161" s="29" t="s">
        <v>694</v>
      </c>
      <c r="AC1161" s="17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30"/>
      <c r="AU1161" s="18"/>
      <c r="AV1161" s="18"/>
      <c r="AW1161" s="18"/>
      <c r="AX1161" s="18"/>
    </row>
    <row r="1162" spans="1:50" x14ac:dyDescent="0.2">
      <c r="A1162" s="4" t="s">
        <v>55</v>
      </c>
      <c r="B1162" s="4" t="s">
        <v>56</v>
      </c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1" t="s">
        <v>695</v>
      </c>
      <c r="AB1162" s="42" t="s">
        <v>233</v>
      </c>
      <c r="AC1162" s="43" t="s">
        <v>58</v>
      </c>
      <c r="AD1162" s="43">
        <v>20000000000</v>
      </c>
      <c r="AE1162" s="44">
        <v>0</v>
      </c>
      <c r="AF1162" s="44">
        <v>0</v>
      </c>
      <c r="AG1162" s="44">
        <v>0</v>
      </c>
      <c r="AH1162" s="43">
        <f>10000000000+500000000+431000000</f>
        <v>10931000000</v>
      </c>
      <c r="AI1162" s="43">
        <f>AE1162-AF1162+AG1162-AH1162</f>
        <v>-10931000000</v>
      </c>
      <c r="AJ1162" s="43">
        <f>AD1162+AI1162</f>
        <v>9069000000</v>
      </c>
      <c r="AK1162" s="44">
        <v>0</v>
      </c>
      <c r="AL1162" s="44">
        <f>AM1162-OCTUBRE!AM1150</f>
        <v>0</v>
      </c>
      <c r="AM1162" s="43">
        <v>8946500500</v>
      </c>
      <c r="AN1162" s="43">
        <v>0</v>
      </c>
      <c r="AO1162" s="43">
        <v>0</v>
      </c>
      <c r="AP1162" s="43">
        <v>8946500500</v>
      </c>
      <c r="AQ1162" s="44">
        <v>0</v>
      </c>
      <c r="AR1162" s="44">
        <v>0</v>
      </c>
      <c r="AS1162" s="43">
        <v>8946500500</v>
      </c>
      <c r="AT1162" s="111">
        <f t="shared" ref="AT1162:AT1177" si="503">AQ1162+AS1162</f>
        <v>8946500500</v>
      </c>
      <c r="AU1162" s="18">
        <f>AJ1162-AM1162</f>
        <v>122499500</v>
      </c>
      <c r="AV1162" s="133">
        <f>AM1162-AP1162</f>
        <v>0</v>
      </c>
      <c r="AW1162" s="34">
        <f>AP1162-AT1162</f>
        <v>0</v>
      </c>
      <c r="AX1162" s="123">
        <f>AP1162/AJ1162</f>
        <v>0.98649250192965043</v>
      </c>
    </row>
    <row r="1163" spans="1:50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1" t="s">
        <v>1118</v>
      </c>
      <c r="AB1163" s="42" t="s">
        <v>1015</v>
      </c>
      <c r="AC1163" s="43"/>
      <c r="AD1163" s="44">
        <v>0</v>
      </c>
      <c r="AE1163" s="43">
        <v>1500000000</v>
      </c>
      <c r="AF1163" s="44">
        <v>0</v>
      </c>
      <c r="AG1163" s="44">
        <v>0</v>
      </c>
      <c r="AH1163" s="43">
        <f>200000000+715000000+584279684.66</f>
        <v>1499279684.6599998</v>
      </c>
      <c r="AI1163" s="43">
        <f>AE1163-AF1163+AG1163-AH1163</f>
        <v>720315.34000015259</v>
      </c>
      <c r="AJ1163" s="43">
        <f>AD1163+AI1163</f>
        <v>720315.34000015259</v>
      </c>
      <c r="AK1163" s="44">
        <v>0</v>
      </c>
      <c r="AL1163" s="44">
        <v>0</v>
      </c>
      <c r="AM1163" s="43">
        <v>0</v>
      </c>
      <c r="AN1163" s="43">
        <v>0</v>
      </c>
      <c r="AO1163" s="44">
        <v>0</v>
      </c>
      <c r="AP1163" s="44">
        <v>0</v>
      </c>
      <c r="AQ1163" s="44">
        <v>0</v>
      </c>
      <c r="AR1163" s="44">
        <v>0</v>
      </c>
      <c r="AS1163" s="44">
        <v>0</v>
      </c>
      <c r="AT1163" s="135">
        <f t="shared" si="503"/>
        <v>0</v>
      </c>
      <c r="AU1163" s="18">
        <f>AJ1163-AM1163</f>
        <v>720315.34000015259</v>
      </c>
      <c r="AV1163" s="133">
        <f>AM1163-AP1163</f>
        <v>0</v>
      </c>
      <c r="AW1163" s="34">
        <f>AP1163-AT1163</f>
        <v>0</v>
      </c>
      <c r="AX1163" s="123">
        <f>AP1163/AJ1163</f>
        <v>0</v>
      </c>
    </row>
    <row r="1164" spans="1:50" x14ac:dyDescent="0.2">
      <c r="AA1164" s="16"/>
      <c r="AB1164" s="17"/>
      <c r="AC1164" s="17"/>
      <c r="AD1164" s="18"/>
      <c r="AE1164" s="34"/>
      <c r="AF1164" s="34"/>
      <c r="AG1164" s="34"/>
      <c r="AH1164" s="34"/>
      <c r="AI1164" s="34"/>
      <c r="AJ1164" s="18"/>
      <c r="AK1164" s="18"/>
      <c r="AL1164" s="18"/>
      <c r="AM1164" s="18"/>
      <c r="AN1164" s="18"/>
      <c r="AO1164" s="18"/>
      <c r="AP1164" s="34"/>
      <c r="AQ1164" s="34"/>
      <c r="AR1164" s="34"/>
      <c r="AS1164" s="34"/>
      <c r="AT1164" s="40"/>
      <c r="AU1164" s="18"/>
      <c r="AV1164" s="18"/>
      <c r="AW1164" s="18"/>
      <c r="AX1164" s="18"/>
    </row>
    <row r="1165" spans="1:50" ht="25.5" x14ac:dyDescent="0.2">
      <c r="AA1165" s="16"/>
      <c r="AB1165" s="29" t="s">
        <v>195</v>
      </c>
      <c r="AC1165" s="17"/>
      <c r="AD1165" s="18"/>
      <c r="AE1165" s="34"/>
      <c r="AF1165" s="34"/>
      <c r="AG1165" s="34"/>
      <c r="AH1165" s="34"/>
      <c r="AI1165" s="34"/>
      <c r="AJ1165" s="18"/>
      <c r="AK1165" s="18"/>
      <c r="AL1165" s="18"/>
      <c r="AM1165" s="18"/>
      <c r="AN1165" s="18"/>
      <c r="AO1165" s="18"/>
      <c r="AP1165" s="34"/>
      <c r="AQ1165" s="34"/>
      <c r="AR1165" s="34"/>
      <c r="AS1165" s="34"/>
      <c r="AT1165" s="40"/>
      <c r="AU1165" s="18"/>
      <c r="AV1165" s="18"/>
      <c r="AW1165" s="18"/>
      <c r="AX1165" s="18"/>
    </row>
    <row r="1166" spans="1:50" ht="25.5" x14ac:dyDescent="0.2">
      <c r="AA1166" s="28" t="s">
        <v>288</v>
      </c>
      <c r="AB1166" s="29" t="s">
        <v>696</v>
      </c>
      <c r="AC1166" s="17"/>
      <c r="AD1166" s="18"/>
      <c r="AE1166" s="34"/>
      <c r="AF1166" s="34"/>
      <c r="AG1166" s="34"/>
      <c r="AH1166" s="34"/>
      <c r="AI1166" s="34"/>
      <c r="AJ1166" s="18"/>
      <c r="AK1166" s="18"/>
      <c r="AL1166" s="18"/>
      <c r="AM1166" s="18"/>
      <c r="AN1166" s="18"/>
      <c r="AO1166" s="18"/>
      <c r="AP1166" s="34"/>
      <c r="AQ1166" s="34"/>
      <c r="AR1166" s="34"/>
      <c r="AS1166" s="34"/>
      <c r="AT1166" s="40"/>
      <c r="AU1166" s="18"/>
      <c r="AV1166" s="18"/>
      <c r="AW1166" s="18"/>
      <c r="AX1166" s="18"/>
    </row>
    <row r="1167" spans="1:50" x14ac:dyDescent="0.2">
      <c r="A1167" s="4" t="s">
        <v>55</v>
      </c>
      <c r="B1167" s="4" t="s">
        <v>56</v>
      </c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1" t="s">
        <v>697</v>
      </c>
      <c r="AB1167" s="42" t="s">
        <v>233</v>
      </c>
      <c r="AC1167" s="43" t="s">
        <v>58</v>
      </c>
      <c r="AD1167" s="43">
        <v>5000000000</v>
      </c>
      <c r="AE1167" s="44">
        <v>0</v>
      </c>
      <c r="AF1167" s="44">
        <v>0</v>
      </c>
      <c r="AG1167" s="44">
        <v>0</v>
      </c>
      <c r="AH1167" s="43">
        <v>5000000000</v>
      </c>
      <c r="AI1167" s="43">
        <f t="shared" ref="AI1167" si="504">AE1167-AF1167+AG1167-AH1167</f>
        <v>-5000000000</v>
      </c>
      <c r="AJ1167" s="44">
        <f t="shared" ref="AJ1167" si="505">AD1167+AI1167</f>
        <v>0</v>
      </c>
      <c r="AK1167" s="44">
        <v>0</v>
      </c>
      <c r="AL1167" s="44">
        <v>0</v>
      </c>
      <c r="AM1167" s="44">
        <v>0</v>
      </c>
      <c r="AN1167" s="44">
        <v>0</v>
      </c>
      <c r="AO1167" s="44">
        <v>0</v>
      </c>
      <c r="AP1167" s="44">
        <v>0</v>
      </c>
      <c r="AQ1167" s="44">
        <v>0</v>
      </c>
      <c r="AR1167" s="44">
        <v>0</v>
      </c>
      <c r="AS1167" s="44">
        <v>0</v>
      </c>
      <c r="AT1167" s="40">
        <f t="shared" ref="AT1167:AT1168" si="506">AQ1167+AS1167</f>
        <v>0</v>
      </c>
      <c r="AU1167" s="34">
        <f>AJ1167-AM1167</f>
        <v>0</v>
      </c>
      <c r="AV1167" s="133">
        <f>AM1167-AP1167</f>
        <v>0</v>
      </c>
      <c r="AW1167" s="34">
        <f>AP1167-AT1167</f>
        <v>0</v>
      </c>
      <c r="AX1167" s="123">
        <v>0</v>
      </c>
    </row>
    <row r="1168" spans="1:50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1" t="s">
        <v>1119</v>
      </c>
      <c r="AB1168" s="42" t="s">
        <v>1015</v>
      </c>
      <c r="AC1168" s="43"/>
      <c r="AD1168" s="44">
        <v>0</v>
      </c>
      <c r="AE1168" s="43">
        <v>150000000</v>
      </c>
      <c r="AF1168" s="44">
        <v>0</v>
      </c>
      <c r="AG1168" s="44">
        <v>0</v>
      </c>
      <c r="AH1168" s="43">
        <v>150000000</v>
      </c>
      <c r="AI1168" s="43">
        <f>AE1168-AF1168+AG1168-AH1168</f>
        <v>0</v>
      </c>
      <c r="AJ1168" s="44">
        <f>AD1168+AI1168</f>
        <v>0</v>
      </c>
      <c r="AK1168" s="44">
        <v>0</v>
      </c>
      <c r="AL1168" s="44">
        <v>0</v>
      </c>
      <c r="AM1168" s="44">
        <v>0</v>
      </c>
      <c r="AN1168" s="44">
        <v>0</v>
      </c>
      <c r="AO1168" s="44">
        <v>0</v>
      </c>
      <c r="AP1168" s="44">
        <v>0</v>
      </c>
      <c r="AQ1168" s="44">
        <v>0</v>
      </c>
      <c r="AR1168" s="44">
        <v>0</v>
      </c>
      <c r="AS1168" s="44">
        <v>0</v>
      </c>
      <c r="AT1168" s="40">
        <f t="shared" si="506"/>
        <v>0</v>
      </c>
      <c r="AU1168" s="34">
        <f>AJ1168-AM1168</f>
        <v>0</v>
      </c>
      <c r="AV1168" s="133">
        <f>AM1168-AP1168</f>
        <v>0</v>
      </c>
      <c r="AW1168" s="34">
        <f>AP1168-AT1168</f>
        <v>0</v>
      </c>
      <c r="AX1168" s="123">
        <v>0</v>
      </c>
    </row>
    <row r="1169" spans="1:50" ht="25.5" x14ac:dyDescent="0.2">
      <c r="AA1169" s="28" t="s">
        <v>288</v>
      </c>
      <c r="AB1169" s="29" t="s">
        <v>698</v>
      </c>
      <c r="AC1169" s="17"/>
      <c r="AD1169" s="18"/>
      <c r="AE1169" s="18"/>
      <c r="AF1169" s="18"/>
      <c r="AG1169" s="18"/>
      <c r="AH1169" s="18"/>
      <c r="AI1169" s="18"/>
      <c r="AJ1169" s="18"/>
      <c r="AK1169" s="34"/>
      <c r="AL1169" s="34"/>
      <c r="AM1169" s="34"/>
      <c r="AN1169" s="34"/>
      <c r="AO1169" s="34"/>
      <c r="AP1169" s="34"/>
      <c r="AQ1169" s="18"/>
      <c r="AR1169" s="18"/>
      <c r="AS1169" s="18"/>
      <c r="AT1169" s="39"/>
      <c r="AU1169" s="34"/>
      <c r="AV1169" s="34"/>
      <c r="AW1169" s="34"/>
      <c r="AX1169" s="18"/>
    </row>
    <row r="1170" spans="1:50" x14ac:dyDescent="0.2">
      <c r="A1170" s="4" t="s">
        <v>55</v>
      </c>
      <c r="B1170" s="4" t="s">
        <v>56</v>
      </c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1" t="s">
        <v>699</v>
      </c>
      <c r="AB1170" s="42" t="s">
        <v>233</v>
      </c>
      <c r="AC1170" s="43" t="s">
        <v>58</v>
      </c>
      <c r="AD1170" s="43">
        <v>4500000000</v>
      </c>
      <c r="AE1170" s="44">
        <v>0</v>
      </c>
      <c r="AF1170" s="44">
        <v>0</v>
      </c>
      <c r="AG1170" s="44">
        <v>0</v>
      </c>
      <c r="AH1170" s="44">
        <v>0</v>
      </c>
      <c r="AI1170" s="44">
        <v>0</v>
      </c>
      <c r="AJ1170" s="43">
        <v>4500000000</v>
      </c>
      <c r="AK1170" s="44">
        <v>0</v>
      </c>
      <c r="AL1170" s="43">
        <f>AM1170-OCTUBRE!AM1158</f>
        <v>-4500000000</v>
      </c>
      <c r="AM1170" s="43">
        <v>0</v>
      </c>
      <c r="AN1170" s="44">
        <v>0</v>
      </c>
      <c r="AO1170" s="44">
        <v>0</v>
      </c>
      <c r="AP1170" s="44">
        <v>0</v>
      </c>
      <c r="AQ1170" s="44">
        <v>0</v>
      </c>
      <c r="AR1170" s="44">
        <v>0</v>
      </c>
      <c r="AS1170" s="44">
        <v>0</v>
      </c>
      <c r="AT1170" s="40">
        <f t="shared" si="503"/>
        <v>0</v>
      </c>
      <c r="AU1170" s="18">
        <f>AJ1170-AM1170</f>
        <v>4500000000</v>
      </c>
      <c r="AV1170" s="18">
        <f>AM1170-AP1170</f>
        <v>0</v>
      </c>
      <c r="AW1170" s="34">
        <f>AP1170-AT1170</f>
        <v>0</v>
      </c>
      <c r="AX1170" s="123">
        <f>AP1170/AJ1170</f>
        <v>0</v>
      </c>
    </row>
    <row r="1171" spans="1:50" x14ac:dyDescent="0.2">
      <c r="AA1171" s="16"/>
      <c r="AB1171" s="17"/>
      <c r="AC1171" s="17"/>
      <c r="AD1171" s="18"/>
      <c r="AE1171" s="34"/>
      <c r="AF1171" s="34"/>
      <c r="AG1171" s="34"/>
      <c r="AH1171" s="34"/>
      <c r="AI1171" s="34"/>
      <c r="AJ1171" s="18"/>
      <c r="AK1171" s="34"/>
      <c r="AL1171" s="34"/>
      <c r="AM1171" s="34"/>
      <c r="AN1171" s="34"/>
      <c r="AO1171" s="34"/>
      <c r="AP1171" s="34"/>
      <c r="AQ1171" s="34"/>
      <c r="AR1171" s="34"/>
      <c r="AS1171" s="34"/>
      <c r="AT1171" s="31"/>
      <c r="AU1171" s="34"/>
      <c r="AV1171" s="34"/>
      <c r="AW1171" s="34"/>
      <c r="AX1171" s="18"/>
    </row>
    <row r="1172" spans="1:50" ht="25.5" x14ac:dyDescent="0.2">
      <c r="AA1172" s="16"/>
      <c r="AB1172" s="29" t="s">
        <v>197</v>
      </c>
      <c r="AC1172" s="17"/>
      <c r="AD1172" s="18"/>
      <c r="AE1172" s="34"/>
      <c r="AF1172" s="34"/>
      <c r="AG1172" s="34"/>
      <c r="AH1172" s="34"/>
      <c r="AI1172" s="34"/>
      <c r="AJ1172" s="18"/>
      <c r="AK1172" s="34"/>
      <c r="AL1172" s="34"/>
      <c r="AM1172" s="34"/>
      <c r="AN1172" s="34"/>
      <c r="AO1172" s="34"/>
      <c r="AP1172" s="34"/>
      <c r="AQ1172" s="34"/>
      <c r="AR1172" s="34"/>
      <c r="AS1172" s="34"/>
      <c r="AT1172" s="31"/>
      <c r="AU1172" s="34"/>
      <c r="AV1172" s="34"/>
      <c r="AW1172" s="34"/>
      <c r="AX1172" s="18"/>
    </row>
    <row r="1173" spans="1:50" ht="25.5" x14ac:dyDescent="0.2">
      <c r="AA1173" s="28" t="s">
        <v>288</v>
      </c>
      <c r="AB1173" s="29" t="s">
        <v>700</v>
      </c>
      <c r="AC1173" s="17"/>
      <c r="AD1173" s="18"/>
      <c r="AE1173" s="34"/>
      <c r="AF1173" s="34"/>
      <c r="AG1173" s="34"/>
      <c r="AH1173" s="34"/>
      <c r="AI1173" s="34"/>
      <c r="AJ1173" s="18"/>
      <c r="AK1173" s="34"/>
      <c r="AL1173" s="34"/>
      <c r="AM1173" s="34"/>
      <c r="AN1173" s="34"/>
      <c r="AO1173" s="34"/>
      <c r="AP1173" s="34"/>
      <c r="AQ1173" s="34"/>
      <c r="AR1173" s="34"/>
      <c r="AS1173" s="34"/>
      <c r="AT1173" s="31"/>
      <c r="AU1173" s="34"/>
      <c r="AV1173" s="34"/>
      <c r="AW1173" s="34"/>
      <c r="AX1173" s="18"/>
    </row>
    <row r="1174" spans="1:50" x14ac:dyDescent="0.2">
      <c r="A1174" s="4" t="s">
        <v>55</v>
      </c>
      <c r="B1174" s="4" t="s">
        <v>56</v>
      </c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1" t="s">
        <v>701</v>
      </c>
      <c r="AB1174" s="42" t="s">
        <v>233</v>
      </c>
      <c r="AC1174" s="43" t="s">
        <v>58</v>
      </c>
      <c r="AD1174" s="43">
        <v>4500000000</v>
      </c>
      <c r="AE1174" s="44">
        <v>0</v>
      </c>
      <c r="AF1174" s="44">
        <v>0</v>
      </c>
      <c r="AG1174" s="44">
        <v>0</v>
      </c>
      <c r="AH1174" s="44">
        <v>0</v>
      </c>
      <c r="AI1174" s="44">
        <v>0</v>
      </c>
      <c r="AJ1174" s="43">
        <v>4500000000</v>
      </c>
      <c r="AK1174" s="44">
        <v>0</v>
      </c>
      <c r="AL1174" s="43">
        <f>AM1174-OCTUBRE!AM1162</f>
        <v>-2591213231</v>
      </c>
      <c r="AM1174" s="43">
        <v>1755606000</v>
      </c>
      <c r="AN1174" s="44">
        <v>0</v>
      </c>
      <c r="AO1174" s="43">
        <v>0</v>
      </c>
      <c r="AP1174" s="43">
        <v>1755606000</v>
      </c>
      <c r="AQ1174" s="44">
        <v>0</v>
      </c>
      <c r="AR1174" s="43">
        <v>0</v>
      </c>
      <c r="AS1174" s="43">
        <v>1755606000</v>
      </c>
      <c r="AT1174" s="39">
        <f t="shared" si="503"/>
        <v>1755606000</v>
      </c>
      <c r="AU1174" s="18">
        <f>AJ1174-AM1174</f>
        <v>2744394000</v>
      </c>
      <c r="AV1174" s="34">
        <f>AM1174-AP1174</f>
        <v>0</v>
      </c>
      <c r="AW1174" s="34">
        <f>AP1174-AT1174</f>
        <v>0</v>
      </c>
      <c r="AX1174" s="123">
        <f>AP1174/AJ1174</f>
        <v>0.39013466666666669</v>
      </c>
    </row>
    <row r="1175" spans="1:50" x14ac:dyDescent="0.2">
      <c r="AA1175" s="28" t="s">
        <v>288</v>
      </c>
      <c r="AB1175" s="29" t="s">
        <v>400</v>
      </c>
      <c r="AC1175" s="17"/>
      <c r="AD1175" s="18"/>
      <c r="AE1175" s="34"/>
      <c r="AF1175" s="34"/>
      <c r="AG1175" s="34"/>
      <c r="AH1175" s="34"/>
      <c r="AI1175" s="34"/>
      <c r="AJ1175" s="18"/>
      <c r="AK1175" s="34"/>
      <c r="AL1175" s="18"/>
      <c r="AM1175" s="18"/>
      <c r="AN1175" s="34"/>
      <c r="AO1175" s="34"/>
      <c r="AP1175" s="18"/>
      <c r="AQ1175" s="18"/>
      <c r="AR1175" s="18"/>
      <c r="AS1175" s="18"/>
      <c r="AT1175" s="31"/>
      <c r="AU1175" s="18"/>
      <c r="AV1175" s="34"/>
      <c r="AW1175" s="18"/>
      <c r="AX1175" s="18"/>
    </row>
    <row r="1176" spans="1:50" x14ac:dyDescent="0.2">
      <c r="A1176" s="4" t="s">
        <v>55</v>
      </c>
      <c r="B1176" s="4" t="s">
        <v>56</v>
      </c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1" t="s">
        <v>401</v>
      </c>
      <c r="AB1176" s="42" t="s">
        <v>233</v>
      </c>
      <c r="AC1176" s="43" t="s">
        <v>58</v>
      </c>
      <c r="AD1176" s="43">
        <v>4899360013</v>
      </c>
      <c r="AE1176" s="44">
        <v>0</v>
      </c>
      <c r="AF1176" s="44">
        <v>0</v>
      </c>
      <c r="AG1176" s="44">
        <v>0</v>
      </c>
      <c r="AH1176" s="44">
        <v>0</v>
      </c>
      <c r="AI1176" s="44">
        <v>0</v>
      </c>
      <c r="AJ1176" s="43">
        <v>4899360013</v>
      </c>
      <c r="AK1176" s="43">
        <v>0</v>
      </c>
      <c r="AL1176" s="43">
        <f>AM1176-OCTUBRE!AM1164</f>
        <v>-2423892674</v>
      </c>
      <c r="AM1176" s="43">
        <v>2019155953</v>
      </c>
      <c r="AN1176" s="43">
        <v>0</v>
      </c>
      <c r="AO1176" s="43">
        <v>78700001</v>
      </c>
      <c r="AP1176" s="43">
        <v>2019155953</v>
      </c>
      <c r="AQ1176" s="43">
        <v>13000000</v>
      </c>
      <c r="AR1176" s="43">
        <v>248367143</v>
      </c>
      <c r="AS1176" s="43">
        <v>1696195714</v>
      </c>
      <c r="AT1176" s="111">
        <f t="shared" si="503"/>
        <v>1709195714</v>
      </c>
      <c r="AU1176" s="18">
        <f>AJ1176-AM1176</f>
        <v>2880204060</v>
      </c>
      <c r="AV1176" s="34">
        <f>AM1176-AP1176</f>
        <v>0</v>
      </c>
      <c r="AW1176" s="18">
        <f>AP1176-AT1176</f>
        <v>309960239</v>
      </c>
      <c r="AX1176" s="123">
        <f>AP1176/AJ1176</f>
        <v>0.41212647113956841</v>
      </c>
    </row>
    <row r="1177" spans="1:50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1" t="s">
        <v>401</v>
      </c>
      <c r="AB1177" s="42" t="s">
        <v>1015</v>
      </c>
      <c r="AC1177" s="43"/>
      <c r="AD1177" s="44">
        <v>0</v>
      </c>
      <c r="AE1177" s="43">
        <v>533723107.06</v>
      </c>
      <c r="AF1177" s="44">
        <v>0</v>
      </c>
      <c r="AG1177" s="44">
        <v>0</v>
      </c>
      <c r="AH1177" s="44">
        <v>0</v>
      </c>
      <c r="AI1177" s="43">
        <f>AE1177-AF1177+AG1177-AH1177</f>
        <v>533723107.06</v>
      </c>
      <c r="AJ1177" s="43">
        <f>AD1177+AI1177</f>
        <v>533723107.06</v>
      </c>
      <c r="AK1177" s="44">
        <v>0</v>
      </c>
      <c r="AL1177" s="44">
        <v>0</v>
      </c>
      <c r="AM1177" s="44">
        <v>0</v>
      </c>
      <c r="AN1177" s="44">
        <v>0</v>
      </c>
      <c r="AO1177" s="44">
        <v>0</v>
      </c>
      <c r="AP1177" s="44">
        <v>0</v>
      </c>
      <c r="AQ1177" s="44">
        <v>0</v>
      </c>
      <c r="AR1177" s="44">
        <v>0</v>
      </c>
      <c r="AS1177" s="44">
        <v>0</v>
      </c>
      <c r="AT1177" s="135">
        <f t="shared" si="503"/>
        <v>0</v>
      </c>
      <c r="AU1177" s="18">
        <f>AJ1177-AM1177</f>
        <v>533723107.06</v>
      </c>
      <c r="AV1177" s="34">
        <f>AM1177-AP1177</f>
        <v>0</v>
      </c>
      <c r="AW1177" s="34">
        <f>AP1177-AT1177</f>
        <v>0</v>
      </c>
      <c r="AX1177" s="123">
        <f>AP1177/AJ1177</f>
        <v>0</v>
      </c>
    </row>
    <row r="1178" spans="1:50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73" t="s">
        <v>288</v>
      </c>
      <c r="AB1178" s="74" t="s">
        <v>292</v>
      </c>
      <c r="AC1178" s="43"/>
      <c r="AD1178" s="44"/>
      <c r="AE1178" s="43"/>
      <c r="AF1178" s="44"/>
      <c r="AG1178" s="44"/>
      <c r="AH1178" s="44"/>
      <c r="AI1178" s="43"/>
      <c r="AJ1178" s="43"/>
      <c r="AK1178" s="44"/>
      <c r="AL1178" s="44"/>
      <c r="AM1178" s="44"/>
      <c r="AN1178" s="44"/>
      <c r="AO1178" s="44"/>
      <c r="AP1178" s="44"/>
      <c r="AQ1178" s="44"/>
      <c r="AR1178" s="44"/>
      <c r="AS1178" s="44"/>
      <c r="AT1178" s="135"/>
      <c r="AU1178" s="18"/>
      <c r="AV1178" s="34"/>
      <c r="AW1178" s="34"/>
      <c r="AX1178" s="123"/>
    </row>
    <row r="1179" spans="1:50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1" t="s">
        <v>1262</v>
      </c>
      <c r="AB1179" s="42" t="s">
        <v>1015</v>
      </c>
      <c r="AC1179" s="43"/>
      <c r="AD1179" s="44">
        <v>0</v>
      </c>
      <c r="AE1179" s="44">
        <v>0</v>
      </c>
      <c r="AF1179" s="44">
        <v>0</v>
      </c>
      <c r="AG1179" s="252">
        <v>15000000</v>
      </c>
      <c r="AH1179" s="44">
        <v>0</v>
      </c>
      <c r="AI1179" s="43">
        <f>AE1179-AF1179+AG1179-AH1179</f>
        <v>15000000</v>
      </c>
      <c r="AJ1179" s="43">
        <f>AD1179+AI1179</f>
        <v>15000000</v>
      </c>
      <c r="AK1179" s="43">
        <v>0</v>
      </c>
      <c r="AL1179" s="43">
        <v>0</v>
      </c>
      <c r="AM1179" s="43">
        <v>15000000</v>
      </c>
      <c r="AN1179" s="43">
        <v>0</v>
      </c>
      <c r="AO1179" s="44">
        <v>0</v>
      </c>
      <c r="AP1179" s="44">
        <v>0</v>
      </c>
      <c r="AQ1179" s="44">
        <v>0</v>
      </c>
      <c r="AR1179" s="44">
        <v>0</v>
      </c>
      <c r="AS1179" s="44">
        <v>0</v>
      </c>
      <c r="AT1179" s="135">
        <f t="shared" ref="AT1179" si="507">AQ1179+AS1179</f>
        <v>0</v>
      </c>
      <c r="AU1179" s="18">
        <f>AJ1179-AM1179</f>
        <v>0</v>
      </c>
      <c r="AV1179" s="18">
        <f>AM1179-AP1179</f>
        <v>15000000</v>
      </c>
      <c r="AW1179" s="34">
        <f>AP1179-AT1179</f>
        <v>0</v>
      </c>
      <c r="AX1179" s="123">
        <f>AP1179/AJ1179</f>
        <v>0</v>
      </c>
    </row>
    <row r="1180" spans="1:50" ht="25.5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73" t="s">
        <v>288</v>
      </c>
      <c r="AB1180" s="74" t="s">
        <v>1329</v>
      </c>
      <c r="AC1180" s="43"/>
      <c r="AD1180" s="44"/>
      <c r="AE1180" s="44"/>
      <c r="AF1180" s="44"/>
      <c r="AG1180" s="252"/>
      <c r="AH1180" s="44"/>
      <c r="AI1180" s="43"/>
      <c r="AJ1180" s="43"/>
      <c r="AK1180" s="44"/>
      <c r="AL1180" s="44"/>
      <c r="AM1180" s="44"/>
      <c r="AN1180" s="44"/>
      <c r="AO1180" s="44"/>
      <c r="AP1180" s="44"/>
      <c r="AQ1180" s="44"/>
      <c r="AR1180" s="44"/>
      <c r="AS1180" s="44"/>
      <c r="AT1180" s="135"/>
      <c r="AU1180" s="18"/>
      <c r="AV1180" s="34"/>
      <c r="AW1180" s="34"/>
      <c r="AX1180" s="123"/>
    </row>
    <row r="1181" spans="1:50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1" t="s">
        <v>1358</v>
      </c>
      <c r="AB1181" s="42" t="s">
        <v>233</v>
      </c>
      <c r="AC1181" s="43"/>
      <c r="AD1181" s="44">
        <v>0</v>
      </c>
      <c r="AE1181" s="43">
        <v>14139885719.15</v>
      </c>
      <c r="AF1181" s="44">
        <v>0</v>
      </c>
      <c r="AG1181" s="43">
        <v>9715720315.3400002</v>
      </c>
      <c r="AH1181" s="43">
        <v>16100000000</v>
      </c>
      <c r="AI1181" s="43">
        <f>AE1181-AF1181+AG1181-AH1181</f>
        <v>7755606034.4899979</v>
      </c>
      <c r="AJ1181" s="43">
        <f>AD1181+AI1181</f>
        <v>7755606034.4899979</v>
      </c>
      <c r="AK1181" s="43">
        <v>0</v>
      </c>
      <c r="AL1181" s="43">
        <v>2454363358</v>
      </c>
      <c r="AM1181" s="43">
        <v>4665736662</v>
      </c>
      <c r="AN1181" s="43">
        <v>0</v>
      </c>
      <c r="AO1181" s="43">
        <v>2454363358</v>
      </c>
      <c r="AP1181" s="43">
        <v>4665736662</v>
      </c>
      <c r="AQ1181" s="43">
        <v>0</v>
      </c>
      <c r="AR1181" s="43">
        <v>2765736662</v>
      </c>
      <c r="AS1181" s="43">
        <v>4265736662</v>
      </c>
      <c r="AT1181" s="39">
        <f>AQ1181+AS1181</f>
        <v>4265736662</v>
      </c>
      <c r="AU1181" s="18">
        <f>AJ1181-AM1181</f>
        <v>3089869372.4899979</v>
      </c>
      <c r="AV1181" s="34">
        <f>AM1181-AP1181</f>
        <v>0</v>
      </c>
      <c r="AW1181" s="18">
        <f>AP1181-AT1181</f>
        <v>400000000</v>
      </c>
      <c r="AX1181" s="123">
        <f>AP1181/AJ1181</f>
        <v>0.60159536743498532</v>
      </c>
    </row>
    <row r="1182" spans="1:50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1" t="s">
        <v>1330</v>
      </c>
      <c r="AB1182" s="42" t="s">
        <v>1015</v>
      </c>
      <c r="AC1182" s="43"/>
      <c r="AD1182" s="44">
        <v>0</v>
      </c>
      <c r="AE1182" s="44">
        <v>0</v>
      </c>
      <c r="AF1182" s="44">
        <v>0</v>
      </c>
      <c r="AG1182" s="43">
        <v>584279684.65999997</v>
      </c>
      <c r="AH1182" s="43">
        <v>330501029</v>
      </c>
      <c r="AI1182" s="43">
        <f>AE1182-AF1182+AG1182-AH1182</f>
        <v>253778655.65999997</v>
      </c>
      <c r="AJ1182" s="43">
        <f>AD1182+AI1182</f>
        <v>253778655.65999997</v>
      </c>
      <c r="AK1182" s="44">
        <v>0</v>
      </c>
      <c r="AL1182" s="44">
        <v>0</v>
      </c>
      <c r="AM1182" s="44">
        <v>0</v>
      </c>
      <c r="AN1182" s="44">
        <v>0</v>
      </c>
      <c r="AO1182" s="44">
        <v>0</v>
      </c>
      <c r="AP1182" s="44">
        <v>0</v>
      </c>
      <c r="AQ1182" s="44">
        <v>0</v>
      </c>
      <c r="AR1182" s="44">
        <v>0</v>
      </c>
      <c r="AS1182" s="44">
        <v>0</v>
      </c>
      <c r="AT1182" s="135">
        <f t="shared" ref="AT1182" si="508">AQ1182+AS1182</f>
        <v>0</v>
      </c>
      <c r="AU1182" s="18">
        <f>AJ1182-AM1182</f>
        <v>253778655.65999997</v>
      </c>
      <c r="AV1182" s="34">
        <f>AM1182-AP1182</f>
        <v>0</v>
      </c>
      <c r="AW1182" s="34">
        <f>AP1182-AT1182</f>
        <v>0</v>
      </c>
      <c r="AX1182" s="123">
        <f>AP1182/AJ1182</f>
        <v>0</v>
      </c>
    </row>
    <row r="1183" spans="1:50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1"/>
      <c r="AB1183" s="42"/>
      <c r="AC1183" s="43"/>
      <c r="AD1183" s="44"/>
      <c r="AE1183" s="43"/>
      <c r="AF1183" s="44"/>
      <c r="AG1183" s="252"/>
      <c r="AH1183" s="44"/>
      <c r="AI1183" s="43"/>
      <c r="AJ1183" s="43"/>
      <c r="AK1183" s="44"/>
      <c r="AL1183" s="44"/>
      <c r="AM1183" s="43"/>
      <c r="AN1183" s="44"/>
      <c r="AO1183" s="44"/>
      <c r="AP1183" s="44"/>
      <c r="AQ1183" s="44"/>
      <c r="AR1183" s="44"/>
      <c r="AS1183" s="44"/>
      <c r="AT1183" s="135"/>
      <c r="AU1183" s="18"/>
      <c r="AV1183" s="34"/>
      <c r="AW1183" s="34"/>
      <c r="AX1183" s="123"/>
    </row>
    <row r="1184" spans="1:50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73" t="s">
        <v>1016</v>
      </c>
      <c r="AB1184" s="74" t="s">
        <v>1068</v>
      </c>
      <c r="AC1184" s="43"/>
      <c r="AD1184" s="44"/>
      <c r="AE1184" s="43"/>
      <c r="AF1184" s="44"/>
      <c r="AG1184" s="44"/>
      <c r="AH1184" s="44"/>
      <c r="AI1184" s="44"/>
      <c r="AJ1184" s="43"/>
      <c r="AK1184" s="44"/>
      <c r="AL1184" s="44"/>
      <c r="AM1184" s="43"/>
      <c r="AN1184" s="44"/>
      <c r="AO1184" s="44"/>
      <c r="AP1184" s="44"/>
      <c r="AQ1184" s="44"/>
      <c r="AR1184" s="44"/>
      <c r="AS1184" s="44"/>
      <c r="AT1184" s="135"/>
      <c r="AU1184" s="18"/>
      <c r="AV1184" s="34"/>
      <c r="AW1184" s="34"/>
      <c r="AX1184" s="123"/>
    </row>
    <row r="1185" spans="1:50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73" t="s">
        <v>1017</v>
      </c>
      <c r="AB1185" s="74" t="s">
        <v>1069</v>
      </c>
      <c r="AC1185" s="43"/>
      <c r="AD1185" s="44"/>
      <c r="AE1185" s="43"/>
      <c r="AF1185" s="44"/>
      <c r="AG1185" s="44"/>
      <c r="AH1185" s="44"/>
      <c r="AI1185" s="44"/>
      <c r="AJ1185" s="43"/>
      <c r="AK1185" s="44"/>
      <c r="AL1185" s="44"/>
      <c r="AM1185" s="43"/>
      <c r="AN1185" s="44"/>
      <c r="AO1185" s="44"/>
      <c r="AP1185" s="44"/>
      <c r="AQ1185" s="44"/>
      <c r="AR1185" s="44"/>
      <c r="AS1185" s="44"/>
      <c r="AT1185" s="135"/>
      <c r="AU1185" s="18"/>
      <c r="AV1185" s="34"/>
      <c r="AW1185" s="34"/>
      <c r="AX1185" s="123"/>
    </row>
    <row r="1186" spans="1:50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73" t="s">
        <v>1018</v>
      </c>
      <c r="AB1186" s="74" t="s">
        <v>286</v>
      </c>
      <c r="AC1186" s="43"/>
      <c r="AD1186" s="44"/>
      <c r="AE1186" s="43"/>
      <c r="AF1186" s="44"/>
      <c r="AG1186" s="44"/>
      <c r="AH1186" s="44"/>
      <c r="AI1186" s="44"/>
      <c r="AJ1186" s="43"/>
      <c r="AK1186" s="44"/>
      <c r="AL1186" s="44"/>
      <c r="AM1186" s="43"/>
      <c r="AN1186" s="44"/>
      <c r="AO1186" s="44"/>
      <c r="AP1186" s="44"/>
      <c r="AQ1186" s="44"/>
      <c r="AR1186" s="44"/>
      <c r="AS1186" s="44"/>
      <c r="AT1186" s="135"/>
      <c r="AU1186" s="18"/>
      <c r="AV1186" s="34"/>
      <c r="AW1186" s="34"/>
      <c r="AX1186" s="123"/>
    </row>
    <row r="1187" spans="1:50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73" t="s">
        <v>1021</v>
      </c>
      <c r="AB1187" s="74" t="s">
        <v>1070</v>
      </c>
      <c r="AC1187" s="43"/>
      <c r="AD1187" s="44"/>
      <c r="AE1187" s="43"/>
      <c r="AF1187" s="44"/>
      <c r="AG1187" s="44"/>
      <c r="AH1187" s="44"/>
      <c r="AI1187" s="44"/>
      <c r="AJ1187" s="43"/>
      <c r="AK1187" s="44"/>
      <c r="AL1187" s="44"/>
      <c r="AM1187" s="43"/>
      <c r="AN1187" s="44"/>
      <c r="AO1187" s="44"/>
      <c r="AP1187" s="44"/>
      <c r="AQ1187" s="44"/>
      <c r="AR1187" s="44"/>
      <c r="AS1187" s="44"/>
      <c r="AT1187" s="135"/>
      <c r="AU1187" s="18"/>
      <c r="AV1187" s="34"/>
      <c r="AW1187" s="34"/>
      <c r="AX1187" s="123"/>
    </row>
    <row r="1188" spans="1:50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1" t="s">
        <v>1019</v>
      </c>
      <c r="AB1188" s="42" t="s">
        <v>1005</v>
      </c>
      <c r="AC1188" s="43"/>
      <c r="AD1188" s="44">
        <v>0</v>
      </c>
      <c r="AE1188" s="43">
        <v>546274807</v>
      </c>
      <c r="AF1188" s="44">
        <v>0</v>
      </c>
      <c r="AG1188" s="44">
        <v>0</v>
      </c>
      <c r="AH1188" s="44">
        <v>0</v>
      </c>
      <c r="AI1188" s="43">
        <f>AE1188-AF1188+AG1188-AH1188</f>
        <v>546274807</v>
      </c>
      <c r="AJ1188" s="43">
        <f>AD1188+AI1188</f>
        <v>546274807</v>
      </c>
      <c r="AK1188" s="44">
        <v>0</v>
      </c>
      <c r="AL1188" s="44">
        <v>0</v>
      </c>
      <c r="AM1188" s="43">
        <v>0</v>
      </c>
      <c r="AN1188" s="44">
        <v>0</v>
      </c>
      <c r="AO1188" s="44">
        <v>0</v>
      </c>
      <c r="AP1188" s="44">
        <v>0</v>
      </c>
      <c r="AQ1188" s="44">
        <v>0</v>
      </c>
      <c r="AR1188" s="44">
        <v>0</v>
      </c>
      <c r="AS1188" s="44">
        <v>0</v>
      </c>
      <c r="AT1188" s="135">
        <f t="shared" ref="AT1188" si="509">AQ1188+AS1188</f>
        <v>0</v>
      </c>
      <c r="AU1188" s="18">
        <f>AJ1188-AM1188</f>
        <v>546274807</v>
      </c>
      <c r="AV1188" s="34">
        <f>AM1188-AP1188</f>
        <v>0</v>
      </c>
      <c r="AW1188" s="34">
        <f>AP1188-AT1188</f>
        <v>0</v>
      </c>
      <c r="AX1188" s="123">
        <f>AP1188/AJ1188</f>
        <v>0</v>
      </c>
    </row>
    <row r="1189" spans="1:50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1"/>
      <c r="AB1189" s="42"/>
      <c r="AC1189" s="43"/>
      <c r="AD1189" s="43"/>
      <c r="AE1189" s="43"/>
      <c r="AF1189" s="44"/>
      <c r="AG1189" s="44"/>
      <c r="AH1189" s="44"/>
      <c r="AI1189" s="44"/>
      <c r="AJ1189" s="43"/>
      <c r="AK1189" s="44"/>
      <c r="AL1189" s="44"/>
      <c r="AM1189" s="43"/>
      <c r="AN1189" s="44"/>
      <c r="AO1189" s="44"/>
      <c r="AP1189" s="43"/>
      <c r="AQ1189" s="43"/>
      <c r="AR1189" s="43"/>
      <c r="AS1189" s="43"/>
      <c r="AT1189" s="111"/>
      <c r="AU1189" s="18"/>
      <c r="AV1189" s="18"/>
      <c r="AW1189" s="18"/>
      <c r="AX1189" s="123"/>
    </row>
    <row r="1190" spans="1:50" s="343" customFormat="1" x14ac:dyDescent="0.2">
      <c r="A1190" s="50"/>
      <c r="B1190" s="77"/>
      <c r="C1190" s="77"/>
      <c r="D1190" s="77"/>
      <c r="E1190" s="77"/>
      <c r="F1190" s="77"/>
      <c r="G1190" s="77"/>
      <c r="H1190" s="77"/>
      <c r="I1190" s="77"/>
      <c r="J1190" s="77"/>
      <c r="K1190" s="77"/>
      <c r="L1190" s="77"/>
      <c r="M1190" s="77"/>
      <c r="N1190" s="77"/>
      <c r="O1190" s="77"/>
      <c r="P1190" s="77"/>
      <c r="Q1190" s="77"/>
      <c r="R1190" s="77"/>
      <c r="S1190" s="77"/>
      <c r="T1190" s="77"/>
      <c r="U1190" s="77"/>
      <c r="V1190" s="77"/>
      <c r="W1190" s="77"/>
      <c r="X1190" s="77"/>
      <c r="Y1190" s="77"/>
      <c r="Z1190" s="77"/>
      <c r="AA1190" s="46"/>
      <c r="AB1190" s="47" t="s">
        <v>702</v>
      </c>
      <c r="AC1190" s="47"/>
      <c r="AD1190" s="48">
        <f t="shared" ref="AD1190:AW1190" si="510">SUM(AD1159:AD1189)</f>
        <v>38899360013</v>
      </c>
      <c r="AE1190" s="48">
        <f t="shared" si="510"/>
        <v>16869883633.209999</v>
      </c>
      <c r="AF1190" s="49">
        <f t="shared" si="510"/>
        <v>0</v>
      </c>
      <c r="AG1190" s="48">
        <f t="shared" si="510"/>
        <v>10315000000</v>
      </c>
      <c r="AH1190" s="48">
        <f t="shared" si="510"/>
        <v>34010780713.66</v>
      </c>
      <c r="AI1190" s="48">
        <f t="shared" si="510"/>
        <v>-6825897080.4500027</v>
      </c>
      <c r="AJ1190" s="48">
        <f t="shared" si="510"/>
        <v>32073462932.549999</v>
      </c>
      <c r="AK1190" s="49">
        <f t="shared" si="510"/>
        <v>0</v>
      </c>
      <c r="AL1190" s="48">
        <f t="shared" si="510"/>
        <v>-7060742547</v>
      </c>
      <c r="AM1190" s="48">
        <f t="shared" si="510"/>
        <v>17401999115</v>
      </c>
      <c r="AN1190" s="49">
        <f t="shared" si="510"/>
        <v>0</v>
      </c>
      <c r="AO1190" s="48">
        <f t="shared" si="510"/>
        <v>2533063359</v>
      </c>
      <c r="AP1190" s="48">
        <f t="shared" si="510"/>
        <v>17386999115</v>
      </c>
      <c r="AQ1190" s="48">
        <f t="shared" si="510"/>
        <v>13000000</v>
      </c>
      <c r="AR1190" s="48">
        <f t="shared" si="510"/>
        <v>3014103805</v>
      </c>
      <c r="AS1190" s="48">
        <f t="shared" si="510"/>
        <v>16664038876</v>
      </c>
      <c r="AT1190" s="48">
        <f t="shared" si="510"/>
        <v>16677038876</v>
      </c>
      <c r="AU1190" s="48">
        <f t="shared" si="510"/>
        <v>14671463817.549997</v>
      </c>
      <c r="AV1190" s="48">
        <f t="shared" si="510"/>
        <v>15000000</v>
      </c>
      <c r="AW1190" s="48">
        <f t="shared" si="510"/>
        <v>709960239</v>
      </c>
      <c r="AX1190" s="24">
        <f>AP1190/AJ1190</f>
        <v>0.54209921615151413</v>
      </c>
    </row>
    <row r="1191" spans="1:50" x14ac:dyDescent="0.2">
      <c r="AA1191" s="16"/>
      <c r="AB1191" s="17"/>
      <c r="AC1191" s="17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</row>
    <row r="1192" spans="1:50" x14ac:dyDescent="0.2">
      <c r="A1192" s="25"/>
      <c r="B1192" s="71"/>
      <c r="C1192" s="71"/>
      <c r="D1192" s="71"/>
      <c r="E1192" s="71"/>
      <c r="F1192" s="71"/>
      <c r="G1192" s="71"/>
      <c r="H1192" s="71"/>
      <c r="I1192" s="71"/>
      <c r="J1192" s="71"/>
      <c r="K1192" s="71"/>
      <c r="L1192" s="71"/>
      <c r="M1192" s="71"/>
      <c r="N1192" s="71"/>
      <c r="O1192" s="71"/>
      <c r="P1192" s="71"/>
      <c r="Q1192" s="71"/>
      <c r="R1192" s="71"/>
      <c r="S1192" s="71"/>
      <c r="T1192" s="71"/>
      <c r="U1192" s="71"/>
      <c r="V1192" s="71"/>
      <c r="W1192" s="71"/>
      <c r="X1192" s="71"/>
      <c r="Y1192" s="71"/>
      <c r="Z1192" s="71"/>
      <c r="AA1192" s="66"/>
      <c r="AB1192" s="21" t="s">
        <v>703</v>
      </c>
      <c r="AC1192" s="67"/>
      <c r="AD1192" s="63"/>
      <c r="AE1192" s="63"/>
      <c r="AF1192" s="63"/>
      <c r="AG1192" s="63"/>
      <c r="AH1192" s="63"/>
      <c r="AI1192" s="63"/>
      <c r="AJ1192" s="63"/>
      <c r="AK1192" s="63"/>
      <c r="AL1192" s="63"/>
      <c r="AM1192" s="63"/>
      <c r="AN1192" s="63"/>
      <c r="AO1192" s="63"/>
      <c r="AP1192" s="63"/>
      <c r="AQ1192" s="63"/>
      <c r="AR1192" s="63"/>
      <c r="AS1192" s="63"/>
      <c r="AT1192" s="63"/>
      <c r="AU1192" s="63"/>
      <c r="AV1192" s="63"/>
      <c r="AW1192" s="63"/>
      <c r="AX1192" s="63"/>
    </row>
    <row r="1193" spans="1:50" x14ac:dyDescent="0.2">
      <c r="AA1193" s="16"/>
      <c r="AB1193" s="29" t="s">
        <v>676</v>
      </c>
      <c r="AC1193" s="17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</row>
    <row r="1194" spans="1:50" ht="18.75" customHeight="1" x14ac:dyDescent="0.2">
      <c r="AA1194" s="16"/>
      <c r="AB1194" s="29" t="s">
        <v>286</v>
      </c>
      <c r="AC1194" s="17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</row>
    <row r="1195" spans="1:50" ht="18.75" customHeight="1" x14ac:dyDescent="0.2">
      <c r="AA1195" s="16"/>
      <c r="AB1195" s="29" t="s">
        <v>179</v>
      </c>
      <c r="AC1195" s="17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</row>
    <row r="1196" spans="1:50" ht="18.75" customHeight="1" x14ac:dyDescent="0.2">
      <c r="AA1196" s="16"/>
      <c r="AB1196" s="29" t="s">
        <v>189</v>
      </c>
      <c r="AC1196" s="17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</row>
    <row r="1197" spans="1:50" ht="18.75" customHeight="1" x14ac:dyDescent="0.2">
      <c r="AA1197" s="73" t="s">
        <v>288</v>
      </c>
      <c r="AB1197" s="29" t="s">
        <v>292</v>
      </c>
      <c r="AC1197" s="17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</row>
    <row r="1198" spans="1:50" ht="18.75" customHeight="1" x14ac:dyDescent="0.2">
      <c r="AA1198" s="41" t="s">
        <v>1262</v>
      </c>
      <c r="AB1198" s="38" t="s">
        <v>1015</v>
      </c>
      <c r="AC1198" s="17"/>
      <c r="AD1198" s="34">
        <v>0</v>
      </c>
      <c r="AE1198" s="34">
        <v>0</v>
      </c>
      <c r="AF1198" s="34">
        <v>0</v>
      </c>
      <c r="AG1198" s="18">
        <v>235000000</v>
      </c>
      <c r="AH1198" s="18">
        <v>132332573.09</v>
      </c>
      <c r="AI1198" s="43">
        <f>AE1198-AF1198+AG1198-AH1198</f>
        <v>102667426.91</v>
      </c>
      <c r="AJ1198" s="43">
        <f>AD1198+AI1198</f>
        <v>102667426.91</v>
      </c>
      <c r="AK1198" s="18">
        <v>0</v>
      </c>
      <c r="AL1198" s="18">
        <v>0</v>
      </c>
      <c r="AM1198" s="18">
        <v>102667426.91</v>
      </c>
      <c r="AN1198" s="18">
        <v>0</v>
      </c>
      <c r="AO1198" s="34">
        <v>0</v>
      </c>
      <c r="AP1198" s="34">
        <v>0</v>
      </c>
      <c r="AQ1198" s="34">
        <v>0</v>
      </c>
      <c r="AR1198" s="34">
        <v>0</v>
      </c>
      <c r="AS1198" s="34">
        <v>0</v>
      </c>
      <c r="AT1198" s="135">
        <f t="shared" ref="AT1198" si="511">AQ1198+AS1198</f>
        <v>0</v>
      </c>
      <c r="AU1198" s="34">
        <f>AJ1198-AM1198</f>
        <v>0</v>
      </c>
      <c r="AV1198" s="18">
        <f>AM1198-AP1198</f>
        <v>102667426.91</v>
      </c>
      <c r="AW1198" s="34">
        <f>AP1198-AT1198</f>
        <v>0</v>
      </c>
      <c r="AX1198" s="123">
        <f>AP1198/AJ1198</f>
        <v>0</v>
      </c>
    </row>
    <row r="1199" spans="1:50" ht="18.75" customHeight="1" x14ac:dyDescent="0.2">
      <c r="AA1199" s="16"/>
      <c r="AB1199" s="29" t="s">
        <v>199</v>
      </c>
      <c r="AC1199" s="17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34"/>
      <c r="AO1199" s="18"/>
      <c r="AP1199" s="18"/>
      <c r="AQ1199" s="18"/>
      <c r="AR1199" s="18"/>
      <c r="AS1199" s="18"/>
      <c r="AT1199" s="30"/>
      <c r="AU1199" s="18"/>
      <c r="AV1199" s="18"/>
      <c r="AW1199" s="18"/>
      <c r="AX1199" s="18"/>
    </row>
    <row r="1200" spans="1:50" ht="39" customHeight="1" x14ac:dyDescent="0.2">
      <c r="AA1200" s="170" t="s">
        <v>288</v>
      </c>
      <c r="AB1200" s="165" t="s">
        <v>1124</v>
      </c>
      <c r="AC1200" s="161"/>
      <c r="AD1200" s="18"/>
      <c r="AE1200" s="222"/>
      <c r="AF1200" s="18"/>
      <c r="AG1200" s="18"/>
      <c r="AH1200" s="18"/>
      <c r="AI1200" s="18"/>
      <c r="AJ1200" s="18"/>
      <c r="AK1200" s="18"/>
      <c r="AL1200" s="18"/>
      <c r="AM1200" s="18"/>
      <c r="AN1200" s="34"/>
      <c r="AO1200" s="18"/>
      <c r="AP1200" s="18"/>
      <c r="AQ1200" s="18"/>
      <c r="AR1200" s="18"/>
      <c r="AS1200" s="18"/>
      <c r="AT1200" s="30"/>
      <c r="AU1200" s="18"/>
      <c r="AV1200" s="18"/>
      <c r="AW1200" s="18"/>
      <c r="AX1200" s="18"/>
    </row>
    <row r="1201" spans="1:50" ht="28.5" customHeight="1" x14ac:dyDescent="0.2">
      <c r="AA1201" s="166" t="s">
        <v>1129</v>
      </c>
      <c r="AB1201" s="167" t="s">
        <v>1130</v>
      </c>
      <c r="AC1201" s="161"/>
      <c r="AD1201" s="34">
        <v>0</v>
      </c>
      <c r="AE1201" s="217">
        <v>13266452.33</v>
      </c>
      <c r="AF1201" s="232">
        <v>0</v>
      </c>
      <c r="AG1201" s="34">
        <v>0</v>
      </c>
      <c r="AH1201" s="34">
        <v>0</v>
      </c>
      <c r="AI1201" s="43">
        <f>AE1201-AF1201+AG1201-AH1201</f>
        <v>13266452.33</v>
      </c>
      <c r="AJ1201" s="43">
        <f>AD1201+AI1201</f>
        <v>13266452.33</v>
      </c>
      <c r="AK1201" s="34">
        <v>0</v>
      </c>
      <c r="AL1201" s="34">
        <v>0</v>
      </c>
      <c r="AM1201" s="18">
        <v>12251120</v>
      </c>
      <c r="AN1201" s="34">
        <v>0</v>
      </c>
      <c r="AO1201" s="34">
        <v>0</v>
      </c>
      <c r="AP1201" s="18">
        <v>12251120</v>
      </c>
      <c r="AQ1201" s="34">
        <v>0</v>
      </c>
      <c r="AR1201" s="18">
        <v>4400000</v>
      </c>
      <c r="AS1201" s="18">
        <v>4693333</v>
      </c>
      <c r="AT1201" s="39">
        <f t="shared" ref="AT1201:AT1203" si="512">AQ1201+AS1201</f>
        <v>4693333</v>
      </c>
      <c r="AU1201" s="18">
        <f>AJ1201-AM1201</f>
        <v>1015332.3300000001</v>
      </c>
      <c r="AV1201" s="34">
        <f>AM1201-AP1201</f>
        <v>0</v>
      </c>
      <c r="AW1201" s="18">
        <f>AP1201-AT1201</f>
        <v>7557787</v>
      </c>
      <c r="AX1201" s="123">
        <f>AP1201/AJ1201</f>
        <v>0.92346617582878687</v>
      </c>
    </row>
    <row r="1202" spans="1:50" ht="18.75" customHeight="1" x14ac:dyDescent="0.2">
      <c r="AA1202" s="166" t="s">
        <v>1127</v>
      </c>
      <c r="AB1202" s="167" t="s">
        <v>1128</v>
      </c>
      <c r="AC1202" s="161"/>
      <c r="AD1202" s="34">
        <v>0</v>
      </c>
      <c r="AE1202" s="217">
        <v>10555526.43</v>
      </c>
      <c r="AF1202" s="232">
        <v>0</v>
      </c>
      <c r="AG1202" s="34">
        <v>0</v>
      </c>
      <c r="AH1202" s="34">
        <v>0</v>
      </c>
      <c r="AI1202" s="43">
        <f>AE1202-AF1202+AG1202-AH1202</f>
        <v>10555526.43</v>
      </c>
      <c r="AJ1202" s="43">
        <f>AD1202+AI1202</f>
        <v>10555526.43</v>
      </c>
      <c r="AK1202" s="34">
        <v>0</v>
      </c>
      <c r="AL1202" s="34">
        <v>0</v>
      </c>
      <c r="AM1202" s="18">
        <v>6600000</v>
      </c>
      <c r="AN1202" s="34">
        <v>0</v>
      </c>
      <c r="AO1202" s="34">
        <v>0</v>
      </c>
      <c r="AP1202" s="18">
        <v>6600000</v>
      </c>
      <c r="AQ1202" s="34">
        <v>513333</v>
      </c>
      <c r="AR1202" s="34">
        <v>2200000</v>
      </c>
      <c r="AS1202" s="34">
        <v>2200000</v>
      </c>
      <c r="AT1202" s="39">
        <f t="shared" si="512"/>
        <v>2713333</v>
      </c>
      <c r="AU1202" s="18">
        <f>AJ1202-AM1202</f>
        <v>3955526.4299999997</v>
      </c>
      <c r="AV1202" s="34">
        <f>AM1202-AP1202</f>
        <v>0</v>
      </c>
      <c r="AW1202" s="18">
        <f>AP1202-AT1202</f>
        <v>3886667</v>
      </c>
      <c r="AX1202" s="123">
        <f>AP1202/AJ1202</f>
        <v>0.62526488316509288</v>
      </c>
    </row>
    <row r="1203" spans="1:50" ht="25.5" customHeight="1" x14ac:dyDescent="0.2">
      <c r="AA1203" s="166" t="s">
        <v>1125</v>
      </c>
      <c r="AB1203" s="167" t="s">
        <v>1126</v>
      </c>
      <c r="AC1203" s="161"/>
      <c r="AD1203" s="34">
        <v>0</v>
      </c>
      <c r="AE1203" s="217">
        <v>4178021.24</v>
      </c>
      <c r="AF1203" s="232">
        <v>0</v>
      </c>
      <c r="AG1203" s="34">
        <v>0</v>
      </c>
      <c r="AH1203" s="34">
        <v>0</v>
      </c>
      <c r="AI1203" s="43">
        <f t="shared" ref="AI1203" si="513">AE1203-AF1203+AG1203-AH1203</f>
        <v>4178021.24</v>
      </c>
      <c r="AJ1203" s="43">
        <f t="shared" ref="AJ1203" si="514">AD1203+AI1203</f>
        <v>4178021.24</v>
      </c>
      <c r="AK1203" s="34">
        <v>0</v>
      </c>
      <c r="AL1203" s="34">
        <v>0</v>
      </c>
      <c r="AM1203" s="18">
        <v>3148880</v>
      </c>
      <c r="AN1203" s="34">
        <v>0</v>
      </c>
      <c r="AO1203" s="34">
        <v>0</v>
      </c>
      <c r="AP1203" s="18">
        <v>3148880</v>
      </c>
      <c r="AQ1203" s="34">
        <v>0</v>
      </c>
      <c r="AR1203" s="18">
        <v>0</v>
      </c>
      <c r="AS1203" s="18">
        <v>2640000</v>
      </c>
      <c r="AT1203" s="39">
        <f t="shared" si="512"/>
        <v>2640000</v>
      </c>
      <c r="AU1203" s="18">
        <f>AJ1203-AM1203</f>
        <v>1029141.2400000002</v>
      </c>
      <c r="AV1203" s="133">
        <f>AM1203-AP1203</f>
        <v>0</v>
      </c>
      <c r="AW1203" s="18">
        <f>AP1203-AT1203</f>
        <v>508880</v>
      </c>
      <c r="AX1203" s="123">
        <f>AP1203/AJ1203</f>
        <v>0.75367735564695215</v>
      </c>
    </row>
    <row r="1204" spans="1:50" x14ac:dyDescent="0.2">
      <c r="AA1204" s="28" t="s">
        <v>288</v>
      </c>
      <c r="AB1204" s="29" t="s">
        <v>704</v>
      </c>
      <c r="AC1204" s="17"/>
      <c r="AD1204" s="18"/>
      <c r="AE1204" s="18"/>
      <c r="AF1204" s="18"/>
      <c r="AG1204" s="18"/>
      <c r="AH1204" s="18"/>
      <c r="AI1204" s="18"/>
      <c r="AJ1204" s="18"/>
      <c r="AK1204" s="34"/>
      <c r="AL1204" s="34"/>
      <c r="AM1204" s="34"/>
      <c r="AN1204" s="34"/>
      <c r="AO1204" s="34"/>
      <c r="AP1204" s="34"/>
      <c r="AQ1204" s="34"/>
      <c r="AR1204" s="34"/>
      <c r="AS1204" s="34"/>
      <c r="AT1204" s="31"/>
      <c r="AU1204" s="18"/>
      <c r="AV1204" s="34"/>
      <c r="AW1204" s="18"/>
      <c r="AX1204" s="18"/>
    </row>
    <row r="1205" spans="1:50" x14ac:dyDescent="0.2">
      <c r="A1205" s="4" t="s">
        <v>55</v>
      </c>
      <c r="B1205" s="4" t="s">
        <v>56</v>
      </c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1" t="s">
        <v>705</v>
      </c>
      <c r="AB1205" s="42" t="s">
        <v>233</v>
      </c>
      <c r="AC1205" s="43" t="s">
        <v>58</v>
      </c>
      <c r="AD1205" s="43">
        <v>221000000</v>
      </c>
      <c r="AE1205" s="44">
        <v>0</v>
      </c>
      <c r="AF1205" s="44">
        <v>0</v>
      </c>
      <c r="AG1205" s="44">
        <v>0</v>
      </c>
      <c r="AH1205" s="43">
        <v>221000000</v>
      </c>
      <c r="AI1205" s="136">
        <f>AE1205-AF1205+AG1205-AH1205</f>
        <v>-221000000</v>
      </c>
      <c r="AJ1205" s="44">
        <f>AD1205+AI1205</f>
        <v>0</v>
      </c>
      <c r="AK1205" s="44">
        <v>0</v>
      </c>
      <c r="AL1205" s="44">
        <v>0</v>
      </c>
      <c r="AM1205" s="44">
        <v>0</v>
      </c>
      <c r="AN1205" s="44">
        <v>0</v>
      </c>
      <c r="AO1205" s="44">
        <v>0</v>
      </c>
      <c r="AP1205" s="44">
        <v>0</v>
      </c>
      <c r="AQ1205" s="44">
        <v>0</v>
      </c>
      <c r="AR1205" s="44">
        <v>0</v>
      </c>
      <c r="AS1205" s="44">
        <v>0</v>
      </c>
      <c r="AT1205" s="40">
        <f t="shared" ref="AT1205:AT1211" si="515">AQ1205+AS1205</f>
        <v>0</v>
      </c>
      <c r="AU1205" s="34">
        <f>AJ1205-AM1205</f>
        <v>0</v>
      </c>
      <c r="AV1205" s="133">
        <f>AM1205-AP1205</f>
        <v>0</v>
      </c>
      <c r="AW1205" s="34">
        <f>AP1205-AT1205</f>
        <v>0</v>
      </c>
      <c r="AX1205" s="123">
        <v>0</v>
      </c>
    </row>
    <row r="1206" spans="1:50" ht="25.5" x14ac:dyDescent="0.2">
      <c r="AA1206" s="28" t="s">
        <v>288</v>
      </c>
      <c r="AB1206" s="29" t="s">
        <v>706</v>
      </c>
      <c r="AC1206" s="17"/>
      <c r="AD1206" s="18"/>
      <c r="AE1206" s="34"/>
      <c r="AF1206" s="34"/>
      <c r="AG1206" s="34"/>
      <c r="AH1206" s="18"/>
      <c r="AI1206" s="18"/>
      <c r="AJ1206" s="18"/>
      <c r="AK1206" s="34"/>
      <c r="AL1206" s="34"/>
      <c r="AM1206" s="18"/>
      <c r="AN1206" s="18"/>
      <c r="AO1206" s="18"/>
      <c r="AP1206" s="18"/>
      <c r="AQ1206" s="18"/>
      <c r="AR1206" s="18"/>
      <c r="AS1206" s="18"/>
      <c r="AT1206" s="31"/>
      <c r="AU1206" s="18"/>
      <c r="AV1206" s="34"/>
      <c r="AW1206" s="18"/>
      <c r="AX1206" s="18"/>
    </row>
    <row r="1207" spans="1:50" x14ac:dyDescent="0.2">
      <c r="A1207" s="4" t="s">
        <v>55</v>
      </c>
      <c r="B1207" s="4" t="s">
        <v>56</v>
      </c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1" t="s">
        <v>982</v>
      </c>
      <c r="AB1207" s="42" t="s">
        <v>233</v>
      </c>
      <c r="AC1207" s="43" t="s">
        <v>58</v>
      </c>
      <c r="AD1207" s="43">
        <v>2458264706</v>
      </c>
      <c r="AE1207" s="44">
        <v>0</v>
      </c>
      <c r="AF1207" s="44">
        <v>0</v>
      </c>
      <c r="AG1207" s="44">
        <v>0</v>
      </c>
      <c r="AH1207" s="44">
        <v>0</v>
      </c>
      <c r="AI1207" s="97">
        <f>AE1207-AF1207+AG1207-AH1207</f>
        <v>0</v>
      </c>
      <c r="AJ1207" s="43">
        <f>AD1207+AI1207</f>
        <v>2458264706</v>
      </c>
      <c r="AK1207" s="44">
        <v>0</v>
      </c>
      <c r="AL1207" s="44">
        <v>0</v>
      </c>
      <c r="AM1207" s="43">
        <v>2432623482</v>
      </c>
      <c r="AN1207" s="43">
        <v>0</v>
      </c>
      <c r="AO1207" s="43">
        <v>0</v>
      </c>
      <c r="AP1207" s="43">
        <v>2432623482</v>
      </c>
      <c r="AQ1207" s="43">
        <v>43251667</v>
      </c>
      <c r="AR1207" s="43">
        <v>339141069</v>
      </c>
      <c r="AS1207" s="43">
        <v>1563964979</v>
      </c>
      <c r="AT1207" s="111">
        <f t="shared" si="515"/>
        <v>1607216646</v>
      </c>
      <c r="AU1207" s="18">
        <f>AJ1207-AM1207</f>
        <v>25641224</v>
      </c>
      <c r="AV1207" s="34">
        <f>AM1207-AP1207</f>
        <v>0</v>
      </c>
      <c r="AW1207" s="18">
        <f>AP1207-AT1207</f>
        <v>825406836</v>
      </c>
      <c r="AX1207" s="123">
        <f>AP1207/AJ1207</f>
        <v>0.98956938040992237</v>
      </c>
    </row>
    <row r="1208" spans="1:50" ht="38.25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73" t="s">
        <v>288</v>
      </c>
      <c r="AB1208" s="74" t="s">
        <v>1122</v>
      </c>
      <c r="AC1208" s="43"/>
      <c r="AD1208" s="43"/>
      <c r="AE1208" s="44"/>
      <c r="AF1208" s="44"/>
      <c r="AG1208" s="44"/>
      <c r="AH1208" s="44"/>
      <c r="AI1208" s="97"/>
      <c r="AJ1208" s="43"/>
      <c r="AK1208" s="44"/>
      <c r="AL1208" s="44"/>
      <c r="AM1208" s="43"/>
      <c r="AN1208" s="44"/>
      <c r="AO1208" s="43"/>
      <c r="AP1208" s="43"/>
      <c r="AQ1208" s="43"/>
      <c r="AR1208" s="43"/>
      <c r="AS1208" s="43"/>
      <c r="AT1208" s="111"/>
      <c r="AU1208" s="18"/>
      <c r="AV1208" s="133"/>
      <c r="AW1208" s="18"/>
      <c r="AX1208" s="123"/>
    </row>
    <row r="1209" spans="1:50" ht="25.5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1" t="s">
        <v>1123</v>
      </c>
      <c r="AB1209" s="42" t="s">
        <v>1121</v>
      </c>
      <c r="AC1209" s="43"/>
      <c r="AD1209" s="44">
        <v>0</v>
      </c>
      <c r="AE1209" s="43">
        <v>3500000</v>
      </c>
      <c r="AF1209" s="44">
        <v>0</v>
      </c>
      <c r="AG1209" s="44">
        <v>0</v>
      </c>
      <c r="AH1209" s="44">
        <v>0</v>
      </c>
      <c r="AI1209" s="136">
        <f>AE1209-AF1209+AG1209-AH1209</f>
        <v>3500000</v>
      </c>
      <c r="AJ1209" s="43">
        <f>AD1209+AI1209</f>
        <v>3500000</v>
      </c>
      <c r="AK1209" s="44">
        <v>0</v>
      </c>
      <c r="AL1209" s="44">
        <v>0</v>
      </c>
      <c r="AM1209" s="43">
        <v>0</v>
      </c>
      <c r="AN1209" s="44">
        <v>0</v>
      </c>
      <c r="AO1209" s="44">
        <v>0</v>
      </c>
      <c r="AP1209" s="44">
        <v>0</v>
      </c>
      <c r="AQ1209" s="44">
        <v>0</v>
      </c>
      <c r="AR1209" s="44">
        <v>0</v>
      </c>
      <c r="AS1209" s="44">
        <v>0</v>
      </c>
      <c r="AT1209" s="135"/>
      <c r="AU1209" s="18">
        <f>AJ1209-AM1209</f>
        <v>3500000</v>
      </c>
      <c r="AV1209" s="133">
        <f>AM1209-AP1209</f>
        <v>0</v>
      </c>
      <c r="AW1209" s="34">
        <f>AP1209-AT1209</f>
        <v>0</v>
      </c>
      <c r="AX1209" s="123">
        <f>AP1209/AJ1209</f>
        <v>0</v>
      </c>
    </row>
    <row r="1210" spans="1:50" ht="25.5" x14ac:dyDescent="0.2">
      <c r="AA1210" s="28" t="s">
        <v>288</v>
      </c>
      <c r="AB1210" s="29" t="s">
        <v>708</v>
      </c>
      <c r="AC1210" s="17"/>
      <c r="AD1210" s="18"/>
      <c r="AE1210" s="34"/>
      <c r="AF1210" s="34"/>
      <c r="AG1210" s="34"/>
      <c r="AH1210" s="18"/>
      <c r="AI1210" s="18"/>
      <c r="AJ1210" s="18"/>
      <c r="AK1210" s="34"/>
      <c r="AL1210" s="34"/>
      <c r="AM1210" s="18"/>
      <c r="AN1210" s="34"/>
      <c r="AO1210" s="18"/>
      <c r="AP1210" s="18"/>
      <c r="AQ1210" s="18"/>
      <c r="AR1210" s="18"/>
      <c r="AS1210" s="18"/>
      <c r="AT1210" s="31"/>
      <c r="AU1210" s="18"/>
      <c r="AV1210" s="18"/>
      <c r="AW1210" s="18"/>
      <c r="AX1210" s="18"/>
    </row>
    <row r="1211" spans="1:50" x14ac:dyDescent="0.2">
      <c r="A1211" s="4" t="s">
        <v>55</v>
      </c>
      <c r="B1211" s="4" t="s">
        <v>56</v>
      </c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1" t="s">
        <v>709</v>
      </c>
      <c r="AB1211" s="42" t="s">
        <v>233</v>
      </c>
      <c r="AC1211" s="43" t="s">
        <v>58</v>
      </c>
      <c r="AD1211" s="43">
        <v>501500000</v>
      </c>
      <c r="AE1211" s="44">
        <v>0</v>
      </c>
      <c r="AF1211" s="44">
        <v>0</v>
      </c>
      <c r="AG1211" s="43">
        <v>204500000</v>
      </c>
      <c r="AH1211" s="43">
        <v>501500000</v>
      </c>
      <c r="AI1211" s="136">
        <f>AE1211-AF1211+AG1211-AH1211</f>
        <v>-297000000</v>
      </c>
      <c r="AJ1211" s="43">
        <f>AD1211+AI1211</f>
        <v>204500000</v>
      </c>
      <c r="AK1211" s="44">
        <v>0</v>
      </c>
      <c r="AL1211" s="43">
        <v>0</v>
      </c>
      <c r="AM1211" s="43">
        <v>200643333</v>
      </c>
      <c r="AN1211" s="43">
        <v>0</v>
      </c>
      <c r="AO1211" s="43">
        <v>0</v>
      </c>
      <c r="AP1211" s="43">
        <v>200643333</v>
      </c>
      <c r="AQ1211" s="43">
        <v>2300000</v>
      </c>
      <c r="AR1211" s="43">
        <v>33480000</v>
      </c>
      <c r="AS1211" s="43">
        <v>157363334</v>
      </c>
      <c r="AT1211" s="39">
        <f t="shared" si="515"/>
        <v>159663334</v>
      </c>
      <c r="AU1211" s="18">
        <f>AJ1211-AM1211</f>
        <v>3856667</v>
      </c>
      <c r="AV1211" s="34">
        <f>AM1211-AP1211</f>
        <v>0</v>
      </c>
      <c r="AW1211" s="18">
        <f>AP1211-AT1211</f>
        <v>40979999</v>
      </c>
      <c r="AX1211" s="123">
        <f>AP1211/AJ1211</f>
        <v>0.98114099266503663</v>
      </c>
    </row>
    <row r="1212" spans="1:50" x14ac:dyDescent="0.2">
      <c r="AA1212" s="28" t="s">
        <v>288</v>
      </c>
      <c r="AB1212" s="29" t="s">
        <v>710</v>
      </c>
      <c r="AC1212" s="17"/>
      <c r="AD1212" s="18"/>
      <c r="AE1212" s="18"/>
      <c r="AF1212" s="18"/>
      <c r="AG1212" s="18"/>
      <c r="AH1212" s="18"/>
      <c r="AI1212" s="18"/>
      <c r="AJ1212" s="18"/>
      <c r="AK1212" s="34"/>
      <c r="AL1212" s="34"/>
      <c r="AM1212" s="18"/>
      <c r="AN1212" s="34"/>
      <c r="AO1212" s="18"/>
      <c r="AP1212" s="18"/>
      <c r="AQ1212" s="18"/>
      <c r="AR1212" s="18"/>
      <c r="AS1212" s="18"/>
      <c r="AT1212" s="31"/>
      <c r="AU1212" s="18"/>
      <c r="AV1212" s="34"/>
      <c r="AW1212" s="34"/>
      <c r="AX1212" s="18"/>
    </row>
    <row r="1213" spans="1:50" ht="16.5" customHeight="1" x14ac:dyDescent="0.2">
      <c r="A1213" s="4" t="s">
        <v>55</v>
      </c>
      <c r="B1213" s="4" t="s">
        <v>56</v>
      </c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1" t="s">
        <v>711</v>
      </c>
      <c r="AB1213" s="17" t="s">
        <v>233</v>
      </c>
      <c r="AC1213" s="43" t="s">
        <v>58</v>
      </c>
      <c r="AD1213" s="44">
        <v>0</v>
      </c>
      <c r="AE1213" s="44">
        <v>0</v>
      </c>
      <c r="AF1213" s="44">
        <v>0</v>
      </c>
      <c r="AG1213" s="43">
        <v>3086332698</v>
      </c>
      <c r="AH1213" s="44">
        <v>0</v>
      </c>
      <c r="AI1213" s="136">
        <f>AE1213-AF1213+AG1213-AH1213</f>
        <v>3086332698</v>
      </c>
      <c r="AJ1213" s="43">
        <f>AD1213+AI1213</f>
        <v>3086332698</v>
      </c>
      <c r="AK1213" s="44">
        <v>0</v>
      </c>
      <c r="AL1213" s="43">
        <v>0</v>
      </c>
      <c r="AM1213" s="43">
        <v>2431868628</v>
      </c>
      <c r="AN1213" s="43">
        <v>0</v>
      </c>
      <c r="AO1213" s="44">
        <v>0</v>
      </c>
      <c r="AP1213" s="44">
        <v>0</v>
      </c>
      <c r="AQ1213" s="44">
        <v>0</v>
      </c>
      <c r="AR1213" s="44">
        <v>0</v>
      </c>
      <c r="AS1213" s="44">
        <v>0</v>
      </c>
      <c r="AT1213" s="40">
        <f t="shared" ref="AT1213:AT1214" si="516">AQ1213+AS1213</f>
        <v>0</v>
      </c>
      <c r="AU1213" s="18">
        <f>AJ1213-AM1213</f>
        <v>654464070</v>
      </c>
      <c r="AV1213" s="18">
        <f>AM1213-AP1213</f>
        <v>2431868628</v>
      </c>
      <c r="AW1213" s="34">
        <f>AP1213-AT1213</f>
        <v>0</v>
      </c>
      <c r="AX1213" s="123">
        <f>AP1213/AJ1213</f>
        <v>0</v>
      </c>
    </row>
    <row r="1214" spans="1:50" ht="16.5" customHeight="1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166" t="s">
        <v>1131</v>
      </c>
      <c r="AB1214" s="167" t="s">
        <v>1015</v>
      </c>
      <c r="AC1214" s="168"/>
      <c r="AD1214" s="44">
        <v>0</v>
      </c>
      <c r="AE1214" s="43">
        <v>2950125891</v>
      </c>
      <c r="AF1214" s="44">
        <v>0</v>
      </c>
      <c r="AG1214" s="44">
        <v>0</v>
      </c>
      <c r="AH1214" s="44">
        <v>0</v>
      </c>
      <c r="AI1214" s="136">
        <f>AE1214-AF1214+AG1214-AH1214</f>
        <v>2950125891</v>
      </c>
      <c r="AJ1214" s="43">
        <f>AD1214+AI1214</f>
        <v>2950125891</v>
      </c>
      <c r="AK1214" s="44">
        <v>0</v>
      </c>
      <c r="AL1214" s="43">
        <v>0</v>
      </c>
      <c r="AM1214" s="43">
        <v>2950125891</v>
      </c>
      <c r="AN1214" s="43">
        <v>0</v>
      </c>
      <c r="AO1214" s="43">
        <v>2423857706.98</v>
      </c>
      <c r="AP1214" s="43">
        <v>2423857706.98</v>
      </c>
      <c r="AQ1214" s="44">
        <v>0</v>
      </c>
      <c r="AR1214" s="44">
        <v>0</v>
      </c>
      <c r="AS1214" s="44">
        <v>0</v>
      </c>
      <c r="AT1214" s="40">
        <f t="shared" si="516"/>
        <v>0</v>
      </c>
      <c r="AU1214" s="18">
        <f>AJ1214-AM1214</f>
        <v>0</v>
      </c>
      <c r="AV1214" s="18">
        <f>AM1214-AP1214</f>
        <v>526268184.01999998</v>
      </c>
      <c r="AW1214" s="18">
        <f>AP1214-AT1214</f>
        <v>2423857706.98</v>
      </c>
      <c r="AX1214" s="123">
        <f>AP1214/AJ1214</f>
        <v>0.82161161812602801</v>
      </c>
    </row>
    <row r="1215" spans="1:50" x14ac:dyDescent="0.2">
      <c r="AA1215" s="169" t="s">
        <v>288</v>
      </c>
      <c r="AB1215" s="163" t="s">
        <v>712</v>
      </c>
      <c r="AC1215" s="17"/>
      <c r="AD1215" s="34"/>
      <c r="AE1215" s="34"/>
      <c r="AF1215" s="34"/>
      <c r="AG1215" s="18"/>
      <c r="AH1215" s="18"/>
      <c r="AI1215" s="18"/>
      <c r="AJ1215" s="18"/>
      <c r="AK1215" s="34"/>
      <c r="AL1215" s="34"/>
      <c r="AM1215" s="34"/>
      <c r="AN1215" s="34"/>
      <c r="AO1215" s="34"/>
      <c r="AP1215" s="34"/>
      <c r="AQ1215" s="18"/>
      <c r="AR1215" s="18"/>
      <c r="AS1215" s="34"/>
      <c r="AT1215" s="31"/>
      <c r="AU1215" s="18"/>
      <c r="AV1215" s="34"/>
      <c r="AW1215" s="34"/>
      <c r="AX1215" s="18"/>
    </row>
    <row r="1216" spans="1:50" x14ac:dyDescent="0.2">
      <c r="A1216" s="4" t="s">
        <v>55</v>
      </c>
      <c r="B1216" s="4" t="s">
        <v>56</v>
      </c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1" t="s">
        <v>713</v>
      </c>
      <c r="AB1216" s="17" t="s">
        <v>233</v>
      </c>
      <c r="AC1216" s="43" t="s">
        <v>58</v>
      </c>
      <c r="AD1216" s="44">
        <v>0</v>
      </c>
      <c r="AE1216" s="44">
        <v>0</v>
      </c>
      <c r="AF1216" s="44">
        <v>0</v>
      </c>
      <c r="AG1216" s="43">
        <v>501500000</v>
      </c>
      <c r="AH1216" s="43">
        <f>204500000</f>
        <v>204500000</v>
      </c>
      <c r="AI1216" s="136">
        <f>AE1216-AF1216+AG1216-AH1216</f>
        <v>297000000</v>
      </c>
      <c r="AJ1216" s="43">
        <f>AD1216+AI1216</f>
        <v>297000000</v>
      </c>
      <c r="AK1216" s="44">
        <v>0</v>
      </c>
      <c r="AL1216" s="44">
        <v>0</v>
      </c>
      <c r="AM1216" s="43">
        <v>276500000</v>
      </c>
      <c r="AN1216" s="44">
        <v>0</v>
      </c>
      <c r="AO1216" s="44">
        <v>0</v>
      </c>
      <c r="AP1216" s="43">
        <v>276500000</v>
      </c>
      <c r="AQ1216" s="43">
        <v>12533333</v>
      </c>
      <c r="AR1216" s="43">
        <v>22691667</v>
      </c>
      <c r="AS1216" s="43">
        <v>218208334</v>
      </c>
      <c r="AT1216" s="39">
        <f t="shared" ref="AT1216" si="517">AQ1216+AS1216</f>
        <v>230741667</v>
      </c>
      <c r="AU1216" s="18">
        <f>AJ1216-AM1216</f>
        <v>20500000</v>
      </c>
      <c r="AV1216" s="18">
        <f>AM1216-AP1216</f>
        <v>0</v>
      </c>
      <c r="AW1216" s="18">
        <f>AP1216-AT1216</f>
        <v>45758333</v>
      </c>
      <c r="AX1216" s="123">
        <f>AP1216/AJ1216</f>
        <v>0.93097643097643101</v>
      </c>
    </row>
    <row r="1217" spans="1:50" ht="16.5" customHeight="1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170" t="s">
        <v>288</v>
      </c>
      <c r="AB1217" s="165" t="s">
        <v>1132</v>
      </c>
      <c r="AC1217" s="168"/>
      <c r="AD1217" s="44"/>
      <c r="AE1217" s="44"/>
      <c r="AF1217" s="44"/>
      <c r="AG1217" s="43"/>
      <c r="AH1217" s="43"/>
      <c r="AI1217" s="136"/>
      <c r="AJ1217" s="43"/>
      <c r="AK1217" s="44"/>
      <c r="AL1217" s="115"/>
      <c r="AM1217" s="114"/>
      <c r="AN1217" s="44"/>
      <c r="AO1217" s="114"/>
      <c r="AP1217" s="114"/>
      <c r="AQ1217" s="43"/>
      <c r="AR1217" s="43"/>
      <c r="AS1217" s="43"/>
      <c r="AT1217" s="39"/>
      <c r="AU1217" s="18"/>
      <c r="AV1217" s="133"/>
      <c r="AW1217" s="18"/>
      <c r="AX1217" s="123"/>
    </row>
    <row r="1218" spans="1:50" ht="25.5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166" t="s">
        <v>1133</v>
      </c>
      <c r="AB1218" s="167" t="s">
        <v>1044</v>
      </c>
      <c r="AC1218" s="168"/>
      <c r="AD1218" s="44">
        <v>0</v>
      </c>
      <c r="AE1218" s="43">
        <v>128000000</v>
      </c>
      <c r="AF1218" s="44">
        <v>0</v>
      </c>
      <c r="AG1218" s="44">
        <v>0</v>
      </c>
      <c r="AH1218" s="43">
        <v>128000000</v>
      </c>
      <c r="AI1218" s="136">
        <f>AE1218-AF1218+AG1218-AH1218</f>
        <v>0</v>
      </c>
      <c r="AJ1218" s="43">
        <f>AD1218+AI1218</f>
        <v>0</v>
      </c>
      <c r="AK1218" s="44">
        <v>0</v>
      </c>
      <c r="AL1218" s="115">
        <v>0</v>
      </c>
      <c r="AM1218" s="114">
        <v>0</v>
      </c>
      <c r="AN1218" s="44">
        <v>0</v>
      </c>
      <c r="AO1218" s="115">
        <v>0</v>
      </c>
      <c r="AP1218" s="115">
        <v>0</v>
      </c>
      <c r="AQ1218" s="44">
        <v>0</v>
      </c>
      <c r="AR1218" s="44">
        <v>0</v>
      </c>
      <c r="AS1218" s="44">
        <v>0</v>
      </c>
      <c r="AT1218" s="40">
        <v>0</v>
      </c>
      <c r="AU1218" s="34">
        <f>AJ1218-AM1218</f>
        <v>0</v>
      </c>
      <c r="AV1218" s="133">
        <f>AM1218-AP1218</f>
        <v>0</v>
      </c>
      <c r="AW1218" s="34">
        <f>AP1218-AT1218</f>
        <v>0</v>
      </c>
      <c r="AX1218" s="123">
        <v>0</v>
      </c>
    </row>
    <row r="1219" spans="1:50" ht="25.5" x14ac:dyDescent="0.2">
      <c r="AA1219" s="169" t="s">
        <v>288</v>
      </c>
      <c r="AB1219" s="163" t="s">
        <v>714</v>
      </c>
      <c r="AC1219" s="17"/>
      <c r="AD1219" s="18"/>
      <c r="AE1219" s="18"/>
      <c r="AF1219" s="18"/>
      <c r="AG1219" s="18"/>
      <c r="AH1219" s="18"/>
      <c r="AI1219" s="18"/>
      <c r="AJ1219" s="18"/>
      <c r="AK1219" s="34"/>
      <c r="AL1219" s="34"/>
      <c r="AM1219" s="34"/>
      <c r="AN1219" s="34"/>
      <c r="AO1219" s="34"/>
      <c r="AP1219" s="34"/>
      <c r="AQ1219" s="34"/>
      <c r="AR1219" s="34"/>
      <c r="AS1219" s="34"/>
      <c r="AT1219" s="31"/>
      <c r="AU1219" s="18"/>
      <c r="AV1219" s="34"/>
      <c r="AW1219" s="34"/>
      <c r="AX1219" s="18"/>
    </row>
    <row r="1220" spans="1:50" x14ac:dyDescent="0.2">
      <c r="A1220" s="4" t="s">
        <v>55</v>
      </c>
      <c r="B1220" s="4" t="s">
        <v>56</v>
      </c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1" t="s">
        <v>715</v>
      </c>
      <c r="AB1220" s="17" t="s">
        <v>233</v>
      </c>
      <c r="AC1220" s="43" t="s">
        <v>58</v>
      </c>
      <c r="AD1220" s="43">
        <v>3086332698</v>
      </c>
      <c r="AE1220" s="43">
        <v>340269365.43000001</v>
      </c>
      <c r="AF1220" s="44">
        <v>0</v>
      </c>
      <c r="AG1220" s="44">
        <v>0</v>
      </c>
      <c r="AH1220" s="43">
        <v>3086332698</v>
      </c>
      <c r="AI1220" s="136">
        <f>AE1220-AF1220+AG1220-AH1220</f>
        <v>-2746063332.5700002</v>
      </c>
      <c r="AJ1220" s="43">
        <f>AD1220+AI1220</f>
        <v>340269365.42999983</v>
      </c>
      <c r="AK1220" s="44">
        <v>0</v>
      </c>
      <c r="AL1220" s="44">
        <v>0</v>
      </c>
      <c r="AM1220" s="44">
        <v>0</v>
      </c>
      <c r="AN1220" s="44">
        <v>0</v>
      </c>
      <c r="AO1220" s="44">
        <v>0</v>
      </c>
      <c r="AP1220" s="44">
        <v>0</v>
      </c>
      <c r="AQ1220" s="44">
        <v>0</v>
      </c>
      <c r="AR1220" s="44">
        <v>0</v>
      </c>
      <c r="AS1220" s="44">
        <v>0</v>
      </c>
      <c r="AT1220" s="40">
        <f t="shared" ref="AT1220" si="518">AQ1220+AS1220</f>
        <v>0</v>
      </c>
      <c r="AU1220" s="18">
        <f>AJ1220-AM1220</f>
        <v>340269365.42999983</v>
      </c>
      <c r="AV1220" s="133">
        <f>AM1220-AP1220</f>
        <v>0</v>
      </c>
      <c r="AW1220" s="34">
        <f>AP1220-AT1220</f>
        <v>0</v>
      </c>
      <c r="AX1220" s="123">
        <v>0</v>
      </c>
    </row>
    <row r="1221" spans="1:50" ht="25.5" x14ac:dyDescent="0.2">
      <c r="AA1221" s="28" t="s">
        <v>288</v>
      </c>
      <c r="AB1221" s="29" t="s">
        <v>716</v>
      </c>
      <c r="AC1221" s="17"/>
      <c r="AD1221" s="18"/>
      <c r="AE1221" s="34"/>
      <c r="AF1221" s="34"/>
      <c r="AG1221" s="18"/>
      <c r="AH1221" s="18"/>
      <c r="AI1221" s="18"/>
      <c r="AJ1221" s="18"/>
      <c r="AK1221" s="34"/>
      <c r="AL1221" s="34"/>
      <c r="AM1221" s="34"/>
      <c r="AN1221" s="34"/>
      <c r="AO1221" s="34"/>
      <c r="AP1221" s="34"/>
      <c r="AQ1221" s="34"/>
      <c r="AR1221" s="34"/>
      <c r="AS1221" s="34"/>
      <c r="AT1221" s="31"/>
      <c r="AU1221" s="18"/>
      <c r="AV1221" s="34"/>
      <c r="AW1221" s="18"/>
      <c r="AX1221" s="18"/>
    </row>
    <row r="1222" spans="1:50" x14ac:dyDescent="0.2">
      <c r="A1222" s="4" t="s">
        <v>55</v>
      </c>
      <c r="B1222" s="4" t="s">
        <v>56</v>
      </c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1" t="s">
        <v>717</v>
      </c>
      <c r="AB1222" s="17" t="s">
        <v>233</v>
      </c>
      <c r="AC1222" s="43" t="s">
        <v>58</v>
      </c>
      <c r="AD1222" s="44">
        <v>0</v>
      </c>
      <c r="AE1222" s="44">
        <v>0</v>
      </c>
      <c r="AF1222" s="44">
        <v>0</v>
      </c>
      <c r="AG1222" s="43">
        <v>221000000</v>
      </c>
      <c r="AH1222" s="44">
        <v>0</v>
      </c>
      <c r="AI1222" s="136">
        <f>AE1222-AF1222+AG1222-AH1222</f>
        <v>221000000</v>
      </c>
      <c r="AJ1222" s="43">
        <f>AD1222+AI1222</f>
        <v>221000000</v>
      </c>
      <c r="AK1222" s="44">
        <v>0</v>
      </c>
      <c r="AL1222" s="43">
        <v>0</v>
      </c>
      <c r="AM1222" s="43">
        <v>202727658</v>
      </c>
      <c r="AN1222" s="44">
        <v>0</v>
      </c>
      <c r="AO1222" s="43">
        <v>0</v>
      </c>
      <c r="AP1222" s="43">
        <v>202727658</v>
      </c>
      <c r="AQ1222" s="43">
        <v>10773248</v>
      </c>
      <c r="AR1222" s="43">
        <v>20400000</v>
      </c>
      <c r="AS1222" s="43">
        <v>130455867</v>
      </c>
      <c r="AT1222" s="39">
        <f t="shared" ref="AT1222" si="519">AQ1222+AS1222</f>
        <v>141229115</v>
      </c>
      <c r="AU1222" s="18">
        <f>AJ1222-AM1222</f>
        <v>18272342</v>
      </c>
      <c r="AV1222" s="18">
        <f>AM1222-AP1222</f>
        <v>0</v>
      </c>
      <c r="AW1222" s="18">
        <f>AP1222-AT1222</f>
        <v>61498543</v>
      </c>
      <c r="AX1222" s="123">
        <f>AP1222/AJ1222</f>
        <v>0.91731971945701363</v>
      </c>
    </row>
    <row r="1223" spans="1:50" ht="25.5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73" t="s">
        <v>288</v>
      </c>
      <c r="AB1223" s="74" t="s">
        <v>1360</v>
      </c>
      <c r="AC1223" s="43"/>
      <c r="AD1223" s="44"/>
      <c r="AE1223" s="44"/>
      <c r="AF1223" s="44"/>
      <c r="AG1223" s="43"/>
      <c r="AH1223" s="44"/>
      <c r="AI1223" s="136"/>
      <c r="AJ1223" s="43"/>
      <c r="AK1223" s="44"/>
      <c r="AL1223" s="43"/>
      <c r="AM1223" s="43"/>
      <c r="AN1223" s="44"/>
      <c r="AO1223" s="43"/>
      <c r="AP1223" s="43"/>
      <c r="AQ1223" s="43"/>
      <c r="AR1223" s="43"/>
      <c r="AS1223" s="43"/>
      <c r="AT1223" s="40"/>
      <c r="AU1223" s="18"/>
      <c r="AV1223" s="18"/>
      <c r="AW1223" s="18"/>
      <c r="AX1223" s="123"/>
    </row>
    <row r="1224" spans="1:50" ht="25.5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1" t="s">
        <v>1361</v>
      </c>
      <c r="AB1224" s="42" t="s">
        <v>1044</v>
      </c>
      <c r="AC1224" s="43"/>
      <c r="AD1224" s="44">
        <v>0</v>
      </c>
      <c r="AE1224" s="44">
        <v>0</v>
      </c>
      <c r="AF1224" s="44">
        <v>0</v>
      </c>
      <c r="AG1224" s="43">
        <v>128000000</v>
      </c>
      <c r="AH1224" s="44">
        <v>0</v>
      </c>
      <c r="AI1224" s="136">
        <f>AE1224-AF1224+AG1224-AH1224</f>
        <v>128000000</v>
      </c>
      <c r="AJ1224" s="43">
        <f>AD1224+AI1224</f>
        <v>128000000</v>
      </c>
      <c r="AK1224" s="44">
        <v>0</v>
      </c>
      <c r="AL1224" s="43">
        <v>-1215</v>
      </c>
      <c r="AM1224" s="43">
        <v>127998785</v>
      </c>
      <c r="AN1224" s="44">
        <v>0</v>
      </c>
      <c r="AO1224" s="44">
        <v>114225434</v>
      </c>
      <c r="AP1224" s="44">
        <v>114225434</v>
      </c>
      <c r="AQ1224" s="44">
        <v>0</v>
      </c>
      <c r="AR1224" s="44">
        <v>0</v>
      </c>
      <c r="AS1224" s="44">
        <v>0</v>
      </c>
      <c r="AT1224" s="40">
        <f t="shared" ref="AT1224" si="520">AQ1224+AS1224</f>
        <v>0</v>
      </c>
      <c r="AU1224" s="18">
        <f>AJ1224-AM1224</f>
        <v>1215</v>
      </c>
      <c r="AV1224" s="18">
        <f>AM1224-AP1224</f>
        <v>13773351</v>
      </c>
      <c r="AW1224" s="18">
        <f>AP1224-AT1224</f>
        <v>114225434</v>
      </c>
      <c r="AX1224" s="123">
        <f>AP1224/AJ1224</f>
        <v>0.89238620312500005</v>
      </c>
    </row>
    <row r="1225" spans="1:50" ht="38.25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73" t="s">
        <v>288</v>
      </c>
      <c r="AB1225" s="74" t="s">
        <v>1451</v>
      </c>
      <c r="AC1225" s="43"/>
      <c r="AD1225" s="44"/>
      <c r="AE1225" s="44"/>
      <c r="AF1225" s="44"/>
      <c r="AG1225" s="43"/>
      <c r="AH1225" s="44"/>
      <c r="AI1225" s="136"/>
      <c r="AJ1225" s="43"/>
      <c r="AK1225" s="44"/>
      <c r="AL1225" s="43"/>
      <c r="AM1225" s="43"/>
      <c r="AN1225" s="44"/>
      <c r="AO1225" s="44"/>
      <c r="AP1225" s="44"/>
      <c r="AQ1225" s="44"/>
      <c r="AR1225" s="44"/>
      <c r="AS1225" s="44"/>
      <c r="AT1225" s="40"/>
      <c r="AU1225" s="18"/>
      <c r="AV1225" s="18"/>
      <c r="AW1225" s="34"/>
      <c r="AX1225" s="123"/>
    </row>
    <row r="1226" spans="1:50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1" t="s">
        <v>1452</v>
      </c>
      <c r="AB1226" s="42" t="s">
        <v>1015</v>
      </c>
      <c r="AC1226" s="43"/>
      <c r="AD1226" s="44">
        <v>0</v>
      </c>
      <c r="AE1226" s="44">
        <v>0</v>
      </c>
      <c r="AF1226" s="44">
        <v>0</v>
      </c>
      <c r="AG1226" s="43">
        <v>95947885.090000004</v>
      </c>
      <c r="AH1226" s="44">
        <v>0</v>
      </c>
      <c r="AI1226" s="136">
        <f>AE1226-AF1226+AG1226-AH1226</f>
        <v>95947885.090000004</v>
      </c>
      <c r="AJ1226" s="43">
        <f>AD1226+AI1226</f>
        <v>95947885.090000004</v>
      </c>
      <c r="AK1226" s="44">
        <v>0</v>
      </c>
      <c r="AL1226" s="43">
        <v>0</v>
      </c>
      <c r="AM1226" s="43">
        <v>0</v>
      </c>
      <c r="AN1226" s="44">
        <v>0</v>
      </c>
      <c r="AO1226" s="44">
        <v>0</v>
      </c>
      <c r="AP1226" s="44">
        <v>0</v>
      </c>
      <c r="AQ1226" s="44">
        <v>0</v>
      </c>
      <c r="AR1226" s="44">
        <v>0</v>
      </c>
      <c r="AS1226" s="44">
        <v>0</v>
      </c>
      <c r="AT1226" s="40">
        <f t="shared" ref="AT1226" si="521">AQ1226+AS1226</f>
        <v>0</v>
      </c>
      <c r="AU1226" s="18">
        <f>AJ1226-AM1226</f>
        <v>95947885.090000004</v>
      </c>
      <c r="AV1226" s="18">
        <f>AM1226-AP1226</f>
        <v>0</v>
      </c>
      <c r="AW1226" s="18">
        <f>AP1226-AT1226</f>
        <v>0</v>
      </c>
      <c r="AX1226" s="123">
        <f>AP1226/AJ1226</f>
        <v>0</v>
      </c>
    </row>
    <row r="1227" spans="1:50" x14ac:dyDescent="0.2">
      <c r="AA1227" s="28" t="s">
        <v>288</v>
      </c>
      <c r="AB1227" s="29" t="s">
        <v>718</v>
      </c>
      <c r="AC1227" s="17"/>
      <c r="AD1227" s="18"/>
      <c r="AE1227" s="34"/>
      <c r="AF1227" s="34"/>
      <c r="AG1227" s="18"/>
      <c r="AH1227" s="18"/>
      <c r="AI1227" s="18"/>
      <c r="AJ1227" s="18"/>
      <c r="AK1227" s="34"/>
      <c r="AL1227" s="18"/>
      <c r="AM1227" s="18"/>
      <c r="AN1227" s="34"/>
      <c r="AO1227" s="18"/>
      <c r="AP1227" s="18"/>
      <c r="AQ1227" s="18"/>
      <c r="AR1227" s="18"/>
      <c r="AS1227" s="18"/>
      <c r="AT1227" s="31"/>
      <c r="AU1227" s="18"/>
      <c r="AV1227" s="34"/>
      <c r="AW1227" s="18"/>
      <c r="AX1227" s="18"/>
    </row>
    <row r="1228" spans="1:50" x14ac:dyDescent="0.2">
      <c r="A1228" s="4" t="s">
        <v>55</v>
      </c>
      <c r="B1228" s="4" t="s">
        <v>56</v>
      </c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1" t="s">
        <v>719</v>
      </c>
      <c r="AB1228" s="42" t="s">
        <v>233</v>
      </c>
      <c r="AC1228" s="43" t="s">
        <v>58</v>
      </c>
      <c r="AD1228" s="43">
        <v>546100000</v>
      </c>
      <c r="AE1228" s="44">
        <v>0</v>
      </c>
      <c r="AF1228" s="44">
        <v>0</v>
      </c>
      <c r="AG1228" s="44">
        <v>0</v>
      </c>
      <c r="AH1228" s="43">
        <v>24400000</v>
      </c>
      <c r="AI1228" s="136">
        <f>AE1228-AF1228+AG1228-AH1228</f>
        <v>-24400000</v>
      </c>
      <c r="AJ1228" s="43">
        <f>AD1228+AI1228</f>
        <v>521700000</v>
      </c>
      <c r="AK1228" s="44">
        <v>0</v>
      </c>
      <c r="AL1228" s="44">
        <v>0</v>
      </c>
      <c r="AM1228" s="43">
        <v>516300000</v>
      </c>
      <c r="AN1228" s="44">
        <v>0</v>
      </c>
      <c r="AO1228" s="43">
        <v>0</v>
      </c>
      <c r="AP1228" s="43">
        <v>516300000</v>
      </c>
      <c r="AQ1228" s="43">
        <v>27900000</v>
      </c>
      <c r="AR1228" s="43">
        <v>36000000</v>
      </c>
      <c r="AS1228" s="43">
        <v>406650000</v>
      </c>
      <c r="AT1228" s="39">
        <f t="shared" ref="AT1228:AT1229" si="522">AQ1228+AS1228</f>
        <v>434550000</v>
      </c>
      <c r="AU1228" s="18">
        <f>AJ1228-AM1228</f>
        <v>5400000</v>
      </c>
      <c r="AV1228" s="133">
        <f>AM1228-AP1228</f>
        <v>0</v>
      </c>
      <c r="AW1228" s="18">
        <f>AP1228-AT1228</f>
        <v>81750000</v>
      </c>
      <c r="AX1228" s="123">
        <f>AP1228/AJ1228</f>
        <v>0.98964922369177688</v>
      </c>
    </row>
    <row r="1229" spans="1:50" ht="25.5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1" t="s">
        <v>1120</v>
      </c>
      <c r="AB1229" s="42" t="s">
        <v>1121</v>
      </c>
      <c r="AC1229" s="43"/>
      <c r="AD1229" s="44">
        <v>0</v>
      </c>
      <c r="AE1229" s="43">
        <v>117051260.84999999</v>
      </c>
      <c r="AF1229" s="44">
        <v>0</v>
      </c>
      <c r="AG1229" s="44">
        <v>0</v>
      </c>
      <c r="AH1229" s="44">
        <v>0</v>
      </c>
      <c r="AI1229" s="136">
        <f>AE1229-AF1229+AG1229-AH1229</f>
        <v>117051260.84999999</v>
      </c>
      <c r="AJ1229" s="43">
        <f>AD1229+AI1229</f>
        <v>117051260.84999999</v>
      </c>
      <c r="AK1229" s="44">
        <v>0</v>
      </c>
      <c r="AL1229" s="44">
        <v>0</v>
      </c>
      <c r="AM1229" s="43">
        <v>43000000</v>
      </c>
      <c r="AN1229" s="44">
        <v>0</v>
      </c>
      <c r="AO1229" s="43">
        <v>0</v>
      </c>
      <c r="AP1229" s="43">
        <v>43000000</v>
      </c>
      <c r="AQ1229" s="43">
        <v>11000000</v>
      </c>
      <c r="AR1229" s="43">
        <v>5000000</v>
      </c>
      <c r="AS1229" s="43">
        <v>22333333</v>
      </c>
      <c r="AT1229" s="39">
        <f t="shared" si="522"/>
        <v>33333333</v>
      </c>
      <c r="AU1229" s="18">
        <f>AJ1229-AM1229</f>
        <v>74051260.849999994</v>
      </c>
      <c r="AV1229" s="133">
        <f>AM1229-AP1229</f>
        <v>0</v>
      </c>
      <c r="AW1229" s="18">
        <f>AP1229-AT1229</f>
        <v>9666667</v>
      </c>
      <c r="AX1229" s="123">
        <f>AP1229/AJ1229</f>
        <v>0.36736041703219297</v>
      </c>
    </row>
    <row r="1230" spans="1:50" ht="25.5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73" t="s">
        <v>288</v>
      </c>
      <c r="AB1230" s="74" t="s">
        <v>1453</v>
      </c>
      <c r="AC1230" s="43"/>
      <c r="AD1230" s="44"/>
      <c r="AE1230" s="43"/>
      <c r="AF1230" s="44"/>
      <c r="AG1230" s="44"/>
      <c r="AH1230" s="44"/>
      <c r="AI1230" s="136"/>
      <c r="AJ1230" s="43"/>
      <c r="AK1230" s="44"/>
      <c r="AL1230" s="44"/>
      <c r="AM1230" s="43"/>
      <c r="AN1230" s="44"/>
      <c r="AO1230" s="43"/>
      <c r="AP1230" s="43"/>
      <c r="AQ1230" s="44"/>
      <c r="AR1230" s="43"/>
      <c r="AS1230" s="43"/>
      <c r="AT1230" s="39"/>
      <c r="AU1230" s="18"/>
      <c r="AV1230" s="133"/>
      <c r="AW1230" s="18"/>
      <c r="AX1230" s="123"/>
    </row>
    <row r="1231" spans="1:50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1" t="s">
        <v>1454</v>
      </c>
      <c r="AB1231" s="42" t="s">
        <v>1015</v>
      </c>
      <c r="AC1231" s="43"/>
      <c r="AD1231" s="44">
        <v>0</v>
      </c>
      <c r="AE1231" s="44">
        <v>0</v>
      </c>
      <c r="AF1231" s="44">
        <v>0</v>
      </c>
      <c r="AG1231" s="43">
        <v>36384688</v>
      </c>
      <c r="AH1231" s="44">
        <v>0</v>
      </c>
      <c r="AI1231" s="136">
        <f>AE1231-AF1231+AG1231-AH1231</f>
        <v>36384688</v>
      </c>
      <c r="AJ1231" s="43">
        <f>AD1231+AI1231</f>
        <v>36384688</v>
      </c>
      <c r="AK1231" s="44">
        <v>0</v>
      </c>
      <c r="AL1231" s="44">
        <v>0</v>
      </c>
      <c r="AM1231" s="43">
        <v>0</v>
      </c>
      <c r="AN1231" s="44">
        <v>0</v>
      </c>
      <c r="AO1231" s="43">
        <v>0</v>
      </c>
      <c r="AP1231" s="44">
        <v>0</v>
      </c>
      <c r="AQ1231" s="44">
        <v>0</v>
      </c>
      <c r="AR1231" s="44">
        <v>0</v>
      </c>
      <c r="AS1231" s="44">
        <v>0</v>
      </c>
      <c r="AT1231" s="40">
        <f t="shared" ref="AT1231" si="523">AQ1231+AS1231</f>
        <v>0</v>
      </c>
      <c r="AU1231" s="18">
        <f>AJ1231-AM1231</f>
        <v>36384688</v>
      </c>
      <c r="AV1231" s="133">
        <f>AM1231-AP1231</f>
        <v>0</v>
      </c>
      <c r="AW1231" s="18">
        <f>AP1231-AT1231</f>
        <v>0</v>
      </c>
      <c r="AX1231" s="123">
        <f>AP1231/AJ1231</f>
        <v>0</v>
      </c>
    </row>
    <row r="1232" spans="1:50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73" t="s">
        <v>288</v>
      </c>
      <c r="AB1232" s="74" t="s">
        <v>1337</v>
      </c>
      <c r="AC1232" s="43"/>
      <c r="AD1232" s="44"/>
      <c r="AE1232" s="44"/>
      <c r="AF1232" s="44"/>
      <c r="AG1232" s="44"/>
      <c r="AH1232" s="44"/>
      <c r="AI1232" s="136"/>
      <c r="AJ1232" s="43"/>
      <c r="AK1232" s="44"/>
      <c r="AL1232" s="43"/>
      <c r="AM1232" s="43"/>
      <c r="AN1232" s="44"/>
      <c r="AO1232" s="44"/>
      <c r="AP1232" s="43"/>
      <c r="AQ1232" s="44"/>
      <c r="AR1232" s="43"/>
      <c r="AS1232" s="43"/>
      <c r="AT1232" s="39"/>
      <c r="AU1232" s="18"/>
      <c r="AV1232" s="133"/>
      <c r="AW1232" s="18"/>
      <c r="AX1232" s="123"/>
    </row>
    <row r="1233" spans="1:50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1" t="s">
        <v>1338</v>
      </c>
      <c r="AB1233" s="42" t="s">
        <v>233</v>
      </c>
      <c r="AC1233" s="43"/>
      <c r="AD1233" s="44">
        <v>0</v>
      </c>
      <c r="AE1233" s="44">
        <v>0</v>
      </c>
      <c r="AF1233" s="44">
        <v>0</v>
      </c>
      <c r="AG1233" s="43">
        <v>800000000</v>
      </c>
      <c r="AH1233" s="44">
        <v>0</v>
      </c>
      <c r="AI1233" s="136">
        <f>AE1233-AF1233+AG1233-AH1233</f>
        <v>800000000</v>
      </c>
      <c r="AJ1233" s="43">
        <f>AD1233+AI1233</f>
        <v>800000000</v>
      </c>
      <c r="AK1233" s="44">
        <v>0</v>
      </c>
      <c r="AL1233" s="43">
        <v>-26362439.149999999</v>
      </c>
      <c r="AM1233" s="43">
        <v>745788096</v>
      </c>
      <c r="AN1233" s="44">
        <v>0</v>
      </c>
      <c r="AO1233" s="44">
        <v>745788096</v>
      </c>
      <c r="AP1233" s="43">
        <v>745788096</v>
      </c>
      <c r="AQ1233" s="44">
        <v>0</v>
      </c>
      <c r="AR1233" s="44">
        <v>0</v>
      </c>
      <c r="AS1233" s="44">
        <v>0</v>
      </c>
      <c r="AT1233" s="40">
        <f t="shared" ref="AT1233" si="524">AQ1233+AS1233</f>
        <v>0</v>
      </c>
      <c r="AU1233" s="18">
        <f>AJ1233-AM1233</f>
        <v>54211904</v>
      </c>
      <c r="AV1233" s="18">
        <f>AM1233-AP1233</f>
        <v>0</v>
      </c>
      <c r="AW1233" s="18">
        <f>AP1233-AT1233</f>
        <v>745788096</v>
      </c>
      <c r="AX1233" s="123">
        <f>AP1233/AJ1233</f>
        <v>0.93223511999999997</v>
      </c>
    </row>
    <row r="1234" spans="1:50" x14ac:dyDescent="0.2">
      <c r="AA1234" s="16"/>
      <c r="AB1234" s="17"/>
      <c r="AC1234" s="17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34"/>
      <c r="AQ1234" s="34"/>
      <c r="AR1234" s="34"/>
      <c r="AS1234" s="34"/>
      <c r="AT1234" s="31"/>
      <c r="AU1234" s="18"/>
      <c r="AV1234" s="18"/>
      <c r="AW1234" s="18"/>
      <c r="AX1234" s="18"/>
    </row>
    <row r="1235" spans="1:50" x14ac:dyDescent="0.2">
      <c r="AA1235" s="16"/>
      <c r="AB1235" s="29" t="s">
        <v>720</v>
      </c>
      <c r="AC1235" s="17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30"/>
      <c r="AU1235" s="18"/>
      <c r="AV1235" s="18"/>
      <c r="AW1235" s="18"/>
      <c r="AX1235" s="18"/>
    </row>
    <row r="1236" spans="1:50" x14ac:dyDescent="0.2">
      <c r="AA1236" s="16"/>
      <c r="AB1236" s="29" t="s">
        <v>676</v>
      </c>
      <c r="AC1236" s="17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30"/>
      <c r="AU1236" s="18"/>
      <c r="AV1236" s="18"/>
      <c r="AW1236" s="18"/>
      <c r="AX1236" s="18"/>
    </row>
    <row r="1237" spans="1:50" x14ac:dyDescent="0.2">
      <c r="AA1237" s="16"/>
      <c r="AB1237" s="29" t="s">
        <v>286</v>
      </c>
      <c r="AC1237" s="17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30"/>
      <c r="AU1237" s="18"/>
      <c r="AV1237" s="18"/>
      <c r="AW1237" s="18"/>
      <c r="AX1237" s="18"/>
    </row>
    <row r="1238" spans="1:50" x14ac:dyDescent="0.2">
      <c r="AA1238" s="16"/>
      <c r="AB1238" s="29" t="s">
        <v>179</v>
      </c>
      <c r="AC1238" s="17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30"/>
      <c r="AU1238" s="18"/>
      <c r="AV1238" s="18"/>
      <c r="AW1238" s="18"/>
      <c r="AX1238" s="18"/>
    </row>
    <row r="1239" spans="1:50" x14ac:dyDescent="0.2">
      <c r="AA1239" s="16"/>
      <c r="AB1239" s="29" t="s">
        <v>189</v>
      </c>
      <c r="AC1239" s="17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30"/>
      <c r="AU1239" s="18"/>
      <c r="AV1239" s="18"/>
      <c r="AW1239" s="18"/>
      <c r="AX1239" s="18"/>
    </row>
    <row r="1240" spans="1:50" x14ac:dyDescent="0.2">
      <c r="AA1240" s="16"/>
      <c r="AB1240" s="29" t="s">
        <v>199</v>
      </c>
      <c r="AC1240" s="17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30"/>
      <c r="AU1240" s="18"/>
      <c r="AV1240" s="18"/>
      <c r="AW1240" s="18"/>
      <c r="AX1240" s="18"/>
    </row>
    <row r="1241" spans="1:50" x14ac:dyDescent="0.2">
      <c r="AA1241" s="28" t="s">
        <v>288</v>
      </c>
      <c r="AB1241" s="29" t="s">
        <v>718</v>
      </c>
      <c r="AC1241" s="17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30"/>
      <c r="AU1241" s="18"/>
      <c r="AV1241" s="18"/>
      <c r="AW1241" s="18"/>
      <c r="AX1241" s="18"/>
    </row>
    <row r="1242" spans="1:50" x14ac:dyDescent="0.2">
      <c r="A1242" s="4" t="s">
        <v>55</v>
      </c>
      <c r="B1242" s="4" t="s">
        <v>56</v>
      </c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1" t="s">
        <v>721</v>
      </c>
      <c r="AB1242" s="42" t="s">
        <v>722</v>
      </c>
      <c r="AC1242" s="43" t="s">
        <v>723</v>
      </c>
      <c r="AD1242" s="43">
        <v>7643630</v>
      </c>
      <c r="AE1242" s="44">
        <v>0</v>
      </c>
      <c r="AF1242" s="44">
        <v>0</v>
      </c>
      <c r="AG1242" s="44">
        <v>0</v>
      </c>
      <c r="AH1242" s="44">
        <v>0</v>
      </c>
      <c r="AI1242" s="44">
        <v>0</v>
      </c>
      <c r="AJ1242" s="43">
        <v>7643630</v>
      </c>
      <c r="AK1242" s="44">
        <v>0</v>
      </c>
      <c r="AL1242" s="44">
        <v>0</v>
      </c>
      <c r="AM1242" s="44">
        <v>0</v>
      </c>
      <c r="AN1242" s="44">
        <v>0</v>
      </c>
      <c r="AO1242" s="44">
        <v>0</v>
      </c>
      <c r="AP1242" s="44">
        <v>0</v>
      </c>
      <c r="AQ1242" s="44">
        <v>0</v>
      </c>
      <c r="AR1242" s="44">
        <v>0</v>
      </c>
      <c r="AS1242" s="44">
        <v>0</v>
      </c>
      <c r="AT1242" s="40">
        <f t="shared" ref="AT1242:AT1243" si="525">AQ1242+AS1242</f>
        <v>0</v>
      </c>
      <c r="AU1242" s="18">
        <f>AJ1242-AM1242</f>
        <v>7643630</v>
      </c>
      <c r="AV1242" s="133">
        <f>AM1242-AP1242</f>
        <v>0</v>
      </c>
      <c r="AW1242" s="34">
        <f>AP1242-AT1242</f>
        <v>0</v>
      </c>
      <c r="AX1242" s="123">
        <f>AP1242/AJ1242</f>
        <v>0</v>
      </c>
    </row>
    <row r="1243" spans="1:50" x14ac:dyDescent="0.2">
      <c r="A1243" s="4" t="s">
        <v>55</v>
      </c>
      <c r="B1243" s="4" t="s">
        <v>56</v>
      </c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1" t="s">
        <v>724</v>
      </c>
      <c r="AB1243" s="42" t="s">
        <v>725</v>
      </c>
      <c r="AC1243" s="43" t="s">
        <v>428</v>
      </c>
      <c r="AD1243" s="43">
        <v>56100000</v>
      </c>
      <c r="AE1243" s="44">
        <v>0</v>
      </c>
      <c r="AF1243" s="44">
        <v>0</v>
      </c>
      <c r="AG1243" s="44">
        <v>0</v>
      </c>
      <c r="AH1243" s="44">
        <v>0</v>
      </c>
      <c r="AI1243" s="44">
        <v>0</v>
      </c>
      <c r="AJ1243" s="43">
        <v>56100000</v>
      </c>
      <c r="AK1243" s="44">
        <v>0</v>
      </c>
      <c r="AL1243" s="44">
        <v>0</v>
      </c>
      <c r="AM1243" s="44">
        <v>0</v>
      </c>
      <c r="AN1243" s="44">
        <v>0</v>
      </c>
      <c r="AO1243" s="44">
        <v>0</v>
      </c>
      <c r="AP1243" s="44">
        <v>0</v>
      </c>
      <c r="AQ1243" s="44">
        <v>0</v>
      </c>
      <c r="AR1243" s="44">
        <v>0</v>
      </c>
      <c r="AS1243" s="44">
        <v>0</v>
      </c>
      <c r="AT1243" s="40">
        <f t="shared" si="525"/>
        <v>0</v>
      </c>
      <c r="AU1243" s="18">
        <f>AJ1243-AM1243</f>
        <v>56100000</v>
      </c>
      <c r="AV1243" s="133">
        <f>AM1243-AP1243</f>
        <v>0</v>
      </c>
      <c r="AW1243" s="34">
        <f>AP1243-AT1243</f>
        <v>0</v>
      </c>
      <c r="AX1243" s="123">
        <f>AP1243/AJ1243</f>
        <v>0</v>
      </c>
    </row>
    <row r="1244" spans="1:50" ht="18.75" customHeight="1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170" t="s">
        <v>1016</v>
      </c>
      <c r="AB1244" s="165" t="s">
        <v>997</v>
      </c>
      <c r="AC1244" s="168"/>
      <c r="AD1244" s="43"/>
      <c r="AE1244" s="44"/>
      <c r="AF1244" s="44"/>
      <c r="AG1244" s="44"/>
      <c r="AH1244" s="44"/>
      <c r="AI1244" s="44"/>
      <c r="AJ1244" s="43"/>
      <c r="AK1244" s="44"/>
      <c r="AL1244" s="44"/>
      <c r="AM1244" s="44"/>
      <c r="AN1244" s="44"/>
      <c r="AO1244" s="44"/>
      <c r="AP1244" s="44"/>
      <c r="AQ1244" s="44"/>
      <c r="AR1244" s="44"/>
      <c r="AS1244" s="44"/>
      <c r="AT1244" s="40"/>
      <c r="AU1244" s="18"/>
      <c r="AV1244" s="133"/>
      <c r="AW1244" s="34"/>
      <c r="AX1244" s="123"/>
    </row>
    <row r="1245" spans="1:50" ht="15.75" customHeight="1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170" t="s">
        <v>1017</v>
      </c>
      <c r="AB1245" s="165" t="s">
        <v>999</v>
      </c>
      <c r="AC1245" s="168"/>
      <c r="AD1245" s="43"/>
      <c r="AE1245" s="44"/>
      <c r="AF1245" s="44"/>
      <c r="AG1245" s="44"/>
      <c r="AH1245" s="44"/>
      <c r="AI1245" s="44"/>
      <c r="AJ1245" s="43"/>
      <c r="AK1245" s="44"/>
      <c r="AL1245" s="44"/>
      <c r="AM1245" s="44"/>
      <c r="AN1245" s="44"/>
      <c r="AO1245" s="44"/>
      <c r="AP1245" s="44"/>
      <c r="AQ1245" s="44"/>
      <c r="AR1245" s="44"/>
      <c r="AS1245" s="44"/>
      <c r="AT1245" s="40"/>
      <c r="AU1245" s="18"/>
      <c r="AV1245" s="133"/>
      <c r="AW1245" s="34"/>
      <c r="AX1245" s="123"/>
    </row>
    <row r="1246" spans="1:50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170" t="s">
        <v>1018</v>
      </c>
      <c r="AB1246" s="165" t="s">
        <v>1001</v>
      </c>
      <c r="AC1246" s="168"/>
      <c r="AD1246" s="43"/>
      <c r="AE1246" s="44"/>
      <c r="AF1246" s="44"/>
      <c r="AG1246" s="44"/>
      <c r="AH1246" s="44"/>
      <c r="AI1246" s="44"/>
      <c r="AJ1246" s="43"/>
      <c r="AK1246" s="44"/>
      <c r="AL1246" s="44"/>
      <c r="AM1246" s="44"/>
      <c r="AN1246" s="44"/>
      <c r="AO1246" s="44"/>
      <c r="AP1246" s="44"/>
      <c r="AQ1246" s="44"/>
      <c r="AR1246" s="44"/>
      <c r="AS1246" s="44"/>
      <c r="AT1246" s="40"/>
      <c r="AU1246" s="18"/>
      <c r="AV1246" s="133"/>
      <c r="AW1246" s="34"/>
      <c r="AX1246" s="123"/>
    </row>
    <row r="1247" spans="1:50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170" t="s">
        <v>1021</v>
      </c>
      <c r="AB1247" s="165" t="s">
        <v>1003</v>
      </c>
      <c r="AC1247" s="168"/>
      <c r="AD1247" s="43"/>
      <c r="AE1247" s="44"/>
      <c r="AF1247" s="44"/>
      <c r="AG1247" s="44"/>
      <c r="AH1247" s="44"/>
      <c r="AI1247" s="44"/>
      <c r="AJ1247" s="43"/>
      <c r="AK1247" s="44"/>
      <c r="AL1247" s="44"/>
      <c r="AM1247" s="44"/>
      <c r="AN1247" s="44"/>
      <c r="AO1247" s="44"/>
      <c r="AP1247" s="44"/>
      <c r="AQ1247" s="44"/>
      <c r="AR1247" s="44"/>
      <c r="AS1247" s="44"/>
      <c r="AT1247" s="40"/>
      <c r="AU1247" s="18"/>
      <c r="AV1247" s="133"/>
      <c r="AW1247" s="34"/>
      <c r="AX1247" s="123"/>
    </row>
    <row r="1248" spans="1:50" ht="25.5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166" t="s">
        <v>1056</v>
      </c>
      <c r="AB1248" s="167" t="s">
        <v>1057</v>
      </c>
      <c r="AC1248" s="168"/>
      <c r="AD1248" s="44">
        <v>0</v>
      </c>
      <c r="AE1248" s="43">
        <v>170856060</v>
      </c>
      <c r="AF1248" s="44">
        <v>0</v>
      </c>
      <c r="AG1248" s="44">
        <v>0</v>
      </c>
      <c r="AH1248" s="44">
        <v>0</v>
      </c>
      <c r="AI1248" s="43">
        <f>AE1248-AF1248+AG1248-AH1248</f>
        <v>170856060</v>
      </c>
      <c r="AJ1248" s="43">
        <f>AD1248+AI1248</f>
        <v>170856060</v>
      </c>
      <c r="AK1248" s="44">
        <v>0</v>
      </c>
      <c r="AL1248" s="44">
        <v>0</v>
      </c>
      <c r="AM1248" s="44">
        <v>0</v>
      </c>
      <c r="AN1248" s="44">
        <v>0</v>
      </c>
      <c r="AO1248" s="44">
        <v>0</v>
      </c>
      <c r="AP1248" s="44">
        <v>0</v>
      </c>
      <c r="AQ1248" s="44">
        <v>0</v>
      </c>
      <c r="AR1248" s="44">
        <v>0</v>
      </c>
      <c r="AS1248" s="44">
        <v>0</v>
      </c>
      <c r="AT1248" s="40">
        <f t="shared" ref="AT1248" si="526">AQ1248+AS1248</f>
        <v>0</v>
      </c>
      <c r="AU1248" s="18">
        <f>AJ1248-AM1248</f>
        <v>170856060</v>
      </c>
      <c r="AV1248" s="133">
        <f>AM1248-AP1248</f>
        <v>0</v>
      </c>
      <c r="AW1248" s="34">
        <f>AP1248-AT1248</f>
        <v>0</v>
      </c>
      <c r="AX1248" s="123">
        <f>AP1248/AJ1248</f>
        <v>0</v>
      </c>
    </row>
    <row r="1249" spans="1:50" x14ac:dyDescent="0.2">
      <c r="AA1249" s="162"/>
      <c r="AB1249" s="223"/>
      <c r="AC1249" s="17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34"/>
      <c r="AR1249" s="34"/>
      <c r="AS1249" s="34"/>
      <c r="AT1249" s="31"/>
      <c r="AU1249" s="18"/>
      <c r="AV1249" s="18"/>
      <c r="AW1249" s="18"/>
      <c r="AX1249" s="18"/>
    </row>
    <row r="1250" spans="1:50" s="343" customFormat="1" ht="18.75" customHeight="1" x14ac:dyDescent="0.2">
      <c r="A1250" s="50"/>
      <c r="B1250" s="77"/>
      <c r="C1250" s="77"/>
      <c r="D1250" s="77"/>
      <c r="E1250" s="77"/>
      <c r="F1250" s="77"/>
      <c r="G1250" s="77"/>
      <c r="H1250" s="77"/>
      <c r="I1250" s="77"/>
      <c r="J1250" s="77"/>
      <c r="K1250" s="77"/>
      <c r="L1250" s="77"/>
      <c r="M1250" s="77"/>
      <c r="N1250" s="77"/>
      <c r="O1250" s="77"/>
      <c r="P1250" s="77"/>
      <c r="Q1250" s="77"/>
      <c r="R1250" s="77"/>
      <c r="S1250" s="77"/>
      <c r="T1250" s="77"/>
      <c r="U1250" s="77"/>
      <c r="V1250" s="77"/>
      <c r="W1250" s="77"/>
      <c r="X1250" s="77"/>
      <c r="Y1250" s="77"/>
      <c r="Z1250" s="77"/>
      <c r="AA1250" s="46"/>
      <c r="AB1250" s="47" t="s">
        <v>726</v>
      </c>
      <c r="AC1250" s="47"/>
      <c r="AD1250" s="48">
        <f t="shared" ref="AD1250:AW1250" si="527">SUM(AD1197:AD1249)</f>
        <v>6876941034</v>
      </c>
      <c r="AE1250" s="48">
        <f t="shared" si="527"/>
        <v>3737802577.2799997</v>
      </c>
      <c r="AF1250" s="49">
        <f t="shared" si="527"/>
        <v>0</v>
      </c>
      <c r="AG1250" s="48">
        <f t="shared" si="527"/>
        <v>5308665271.0900002</v>
      </c>
      <c r="AH1250" s="48">
        <f t="shared" si="527"/>
        <v>4298065271.0900002</v>
      </c>
      <c r="AI1250" s="48">
        <f t="shared" si="527"/>
        <v>4748402577.2799997</v>
      </c>
      <c r="AJ1250" s="48">
        <f t="shared" si="527"/>
        <v>11625343611.280001</v>
      </c>
      <c r="AK1250" s="49">
        <f t="shared" si="527"/>
        <v>0</v>
      </c>
      <c r="AL1250" s="48">
        <f t="shared" si="527"/>
        <v>-26363654.149999999</v>
      </c>
      <c r="AM1250" s="48">
        <f t="shared" si="527"/>
        <v>10052243299.91</v>
      </c>
      <c r="AN1250" s="49">
        <f t="shared" si="527"/>
        <v>0</v>
      </c>
      <c r="AO1250" s="48">
        <f t="shared" si="527"/>
        <v>3283871236.98</v>
      </c>
      <c r="AP1250" s="48">
        <f t="shared" si="527"/>
        <v>6977665709.9799995</v>
      </c>
      <c r="AQ1250" s="48">
        <f t="shared" si="527"/>
        <v>108271581</v>
      </c>
      <c r="AR1250" s="48">
        <f t="shared" si="527"/>
        <v>463312736</v>
      </c>
      <c r="AS1250" s="48">
        <f t="shared" si="527"/>
        <v>2508509180</v>
      </c>
      <c r="AT1250" s="48">
        <f t="shared" si="527"/>
        <v>2616780761</v>
      </c>
      <c r="AU1250" s="48">
        <f t="shared" si="527"/>
        <v>1573100311.3699996</v>
      </c>
      <c r="AV1250" s="49">
        <f t="shared" si="527"/>
        <v>3074577589.9299998</v>
      </c>
      <c r="AW1250" s="48">
        <f t="shared" si="527"/>
        <v>4360884948.9799995</v>
      </c>
      <c r="AX1250" s="24">
        <f>AP1250/AJ1250</f>
        <v>0.60021156735613501</v>
      </c>
    </row>
    <row r="1251" spans="1:50" ht="18.75" customHeight="1" x14ac:dyDescent="0.2">
      <c r="AA1251" s="16"/>
      <c r="AB1251" s="17"/>
      <c r="AC1251" s="17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</row>
    <row r="1252" spans="1:50" ht="18.75" customHeight="1" x14ac:dyDescent="0.2">
      <c r="A1252" s="25"/>
      <c r="B1252" s="71"/>
      <c r="C1252" s="71"/>
      <c r="D1252" s="71"/>
      <c r="E1252" s="71"/>
      <c r="F1252" s="71"/>
      <c r="G1252" s="71"/>
      <c r="H1252" s="71"/>
      <c r="I1252" s="71"/>
      <c r="J1252" s="71"/>
      <c r="K1252" s="71"/>
      <c r="L1252" s="71"/>
      <c r="M1252" s="71"/>
      <c r="N1252" s="71"/>
      <c r="O1252" s="71"/>
      <c r="P1252" s="71"/>
      <c r="Q1252" s="71"/>
      <c r="R1252" s="71"/>
      <c r="S1252" s="71"/>
      <c r="T1252" s="71"/>
      <c r="U1252" s="71"/>
      <c r="V1252" s="71"/>
      <c r="W1252" s="71"/>
      <c r="X1252" s="71"/>
      <c r="Y1252" s="71"/>
      <c r="Z1252" s="71"/>
      <c r="AA1252" s="66"/>
      <c r="AB1252" s="21" t="s">
        <v>727</v>
      </c>
      <c r="AC1252" s="67"/>
      <c r="AD1252" s="63"/>
      <c r="AE1252" s="63"/>
      <c r="AF1252" s="63"/>
      <c r="AG1252" s="63"/>
      <c r="AH1252" s="63"/>
      <c r="AI1252" s="63"/>
      <c r="AJ1252" s="63"/>
      <c r="AK1252" s="63"/>
      <c r="AL1252" s="63"/>
      <c r="AM1252" s="63"/>
      <c r="AN1252" s="63"/>
      <c r="AO1252" s="63"/>
      <c r="AP1252" s="63"/>
      <c r="AQ1252" s="63"/>
      <c r="AR1252" s="63"/>
      <c r="AS1252" s="63"/>
      <c r="AT1252" s="63"/>
      <c r="AU1252" s="63"/>
      <c r="AV1252" s="63"/>
      <c r="AW1252" s="63"/>
      <c r="AX1252" s="63"/>
    </row>
    <row r="1253" spans="1:50" ht="18.75" customHeight="1" x14ac:dyDescent="0.2">
      <c r="AA1253" s="16"/>
      <c r="AB1253" s="29" t="s">
        <v>285</v>
      </c>
      <c r="AC1253" s="17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</row>
    <row r="1254" spans="1:50" ht="18.75" customHeight="1" x14ac:dyDescent="0.2">
      <c r="AA1254" s="16"/>
      <c r="AB1254" s="29" t="s">
        <v>202</v>
      </c>
      <c r="AC1254" s="17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</row>
    <row r="1255" spans="1:50" ht="18.75" customHeight="1" x14ac:dyDescent="0.2">
      <c r="AA1255" s="16"/>
      <c r="AB1255" s="29" t="s">
        <v>203</v>
      </c>
      <c r="AC1255" s="17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</row>
    <row r="1256" spans="1:50" x14ac:dyDescent="0.2">
      <c r="AA1256" s="16"/>
      <c r="AB1256" s="29" t="s">
        <v>204</v>
      </c>
      <c r="AC1256" s="17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</row>
    <row r="1257" spans="1:50" ht="25.5" x14ac:dyDescent="0.2">
      <c r="AA1257" s="16"/>
      <c r="AB1257" s="29" t="s">
        <v>205</v>
      </c>
      <c r="AC1257" s="17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</row>
    <row r="1258" spans="1:50" ht="25.5" x14ac:dyDescent="0.2">
      <c r="AA1258" s="28" t="s">
        <v>288</v>
      </c>
      <c r="AB1258" s="29" t="s">
        <v>728</v>
      </c>
      <c r="AC1258" s="17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30"/>
      <c r="AU1258" s="18"/>
      <c r="AV1258" s="18"/>
      <c r="AW1258" s="18"/>
      <c r="AX1258" s="18"/>
    </row>
    <row r="1259" spans="1:50" x14ac:dyDescent="0.2">
      <c r="A1259" s="4" t="s">
        <v>55</v>
      </c>
      <c r="B1259" s="4" t="s">
        <v>56</v>
      </c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1" t="s">
        <v>729</v>
      </c>
      <c r="AB1259" s="42" t="s">
        <v>233</v>
      </c>
      <c r="AC1259" s="43" t="s">
        <v>58</v>
      </c>
      <c r="AD1259" s="43">
        <v>1500000000</v>
      </c>
      <c r="AE1259" s="43">
        <v>1500000000</v>
      </c>
      <c r="AF1259" s="44">
        <v>0</v>
      </c>
      <c r="AG1259" s="44">
        <v>0</v>
      </c>
      <c r="AH1259" s="44">
        <v>0</v>
      </c>
      <c r="AI1259" s="44">
        <f t="shared" ref="AI1259:AI1270" si="528">AE1259-AF1259+AG1259-AH1259</f>
        <v>1500000000</v>
      </c>
      <c r="AJ1259" s="43">
        <f t="shared" ref="AJ1259:AJ1270" si="529">AD1259+AI1259</f>
        <v>3000000000</v>
      </c>
      <c r="AK1259" s="44">
        <v>0</v>
      </c>
      <c r="AL1259" s="114">
        <v>125000000</v>
      </c>
      <c r="AM1259" s="114">
        <v>1375000000</v>
      </c>
      <c r="AN1259" s="44">
        <v>0</v>
      </c>
      <c r="AO1259" s="114">
        <v>125000000</v>
      </c>
      <c r="AP1259" s="114">
        <v>1375000000</v>
      </c>
      <c r="AQ1259" s="44">
        <v>0</v>
      </c>
      <c r="AR1259" s="114">
        <v>125000000</v>
      </c>
      <c r="AS1259" s="114">
        <v>1375000000</v>
      </c>
      <c r="AT1259" s="111">
        <f t="shared" ref="AT1259:AT1270" si="530">AQ1259+AS1259</f>
        <v>1375000000</v>
      </c>
      <c r="AU1259" s="18">
        <f t="shared" ref="AU1259:AU1270" si="531">AJ1259-AM1259</f>
        <v>1625000000</v>
      </c>
      <c r="AV1259" s="133">
        <f t="shared" ref="AV1259:AV1270" si="532">AM1259-AP1259</f>
        <v>0</v>
      </c>
      <c r="AW1259" s="34">
        <f t="shared" ref="AW1259:AW1270" si="533">AP1259-AT1259</f>
        <v>0</v>
      </c>
      <c r="AX1259" s="123">
        <f t="shared" ref="AX1259:AX1270" si="534">AP1259/AJ1259</f>
        <v>0.45833333333333331</v>
      </c>
    </row>
    <row r="1260" spans="1:50" x14ac:dyDescent="0.2">
      <c r="A1260" s="4" t="s">
        <v>55</v>
      </c>
      <c r="B1260" s="4" t="s">
        <v>56</v>
      </c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1" t="s">
        <v>730</v>
      </c>
      <c r="AB1260" s="42" t="s">
        <v>731</v>
      </c>
      <c r="AC1260" s="43" t="s">
        <v>732</v>
      </c>
      <c r="AD1260" s="43">
        <v>1531432613</v>
      </c>
      <c r="AE1260" s="43">
        <v>248327901</v>
      </c>
      <c r="AF1260" s="44">
        <v>0</v>
      </c>
      <c r="AG1260" s="44">
        <v>0</v>
      </c>
      <c r="AH1260" s="44">
        <v>0</v>
      </c>
      <c r="AI1260" s="43">
        <f t="shared" si="528"/>
        <v>248327901</v>
      </c>
      <c r="AJ1260" s="43">
        <f t="shared" si="529"/>
        <v>1779760514</v>
      </c>
      <c r="AK1260" s="44">
        <v>0</v>
      </c>
      <c r="AL1260" s="114">
        <v>127619384</v>
      </c>
      <c r="AM1260" s="114">
        <v>1652141125</v>
      </c>
      <c r="AN1260" s="44">
        <v>0</v>
      </c>
      <c r="AO1260" s="114">
        <v>127619384</v>
      </c>
      <c r="AP1260" s="114">
        <v>1652141125</v>
      </c>
      <c r="AQ1260" s="44">
        <v>0</v>
      </c>
      <c r="AR1260" s="114">
        <v>127619384</v>
      </c>
      <c r="AS1260" s="114">
        <v>1652141125</v>
      </c>
      <c r="AT1260" s="111">
        <f t="shared" si="530"/>
        <v>1652141125</v>
      </c>
      <c r="AU1260" s="18">
        <f t="shared" si="531"/>
        <v>127619389</v>
      </c>
      <c r="AV1260" s="133">
        <f t="shared" si="532"/>
        <v>0</v>
      </c>
      <c r="AW1260" s="34">
        <f t="shared" si="533"/>
        <v>0</v>
      </c>
      <c r="AX1260" s="123">
        <f t="shared" si="534"/>
        <v>0.92829406653529112</v>
      </c>
    </row>
    <row r="1261" spans="1:50" x14ac:dyDescent="0.2">
      <c r="A1261" s="4" t="s">
        <v>55</v>
      </c>
      <c r="B1261" s="4" t="s">
        <v>56</v>
      </c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1" t="s">
        <v>733</v>
      </c>
      <c r="AB1261" s="42" t="s">
        <v>734</v>
      </c>
      <c r="AC1261" s="43" t="s">
        <v>383</v>
      </c>
      <c r="AD1261" s="43">
        <v>2000000000</v>
      </c>
      <c r="AE1261" s="44">
        <v>0</v>
      </c>
      <c r="AF1261" s="44">
        <v>0</v>
      </c>
      <c r="AG1261" s="44">
        <v>0</v>
      </c>
      <c r="AH1261" s="44">
        <v>0</v>
      </c>
      <c r="AI1261" s="44">
        <f t="shared" si="528"/>
        <v>0</v>
      </c>
      <c r="AJ1261" s="43">
        <f t="shared" si="529"/>
        <v>2000000000</v>
      </c>
      <c r="AK1261" s="44">
        <v>0</v>
      </c>
      <c r="AL1261" s="114">
        <v>166666667</v>
      </c>
      <c r="AM1261" s="114">
        <v>1833333337</v>
      </c>
      <c r="AN1261" s="44">
        <v>0</v>
      </c>
      <c r="AO1261" s="114">
        <v>166666667</v>
      </c>
      <c r="AP1261" s="114">
        <v>1833333337</v>
      </c>
      <c r="AQ1261" s="44">
        <v>0</v>
      </c>
      <c r="AR1261" s="114">
        <v>166666667</v>
      </c>
      <c r="AS1261" s="114">
        <v>1833333337</v>
      </c>
      <c r="AT1261" s="111">
        <f t="shared" si="530"/>
        <v>1833333337</v>
      </c>
      <c r="AU1261" s="18">
        <f t="shared" si="531"/>
        <v>166666663</v>
      </c>
      <c r="AV1261" s="133">
        <f t="shared" si="532"/>
        <v>0</v>
      </c>
      <c r="AW1261" s="34">
        <f t="shared" si="533"/>
        <v>0</v>
      </c>
      <c r="AX1261" s="123">
        <f t="shared" si="534"/>
        <v>0.9166666685</v>
      </c>
    </row>
    <row r="1262" spans="1:50" ht="25.5" x14ac:dyDescent="0.2">
      <c r="A1262" s="4" t="s">
        <v>55</v>
      </c>
      <c r="B1262" s="4" t="s">
        <v>56</v>
      </c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1" t="s">
        <v>735</v>
      </c>
      <c r="AB1262" s="42" t="s">
        <v>736</v>
      </c>
      <c r="AC1262" s="43" t="s">
        <v>428</v>
      </c>
      <c r="AD1262" s="43">
        <v>24512970</v>
      </c>
      <c r="AE1262" s="44">
        <v>0</v>
      </c>
      <c r="AF1262" s="44">
        <v>0</v>
      </c>
      <c r="AG1262" s="44">
        <v>0</v>
      </c>
      <c r="AH1262" s="44">
        <v>0</v>
      </c>
      <c r="AI1262" s="44">
        <f t="shared" si="528"/>
        <v>0</v>
      </c>
      <c r="AJ1262" s="43">
        <f t="shared" si="529"/>
        <v>24512970</v>
      </c>
      <c r="AK1262" s="44">
        <v>0</v>
      </c>
      <c r="AL1262" s="44">
        <v>0</v>
      </c>
      <c r="AM1262" s="44">
        <v>0</v>
      </c>
      <c r="AN1262" s="44">
        <v>0</v>
      </c>
      <c r="AO1262" s="44">
        <v>0</v>
      </c>
      <c r="AP1262" s="44">
        <v>0</v>
      </c>
      <c r="AQ1262" s="44">
        <v>0</v>
      </c>
      <c r="AR1262" s="44">
        <v>0</v>
      </c>
      <c r="AS1262" s="44">
        <v>0</v>
      </c>
      <c r="AT1262" s="40">
        <f t="shared" si="530"/>
        <v>0</v>
      </c>
      <c r="AU1262" s="18">
        <f t="shared" si="531"/>
        <v>24512970</v>
      </c>
      <c r="AV1262" s="133">
        <f t="shared" si="532"/>
        <v>0</v>
      </c>
      <c r="AW1262" s="34">
        <f t="shared" si="533"/>
        <v>0</v>
      </c>
      <c r="AX1262" s="123">
        <f t="shared" si="534"/>
        <v>0</v>
      </c>
    </row>
    <row r="1263" spans="1:50" ht="25.5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166" t="s">
        <v>1134</v>
      </c>
      <c r="AB1263" s="167" t="s">
        <v>1055</v>
      </c>
      <c r="AC1263" s="168"/>
      <c r="AD1263" s="44">
        <v>0</v>
      </c>
      <c r="AE1263" s="217">
        <v>628300000</v>
      </c>
      <c r="AF1263" s="216">
        <v>0</v>
      </c>
      <c r="AG1263" s="44">
        <v>0</v>
      </c>
      <c r="AH1263" s="44">
        <v>0</v>
      </c>
      <c r="AI1263" s="43">
        <f t="shared" si="528"/>
        <v>628300000</v>
      </c>
      <c r="AJ1263" s="43">
        <f t="shared" si="529"/>
        <v>628300000</v>
      </c>
      <c r="AK1263" s="44">
        <v>0</v>
      </c>
      <c r="AL1263" s="44">
        <v>0</v>
      </c>
      <c r="AM1263" s="43">
        <v>628300000</v>
      </c>
      <c r="AN1263" s="44">
        <v>0</v>
      </c>
      <c r="AO1263" s="44">
        <v>0</v>
      </c>
      <c r="AP1263" s="43">
        <v>628300000</v>
      </c>
      <c r="AQ1263" s="44">
        <v>0</v>
      </c>
      <c r="AR1263" s="44">
        <v>0</v>
      </c>
      <c r="AS1263" s="43">
        <v>628300000</v>
      </c>
      <c r="AT1263" s="39">
        <f t="shared" si="530"/>
        <v>628300000</v>
      </c>
      <c r="AU1263" s="34">
        <f t="shared" si="531"/>
        <v>0</v>
      </c>
      <c r="AV1263" s="133">
        <f t="shared" si="532"/>
        <v>0</v>
      </c>
      <c r="AW1263" s="34">
        <f t="shared" si="533"/>
        <v>0</v>
      </c>
      <c r="AX1263" s="123">
        <f t="shared" si="534"/>
        <v>1</v>
      </c>
    </row>
    <row r="1264" spans="1:50" ht="25.5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166" t="s">
        <v>1135</v>
      </c>
      <c r="AB1264" s="167" t="s">
        <v>1055</v>
      </c>
      <c r="AC1264" s="168"/>
      <c r="AD1264" s="44">
        <v>0</v>
      </c>
      <c r="AE1264" s="217">
        <v>371700000</v>
      </c>
      <c r="AF1264" s="216">
        <v>0</v>
      </c>
      <c r="AG1264" s="44">
        <v>0</v>
      </c>
      <c r="AH1264" s="44">
        <v>0</v>
      </c>
      <c r="AI1264" s="43">
        <f t="shared" si="528"/>
        <v>371700000</v>
      </c>
      <c r="AJ1264" s="43">
        <f t="shared" si="529"/>
        <v>371700000</v>
      </c>
      <c r="AK1264" s="44">
        <v>0</v>
      </c>
      <c r="AL1264" s="44">
        <v>0</v>
      </c>
      <c r="AM1264" s="43">
        <v>371700000</v>
      </c>
      <c r="AN1264" s="44">
        <v>0</v>
      </c>
      <c r="AO1264" s="44">
        <v>0</v>
      </c>
      <c r="AP1264" s="43">
        <v>371700000</v>
      </c>
      <c r="AQ1264" s="44">
        <v>0</v>
      </c>
      <c r="AR1264" s="44">
        <v>0</v>
      </c>
      <c r="AS1264" s="43">
        <v>371700000</v>
      </c>
      <c r="AT1264" s="39">
        <f t="shared" si="530"/>
        <v>371700000</v>
      </c>
      <c r="AU1264" s="34">
        <f t="shared" si="531"/>
        <v>0</v>
      </c>
      <c r="AV1264" s="133">
        <f t="shared" si="532"/>
        <v>0</v>
      </c>
      <c r="AW1264" s="34">
        <f t="shared" si="533"/>
        <v>0</v>
      </c>
      <c r="AX1264" s="123">
        <f t="shared" si="534"/>
        <v>1</v>
      </c>
    </row>
    <row r="1265" spans="1:50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166" t="s">
        <v>1136</v>
      </c>
      <c r="AB1265" s="167" t="s">
        <v>1137</v>
      </c>
      <c r="AC1265" s="168"/>
      <c r="AD1265" s="44">
        <v>0</v>
      </c>
      <c r="AE1265" s="217">
        <v>179021213</v>
      </c>
      <c r="AF1265" s="216">
        <v>0</v>
      </c>
      <c r="AG1265" s="44">
        <v>0</v>
      </c>
      <c r="AH1265" s="44">
        <v>0</v>
      </c>
      <c r="AI1265" s="43">
        <f t="shared" si="528"/>
        <v>179021213</v>
      </c>
      <c r="AJ1265" s="43">
        <f t="shared" si="529"/>
        <v>179021213</v>
      </c>
      <c r="AK1265" s="44">
        <v>0</v>
      </c>
      <c r="AL1265" s="44">
        <v>0</v>
      </c>
      <c r="AM1265" s="43">
        <v>179021213</v>
      </c>
      <c r="AN1265" s="44">
        <v>0</v>
      </c>
      <c r="AO1265" s="44">
        <v>0</v>
      </c>
      <c r="AP1265" s="43">
        <v>179021213</v>
      </c>
      <c r="AQ1265" s="44">
        <v>0</v>
      </c>
      <c r="AR1265" s="44">
        <v>0</v>
      </c>
      <c r="AS1265" s="43">
        <v>179021213</v>
      </c>
      <c r="AT1265" s="39">
        <f t="shared" si="530"/>
        <v>179021213</v>
      </c>
      <c r="AU1265" s="34">
        <f t="shared" si="531"/>
        <v>0</v>
      </c>
      <c r="AV1265" s="133">
        <f t="shared" si="532"/>
        <v>0</v>
      </c>
      <c r="AW1265" s="34">
        <f t="shared" si="533"/>
        <v>0</v>
      </c>
      <c r="AX1265" s="123">
        <f t="shared" si="534"/>
        <v>1</v>
      </c>
    </row>
    <row r="1266" spans="1:50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229" t="s">
        <v>1345</v>
      </c>
      <c r="AB1266" s="230" t="s">
        <v>233</v>
      </c>
      <c r="AC1266" s="168"/>
      <c r="AD1266" s="44">
        <v>0</v>
      </c>
      <c r="AE1266" s="312">
        <v>0</v>
      </c>
      <c r="AF1266" s="216">
        <v>0</v>
      </c>
      <c r="AG1266" s="43">
        <v>22500000</v>
      </c>
      <c r="AH1266" s="44">
        <v>0</v>
      </c>
      <c r="AI1266" s="43">
        <f t="shared" si="528"/>
        <v>22500000</v>
      </c>
      <c r="AJ1266" s="43">
        <f t="shared" si="529"/>
        <v>22500000</v>
      </c>
      <c r="AK1266" s="44">
        <v>0</v>
      </c>
      <c r="AL1266" s="43">
        <v>0</v>
      </c>
      <c r="AM1266" s="43">
        <v>22500000</v>
      </c>
      <c r="AN1266" s="43">
        <v>0</v>
      </c>
      <c r="AO1266" s="43">
        <v>0</v>
      </c>
      <c r="AP1266" s="43">
        <v>22500000</v>
      </c>
      <c r="AQ1266" s="44">
        <v>0</v>
      </c>
      <c r="AR1266" s="44">
        <v>0</v>
      </c>
      <c r="AS1266" s="43">
        <v>22500000</v>
      </c>
      <c r="AT1266" s="39">
        <f t="shared" si="530"/>
        <v>22500000</v>
      </c>
      <c r="AU1266" s="34">
        <f t="shared" si="531"/>
        <v>0</v>
      </c>
      <c r="AV1266" s="133">
        <f t="shared" si="532"/>
        <v>0</v>
      </c>
      <c r="AW1266" s="34">
        <f t="shared" si="533"/>
        <v>0</v>
      </c>
      <c r="AX1266" s="123">
        <f t="shared" si="534"/>
        <v>1</v>
      </c>
    </row>
    <row r="1267" spans="1:50" ht="25.5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171" t="s">
        <v>288</v>
      </c>
      <c r="AB1267" s="213" t="s">
        <v>1438</v>
      </c>
      <c r="AC1267" s="168"/>
      <c r="AD1267" s="44"/>
      <c r="AE1267" s="312"/>
      <c r="AF1267" s="216"/>
      <c r="AG1267" s="43"/>
      <c r="AH1267" s="44"/>
      <c r="AI1267" s="43"/>
      <c r="AJ1267" s="43"/>
      <c r="AK1267" s="44"/>
      <c r="AL1267" s="43"/>
      <c r="AM1267" s="43"/>
      <c r="AN1267" s="43"/>
      <c r="AO1267" s="43"/>
      <c r="AP1267" s="43"/>
      <c r="AQ1267" s="43"/>
      <c r="AR1267" s="43"/>
      <c r="AS1267" s="43"/>
      <c r="AT1267" s="39"/>
      <c r="AU1267" s="34"/>
      <c r="AV1267" s="133"/>
      <c r="AW1267" s="34"/>
      <c r="AX1267" s="123"/>
    </row>
    <row r="1268" spans="1:50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229" t="s">
        <v>1439</v>
      </c>
      <c r="AB1268" s="230" t="s">
        <v>233</v>
      </c>
      <c r="AC1268" s="168"/>
      <c r="AD1268" s="44">
        <v>0</v>
      </c>
      <c r="AE1268" s="312">
        <v>0</v>
      </c>
      <c r="AF1268" s="216">
        <v>0</v>
      </c>
      <c r="AG1268" s="43">
        <v>2000000000</v>
      </c>
      <c r="AH1268" s="44">
        <v>0</v>
      </c>
      <c r="AI1268" s="43">
        <f t="shared" ref="AI1268" si="535">AE1268-AF1268+AG1268-AH1268</f>
        <v>2000000000</v>
      </c>
      <c r="AJ1268" s="43">
        <f t="shared" ref="AJ1268" si="536">AD1268+AI1268</f>
        <v>2000000000</v>
      </c>
      <c r="AK1268" s="44">
        <v>0</v>
      </c>
      <c r="AL1268" s="43">
        <v>0</v>
      </c>
      <c r="AM1268" s="43">
        <v>0</v>
      </c>
      <c r="AN1268" s="43">
        <v>0</v>
      </c>
      <c r="AO1268" s="43">
        <v>0</v>
      </c>
      <c r="AP1268" s="44">
        <v>0</v>
      </c>
      <c r="AQ1268" s="44">
        <v>0</v>
      </c>
      <c r="AR1268" s="44">
        <v>0</v>
      </c>
      <c r="AS1268" s="44">
        <v>0</v>
      </c>
      <c r="AT1268" s="40">
        <f t="shared" ref="AT1268:AT1269" si="537">AQ1268+AS1268</f>
        <v>0</v>
      </c>
      <c r="AU1268" s="18">
        <f t="shared" ref="AU1268:AU1269" si="538">AJ1268-AM1268</f>
        <v>2000000000</v>
      </c>
      <c r="AV1268" s="133">
        <f t="shared" ref="AV1268:AV1269" si="539">AM1268-AP1268</f>
        <v>0</v>
      </c>
      <c r="AW1268" s="34">
        <f t="shared" ref="AW1268:AW1269" si="540">AP1268-AT1268</f>
        <v>0</v>
      </c>
      <c r="AX1268" s="123">
        <f t="shared" ref="AX1268:AX1269" si="541">AP1268/AJ1268</f>
        <v>0</v>
      </c>
    </row>
    <row r="1269" spans="1:50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229" t="s">
        <v>1440</v>
      </c>
      <c r="AB1269" s="230" t="s">
        <v>233</v>
      </c>
      <c r="AC1269" s="168"/>
      <c r="AD1269" s="44">
        <v>0</v>
      </c>
      <c r="AE1269" s="312">
        <v>0</v>
      </c>
      <c r="AF1269" s="216">
        <v>0</v>
      </c>
      <c r="AG1269" s="43">
        <v>2000000000</v>
      </c>
      <c r="AH1269" s="44"/>
      <c r="AI1269" s="43">
        <f t="shared" ref="AI1269" si="542">AE1269-AF1269+AG1269-AH1269</f>
        <v>2000000000</v>
      </c>
      <c r="AJ1269" s="43">
        <f t="shared" ref="AJ1269" si="543">AD1269+AI1269</f>
        <v>2000000000</v>
      </c>
      <c r="AK1269" s="44">
        <v>0</v>
      </c>
      <c r="AL1269" s="43">
        <v>0</v>
      </c>
      <c r="AM1269" s="43">
        <v>0</v>
      </c>
      <c r="AN1269" s="43"/>
      <c r="AO1269" s="43">
        <v>0</v>
      </c>
      <c r="AP1269" s="44">
        <v>0</v>
      </c>
      <c r="AQ1269" s="44">
        <v>0</v>
      </c>
      <c r="AR1269" s="44">
        <v>0</v>
      </c>
      <c r="AS1269" s="44">
        <v>0</v>
      </c>
      <c r="AT1269" s="40">
        <f t="shared" si="537"/>
        <v>0</v>
      </c>
      <c r="AU1269" s="18">
        <f t="shared" si="538"/>
        <v>2000000000</v>
      </c>
      <c r="AV1269" s="133">
        <f t="shared" si="539"/>
        <v>0</v>
      </c>
      <c r="AW1269" s="34">
        <f t="shared" si="540"/>
        <v>0</v>
      </c>
      <c r="AX1269" s="123">
        <f t="shared" si="541"/>
        <v>0</v>
      </c>
    </row>
    <row r="1270" spans="1:50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229" t="s">
        <v>1344</v>
      </c>
      <c r="AB1270" s="230" t="s">
        <v>233</v>
      </c>
      <c r="AC1270" s="168"/>
      <c r="AD1270" s="44">
        <v>0</v>
      </c>
      <c r="AE1270" s="312">
        <v>0</v>
      </c>
      <c r="AF1270" s="216">
        <v>0</v>
      </c>
      <c r="AG1270" s="43">
        <v>200000000</v>
      </c>
      <c r="AH1270" s="44">
        <v>0</v>
      </c>
      <c r="AI1270" s="43">
        <f t="shared" si="528"/>
        <v>200000000</v>
      </c>
      <c r="AJ1270" s="43">
        <f t="shared" si="529"/>
        <v>200000000</v>
      </c>
      <c r="AK1270" s="44">
        <v>0</v>
      </c>
      <c r="AL1270" s="43">
        <v>0</v>
      </c>
      <c r="AM1270" s="43">
        <v>200000000</v>
      </c>
      <c r="AN1270" s="43">
        <v>0</v>
      </c>
      <c r="AO1270" s="43">
        <v>0</v>
      </c>
      <c r="AP1270" s="43">
        <v>200000000</v>
      </c>
      <c r="AQ1270" s="44">
        <v>0</v>
      </c>
      <c r="AR1270" s="44">
        <v>0</v>
      </c>
      <c r="AS1270" s="43">
        <v>200000000</v>
      </c>
      <c r="AT1270" s="39">
        <f t="shared" si="530"/>
        <v>200000000</v>
      </c>
      <c r="AU1270" s="34">
        <f t="shared" si="531"/>
        <v>0</v>
      </c>
      <c r="AV1270" s="133">
        <f t="shared" si="532"/>
        <v>0</v>
      </c>
      <c r="AW1270" s="34">
        <f t="shared" si="533"/>
        <v>0</v>
      </c>
      <c r="AX1270" s="123">
        <f t="shared" si="534"/>
        <v>1</v>
      </c>
    </row>
    <row r="1271" spans="1:50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206"/>
      <c r="AB1271" s="207"/>
      <c r="AC1271" s="43"/>
      <c r="AD1271" s="43"/>
      <c r="AE1271" s="224"/>
      <c r="AF1271" s="44"/>
      <c r="AG1271" s="44"/>
      <c r="AH1271" s="44"/>
      <c r="AI1271" s="44"/>
      <c r="AJ1271" s="43"/>
      <c r="AK1271" s="44"/>
      <c r="AL1271" s="44"/>
      <c r="AM1271" s="44"/>
      <c r="AN1271" s="44"/>
      <c r="AO1271" s="44"/>
      <c r="AP1271" s="44"/>
      <c r="AQ1271" s="44"/>
      <c r="AR1271" s="44"/>
      <c r="AS1271" s="44"/>
      <c r="AT1271" s="40"/>
      <c r="AU1271" s="18"/>
      <c r="AV1271" s="133"/>
      <c r="AW1271" s="34"/>
      <c r="AX1271" s="123"/>
    </row>
    <row r="1272" spans="1:50" s="343" customFormat="1" x14ac:dyDescent="0.2">
      <c r="A1272" s="50"/>
      <c r="B1272" s="77"/>
      <c r="C1272" s="77"/>
      <c r="D1272" s="77"/>
      <c r="E1272" s="77"/>
      <c r="F1272" s="77"/>
      <c r="G1272" s="77"/>
      <c r="H1272" s="77"/>
      <c r="I1272" s="77"/>
      <c r="J1272" s="77"/>
      <c r="K1272" s="77"/>
      <c r="L1272" s="77"/>
      <c r="M1272" s="77"/>
      <c r="N1272" s="77"/>
      <c r="O1272" s="77"/>
      <c r="P1272" s="77"/>
      <c r="Q1272" s="77"/>
      <c r="R1272" s="77"/>
      <c r="S1272" s="77"/>
      <c r="T1272" s="77"/>
      <c r="U1272" s="77"/>
      <c r="V1272" s="77"/>
      <c r="W1272" s="77"/>
      <c r="X1272" s="77"/>
      <c r="Y1272" s="77"/>
      <c r="Z1272" s="77"/>
      <c r="AA1272" s="46"/>
      <c r="AB1272" s="47" t="s">
        <v>737</v>
      </c>
      <c r="AC1272" s="47"/>
      <c r="AD1272" s="48">
        <f t="shared" ref="AD1272:AS1272" si="544">SUM(AD1259:AD1271)</f>
        <v>5055945583</v>
      </c>
      <c r="AE1272" s="48">
        <f t="shared" si="544"/>
        <v>2927349114</v>
      </c>
      <c r="AF1272" s="49">
        <f t="shared" si="544"/>
        <v>0</v>
      </c>
      <c r="AG1272" s="48">
        <f t="shared" si="544"/>
        <v>4222500000</v>
      </c>
      <c r="AH1272" s="49">
        <f t="shared" si="544"/>
        <v>0</v>
      </c>
      <c r="AI1272" s="49">
        <f t="shared" si="544"/>
        <v>7149849114</v>
      </c>
      <c r="AJ1272" s="48">
        <f t="shared" si="544"/>
        <v>12205794697</v>
      </c>
      <c r="AK1272" s="49">
        <f t="shared" si="544"/>
        <v>0</v>
      </c>
      <c r="AL1272" s="121">
        <f t="shared" si="544"/>
        <v>419286051</v>
      </c>
      <c r="AM1272" s="121">
        <f t="shared" si="544"/>
        <v>6261995675</v>
      </c>
      <c r="AN1272" s="49">
        <f t="shared" si="544"/>
        <v>0</v>
      </c>
      <c r="AO1272" s="121">
        <f t="shared" si="544"/>
        <v>419286051</v>
      </c>
      <c r="AP1272" s="121">
        <f t="shared" si="544"/>
        <v>6261995675</v>
      </c>
      <c r="AQ1272" s="49">
        <f t="shared" si="544"/>
        <v>0</v>
      </c>
      <c r="AR1272" s="121">
        <f t="shared" si="544"/>
        <v>419286051</v>
      </c>
      <c r="AS1272" s="121">
        <f t="shared" si="544"/>
        <v>6261995675</v>
      </c>
      <c r="AT1272" s="108">
        <f>AQ1272+AS1272</f>
        <v>6261995675</v>
      </c>
      <c r="AU1272" s="48">
        <f>SUM(AU1259:AU1271)</f>
        <v>5943799022</v>
      </c>
      <c r="AV1272" s="49">
        <f>SUM(AV1259:AV1271)</f>
        <v>0</v>
      </c>
      <c r="AW1272" s="49">
        <f>SUM(AW1259:AW1271)</f>
        <v>0</v>
      </c>
      <c r="AX1272" s="24">
        <f>AP1272/AJ1272</f>
        <v>0.51303465529688974</v>
      </c>
    </row>
    <row r="1273" spans="1:50" x14ac:dyDescent="0.2">
      <c r="AA1273" s="16"/>
      <c r="AB1273" s="17"/>
      <c r="AC1273" s="17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</row>
    <row r="1274" spans="1:50" x14ac:dyDescent="0.2">
      <c r="A1274" s="25"/>
      <c r="B1274" s="71"/>
      <c r="C1274" s="71"/>
      <c r="D1274" s="71"/>
      <c r="E1274" s="71"/>
      <c r="F1274" s="71"/>
      <c r="G1274" s="71"/>
      <c r="H1274" s="71"/>
      <c r="I1274" s="71"/>
      <c r="J1274" s="71"/>
      <c r="K1274" s="71"/>
      <c r="L1274" s="71"/>
      <c r="M1274" s="71"/>
      <c r="N1274" s="71"/>
      <c r="O1274" s="71"/>
      <c r="P1274" s="71"/>
      <c r="Q1274" s="71"/>
      <c r="R1274" s="71"/>
      <c r="S1274" s="71"/>
      <c r="T1274" s="71"/>
      <c r="U1274" s="71"/>
      <c r="V1274" s="71"/>
      <c r="W1274" s="71"/>
      <c r="X1274" s="71"/>
      <c r="Y1274" s="71"/>
      <c r="Z1274" s="71"/>
      <c r="AA1274" s="66"/>
      <c r="AB1274" s="21" t="s">
        <v>738</v>
      </c>
      <c r="AC1274" s="67"/>
      <c r="AD1274" s="63"/>
      <c r="AE1274" s="63"/>
      <c r="AF1274" s="63"/>
      <c r="AG1274" s="63"/>
      <c r="AH1274" s="63"/>
      <c r="AI1274" s="63"/>
      <c r="AJ1274" s="63"/>
      <c r="AK1274" s="63"/>
      <c r="AL1274" s="63"/>
      <c r="AM1274" s="63"/>
      <c r="AN1274" s="63"/>
      <c r="AO1274" s="63"/>
      <c r="AP1274" s="63"/>
      <c r="AQ1274" s="63"/>
      <c r="AR1274" s="63"/>
      <c r="AS1274" s="63"/>
      <c r="AT1274" s="63"/>
      <c r="AU1274" s="63"/>
      <c r="AV1274" s="63"/>
      <c r="AW1274" s="63"/>
      <c r="AX1274" s="63"/>
    </row>
    <row r="1275" spans="1:50" x14ac:dyDescent="0.2">
      <c r="AA1275" s="16"/>
      <c r="AB1275" s="29" t="s">
        <v>285</v>
      </c>
      <c r="AC1275" s="17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</row>
    <row r="1276" spans="1:50" x14ac:dyDescent="0.2">
      <c r="AA1276" s="16"/>
      <c r="AB1276" s="29" t="s">
        <v>202</v>
      </c>
      <c r="AC1276" s="17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</row>
    <row r="1277" spans="1:50" x14ac:dyDescent="0.2">
      <c r="AA1277" s="16"/>
      <c r="AB1277" s="29" t="s">
        <v>203</v>
      </c>
      <c r="AC1277" s="17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</row>
    <row r="1278" spans="1:50" x14ac:dyDescent="0.2">
      <c r="AA1278" s="16"/>
      <c r="AB1278" s="29" t="s">
        <v>204</v>
      </c>
      <c r="AC1278" s="17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</row>
    <row r="1279" spans="1:50" ht="25.5" x14ac:dyDescent="0.2">
      <c r="AA1279" s="16"/>
      <c r="AB1279" s="29" t="s">
        <v>739</v>
      </c>
      <c r="AC1279" s="17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</row>
    <row r="1280" spans="1:50" ht="25.5" x14ac:dyDescent="0.2">
      <c r="AA1280" s="16"/>
      <c r="AB1280" s="29" t="s">
        <v>205</v>
      </c>
      <c r="AC1280" s="17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30"/>
      <c r="AU1280" s="18"/>
      <c r="AV1280" s="18"/>
      <c r="AW1280" s="18"/>
      <c r="AX1280" s="18"/>
    </row>
    <row r="1281" spans="1:50" ht="25.5" x14ac:dyDescent="0.2">
      <c r="AA1281" s="28" t="s">
        <v>288</v>
      </c>
      <c r="AB1281" s="29" t="s">
        <v>740</v>
      </c>
      <c r="AC1281" s="17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30"/>
      <c r="AU1281" s="18"/>
      <c r="AV1281" s="18"/>
      <c r="AW1281" s="18"/>
      <c r="AX1281" s="18"/>
    </row>
    <row r="1282" spans="1:50" x14ac:dyDescent="0.2">
      <c r="A1282" s="4" t="s">
        <v>55</v>
      </c>
      <c r="B1282" s="4" t="s">
        <v>56</v>
      </c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1" t="s">
        <v>741</v>
      </c>
      <c r="AB1282" s="42" t="s">
        <v>233</v>
      </c>
      <c r="AC1282" s="43" t="s">
        <v>58</v>
      </c>
      <c r="AD1282" s="43">
        <v>9645837227</v>
      </c>
      <c r="AE1282" s="44">
        <v>0</v>
      </c>
      <c r="AF1282" s="44">
        <v>0</v>
      </c>
      <c r="AG1282" s="44">
        <v>0</v>
      </c>
      <c r="AH1282" s="44">
        <v>0</v>
      </c>
      <c r="AI1282" s="44">
        <v>0</v>
      </c>
      <c r="AJ1282" s="43">
        <v>9645837227</v>
      </c>
      <c r="AK1282" s="44">
        <v>0</v>
      </c>
      <c r="AL1282" s="43">
        <v>803819769</v>
      </c>
      <c r="AM1282" s="43">
        <v>8842017459</v>
      </c>
      <c r="AN1282" s="44">
        <v>0</v>
      </c>
      <c r="AO1282" s="43">
        <v>803819769</v>
      </c>
      <c r="AP1282" s="43">
        <v>8842017459</v>
      </c>
      <c r="AQ1282" s="44">
        <v>0</v>
      </c>
      <c r="AR1282" s="114">
        <v>803819769</v>
      </c>
      <c r="AS1282" s="114">
        <v>8842017459</v>
      </c>
      <c r="AT1282" s="111">
        <f t="shared" ref="AT1282:AT1286" si="545">AQ1282+AS1282</f>
        <v>8842017459</v>
      </c>
      <c r="AU1282" s="110">
        <f>AJ1282-AM1282</f>
        <v>803819768</v>
      </c>
      <c r="AV1282" s="133">
        <f>AM1282-AP1282</f>
        <v>0</v>
      </c>
      <c r="AW1282" s="34">
        <f>AP1282-AT1282</f>
        <v>0</v>
      </c>
      <c r="AX1282" s="123">
        <f>AP1282/AJ1282</f>
        <v>0.91666666676169906</v>
      </c>
    </row>
    <row r="1283" spans="1:50" x14ac:dyDescent="0.2">
      <c r="A1283" s="4" t="s">
        <v>55</v>
      </c>
      <c r="B1283" s="4" t="s">
        <v>56</v>
      </c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134" t="s">
        <v>742</v>
      </c>
      <c r="AB1283" s="69" t="s">
        <v>743</v>
      </c>
      <c r="AC1283" s="43" t="s">
        <v>744</v>
      </c>
      <c r="AD1283" s="43">
        <v>1148574460</v>
      </c>
      <c r="AE1283" s="43">
        <v>186245925</v>
      </c>
      <c r="AF1283" s="44">
        <v>0</v>
      </c>
      <c r="AG1283" s="44">
        <v>0</v>
      </c>
      <c r="AH1283" s="44">
        <v>0</v>
      </c>
      <c r="AI1283" s="43">
        <f t="shared" ref="AI1283" si="546">AE1283-AF1283+AG1283-AH1283</f>
        <v>186245925</v>
      </c>
      <c r="AJ1283" s="43">
        <f t="shared" ref="AJ1283" si="547">AD1283+AI1283</f>
        <v>1334820385</v>
      </c>
      <c r="AK1283" s="44">
        <v>0</v>
      </c>
      <c r="AL1283" s="43">
        <v>95714538</v>
      </c>
      <c r="AM1283" s="43">
        <v>1239105843</v>
      </c>
      <c r="AN1283" s="44">
        <v>0</v>
      </c>
      <c r="AO1283" s="43">
        <v>95714538</v>
      </c>
      <c r="AP1283" s="43">
        <v>1239105843</v>
      </c>
      <c r="AQ1283" s="44">
        <v>0</v>
      </c>
      <c r="AR1283" s="114">
        <v>95714538</v>
      </c>
      <c r="AS1283" s="114">
        <v>1239105843</v>
      </c>
      <c r="AT1283" s="111">
        <f t="shared" si="545"/>
        <v>1239105843</v>
      </c>
      <c r="AU1283" s="110">
        <f>AJ1283-AM1283</f>
        <v>95714542</v>
      </c>
      <c r="AV1283" s="133">
        <f>AM1283-AP1283</f>
        <v>0</v>
      </c>
      <c r="AW1283" s="34">
        <f>AP1283-AT1283</f>
        <v>0</v>
      </c>
      <c r="AX1283" s="123">
        <f>AP1283/AJ1283</f>
        <v>0.92829406632114031</v>
      </c>
    </row>
    <row r="1284" spans="1:50" x14ac:dyDescent="0.2">
      <c r="A1284" s="4" t="s">
        <v>55</v>
      </c>
      <c r="B1284" s="4" t="s">
        <v>56</v>
      </c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134" t="s">
        <v>745</v>
      </c>
      <c r="AB1284" s="69" t="s">
        <v>281</v>
      </c>
      <c r="AC1284" s="43" t="s">
        <v>253</v>
      </c>
      <c r="AD1284" s="43">
        <v>3200000000</v>
      </c>
      <c r="AE1284" s="44">
        <v>0</v>
      </c>
      <c r="AF1284" s="44">
        <v>0</v>
      </c>
      <c r="AG1284" s="44">
        <v>0</v>
      </c>
      <c r="AH1284" s="44">
        <v>0</v>
      </c>
      <c r="AI1284" s="44">
        <v>0</v>
      </c>
      <c r="AJ1284" s="43">
        <v>3200000000</v>
      </c>
      <c r="AK1284" s="44">
        <v>0</v>
      </c>
      <c r="AL1284" s="43">
        <v>351230530</v>
      </c>
      <c r="AM1284" s="43">
        <v>2696169866.54</v>
      </c>
      <c r="AN1284" s="44">
        <v>0</v>
      </c>
      <c r="AO1284" s="43">
        <v>351230530</v>
      </c>
      <c r="AP1284" s="43">
        <v>2696169866.54</v>
      </c>
      <c r="AQ1284" s="44">
        <v>0</v>
      </c>
      <c r="AR1284" s="114">
        <v>606246759.59000003</v>
      </c>
      <c r="AS1284" s="114">
        <v>2696169866.54</v>
      </c>
      <c r="AT1284" s="111">
        <f t="shared" si="545"/>
        <v>2696169866.54</v>
      </c>
      <c r="AU1284" s="110">
        <f>AJ1284-AM1284</f>
        <v>503830133.46000004</v>
      </c>
      <c r="AV1284" s="133">
        <f>AM1284-AP1284</f>
        <v>0</v>
      </c>
      <c r="AW1284" s="34">
        <f>AP1284-AT1284</f>
        <v>0</v>
      </c>
      <c r="AX1284" s="123">
        <f>AP1284/AJ1284</f>
        <v>0.84255308329375</v>
      </c>
    </row>
    <row r="1285" spans="1:50" ht="25.5" x14ac:dyDescent="0.2">
      <c r="A1285" s="4" t="s">
        <v>55</v>
      </c>
      <c r="B1285" s="4" t="s">
        <v>56</v>
      </c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1" t="s">
        <v>746</v>
      </c>
      <c r="AB1285" s="42" t="s">
        <v>747</v>
      </c>
      <c r="AC1285" s="43" t="s">
        <v>258</v>
      </c>
      <c r="AD1285" s="43">
        <v>35443183</v>
      </c>
      <c r="AE1285" s="44">
        <v>0</v>
      </c>
      <c r="AF1285" s="44">
        <v>0</v>
      </c>
      <c r="AG1285" s="44">
        <v>0</v>
      </c>
      <c r="AH1285" s="44">
        <v>0</v>
      </c>
      <c r="AI1285" s="44">
        <v>0</v>
      </c>
      <c r="AJ1285" s="43">
        <v>35443183</v>
      </c>
      <c r="AK1285" s="44">
        <v>0</v>
      </c>
      <c r="AL1285" s="44">
        <v>0</v>
      </c>
      <c r="AM1285" s="44">
        <v>0</v>
      </c>
      <c r="AN1285" s="44">
        <v>0</v>
      </c>
      <c r="AO1285" s="44">
        <v>0</v>
      </c>
      <c r="AP1285" s="44">
        <v>0</v>
      </c>
      <c r="AQ1285" s="44">
        <v>0</v>
      </c>
      <c r="AR1285" s="44">
        <v>0</v>
      </c>
      <c r="AS1285" s="44">
        <v>0</v>
      </c>
      <c r="AT1285" s="135">
        <f t="shared" si="545"/>
        <v>0</v>
      </c>
      <c r="AU1285" s="110">
        <f>AJ1285-AM1285</f>
        <v>35443183</v>
      </c>
      <c r="AV1285" s="133">
        <f>AM1285-AP1285</f>
        <v>0</v>
      </c>
      <c r="AW1285" s="34">
        <f>AP1285-AT1285</f>
        <v>0</v>
      </c>
      <c r="AX1285" s="123">
        <f>AP1285/AJ1285</f>
        <v>0</v>
      </c>
    </row>
    <row r="1286" spans="1:50" x14ac:dyDescent="0.2">
      <c r="A1286" s="4" t="s">
        <v>55</v>
      </c>
      <c r="B1286" s="4" t="s">
        <v>56</v>
      </c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1" t="s">
        <v>748</v>
      </c>
      <c r="AB1286" s="42" t="s">
        <v>749</v>
      </c>
      <c r="AC1286" s="43" t="s">
        <v>368</v>
      </c>
      <c r="AD1286" s="43">
        <v>30000000</v>
      </c>
      <c r="AE1286" s="44">
        <v>0</v>
      </c>
      <c r="AF1286" s="44">
        <v>0</v>
      </c>
      <c r="AG1286" s="44">
        <v>0</v>
      </c>
      <c r="AH1286" s="44">
        <v>0</v>
      </c>
      <c r="AI1286" s="44">
        <v>0</v>
      </c>
      <c r="AJ1286" s="43">
        <v>30000000</v>
      </c>
      <c r="AK1286" s="44">
        <v>0</v>
      </c>
      <c r="AL1286" s="44">
        <v>0</v>
      </c>
      <c r="AM1286" s="44">
        <v>0</v>
      </c>
      <c r="AN1286" s="44">
        <v>0</v>
      </c>
      <c r="AO1286" s="44">
        <v>0</v>
      </c>
      <c r="AP1286" s="44">
        <v>0</v>
      </c>
      <c r="AQ1286" s="44">
        <v>0</v>
      </c>
      <c r="AR1286" s="44">
        <v>0</v>
      </c>
      <c r="AS1286" s="44">
        <v>0</v>
      </c>
      <c r="AT1286" s="135">
        <f t="shared" si="545"/>
        <v>0</v>
      </c>
      <c r="AU1286" s="110">
        <f>AJ1286-AM1286</f>
        <v>30000000</v>
      </c>
      <c r="AV1286" s="133">
        <f>AM1286-AP1286</f>
        <v>0</v>
      </c>
      <c r="AW1286" s="34">
        <f>AP1286-AT1286</f>
        <v>0</v>
      </c>
      <c r="AX1286" s="123">
        <f>AP1286/AJ1286</f>
        <v>0</v>
      </c>
    </row>
    <row r="1287" spans="1:50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1"/>
      <c r="AB1287" s="42"/>
      <c r="AC1287" s="43"/>
      <c r="AD1287" s="43"/>
      <c r="AE1287" s="44"/>
      <c r="AF1287" s="44"/>
      <c r="AG1287" s="44"/>
      <c r="AH1287" s="44"/>
      <c r="AI1287" s="44"/>
      <c r="AJ1287" s="43"/>
      <c r="AK1287" s="44"/>
      <c r="AL1287" s="44"/>
      <c r="AM1287" s="44"/>
      <c r="AN1287" s="44"/>
      <c r="AO1287" s="44"/>
      <c r="AP1287" s="44"/>
      <c r="AQ1287" s="44"/>
      <c r="AR1287" s="44"/>
      <c r="AS1287" s="44"/>
      <c r="AT1287" s="135"/>
      <c r="AU1287" s="110"/>
      <c r="AV1287" s="133"/>
      <c r="AW1287" s="34"/>
      <c r="AX1287" s="123"/>
    </row>
    <row r="1288" spans="1:50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225" t="s">
        <v>288</v>
      </c>
      <c r="AB1288" s="226" t="s">
        <v>1138</v>
      </c>
      <c r="AC1288" s="43"/>
      <c r="AD1288" s="43"/>
      <c r="AE1288" s="233"/>
      <c r="AF1288" s="44"/>
      <c r="AG1288" s="44"/>
      <c r="AH1288" s="44"/>
      <c r="AI1288" s="44"/>
      <c r="AJ1288" s="43"/>
      <c r="AK1288" s="44"/>
      <c r="AL1288" s="44"/>
      <c r="AM1288" s="44"/>
      <c r="AN1288" s="44"/>
      <c r="AO1288" s="44"/>
      <c r="AP1288" s="44"/>
      <c r="AQ1288" s="44"/>
      <c r="AR1288" s="44"/>
      <c r="AS1288" s="44"/>
      <c r="AT1288" s="135"/>
      <c r="AU1288" s="110"/>
      <c r="AV1288" s="133"/>
      <c r="AW1288" s="34"/>
      <c r="AX1288" s="123"/>
    </row>
    <row r="1289" spans="1:50" ht="25.5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166" t="s">
        <v>1139</v>
      </c>
      <c r="AB1289" s="167" t="s">
        <v>1055</v>
      </c>
      <c r="AC1289" s="168"/>
      <c r="AD1289" s="255">
        <v>0</v>
      </c>
      <c r="AE1289" s="217">
        <v>140000000</v>
      </c>
      <c r="AF1289" s="216">
        <v>0</v>
      </c>
      <c r="AG1289" s="44">
        <v>0</v>
      </c>
      <c r="AH1289" s="44">
        <v>0</v>
      </c>
      <c r="AI1289" s="43">
        <f t="shared" ref="AI1289:AI1290" si="548">AE1289-AF1289+AG1289-AH1289</f>
        <v>140000000</v>
      </c>
      <c r="AJ1289" s="43">
        <f t="shared" ref="AJ1289:AJ1290" si="549">AD1289+AI1289</f>
        <v>140000000</v>
      </c>
      <c r="AK1289" s="44">
        <v>0</v>
      </c>
      <c r="AL1289" s="44">
        <v>0</v>
      </c>
      <c r="AM1289" s="43">
        <v>140000000</v>
      </c>
      <c r="AN1289" s="44">
        <v>0</v>
      </c>
      <c r="AO1289" s="44">
        <v>0</v>
      </c>
      <c r="AP1289" s="43">
        <v>140000000</v>
      </c>
      <c r="AQ1289" s="44">
        <v>0</v>
      </c>
      <c r="AR1289" s="44">
        <v>0</v>
      </c>
      <c r="AS1289" s="43">
        <v>140000000</v>
      </c>
      <c r="AT1289" s="39">
        <f t="shared" ref="AT1289:AT1290" si="550">AQ1289+AS1289</f>
        <v>140000000</v>
      </c>
      <c r="AU1289" s="133">
        <f>AJ1289-AM1289</f>
        <v>0</v>
      </c>
      <c r="AV1289" s="133">
        <f>AM1289-AP1289</f>
        <v>0</v>
      </c>
      <c r="AW1289" s="34">
        <f>AP1289-AT1289</f>
        <v>0</v>
      </c>
      <c r="AX1289" s="123">
        <f>AP1289/AJ1289</f>
        <v>1</v>
      </c>
    </row>
    <row r="1290" spans="1:50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166" t="s">
        <v>1140</v>
      </c>
      <c r="AB1290" s="167" t="s">
        <v>1013</v>
      </c>
      <c r="AC1290" s="168"/>
      <c r="AD1290" s="255">
        <v>0</v>
      </c>
      <c r="AE1290" s="217">
        <v>92624671.799999997</v>
      </c>
      <c r="AF1290" s="216">
        <v>0</v>
      </c>
      <c r="AG1290" s="216">
        <v>0</v>
      </c>
      <c r="AH1290" s="216">
        <v>0</v>
      </c>
      <c r="AI1290" s="43">
        <f t="shared" si="548"/>
        <v>92624671.799999997</v>
      </c>
      <c r="AJ1290" s="43">
        <f t="shared" si="549"/>
        <v>92624671.799999997</v>
      </c>
      <c r="AK1290" s="44">
        <v>0</v>
      </c>
      <c r="AL1290" s="44">
        <v>0</v>
      </c>
      <c r="AM1290" s="43">
        <v>92624671.799999997</v>
      </c>
      <c r="AN1290" s="44">
        <v>0</v>
      </c>
      <c r="AO1290" s="44">
        <v>0</v>
      </c>
      <c r="AP1290" s="43">
        <v>92624671.799999997</v>
      </c>
      <c r="AQ1290" s="44">
        <v>0</v>
      </c>
      <c r="AR1290" s="44">
        <v>0</v>
      </c>
      <c r="AS1290" s="43">
        <v>92624671.799999997</v>
      </c>
      <c r="AT1290" s="39">
        <f t="shared" si="550"/>
        <v>92624671.799999997</v>
      </c>
      <c r="AU1290" s="133">
        <f>AJ1290-AM1290</f>
        <v>0</v>
      </c>
      <c r="AV1290" s="133">
        <f>AM1290-AP1290</f>
        <v>0</v>
      </c>
      <c r="AW1290" s="34">
        <f>AP1290-AT1290</f>
        <v>0</v>
      </c>
      <c r="AX1290" s="123">
        <f>AP1290/AJ1290</f>
        <v>1</v>
      </c>
    </row>
    <row r="1291" spans="1:50" ht="25.5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170" t="s">
        <v>288</v>
      </c>
      <c r="AB1291" s="165" t="s">
        <v>1141</v>
      </c>
      <c r="AC1291" s="168"/>
      <c r="AD1291" s="255"/>
      <c r="AE1291" s="235"/>
      <c r="AF1291" s="216"/>
      <c r="AG1291" s="44"/>
      <c r="AH1291" s="44"/>
      <c r="AI1291" s="44"/>
      <c r="AJ1291" s="43"/>
      <c r="AK1291" s="44"/>
      <c r="AL1291" s="44"/>
      <c r="AM1291" s="44"/>
      <c r="AN1291" s="44"/>
      <c r="AO1291" s="44"/>
      <c r="AP1291" s="44"/>
      <c r="AQ1291" s="44"/>
      <c r="AR1291" s="44"/>
      <c r="AS1291" s="44"/>
      <c r="AT1291" s="135"/>
      <c r="AU1291" s="133"/>
      <c r="AV1291" s="133"/>
      <c r="AW1291" s="34"/>
      <c r="AX1291" s="123"/>
    </row>
    <row r="1292" spans="1:50" ht="25.5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166" t="s">
        <v>1142</v>
      </c>
      <c r="AB1292" s="167" t="s">
        <v>1055</v>
      </c>
      <c r="AC1292" s="168"/>
      <c r="AD1292" s="255">
        <v>0</v>
      </c>
      <c r="AE1292" s="217">
        <v>15000000</v>
      </c>
      <c r="AF1292" s="216">
        <v>0</v>
      </c>
      <c r="AG1292" s="216">
        <v>0</v>
      </c>
      <c r="AH1292" s="216">
        <v>0</v>
      </c>
      <c r="AI1292" s="43">
        <f t="shared" ref="AI1292:AI1297" si="551">AE1292-AF1292+AG1292-AH1292</f>
        <v>15000000</v>
      </c>
      <c r="AJ1292" s="43">
        <f t="shared" ref="AJ1292:AJ1297" si="552">AD1292+AI1292</f>
        <v>15000000</v>
      </c>
      <c r="AK1292" s="44">
        <v>0</v>
      </c>
      <c r="AL1292" s="44">
        <v>0</v>
      </c>
      <c r="AM1292" s="43">
        <v>15000000</v>
      </c>
      <c r="AN1292" s="44">
        <v>0</v>
      </c>
      <c r="AO1292" s="44">
        <v>0</v>
      </c>
      <c r="AP1292" s="43">
        <v>15000000</v>
      </c>
      <c r="AQ1292" s="44">
        <v>0</v>
      </c>
      <c r="AR1292" s="44">
        <v>0</v>
      </c>
      <c r="AS1292" s="43">
        <v>15000000</v>
      </c>
      <c r="AT1292" s="39">
        <f t="shared" ref="AT1292:AT1297" si="553">AQ1292+AS1292</f>
        <v>15000000</v>
      </c>
      <c r="AU1292" s="133">
        <f t="shared" ref="AU1292:AU1297" si="554">AJ1292-AM1292</f>
        <v>0</v>
      </c>
      <c r="AV1292" s="133">
        <f t="shared" ref="AV1292:AV1297" si="555">AM1292-AP1292</f>
        <v>0</v>
      </c>
      <c r="AW1292" s="34">
        <f t="shared" ref="AW1292:AW1297" si="556">AP1292-AT1292</f>
        <v>0</v>
      </c>
      <c r="AX1292" s="123">
        <f t="shared" ref="AX1292:AX1297" si="557">AP1292/AJ1292</f>
        <v>1</v>
      </c>
    </row>
    <row r="1293" spans="1:50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166" t="s">
        <v>1356</v>
      </c>
      <c r="AB1293" s="167" t="s">
        <v>233</v>
      </c>
      <c r="AC1293" s="168"/>
      <c r="AD1293" s="255">
        <v>0</v>
      </c>
      <c r="AE1293" s="217">
        <v>0</v>
      </c>
      <c r="AF1293" s="216">
        <v>0</v>
      </c>
      <c r="AG1293" s="168">
        <v>100000000</v>
      </c>
      <c r="AH1293" s="216">
        <v>0</v>
      </c>
      <c r="AI1293" s="43">
        <f t="shared" si="551"/>
        <v>100000000</v>
      </c>
      <c r="AJ1293" s="43">
        <f t="shared" si="552"/>
        <v>100000000</v>
      </c>
      <c r="AK1293" s="43">
        <v>0</v>
      </c>
      <c r="AL1293" s="43">
        <v>0</v>
      </c>
      <c r="AM1293" s="43">
        <v>100000000</v>
      </c>
      <c r="AN1293" s="43">
        <v>0</v>
      </c>
      <c r="AO1293" s="43">
        <v>0</v>
      </c>
      <c r="AP1293" s="43">
        <v>100000000</v>
      </c>
      <c r="AQ1293" s="44">
        <v>0</v>
      </c>
      <c r="AR1293" s="44">
        <v>0</v>
      </c>
      <c r="AS1293" s="43">
        <v>100000000</v>
      </c>
      <c r="AT1293" s="39">
        <f t="shared" si="553"/>
        <v>100000000</v>
      </c>
      <c r="AU1293" s="34">
        <f t="shared" si="554"/>
        <v>0</v>
      </c>
      <c r="AV1293" s="133">
        <f t="shared" si="555"/>
        <v>0</v>
      </c>
      <c r="AW1293" s="34">
        <f t="shared" si="556"/>
        <v>0</v>
      </c>
      <c r="AX1293" s="123">
        <f t="shared" si="557"/>
        <v>1</v>
      </c>
    </row>
    <row r="1294" spans="1:50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166" t="s">
        <v>1357</v>
      </c>
      <c r="AB1294" s="167" t="s">
        <v>233</v>
      </c>
      <c r="AC1294" s="168"/>
      <c r="AD1294" s="255">
        <v>0</v>
      </c>
      <c r="AE1294" s="217">
        <v>0</v>
      </c>
      <c r="AF1294" s="216">
        <v>0</v>
      </c>
      <c r="AG1294" s="168">
        <v>700000000</v>
      </c>
      <c r="AH1294" s="216">
        <v>0</v>
      </c>
      <c r="AI1294" s="43">
        <f t="shared" si="551"/>
        <v>700000000</v>
      </c>
      <c r="AJ1294" s="43">
        <f t="shared" si="552"/>
        <v>700000000</v>
      </c>
      <c r="AK1294" s="43">
        <v>0</v>
      </c>
      <c r="AL1294" s="43">
        <v>0</v>
      </c>
      <c r="AM1294" s="43">
        <v>700000000</v>
      </c>
      <c r="AN1294" s="43">
        <v>0</v>
      </c>
      <c r="AO1294" s="43">
        <v>0</v>
      </c>
      <c r="AP1294" s="43">
        <v>700000000</v>
      </c>
      <c r="AQ1294" s="44">
        <v>0</v>
      </c>
      <c r="AR1294" s="44">
        <v>0</v>
      </c>
      <c r="AS1294" s="43">
        <v>700000000</v>
      </c>
      <c r="AT1294" s="40">
        <f t="shared" si="553"/>
        <v>700000000</v>
      </c>
      <c r="AU1294" s="34">
        <f t="shared" si="554"/>
        <v>0</v>
      </c>
      <c r="AV1294" s="133">
        <f t="shared" si="555"/>
        <v>0</v>
      </c>
      <c r="AW1294" s="34">
        <f t="shared" si="556"/>
        <v>0</v>
      </c>
      <c r="AX1294" s="123">
        <f t="shared" si="557"/>
        <v>1</v>
      </c>
    </row>
    <row r="1295" spans="1:50" ht="25.5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166" t="s">
        <v>1143</v>
      </c>
      <c r="AB1295" s="167" t="s">
        <v>1055</v>
      </c>
      <c r="AC1295" s="168"/>
      <c r="AD1295" s="255">
        <v>0</v>
      </c>
      <c r="AE1295" s="217">
        <v>100000000</v>
      </c>
      <c r="AF1295" s="216">
        <v>0</v>
      </c>
      <c r="AG1295" s="216">
        <v>0</v>
      </c>
      <c r="AH1295" s="216">
        <v>0</v>
      </c>
      <c r="AI1295" s="43">
        <f t="shared" si="551"/>
        <v>100000000</v>
      </c>
      <c r="AJ1295" s="43">
        <f t="shared" si="552"/>
        <v>100000000</v>
      </c>
      <c r="AK1295" s="44">
        <v>0</v>
      </c>
      <c r="AL1295" s="44">
        <v>0</v>
      </c>
      <c r="AM1295" s="43">
        <v>100000000</v>
      </c>
      <c r="AN1295" s="44">
        <v>0</v>
      </c>
      <c r="AO1295" s="44">
        <v>0</v>
      </c>
      <c r="AP1295" s="43">
        <v>100000000</v>
      </c>
      <c r="AQ1295" s="44">
        <v>0</v>
      </c>
      <c r="AR1295" s="44">
        <v>0</v>
      </c>
      <c r="AS1295" s="43">
        <v>100000000</v>
      </c>
      <c r="AT1295" s="39">
        <f t="shared" si="553"/>
        <v>100000000</v>
      </c>
      <c r="AU1295" s="133">
        <f t="shared" si="554"/>
        <v>0</v>
      </c>
      <c r="AV1295" s="133">
        <f t="shared" si="555"/>
        <v>0</v>
      </c>
      <c r="AW1295" s="34">
        <f t="shared" si="556"/>
        <v>0</v>
      </c>
      <c r="AX1295" s="123">
        <f t="shared" si="557"/>
        <v>1</v>
      </c>
    </row>
    <row r="1296" spans="1:50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166" t="s">
        <v>1144</v>
      </c>
      <c r="AB1296" s="167" t="s">
        <v>1013</v>
      </c>
      <c r="AC1296" s="168"/>
      <c r="AD1296" s="255">
        <v>0</v>
      </c>
      <c r="AE1296" s="217">
        <v>80000000</v>
      </c>
      <c r="AF1296" s="216">
        <v>0</v>
      </c>
      <c r="AG1296" s="216">
        <v>0</v>
      </c>
      <c r="AH1296" s="216">
        <v>0</v>
      </c>
      <c r="AI1296" s="43">
        <f t="shared" si="551"/>
        <v>80000000</v>
      </c>
      <c r="AJ1296" s="43">
        <f t="shared" si="552"/>
        <v>80000000</v>
      </c>
      <c r="AK1296" s="44">
        <v>0</v>
      </c>
      <c r="AL1296" s="44">
        <v>0</v>
      </c>
      <c r="AM1296" s="43">
        <v>80000000</v>
      </c>
      <c r="AN1296" s="44">
        <v>0</v>
      </c>
      <c r="AO1296" s="44">
        <v>0</v>
      </c>
      <c r="AP1296" s="43">
        <v>80000000</v>
      </c>
      <c r="AQ1296" s="44">
        <v>0</v>
      </c>
      <c r="AR1296" s="44">
        <v>0</v>
      </c>
      <c r="AS1296" s="43">
        <v>80000000</v>
      </c>
      <c r="AT1296" s="39">
        <f t="shared" si="553"/>
        <v>80000000</v>
      </c>
      <c r="AU1296" s="133">
        <f t="shared" si="554"/>
        <v>0</v>
      </c>
      <c r="AV1296" s="133">
        <f t="shared" si="555"/>
        <v>0</v>
      </c>
      <c r="AW1296" s="34">
        <f t="shared" si="556"/>
        <v>0</v>
      </c>
      <c r="AX1296" s="123">
        <f t="shared" si="557"/>
        <v>1</v>
      </c>
    </row>
    <row r="1297" spans="1:50" ht="25.5" x14ac:dyDescent="0.2">
      <c r="A1297" s="4"/>
      <c r="B1297" s="4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166" t="s">
        <v>1145</v>
      </c>
      <c r="AB1297" s="167" t="s">
        <v>1044</v>
      </c>
      <c r="AC1297" s="168"/>
      <c r="AD1297" s="255">
        <v>0</v>
      </c>
      <c r="AE1297" s="217">
        <v>22000000</v>
      </c>
      <c r="AF1297" s="216">
        <v>0</v>
      </c>
      <c r="AG1297" s="216">
        <v>0</v>
      </c>
      <c r="AH1297" s="216">
        <v>0</v>
      </c>
      <c r="AI1297" s="43">
        <f t="shared" si="551"/>
        <v>22000000</v>
      </c>
      <c r="AJ1297" s="43">
        <f t="shared" si="552"/>
        <v>22000000</v>
      </c>
      <c r="AK1297" s="44">
        <v>0</v>
      </c>
      <c r="AL1297" s="44">
        <v>0</v>
      </c>
      <c r="AM1297" s="43">
        <v>22000000</v>
      </c>
      <c r="AN1297" s="44">
        <v>0</v>
      </c>
      <c r="AO1297" s="44">
        <v>0</v>
      </c>
      <c r="AP1297" s="43">
        <v>22000000</v>
      </c>
      <c r="AQ1297" s="44">
        <v>0</v>
      </c>
      <c r="AR1297" s="44">
        <v>0</v>
      </c>
      <c r="AS1297" s="43">
        <v>22000000</v>
      </c>
      <c r="AT1297" s="39">
        <f t="shared" si="553"/>
        <v>22000000</v>
      </c>
      <c r="AU1297" s="133">
        <f t="shared" si="554"/>
        <v>0</v>
      </c>
      <c r="AV1297" s="133">
        <f t="shared" si="555"/>
        <v>0</v>
      </c>
      <c r="AW1297" s="34">
        <f t="shared" si="556"/>
        <v>0</v>
      </c>
      <c r="AX1297" s="123">
        <f t="shared" si="557"/>
        <v>1</v>
      </c>
    </row>
    <row r="1298" spans="1:50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170" t="s">
        <v>288</v>
      </c>
      <c r="AB1298" s="165" t="s">
        <v>199</v>
      </c>
      <c r="AC1298" s="168"/>
      <c r="AD1298" s="255"/>
      <c r="AE1298" s="235"/>
      <c r="AF1298" s="216"/>
      <c r="AG1298" s="44"/>
      <c r="AH1298" s="44"/>
      <c r="AI1298" s="44"/>
      <c r="AJ1298" s="43"/>
      <c r="AK1298" s="44"/>
      <c r="AL1298" s="44"/>
      <c r="AM1298" s="44"/>
      <c r="AN1298" s="44"/>
      <c r="AO1298" s="44"/>
      <c r="AP1298" s="44"/>
      <c r="AQ1298" s="44"/>
      <c r="AR1298" s="44"/>
      <c r="AS1298" s="44"/>
      <c r="AT1298" s="135"/>
      <c r="AU1298" s="133"/>
      <c r="AV1298" s="133"/>
      <c r="AW1298" s="34"/>
      <c r="AX1298" s="123"/>
    </row>
    <row r="1299" spans="1:50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166" t="s">
        <v>543</v>
      </c>
      <c r="AB1299" s="167" t="s">
        <v>233</v>
      </c>
      <c r="AC1299" s="168"/>
      <c r="AD1299" s="255"/>
      <c r="AE1299" s="235">
        <v>0</v>
      </c>
      <c r="AF1299" s="216">
        <v>0</v>
      </c>
      <c r="AG1299" s="43">
        <v>200000000</v>
      </c>
      <c r="AH1299" s="44">
        <v>0</v>
      </c>
      <c r="AI1299" s="43">
        <f t="shared" ref="AI1299:AI1301" si="558">AE1299-AF1299+AG1299-AH1299</f>
        <v>200000000</v>
      </c>
      <c r="AJ1299" s="43">
        <f t="shared" ref="AJ1299:AJ1301" si="559">AD1299+AI1299</f>
        <v>200000000</v>
      </c>
      <c r="AK1299" s="43">
        <v>0</v>
      </c>
      <c r="AL1299" s="43">
        <v>0</v>
      </c>
      <c r="AM1299" s="43">
        <v>200000000</v>
      </c>
      <c r="AN1299" s="43">
        <v>0</v>
      </c>
      <c r="AO1299" s="43">
        <v>0</v>
      </c>
      <c r="AP1299" s="43">
        <v>200000000</v>
      </c>
      <c r="AQ1299" s="44">
        <v>0</v>
      </c>
      <c r="AR1299" s="44">
        <v>0</v>
      </c>
      <c r="AS1299" s="43">
        <v>200000000</v>
      </c>
      <c r="AT1299" s="39">
        <f t="shared" ref="AT1299:AT1301" si="560">AQ1299+AS1299</f>
        <v>200000000</v>
      </c>
      <c r="AU1299" s="34">
        <f>AJ1299-AM1299</f>
        <v>0</v>
      </c>
      <c r="AV1299" s="133">
        <f>AM1299-AP1299</f>
        <v>0</v>
      </c>
      <c r="AW1299" s="34">
        <f>AP1299-AT1299</f>
        <v>0</v>
      </c>
      <c r="AX1299" s="123">
        <f>AP1299/AJ1299</f>
        <v>1</v>
      </c>
    </row>
    <row r="1300" spans="1:50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166" t="s">
        <v>1146</v>
      </c>
      <c r="AB1300" s="167" t="s">
        <v>1147</v>
      </c>
      <c r="AC1300" s="168"/>
      <c r="AD1300" s="255">
        <v>0</v>
      </c>
      <c r="AE1300" s="217">
        <v>134265906</v>
      </c>
      <c r="AF1300" s="216">
        <v>0</v>
      </c>
      <c r="AG1300" s="44">
        <v>0</v>
      </c>
      <c r="AH1300" s="44">
        <v>0</v>
      </c>
      <c r="AI1300" s="43">
        <f t="shared" si="558"/>
        <v>134265906</v>
      </c>
      <c r="AJ1300" s="43">
        <f t="shared" si="559"/>
        <v>134265906</v>
      </c>
      <c r="AK1300" s="44">
        <v>0</v>
      </c>
      <c r="AL1300" s="44">
        <v>0</v>
      </c>
      <c r="AM1300" s="43">
        <v>134265906</v>
      </c>
      <c r="AN1300" s="44">
        <v>0</v>
      </c>
      <c r="AO1300" s="44">
        <v>0</v>
      </c>
      <c r="AP1300" s="43">
        <v>134265906</v>
      </c>
      <c r="AQ1300" s="44">
        <v>0</v>
      </c>
      <c r="AR1300" s="44">
        <v>0</v>
      </c>
      <c r="AS1300" s="43">
        <v>134265906</v>
      </c>
      <c r="AT1300" s="39">
        <f t="shared" si="560"/>
        <v>134265906</v>
      </c>
      <c r="AU1300" s="133">
        <f>AJ1300-AM1300</f>
        <v>0</v>
      </c>
      <c r="AV1300" s="133">
        <f>AM1300-AP1300</f>
        <v>0</v>
      </c>
      <c r="AW1300" s="34">
        <f>AP1300-AT1300</f>
        <v>0</v>
      </c>
      <c r="AX1300" s="123">
        <f>AP1300/AJ1300</f>
        <v>1</v>
      </c>
    </row>
    <row r="1301" spans="1:50" ht="25.5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166" t="s">
        <v>1148</v>
      </c>
      <c r="AB1301" s="167" t="s">
        <v>1149</v>
      </c>
      <c r="AC1301" s="168"/>
      <c r="AD1301" s="255">
        <v>0</v>
      </c>
      <c r="AE1301" s="217">
        <v>24691137.52</v>
      </c>
      <c r="AF1301" s="216">
        <v>0</v>
      </c>
      <c r="AG1301" s="216">
        <v>0</v>
      </c>
      <c r="AH1301" s="216">
        <v>0</v>
      </c>
      <c r="AI1301" s="43">
        <f t="shared" si="558"/>
        <v>24691137.52</v>
      </c>
      <c r="AJ1301" s="43">
        <f t="shared" si="559"/>
        <v>24691137.52</v>
      </c>
      <c r="AK1301" s="44">
        <v>0</v>
      </c>
      <c r="AL1301" s="44">
        <v>0</v>
      </c>
      <c r="AM1301" s="43">
        <v>24691137.52</v>
      </c>
      <c r="AN1301" s="44">
        <v>0</v>
      </c>
      <c r="AO1301" s="44">
        <v>0</v>
      </c>
      <c r="AP1301" s="43">
        <v>24691137.52</v>
      </c>
      <c r="AQ1301" s="44">
        <v>0</v>
      </c>
      <c r="AR1301" s="44">
        <v>0</v>
      </c>
      <c r="AS1301" s="43">
        <v>24691137.52</v>
      </c>
      <c r="AT1301" s="39">
        <f t="shared" si="560"/>
        <v>24691137.52</v>
      </c>
      <c r="AU1301" s="133">
        <f>AJ1301-AM1301</f>
        <v>0</v>
      </c>
      <c r="AV1301" s="133">
        <f>AM1301-AP1301</f>
        <v>0</v>
      </c>
      <c r="AW1301" s="34">
        <f>AP1301-AT1301</f>
        <v>0</v>
      </c>
      <c r="AX1301" s="123">
        <f>AP1301/AJ1301</f>
        <v>1</v>
      </c>
    </row>
    <row r="1302" spans="1:50" ht="25.5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170" t="s">
        <v>288</v>
      </c>
      <c r="AB1302" s="165" t="s">
        <v>1150</v>
      </c>
      <c r="AC1302" s="168"/>
      <c r="AD1302" s="231"/>
      <c r="AE1302" s="236"/>
      <c r="AF1302" s="216"/>
      <c r="AG1302" s="44"/>
      <c r="AH1302" s="44"/>
      <c r="AI1302" s="44"/>
      <c r="AJ1302" s="43"/>
      <c r="AK1302" s="44"/>
      <c r="AL1302" s="44"/>
      <c r="AM1302" s="44"/>
      <c r="AN1302" s="44"/>
      <c r="AO1302" s="44"/>
      <c r="AP1302" s="44"/>
      <c r="AQ1302" s="44"/>
      <c r="AR1302" s="44"/>
      <c r="AS1302" s="44"/>
      <c r="AT1302" s="135"/>
      <c r="AU1302" s="133"/>
      <c r="AV1302" s="133"/>
      <c r="AW1302" s="34"/>
      <c r="AX1302" s="123"/>
    </row>
    <row r="1303" spans="1:50" ht="25.5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166" t="s">
        <v>1151</v>
      </c>
      <c r="AB1303" s="167" t="s">
        <v>1055</v>
      </c>
      <c r="AC1303" s="168"/>
      <c r="AD1303" s="255">
        <v>0</v>
      </c>
      <c r="AE1303" s="217">
        <v>233600000</v>
      </c>
      <c r="AF1303" s="216">
        <v>0</v>
      </c>
      <c r="AG1303" s="216">
        <v>0</v>
      </c>
      <c r="AH1303" s="216">
        <v>0</v>
      </c>
      <c r="AI1303" s="43">
        <f t="shared" ref="AI1303" si="561">AE1303-AF1303+AG1303-AH1303</f>
        <v>233600000</v>
      </c>
      <c r="AJ1303" s="43">
        <f t="shared" ref="AJ1303" si="562">AD1303+AI1303</f>
        <v>233600000</v>
      </c>
      <c r="AK1303" s="44">
        <v>0</v>
      </c>
      <c r="AL1303" s="44">
        <v>0</v>
      </c>
      <c r="AM1303" s="43">
        <v>233600000</v>
      </c>
      <c r="AN1303" s="44">
        <v>0</v>
      </c>
      <c r="AO1303" s="44">
        <v>0</v>
      </c>
      <c r="AP1303" s="43">
        <v>233600000</v>
      </c>
      <c r="AQ1303" s="44">
        <v>0</v>
      </c>
      <c r="AR1303" s="44">
        <v>0</v>
      </c>
      <c r="AS1303" s="43">
        <v>233600000</v>
      </c>
      <c r="AT1303" s="39">
        <f t="shared" ref="AT1303" si="563">AQ1303+AS1303</f>
        <v>233600000</v>
      </c>
      <c r="AU1303" s="133">
        <f>AJ1303-AM1303</f>
        <v>0</v>
      </c>
      <c r="AV1303" s="133">
        <f>AM1303-AP1303</f>
        <v>0</v>
      </c>
      <c r="AW1303" s="34">
        <f>AP1303-AT1303</f>
        <v>0</v>
      </c>
      <c r="AX1303" s="123">
        <f>AP1303/AJ1303</f>
        <v>1</v>
      </c>
    </row>
    <row r="1304" spans="1:50" ht="25.5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170" t="s">
        <v>288</v>
      </c>
      <c r="AB1304" s="165" t="s">
        <v>1152</v>
      </c>
      <c r="AC1304" s="168"/>
      <c r="AD1304" s="231"/>
      <c r="AE1304" s="236"/>
      <c r="AF1304" s="216"/>
      <c r="AG1304" s="44"/>
      <c r="AH1304" s="44"/>
      <c r="AI1304" s="44"/>
      <c r="AJ1304" s="43"/>
      <c r="AK1304" s="44"/>
      <c r="AL1304" s="44"/>
      <c r="AM1304" s="44"/>
      <c r="AN1304" s="44"/>
      <c r="AO1304" s="44"/>
      <c r="AP1304" s="44"/>
      <c r="AQ1304" s="44"/>
      <c r="AR1304" s="44"/>
      <c r="AS1304" s="44"/>
      <c r="AT1304" s="135"/>
      <c r="AU1304" s="110"/>
      <c r="AV1304" s="133"/>
      <c r="AW1304" s="34"/>
      <c r="AX1304" s="123"/>
    </row>
    <row r="1305" spans="1:50" ht="25.5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166" t="s">
        <v>1153</v>
      </c>
      <c r="AB1305" s="167" t="s">
        <v>1055</v>
      </c>
      <c r="AC1305" s="168"/>
      <c r="AD1305" s="255">
        <v>0</v>
      </c>
      <c r="AE1305" s="217">
        <v>61400000</v>
      </c>
      <c r="AF1305" s="216">
        <v>0</v>
      </c>
      <c r="AG1305" s="216">
        <v>0</v>
      </c>
      <c r="AH1305" s="216">
        <v>0</v>
      </c>
      <c r="AI1305" s="43">
        <f t="shared" ref="AI1305" si="564">AE1305-AF1305+AG1305-AH1305</f>
        <v>61400000</v>
      </c>
      <c r="AJ1305" s="43">
        <f t="shared" ref="AJ1305" si="565">AD1305+AI1305</f>
        <v>61400000</v>
      </c>
      <c r="AK1305" s="44">
        <v>0</v>
      </c>
      <c r="AL1305" s="44">
        <v>0</v>
      </c>
      <c r="AM1305" s="43">
        <v>61400000</v>
      </c>
      <c r="AN1305" s="44">
        <v>0</v>
      </c>
      <c r="AO1305" s="44">
        <v>0</v>
      </c>
      <c r="AP1305" s="43">
        <v>61400000</v>
      </c>
      <c r="AQ1305" s="44">
        <v>0</v>
      </c>
      <c r="AR1305" s="44">
        <v>0</v>
      </c>
      <c r="AS1305" s="43">
        <v>61400000</v>
      </c>
      <c r="AT1305" s="39">
        <f t="shared" ref="AT1305" si="566">AQ1305+AS1305</f>
        <v>61400000</v>
      </c>
      <c r="AU1305" s="133">
        <f>AJ1305-AM1305</f>
        <v>0</v>
      </c>
      <c r="AV1305" s="133">
        <f>AM1305-AP1305</f>
        <v>0</v>
      </c>
      <c r="AW1305" s="34">
        <f>AP1305-AT1305</f>
        <v>0</v>
      </c>
      <c r="AX1305" s="123">
        <f>AP1305/AJ1305</f>
        <v>1</v>
      </c>
    </row>
    <row r="1306" spans="1:50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170" t="s">
        <v>288</v>
      </c>
      <c r="AB1306" s="165" t="s">
        <v>299</v>
      </c>
      <c r="AC1306" s="168"/>
      <c r="AD1306" s="255"/>
      <c r="AE1306" s="217"/>
      <c r="AF1306" s="216"/>
      <c r="AG1306" s="216"/>
      <c r="AH1306" s="216"/>
      <c r="AI1306" s="43"/>
      <c r="AJ1306" s="43"/>
      <c r="AK1306" s="44"/>
      <c r="AL1306" s="44"/>
      <c r="AM1306" s="43"/>
      <c r="AN1306" s="44"/>
      <c r="AO1306" s="44"/>
      <c r="AP1306" s="43"/>
      <c r="AQ1306" s="44"/>
      <c r="AR1306" s="44"/>
      <c r="AS1306" s="43"/>
      <c r="AT1306" s="39"/>
      <c r="AU1306" s="133"/>
      <c r="AV1306" s="133"/>
      <c r="AW1306" s="34"/>
      <c r="AX1306" s="123"/>
    </row>
    <row r="1307" spans="1:50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166" t="s">
        <v>1441</v>
      </c>
      <c r="AB1307" s="167" t="s">
        <v>961</v>
      </c>
      <c r="AC1307" s="168"/>
      <c r="AD1307" s="255">
        <v>0</v>
      </c>
      <c r="AE1307" s="217">
        <v>0</v>
      </c>
      <c r="AF1307" s="216">
        <v>0</v>
      </c>
      <c r="AG1307" s="168">
        <v>4000000000</v>
      </c>
      <c r="AH1307" s="216">
        <v>0</v>
      </c>
      <c r="AI1307" s="43">
        <f t="shared" ref="AI1307" si="567">AE1307-AF1307+AG1307-AH1307</f>
        <v>4000000000</v>
      </c>
      <c r="AJ1307" s="43">
        <f t="shared" ref="AJ1307" si="568">AD1307+AI1307</f>
        <v>4000000000</v>
      </c>
      <c r="AK1307" s="44">
        <v>0</v>
      </c>
      <c r="AL1307" s="44">
        <v>0</v>
      </c>
      <c r="AM1307" s="43">
        <v>0</v>
      </c>
      <c r="AN1307" s="44">
        <v>0</v>
      </c>
      <c r="AO1307" s="44">
        <v>0</v>
      </c>
      <c r="AP1307" s="44">
        <v>0</v>
      </c>
      <c r="AQ1307" s="44">
        <v>0</v>
      </c>
      <c r="AR1307" s="44">
        <v>0</v>
      </c>
      <c r="AS1307" s="44">
        <v>0</v>
      </c>
      <c r="AT1307" s="40">
        <f t="shared" ref="AT1307" si="569">AQ1307+AS1307</f>
        <v>0</v>
      </c>
      <c r="AU1307" s="18">
        <f>AJ1307-AM1307</f>
        <v>4000000000</v>
      </c>
      <c r="AV1307" s="133">
        <f>AM1307-AP1307</f>
        <v>0</v>
      </c>
      <c r="AW1307" s="34">
        <f>AP1307-AT1307</f>
        <v>0</v>
      </c>
      <c r="AX1307" s="123">
        <f>AP1307/AJ1307</f>
        <v>0</v>
      </c>
    </row>
    <row r="1308" spans="1:50" ht="20.25" customHeight="1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170" t="s">
        <v>288</v>
      </c>
      <c r="AB1308" s="165" t="s">
        <v>542</v>
      </c>
      <c r="AC1308" s="168"/>
      <c r="AD1308" s="255"/>
      <c r="AE1308" s="217"/>
      <c r="AF1308" s="216"/>
      <c r="AG1308" s="216"/>
      <c r="AH1308" s="216"/>
      <c r="AI1308" s="43"/>
      <c r="AJ1308" s="43"/>
      <c r="AK1308" s="44"/>
      <c r="AL1308" s="44"/>
      <c r="AM1308" s="43"/>
      <c r="AN1308" s="44"/>
      <c r="AO1308" s="44"/>
      <c r="AP1308" s="44"/>
      <c r="AQ1308" s="44"/>
      <c r="AR1308" s="44"/>
      <c r="AS1308" s="44"/>
      <c r="AT1308" s="40"/>
      <c r="AU1308" s="18"/>
      <c r="AV1308" s="133"/>
      <c r="AW1308" s="34"/>
      <c r="AX1308" s="123"/>
    </row>
    <row r="1309" spans="1:50" ht="17.25" customHeight="1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166" t="s">
        <v>1433</v>
      </c>
      <c r="AB1309" s="167" t="s">
        <v>233</v>
      </c>
      <c r="AC1309" s="168"/>
      <c r="AD1309" s="255">
        <v>0</v>
      </c>
      <c r="AE1309" s="217">
        <v>0</v>
      </c>
      <c r="AF1309" s="216">
        <v>0</v>
      </c>
      <c r="AG1309" s="168">
        <v>1000000000</v>
      </c>
      <c r="AH1309" s="216">
        <v>0</v>
      </c>
      <c r="AI1309" s="43">
        <f t="shared" ref="AI1309" si="570">AE1309-AF1309+AG1309-AH1309</f>
        <v>1000000000</v>
      </c>
      <c r="AJ1309" s="43">
        <f t="shared" ref="AJ1309" si="571">AD1309+AI1309</f>
        <v>1000000000</v>
      </c>
      <c r="AK1309" s="44">
        <v>0</v>
      </c>
      <c r="AL1309" s="44">
        <v>0</v>
      </c>
      <c r="AM1309" s="43">
        <v>0</v>
      </c>
      <c r="AN1309" s="44">
        <v>0</v>
      </c>
      <c r="AO1309" s="44">
        <v>0</v>
      </c>
      <c r="AP1309" s="44">
        <v>0</v>
      </c>
      <c r="AQ1309" s="44">
        <v>0</v>
      </c>
      <c r="AR1309" s="44">
        <v>0</v>
      </c>
      <c r="AS1309" s="44">
        <v>0</v>
      </c>
      <c r="AT1309" s="40">
        <f t="shared" ref="AT1309" si="572">AQ1309+AS1309</f>
        <v>0</v>
      </c>
      <c r="AU1309" s="18">
        <f>AJ1309-AM1309</f>
        <v>1000000000</v>
      </c>
      <c r="AV1309" s="133">
        <f>AM1309-AP1309</f>
        <v>0</v>
      </c>
      <c r="AW1309" s="34">
        <f>AP1309-AT1309</f>
        <v>0</v>
      </c>
      <c r="AX1309" s="123">
        <f>AP1309/AJ1309</f>
        <v>0</v>
      </c>
    </row>
    <row r="1310" spans="1:50" ht="17.25" customHeight="1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170" t="s">
        <v>288</v>
      </c>
      <c r="AB1310" s="165" t="s">
        <v>1434</v>
      </c>
      <c r="AC1310" s="168"/>
      <c r="AD1310" s="255"/>
      <c r="AE1310" s="217"/>
      <c r="AF1310" s="216"/>
      <c r="AG1310" s="216"/>
      <c r="AH1310" s="216"/>
      <c r="AI1310" s="43"/>
      <c r="AJ1310" s="43"/>
      <c r="AK1310" s="44"/>
      <c r="AL1310" s="44"/>
      <c r="AM1310" s="43"/>
      <c r="AN1310" s="44"/>
      <c r="AO1310" s="44"/>
      <c r="AP1310" s="44"/>
      <c r="AQ1310" s="44"/>
      <c r="AR1310" s="44"/>
      <c r="AS1310" s="44"/>
      <c r="AT1310" s="40"/>
      <c r="AU1310" s="18"/>
      <c r="AV1310" s="133"/>
      <c r="AW1310" s="34"/>
      <c r="AX1310" s="123"/>
    </row>
    <row r="1311" spans="1:50" ht="17.25" customHeight="1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166" t="s">
        <v>1435</v>
      </c>
      <c r="AB1311" s="167" t="s">
        <v>233</v>
      </c>
      <c r="AC1311" s="168"/>
      <c r="AD1311" s="255">
        <v>0</v>
      </c>
      <c r="AE1311" s="217">
        <v>0</v>
      </c>
      <c r="AF1311" s="216">
        <v>0</v>
      </c>
      <c r="AG1311" s="168">
        <v>1100000000</v>
      </c>
      <c r="AH1311" s="216">
        <v>0</v>
      </c>
      <c r="AI1311" s="43">
        <f t="shared" ref="AI1311" si="573">AE1311-AF1311+AG1311-AH1311</f>
        <v>1100000000</v>
      </c>
      <c r="AJ1311" s="43">
        <f t="shared" ref="AJ1311" si="574">AD1311+AI1311</f>
        <v>1100000000</v>
      </c>
      <c r="AK1311" s="44">
        <v>0</v>
      </c>
      <c r="AL1311" s="44">
        <v>0</v>
      </c>
      <c r="AM1311" s="43">
        <v>0</v>
      </c>
      <c r="AN1311" s="44">
        <v>0</v>
      </c>
      <c r="AO1311" s="44">
        <v>0</v>
      </c>
      <c r="AP1311" s="44">
        <v>0</v>
      </c>
      <c r="AQ1311" s="44">
        <v>0</v>
      </c>
      <c r="AR1311" s="44">
        <v>0</v>
      </c>
      <c r="AS1311" s="44">
        <v>0</v>
      </c>
      <c r="AT1311" s="40">
        <f t="shared" ref="AT1311" si="575">AQ1311+AS1311</f>
        <v>0</v>
      </c>
      <c r="AU1311" s="18">
        <f>AJ1311-AM1311</f>
        <v>1100000000</v>
      </c>
      <c r="AV1311" s="133">
        <f>AM1311-AP1311</f>
        <v>0</v>
      </c>
      <c r="AW1311" s="34">
        <f>AP1311-AT1311</f>
        <v>0</v>
      </c>
      <c r="AX1311" s="123">
        <f>AP1311/AJ1311</f>
        <v>0</v>
      </c>
    </row>
    <row r="1312" spans="1:50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170" t="s">
        <v>288</v>
      </c>
      <c r="AB1312" s="165" t="s">
        <v>1154</v>
      </c>
      <c r="AC1312" s="168"/>
      <c r="AD1312" s="255"/>
      <c r="AE1312" s="236"/>
      <c r="AF1312" s="216"/>
      <c r="AG1312" s="44"/>
      <c r="AH1312" s="44"/>
      <c r="AI1312" s="44"/>
      <c r="AJ1312" s="43"/>
      <c r="AK1312" s="44"/>
      <c r="AL1312" s="44"/>
      <c r="AM1312" s="44"/>
      <c r="AN1312" s="44"/>
      <c r="AO1312" s="44"/>
      <c r="AP1312" s="44"/>
      <c r="AQ1312" s="44"/>
      <c r="AR1312" s="44"/>
      <c r="AS1312" s="44"/>
      <c r="AT1312" s="135"/>
      <c r="AU1312" s="133"/>
      <c r="AV1312" s="133"/>
      <c r="AW1312" s="34"/>
      <c r="AX1312" s="123"/>
    </row>
    <row r="1313" spans="1:50" ht="25.5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166" t="s">
        <v>1155</v>
      </c>
      <c r="AB1313" s="167" t="s">
        <v>1055</v>
      </c>
      <c r="AC1313" s="168"/>
      <c r="AD1313" s="255">
        <v>0</v>
      </c>
      <c r="AE1313" s="217">
        <v>200000000</v>
      </c>
      <c r="AF1313" s="216">
        <v>0</v>
      </c>
      <c r="AG1313" s="216">
        <v>0</v>
      </c>
      <c r="AH1313" s="216">
        <v>0</v>
      </c>
      <c r="AI1313" s="43">
        <f t="shared" ref="AI1313" si="576">AE1313-AF1313+AG1313-AH1313</f>
        <v>200000000</v>
      </c>
      <c r="AJ1313" s="43">
        <f t="shared" ref="AJ1313" si="577">AD1313+AI1313</f>
        <v>200000000</v>
      </c>
      <c r="AK1313" s="44">
        <v>0</v>
      </c>
      <c r="AL1313" s="44">
        <v>0</v>
      </c>
      <c r="AM1313" s="43">
        <v>200000000</v>
      </c>
      <c r="AN1313" s="44">
        <v>0</v>
      </c>
      <c r="AO1313" s="44">
        <v>0</v>
      </c>
      <c r="AP1313" s="43">
        <v>200000000</v>
      </c>
      <c r="AQ1313" s="44">
        <v>0</v>
      </c>
      <c r="AR1313" s="44">
        <v>0</v>
      </c>
      <c r="AS1313" s="43">
        <v>200000000</v>
      </c>
      <c r="AT1313" s="39">
        <f t="shared" ref="AT1313" si="578">AQ1313+AS1313</f>
        <v>200000000</v>
      </c>
      <c r="AU1313" s="133">
        <f>AJ1313-AM1313</f>
        <v>0</v>
      </c>
      <c r="AV1313" s="133">
        <f>AM1313-AP1313</f>
        <v>0</v>
      </c>
      <c r="AW1313" s="34">
        <f>AP1313-AT1313</f>
        <v>0</v>
      </c>
      <c r="AX1313" s="123">
        <f>AP1313/AJ1313</f>
        <v>1</v>
      </c>
    </row>
    <row r="1314" spans="1:50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170" t="s">
        <v>288</v>
      </c>
      <c r="AB1314" s="165" t="s">
        <v>1156</v>
      </c>
      <c r="AC1314" s="168"/>
      <c r="AD1314" s="255"/>
      <c r="AE1314" s="236"/>
      <c r="AF1314" s="216"/>
      <c r="AG1314" s="44"/>
      <c r="AH1314" s="44"/>
      <c r="AI1314" s="44"/>
      <c r="AJ1314" s="43"/>
      <c r="AK1314" s="44"/>
      <c r="AL1314" s="44"/>
      <c r="AM1314" s="44"/>
      <c r="AN1314" s="44"/>
      <c r="AO1314" s="44"/>
      <c r="AP1314" s="44"/>
      <c r="AQ1314" s="44"/>
      <c r="AR1314" s="44"/>
      <c r="AS1314" s="44"/>
      <c r="AT1314" s="135"/>
      <c r="AU1314" s="133"/>
      <c r="AV1314" s="133"/>
      <c r="AW1314" s="34"/>
      <c r="AX1314" s="123"/>
    </row>
    <row r="1315" spans="1:50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166" t="s">
        <v>1157</v>
      </c>
      <c r="AB1315" s="167" t="s">
        <v>1013</v>
      </c>
      <c r="AC1315" s="168"/>
      <c r="AD1315" s="255">
        <v>0</v>
      </c>
      <c r="AE1315" s="217">
        <v>70000000</v>
      </c>
      <c r="AF1315" s="216">
        <v>0</v>
      </c>
      <c r="AG1315" s="216">
        <v>0</v>
      </c>
      <c r="AH1315" s="216">
        <v>0</v>
      </c>
      <c r="AI1315" s="43">
        <f t="shared" ref="AI1315" si="579">AE1315-AF1315+AG1315-AH1315</f>
        <v>70000000</v>
      </c>
      <c r="AJ1315" s="43">
        <f t="shared" ref="AJ1315" si="580">AD1315+AI1315</f>
        <v>70000000</v>
      </c>
      <c r="AK1315" s="44">
        <v>0</v>
      </c>
      <c r="AL1315" s="44">
        <v>0</v>
      </c>
      <c r="AM1315" s="43">
        <v>70000000</v>
      </c>
      <c r="AN1315" s="44">
        <v>0</v>
      </c>
      <c r="AO1315" s="44">
        <v>0</v>
      </c>
      <c r="AP1315" s="43">
        <v>70000000</v>
      </c>
      <c r="AQ1315" s="44">
        <v>0</v>
      </c>
      <c r="AR1315" s="44">
        <v>0</v>
      </c>
      <c r="AS1315" s="43">
        <v>70000000</v>
      </c>
      <c r="AT1315" s="39">
        <f t="shared" ref="AT1315" si="581">AQ1315+AS1315</f>
        <v>70000000</v>
      </c>
      <c r="AU1315" s="133">
        <f>AJ1315-AM1315</f>
        <v>0</v>
      </c>
      <c r="AV1315" s="133">
        <f>AM1315-AP1315</f>
        <v>0</v>
      </c>
      <c r="AW1315" s="34">
        <f>AP1315-AT1315</f>
        <v>0</v>
      </c>
      <c r="AX1315" s="123">
        <f>AP1315/AJ1315</f>
        <v>1</v>
      </c>
    </row>
    <row r="1316" spans="1:50" ht="25.5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170" t="s">
        <v>288</v>
      </c>
      <c r="AB1316" s="165" t="s">
        <v>1158</v>
      </c>
      <c r="AC1316" s="168"/>
      <c r="AD1316" s="255"/>
      <c r="AE1316" s="236"/>
      <c r="AF1316" s="216"/>
      <c r="AG1316" s="44"/>
      <c r="AH1316" s="44"/>
      <c r="AI1316" s="44"/>
      <c r="AJ1316" s="43"/>
      <c r="AK1316" s="44"/>
      <c r="AL1316" s="44"/>
      <c r="AM1316" s="44"/>
      <c r="AN1316" s="44"/>
      <c r="AO1316" s="44"/>
      <c r="AP1316" s="44"/>
      <c r="AQ1316" s="44"/>
      <c r="AR1316" s="44"/>
      <c r="AS1316" s="43"/>
      <c r="AT1316" s="39"/>
      <c r="AU1316" s="133"/>
      <c r="AV1316" s="133"/>
      <c r="AW1316" s="34"/>
      <c r="AX1316" s="123"/>
    </row>
    <row r="1317" spans="1:50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166" t="s">
        <v>1159</v>
      </c>
      <c r="AB1317" s="167" t="s">
        <v>1013</v>
      </c>
      <c r="AC1317" s="168"/>
      <c r="AD1317" s="255">
        <v>0</v>
      </c>
      <c r="AE1317" s="217">
        <v>34660667.719999999</v>
      </c>
      <c r="AF1317" s="216">
        <v>0</v>
      </c>
      <c r="AG1317" s="216">
        <v>0</v>
      </c>
      <c r="AH1317" s="216">
        <v>0</v>
      </c>
      <c r="AI1317" s="43">
        <f t="shared" ref="AI1317" si="582">AE1317-AF1317+AG1317-AH1317</f>
        <v>34660667.719999999</v>
      </c>
      <c r="AJ1317" s="43">
        <f t="shared" ref="AJ1317" si="583">AD1317+AI1317</f>
        <v>34660667.719999999</v>
      </c>
      <c r="AK1317" s="44">
        <v>0</v>
      </c>
      <c r="AL1317" s="44">
        <v>0</v>
      </c>
      <c r="AM1317" s="43">
        <v>34660667.719999999</v>
      </c>
      <c r="AN1317" s="44">
        <v>0</v>
      </c>
      <c r="AO1317" s="44">
        <v>0</v>
      </c>
      <c r="AP1317" s="43">
        <v>34660667.719999999</v>
      </c>
      <c r="AQ1317" s="44">
        <v>0</v>
      </c>
      <c r="AR1317" s="44">
        <v>0</v>
      </c>
      <c r="AS1317" s="43">
        <v>34660667.719999999</v>
      </c>
      <c r="AT1317" s="39">
        <f t="shared" ref="AT1317" si="584">AQ1317+AS1317</f>
        <v>34660667.719999999</v>
      </c>
      <c r="AU1317" s="133">
        <f>AJ1317-AM1317</f>
        <v>0</v>
      </c>
      <c r="AV1317" s="133">
        <f>AM1317-AP1317</f>
        <v>0</v>
      </c>
      <c r="AW1317" s="34">
        <f>AP1317-AT1317</f>
        <v>0</v>
      </c>
      <c r="AX1317" s="123">
        <f>AP1317/AJ1317</f>
        <v>1</v>
      </c>
    </row>
    <row r="1318" spans="1:50" ht="17.25" customHeight="1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170" t="s">
        <v>288</v>
      </c>
      <c r="AB1318" s="165" t="s">
        <v>1160</v>
      </c>
      <c r="AC1318" s="168"/>
      <c r="AD1318" s="255"/>
      <c r="AE1318" s="236"/>
      <c r="AF1318" s="216"/>
      <c r="AG1318" s="44"/>
      <c r="AH1318" s="44"/>
      <c r="AI1318" s="44"/>
      <c r="AJ1318" s="43"/>
      <c r="AK1318" s="44"/>
      <c r="AL1318" s="44"/>
      <c r="AM1318" s="44"/>
      <c r="AN1318" s="44"/>
      <c r="AO1318" s="44"/>
      <c r="AP1318" s="44"/>
      <c r="AQ1318" s="44"/>
      <c r="AR1318" s="44"/>
      <c r="AS1318" s="44"/>
      <c r="AT1318" s="135"/>
      <c r="AU1318" s="133"/>
      <c r="AV1318" s="133"/>
      <c r="AW1318" s="34"/>
      <c r="AX1318" s="123"/>
    </row>
    <row r="1319" spans="1:50" ht="31.5" customHeight="1" x14ac:dyDescent="0.2">
      <c r="AA1319" s="166" t="s">
        <v>1161</v>
      </c>
      <c r="AB1319" s="167" t="s">
        <v>1044</v>
      </c>
      <c r="AC1319" s="161"/>
      <c r="AD1319" s="256">
        <v>0</v>
      </c>
      <c r="AE1319" s="217">
        <v>106000000</v>
      </c>
      <c r="AF1319" s="216">
        <v>0</v>
      </c>
      <c r="AG1319" s="216">
        <v>0</v>
      </c>
      <c r="AH1319" s="216">
        <v>0</v>
      </c>
      <c r="AI1319" s="43">
        <f t="shared" ref="AI1319" si="585">AE1319-AF1319+AG1319-AH1319</f>
        <v>106000000</v>
      </c>
      <c r="AJ1319" s="43">
        <f t="shared" ref="AJ1319" si="586">AD1319+AI1319</f>
        <v>106000000</v>
      </c>
      <c r="AK1319" s="34">
        <v>0</v>
      </c>
      <c r="AL1319" s="34">
        <v>0</v>
      </c>
      <c r="AM1319" s="18">
        <v>106000000</v>
      </c>
      <c r="AN1319" s="34">
        <v>0</v>
      </c>
      <c r="AO1319" s="34">
        <v>0</v>
      </c>
      <c r="AP1319" s="18">
        <v>106000000</v>
      </c>
      <c r="AQ1319" s="34">
        <v>0</v>
      </c>
      <c r="AR1319" s="34">
        <v>0</v>
      </c>
      <c r="AS1319" s="18">
        <v>106000000</v>
      </c>
      <c r="AT1319" s="39">
        <f t="shared" ref="AT1319" si="587">AQ1319+AS1319</f>
        <v>106000000</v>
      </c>
      <c r="AU1319" s="133">
        <f>AJ1319-AM1319</f>
        <v>0</v>
      </c>
      <c r="AV1319" s="133">
        <f>AM1319-AP1319</f>
        <v>0</v>
      </c>
      <c r="AW1319" s="34">
        <f>AP1319-AT1319</f>
        <v>0</v>
      </c>
      <c r="AX1319" s="123">
        <f>AP1319/AJ1319</f>
        <v>1</v>
      </c>
    </row>
    <row r="1320" spans="1:50" ht="14.25" customHeight="1" x14ac:dyDescent="0.2">
      <c r="AA1320" s="229"/>
      <c r="AB1320" s="230"/>
      <c r="AC1320" s="161"/>
      <c r="AD1320" s="18"/>
      <c r="AE1320" s="234"/>
      <c r="AF1320" s="34"/>
      <c r="AG1320" s="34"/>
      <c r="AH1320" s="34"/>
      <c r="AI1320" s="34"/>
      <c r="AJ1320" s="18"/>
      <c r="AK1320" s="34"/>
      <c r="AL1320" s="18"/>
      <c r="AM1320" s="18"/>
      <c r="AN1320" s="34"/>
      <c r="AO1320" s="18"/>
      <c r="AP1320" s="18"/>
      <c r="AQ1320" s="18"/>
      <c r="AR1320" s="18"/>
      <c r="AS1320" s="18"/>
      <c r="AT1320" s="30"/>
      <c r="AU1320" s="18"/>
      <c r="AV1320" s="18"/>
      <c r="AW1320" s="18"/>
      <c r="AX1320" s="18"/>
    </row>
    <row r="1321" spans="1:50" s="343" customFormat="1" ht="15.75" customHeight="1" x14ac:dyDescent="0.2">
      <c r="A1321" s="50"/>
      <c r="B1321" s="77"/>
      <c r="C1321" s="77"/>
      <c r="D1321" s="77"/>
      <c r="E1321" s="77"/>
      <c r="F1321" s="77"/>
      <c r="G1321" s="77"/>
      <c r="H1321" s="77"/>
      <c r="I1321" s="77"/>
      <c r="J1321" s="77"/>
      <c r="K1321" s="77"/>
      <c r="L1321" s="77"/>
      <c r="M1321" s="77"/>
      <c r="N1321" s="77"/>
      <c r="O1321" s="77"/>
      <c r="P1321" s="77"/>
      <c r="Q1321" s="77"/>
      <c r="R1321" s="77"/>
      <c r="S1321" s="77"/>
      <c r="T1321" s="77"/>
      <c r="U1321" s="77"/>
      <c r="V1321" s="77"/>
      <c r="W1321" s="77"/>
      <c r="X1321" s="77"/>
      <c r="Y1321" s="77"/>
      <c r="Z1321" s="77"/>
      <c r="AA1321" s="227"/>
      <c r="AB1321" s="228" t="s">
        <v>1425</v>
      </c>
      <c r="AC1321" s="22" t="s">
        <v>751</v>
      </c>
      <c r="AD1321" s="22">
        <f t="shared" ref="AD1321:AS1321" si="588">SUM(AD1282:AD1319)</f>
        <v>14059854870</v>
      </c>
      <c r="AE1321" s="22">
        <f t="shared" si="588"/>
        <v>1500488308.04</v>
      </c>
      <c r="AF1321" s="23">
        <f t="shared" si="588"/>
        <v>0</v>
      </c>
      <c r="AG1321" s="22">
        <f t="shared" si="588"/>
        <v>7100000000</v>
      </c>
      <c r="AH1321" s="23">
        <f t="shared" si="588"/>
        <v>0</v>
      </c>
      <c r="AI1321" s="23">
        <f t="shared" si="588"/>
        <v>8600488308.0400009</v>
      </c>
      <c r="AJ1321" s="22">
        <f t="shared" si="588"/>
        <v>22660343178.040001</v>
      </c>
      <c r="AK1321" s="23">
        <f t="shared" si="588"/>
        <v>0</v>
      </c>
      <c r="AL1321" s="22">
        <f t="shared" si="588"/>
        <v>1250764837</v>
      </c>
      <c r="AM1321" s="22">
        <f t="shared" si="588"/>
        <v>15091535551.58</v>
      </c>
      <c r="AN1321" s="23">
        <f t="shared" si="588"/>
        <v>0</v>
      </c>
      <c r="AO1321" s="22">
        <f t="shared" si="588"/>
        <v>1250764837</v>
      </c>
      <c r="AP1321" s="22">
        <f t="shared" si="588"/>
        <v>15091535551.58</v>
      </c>
      <c r="AQ1321" s="23">
        <f t="shared" si="588"/>
        <v>0</v>
      </c>
      <c r="AR1321" s="22">
        <f t="shared" si="588"/>
        <v>1505781066.5900002</v>
      </c>
      <c r="AS1321" s="22">
        <f t="shared" si="588"/>
        <v>15091535551.58</v>
      </c>
      <c r="AT1321" s="22">
        <f>AQ1321+AS1321</f>
        <v>15091535551.58</v>
      </c>
      <c r="AU1321" s="22">
        <f>SUM(AU1282:AU1319)</f>
        <v>7568807626.46</v>
      </c>
      <c r="AV1321" s="23">
        <f>SUM(AV1282:AV1319)</f>
        <v>0</v>
      </c>
      <c r="AW1321" s="23">
        <f>SUM(AW1282:AW1319)</f>
        <v>0</v>
      </c>
      <c r="AX1321" s="24">
        <f>AP1321/AJ1321</f>
        <v>0.66598883490013139</v>
      </c>
    </row>
    <row r="1322" spans="1:50" x14ac:dyDescent="0.2">
      <c r="AA1322" s="16"/>
      <c r="AB1322" s="17"/>
      <c r="AC1322" s="17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</row>
    <row r="1323" spans="1:50" x14ac:dyDescent="0.2">
      <c r="AA1323" s="16"/>
      <c r="AB1323" s="29" t="s">
        <v>207</v>
      </c>
      <c r="AC1323" s="17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</row>
    <row r="1324" spans="1:50" x14ac:dyDescent="0.2">
      <c r="AA1324" s="16"/>
      <c r="AB1324" s="29" t="s">
        <v>285</v>
      </c>
      <c r="AC1324" s="17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</row>
    <row r="1325" spans="1:50" x14ac:dyDescent="0.2">
      <c r="AA1325" s="16"/>
      <c r="AB1325" s="29" t="s">
        <v>202</v>
      </c>
      <c r="AC1325" s="17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</row>
    <row r="1326" spans="1:50" x14ac:dyDescent="0.2">
      <c r="AA1326" s="16"/>
      <c r="AB1326" s="29" t="s">
        <v>203</v>
      </c>
      <c r="AC1326" s="17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</row>
    <row r="1327" spans="1:50" x14ac:dyDescent="0.2">
      <c r="AA1327" s="16"/>
      <c r="AB1327" s="29" t="s">
        <v>752</v>
      </c>
      <c r="AC1327" s="17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</row>
    <row r="1328" spans="1:50" ht="25.5" x14ac:dyDescent="0.2">
      <c r="AA1328" s="16"/>
      <c r="AB1328" s="29" t="s">
        <v>205</v>
      </c>
      <c r="AC1328" s="17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</row>
    <row r="1329" spans="1:50" ht="25.5" x14ac:dyDescent="0.2">
      <c r="AA1329" s="16"/>
      <c r="AB1329" s="29" t="s">
        <v>205</v>
      </c>
      <c r="AC1329" s="17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30"/>
      <c r="AU1329" s="18"/>
      <c r="AV1329" s="18"/>
      <c r="AW1329" s="18"/>
      <c r="AX1329" s="18"/>
    </row>
    <row r="1330" spans="1:50" x14ac:dyDescent="0.2">
      <c r="AA1330" s="73" t="s">
        <v>288</v>
      </c>
      <c r="AB1330" s="29" t="s">
        <v>1436</v>
      </c>
      <c r="AC1330" s="17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30"/>
      <c r="AU1330" s="18"/>
      <c r="AV1330" s="18"/>
      <c r="AW1330" s="18"/>
      <c r="AX1330" s="18"/>
    </row>
    <row r="1331" spans="1:50" x14ac:dyDescent="0.2">
      <c r="AA1331" s="41" t="s">
        <v>1437</v>
      </c>
      <c r="AB1331" s="38" t="s">
        <v>233</v>
      </c>
      <c r="AC1331" s="17"/>
      <c r="AD1331" s="34">
        <v>0</v>
      </c>
      <c r="AE1331" s="34">
        <v>0</v>
      </c>
      <c r="AF1331" s="34">
        <v>0</v>
      </c>
      <c r="AG1331" s="18">
        <v>3000000000</v>
      </c>
      <c r="AH1331" s="34">
        <v>0</v>
      </c>
      <c r="AI1331" s="43">
        <f t="shared" ref="AI1331" si="589">AE1331-AF1331+AG1331-AH1331</f>
        <v>3000000000</v>
      </c>
      <c r="AJ1331" s="43">
        <f t="shared" ref="AJ1331" si="590">AD1331+AI1331</f>
        <v>3000000000</v>
      </c>
      <c r="AK1331" s="18">
        <v>0</v>
      </c>
      <c r="AL1331" s="18">
        <v>0</v>
      </c>
      <c r="AM1331" s="18">
        <v>0</v>
      </c>
      <c r="AN1331" s="18">
        <v>0</v>
      </c>
      <c r="AO1331" s="18">
        <v>0</v>
      </c>
      <c r="AP1331" s="34">
        <v>0</v>
      </c>
      <c r="AQ1331" s="34">
        <v>0</v>
      </c>
      <c r="AR1331" s="34">
        <v>0</v>
      </c>
      <c r="AS1331" s="34">
        <v>0</v>
      </c>
      <c r="AT1331" s="40">
        <f t="shared" ref="AT1331" si="591">AQ1331+AS1331</f>
        <v>0</v>
      </c>
      <c r="AU1331" s="110">
        <f>AJ1331-AM1331</f>
        <v>3000000000</v>
      </c>
      <c r="AV1331" s="133">
        <f>AM1331-AP1331</f>
        <v>0</v>
      </c>
      <c r="AW1331" s="34">
        <f>AP1331-AT1331</f>
        <v>0</v>
      </c>
      <c r="AX1331" s="123">
        <f>AP1331/AJ1331</f>
        <v>0</v>
      </c>
    </row>
    <row r="1332" spans="1:50" ht="25.5" x14ac:dyDescent="0.2">
      <c r="AA1332" s="28" t="s">
        <v>288</v>
      </c>
      <c r="AB1332" s="29" t="s">
        <v>753</v>
      </c>
      <c r="AC1332" s="17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30"/>
      <c r="AU1332" s="18"/>
      <c r="AV1332" s="18"/>
      <c r="AW1332" s="18"/>
      <c r="AX1332" s="18"/>
    </row>
    <row r="1333" spans="1:50" x14ac:dyDescent="0.2">
      <c r="A1333" s="4" t="s">
        <v>55</v>
      </c>
      <c r="B1333" s="4" t="s">
        <v>56</v>
      </c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1" t="s">
        <v>754</v>
      </c>
      <c r="AB1333" s="42" t="s">
        <v>233</v>
      </c>
      <c r="AC1333" s="43" t="s">
        <v>58</v>
      </c>
      <c r="AD1333" s="43">
        <v>3500000000</v>
      </c>
      <c r="AE1333" s="44">
        <v>0</v>
      </c>
      <c r="AF1333" s="44">
        <v>0</v>
      </c>
      <c r="AG1333" s="44">
        <v>0</v>
      </c>
      <c r="AH1333" s="44">
        <v>0</v>
      </c>
      <c r="AI1333" s="44">
        <f t="shared" ref="AI1333:AI1334" si="592">AE1333-AF1333+AG1333-AH1333</f>
        <v>0</v>
      </c>
      <c r="AJ1333" s="43">
        <f t="shared" ref="AJ1333:AJ1334" si="593">AD1333+AI1333</f>
        <v>3500000000</v>
      </c>
      <c r="AK1333" s="44">
        <v>0</v>
      </c>
      <c r="AL1333" s="43">
        <v>291666667</v>
      </c>
      <c r="AM1333" s="43">
        <v>3208333337</v>
      </c>
      <c r="AN1333" s="44">
        <v>0</v>
      </c>
      <c r="AO1333" s="43">
        <v>291666667</v>
      </c>
      <c r="AP1333" s="43">
        <v>3208333337</v>
      </c>
      <c r="AQ1333" s="44">
        <v>0</v>
      </c>
      <c r="AR1333" s="43">
        <v>291666667</v>
      </c>
      <c r="AS1333" s="43">
        <v>3208333337</v>
      </c>
      <c r="AT1333" s="39">
        <f t="shared" ref="AT1333:AT1334" si="594">AQ1333+AS1333</f>
        <v>3208333337</v>
      </c>
      <c r="AU1333" s="110">
        <f>AJ1333-AM1333</f>
        <v>291666663</v>
      </c>
      <c r="AV1333" s="133">
        <f>AM1333-AP1333</f>
        <v>0</v>
      </c>
      <c r="AW1333" s="34">
        <f>AP1333-AT1333</f>
        <v>0</v>
      </c>
      <c r="AX1333" s="123">
        <f>AP1333/AJ1333</f>
        <v>0.91666666771428573</v>
      </c>
    </row>
    <row r="1334" spans="1:50" x14ac:dyDescent="0.2">
      <c r="A1334" s="4" t="s">
        <v>55</v>
      </c>
      <c r="B1334" s="4" t="s">
        <v>56</v>
      </c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1" t="s">
        <v>1237</v>
      </c>
      <c r="AB1334" s="69" t="s">
        <v>756</v>
      </c>
      <c r="AC1334" s="43" t="s">
        <v>757</v>
      </c>
      <c r="AD1334" s="43">
        <v>103000000</v>
      </c>
      <c r="AE1334" s="44">
        <v>0</v>
      </c>
      <c r="AF1334" s="44">
        <v>0</v>
      </c>
      <c r="AG1334" s="44">
        <v>0</v>
      </c>
      <c r="AH1334" s="44">
        <v>0</v>
      </c>
      <c r="AI1334" s="44">
        <f t="shared" si="592"/>
        <v>0</v>
      </c>
      <c r="AJ1334" s="43">
        <f t="shared" si="593"/>
        <v>103000000</v>
      </c>
      <c r="AK1334" s="44">
        <v>0</v>
      </c>
      <c r="AL1334" s="43">
        <v>0</v>
      </c>
      <c r="AM1334" s="43">
        <v>34770760</v>
      </c>
      <c r="AN1334" s="44">
        <v>0</v>
      </c>
      <c r="AO1334" s="43">
        <v>0</v>
      </c>
      <c r="AP1334" s="43">
        <v>34770760</v>
      </c>
      <c r="AQ1334" s="44">
        <v>0</v>
      </c>
      <c r="AR1334" s="44">
        <v>0</v>
      </c>
      <c r="AS1334" s="43">
        <v>34770760</v>
      </c>
      <c r="AT1334" s="39">
        <f t="shared" si="594"/>
        <v>34770760</v>
      </c>
      <c r="AU1334" s="110">
        <f>AJ1334-AM1334</f>
        <v>68229240</v>
      </c>
      <c r="AV1334" s="133">
        <f>AM1334-AP1334</f>
        <v>0</v>
      </c>
      <c r="AW1334" s="34">
        <f>AP1334-AT1334</f>
        <v>0</v>
      </c>
      <c r="AX1334" s="123">
        <f>AP1334/AJ1334</f>
        <v>0.33758019417475726</v>
      </c>
    </row>
    <row r="1335" spans="1:50" x14ac:dyDescent="0.2">
      <c r="AA1335" s="162"/>
      <c r="AB1335" s="223"/>
      <c r="AC1335" s="17"/>
      <c r="AD1335" s="18"/>
      <c r="AE1335" s="34"/>
      <c r="AF1335" s="34"/>
      <c r="AG1335" s="34"/>
      <c r="AH1335" s="34"/>
      <c r="AI1335" s="34"/>
      <c r="AJ1335" s="18"/>
      <c r="AK1335" s="34"/>
      <c r="AL1335" s="18"/>
      <c r="AM1335" s="18"/>
      <c r="AN1335" s="34"/>
      <c r="AO1335" s="18"/>
      <c r="AP1335" s="18"/>
      <c r="AQ1335" s="34"/>
      <c r="AR1335" s="18"/>
      <c r="AS1335" s="18"/>
      <c r="AT1335" s="30"/>
      <c r="AU1335" s="18"/>
      <c r="AV1335" s="18"/>
      <c r="AW1335" s="18"/>
      <c r="AX1335" s="18"/>
    </row>
    <row r="1336" spans="1:50" s="343" customFormat="1" x14ac:dyDescent="0.2">
      <c r="A1336" s="50"/>
      <c r="B1336" s="77"/>
      <c r="C1336" s="77"/>
      <c r="D1336" s="77"/>
      <c r="E1336" s="77"/>
      <c r="F1336" s="77"/>
      <c r="G1336" s="77"/>
      <c r="H1336" s="77"/>
      <c r="I1336" s="77"/>
      <c r="J1336" s="77"/>
      <c r="K1336" s="77"/>
      <c r="L1336" s="77"/>
      <c r="M1336" s="77"/>
      <c r="N1336" s="77"/>
      <c r="O1336" s="77"/>
      <c r="P1336" s="77"/>
      <c r="Q1336" s="77"/>
      <c r="R1336" s="77"/>
      <c r="S1336" s="77"/>
      <c r="T1336" s="77"/>
      <c r="U1336" s="77"/>
      <c r="V1336" s="77"/>
      <c r="W1336" s="77"/>
      <c r="X1336" s="77"/>
      <c r="Y1336" s="77"/>
      <c r="Z1336" s="77"/>
      <c r="AA1336" s="46"/>
      <c r="AB1336" s="47" t="s">
        <v>758</v>
      </c>
      <c r="AC1336" s="22" t="s">
        <v>759</v>
      </c>
      <c r="AD1336" s="22">
        <f>SUM(AD1329:AD1335)</f>
        <v>3603000000</v>
      </c>
      <c r="AE1336" s="23">
        <f t="shared" ref="AE1336:AW1336" si="595">SUM(AE1329:AE1335)</f>
        <v>0</v>
      </c>
      <c r="AF1336" s="23">
        <f t="shared" si="595"/>
        <v>0</v>
      </c>
      <c r="AG1336" s="22">
        <f t="shared" si="595"/>
        <v>3000000000</v>
      </c>
      <c r="AH1336" s="23">
        <f t="shared" si="595"/>
        <v>0</v>
      </c>
      <c r="AI1336" s="22">
        <f t="shared" si="595"/>
        <v>3000000000</v>
      </c>
      <c r="AJ1336" s="22">
        <f t="shared" si="595"/>
        <v>6603000000</v>
      </c>
      <c r="AK1336" s="22">
        <f t="shared" si="595"/>
        <v>0</v>
      </c>
      <c r="AL1336" s="22">
        <f t="shared" si="595"/>
        <v>291666667</v>
      </c>
      <c r="AM1336" s="22">
        <f t="shared" si="595"/>
        <v>3243104097</v>
      </c>
      <c r="AN1336" s="22">
        <f t="shared" si="595"/>
        <v>0</v>
      </c>
      <c r="AO1336" s="22">
        <f t="shared" si="595"/>
        <v>291666667</v>
      </c>
      <c r="AP1336" s="22">
        <f t="shared" si="595"/>
        <v>3243104097</v>
      </c>
      <c r="AQ1336" s="23">
        <f t="shared" si="595"/>
        <v>0</v>
      </c>
      <c r="AR1336" s="22">
        <f t="shared" si="595"/>
        <v>291666667</v>
      </c>
      <c r="AS1336" s="22">
        <f t="shared" si="595"/>
        <v>3243104097</v>
      </c>
      <c r="AT1336" s="22">
        <f t="shared" si="595"/>
        <v>3243104097</v>
      </c>
      <c r="AU1336" s="22">
        <f t="shared" si="595"/>
        <v>3359895903</v>
      </c>
      <c r="AV1336" s="23">
        <f t="shared" si="595"/>
        <v>0</v>
      </c>
      <c r="AW1336" s="22">
        <f t="shared" si="595"/>
        <v>0</v>
      </c>
      <c r="AX1336" s="24">
        <f>AP1336/AJ1336</f>
        <v>0.49115615583825534</v>
      </c>
    </row>
    <row r="1337" spans="1:50" x14ac:dyDescent="0.2">
      <c r="AA1337" s="16"/>
      <c r="AB1337" s="17"/>
      <c r="AC1337" s="17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</row>
    <row r="1338" spans="1:50" x14ac:dyDescent="0.2">
      <c r="A1338" s="25"/>
      <c r="B1338" s="71"/>
      <c r="C1338" s="71"/>
      <c r="D1338" s="71"/>
      <c r="E1338" s="71"/>
      <c r="F1338" s="71"/>
      <c r="G1338" s="71"/>
      <c r="H1338" s="71"/>
      <c r="I1338" s="71"/>
      <c r="J1338" s="71"/>
      <c r="K1338" s="71"/>
      <c r="L1338" s="71"/>
      <c r="M1338" s="71"/>
      <c r="N1338" s="71"/>
      <c r="O1338" s="71"/>
      <c r="P1338" s="71"/>
      <c r="Q1338" s="71"/>
      <c r="R1338" s="71"/>
      <c r="S1338" s="71"/>
      <c r="T1338" s="71"/>
      <c r="U1338" s="71"/>
      <c r="V1338" s="71"/>
      <c r="W1338" s="71"/>
      <c r="X1338" s="71"/>
      <c r="Y1338" s="71"/>
      <c r="Z1338" s="71"/>
      <c r="AA1338" s="66"/>
      <c r="AB1338" s="21" t="s">
        <v>760</v>
      </c>
      <c r="AC1338" s="67"/>
      <c r="AD1338" s="63"/>
      <c r="AE1338" s="63"/>
      <c r="AF1338" s="63"/>
      <c r="AG1338" s="63"/>
      <c r="AH1338" s="63"/>
      <c r="AI1338" s="63"/>
      <c r="AJ1338" s="63"/>
      <c r="AK1338" s="63"/>
      <c r="AL1338" s="63"/>
      <c r="AM1338" s="63"/>
      <c r="AN1338" s="63"/>
      <c r="AO1338" s="63"/>
      <c r="AP1338" s="63"/>
      <c r="AQ1338" s="63"/>
      <c r="AR1338" s="63"/>
      <c r="AS1338" s="63"/>
      <c r="AT1338" s="63"/>
      <c r="AU1338" s="63"/>
      <c r="AV1338" s="63"/>
      <c r="AW1338" s="63"/>
      <c r="AX1338" s="63"/>
    </row>
    <row r="1339" spans="1:50" x14ac:dyDescent="0.2">
      <c r="AA1339" s="16"/>
      <c r="AB1339" s="29" t="s">
        <v>285</v>
      </c>
      <c r="AC1339" s="17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</row>
    <row r="1340" spans="1:50" x14ac:dyDescent="0.2">
      <c r="AA1340" s="16"/>
      <c r="AB1340" s="29" t="s">
        <v>177</v>
      </c>
      <c r="AC1340" s="17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</row>
    <row r="1341" spans="1:50" x14ac:dyDescent="0.2">
      <c r="AA1341" s="16"/>
      <c r="AB1341" s="29" t="s">
        <v>179</v>
      </c>
      <c r="AC1341" s="17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</row>
    <row r="1342" spans="1:50" x14ac:dyDescent="0.2">
      <c r="AA1342" s="16"/>
      <c r="AB1342" s="29" t="s">
        <v>761</v>
      </c>
      <c r="AC1342" s="17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</row>
    <row r="1343" spans="1:50" ht="25.5" x14ac:dyDescent="0.2">
      <c r="AA1343" s="16"/>
      <c r="AB1343" s="29" t="s">
        <v>298</v>
      </c>
      <c r="AC1343" s="17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  <c r="AQ1343" s="18"/>
      <c r="AR1343" s="18"/>
      <c r="AS1343" s="18"/>
      <c r="AT1343" s="18"/>
      <c r="AU1343" s="18"/>
      <c r="AV1343" s="18"/>
      <c r="AW1343" s="18"/>
      <c r="AX1343" s="18"/>
    </row>
    <row r="1344" spans="1:50" x14ac:dyDescent="0.2">
      <c r="AA1344" s="28" t="s">
        <v>288</v>
      </c>
      <c r="AB1344" s="29">
        <v>0</v>
      </c>
      <c r="AC1344" s="17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30"/>
      <c r="AU1344" s="18"/>
      <c r="AV1344" s="18"/>
      <c r="AW1344" s="18"/>
      <c r="AX1344" s="18"/>
    </row>
    <row r="1345" spans="1:50" x14ac:dyDescent="0.2">
      <c r="A1345" s="4" t="s">
        <v>55</v>
      </c>
      <c r="B1345" s="4" t="s">
        <v>56</v>
      </c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1" t="s">
        <v>763</v>
      </c>
      <c r="AB1345" s="42" t="s">
        <v>233</v>
      </c>
      <c r="AC1345" s="43" t="s">
        <v>58</v>
      </c>
      <c r="AD1345" s="43">
        <v>123000000</v>
      </c>
      <c r="AE1345" s="44">
        <v>0</v>
      </c>
      <c r="AF1345" s="44">
        <v>0</v>
      </c>
      <c r="AG1345" s="43">
        <f>431000000+18000000</f>
        <v>449000000</v>
      </c>
      <c r="AH1345" s="43">
        <f>431000000+9000000</f>
        <v>440000000</v>
      </c>
      <c r="AI1345" s="43">
        <f>AE1345-AF1345+AG1345-AH1345</f>
        <v>9000000</v>
      </c>
      <c r="AJ1345" s="43">
        <f>AD1345+AI1345</f>
        <v>132000000</v>
      </c>
      <c r="AK1345" s="44">
        <v>0</v>
      </c>
      <c r="AL1345" s="44">
        <v>0</v>
      </c>
      <c r="AM1345" s="43">
        <v>132000000</v>
      </c>
      <c r="AN1345" s="44">
        <v>0</v>
      </c>
      <c r="AO1345" s="44">
        <v>0</v>
      </c>
      <c r="AP1345" s="43">
        <v>132000000</v>
      </c>
      <c r="AQ1345" s="44">
        <v>0</v>
      </c>
      <c r="AR1345" s="43">
        <v>13103076</v>
      </c>
      <c r="AS1345" s="43">
        <v>107870612</v>
      </c>
      <c r="AT1345" s="111">
        <f t="shared" ref="AT1345:AT1349" si="596">AQ1345+AS1345</f>
        <v>107870612</v>
      </c>
      <c r="AU1345" s="133">
        <f>AJ1345-AM1345</f>
        <v>0</v>
      </c>
      <c r="AV1345" s="133">
        <f>AM1345-AP1345</f>
        <v>0</v>
      </c>
      <c r="AW1345" s="110">
        <f>AP1345-AT1345</f>
        <v>24129388</v>
      </c>
      <c r="AX1345" s="123">
        <f>AP1345/AJ1345</f>
        <v>1</v>
      </c>
    </row>
    <row r="1346" spans="1:50" ht="25.5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1" t="s">
        <v>288</v>
      </c>
      <c r="AB1346" s="74" t="s">
        <v>990</v>
      </c>
      <c r="AC1346" s="43"/>
      <c r="AD1346" s="43"/>
      <c r="AE1346" s="44"/>
      <c r="AF1346" s="44"/>
      <c r="AG1346" s="43"/>
      <c r="AH1346" s="44"/>
      <c r="AI1346" s="43"/>
      <c r="AJ1346" s="43"/>
      <c r="AK1346" s="44"/>
      <c r="AL1346" s="43"/>
      <c r="AM1346" s="43"/>
      <c r="AN1346" s="44"/>
      <c r="AO1346" s="43"/>
      <c r="AP1346" s="43"/>
      <c r="AQ1346" s="44"/>
      <c r="AR1346" s="43"/>
      <c r="AS1346" s="43"/>
      <c r="AT1346" s="191"/>
      <c r="AU1346" s="110"/>
      <c r="AV1346" s="133"/>
      <c r="AW1346" s="110"/>
      <c r="AX1346" s="123"/>
    </row>
    <row r="1347" spans="1:50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1" t="s">
        <v>989</v>
      </c>
      <c r="AB1347" s="42" t="s">
        <v>233</v>
      </c>
      <c r="AC1347" s="43"/>
      <c r="AD1347" s="44">
        <v>0</v>
      </c>
      <c r="AE1347" s="44">
        <v>0</v>
      </c>
      <c r="AF1347" s="44">
        <v>0</v>
      </c>
      <c r="AG1347" s="43">
        <f>431000000+9000000+12000000</f>
        <v>452000000</v>
      </c>
      <c r="AH1347" s="43">
        <v>18000000</v>
      </c>
      <c r="AI1347" s="43">
        <f>AE1347-AF1347+AG1347-AH1347</f>
        <v>434000000</v>
      </c>
      <c r="AJ1347" s="43">
        <f>AD1347+AI1347</f>
        <v>434000000</v>
      </c>
      <c r="AK1347" s="44">
        <v>0</v>
      </c>
      <c r="AL1347" s="43">
        <v>14000000</v>
      </c>
      <c r="AM1347" s="43">
        <v>415634655.13999999</v>
      </c>
      <c r="AN1347" s="44">
        <v>0</v>
      </c>
      <c r="AO1347" s="43">
        <v>14000000</v>
      </c>
      <c r="AP1347" s="43">
        <v>415634655.13999999</v>
      </c>
      <c r="AQ1347" s="44">
        <v>4527083</v>
      </c>
      <c r="AR1347" s="43">
        <v>49774582.869999997</v>
      </c>
      <c r="AS1347" s="43">
        <v>253567081.81999999</v>
      </c>
      <c r="AT1347" s="191">
        <f t="shared" ref="AT1347" si="597">AQ1347+AS1347</f>
        <v>258094164.81999999</v>
      </c>
      <c r="AU1347" s="110">
        <f>AJ1347-AM1347</f>
        <v>18365344.860000014</v>
      </c>
      <c r="AV1347" s="18">
        <f>AM1347-AP1347</f>
        <v>0</v>
      </c>
      <c r="AW1347" s="18">
        <f>AP1347-AT1347</f>
        <v>157540490.31999999</v>
      </c>
      <c r="AX1347" s="123">
        <f>AP1347/AJ1347</f>
        <v>0.95768353718894006</v>
      </c>
    </row>
    <row r="1348" spans="1:50" x14ac:dyDescent="0.2">
      <c r="AA1348" s="28" t="s">
        <v>288</v>
      </c>
      <c r="AB1348" s="29" t="s">
        <v>764</v>
      </c>
      <c r="AC1348" s="17"/>
      <c r="AD1348" s="18"/>
      <c r="AE1348" s="18"/>
      <c r="AF1348" s="18"/>
      <c r="AG1348" s="18"/>
      <c r="AH1348" s="18"/>
      <c r="AI1348" s="18"/>
      <c r="AJ1348" s="18"/>
      <c r="AK1348" s="34"/>
      <c r="AL1348" s="18"/>
      <c r="AM1348" s="18"/>
      <c r="AN1348" s="34"/>
      <c r="AO1348" s="18"/>
      <c r="AP1348" s="18"/>
      <c r="AQ1348" s="34"/>
      <c r="AR1348" s="18"/>
      <c r="AS1348" s="18"/>
      <c r="AT1348" s="31"/>
      <c r="AU1348" s="18"/>
      <c r="AV1348" s="34"/>
      <c r="AW1348" s="110"/>
      <c r="AX1348" s="18"/>
    </row>
    <row r="1349" spans="1:50" x14ac:dyDescent="0.2">
      <c r="A1349" s="4" t="s">
        <v>55</v>
      </c>
      <c r="B1349" s="4" t="s">
        <v>56</v>
      </c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1" t="s">
        <v>765</v>
      </c>
      <c r="AB1349" s="42" t="s">
        <v>233</v>
      </c>
      <c r="AC1349" s="43" t="s">
        <v>58</v>
      </c>
      <c r="AD1349" s="43">
        <v>77000000</v>
      </c>
      <c r="AE1349" s="44">
        <v>0</v>
      </c>
      <c r="AF1349" s="44">
        <v>0</v>
      </c>
      <c r="AG1349" s="44">
        <v>0</v>
      </c>
      <c r="AH1349" s="43">
        <v>12000000</v>
      </c>
      <c r="AI1349" s="43">
        <f>AE1349-AF1349+AG1349-AH1349</f>
        <v>-12000000</v>
      </c>
      <c r="AJ1349" s="43">
        <f>AD1349+AI1349</f>
        <v>65000000</v>
      </c>
      <c r="AK1349" s="44">
        <v>0</v>
      </c>
      <c r="AL1349" s="43">
        <v>0</v>
      </c>
      <c r="AM1349" s="43">
        <v>65000000</v>
      </c>
      <c r="AN1349" s="44">
        <v>0</v>
      </c>
      <c r="AO1349" s="44">
        <v>0</v>
      </c>
      <c r="AP1349" s="43">
        <v>65000000</v>
      </c>
      <c r="AQ1349" s="44">
        <v>0</v>
      </c>
      <c r="AR1349" s="43">
        <v>3266667</v>
      </c>
      <c r="AS1349" s="43">
        <v>59000000</v>
      </c>
      <c r="AT1349" s="39">
        <f t="shared" si="596"/>
        <v>59000000</v>
      </c>
      <c r="AU1349" s="133">
        <f>AJ1349-AM1349</f>
        <v>0</v>
      </c>
      <c r="AV1349" s="34">
        <f>AM1349-AP1349</f>
        <v>0</v>
      </c>
      <c r="AW1349" s="110">
        <f>AP1349-AT1349</f>
        <v>6000000</v>
      </c>
      <c r="AX1349" s="123">
        <f>AP1349/AJ1349</f>
        <v>1</v>
      </c>
    </row>
    <row r="1350" spans="1:50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73" t="s">
        <v>288</v>
      </c>
      <c r="AB1350" s="74" t="s">
        <v>292</v>
      </c>
      <c r="AC1350" s="43"/>
      <c r="AD1350" s="43"/>
      <c r="AE1350" s="44"/>
      <c r="AF1350" s="44"/>
      <c r="AG1350" s="44"/>
      <c r="AH1350" s="44"/>
      <c r="AI1350" s="44"/>
      <c r="AJ1350" s="43"/>
      <c r="AK1350" s="44"/>
      <c r="AL1350" s="44"/>
      <c r="AM1350" s="43"/>
      <c r="AN1350" s="44"/>
      <c r="AO1350" s="43"/>
      <c r="AP1350" s="43"/>
      <c r="AQ1350" s="43"/>
      <c r="AR1350" s="43"/>
      <c r="AS1350" s="43"/>
      <c r="AT1350" s="39"/>
      <c r="AU1350" s="110"/>
      <c r="AV1350" s="133"/>
      <c r="AW1350" s="110"/>
      <c r="AX1350" s="123"/>
    </row>
    <row r="1351" spans="1:50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1" t="s">
        <v>1328</v>
      </c>
      <c r="AB1351" s="42" t="s">
        <v>1015</v>
      </c>
      <c r="AC1351" s="43"/>
      <c r="AD1351" s="43">
        <v>0</v>
      </c>
      <c r="AE1351" s="44">
        <v>0</v>
      </c>
      <c r="AF1351" s="44">
        <v>0</v>
      </c>
      <c r="AG1351" s="43">
        <v>465000000</v>
      </c>
      <c r="AH1351" s="44">
        <v>0</v>
      </c>
      <c r="AI1351" s="43">
        <f>AE1351-AF1351+AG1351-AH1351</f>
        <v>465000000</v>
      </c>
      <c r="AJ1351" s="43">
        <f>AD1351+AI1351</f>
        <v>465000000</v>
      </c>
      <c r="AK1351" s="44">
        <v>0</v>
      </c>
      <c r="AL1351" s="43">
        <v>26323652</v>
      </c>
      <c r="AM1351" s="43">
        <v>464833335</v>
      </c>
      <c r="AN1351" s="43">
        <v>26323652</v>
      </c>
      <c r="AO1351" s="44">
        <v>0</v>
      </c>
      <c r="AP1351" s="44">
        <v>0</v>
      </c>
      <c r="AQ1351" s="44">
        <v>0</v>
      </c>
      <c r="AR1351" s="44">
        <v>0</v>
      </c>
      <c r="AS1351" s="44">
        <v>0</v>
      </c>
      <c r="AT1351" s="40">
        <v>0</v>
      </c>
      <c r="AU1351" s="110">
        <f>AJ1351-AM1351</f>
        <v>166665</v>
      </c>
      <c r="AV1351" s="18">
        <f>AM1351-AP1351</f>
        <v>464833335</v>
      </c>
      <c r="AW1351" s="110">
        <f>AP1351-AT1351</f>
        <v>0</v>
      </c>
      <c r="AX1351" s="123">
        <f>AP1351/AJ1351</f>
        <v>0</v>
      </c>
    </row>
    <row r="1352" spans="1:50" x14ac:dyDescent="0.2">
      <c r="AA1352" s="16"/>
      <c r="AB1352" s="17"/>
      <c r="AC1352" s="17"/>
      <c r="AD1352" s="18"/>
      <c r="AE1352" s="34"/>
      <c r="AF1352" s="34"/>
      <c r="AG1352" s="34"/>
      <c r="AH1352" s="34"/>
      <c r="AI1352" s="34"/>
      <c r="AJ1352" s="18"/>
      <c r="AK1352" s="34"/>
      <c r="AL1352" s="34"/>
      <c r="AM1352" s="18"/>
      <c r="AN1352" s="34"/>
      <c r="AO1352" s="34"/>
      <c r="AP1352" s="18"/>
      <c r="AQ1352" s="34"/>
      <c r="AR1352" s="34"/>
      <c r="AS1352" s="34"/>
      <c r="AT1352" s="31"/>
      <c r="AU1352" s="18"/>
      <c r="AV1352" s="34"/>
      <c r="AW1352" s="18"/>
      <c r="AX1352" s="18"/>
    </row>
    <row r="1353" spans="1:50" s="343" customFormat="1" x14ac:dyDescent="0.2">
      <c r="A1353" s="50"/>
      <c r="B1353" s="77"/>
      <c r="C1353" s="77"/>
      <c r="D1353" s="77"/>
      <c r="E1353" s="77"/>
      <c r="F1353" s="77"/>
      <c r="G1353" s="77"/>
      <c r="H1353" s="77"/>
      <c r="I1353" s="77"/>
      <c r="J1353" s="77"/>
      <c r="K1353" s="77"/>
      <c r="L1353" s="77"/>
      <c r="M1353" s="77"/>
      <c r="N1353" s="77"/>
      <c r="O1353" s="77"/>
      <c r="P1353" s="77"/>
      <c r="Q1353" s="77"/>
      <c r="R1353" s="77"/>
      <c r="S1353" s="77"/>
      <c r="T1353" s="77"/>
      <c r="U1353" s="77"/>
      <c r="V1353" s="77"/>
      <c r="W1353" s="77"/>
      <c r="X1353" s="77"/>
      <c r="Y1353" s="77"/>
      <c r="Z1353" s="77"/>
      <c r="AA1353" s="46"/>
      <c r="AB1353" s="47" t="s">
        <v>766</v>
      </c>
      <c r="AC1353" s="22" t="s">
        <v>767</v>
      </c>
      <c r="AD1353" s="22">
        <f>SUM(AD1344:AD1351)</f>
        <v>200000000</v>
      </c>
      <c r="AE1353" s="23">
        <f t="shared" ref="AE1353:AW1353" si="598">SUM(AE1344:AE1351)</f>
        <v>0</v>
      </c>
      <c r="AF1353" s="23">
        <f t="shared" si="598"/>
        <v>0</v>
      </c>
      <c r="AG1353" s="22">
        <f t="shared" si="598"/>
        <v>1366000000</v>
      </c>
      <c r="AH1353" s="22">
        <f t="shared" si="598"/>
        <v>470000000</v>
      </c>
      <c r="AI1353" s="22">
        <f t="shared" si="598"/>
        <v>896000000</v>
      </c>
      <c r="AJ1353" s="22">
        <f t="shared" si="598"/>
        <v>1096000000</v>
      </c>
      <c r="AK1353" s="23">
        <f t="shared" si="598"/>
        <v>0</v>
      </c>
      <c r="AL1353" s="22">
        <f t="shared" si="598"/>
        <v>40323652</v>
      </c>
      <c r="AM1353" s="22">
        <f t="shared" si="598"/>
        <v>1077467990.1399999</v>
      </c>
      <c r="AN1353" s="23">
        <f t="shared" si="598"/>
        <v>26323652</v>
      </c>
      <c r="AO1353" s="22">
        <f t="shared" si="598"/>
        <v>14000000</v>
      </c>
      <c r="AP1353" s="22">
        <f t="shared" si="598"/>
        <v>612634655.13999999</v>
      </c>
      <c r="AQ1353" s="22">
        <f t="shared" si="598"/>
        <v>4527083</v>
      </c>
      <c r="AR1353" s="22">
        <f t="shared" si="598"/>
        <v>66144325.869999997</v>
      </c>
      <c r="AS1353" s="22">
        <f t="shared" si="598"/>
        <v>420437693.81999999</v>
      </c>
      <c r="AT1353" s="22">
        <f t="shared" si="598"/>
        <v>424964776.81999999</v>
      </c>
      <c r="AU1353" s="22">
        <f t="shared" si="598"/>
        <v>18532009.860000014</v>
      </c>
      <c r="AV1353" s="22">
        <f t="shared" si="598"/>
        <v>464833335</v>
      </c>
      <c r="AW1353" s="22">
        <f t="shared" si="598"/>
        <v>187669878.31999999</v>
      </c>
      <c r="AX1353" s="24">
        <f>AP1353/AJ1353</f>
        <v>0.55897322549270068</v>
      </c>
    </row>
    <row r="1354" spans="1:50" x14ac:dyDescent="0.2">
      <c r="AA1354" s="16"/>
      <c r="AB1354" s="17"/>
      <c r="AC1354" s="17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</row>
    <row r="1355" spans="1:50" x14ac:dyDescent="0.2">
      <c r="A1355" s="25"/>
      <c r="B1355" s="71"/>
      <c r="C1355" s="71"/>
      <c r="D1355" s="71"/>
      <c r="E1355" s="71"/>
      <c r="F1355" s="71"/>
      <c r="G1355" s="71"/>
      <c r="H1355" s="71"/>
      <c r="I1355" s="71"/>
      <c r="J1355" s="71"/>
      <c r="K1355" s="71"/>
      <c r="L1355" s="71"/>
      <c r="M1355" s="71"/>
      <c r="N1355" s="71"/>
      <c r="O1355" s="71"/>
      <c r="P1355" s="71"/>
      <c r="Q1355" s="71"/>
      <c r="R1355" s="71"/>
      <c r="S1355" s="71"/>
      <c r="T1355" s="71"/>
      <c r="U1355" s="71"/>
      <c r="V1355" s="71"/>
      <c r="W1355" s="71"/>
      <c r="X1355" s="71"/>
      <c r="Y1355" s="71"/>
      <c r="Z1355" s="71"/>
      <c r="AA1355" s="66"/>
      <c r="AB1355" s="21" t="s">
        <v>768</v>
      </c>
      <c r="AC1355" s="67"/>
      <c r="AD1355" s="63"/>
      <c r="AE1355" s="63"/>
      <c r="AF1355" s="63"/>
      <c r="AG1355" s="63"/>
      <c r="AH1355" s="63"/>
      <c r="AI1355" s="63"/>
      <c r="AJ1355" s="63"/>
      <c r="AK1355" s="63"/>
      <c r="AL1355" s="63"/>
      <c r="AM1355" s="63"/>
      <c r="AN1355" s="63"/>
      <c r="AO1355" s="63"/>
      <c r="AP1355" s="63"/>
      <c r="AQ1355" s="63"/>
      <c r="AR1355" s="63"/>
      <c r="AS1355" s="63"/>
      <c r="AT1355" s="63"/>
      <c r="AU1355" s="63"/>
      <c r="AV1355" s="63"/>
      <c r="AW1355" s="63"/>
      <c r="AX1355" s="63"/>
    </row>
    <row r="1356" spans="1:50" x14ac:dyDescent="0.2">
      <c r="AA1356" s="16"/>
      <c r="AB1356" s="29" t="s">
        <v>285</v>
      </c>
      <c r="AC1356" s="17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</row>
    <row r="1357" spans="1:50" x14ac:dyDescent="0.2">
      <c r="AA1357" s="16"/>
      <c r="AB1357" s="29" t="s">
        <v>202</v>
      </c>
      <c r="AC1357" s="17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</row>
    <row r="1358" spans="1:50" x14ac:dyDescent="0.2">
      <c r="AA1358" s="16"/>
      <c r="AB1358" s="29" t="s">
        <v>203</v>
      </c>
      <c r="AC1358" s="17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</row>
    <row r="1359" spans="1:50" x14ac:dyDescent="0.2">
      <c r="AA1359" s="16"/>
      <c r="AB1359" s="29" t="s">
        <v>204</v>
      </c>
      <c r="AC1359" s="17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</row>
    <row r="1360" spans="1:50" ht="25.5" x14ac:dyDescent="0.2">
      <c r="AA1360" s="16"/>
      <c r="AB1360" s="29" t="s">
        <v>205</v>
      </c>
      <c r="AC1360" s="17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</row>
    <row r="1361" spans="1:50" ht="25.5" x14ac:dyDescent="0.2">
      <c r="AA1361" s="28" t="s">
        <v>288</v>
      </c>
      <c r="AB1361" s="29" t="s">
        <v>769</v>
      </c>
      <c r="AC1361" s="17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30"/>
      <c r="AU1361" s="18"/>
      <c r="AV1361" s="18"/>
      <c r="AW1361" s="18"/>
      <c r="AX1361" s="18"/>
    </row>
    <row r="1362" spans="1:50" x14ac:dyDescent="0.2">
      <c r="A1362" s="140" t="s">
        <v>55</v>
      </c>
      <c r="B1362" s="140" t="s">
        <v>56</v>
      </c>
      <c r="C1362" s="140"/>
      <c r="D1362" s="140"/>
      <c r="E1362" s="140"/>
      <c r="F1362" s="140"/>
      <c r="G1362" s="140"/>
      <c r="H1362" s="140"/>
      <c r="I1362" s="140"/>
      <c r="J1362" s="140"/>
      <c r="K1362" s="140"/>
      <c r="L1362" s="140"/>
      <c r="M1362" s="140"/>
      <c r="N1362" s="140"/>
      <c r="O1362" s="140"/>
      <c r="P1362" s="140"/>
      <c r="Q1362" s="140"/>
      <c r="R1362" s="140"/>
      <c r="S1362" s="140"/>
      <c r="T1362" s="140"/>
      <c r="U1362" s="140"/>
      <c r="V1362" s="140"/>
      <c r="W1362" s="140"/>
      <c r="X1362" s="140"/>
      <c r="Y1362" s="140"/>
      <c r="Z1362" s="140"/>
      <c r="AA1362" s="134" t="s">
        <v>770</v>
      </c>
      <c r="AB1362" s="69" t="s">
        <v>233</v>
      </c>
      <c r="AC1362" s="142" t="s">
        <v>58</v>
      </c>
      <c r="AD1362" s="142">
        <v>4000000000</v>
      </c>
      <c r="AE1362" s="142">
        <v>3000000000</v>
      </c>
      <c r="AF1362" s="143">
        <v>0</v>
      </c>
      <c r="AG1362" s="143">
        <v>0</v>
      </c>
      <c r="AH1362" s="143">
        <v>0</v>
      </c>
      <c r="AI1362" s="43">
        <f>AE1362-AF1362+AG1362-AH1362</f>
        <v>3000000000</v>
      </c>
      <c r="AJ1362" s="43">
        <f>AD1362+AI1362</f>
        <v>7000000000</v>
      </c>
      <c r="AK1362" s="143">
        <v>0</v>
      </c>
      <c r="AL1362" s="142">
        <v>333333333</v>
      </c>
      <c r="AM1362" s="142">
        <v>3666666663</v>
      </c>
      <c r="AN1362" s="143">
        <v>0</v>
      </c>
      <c r="AO1362" s="142">
        <v>333333333</v>
      </c>
      <c r="AP1362" s="142">
        <v>3666666663</v>
      </c>
      <c r="AQ1362" s="143">
        <v>0</v>
      </c>
      <c r="AR1362" s="142">
        <v>333333333</v>
      </c>
      <c r="AS1362" s="142">
        <v>3666666663</v>
      </c>
      <c r="AT1362" s="267">
        <f t="shared" ref="AT1362" si="599">AQ1362+AS1362</f>
        <v>3666666663</v>
      </c>
      <c r="AU1362" s="147">
        <f>AJ1362-AM1362</f>
        <v>3333333337</v>
      </c>
      <c r="AV1362" s="175">
        <f>AM1362-AP1362</f>
        <v>0</v>
      </c>
      <c r="AW1362" s="175">
        <f>AP1362-AT1362</f>
        <v>0</v>
      </c>
      <c r="AX1362" s="149">
        <f>AP1362/AJ1362</f>
        <v>0.52380952328571428</v>
      </c>
    </row>
    <row r="1363" spans="1:50" x14ac:dyDescent="0.2">
      <c r="A1363" s="140"/>
      <c r="B1363" s="140"/>
      <c r="C1363" s="140"/>
      <c r="D1363" s="140"/>
      <c r="E1363" s="140"/>
      <c r="F1363" s="140"/>
      <c r="G1363" s="140"/>
      <c r="H1363" s="140"/>
      <c r="I1363" s="140"/>
      <c r="J1363" s="140"/>
      <c r="K1363" s="140"/>
      <c r="L1363" s="140"/>
      <c r="M1363" s="140"/>
      <c r="N1363" s="140"/>
      <c r="O1363" s="140"/>
      <c r="P1363" s="140"/>
      <c r="Q1363" s="140"/>
      <c r="R1363" s="140"/>
      <c r="S1363" s="140"/>
      <c r="T1363" s="140"/>
      <c r="U1363" s="140"/>
      <c r="V1363" s="140"/>
      <c r="W1363" s="140"/>
      <c r="X1363" s="140"/>
      <c r="Y1363" s="140"/>
      <c r="Z1363" s="140"/>
      <c r="AA1363" s="134"/>
      <c r="AB1363" s="69"/>
      <c r="AC1363" s="142"/>
      <c r="AD1363" s="142"/>
      <c r="AE1363" s="143"/>
      <c r="AF1363" s="143"/>
      <c r="AG1363" s="143"/>
      <c r="AH1363" s="143"/>
      <c r="AI1363" s="143"/>
      <c r="AJ1363" s="142"/>
      <c r="AK1363" s="143"/>
      <c r="AL1363" s="142"/>
      <c r="AM1363" s="142"/>
      <c r="AN1363" s="143"/>
      <c r="AO1363" s="142"/>
      <c r="AP1363" s="142"/>
      <c r="AQ1363" s="143"/>
      <c r="AR1363" s="142"/>
      <c r="AS1363" s="142"/>
      <c r="AT1363" s="174"/>
      <c r="AU1363" s="148"/>
      <c r="AV1363" s="175"/>
      <c r="AW1363" s="175"/>
      <c r="AX1363" s="149"/>
    </row>
    <row r="1364" spans="1:50" ht="13.5" customHeight="1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170" t="s">
        <v>288</v>
      </c>
      <c r="AB1364" s="165" t="s">
        <v>199</v>
      </c>
      <c r="AC1364" s="168"/>
      <c r="AD1364" s="43"/>
      <c r="AE1364" s="44"/>
      <c r="AF1364" s="44"/>
      <c r="AG1364" s="44"/>
      <c r="AH1364" s="44"/>
      <c r="AI1364" s="44"/>
      <c r="AJ1364" s="43"/>
      <c r="AK1364" s="44"/>
      <c r="AL1364" s="43"/>
      <c r="AM1364" s="43"/>
      <c r="AN1364" s="44"/>
      <c r="AO1364" s="43"/>
      <c r="AP1364" s="43"/>
      <c r="AQ1364" s="44"/>
      <c r="AR1364" s="44"/>
      <c r="AS1364" s="44"/>
      <c r="AT1364" s="135"/>
      <c r="AU1364" s="110"/>
      <c r="AV1364" s="133"/>
      <c r="AW1364" s="34"/>
      <c r="AX1364" s="123"/>
    </row>
    <row r="1365" spans="1:50" ht="25.5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166" t="s">
        <v>1162</v>
      </c>
      <c r="AB1365" s="167" t="s">
        <v>1044</v>
      </c>
      <c r="AC1365" s="168"/>
      <c r="AD1365" s="44">
        <v>0</v>
      </c>
      <c r="AE1365" s="43">
        <v>384000000</v>
      </c>
      <c r="AF1365" s="44">
        <v>0</v>
      </c>
      <c r="AG1365" s="44">
        <v>0</v>
      </c>
      <c r="AH1365" s="44">
        <v>0</v>
      </c>
      <c r="AI1365" s="43">
        <f t="shared" ref="AI1365:AI1366" si="600">AE1365-AF1365+AG1365-AH1365</f>
        <v>384000000</v>
      </c>
      <c r="AJ1365" s="43">
        <f t="shared" ref="AJ1365:AJ1366" si="601">AD1365+AI1365</f>
        <v>384000000</v>
      </c>
      <c r="AK1365" s="44">
        <v>0</v>
      </c>
      <c r="AL1365" s="44">
        <v>0</v>
      </c>
      <c r="AM1365" s="43">
        <v>384000000</v>
      </c>
      <c r="AN1365" s="44">
        <v>0</v>
      </c>
      <c r="AO1365" s="44">
        <v>0</v>
      </c>
      <c r="AP1365" s="43">
        <v>384000000</v>
      </c>
      <c r="AQ1365" s="44">
        <v>0</v>
      </c>
      <c r="AR1365" s="44">
        <v>0</v>
      </c>
      <c r="AS1365" s="43">
        <v>384000000</v>
      </c>
      <c r="AT1365" s="39">
        <f t="shared" ref="AT1365:AT1366" si="602">AQ1365+AS1365</f>
        <v>384000000</v>
      </c>
      <c r="AU1365" s="133">
        <f>AJ1365-AM1365</f>
        <v>0</v>
      </c>
      <c r="AV1365" s="133">
        <f>AM1365-AP1365</f>
        <v>0</v>
      </c>
      <c r="AW1365" s="34">
        <f>AP1365-AT1365</f>
        <v>0</v>
      </c>
      <c r="AX1365" s="123">
        <f>AP1365/AJ1365</f>
        <v>1</v>
      </c>
    </row>
    <row r="1366" spans="1:50" ht="15.75" customHeight="1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166" t="s">
        <v>1163</v>
      </c>
      <c r="AB1366" s="167" t="s">
        <v>1015</v>
      </c>
      <c r="AC1366" s="168"/>
      <c r="AD1366" s="44">
        <v>0</v>
      </c>
      <c r="AE1366" s="43">
        <v>270000000</v>
      </c>
      <c r="AF1366" s="44">
        <v>0</v>
      </c>
      <c r="AG1366" s="44">
        <v>0</v>
      </c>
      <c r="AH1366" s="44">
        <v>0</v>
      </c>
      <c r="AI1366" s="43">
        <f t="shared" si="600"/>
        <v>270000000</v>
      </c>
      <c r="AJ1366" s="43">
        <f t="shared" si="601"/>
        <v>270000000</v>
      </c>
      <c r="AK1366" s="44">
        <v>0</v>
      </c>
      <c r="AL1366" s="44">
        <v>0</v>
      </c>
      <c r="AM1366" s="43">
        <v>270000000</v>
      </c>
      <c r="AN1366" s="44">
        <v>0</v>
      </c>
      <c r="AO1366" s="44">
        <v>0</v>
      </c>
      <c r="AP1366" s="43">
        <v>270000000</v>
      </c>
      <c r="AQ1366" s="44">
        <v>0</v>
      </c>
      <c r="AR1366" s="44">
        <v>0</v>
      </c>
      <c r="AS1366" s="43">
        <v>270000000</v>
      </c>
      <c r="AT1366" s="39">
        <f t="shared" si="602"/>
        <v>270000000</v>
      </c>
      <c r="AU1366" s="133">
        <f>AJ1366-AM1366</f>
        <v>0</v>
      </c>
      <c r="AV1366" s="133">
        <f>AM1366-AP1366</f>
        <v>0</v>
      </c>
      <c r="AW1366" s="34">
        <f>AP1366-AT1366</f>
        <v>0</v>
      </c>
      <c r="AX1366" s="123">
        <f>AP1366/AJ1366</f>
        <v>1</v>
      </c>
    </row>
    <row r="1367" spans="1:50" ht="15.75" customHeight="1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166"/>
      <c r="AB1367" s="167"/>
      <c r="AC1367" s="168"/>
      <c r="AD1367" s="44"/>
      <c r="AE1367" s="43"/>
      <c r="AF1367" s="44"/>
      <c r="AG1367" s="44"/>
      <c r="AH1367" s="44"/>
      <c r="AI1367" s="43"/>
      <c r="AJ1367" s="43"/>
      <c r="AK1367" s="44"/>
      <c r="AL1367" s="44"/>
      <c r="AM1367" s="43"/>
      <c r="AN1367" s="44"/>
      <c r="AO1367" s="44"/>
      <c r="AP1367" s="43"/>
      <c r="AQ1367" s="44"/>
      <c r="AR1367" s="44"/>
      <c r="AS1367" s="43"/>
      <c r="AT1367" s="39"/>
      <c r="AU1367" s="133"/>
      <c r="AV1367" s="133"/>
      <c r="AW1367" s="34"/>
      <c r="AX1367" s="123"/>
    </row>
    <row r="1368" spans="1:50" ht="30" customHeight="1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170" t="s">
        <v>288</v>
      </c>
      <c r="AB1368" s="165" t="s">
        <v>1431</v>
      </c>
      <c r="AC1368" s="168"/>
      <c r="AD1368" s="44"/>
      <c r="AE1368" s="43"/>
      <c r="AF1368" s="44"/>
      <c r="AG1368" s="44"/>
      <c r="AH1368" s="44"/>
      <c r="AI1368" s="43"/>
      <c r="AJ1368" s="43"/>
      <c r="AK1368" s="44"/>
      <c r="AL1368" s="44"/>
      <c r="AM1368" s="43"/>
      <c r="AN1368" s="44"/>
      <c r="AO1368" s="44"/>
      <c r="AP1368" s="43"/>
      <c r="AQ1368" s="44"/>
      <c r="AR1368" s="44"/>
      <c r="AS1368" s="43"/>
      <c r="AT1368" s="39"/>
      <c r="AU1368" s="133"/>
      <c r="AV1368" s="133"/>
      <c r="AW1368" s="34"/>
      <c r="AX1368" s="123"/>
    </row>
    <row r="1369" spans="1:50" ht="15.75" customHeight="1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166" t="s">
        <v>1432</v>
      </c>
      <c r="AB1369" s="167" t="s">
        <v>233</v>
      </c>
      <c r="AC1369" s="168"/>
      <c r="AD1369" s="44">
        <v>0</v>
      </c>
      <c r="AE1369" s="43">
        <v>0</v>
      </c>
      <c r="AF1369" s="44">
        <v>0</v>
      </c>
      <c r="AG1369" s="43">
        <v>3000000000</v>
      </c>
      <c r="AH1369" s="44">
        <v>0</v>
      </c>
      <c r="AI1369" s="43">
        <f t="shared" ref="AI1369" si="603">AE1369-AF1369+AG1369-AH1369</f>
        <v>3000000000</v>
      </c>
      <c r="AJ1369" s="43">
        <f t="shared" ref="AJ1369" si="604">AD1369+AI1369</f>
        <v>3000000000</v>
      </c>
      <c r="AK1369" s="44">
        <v>0</v>
      </c>
      <c r="AL1369" s="44">
        <v>0</v>
      </c>
      <c r="AM1369" s="43">
        <v>0</v>
      </c>
      <c r="AN1369" s="44">
        <v>0</v>
      </c>
      <c r="AO1369" s="44">
        <v>0</v>
      </c>
      <c r="AP1369" s="44">
        <v>0</v>
      </c>
      <c r="AQ1369" s="44">
        <v>0</v>
      </c>
      <c r="AR1369" s="44">
        <v>0</v>
      </c>
      <c r="AS1369" s="44">
        <v>0</v>
      </c>
      <c r="AT1369" s="40">
        <f t="shared" ref="AT1369" si="605">AQ1369+AS1369</f>
        <v>0</v>
      </c>
      <c r="AU1369" s="18">
        <f>AJ1369-AM1369</f>
        <v>3000000000</v>
      </c>
      <c r="AV1369" s="133">
        <f>AM1369-AP1369</f>
        <v>0</v>
      </c>
      <c r="AW1369" s="34">
        <f>AP1369-AT1369</f>
        <v>0</v>
      </c>
      <c r="AX1369" s="123">
        <f>AP1369/AJ1369</f>
        <v>0</v>
      </c>
    </row>
    <row r="1370" spans="1:50" ht="15.75" customHeight="1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166"/>
      <c r="AB1370" s="167"/>
      <c r="AC1370" s="168"/>
      <c r="AD1370" s="44"/>
      <c r="AE1370" s="43"/>
      <c r="AF1370" s="44"/>
      <c r="AG1370" s="44"/>
      <c r="AH1370" s="44"/>
      <c r="AI1370" s="43"/>
      <c r="AJ1370" s="43"/>
      <c r="AK1370" s="44"/>
      <c r="AL1370" s="44"/>
      <c r="AM1370" s="43"/>
      <c r="AN1370" s="44"/>
      <c r="AO1370" s="44"/>
      <c r="AP1370" s="43"/>
      <c r="AQ1370" s="44"/>
      <c r="AR1370" s="44"/>
      <c r="AS1370" s="43"/>
      <c r="AT1370" s="39"/>
      <c r="AU1370" s="133"/>
      <c r="AV1370" s="133"/>
      <c r="AW1370" s="34"/>
      <c r="AX1370" s="123"/>
    </row>
    <row r="1371" spans="1:50" x14ac:dyDescent="0.2">
      <c r="AA1371" s="16"/>
      <c r="AB1371" s="17"/>
      <c r="AC1371" s="17"/>
      <c r="AD1371" s="18"/>
      <c r="AE1371" s="34"/>
      <c r="AF1371" s="34"/>
      <c r="AG1371" s="34"/>
      <c r="AH1371" s="34"/>
      <c r="AI1371" s="34"/>
      <c r="AJ1371" s="18"/>
      <c r="AK1371" s="34"/>
      <c r="AL1371" s="18"/>
      <c r="AM1371" s="18"/>
      <c r="AN1371" s="34"/>
      <c r="AO1371" s="18"/>
      <c r="AP1371" s="18"/>
      <c r="AQ1371" s="34"/>
      <c r="AR1371" s="18"/>
      <c r="AS1371" s="18"/>
      <c r="AT1371" s="30"/>
      <c r="AU1371" s="18"/>
      <c r="AV1371" s="34"/>
      <c r="AW1371" s="34"/>
      <c r="AX1371" s="18"/>
    </row>
    <row r="1372" spans="1:50" s="343" customFormat="1" x14ac:dyDescent="0.2">
      <c r="A1372" s="50"/>
      <c r="B1372" s="77"/>
      <c r="C1372" s="77"/>
      <c r="D1372" s="77"/>
      <c r="E1372" s="77"/>
      <c r="F1372" s="77"/>
      <c r="G1372" s="77"/>
      <c r="H1372" s="77"/>
      <c r="I1372" s="77"/>
      <c r="J1372" s="77"/>
      <c r="K1372" s="77"/>
      <c r="L1372" s="77"/>
      <c r="M1372" s="77"/>
      <c r="N1372" s="77"/>
      <c r="O1372" s="77"/>
      <c r="P1372" s="77"/>
      <c r="Q1372" s="77"/>
      <c r="R1372" s="77"/>
      <c r="S1372" s="77"/>
      <c r="T1372" s="77"/>
      <c r="U1372" s="77"/>
      <c r="V1372" s="77"/>
      <c r="W1372" s="77"/>
      <c r="X1372" s="77"/>
      <c r="Y1372" s="77"/>
      <c r="Z1372" s="77"/>
      <c r="AA1372" s="46"/>
      <c r="AB1372" s="47" t="s">
        <v>771</v>
      </c>
      <c r="AC1372" s="22" t="s">
        <v>772</v>
      </c>
      <c r="AD1372" s="22">
        <f>SUM(AD1362:AD1371)</f>
        <v>4000000000</v>
      </c>
      <c r="AE1372" s="22">
        <f>SUM(AE1362:AE1371)</f>
        <v>3654000000</v>
      </c>
      <c r="AF1372" s="23">
        <f t="shared" ref="AF1372:AW1372" si="606">SUM(AF1362:AF1371)</f>
        <v>0</v>
      </c>
      <c r="AG1372" s="22">
        <f>SUM(AG1362:AG1371)</f>
        <v>3000000000</v>
      </c>
      <c r="AH1372" s="23">
        <f t="shared" si="606"/>
        <v>0</v>
      </c>
      <c r="AI1372" s="22">
        <f t="shared" si="606"/>
        <v>6654000000</v>
      </c>
      <c r="AJ1372" s="22">
        <f t="shared" si="606"/>
        <v>10654000000</v>
      </c>
      <c r="AK1372" s="23">
        <f t="shared" si="606"/>
        <v>0</v>
      </c>
      <c r="AL1372" s="22">
        <f t="shared" si="606"/>
        <v>333333333</v>
      </c>
      <c r="AM1372" s="22">
        <f t="shared" si="606"/>
        <v>4320666663</v>
      </c>
      <c r="AN1372" s="23">
        <f t="shared" si="606"/>
        <v>0</v>
      </c>
      <c r="AO1372" s="22">
        <f t="shared" si="606"/>
        <v>333333333</v>
      </c>
      <c r="AP1372" s="22">
        <f t="shared" si="606"/>
        <v>4320666663</v>
      </c>
      <c r="AQ1372" s="23">
        <f t="shared" si="606"/>
        <v>0</v>
      </c>
      <c r="AR1372" s="22">
        <f t="shared" si="606"/>
        <v>333333333</v>
      </c>
      <c r="AS1372" s="22">
        <f t="shared" si="606"/>
        <v>4320666663</v>
      </c>
      <c r="AT1372" s="22">
        <f>AQ1372+AS1372</f>
        <v>4320666663</v>
      </c>
      <c r="AU1372" s="22">
        <f t="shared" si="606"/>
        <v>6333333337</v>
      </c>
      <c r="AV1372" s="23">
        <f t="shared" si="606"/>
        <v>0</v>
      </c>
      <c r="AW1372" s="23">
        <f t="shared" si="606"/>
        <v>0</v>
      </c>
      <c r="AX1372" s="24">
        <f>AP1372/AJ1372</f>
        <v>0.40554408325511543</v>
      </c>
    </row>
    <row r="1373" spans="1:50" x14ac:dyDescent="0.2">
      <c r="AA1373" s="16"/>
      <c r="AB1373" s="17"/>
      <c r="AC1373" s="17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34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</row>
    <row r="1374" spans="1:50" x14ac:dyDescent="0.2">
      <c r="A1374" s="25"/>
      <c r="B1374" s="71"/>
      <c r="C1374" s="71"/>
      <c r="D1374" s="71"/>
      <c r="E1374" s="71"/>
      <c r="F1374" s="71"/>
      <c r="G1374" s="71"/>
      <c r="H1374" s="71"/>
      <c r="I1374" s="71"/>
      <c r="J1374" s="71"/>
      <c r="K1374" s="71"/>
      <c r="L1374" s="71"/>
      <c r="M1374" s="71"/>
      <c r="N1374" s="71"/>
      <c r="O1374" s="71"/>
      <c r="P1374" s="71"/>
      <c r="Q1374" s="71"/>
      <c r="R1374" s="71"/>
      <c r="S1374" s="71"/>
      <c r="T1374" s="71"/>
      <c r="U1374" s="71"/>
      <c r="V1374" s="71"/>
      <c r="W1374" s="71"/>
      <c r="X1374" s="71"/>
      <c r="Y1374" s="71"/>
      <c r="Z1374" s="71"/>
      <c r="AA1374" s="85"/>
      <c r="AB1374" s="86" t="s">
        <v>773</v>
      </c>
      <c r="AC1374" s="87"/>
      <c r="AD1374" s="63"/>
      <c r="AE1374" s="88"/>
      <c r="AF1374" s="88"/>
      <c r="AG1374" s="88"/>
      <c r="AH1374" s="88"/>
      <c r="AI1374" s="88"/>
      <c r="AJ1374" s="88"/>
      <c r="AK1374" s="88"/>
      <c r="AL1374" s="336"/>
      <c r="AM1374" s="88"/>
      <c r="AN1374" s="88"/>
      <c r="AO1374" s="88"/>
      <c r="AP1374" s="88"/>
      <c r="AQ1374" s="88"/>
      <c r="AR1374" s="88"/>
      <c r="AS1374" s="88"/>
      <c r="AT1374" s="88"/>
      <c r="AU1374" s="88"/>
      <c r="AV1374" s="88"/>
      <c r="AW1374" s="88"/>
      <c r="AX1374" s="88"/>
    </row>
    <row r="1375" spans="1:50" x14ac:dyDescent="0.2">
      <c r="AA1375" s="89"/>
      <c r="AB1375" s="90" t="s">
        <v>676</v>
      </c>
      <c r="AC1375" s="91"/>
      <c r="AD1375" s="18"/>
      <c r="AE1375" s="92"/>
      <c r="AF1375" s="92"/>
      <c r="AG1375" s="92"/>
      <c r="AH1375" s="92"/>
      <c r="AI1375" s="92"/>
      <c r="AJ1375" s="92"/>
      <c r="AK1375" s="92"/>
      <c r="AL1375" s="92"/>
      <c r="AM1375" s="92"/>
      <c r="AN1375" s="92"/>
      <c r="AO1375" s="92"/>
      <c r="AP1375" s="92"/>
      <c r="AQ1375" s="92"/>
      <c r="AR1375" s="92"/>
      <c r="AS1375" s="92"/>
      <c r="AT1375" s="92"/>
      <c r="AU1375" s="92"/>
      <c r="AV1375" s="92"/>
      <c r="AW1375" s="92"/>
      <c r="AX1375" s="92"/>
    </row>
    <row r="1376" spans="1:50" x14ac:dyDescent="0.2">
      <c r="AA1376" s="89"/>
      <c r="AB1376" s="90" t="s">
        <v>286</v>
      </c>
      <c r="AC1376" s="91"/>
      <c r="AD1376" s="18"/>
      <c r="AE1376" s="92"/>
      <c r="AF1376" s="92"/>
      <c r="AG1376" s="92"/>
      <c r="AH1376" s="92"/>
      <c r="AI1376" s="92"/>
      <c r="AJ1376" s="92"/>
      <c r="AK1376" s="92"/>
      <c r="AL1376" s="92"/>
      <c r="AM1376" s="317"/>
      <c r="AN1376" s="92"/>
      <c r="AO1376" s="92"/>
      <c r="AP1376" s="92"/>
      <c r="AQ1376" s="92"/>
      <c r="AR1376" s="92"/>
      <c r="AS1376" s="92"/>
      <c r="AT1376" s="92"/>
      <c r="AU1376" s="92"/>
      <c r="AV1376" s="92"/>
      <c r="AW1376" s="92"/>
      <c r="AX1376" s="92"/>
    </row>
    <row r="1377" spans="27:50" x14ac:dyDescent="0.2">
      <c r="AA1377" s="89"/>
      <c r="AB1377" s="90" t="s">
        <v>179</v>
      </c>
      <c r="AC1377" s="91"/>
      <c r="AD1377" s="18"/>
      <c r="AE1377" s="92"/>
      <c r="AF1377" s="92"/>
      <c r="AG1377" s="92"/>
      <c r="AH1377" s="92"/>
      <c r="AI1377" s="92"/>
      <c r="AJ1377" s="92"/>
      <c r="AK1377" s="92"/>
      <c r="AL1377" s="92"/>
      <c r="AM1377" s="92"/>
      <c r="AN1377" s="92"/>
      <c r="AO1377" s="92"/>
      <c r="AP1377" s="92"/>
      <c r="AQ1377" s="92"/>
      <c r="AR1377" s="92"/>
      <c r="AS1377" s="92"/>
      <c r="AT1377" s="92"/>
      <c r="AU1377" s="92"/>
      <c r="AV1377" s="92"/>
      <c r="AW1377" s="92"/>
      <c r="AX1377" s="92"/>
    </row>
    <row r="1378" spans="27:50" x14ac:dyDescent="0.2">
      <c r="AA1378" s="89"/>
      <c r="AB1378" s="90" t="s">
        <v>189</v>
      </c>
      <c r="AC1378" s="91"/>
      <c r="AD1378" s="18"/>
      <c r="AE1378" s="92"/>
      <c r="AF1378" s="92"/>
      <c r="AG1378" s="92"/>
      <c r="AH1378" s="92"/>
      <c r="AI1378" s="92"/>
      <c r="AJ1378" s="92"/>
      <c r="AK1378" s="92"/>
      <c r="AL1378" s="92"/>
      <c r="AM1378" s="92"/>
      <c r="AN1378" s="92"/>
      <c r="AO1378" s="92"/>
      <c r="AP1378" s="92"/>
      <c r="AQ1378" s="92"/>
      <c r="AR1378" s="92"/>
      <c r="AS1378" s="92"/>
      <c r="AT1378" s="92"/>
      <c r="AU1378" s="92"/>
      <c r="AV1378" s="92"/>
      <c r="AW1378" s="92"/>
      <c r="AX1378" s="92"/>
    </row>
    <row r="1379" spans="27:50" x14ac:dyDescent="0.2">
      <c r="AA1379" s="89"/>
      <c r="AB1379" s="90" t="s">
        <v>191</v>
      </c>
      <c r="AC1379" s="91"/>
      <c r="AD1379" s="18"/>
      <c r="AE1379" s="92"/>
      <c r="AF1379" s="92"/>
      <c r="AG1379" s="92"/>
      <c r="AH1379" s="92"/>
      <c r="AI1379" s="92"/>
      <c r="AJ1379" s="92"/>
      <c r="AK1379" s="92"/>
      <c r="AL1379" s="92"/>
      <c r="AM1379" s="92"/>
      <c r="AN1379" s="92"/>
      <c r="AO1379" s="92"/>
      <c r="AP1379" s="92"/>
      <c r="AQ1379" s="92"/>
      <c r="AR1379" s="92"/>
      <c r="AS1379" s="92"/>
      <c r="AT1379" s="92"/>
      <c r="AU1379" s="92"/>
      <c r="AV1379" s="92"/>
      <c r="AW1379" s="92"/>
      <c r="AX1379" s="92"/>
    </row>
    <row r="1380" spans="27:50" x14ac:dyDescent="0.2">
      <c r="AA1380" s="89"/>
      <c r="AB1380" s="278" t="s">
        <v>1272</v>
      </c>
      <c r="AC1380" s="91"/>
      <c r="AD1380" s="18"/>
      <c r="AE1380" s="92"/>
      <c r="AF1380" s="92"/>
      <c r="AG1380" s="92"/>
      <c r="AH1380" s="92"/>
      <c r="AI1380" s="92"/>
      <c r="AJ1380" s="92"/>
      <c r="AK1380" s="92"/>
      <c r="AL1380" s="92"/>
      <c r="AM1380" s="92"/>
      <c r="AN1380" s="92"/>
      <c r="AO1380" s="92"/>
      <c r="AP1380" s="92"/>
      <c r="AQ1380" s="92"/>
      <c r="AR1380" s="92"/>
      <c r="AS1380" s="92"/>
      <c r="AT1380" s="92"/>
      <c r="AU1380" s="92"/>
      <c r="AV1380" s="92"/>
      <c r="AW1380" s="92"/>
      <c r="AX1380" s="92"/>
    </row>
    <row r="1381" spans="27:50" ht="38.25" x14ac:dyDescent="0.2">
      <c r="AA1381" s="93" t="s">
        <v>288</v>
      </c>
      <c r="AB1381" s="90" t="s">
        <v>774</v>
      </c>
      <c r="AC1381" s="91"/>
      <c r="AD1381" s="18"/>
      <c r="AE1381" s="92"/>
      <c r="AF1381" s="92"/>
      <c r="AG1381" s="92"/>
      <c r="AH1381" s="92"/>
      <c r="AI1381" s="92"/>
      <c r="AJ1381" s="92"/>
      <c r="AK1381" s="92"/>
      <c r="AL1381" s="92"/>
      <c r="AM1381" s="92"/>
      <c r="AN1381" s="92"/>
      <c r="AO1381" s="92"/>
      <c r="AP1381" s="92"/>
      <c r="AQ1381" s="92"/>
      <c r="AR1381" s="92"/>
      <c r="AS1381" s="92"/>
      <c r="AT1381" s="30"/>
      <c r="AU1381" s="92"/>
      <c r="AV1381" s="92"/>
      <c r="AW1381" s="92"/>
      <c r="AX1381" s="92"/>
    </row>
    <row r="1382" spans="27:50" ht="25.5" x14ac:dyDescent="0.2">
      <c r="AA1382" s="94" t="s">
        <v>775</v>
      </c>
      <c r="AB1382" s="95" t="s">
        <v>776</v>
      </c>
      <c r="AC1382" s="96" t="s">
        <v>777</v>
      </c>
      <c r="AD1382" s="44">
        <v>0</v>
      </c>
      <c r="AE1382" s="97">
        <v>0</v>
      </c>
      <c r="AF1382" s="97">
        <v>0</v>
      </c>
      <c r="AG1382" s="43">
        <v>5536570240</v>
      </c>
      <c r="AH1382" s="96">
        <v>0</v>
      </c>
      <c r="AI1382" s="136">
        <f>AE1382-AF1382+AG1382-AH1382</f>
        <v>5536570240</v>
      </c>
      <c r="AJ1382" s="43">
        <f>AD1382+AI1382</f>
        <v>5536570240</v>
      </c>
      <c r="AK1382" s="43">
        <v>0</v>
      </c>
      <c r="AL1382" s="114">
        <v>232399999.99000001</v>
      </c>
      <c r="AM1382" s="114">
        <v>3656609082.9899998</v>
      </c>
      <c r="AN1382" s="43">
        <v>0</v>
      </c>
      <c r="AO1382" s="114">
        <v>51599999.990000002</v>
      </c>
      <c r="AP1382" s="114">
        <v>3177805749.9899998</v>
      </c>
      <c r="AQ1382" s="43">
        <v>142550000</v>
      </c>
      <c r="AR1382" s="43">
        <v>162866666</v>
      </c>
      <c r="AS1382" s="43">
        <v>1546373331</v>
      </c>
      <c r="AT1382" s="39">
        <f t="shared" ref="AT1382" si="607">AQ1382+AS1382</f>
        <v>1688923331</v>
      </c>
      <c r="AU1382" s="18">
        <f>AJ1382-AM1382</f>
        <v>1879961157.0100002</v>
      </c>
      <c r="AV1382" s="18">
        <f>AM1382-AP1382</f>
        <v>478803333</v>
      </c>
      <c r="AW1382" s="110">
        <f>AP1382-AT1382</f>
        <v>1488882418.9899998</v>
      </c>
      <c r="AX1382" s="123">
        <f>AP1382/AJ1382</f>
        <v>0.57396648326275002</v>
      </c>
    </row>
    <row r="1383" spans="27:50" x14ac:dyDescent="0.2">
      <c r="AA1383" s="94" t="s">
        <v>787</v>
      </c>
      <c r="AB1383" s="242" t="s">
        <v>788</v>
      </c>
      <c r="AC1383" s="96" t="s">
        <v>789</v>
      </c>
      <c r="AD1383" s="43">
        <v>886001426</v>
      </c>
      <c r="AE1383" s="96">
        <v>0</v>
      </c>
      <c r="AF1383" s="216">
        <v>0</v>
      </c>
      <c r="AG1383" s="216">
        <v>0</v>
      </c>
      <c r="AH1383" s="216">
        <v>0</v>
      </c>
      <c r="AI1383" s="97">
        <f>AE1383-AF1383+AG1383-AH1383</f>
        <v>0</v>
      </c>
      <c r="AJ1383" s="43">
        <f>AD1383+AI1383</f>
        <v>886001426</v>
      </c>
      <c r="AK1383" s="44">
        <v>0</v>
      </c>
      <c r="AL1383" s="114">
        <v>76607185</v>
      </c>
      <c r="AM1383" s="18">
        <v>809681529</v>
      </c>
      <c r="AN1383" s="92">
        <v>0</v>
      </c>
      <c r="AO1383" s="147">
        <v>76607185</v>
      </c>
      <c r="AP1383" s="18">
        <v>809681529</v>
      </c>
      <c r="AQ1383" s="96">
        <v>0</v>
      </c>
      <c r="AR1383" s="43">
        <v>76607185</v>
      </c>
      <c r="AS1383" s="43">
        <v>809681529</v>
      </c>
      <c r="AT1383" s="39">
        <f>AQ1383+AS1383</f>
        <v>809681529</v>
      </c>
      <c r="AU1383" s="110">
        <f>AJ1383-AM1383</f>
        <v>76319897</v>
      </c>
      <c r="AV1383" s="133">
        <f>AM1383-AP1383</f>
        <v>0</v>
      </c>
      <c r="AW1383" s="133">
        <f>AP1383-AT1383</f>
        <v>0</v>
      </c>
      <c r="AX1383" s="123">
        <f>AP1383/AJ1383</f>
        <v>0.91386030003974283</v>
      </c>
    </row>
    <row r="1384" spans="27:50" x14ac:dyDescent="0.2">
      <c r="AA1384" s="94"/>
      <c r="AB1384" s="95"/>
      <c r="AC1384" s="96"/>
      <c r="AD1384" s="44"/>
      <c r="AE1384" s="97"/>
      <c r="AF1384" s="97"/>
      <c r="AG1384" s="43"/>
      <c r="AH1384" s="96"/>
      <c r="AI1384" s="97"/>
      <c r="AJ1384" s="43"/>
      <c r="AK1384" s="43"/>
      <c r="AL1384" s="114"/>
      <c r="AM1384" s="114"/>
      <c r="AN1384" s="43"/>
      <c r="AO1384" s="114"/>
      <c r="AP1384" s="114"/>
      <c r="AQ1384" s="43"/>
      <c r="AR1384" s="43"/>
      <c r="AS1384" s="43"/>
      <c r="AT1384" s="39"/>
      <c r="AU1384" s="18"/>
      <c r="AV1384" s="18"/>
      <c r="AW1384" s="110"/>
      <c r="AX1384" s="123"/>
    </row>
    <row r="1385" spans="27:50" ht="25.5" x14ac:dyDescent="0.2">
      <c r="AA1385" s="93" t="s">
        <v>288</v>
      </c>
      <c r="AB1385" s="90" t="s">
        <v>778</v>
      </c>
      <c r="AC1385" s="91"/>
      <c r="AD1385" s="18"/>
      <c r="AE1385" s="98"/>
      <c r="AF1385" s="98"/>
      <c r="AG1385" s="92"/>
      <c r="AH1385" s="92"/>
      <c r="AI1385" s="98"/>
      <c r="AJ1385" s="18"/>
      <c r="AK1385" s="98"/>
      <c r="AL1385" s="98"/>
      <c r="AM1385" s="98"/>
      <c r="AN1385" s="98"/>
      <c r="AO1385" s="98"/>
      <c r="AP1385" s="98"/>
      <c r="AQ1385" s="98"/>
      <c r="AR1385" s="98"/>
      <c r="AS1385" s="98"/>
      <c r="AT1385" s="31"/>
      <c r="AU1385" s="18"/>
      <c r="AV1385" s="34"/>
      <c r="AW1385" s="34"/>
      <c r="AX1385" s="92"/>
    </row>
    <row r="1386" spans="27:50" x14ac:dyDescent="0.2">
      <c r="AA1386" s="94" t="s">
        <v>779</v>
      </c>
      <c r="AB1386" s="95" t="s">
        <v>780</v>
      </c>
      <c r="AC1386" s="96" t="s">
        <v>368</v>
      </c>
      <c r="AD1386" s="43">
        <v>920421961</v>
      </c>
      <c r="AE1386" s="97">
        <v>0</v>
      </c>
      <c r="AF1386" s="97">
        <v>0</v>
      </c>
      <c r="AG1386" s="96">
        <v>0</v>
      </c>
      <c r="AH1386" s="96">
        <v>0</v>
      </c>
      <c r="AI1386" s="97">
        <f>AE1386-AF1386+AG1386-AH1386</f>
        <v>0</v>
      </c>
      <c r="AJ1386" s="43">
        <f>AD1386+AI1386</f>
        <v>920421961</v>
      </c>
      <c r="AK1386" s="97">
        <v>0</v>
      </c>
      <c r="AL1386" s="97">
        <v>0</v>
      </c>
      <c r="AM1386" s="97">
        <v>0</v>
      </c>
      <c r="AN1386" s="97">
        <v>0</v>
      </c>
      <c r="AO1386" s="97">
        <v>0</v>
      </c>
      <c r="AP1386" s="97">
        <v>0</v>
      </c>
      <c r="AQ1386" s="97">
        <v>0</v>
      </c>
      <c r="AR1386" s="97">
        <v>0</v>
      </c>
      <c r="AS1386" s="97">
        <v>0</v>
      </c>
      <c r="AT1386" s="135">
        <f t="shared" ref="AT1386:AT1387" si="608">AQ1386+AS1386</f>
        <v>0</v>
      </c>
      <c r="AU1386" s="110">
        <f>AJ1386-AM1386</f>
        <v>920421961</v>
      </c>
      <c r="AV1386" s="133">
        <f>AM1386-AP1386</f>
        <v>0</v>
      </c>
      <c r="AW1386" s="133">
        <f>AP1386-AT1386</f>
        <v>0</v>
      </c>
      <c r="AX1386" s="123">
        <f>AP1386/AJ1386</f>
        <v>0</v>
      </c>
    </row>
    <row r="1387" spans="27:50" ht="25.5" x14ac:dyDescent="0.2">
      <c r="AA1387" s="94" t="s">
        <v>781</v>
      </c>
      <c r="AB1387" s="95" t="s">
        <v>776</v>
      </c>
      <c r="AC1387" s="96" t="s">
        <v>777</v>
      </c>
      <c r="AD1387" s="43">
        <v>23813351805</v>
      </c>
      <c r="AE1387" s="97">
        <v>0</v>
      </c>
      <c r="AF1387" s="97">
        <v>0</v>
      </c>
      <c r="AG1387" s="96">
        <v>0</v>
      </c>
      <c r="AH1387" s="43">
        <v>5536570240</v>
      </c>
      <c r="AI1387" s="136">
        <f>AE1387-AF1387+AG1387-AH1387</f>
        <v>-5536570240</v>
      </c>
      <c r="AJ1387" s="43">
        <f>AD1387+AI1387</f>
        <v>18276781565</v>
      </c>
      <c r="AK1387" s="97">
        <v>0</v>
      </c>
      <c r="AL1387" s="97">
        <v>0</v>
      </c>
      <c r="AM1387" s="97">
        <v>0</v>
      </c>
      <c r="AN1387" s="97">
        <v>0</v>
      </c>
      <c r="AO1387" s="97">
        <v>0</v>
      </c>
      <c r="AP1387" s="97">
        <v>0</v>
      </c>
      <c r="AQ1387" s="97">
        <v>0</v>
      </c>
      <c r="AR1387" s="97">
        <v>0</v>
      </c>
      <c r="AS1387" s="97">
        <v>0</v>
      </c>
      <c r="AT1387" s="135">
        <f t="shared" si="608"/>
        <v>0</v>
      </c>
      <c r="AU1387" s="110">
        <f>AJ1387-AM1387</f>
        <v>18276781565</v>
      </c>
      <c r="AV1387" s="133">
        <f>AM1387-AP1387</f>
        <v>0</v>
      </c>
      <c r="AW1387" s="133">
        <f>AP1387-AT1387</f>
        <v>0</v>
      </c>
      <c r="AX1387" s="123">
        <f>AP1387/AJ1387</f>
        <v>0</v>
      </c>
    </row>
    <row r="1388" spans="27:50" x14ac:dyDescent="0.2">
      <c r="AA1388" s="94"/>
      <c r="AB1388" s="95"/>
      <c r="AC1388" s="96"/>
      <c r="AD1388" s="43"/>
      <c r="AE1388" s="97"/>
      <c r="AF1388" s="97"/>
      <c r="AG1388" s="96"/>
      <c r="AH1388" s="43"/>
      <c r="AI1388" s="136"/>
      <c r="AJ1388" s="43"/>
      <c r="AK1388" s="97"/>
      <c r="AL1388" s="97"/>
      <c r="AM1388" s="97"/>
      <c r="AN1388" s="97"/>
      <c r="AO1388" s="97"/>
      <c r="AP1388" s="97"/>
      <c r="AQ1388" s="97"/>
      <c r="AR1388" s="97"/>
      <c r="AS1388" s="97"/>
      <c r="AT1388" s="135"/>
      <c r="AU1388" s="110"/>
      <c r="AV1388" s="133"/>
      <c r="AW1388" s="133"/>
      <c r="AX1388" s="123"/>
    </row>
    <row r="1389" spans="27:50" ht="25.5" x14ac:dyDescent="0.2">
      <c r="AA1389" s="238" t="s">
        <v>288</v>
      </c>
      <c r="AB1389" s="239" t="s">
        <v>778</v>
      </c>
      <c r="AC1389" s="91"/>
      <c r="AD1389" s="18"/>
      <c r="AE1389" s="92"/>
      <c r="AF1389" s="92"/>
      <c r="AG1389" s="92"/>
      <c r="AH1389" s="92"/>
      <c r="AI1389" s="92"/>
      <c r="AJ1389" s="18"/>
      <c r="AK1389" s="34"/>
      <c r="AL1389" s="18"/>
      <c r="AM1389" s="18"/>
      <c r="AN1389" s="92"/>
      <c r="AO1389" s="147"/>
      <c r="AP1389" s="18"/>
      <c r="AQ1389" s="92"/>
      <c r="AR1389" s="92"/>
      <c r="AS1389" s="92"/>
      <c r="AT1389" s="30"/>
      <c r="AU1389" s="18"/>
      <c r="AV1389" s="18"/>
      <c r="AW1389" s="18"/>
      <c r="AX1389" s="92"/>
    </row>
    <row r="1390" spans="27:50" x14ac:dyDescent="0.2">
      <c r="AA1390" s="94" t="s">
        <v>823</v>
      </c>
      <c r="AB1390" s="95" t="s">
        <v>824</v>
      </c>
      <c r="AC1390" s="96" t="s">
        <v>794</v>
      </c>
      <c r="AD1390" s="43">
        <v>68497522112</v>
      </c>
      <c r="AE1390" s="43">
        <v>11382993803</v>
      </c>
      <c r="AF1390" s="216">
        <v>0</v>
      </c>
      <c r="AG1390" s="216">
        <v>0</v>
      </c>
      <c r="AH1390" s="216">
        <v>0</v>
      </c>
      <c r="AI1390" s="136">
        <f t="shared" ref="AI1390:AI1395" si="609">AE1390-AF1390+AG1390-AH1390</f>
        <v>11382993803</v>
      </c>
      <c r="AJ1390" s="43">
        <f t="shared" ref="AJ1390:AJ1395" si="610">AD1390+AI1390</f>
        <v>79880515915</v>
      </c>
      <c r="AK1390" s="44">
        <v>0</v>
      </c>
      <c r="AL1390" s="44">
        <v>0</v>
      </c>
      <c r="AM1390" s="18">
        <v>79880515915</v>
      </c>
      <c r="AN1390" s="34">
        <v>0</v>
      </c>
      <c r="AO1390" s="147">
        <v>6711410086</v>
      </c>
      <c r="AP1390" s="43">
        <v>73169105831</v>
      </c>
      <c r="AQ1390" s="44">
        <v>0</v>
      </c>
      <c r="AR1390" s="18">
        <v>6711410086</v>
      </c>
      <c r="AS1390" s="43">
        <v>73169105831</v>
      </c>
      <c r="AT1390" s="111">
        <f t="shared" ref="AT1390:AT1395" si="611">AQ1390+AS1390</f>
        <v>73169105831</v>
      </c>
      <c r="AU1390" s="34">
        <f t="shared" ref="AU1390:AU1395" si="612">AJ1390-AM1390</f>
        <v>0</v>
      </c>
      <c r="AV1390" s="18">
        <f t="shared" ref="AV1390:AV1395" si="613">AM1390-AP1390</f>
        <v>6711410084</v>
      </c>
      <c r="AW1390" s="133">
        <f t="shared" ref="AW1390:AW1395" si="614">AP1390-AT1390</f>
        <v>0</v>
      </c>
      <c r="AX1390" s="123">
        <f t="shared" ref="AX1390:AX1395" si="615">AP1390/AJ1390</f>
        <v>0.91598188861046492</v>
      </c>
    </row>
    <row r="1391" spans="27:50" x14ac:dyDescent="0.2">
      <c r="AA1391" s="94" t="s">
        <v>825</v>
      </c>
      <c r="AB1391" s="95" t="s">
        <v>826</v>
      </c>
      <c r="AC1391" s="96" t="s">
        <v>802</v>
      </c>
      <c r="AD1391" s="43">
        <v>6053442339</v>
      </c>
      <c r="AE1391" s="96">
        <v>0</v>
      </c>
      <c r="AF1391" s="216">
        <v>0</v>
      </c>
      <c r="AG1391" s="216">
        <v>0</v>
      </c>
      <c r="AH1391" s="216">
        <v>0</v>
      </c>
      <c r="AI1391" s="97">
        <f t="shared" si="609"/>
        <v>0</v>
      </c>
      <c r="AJ1391" s="43">
        <f t="shared" si="610"/>
        <v>6053442339</v>
      </c>
      <c r="AK1391" s="44">
        <v>0</v>
      </c>
      <c r="AL1391" s="44">
        <v>0</v>
      </c>
      <c r="AM1391" s="18">
        <v>6053442339</v>
      </c>
      <c r="AN1391" s="34">
        <v>0</v>
      </c>
      <c r="AO1391" s="147">
        <v>286022125.01999998</v>
      </c>
      <c r="AP1391" s="43">
        <v>4189680227</v>
      </c>
      <c r="AQ1391" s="44">
        <v>0</v>
      </c>
      <c r="AR1391" s="18">
        <v>286022125.01999998</v>
      </c>
      <c r="AS1391" s="43">
        <v>4189680227</v>
      </c>
      <c r="AT1391" s="111">
        <f t="shared" si="611"/>
        <v>4189680227</v>
      </c>
      <c r="AU1391" s="34">
        <f t="shared" si="612"/>
        <v>0</v>
      </c>
      <c r="AV1391" s="18">
        <f t="shared" si="613"/>
        <v>1863762112</v>
      </c>
      <c r="AW1391" s="133">
        <f t="shared" si="614"/>
        <v>0</v>
      </c>
      <c r="AX1391" s="123">
        <f t="shared" si="615"/>
        <v>0.69211532750671501</v>
      </c>
    </row>
    <row r="1392" spans="27:50" ht="25.5" x14ac:dyDescent="0.2">
      <c r="AA1392" s="94" t="s">
        <v>827</v>
      </c>
      <c r="AB1392" s="95" t="s">
        <v>776</v>
      </c>
      <c r="AC1392" s="96" t="s">
        <v>777</v>
      </c>
      <c r="AD1392" s="43">
        <v>5590188172</v>
      </c>
      <c r="AE1392" s="96">
        <v>0</v>
      </c>
      <c r="AF1392" s="216">
        <v>0</v>
      </c>
      <c r="AG1392" s="216">
        <v>0</v>
      </c>
      <c r="AH1392" s="216">
        <v>0</v>
      </c>
      <c r="AI1392" s="97">
        <f t="shared" si="609"/>
        <v>0</v>
      </c>
      <c r="AJ1392" s="43">
        <f t="shared" si="610"/>
        <v>5590188172</v>
      </c>
      <c r="AK1392" s="44">
        <v>0</v>
      </c>
      <c r="AL1392" s="44">
        <v>1534536443</v>
      </c>
      <c r="AM1392" s="18">
        <v>2083879964</v>
      </c>
      <c r="AN1392" s="34">
        <v>0</v>
      </c>
      <c r="AO1392" s="145">
        <v>1534536443</v>
      </c>
      <c r="AP1392" s="43">
        <v>2083879964</v>
      </c>
      <c r="AQ1392" s="44">
        <v>0</v>
      </c>
      <c r="AR1392" s="18">
        <v>1534536443</v>
      </c>
      <c r="AS1392" s="43">
        <v>2083879964</v>
      </c>
      <c r="AT1392" s="111">
        <f t="shared" si="611"/>
        <v>2083879964</v>
      </c>
      <c r="AU1392" s="18">
        <f t="shared" si="612"/>
        <v>3506308208</v>
      </c>
      <c r="AV1392" s="34">
        <f t="shared" si="613"/>
        <v>0</v>
      </c>
      <c r="AW1392" s="133">
        <f t="shared" si="614"/>
        <v>0</v>
      </c>
      <c r="AX1392" s="123">
        <f t="shared" si="615"/>
        <v>0.37277456498471517</v>
      </c>
    </row>
    <row r="1393" spans="27:50" ht="16.5" customHeight="1" x14ac:dyDescent="0.2">
      <c r="AA1393" s="94" t="s">
        <v>828</v>
      </c>
      <c r="AB1393" s="95" t="s">
        <v>829</v>
      </c>
      <c r="AC1393" s="96" t="s">
        <v>789</v>
      </c>
      <c r="AD1393" s="43">
        <v>134040044112</v>
      </c>
      <c r="AE1393" s="96">
        <v>0</v>
      </c>
      <c r="AF1393" s="216">
        <v>0</v>
      </c>
      <c r="AG1393" s="216">
        <v>0</v>
      </c>
      <c r="AH1393" s="216">
        <v>0</v>
      </c>
      <c r="AI1393" s="97">
        <f t="shared" si="609"/>
        <v>0</v>
      </c>
      <c r="AJ1393" s="43">
        <f t="shared" si="610"/>
        <v>134040044112</v>
      </c>
      <c r="AK1393" s="44">
        <v>0</v>
      </c>
      <c r="AL1393" s="44">
        <v>0</v>
      </c>
      <c r="AM1393" s="18">
        <v>129958738901</v>
      </c>
      <c r="AN1393" s="34">
        <v>0</v>
      </c>
      <c r="AO1393" s="147">
        <v>10051833713.889999</v>
      </c>
      <c r="AP1393" s="43">
        <v>109094025460.00999</v>
      </c>
      <c r="AQ1393" s="44">
        <v>0</v>
      </c>
      <c r="AR1393" s="18">
        <v>10051833713.889999</v>
      </c>
      <c r="AS1393" s="43">
        <v>109094025460.00999</v>
      </c>
      <c r="AT1393" s="111">
        <f t="shared" si="611"/>
        <v>109094025460.00999</v>
      </c>
      <c r="AU1393" s="18">
        <f t="shared" si="612"/>
        <v>4081305211</v>
      </c>
      <c r="AV1393" s="18">
        <f t="shared" si="613"/>
        <v>20864713440.990005</v>
      </c>
      <c r="AW1393" s="133">
        <f t="shared" si="614"/>
        <v>0</v>
      </c>
      <c r="AX1393" s="123">
        <f t="shared" si="615"/>
        <v>0.81389129780391722</v>
      </c>
    </row>
    <row r="1394" spans="27:50" ht="25.5" x14ac:dyDescent="0.2">
      <c r="AA1394" s="94" t="s">
        <v>830</v>
      </c>
      <c r="AB1394" s="95" t="s">
        <v>831</v>
      </c>
      <c r="AC1394" s="96" t="s">
        <v>832</v>
      </c>
      <c r="AD1394" s="43">
        <v>12909348026</v>
      </c>
      <c r="AE1394" s="43">
        <f>955692586+4500000000</f>
        <v>5455692586</v>
      </c>
      <c r="AF1394" s="216">
        <v>0</v>
      </c>
      <c r="AG1394" s="216">
        <v>0</v>
      </c>
      <c r="AH1394" s="216">
        <v>0</v>
      </c>
      <c r="AI1394" s="136">
        <f t="shared" si="609"/>
        <v>5455692586</v>
      </c>
      <c r="AJ1394" s="43">
        <f t="shared" si="610"/>
        <v>18365040612</v>
      </c>
      <c r="AK1394" s="44">
        <v>0</v>
      </c>
      <c r="AL1394" s="43">
        <v>4500000000</v>
      </c>
      <c r="AM1394" s="18">
        <v>18365040612</v>
      </c>
      <c r="AN1394" s="34">
        <v>0</v>
      </c>
      <c r="AO1394" s="147">
        <v>2102530251.77</v>
      </c>
      <c r="AP1394" s="43">
        <v>15967570863.76</v>
      </c>
      <c r="AQ1394" s="44">
        <v>0</v>
      </c>
      <c r="AR1394" s="18">
        <v>2102530251.77</v>
      </c>
      <c r="AS1394" s="43">
        <v>15967570863.76</v>
      </c>
      <c r="AT1394" s="111">
        <f t="shared" si="611"/>
        <v>15967570863.76</v>
      </c>
      <c r="AU1394" s="34">
        <f t="shared" si="612"/>
        <v>0</v>
      </c>
      <c r="AV1394" s="18">
        <f t="shared" si="613"/>
        <v>2397469748.2399998</v>
      </c>
      <c r="AW1394" s="133">
        <f t="shared" si="614"/>
        <v>0</v>
      </c>
      <c r="AX1394" s="123">
        <f t="shared" si="615"/>
        <v>0.8694546993447182</v>
      </c>
    </row>
    <row r="1395" spans="27:50" ht="26.25" thickBot="1" x14ac:dyDescent="0.25">
      <c r="AA1395" s="221" t="s">
        <v>1195</v>
      </c>
      <c r="AB1395" s="95" t="s">
        <v>1196</v>
      </c>
      <c r="AC1395" s="96"/>
      <c r="AD1395" s="44">
        <v>0</v>
      </c>
      <c r="AE1395" s="43">
        <v>969348211.46000004</v>
      </c>
      <c r="AF1395" s="216">
        <v>0</v>
      </c>
      <c r="AG1395" s="216">
        <v>0</v>
      </c>
      <c r="AH1395" s="216">
        <v>0</v>
      </c>
      <c r="AI1395" s="136">
        <f t="shared" si="609"/>
        <v>969348211.46000004</v>
      </c>
      <c r="AJ1395" s="43">
        <f t="shared" si="610"/>
        <v>969348211.46000004</v>
      </c>
      <c r="AK1395" s="44">
        <v>0</v>
      </c>
      <c r="AL1395" s="44">
        <v>0</v>
      </c>
      <c r="AM1395" s="34">
        <v>0</v>
      </c>
      <c r="AN1395" s="34">
        <v>0</v>
      </c>
      <c r="AO1395" s="145">
        <v>0</v>
      </c>
      <c r="AP1395" s="44">
        <v>0</v>
      </c>
      <c r="AQ1395" s="44">
        <v>0</v>
      </c>
      <c r="AR1395" s="34">
        <f>AS1395-SEPTIEMBRE!AS1331</f>
        <v>0</v>
      </c>
      <c r="AS1395" s="44">
        <v>0</v>
      </c>
      <c r="AT1395" s="135">
        <f t="shared" si="611"/>
        <v>0</v>
      </c>
      <c r="AU1395" s="18">
        <f t="shared" si="612"/>
        <v>969348211.46000004</v>
      </c>
      <c r="AV1395" s="34">
        <f t="shared" si="613"/>
        <v>0</v>
      </c>
      <c r="AW1395" s="133">
        <f t="shared" si="614"/>
        <v>0</v>
      </c>
      <c r="AX1395" s="123">
        <f t="shared" si="615"/>
        <v>0</v>
      </c>
    </row>
    <row r="1396" spans="27:50" x14ac:dyDescent="0.2">
      <c r="AA1396" s="94"/>
      <c r="AB1396" s="95"/>
      <c r="AC1396" s="96"/>
      <c r="AD1396" s="43"/>
      <c r="AE1396" s="97"/>
      <c r="AF1396" s="97"/>
      <c r="AG1396" s="96"/>
      <c r="AH1396" s="43"/>
      <c r="AI1396" s="136"/>
      <c r="AJ1396" s="43"/>
      <c r="AK1396" s="97"/>
      <c r="AL1396" s="97"/>
      <c r="AM1396" s="97"/>
      <c r="AN1396" s="97"/>
      <c r="AO1396" s="97"/>
      <c r="AP1396" s="97"/>
      <c r="AQ1396" s="97"/>
      <c r="AR1396" s="97"/>
      <c r="AS1396" s="97"/>
      <c r="AT1396" s="135"/>
      <c r="AU1396" s="110"/>
      <c r="AV1396" s="133"/>
      <c r="AW1396" s="133"/>
      <c r="AX1396" s="123"/>
    </row>
    <row r="1397" spans="27:50" x14ac:dyDescent="0.2">
      <c r="AA1397" s="94"/>
      <c r="AB1397" s="279" t="s">
        <v>1273</v>
      </c>
      <c r="AC1397" s="96"/>
      <c r="AD1397" s="43"/>
      <c r="AE1397" s="97"/>
      <c r="AF1397" s="97"/>
      <c r="AG1397" s="96"/>
      <c r="AH1397" s="43"/>
      <c r="AI1397" s="136"/>
      <c r="AJ1397" s="43"/>
      <c r="AK1397" s="97"/>
      <c r="AL1397" s="97"/>
      <c r="AM1397" s="97"/>
      <c r="AN1397" s="97"/>
      <c r="AO1397" s="97"/>
      <c r="AP1397" s="97"/>
      <c r="AQ1397" s="97"/>
      <c r="AR1397" s="97"/>
      <c r="AS1397" s="97"/>
      <c r="AT1397" s="135"/>
      <c r="AU1397" s="110"/>
      <c r="AV1397" s="133"/>
      <c r="AW1397" s="133"/>
      <c r="AX1397" s="123"/>
    </row>
    <row r="1398" spans="27:50" x14ac:dyDescent="0.2">
      <c r="AA1398" s="93" t="s">
        <v>288</v>
      </c>
      <c r="AB1398" s="243" t="s">
        <v>790</v>
      </c>
      <c r="AC1398" s="91"/>
      <c r="AD1398" s="18"/>
      <c r="AE1398" s="92"/>
      <c r="AF1398" s="92"/>
      <c r="AG1398" s="92"/>
      <c r="AH1398" s="92"/>
      <c r="AI1398" s="92"/>
      <c r="AJ1398" s="18"/>
      <c r="AK1398" s="18"/>
      <c r="AL1398" s="115">
        <f>AM1398-'MARZO '!AM995</f>
        <v>0</v>
      </c>
      <c r="AM1398" s="18"/>
      <c r="AN1398" s="92"/>
      <c r="AO1398" s="147"/>
      <c r="AP1398" s="18"/>
      <c r="AQ1398" s="92"/>
      <c r="AR1398" s="98"/>
      <c r="AS1398" s="92"/>
      <c r="AT1398" s="30"/>
      <c r="AU1398" s="18"/>
      <c r="AV1398" s="110"/>
      <c r="AW1398" s="18"/>
      <c r="AX1398" s="92"/>
    </row>
    <row r="1399" spans="27:50" x14ac:dyDescent="0.2">
      <c r="AA1399" s="94" t="s">
        <v>791</v>
      </c>
      <c r="AB1399" s="95" t="s">
        <v>233</v>
      </c>
      <c r="AC1399" s="96" t="s">
        <v>58</v>
      </c>
      <c r="AD1399" s="43">
        <v>300000000</v>
      </c>
      <c r="AE1399" s="96">
        <v>0</v>
      </c>
      <c r="AF1399" s="216">
        <v>0</v>
      </c>
      <c r="AG1399" s="216">
        <v>0</v>
      </c>
      <c r="AH1399" s="216">
        <v>0</v>
      </c>
      <c r="AI1399" s="136">
        <f t="shared" ref="AI1399:AI1402" si="616">AE1399-AF1399+AG1399-AH1399</f>
        <v>0</v>
      </c>
      <c r="AJ1399" s="43">
        <f t="shared" ref="AJ1399:AJ1402" si="617">AD1399+AI1399</f>
        <v>300000000</v>
      </c>
      <c r="AK1399" s="44">
        <v>0</v>
      </c>
      <c r="AL1399" s="115">
        <v>0</v>
      </c>
      <c r="AM1399" s="18">
        <v>300000000</v>
      </c>
      <c r="AN1399" s="98">
        <v>0</v>
      </c>
      <c r="AO1399" s="145">
        <v>0</v>
      </c>
      <c r="AP1399" s="18">
        <v>300000000</v>
      </c>
      <c r="AQ1399" s="96">
        <v>27272727</v>
      </c>
      <c r="AR1399" s="44">
        <v>0</v>
      </c>
      <c r="AS1399" s="43">
        <v>203636362</v>
      </c>
      <c r="AT1399" s="39">
        <f t="shared" ref="AT1399:AT1402" si="618">AQ1399+AS1399</f>
        <v>230909089</v>
      </c>
      <c r="AU1399" s="133">
        <f>AJ1399-AM1399</f>
        <v>0</v>
      </c>
      <c r="AV1399" s="133">
        <f>AM1399-AP1399</f>
        <v>0</v>
      </c>
      <c r="AW1399" s="18">
        <f>AP1399-AT1399</f>
        <v>69090911</v>
      </c>
      <c r="AX1399" s="123">
        <f>AP1399/AJ1399</f>
        <v>1</v>
      </c>
    </row>
    <row r="1400" spans="27:50" x14ac:dyDescent="0.2">
      <c r="AA1400" s="94" t="s">
        <v>792</v>
      </c>
      <c r="AB1400" s="95" t="s">
        <v>793</v>
      </c>
      <c r="AC1400" s="96" t="s">
        <v>794</v>
      </c>
      <c r="AD1400" s="43">
        <v>664600000</v>
      </c>
      <c r="AE1400" s="96">
        <v>0</v>
      </c>
      <c r="AF1400" s="216">
        <v>0</v>
      </c>
      <c r="AG1400" s="216">
        <v>0</v>
      </c>
      <c r="AH1400" s="216">
        <v>0</v>
      </c>
      <c r="AI1400" s="136">
        <f t="shared" si="616"/>
        <v>0</v>
      </c>
      <c r="AJ1400" s="43">
        <f t="shared" si="617"/>
        <v>664600000</v>
      </c>
      <c r="AK1400" s="44">
        <v>0</v>
      </c>
      <c r="AL1400" s="115">
        <v>0</v>
      </c>
      <c r="AM1400" s="18">
        <v>664510000</v>
      </c>
      <c r="AN1400" s="98">
        <v>0</v>
      </c>
      <c r="AO1400" s="145">
        <v>0</v>
      </c>
      <c r="AP1400" s="18">
        <v>664510000</v>
      </c>
      <c r="AQ1400" s="114">
        <v>33725455</v>
      </c>
      <c r="AR1400" s="43">
        <v>48073333</v>
      </c>
      <c r="AS1400" s="43">
        <v>533672731</v>
      </c>
      <c r="AT1400" s="111">
        <f t="shared" si="618"/>
        <v>567398186</v>
      </c>
      <c r="AU1400" s="110">
        <f>AJ1400-AM1400</f>
        <v>90000</v>
      </c>
      <c r="AV1400" s="133">
        <f>AM1400-AP1400</f>
        <v>0</v>
      </c>
      <c r="AW1400" s="18">
        <f>AP1400-AT1400</f>
        <v>97111814</v>
      </c>
      <c r="AX1400" s="123">
        <f>AP1400/AJ1400</f>
        <v>0.99986458019861568</v>
      </c>
    </row>
    <row r="1401" spans="27:50" ht="13.5" thickBot="1" x14ac:dyDescent="0.25">
      <c r="AA1401" s="221" t="s">
        <v>1185</v>
      </c>
      <c r="AB1401" s="95" t="s">
        <v>1015</v>
      </c>
      <c r="AC1401" s="96"/>
      <c r="AD1401" s="44">
        <v>0</v>
      </c>
      <c r="AE1401" s="43">
        <v>26941817.940000001</v>
      </c>
      <c r="AF1401" s="216">
        <v>0</v>
      </c>
      <c r="AG1401" s="216">
        <v>0</v>
      </c>
      <c r="AH1401" s="216">
        <v>0</v>
      </c>
      <c r="AI1401" s="136">
        <f>AE1401-AF1401+AG1401-AH1401</f>
        <v>26941817.940000001</v>
      </c>
      <c r="AJ1401" s="43">
        <f>AD1401+AI1401</f>
        <v>26941817.940000001</v>
      </c>
      <c r="AK1401" s="44">
        <v>0</v>
      </c>
      <c r="AL1401" s="115">
        <v>26936186</v>
      </c>
      <c r="AM1401" s="34">
        <v>26936186</v>
      </c>
      <c r="AN1401" s="98">
        <v>0</v>
      </c>
      <c r="AO1401" s="34">
        <v>26936186</v>
      </c>
      <c r="AP1401" s="34">
        <v>26936186</v>
      </c>
      <c r="AQ1401" s="115">
        <v>0</v>
      </c>
      <c r="AR1401" s="44">
        <v>0</v>
      </c>
      <c r="AS1401" s="44">
        <v>0</v>
      </c>
      <c r="AT1401" s="135">
        <f>AQ1401+AS1401</f>
        <v>0</v>
      </c>
      <c r="AU1401" s="110">
        <f>AJ1401-AM1401</f>
        <v>5631.9400000013411</v>
      </c>
      <c r="AV1401" s="133">
        <f>AM1401-AP1401</f>
        <v>0</v>
      </c>
      <c r="AW1401" s="18">
        <f>AP1401-AT1401</f>
        <v>26936186</v>
      </c>
      <c r="AX1401" s="123">
        <f>AP1401/AJ1401</f>
        <v>0.99979095916940186</v>
      </c>
    </row>
    <row r="1402" spans="27:50" x14ac:dyDescent="0.2">
      <c r="AA1402" s="173" t="s">
        <v>1180</v>
      </c>
      <c r="AB1402" s="95" t="s">
        <v>1181</v>
      </c>
      <c r="AC1402" s="96"/>
      <c r="AD1402" s="44">
        <v>0</v>
      </c>
      <c r="AE1402" s="43">
        <f>54400000+23058182</f>
        <v>77458182</v>
      </c>
      <c r="AF1402" s="216">
        <v>0</v>
      </c>
      <c r="AG1402" s="216">
        <v>0</v>
      </c>
      <c r="AH1402" s="216">
        <v>0</v>
      </c>
      <c r="AI1402" s="136">
        <f t="shared" si="616"/>
        <v>77458182</v>
      </c>
      <c r="AJ1402" s="43">
        <f t="shared" si="617"/>
        <v>77458182</v>
      </c>
      <c r="AK1402" s="44">
        <v>0</v>
      </c>
      <c r="AL1402" s="115">
        <v>15369998</v>
      </c>
      <c r="AM1402" s="34">
        <v>48228180</v>
      </c>
      <c r="AN1402" s="98">
        <v>0</v>
      </c>
      <c r="AO1402" s="34">
        <v>21369998</v>
      </c>
      <c r="AP1402" s="34">
        <v>25169998</v>
      </c>
      <c r="AQ1402" s="115">
        <v>0</v>
      </c>
      <c r="AR1402" s="44">
        <v>126667</v>
      </c>
      <c r="AS1402" s="44">
        <v>126667</v>
      </c>
      <c r="AT1402" s="135">
        <f t="shared" si="618"/>
        <v>126667</v>
      </c>
      <c r="AU1402" s="110">
        <f>AJ1402-AM1402</f>
        <v>29230002</v>
      </c>
      <c r="AV1402" s="18">
        <f>AM1402-AP1402</f>
        <v>23058182</v>
      </c>
      <c r="AW1402" s="18">
        <f>AP1402-AT1402</f>
        <v>25043331</v>
      </c>
      <c r="AX1402" s="123">
        <f>AP1402/AJ1402</f>
        <v>0.32494950630263952</v>
      </c>
    </row>
    <row r="1403" spans="27:50" x14ac:dyDescent="0.2">
      <c r="AA1403" s="94"/>
      <c r="AB1403" s="95"/>
      <c r="AC1403" s="96"/>
      <c r="AD1403" s="43"/>
      <c r="AE1403" s="97"/>
      <c r="AF1403" s="97"/>
      <c r="AG1403" s="96"/>
      <c r="AH1403" s="43"/>
      <c r="AI1403" s="136"/>
      <c r="AJ1403" s="43"/>
      <c r="AK1403" s="97"/>
      <c r="AL1403" s="97"/>
      <c r="AM1403" s="97"/>
      <c r="AN1403" s="97"/>
      <c r="AO1403" s="97"/>
      <c r="AP1403" s="97"/>
      <c r="AQ1403" s="97"/>
      <c r="AR1403" s="97"/>
      <c r="AS1403" s="97"/>
      <c r="AT1403" s="135"/>
      <c r="AU1403" s="110"/>
      <c r="AV1403" s="133"/>
      <c r="AW1403" s="133"/>
      <c r="AX1403" s="123"/>
    </row>
    <row r="1404" spans="27:50" ht="25.5" x14ac:dyDescent="0.2">
      <c r="AA1404" s="93" t="s">
        <v>288</v>
      </c>
      <c r="AB1404" s="90" t="s">
        <v>795</v>
      </c>
      <c r="AC1404" s="91"/>
      <c r="AD1404" s="18"/>
      <c r="AE1404" s="92"/>
      <c r="AF1404" s="92"/>
      <c r="AG1404" s="92"/>
      <c r="AH1404" s="92"/>
      <c r="AI1404" s="92"/>
      <c r="AJ1404" s="18"/>
      <c r="AK1404" s="34"/>
      <c r="AL1404" s="18"/>
      <c r="AM1404" s="18"/>
      <c r="AN1404" s="92"/>
      <c r="AO1404" s="18"/>
      <c r="AP1404" s="18"/>
      <c r="AQ1404" s="92"/>
      <c r="AR1404" s="92"/>
      <c r="AS1404" s="92"/>
      <c r="AT1404" s="40"/>
      <c r="AU1404" s="18"/>
      <c r="AV1404" s="110"/>
      <c r="AW1404" s="18"/>
      <c r="AX1404" s="92"/>
    </row>
    <row r="1405" spans="27:50" x14ac:dyDescent="0.2">
      <c r="AA1405" s="94" t="s">
        <v>796</v>
      </c>
      <c r="AB1405" s="95" t="s">
        <v>233</v>
      </c>
      <c r="AC1405" s="96" t="s">
        <v>58</v>
      </c>
      <c r="AD1405" s="43">
        <v>242950000</v>
      </c>
      <c r="AE1405" s="96">
        <v>0</v>
      </c>
      <c r="AF1405" s="216">
        <v>0</v>
      </c>
      <c r="AG1405" s="216">
        <v>0</v>
      </c>
      <c r="AH1405" s="216">
        <v>0</v>
      </c>
      <c r="AI1405" s="136">
        <f>AE1405-AF1405+AG1405-AH1405</f>
        <v>0</v>
      </c>
      <c r="AJ1405" s="43">
        <f>AD1405+AI1405</f>
        <v>242950000</v>
      </c>
      <c r="AK1405" s="44">
        <v>0</v>
      </c>
      <c r="AL1405" s="43">
        <v>0</v>
      </c>
      <c r="AM1405" s="43">
        <v>242950000</v>
      </c>
      <c r="AN1405" s="97">
        <v>0</v>
      </c>
      <c r="AO1405" s="44">
        <v>0</v>
      </c>
      <c r="AP1405" s="43">
        <v>242950000</v>
      </c>
      <c r="AQ1405" s="97">
        <v>0</v>
      </c>
      <c r="AR1405" s="97">
        <v>0</v>
      </c>
      <c r="AS1405" s="97">
        <v>0</v>
      </c>
      <c r="AT1405" s="135">
        <f>AQ1405+AS1405</f>
        <v>0</v>
      </c>
      <c r="AU1405" s="133">
        <f>AJ1405-AM1405</f>
        <v>0</v>
      </c>
      <c r="AV1405" s="18">
        <f>AM1405-AP1405</f>
        <v>0</v>
      </c>
      <c r="AW1405" s="18">
        <f>AP1405-AT1405</f>
        <v>242950000</v>
      </c>
      <c r="AX1405" s="123">
        <f>AP1405/AJ1405</f>
        <v>1</v>
      </c>
    </row>
    <row r="1406" spans="27:50" x14ac:dyDescent="0.2">
      <c r="AA1406" s="94" t="s">
        <v>797</v>
      </c>
      <c r="AB1406" s="95" t="s">
        <v>793</v>
      </c>
      <c r="AC1406" s="96" t="s">
        <v>794</v>
      </c>
      <c r="AD1406" s="43">
        <v>1746250000</v>
      </c>
      <c r="AE1406" s="43">
        <v>22486525</v>
      </c>
      <c r="AF1406" s="216">
        <v>0</v>
      </c>
      <c r="AG1406" s="216">
        <v>0</v>
      </c>
      <c r="AH1406" s="216">
        <v>0</v>
      </c>
      <c r="AI1406" s="136">
        <f>AE1406-AF1406+AG1406-AH1406</f>
        <v>22486525</v>
      </c>
      <c r="AJ1406" s="43">
        <f>AD1406+AI1406</f>
        <v>1768736525</v>
      </c>
      <c r="AK1406" s="44">
        <v>0</v>
      </c>
      <c r="AL1406" s="43">
        <v>-17513475</v>
      </c>
      <c r="AM1406" s="43">
        <v>1602095190.6600001</v>
      </c>
      <c r="AN1406" s="97">
        <v>0</v>
      </c>
      <c r="AO1406" s="114">
        <v>10486525</v>
      </c>
      <c r="AP1406" s="114">
        <v>1550595190.6600001</v>
      </c>
      <c r="AQ1406" s="43">
        <v>156025333</v>
      </c>
      <c r="AR1406" s="43">
        <v>84516667</v>
      </c>
      <c r="AS1406" s="43">
        <v>643718984</v>
      </c>
      <c r="AT1406" s="39">
        <f>AQ1406+AS1406</f>
        <v>799744317</v>
      </c>
      <c r="AU1406" s="18">
        <f>AJ1406-AM1406</f>
        <v>166641334.33999991</v>
      </c>
      <c r="AV1406" s="18">
        <f>AM1406-AP1406</f>
        <v>51500000</v>
      </c>
      <c r="AW1406" s="18">
        <f>AP1406-AT1406</f>
        <v>750850873.66000009</v>
      </c>
      <c r="AX1406" s="123">
        <f>AP1406/AJ1406</f>
        <v>0.876668270679829</v>
      </c>
    </row>
    <row r="1407" spans="27:50" x14ac:dyDescent="0.2">
      <c r="AA1407" s="173" t="s">
        <v>1171</v>
      </c>
      <c r="AB1407" s="95" t="s">
        <v>1015</v>
      </c>
      <c r="AC1407" s="96"/>
      <c r="AD1407" s="44">
        <v>0</v>
      </c>
      <c r="AE1407" s="43">
        <f>168359999+463053476</f>
        <v>631413475</v>
      </c>
      <c r="AF1407" s="216">
        <v>0</v>
      </c>
      <c r="AG1407" s="216">
        <v>0</v>
      </c>
      <c r="AH1407" s="216">
        <v>0</v>
      </c>
      <c r="AI1407" s="136">
        <f>AE1407-AF1407+AG1407-AH1407</f>
        <v>631413475</v>
      </c>
      <c r="AJ1407" s="43">
        <f>AD1407+AI1407</f>
        <v>631413475</v>
      </c>
      <c r="AK1407" s="115">
        <v>0</v>
      </c>
      <c r="AL1407" s="43">
        <v>6213475</v>
      </c>
      <c r="AM1407" s="18">
        <v>606213475</v>
      </c>
      <c r="AN1407" s="92">
        <v>0</v>
      </c>
      <c r="AO1407" s="18">
        <v>6213475</v>
      </c>
      <c r="AP1407" s="18">
        <v>502245775</v>
      </c>
      <c r="AQ1407" s="115">
        <v>0</v>
      </c>
      <c r="AR1407" s="43">
        <v>0</v>
      </c>
      <c r="AS1407" s="43">
        <v>91378600</v>
      </c>
      <c r="AT1407" s="39">
        <f>AQ1407+AS1407</f>
        <v>91378600</v>
      </c>
      <c r="AU1407" s="18">
        <f>AJ1407-AM1407</f>
        <v>25200000</v>
      </c>
      <c r="AV1407" s="18">
        <f>AM1407-AP1407</f>
        <v>103967700</v>
      </c>
      <c r="AW1407" s="18">
        <f>AP1407-AT1407</f>
        <v>410867175</v>
      </c>
      <c r="AX1407" s="123">
        <f>AP1407/AJ1407</f>
        <v>0.79543087831630455</v>
      </c>
    </row>
    <row r="1408" spans="27:50" x14ac:dyDescent="0.2">
      <c r="AA1408" s="173" t="s">
        <v>1189</v>
      </c>
      <c r="AB1408" s="95" t="s">
        <v>1190</v>
      </c>
      <c r="AC1408" s="96"/>
      <c r="AD1408" s="44">
        <v>0</v>
      </c>
      <c r="AE1408" s="43">
        <v>1323800000</v>
      </c>
      <c r="AF1408" s="216">
        <v>0</v>
      </c>
      <c r="AG1408" s="216">
        <v>0</v>
      </c>
      <c r="AH1408" s="216">
        <v>0</v>
      </c>
      <c r="AI1408" s="136">
        <f>AE1408-AF1408+AG1408-AH1408</f>
        <v>1323800000</v>
      </c>
      <c r="AJ1408" s="43">
        <f>AD1408+AI1408</f>
        <v>1323800000</v>
      </c>
      <c r="AK1408" s="115">
        <v>0</v>
      </c>
      <c r="AL1408" s="43">
        <v>164552837</v>
      </c>
      <c r="AM1408" s="18">
        <v>1097862701.6600001</v>
      </c>
      <c r="AN1408" s="92">
        <v>0</v>
      </c>
      <c r="AO1408" s="18">
        <v>9900000</v>
      </c>
      <c r="AP1408" s="18">
        <v>925059864.65999997</v>
      </c>
      <c r="AQ1408" s="114">
        <v>27483333</v>
      </c>
      <c r="AR1408" s="43">
        <v>130150000</v>
      </c>
      <c r="AS1408" s="43">
        <v>390313334</v>
      </c>
      <c r="AT1408" s="39">
        <f>AQ1408+AS1408</f>
        <v>417796667</v>
      </c>
      <c r="AU1408" s="18">
        <f>AJ1408-AM1408</f>
        <v>225937298.33999991</v>
      </c>
      <c r="AV1408" s="18">
        <f>AM1408-AP1408</f>
        <v>172802837.00000012</v>
      </c>
      <c r="AW1408" s="18">
        <f>AP1408-AT1408</f>
        <v>507263197.65999997</v>
      </c>
      <c r="AX1408" s="123">
        <f>AP1408/AJ1408</f>
        <v>0.69879125597522285</v>
      </c>
    </row>
    <row r="1409" spans="27:50" x14ac:dyDescent="0.2">
      <c r="AA1409" s="94"/>
      <c r="AB1409" s="95"/>
      <c r="AC1409" s="96"/>
      <c r="AD1409" s="43"/>
      <c r="AE1409" s="97"/>
      <c r="AF1409" s="97"/>
      <c r="AG1409" s="96"/>
      <c r="AH1409" s="43"/>
      <c r="AI1409" s="136"/>
      <c r="AJ1409" s="43"/>
      <c r="AK1409" s="97"/>
      <c r="AL1409" s="97"/>
      <c r="AM1409" s="97"/>
      <c r="AN1409" s="97"/>
      <c r="AO1409" s="97"/>
      <c r="AP1409" s="97"/>
      <c r="AQ1409" s="97"/>
      <c r="AR1409" s="97"/>
      <c r="AS1409" s="97"/>
      <c r="AT1409" s="135"/>
      <c r="AU1409" s="110"/>
      <c r="AV1409" s="133"/>
      <c r="AW1409" s="133"/>
      <c r="AX1409" s="123"/>
    </row>
    <row r="1410" spans="27:50" ht="25.5" x14ac:dyDescent="0.2">
      <c r="AA1410" s="272" t="s">
        <v>288</v>
      </c>
      <c r="AB1410" s="90" t="s">
        <v>803</v>
      </c>
      <c r="AC1410" s="91"/>
      <c r="AD1410" s="18"/>
      <c r="AE1410" s="92"/>
      <c r="AF1410" s="92"/>
      <c r="AG1410" s="92"/>
      <c r="AH1410" s="92"/>
      <c r="AI1410" s="92"/>
      <c r="AJ1410" s="18"/>
      <c r="AK1410" s="34"/>
      <c r="AL1410" s="18"/>
      <c r="AM1410" s="18"/>
      <c r="AN1410" s="92"/>
      <c r="AO1410" s="18"/>
      <c r="AP1410" s="18"/>
      <c r="AQ1410" s="92"/>
      <c r="AR1410" s="92"/>
      <c r="AS1410" s="98"/>
      <c r="AT1410" s="31"/>
      <c r="AU1410" s="18"/>
      <c r="AV1410" s="34"/>
      <c r="AW1410" s="18"/>
      <c r="AX1410" s="92"/>
    </row>
    <row r="1411" spans="27:50" x14ac:dyDescent="0.2">
      <c r="AA1411" s="273" t="s">
        <v>804</v>
      </c>
      <c r="AB1411" s="95" t="s">
        <v>793</v>
      </c>
      <c r="AC1411" s="96" t="s">
        <v>794</v>
      </c>
      <c r="AD1411" s="43">
        <v>485467000</v>
      </c>
      <c r="AE1411" s="96">
        <v>0</v>
      </c>
      <c r="AF1411" s="216">
        <v>0</v>
      </c>
      <c r="AG1411" s="216">
        <v>0</v>
      </c>
      <c r="AH1411" s="216">
        <v>0</v>
      </c>
      <c r="AI1411" s="136">
        <f t="shared" ref="AI1411:AI1412" si="619">AE1411-AF1411+AG1411-AH1411</f>
        <v>0</v>
      </c>
      <c r="AJ1411" s="43">
        <f t="shared" ref="AJ1411:AJ1412" si="620">AD1411+AI1411</f>
        <v>485467000</v>
      </c>
      <c r="AK1411" s="97">
        <v>0</v>
      </c>
      <c r="AL1411" s="44">
        <v>0</v>
      </c>
      <c r="AM1411" s="43">
        <v>485467000</v>
      </c>
      <c r="AN1411" s="97">
        <v>0</v>
      </c>
      <c r="AO1411" s="44">
        <v>0</v>
      </c>
      <c r="AP1411" s="43">
        <v>485467000</v>
      </c>
      <c r="AQ1411" s="44">
        <v>0</v>
      </c>
      <c r="AR1411" s="43">
        <v>7600000</v>
      </c>
      <c r="AS1411" s="43">
        <v>158600849</v>
      </c>
      <c r="AT1411" s="39">
        <f t="shared" ref="AT1411:AT1412" si="621">AQ1411+AS1411</f>
        <v>158600849</v>
      </c>
      <c r="AU1411" s="133">
        <f>AJ1411-AM1411</f>
        <v>0</v>
      </c>
      <c r="AV1411" s="18">
        <f>AM1411-AP1411</f>
        <v>0</v>
      </c>
      <c r="AW1411" s="18">
        <f>AP1411-AT1411</f>
        <v>326866151</v>
      </c>
      <c r="AX1411" s="123">
        <f>AP1411/AJ1411</f>
        <v>1</v>
      </c>
    </row>
    <row r="1412" spans="27:50" x14ac:dyDescent="0.2">
      <c r="AA1412" s="274" t="s">
        <v>1172</v>
      </c>
      <c r="AB1412" s="95" t="s">
        <v>1015</v>
      </c>
      <c r="AC1412" s="96"/>
      <c r="AD1412" s="43">
        <v>0</v>
      </c>
      <c r="AE1412" s="43">
        <v>7600000</v>
      </c>
      <c r="AF1412" s="216">
        <v>0</v>
      </c>
      <c r="AG1412" s="216">
        <v>0</v>
      </c>
      <c r="AH1412" s="216">
        <v>0</v>
      </c>
      <c r="AI1412" s="136">
        <f t="shared" si="619"/>
        <v>7600000</v>
      </c>
      <c r="AJ1412" s="43">
        <f t="shared" si="620"/>
        <v>7600000</v>
      </c>
      <c r="AK1412" s="97">
        <v>0</v>
      </c>
      <c r="AL1412" s="44">
        <v>0</v>
      </c>
      <c r="AM1412" s="44">
        <v>0</v>
      </c>
      <c r="AN1412" s="97">
        <v>0</v>
      </c>
      <c r="AO1412" s="44">
        <v>0</v>
      </c>
      <c r="AP1412" s="44">
        <v>0</v>
      </c>
      <c r="AQ1412" s="44">
        <v>0</v>
      </c>
      <c r="AR1412" s="43">
        <v>0</v>
      </c>
      <c r="AS1412" s="44">
        <v>0</v>
      </c>
      <c r="AT1412" s="40">
        <f t="shared" si="621"/>
        <v>0</v>
      </c>
      <c r="AU1412" s="110">
        <f>AJ1412-AM1412</f>
        <v>7600000</v>
      </c>
      <c r="AV1412" s="34">
        <f>AM1412-AP1412</f>
        <v>0</v>
      </c>
      <c r="AW1412" s="34">
        <f>AP1412-AT1412</f>
        <v>0</v>
      </c>
      <c r="AX1412" s="123">
        <f>AP1412/AJ1412</f>
        <v>0</v>
      </c>
    </row>
    <row r="1413" spans="27:50" ht="25.5" x14ac:dyDescent="0.2">
      <c r="AA1413" s="272" t="s">
        <v>288</v>
      </c>
      <c r="AB1413" s="90" t="s">
        <v>805</v>
      </c>
      <c r="AC1413" s="91"/>
      <c r="AD1413" s="18"/>
      <c r="AE1413" s="92"/>
      <c r="AF1413" s="92"/>
      <c r="AG1413" s="92"/>
      <c r="AH1413" s="92"/>
      <c r="AI1413" s="92"/>
      <c r="AJ1413" s="18"/>
      <c r="AK1413" s="98"/>
      <c r="AL1413" s="133"/>
      <c r="AM1413" s="110"/>
      <c r="AN1413" s="92"/>
      <c r="AO1413" s="98"/>
      <c r="AP1413" s="92"/>
      <c r="AQ1413" s="98"/>
      <c r="AR1413" s="92"/>
      <c r="AS1413" s="98"/>
      <c r="AT1413" s="31"/>
      <c r="AU1413" s="18"/>
      <c r="AV1413" s="34"/>
      <c r="AW1413" s="18"/>
      <c r="AX1413" s="92"/>
    </row>
    <row r="1414" spans="27:50" x14ac:dyDescent="0.2">
      <c r="AA1414" s="273" t="s">
        <v>806</v>
      </c>
      <c r="AB1414" s="95" t="s">
        <v>793</v>
      </c>
      <c r="AC1414" s="96" t="s">
        <v>794</v>
      </c>
      <c r="AD1414" s="43">
        <v>402000000</v>
      </c>
      <c r="AE1414" s="96">
        <v>0</v>
      </c>
      <c r="AF1414" s="216">
        <v>0</v>
      </c>
      <c r="AG1414" s="216">
        <v>0</v>
      </c>
      <c r="AH1414" s="216">
        <v>0</v>
      </c>
      <c r="AI1414" s="136">
        <f t="shared" ref="AI1414:AI1415" si="622">AE1414-AF1414+AG1414-AH1414</f>
        <v>0</v>
      </c>
      <c r="AJ1414" s="43">
        <f t="shared" ref="AJ1414:AJ1415" si="623">AD1414+AI1414</f>
        <v>402000000</v>
      </c>
      <c r="AK1414" s="97">
        <v>0</v>
      </c>
      <c r="AL1414" s="115">
        <v>0</v>
      </c>
      <c r="AM1414" s="114">
        <v>366000000</v>
      </c>
      <c r="AN1414" s="97">
        <v>0</v>
      </c>
      <c r="AO1414" s="115">
        <v>0</v>
      </c>
      <c r="AP1414" s="43">
        <v>366000000</v>
      </c>
      <c r="AQ1414" s="44">
        <v>0</v>
      </c>
      <c r="AR1414" s="43">
        <v>8000000</v>
      </c>
      <c r="AS1414" s="43">
        <v>165941160</v>
      </c>
      <c r="AT1414" s="39">
        <f t="shared" ref="AT1414:AT1415" si="624">AQ1414+AS1414</f>
        <v>165941160</v>
      </c>
      <c r="AU1414" s="18">
        <f>AJ1414-AM1414</f>
        <v>36000000</v>
      </c>
      <c r="AV1414" s="34">
        <f>AM1414-AP1414</f>
        <v>0</v>
      </c>
      <c r="AW1414" s="18">
        <f>AP1414-AT1414</f>
        <v>200058840</v>
      </c>
      <c r="AX1414" s="123">
        <f>AP1414/AJ1414</f>
        <v>0.91044776119402981</v>
      </c>
    </row>
    <row r="1415" spans="27:50" x14ac:dyDescent="0.2">
      <c r="AA1415" s="173" t="s">
        <v>1173</v>
      </c>
      <c r="AB1415" s="95" t="s">
        <v>1015</v>
      </c>
      <c r="AC1415" s="96"/>
      <c r="AD1415" s="43">
        <v>0</v>
      </c>
      <c r="AE1415" s="43">
        <v>12000000</v>
      </c>
      <c r="AF1415" s="216">
        <v>0</v>
      </c>
      <c r="AG1415" s="216">
        <v>0</v>
      </c>
      <c r="AH1415" s="216">
        <v>0</v>
      </c>
      <c r="AI1415" s="136">
        <f t="shared" si="622"/>
        <v>12000000</v>
      </c>
      <c r="AJ1415" s="43">
        <f t="shared" si="623"/>
        <v>12000000</v>
      </c>
      <c r="AK1415" s="97">
        <v>0</v>
      </c>
      <c r="AL1415" s="115">
        <v>8000000</v>
      </c>
      <c r="AM1415" s="115">
        <v>8000000</v>
      </c>
      <c r="AN1415" s="97">
        <v>0</v>
      </c>
      <c r="AO1415" s="115">
        <v>4000000</v>
      </c>
      <c r="AP1415" s="44">
        <v>4000000</v>
      </c>
      <c r="AQ1415" s="44">
        <v>0</v>
      </c>
      <c r="AR1415" s="44">
        <v>0</v>
      </c>
      <c r="AS1415" s="44">
        <v>0</v>
      </c>
      <c r="AT1415" s="40">
        <f t="shared" si="624"/>
        <v>0</v>
      </c>
      <c r="AU1415" s="18">
        <f>AJ1415-AM1415</f>
        <v>4000000</v>
      </c>
      <c r="AV1415" s="34">
        <f>AM1415-AP1415</f>
        <v>4000000</v>
      </c>
      <c r="AW1415" s="34">
        <f>AP1415-AT1415</f>
        <v>4000000</v>
      </c>
      <c r="AX1415" s="123">
        <f>AP1415/AJ1415</f>
        <v>0.33333333333333331</v>
      </c>
    </row>
    <row r="1416" spans="27:50" x14ac:dyDescent="0.2">
      <c r="AA1416" s="94"/>
      <c r="AB1416" s="95"/>
      <c r="AC1416" s="96"/>
      <c r="AD1416" s="43"/>
      <c r="AE1416" s="97"/>
      <c r="AF1416" s="97"/>
      <c r="AG1416" s="96"/>
      <c r="AH1416" s="43"/>
      <c r="AI1416" s="136"/>
      <c r="AJ1416" s="43"/>
      <c r="AK1416" s="97"/>
      <c r="AL1416" s="97"/>
      <c r="AM1416" s="97"/>
      <c r="AN1416" s="97"/>
      <c r="AO1416" s="97"/>
      <c r="AP1416" s="97"/>
      <c r="AQ1416" s="97"/>
      <c r="AR1416" s="97"/>
      <c r="AS1416" s="97"/>
      <c r="AT1416" s="135"/>
      <c r="AU1416" s="110"/>
      <c r="AV1416" s="133"/>
      <c r="AW1416" s="133"/>
      <c r="AX1416" s="123"/>
    </row>
    <row r="1417" spans="27:50" ht="38.25" x14ac:dyDescent="0.2">
      <c r="AA1417" s="93" t="s">
        <v>288</v>
      </c>
      <c r="AB1417" s="90" t="s">
        <v>807</v>
      </c>
      <c r="AC1417" s="91"/>
      <c r="AD1417" s="18"/>
      <c r="AE1417" s="92"/>
      <c r="AF1417" s="92"/>
      <c r="AG1417" s="92"/>
      <c r="AH1417" s="92"/>
      <c r="AI1417" s="92"/>
      <c r="AJ1417" s="18"/>
      <c r="AK1417" s="98"/>
      <c r="AL1417" s="98"/>
      <c r="AM1417" s="98"/>
      <c r="AN1417" s="98"/>
      <c r="AO1417" s="98"/>
      <c r="AP1417" s="98"/>
      <c r="AQ1417" s="98"/>
      <c r="AR1417" s="98"/>
      <c r="AS1417" s="98"/>
      <c r="AT1417" s="31"/>
      <c r="AU1417" s="18"/>
      <c r="AV1417" s="18"/>
      <c r="AW1417" s="18"/>
      <c r="AX1417" s="92"/>
    </row>
    <row r="1418" spans="27:50" x14ac:dyDescent="0.2">
      <c r="AA1418" s="94" t="s">
        <v>808</v>
      </c>
      <c r="AB1418" s="95" t="s">
        <v>233</v>
      </c>
      <c r="AC1418" s="96" t="s">
        <v>58</v>
      </c>
      <c r="AD1418" s="43">
        <v>313050000.81</v>
      </c>
      <c r="AE1418" s="96">
        <v>0</v>
      </c>
      <c r="AF1418" s="216">
        <v>0</v>
      </c>
      <c r="AG1418" s="168">
        <v>24400000</v>
      </c>
      <c r="AH1418" s="43">
        <v>136150000</v>
      </c>
      <c r="AI1418" s="136">
        <f t="shared" ref="AI1418:AI1423" si="625">AE1418-AF1418+AG1418-AH1418</f>
        <v>-111750000</v>
      </c>
      <c r="AJ1418" s="43">
        <f t="shared" ref="AJ1418:AJ1423" si="626">AD1418+AI1418</f>
        <v>201300000.81</v>
      </c>
      <c r="AK1418" s="97">
        <v>0</v>
      </c>
      <c r="AL1418" s="43">
        <v>0</v>
      </c>
      <c r="AM1418" s="114">
        <v>199700000</v>
      </c>
      <c r="AN1418" s="97">
        <v>0</v>
      </c>
      <c r="AO1418" s="114">
        <v>0</v>
      </c>
      <c r="AP1418" s="43">
        <v>175300000</v>
      </c>
      <c r="AQ1418" s="43">
        <v>4500000</v>
      </c>
      <c r="AR1418" s="43">
        <v>18200000</v>
      </c>
      <c r="AS1418" s="43">
        <v>145903333</v>
      </c>
      <c r="AT1418" s="39">
        <f t="shared" ref="AT1418:AT1423" si="627">AQ1418+AS1418</f>
        <v>150403333</v>
      </c>
      <c r="AU1418" s="110">
        <f t="shared" ref="AU1418:AU1423" si="628">AJ1418-AM1418</f>
        <v>1600000.8100000024</v>
      </c>
      <c r="AV1418" s="18">
        <f t="shared" ref="AV1418:AV1423" si="629">AM1418-AP1418</f>
        <v>24400000</v>
      </c>
      <c r="AW1418" s="18">
        <f t="shared" ref="AW1418:AW1423" si="630">AP1418-AT1418</f>
        <v>24896667</v>
      </c>
      <c r="AX1418" s="123">
        <f t="shared" ref="AX1418:AX1423" si="631">AP1418/AJ1418</f>
        <v>0.87083953946656711</v>
      </c>
    </row>
    <row r="1419" spans="27:50" x14ac:dyDescent="0.2">
      <c r="AA1419" s="94" t="s">
        <v>809</v>
      </c>
      <c r="AB1419" s="95" t="s">
        <v>793</v>
      </c>
      <c r="AC1419" s="96" t="s">
        <v>794</v>
      </c>
      <c r="AD1419" s="43">
        <v>256800000</v>
      </c>
      <c r="AE1419" s="96">
        <v>0</v>
      </c>
      <c r="AF1419" s="216">
        <v>0</v>
      </c>
      <c r="AG1419" s="216">
        <v>0</v>
      </c>
      <c r="AH1419" s="216">
        <v>0</v>
      </c>
      <c r="AI1419" s="136">
        <f t="shared" si="625"/>
        <v>0</v>
      </c>
      <c r="AJ1419" s="43">
        <f t="shared" si="626"/>
        <v>256800000</v>
      </c>
      <c r="AK1419" s="97">
        <v>0</v>
      </c>
      <c r="AL1419" s="115">
        <v>0</v>
      </c>
      <c r="AM1419" s="114">
        <v>256800000</v>
      </c>
      <c r="AN1419" s="97">
        <v>0</v>
      </c>
      <c r="AO1419" s="115">
        <v>0</v>
      </c>
      <c r="AP1419" s="43">
        <v>256800000</v>
      </c>
      <c r="AQ1419" s="44">
        <v>3400000</v>
      </c>
      <c r="AR1419" s="43">
        <v>3800000</v>
      </c>
      <c r="AS1419" s="43">
        <v>104423331.33</v>
      </c>
      <c r="AT1419" s="39">
        <f t="shared" si="627"/>
        <v>107823331.33</v>
      </c>
      <c r="AU1419" s="133">
        <f t="shared" si="628"/>
        <v>0</v>
      </c>
      <c r="AV1419" s="34">
        <f t="shared" si="629"/>
        <v>0</v>
      </c>
      <c r="AW1419" s="18">
        <f t="shared" si="630"/>
        <v>148976668.67000002</v>
      </c>
      <c r="AX1419" s="123">
        <f t="shared" si="631"/>
        <v>1</v>
      </c>
    </row>
    <row r="1420" spans="27:50" x14ac:dyDescent="0.2">
      <c r="AA1420" s="94" t="s">
        <v>810</v>
      </c>
      <c r="AB1420" s="95" t="s">
        <v>811</v>
      </c>
      <c r="AC1420" s="96" t="s">
        <v>368</v>
      </c>
      <c r="AD1420" s="43">
        <v>90000000</v>
      </c>
      <c r="AE1420" s="96">
        <v>0</v>
      </c>
      <c r="AF1420" s="216">
        <v>0</v>
      </c>
      <c r="AG1420" s="216">
        <v>0</v>
      </c>
      <c r="AH1420" s="216">
        <v>0</v>
      </c>
      <c r="AI1420" s="136">
        <f t="shared" si="625"/>
        <v>0</v>
      </c>
      <c r="AJ1420" s="43">
        <f t="shared" si="626"/>
        <v>90000000</v>
      </c>
      <c r="AK1420" s="97">
        <v>0</v>
      </c>
      <c r="AL1420" s="115">
        <v>0</v>
      </c>
      <c r="AM1420" s="114">
        <v>86600000</v>
      </c>
      <c r="AN1420" s="97">
        <v>0</v>
      </c>
      <c r="AO1420" s="115">
        <v>0</v>
      </c>
      <c r="AP1420" s="43">
        <v>86600000</v>
      </c>
      <c r="AQ1420" s="44">
        <v>0</v>
      </c>
      <c r="AR1420" s="43">
        <v>9700000</v>
      </c>
      <c r="AS1420" s="43">
        <v>73283333</v>
      </c>
      <c r="AT1420" s="39">
        <f t="shared" si="627"/>
        <v>73283333</v>
      </c>
      <c r="AU1420" s="18">
        <f t="shared" si="628"/>
        <v>3400000</v>
      </c>
      <c r="AV1420" s="34">
        <f t="shared" si="629"/>
        <v>0</v>
      </c>
      <c r="AW1420" s="18">
        <f t="shared" si="630"/>
        <v>13316667</v>
      </c>
      <c r="AX1420" s="123">
        <f t="shared" si="631"/>
        <v>0.9622222222222222</v>
      </c>
    </row>
    <row r="1421" spans="27:50" x14ac:dyDescent="0.2">
      <c r="AA1421" s="173" t="s">
        <v>1174</v>
      </c>
      <c r="AB1421" s="95" t="s">
        <v>1015</v>
      </c>
      <c r="AC1421" s="96"/>
      <c r="AD1421" s="44">
        <v>0</v>
      </c>
      <c r="AE1421" s="43">
        <v>165050000</v>
      </c>
      <c r="AF1421" s="216">
        <v>0</v>
      </c>
      <c r="AG1421" s="216">
        <v>0</v>
      </c>
      <c r="AH1421" s="216">
        <v>0</v>
      </c>
      <c r="AI1421" s="136">
        <f t="shared" si="625"/>
        <v>165050000</v>
      </c>
      <c r="AJ1421" s="43">
        <f t="shared" si="626"/>
        <v>165050000</v>
      </c>
      <c r="AK1421" s="97">
        <v>0</v>
      </c>
      <c r="AL1421" s="115">
        <v>12086662</v>
      </c>
      <c r="AM1421" s="114">
        <v>145281562</v>
      </c>
      <c r="AN1421" s="97">
        <v>0</v>
      </c>
      <c r="AO1421" s="115">
        <v>6886664</v>
      </c>
      <c r="AP1421" s="44">
        <v>140081564</v>
      </c>
      <c r="AQ1421" s="44">
        <v>0</v>
      </c>
      <c r="AR1421" s="44">
        <v>0</v>
      </c>
      <c r="AS1421" s="44">
        <v>0</v>
      </c>
      <c r="AT1421" s="40">
        <f t="shared" si="627"/>
        <v>0</v>
      </c>
      <c r="AU1421" s="18">
        <f t="shared" si="628"/>
        <v>19768438</v>
      </c>
      <c r="AV1421" s="18">
        <f t="shared" si="629"/>
        <v>5199998</v>
      </c>
      <c r="AW1421" s="18">
        <f t="shared" si="630"/>
        <v>140081564</v>
      </c>
      <c r="AX1421" s="123">
        <f t="shared" si="631"/>
        <v>0.84872198727658288</v>
      </c>
    </row>
    <row r="1422" spans="27:50" x14ac:dyDescent="0.2">
      <c r="AA1422" s="173" t="s">
        <v>1166</v>
      </c>
      <c r="AB1422" s="95" t="s">
        <v>1167</v>
      </c>
      <c r="AC1422" s="96"/>
      <c r="AD1422" s="44">
        <v>0</v>
      </c>
      <c r="AE1422" s="43">
        <v>77813000</v>
      </c>
      <c r="AF1422" s="216">
        <v>0</v>
      </c>
      <c r="AG1422" s="216">
        <v>0</v>
      </c>
      <c r="AH1422" s="216">
        <v>0</v>
      </c>
      <c r="AI1422" s="136">
        <f>AE1422-AF1422+AG1422-AH1422</f>
        <v>77813000</v>
      </c>
      <c r="AJ1422" s="43">
        <f>AD1422+AI1422</f>
        <v>77813000</v>
      </c>
      <c r="AK1422" s="97">
        <v>0</v>
      </c>
      <c r="AL1422" s="115">
        <v>0</v>
      </c>
      <c r="AM1422" s="115">
        <v>0</v>
      </c>
      <c r="AN1422" s="97">
        <v>0</v>
      </c>
      <c r="AO1422" s="115">
        <v>0</v>
      </c>
      <c r="AP1422" s="43">
        <v>0</v>
      </c>
      <c r="AQ1422" s="44">
        <v>0</v>
      </c>
      <c r="AR1422" s="44">
        <v>0</v>
      </c>
      <c r="AS1422" s="44">
        <v>0</v>
      </c>
      <c r="AT1422" s="40">
        <f>AQ1422+AS1422</f>
        <v>0</v>
      </c>
      <c r="AU1422" s="18">
        <f>AJ1422-AM1422</f>
        <v>77813000</v>
      </c>
      <c r="AV1422" s="34">
        <f>AM1422-AP1422</f>
        <v>0</v>
      </c>
      <c r="AW1422" s="34">
        <f>AP1422-AT1422</f>
        <v>0</v>
      </c>
      <c r="AX1422" s="123">
        <f>AP1422/AJ1422</f>
        <v>0</v>
      </c>
    </row>
    <row r="1423" spans="27:50" x14ac:dyDescent="0.2">
      <c r="AA1423" s="173" t="s">
        <v>1183</v>
      </c>
      <c r="AB1423" s="95" t="s">
        <v>1184</v>
      </c>
      <c r="AC1423" s="96"/>
      <c r="AD1423" s="44">
        <v>0</v>
      </c>
      <c r="AE1423" s="43">
        <v>43150983.530000001</v>
      </c>
      <c r="AF1423" s="216">
        <v>0</v>
      </c>
      <c r="AG1423" s="216">
        <v>0</v>
      </c>
      <c r="AH1423" s="216">
        <v>0</v>
      </c>
      <c r="AI1423" s="136">
        <f t="shared" si="625"/>
        <v>43150983.530000001</v>
      </c>
      <c r="AJ1423" s="43">
        <f t="shared" si="626"/>
        <v>43150983.530000001</v>
      </c>
      <c r="AK1423" s="97">
        <v>0</v>
      </c>
      <c r="AL1423" s="115">
        <v>0</v>
      </c>
      <c r="AM1423" s="115">
        <v>0</v>
      </c>
      <c r="AN1423" s="97">
        <v>0</v>
      </c>
      <c r="AO1423" s="115">
        <v>0</v>
      </c>
      <c r="AP1423" s="44">
        <v>0</v>
      </c>
      <c r="AQ1423" s="44">
        <v>0</v>
      </c>
      <c r="AR1423" s="44">
        <v>0</v>
      </c>
      <c r="AS1423" s="44">
        <v>0</v>
      </c>
      <c r="AT1423" s="40">
        <f t="shared" si="627"/>
        <v>0</v>
      </c>
      <c r="AU1423" s="18">
        <f t="shared" si="628"/>
        <v>43150983.530000001</v>
      </c>
      <c r="AV1423" s="34">
        <f t="shared" si="629"/>
        <v>0</v>
      </c>
      <c r="AW1423" s="34">
        <f t="shared" si="630"/>
        <v>0</v>
      </c>
      <c r="AX1423" s="123">
        <f t="shared" si="631"/>
        <v>0</v>
      </c>
    </row>
    <row r="1424" spans="27:50" x14ac:dyDescent="0.2">
      <c r="AA1424" s="89"/>
      <c r="AB1424" s="91"/>
      <c r="AC1424" s="91"/>
      <c r="AD1424" s="18"/>
      <c r="AE1424" s="92"/>
      <c r="AF1424" s="92"/>
      <c r="AG1424" s="92"/>
      <c r="AH1424" s="92"/>
      <c r="AI1424" s="92"/>
      <c r="AJ1424" s="18"/>
      <c r="AK1424" s="98"/>
      <c r="AL1424" s="98"/>
      <c r="AM1424" s="98"/>
      <c r="AN1424" s="98"/>
      <c r="AO1424" s="98"/>
      <c r="AP1424" s="98"/>
      <c r="AQ1424" s="98"/>
      <c r="AR1424" s="98"/>
      <c r="AS1424" s="92"/>
      <c r="AT1424" s="30"/>
      <c r="AU1424" s="18"/>
      <c r="AV1424" s="18"/>
      <c r="AW1424" s="18"/>
      <c r="AX1424" s="92"/>
    </row>
    <row r="1425" spans="27:50" ht="25.5" x14ac:dyDescent="0.2">
      <c r="AA1425" s="93" t="s">
        <v>288</v>
      </c>
      <c r="AB1425" s="90" t="s">
        <v>812</v>
      </c>
      <c r="AC1425" s="91"/>
      <c r="AD1425" s="18"/>
      <c r="AE1425" s="92"/>
      <c r="AF1425" s="92"/>
      <c r="AG1425" s="92"/>
      <c r="AH1425" s="92"/>
      <c r="AI1425" s="92"/>
      <c r="AJ1425" s="18"/>
      <c r="AK1425" s="98"/>
      <c r="AL1425" s="98"/>
      <c r="AM1425" s="98"/>
      <c r="AN1425" s="98"/>
      <c r="AO1425" s="98"/>
      <c r="AP1425" s="98"/>
      <c r="AQ1425" s="98"/>
      <c r="AR1425" s="98"/>
      <c r="AS1425" s="98"/>
      <c r="AT1425" s="31"/>
      <c r="AU1425" s="18"/>
      <c r="AV1425" s="34"/>
      <c r="AW1425" s="18"/>
      <c r="AX1425" s="92"/>
    </row>
    <row r="1426" spans="27:50" x14ac:dyDescent="0.2">
      <c r="AA1426" s="94" t="s">
        <v>813</v>
      </c>
      <c r="AB1426" s="95" t="s">
        <v>793</v>
      </c>
      <c r="AC1426" s="96" t="s">
        <v>794</v>
      </c>
      <c r="AD1426" s="43">
        <v>57600000</v>
      </c>
      <c r="AE1426" s="96">
        <v>0</v>
      </c>
      <c r="AF1426" s="216">
        <v>0</v>
      </c>
      <c r="AG1426" s="216">
        <v>0</v>
      </c>
      <c r="AH1426" s="216">
        <v>0</v>
      </c>
      <c r="AI1426" s="136">
        <f t="shared" ref="AI1426:AI1427" si="632">AE1426-AF1426+AG1426-AH1426</f>
        <v>0</v>
      </c>
      <c r="AJ1426" s="43">
        <f t="shared" ref="AJ1426:AJ1427" si="633">AD1426+AI1426</f>
        <v>57600000</v>
      </c>
      <c r="AK1426" s="44">
        <v>0</v>
      </c>
      <c r="AL1426" s="44">
        <v>0</v>
      </c>
      <c r="AM1426" s="43">
        <v>49750000</v>
      </c>
      <c r="AN1426" s="44">
        <v>0</v>
      </c>
      <c r="AO1426" s="44">
        <v>0</v>
      </c>
      <c r="AP1426" s="43">
        <v>49750000</v>
      </c>
      <c r="AQ1426" s="44">
        <v>0</v>
      </c>
      <c r="AR1426" s="43">
        <v>5900000</v>
      </c>
      <c r="AS1426" s="43">
        <v>38413333</v>
      </c>
      <c r="AT1426" s="39">
        <f>AQ1426+AS1426</f>
        <v>38413333</v>
      </c>
      <c r="AU1426" s="110">
        <f>AJ1426-AM1426</f>
        <v>7850000</v>
      </c>
      <c r="AV1426" s="34">
        <f>AM1426-AP1426</f>
        <v>0</v>
      </c>
      <c r="AW1426" s="18">
        <f>AP1426-AT1426</f>
        <v>11336667</v>
      </c>
      <c r="AX1426" s="123">
        <f>AP1426/AJ1426</f>
        <v>0.86371527777777779</v>
      </c>
    </row>
    <row r="1427" spans="27:50" x14ac:dyDescent="0.2">
      <c r="AA1427" s="173" t="s">
        <v>1175</v>
      </c>
      <c r="AB1427" s="95" t="s">
        <v>1015</v>
      </c>
      <c r="AC1427" s="96"/>
      <c r="AD1427" s="44">
        <v>0</v>
      </c>
      <c r="AE1427" s="43">
        <v>6400000</v>
      </c>
      <c r="AF1427" s="216">
        <v>0</v>
      </c>
      <c r="AG1427" s="216">
        <v>0</v>
      </c>
      <c r="AH1427" s="216">
        <v>0</v>
      </c>
      <c r="AI1427" s="136">
        <f t="shared" si="632"/>
        <v>6400000</v>
      </c>
      <c r="AJ1427" s="43">
        <f t="shared" si="633"/>
        <v>6400000</v>
      </c>
      <c r="AK1427" s="44">
        <v>0</v>
      </c>
      <c r="AL1427" s="44">
        <v>0</v>
      </c>
      <c r="AM1427" s="43">
        <v>0</v>
      </c>
      <c r="AN1427" s="44">
        <v>0</v>
      </c>
      <c r="AO1427" s="44">
        <v>0</v>
      </c>
      <c r="AP1427" s="44">
        <v>0</v>
      </c>
      <c r="AQ1427" s="44">
        <v>0</v>
      </c>
      <c r="AR1427" s="44">
        <v>0</v>
      </c>
      <c r="AS1427" s="44">
        <v>0</v>
      </c>
      <c r="AT1427" s="135">
        <f>AQ1427+AS1427</f>
        <v>0</v>
      </c>
      <c r="AU1427" s="110">
        <f>AJ1427-AM1427</f>
        <v>6400000</v>
      </c>
      <c r="AV1427" s="34">
        <f>AM1427-AP1427</f>
        <v>0</v>
      </c>
      <c r="AW1427" s="34">
        <f>AP1427-AT1427</f>
        <v>0</v>
      </c>
      <c r="AX1427" s="123">
        <f>AP1427/AJ1427</f>
        <v>0</v>
      </c>
    </row>
    <row r="1428" spans="27:50" x14ac:dyDescent="0.2">
      <c r="AA1428" s="89"/>
      <c r="AB1428" s="91"/>
      <c r="AC1428" s="91"/>
      <c r="AD1428" s="18"/>
      <c r="AE1428" s="92"/>
      <c r="AF1428" s="92"/>
      <c r="AG1428" s="92"/>
      <c r="AH1428" s="92"/>
      <c r="AI1428" s="92"/>
      <c r="AJ1428" s="18"/>
      <c r="AK1428" s="98"/>
      <c r="AL1428" s="98"/>
      <c r="AM1428" s="98"/>
      <c r="AN1428" s="98"/>
      <c r="AO1428" s="98"/>
      <c r="AP1428" s="98"/>
      <c r="AQ1428" s="98"/>
      <c r="AR1428" s="98"/>
      <c r="AS1428" s="92"/>
      <c r="AT1428" s="30"/>
      <c r="AU1428" s="18"/>
      <c r="AV1428" s="18"/>
      <c r="AW1428" s="18"/>
      <c r="AX1428" s="92"/>
    </row>
    <row r="1429" spans="27:50" ht="25.5" x14ac:dyDescent="0.2">
      <c r="AA1429" s="93" t="s">
        <v>288</v>
      </c>
      <c r="AB1429" s="90" t="s">
        <v>814</v>
      </c>
      <c r="AC1429" s="91"/>
      <c r="AD1429" s="18"/>
      <c r="AE1429" s="92"/>
      <c r="AF1429" s="92"/>
      <c r="AG1429" s="92"/>
      <c r="AH1429" s="92"/>
      <c r="AI1429" s="92"/>
      <c r="AJ1429" s="18"/>
      <c r="AK1429" s="92"/>
      <c r="AL1429" s="92"/>
      <c r="AM1429" s="92"/>
      <c r="AN1429" s="92"/>
      <c r="AO1429" s="98"/>
      <c r="AP1429" s="98"/>
      <c r="AQ1429" s="98"/>
      <c r="AR1429" s="98"/>
      <c r="AS1429" s="98"/>
      <c r="AT1429" s="40"/>
      <c r="AU1429" s="18"/>
      <c r="AV1429" s="34"/>
      <c r="AW1429" s="18"/>
      <c r="AX1429" s="92"/>
    </row>
    <row r="1430" spans="27:50" x14ac:dyDescent="0.2">
      <c r="AA1430" s="94" t="s">
        <v>815</v>
      </c>
      <c r="AB1430" s="95" t="s">
        <v>793</v>
      </c>
      <c r="AC1430" s="96" t="s">
        <v>794</v>
      </c>
      <c r="AD1430" s="43">
        <v>414513482</v>
      </c>
      <c r="AE1430" s="96">
        <v>0</v>
      </c>
      <c r="AF1430" s="216">
        <v>0</v>
      </c>
      <c r="AG1430" s="216">
        <v>0</v>
      </c>
      <c r="AH1430" s="216">
        <v>0</v>
      </c>
      <c r="AI1430" s="136">
        <f t="shared" ref="AI1430:AI1433" si="634">AE1430-AF1430+AG1430-AH1430</f>
        <v>0</v>
      </c>
      <c r="AJ1430" s="43">
        <f t="shared" ref="AJ1430:AJ1433" si="635">AD1430+AI1430</f>
        <v>414513482</v>
      </c>
      <c r="AK1430" s="97">
        <v>0</v>
      </c>
      <c r="AL1430" s="18">
        <v>0</v>
      </c>
      <c r="AM1430" s="18">
        <v>414513482</v>
      </c>
      <c r="AN1430" s="92">
        <v>0</v>
      </c>
      <c r="AO1430" s="133">
        <v>8000000</v>
      </c>
      <c r="AP1430" s="110">
        <v>414513482</v>
      </c>
      <c r="AQ1430" s="43">
        <v>0</v>
      </c>
      <c r="AR1430" s="43">
        <v>33100000</v>
      </c>
      <c r="AS1430" s="43">
        <v>278838167</v>
      </c>
      <c r="AT1430" s="39">
        <f t="shared" ref="AT1430:AT1433" si="636">AQ1430+AS1430</f>
        <v>278838167</v>
      </c>
      <c r="AU1430" s="110">
        <f>AJ1430-AM1430</f>
        <v>0</v>
      </c>
      <c r="AV1430" s="34">
        <f>AM1430-AP1430</f>
        <v>0</v>
      </c>
      <c r="AW1430" s="18">
        <f>AP1430-AT1430</f>
        <v>135675315</v>
      </c>
      <c r="AX1430" s="123">
        <f>AP1430/AJ1430</f>
        <v>1</v>
      </c>
    </row>
    <row r="1431" spans="27:50" x14ac:dyDescent="0.2">
      <c r="AA1431" s="173" t="s">
        <v>1176</v>
      </c>
      <c r="AB1431" s="95" t="s">
        <v>1015</v>
      </c>
      <c r="AC1431" s="96"/>
      <c r="AD1431" s="44">
        <v>0</v>
      </c>
      <c r="AE1431" s="43">
        <v>44300000</v>
      </c>
      <c r="AF1431" s="216">
        <v>0</v>
      </c>
      <c r="AG1431" s="216">
        <v>0</v>
      </c>
      <c r="AH1431" s="216">
        <v>0</v>
      </c>
      <c r="AI1431" s="136">
        <f>AE1431-AF1431+AG1431-AH1431</f>
        <v>44300000</v>
      </c>
      <c r="AJ1431" s="43">
        <f>AD1431+AI1431</f>
        <v>44300000</v>
      </c>
      <c r="AK1431" s="97">
        <v>0</v>
      </c>
      <c r="AL1431" s="18">
        <v>3050000</v>
      </c>
      <c r="AM1431" s="18">
        <v>20970000</v>
      </c>
      <c r="AN1431" s="98">
        <v>0</v>
      </c>
      <c r="AO1431" s="133">
        <v>20970000</v>
      </c>
      <c r="AP1431" s="133">
        <v>20970000</v>
      </c>
      <c r="AQ1431" s="44">
        <v>0</v>
      </c>
      <c r="AR1431" s="44">
        <v>0</v>
      </c>
      <c r="AS1431" s="44">
        <v>0</v>
      </c>
      <c r="AT1431" s="40">
        <f t="shared" si="636"/>
        <v>0</v>
      </c>
      <c r="AU1431" s="110">
        <f>AJ1431-AM1431</f>
        <v>23330000</v>
      </c>
      <c r="AV1431" s="34">
        <f>AM1431-AP1431</f>
        <v>0</v>
      </c>
      <c r="AW1431" s="18">
        <f>AP1431-AT1431</f>
        <v>20970000</v>
      </c>
      <c r="AX1431" s="123">
        <f>AP1431/AJ1431</f>
        <v>0.47336343115124152</v>
      </c>
    </row>
    <row r="1432" spans="27:50" x14ac:dyDescent="0.2">
      <c r="AA1432" s="173" t="s">
        <v>1168</v>
      </c>
      <c r="AB1432" s="95" t="s">
        <v>1169</v>
      </c>
      <c r="AC1432" s="96"/>
      <c r="AD1432" s="44">
        <v>0</v>
      </c>
      <c r="AE1432" s="43">
        <v>1272607864.71</v>
      </c>
      <c r="AF1432" s="216">
        <v>0</v>
      </c>
      <c r="AG1432" s="216">
        <v>0</v>
      </c>
      <c r="AH1432" s="216">
        <v>0</v>
      </c>
      <c r="AI1432" s="136">
        <f t="shared" si="634"/>
        <v>1272607864.71</v>
      </c>
      <c r="AJ1432" s="43">
        <f t="shared" si="635"/>
        <v>1272607864.71</v>
      </c>
      <c r="AK1432" s="97">
        <v>0</v>
      </c>
      <c r="AL1432" s="18">
        <v>422137250.33999997</v>
      </c>
      <c r="AM1432" s="18">
        <v>484537250.33999997</v>
      </c>
      <c r="AN1432" s="98">
        <v>0</v>
      </c>
      <c r="AO1432" s="133">
        <v>329545583.33999997</v>
      </c>
      <c r="AP1432" s="133">
        <v>329545583.33999997</v>
      </c>
      <c r="AQ1432" s="44">
        <v>0</v>
      </c>
      <c r="AR1432" s="44">
        <v>0</v>
      </c>
      <c r="AS1432" s="44">
        <v>0</v>
      </c>
      <c r="AT1432" s="40">
        <f t="shared" si="636"/>
        <v>0</v>
      </c>
      <c r="AU1432" s="110">
        <f>AJ1432-AM1432</f>
        <v>788070614.37000012</v>
      </c>
      <c r="AV1432" s="18">
        <f>AM1432-AP1432</f>
        <v>154991667</v>
      </c>
      <c r="AW1432" s="18">
        <f>AP1432-AT1432</f>
        <v>329545583.33999997</v>
      </c>
      <c r="AX1432" s="123">
        <f>AP1432/AJ1432</f>
        <v>0.25895296774320686</v>
      </c>
    </row>
    <row r="1433" spans="27:50" x14ac:dyDescent="0.2">
      <c r="AA1433" s="173" t="s">
        <v>1182</v>
      </c>
      <c r="AB1433" s="95" t="s">
        <v>1181</v>
      </c>
      <c r="AC1433" s="96"/>
      <c r="AD1433" s="44">
        <v>0</v>
      </c>
      <c r="AE1433" s="43">
        <v>17636386</v>
      </c>
      <c r="AF1433" s="216">
        <v>0</v>
      </c>
      <c r="AG1433" s="216">
        <v>0</v>
      </c>
      <c r="AH1433" s="216">
        <v>0</v>
      </c>
      <c r="AI1433" s="136">
        <f t="shared" si="634"/>
        <v>17636386</v>
      </c>
      <c r="AJ1433" s="43">
        <f t="shared" si="635"/>
        <v>17636386</v>
      </c>
      <c r="AK1433" s="97">
        <v>0</v>
      </c>
      <c r="AL1433" s="18">
        <v>0</v>
      </c>
      <c r="AM1433" s="18">
        <v>0</v>
      </c>
      <c r="AN1433" s="98">
        <v>0</v>
      </c>
      <c r="AO1433" s="133">
        <v>0</v>
      </c>
      <c r="AP1433" s="133">
        <v>0</v>
      </c>
      <c r="AQ1433" s="44">
        <v>0</v>
      </c>
      <c r="AR1433" s="44">
        <v>0</v>
      </c>
      <c r="AS1433" s="44">
        <v>0</v>
      </c>
      <c r="AT1433" s="40">
        <f t="shared" si="636"/>
        <v>0</v>
      </c>
      <c r="AU1433" s="110">
        <f>AJ1433-AM1433</f>
        <v>17636386</v>
      </c>
      <c r="AV1433" s="34">
        <f>AM1433-AP1433</f>
        <v>0</v>
      </c>
      <c r="AW1433" s="34">
        <f>AP1433-AT1433</f>
        <v>0</v>
      </c>
      <c r="AX1433" s="123">
        <f>AP1433/AJ1433</f>
        <v>0</v>
      </c>
    </row>
    <row r="1434" spans="27:50" x14ac:dyDescent="0.2">
      <c r="AA1434" s="89"/>
      <c r="AB1434" s="91"/>
      <c r="AC1434" s="91"/>
      <c r="AD1434" s="18"/>
      <c r="AE1434" s="92"/>
      <c r="AF1434" s="92"/>
      <c r="AG1434" s="92"/>
      <c r="AH1434" s="92"/>
      <c r="AI1434" s="92"/>
      <c r="AJ1434" s="18"/>
      <c r="AK1434" s="98"/>
      <c r="AL1434" s="98"/>
      <c r="AM1434" s="98"/>
      <c r="AN1434" s="98"/>
      <c r="AO1434" s="98"/>
      <c r="AP1434" s="98"/>
      <c r="AQ1434" s="98"/>
      <c r="AR1434" s="98"/>
      <c r="AS1434" s="92"/>
      <c r="AT1434" s="30"/>
      <c r="AU1434" s="18"/>
      <c r="AV1434" s="18"/>
      <c r="AW1434" s="18"/>
      <c r="AX1434" s="92"/>
    </row>
    <row r="1435" spans="27:50" ht="25.5" x14ac:dyDescent="0.2">
      <c r="AA1435" s="93" t="s">
        <v>288</v>
      </c>
      <c r="AB1435" s="90" t="s">
        <v>816</v>
      </c>
      <c r="AC1435" s="91"/>
      <c r="AD1435" s="18"/>
      <c r="AE1435" s="92"/>
      <c r="AF1435" s="92"/>
      <c r="AG1435" s="92"/>
      <c r="AH1435" s="92"/>
      <c r="AI1435" s="92"/>
      <c r="AJ1435" s="18"/>
      <c r="AK1435" s="98"/>
      <c r="AL1435" s="98"/>
      <c r="AM1435" s="92"/>
      <c r="AN1435" s="92"/>
      <c r="AO1435" s="98"/>
      <c r="AP1435" s="92"/>
      <c r="AQ1435" s="98"/>
      <c r="AR1435" s="92"/>
      <c r="AS1435" s="92"/>
      <c r="AT1435" s="40"/>
      <c r="AU1435" s="18"/>
      <c r="AV1435" s="34"/>
      <c r="AW1435" s="18"/>
      <c r="AX1435" s="92"/>
    </row>
    <row r="1436" spans="27:50" x14ac:dyDescent="0.2">
      <c r="AA1436" s="94" t="s">
        <v>817</v>
      </c>
      <c r="AB1436" s="95" t="s">
        <v>793</v>
      </c>
      <c r="AC1436" s="96" t="s">
        <v>794</v>
      </c>
      <c r="AD1436" s="43">
        <v>76500000</v>
      </c>
      <c r="AE1436" s="96">
        <v>0</v>
      </c>
      <c r="AF1436" s="216">
        <v>0</v>
      </c>
      <c r="AG1436" s="216">
        <v>0</v>
      </c>
      <c r="AH1436" s="216">
        <v>0</v>
      </c>
      <c r="AI1436" s="136">
        <f t="shared" ref="AI1436:AI1439" si="637">AE1436-AF1436+AG1436-AH1436</f>
        <v>0</v>
      </c>
      <c r="AJ1436" s="43">
        <f t="shared" ref="AJ1436:AJ1439" si="638">AD1436+AI1436</f>
        <v>76500000</v>
      </c>
      <c r="AK1436" s="97">
        <v>0</v>
      </c>
      <c r="AL1436" s="133">
        <v>0</v>
      </c>
      <c r="AM1436" s="18">
        <v>76500000</v>
      </c>
      <c r="AN1436" s="34">
        <v>0</v>
      </c>
      <c r="AO1436" s="34">
        <v>0</v>
      </c>
      <c r="AP1436" s="18">
        <v>76500000</v>
      </c>
      <c r="AQ1436" s="44">
        <v>0</v>
      </c>
      <c r="AR1436" s="114">
        <v>7870000</v>
      </c>
      <c r="AS1436" s="114">
        <v>76500000</v>
      </c>
      <c r="AT1436" s="111">
        <f t="shared" ref="AT1436:AT1439" si="639">AQ1436+AS1436</f>
        <v>76500000</v>
      </c>
      <c r="AU1436" s="133">
        <f>AJ1436-AM1436</f>
        <v>0</v>
      </c>
      <c r="AV1436" s="34">
        <f>AM1436-AP1436</f>
        <v>0</v>
      </c>
      <c r="AW1436" s="18">
        <f>AP1436-AT1436</f>
        <v>0</v>
      </c>
      <c r="AX1436" s="123">
        <f>AP1436/AJ1436</f>
        <v>1</v>
      </c>
    </row>
    <row r="1437" spans="27:50" x14ac:dyDescent="0.2">
      <c r="AA1437" s="173" t="s">
        <v>1170</v>
      </c>
      <c r="AB1437" s="95" t="s">
        <v>1169</v>
      </c>
      <c r="AC1437" s="96"/>
      <c r="AD1437" s="44">
        <v>0</v>
      </c>
      <c r="AE1437" s="43">
        <v>221250000</v>
      </c>
      <c r="AF1437" s="216">
        <v>0</v>
      </c>
      <c r="AG1437" s="216">
        <v>0</v>
      </c>
      <c r="AH1437" s="216">
        <v>0</v>
      </c>
      <c r="AI1437" s="136">
        <f t="shared" si="637"/>
        <v>221250000</v>
      </c>
      <c r="AJ1437" s="43">
        <f t="shared" si="638"/>
        <v>221250000</v>
      </c>
      <c r="AK1437" s="97">
        <v>0</v>
      </c>
      <c r="AL1437" s="18">
        <v>0</v>
      </c>
      <c r="AM1437" s="18">
        <v>17000000</v>
      </c>
      <c r="AN1437" s="18">
        <v>0</v>
      </c>
      <c r="AO1437" s="18">
        <v>0</v>
      </c>
      <c r="AP1437" s="34">
        <v>17000000</v>
      </c>
      <c r="AQ1437" s="97">
        <v>0</v>
      </c>
      <c r="AR1437" s="115">
        <v>630000</v>
      </c>
      <c r="AS1437" s="115">
        <v>630000</v>
      </c>
      <c r="AT1437" s="135">
        <f t="shared" si="639"/>
        <v>630000</v>
      </c>
      <c r="AU1437" s="18">
        <f>AJ1437-AM1437</f>
        <v>204250000</v>
      </c>
      <c r="AV1437" s="34">
        <f>AM1437-AP1437</f>
        <v>0</v>
      </c>
      <c r="AW1437" s="18">
        <f>AP1437-AT1437</f>
        <v>16370000</v>
      </c>
      <c r="AX1437" s="123">
        <f>AP1437/AJ1437</f>
        <v>7.6836158192090401E-2</v>
      </c>
    </row>
    <row r="1438" spans="27:50" x14ac:dyDescent="0.2">
      <c r="AA1438" s="173" t="s">
        <v>1192</v>
      </c>
      <c r="AB1438" s="95" t="s">
        <v>1193</v>
      </c>
      <c r="AC1438" s="96"/>
      <c r="AD1438" s="44">
        <v>0</v>
      </c>
      <c r="AE1438" s="43">
        <v>97859303.769999996</v>
      </c>
      <c r="AF1438" s="216">
        <v>0</v>
      </c>
      <c r="AG1438" s="216">
        <v>0</v>
      </c>
      <c r="AH1438" s="216">
        <v>0</v>
      </c>
      <c r="AI1438" s="136">
        <f>AE1438-AF1438+AG1438-AH1438</f>
        <v>97859303.769999996</v>
      </c>
      <c r="AJ1438" s="43">
        <f>AD1438+AI1438</f>
        <v>97859303.769999996</v>
      </c>
      <c r="AK1438" s="97">
        <v>0</v>
      </c>
      <c r="AL1438" s="133">
        <v>0</v>
      </c>
      <c r="AM1438" s="34">
        <v>0</v>
      </c>
      <c r="AN1438" s="34">
        <v>0</v>
      </c>
      <c r="AO1438" s="34">
        <v>0</v>
      </c>
      <c r="AP1438" s="34">
        <v>0</v>
      </c>
      <c r="AQ1438" s="97">
        <v>0</v>
      </c>
      <c r="AR1438" s="115">
        <v>0</v>
      </c>
      <c r="AS1438" s="115">
        <v>0</v>
      </c>
      <c r="AT1438" s="135">
        <f t="shared" si="639"/>
        <v>0</v>
      </c>
      <c r="AU1438" s="18">
        <f>AJ1438-AM1438</f>
        <v>97859303.769999996</v>
      </c>
      <c r="AV1438" s="34">
        <f>AM1438-AP1438</f>
        <v>0</v>
      </c>
      <c r="AW1438" s="34">
        <f>AP1438-AT1438</f>
        <v>0</v>
      </c>
      <c r="AX1438" s="123">
        <f>AP1438/AJ1438</f>
        <v>0</v>
      </c>
    </row>
    <row r="1439" spans="27:50" x14ac:dyDescent="0.2">
      <c r="AA1439" s="173" t="s">
        <v>1191</v>
      </c>
      <c r="AB1439" s="95" t="s">
        <v>1181</v>
      </c>
      <c r="AC1439" s="96"/>
      <c r="AD1439" s="44">
        <v>0</v>
      </c>
      <c r="AE1439" s="43">
        <v>52140696.289999999</v>
      </c>
      <c r="AF1439" s="216">
        <v>0</v>
      </c>
      <c r="AG1439" s="216">
        <v>0</v>
      </c>
      <c r="AH1439" s="216">
        <v>0</v>
      </c>
      <c r="AI1439" s="136">
        <f t="shared" si="637"/>
        <v>52140696.289999999</v>
      </c>
      <c r="AJ1439" s="43">
        <f t="shared" si="638"/>
        <v>52140696.289999999</v>
      </c>
      <c r="AK1439" s="97">
        <v>0</v>
      </c>
      <c r="AL1439" s="133">
        <v>0</v>
      </c>
      <c r="AM1439" s="34">
        <v>0</v>
      </c>
      <c r="AN1439" s="34">
        <v>0</v>
      </c>
      <c r="AO1439" s="34">
        <v>0</v>
      </c>
      <c r="AP1439" s="34">
        <v>0</v>
      </c>
      <c r="AQ1439" s="97">
        <v>0</v>
      </c>
      <c r="AR1439" s="115">
        <v>0</v>
      </c>
      <c r="AS1439" s="115">
        <v>0</v>
      </c>
      <c r="AT1439" s="135">
        <f t="shared" si="639"/>
        <v>0</v>
      </c>
      <c r="AU1439" s="18">
        <f>AJ1439-AM1439</f>
        <v>52140696.289999999</v>
      </c>
      <c r="AV1439" s="34">
        <f>AM1439-AP1439</f>
        <v>0</v>
      </c>
      <c r="AW1439" s="34">
        <f>AP1439-AT1439</f>
        <v>0</v>
      </c>
      <c r="AX1439" s="123">
        <f>AP1439/AJ1439</f>
        <v>0</v>
      </c>
    </row>
    <row r="1440" spans="27:50" x14ac:dyDescent="0.2">
      <c r="AA1440" s="89"/>
      <c r="AB1440" s="91"/>
      <c r="AC1440" s="91"/>
      <c r="AD1440" s="18"/>
      <c r="AE1440" s="92"/>
      <c r="AF1440" s="92"/>
      <c r="AG1440" s="92"/>
      <c r="AH1440" s="92"/>
      <c r="AI1440" s="92"/>
      <c r="AJ1440" s="18"/>
      <c r="AK1440" s="98"/>
      <c r="AL1440" s="98"/>
      <c r="AM1440" s="98"/>
      <c r="AN1440" s="98"/>
      <c r="AO1440" s="98"/>
      <c r="AP1440" s="98"/>
      <c r="AQ1440" s="98"/>
      <c r="AR1440" s="98"/>
      <c r="AS1440" s="92"/>
      <c r="AT1440" s="30"/>
      <c r="AU1440" s="18"/>
      <c r="AV1440" s="18"/>
      <c r="AW1440" s="18"/>
      <c r="AX1440" s="92"/>
    </row>
    <row r="1441" spans="27:50" ht="38.25" x14ac:dyDescent="0.2">
      <c r="AA1441" s="93" t="s">
        <v>288</v>
      </c>
      <c r="AB1441" s="90" t="s">
        <v>818</v>
      </c>
      <c r="AC1441" s="91"/>
      <c r="AD1441" s="18"/>
      <c r="AE1441" s="92"/>
      <c r="AF1441" s="92"/>
      <c r="AG1441" s="92"/>
      <c r="AH1441" s="92"/>
      <c r="AI1441" s="92"/>
      <c r="AJ1441" s="18"/>
      <c r="AK1441" s="98"/>
      <c r="AL1441" s="98"/>
      <c r="AM1441" s="92"/>
      <c r="AN1441" s="98"/>
      <c r="AO1441" s="98"/>
      <c r="AP1441" s="92"/>
      <c r="AQ1441" s="92"/>
      <c r="AR1441" s="92"/>
      <c r="AS1441" s="92"/>
      <c r="AT1441" s="40"/>
      <c r="AU1441" s="18"/>
      <c r="AV1441" s="18"/>
      <c r="AW1441" s="18"/>
      <c r="AX1441" s="92"/>
    </row>
    <row r="1442" spans="27:50" x14ac:dyDescent="0.2">
      <c r="AA1442" s="94" t="s">
        <v>819</v>
      </c>
      <c r="AB1442" s="95" t="s">
        <v>793</v>
      </c>
      <c r="AC1442" s="96" t="s">
        <v>794</v>
      </c>
      <c r="AD1442" s="43">
        <v>150000000</v>
      </c>
      <c r="AE1442" s="96">
        <v>0</v>
      </c>
      <c r="AF1442" s="216">
        <v>0</v>
      </c>
      <c r="AG1442" s="216">
        <v>0</v>
      </c>
      <c r="AH1442" s="216">
        <v>0</v>
      </c>
      <c r="AI1442" s="136">
        <f t="shared" ref="AI1442:AI1443" si="640">AE1442-AF1442+AG1442-AH1442</f>
        <v>0</v>
      </c>
      <c r="AJ1442" s="43">
        <f t="shared" ref="AJ1442:AJ1443" si="641">AD1442+AI1442</f>
        <v>150000000</v>
      </c>
      <c r="AK1442" s="44">
        <v>0</v>
      </c>
      <c r="AL1442" s="43">
        <v>0</v>
      </c>
      <c r="AM1442" s="43">
        <v>140800000</v>
      </c>
      <c r="AN1442" s="44">
        <v>0</v>
      </c>
      <c r="AO1442" s="44">
        <v>0</v>
      </c>
      <c r="AP1442" s="43">
        <v>140800000</v>
      </c>
      <c r="AQ1442" s="43">
        <v>0</v>
      </c>
      <c r="AR1442" s="43">
        <v>8000000</v>
      </c>
      <c r="AS1442" s="43">
        <v>82450000</v>
      </c>
      <c r="AT1442" s="39">
        <f t="shared" ref="AT1442:AT1443" si="642">AQ1442+AS1442</f>
        <v>82450000</v>
      </c>
      <c r="AU1442" s="18">
        <f>AJ1442-AM1442</f>
        <v>9200000</v>
      </c>
      <c r="AV1442" s="34">
        <f>AM1442-AP1442</f>
        <v>0</v>
      </c>
      <c r="AW1442" s="18">
        <f>AP1442-AT1442</f>
        <v>58350000</v>
      </c>
      <c r="AX1442" s="123">
        <f>AP1442/AJ1442</f>
        <v>0.93866666666666665</v>
      </c>
    </row>
    <row r="1443" spans="27:50" x14ac:dyDescent="0.2">
      <c r="AA1443" s="173" t="s">
        <v>1177</v>
      </c>
      <c r="AB1443" s="95" t="s">
        <v>1015</v>
      </c>
      <c r="AC1443" s="96"/>
      <c r="AD1443" s="43">
        <v>0</v>
      </c>
      <c r="AE1443" s="43">
        <v>8000000</v>
      </c>
      <c r="AF1443" s="216">
        <v>0</v>
      </c>
      <c r="AG1443" s="216">
        <v>0</v>
      </c>
      <c r="AH1443" s="216">
        <v>0</v>
      </c>
      <c r="AI1443" s="136">
        <f t="shared" si="640"/>
        <v>8000000</v>
      </c>
      <c r="AJ1443" s="43">
        <f t="shared" si="641"/>
        <v>8000000</v>
      </c>
      <c r="AK1443" s="44">
        <v>0</v>
      </c>
      <c r="AL1443" s="44">
        <v>0</v>
      </c>
      <c r="AM1443" s="43">
        <v>0</v>
      </c>
      <c r="AN1443" s="44">
        <v>0</v>
      </c>
      <c r="AO1443" s="44">
        <v>0</v>
      </c>
      <c r="AP1443" s="44">
        <v>0</v>
      </c>
      <c r="AQ1443" s="44">
        <v>0</v>
      </c>
      <c r="AR1443" s="44">
        <v>0</v>
      </c>
      <c r="AS1443" s="44">
        <v>0</v>
      </c>
      <c r="AT1443" s="40">
        <f t="shared" si="642"/>
        <v>0</v>
      </c>
      <c r="AU1443" s="18">
        <f>AJ1443-AM1443</f>
        <v>8000000</v>
      </c>
      <c r="AV1443" s="34">
        <f>AM1443-AP1443</f>
        <v>0</v>
      </c>
      <c r="AW1443" s="34">
        <f>AP1443-AT1443</f>
        <v>0</v>
      </c>
      <c r="AX1443" s="123">
        <f>AP1443/AJ1443</f>
        <v>0</v>
      </c>
    </row>
    <row r="1444" spans="27:50" ht="25.5" x14ac:dyDescent="0.2">
      <c r="AA1444" s="93" t="s">
        <v>288</v>
      </c>
      <c r="AB1444" s="90" t="s">
        <v>820</v>
      </c>
      <c r="AC1444" s="91"/>
      <c r="AD1444" s="18"/>
      <c r="AE1444" s="92"/>
      <c r="AF1444" s="92"/>
      <c r="AG1444" s="92"/>
      <c r="AH1444" s="92"/>
      <c r="AI1444" s="92"/>
      <c r="AJ1444" s="18"/>
      <c r="AK1444" s="34"/>
      <c r="AL1444" s="18"/>
      <c r="AM1444" s="18"/>
      <c r="AN1444" s="34"/>
      <c r="AO1444" s="34"/>
      <c r="AP1444" s="18"/>
      <c r="AQ1444" s="18"/>
      <c r="AR1444" s="18"/>
      <c r="AS1444" s="18"/>
      <c r="AT1444" s="39"/>
      <c r="AU1444" s="18"/>
      <c r="AV1444" s="34"/>
      <c r="AW1444" s="18"/>
      <c r="AX1444" s="92"/>
    </row>
    <row r="1445" spans="27:50" x14ac:dyDescent="0.2">
      <c r="AA1445" s="94" t="s">
        <v>821</v>
      </c>
      <c r="AB1445" s="95" t="s">
        <v>233</v>
      </c>
      <c r="AC1445" s="96" t="s">
        <v>58</v>
      </c>
      <c r="AD1445" s="43">
        <v>144000000</v>
      </c>
      <c r="AE1445" s="96">
        <v>0</v>
      </c>
      <c r="AF1445" s="216">
        <v>0</v>
      </c>
      <c r="AG1445" s="216">
        <v>0</v>
      </c>
      <c r="AH1445" s="216">
        <v>0</v>
      </c>
      <c r="AI1445" s="97">
        <f t="shared" ref="AI1445:AI1447" si="643">AE1445-AF1445+AG1445-AH1445</f>
        <v>0</v>
      </c>
      <c r="AJ1445" s="43">
        <f t="shared" ref="AJ1445:AJ1447" si="644">AD1445+AI1445</f>
        <v>144000000</v>
      </c>
      <c r="AK1445" s="44">
        <v>0</v>
      </c>
      <c r="AL1445" s="44">
        <v>0</v>
      </c>
      <c r="AM1445" s="43">
        <v>144000000</v>
      </c>
      <c r="AN1445" s="44">
        <v>0</v>
      </c>
      <c r="AO1445" s="44">
        <v>0</v>
      </c>
      <c r="AP1445" s="43">
        <v>144000000</v>
      </c>
      <c r="AQ1445" s="43">
        <v>12000000</v>
      </c>
      <c r="AR1445" s="43">
        <v>16000000</v>
      </c>
      <c r="AS1445" s="43">
        <v>124400001</v>
      </c>
      <c r="AT1445" s="39">
        <f t="shared" ref="AT1445:AT1447" si="645">AQ1445+AS1445</f>
        <v>136400001</v>
      </c>
      <c r="AU1445" s="34">
        <f>AJ1445-AM1445</f>
        <v>0</v>
      </c>
      <c r="AV1445" s="34">
        <f>AM1445-AP1445</f>
        <v>0</v>
      </c>
      <c r="AW1445" s="18">
        <f>AP1445-AT1445</f>
        <v>7599999</v>
      </c>
      <c r="AX1445" s="123">
        <f>AP1445/AJ1445</f>
        <v>1</v>
      </c>
    </row>
    <row r="1446" spans="27:50" x14ac:dyDescent="0.2">
      <c r="AA1446" s="94" t="s">
        <v>822</v>
      </c>
      <c r="AB1446" s="95" t="s">
        <v>793</v>
      </c>
      <c r="AC1446" s="96" t="s">
        <v>794</v>
      </c>
      <c r="AD1446" s="43">
        <v>72000000</v>
      </c>
      <c r="AE1446" s="96">
        <v>0</v>
      </c>
      <c r="AF1446" s="216">
        <v>0</v>
      </c>
      <c r="AG1446" s="216">
        <v>0</v>
      </c>
      <c r="AH1446" s="216">
        <v>0</v>
      </c>
      <c r="AI1446" s="97">
        <f t="shared" si="643"/>
        <v>0</v>
      </c>
      <c r="AJ1446" s="43">
        <f t="shared" si="644"/>
        <v>72000000</v>
      </c>
      <c r="AK1446" s="44">
        <v>0</v>
      </c>
      <c r="AL1446" s="43">
        <v>0</v>
      </c>
      <c r="AM1446" s="43">
        <v>72000000</v>
      </c>
      <c r="AN1446" s="44">
        <v>0</v>
      </c>
      <c r="AO1446" s="44">
        <v>3500000</v>
      </c>
      <c r="AP1446" s="43">
        <v>72000000</v>
      </c>
      <c r="AQ1446" s="43">
        <v>0</v>
      </c>
      <c r="AR1446" s="43">
        <v>8000000</v>
      </c>
      <c r="AS1446" s="43">
        <v>66650000</v>
      </c>
      <c r="AT1446" s="39">
        <f t="shared" si="645"/>
        <v>66650000</v>
      </c>
      <c r="AU1446" s="18">
        <f>AJ1446-AM1446</f>
        <v>0</v>
      </c>
      <c r="AV1446" s="18">
        <f>AM1446-AP1446</f>
        <v>0</v>
      </c>
      <c r="AW1446" s="18">
        <f>AP1446-AT1446</f>
        <v>5350000</v>
      </c>
      <c r="AX1446" s="123">
        <f>AP1446/AJ1446</f>
        <v>1</v>
      </c>
    </row>
    <row r="1447" spans="27:50" x14ac:dyDescent="0.2">
      <c r="AA1447" s="173" t="s">
        <v>1178</v>
      </c>
      <c r="AB1447" s="95" t="s">
        <v>1179</v>
      </c>
      <c r="AC1447" s="96"/>
      <c r="AD1447" s="44">
        <v>0</v>
      </c>
      <c r="AE1447" s="43">
        <v>79500000</v>
      </c>
      <c r="AF1447" s="216">
        <v>0</v>
      </c>
      <c r="AG1447" s="216">
        <v>0</v>
      </c>
      <c r="AH1447" s="216">
        <v>0</v>
      </c>
      <c r="AI1447" s="136">
        <f t="shared" si="643"/>
        <v>79500000</v>
      </c>
      <c r="AJ1447" s="43">
        <f t="shared" si="644"/>
        <v>79500000</v>
      </c>
      <c r="AK1447" s="44">
        <v>0</v>
      </c>
      <c r="AL1447" s="43">
        <v>31583334</v>
      </c>
      <c r="AM1447" s="43">
        <v>34383334</v>
      </c>
      <c r="AN1447" s="44">
        <v>0</v>
      </c>
      <c r="AO1447" s="44">
        <v>15450000</v>
      </c>
      <c r="AP1447" s="44">
        <v>15450000</v>
      </c>
      <c r="AQ1447" s="44">
        <v>0</v>
      </c>
      <c r="AR1447" s="44">
        <v>0</v>
      </c>
      <c r="AS1447" s="44">
        <v>0</v>
      </c>
      <c r="AT1447" s="40">
        <f t="shared" si="645"/>
        <v>0</v>
      </c>
      <c r="AU1447" s="18">
        <f>AJ1447-AM1447</f>
        <v>45116666</v>
      </c>
      <c r="AV1447" s="18">
        <f>AM1447-AP1447</f>
        <v>18933334</v>
      </c>
      <c r="AW1447" s="18">
        <f>AP1447-AT1447</f>
        <v>15450000</v>
      </c>
      <c r="AX1447" s="123">
        <f>AP1447/AJ1447</f>
        <v>0.19433962264150945</v>
      </c>
    </row>
    <row r="1448" spans="27:50" ht="25.5" x14ac:dyDescent="0.2">
      <c r="AA1448" s="241" t="s">
        <v>288</v>
      </c>
      <c r="AB1448" s="138" t="s">
        <v>805</v>
      </c>
      <c r="AC1448" s="96"/>
      <c r="AD1448" s="44"/>
      <c r="AE1448" s="43"/>
      <c r="AF1448" s="96"/>
      <c r="AG1448" s="96"/>
      <c r="AH1448" s="96"/>
      <c r="AI1448" s="96"/>
      <c r="AJ1448" s="43"/>
      <c r="AK1448" s="44"/>
      <c r="AL1448" s="44"/>
      <c r="AM1448" s="44"/>
      <c r="AN1448" s="44"/>
      <c r="AO1448" s="44"/>
      <c r="AP1448" s="44"/>
      <c r="AQ1448" s="44"/>
      <c r="AR1448" s="44"/>
      <c r="AS1448" s="44"/>
      <c r="AT1448" s="40"/>
      <c r="AU1448" s="18"/>
      <c r="AV1448" s="34"/>
      <c r="AW1448" s="34"/>
      <c r="AX1448" s="123"/>
    </row>
    <row r="1449" spans="27:50" x14ac:dyDescent="0.2">
      <c r="AA1449" s="173" t="s">
        <v>1194</v>
      </c>
      <c r="AB1449" s="95" t="s">
        <v>1193</v>
      </c>
      <c r="AC1449" s="96"/>
      <c r="AD1449" s="44">
        <v>0</v>
      </c>
      <c r="AE1449" s="43">
        <v>135118963.86000001</v>
      </c>
      <c r="AF1449" s="216">
        <v>0</v>
      </c>
      <c r="AG1449" s="216">
        <v>0</v>
      </c>
      <c r="AH1449" s="216">
        <v>0</v>
      </c>
      <c r="AI1449" s="136">
        <f>AE1449-AF1449+AG1449-AH1449</f>
        <v>135118963.86000001</v>
      </c>
      <c r="AJ1449" s="43">
        <f>AD1449+AI1449</f>
        <v>135118963.86000001</v>
      </c>
      <c r="AK1449" s="44">
        <v>0</v>
      </c>
      <c r="AL1449" s="44">
        <v>0</v>
      </c>
      <c r="AM1449" s="44">
        <v>0</v>
      </c>
      <c r="AN1449" s="44">
        <v>0</v>
      </c>
      <c r="AO1449" s="44">
        <v>0</v>
      </c>
      <c r="AP1449" s="44">
        <v>0</v>
      </c>
      <c r="AQ1449" s="44">
        <v>0</v>
      </c>
      <c r="AR1449" s="44">
        <v>0</v>
      </c>
      <c r="AS1449" s="44">
        <v>0</v>
      </c>
      <c r="AT1449" s="40">
        <f t="shared" ref="AT1449" si="646">AQ1449+AS1449</f>
        <v>0</v>
      </c>
      <c r="AU1449" s="18">
        <f>AJ1449-AM1449</f>
        <v>135118963.86000001</v>
      </c>
      <c r="AV1449" s="34">
        <f>AM1449-AP1449</f>
        <v>0</v>
      </c>
      <c r="AW1449" s="34">
        <f>AP1449-AT1449</f>
        <v>0</v>
      </c>
      <c r="AX1449" s="123">
        <f>AP1449/AJ1449</f>
        <v>0</v>
      </c>
    </row>
    <row r="1450" spans="27:50" ht="38.25" x14ac:dyDescent="0.2">
      <c r="AA1450" s="240" t="s">
        <v>288</v>
      </c>
      <c r="AB1450" s="138" t="s">
        <v>912</v>
      </c>
      <c r="AC1450" s="96"/>
      <c r="AD1450" s="44"/>
      <c r="AE1450" s="96"/>
      <c r="AF1450" s="96"/>
      <c r="AG1450" s="96"/>
      <c r="AH1450" s="96"/>
      <c r="AI1450" s="96"/>
      <c r="AJ1450" s="43"/>
      <c r="AK1450" s="44"/>
      <c r="AL1450" s="44"/>
      <c r="AM1450" s="44"/>
      <c r="AN1450" s="97"/>
      <c r="AO1450" s="44"/>
      <c r="AP1450" s="44"/>
      <c r="AQ1450" s="97"/>
      <c r="AR1450" s="96"/>
      <c r="AS1450" s="97"/>
      <c r="AT1450" s="40"/>
      <c r="AU1450" s="43"/>
      <c r="AV1450" s="44"/>
      <c r="AW1450" s="44"/>
      <c r="AX1450" s="32"/>
    </row>
    <row r="1451" spans="27:50" x14ac:dyDescent="0.2">
      <c r="AA1451" s="94" t="s">
        <v>913</v>
      </c>
      <c r="AB1451" s="95" t="s">
        <v>233</v>
      </c>
      <c r="AC1451" s="96"/>
      <c r="AD1451" s="44">
        <v>0</v>
      </c>
      <c r="AE1451" s="96">
        <v>0</v>
      </c>
      <c r="AF1451" s="96">
        <v>0</v>
      </c>
      <c r="AG1451" s="43">
        <v>136150000</v>
      </c>
      <c r="AH1451" s="96"/>
      <c r="AI1451" s="136">
        <f>AE1451-AF1451+AG1451-AH1451</f>
        <v>136150000</v>
      </c>
      <c r="AJ1451" s="142">
        <f>AD1451+AI1451</f>
        <v>136150000</v>
      </c>
      <c r="AK1451" s="44">
        <v>0</v>
      </c>
      <c r="AL1451" s="115">
        <v>0</v>
      </c>
      <c r="AM1451" s="114">
        <v>94724710</v>
      </c>
      <c r="AN1451" s="97">
        <v>0</v>
      </c>
      <c r="AO1451" s="44">
        <v>0</v>
      </c>
      <c r="AP1451" s="43">
        <v>94724710</v>
      </c>
      <c r="AQ1451" s="44">
        <v>0</v>
      </c>
      <c r="AR1451" s="43">
        <v>0</v>
      </c>
      <c r="AS1451" s="43">
        <v>17500000</v>
      </c>
      <c r="AT1451" s="39">
        <f t="shared" ref="AT1451" si="647">AQ1451+AS1451</f>
        <v>17500000</v>
      </c>
      <c r="AU1451" s="110">
        <f>AJ1451-AM1451</f>
        <v>41425290</v>
      </c>
      <c r="AV1451" s="133">
        <f>AM1451-AP1451</f>
        <v>0</v>
      </c>
      <c r="AW1451" s="18">
        <f>AP1451-AT1451</f>
        <v>77224710</v>
      </c>
      <c r="AX1451" s="123">
        <f>AP1451/AJ1451</f>
        <v>0.69573786265148729</v>
      </c>
    </row>
    <row r="1452" spans="27:50" ht="25.5" x14ac:dyDescent="0.2">
      <c r="AA1452" s="240" t="s">
        <v>288</v>
      </c>
      <c r="AB1452" s="138" t="s">
        <v>1285</v>
      </c>
      <c r="AC1452" s="96"/>
      <c r="AD1452" s="44"/>
      <c r="AE1452" s="96"/>
      <c r="AF1452" s="96"/>
      <c r="AG1452" s="43"/>
      <c r="AH1452" s="96"/>
      <c r="AI1452" s="136"/>
      <c r="AJ1452" s="142"/>
      <c r="AK1452" s="44"/>
      <c r="AL1452" s="115"/>
      <c r="AM1452" s="115"/>
      <c r="AN1452" s="97"/>
      <c r="AO1452" s="43"/>
      <c r="AP1452" s="43"/>
      <c r="AQ1452" s="43"/>
      <c r="AR1452" s="43"/>
      <c r="AS1452" s="43"/>
      <c r="AT1452" s="39"/>
      <c r="AU1452" s="110"/>
      <c r="AV1452" s="133"/>
      <c r="AW1452" s="18"/>
      <c r="AX1452" s="123"/>
    </row>
    <row r="1453" spans="27:50" x14ac:dyDescent="0.2">
      <c r="AA1453" s="94" t="s">
        <v>1286</v>
      </c>
      <c r="AB1453" s="95" t="s">
        <v>1015</v>
      </c>
      <c r="AC1453" s="96"/>
      <c r="AD1453" s="44">
        <v>0</v>
      </c>
      <c r="AE1453" s="96">
        <v>0</v>
      </c>
      <c r="AF1453" s="96">
        <v>0</v>
      </c>
      <c r="AG1453" s="43">
        <f>151006500+15000000</f>
        <v>166006500</v>
      </c>
      <c r="AH1453" s="43">
        <v>61474000</v>
      </c>
      <c r="AI1453" s="136">
        <f>AE1453-AF1453+AG1453-AH1453</f>
        <v>104532500</v>
      </c>
      <c r="AJ1453" s="142">
        <f>AD1453+AI1453</f>
        <v>104532500</v>
      </c>
      <c r="AK1453" s="44">
        <v>0</v>
      </c>
      <c r="AL1453" s="115">
        <v>0</v>
      </c>
      <c r="AM1453" s="115">
        <v>0</v>
      </c>
      <c r="AN1453" s="97">
        <v>0</v>
      </c>
      <c r="AO1453" s="44">
        <v>0</v>
      </c>
      <c r="AP1453" s="44">
        <v>0</v>
      </c>
      <c r="AQ1453" s="44">
        <v>0</v>
      </c>
      <c r="AR1453" s="44">
        <v>0</v>
      </c>
      <c r="AS1453" s="44">
        <v>0</v>
      </c>
      <c r="AT1453" s="40">
        <f t="shared" ref="AT1453" si="648">AQ1453+AS1453</f>
        <v>0</v>
      </c>
      <c r="AU1453" s="110">
        <f>AJ1453-AM1453</f>
        <v>104532500</v>
      </c>
      <c r="AV1453" s="133">
        <f>AM1453-AP1453</f>
        <v>0</v>
      </c>
      <c r="AW1453" s="34">
        <f>AP1453-AT1453</f>
        <v>0</v>
      </c>
      <c r="AX1453" s="123">
        <f>AP1453/AJ1453</f>
        <v>0</v>
      </c>
    </row>
    <row r="1454" spans="27:50" ht="25.5" x14ac:dyDescent="0.2">
      <c r="AA1454" s="240" t="s">
        <v>288</v>
      </c>
      <c r="AB1454" s="138" t="s">
        <v>1455</v>
      </c>
      <c r="AC1454" s="96"/>
      <c r="AD1454" s="44"/>
      <c r="AE1454" s="96"/>
      <c r="AF1454" s="96"/>
      <c r="AG1454" s="43"/>
      <c r="AH1454" s="96"/>
      <c r="AI1454" s="136"/>
      <c r="AJ1454" s="142"/>
      <c r="AK1454" s="44"/>
      <c r="AL1454" s="115"/>
      <c r="AM1454" s="115"/>
      <c r="AN1454" s="97"/>
      <c r="AO1454" s="44"/>
      <c r="AP1454" s="44"/>
      <c r="AQ1454" s="44"/>
      <c r="AR1454" s="44"/>
      <c r="AS1454" s="44"/>
      <c r="AT1454" s="40"/>
      <c r="AU1454" s="110"/>
      <c r="AV1454" s="133"/>
      <c r="AW1454" s="34"/>
      <c r="AX1454" s="123"/>
    </row>
    <row r="1455" spans="27:50" x14ac:dyDescent="0.2">
      <c r="AA1455" s="334" t="s">
        <v>1456</v>
      </c>
      <c r="AB1455" s="335" t="s">
        <v>1015</v>
      </c>
      <c r="AC1455" s="96"/>
      <c r="AD1455" s="44">
        <v>0</v>
      </c>
      <c r="AE1455" s="96">
        <v>0</v>
      </c>
      <c r="AF1455" s="96">
        <v>0</v>
      </c>
      <c r="AG1455" s="43">
        <v>61474000</v>
      </c>
      <c r="AH1455" s="96">
        <v>0</v>
      </c>
      <c r="AI1455" s="136">
        <f>AE1455-AF1455+AG1455-AH1455</f>
        <v>61474000</v>
      </c>
      <c r="AJ1455" s="142">
        <f>AD1455+AI1455</f>
        <v>61474000</v>
      </c>
      <c r="AK1455" s="44">
        <v>0</v>
      </c>
      <c r="AL1455" s="115">
        <v>0</v>
      </c>
      <c r="AM1455" s="115">
        <v>0</v>
      </c>
      <c r="AN1455" s="97">
        <v>0</v>
      </c>
      <c r="AO1455" s="44">
        <v>0</v>
      </c>
      <c r="AP1455" s="44">
        <v>0</v>
      </c>
      <c r="AQ1455" s="44">
        <v>0</v>
      </c>
      <c r="AR1455" s="44">
        <v>0</v>
      </c>
      <c r="AS1455" s="44">
        <v>0</v>
      </c>
      <c r="AT1455" s="40">
        <f t="shared" ref="AT1455" si="649">AQ1455+AS1455</f>
        <v>0</v>
      </c>
      <c r="AU1455" s="110">
        <f>AJ1455-AM1455</f>
        <v>61474000</v>
      </c>
      <c r="AV1455" s="133">
        <f>AM1455-AP1455</f>
        <v>0</v>
      </c>
      <c r="AW1455" s="34">
        <f>AP1455-AT1455</f>
        <v>0</v>
      </c>
      <c r="AX1455" s="123">
        <f>AP1455/AJ1455</f>
        <v>0</v>
      </c>
    </row>
    <row r="1456" spans="27:50" x14ac:dyDescent="0.2">
      <c r="AA1456" s="240" t="s">
        <v>288</v>
      </c>
      <c r="AB1456" s="138" t="s">
        <v>1355</v>
      </c>
      <c r="AC1456" s="96"/>
      <c r="AD1456" s="44"/>
      <c r="AE1456" s="96"/>
      <c r="AF1456" s="328"/>
      <c r="AG1456" s="142"/>
      <c r="AH1456" s="96"/>
      <c r="AI1456" s="136"/>
      <c r="AJ1456" s="142"/>
      <c r="AK1456" s="44"/>
      <c r="AL1456" s="115"/>
      <c r="AM1456" s="115"/>
      <c r="AN1456" s="97"/>
      <c r="AO1456" s="44"/>
      <c r="AP1456" s="44"/>
      <c r="AQ1456" s="44"/>
      <c r="AR1456" s="44"/>
      <c r="AS1456" s="44"/>
      <c r="AT1456" s="40"/>
      <c r="AU1456" s="110"/>
      <c r="AV1456" s="133"/>
      <c r="AW1456" s="34"/>
      <c r="AX1456" s="123"/>
    </row>
    <row r="1457" spans="27:50" x14ac:dyDescent="0.2">
      <c r="AA1457" s="94" t="s">
        <v>713</v>
      </c>
      <c r="AB1457" s="95" t="s">
        <v>961</v>
      </c>
      <c r="AC1457" s="96"/>
      <c r="AD1457" s="44">
        <v>0</v>
      </c>
      <c r="AE1457" s="96">
        <v>0</v>
      </c>
      <c r="AF1457" s="328">
        <v>0</v>
      </c>
      <c r="AG1457" s="142">
        <v>800000000</v>
      </c>
      <c r="AH1457" s="43">
        <v>800000000</v>
      </c>
      <c r="AI1457" s="97">
        <f>AE1457-AF1457+AG1457-AH1457</f>
        <v>0</v>
      </c>
      <c r="AJ1457" s="44">
        <f>AD1457+AI1457</f>
        <v>0</v>
      </c>
      <c r="AK1457" s="44">
        <v>0</v>
      </c>
      <c r="AL1457" s="115">
        <v>0</v>
      </c>
      <c r="AM1457" s="115">
        <v>0</v>
      </c>
      <c r="AN1457" s="97">
        <v>0</v>
      </c>
      <c r="AO1457" s="44">
        <v>0</v>
      </c>
      <c r="AP1457" s="44">
        <v>0</v>
      </c>
      <c r="AQ1457" s="44">
        <v>0</v>
      </c>
      <c r="AR1457" s="44">
        <v>0</v>
      </c>
      <c r="AS1457" s="44">
        <v>0</v>
      </c>
      <c r="AT1457" s="40">
        <f t="shared" ref="AT1457" si="650">AQ1457+AS1457</f>
        <v>0</v>
      </c>
      <c r="AU1457" s="133">
        <f>AJ1457-AM1457</f>
        <v>0</v>
      </c>
      <c r="AV1457" s="133">
        <f>AM1457-AP1457</f>
        <v>0</v>
      </c>
      <c r="AW1457" s="34">
        <f>AP1457-AT1457</f>
        <v>0</v>
      </c>
      <c r="AX1457" s="123">
        <v>0</v>
      </c>
    </row>
    <row r="1458" spans="27:50" x14ac:dyDescent="0.2">
      <c r="AA1458" s="89"/>
      <c r="AB1458" s="91"/>
      <c r="AC1458" s="91"/>
      <c r="AD1458" s="18"/>
      <c r="AE1458" s="92"/>
      <c r="AF1458" s="92"/>
      <c r="AG1458" s="92"/>
      <c r="AH1458" s="92"/>
      <c r="AI1458" s="92"/>
      <c r="AJ1458" s="18"/>
      <c r="AK1458" s="98"/>
      <c r="AL1458" s="98"/>
      <c r="AM1458" s="98"/>
      <c r="AN1458" s="98"/>
      <c r="AO1458" s="98"/>
      <c r="AP1458" s="98"/>
      <c r="AQ1458" s="98"/>
      <c r="AR1458" s="98"/>
      <c r="AS1458" s="92"/>
      <c r="AT1458" s="30"/>
      <c r="AU1458" s="18"/>
      <c r="AV1458" s="18"/>
      <c r="AW1458" s="18"/>
      <c r="AX1458" s="92"/>
    </row>
    <row r="1459" spans="27:50" x14ac:dyDescent="0.2">
      <c r="AA1459" s="89"/>
      <c r="AB1459" s="279" t="s">
        <v>1274</v>
      </c>
      <c r="AC1459" s="91"/>
      <c r="AD1459" s="18"/>
      <c r="AE1459" s="92"/>
      <c r="AF1459" s="92"/>
      <c r="AG1459" s="92"/>
      <c r="AH1459" s="92"/>
      <c r="AI1459" s="92"/>
      <c r="AJ1459" s="18"/>
      <c r="AK1459" s="98"/>
      <c r="AL1459" s="98"/>
      <c r="AM1459" s="98"/>
      <c r="AN1459" s="98"/>
      <c r="AO1459" s="98"/>
      <c r="AP1459" s="98"/>
      <c r="AQ1459" s="98"/>
      <c r="AR1459" s="98"/>
      <c r="AS1459" s="92"/>
      <c r="AT1459" s="30"/>
      <c r="AU1459" s="18"/>
      <c r="AV1459" s="18"/>
      <c r="AW1459" s="18"/>
      <c r="AX1459" s="92"/>
    </row>
    <row r="1460" spans="27:50" x14ac:dyDescent="0.2">
      <c r="AA1460" s="89"/>
      <c r="AB1460" s="90" t="s">
        <v>199</v>
      </c>
      <c r="AC1460" s="91"/>
      <c r="AD1460" s="18"/>
      <c r="AE1460" s="92"/>
      <c r="AF1460" s="92"/>
      <c r="AG1460" s="92"/>
      <c r="AH1460" s="92"/>
      <c r="AI1460" s="92"/>
      <c r="AJ1460" s="18"/>
      <c r="AK1460" s="98"/>
      <c r="AL1460" s="98"/>
      <c r="AM1460" s="98"/>
      <c r="AN1460" s="98"/>
      <c r="AO1460" s="98"/>
      <c r="AP1460" s="98"/>
      <c r="AQ1460" s="98"/>
      <c r="AR1460" s="98"/>
      <c r="AS1460" s="92"/>
      <c r="AT1460" s="30"/>
      <c r="AU1460" s="18"/>
      <c r="AV1460" s="18"/>
      <c r="AW1460" s="18"/>
      <c r="AX1460" s="92"/>
    </row>
    <row r="1461" spans="27:50" x14ac:dyDescent="0.2">
      <c r="AA1461" s="170" t="s">
        <v>288</v>
      </c>
      <c r="AB1461" s="165" t="s">
        <v>1164</v>
      </c>
      <c r="AC1461" s="237"/>
      <c r="AD1461" s="44"/>
      <c r="AE1461" s="96"/>
      <c r="AF1461" s="96"/>
      <c r="AG1461" s="43"/>
      <c r="AH1461" s="96"/>
      <c r="AI1461" s="136"/>
      <c r="AJ1461" s="43"/>
      <c r="AK1461" s="44"/>
      <c r="AL1461" s="115"/>
      <c r="AM1461" s="114"/>
      <c r="AN1461" s="97"/>
      <c r="AO1461" s="43"/>
      <c r="AP1461" s="43"/>
      <c r="AQ1461" s="43"/>
      <c r="AR1461" s="96"/>
      <c r="AS1461" s="97"/>
      <c r="AT1461" s="135"/>
      <c r="AU1461" s="110"/>
      <c r="AV1461" s="133"/>
      <c r="AW1461" s="18"/>
      <c r="AX1461" s="123"/>
    </row>
    <row r="1462" spans="27:50" x14ac:dyDescent="0.2">
      <c r="AA1462" s="166" t="s">
        <v>1165</v>
      </c>
      <c r="AB1462" s="167" t="s">
        <v>1015</v>
      </c>
      <c r="AC1462" s="237"/>
      <c r="AD1462" s="44">
        <v>0</v>
      </c>
      <c r="AE1462" s="43">
        <v>400000000</v>
      </c>
      <c r="AF1462" s="216">
        <v>0</v>
      </c>
      <c r="AG1462" s="168">
        <v>198993500</v>
      </c>
      <c r="AH1462" s="168">
        <v>15000000</v>
      </c>
      <c r="AI1462" s="136">
        <f>AE1462-AF1462+AG1462-AH1462</f>
        <v>583993500</v>
      </c>
      <c r="AJ1462" s="43">
        <f>AD1462+AI1462</f>
        <v>583993500</v>
      </c>
      <c r="AK1462" s="44">
        <v>0</v>
      </c>
      <c r="AL1462" s="43">
        <v>99973777</v>
      </c>
      <c r="AM1462" s="43">
        <v>497960776.57999998</v>
      </c>
      <c r="AN1462" s="97">
        <v>0</v>
      </c>
      <c r="AO1462" s="43">
        <v>99973777</v>
      </c>
      <c r="AP1462" s="43">
        <v>497960776.57999998</v>
      </c>
      <c r="AQ1462" s="44">
        <v>0</v>
      </c>
      <c r="AR1462" s="43">
        <v>170633580</v>
      </c>
      <c r="AS1462" s="43">
        <v>170633580</v>
      </c>
      <c r="AT1462" s="39">
        <f t="shared" ref="AT1462" si="651">AQ1462+AS1462</f>
        <v>170633580</v>
      </c>
      <c r="AU1462" s="18">
        <f>AJ1462-AM1462</f>
        <v>86032723.420000017</v>
      </c>
      <c r="AV1462" s="34">
        <f>AM1462-AP1462</f>
        <v>0</v>
      </c>
      <c r="AW1462" s="18">
        <f>AP1462-AT1462</f>
        <v>327327196.57999998</v>
      </c>
      <c r="AX1462" s="123">
        <f>AP1462/AJ1462</f>
        <v>0.85268205310504308</v>
      </c>
    </row>
    <row r="1463" spans="27:50" x14ac:dyDescent="0.2">
      <c r="AA1463" s="93" t="s">
        <v>288</v>
      </c>
      <c r="AB1463" s="90" t="s">
        <v>782</v>
      </c>
      <c r="AC1463" s="91"/>
      <c r="AD1463" s="18"/>
      <c r="AE1463" s="92"/>
      <c r="AF1463" s="92"/>
      <c r="AG1463" s="92"/>
      <c r="AH1463" s="92"/>
      <c r="AI1463" s="92"/>
      <c r="AJ1463" s="18"/>
      <c r="AK1463" s="98"/>
      <c r="AL1463" s="98"/>
      <c r="AM1463" s="98"/>
      <c r="AN1463" s="98"/>
      <c r="AO1463" s="98"/>
      <c r="AP1463" s="98"/>
      <c r="AQ1463" s="98"/>
      <c r="AR1463" s="98"/>
      <c r="AS1463" s="92"/>
      <c r="AT1463" s="30"/>
      <c r="AU1463" s="18"/>
      <c r="AV1463" s="18"/>
      <c r="AW1463" s="18"/>
      <c r="AX1463" s="92"/>
    </row>
    <row r="1464" spans="27:50" ht="25.5" x14ac:dyDescent="0.2">
      <c r="AA1464" s="94" t="s">
        <v>783</v>
      </c>
      <c r="AB1464" s="95" t="s">
        <v>784</v>
      </c>
      <c r="AC1464" s="96" t="s">
        <v>368</v>
      </c>
      <c r="AD1464" s="43">
        <v>40000000</v>
      </c>
      <c r="AE1464" s="96">
        <v>0</v>
      </c>
      <c r="AF1464" s="216">
        <v>0</v>
      </c>
      <c r="AG1464" s="216">
        <v>0</v>
      </c>
      <c r="AH1464" s="216">
        <v>0</v>
      </c>
      <c r="AI1464" s="97">
        <f>AE1464-AF1464+AG1464-AH1464</f>
        <v>0</v>
      </c>
      <c r="AJ1464" s="43">
        <f>AD1464+AI1464</f>
        <v>40000000</v>
      </c>
      <c r="AK1464" s="97">
        <v>0</v>
      </c>
      <c r="AL1464" s="34">
        <v>0</v>
      </c>
      <c r="AM1464" s="137">
        <v>0</v>
      </c>
      <c r="AN1464" s="97">
        <v>0</v>
      </c>
      <c r="AO1464" s="97">
        <v>0</v>
      </c>
      <c r="AP1464" s="97">
        <v>0</v>
      </c>
      <c r="AQ1464" s="97">
        <v>0</v>
      </c>
      <c r="AR1464" s="97">
        <v>0</v>
      </c>
      <c r="AS1464" s="97">
        <v>0</v>
      </c>
      <c r="AT1464" s="135">
        <f t="shared" ref="AT1464:AT1466" si="652">AQ1464+AS1464</f>
        <v>0</v>
      </c>
      <c r="AU1464" s="110">
        <f>AJ1464-AM1464</f>
        <v>40000000</v>
      </c>
      <c r="AV1464" s="133">
        <f>AM1464-AP1464</f>
        <v>0</v>
      </c>
      <c r="AW1464" s="133">
        <f>AP1464-AT1464</f>
        <v>0</v>
      </c>
      <c r="AX1464" s="123">
        <f>AP1464/AJ1464</f>
        <v>0</v>
      </c>
    </row>
    <row r="1465" spans="27:50" ht="25.5" x14ac:dyDescent="0.2">
      <c r="AA1465" s="94" t="s">
        <v>785</v>
      </c>
      <c r="AB1465" s="242" t="s">
        <v>786</v>
      </c>
      <c r="AC1465" s="96" t="s">
        <v>258</v>
      </c>
      <c r="AD1465" s="43">
        <v>2438425656.1900001</v>
      </c>
      <c r="AE1465" s="96">
        <v>0</v>
      </c>
      <c r="AF1465" s="216">
        <v>0</v>
      </c>
      <c r="AG1465" s="216">
        <v>0</v>
      </c>
      <c r="AH1465" s="216">
        <v>0</v>
      </c>
      <c r="AI1465" s="97">
        <f t="shared" ref="AI1465:AI1466" si="653">AE1465-AF1465+AG1465-AH1465</f>
        <v>0</v>
      </c>
      <c r="AJ1465" s="43">
        <f t="shared" ref="AJ1465:AJ1466" si="654">AD1465+AI1465</f>
        <v>2438425656.1900001</v>
      </c>
      <c r="AK1465" s="44">
        <v>0</v>
      </c>
      <c r="AL1465" s="114">
        <v>5000000</v>
      </c>
      <c r="AM1465" s="114">
        <v>60000000</v>
      </c>
      <c r="AN1465" s="92">
        <v>0</v>
      </c>
      <c r="AO1465" s="147">
        <v>5000000</v>
      </c>
      <c r="AP1465" s="18">
        <v>60000000</v>
      </c>
      <c r="AQ1465" s="43">
        <v>0</v>
      </c>
      <c r="AR1465" s="18">
        <v>5500000</v>
      </c>
      <c r="AS1465" s="43">
        <v>44000000</v>
      </c>
      <c r="AT1465" s="39">
        <f t="shared" si="652"/>
        <v>44000000</v>
      </c>
      <c r="AU1465" s="110">
        <f>AJ1465-AM1465</f>
        <v>2378425656.1900001</v>
      </c>
      <c r="AV1465" s="133">
        <f>AM1465-AP1465</f>
        <v>0</v>
      </c>
      <c r="AW1465" s="18">
        <f>AP1465-AT1465</f>
        <v>16000000</v>
      </c>
      <c r="AX1465" s="123">
        <f>AP1465/AJ1465</f>
        <v>2.4606040314449861E-2</v>
      </c>
    </row>
    <row r="1466" spans="27:50" ht="25.5" x14ac:dyDescent="0.2">
      <c r="AA1466" s="166" t="s">
        <v>1197</v>
      </c>
      <c r="AB1466" s="242" t="s">
        <v>1198</v>
      </c>
      <c r="AC1466" s="96"/>
      <c r="AD1466" s="43">
        <v>0</v>
      </c>
      <c r="AE1466" s="43">
        <v>57159458.270000003</v>
      </c>
      <c r="AF1466" s="216">
        <v>0</v>
      </c>
      <c r="AG1466" s="216">
        <v>0</v>
      </c>
      <c r="AH1466" s="216">
        <v>0</v>
      </c>
      <c r="AI1466" s="136">
        <f t="shared" si="653"/>
        <v>57159458.270000003</v>
      </c>
      <c r="AJ1466" s="43">
        <f t="shared" si="654"/>
        <v>57159458.270000003</v>
      </c>
      <c r="AK1466" s="44">
        <v>0</v>
      </c>
      <c r="AL1466" s="115">
        <v>0</v>
      </c>
      <c r="AM1466" s="34">
        <v>0</v>
      </c>
      <c r="AN1466" s="98">
        <v>0</v>
      </c>
      <c r="AO1466" s="145">
        <v>0</v>
      </c>
      <c r="AP1466" s="34">
        <v>0</v>
      </c>
      <c r="AQ1466" s="97">
        <v>0</v>
      </c>
      <c r="AR1466" s="34">
        <v>0</v>
      </c>
      <c r="AS1466" s="44">
        <v>0</v>
      </c>
      <c r="AT1466" s="40">
        <f t="shared" si="652"/>
        <v>0</v>
      </c>
      <c r="AU1466" s="110">
        <f>AJ1466-AM1466</f>
        <v>57159458.270000003</v>
      </c>
      <c r="AV1466" s="133">
        <f>AM1466-AP1466</f>
        <v>0</v>
      </c>
      <c r="AW1466" s="133">
        <f>AP1466-AT1466</f>
        <v>0</v>
      </c>
      <c r="AX1466" s="123">
        <f>AP1466/AJ1466</f>
        <v>0</v>
      </c>
    </row>
    <row r="1467" spans="27:50" ht="38.25" x14ac:dyDescent="0.2">
      <c r="AA1467" s="240" t="s">
        <v>288</v>
      </c>
      <c r="AB1467" s="138" t="s">
        <v>1186</v>
      </c>
      <c r="AC1467" s="96"/>
      <c r="AD1467" s="44"/>
      <c r="AE1467" s="96"/>
      <c r="AF1467" s="96"/>
      <c r="AG1467" s="96"/>
      <c r="AH1467" s="96"/>
      <c r="AI1467" s="96"/>
      <c r="AJ1467" s="43"/>
      <c r="AK1467" s="44"/>
      <c r="AL1467" s="44"/>
      <c r="AM1467" s="34"/>
      <c r="AN1467" s="34"/>
      <c r="AO1467" s="34"/>
      <c r="AP1467" s="44"/>
      <c r="AQ1467" s="44"/>
      <c r="AR1467" s="44"/>
      <c r="AS1467" s="44"/>
      <c r="AT1467" s="135"/>
      <c r="AU1467" s="133"/>
      <c r="AV1467" s="133"/>
      <c r="AW1467" s="133"/>
      <c r="AX1467" s="123"/>
    </row>
    <row r="1468" spans="27:50" x14ac:dyDescent="0.2">
      <c r="AA1468" s="173" t="s">
        <v>1187</v>
      </c>
      <c r="AB1468" s="95" t="s">
        <v>1188</v>
      </c>
      <c r="AC1468" s="96"/>
      <c r="AD1468" s="44">
        <v>0</v>
      </c>
      <c r="AE1468" s="43">
        <v>350000000</v>
      </c>
      <c r="AF1468" s="216">
        <v>0</v>
      </c>
      <c r="AG1468" s="216">
        <v>0</v>
      </c>
      <c r="AH1468" s="168">
        <v>350000000</v>
      </c>
      <c r="AI1468" s="97">
        <f>AE1468-AF1468+AG1468-AH1468</f>
        <v>0</v>
      </c>
      <c r="AJ1468" s="44">
        <f>AD1468+AI1468</f>
        <v>0</v>
      </c>
      <c r="AK1468" s="44">
        <v>0</v>
      </c>
      <c r="AL1468" s="44">
        <v>0</v>
      </c>
      <c r="AM1468" s="34">
        <v>0</v>
      </c>
      <c r="AN1468" s="34">
        <v>0</v>
      </c>
      <c r="AO1468" s="34">
        <v>0</v>
      </c>
      <c r="AP1468" s="44">
        <v>0</v>
      </c>
      <c r="AQ1468" s="44">
        <v>0</v>
      </c>
      <c r="AR1468" s="44">
        <v>0</v>
      </c>
      <c r="AS1468" s="44">
        <v>0</v>
      </c>
      <c r="AT1468" s="135">
        <f t="shared" ref="AT1468" si="655">AQ1468+AS1468</f>
        <v>0</v>
      </c>
      <c r="AU1468" s="34">
        <f>AJ1468-AM1468</f>
        <v>0</v>
      </c>
      <c r="AV1468" s="34">
        <f>AM1468-AP1468</f>
        <v>0</v>
      </c>
      <c r="AW1468" s="133">
        <f>AP1468-AT1468</f>
        <v>0</v>
      </c>
      <c r="AX1468" s="123">
        <v>0</v>
      </c>
    </row>
    <row r="1469" spans="27:50" x14ac:dyDescent="0.2">
      <c r="AA1469" s="166"/>
      <c r="AB1469" s="242"/>
      <c r="AC1469" s="96"/>
      <c r="AD1469" s="43"/>
      <c r="AE1469" s="43"/>
      <c r="AF1469" s="216"/>
      <c r="AG1469" s="216"/>
      <c r="AH1469" s="216"/>
      <c r="AI1469" s="136"/>
      <c r="AJ1469" s="43"/>
      <c r="AK1469" s="44"/>
      <c r="AL1469" s="115"/>
      <c r="AM1469" s="34"/>
      <c r="AN1469" s="98"/>
      <c r="AO1469" s="145"/>
      <c r="AP1469" s="34"/>
      <c r="AQ1469" s="97"/>
      <c r="AR1469" s="34"/>
      <c r="AS1469" s="44"/>
      <c r="AT1469" s="40"/>
      <c r="AU1469" s="110"/>
      <c r="AV1469" s="133"/>
      <c r="AW1469" s="133"/>
      <c r="AX1469" s="123"/>
    </row>
    <row r="1470" spans="27:50" x14ac:dyDescent="0.2">
      <c r="AA1470" s="166"/>
      <c r="AB1470" s="280" t="s">
        <v>1275</v>
      </c>
      <c r="AC1470" s="96"/>
      <c r="AD1470" s="43"/>
      <c r="AE1470" s="43"/>
      <c r="AF1470" s="216"/>
      <c r="AG1470" s="216"/>
      <c r="AH1470" s="216"/>
      <c r="AI1470" s="136"/>
      <c r="AJ1470" s="43"/>
      <c r="AK1470" s="44"/>
      <c r="AL1470" s="115"/>
      <c r="AM1470" s="34"/>
      <c r="AN1470" s="98"/>
      <c r="AO1470" s="145"/>
      <c r="AP1470" s="34"/>
      <c r="AQ1470" s="97"/>
      <c r="AR1470" s="34"/>
      <c r="AS1470" s="44"/>
      <c r="AT1470" s="40"/>
      <c r="AU1470" s="110"/>
      <c r="AV1470" s="133"/>
      <c r="AW1470" s="133"/>
      <c r="AX1470" s="123"/>
    </row>
    <row r="1471" spans="27:50" ht="18.75" customHeight="1" x14ac:dyDescent="0.2">
      <c r="AA1471" s="94" t="s">
        <v>798</v>
      </c>
      <c r="AB1471" s="95" t="s">
        <v>799</v>
      </c>
      <c r="AC1471" s="96" t="s">
        <v>368</v>
      </c>
      <c r="AD1471" s="43">
        <v>20000000</v>
      </c>
      <c r="AE1471" s="96">
        <v>0</v>
      </c>
      <c r="AF1471" s="216">
        <v>0</v>
      </c>
      <c r="AG1471" s="216">
        <v>0</v>
      </c>
      <c r="AH1471" s="216">
        <v>0</v>
      </c>
      <c r="AI1471" s="97">
        <f t="shared" ref="AI1471:AI1472" si="656">AE1471-AF1471+AG1471-AH1471</f>
        <v>0</v>
      </c>
      <c r="AJ1471" s="43">
        <f t="shared" ref="AJ1471:AJ1472" si="657">AD1471+AI1471</f>
        <v>20000000</v>
      </c>
      <c r="AK1471" s="44">
        <v>0</v>
      </c>
      <c r="AL1471" s="43">
        <v>-226819</v>
      </c>
      <c r="AM1471" s="43">
        <v>12753028</v>
      </c>
      <c r="AN1471" s="44">
        <v>0</v>
      </c>
      <c r="AO1471" s="43">
        <v>12753028</v>
      </c>
      <c r="AP1471" s="44">
        <v>12753028</v>
      </c>
      <c r="AQ1471" s="44">
        <v>0</v>
      </c>
      <c r="AR1471" s="44">
        <v>0</v>
      </c>
      <c r="AS1471" s="44">
        <v>0</v>
      </c>
      <c r="AT1471" s="135">
        <f t="shared" ref="AT1471:AT1472" si="658">AQ1471+AS1471</f>
        <v>0</v>
      </c>
      <c r="AU1471" s="110">
        <f t="shared" ref="AU1471:AU1472" si="659">AJ1471-AM1471</f>
        <v>7246972</v>
      </c>
      <c r="AV1471" s="18">
        <f t="shared" ref="AV1471:AV1472" si="660">AM1471-AP1471</f>
        <v>0</v>
      </c>
      <c r="AW1471" s="18">
        <f t="shared" ref="AW1471:AW1472" si="661">AP1471-AT1471</f>
        <v>12753028</v>
      </c>
      <c r="AX1471" s="123">
        <f t="shared" ref="AX1471:AX1472" si="662">AP1471/AJ1471</f>
        <v>0.63765139999999998</v>
      </c>
    </row>
    <row r="1472" spans="27:50" x14ac:dyDescent="0.2">
      <c r="AA1472" s="94" t="s">
        <v>800</v>
      </c>
      <c r="AB1472" s="95" t="s">
        <v>801</v>
      </c>
      <c r="AC1472" s="96" t="s">
        <v>802</v>
      </c>
      <c r="AD1472" s="43">
        <v>300000000</v>
      </c>
      <c r="AE1472" s="96">
        <v>0</v>
      </c>
      <c r="AF1472" s="216">
        <v>0</v>
      </c>
      <c r="AG1472" s="216">
        <v>0</v>
      </c>
      <c r="AH1472" s="216">
        <v>0</v>
      </c>
      <c r="AI1472" s="97">
        <f t="shared" si="656"/>
        <v>0</v>
      </c>
      <c r="AJ1472" s="43">
        <f t="shared" si="657"/>
        <v>300000000</v>
      </c>
      <c r="AK1472" s="44">
        <v>0</v>
      </c>
      <c r="AL1472" s="34">
        <v>0</v>
      </c>
      <c r="AM1472" s="18">
        <v>289550000</v>
      </c>
      <c r="AN1472" s="34">
        <v>0</v>
      </c>
      <c r="AO1472" s="18">
        <v>0</v>
      </c>
      <c r="AP1472" s="18">
        <v>289550000</v>
      </c>
      <c r="AQ1472" s="43">
        <v>0</v>
      </c>
      <c r="AR1472" s="43">
        <v>7150000</v>
      </c>
      <c r="AS1472" s="43">
        <v>275866667</v>
      </c>
      <c r="AT1472" s="111">
        <f t="shared" si="658"/>
        <v>275866667</v>
      </c>
      <c r="AU1472" s="110">
        <f t="shared" si="659"/>
        <v>10450000</v>
      </c>
      <c r="AV1472" s="18">
        <f t="shared" si="660"/>
        <v>0</v>
      </c>
      <c r="AW1472" s="18">
        <f t="shared" si="661"/>
        <v>13683333</v>
      </c>
      <c r="AX1472" s="123">
        <f t="shared" si="662"/>
        <v>0.96516666666666662</v>
      </c>
    </row>
    <row r="1473" spans="1:50" x14ac:dyDescent="0.2">
      <c r="AA1473" s="89"/>
      <c r="AB1473" s="91"/>
      <c r="AC1473" s="91"/>
      <c r="AD1473" s="18"/>
      <c r="AE1473" s="92"/>
      <c r="AF1473" s="92"/>
      <c r="AG1473" s="92"/>
      <c r="AH1473" s="92"/>
      <c r="AI1473" s="92"/>
      <c r="AJ1473" s="92"/>
      <c r="AK1473" s="98"/>
      <c r="AL1473" s="92"/>
      <c r="AM1473" s="92"/>
      <c r="AN1473" s="98"/>
      <c r="AO1473" s="92"/>
      <c r="AP1473" s="92"/>
      <c r="AQ1473" s="98"/>
      <c r="AR1473" s="92"/>
      <c r="AS1473" s="92"/>
      <c r="AT1473" s="92"/>
      <c r="AU1473" s="92"/>
      <c r="AV1473" s="92"/>
      <c r="AW1473" s="92"/>
      <c r="AX1473" s="92"/>
    </row>
    <row r="1474" spans="1:50" s="343" customFormat="1" x14ac:dyDescent="0.2">
      <c r="A1474" s="50"/>
      <c r="B1474" s="77"/>
      <c r="C1474" s="77"/>
      <c r="D1474" s="77"/>
      <c r="E1474" s="77"/>
      <c r="F1474" s="77"/>
      <c r="G1474" s="77"/>
      <c r="H1474" s="77"/>
      <c r="I1474" s="77"/>
      <c r="J1474" s="77"/>
      <c r="K1474" s="77"/>
      <c r="L1474" s="77"/>
      <c r="M1474" s="77"/>
      <c r="N1474" s="77"/>
      <c r="O1474" s="77"/>
      <c r="P1474" s="77"/>
      <c r="Q1474" s="77"/>
      <c r="R1474" s="77"/>
      <c r="S1474" s="77"/>
      <c r="T1474" s="77"/>
      <c r="U1474" s="77"/>
      <c r="V1474" s="77"/>
      <c r="W1474" s="77"/>
      <c r="X1474" s="77"/>
      <c r="Y1474" s="77"/>
      <c r="Z1474" s="77"/>
      <c r="AA1474" s="46"/>
      <c r="AB1474" s="47" t="s">
        <v>833</v>
      </c>
      <c r="AC1474" s="47"/>
      <c r="AD1474" s="48">
        <f t="shared" ref="AD1474:AW1474" si="663">SUM(AD1378:AD1473)</f>
        <v>260924476092</v>
      </c>
      <c r="AE1474" s="48">
        <f t="shared" si="663"/>
        <v>22937721256.829998</v>
      </c>
      <c r="AF1474" s="49">
        <f t="shared" si="663"/>
        <v>0</v>
      </c>
      <c r="AG1474" s="48">
        <f t="shared" si="663"/>
        <v>6923594240</v>
      </c>
      <c r="AH1474" s="48">
        <f t="shared" si="663"/>
        <v>6899194240</v>
      </c>
      <c r="AI1474" s="48">
        <f t="shared" si="663"/>
        <v>22962121256.829998</v>
      </c>
      <c r="AJ1474" s="48">
        <f t="shared" si="663"/>
        <v>283886597348.83008</v>
      </c>
      <c r="AK1474" s="49">
        <f t="shared" si="663"/>
        <v>0</v>
      </c>
      <c r="AL1474" s="48">
        <f t="shared" si="663"/>
        <v>7120706853.3299999</v>
      </c>
      <c r="AM1474" s="48">
        <f t="shared" si="663"/>
        <v>249353995219.22998</v>
      </c>
      <c r="AN1474" s="49">
        <f t="shared" si="663"/>
        <v>0</v>
      </c>
      <c r="AO1474" s="48">
        <f t="shared" si="663"/>
        <v>21395525041.010002</v>
      </c>
      <c r="AP1474" s="48">
        <f t="shared" si="663"/>
        <v>216478982783</v>
      </c>
      <c r="AQ1474" s="48">
        <f t="shared" si="663"/>
        <v>406956848</v>
      </c>
      <c r="AR1474" s="48">
        <f t="shared" si="663"/>
        <v>21498756717.68</v>
      </c>
      <c r="AS1474" s="48">
        <f t="shared" si="663"/>
        <v>210547197638.10001</v>
      </c>
      <c r="AT1474" s="48">
        <f t="shared" si="663"/>
        <v>210954154486.10001</v>
      </c>
      <c r="AU1474" s="48">
        <f t="shared" si="663"/>
        <v>34532602129.599998</v>
      </c>
      <c r="AV1474" s="48">
        <f t="shared" si="663"/>
        <v>32875012436.230003</v>
      </c>
      <c r="AW1474" s="48">
        <f t="shared" si="663"/>
        <v>5524828296.8999996</v>
      </c>
      <c r="AX1474" s="24">
        <f>AP1474/AJ1474</f>
        <v>0.76255443125762667</v>
      </c>
    </row>
    <row r="1479" spans="1:50" ht="13.5" thickBot="1" x14ac:dyDescent="0.25">
      <c r="AB1479" s="152"/>
    </row>
    <row r="1480" spans="1:50" ht="15.75" x14ac:dyDescent="0.2">
      <c r="AB1480" s="153" t="s">
        <v>914</v>
      </c>
    </row>
    <row r="1481" spans="1:50" x14ac:dyDescent="0.2">
      <c r="AB1481" s="154" t="s">
        <v>916</v>
      </c>
    </row>
    <row r="1482" spans="1:50" x14ac:dyDescent="0.2">
      <c r="AB1482" s="154" t="s">
        <v>917</v>
      </c>
    </row>
    <row r="1486" spans="1:50" x14ac:dyDescent="0.2">
      <c r="AE1486" s="281"/>
    </row>
  </sheetData>
  <mergeCells count="23">
    <mergeCell ref="AJ7:AJ8"/>
    <mergeCell ref="A2:AW2"/>
    <mergeCell ref="A3:AW3"/>
    <mergeCell ref="A4:AX4"/>
    <mergeCell ref="A5:AW5"/>
    <mergeCell ref="A7:A9"/>
    <mergeCell ref="B7:B9"/>
    <mergeCell ref="AA7:AA9"/>
    <mergeCell ref="AB7:AB9"/>
    <mergeCell ref="AC7:AC9"/>
    <mergeCell ref="AD7:AD8"/>
    <mergeCell ref="AE7:AE8"/>
    <mergeCell ref="AF7:AF8"/>
    <mergeCell ref="AG7:AG8"/>
    <mergeCell ref="AH7:AH8"/>
    <mergeCell ref="AI7:AI8"/>
    <mergeCell ref="AX7:AX8"/>
    <mergeCell ref="AK7:AM7"/>
    <mergeCell ref="AN7:AP7"/>
    <mergeCell ref="AQ7:AS7"/>
    <mergeCell ref="AU7:AU8"/>
    <mergeCell ref="AV7:AV8"/>
    <mergeCell ref="AW7:AW8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89E0B-E12E-404E-99B5-BE2724F9A436}">
  <dimension ref="A1:AA1043"/>
  <sheetViews>
    <sheetView topLeftCell="D1" zoomScale="80" zoomScaleNormal="80" workbookViewId="0">
      <pane xSplit="3" ySplit="9" topLeftCell="Q16" activePane="bottomRight" state="frozen"/>
      <selection activeCell="D1" sqref="D1"/>
      <selection pane="topRight" activeCell="G1" sqref="G1"/>
      <selection pane="bottomLeft" activeCell="D10" sqref="D10"/>
      <selection pane="bottomRight" activeCell="Q1" sqref="Q1:S1048576"/>
    </sheetView>
  </sheetViews>
  <sheetFormatPr baseColWidth="10" defaultColWidth="9.140625" defaultRowHeight="12.75" x14ac:dyDescent="0.2"/>
  <cols>
    <col min="1" max="1" width="15.7109375" style="33" hidden="1" customWidth="1"/>
    <col min="2" max="2" width="75.7109375" style="51" hidden="1" customWidth="1"/>
    <col min="3" max="3" width="19.140625" style="51" hidden="1" customWidth="1"/>
    <col min="4" max="4" width="31.42578125" style="99" customWidth="1"/>
    <col min="5" max="5" width="60.140625" style="51" customWidth="1"/>
    <col min="6" max="6" width="60.7109375" style="51" hidden="1" customWidth="1"/>
    <col min="7" max="7" width="23.5703125" style="33" hidden="1" customWidth="1"/>
    <col min="8" max="9" width="20.7109375" style="33" hidden="1" customWidth="1"/>
    <col min="10" max="11" width="22" style="33" hidden="1" customWidth="1"/>
    <col min="12" max="12" width="22.140625" style="33" hidden="1" customWidth="1"/>
    <col min="13" max="13" width="26" style="33" bestFit="1" customWidth="1"/>
    <col min="14" max="14" width="20.7109375" style="33" customWidth="1"/>
    <col min="15" max="16" width="27.7109375" style="33" customWidth="1"/>
    <col min="17" max="17" width="20.7109375" style="33" hidden="1" customWidth="1"/>
    <col min="18" max="18" width="22.42578125" style="33" hidden="1" customWidth="1"/>
    <col min="19" max="19" width="23.42578125" style="33" hidden="1" customWidth="1"/>
    <col min="20" max="20" width="20.7109375" style="33" customWidth="1"/>
    <col min="21" max="21" width="22.28515625" style="33" customWidth="1"/>
    <col min="22" max="22" width="21.85546875" style="33" customWidth="1"/>
    <col min="23" max="23" width="21" style="33" customWidth="1"/>
    <col min="24" max="24" width="23" style="33" customWidth="1"/>
    <col min="25" max="25" width="23.42578125" style="33" customWidth="1"/>
    <col min="26" max="26" width="22" style="33" bestFit="1" customWidth="1"/>
    <col min="27" max="27" width="12.140625" style="33" customWidth="1"/>
    <col min="28" max="258" width="9.140625" style="33"/>
    <col min="259" max="260" width="0" style="33" hidden="1" customWidth="1"/>
    <col min="261" max="261" width="29.42578125" style="33" customWidth="1"/>
    <col min="262" max="262" width="75.7109375" style="33" customWidth="1"/>
    <col min="263" max="263" width="0" style="33" hidden="1" customWidth="1"/>
    <col min="264" max="282" width="20.7109375" style="33" customWidth="1"/>
    <col min="283" max="283" width="12.140625" style="33" customWidth="1"/>
    <col min="284" max="514" width="9.140625" style="33"/>
    <col min="515" max="516" width="0" style="33" hidden="1" customWidth="1"/>
    <col min="517" max="517" width="29.42578125" style="33" customWidth="1"/>
    <col min="518" max="518" width="75.7109375" style="33" customWidth="1"/>
    <col min="519" max="519" width="0" style="33" hidden="1" customWidth="1"/>
    <col min="520" max="538" width="20.7109375" style="33" customWidth="1"/>
    <col min="539" max="539" width="12.140625" style="33" customWidth="1"/>
    <col min="540" max="770" width="9.140625" style="33"/>
    <col min="771" max="772" width="0" style="33" hidden="1" customWidth="1"/>
    <col min="773" max="773" width="29.42578125" style="33" customWidth="1"/>
    <col min="774" max="774" width="75.7109375" style="33" customWidth="1"/>
    <col min="775" max="775" width="0" style="33" hidden="1" customWidth="1"/>
    <col min="776" max="794" width="20.7109375" style="33" customWidth="1"/>
    <col min="795" max="795" width="12.140625" style="33" customWidth="1"/>
    <col min="796" max="1026" width="9.140625" style="33"/>
    <col min="1027" max="1028" width="0" style="33" hidden="1" customWidth="1"/>
    <col min="1029" max="1029" width="29.42578125" style="33" customWidth="1"/>
    <col min="1030" max="1030" width="75.7109375" style="33" customWidth="1"/>
    <col min="1031" max="1031" width="0" style="33" hidden="1" customWidth="1"/>
    <col min="1032" max="1050" width="20.7109375" style="33" customWidth="1"/>
    <col min="1051" max="1051" width="12.140625" style="33" customWidth="1"/>
    <col min="1052" max="1282" width="9.140625" style="33"/>
    <col min="1283" max="1284" width="0" style="33" hidden="1" customWidth="1"/>
    <col min="1285" max="1285" width="29.42578125" style="33" customWidth="1"/>
    <col min="1286" max="1286" width="75.7109375" style="33" customWidth="1"/>
    <col min="1287" max="1287" width="0" style="33" hidden="1" customWidth="1"/>
    <col min="1288" max="1306" width="20.7109375" style="33" customWidth="1"/>
    <col min="1307" max="1307" width="12.140625" style="33" customWidth="1"/>
    <col min="1308" max="1538" width="9.140625" style="33"/>
    <col min="1539" max="1540" width="0" style="33" hidden="1" customWidth="1"/>
    <col min="1541" max="1541" width="29.42578125" style="33" customWidth="1"/>
    <col min="1542" max="1542" width="75.7109375" style="33" customWidth="1"/>
    <col min="1543" max="1543" width="0" style="33" hidden="1" customWidth="1"/>
    <col min="1544" max="1562" width="20.7109375" style="33" customWidth="1"/>
    <col min="1563" max="1563" width="12.140625" style="33" customWidth="1"/>
    <col min="1564" max="1794" width="9.140625" style="33"/>
    <col min="1795" max="1796" width="0" style="33" hidden="1" customWidth="1"/>
    <col min="1797" max="1797" width="29.42578125" style="33" customWidth="1"/>
    <col min="1798" max="1798" width="75.7109375" style="33" customWidth="1"/>
    <col min="1799" max="1799" width="0" style="33" hidden="1" customWidth="1"/>
    <col min="1800" max="1818" width="20.7109375" style="33" customWidth="1"/>
    <col min="1819" max="1819" width="12.140625" style="33" customWidth="1"/>
    <col min="1820" max="2050" width="9.140625" style="33"/>
    <col min="2051" max="2052" width="0" style="33" hidden="1" customWidth="1"/>
    <col min="2053" max="2053" width="29.42578125" style="33" customWidth="1"/>
    <col min="2054" max="2054" width="75.7109375" style="33" customWidth="1"/>
    <col min="2055" max="2055" width="0" style="33" hidden="1" customWidth="1"/>
    <col min="2056" max="2074" width="20.7109375" style="33" customWidth="1"/>
    <col min="2075" max="2075" width="12.140625" style="33" customWidth="1"/>
    <col min="2076" max="2306" width="9.140625" style="33"/>
    <col min="2307" max="2308" width="0" style="33" hidden="1" customWidth="1"/>
    <col min="2309" max="2309" width="29.42578125" style="33" customWidth="1"/>
    <col min="2310" max="2310" width="75.7109375" style="33" customWidth="1"/>
    <col min="2311" max="2311" width="0" style="33" hidden="1" customWidth="1"/>
    <col min="2312" max="2330" width="20.7109375" style="33" customWidth="1"/>
    <col min="2331" max="2331" width="12.140625" style="33" customWidth="1"/>
    <col min="2332" max="2562" width="9.140625" style="33"/>
    <col min="2563" max="2564" width="0" style="33" hidden="1" customWidth="1"/>
    <col min="2565" max="2565" width="29.42578125" style="33" customWidth="1"/>
    <col min="2566" max="2566" width="75.7109375" style="33" customWidth="1"/>
    <col min="2567" max="2567" width="0" style="33" hidden="1" customWidth="1"/>
    <col min="2568" max="2586" width="20.7109375" style="33" customWidth="1"/>
    <col min="2587" max="2587" width="12.140625" style="33" customWidth="1"/>
    <col min="2588" max="2818" width="9.140625" style="33"/>
    <col min="2819" max="2820" width="0" style="33" hidden="1" customWidth="1"/>
    <col min="2821" max="2821" width="29.42578125" style="33" customWidth="1"/>
    <col min="2822" max="2822" width="75.7109375" style="33" customWidth="1"/>
    <col min="2823" max="2823" width="0" style="33" hidden="1" customWidth="1"/>
    <col min="2824" max="2842" width="20.7109375" style="33" customWidth="1"/>
    <col min="2843" max="2843" width="12.140625" style="33" customWidth="1"/>
    <col min="2844" max="3074" width="9.140625" style="33"/>
    <col min="3075" max="3076" width="0" style="33" hidden="1" customWidth="1"/>
    <col min="3077" max="3077" width="29.42578125" style="33" customWidth="1"/>
    <col min="3078" max="3078" width="75.7109375" style="33" customWidth="1"/>
    <col min="3079" max="3079" width="0" style="33" hidden="1" customWidth="1"/>
    <col min="3080" max="3098" width="20.7109375" style="33" customWidth="1"/>
    <col min="3099" max="3099" width="12.140625" style="33" customWidth="1"/>
    <col min="3100" max="3330" width="9.140625" style="33"/>
    <col min="3331" max="3332" width="0" style="33" hidden="1" customWidth="1"/>
    <col min="3333" max="3333" width="29.42578125" style="33" customWidth="1"/>
    <col min="3334" max="3334" width="75.7109375" style="33" customWidth="1"/>
    <col min="3335" max="3335" width="0" style="33" hidden="1" customWidth="1"/>
    <col min="3336" max="3354" width="20.7109375" style="33" customWidth="1"/>
    <col min="3355" max="3355" width="12.140625" style="33" customWidth="1"/>
    <col min="3356" max="3586" width="9.140625" style="33"/>
    <col min="3587" max="3588" width="0" style="33" hidden="1" customWidth="1"/>
    <col min="3589" max="3589" width="29.42578125" style="33" customWidth="1"/>
    <col min="3590" max="3590" width="75.7109375" style="33" customWidth="1"/>
    <col min="3591" max="3591" width="0" style="33" hidden="1" customWidth="1"/>
    <col min="3592" max="3610" width="20.7109375" style="33" customWidth="1"/>
    <col min="3611" max="3611" width="12.140625" style="33" customWidth="1"/>
    <col min="3612" max="3842" width="9.140625" style="33"/>
    <col min="3843" max="3844" width="0" style="33" hidden="1" customWidth="1"/>
    <col min="3845" max="3845" width="29.42578125" style="33" customWidth="1"/>
    <col min="3846" max="3846" width="75.7109375" style="33" customWidth="1"/>
    <col min="3847" max="3847" width="0" style="33" hidden="1" customWidth="1"/>
    <col min="3848" max="3866" width="20.7109375" style="33" customWidth="1"/>
    <col min="3867" max="3867" width="12.140625" style="33" customWidth="1"/>
    <col min="3868" max="4098" width="9.140625" style="33"/>
    <col min="4099" max="4100" width="0" style="33" hidden="1" customWidth="1"/>
    <col min="4101" max="4101" width="29.42578125" style="33" customWidth="1"/>
    <col min="4102" max="4102" width="75.7109375" style="33" customWidth="1"/>
    <col min="4103" max="4103" width="0" style="33" hidden="1" customWidth="1"/>
    <col min="4104" max="4122" width="20.7109375" style="33" customWidth="1"/>
    <col min="4123" max="4123" width="12.140625" style="33" customWidth="1"/>
    <col min="4124" max="4354" width="9.140625" style="33"/>
    <col min="4355" max="4356" width="0" style="33" hidden="1" customWidth="1"/>
    <col min="4357" max="4357" width="29.42578125" style="33" customWidth="1"/>
    <col min="4358" max="4358" width="75.7109375" style="33" customWidth="1"/>
    <col min="4359" max="4359" width="0" style="33" hidden="1" customWidth="1"/>
    <col min="4360" max="4378" width="20.7109375" style="33" customWidth="1"/>
    <col min="4379" max="4379" width="12.140625" style="33" customWidth="1"/>
    <col min="4380" max="4610" width="9.140625" style="33"/>
    <col min="4611" max="4612" width="0" style="33" hidden="1" customWidth="1"/>
    <col min="4613" max="4613" width="29.42578125" style="33" customWidth="1"/>
    <col min="4614" max="4614" width="75.7109375" style="33" customWidth="1"/>
    <col min="4615" max="4615" width="0" style="33" hidden="1" customWidth="1"/>
    <col min="4616" max="4634" width="20.7109375" style="33" customWidth="1"/>
    <col min="4635" max="4635" width="12.140625" style="33" customWidth="1"/>
    <col min="4636" max="4866" width="9.140625" style="33"/>
    <col min="4867" max="4868" width="0" style="33" hidden="1" customWidth="1"/>
    <col min="4869" max="4869" width="29.42578125" style="33" customWidth="1"/>
    <col min="4870" max="4870" width="75.7109375" style="33" customWidth="1"/>
    <col min="4871" max="4871" width="0" style="33" hidden="1" customWidth="1"/>
    <col min="4872" max="4890" width="20.7109375" style="33" customWidth="1"/>
    <col min="4891" max="4891" width="12.140625" style="33" customWidth="1"/>
    <col min="4892" max="5122" width="9.140625" style="33"/>
    <col min="5123" max="5124" width="0" style="33" hidden="1" customWidth="1"/>
    <col min="5125" max="5125" width="29.42578125" style="33" customWidth="1"/>
    <col min="5126" max="5126" width="75.7109375" style="33" customWidth="1"/>
    <col min="5127" max="5127" width="0" style="33" hidden="1" customWidth="1"/>
    <col min="5128" max="5146" width="20.7109375" style="33" customWidth="1"/>
    <col min="5147" max="5147" width="12.140625" style="33" customWidth="1"/>
    <col min="5148" max="5378" width="9.140625" style="33"/>
    <col min="5379" max="5380" width="0" style="33" hidden="1" customWidth="1"/>
    <col min="5381" max="5381" width="29.42578125" style="33" customWidth="1"/>
    <col min="5382" max="5382" width="75.7109375" style="33" customWidth="1"/>
    <col min="5383" max="5383" width="0" style="33" hidden="1" customWidth="1"/>
    <col min="5384" max="5402" width="20.7109375" style="33" customWidth="1"/>
    <col min="5403" max="5403" width="12.140625" style="33" customWidth="1"/>
    <col min="5404" max="5634" width="9.140625" style="33"/>
    <col min="5635" max="5636" width="0" style="33" hidden="1" customWidth="1"/>
    <col min="5637" max="5637" width="29.42578125" style="33" customWidth="1"/>
    <col min="5638" max="5638" width="75.7109375" style="33" customWidth="1"/>
    <col min="5639" max="5639" width="0" style="33" hidden="1" customWidth="1"/>
    <col min="5640" max="5658" width="20.7109375" style="33" customWidth="1"/>
    <col min="5659" max="5659" width="12.140625" style="33" customWidth="1"/>
    <col min="5660" max="5890" width="9.140625" style="33"/>
    <col min="5891" max="5892" width="0" style="33" hidden="1" customWidth="1"/>
    <col min="5893" max="5893" width="29.42578125" style="33" customWidth="1"/>
    <col min="5894" max="5894" width="75.7109375" style="33" customWidth="1"/>
    <col min="5895" max="5895" width="0" style="33" hidden="1" customWidth="1"/>
    <col min="5896" max="5914" width="20.7109375" style="33" customWidth="1"/>
    <col min="5915" max="5915" width="12.140625" style="33" customWidth="1"/>
    <col min="5916" max="6146" width="9.140625" style="33"/>
    <col min="6147" max="6148" width="0" style="33" hidden="1" customWidth="1"/>
    <col min="6149" max="6149" width="29.42578125" style="33" customWidth="1"/>
    <col min="6150" max="6150" width="75.7109375" style="33" customWidth="1"/>
    <col min="6151" max="6151" width="0" style="33" hidden="1" customWidth="1"/>
    <col min="6152" max="6170" width="20.7109375" style="33" customWidth="1"/>
    <col min="6171" max="6171" width="12.140625" style="33" customWidth="1"/>
    <col min="6172" max="6402" width="9.140625" style="33"/>
    <col min="6403" max="6404" width="0" style="33" hidden="1" customWidth="1"/>
    <col min="6405" max="6405" width="29.42578125" style="33" customWidth="1"/>
    <col min="6406" max="6406" width="75.7109375" style="33" customWidth="1"/>
    <col min="6407" max="6407" width="0" style="33" hidden="1" customWidth="1"/>
    <col min="6408" max="6426" width="20.7109375" style="33" customWidth="1"/>
    <col min="6427" max="6427" width="12.140625" style="33" customWidth="1"/>
    <col min="6428" max="6658" width="9.140625" style="33"/>
    <col min="6659" max="6660" width="0" style="33" hidden="1" customWidth="1"/>
    <col min="6661" max="6661" width="29.42578125" style="33" customWidth="1"/>
    <col min="6662" max="6662" width="75.7109375" style="33" customWidth="1"/>
    <col min="6663" max="6663" width="0" style="33" hidden="1" customWidth="1"/>
    <col min="6664" max="6682" width="20.7109375" style="33" customWidth="1"/>
    <col min="6683" max="6683" width="12.140625" style="33" customWidth="1"/>
    <col min="6684" max="6914" width="9.140625" style="33"/>
    <col min="6915" max="6916" width="0" style="33" hidden="1" customWidth="1"/>
    <col min="6917" max="6917" width="29.42578125" style="33" customWidth="1"/>
    <col min="6918" max="6918" width="75.7109375" style="33" customWidth="1"/>
    <col min="6919" max="6919" width="0" style="33" hidden="1" customWidth="1"/>
    <col min="6920" max="6938" width="20.7109375" style="33" customWidth="1"/>
    <col min="6939" max="6939" width="12.140625" style="33" customWidth="1"/>
    <col min="6940" max="7170" width="9.140625" style="33"/>
    <col min="7171" max="7172" width="0" style="33" hidden="1" customWidth="1"/>
    <col min="7173" max="7173" width="29.42578125" style="33" customWidth="1"/>
    <col min="7174" max="7174" width="75.7109375" style="33" customWidth="1"/>
    <col min="7175" max="7175" width="0" style="33" hidden="1" customWidth="1"/>
    <col min="7176" max="7194" width="20.7109375" style="33" customWidth="1"/>
    <col min="7195" max="7195" width="12.140625" style="33" customWidth="1"/>
    <col min="7196" max="7426" width="9.140625" style="33"/>
    <col min="7427" max="7428" width="0" style="33" hidden="1" customWidth="1"/>
    <col min="7429" max="7429" width="29.42578125" style="33" customWidth="1"/>
    <col min="7430" max="7430" width="75.7109375" style="33" customWidth="1"/>
    <col min="7431" max="7431" width="0" style="33" hidden="1" customWidth="1"/>
    <col min="7432" max="7450" width="20.7109375" style="33" customWidth="1"/>
    <col min="7451" max="7451" width="12.140625" style="33" customWidth="1"/>
    <col min="7452" max="7682" width="9.140625" style="33"/>
    <col min="7683" max="7684" width="0" style="33" hidden="1" customWidth="1"/>
    <col min="7685" max="7685" width="29.42578125" style="33" customWidth="1"/>
    <col min="7686" max="7686" width="75.7109375" style="33" customWidth="1"/>
    <col min="7687" max="7687" width="0" style="33" hidden="1" customWidth="1"/>
    <col min="7688" max="7706" width="20.7109375" style="33" customWidth="1"/>
    <col min="7707" max="7707" width="12.140625" style="33" customWidth="1"/>
    <col min="7708" max="7938" width="9.140625" style="33"/>
    <col min="7939" max="7940" width="0" style="33" hidden="1" customWidth="1"/>
    <col min="7941" max="7941" width="29.42578125" style="33" customWidth="1"/>
    <col min="7942" max="7942" width="75.7109375" style="33" customWidth="1"/>
    <col min="7943" max="7943" width="0" style="33" hidden="1" customWidth="1"/>
    <col min="7944" max="7962" width="20.7109375" style="33" customWidth="1"/>
    <col min="7963" max="7963" width="12.140625" style="33" customWidth="1"/>
    <col min="7964" max="8194" width="9.140625" style="33"/>
    <col min="8195" max="8196" width="0" style="33" hidden="1" customWidth="1"/>
    <col min="8197" max="8197" width="29.42578125" style="33" customWidth="1"/>
    <col min="8198" max="8198" width="75.7109375" style="33" customWidth="1"/>
    <col min="8199" max="8199" width="0" style="33" hidden="1" customWidth="1"/>
    <col min="8200" max="8218" width="20.7109375" style="33" customWidth="1"/>
    <col min="8219" max="8219" width="12.140625" style="33" customWidth="1"/>
    <col min="8220" max="8450" width="9.140625" style="33"/>
    <col min="8451" max="8452" width="0" style="33" hidden="1" customWidth="1"/>
    <col min="8453" max="8453" width="29.42578125" style="33" customWidth="1"/>
    <col min="8454" max="8454" width="75.7109375" style="33" customWidth="1"/>
    <col min="8455" max="8455" width="0" style="33" hidden="1" customWidth="1"/>
    <col min="8456" max="8474" width="20.7109375" style="33" customWidth="1"/>
    <col min="8475" max="8475" width="12.140625" style="33" customWidth="1"/>
    <col min="8476" max="8706" width="9.140625" style="33"/>
    <col min="8707" max="8708" width="0" style="33" hidden="1" customWidth="1"/>
    <col min="8709" max="8709" width="29.42578125" style="33" customWidth="1"/>
    <col min="8710" max="8710" width="75.7109375" style="33" customWidth="1"/>
    <col min="8711" max="8711" width="0" style="33" hidden="1" customWidth="1"/>
    <col min="8712" max="8730" width="20.7109375" style="33" customWidth="1"/>
    <col min="8731" max="8731" width="12.140625" style="33" customWidth="1"/>
    <col min="8732" max="8962" width="9.140625" style="33"/>
    <col min="8963" max="8964" width="0" style="33" hidden="1" customWidth="1"/>
    <col min="8965" max="8965" width="29.42578125" style="33" customWidth="1"/>
    <col min="8966" max="8966" width="75.7109375" style="33" customWidth="1"/>
    <col min="8967" max="8967" width="0" style="33" hidden="1" customWidth="1"/>
    <col min="8968" max="8986" width="20.7109375" style="33" customWidth="1"/>
    <col min="8987" max="8987" width="12.140625" style="33" customWidth="1"/>
    <col min="8988" max="9218" width="9.140625" style="33"/>
    <col min="9219" max="9220" width="0" style="33" hidden="1" customWidth="1"/>
    <col min="9221" max="9221" width="29.42578125" style="33" customWidth="1"/>
    <col min="9222" max="9222" width="75.7109375" style="33" customWidth="1"/>
    <col min="9223" max="9223" width="0" style="33" hidden="1" customWidth="1"/>
    <col min="9224" max="9242" width="20.7109375" style="33" customWidth="1"/>
    <col min="9243" max="9243" width="12.140625" style="33" customWidth="1"/>
    <col min="9244" max="9474" width="9.140625" style="33"/>
    <col min="9475" max="9476" width="0" style="33" hidden="1" customWidth="1"/>
    <col min="9477" max="9477" width="29.42578125" style="33" customWidth="1"/>
    <col min="9478" max="9478" width="75.7109375" style="33" customWidth="1"/>
    <col min="9479" max="9479" width="0" style="33" hidden="1" customWidth="1"/>
    <col min="9480" max="9498" width="20.7109375" style="33" customWidth="1"/>
    <col min="9499" max="9499" width="12.140625" style="33" customWidth="1"/>
    <col min="9500" max="9730" width="9.140625" style="33"/>
    <col min="9731" max="9732" width="0" style="33" hidden="1" customWidth="1"/>
    <col min="9733" max="9733" width="29.42578125" style="33" customWidth="1"/>
    <col min="9734" max="9734" width="75.7109375" style="33" customWidth="1"/>
    <col min="9735" max="9735" width="0" style="33" hidden="1" customWidth="1"/>
    <col min="9736" max="9754" width="20.7109375" style="33" customWidth="1"/>
    <col min="9755" max="9755" width="12.140625" style="33" customWidth="1"/>
    <col min="9756" max="9986" width="9.140625" style="33"/>
    <col min="9987" max="9988" width="0" style="33" hidden="1" customWidth="1"/>
    <col min="9989" max="9989" width="29.42578125" style="33" customWidth="1"/>
    <col min="9990" max="9990" width="75.7109375" style="33" customWidth="1"/>
    <col min="9991" max="9991" width="0" style="33" hidden="1" customWidth="1"/>
    <col min="9992" max="10010" width="20.7109375" style="33" customWidth="1"/>
    <col min="10011" max="10011" width="12.140625" style="33" customWidth="1"/>
    <col min="10012" max="10242" width="9.140625" style="33"/>
    <col min="10243" max="10244" width="0" style="33" hidden="1" customWidth="1"/>
    <col min="10245" max="10245" width="29.42578125" style="33" customWidth="1"/>
    <col min="10246" max="10246" width="75.7109375" style="33" customWidth="1"/>
    <col min="10247" max="10247" width="0" style="33" hidden="1" customWidth="1"/>
    <col min="10248" max="10266" width="20.7109375" style="33" customWidth="1"/>
    <col min="10267" max="10267" width="12.140625" style="33" customWidth="1"/>
    <col min="10268" max="10498" width="9.140625" style="33"/>
    <col min="10499" max="10500" width="0" style="33" hidden="1" customWidth="1"/>
    <col min="10501" max="10501" width="29.42578125" style="33" customWidth="1"/>
    <col min="10502" max="10502" width="75.7109375" style="33" customWidth="1"/>
    <col min="10503" max="10503" width="0" style="33" hidden="1" customWidth="1"/>
    <col min="10504" max="10522" width="20.7109375" style="33" customWidth="1"/>
    <col min="10523" max="10523" width="12.140625" style="33" customWidth="1"/>
    <col min="10524" max="10754" width="9.140625" style="33"/>
    <col min="10755" max="10756" width="0" style="33" hidden="1" customWidth="1"/>
    <col min="10757" max="10757" width="29.42578125" style="33" customWidth="1"/>
    <col min="10758" max="10758" width="75.7109375" style="33" customWidth="1"/>
    <col min="10759" max="10759" width="0" style="33" hidden="1" customWidth="1"/>
    <col min="10760" max="10778" width="20.7109375" style="33" customWidth="1"/>
    <col min="10779" max="10779" width="12.140625" style="33" customWidth="1"/>
    <col min="10780" max="11010" width="9.140625" style="33"/>
    <col min="11011" max="11012" width="0" style="33" hidden="1" customWidth="1"/>
    <col min="11013" max="11013" width="29.42578125" style="33" customWidth="1"/>
    <col min="11014" max="11014" width="75.7109375" style="33" customWidth="1"/>
    <col min="11015" max="11015" width="0" style="33" hidden="1" customWidth="1"/>
    <col min="11016" max="11034" width="20.7109375" style="33" customWidth="1"/>
    <col min="11035" max="11035" width="12.140625" style="33" customWidth="1"/>
    <col min="11036" max="11266" width="9.140625" style="33"/>
    <col min="11267" max="11268" width="0" style="33" hidden="1" customWidth="1"/>
    <col min="11269" max="11269" width="29.42578125" style="33" customWidth="1"/>
    <col min="11270" max="11270" width="75.7109375" style="33" customWidth="1"/>
    <col min="11271" max="11271" width="0" style="33" hidden="1" customWidth="1"/>
    <col min="11272" max="11290" width="20.7109375" style="33" customWidth="1"/>
    <col min="11291" max="11291" width="12.140625" style="33" customWidth="1"/>
    <col min="11292" max="11522" width="9.140625" style="33"/>
    <col min="11523" max="11524" width="0" style="33" hidden="1" customWidth="1"/>
    <col min="11525" max="11525" width="29.42578125" style="33" customWidth="1"/>
    <col min="11526" max="11526" width="75.7109375" style="33" customWidth="1"/>
    <col min="11527" max="11527" width="0" style="33" hidden="1" customWidth="1"/>
    <col min="11528" max="11546" width="20.7109375" style="33" customWidth="1"/>
    <col min="11547" max="11547" width="12.140625" style="33" customWidth="1"/>
    <col min="11548" max="11778" width="9.140625" style="33"/>
    <col min="11779" max="11780" width="0" style="33" hidden="1" customWidth="1"/>
    <col min="11781" max="11781" width="29.42578125" style="33" customWidth="1"/>
    <col min="11782" max="11782" width="75.7109375" style="33" customWidth="1"/>
    <col min="11783" max="11783" width="0" style="33" hidden="1" customWidth="1"/>
    <col min="11784" max="11802" width="20.7109375" style="33" customWidth="1"/>
    <col min="11803" max="11803" width="12.140625" style="33" customWidth="1"/>
    <col min="11804" max="12034" width="9.140625" style="33"/>
    <col min="12035" max="12036" width="0" style="33" hidden="1" customWidth="1"/>
    <col min="12037" max="12037" width="29.42578125" style="33" customWidth="1"/>
    <col min="12038" max="12038" width="75.7109375" style="33" customWidth="1"/>
    <col min="12039" max="12039" width="0" style="33" hidden="1" customWidth="1"/>
    <col min="12040" max="12058" width="20.7109375" style="33" customWidth="1"/>
    <col min="12059" max="12059" width="12.140625" style="33" customWidth="1"/>
    <col min="12060" max="12290" width="9.140625" style="33"/>
    <col min="12291" max="12292" width="0" style="33" hidden="1" customWidth="1"/>
    <col min="12293" max="12293" width="29.42578125" style="33" customWidth="1"/>
    <col min="12294" max="12294" width="75.7109375" style="33" customWidth="1"/>
    <col min="12295" max="12295" width="0" style="33" hidden="1" customWidth="1"/>
    <col min="12296" max="12314" width="20.7109375" style="33" customWidth="1"/>
    <col min="12315" max="12315" width="12.140625" style="33" customWidth="1"/>
    <col min="12316" max="12546" width="9.140625" style="33"/>
    <col min="12547" max="12548" width="0" style="33" hidden="1" customWidth="1"/>
    <col min="12549" max="12549" width="29.42578125" style="33" customWidth="1"/>
    <col min="12550" max="12550" width="75.7109375" style="33" customWidth="1"/>
    <col min="12551" max="12551" width="0" style="33" hidden="1" customWidth="1"/>
    <col min="12552" max="12570" width="20.7109375" style="33" customWidth="1"/>
    <col min="12571" max="12571" width="12.140625" style="33" customWidth="1"/>
    <col min="12572" max="12802" width="9.140625" style="33"/>
    <col min="12803" max="12804" width="0" style="33" hidden="1" customWidth="1"/>
    <col min="12805" max="12805" width="29.42578125" style="33" customWidth="1"/>
    <col min="12806" max="12806" width="75.7109375" style="33" customWidth="1"/>
    <col min="12807" max="12807" width="0" style="33" hidden="1" customWidth="1"/>
    <col min="12808" max="12826" width="20.7109375" style="33" customWidth="1"/>
    <col min="12827" max="12827" width="12.140625" style="33" customWidth="1"/>
    <col min="12828" max="13058" width="9.140625" style="33"/>
    <col min="13059" max="13060" width="0" style="33" hidden="1" customWidth="1"/>
    <col min="13061" max="13061" width="29.42578125" style="33" customWidth="1"/>
    <col min="13062" max="13062" width="75.7109375" style="33" customWidth="1"/>
    <col min="13063" max="13063" width="0" style="33" hidden="1" customWidth="1"/>
    <col min="13064" max="13082" width="20.7109375" style="33" customWidth="1"/>
    <col min="13083" max="13083" width="12.140625" style="33" customWidth="1"/>
    <col min="13084" max="13314" width="9.140625" style="33"/>
    <col min="13315" max="13316" width="0" style="33" hidden="1" customWidth="1"/>
    <col min="13317" max="13317" width="29.42578125" style="33" customWidth="1"/>
    <col min="13318" max="13318" width="75.7109375" style="33" customWidth="1"/>
    <col min="13319" max="13319" width="0" style="33" hidden="1" customWidth="1"/>
    <col min="13320" max="13338" width="20.7109375" style="33" customWidth="1"/>
    <col min="13339" max="13339" width="12.140625" style="33" customWidth="1"/>
    <col min="13340" max="13570" width="9.140625" style="33"/>
    <col min="13571" max="13572" width="0" style="33" hidden="1" customWidth="1"/>
    <col min="13573" max="13573" width="29.42578125" style="33" customWidth="1"/>
    <col min="13574" max="13574" width="75.7109375" style="33" customWidth="1"/>
    <col min="13575" max="13575" width="0" style="33" hidden="1" customWidth="1"/>
    <col min="13576" max="13594" width="20.7109375" style="33" customWidth="1"/>
    <col min="13595" max="13595" width="12.140625" style="33" customWidth="1"/>
    <col min="13596" max="13826" width="9.140625" style="33"/>
    <col min="13827" max="13828" width="0" style="33" hidden="1" customWidth="1"/>
    <col min="13829" max="13829" width="29.42578125" style="33" customWidth="1"/>
    <col min="13830" max="13830" width="75.7109375" style="33" customWidth="1"/>
    <col min="13831" max="13831" width="0" style="33" hidden="1" customWidth="1"/>
    <col min="13832" max="13850" width="20.7109375" style="33" customWidth="1"/>
    <col min="13851" max="13851" width="12.140625" style="33" customWidth="1"/>
    <col min="13852" max="14082" width="9.140625" style="33"/>
    <col min="14083" max="14084" width="0" style="33" hidden="1" customWidth="1"/>
    <col min="14085" max="14085" width="29.42578125" style="33" customWidth="1"/>
    <col min="14086" max="14086" width="75.7109375" style="33" customWidth="1"/>
    <col min="14087" max="14087" width="0" style="33" hidden="1" customWidth="1"/>
    <col min="14088" max="14106" width="20.7109375" style="33" customWidth="1"/>
    <col min="14107" max="14107" width="12.140625" style="33" customWidth="1"/>
    <col min="14108" max="14338" width="9.140625" style="33"/>
    <col min="14339" max="14340" width="0" style="33" hidden="1" customWidth="1"/>
    <col min="14341" max="14341" width="29.42578125" style="33" customWidth="1"/>
    <col min="14342" max="14342" width="75.7109375" style="33" customWidth="1"/>
    <col min="14343" max="14343" width="0" style="33" hidden="1" customWidth="1"/>
    <col min="14344" max="14362" width="20.7109375" style="33" customWidth="1"/>
    <col min="14363" max="14363" width="12.140625" style="33" customWidth="1"/>
    <col min="14364" max="14594" width="9.140625" style="33"/>
    <col min="14595" max="14596" width="0" style="33" hidden="1" customWidth="1"/>
    <col min="14597" max="14597" width="29.42578125" style="33" customWidth="1"/>
    <col min="14598" max="14598" width="75.7109375" style="33" customWidth="1"/>
    <col min="14599" max="14599" width="0" style="33" hidden="1" customWidth="1"/>
    <col min="14600" max="14618" width="20.7109375" style="33" customWidth="1"/>
    <col min="14619" max="14619" width="12.140625" style="33" customWidth="1"/>
    <col min="14620" max="14850" width="9.140625" style="33"/>
    <col min="14851" max="14852" width="0" style="33" hidden="1" customWidth="1"/>
    <col min="14853" max="14853" width="29.42578125" style="33" customWidth="1"/>
    <col min="14854" max="14854" width="75.7109375" style="33" customWidth="1"/>
    <col min="14855" max="14855" width="0" style="33" hidden="1" customWidth="1"/>
    <col min="14856" max="14874" width="20.7109375" style="33" customWidth="1"/>
    <col min="14875" max="14875" width="12.140625" style="33" customWidth="1"/>
    <col min="14876" max="15106" width="9.140625" style="33"/>
    <col min="15107" max="15108" width="0" style="33" hidden="1" customWidth="1"/>
    <col min="15109" max="15109" width="29.42578125" style="33" customWidth="1"/>
    <col min="15110" max="15110" width="75.7109375" style="33" customWidth="1"/>
    <col min="15111" max="15111" width="0" style="33" hidden="1" customWidth="1"/>
    <col min="15112" max="15130" width="20.7109375" style="33" customWidth="1"/>
    <col min="15131" max="15131" width="12.140625" style="33" customWidth="1"/>
    <col min="15132" max="15362" width="9.140625" style="33"/>
    <col min="15363" max="15364" width="0" style="33" hidden="1" customWidth="1"/>
    <col min="15365" max="15365" width="29.42578125" style="33" customWidth="1"/>
    <col min="15366" max="15366" width="75.7109375" style="33" customWidth="1"/>
    <col min="15367" max="15367" width="0" style="33" hidden="1" customWidth="1"/>
    <col min="15368" max="15386" width="20.7109375" style="33" customWidth="1"/>
    <col min="15387" max="15387" width="12.140625" style="33" customWidth="1"/>
    <col min="15388" max="15618" width="9.140625" style="33"/>
    <col min="15619" max="15620" width="0" style="33" hidden="1" customWidth="1"/>
    <col min="15621" max="15621" width="29.42578125" style="33" customWidth="1"/>
    <col min="15622" max="15622" width="75.7109375" style="33" customWidth="1"/>
    <col min="15623" max="15623" width="0" style="33" hidden="1" customWidth="1"/>
    <col min="15624" max="15642" width="20.7109375" style="33" customWidth="1"/>
    <col min="15643" max="15643" width="12.140625" style="33" customWidth="1"/>
    <col min="15644" max="15874" width="9.140625" style="33"/>
    <col min="15875" max="15876" width="0" style="33" hidden="1" customWidth="1"/>
    <col min="15877" max="15877" width="29.42578125" style="33" customWidth="1"/>
    <col min="15878" max="15878" width="75.7109375" style="33" customWidth="1"/>
    <col min="15879" max="15879" width="0" style="33" hidden="1" customWidth="1"/>
    <col min="15880" max="15898" width="20.7109375" style="33" customWidth="1"/>
    <col min="15899" max="15899" width="12.140625" style="33" customWidth="1"/>
    <col min="15900" max="16130" width="9.140625" style="33"/>
    <col min="16131" max="16132" width="0" style="33" hidden="1" customWidth="1"/>
    <col min="16133" max="16133" width="29.42578125" style="33" customWidth="1"/>
    <col min="16134" max="16134" width="75.7109375" style="33" customWidth="1"/>
    <col min="16135" max="16135" width="0" style="33" hidden="1" customWidth="1"/>
    <col min="16136" max="16154" width="20.7109375" style="33" customWidth="1"/>
    <col min="16155" max="16155" width="12.140625" style="33" customWidth="1"/>
    <col min="16156" max="16384" width="9.140625" style="33"/>
  </cols>
  <sheetData>
    <row r="1" spans="1:27" s="1" customFormat="1" x14ac:dyDescent="0.2">
      <c r="D1" s="2"/>
      <c r="E1" s="3"/>
    </row>
    <row r="2" spans="1:27" s="4" customFormat="1" ht="20.25" x14ac:dyDescent="0.3">
      <c r="A2" s="339" t="s">
        <v>0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</row>
    <row r="3" spans="1:27" s="4" customFormat="1" ht="20.25" x14ac:dyDescent="0.3">
      <c r="A3" s="339" t="s">
        <v>1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</row>
    <row r="4" spans="1:27" s="4" customFormat="1" ht="20.25" x14ac:dyDescent="0.3">
      <c r="A4" s="339" t="s">
        <v>915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</row>
    <row r="5" spans="1:27" s="4" customFormat="1" ht="20.25" x14ac:dyDescent="0.3">
      <c r="A5" s="339" t="s">
        <v>906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39"/>
      <c r="Z5" s="339"/>
    </row>
    <row r="6" spans="1:27" s="4" customFormat="1" ht="16.5" customHeight="1" x14ac:dyDescent="0.3">
      <c r="A6" s="105"/>
      <c r="B6" s="105"/>
      <c r="C6" s="105"/>
      <c r="D6" s="6"/>
      <c r="E6" s="7"/>
      <c r="F6" s="105"/>
      <c r="G6" s="105"/>
      <c r="H6" s="8"/>
      <c r="I6" s="105"/>
      <c r="J6" s="105"/>
      <c r="K6" s="105"/>
      <c r="L6" s="105"/>
      <c r="M6" s="8"/>
      <c r="N6" s="105"/>
      <c r="O6" s="8"/>
      <c r="P6" s="8"/>
      <c r="Q6" s="8"/>
      <c r="R6" s="8"/>
      <c r="S6" s="8"/>
      <c r="T6" s="105"/>
      <c r="U6" s="8"/>
      <c r="V6" s="8"/>
      <c r="W6" s="8"/>
      <c r="X6" s="8"/>
      <c r="Y6" s="8"/>
      <c r="Z6" s="105"/>
    </row>
    <row r="7" spans="1:27" s="4" customFormat="1" ht="16.5" customHeight="1" x14ac:dyDescent="0.2">
      <c r="A7" s="340" t="s">
        <v>3</v>
      </c>
      <c r="B7" s="341" t="s">
        <v>4</v>
      </c>
      <c r="C7" s="106"/>
      <c r="D7" s="342" t="s">
        <v>5</v>
      </c>
      <c r="E7" s="337" t="s">
        <v>6</v>
      </c>
      <c r="F7" s="337" t="s">
        <v>7</v>
      </c>
      <c r="G7" s="342" t="s">
        <v>8</v>
      </c>
      <c r="H7" s="342" t="s">
        <v>9</v>
      </c>
      <c r="I7" s="337" t="s">
        <v>10</v>
      </c>
      <c r="J7" s="337" t="s">
        <v>11</v>
      </c>
      <c r="K7" s="337" t="s">
        <v>12</v>
      </c>
      <c r="L7" s="337" t="s">
        <v>13</v>
      </c>
      <c r="M7" s="337" t="s">
        <v>14</v>
      </c>
      <c r="N7" s="338" t="s">
        <v>15</v>
      </c>
      <c r="O7" s="338"/>
      <c r="P7" s="338"/>
      <c r="Q7" s="338" t="s">
        <v>16</v>
      </c>
      <c r="R7" s="338"/>
      <c r="S7" s="338"/>
      <c r="T7" s="338" t="s">
        <v>17</v>
      </c>
      <c r="U7" s="338"/>
      <c r="V7" s="338"/>
      <c r="W7" s="104"/>
      <c r="X7" s="337" t="s">
        <v>18</v>
      </c>
      <c r="Y7" s="337" t="s">
        <v>19</v>
      </c>
      <c r="Z7" s="337" t="s">
        <v>20</v>
      </c>
      <c r="AA7" s="337" t="s">
        <v>21</v>
      </c>
    </row>
    <row r="8" spans="1:27" s="4" customFormat="1" ht="30" customHeight="1" x14ac:dyDescent="0.2">
      <c r="A8" s="340"/>
      <c r="B8" s="341"/>
      <c r="C8" s="106"/>
      <c r="D8" s="342"/>
      <c r="E8" s="337"/>
      <c r="F8" s="337"/>
      <c r="G8" s="342"/>
      <c r="H8" s="342"/>
      <c r="I8" s="337"/>
      <c r="J8" s="337"/>
      <c r="K8" s="337"/>
      <c r="L8" s="337"/>
      <c r="M8" s="337"/>
      <c r="N8" s="103" t="s">
        <v>22</v>
      </c>
      <c r="O8" s="103" t="s">
        <v>23</v>
      </c>
      <c r="P8" s="103" t="s">
        <v>24</v>
      </c>
      <c r="Q8" s="103" t="s">
        <v>25</v>
      </c>
      <c r="R8" s="103" t="s">
        <v>26</v>
      </c>
      <c r="S8" s="103" t="s">
        <v>27</v>
      </c>
      <c r="T8" s="103" t="s">
        <v>28</v>
      </c>
      <c r="U8" s="103" t="s">
        <v>29</v>
      </c>
      <c r="V8" s="103" t="s">
        <v>30</v>
      </c>
      <c r="W8" s="103" t="s">
        <v>31</v>
      </c>
      <c r="X8" s="337"/>
      <c r="Y8" s="337"/>
      <c r="Z8" s="337"/>
      <c r="AA8" s="337"/>
    </row>
    <row r="9" spans="1:27" s="4" customFormat="1" ht="18" customHeight="1" x14ac:dyDescent="0.2">
      <c r="A9" s="340"/>
      <c r="B9" s="341"/>
      <c r="C9" s="106"/>
      <c r="D9" s="342"/>
      <c r="E9" s="337"/>
      <c r="F9" s="337"/>
      <c r="G9" s="104">
        <v>1</v>
      </c>
      <c r="H9" s="11"/>
      <c r="I9" s="12"/>
      <c r="J9" s="12"/>
      <c r="K9" s="12"/>
      <c r="L9" s="103">
        <v>2</v>
      </c>
      <c r="M9" s="104" t="s">
        <v>32</v>
      </c>
      <c r="N9" s="104"/>
      <c r="O9" s="104"/>
      <c r="P9" s="104">
        <v>5</v>
      </c>
      <c r="Q9" s="104"/>
      <c r="R9" s="104"/>
      <c r="S9" s="104">
        <v>7</v>
      </c>
      <c r="T9" s="104"/>
      <c r="U9" s="104"/>
      <c r="V9" s="104">
        <v>9</v>
      </c>
      <c r="W9" s="104"/>
      <c r="X9" s="104" t="s">
        <v>33</v>
      </c>
      <c r="Y9" s="104" t="s">
        <v>34</v>
      </c>
      <c r="Z9" s="104" t="s">
        <v>35</v>
      </c>
      <c r="AA9" s="13" t="s">
        <v>36</v>
      </c>
    </row>
    <row r="10" spans="1:27" s="14" customFormat="1" x14ac:dyDescent="0.2">
      <c r="B10" s="15"/>
      <c r="C10" s="107" t="s">
        <v>907</v>
      </c>
      <c r="D10" s="16"/>
      <c r="E10" s="17"/>
      <c r="F10" s="17"/>
      <c r="G10" s="18"/>
      <c r="H10" s="18"/>
      <c r="I10" s="17"/>
      <c r="J10" s="18">
        <f>K11-J11</f>
        <v>0</v>
      </c>
      <c r="K10" s="18"/>
      <c r="L10" s="17"/>
      <c r="M10" s="18"/>
      <c r="N10" s="18"/>
      <c r="O10" s="17"/>
      <c r="P10" s="18"/>
      <c r="Q10" s="18"/>
      <c r="R10" s="17"/>
      <c r="S10" s="18"/>
      <c r="T10" s="18"/>
      <c r="U10" s="17"/>
      <c r="V10" s="18"/>
      <c r="W10" s="18"/>
      <c r="X10" s="18"/>
      <c r="Y10" s="17"/>
      <c r="Z10" s="18"/>
      <c r="AA10" s="18"/>
    </row>
    <row r="11" spans="1:27" s="25" customFormat="1" ht="18.75" customHeight="1" x14ac:dyDescent="0.2">
      <c r="A11" s="19" t="s">
        <v>37</v>
      </c>
      <c r="B11" s="19" t="s">
        <v>37</v>
      </c>
      <c r="C11" s="19" t="s">
        <v>907</v>
      </c>
      <c r="D11" s="20">
        <v>2</v>
      </c>
      <c r="E11" s="21" t="s">
        <v>38</v>
      </c>
      <c r="F11" s="22" t="s">
        <v>37</v>
      </c>
      <c r="G11" s="22">
        <f t="shared" ref="G11:V12" si="0">G12+G153+G179</f>
        <v>1017611726826</v>
      </c>
      <c r="H11" s="23">
        <f t="shared" si="0"/>
        <v>0</v>
      </c>
      <c r="I11" s="23">
        <f t="shared" si="0"/>
        <v>0</v>
      </c>
      <c r="J11" s="22">
        <f t="shared" si="0"/>
        <v>57490300399.950005</v>
      </c>
      <c r="K11" s="22">
        <f t="shared" si="0"/>
        <v>57490300399.950005</v>
      </c>
      <c r="L11" s="23">
        <f t="shared" si="0"/>
        <v>0</v>
      </c>
      <c r="M11" s="22">
        <f t="shared" si="0"/>
        <v>1017611726826</v>
      </c>
      <c r="N11" s="22">
        <f t="shared" si="0"/>
        <v>61369332</v>
      </c>
      <c r="O11" s="22">
        <f t="shared" si="0"/>
        <v>70743750355.470001</v>
      </c>
      <c r="P11" s="22">
        <f t="shared" si="0"/>
        <v>411960539335.72998</v>
      </c>
      <c r="Q11" s="22">
        <f t="shared" si="0"/>
        <v>367162900</v>
      </c>
      <c r="R11" s="22">
        <f t="shared" si="0"/>
        <v>81615812051.150009</v>
      </c>
      <c r="S11" s="22">
        <f t="shared" si="0"/>
        <v>195234569249.66</v>
      </c>
      <c r="T11" s="22">
        <f t="shared" si="0"/>
        <v>3382788586</v>
      </c>
      <c r="U11" s="22">
        <f t="shared" si="0"/>
        <v>57240369391.890007</v>
      </c>
      <c r="V11" s="22">
        <f t="shared" si="0"/>
        <v>93952459250.279999</v>
      </c>
      <c r="W11" s="22">
        <f>T11+V11</f>
        <v>97335247836.279999</v>
      </c>
      <c r="X11" s="22">
        <f>X12+X153+X179</f>
        <v>605651187490.27002</v>
      </c>
      <c r="Y11" s="22">
        <f>Y12+Y153+Y179</f>
        <v>216725970086.07001</v>
      </c>
      <c r="Z11" s="22">
        <f>Z12+Z153+Z179</f>
        <v>97899321413.380005</v>
      </c>
      <c r="AA11" s="24">
        <f>S11/M11</f>
        <v>0.1918556597795997</v>
      </c>
    </row>
    <row r="12" spans="1:27" s="25" customFormat="1" ht="18.75" customHeight="1" x14ac:dyDescent="0.2">
      <c r="A12" s="19" t="s">
        <v>37</v>
      </c>
      <c r="B12" s="19" t="s">
        <v>37</v>
      </c>
      <c r="C12" s="19" t="s">
        <v>907</v>
      </c>
      <c r="D12" s="26" t="s">
        <v>39</v>
      </c>
      <c r="E12" s="21" t="s">
        <v>40</v>
      </c>
      <c r="F12" s="22" t="s">
        <v>37</v>
      </c>
      <c r="G12" s="22">
        <f t="shared" ref="G12:V12" si="1">G13+G86+G99+G139</f>
        <v>180471642183</v>
      </c>
      <c r="H12" s="23">
        <f t="shared" si="1"/>
        <v>0</v>
      </c>
      <c r="I12" s="23">
        <f t="shared" si="1"/>
        <v>0</v>
      </c>
      <c r="J12" s="22">
        <f t="shared" si="1"/>
        <v>1580000000</v>
      </c>
      <c r="K12" s="22">
        <f t="shared" si="1"/>
        <v>1580000000</v>
      </c>
      <c r="L12" s="23">
        <f t="shared" si="0"/>
        <v>0</v>
      </c>
      <c r="M12" s="22">
        <f t="shared" si="1"/>
        <v>180471642183</v>
      </c>
      <c r="N12" s="22">
        <f t="shared" si="1"/>
        <v>61369332</v>
      </c>
      <c r="O12" s="22">
        <f t="shared" si="1"/>
        <v>8281844972.7299995</v>
      </c>
      <c r="P12" s="22">
        <f t="shared" si="1"/>
        <v>26956247659.82</v>
      </c>
      <c r="Q12" s="22">
        <f t="shared" si="1"/>
        <v>68312900</v>
      </c>
      <c r="R12" s="22">
        <f t="shared" si="1"/>
        <v>9165931815.7299995</v>
      </c>
      <c r="S12" s="22">
        <f t="shared" si="1"/>
        <v>23696734675.400002</v>
      </c>
      <c r="T12" s="22">
        <f t="shared" si="1"/>
        <v>2158070860</v>
      </c>
      <c r="U12" s="22">
        <f t="shared" si="1"/>
        <v>8506956621.7299995</v>
      </c>
      <c r="V12" s="22">
        <f t="shared" si="1"/>
        <v>11570996055.32</v>
      </c>
      <c r="W12" s="22">
        <f t="shared" ref="W12:W13" si="2">T12+V12</f>
        <v>13729066915.32</v>
      </c>
      <c r="X12" s="22">
        <f>X13+X86+X99+X139</f>
        <v>153515394523.17999</v>
      </c>
      <c r="Y12" s="22">
        <f>Y13+Y86+Y99+Y139</f>
        <v>3259512984.4200001</v>
      </c>
      <c r="Z12" s="22">
        <f>Z13+Z86+Z99+Z139</f>
        <v>9967667760.0799999</v>
      </c>
      <c r="AA12" s="24">
        <f t="shared" ref="AA12:AA13" si="3">S12/M12</f>
        <v>0.13130447747226281</v>
      </c>
    </row>
    <row r="13" spans="1:27" s="25" customFormat="1" ht="18.75" customHeight="1" x14ac:dyDescent="0.2">
      <c r="A13" s="19" t="s">
        <v>41</v>
      </c>
      <c r="B13" s="19" t="s">
        <v>42</v>
      </c>
      <c r="C13" s="19" t="s">
        <v>907</v>
      </c>
      <c r="D13" s="26" t="s">
        <v>43</v>
      </c>
      <c r="E13" s="21" t="s">
        <v>44</v>
      </c>
      <c r="F13" s="22" t="s">
        <v>37</v>
      </c>
      <c r="G13" s="22">
        <f>G14</f>
        <v>38718257195.5</v>
      </c>
      <c r="H13" s="23">
        <f t="shared" ref="H13:Z13" si="4">H14</f>
        <v>0</v>
      </c>
      <c r="I13" s="23">
        <f t="shared" si="4"/>
        <v>0</v>
      </c>
      <c r="J13" s="23">
        <f t="shared" si="4"/>
        <v>0</v>
      </c>
      <c r="K13" s="23">
        <f t="shared" si="4"/>
        <v>0</v>
      </c>
      <c r="L13" s="23">
        <f t="shared" si="4"/>
        <v>0</v>
      </c>
      <c r="M13" s="22">
        <f>M14</f>
        <v>38718257195.5</v>
      </c>
      <c r="N13" s="23">
        <f t="shared" si="4"/>
        <v>0</v>
      </c>
      <c r="O13" s="22">
        <f t="shared" si="4"/>
        <v>2872721376</v>
      </c>
      <c r="P13" s="22">
        <f t="shared" si="4"/>
        <v>5245689949</v>
      </c>
      <c r="Q13" s="23">
        <f t="shared" si="4"/>
        <v>0</v>
      </c>
      <c r="R13" s="22">
        <f t="shared" si="4"/>
        <v>2872721376</v>
      </c>
      <c r="S13" s="22">
        <f t="shared" si="4"/>
        <v>5245689949</v>
      </c>
      <c r="T13" s="108">
        <f t="shared" si="4"/>
        <v>34553800</v>
      </c>
      <c r="U13" s="22">
        <f t="shared" si="4"/>
        <v>3428984567</v>
      </c>
      <c r="V13" s="22">
        <f t="shared" si="4"/>
        <v>3478743301</v>
      </c>
      <c r="W13" s="22">
        <f t="shared" si="2"/>
        <v>3513297101</v>
      </c>
      <c r="X13" s="22">
        <f t="shared" si="4"/>
        <v>33472567246.5</v>
      </c>
      <c r="Y13" s="23">
        <f t="shared" si="4"/>
        <v>0</v>
      </c>
      <c r="Z13" s="22">
        <f t="shared" si="4"/>
        <v>1732392848</v>
      </c>
      <c r="AA13" s="24">
        <f t="shared" si="3"/>
        <v>0.13548362785321019</v>
      </c>
    </row>
    <row r="14" spans="1:27" ht="18.75" customHeight="1" x14ac:dyDescent="0.2">
      <c r="A14" s="27" t="s">
        <v>41</v>
      </c>
      <c r="B14" s="27" t="s">
        <v>42</v>
      </c>
      <c r="C14" s="19" t="s">
        <v>907</v>
      </c>
      <c r="D14" s="28" t="s">
        <v>45</v>
      </c>
      <c r="E14" s="29" t="s">
        <v>46</v>
      </c>
      <c r="F14" s="30" t="s">
        <v>37</v>
      </c>
      <c r="G14" s="30">
        <f>G15+G42+G70</f>
        <v>38718257195.5</v>
      </c>
      <c r="H14" s="31">
        <f t="shared" ref="H14:Z14" si="5">H15+H42+H70</f>
        <v>0</v>
      </c>
      <c r="I14" s="31">
        <f t="shared" si="5"/>
        <v>0</v>
      </c>
      <c r="J14" s="31">
        <f t="shared" si="5"/>
        <v>0</v>
      </c>
      <c r="K14" s="31">
        <f t="shared" si="5"/>
        <v>0</v>
      </c>
      <c r="L14" s="31">
        <f t="shared" si="5"/>
        <v>0</v>
      </c>
      <c r="M14" s="30">
        <f t="shared" si="5"/>
        <v>38718257195.5</v>
      </c>
      <c r="N14" s="31">
        <f t="shared" si="5"/>
        <v>0</v>
      </c>
      <c r="O14" s="30">
        <f t="shared" si="5"/>
        <v>2872721376</v>
      </c>
      <c r="P14" s="30">
        <f t="shared" si="5"/>
        <v>5245689949</v>
      </c>
      <c r="Q14" s="31">
        <f t="shared" si="5"/>
        <v>0</v>
      </c>
      <c r="R14" s="30">
        <f t="shared" si="5"/>
        <v>2872721376</v>
      </c>
      <c r="S14" s="30">
        <f t="shared" si="5"/>
        <v>5245689949</v>
      </c>
      <c r="T14" s="109">
        <f t="shared" si="5"/>
        <v>34553800</v>
      </c>
      <c r="U14" s="30">
        <f t="shared" si="5"/>
        <v>3428984567</v>
      </c>
      <c r="V14" s="30">
        <f t="shared" si="5"/>
        <v>3478743301</v>
      </c>
      <c r="W14" s="30">
        <f>T14+V14</f>
        <v>3513297101</v>
      </c>
      <c r="X14" s="30">
        <f t="shared" si="5"/>
        <v>33472567246.5</v>
      </c>
      <c r="Y14" s="31">
        <f t="shared" si="5"/>
        <v>0</v>
      </c>
      <c r="Z14" s="30">
        <f t="shared" si="5"/>
        <v>1732392848</v>
      </c>
      <c r="AA14" s="32">
        <f>S14/M14</f>
        <v>0.13548362785321019</v>
      </c>
    </row>
    <row r="15" spans="1:27" ht="18.75" customHeight="1" x14ac:dyDescent="0.2">
      <c r="A15" s="27" t="s">
        <v>41</v>
      </c>
      <c r="B15" s="27" t="s">
        <v>42</v>
      </c>
      <c r="C15" s="19" t="s">
        <v>907</v>
      </c>
      <c r="D15" s="28" t="s">
        <v>47</v>
      </c>
      <c r="E15" s="29" t="s">
        <v>48</v>
      </c>
      <c r="F15" s="30" t="s">
        <v>37</v>
      </c>
      <c r="G15" s="30">
        <f>G16+G39</f>
        <v>25931861921.5</v>
      </c>
      <c r="H15" s="31">
        <f t="shared" ref="H15:Z15" si="6">H16+H39</f>
        <v>0</v>
      </c>
      <c r="I15" s="31">
        <f t="shared" si="6"/>
        <v>0</v>
      </c>
      <c r="J15" s="31">
        <f t="shared" si="6"/>
        <v>0</v>
      </c>
      <c r="K15" s="31">
        <f t="shared" si="6"/>
        <v>0</v>
      </c>
      <c r="L15" s="31">
        <f t="shared" si="6"/>
        <v>0</v>
      </c>
      <c r="M15" s="30">
        <f t="shared" si="6"/>
        <v>25931861921.5</v>
      </c>
      <c r="N15" s="31">
        <f t="shared" si="6"/>
        <v>0</v>
      </c>
      <c r="O15" s="30">
        <f t="shared" si="6"/>
        <v>1706297675</v>
      </c>
      <c r="P15" s="30">
        <f t="shared" si="6"/>
        <v>3271796977</v>
      </c>
      <c r="Q15" s="31">
        <f t="shared" si="6"/>
        <v>0</v>
      </c>
      <c r="R15" s="30">
        <f t="shared" si="6"/>
        <v>1706297675</v>
      </c>
      <c r="S15" s="30">
        <f t="shared" si="6"/>
        <v>3271796977</v>
      </c>
      <c r="T15" s="31">
        <f t="shared" si="6"/>
        <v>0</v>
      </c>
      <c r="U15" s="30">
        <f t="shared" si="6"/>
        <v>1777614434</v>
      </c>
      <c r="V15" s="30">
        <f t="shared" si="6"/>
        <v>1817849423</v>
      </c>
      <c r="W15" s="30">
        <f t="shared" ref="W15:W38" si="7">T15+V15</f>
        <v>1817849423</v>
      </c>
      <c r="X15" s="30">
        <f t="shared" si="6"/>
        <v>22660064944.5</v>
      </c>
      <c r="Y15" s="31">
        <f t="shared" si="6"/>
        <v>0</v>
      </c>
      <c r="Z15" s="30">
        <f t="shared" si="6"/>
        <v>1453947554</v>
      </c>
      <c r="AA15" s="32">
        <f t="shared" ref="AA15:AA78" si="8">S15/M15</f>
        <v>0.12616899576683951</v>
      </c>
    </row>
    <row r="16" spans="1:27" ht="18.75" customHeight="1" x14ac:dyDescent="0.2">
      <c r="A16" s="27" t="s">
        <v>49</v>
      </c>
      <c r="B16" s="27" t="s">
        <v>50</v>
      </c>
      <c r="C16" s="19" t="s">
        <v>907</v>
      </c>
      <c r="D16" s="28" t="s">
        <v>51</v>
      </c>
      <c r="E16" s="29" t="s">
        <v>52</v>
      </c>
      <c r="F16" s="30" t="s">
        <v>37</v>
      </c>
      <c r="G16" s="30">
        <f>G17+G20+G21+G22+G23++G24+G27+G30+G37+G38</f>
        <v>25908449467.5</v>
      </c>
      <c r="H16" s="31">
        <f t="shared" ref="H16:Z16" si="9">H17+H20+H21+H22+H23++H24+H27+H30+H37+H38</f>
        <v>0</v>
      </c>
      <c r="I16" s="31">
        <f t="shared" si="9"/>
        <v>0</v>
      </c>
      <c r="J16" s="31">
        <f t="shared" si="9"/>
        <v>0</v>
      </c>
      <c r="K16" s="31">
        <f t="shared" si="9"/>
        <v>0</v>
      </c>
      <c r="L16" s="31">
        <f t="shared" si="9"/>
        <v>0</v>
      </c>
      <c r="M16" s="30">
        <f t="shared" si="9"/>
        <v>25908449467.5</v>
      </c>
      <c r="N16" s="31">
        <f t="shared" si="9"/>
        <v>0</v>
      </c>
      <c r="O16" s="30">
        <f t="shared" si="9"/>
        <v>1706297675</v>
      </c>
      <c r="P16" s="30">
        <f t="shared" si="9"/>
        <v>3271796977</v>
      </c>
      <c r="Q16" s="31">
        <f t="shared" si="9"/>
        <v>0</v>
      </c>
      <c r="R16" s="30">
        <f t="shared" si="9"/>
        <v>1706297675</v>
      </c>
      <c r="S16" s="30">
        <f t="shared" si="9"/>
        <v>3271796977</v>
      </c>
      <c r="T16" s="31">
        <f t="shared" si="9"/>
        <v>0</v>
      </c>
      <c r="U16" s="30">
        <f t="shared" si="9"/>
        <v>1777614434</v>
      </c>
      <c r="V16" s="30">
        <f t="shared" si="9"/>
        <v>1817849423</v>
      </c>
      <c r="W16" s="30">
        <f t="shared" si="7"/>
        <v>1817849423</v>
      </c>
      <c r="X16" s="30">
        <f t="shared" si="9"/>
        <v>22636652490.5</v>
      </c>
      <c r="Y16" s="31">
        <f t="shared" si="9"/>
        <v>0</v>
      </c>
      <c r="Z16" s="30">
        <f t="shared" si="9"/>
        <v>1453947554</v>
      </c>
      <c r="AA16" s="32">
        <f t="shared" si="8"/>
        <v>0.12628300976112822</v>
      </c>
    </row>
    <row r="17" spans="1:27" ht="18.75" customHeight="1" x14ac:dyDescent="0.2">
      <c r="A17" s="27" t="s">
        <v>41</v>
      </c>
      <c r="B17" s="27" t="s">
        <v>42</v>
      </c>
      <c r="C17" s="19" t="s">
        <v>907</v>
      </c>
      <c r="D17" s="28" t="s">
        <v>53</v>
      </c>
      <c r="E17" s="29" t="s">
        <v>54</v>
      </c>
      <c r="F17" s="30" t="s">
        <v>37</v>
      </c>
      <c r="G17" s="30">
        <f>G18+G19</f>
        <v>19589756868.5</v>
      </c>
      <c r="H17" s="31">
        <f t="shared" ref="H17:Z17" si="10">H18+H19</f>
        <v>0</v>
      </c>
      <c r="I17" s="31">
        <f t="shared" si="10"/>
        <v>0</v>
      </c>
      <c r="J17" s="31">
        <f t="shared" si="10"/>
        <v>0</v>
      </c>
      <c r="K17" s="31">
        <f t="shared" si="10"/>
        <v>0</v>
      </c>
      <c r="L17" s="31">
        <f t="shared" si="10"/>
        <v>0</v>
      </c>
      <c r="M17" s="30">
        <f t="shared" si="10"/>
        <v>19589756868.5</v>
      </c>
      <c r="N17" s="31">
        <f t="shared" si="10"/>
        <v>0</v>
      </c>
      <c r="O17" s="30">
        <f t="shared" si="10"/>
        <v>1507626837</v>
      </c>
      <c r="P17" s="30">
        <f t="shared" si="10"/>
        <v>2948239905</v>
      </c>
      <c r="Q17" s="31">
        <f t="shared" si="10"/>
        <v>0</v>
      </c>
      <c r="R17" s="30">
        <f t="shared" si="10"/>
        <v>1507626837</v>
      </c>
      <c r="S17" s="30">
        <f t="shared" si="10"/>
        <v>2948239905</v>
      </c>
      <c r="T17" s="31">
        <f t="shared" si="10"/>
        <v>0</v>
      </c>
      <c r="U17" s="30">
        <f t="shared" si="10"/>
        <v>1583285409</v>
      </c>
      <c r="V17" s="30">
        <f t="shared" si="10"/>
        <v>1617164876</v>
      </c>
      <c r="W17" s="30">
        <f t="shared" si="7"/>
        <v>1617164876</v>
      </c>
      <c r="X17" s="30">
        <f t="shared" si="10"/>
        <v>16641516963.5</v>
      </c>
      <c r="Y17" s="31">
        <f t="shared" si="10"/>
        <v>0</v>
      </c>
      <c r="Z17" s="30">
        <f t="shared" si="10"/>
        <v>1331075029</v>
      </c>
      <c r="AA17" s="32">
        <f t="shared" si="8"/>
        <v>0.15049905543956599</v>
      </c>
    </row>
    <row r="18" spans="1:27" ht="18.75" customHeight="1" x14ac:dyDescent="0.2">
      <c r="A18" s="14" t="s">
        <v>55</v>
      </c>
      <c r="B18" s="15" t="s">
        <v>56</v>
      </c>
      <c r="C18" s="19" t="s">
        <v>907</v>
      </c>
      <c r="D18" s="16" t="s">
        <v>57</v>
      </c>
      <c r="E18" s="17" t="s">
        <v>54</v>
      </c>
      <c r="F18" s="17" t="s">
        <v>58</v>
      </c>
      <c r="G18" s="18">
        <v>18005571308.5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18">
        <v>18005571308.5</v>
      </c>
      <c r="N18" s="34">
        <v>0</v>
      </c>
      <c r="O18" s="18">
        <v>1393762130</v>
      </c>
      <c r="P18" s="18">
        <v>2727808119</v>
      </c>
      <c r="Q18" s="34">
        <v>0</v>
      </c>
      <c r="R18" s="18">
        <v>1393762130</v>
      </c>
      <c r="S18" s="18">
        <v>2727808119</v>
      </c>
      <c r="T18" s="34">
        <v>0</v>
      </c>
      <c r="U18" s="18">
        <f>V18-[1]ENERO!U18</f>
        <v>1362853623</v>
      </c>
      <c r="V18" s="18">
        <v>1396733090</v>
      </c>
      <c r="W18" s="30">
        <f t="shared" si="7"/>
        <v>1396733090</v>
      </c>
      <c r="X18" s="18">
        <f>M18-P18</f>
        <v>15277763189.5</v>
      </c>
      <c r="Y18" s="34">
        <f>P18-S18</f>
        <v>0</v>
      </c>
      <c r="Z18" s="18">
        <f>S18-W18</f>
        <v>1331075029</v>
      </c>
      <c r="AA18" s="32">
        <f t="shared" si="8"/>
        <v>0.15149800427117061</v>
      </c>
    </row>
    <row r="19" spans="1:27" ht="18.75" customHeight="1" x14ac:dyDescent="0.2">
      <c r="A19" s="14" t="s">
        <v>55</v>
      </c>
      <c r="B19" s="15" t="s">
        <v>56</v>
      </c>
      <c r="C19" s="19" t="s">
        <v>907</v>
      </c>
      <c r="D19" s="16" t="s">
        <v>59</v>
      </c>
      <c r="E19" s="17" t="s">
        <v>60</v>
      </c>
      <c r="F19" s="17" t="s">
        <v>61</v>
      </c>
      <c r="G19" s="18">
        <v>1584185560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18">
        <v>1584185560</v>
      </c>
      <c r="N19" s="34">
        <v>0</v>
      </c>
      <c r="O19" s="18">
        <v>113864707</v>
      </c>
      <c r="P19" s="18">
        <v>220431786</v>
      </c>
      <c r="Q19" s="34">
        <v>0</v>
      </c>
      <c r="R19" s="18">
        <v>113864707</v>
      </c>
      <c r="S19" s="18">
        <v>220431786</v>
      </c>
      <c r="T19" s="34">
        <v>0</v>
      </c>
      <c r="U19" s="18">
        <f>V19-[1]ENERO!U19</f>
        <v>220431786</v>
      </c>
      <c r="V19" s="34">
        <v>220431786</v>
      </c>
      <c r="W19" s="30">
        <f t="shared" si="7"/>
        <v>220431786</v>
      </c>
      <c r="X19" s="18">
        <f t="shared" ref="X19:X38" si="11">M19-P19</f>
        <v>1363753774</v>
      </c>
      <c r="Y19" s="34">
        <f t="shared" ref="Y19:Y38" si="12">P19-S19</f>
        <v>0</v>
      </c>
      <c r="Z19" s="34">
        <f t="shared" ref="Z19:Z38" si="13">S19-W19</f>
        <v>0</v>
      </c>
      <c r="AA19" s="32">
        <f t="shared" si="8"/>
        <v>0.13914518069461509</v>
      </c>
    </row>
    <row r="20" spans="1:27" ht="18.75" customHeight="1" x14ac:dyDescent="0.2">
      <c r="A20" s="14" t="s">
        <v>49</v>
      </c>
      <c r="B20" s="15" t="s">
        <v>50</v>
      </c>
      <c r="C20" s="19" t="s">
        <v>907</v>
      </c>
      <c r="D20" s="16" t="s">
        <v>62</v>
      </c>
      <c r="E20" s="17" t="s">
        <v>63</v>
      </c>
      <c r="F20" s="17" t="s">
        <v>58</v>
      </c>
      <c r="G20" s="18">
        <v>398412895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18">
        <v>398412895</v>
      </c>
      <c r="N20" s="34">
        <v>0</v>
      </c>
      <c r="O20" s="18">
        <v>34948878</v>
      </c>
      <c r="P20" s="18">
        <v>53508095</v>
      </c>
      <c r="Q20" s="34">
        <v>0</v>
      </c>
      <c r="R20" s="18">
        <v>34948878</v>
      </c>
      <c r="S20" s="18">
        <v>53508095</v>
      </c>
      <c r="T20" s="34">
        <v>0</v>
      </c>
      <c r="U20" s="18">
        <f>V20-[1]ENERO!U20</f>
        <v>34264002</v>
      </c>
      <c r="V20" s="18">
        <v>34922280</v>
      </c>
      <c r="W20" s="30">
        <f t="shared" si="7"/>
        <v>34922280</v>
      </c>
      <c r="X20" s="18">
        <f t="shared" si="11"/>
        <v>344904800</v>
      </c>
      <c r="Y20" s="34">
        <f t="shared" si="12"/>
        <v>0</v>
      </c>
      <c r="Z20" s="18">
        <f t="shared" si="13"/>
        <v>18585815</v>
      </c>
      <c r="AA20" s="32">
        <f t="shared" si="8"/>
        <v>0.13430312038469538</v>
      </c>
    </row>
    <row r="21" spans="1:27" ht="18.75" customHeight="1" x14ac:dyDescent="0.2">
      <c r="A21" s="14" t="s">
        <v>49</v>
      </c>
      <c r="B21" s="15" t="s">
        <v>50</v>
      </c>
      <c r="C21" s="19" t="s">
        <v>907</v>
      </c>
      <c r="D21" s="16" t="s">
        <v>64</v>
      </c>
      <c r="E21" s="17" t="s">
        <v>65</v>
      </c>
      <c r="F21" s="17" t="s">
        <v>58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18">
        <f>V21-[1]ENERO!U21</f>
        <v>0</v>
      </c>
      <c r="V21" s="34">
        <v>0</v>
      </c>
      <c r="W21" s="31">
        <f t="shared" si="7"/>
        <v>0</v>
      </c>
      <c r="X21" s="34">
        <f t="shared" si="11"/>
        <v>0</v>
      </c>
      <c r="Y21" s="34">
        <f t="shared" si="12"/>
        <v>0</v>
      </c>
      <c r="Z21" s="34">
        <f t="shared" si="13"/>
        <v>0</v>
      </c>
      <c r="AA21" s="32">
        <v>0</v>
      </c>
    </row>
    <row r="22" spans="1:27" ht="18.75" customHeight="1" x14ac:dyDescent="0.2">
      <c r="A22" s="14" t="s">
        <v>49</v>
      </c>
      <c r="B22" s="15" t="s">
        <v>50</v>
      </c>
      <c r="C22" s="19" t="s">
        <v>907</v>
      </c>
      <c r="D22" s="16" t="s">
        <v>66</v>
      </c>
      <c r="E22" s="17" t="s">
        <v>67</v>
      </c>
      <c r="F22" s="17" t="s">
        <v>58</v>
      </c>
      <c r="G22" s="18">
        <v>13303349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18">
        <v>13303349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18">
        <f>V22-[1]ENERO!U22</f>
        <v>0</v>
      </c>
      <c r="V22" s="34">
        <v>0</v>
      </c>
      <c r="W22" s="31">
        <f t="shared" si="7"/>
        <v>0</v>
      </c>
      <c r="X22" s="18">
        <f t="shared" si="11"/>
        <v>13303349</v>
      </c>
      <c r="Y22" s="34">
        <f t="shared" si="12"/>
        <v>0</v>
      </c>
      <c r="Z22" s="34">
        <f t="shared" si="13"/>
        <v>0</v>
      </c>
      <c r="AA22" s="32">
        <f t="shared" si="8"/>
        <v>0</v>
      </c>
    </row>
    <row r="23" spans="1:27" ht="18.75" customHeight="1" x14ac:dyDescent="0.2">
      <c r="A23" s="14" t="s">
        <v>49</v>
      </c>
      <c r="B23" s="15" t="s">
        <v>50</v>
      </c>
      <c r="C23" s="19" t="s">
        <v>907</v>
      </c>
      <c r="D23" s="16" t="s">
        <v>68</v>
      </c>
      <c r="E23" s="17" t="s">
        <v>69</v>
      </c>
      <c r="F23" s="17" t="s">
        <v>58</v>
      </c>
      <c r="G23" s="18">
        <v>37582851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18">
        <v>37582851</v>
      </c>
      <c r="N23" s="34">
        <v>0</v>
      </c>
      <c r="O23" s="18">
        <v>2874258</v>
      </c>
      <c r="P23" s="18">
        <v>5748516</v>
      </c>
      <c r="Q23" s="34">
        <v>0</v>
      </c>
      <c r="R23" s="18">
        <v>2874258</v>
      </c>
      <c r="S23" s="18">
        <v>5748516</v>
      </c>
      <c r="T23" s="34">
        <v>0</v>
      </c>
      <c r="U23" s="18">
        <f>V23-[1]ENERO!U23</f>
        <v>2874258</v>
      </c>
      <c r="V23" s="34">
        <v>2874258</v>
      </c>
      <c r="W23" s="30">
        <f t="shared" si="7"/>
        <v>2874258</v>
      </c>
      <c r="X23" s="18">
        <f t="shared" si="11"/>
        <v>31834335</v>
      </c>
      <c r="Y23" s="34">
        <f t="shared" si="12"/>
        <v>0</v>
      </c>
      <c r="Z23" s="18">
        <f t="shared" si="13"/>
        <v>2874258</v>
      </c>
      <c r="AA23" s="32">
        <f t="shared" si="8"/>
        <v>0.15295582551733503</v>
      </c>
    </row>
    <row r="24" spans="1:27" ht="18.75" customHeight="1" x14ac:dyDescent="0.2">
      <c r="A24" s="27" t="s">
        <v>49</v>
      </c>
      <c r="B24" s="27" t="s">
        <v>50</v>
      </c>
      <c r="C24" s="19" t="s">
        <v>907</v>
      </c>
      <c r="D24" s="28" t="s">
        <v>70</v>
      </c>
      <c r="E24" s="29" t="s">
        <v>71</v>
      </c>
      <c r="F24" s="30" t="s">
        <v>37</v>
      </c>
      <c r="G24" s="30">
        <f>G25+G26</f>
        <v>1845616015</v>
      </c>
      <c r="H24" s="31">
        <f t="shared" ref="H24:V24" si="14">H25+H26</f>
        <v>0</v>
      </c>
      <c r="I24" s="31">
        <f t="shared" si="14"/>
        <v>0</v>
      </c>
      <c r="J24" s="31">
        <f t="shared" si="14"/>
        <v>0</v>
      </c>
      <c r="K24" s="31">
        <f t="shared" si="14"/>
        <v>0</v>
      </c>
      <c r="L24" s="31">
        <f t="shared" si="14"/>
        <v>0</v>
      </c>
      <c r="M24" s="30">
        <f t="shared" si="14"/>
        <v>1845616015</v>
      </c>
      <c r="N24" s="31">
        <f t="shared" si="14"/>
        <v>0</v>
      </c>
      <c r="O24" s="30">
        <f t="shared" si="14"/>
        <v>3081994</v>
      </c>
      <c r="P24" s="30">
        <f t="shared" si="14"/>
        <v>3524987</v>
      </c>
      <c r="Q24" s="31">
        <f t="shared" si="14"/>
        <v>0</v>
      </c>
      <c r="R24" s="30">
        <f t="shared" si="14"/>
        <v>3081994</v>
      </c>
      <c r="S24" s="30">
        <f t="shared" si="14"/>
        <v>3524987</v>
      </c>
      <c r="T24" s="31">
        <f t="shared" si="14"/>
        <v>0</v>
      </c>
      <c r="U24" s="30">
        <f t="shared" si="14"/>
        <v>3081994</v>
      </c>
      <c r="V24" s="30">
        <f t="shared" si="14"/>
        <v>3489070</v>
      </c>
      <c r="W24" s="30">
        <f t="shared" si="7"/>
        <v>3489070</v>
      </c>
      <c r="X24" s="18">
        <f t="shared" si="11"/>
        <v>1842091028</v>
      </c>
      <c r="Y24" s="34">
        <f t="shared" si="12"/>
        <v>0</v>
      </c>
      <c r="Z24" s="18">
        <f t="shared" si="13"/>
        <v>35917</v>
      </c>
      <c r="AA24" s="32">
        <f t="shared" si="8"/>
        <v>1.909924367447581E-3</v>
      </c>
    </row>
    <row r="25" spans="1:27" ht="18.75" customHeight="1" x14ac:dyDescent="0.2">
      <c r="A25" s="14" t="s">
        <v>55</v>
      </c>
      <c r="B25" s="15" t="s">
        <v>56</v>
      </c>
      <c r="C25" s="19" t="s">
        <v>907</v>
      </c>
      <c r="D25" s="16" t="s">
        <v>72</v>
      </c>
      <c r="E25" s="17" t="s">
        <v>71</v>
      </c>
      <c r="F25" s="17" t="s">
        <v>58</v>
      </c>
      <c r="G25" s="18">
        <v>1777683059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18">
        <v>1777683059</v>
      </c>
      <c r="N25" s="34">
        <v>0</v>
      </c>
      <c r="O25" s="18">
        <v>3081994</v>
      </c>
      <c r="P25" s="18">
        <v>3524987</v>
      </c>
      <c r="Q25" s="34">
        <v>0</v>
      </c>
      <c r="R25" s="18">
        <v>3081994</v>
      </c>
      <c r="S25" s="18">
        <v>3524987</v>
      </c>
      <c r="T25" s="34">
        <v>0</v>
      </c>
      <c r="U25" s="18">
        <f>V25-[1]ENERO!U25</f>
        <v>3081994</v>
      </c>
      <c r="V25" s="18">
        <v>3489070</v>
      </c>
      <c r="W25" s="30">
        <f t="shared" si="7"/>
        <v>3489070</v>
      </c>
      <c r="X25" s="18">
        <f t="shared" si="11"/>
        <v>1774158072</v>
      </c>
      <c r="Y25" s="34">
        <f t="shared" si="12"/>
        <v>0</v>
      </c>
      <c r="Z25" s="18">
        <f t="shared" si="13"/>
        <v>35917</v>
      </c>
      <c r="AA25" s="32">
        <f t="shared" si="8"/>
        <v>1.982910835626071E-3</v>
      </c>
    </row>
    <row r="26" spans="1:27" ht="18.75" customHeight="1" x14ac:dyDescent="0.2">
      <c r="A26" s="14" t="s">
        <v>55</v>
      </c>
      <c r="B26" s="15" t="s">
        <v>56</v>
      </c>
      <c r="C26" s="19" t="s">
        <v>907</v>
      </c>
      <c r="D26" s="16" t="s">
        <v>73</v>
      </c>
      <c r="E26" s="17" t="s">
        <v>74</v>
      </c>
      <c r="F26" s="17" t="s">
        <v>61</v>
      </c>
      <c r="G26" s="18">
        <v>67932956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18">
        <v>67932956</v>
      </c>
      <c r="N26" s="34">
        <v>0</v>
      </c>
      <c r="O26" s="18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1">
        <f t="shared" si="7"/>
        <v>0</v>
      </c>
      <c r="X26" s="18">
        <f t="shared" si="11"/>
        <v>67932956</v>
      </c>
      <c r="Y26" s="34">
        <f t="shared" si="12"/>
        <v>0</v>
      </c>
      <c r="Z26" s="34">
        <f t="shared" si="13"/>
        <v>0</v>
      </c>
      <c r="AA26" s="32">
        <f t="shared" si="8"/>
        <v>0</v>
      </c>
    </row>
    <row r="27" spans="1:27" ht="18.75" customHeight="1" x14ac:dyDescent="0.2">
      <c r="A27" s="27" t="s">
        <v>49</v>
      </c>
      <c r="B27" s="27" t="s">
        <v>50</v>
      </c>
      <c r="C27" s="19" t="s">
        <v>907</v>
      </c>
      <c r="D27" s="28" t="s">
        <v>75</v>
      </c>
      <c r="E27" s="29" t="s">
        <v>76</v>
      </c>
      <c r="F27" s="30" t="s">
        <v>37</v>
      </c>
      <c r="G27" s="30">
        <f>G28+G29</f>
        <v>592992922</v>
      </c>
      <c r="H27" s="31">
        <f t="shared" ref="H27:V27" si="15">H28+H29</f>
        <v>0</v>
      </c>
      <c r="I27" s="31">
        <f t="shared" si="15"/>
        <v>0</v>
      </c>
      <c r="J27" s="31">
        <f t="shared" si="15"/>
        <v>0</v>
      </c>
      <c r="K27" s="31">
        <f t="shared" si="15"/>
        <v>0</v>
      </c>
      <c r="L27" s="31">
        <f t="shared" si="15"/>
        <v>0</v>
      </c>
      <c r="M27" s="30">
        <f t="shared" si="15"/>
        <v>592992922</v>
      </c>
      <c r="N27" s="31">
        <f t="shared" si="15"/>
        <v>0</v>
      </c>
      <c r="O27" s="30">
        <f t="shared" si="15"/>
        <v>54734249</v>
      </c>
      <c r="P27" s="30">
        <f t="shared" si="15"/>
        <v>130244458</v>
      </c>
      <c r="Q27" s="31">
        <f t="shared" si="15"/>
        <v>0</v>
      </c>
      <c r="R27" s="30">
        <f t="shared" si="15"/>
        <v>54734249</v>
      </c>
      <c r="S27" s="30">
        <f t="shared" si="15"/>
        <v>130244458</v>
      </c>
      <c r="T27" s="31">
        <f t="shared" si="15"/>
        <v>0</v>
      </c>
      <c r="U27" s="30">
        <f t="shared" si="15"/>
        <v>54734249</v>
      </c>
      <c r="V27" s="30">
        <f t="shared" si="15"/>
        <v>55749030</v>
      </c>
      <c r="W27" s="30">
        <f t="shared" si="7"/>
        <v>55749030</v>
      </c>
      <c r="X27" s="18">
        <f t="shared" si="11"/>
        <v>462748464</v>
      </c>
      <c r="Y27" s="34">
        <f t="shared" si="12"/>
        <v>0</v>
      </c>
      <c r="Z27" s="18">
        <f t="shared" si="13"/>
        <v>74495428</v>
      </c>
      <c r="AA27" s="32">
        <f t="shared" si="8"/>
        <v>0.21963914436064719</v>
      </c>
    </row>
    <row r="28" spans="1:27" ht="18.75" customHeight="1" x14ac:dyDescent="0.2">
      <c r="A28" s="14" t="s">
        <v>55</v>
      </c>
      <c r="B28" s="15" t="s">
        <v>56</v>
      </c>
      <c r="C28" s="19" t="s">
        <v>907</v>
      </c>
      <c r="D28" s="16" t="s">
        <v>77</v>
      </c>
      <c r="E28" s="17" t="s">
        <v>76</v>
      </c>
      <c r="F28" s="17" t="s">
        <v>58</v>
      </c>
      <c r="G28" s="18">
        <v>546787511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18">
        <v>546787511</v>
      </c>
      <c r="N28" s="34">
        <v>0</v>
      </c>
      <c r="O28" s="18">
        <v>53523369</v>
      </c>
      <c r="P28" s="18">
        <v>129033578</v>
      </c>
      <c r="Q28" s="34">
        <v>0</v>
      </c>
      <c r="R28" s="18">
        <v>53523369</v>
      </c>
      <c r="S28" s="18">
        <v>129033578</v>
      </c>
      <c r="T28" s="34">
        <v>0</v>
      </c>
      <c r="U28" s="18">
        <f>V28-[1]ENERO!U28</f>
        <v>53523369</v>
      </c>
      <c r="V28" s="18">
        <v>54538150</v>
      </c>
      <c r="W28" s="30">
        <f t="shared" si="7"/>
        <v>54538150</v>
      </c>
      <c r="X28" s="18">
        <f t="shared" si="11"/>
        <v>417753933</v>
      </c>
      <c r="Y28" s="34">
        <f t="shared" si="12"/>
        <v>0</v>
      </c>
      <c r="Z28" s="18">
        <f t="shared" si="13"/>
        <v>74495428</v>
      </c>
      <c r="AA28" s="32">
        <f t="shared" si="8"/>
        <v>0.23598486688917808</v>
      </c>
    </row>
    <row r="29" spans="1:27" ht="18.75" customHeight="1" x14ac:dyDescent="0.2">
      <c r="A29" s="14" t="s">
        <v>55</v>
      </c>
      <c r="B29" s="15" t="s">
        <v>56</v>
      </c>
      <c r="C29" s="19" t="s">
        <v>907</v>
      </c>
      <c r="D29" s="16" t="s">
        <v>78</v>
      </c>
      <c r="E29" s="17" t="s">
        <v>79</v>
      </c>
      <c r="F29" s="17" t="s">
        <v>58</v>
      </c>
      <c r="G29" s="18">
        <v>46205411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18">
        <v>46205411</v>
      </c>
      <c r="N29" s="34">
        <v>0</v>
      </c>
      <c r="O29" s="18">
        <v>1210880</v>
      </c>
      <c r="P29" s="18">
        <v>1210880</v>
      </c>
      <c r="Q29" s="34">
        <v>0</v>
      </c>
      <c r="R29" s="18">
        <v>1210880</v>
      </c>
      <c r="S29" s="18">
        <v>1210880</v>
      </c>
      <c r="T29" s="34">
        <v>0</v>
      </c>
      <c r="U29" s="18">
        <f>V29-[1]ENERO!U29</f>
        <v>1210880</v>
      </c>
      <c r="V29" s="18">
        <v>1210880</v>
      </c>
      <c r="W29" s="30">
        <f t="shared" si="7"/>
        <v>1210880</v>
      </c>
      <c r="X29" s="18">
        <f t="shared" si="11"/>
        <v>44994531</v>
      </c>
      <c r="Y29" s="34">
        <f t="shared" si="12"/>
        <v>0</v>
      </c>
      <c r="Z29" s="34">
        <f t="shared" si="13"/>
        <v>0</v>
      </c>
      <c r="AA29" s="32">
        <f t="shared" si="8"/>
        <v>2.6206454477809969E-2</v>
      </c>
    </row>
    <row r="30" spans="1:27" ht="18.75" customHeight="1" x14ac:dyDescent="0.2">
      <c r="A30" s="27" t="s">
        <v>49</v>
      </c>
      <c r="B30" s="27" t="s">
        <v>50</v>
      </c>
      <c r="C30" s="19" t="s">
        <v>907</v>
      </c>
      <c r="D30" s="28" t="s">
        <v>80</v>
      </c>
      <c r="E30" s="29" t="s">
        <v>81</v>
      </c>
      <c r="F30" s="30" t="s">
        <v>37</v>
      </c>
      <c r="G30" s="30">
        <f>G31+G34</f>
        <v>3301831967</v>
      </c>
      <c r="H30" s="31">
        <f t="shared" ref="H30:V30" si="16">H31+H34</f>
        <v>0</v>
      </c>
      <c r="I30" s="31">
        <f t="shared" si="16"/>
        <v>0</v>
      </c>
      <c r="J30" s="31">
        <f t="shared" si="16"/>
        <v>0</v>
      </c>
      <c r="K30" s="31">
        <f t="shared" si="16"/>
        <v>0</v>
      </c>
      <c r="L30" s="31">
        <f t="shared" si="16"/>
        <v>0</v>
      </c>
      <c r="M30" s="30">
        <f t="shared" si="16"/>
        <v>3301831967</v>
      </c>
      <c r="N30" s="31">
        <f t="shared" si="16"/>
        <v>0</v>
      </c>
      <c r="O30" s="30">
        <f t="shared" si="16"/>
        <v>103031459</v>
      </c>
      <c r="P30" s="30">
        <f t="shared" si="16"/>
        <v>130531016</v>
      </c>
      <c r="Q30" s="31">
        <f t="shared" si="16"/>
        <v>0</v>
      </c>
      <c r="R30" s="30">
        <f t="shared" si="16"/>
        <v>103031459</v>
      </c>
      <c r="S30" s="30">
        <f t="shared" si="16"/>
        <v>130531016</v>
      </c>
      <c r="T30" s="31">
        <f t="shared" si="16"/>
        <v>0</v>
      </c>
      <c r="U30" s="30">
        <f t="shared" si="16"/>
        <v>99374522</v>
      </c>
      <c r="V30" s="30">
        <f t="shared" si="16"/>
        <v>103649909</v>
      </c>
      <c r="W30" s="30">
        <f t="shared" si="7"/>
        <v>103649909</v>
      </c>
      <c r="X30" s="18">
        <f t="shared" si="11"/>
        <v>3171300951</v>
      </c>
      <c r="Y30" s="34">
        <f t="shared" si="12"/>
        <v>0</v>
      </c>
      <c r="Z30" s="18">
        <f t="shared" si="13"/>
        <v>26881107</v>
      </c>
      <c r="AA30" s="32">
        <f t="shared" si="8"/>
        <v>3.9532906975456632E-2</v>
      </c>
    </row>
    <row r="31" spans="1:27" ht="18.75" customHeight="1" x14ac:dyDescent="0.2">
      <c r="A31" s="27" t="s">
        <v>49</v>
      </c>
      <c r="B31" s="27" t="s">
        <v>50</v>
      </c>
      <c r="C31" s="19" t="s">
        <v>907</v>
      </c>
      <c r="D31" s="28" t="s">
        <v>82</v>
      </c>
      <c r="E31" s="29" t="s">
        <v>83</v>
      </c>
      <c r="F31" s="30" t="s">
        <v>37</v>
      </c>
      <c r="G31" s="30">
        <f>G32+G33</f>
        <v>2120123016</v>
      </c>
      <c r="H31" s="31">
        <f t="shared" ref="H31:V31" si="17">H32+H33</f>
        <v>0</v>
      </c>
      <c r="I31" s="31">
        <f t="shared" si="17"/>
        <v>0</v>
      </c>
      <c r="J31" s="31">
        <f t="shared" si="17"/>
        <v>0</v>
      </c>
      <c r="K31" s="31">
        <f t="shared" si="17"/>
        <v>0</v>
      </c>
      <c r="L31" s="31">
        <f t="shared" si="17"/>
        <v>0</v>
      </c>
      <c r="M31" s="30">
        <f t="shared" si="17"/>
        <v>2120123016</v>
      </c>
      <c r="N31" s="31">
        <f t="shared" si="17"/>
        <v>0</v>
      </c>
      <c r="O31" s="30">
        <f t="shared" si="17"/>
        <v>6123994</v>
      </c>
      <c r="P31" s="30">
        <f t="shared" si="17"/>
        <v>8675917</v>
      </c>
      <c r="Q31" s="31">
        <f t="shared" si="17"/>
        <v>0</v>
      </c>
      <c r="R31" s="30">
        <f t="shared" si="17"/>
        <v>6123994</v>
      </c>
      <c r="S31" s="30">
        <f t="shared" si="17"/>
        <v>8675917</v>
      </c>
      <c r="T31" s="31">
        <f t="shared" si="17"/>
        <v>0</v>
      </c>
      <c r="U31" s="30">
        <f t="shared" si="17"/>
        <v>6123994</v>
      </c>
      <c r="V31" s="30">
        <f t="shared" si="17"/>
        <v>8501115</v>
      </c>
      <c r="W31" s="30">
        <f t="shared" si="7"/>
        <v>8501115</v>
      </c>
      <c r="X31" s="18">
        <f t="shared" si="11"/>
        <v>2111447099</v>
      </c>
      <c r="Y31" s="34">
        <f t="shared" si="12"/>
        <v>0</v>
      </c>
      <c r="Z31" s="18">
        <f t="shared" si="13"/>
        <v>174802</v>
      </c>
      <c r="AA31" s="32">
        <f t="shared" si="8"/>
        <v>4.0921762249290158E-3</v>
      </c>
    </row>
    <row r="32" spans="1:27" ht="18.75" customHeight="1" x14ac:dyDescent="0.2">
      <c r="A32" s="14" t="s">
        <v>55</v>
      </c>
      <c r="B32" s="15" t="s">
        <v>56</v>
      </c>
      <c r="C32" s="19" t="s">
        <v>907</v>
      </c>
      <c r="D32" s="16" t="s">
        <v>84</v>
      </c>
      <c r="E32" s="17" t="s">
        <v>85</v>
      </c>
      <c r="F32" s="17" t="s">
        <v>61</v>
      </c>
      <c r="G32" s="18">
        <v>151225079</v>
      </c>
      <c r="H32" s="34">
        <v>0</v>
      </c>
      <c r="I32" s="34">
        <v>0</v>
      </c>
      <c r="J32" s="34">
        <v>0</v>
      </c>
      <c r="K32" s="34">
        <v>0</v>
      </c>
      <c r="L32" s="34">
        <v>0</v>
      </c>
      <c r="M32" s="18">
        <v>151225079</v>
      </c>
      <c r="N32" s="34">
        <v>0</v>
      </c>
      <c r="O32" s="18">
        <v>0</v>
      </c>
      <c r="P32" s="34">
        <v>0</v>
      </c>
      <c r="Q32" s="34">
        <v>0</v>
      </c>
      <c r="R32" s="34">
        <v>0</v>
      </c>
      <c r="S32" s="34">
        <v>0</v>
      </c>
      <c r="T32" s="34">
        <v>0</v>
      </c>
      <c r="U32" s="34">
        <v>0</v>
      </c>
      <c r="V32" s="34">
        <v>0</v>
      </c>
      <c r="W32" s="31">
        <f t="shared" si="7"/>
        <v>0</v>
      </c>
      <c r="X32" s="18">
        <f t="shared" si="11"/>
        <v>151225079</v>
      </c>
      <c r="Y32" s="34">
        <f t="shared" si="12"/>
        <v>0</v>
      </c>
      <c r="Z32" s="34">
        <f t="shared" si="13"/>
        <v>0</v>
      </c>
      <c r="AA32" s="32">
        <f t="shared" si="8"/>
        <v>0</v>
      </c>
    </row>
    <row r="33" spans="1:27" ht="18.75" customHeight="1" x14ac:dyDescent="0.2">
      <c r="A33" s="14" t="s">
        <v>55</v>
      </c>
      <c r="B33" s="15" t="s">
        <v>56</v>
      </c>
      <c r="C33" s="19" t="s">
        <v>907</v>
      </c>
      <c r="D33" s="16" t="s">
        <v>86</v>
      </c>
      <c r="E33" s="17" t="s">
        <v>83</v>
      </c>
      <c r="F33" s="17" t="s">
        <v>58</v>
      </c>
      <c r="G33" s="18">
        <v>1968897937</v>
      </c>
      <c r="H33" s="34">
        <v>0</v>
      </c>
      <c r="I33" s="34">
        <v>0</v>
      </c>
      <c r="J33" s="34">
        <v>0</v>
      </c>
      <c r="K33" s="34">
        <v>0</v>
      </c>
      <c r="L33" s="34">
        <v>0</v>
      </c>
      <c r="M33" s="18">
        <v>1968897937</v>
      </c>
      <c r="N33" s="34">
        <v>0</v>
      </c>
      <c r="O33" s="18">
        <v>6123994</v>
      </c>
      <c r="P33" s="18">
        <v>8675917</v>
      </c>
      <c r="Q33" s="34">
        <v>0</v>
      </c>
      <c r="R33" s="18">
        <v>6123994</v>
      </c>
      <c r="S33" s="18">
        <v>8675917</v>
      </c>
      <c r="T33" s="34">
        <v>0</v>
      </c>
      <c r="U33" s="18">
        <v>6123994</v>
      </c>
      <c r="V33" s="18">
        <v>8501115</v>
      </c>
      <c r="W33" s="30">
        <f t="shared" si="7"/>
        <v>8501115</v>
      </c>
      <c r="X33" s="18">
        <f t="shared" si="11"/>
        <v>1960222020</v>
      </c>
      <c r="Y33" s="34">
        <f t="shared" si="12"/>
        <v>0</v>
      </c>
      <c r="Z33" s="18">
        <f t="shared" si="13"/>
        <v>174802</v>
      </c>
      <c r="AA33" s="32">
        <f t="shared" si="8"/>
        <v>4.4064838694581861E-3</v>
      </c>
    </row>
    <row r="34" spans="1:27" ht="18.75" customHeight="1" x14ac:dyDescent="0.2">
      <c r="A34" s="27" t="s">
        <v>49</v>
      </c>
      <c r="B34" s="27" t="s">
        <v>50</v>
      </c>
      <c r="C34" s="19" t="s">
        <v>907</v>
      </c>
      <c r="D34" s="28" t="s">
        <v>87</v>
      </c>
      <c r="E34" s="29" t="s">
        <v>88</v>
      </c>
      <c r="F34" s="30" t="s">
        <v>37</v>
      </c>
      <c r="G34" s="30">
        <f>G35+G36</f>
        <v>1181708951</v>
      </c>
      <c r="H34" s="31">
        <f t="shared" ref="H34:V34" si="18">H35+H36</f>
        <v>0</v>
      </c>
      <c r="I34" s="31">
        <f t="shared" si="18"/>
        <v>0</v>
      </c>
      <c r="J34" s="31">
        <f t="shared" si="18"/>
        <v>0</v>
      </c>
      <c r="K34" s="31">
        <f t="shared" si="18"/>
        <v>0</v>
      </c>
      <c r="L34" s="31">
        <f t="shared" si="18"/>
        <v>0</v>
      </c>
      <c r="M34" s="30">
        <f t="shared" si="18"/>
        <v>1181708951</v>
      </c>
      <c r="N34" s="31">
        <f t="shared" si="18"/>
        <v>0</v>
      </c>
      <c r="O34" s="30">
        <f t="shared" si="18"/>
        <v>96907465</v>
      </c>
      <c r="P34" s="30">
        <f t="shared" si="18"/>
        <v>121855099</v>
      </c>
      <c r="Q34" s="31">
        <f t="shared" si="18"/>
        <v>0</v>
      </c>
      <c r="R34" s="30">
        <f t="shared" si="18"/>
        <v>96907465</v>
      </c>
      <c r="S34" s="30">
        <f t="shared" si="18"/>
        <v>121855099</v>
      </c>
      <c r="T34" s="31">
        <f t="shared" si="18"/>
        <v>0</v>
      </c>
      <c r="U34" s="30">
        <f t="shared" si="18"/>
        <v>93250528</v>
      </c>
      <c r="V34" s="30">
        <f t="shared" si="18"/>
        <v>95148794</v>
      </c>
      <c r="W34" s="30">
        <f t="shared" si="7"/>
        <v>95148794</v>
      </c>
      <c r="X34" s="18">
        <f t="shared" si="11"/>
        <v>1059853852</v>
      </c>
      <c r="Y34" s="34">
        <f t="shared" si="12"/>
        <v>0</v>
      </c>
      <c r="Z34" s="18">
        <f t="shared" si="13"/>
        <v>26706305</v>
      </c>
      <c r="AA34" s="32">
        <f t="shared" si="8"/>
        <v>0.10311769145599034</v>
      </c>
    </row>
    <row r="35" spans="1:27" ht="18.75" customHeight="1" x14ac:dyDescent="0.2">
      <c r="A35" s="35" t="s">
        <v>55</v>
      </c>
      <c r="B35" s="36" t="s">
        <v>56</v>
      </c>
      <c r="C35" s="19" t="s">
        <v>907</v>
      </c>
      <c r="D35" s="37" t="s">
        <v>89</v>
      </c>
      <c r="E35" s="38" t="s">
        <v>88</v>
      </c>
      <c r="F35" s="38" t="s">
        <v>58</v>
      </c>
      <c r="G35" s="39">
        <v>1110945455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39">
        <v>1110945455</v>
      </c>
      <c r="N35" s="40">
        <v>0</v>
      </c>
      <c r="O35" s="39">
        <v>96907465</v>
      </c>
      <c r="P35" s="39">
        <v>121855099</v>
      </c>
      <c r="Q35" s="40">
        <v>0</v>
      </c>
      <c r="R35" s="39">
        <v>96907465</v>
      </c>
      <c r="S35" s="39">
        <v>121855099</v>
      </c>
      <c r="T35" s="40">
        <v>0</v>
      </c>
      <c r="U35" s="39">
        <v>93250528</v>
      </c>
      <c r="V35" s="39">
        <v>95148794</v>
      </c>
      <c r="W35" s="30">
        <f t="shared" si="7"/>
        <v>95148794</v>
      </c>
      <c r="X35" s="18">
        <f t="shared" si="11"/>
        <v>989090356</v>
      </c>
      <c r="Y35" s="34">
        <f t="shared" si="12"/>
        <v>0</v>
      </c>
      <c r="Z35" s="18">
        <f t="shared" si="13"/>
        <v>26706305</v>
      </c>
      <c r="AA35" s="32">
        <f t="shared" si="8"/>
        <v>0.10968594223197034</v>
      </c>
    </row>
    <row r="36" spans="1:27" ht="18.75" customHeight="1" x14ac:dyDescent="0.2">
      <c r="A36" s="14" t="s">
        <v>55</v>
      </c>
      <c r="B36" s="15" t="s">
        <v>56</v>
      </c>
      <c r="C36" s="19" t="s">
        <v>907</v>
      </c>
      <c r="D36" s="16" t="s">
        <v>90</v>
      </c>
      <c r="E36" s="17" t="s">
        <v>91</v>
      </c>
      <c r="F36" s="17" t="s">
        <v>61</v>
      </c>
      <c r="G36" s="18">
        <v>70763496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18">
        <v>70763496</v>
      </c>
      <c r="N36" s="34">
        <v>0</v>
      </c>
      <c r="O36" s="34">
        <v>0</v>
      </c>
      <c r="P36" s="34">
        <v>0</v>
      </c>
      <c r="Q36" s="34">
        <v>0</v>
      </c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1">
        <f t="shared" si="7"/>
        <v>0</v>
      </c>
      <c r="X36" s="18">
        <f t="shared" si="11"/>
        <v>70763496</v>
      </c>
      <c r="Y36" s="34">
        <f t="shared" si="12"/>
        <v>0</v>
      </c>
      <c r="Z36" s="34">
        <f t="shared" si="13"/>
        <v>0</v>
      </c>
      <c r="AA36" s="32">
        <f t="shared" si="8"/>
        <v>0</v>
      </c>
    </row>
    <row r="37" spans="1:27" ht="18.75" customHeight="1" x14ac:dyDescent="0.2">
      <c r="A37" s="14" t="s">
        <v>49</v>
      </c>
      <c r="B37" s="15" t="s">
        <v>50</v>
      </c>
      <c r="C37" s="19" t="s">
        <v>907</v>
      </c>
      <c r="D37" s="16" t="s">
        <v>92</v>
      </c>
      <c r="E37" s="17" t="s">
        <v>93</v>
      </c>
      <c r="F37" s="17" t="s">
        <v>58</v>
      </c>
      <c r="G37" s="18">
        <v>128952600</v>
      </c>
      <c r="H37" s="34">
        <v>0</v>
      </c>
      <c r="I37" s="34">
        <v>0</v>
      </c>
      <c r="J37" s="34">
        <v>0</v>
      </c>
      <c r="K37" s="34">
        <v>0</v>
      </c>
      <c r="L37" s="34">
        <v>0</v>
      </c>
      <c r="M37" s="18">
        <v>128952600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1">
        <f t="shared" si="7"/>
        <v>0</v>
      </c>
      <c r="X37" s="18">
        <f t="shared" si="11"/>
        <v>128952600</v>
      </c>
      <c r="Y37" s="34">
        <f t="shared" si="12"/>
        <v>0</v>
      </c>
      <c r="Z37" s="34">
        <f t="shared" si="13"/>
        <v>0</v>
      </c>
      <c r="AA37" s="32">
        <f t="shared" si="8"/>
        <v>0</v>
      </c>
    </row>
    <row r="38" spans="1:27" ht="18.75" customHeight="1" x14ac:dyDescent="0.2">
      <c r="A38" s="35" t="s">
        <v>49</v>
      </c>
      <c r="B38" s="36" t="s">
        <v>50</v>
      </c>
      <c r="C38" s="19" t="s">
        <v>907</v>
      </c>
      <c r="D38" s="37" t="s">
        <v>94</v>
      </c>
      <c r="E38" s="38" t="s">
        <v>95</v>
      </c>
      <c r="F38" s="38" t="s">
        <v>56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31">
        <f t="shared" si="7"/>
        <v>0</v>
      </c>
      <c r="X38" s="34">
        <f t="shared" si="11"/>
        <v>0</v>
      </c>
      <c r="Y38" s="34">
        <f t="shared" si="12"/>
        <v>0</v>
      </c>
      <c r="Z38" s="34">
        <f t="shared" si="13"/>
        <v>0</v>
      </c>
      <c r="AA38" s="32">
        <v>0</v>
      </c>
    </row>
    <row r="39" spans="1:27" s="25" customFormat="1" ht="18.75" customHeight="1" x14ac:dyDescent="0.2">
      <c r="A39" s="19" t="s">
        <v>49</v>
      </c>
      <c r="B39" s="19" t="s">
        <v>50</v>
      </c>
      <c r="C39" s="19" t="s">
        <v>907</v>
      </c>
      <c r="D39" s="26" t="s">
        <v>96</v>
      </c>
      <c r="E39" s="21" t="s">
        <v>97</v>
      </c>
      <c r="F39" s="22" t="s">
        <v>37</v>
      </c>
      <c r="G39" s="22">
        <f>G40</f>
        <v>23412454</v>
      </c>
      <c r="H39" s="23">
        <f t="shared" ref="H39:Z40" si="19">H40</f>
        <v>0</v>
      </c>
      <c r="I39" s="23">
        <f t="shared" si="19"/>
        <v>0</v>
      </c>
      <c r="J39" s="23">
        <f t="shared" si="19"/>
        <v>0</v>
      </c>
      <c r="K39" s="23">
        <f t="shared" si="19"/>
        <v>0</v>
      </c>
      <c r="L39" s="23">
        <f t="shared" si="19"/>
        <v>0</v>
      </c>
      <c r="M39" s="22">
        <f t="shared" si="19"/>
        <v>23412454</v>
      </c>
      <c r="N39" s="23">
        <f t="shared" si="19"/>
        <v>0</v>
      </c>
      <c r="O39" s="23">
        <f t="shared" si="19"/>
        <v>0</v>
      </c>
      <c r="P39" s="23">
        <f t="shared" si="19"/>
        <v>0</v>
      </c>
      <c r="Q39" s="23">
        <f t="shared" si="19"/>
        <v>0</v>
      </c>
      <c r="R39" s="23">
        <f t="shared" si="19"/>
        <v>0</v>
      </c>
      <c r="S39" s="23">
        <f t="shared" si="19"/>
        <v>0</v>
      </c>
      <c r="T39" s="23">
        <f t="shared" si="19"/>
        <v>0</v>
      </c>
      <c r="U39" s="23">
        <f t="shared" si="19"/>
        <v>0</v>
      </c>
      <c r="V39" s="23">
        <f t="shared" si="19"/>
        <v>0</v>
      </c>
      <c r="W39" s="23">
        <f>T39+V39</f>
        <v>0</v>
      </c>
      <c r="X39" s="22">
        <f t="shared" si="19"/>
        <v>23412454</v>
      </c>
      <c r="Y39" s="23">
        <f t="shared" si="19"/>
        <v>0</v>
      </c>
      <c r="Z39" s="23">
        <f t="shared" si="19"/>
        <v>0</v>
      </c>
      <c r="AA39" s="24">
        <f t="shared" si="8"/>
        <v>0</v>
      </c>
    </row>
    <row r="40" spans="1:27" ht="18.75" customHeight="1" x14ac:dyDescent="0.2">
      <c r="A40" s="27" t="s">
        <v>55</v>
      </c>
      <c r="B40" s="27" t="s">
        <v>56</v>
      </c>
      <c r="C40" s="19" t="s">
        <v>907</v>
      </c>
      <c r="D40" s="28" t="s">
        <v>98</v>
      </c>
      <c r="E40" s="29" t="s">
        <v>99</v>
      </c>
      <c r="F40" s="30" t="s">
        <v>37</v>
      </c>
      <c r="G40" s="30">
        <f>G41</f>
        <v>23412454</v>
      </c>
      <c r="H40" s="31">
        <f t="shared" si="19"/>
        <v>0</v>
      </c>
      <c r="I40" s="31">
        <f t="shared" si="19"/>
        <v>0</v>
      </c>
      <c r="J40" s="31">
        <f t="shared" si="19"/>
        <v>0</v>
      </c>
      <c r="K40" s="31">
        <f t="shared" si="19"/>
        <v>0</v>
      </c>
      <c r="L40" s="31">
        <f t="shared" si="19"/>
        <v>0</v>
      </c>
      <c r="M40" s="30">
        <f t="shared" si="19"/>
        <v>23412454</v>
      </c>
      <c r="N40" s="31">
        <f t="shared" si="19"/>
        <v>0</v>
      </c>
      <c r="O40" s="31">
        <f t="shared" si="19"/>
        <v>0</v>
      </c>
      <c r="P40" s="31">
        <f t="shared" si="19"/>
        <v>0</v>
      </c>
      <c r="Q40" s="31">
        <f t="shared" si="19"/>
        <v>0</v>
      </c>
      <c r="R40" s="31">
        <f t="shared" si="19"/>
        <v>0</v>
      </c>
      <c r="S40" s="31">
        <f t="shared" si="19"/>
        <v>0</v>
      </c>
      <c r="T40" s="31">
        <f t="shared" si="19"/>
        <v>0</v>
      </c>
      <c r="U40" s="31">
        <f t="shared" si="19"/>
        <v>0</v>
      </c>
      <c r="V40" s="31">
        <f t="shared" si="19"/>
        <v>0</v>
      </c>
      <c r="W40" s="31">
        <f t="shared" ref="W40:W41" si="20">T40+V40</f>
        <v>0</v>
      </c>
      <c r="X40" s="18">
        <f t="shared" ref="X40:X41" si="21">M40-P40</f>
        <v>23412454</v>
      </c>
      <c r="Y40" s="34">
        <f t="shared" ref="Y40:Y41" si="22">P40-S40</f>
        <v>0</v>
      </c>
      <c r="Z40" s="34">
        <f t="shared" ref="Z40:Z41" si="23">S40-W40</f>
        <v>0</v>
      </c>
      <c r="AA40" s="32">
        <f t="shared" si="8"/>
        <v>0</v>
      </c>
    </row>
    <row r="41" spans="1:27" ht="18.75" customHeight="1" x14ac:dyDescent="0.2">
      <c r="A41" s="14" t="s">
        <v>55</v>
      </c>
      <c r="B41" s="15" t="s">
        <v>56</v>
      </c>
      <c r="C41" s="19" t="s">
        <v>907</v>
      </c>
      <c r="D41" s="16" t="s">
        <v>100</v>
      </c>
      <c r="E41" s="17" t="s">
        <v>101</v>
      </c>
      <c r="F41" s="17" t="s">
        <v>58</v>
      </c>
      <c r="G41" s="18">
        <v>23412454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18">
        <v>23412454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1">
        <f t="shared" si="20"/>
        <v>0</v>
      </c>
      <c r="X41" s="18">
        <f t="shared" si="21"/>
        <v>23412454</v>
      </c>
      <c r="Y41" s="34">
        <f t="shared" si="22"/>
        <v>0</v>
      </c>
      <c r="Z41" s="34">
        <f t="shared" si="23"/>
        <v>0</v>
      </c>
      <c r="AA41" s="32">
        <f t="shared" si="8"/>
        <v>0</v>
      </c>
    </row>
    <row r="42" spans="1:27" s="25" customFormat="1" ht="18.75" customHeight="1" x14ac:dyDescent="0.2">
      <c r="A42" s="19" t="s">
        <v>49</v>
      </c>
      <c r="B42" s="19" t="s">
        <v>50</v>
      </c>
      <c r="C42" s="19" t="s">
        <v>907</v>
      </c>
      <c r="D42" s="26" t="s">
        <v>102</v>
      </c>
      <c r="E42" s="21" t="s">
        <v>103</v>
      </c>
      <c r="F42" s="22" t="s">
        <v>37</v>
      </c>
      <c r="G42" s="22">
        <f>G43+G46+G49+G52+G55+G58+G61+G64+G67</f>
        <v>9938807657</v>
      </c>
      <c r="H42" s="23">
        <f t="shared" ref="H42:Z42" si="24">H43+H46+H49+H52+H55+H58+H61+H64+H67</f>
        <v>0</v>
      </c>
      <c r="I42" s="23">
        <f t="shared" si="24"/>
        <v>0</v>
      </c>
      <c r="J42" s="23">
        <f t="shared" si="24"/>
        <v>0</v>
      </c>
      <c r="K42" s="23">
        <f t="shared" si="24"/>
        <v>0</v>
      </c>
      <c r="L42" s="23">
        <f t="shared" si="24"/>
        <v>0</v>
      </c>
      <c r="M42" s="22">
        <f t="shared" si="24"/>
        <v>9938807657</v>
      </c>
      <c r="N42" s="23">
        <f t="shared" si="24"/>
        <v>0</v>
      </c>
      <c r="O42" s="22">
        <f t="shared" si="24"/>
        <v>1029546752</v>
      </c>
      <c r="P42" s="22">
        <f t="shared" si="24"/>
        <v>1713293053</v>
      </c>
      <c r="Q42" s="23">
        <f t="shared" si="24"/>
        <v>0</v>
      </c>
      <c r="R42" s="22">
        <f t="shared" si="24"/>
        <v>1029546752</v>
      </c>
      <c r="S42" s="22">
        <f t="shared" si="24"/>
        <v>1713293053</v>
      </c>
      <c r="T42" s="22">
        <f t="shared" si="24"/>
        <v>34553800</v>
      </c>
      <c r="U42" s="22">
        <f t="shared" si="24"/>
        <v>1521465014</v>
      </c>
      <c r="V42" s="22">
        <f t="shared" si="24"/>
        <v>1528862330</v>
      </c>
      <c r="W42" s="22">
        <f>T42+V42</f>
        <v>1563416130</v>
      </c>
      <c r="X42" s="22">
        <f t="shared" si="24"/>
        <v>8225514604</v>
      </c>
      <c r="Y42" s="23">
        <f t="shared" si="24"/>
        <v>0</v>
      </c>
      <c r="Z42" s="22">
        <f t="shared" si="24"/>
        <v>149876923</v>
      </c>
      <c r="AA42" s="24">
        <f t="shared" si="8"/>
        <v>0.17238416439152143</v>
      </c>
    </row>
    <row r="43" spans="1:27" ht="18.75" customHeight="1" x14ac:dyDescent="0.2">
      <c r="A43" s="27" t="s">
        <v>49</v>
      </c>
      <c r="B43" s="27" t="s">
        <v>50</v>
      </c>
      <c r="C43" s="19" t="s">
        <v>907</v>
      </c>
      <c r="D43" s="28" t="s">
        <v>104</v>
      </c>
      <c r="E43" s="29" t="s">
        <v>105</v>
      </c>
      <c r="F43" s="30" t="s">
        <v>37</v>
      </c>
      <c r="G43" s="30">
        <f>G44+G45</f>
        <v>2694944550</v>
      </c>
      <c r="H43" s="31">
        <f t="shared" ref="H43:V43" si="25">H44+H45</f>
        <v>0</v>
      </c>
      <c r="I43" s="31">
        <f t="shared" si="25"/>
        <v>0</v>
      </c>
      <c r="J43" s="31">
        <f t="shared" si="25"/>
        <v>0</v>
      </c>
      <c r="K43" s="31">
        <f t="shared" si="25"/>
        <v>0</v>
      </c>
      <c r="L43" s="31">
        <f t="shared" si="25"/>
        <v>0</v>
      </c>
      <c r="M43" s="30">
        <f t="shared" si="25"/>
        <v>2694944550</v>
      </c>
      <c r="N43" s="31">
        <f t="shared" si="25"/>
        <v>0</v>
      </c>
      <c r="O43" s="30">
        <f t="shared" si="25"/>
        <v>13809400</v>
      </c>
      <c r="P43" s="30">
        <f t="shared" si="25"/>
        <v>205333000</v>
      </c>
      <c r="Q43" s="31">
        <f t="shared" si="25"/>
        <v>0</v>
      </c>
      <c r="R43" s="30">
        <f t="shared" si="25"/>
        <v>13809400</v>
      </c>
      <c r="S43" s="30">
        <f t="shared" si="25"/>
        <v>205333000</v>
      </c>
      <c r="T43" s="31">
        <f t="shared" si="25"/>
        <v>13809400</v>
      </c>
      <c r="U43" s="31">
        <f t="shared" si="25"/>
        <v>191523600</v>
      </c>
      <c r="V43" s="30">
        <f t="shared" si="25"/>
        <v>191523600</v>
      </c>
      <c r="W43" s="30">
        <f t="shared" ref="W43:W69" si="26">T43+V43</f>
        <v>205333000</v>
      </c>
      <c r="X43" s="18">
        <f t="shared" ref="X43:X69" si="27">M43-P43</f>
        <v>2489611550</v>
      </c>
      <c r="Y43" s="34">
        <f t="shared" ref="Y43:Y69" si="28">P43-S43</f>
        <v>0</v>
      </c>
      <c r="Z43" s="34">
        <f t="shared" ref="Z43:Z69" si="29">S43-W43</f>
        <v>0</v>
      </c>
      <c r="AA43" s="32">
        <f t="shared" si="8"/>
        <v>7.6191920163997437E-2</v>
      </c>
    </row>
    <row r="44" spans="1:27" ht="18.75" customHeight="1" x14ac:dyDescent="0.2">
      <c r="A44" s="14" t="s">
        <v>55</v>
      </c>
      <c r="B44" s="15" t="s">
        <v>56</v>
      </c>
      <c r="C44" s="19" t="s">
        <v>907</v>
      </c>
      <c r="D44" s="16" t="s">
        <v>106</v>
      </c>
      <c r="E44" s="17" t="s">
        <v>105</v>
      </c>
      <c r="F44" s="17" t="s">
        <v>58</v>
      </c>
      <c r="G44" s="18">
        <v>2434081998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18">
        <v>2434081998</v>
      </c>
      <c r="N44" s="34">
        <v>0</v>
      </c>
      <c r="O44" s="18">
        <v>0</v>
      </c>
      <c r="P44" s="18">
        <v>178735000</v>
      </c>
      <c r="Q44" s="34">
        <v>0</v>
      </c>
      <c r="R44" s="18">
        <v>0</v>
      </c>
      <c r="S44" s="18">
        <v>178735000</v>
      </c>
      <c r="T44" s="34">
        <v>0</v>
      </c>
      <c r="U44" s="34">
        <v>178735000</v>
      </c>
      <c r="V44" s="110">
        <v>178735000</v>
      </c>
      <c r="W44" s="30">
        <f t="shared" si="26"/>
        <v>178735000</v>
      </c>
      <c r="X44" s="18">
        <f t="shared" si="27"/>
        <v>2255346998</v>
      </c>
      <c r="Y44" s="34">
        <f t="shared" si="28"/>
        <v>0</v>
      </c>
      <c r="Z44" s="34">
        <f t="shared" si="29"/>
        <v>0</v>
      </c>
      <c r="AA44" s="32">
        <f t="shared" si="8"/>
        <v>7.3430147442387031E-2</v>
      </c>
    </row>
    <row r="45" spans="1:27" ht="27" customHeight="1" x14ac:dyDescent="0.2">
      <c r="A45" s="14" t="s">
        <v>55</v>
      </c>
      <c r="B45" s="15" t="s">
        <v>56</v>
      </c>
      <c r="C45" s="19" t="s">
        <v>907</v>
      </c>
      <c r="D45" s="16" t="s">
        <v>107</v>
      </c>
      <c r="E45" s="17" t="s">
        <v>108</v>
      </c>
      <c r="F45" s="17" t="s">
        <v>61</v>
      </c>
      <c r="G45" s="18">
        <v>260862552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18">
        <v>260862552</v>
      </c>
      <c r="N45" s="34">
        <v>0</v>
      </c>
      <c r="O45" s="18">
        <v>13809400</v>
      </c>
      <c r="P45" s="18">
        <v>26598000</v>
      </c>
      <c r="Q45" s="34">
        <v>0</v>
      </c>
      <c r="R45" s="18">
        <v>13809400</v>
      </c>
      <c r="S45" s="18">
        <v>26598000</v>
      </c>
      <c r="T45" s="34">
        <v>13809400</v>
      </c>
      <c r="U45" s="34">
        <v>12788600</v>
      </c>
      <c r="V45" s="110">
        <v>12788600</v>
      </c>
      <c r="W45" s="30">
        <f t="shared" si="26"/>
        <v>26598000</v>
      </c>
      <c r="X45" s="18">
        <f t="shared" si="27"/>
        <v>234264552</v>
      </c>
      <c r="Y45" s="34">
        <f t="shared" si="28"/>
        <v>0</v>
      </c>
      <c r="Z45" s="34">
        <f t="shared" si="29"/>
        <v>0</v>
      </c>
      <c r="AA45" s="32">
        <f t="shared" si="8"/>
        <v>0.10196174113944879</v>
      </c>
    </row>
    <row r="46" spans="1:27" ht="18.75" customHeight="1" x14ac:dyDescent="0.2">
      <c r="A46" s="27" t="s">
        <v>49</v>
      </c>
      <c r="B46" s="27" t="s">
        <v>50</v>
      </c>
      <c r="C46" s="19" t="s">
        <v>907</v>
      </c>
      <c r="D46" s="28" t="s">
        <v>109</v>
      </c>
      <c r="E46" s="29" t="s">
        <v>110</v>
      </c>
      <c r="F46" s="30" t="s">
        <v>37</v>
      </c>
      <c r="G46" s="30">
        <f>G47+G48</f>
        <v>1966170915</v>
      </c>
      <c r="H46" s="31">
        <f t="shared" ref="H46:V46" si="30">H47+H48</f>
        <v>0</v>
      </c>
      <c r="I46" s="31">
        <f t="shared" si="30"/>
        <v>0</v>
      </c>
      <c r="J46" s="31">
        <f t="shared" si="30"/>
        <v>0</v>
      </c>
      <c r="K46" s="31">
        <f t="shared" si="30"/>
        <v>0</v>
      </c>
      <c r="L46" s="31">
        <f t="shared" si="30"/>
        <v>0</v>
      </c>
      <c r="M46" s="30">
        <f t="shared" si="30"/>
        <v>1966170915</v>
      </c>
      <c r="N46" s="31">
        <f t="shared" si="30"/>
        <v>0</v>
      </c>
      <c r="O46" s="30">
        <f t="shared" si="30"/>
        <v>9798300</v>
      </c>
      <c r="P46" s="30">
        <f t="shared" si="30"/>
        <v>148743800</v>
      </c>
      <c r="Q46" s="31">
        <f t="shared" si="30"/>
        <v>0</v>
      </c>
      <c r="R46" s="30">
        <f t="shared" si="30"/>
        <v>9798300</v>
      </c>
      <c r="S46" s="30">
        <f t="shared" si="30"/>
        <v>148743800</v>
      </c>
      <c r="T46" s="31">
        <f t="shared" si="30"/>
        <v>9781700</v>
      </c>
      <c r="U46" s="31">
        <f t="shared" si="30"/>
        <v>138962100</v>
      </c>
      <c r="V46" s="109">
        <f t="shared" si="30"/>
        <v>138962100</v>
      </c>
      <c r="W46" s="39">
        <f t="shared" si="26"/>
        <v>148743800</v>
      </c>
      <c r="X46" s="18">
        <f t="shared" si="27"/>
        <v>1817427115</v>
      </c>
      <c r="Y46" s="34">
        <f t="shared" si="28"/>
        <v>0</v>
      </c>
      <c r="Z46" s="34">
        <f t="shared" si="29"/>
        <v>0</v>
      </c>
      <c r="AA46" s="32">
        <f t="shared" si="8"/>
        <v>7.5651510692802612E-2</v>
      </c>
    </row>
    <row r="47" spans="1:27" ht="18.75" customHeight="1" x14ac:dyDescent="0.2">
      <c r="A47" s="35" t="s">
        <v>55</v>
      </c>
      <c r="B47" s="36" t="s">
        <v>56</v>
      </c>
      <c r="C47" s="19" t="s">
        <v>907</v>
      </c>
      <c r="D47" s="37" t="s">
        <v>111</v>
      </c>
      <c r="E47" s="38" t="s">
        <v>110</v>
      </c>
      <c r="F47" s="38" t="s">
        <v>58</v>
      </c>
      <c r="G47" s="39">
        <v>1757106683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39">
        <v>1757106683</v>
      </c>
      <c r="N47" s="40">
        <v>0</v>
      </c>
      <c r="O47" s="39">
        <v>16600</v>
      </c>
      <c r="P47" s="39">
        <v>129903600</v>
      </c>
      <c r="Q47" s="40">
        <v>0</v>
      </c>
      <c r="R47" s="39">
        <v>16600</v>
      </c>
      <c r="S47" s="39">
        <v>129903600</v>
      </c>
      <c r="T47" s="40">
        <v>0</v>
      </c>
      <c r="U47" s="40">
        <v>129903600</v>
      </c>
      <c r="V47" s="111">
        <v>129903600</v>
      </c>
      <c r="W47" s="39">
        <f t="shared" si="26"/>
        <v>129903600</v>
      </c>
      <c r="X47" s="18">
        <f t="shared" si="27"/>
        <v>1627203083</v>
      </c>
      <c r="Y47" s="34">
        <f t="shared" si="28"/>
        <v>0</v>
      </c>
      <c r="Z47" s="34">
        <f t="shared" si="29"/>
        <v>0</v>
      </c>
      <c r="AA47" s="32">
        <f t="shared" si="8"/>
        <v>7.3930400047314604E-2</v>
      </c>
    </row>
    <row r="48" spans="1:27" ht="18.75" customHeight="1" x14ac:dyDescent="0.2">
      <c r="A48" s="14" t="s">
        <v>55</v>
      </c>
      <c r="B48" s="15" t="s">
        <v>56</v>
      </c>
      <c r="C48" s="19" t="s">
        <v>907</v>
      </c>
      <c r="D48" s="16" t="s">
        <v>112</v>
      </c>
      <c r="E48" s="17" t="s">
        <v>113</v>
      </c>
      <c r="F48" s="17" t="s">
        <v>61</v>
      </c>
      <c r="G48" s="18">
        <v>209064232</v>
      </c>
      <c r="H48" s="34">
        <v>0</v>
      </c>
      <c r="I48" s="34">
        <v>0</v>
      </c>
      <c r="J48" s="34">
        <v>0</v>
      </c>
      <c r="K48" s="34">
        <v>0</v>
      </c>
      <c r="L48" s="34">
        <v>0</v>
      </c>
      <c r="M48" s="18">
        <v>209064232</v>
      </c>
      <c r="N48" s="34">
        <v>0</v>
      </c>
      <c r="O48" s="18">
        <v>9781700</v>
      </c>
      <c r="P48" s="18">
        <v>18840200</v>
      </c>
      <c r="Q48" s="34">
        <v>0</v>
      </c>
      <c r="R48" s="18">
        <v>9781700</v>
      </c>
      <c r="S48" s="18">
        <v>18840200</v>
      </c>
      <c r="T48" s="34">
        <v>9781700</v>
      </c>
      <c r="U48" s="34">
        <v>9058500</v>
      </c>
      <c r="V48" s="110">
        <v>9058500</v>
      </c>
      <c r="W48" s="39">
        <f t="shared" si="26"/>
        <v>18840200</v>
      </c>
      <c r="X48" s="18">
        <f t="shared" si="27"/>
        <v>190224032</v>
      </c>
      <c r="Y48" s="34">
        <f t="shared" si="28"/>
        <v>0</v>
      </c>
      <c r="Z48" s="34">
        <f t="shared" si="29"/>
        <v>0</v>
      </c>
      <c r="AA48" s="32">
        <f t="shared" si="8"/>
        <v>9.0116801997962043E-2</v>
      </c>
    </row>
    <row r="49" spans="1:27" ht="18.75" customHeight="1" x14ac:dyDescent="0.2">
      <c r="A49" s="27" t="s">
        <v>49</v>
      </c>
      <c r="B49" s="27" t="s">
        <v>50</v>
      </c>
      <c r="C49" s="19" t="s">
        <v>907</v>
      </c>
      <c r="D49" s="28" t="s">
        <v>114</v>
      </c>
      <c r="E49" s="29" t="s">
        <v>115</v>
      </c>
      <c r="F49" s="30" t="s">
        <v>37</v>
      </c>
      <c r="G49" s="30">
        <f>G50+G51</f>
        <v>2387025947</v>
      </c>
      <c r="H49" s="31">
        <f t="shared" ref="H49:V49" si="31">H50+H51</f>
        <v>0</v>
      </c>
      <c r="I49" s="31">
        <f t="shared" si="31"/>
        <v>0</v>
      </c>
      <c r="J49" s="31">
        <f t="shared" si="31"/>
        <v>0</v>
      </c>
      <c r="K49" s="31">
        <f t="shared" si="31"/>
        <v>0</v>
      </c>
      <c r="L49" s="31">
        <f t="shared" si="31"/>
        <v>0</v>
      </c>
      <c r="M49" s="30">
        <f t="shared" si="31"/>
        <v>2387025947</v>
      </c>
      <c r="N49" s="31">
        <f t="shared" si="31"/>
        <v>0</v>
      </c>
      <c r="O49" s="30">
        <f t="shared" si="31"/>
        <v>994286652</v>
      </c>
      <c r="P49" s="30">
        <f t="shared" si="31"/>
        <v>1187494453</v>
      </c>
      <c r="Q49" s="31">
        <f t="shared" si="31"/>
        <v>0</v>
      </c>
      <c r="R49" s="30">
        <f t="shared" si="31"/>
        <v>994286652</v>
      </c>
      <c r="S49" s="30">
        <f t="shared" si="31"/>
        <v>1187494453</v>
      </c>
      <c r="T49" s="31">
        <f t="shared" si="31"/>
        <v>0</v>
      </c>
      <c r="U49" s="30">
        <f t="shared" si="31"/>
        <v>1030220214</v>
      </c>
      <c r="V49" s="30">
        <f t="shared" si="31"/>
        <v>1037617530</v>
      </c>
      <c r="W49" s="39">
        <f t="shared" si="26"/>
        <v>1037617530</v>
      </c>
      <c r="X49" s="18">
        <f t="shared" si="27"/>
        <v>1199531494</v>
      </c>
      <c r="Y49" s="34">
        <f t="shared" si="28"/>
        <v>0</v>
      </c>
      <c r="Z49" s="18">
        <f t="shared" si="29"/>
        <v>149876923</v>
      </c>
      <c r="AA49" s="32">
        <f t="shared" si="8"/>
        <v>0.49747865308813921</v>
      </c>
    </row>
    <row r="50" spans="1:27" ht="18.75" customHeight="1" x14ac:dyDescent="0.2">
      <c r="A50" s="14" t="s">
        <v>55</v>
      </c>
      <c r="B50" s="15" t="s">
        <v>56</v>
      </c>
      <c r="C50" s="19" t="s">
        <v>907</v>
      </c>
      <c r="D50" s="16" t="s">
        <v>116</v>
      </c>
      <c r="E50" s="17" t="s">
        <v>115</v>
      </c>
      <c r="F50" s="17" t="s">
        <v>58</v>
      </c>
      <c r="G50" s="18">
        <v>2208060292</v>
      </c>
      <c r="H50" s="34">
        <v>0</v>
      </c>
      <c r="I50" s="34">
        <v>0</v>
      </c>
      <c r="J50" s="34">
        <v>0</v>
      </c>
      <c r="K50" s="34">
        <v>0</v>
      </c>
      <c r="L50" s="34">
        <v>0</v>
      </c>
      <c r="M50" s="18">
        <v>2208060292</v>
      </c>
      <c r="N50" s="34">
        <v>0</v>
      </c>
      <c r="O50" s="18">
        <v>935206514</v>
      </c>
      <c r="P50" s="18">
        <v>1122332737</v>
      </c>
      <c r="Q50" s="34">
        <v>0</v>
      </c>
      <c r="R50" s="18">
        <v>935206514</v>
      </c>
      <c r="S50" s="18">
        <v>1122332737</v>
      </c>
      <c r="T50" s="34">
        <v>0</v>
      </c>
      <c r="U50" s="18">
        <v>971134877</v>
      </c>
      <c r="V50" s="110">
        <v>973615507</v>
      </c>
      <c r="W50" s="39">
        <f t="shared" si="26"/>
        <v>973615507</v>
      </c>
      <c r="X50" s="18">
        <f t="shared" si="27"/>
        <v>1085727555</v>
      </c>
      <c r="Y50" s="34">
        <f t="shared" si="28"/>
        <v>0</v>
      </c>
      <c r="Z50" s="18">
        <f t="shared" si="29"/>
        <v>148717230</v>
      </c>
      <c r="AA50" s="32">
        <f t="shared" si="8"/>
        <v>0.50828899059790711</v>
      </c>
    </row>
    <row r="51" spans="1:27" ht="18.75" customHeight="1" x14ac:dyDescent="0.2">
      <c r="A51" s="14" t="s">
        <v>55</v>
      </c>
      <c r="B51" s="15" t="s">
        <v>56</v>
      </c>
      <c r="C51" s="19" t="s">
        <v>907</v>
      </c>
      <c r="D51" s="16" t="s">
        <v>117</v>
      </c>
      <c r="E51" s="17" t="s">
        <v>115</v>
      </c>
      <c r="F51" s="17" t="s">
        <v>61</v>
      </c>
      <c r="G51" s="18">
        <v>178965655</v>
      </c>
      <c r="H51" s="34">
        <v>0</v>
      </c>
      <c r="I51" s="34">
        <v>0</v>
      </c>
      <c r="J51" s="34">
        <v>0</v>
      </c>
      <c r="K51" s="34">
        <v>0</v>
      </c>
      <c r="L51" s="34">
        <v>0</v>
      </c>
      <c r="M51" s="18">
        <v>178965655</v>
      </c>
      <c r="N51" s="34">
        <v>0</v>
      </c>
      <c r="O51" s="18">
        <v>59080138</v>
      </c>
      <c r="P51" s="18">
        <v>65161716</v>
      </c>
      <c r="Q51" s="34">
        <v>0</v>
      </c>
      <c r="R51" s="18">
        <v>59080138</v>
      </c>
      <c r="S51" s="18">
        <v>65161716</v>
      </c>
      <c r="T51" s="34">
        <v>0</v>
      </c>
      <c r="U51" s="18">
        <v>59085337</v>
      </c>
      <c r="V51" s="110">
        <v>64002023</v>
      </c>
      <c r="W51" s="39">
        <f t="shared" si="26"/>
        <v>64002023</v>
      </c>
      <c r="X51" s="18">
        <f t="shared" si="27"/>
        <v>113803939</v>
      </c>
      <c r="Y51" s="34">
        <f t="shared" si="28"/>
        <v>0</v>
      </c>
      <c r="Z51" s="18">
        <f t="shared" si="29"/>
        <v>1159693</v>
      </c>
      <c r="AA51" s="32">
        <f t="shared" si="8"/>
        <v>0.36410179372125895</v>
      </c>
    </row>
    <row r="52" spans="1:27" ht="18.75" customHeight="1" x14ac:dyDescent="0.2">
      <c r="A52" s="27" t="s">
        <v>49</v>
      </c>
      <c r="B52" s="27" t="s">
        <v>50</v>
      </c>
      <c r="C52" s="19" t="s">
        <v>907</v>
      </c>
      <c r="D52" s="28" t="s">
        <v>118</v>
      </c>
      <c r="E52" s="29" t="s">
        <v>119</v>
      </c>
      <c r="F52" s="30" t="s">
        <v>37</v>
      </c>
      <c r="G52" s="30">
        <f>G53+G54</f>
        <v>1154194065</v>
      </c>
      <c r="H52" s="31">
        <f t="shared" ref="H52:V52" si="32">H53+H54</f>
        <v>0</v>
      </c>
      <c r="I52" s="31">
        <f t="shared" si="32"/>
        <v>0</v>
      </c>
      <c r="J52" s="31">
        <f t="shared" si="32"/>
        <v>0</v>
      </c>
      <c r="K52" s="31">
        <f t="shared" si="32"/>
        <v>0</v>
      </c>
      <c r="L52" s="31">
        <f t="shared" si="32"/>
        <v>0</v>
      </c>
      <c r="M52" s="30">
        <f t="shared" si="32"/>
        <v>1154194065</v>
      </c>
      <c r="N52" s="31">
        <f t="shared" si="32"/>
        <v>0</v>
      </c>
      <c r="O52" s="30">
        <f t="shared" si="32"/>
        <v>4604300</v>
      </c>
      <c r="P52" s="30">
        <f t="shared" si="32"/>
        <v>69881400</v>
      </c>
      <c r="Q52" s="31">
        <f t="shared" si="32"/>
        <v>0</v>
      </c>
      <c r="R52" s="30">
        <f t="shared" si="32"/>
        <v>4604300</v>
      </c>
      <c r="S52" s="30">
        <f t="shared" si="32"/>
        <v>69881400</v>
      </c>
      <c r="T52" s="31">
        <f t="shared" si="32"/>
        <v>4604300</v>
      </c>
      <c r="U52" s="30">
        <f t="shared" si="32"/>
        <v>65277100</v>
      </c>
      <c r="V52" s="109">
        <f t="shared" si="32"/>
        <v>65277100</v>
      </c>
      <c r="W52" s="30">
        <f t="shared" si="26"/>
        <v>69881400</v>
      </c>
      <c r="X52" s="18">
        <f t="shared" si="27"/>
        <v>1084312665</v>
      </c>
      <c r="Y52" s="34">
        <f t="shared" si="28"/>
        <v>0</v>
      </c>
      <c r="Z52" s="34">
        <f t="shared" si="29"/>
        <v>0</v>
      </c>
      <c r="AA52" s="32">
        <f t="shared" si="8"/>
        <v>6.0545624101783956E-2</v>
      </c>
    </row>
    <row r="53" spans="1:27" ht="18.75" customHeight="1" x14ac:dyDescent="0.2">
      <c r="A53" s="14" t="s">
        <v>55</v>
      </c>
      <c r="B53" s="15" t="s">
        <v>56</v>
      </c>
      <c r="C53" s="19" t="s">
        <v>907</v>
      </c>
      <c r="D53" s="16" t="s">
        <v>120</v>
      </c>
      <c r="E53" s="17" t="s">
        <v>119</v>
      </c>
      <c r="F53" s="17" t="s">
        <v>58</v>
      </c>
      <c r="G53" s="18">
        <v>1088978427</v>
      </c>
      <c r="H53" s="34">
        <v>0</v>
      </c>
      <c r="I53" s="34">
        <v>0</v>
      </c>
      <c r="J53" s="34">
        <v>0</v>
      </c>
      <c r="K53" s="34">
        <v>0</v>
      </c>
      <c r="L53" s="34">
        <v>0</v>
      </c>
      <c r="M53" s="18">
        <v>1088978427</v>
      </c>
      <c r="N53" s="34">
        <v>0</v>
      </c>
      <c r="O53" s="18">
        <v>0</v>
      </c>
      <c r="P53" s="18">
        <v>61027800</v>
      </c>
      <c r="Q53" s="34">
        <v>0</v>
      </c>
      <c r="R53" s="18">
        <v>0</v>
      </c>
      <c r="S53" s="18">
        <v>61027800</v>
      </c>
      <c r="T53" s="34">
        <v>0</v>
      </c>
      <c r="U53" s="18">
        <v>61027800</v>
      </c>
      <c r="V53" s="110">
        <v>61027800</v>
      </c>
      <c r="W53" s="30">
        <f t="shared" si="26"/>
        <v>61027800</v>
      </c>
      <c r="X53" s="18">
        <f t="shared" si="27"/>
        <v>1027950627</v>
      </c>
      <c r="Y53" s="34">
        <f t="shared" si="28"/>
        <v>0</v>
      </c>
      <c r="Z53" s="34">
        <f t="shared" si="29"/>
        <v>0</v>
      </c>
      <c r="AA53" s="32">
        <f t="shared" si="8"/>
        <v>5.6041330559801802E-2</v>
      </c>
    </row>
    <row r="54" spans="1:27" ht="28.5" customHeight="1" x14ac:dyDescent="0.2">
      <c r="A54" s="14" t="s">
        <v>55</v>
      </c>
      <c r="B54" s="15" t="s">
        <v>56</v>
      </c>
      <c r="C54" s="19" t="s">
        <v>907</v>
      </c>
      <c r="D54" s="16" t="s">
        <v>121</v>
      </c>
      <c r="E54" s="17" t="s">
        <v>122</v>
      </c>
      <c r="F54" s="17" t="s">
        <v>61</v>
      </c>
      <c r="G54" s="18">
        <v>65215638</v>
      </c>
      <c r="H54" s="34">
        <v>0</v>
      </c>
      <c r="I54" s="34">
        <v>0</v>
      </c>
      <c r="J54" s="34">
        <v>0</v>
      </c>
      <c r="K54" s="34">
        <v>0</v>
      </c>
      <c r="L54" s="34">
        <v>0</v>
      </c>
      <c r="M54" s="18">
        <v>65215638</v>
      </c>
      <c r="N54" s="34">
        <v>0</v>
      </c>
      <c r="O54" s="18">
        <v>4604300</v>
      </c>
      <c r="P54" s="18">
        <v>8853600</v>
      </c>
      <c r="Q54" s="34">
        <v>0</v>
      </c>
      <c r="R54" s="18">
        <v>4604300</v>
      </c>
      <c r="S54" s="18">
        <v>8853600</v>
      </c>
      <c r="T54" s="34">
        <v>4604300</v>
      </c>
      <c r="U54" s="18">
        <v>4249300</v>
      </c>
      <c r="V54" s="110">
        <v>4249300</v>
      </c>
      <c r="W54" s="30">
        <f t="shared" si="26"/>
        <v>8853600</v>
      </c>
      <c r="X54" s="18">
        <f t="shared" si="27"/>
        <v>56362038</v>
      </c>
      <c r="Y54" s="34">
        <f t="shared" si="28"/>
        <v>0</v>
      </c>
      <c r="Z54" s="34">
        <f t="shared" si="29"/>
        <v>0</v>
      </c>
      <c r="AA54" s="32">
        <f t="shared" si="8"/>
        <v>0.13575884974091643</v>
      </c>
    </row>
    <row r="55" spans="1:27" ht="18.75" customHeight="1" x14ac:dyDescent="0.2">
      <c r="A55" s="27" t="s">
        <v>49</v>
      </c>
      <c r="B55" s="27" t="s">
        <v>50</v>
      </c>
      <c r="C55" s="19" t="s">
        <v>907</v>
      </c>
      <c r="D55" s="28" t="s">
        <v>123</v>
      </c>
      <c r="E55" s="29" t="s">
        <v>124</v>
      </c>
      <c r="F55" s="30" t="s">
        <v>37</v>
      </c>
      <c r="G55" s="30">
        <f>G56+G57</f>
        <v>308515529</v>
      </c>
      <c r="H55" s="31">
        <f t="shared" ref="H55:V55" si="33">H56+H57</f>
        <v>0</v>
      </c>
      <c r="I55" s="31">
        <f t="shared" si="33"/>
        <v>0</v>
      </c>
      <c r="J55" s="31">
        <f t="shared" si="33"/>
        <v>0</v>
      </c>
      <c r="K55" s="31">
        <f t="shared" si="33"/>
        <v>0</v>
      </c>
      <c r="L55" s="31">
        <f t="shared" si="33"/>
        <v>0</v>
      </c>
      <c r="M55" s="30">
        <f t="shared" si="33"/>
        <v>308515529</v>
      </c>
      <c r="N55" s="31">
        <f t="shared" si="33"/>
        <v>0</v>
      </c>
      <c r="O55" s="30">
        <f t="shared" si="33"/>
        <v>1291700</v>
      </c>
      <c r="P55" s="30">
        <f t="shared" si="33"/>
        <v>14437500</v>
      </c>
      <c r="Q55" s="31">
        <f t="shared" si="33"/>
        <v>0</v>
      </c>
      <c r="R55" s="30">
        <f t="shared" si="33"/>
        <v>1291700</v>
      </c>
      <c r="S55" s="30">
        <f t="shared" si="33"/>
        <v>14437500</v>
      </c>
      <c r="T55" s="31">
        <f t="shared" si="33"/>
        <v>602000</v>
      </c>
      <c r="U55" s="31">
        <f t="shared" si="33"/>
        <v>13835500</v>
      </c>
      <c r="V55" s="109">
        <f t="shared" si="33"/>
        <v>13835500</v>
      </c>
      <c r="W55" s="30">
        <f t="shared" si="26"/>
        <v>14437500</v>
      </c>
      <c r="X55" s="18">
        <f t="shared" si="27"/>
        <v>294078029</v>
      </c>
      <c r="Y55" s="34">
        <f t="shared" si="28"/>
        <v>0</v>
      </c>
      <c r="Z55" s="34">
        <f t="shared" si="29"/>
        <v>0</v>
      </c>
      <c r="AA55" s="32">
        <f t="shared" si="8"/>
        <v>4.6796671943213596E-2</v>
      </c>
    </row>
    <row r="56" spans="1:27" ht="18.75" customHeight="1" x14ac:dyDescent="0.2">
      <c r="A56" s="35" t="s">
        <v>55</v>
      </c>
      <c r="B56" s="36" t="s">
        <v>56</v>
      </c>
      <c r="C56" s="19" t="s">
        <v>907</v>
      </c>
      <c r="D56" s="37" t="s">
        <v>125</v>
      </c>
      <c r="E56" s="38" t="s">
        <v>124</v>
      </c>
      <c r="F56" s="38" t="s">
        <v>58</v>
      </c>
      <c r="G56" s="39">
        <v>299999998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39">
        <v>299999998</v>
      </c>
      <c r="N56" s="40">
        <v>0</v>
      </c>
      <c r="O56" s="39">
        <v>689700</v>
      </c>
      <c r="P56" s="39">
        <v>13279900</v>
      </c>
      <c r="Q56" s="40">
        <v>0</v>
      </c>
      <c r="R56" s="39">
        <v>689700</v>
      </c>
      <c r="S56" s="39">
        <v>13279900</v>
      </c>
      <c r="T56" s="40">
        <v>0</v>
      </c>
      <c r="U56" s="40">
        <v>13279900</v>
      </c>
      <c r="V56" s="111">
        <v>13279900</v>
      </c>
      <c r="W56" s="30">
        <f t="shared" si="26"/>
        <v>13279900</v>
      </c>
      <c r="X56" s="18">
        <f t="shared" si="27"/>
        <v>286720098</v>
      </c>
      <c r="Y56" s="34">
        <f t="shared" si="28"/>
        <v>0</v>
      </c>
      <c r="Z56" s="34">
        <f t="shared" si="29"/>
        <v>0</v>
      </c>
      <c r="AA56" s="32">
        <f t="shared" si="8"/>
        <v>4.4266333628442227E-2</v>
      </c>
    </row>
    <row r="57" spans="1:27" ht="26.25" customHeight="1" x14ac:dyDescent="0.2">
      <c r="A57" s="35" t="s">
        <v>55</v>
      </c>
      <c r="B57" s="36" t="s">
        <v>56</v>
      </c>
      <c r="C57" s="19" t="s">
        <v>907</v>
      </c>
      <c r="D57" s="37" t="s">
        <v>126</v>
      </c>
      <c r="E57" s="38" t="s">
        <v>127</v>
      </c>
      <c r="F57" s="38" t="s">
        <v>61</v>
      </c>
      <c r="G57" s="39">
        <v>8515531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39">
        <v>8515531</v>
      </c>
      <c r="N57" s="40">
        <v>0</v>
      </c>
      <c r="O57" s="39">
        <v>602000</v>
      </c>
      <c r="P57" s="39">
        <v>1157600</v>
      </c>
      <c r="Q57" s="40">
        <v>0</v>
      </c>
      <c r="R57" s="39">
        <v>602000</v>
      </c>
      <c r="S57" s="39">
        <v>1157600</v>
      </c>
      <c r="T57" s="40">
        <v>602000</v>
      </c>
      <c r="U57" s="40">
        <v>555600</v>
      </c>
      <c r="V57" s="111">
        <v>555600</v>
      </c>
      <c r="W57" s="30">
        <f t="shared" si="26"/>
        <v>1157600</v>
      </c>
      <c r="X57" s="18">
        <f t="shared" si="27"/>
        <v>7357931</v>
      </c>
      <c r="Y57" s="34">
        <f t="shared" si="28"/>
        <v>0</v>
      </c>
      <c r="Z57" s="34">
        <f t="shared" si="29"/>
        <v>0</v>
      </c>
      <c r="AA57" s="32">
        <f t="shared" si="8"/>
        <v>0.13593984920024366</v>
      </c>
    </row>
    <row r="58" spans="1:27" ht="18.75" customHeight="1" x14ac:dyDescent="0.2">
      <c r="A58" s="27" t="s">
        <v>49</v>
      </c>
      <c r="B58" s="27" t="s">
        <v>50</v>
      </c>
      <c r="C58" s="19" t="s">
        <v>907</v>
      </c>
      <c r="D58" s="28" t="s">
        <v>128</v>
      </c>
      <c r="E58" s="29" t="s">
        <v>129</v>
      </c>
      <c r="F58" s="30" t="s">
        <v>37</v>
      </c>
      <c r="G58" s="30">
        <f>G59+G60</f>
        <v>865645548</v>
      </c>
      <c r="H58" s="31">
        <f t="shared" ref="H58:V58" si="34">H59+H60</f>
        <v>0</v>
      </c>
      <c r="I58" s="31">
        <f t="shared" si="34"/>
        <v>0</v>
      </c>
      <c r="J58" s="31">
        <f t="shared" si="34"/>
        <v>0</v>
      </c>
      <c r="K58" s="31">
        <f t="shared" si="34"/>
        <v>0</v>
      </c>
      <c r="L58" s="31">
        <f t="shared" si="34"/>
        <v>0</v>
      </c>
      <c r="M58" s="30">
        <f t="shared" si="34"/>
        <v>865645548</v>
      </c>
      <c r="N58" s="31">
        <f t="shared" si="34"/>
        <v>0</v>
      </c>
      <c r="O58" s="30">
        <f t="shared" si="34"/>
        <v>3453100</v>
      </c>
      <c r="P58" s="30">
        <f t="shared" si="34"/>
        <v>52412800</v>
      </c>
      <c r="Q58" s="31">
        <f t="shared" si="34"/>
        <v>0</v>
      </c>
      <c r="R58" s="30">
        <f t="shared" si="34"/>
        <v>3453100</v>
      </c>
      <c r="S58" s="30">
        <f t="shared" si="34"/>
        <v>52412800</v>
      </c>
      <c r="T58" s="31">
        <f t="shared" si="34"/>
        <v>3453100</v>
      </c>
      <c r="U58" s="31">
        <f t="shared" si="34"/>
        <v>48959700</v>
      </c>
      <c r="V58" s="109">
        <f t="shared" si="34"/>
        <v>48959700</v>
      </c>
      <c r="W58" s="30">
        <f t="shared" si="26"/>
        <v>52412800</v>
      </c>
      <c r="X58" s="18">
        <f t="shared" si="27"/>
        <v>813232748</v>
      </c>
      <c r="Y58" s="34">
        <f t="shared" si="28"/>
        <v>0</v>
      </c>
      <c r="Z58" s="34">
        <f t="shared" si="29"/>
        <v>0</v>
      </c>
      <c r="AA58" s="32">
        <f t="shared" si="8"/>
        <v>6.0547645766902275E-2</v>
      </c>
    </row>
    <row r="59" spans="1:27" ht="18.75" customHeight="1" x14ac:dyDescent="0.2">
      <c r="A59" s="14" t="s">
        <v>55</v>
      </c>
      <c r="B59" s="15" t="s">
        <v>56</v>
      </c>
      <c r="C59" s="19" t="s">
        <v>907</v>
      </c>
      <c r="D59" s="16" t="s">
        <v>130</v>
      </c>
      <c r="E59" s="17" t="s">
        <v>129</v>
      </c>
      <c r="F59" s="17" t="s">
        <v>58</v>
      </c>
      <c r="G59" s="18">
        <v>816733820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18">
        <v>816733820</v>
      </c>
      <c r="N59" s="34">
        <v>0</v>
      </c>
      <c r="O59" s="18">
        <v>0</v>
      </c>
      <c r="P59" s="18">
        <v>45772800</v>
      </c>
      <c r="Q59" s="34">
        <v>0</v>
      </c>
      <c r="R59" s="18">
        <v>0</v>
      </c>
      <c r="S59" s="18">
        <v>45772800</v>
      </c>
      <c r="T59" s="34">
        <v>0</v>
      </c>
      <c r="U59" s="34">
        <v>45772800</v>
      </c>
      <c r="V59" s="110">
        <v>45772800</v>
      </c>
      <c r="W59" s="30">
        <f t="shared" si="26"/>
        <v>45772800</v>
      </c>
      <c r="X59" s="18">
        <f t="shared" si="27"/>
        <v>770961020</v>
      </c>
      <c r="Y59" s="34">
        <f t="shared" si="28"/>
        <v>0</v>
      </c>
      <c r="Z59" s="34">
        <f t="shared" si="29"/>
        <v>0</v>
      </c>
      <c r="AA59" s="32">
        <f t="shared" si="8"/>
        <v>5.6043718135732397E-2</v>
      </c>
    </row>
    <row r="60" spans="1:27" ht="18.75" customHeight="1" x14ac:dyDescent="0.2">
      <c r="A60" s="14" t="s">
        <v>55</v>
      </c>
      <c r="B60" s="15" t="s">
        <v>56</v>
      </c>
      <c r="C60" s="19" t="s">
        <v>907</v>
      </c>
      <c r="D60" s="16" t="s">
        <v>131</v>
      </c>
      <c r="E60" s="17" t="s">
        <v>129</v>
      </c>
      <c r="F60" s="17" t="s">
        <v>61</v>
      </c>
      <c r="G60" s="18">
        <v>48911728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18">
        <v>48911728</v>
      </c>
      <c r="N60" s="34">
        <v>0</v>
      </c>
      <c r="O60" s="18">
        <v>3453100</v>
      </c>
      <c r="P60" s="18">
        <v>6640000</v>
      </c>
      <c r="Q60" s="34">
        <v>0</v>
      </c>
      <c r="R60" s="18">
        <v>3453100</v>
      </c>
      <c r="S60" s="18">
        <v>6640000</v>
      </c>
      <c r="T60" s="34">
        <v>3453100</v>
      </c>
      <c r="U60" s="34">
        <v>3186900</v>
      </c>
      <c r="V60" s="110">
        <v>3186900</v>
      </c>
      <c r="W60" s="30">
        <f t="shared" si="26"/>
        <v>6640000</v>
      </c>
      <c r="X60" s="18">
        <f t="shared" si="27"/>
        <v>42271728</v>
      </c>
      <c r="Y60" s="34">
        <f t="shared" si="28"/>
        <v>0</v>
      </c>
      <c r="Z60" s="34">
        <f t="shared" si="29"/>
        <v>0</v>
      </c>
      <c r="AA60" s="32">
        <f t="shared" si="8"/>
        <v>0.13575476212985155</v>
      </c>
    </row>
    <row r="61" spans="1:27" ht="18.75" customHeight="1" x14ac:dyDescent="0.2">
      <c r="A61" s="27" t="s">
        <v>49</v>
      </c>
      <c r="B61" s="27" t="s">
        <v>50</v>
      </c>
      <c r="C61" s="19" t="s">
        <v>907</v>
      </c>
      <c r="D61" s="28" t="s">
        <v>132</v>
      </c>
      <c r="E61" s="29" t="s">
        <v>133</v>
      </c>
      <c r="F61" s="30" t="s">
        <v>37</v>
      </c>
      <c r="G61" s="30">
        <f>G62+G63</f>
        <v>144274257</v>
      </c>
      <c r="H61" s="31">
        <f t="shared" ref="H61:V61" si="35">H62+H63</f>
        <v>0</v>
      </c>
      <c r="I61" s="31">
        <f t="shared" si="35"/>
        <v>0</v>
      </c>
      <c r="J61" s="31">
        <f t="shared" si="35"/>
        <v>0</v>
      </c>
      <c r="K61" s="31">
        <f t="shared" si="35"/>
        <v>0</v>
      </c>
      <c r="L61" s="31">
        <f t="shared" si="35"/>
        <v>0</v>
      </c>
      <c r="M61" s="30">
        <f t="shared" si="35"/>
        <v>144274257</v>
      </c>
      <c r="N61" s="31">
        <f t="shared" si="35"/>
        <v>0</v>
      </c>
      <c r="O61" s="30">
        <f t="shared" si="35"/>
        <v>576000</v>
      </c>
      <c r="P61" s="30">
        <f t="shared" si="35"/>
        <v>8752600</v>
      </c>
      <c r="Q61" s="31">
        <f t="shared" si="35"/>
        <v>0</v>
      </c>
      <c r="R61" s="30">
        <f t="shared" si="35"/>
        <v>576000</v>
      </c>
      <c r="S61" s="30">
        <f t="shared" si="35"/>
        <v>8752600</v>
      </c>
      <c r="T61" s="31">
        <f t="shared" si="35"/>
        <v>576000</v>
      </c>
      <c r="U61" s="31">
        <f t="shared" si="35"/>
        <v>8176600</v>
      </c>
      <c r="V61" s="109">
        <f t="shared" si="35"/>
        <v>8176600</v>
      </c>
      <c r="W61" s="30">
        <f t="shared" si="26"/>
        <v>8752600</v>
      </c>
      <c r="X61" s="18">
        <f t="shared" si="27"/>
        <v>135521657</v>
      </c>
      <c r="Y61" s="34">
        <f t="shared" si="28"/>
        <v>0</v>
      </c>
      <c r="Z61" s="34">
        <f t="shared" si="29"/>
        <v>0</v>
      </c>
      <c r="AA61" s="32">
        <f t="shared" si="8"/>
        <v>6.0666401491154445E-2</v>
      </c>
    </row>
    <row r="62" spans="1:27" ht="18.75" customHeight="1" x14ac:dyDescent="0.2">
      <c r="A62" s="14" t="s">
        <v>55</v>
      </c>
      <c r="B62" s="15" t="s">
        <v>56</v>
      </c>
      <c r="C62" s="19" t="s">
        <v>907</v>
      </c>
      <c r="D62" s="16" t="s">
        <v>134</v>
      </c>
      <c r="E62" s="17" t="s">
        <v>133</v>
      </c>
      <c r="F62" s="17" t="s">
        <v>58</v>
      </c>
      <c r="G62" s="18">
        <v>136122303</v>
      </c>
      <c r="H62" s="34">
        <v>0</v>
      </c>
      <c r="I62" s="34">
        <v>0</v>
      </c>
      <c r="J62" s="34">
        <v>0</v>
      </c>
      <c r="K62" s="34">
        <v>0</v>
      </c>
      <c r="L62" s="34">
        <v>0</v>
      </c>
      <c r="M62" s="18">
        <v>136122303</v>
      </c>
      <c r="N62" s="34">
        <v>0</v>
      </c>
      <c r="O62" s="18">
        <v>0</v>
      </c>
      <c r="P62" s="18">
        <v>7645100</v>
      </c>
      <c r="Q62" s="34">
        <v>0</v>
      </c>
      <c r="R62" s="18">
        <v>0</v>
      </c>
      <c r="S62" s="18">
        <v>7645100</v>
      </c>
      <c r="T62" s="34">
        <v>0</v>
      </c>
      <c r="U62" s="34">
        <v>7645100</v>
      </c>
      <c r="V62" s="110">
        <v>7645100</v>
      </c>
      <c r="W62" s="30">
        <f t="shared" si="26"/>
        <v>7645100</v>
      </c>
      <c r="X62" s="18">
        <f t="shared" si="27"/>
        <v>128477203</v>
      </c>
      <c r="Y62" s="34">
        <f t="shared" si="28"/>
        <v>0</v>
      </c>
      <c r="Z62" s="34">
        <f t="shared" si="29"/>
        <v>0</v>
      </c>
      <c r="AA62" s="32">
        <f t="shared" si="8"/>
        <v>5.616346352882378E-2</v>
      </c>
    </row>
    <row r="63" spans="1:27" ht="18.75" customHeight="1" x14ac:dyDescent="0.2">
      <c r="A63" s="14" t="s">
        <v>55</v>
      </c>
      <c r="B63" s="15" t="s">
        <v>56</v>
      </c>
      <c r="C63" s="19" t="s">
        <v>907</v>
      </c>
      <c r="D63" s="16" t="s">
        <v>135</v>
      </c>
      <c r="E63" s="17" t="s">
        <v>136</v>
      </c>
      <c r="F63" s="17" t="s">
        <v>61</v>
      </c>
      <c r="G63" s="18">
        <v>8151954</v>
      </c>
      <c r="H63" s="34">
        <v>0</v>
      </c>
      <c r="I63" s="34">
        <v>0</v>
      </c>
      <c r="J63" s="34">
        <v>0</v>
      </c>
      <c r="K63" s="34">
        <v>0</v>
      </c>
      <c r="L63" s="34">
        <v>0</v>
      </c>
      <c r="M63" s="18">
        <v>8151954</v>
      </c>
      <c r="N63" s="34">
        <v>0</v>
      </c>
      <c r="O63" s="18">
        <v>576000</v>
      </c>
      <c r="P63" s="18">
        <v>1107500</v>
      </c>
      <c r="Q63" s="34">
        <v>0</v>
      </c>
      <c r="R63" s="18">
        <v>576000</v>
      </c>
      <c r="S63" s="18">
        <v>1107500</v>
      </c>
      <c r="T63" s="34">
        <v>576000</v>
      </c>
      <c r="U63" s="34">
        <v>531500</v>
      </c>
      <c r="V63" s="110">
        <v>531500</v>
      </c>
      <c r="W63" s="30">
        <f t="shared" si="26"/>
        <v>1107500</v>
      </c>
      <c r="X63" s="18">
        <f t="shared" si="27"/>
        <v>7044454</v>
      </c>
      <c r="Y63" s="34">
        <f t="shared" si="28"/>
        <v>0</v>
      </c>
      <c r="Z63" s="34">
        <f t="shared" si="29"/>
        <v>0</v>
      </c>
      <c r="AA63" s="32">
        <f t="shared" si="8"/>
        <v>0.13585699821171709</v>
      </c>
    </row>
    <row r="64" spans="1:27" ht="18.75" customHeight="1" x14ac:dyDescent="0.2">
      <c r="A64" s="27" t="s">
        <v>49</v>
      </c>
      <c r="B64" s="27" t="s">
        <v>50</v>
      </c>
      <c r="C64" s="19" t="s">
        <v>907</v>
      </c>
      <c r="D64" s="28" t="s">
        <v>137</v>
      </c>
      <c r="E64" s="29" t="s">
        <v>138</v>
      </c>
      <c r="F64" s="30" t="s">
        <v>37</v>
      </c>
      <c r="G64" s="30">
        <f>G65+G66</f>
        <v>144274257</v>
      </c>
      <c r="H64" s="31">
        <f t="shared" ref="H64:V64" si="36">H65+H66</f>
        <v>0</v>
      </c>
      <c r="I64" s="31">
        <f t="shared" si="36"/>
        <v>0</v>
      </c>
      <c r="J64" s="31">
        <f t="shared" si="36"/>
        <v>0</v>
      </c>
      <c r="K64" s="31">
        <f t="shared" si="36"/>
        <v>0</v>
      </c>
      <c r="L64" s="31">
        <f t="shared" si="36"/>
        <v>0</v>
      </c>
      <c r="M64" s="30">
        <f t="shared" si="36"/>
        <v>144274257</v>
      </c>
      <c r="N64" s="31">
        <f t="shared" si="36"/>
        <v>0</v>
      </c>
      <c r="O64" s="30">
        <f t="shared" si="36"/>
        <v>576000</v>
      </c>
      <c r="P64" s="30">
        <f t="shared" si="36"/>
        <v>8752600</v>
      </c>
      <c r="Q64" s="31">
        <f t="shared" si="36"/>
        <v>0</v>
      </c>
      <c r="R64" s="30">
        <f t="shared" si="36"/>
        <v>576000</v>
      </c>
      <c r="S64" s="30">
        <f t="shared" si="36"/>
        <v>8752600</v>
      </c>
      <c r="T64" s="31">
        <f t="shared" si="36"/>
        <v>576000</v>
      </c>
      <c r="U64" s="31">
        <f t="shared" si="36"/>
        <v>8176600</v>
      </c>
      <c r="V64" s="109">
        <f t="shared" si="36"/>
        <v>8176600</v>
      </c>
      <c r="W64" s="30">
        <f t="shared" si="26"/>
        <v>8752600</v>
      </c>
      <c r="X64" s="18">
        <f t="shared" si="27"/>
        <v>135521657</v>
      </c>
      <c r="Y64" s="34">
        <f t="shared" si="28"/>
        <v>0</v>
      </c>
      <c r="Z64" s="34">
        <f t="shared" si="29"/>
        <v>0</v>
      </c>
      <c r="AA64" s="32">
        <f t="shared" si="8"/>
        <v>6.0666401491154445E-2</v>
      </c>
    </row>
    <row r="65" spans="1:27" ht="18.75" customHeight="1" x14ac:dyDescent="0.2">
      <c r="A65" s="14" t="s">
        <v>55</v>
      </c>
      <c r="B65" s="15" t="s">
        <v>56</v>
      </c>
      <c r="C65" s="19" t="s">
        <v>907</v>
      </c>
      <c r="D65" s="16" t="s">
        <v>139</v>
      </c>
      <c r="E65" s="17" t="s">
        <v>138</v>
      </c>
      <c r="F65" s="17" t="s">
        <v>58</v>
      </c>
      <c r="G65" s="18">
        <v>136122303</v>
      </c>
      <c r="H65" s="34">
        <v>0</v>
      </c>
      <c r="I65" s="34">
        <v>0</v>
      </c>
      <c r="J65" s="34">
        <v>0</v>
      </c>
      <c r="K65" s="34">
        <v>0</v>
      </c>
      <c r="L65" s="34">
        <v>0</v>
      </c>
      <c r="M65" s="18">
        <v>136122303</v>
      </c>
      <c r="N65" s="34">
        <v>0</v>
      </c>
      <c r="O65" s="18">
        <v>0</v>
      </c>
      <c r="P65" s="18">
        <v>7645100</v>
      </c>
      <c r="Q65" s="34">
        <v>0</v>
      </c>
      <c r="R65" s="18">
        <v>0</v>
      </c>
      <c r="S65" s="18">
        <v>7645100</v>
      </c>
      <c r="T65" s="34">
        <v>0</v>
      </c>
      <c r="U65" s="34">
        <v>7645100</v>
      </c>
      <c r="V65" s="110">
        <v>7645100</v>
      </c>
      <c r="W65" s="30">
        <f t="shared" si="26"/>
        <v>7645100</v>
      </c>
      <c r="X65" s="18">
        <f t="shared" si="27"/>
        <v>128477203</v>
      </c>
      <c r="Y65" s="34">
        <f t="shared" si="28"/>
        <v>0</v>
      </c>
      <c r="Z65" s="34">
        <f t="shared" si="29"/>
        <v>0</v>
      </c>
      <c r="AA65" s="32">
        <f t="shared" si="8"/>
        <v>5.616346352882378E-2</v>
      </c>
    </row>
    <row r="66" spans="1:27" ht="18.75" customHeight="1" x14ac:dyDescent="0.2">
      <c r="A66" s="14" t="s">
        <v>55</v>
      </c>
      <c r="B66" s="15" t="s">
        <v>56</v>
      </c>
      <c r="C66" s="19" t="s">
        <v>907</v>
      </c>
      <c r="D66" s="16" t="s">
        <v>140</v>
      </c>
      <c r="E66" s="17" t="s">
        <v>141</v>
      </c>
      <c r="F66" s="17" t="s">
        <v>61</v>
      </c>
      <c r="G66" s="18">
        <v>8151954</v>
      </c>
      <c r="H66" s="34">
        <v>0</v>
      </c>
      <c r="I66" s="34">
        <v>0</v>
      </c>
      <c r="J66" s="34">
        <v>0</v>
      </c>
      <c r="K66" s="34">
        <v>0</v>
      </c>
      <c r="L66" s="34">
        <v>0</v>
      </c>
      <c r="M66" s="18">
        <v>8151954</v>
      </c>
      <c r="N66" s="34">
        <v>0</v>
      </c>
      <c r="O66" s="18">
        <v>576000</v>
      </c>
      <c r="P66" s="18">
        <v>1107500</v>
      </c>
      <c r="Q66" s="34">
        <v>0</v>
      </c>
      <c r="R66" s="18">
        <v>576000</v>
      </c>
      <c r="S66" s="18">
        <v>1107500</v>
      </c>
      <c r="T66" s="34">
        <v>576000</v>
      </c>
      <c r="U66" s="34">
        <v>531500</v>
      </c>
      <c r="V66" s="110">
        <v>531500</v>
      </c>
      <c r="W66" s="30">
        <f t="shared" si="26"/>
        <v>1107500</v>
      </c>
      <c r="X66" s="18">
        <f t="shared" si="27"/>
        <v>7044454</v>
      </c>
      <c r="Y66" s="34">
        <f t="shared" si="28"/>
        <v>0</v>
      </c>
      <c r="Z66" s="34">
        <f t="shared" si="29"/>
        <v>0</v>
      </c>
      <c r="AA66" s="32">
        <f t="shared" si="8"/>
        <v>0.13585699821171709</v>
      </c>
    </row>
    <row r="67" spans="1:27" ht="18.75" customHeight="1" x14ac:dyDescent="0.2">
      <c r="A67" s="27" t="s">
        <v>55</v>
      </c>
      <c r="B67" s="27" t="s">
        <v>56</v>
      </c>
      <c r="C67" s="19" t="s">
        <v>907</v>
      </c>
      <c r="D67" s="28" t="s">
        <v>142</v>
      </c>
      <c r="E67" s="29" t="s">
        <v>143</v>
      </c>
      <c r="F67" s="30" t="s">
        <v>37</v>
      </c>
      <c r="G67" s="30">
        <f>G68+G69</f>
        <v>273762589</v>
      </c>
      <c r="H67" s="31">
        <f t="shared" ref="H67:V67" si="37">H68+H69</f>
        <v>0</v>
      </c>
      <c r="I67" s="31">
        <f t="shared" si="37"/>
        <v>0</v>
      </c>
      <c r="J67" s="31">
        <f t="shared" si="37"/>
        <v>0</v>
      </c>
      <c r="K67" s="31">
        <f t="shared" si="37"/>
        <v>0</v>
      </c>
      <c r="L67" s="31">
        <f t="shared" si="37"/>
        <v>0</v>
      </c>
      <c r="M67" s="30">
        <f t="shared" si="37"/>
        <v>273762589</v>
      </c>
      <c r="N67" s="31">
        <f t="shared" si="37"/>
        <v>0</v>
      </c>
      <c r="O67" s="30">
        <f t="shared" si="37"/>
        <v>1151300</v>
      </c>
      <c r="P67" s="30">
        <f t="shared" si="37"/>
        <v>17484900</v>
      </c>
      <c r="Q67" s="31">
        <f t="shared" si="37"/>
        <v>0</v>
      </c>
      <c r="R67" s="30">
        <f t="shared" si="37"/>
        <v>1151300</v>
      </c>
      <c r="S67" s="30">
        <f t="shared" si="37"/>
        <v>17484900</v>
      </c>
      <c r="T67" s="31">
        <f t="shared" si="37"/>
        <v>1151300</v>
      </c>
      <c r="U67" s="31">
        <f t="shared" si="37"/>
        <v>16333600</v>
      </c>
      <c r="V67" s="109">
        <f t="shared" si="37"/>
        <v>16333600</v>
      </c>
      <c r="W67" s="30">
        <f t="shared" si="26"/>
        <v>17484900</v>
      </c>
      <c r="X67" s="18">
        <f t="shared" si="27"/>
        <v>256277689</v>
      </c>
      <c r="Y67" s="34">
        <f t="shared" si="28"/>
        <v>0</v>
      </c>
      <c r="Z67" s="34">
        <f t="shared" si="29"/>
        <v>0</v>
      </c>
      <c r="AA67" s="32">
        <f t="shared" si="8"/>
        <v>6.3868843671696859E-2</v>
      </c>
    </row>
    <row r="68" spans="1:27" ht="18.75" customHeight="1" x14ac:dyDescent="0.2">
      <c r="A68" s="35" t="s">
        <v>55</v>
      </c>
      <c r="B68" s="36" t="s">
        <v>56</v>
      </c>
      <c r="C68" s="19" t="s">
        <v>907</v>
      </c>
      <c r="D68" s="37" t="s">
        <v>144</v>
      </c>
      <c r="E68" s="38" t="s">
        <v>145</v>
      </c>
      <c r="F68" s="38" t="s">
        <v>58</v>
      </c>
      <c r="G68" s="39">
        <v>257458680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39">
        <v>257458680</v>
      </c>
      <c r="N68" s="40">
        <v>0</v>
      </c>
      <c r="O68" s="39">
        <v>0</v>
      </c>
      <c r="P68" s="39">
        <v>15271100</v>
      </c>
      <c r="Q68" s="40">
        <v>0</v>
      </c>
      <c r="R68" s="39">
        <v>0</v>
      </c>
      <c r="S68" s="39">
        <v>15271100</v>
      </c>
      <c r="T68" s="40">
        <v>0</v>
      </c>
      <c r="U68" s="40">
        <v>15271100</v>
      </c>
      <c r="V68" s="111">
        <v>15271100</v>
      </c>
      <c r="W68" s="30">
        <f t="shared" si="26"/>
        <v>15271100</v>
      </c>
      <c r="X68" s="18">
        <f t="shared" si="27"/>
        <v>242187580</v>
      </c>
      <c r="Y68" s="34">
        <f t="shared" si="28"/>
        <v>0</v>
      </c>
      <c r="Z68" s="34">
        <f t="shared" si="29"/>
        <v>0</v>
      </c>
      <c r="AA68" s="32">
        <f t="shared" si="8"/>
        <v>5.9314760721992363E-2</v>
      </c>
    </row>
    <row r="69" spans="1:27" ht="31.5" customHeight="1" x14ac:dyDescent="0.2">
      <c r="A69" s="14" t="s">
        <v>55</v>
      </c>
      <c r="B69" s="15" t="s">
        <v>56</v>
      </c>
      <c r="C69" s="19" t="s">
        <v>907</v>
      </c>
      <c r="D69" s="16" t="s">
        <v>146</v>
      </c>
      <c r="E69" s="17" t="s">
        <v>147</v>
      </c>
      <c r="F69" s="17" t="s">
        <v>61</v>
      </c>
      <c r="G69" s="18">
        <v>16303909</v>
      </c>
      <c r="H69" s="34">
        <v>0</v>
      </c>
      <c r="I69" s="34">
        <v>0</v>
      </c>
      <c r="J69" s="34">
        <v>0</v>
      </c>
      <c r="K69" s="34">
        <v>0</v>
      </c>
      <c r="L69" s="34">
        <v>0</v>
      </c>
      <c r="M69" s="18">
        <v>16303909</v>
      </c>
      <c r="N69" s="34">
        <v>0</v>
      </c>
      <c r="O69" s="18">
        <v>1151300</v>
      </c>
      <c r="P69" s="18">
        <v>2213800</v>
      </c>
      <c r="Q69" s="34">
        <v>0</v>
      </c>
      <c r="R69" s="18">
        <v>1151300</v>
      </c>
      <c r="S69" s="18">
        <v>2213800</v>
      </c>
      <c r="T69" s="34">
        <v>1151300</v>
      </c>
      <c r="U69" s="34">
        <v>1062500</v>
      </c>
      <c r="V69" s="110">
        <v>1062500</v>
      </c>
      <c r="W69" s="30">
        <f t="shared" si="26"/>
        <v>2213800</v>
      </c>
      <c r="X69" s="18">
        <f t="shared" si="27"/>
        <v>14090109</v>
      </c>
      <c r="Y69" s="34">
        <f t="shared" si="28"/>
        <v>0</v>
      </c>
      <c r="Z69" s="34">
        <f t="shared" si="29"/>
        <v>0</v>
      </c>
      <c r="AA69" s="32">
        <f t="shared" si="8"/>
        <v>0.13578338789795746</v>
      </c>
    </row>
    <row r="70" spans="1:27" s="25" customFormat="1" ht="18.75" customHeight="1" x14ac:dyDescent="0.2">
      <c r="A70" s="19" t="s">
        <v>49</v>
      </c>
      <c r="B70" s="19" t="s">
        <v>50</v>
      </c>
      <c r="C70" s="19" t="s">
        <v>907</v>
      </c>
      <c r="D70" s="26" t="s">
        <v>148</v>
      </c>
      <c r="E70" s="21" t="s">
        <v>149</v>
      </c>
      <c r="F70" s="22" t="s">
        <v>37</v>
      </c>
      <c r="G70" s="22">
        <f>G71+G81+G82+G83+G84+G85</f>
        <v>2847587617</v>
      </c>
      <c r="H70" s="23">
        <f t="shared" ref="H70:Z70" si="38">H71+H81+H82+H83+H84+H85</f>
        <v>0</v>
      </c>
      <c r="I70" s="23">
        <f t="shared" si="38"/>
        <v>0</v>
      </c>
      <c r="J70" s="23">
        <f t="shared" si="38"/>
        <v>0</v>
      </c>
      <c r="K70" s="23">
        <f t="shared" si="38"/>
        <v>0</v>
      </c>
      <c r="L70" s="23">
        <f t="shared" si="38"/>
        <v>0</v>
      </c>
      <c r="M70" s="22">
        <f t="shared" si="38"/>
        <v>2847587617</v>
      </c>
      <c r="N70" s="23">
        <f t="shared" si="38"/>
        <v>0</v>
      </c>
      <c r="O70" s="22">
        <f t="shared" si="38"/>
        <v>136876949</v>
      </c>
      <c r="P70" s="22">
        <f t="shared" si="38"/>
        <v>260599919</v>
      </c>
      <c r="Q70" s="23">
        <f t="shared" si="38"/>
        <v>0</v>
      </c>
      <c r="R70" s="22">
        <f t="shared" si="38"/>
        <v>136876949</v>
      </c>
      <c r="S70" s="22">
        <f t="shared" si="38"/>
        <v>260599919</v>
      </c>
      <c r="T70" s="23">
        <f t="shared" si="38"/>
        <v>0</v>
      </c>
      <c r="U70" s="22">
        <f t="shared" si="38"/>
        <v>129905119</v>
      </c>
      <c r="V70" s="22">
        <f t="shared" si="38"/>
        <v>132031548</v>
      </c>
      <c r="W70" s="22">
        <f t="shared" si="38"/>
        <v>132031548</v>
      </c>
      <c r="X70" s="22">
        <f t="shared" si="38"/>
        <v>2586987698</v>
      </c>
      <c r="Y70" s="23">
        <f t="shared" si="38"/>
        <v>0</v>
      </c>
      <c r="Z70" s="22">
        <f t="shared" si="38"/>
        <v>128568371</v>
      </c>
      <c r="AA70" s="24">
        <f t="shared" si="8"/>
        <v>9.151603183137455E-2</v>
      </c>
    </row>
    <row r="71" spans="1:27" ht="18.75" customHeight="1" x14ac:dyDescent="0.2">
      <c r="A71" s="27" t="s">
        <v>49</v>
      </c>
      <c r="B71" s="27" t="s">
        <v>50</v>
      </c>
      <c r="C71" s="19" t="s">
        <v>907</v>
      </c>
      <c r="D71" s="28" t="s">
        <v>150</v>
      </c>
      <c r="E71" s="29" t="s">
        <v>81</v>
      </c>
      <c r="F71" s="30" t="s">
        <v>37</v>
      </c>
      <c r="G71" s="30">
        <f>G72+G75+G78</f>
        <v>2386452170</v>
      </c>
      <c r="H71" s="31">
        <f t="shared" ref="H71:V71" si="39">H72+H75+H78</f>
        <v>0</v>
      </c>
      <c r="I71" s="31">
        <f t="shared" si="39"/>
        <v>0</v>
      </c>
      <c r="J71" s="31">
        <f t="shared" si="39"/>
        <v>0</v>
      </c>
      <c r="K71" s="31">
        <f t="shared" si="39"/>
        <v>0</v>
      </c>
      <c r="L71" s="31">
        <f t="shared" si="39"/>
        <v>0</v>
      </c>
      <c r="M71" s="30">
        <f t="shared" si="39"/>
        <v>2386452170</v>
      </c>
      <c r="N71" s="31">
        <f t="shared" si="39"/>
        <v>0</v>
      </c>
      <c r="O71" s="30">
        <f t="shared" si="39"/>
        <v>101480092</v>
      </c>
      <c r="P71" s="30">
        <f t="shared" si="39"/>
        <v>192417160</v>
      </c>
      <c r="Q71" s="31">
        <f t="shared" si="39"/>
        <v>0</v>
      </c>
      <c r="R71" s="30">
        <f t="shared" si="39"/>
        <v>101480092</v>
      </c>
      <c r="S71" s="30">
        <f t="shared" si="39"/>
        <v>192417160</v>
      </c>
      <c r="T71" s="31">
        <f t="shared" si="39"/>
        <v>0</v>
      </c>
      <c r="U71" s="30">
        <f t="shared" si="39"/>
        <v>94508262</v>
      </c>
      <c r="V71" s="30">
        <f t="shared" si="39"/>
        <v>96634691</v>
      </c>
      <c r="W71" s="30">
        <f t="shared" ref="W71:W91" si="40">T71+V71</f>
        <v>96634691</v>
      </c>
      <c r="X71" s="18">
        <f t="shared" ref="X71:X85" si="41">M71-P71</f>
        <v>2194035010</v>
      </c>
      <c r="Y71" s="34">
        <f t="shared" ref="Y71:Y85" si="42">P71-S71</f>
        <v>0</v>
      </c>
      <c r="Z71" s="18">
        <f t="shared" ref="Z71:Z85" si="43">S71-W71</f>
        <v>95782469</v>
      </c>
      <c r="AA71" s="32">
        <f t="shared" si="8"/>
        <v>8.0628961442793134E-2</v>
      </c>
    </row>
    <row r="72" spans="1:27" ht="18.75" customHeight="1" x14ac:dyDescent="0.2">
      <c r="A72" s="27" t="s">
        <v>49</v>
      </c>
      <c r="B72" s="27" t="s">
        <v>50</v>
      </c>
      <c r="C72" s="19" t="s">
        <v>907</v>
      </c>
      <c r="D72" s="28" t="s">
        <v>151</v>
      </c>
      <c r="E72" s="29" t="s">
        <v>152</v>
      </c>
      <c r="F72" s="30" t="s">
        <v>37</v>
      </c>
      <c r="G72" s="30">
        <f>G73+G74</f>
        <v>1664997140</v>
      </c>
      <c r="H72" s="31">
        <f t="shared" ref="H72:V72" si="44">H73+H74</f>
        <v>0</v>
      </c>
      <c r="I72" s="31">
        <f t="shared" si="44"/>
        <v>0</v>
      </c>
      <c r="J72" s="31">
        <f t="shared" si="44"/>
        <v>0</v>
      </c>
      <c r="K72" s="31">
        <f t="shared" si="44"/>
        <v>0</v>
      </c>
      <c r="L72" s="31">
        <f t="shared" si="44"/>
        <v>0</v>
      </c>
      <c r="M72" s="30">
        <f t="shared" si="44"/>
        <v>1664997140</v>
      </c>
      <c r="N72" s="31">
        <f t="shared" si="44"/>
        <v>0</v>
      </c>
      <c r="O72" s="30">
        <f t="shared" si="44"/>
        <v>8553880</v>
      </c>
      <c r="P72" s="30">
        <f t="shared" si="44"/>
        <v>79881972</v>
      </c>
      <c r="Q72" s="31">
        <f t="shared" si="44"/>
        <v>0</v>
      </c>
      <c r="R72" s="30">
        <f t="shared" si="44"/>
        <v>8553880</v>
      </c>
      <c r="S72" s="30">
        <f t="shared" si="44"/>
        <v>79881972</v>
      </c>
      <c r="T72" s="31">
        <f t="shared" si="44"/>
        <v>0</v>
      </c>
      <c r="U72" s="31">
        <f t="shared" si="44"/>
        <v>1582050</v>
      </c>
      <c r="V72" s="109">
        <f t="shared" si="44"/>
        <v>1582050</v>
      </c>
      <c r="W72" s="30">
        <f t="shared" si="40"/>
        <v>1582050</v>
      </c>
      <c r="X72" s="18">
        <f t="shared" si="41"/>
        <v>1585115168</v>
      </c>
      <c r="Y72" s="34">
        <f t="shared" si="42"/>
        <v>0</v>
      </c>
      <c r="Z72" s="18">
        <f t="shared" si="43"/>
        <v>78299922</v>
      </c>
      <c r="AA72" s="32">
        <f t="shared" si="8"/>
        <v>4.7977242771720316E-2</v>
      </c>
    </row>
    <row r="73" spans="1:27" ht="18.75" customHeight="1" x14ac:dyDescent="0.2">
      <c r="A73" s="14" t="s">
        <v>55</v>
      </c>
      <c r="B73" s="15" t="s">
        <v>56</v>
      </c>
      <c r="C73" s="19" t="s">
        <v>907</v>
      </c>
      <c r="D73" s="16" t="s">
        <v>153</v>
      </c>
      <c r="E73" s="17" t="s">
        <v>152</v>
      </c>
      <c r="F73" s="17" t="s">
        <v>58</v>
      </c>
      <c r="G73" s="18">
        <v>1564997140</v>
      </c>
      <c r="H73" s="34">
        <v>0</v>
      </c>
      <c r="I73" s="34">
        <v>0</v>
      </c>
      <c r="J73" s="34">
        <v>0</v>
      </c>
      <c r="K73" s="34">
        <v>0</v>
      </c>
      <c r="L73" s="34">
        <v>0</v>
      </c>
      <c r="M73" s="18">
        <v>1564997140</v>
      </c>
      <c r="N73" s="34">
        <v>0</v>
      </c>
      <c r="O73" s="18">
        <v>8553880</v>
      </c>
      <c r="P73" s="18">
        <v>79881972</v>
      </c>
      <c r="Q73" s="34">
        <v>0</v>
      </c>
      <c r="R73" s="18">
        <v>8553880</v>
      </c>
      <c r="S73" s="18">
        <v>79881972</v>
      </c>
      <c r="T73" s="34">
        <v>0</v>
      </c>
      <c r="U73" s="34">
        <v>1582050</v>
      </c>
      <c r="V73" s="110">
        <v>1582050</v>
      </c>
      <c r="W73" s="30">
        <f t="shared" si="40"/>
        <v>1582050</v>
      </c>
      <c r="X73" s="18">
        <f t="shared" si="41"/>
        <v>1485115168</v>
      </c>
      <c r="Y73" s="34">
        <f t="shared" si="42"/>
        <v>0</v>
      </c>
      <c r="Z73" s="18">
        <f t="shared" si="43"/>
        <v>78299922</v>
      </c>
      <c r="AA73" s="32">
        <f t="shared" si="8"/>
        <v>5.1042886889876363E-2</v>
      </c>
    </row>
    <row r="74" spans="1:27" ht="18.75" customHeight="1" x14ac:dyDescent="0.2">
      <c r="A74" s="35" t="s">
        <v>55</v>
      </c>
      <c r="B74" s="36" t="s">
        <v>56</v>
      </c>
      <c r="C74" s="19" t="s">
        <v>907</v>
      </c>
      <c r="D74" s="37" t="s">
        <v>154</v>
      </c>
      <c r="E74" s="38" t="s">
        <v>155</v>
      </c>
      <c r="F74" s="38" t="s">
        <v>61</v>
      </c>
      <c r="G74" s="39">
        <v>100000000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39">
        <v>100000000</v>
      </c>
      <c r="N74" s="40">
        <v>0</v>
      </c>
      <c r="O74" s="39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31">
        <f t="shared" si="40"/>
        <v>0</v>
      </c>
      <c r="X74" s="18">
        <f t="shared" si="41"/>
        <v>100000000</v>
      </c>
      <c r="Y74" s="34">
        <f t="shared" si="42"/>
        <v>0</v>
      </c>
      <c r="Z74" s="34">
        <f t="shared" si="43"/>
        <v>0</v>
      </c>
      <c r="AA74" s="32">
        <f t="shared" si="8"/>
        <v>0</v>
      </c>
    </row>
    <row r="75" spans="1:27" ht="18.75" customHeight="1" x14ac:dyDescent="0.2">
      <c r="A75" s="27" t="s">
        <v>49</v>
      </c>
      <c r="B75" s="27" t="s">
        <v>50</v>
      </c>
      <c r="C75" s="19" t="s">
        <v>907</v>
      </c>
      <c r="D75" s="28" t="s">
        <v>156</v>
      </c>
      <c r="E75" s="29" t="s">
        <v>157</v>
      </c>
      <c r="F75" s="30" t="s">
        <v>37</v>
      </c>
      <c r="G75" s="30">
        <f>G76+G77</f>
        <v>608504027</v>
      </c>
      <c r="H75" s="31">
        <f t="shared" ref="H75:V75" si="45">H76+H77</f>
        <v>0</v>
      </c>
      <c r="I75" s="31">
        <f t="shared" si="45"/>
        <v>0</v>
      </c>
      <c r="J75" s="31">
        <f t="shared" si="45"/>
        <v>0</v>
      </c>
      <c r="K75" s="31">
        <f t="shared" si="45"/>
        <v>0</v>
      </c>
      <c r="L75" s="31">
        <f t="shared" si="45"/>
        <v>0</v>
      </c>
      <c r="M75" s="30">
        <f t="shared" si="45"/>
        <v>608504027</v>
      </c>
      <c r="N75" s="31">
        <f t="shared" si="45"/>
        <v>0</v>
      </c>
      <c r="O75" s="30">
        <f t="shared" si="45"/>
        <v>82547380</v>
      </c>
      <c r="P75" s="30">
        <f t="shared" si="45"/>
        <v>99340907</v>
      </c>
      <c r="Q75" s="31">
        <f t="shared" si="45"/>
        <v>0</v>
      </c>
      <c r="R75" s="30">
        <f t="shared" si="45"/>
        <v>82547380</v>
      </c>
      <c r="S75" s="30">
        <f t="shared" si="45"/>
        <v>99340907</v>
      </c>
      <c r="T75" s="31">
        <f t="shared" si="45"/>
        <v>0</v>
      </c>
      <c r="U75" s="30">
        <f t="shared" si="45"/>
        <v>82547380</v>
      </c>
      <c r="V75" s="30">
        <f t="shared" si="45"/>
        <v>84480407</v>
      </c>
      <c r="W75" s="30">
        <f t="shared" si="40"/>
        <v>84480407</v>
      </c>
      <c r="X75" s="18">
        <f t="shared" si="41"/>
        <v>509163120</v>
      </c>
      <c r="Y75" s="34">
        <f t="shared" si="42"/>
        <v>0</v>
      </c>
      <c r="Z75" s="18">
        <f t="shared" si="43"/>
        <v>14860500</v>
      </c>
      <c r="AA75" s="32">
        <f t="shared" si="8"/>
        <v>0.16325431318797173</v>
      </c>
    </row>
    <row r="76" spans="1:27" ht="18.75" customHeight="1" x14ac:dyDescent="0.2">
      <c r="A76" s="14" t="s">
        <v>55</v>
      </c>
      <c r="B76" s="15" t="s">
        <v>56</v>
      </c>
      <c r="C76" s="19" t="s">
        <v>907</v>
      </c>
      <c r="D76" s="16" t="s">
        <v>158</v>
      </c>
      <c r="E76" s="17" t="s">
        <v>157</v>
      </c>
      <c r="F76" s="17" t="s">
        <v>58</v>
      </c>
      <c r="G76" s="18">
        <v>600000000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18">
        <v>600000000</v>
      </c>
      <c r="N76" s="34">
        <v>0</v>
      </c>
      <c r="O76" s="18">
        <v>82547380</v>
      </c>
      <c r="P76" s="18">
        <v>99340907</v>
      </c>
      <c r="Q76" s="34">
        <v>0</v>
      </c>
      <c r="R76" s="18">
        <v>82547380</v>
      </c>
      <c r="S76" s="18">
        <v>99340907</v>
      </c>
      <c r="T76" s="34">
        <v>0</v>
      </c>
      <c r="U76" s="18">
        <v>82547380</v>
      </c>
      <c r="V76" s="18">
        <v>84480407</v>
      </c>
      <c r="W76" s="30">
        <f t="shared" si="40"/>
        <v>84480407</v>
      </c>
      <c r="X76" s="18">
        <f t="shared" si="41"/>
        <v>500659093</v>
      </c>
      <c r="Y76" s="34">
        <f t="shared" si="42"/>
        <v>0</v>
      </c>
      <c r="Z76" s="18">
        <f t="shared" si="43"/>
        <v>14860500</v>
      </c>
      <c r="AA76" s="32">
        <f t="shared" si="8"/>
        <v>0.16556817833333334</v>
      </c>
    </row>
    <row r="77" spans="1:27" ht="18.75" customHeight="1" x14ac:dyDescent="0.2">
      <c r="A77" s="14" t="s">
        <v>55</v>
      </c>
      <c r="B77" s="15" t="s">
        <v>56</v>
      </c>
      <c r="C77" s="19" t="s">
        <v>907</v>
      </c>
      <c r="D77" s="16" t="s">
        <v>159</v>
      </c>
      <c r="E77" s="17" t="s">
        <v>160</v>
      </c>
      <c r="F77" s="17" t="s">
        <v>61</v>
      </c>
      <c r="G77" s="18">
        <v>8504027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18">
        <v>8504027</v>
      </c>
      <c r="N77" s="34">
        <v>0</v>
      </c>
      <c r="O77" s="18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1">
        <f t="shared" si="40"/>
        <v>0</v>
      </c>
      <c r="X77" s="18">
        <f t="shared" si="41"/>
        <v>8504027</v>
      </c>
      <c r="Y77" s="34">
        <f t="shared" si="42"/>
        <v>0</v>
      </c>
      <c r="Z77" s="34">
        <f t="shared" si="43"/>
        <v>0</v>
      </c>
      <c r="AA77" s="32">
        <f t="shared" si="8"/>
        <v>0</v>
      </c>
    </row>
    <row r="78" spans="1:27" ht="18.75" customHeight="1" x14ac:dyDescent="0.2">
      <c r="A78" s="27" t="s">
        <v>49</v>
      </c>
      <c r="B78" s="27" t="s">
        <v>50</v>
      </c>
      <c r="C78" s="19" t="s">
        <v>907</v>
      </c>
      <c r="D78" s="28" t="s">
        <v>161</v>
      </c>
      <c r="E78" s="29" t="s">
        <v>162</v>
      </c>
      <c r="F78" s="30" t="s">
        <v>37</v>
      </c>
      <c r="G78" s="30">
        <f>G79+G80</f>
        <v>112951003</v>
      </c>
      <c r="H78" s="31">
        <f t="shared" ref="H78:V78" si="46">H79+H80</f>
        <v>0</v>
      </c>
      <c r="I78" s="31">
        <f t="shared" si="46"/>
        <v>0</v>
      </c>
      <c r="J78" s="31">
        <f t="shared" si="46"/>
        <v>0</v>
      </c>
      <c r="K78" s="31">
        <f t="shared" si="46"/>
        <v>0</v>
      </c>
      <c r="L78" s="31">
        <f t="shared" si="46"/>
        <v>0</v>
      </c>
      <c r="M78" s="30">
        <f t="shared" si="46"/>
        <v>112951003</v>
      </c>
      <c r="N78" s="31">
        <f t="shared" si="46"/>
        <v>0</v>
      </c>
      <c r="O78" s="30">
        <f t="shared" si="46"/>
        <v>10378832</v>
      </c>
      <c r="P78" s="30">
        <f t="shared" si="46"/>
        <v>13194281</v>
      </c>
      <c r="Q78" s="31">
        <f t="shared" si="46"/>
        <v>0</v>
      </c>
      <c r="R78" s="30">
        <f t="shared" si="46"/>
        <v>10378832</v>
      </c>
      <c r="S78" s="30">
        <f t="shared" si="46"/>
        <v>13194281</v>
      </c>
      <c r="T78" s="31">
        <f t="shared" si="46"/>
        <v>0</v>
      </c>
      <c r="U78" s="30">
        <f t="shared" si="46"/>
        <v>10378832</v>
      </c>
      <c r="V78" s="30">
        <f t="shared" si="46"/>
        <v>10572234</v>
      </c>
      <c r="W78" s="30">
        <f t="shared" si="40"/>
        <v>10572234</v>
      </c>
      <c r="X78" s="18">
        <f t="shared" si="41"/>
        <v>99756722</v>
      </c>
      <c r="Y78" s="34">
        <f t="shared" si="42"/>
        <v>0</v>
      </c>
      <c r="Z78" s="18">
        <f t="shared" si="43"/>
        <v>2622047</v>
      </c>
      <c r="AA78" s="32">
        <f t="shared" si="8"/>
        <v>0.1168141995162274</v>
      </c>
    </row>
    <row r="79" spans="1:27" ht="18.75" customHeight="1" x14ac:dyDescent="0.2">
      <c r="A79" s="14" t="s">
        <v>55</v>
      </c>
      <c r="B79" s="15" t="s">
        <v>56</v>
      </c>
      <c r="C79" s="19" t="s">
        <v>907</v>
      </c>
      <c r="D79" s="16" t="s">
        <v>163</v>
      </c>
      <c r="E79" s="17" t="s">
        <v>162</v>
      </c>
      <c r="F79" s="17" t="s">
        <v>58</v>
      </c>
      <c r="G79" s="18">
        <v>104149973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18">
        <v>104149973</v>
      </c>
      <c r="N79" s="34">
        <v>0</v>
      </c>
      <c r="O79" s="18">
        <v>10378832</v>
      </c>
      <c r="P79" s="18">
        <v>13194281</v>
      </c>
      <c r="Q79" s="34">
        <v>0</v>
      </c>
      <c r="R79" s="18">
        <v>10378832</v>
      </c>
      <c r="S79" s="18">
        <v>13194281</v>
      </c>
      <c r="T79" s="34">
        <v>0</v>
      </c>
      <c r="U79" s="18">
        <v>10378832</v>
      </c>
      <c r="V79" s="18">
        <v>10572234</v>
      </c>
      <c r="W79" s="39">
        <f t="shared" si="40"/>
        <v>10572234</v>
      </c>
      <c r="X79" s="18">
        <f t="shared" si="41"/>
        <v>90955692</v>
      </c>
      <c r="Y79" s="34">
        <f t="shared" si="42"/>
        <v>0</v>
      </c>
      <c r="Z79" s="18">
        <f t="shared" si="43"/>
        <v>2622047</v>
      </c>
      <c r="AA79" s="32">
        <f t="shared" ref="AA79:AA142" si="47">S79/M79</f>
        <v>0.12668540010087184</v>
      </c>
    </row>
    <row r="80" spans="1:27" ht="18.75" customHeight="1" x14ac:dyDescent="0.2">
      <c r="A80" s="14" t="s">
        <v>55</v>
      </c>
      <c r="B80" s="15" t="s">
        <v>56</v>
      </c>
      <c r="C80" s="19" t="s">
        <v>907</v>
      </c>
      <c r="D80" s="16" t="s">
        <v>164</v>
      </c>
      <c r="E80" s="17" t="s">
        <v>165</v>
      </c>
      <c r="F80" s="17" t="s">
        <v>61</v>
      </c>
      <c r="G80" s="18">
        <v>8801030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18">
        <v>8801030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40">
        <f t="shared" si="40"/>
        <v>0</v>
      </c>
      <c r="X80" s="18">
        <f t="shared" si="41"/>
        <v>8801030</v>
      </c>
      <c r="Y80" s="34">
        <f t="shared" si="42"/>
        <v>0</v>
      </c>
      <c r="Z80" s="34">
        <f t="shared" si="43"/>
        <v>0</v>
      </c>
      <c r="AA80" s="32">
        <f t="shared" si="47"/>
        <v>0</v>
      </c>
    </row>
    <row r="81" spans="1:27" ht="29.25" customHeight="1" x14ac:dyDescent="0.2">
      <c r="A81" s="14" t="s">
        <v>49</v>
      </c>
      <c r="B81" s="15" t="s">
        <v>50</v>
      </c>
      <c r="C81" s="19" t="s">
        <v>907</v>
      </c>
      <c r="D81" s="16" t="s">
        <v>166</v>
      </c>
      <c r="E81" s="17" t="s">
        <v>167</v>
      </c>
      <c r="F81" s="17" t="s">
        <v>56</v>
      </c>
      <c r="G81" s="18">
        <v>60643852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18">
        <v>60643852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40">
        <f t="shared" si="40"/>
        <v>0</v>
      </c>
      <c r="X81" s="18">
        <f t="shared" si="41"/>
        <v>60643852</v>
      </c>
      <c r="Y81" s="34">
        <f t="shared" si="42"/>
        <v>0</v>
      </c>
      <c r="Z81" s="34">
        <f t="shared" si="43"/>
        <v>0</v>
      </c>
      <c r="AA81" s="32">
        <f t="shared" si="47"/>
        <v>0</v>
      </c>
    </row>
    <row r="82" spans="1:27" ht="18.75" customHeight="1" x14ac:dyDescent="0.2">
      <c r="A82" s="35" t="s">
        <v>49</v>
      </c>
      <c r="B82" s="36" t="s">
        <v>50</v>
      </c>
      <c r="C82" s="19" t="s">
        <v>907</v>
      </c>
      <c r="D82" s="37" t="s">
        <v>168</v>
      </c>
      <c r="E82" s="38" t="s">
        <v>169</v>
      </c>
      <c r="F82" s="38" t="s">
        <v>56</v>
      </c>
      <c r="G82" s="39">
        <v>15160962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39">
        <v>15160962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f t="shared" si="40"/>
        <v>0</v>
      </c>
      <c r="X82" s="18">
        <f t="shared" si="41"/>
        <v>15160962</v>
      </c>
      <c r="Y82" s="34">
        <f t="shared" si="42"/>
        <v>0</v>
      </c>
      <c r="Z82" s="34">
        <f t="shared" si="43"/>
        <v>0</v>
      </c>
      <c r="AA82" s="32">
        <f t="shared" si="47"/>
        <v>0</v>
      </c>
    </row>
    <row r="83" spans="1:27" ht="18.75" customHeight="1" x14ac:dyDescent="0.2">
      <c r="A83" s="14" t="s">
        <v>55</v>
      </c>
      <c r="B83" s="15" t="s">
        <v>56</v>
      </c>
      <c r="C83" s="19" t="s">
        <v>907</v>
      </c>
      <c r="D83" s="16" t="s">
        <v>170</v>
      </c>
      <c r="E83" s="17" t="s">
        <v>171</v>
      </c>
      <c r="F83" s="17" t="s">
        <v>58</v>
      </c>
      <c r="G83" s="18">
        <v>35475597</v>
      </c>
      <c r="H83" s="34">
        <v>0</v>
      </c>
      <c r="I83" s="34">
        <v>0</v>
      </c>
      <c r="J83" s="34">
        <v>0</v>
      </c>
      <c r="K83" s="34">
        <v>0</v>
      </c>
      <c r="L83" s="34">
        <v>0</v>
      </c>
      <c r="M83" s="18">
        <v>35475597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34">
        <v>0</v>
      </c>
      <c r="W83" s="40">
        <f t="shared" si="40"/>
        <v>0</v>
      </c>
      <c r="X83" s="18">
        <f t="shared" si="41"/>
        <v>35475597</v>
      </c>
      <c r="Y83" s="34">
        <f t="shared" si="42"/>
        <v>0</v>
      </c>
      <c r="Z83" s="34">
        <f t="shared" si="43"/>
        <v>0</v>
      </c>
      <c r="AA83" s="32">
        <f t="shared" si="47"/>
        <v>0</v>
      </c>
    </row>
    <row r="84" spans="1:27" ht="18.75" customHeight="1" x14ac:dyDescent="0.2">
      <c r="A84" s="35" t="s">
        <v>55</v>
      </c>
      <c r="B84" s="36" t="s">
        <v>56</v>
      </c>
      <c r="C84" s="19" t="s">
        <v>907</v>
      </c>
      <c r="D84" s="37" t="s">
        <v>172</v>
      </c>
      <c r="E84" s="38" t="s">
        <v>173</v>
      </c>
      <c r="F84" s="38" t="s">
        <v>58</v>
      </c>
      <c r="G84" s="39">
        <v>49855036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39">
        <v>49855036</v>
      </c>
      <c r="N84" s="40">
        <v>0</v>
      </c>
      <c r="O84" s="39">
        <v>9655287</v>
      </c>
      <c r="P84" s="39">
        <v>19001219</v>
      </c>
      <c r="Q84" s="40">
        <v>0</v>
      </c>
      <c r="R84" s="39">
        <v>9655287</v>
      </c>
      <c r="S84" s="39">
        <v>19001219</v>
      </c>
      <c r="T84" s="40">
        <v>0</v>
      </c>
      <c r="U84" s="40">
        <v>9655287</v>
      </c>
      <c r="V84" s="40">
        <v>9655287</v>
      </c>
      <c r="W84" s="39">
        <f t="shared" si="40"/>
        <v>9655287</v>
      </c>
      <c r="X84" s="18">
        <f t="shared" si="41"/>
        <v>30853817</v>
      </c>
      <c r="Y84" s="34">
        <f t="shared" si="42"/>
        <v>0</v>
      </c>
      <c r="Z84" s="18">
        <f t="shared" si="43"/>
        <v>9345932</v>
      </c>
      <c r="AA84" s="32">
        <f t="shared" si="47"/>
        <v>0.38112938079114012</v>
      </c>
    </row>
    <row r="85" spans="1:27" ht="18.75" customHeight="1" x14ac:dyDescent="0.2">
      <c r="A85" s="14" t="s">
        <v>55</v>
      </c>
      <c r="B85" s="15" t="s">
        <v>56</v>
      </c>
      <c r="C85" s="19" t="s">
        <v>907</v>
      </c>
      <c r="D85" s="16" t="s">
        <v>174</v>
      </c>
      <c r="E85" s="17" t="s">
        <v>175</v>
      </c>
      <c r="F85" s="17" t="s">
        <v>58</v>
      </c>
      <c r="G85" s="18">
        <v>300000000</v>
      </c>
      <c r="H85" s="34">
        <v>0</v>
      </c>
      <c r="I85" s="34">
        <v>0</v>
      </c>
      <c r="J85" s="34">
        <v>0</v>
      </c>
      <c r="K85" s="34">
        <v>0</v>
      </c>
      <c r="L85" s="34">
        <v>0</v>
      </c>
      <c r="M85" s="18">
        <v>300000000</v>
      </c>
      <c r="N85" s="34">
        <v>0</v>
      </c>
      <c r="O85" s="18">
        <v>25741570</v>
      </c>
      <c r="P85" s="18">
        <v>49181540</v>
      </c>
      <c r="Q85" s="34">
        <v>0</v>
      </c>
      <c r="R85" s="18">
        <v>25741570</v>
      </c>
      <c r="S85" s="18">
        <v>49181540</v>
      </c>
      <c r="T85" s="34">
        <v>0</v>
      </c>
      <c r="U85" s="34">
        <v>25741570</v>
      </c>
      <c r="V85" s="34">
        <v>25741570</v>
      </c>
      <c r="W85" s="30">
        <f t="shared" si="40"/>
        <v>25741570</v>
      </c>
      <c r="X85" s="18">
        <f t="shared" si="41"/>
        <v>250818460</v>
      </c>
      <c r="Y85" s="34">
        <f t="shared" si="42"/>
        <v>0</v>
      </c>
      <c r="Z85" s="18">
        <f t="shared" si="43"/>
        <v>23439970</v>
      </c>
      <c r="AA85" s="32">
        <f t="shared" si="47"/>
        <v>0.16393846666666667</v>
      </c>
    </row>
    <row r="86" spans="1:27" s="25" customFormat="1" ht="18.75" customHeight="1" x14ac:dyDescent="0.2">
      <c r="A86" s="19" t="s">
        <v>55</v>
      </c>
      <c r="B86" s="19" t="s">
        <v>56</v>
      </c>
      <c r="C86" s="19" t="s">
        <v>907</v>
      </c>
      <c r="D86" s="26" t="s">
        <v>176</v>
      </c>
      <c r="E86" s="21" t="s">
        <v>177</v>
      </c>
      <c r="F86" s="22" t="s">
        <v>37</v>
      </c>
      <c r="G86" s="22">
        <f>G87</f>
        <v>23932782621</v>
      </c>
      <c r="H86" s="23">
        <f t="shared" ref="H86:Z86" si="48">H87</f>
        <v>0</v>
      </c>
      <c r="I86" s="23">
        <f t="shared" si="48"/>
        <v>0</v>
      </c>
      <c r="J86" s="22">
        <f t="shared" si="48"/>
        <v>1580000000</v>
      </c>
      <c r="K86" s="22">
        <f t="shared" si="48"/>
        <v>1580000000</v>
      </c>
      <c r="L86" s="23">
        <f>L87</f>
        <v>0</v>
      </c>
      <c r="M86" s="22">
        <f t="shared" si="48"/>
        <v>23932782621</v>
      </c>
      <c r="N86" s="22">
        <f t="shared" si="48"/>
        <v>61369332</v>
      </c>
      <c r="O86" s="22">
        <f t="shared" si="48"/>
        <v>1060102393.75</v>
      </c>
      <c r="P86" s="22">
        <f t="shared" si="48"/>
        <v>12428133124.68</v>
      </c>
      <c r="Q86" s="22">
        <f t="shared" si="48"/>
        <v>67650000</v>
      </c>
      <c r="R86" s="22">
        <f t="shared" si="48"/>
        <v>1946257188.75</v>
      </c>
      <c r="S86" s="22">
        <f t="shared" si="48"/>
        <v>9176917092.2600002</v>
      </c>
      <c r="T86" s="108">
        <f t="shared" si="48"/>
        <v>21463333</v>
      </c>
      <c r="U86" s="22">
        <f t="shared" si="48"/>
        <v>731268803.75</v>
      </c>
      <c r="V86" s="22">
        <f t="shared" si="48"/>
        <v>923734307.17999995</v>
      </c>
      <c r="W86" s="22">
        <f t="shared" si="40"/>
        <v>945197640.17999995</v>
      </c>
      <c r="X86" s="22">
        <f t="shared" si="48"/>
        <v>11504649496.32</v>
      </c>
      <c r="Y86" s="22">
        <f t="shared" si="48"/>
        <v>3251216032.4200001</v>
      </c>
      <c r="Z86" s="22">
        <f t="shared" si="48"/>
        <v>8231719452.0799999</v>
      </c>
      <c r="AA86" s="24">
        <f t="shared" si="47"/>
        <v>0.38344547049065852</v>
      </c>
    </row>
    <row r="87" spans="1:27" s="25" customFormat="1" ht="18.75" customHeight="1" x14ac:dyDescent="0.2">
      <c r="A87" s="19" t="s">
        <v>55</v>
      </c>
      <c r="B87" s="19" t="s">
        <v>56</v>
      </c>
      <c r="C87" s="19" t="s">
        <v>907</v>
      </c>
      <c r="D87" s="26" t="s">
        <v>178</v>
      </c>
      <c r="E87" s="21" t="s">
        <v>179</v>
      </c>
      <c r="F87" s="22" t="s">
        <v>37</v>
      </c>
      <c r="G87" s="22">
        <f>G88+G92</f>
        <v>23932782621</v>
      </c>
      <c r="H87" s="23">
        <f t="shared" ref="H87:Z87" si="49">H88+H92</f>
        <v>0</v>
      </c>
      <c r="I87" s="23">
        <f t="shared" si="49"/>
        <v>0</v>
      </c>
      <c r="J87" s="22">
        <f t="shared" si="49"/>
        <v>1580000000</v>
      </c>
      <c r="K87" s="22">
        <f t="shared" si="49"/>
        <v>1580000000</v>
      </c>
      <c r="L87" s="23">
        <f>L88+L92</f>
        <v>0</v>
      </c>
      <c r="M87" s="22">
        <f t="shared" si="49"/>
        <v>23932782621</v>
      </c>
      <c r="N87" s="22">
        <f t="shared" si="49"/>
        <v>61369332</v>
      </c>
      <c r="O87" s="22">
        <f t="shared" si="49"/>
        <v>1060102393.75</v>
      </c>
      <c r="P87" s="22">
        <f t="shared" si="49"/>
        <v>12428133124.68</v>
      </c>
      <c r="Q87" s="22">
        <f t="shared" si="49"/>
        <v>67650000</v>
      </c>
      <c r="R87" s="22">
        <f t="shared" si="49"/>
        <v>1946257188.75</v>
      </c>
      <c r="S87" s="22">
        <f t="shared" si="49"/>
        <v>9176917092.2600002</v>
      </c>
      <c r="T87" s="108">
        <f t="shared" si="49"/>
        <v>21463333</v>
      </c>
      <c r="U87" s="22">
        <f t="shared" si="49"/>
        <v>731268803.75</v>
      </c>
      <c r="V87" s="22">
        <f t="shared" si="49"/>
        <v>923734307.17999995</v>
      </c>
      <c r="W87" s="22">
        <f t="shared" si="40"/>
        <v>945197640.17999995</v>
      </c>
      <c r="X87" s="22">
        <f t="shared" si="49"/>
        <v>11504649496.32</v>
      </c>
      <c r="Y87" s="22">
        <f t="shared" si="49"/>
        <v>3251216032.4200001</v>
      </c>
      <c r="Z87" s="22">
        <f t="shared" si="49"/>
        <v>8231719452.0799999</v>
      </c>
      <c r="AA87" s="24">
        <f t="shared" si="47"/>
        <v>0.38344547049065852</v>
      </c>
    </row>
    <row r="88" spans="1:27" s="25" customFormat="1" ht="18.75" customHeight="1" x14ac:dyDescent="0.2">
      <c r="A88" s="19" t="s">
        <v>55</v>
      </c>
      <c r="B88" s="19" t="s">
        <v>56</v>
      </c>
      <c r="C88" s="19" t="s">
        <v>907</v>
      </c>
      <c r="D88" s="26" t="s">
        <v>180</v>
      </c>
      <c r="E88" s="21" t="s">
        <v>181</v>
      </c>
      <c r="F88" s="22" t="s">
        <v>37</v>
      </c>
      <c r="G88" s="22">
        <f>G89+G90+G91</f>
        <v>918000000</v>
      </c>
      <c r="H88" s="23">
        <f t="shared" ref="H88:Z88" si="50">H89+H90+H91</f>
        <v>0</v>
      </c>
      <c r="I88" s="23">
        <f t="shared" si="50"/>
        <v>0</v>
      </c>
      <c r="J88" s="23">
        <f t="shared" si="50"/>
        <v>0</v>
      </c>
      <c r="K88" s="23">
        <f t="shared" si="50"/>
        <v>0</v>
      </c>
      <c r="L88" s="23">
        <f t="shared" si="50"/>
        <v>0</v>
      </c>
      <c r="M88" s="22">
        <f t="shared" si="50"/>
        <v>918000000</v>
      </c>
      <c r="N88" s="23">
        <f t="shared" si="50"/>
        <v>0</v>
      </c>
      <c r="O88" s="22">
        <f t="shared" si="50"/>
        <v>40116800</v>
      </c>
      <c r="P88" s="22">
        <f t="shared" si="50"/>
        <v>158675960</v>
      </c>
      <c r="Q88" s="23">
        <f t="shared" si="50"/>
        <v>0</v>
      </c>
      <c r="R88" s="22">
        <f t="shared" si="50"/>
        <v>80116800</v>
      </c>
      <c r="S88" s="22">
        <f t="shared" si="50"/>
        <v>158675960</v>
      </c>
      <c r="T88" s="23">
        <f t="shared" si="50"/>
        <v>0</v>
      </c>
      <c r="U88" s="22">
        <f t="shared" si="50"/>
        <v>2692100</v>
      </c>
      <c r="V88" s="22">
        <f t="shared" si="50"/>
        <v>4027050</v>
      </c>
      <c r="W88" s="22">
        <f t="shared" si="40"/>
        <v>4027050</v>
      </c>
      <c r="X88" s="22">
        <f t="shared" si="50"/>
        <v>759324040</v>
      </c>
      <c r="Y88" s="23">
        <f t="shared" si="50"/>
        <v>0</v>
      </c>
      <c r="Z88" s="22">
        <f t="shared" si="50"/>
        <v>154648910</v>
      </c>
      <c r="AA88" s="24">
        <f t="shared" si="47"/>
        <v>0.17284962962962963</v>
      </c>
    </row>
    <row r="89" spans="1:27" ht="29.25" customHeight="1" x14ac:dyDescent="0.2">
      <c r="A89" s="35" t="s">
        <v>55</v>
      </c>
      <c r="B89" s="36" t="s">
        <v>56</v>
      </c>
      <c r="C89" s="19" t="s">
        <v>907</v>
      </c>
      <c r="D89" s="37" t="s">
        <v>182</v>
      </c>
      <c r="E89" s="38" t="s">
        <v>183</v>
      </c>
      <c r="F89" s="38" t="s">
        <v>58</v>
      </c>
      <c r="G89" s="39">
        <v>50000000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39">
        <v>50000000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31">
        <f t="shared" si="40"/>
        <v>0</v>
      </c>
      <c r="X89" s="18">
        <f t="shared" ref="X89:X91" si="51">M89-P89</f>
        <v>50000000</v>
      </c>
      <c r="Y89" s="34">
        <f t="shared" ref="Y89:Y91" si="52">P89-S89</f>
        <v>0</v>
      </c>
      <c r="Z89" s="34">
        <f t="shared" ref="Z89:Z91" si="53">S89-W89</f>
        <v>0</v>
      </c>
      <c r="AA89" s="32">
        <f t="shared" si="47"/>
        <v>0</v>
      </c>
    </row>
    <row r="90" spans="1:27" ht="32.25" customHeight="1" x14ac:dyDescent="0.2">
      <c r="A90" s="14" t="s">
        <v>55</v>
      </c>
      <c r="B90" s="15" t="s">
        <v>56</v>
      </c>
      <c r="C90" s="19" t="s">
        <v>907</v>
      </c>
      <c r="D90" s="16" t="s">
        <v>184</v>
      </c>
      <c r="E90" s="17" t="s">
        <v>185</v>
      </c>
      <c r="F90" s="17" t="s">
        <v>58</v>
      </c>
      <c r="G90" s="18">
        <v>758000000</v>
      </c>
      <c r="H90" s="34">
        <v>0</v>
      </c>
      <c r="I90" s="34">
        <v>0</v>
      </c>
      <c r="J90" s="34">
        <v>0</v>
      </c>
      <c r="K90" s="34">
        <v>0</v>
      </c>
      <c r="L90" s="34">
        <v>0</v>
      </c>
      <c r="M90" s="18">
        <v>758000000</v>
      </c>
      <c r="N90" s="34">
        <v>0</v>
      </c>
      <c r="O90" s="18">
        <f>P90-[1]ENERO!O90</f>
        <v>40116800</v>
      </c>
      <c r="P90" s="18">
        <v>158675960</v>
      </c>
      <c r="Q90" s="34">
        <v>0</v>
      </c>
      <c r="R90" s="18">
        <f>S90-[1]ENERO!R90</f>
        <v>80116800</v>
      </c>
      <c r="S90" s="18">
        <v>158675960</v>
      </c>
      <c r="T90" s="34">
        <v>0</v>
      </c>
      <c r="U90" s="18">
        <v>2692100</v>
      </c>
      <c r="V90" s="18">
        <v>4027050</v>
      </c>
      <c r="W90" s="30">
        <f t="shared" si="40"/>
        <v>4027050</v>
      </c>
      <c r="X90" s="18">
        <f t="shared" si="51"/>
        <v>599324040</v>
      </c>
      <c r="Y90" s="34">
        <f t="shared" si="52"/>
        <v>0</v>
      </c>
      <c r="Z90" s="18">
        <f t="shared" si="53"/>
        <v>154648910</v>
      </c>
      <c r="AA90" s="32">
        <f t="shared" si="47"/>
        <v>0.20933503957783642</v>
      </c>
    </row>
    <row r="91" spans="1:27" ht="23.25" customHeight="1" x14ac:dyDescent="0.2">
      <c r="A91" s="14" t="s">
        <v>55</v>
      </c>
      <c r="B91" s="15" t="s">
        <v>56</v>
      </c>
      <c r="C91" s="19" t="s">
        <v>907</v>
      </c>
      <c r="D91" s="16" t="s">
        <v>186</v>
      </c>
      <c r="E91" s="17" t="s">
        <v>187</v>
      </c>
      <c r="F91" s="17" t="s">
        <v>58</v>
      </c>
      <c r="G91" s="18">
        <v>110000000</v>
      </c>
      <c r="H91" s="34">
        <v>0</v>
      </c>
      <c r="I91" s="34">
        <v>0</v>
      </c>
      <c r="J91" s="34">
        <v>0</v>
      </c>
      <c r="K91" s="34">
        <v>0</v>
      </c>
      <c r="L91" s="34">
        <v>0</v>
      </c>
      <c r="M91" s="18">
        <v>110000000</v>
      </c>
      <c r="N91" s="34">
        <v>0</v>
      </c>
      <c r="O91" s="34">
        <v>0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0</v>
      </c>
      <c r="V91" s="34">
        <v>0</v>
      </c>
      <c r="W91" s="31">
        <f t="shared" si="40"/>
        <v>0</v>
      </c>
      <c r="X91" s="18">
        <f t="shared" si="51"/>
        <v>110000000</v>
      </c>
      <c r="Y91" s="34">
        <f t="shared" si="52"/>
        <v>0</v>
      </c>
      <c r="Z91" s="18">
        <f t="shared" si="53"/>
        <v>0</v>
      </c>
      <c r="AA91" s="32">
        <f t="shared" si="47"/>
        <v>0</v>
      </c>
    </row>
    <row r="92" spans="1:27" s="25" customFormat="1" ht="18.75" customHeight="1" x14ac:dyDescent="0.2">
      <c r="A92" s="19" t="s">
        <v>55</v>
      </c>
      <c r="B92" s="19" t="s">
        <v>56</v>
      </c>
      <c r="C92" s="19" t="s">
        <v>907</v>
      </c>
      <c r="D92" s="26" t="s">
        <v>188</v>
      </c>
      <c r="E92" s="21" t="s">
        <v>189</v>
      </c>
      <c r="F92" s="22" t="s">
        <v>56</v>
      </c>
      <c r="G92" s="22">
        <f>SUM(G93:G98)</f>
        <v>23014782621</v>
      </c>
      <c r="H92" s="23">
        <f t="shared" ref="H92:Z92" si="54">SUM(H93:H98)</f>
        <v>0</v>
      </c>
      <c r="I92" s="23">
        <f t="shared" si="54"/>
        <v>0</v>
      </c>
      <c r="J92" s="22">
        <f t="shared" si="54"/>
        <v>1580000000</v>
      </c>
      <c r="K92" s="22">
        <f>SUM(K93:K98)</f>
        <v>1580000000</v>
      </c>
      <c r="L92" s="23">
        <f>SUM(L93:L98)</f>
        <v>0</v>
      </c>
      <c r="M92" s="22">
        <f>SUM(M93:M98)</f>
        <v>23014782621</v>
      </c>
      <c r="N92" s="23">
        <f t="shared" si="54"/>
        <v>61369332</v>
      </c>
      <c r="O92" s="22">
        <f t="shared" si="54"/>
        <v>1019985593.75</v>
      </c>
      <c r="P92" s="22">
        <f t="shared" si="54"/>
        <v>12269457164.68</v>
      </c>
      <c r="Q92" s="22">
        <f t="shared" si="54"/>
        <v>67650000</v>
      </c>
      <c r="R92" s="22">
        <f t="shared" si="54"/>
        <v>1866140388.75</v>
      </c>
      <c r="S92" s="22">
        <f t="shared" si="54"/>
        <v>9018241132.2600002</v>
      </c>
      <c r="T92" s="23">
        <f t="shared" si="54"/>
        <v>21463333</v>
      </c>
      <c r="U92" s="22">
        <f t="shared" si="54"/>
        <v>728576703.75</v>
      </c>
      <c r="V92" s="22">
        <f t="shared" si="54"/>
        <v>919707257.17999995</v>
      </c>
      <c r="W92" s="22">
        <f>T92+V92</f>
        <v>941170590.17999995</v>
      </c>
      <c r="X92" s="22">
        <f t="shared" si="54"/>
        <v>10745325456.32</v>
      </c>
      <c r="Y92" s="22">
        <f t="shared" si="54"/>
        <v>3251216032.4200001</v>
      </c>
      <c r="Z92" s="22">
        <f t="shared" si="54"/>
        <v>8077070542.0799999</v>
      </c>
      <c r="AA92" s="24">
        <f t="shared" si="47"/>
        <v>0.39184559249459272</v>
      </c>
    </row>
    <row r="93" spans="1:27" ht="18.75" customHeight="1" x14ac:dyDescent="0.2">
      <c r="A93" s="14" t="s">
        <v>55</v>
      </c>
      <c r="B93" s="15" t="s">
        <v>56</v>
      </c>
      <c r="C93" s="19" t="s">
        <v>907</v>
      </c>
      <c r="D93" s="16" t="s">
        <v>190</v>
      </c>
      <c r="E93" s="17" t="s">
        <v>191</v>
      </c>
      <c r="F93" s="17" t="s">
        <v>58</v>
      </c>
      <c r="G93" s="18">
        <v>200000000</v>
      </c>
      <c r="H93" s="34">
        <v>0</v>
      </c>
      <c r="I93" s="34">
        <v>0</v>
      </c>
      <c r="J93" s="34">
        <v>0</v>
      </c>
      <c r="K93" s="18">
        <v>90000000</v>
      </c>
      <c r="L93" s="18">
        <f>H93-I93+J93-K93</f>
        <v>-90000000</v>
      </c>
      <c r="M93" s="18">
        <f>G93+L93</f>
        <v>110000000</v>
      </c>
      <c r="N93" s="34">
        <v>0</v>
      </c>
      <c r="O93" s="18">
        <f>P93-[1]ENERO!O93</f>
        <v>77224700</v>
      </c>
      <c r="P93" s="18">
        <v>77224700</v>
      </c>
      <c r="Q93" s="34">
        <v>0</v>
      </c>
      <c r="R93" s="34">
        <f>S93-[1]ENERO!R93</f>
        <v>0</v>
      </c>
      <c r="S93" s="34">
        <v>0</v>
      </c>
      <c r="T93" s="34">
        <v>0</v>
      </c>
      <c r="U93" s="34">
        <v>0</v>
      </c>
      <c r="V93" s="34">
        <v>0</v>
      </c>
      <c r="W93" s="31">
        <f t="shared" ref="W93:W113" si="55">T93+V93</f>
        <v>0</v>
      </c>
      <c r="X93" s="18">
        <f t="shared" ref="X93:X98" si="56">M93-P93</f>
        <v>32775300</v>
      </c>
      <c r="Y93" s="34">
        <f t="shared" ref="Y93:Y98" si="57">P93-S93</f>
        <v>77224700</v>
      </c>
      <c r="Z93" s="18">
        <f t="shared" ref="Z93:Z98" si="58">S93-W93</f>
        <v>0</v>
      </c>
      <c r="AA93" s="32">
        <f t="shared" si="47"/>
        <v>0</v>
      </c>
    </row>
    <row r="94" spans="1:27" ht="27.75" customHeight="1" x14ac:dyDescent="0.2">
      <c r="A94" s="35" t="s">
        <v>55</v>
      </c>
      <c r="B94" s="36" t="s">
        <v>56</v>
      </c>
      <c r="C94" s="19" t="s">
        <v>907</v>
      </c>
      <c r="D94" s="37" t="s">
        <v>192</v>
      </c>
      <c r="E94" s="38" t="s">
        <v>193</v>
      </c>
      <c r="F94" s="38" t="s">
        <v>58</v>
      </c>
      <c r="G94" s="39">
        <v>1740000000</v>
      </c>
      <c r="H94" s="40">
        <v>0</v>
      </c>
      <c r="I94" s="40">
        <v>0</v>
      </c>
      <c r="J94" s="40">
        <v>0</v>
      </c>
      <c r="K94" s="39">
        <v>490000000</v>
      </c>
      <c r="L94" s="18">
        <f>H94-I94+J94-K94</f>
        <v>-490000000</v>
      </c>
      <c r="M94" s="18">
        <f>G94+L94</f>
        <v>1250000000</v>
      </c>
      <c r="N94" s="40">
        <v>230880</v>
      </c>
      <c r="O94" s="18">
        <f>P94-[1]ENERO!O94</f>
        <v>5470475</v>
      </c>
      <c r="P94" s="39">
        <v>660217983</v>
      </c>
      <c r="Q94" s="40">
        <v>0</v>
      </c>
      <c r="R94" s="18">
        <f>S94-[1]ENERO!R94</f>
        <v>121460963</v>
      </c>
      <c r="S94" s="39">
        <v>660217983</v>
      </c>
      <c r="T94" s="40">
        <v>0</v>
      </c>
      <c r="U94" s="39">
        <v>43636263</v>
      </c>
      <c r="V94" s="39">
        <v>132393283</v>
      </c>
      <c r="W94" s="30">
        <f t="shared" si="55"/>
        <v>132393283</v>
      </c>
      <c r="X94" s="18">
        <f t="shared" si="56"/>
        <v>589782017</v>
      </c>
      <c r="Y94" s="34">
        <f t="shared" si="57"/>
        <v>0</v>
      </c>
      <c r="Z94" s="18">
        <f t="shared" si="58"/>
        <v>527824700</v>
      </c>
      <c r="AA94" s="32">
        <f t="shared" si="47"/>
        <v>0.52817438640000003</v>
      </c>
    </row>
    <row r="95" spans="1:27" ht="27.75" customHeight="1" x14ac:dyDescent="0.2">
      <c r="A95" s="35" t="s">
        <v>55</v>
      </c>
      <c r="B95" s="36" t="s">
        <v>56</v>
      </c>
      <c r="C95" s="19" t="s">
        <v>907</v>
      </c>
      <c r="D95" s="37" t="s">
        <v>194</v>
      </c>
      <c r="E95" s="38" t="s">
        <v>195</v>
      </c>
      <c r="F95" s="38" t="s">
        <v>58</v>
      </c>
      <c r="G95" s="39">
        <v>3623000000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39">
        <v>3623000000</v>
      </c>
      <c r="N95" s="40">
        <v>547628</v>
      </c>
      <c r="O95" s="18">
        <f>P95-[1]ENERO!O95</f>
        <v>284438514</v>
      </c>
      <c r="P95" s="39">
        <v>2815854728</v>
      </c>
      <c r="Q95" s="40">
        <v>0</v>
      </c>
      <c r="R95" s="18">
        <f>S95-[1]ENERO!R95</f>
        <v>73138514</v>
      </c>
      <c r="S95" s="39">
        <v>114728514</v>
      </c>
      <c r="T95" s="40">
        <v>0</v>
      </c>
      <c r="U95" s="40">
        <v>114728514</v>
      </c>
      <c r="V95" s="40">
        <v>114728514</v>
      </c>
      <c r="W95" s="30">
        <f t="shared" si="55"/>
        <v>114728514</v>
      </c>
      <c r="X95" s="18">
        <f t="shared" si="56"/>
        <v>807145272</v>
      </c>
      <c r="Y95" s="34">
        <f t="shared" si="57"/>
        <v>2701126214</v>
      </c>
      <c r="Z95" s="34">
        <f t="shared" si="58"/>
        <v>0</v>
      </c>
      <c r="AA95" s="32">
        <f t="shared" si="47"/>
        <v>3.1666716533259733E-2</v>
      </c>
    </row>
    <row r="96" spans="1:27" ht="25.5" customHeight="1" x14ac:dyDescent="0.2">
      <c r="A96" s="14" t="s">
        <v>55</v>
      </c>
      <c r="B96" s="15" t="s">
        <v>56</v>
      </c>
      <c r="C96" s="19" t="s">
        <v>907</v>
      </c>
      <c r="D96" s="16" t="s">
        <v>196</v>
      </c>
      <c r="E96" s="17" t="s">
        <v>197</v>
      </c>
      <c r="F96" s="17" t="s">
        <v>58</v>
      </c>
      <c r="G96" s="18">
        <v>17003782621</v>
      </c>
      <c r="H96" s="34">
        <v>0</v>
      </c>
      <c r="I96" s="34">
        <v>0</v>
      </c>
      <c r="J96" s="18">
        <v>1580000000</v>
      </c>
      <c r="K96" s="18">
        <v>1000000000</v>
      </c>
      <c r="L96" s="18">
        <f>H96-I96+J96-K96</f>
        <v>580000000</v>
      </c>
      <c r="M96" s="18">
        <f>G96+L96</f>
        <v>17583782621</v>
      </c>
      <c r="N96" s="110">
        <v>60590824</v>
      </c>
      <c r="O96" s="110">
        <f>P96-[1]ENERO!O96</f>
        <v>592798660.75</v>
      </c>
      <c r="P96" s="110">
        <v>8656106509.6800003</v>
      </c>
      <c r="Q96" s="18">
        <v>67650000</v>
      </c>
      <c r="R96" s="18">
        <f>S96-[1]ENERO!R96</f>
        <v>1661487667.75</v>
      </c>
      <c r="S96" s="18">
        <v>8233241391.2600002</v>
      </c>
      <c r="T96" s="34">
        <v>21463333</v>
      </c>
      <c r="U96" s="18">
        <v>563032264.75</v>
      </c>
      <c r="V96" s="18">
        <v>665405798.17999995</v>
      </c>
      <c r="W96" s="30">
        <f t="shared" si="55"/>
        <v>686869131.17999995</v>
      </c>
      <c r="X96" s="18">
        <f t="shared" si="56"/>
        <v>8927676111.3199997</v>
      </c>
      <c r="Y96" s="110">
        <f t="shared" si="57"/>
        <v>422865118.42000008</v>
      </c>
      <c r="Z96" s="18">
        <f t="shared" si="58"/>
        <v>7546372260.0799999</v>
      </c>
      <c r="AA96" s="32">
        <f t="shared" si="47"/>
        <v>0.46822925241507396</v>
      </c>
    </row>
    <row r="97" spans="1:27" ht="18.75" customHeight="1" x14ac:dyDescent="0.2">
      <c r="A97" s="14" t="s">
        <v>55</v>
      </c>
      <c r="B97" s="15" t="s">
        <v>56</v>
      </c>
      <c r="C97" s="19" t="s">
        <v>907</v>
      </c>
      <c r="D97" s="16" t="s">
        <v>198</v>
      </c>
      <c r="E97" s="17" t="s">
        <v>199</v>
      </c>
      <c r="F97" s="17" t="s">
        <v>58</v>
      </c>
      <c r="G97" s="18">
        <v>348000000</v>
      </c>
      <c r="H97" s="34">
        <v>0</v>
      </c>
      <c r="I97" s="34">
        <v>0</v>
      </c>
      <c r="J97" s="34">
        <v>0</v>
      </c>
      <c r="K97" s="34">
        <v>0</v>
      </c>
      <c r="L97" s="34">
        <v>0</v>
      </c>
      <c r="M97" s="18">
        <v>348000000</v>
      </c>
      <c r="N97" s="34">
        <v>0</v>
      </c>
      <c r="O97" s="18">
        <f>P97-[1]ENERO!O97</f>
        <v>50000000</v>
      </c>
      <c r="P97" s="110">
        <v>50000000</v>
      </c>
      <c r="Q97" s="34">
        <v>0</v>
      </c>
      <c r="R97" s="34">
        <f>S97-[1]ENERO!R97</f>
        <v>0</v>
      </c>
      <c r="S97" s="34">
        <v>0</v>
      </c>
      <c r="T97" s="34">
        <v>0</v>
      </c>
      <c r="U97" s="34">
        <v>0</v>
      </c>
      <c r="V97" s="34">
        <v>0</v>
      </c>
      <c r="W97" s="31">
        <f t="shared" si="55"/>
        <v>0</v>
      </c>
      <c r="X97" s="18">
        <f t="shared" si="56"/>
        <v>298000000</v>
      </c>
      <c r="Y97" s="110">
        <f t="shared" si="57"/>
        <v>50000000</v>
      </c>
      <c r="Z97" s="34">
        <f t="shared" si="58"/>
        <v>0</v>
      </c>
      <c r="AA97" s="32">
        <f t="shared" si="47"/>
        <v>0</v>
      </c>
    </row>
    <row r="98" spans="1:27" ht="18.75" customHeight="1" x14ac:dyDescent="0.2">
      <c r="A98" s="14" t="s">
        <v>55</v>
      </c>
      <c r="B98" s="15" t="s">
        <v>56</v>
      </c>
      <c r="C98" s="19" t="s">
        <v>907</v>
      </c>
      <c r="D98" s="16" t="s">
        <v>200</v>
      </c>
      <c r="E98" s="17" t="s">
        <v>201</v>
      </c>
      <c r="F98" s="17" t="s">
        <v>58</v>
      </c>
      <c r="G98" s="18">
        <v>100000000</v>
      </c>
      <c r="H98" s="34">
        <v>0</v>
      </c>
      <c r="I98" s="34">
        <v>0</v>
      </c>
      <c r="J98" s="34">
        <v>0</v>
      </c>
      <c r="K98" s="34">
        <v>0</v>
      </c>
      <c r="L98" s="34">
        <v>0</v>
      </c>
      <c r="M98" s="18">
        <v>100000000</v>
      </c>
      <c r="N98" s="34">
        <v>0</v>
      </c>
      <c r="O98" s="18">
        <f>P98-[1]ENERO!O98</f>
        <v>10053244</v>
      </c>
      <c r="P98" s="110">
        <v>10053244</v>
      </c>
      <c r="Q98" s="34">
        <v>0</v>
      </c>
      <c r="R98" s="18">
        <f>S98-[1]ENERO!R98</f>
        <v>10053244</v>
      </c>
      <c r="S98" s="34">
        <v>10053244</v>
      </c>
      <c r="T98" s="34">
        <v>0</v>
      </c>
      <c r="U98" s="34">
        <v>7179662</v>
      </c>
      <c r="V98" s="34">
        <v>7179662</v>
      </c>
      <c r="W98" s="30">
        <f t="shared" si="55"/>
        <v>7179662</v>
      </c>
      <c r="X98" s="18">
        <f t="shared" si="56"/>
        <v>89946756</v>
      </c>
      <c r="Y98" s="34">
        <f t="shared" si="57"/>
        <v>0</v>
      </c>
      <c r="Z98" s="18">
        <f t="shared" si="58"/>
        <v>2873582</v>
      </c>
      <c r="AA98" s="32">
        <f t="shared" si="47"/>
        <v>0.10053244</v>
      </c>
    </row>
    <row r="99" spans="1:27" s="25" customFormat="1" ht="18.75" customHeight="1" x14ac:dyDescent="0.2">
      <c r="A99" s="19" t="s">
        <v>37</v>
      </c>
      <c r="B99" s="19" t="s">
        <v>37</v>
      </c>
      <c r="C99" s="19" t="s">
        <v>907</v>
      </c>
      <c r="D99" s="26" t="s">
        <v>868</v>
      </c>
      <c r="E99" s="21" t="s">
        <v>202</v>
      </c>
      <c r="F99" s="22" t="s">
        <v>37</v>
      </c>
      <c r="G99" s="22">
        <f t="shared" ref="G99:V99" si="59">G100+G120+G135</f>
        <v>113142608950</v>
      </c>
      <c r="H99" s="23">
        <f t="shared" si="59"/>
        <v>0</v>
      </c>
      <c r="I99" s="23">
        <f t="shared" si="59"/>
        <v>0</v>
      </c>
      <c r="J99" s="23">
        <f t="shared" si="59"/>
        <v>0</v>
      </c>
      <c r="K99" s="23">
        <f t="shared" si="59"/>
        <v>0</v>
      </c>
      <c r="L99" s="23">
        <f t="shared" si="59"/>
        <v>0</v>
      </c>
      <c r="M99" s="22">
        <f t="shared" si="59"/>
        <v>113142608950</v>
      </c>
      <c r="N99" s="23">
        <f t="shared" si="59"/>
        <v>0</v>
      </c>
      <c r="O99" s="22">
        <f t="shared" si="59"/>
        <v>3955621098.98</v>
      </c>
      <c r="P99" s="22">
        <f t="shared" si="59"/>
        <v>8514607320.1399994</v>
      </c>
      <c r="Q99" s="23">
        <f t="shared" si="59"/>
        <v>0</v>
      </c>
      <c r="R99" s="22">
        <f t="shared" si="59"/>
        <v>3954216046.98</v>
      </c>
      <c r="S99" s="22">
        <f t="shared" si="59"/>
        <v>8506973268.1399994</v>
      </c>
      <c r="T99" s="22">
        <f t="shared" si="59"/>
        <v>2102053727</v>
      </c>
      <c r="U99" s="22">
        <f t="shared" si="59"/>
        <v>3954216046.98</v>
      </c>
      <c r="V99" s="22">
        <f t="shared" si="59"/>
        <v>6401614081.1399994</v>
      </c>
      <c r="W99" s="22">
        <f t="shared" si="55"/>
        <v>8503667808.1399994</v>
      </c>
      <c r="X99" s="22">
        <f>X100+X120+X135</f>
        <v>104628001629.86</v>
      </c>
      <c r="Y99" s="22">
        <f>Y100+Y120+Y135</f>
        <v>7634052</v>
      </c>
      <c r="Z99" s="22">
        <f>Z100+Z120+Z135</f>
        <v>3305460</v>
      </c>
      <c r="AA99" s="24">
        <f t="shared" si="47"/>
        <v>7.5188059981005056E-2</v>
      </c>
    </row>
    <row r="100" spans="1:27" s="25" customFormat="1" ht="18.75" customHeight="1" x14ac:dyDescent="0.2">
      <c r="A100" s="19" t="s">
        <v>55</v>
      </c>
      <c r="B100" s="19" t="s">
        <v>56</v>
      </c>
      <c r="C100" s="19" t="s">
        <v>907</v>
      </c>
      <c r="D100" s="26" t="s">
        <v>869</v>
      </c>
      <c r="E100" s="21" t="s">
        <v>203</v>
      </c>
      <c r="F100" s="22" t="s">
        <v>37</v>
      </c>
      <c r="G100" s="22">
        <f t="shared" ref="G100:V100" si="60">G101+G114</f>
        <v>70789582622</v>
      </c>
      <c r="H100" s="23">
        <f t="shared" si="60"/>
        <v>0</v>
      </c>
      <c r="I100" s="23">
        <f t="shared" si="60"/>
        <v>0</v>
      </c>
      <c r="J100" s="23">
        <f t="shared" si="60"/>
        <v>0</v>
      </c>
      <c r="K100" s="23">
        <f t="shared" si="60"/>
        <v>0</v>
      </c>
      <c r="L100" s="23">
        <f t="shared" si="60"/>
        <v>0</v>
      </c>
      <c r="M100" s="22">
        <f t="shared" si="60"/>
        <v>70789582622</v>
      </c>
      <c r="N100" s="23">
        <f t="shared" si="60"/>
        <v>0</v>
      </c>
      <c r="O100" s="22">
        <f t="shared" si="60"/>
        <v>1671094336.98</v>
      </c>
      <c r="P100" s="22">
        <f t="shared" si="60"/>
        <v>4109903356.1399999</v>
      </c>
      <c r="Q100" s="23">
        <f t="shared" si="60"/>
        <v>0</v>
      </c>
      <c r="R100" s="22">
        <f t="shared" si="60"/>
        <v>1671094336.98</v>
      </c>
      <c r="S100" s="22">
        <f t="shared" si="60"/>
        <v>4109903356.1399999</v>
      </c>
      <c r="T100" s="23">
        <f t="shared" si="60"/>
        <v>0</v>
      </c>
      <c r="U100" s="22">
        <f t="shared" si="60"/>
        <v>1671094336.98</v>
      </c>
      <c r="V100" s="22">
        <f t="shared" si="60"/>
        <v>4109903356.1399999</v>
      </c>
      <c r="W100" s="22">
        <f t="shared" si="55"/>
        <v>4109903356.1399999</v>
      </c>
      <c r="X100" s="22">
        <f>X101+X114</f>
        <v>66679679265.860001</v>
      </c>
      <c r="Y100" s="23">
        <f>Y101+Y114</f>
        <v>0</v>
      </c>
      <c r="Z100" s="23">
        <f>Z101+Z114</f>
        <v>0</v>
      </c>
      <c r="AA100" s="24">
        <f t="shared" si="47"/>
        <v>5.8058024979267549E-2</v>
      </c>
    </row>
    <row r="101" spans="1:27" s="25" customFormat="1" ht="18.75" customHeight="1" x14ac:dyDescent="0.2">
      <c r="A101" s="19" t="s">
        <v>55</v>
      </c>
      <c r="B101" s="19" t="s">
        <v>56</v>
      </c>
      <c r="C101" s="19" t="s">
        <v>907</v>
      </c>
      <c r="D101" s="26" t="s">
        <v>870</v>
      </c>
      <c r="E101" s="21" t="s">
        <v>204</v>
      </c>
      <c r="F101" s="22" t="s">
        <v>56</v>
      </c>
      <c r="G101" s="22">
        <f>G102</f>
        <v>34789582622</v>
      </c>
      <c r="H101" s="23">
        <f t="shared" ref="H101:Z101" si="61">H102</f>
        <v>0</v>
      </c>
      <c r="I101" s="23">
        <f t="shared" si="61"/>
        <v>0</v>
      </c>
      <c r="J101" s="23">
        <f t="shared" si="61"/>
        <v>0</v>
      </c>
      <c r="K101" s="23">
        <f t="shared" si="61"/>
        <v>0</v>
      </c>
      <c r="L101" s="23">
        <f t="shared" si="61"/>
        <v>0</v>
      </c>
      <c r="M101" s="22">
        <f t="shared" si="61"/>
        <v>34789582622</v>
      </c>
      <c r="N101" s="23">
        <f t="shared" si="61"/>
        <v>0</v>
      </c>
      <c r="O101" s="22">
        <f t="shared" si="61"/>
        <v>1671094336.98</v>
      </c>
      <c r="P101" s="22">
        <f t="shared" si="61"/>
        <v>4109903356.1399999</v>
      </c>
      <c r="Q101" s="23">
        <f t="shared" si="61"/>
        <v>0</v>
      </c>
      <c r="R101" s="22">
        <f t="shared" si="61"/>
        <v>1671094336.98</v>
      </c>
      <c r="S101" s="22">
        <f t="shared" si="61"/>
        <v>4109903356.1399999</v>
      </c>
      <c r="T101" s="23">
        <f t="shared" si="61"/>
        <v>0</v>
      </c>
      <c r="U101" s="22">
        <f t="shared" si="61"/>
        <v>1671094336.98</v>
      </c>
      <c r="V101" s="22">
        <f t="shared" si="61"/>
        <v>4109903356.1399999</v>
      </c>
      <c r="W101" s="22">
        <f t="shared" si="55"/>
        <v>4109903356.1399999</v>
      </c>
      <c r="X101" s="22">
        <f t="shared" si="61"/>
        <v>30679679265.860001</v>
      </c>
      <c r="Y101" s="23">
        <f t="shared" si="61"/>
        <v>0</v>
      </c>
      <c r="Z101" s="23">
        <f t="shared" si="61"/>
        <v>0</v>
      </c>
      <c r="AA101" s="24">
        <f t="shared" si="47"/>
        <v>0.11813603516878662</v>
      </c>
    </row>
    <row r="102" spans="1:27" ht="28.5" customHeight="1" x14ac:dyDescent="0.2">
      <c r="A102" s="27" t="s">
        <v>55</v>
      </c>
      <c r="B102" s="27" t="s">
        <v>56</v>
      </c>
      <c r="C102" s="19" t="s">
        <v>907</v>
      </c>
      <c r="D102" s="101" t="s">
        <v>871</v>
      </c>
      <c r="E102" s="38" t="s">
        <v>205</v>
      </c>
      <c r="F102" s="30" t="s">
        <v>56</v>
      </c>
      <c r="G102" s="30">
        <f t="shared" ref="G102:V102" si="62">SUM(G103:G113)</f>
        <v>34789582622</v>
      </c>
      <c r="H102" s="31">
        <f t="shared" si="62"/>
        <v>0</v>
      </c>
      <c r="I102" s="31">
        <f t="shared" si="62"/>
        <v>0</v>
      </c>
      <c r="J102" s="31">
        <f t="shared" si="62"/>
        <v>0</v>
      </c>
      <c r="K102" s="31">
        <f t="shared" si="62"/>
        <v>0</v>
      </c>
      <c r="L102" s="31">
        <f t="shared" si="62"/>
        <v>0</v>
      </c>
      <c r="M102" s="30">
        <f>SUM(M103:M113)</f>
        <v>34789582622</v>
      </c>
      <c r="N102" s="31">
        <f t="shared" si="62"/>
        <v>0</v>
      </c>
      <c r="O102" s="30">
        <f t="shared" si="62"/>
        <v>1671094336.98</v>
      </c>
      <c r="P102" s="30">
        <f t="shared" si="62"/>
        <v>4109903356.1399999</v>
      </c>
      <c r="Q102" s="31">
        <f t="shared" si="62"/>
        <v>0</v>
      </c>
      <c r="R102" s="30">
        <f t="shared" si="62"/>
        <v>1671094336.98</v>
      </c>
      <c r="S102" s="30">
        <f t="shared" si="62"/>
        <v>4109903356.1399999</v>
      </c>
      <c r="T102" s="31">
        <f t="shared" si="62"/>
        <v>0</v>
      </c>
      <c r="U102" s="30">
        <f t="shared" si="62"/>
        <v>1671094336.98</v>
      </c>
      <c r="V102" s="30">
        <f t="shared" si="62"/>
        <v>4109903356.1399999</v>
      </c>
      <c r="W102" s="30">
        <f t="shared" si="55"/>
        <v>4109903356.1399999</v>
      </c>
      <c r="X102" s="18">
        <f t="shared" ref="X102:X113" si="63">M102-P102</f>
        <v>30679679265.860001</v>
      </c>
      <c r="Y102" s="34">
        <f t="shared" ref="Y102:Y113" si="64">P102-S102</f>
        <v>0</v>
      </c>
      <c r="Z102" s="34">
        <f t="shared" ref="Z102:Z113" si="65">S102-W102</f>
        <v>0</v>
      </c>
      <c r="AA102" s="32">
        <f t="shared" si="47"/>
        <v>0.11813603516878662</v>
      </c>
    </row>
    <row r="103" spans="1:27" ht="18.75" customHeight="1" x14ac:dyDescent="0.2">
      <c r="A103" s="35" t="s">
        <v>55</v>
      </c>
      <c r="B103" s="36" t="s">
        <v>56</v>
      </c>
      <c r="C103" s="19" t="s">
        <v>907</v>
      </c>
      <c r="D103" s="101" t="s">
        <v>872</v>
      </c>
      <c r="E103" s="38" t="s">
        <v>206</v>
      </c>
      <c r="F103" s="38" t="s">
        <v>58</v>
      </c>
      <c r="G103" s="39">
        <v>2500000000</v>
      </c>
      <c r="H103" s="40">
        <v>0</v>
      </c>
      <c r="I103" s="40">
        <v>0</v>
      </c>
      <c r="J103" s="40">
        <v>0</v>
      </c>
      <c r="K103" s="40">
        <v>0</v>
      </c>
      <c r="L103" s="40">
        <v>0</v>
      </c>
      <c r="M103" s="39">
        <v>2500000000</v>
      </c>
      <c r="N103" s="40">
        <v>0</v>
      </c>
      <c r="O103" s="39">
        <f>P103-[1]ENERO!O103</f>
        <v>208333333</v>
      </c>
      <c r="P103" s="39">
        <v>416666666</v>
      </c>
      <c r="Q103" s="40">
        <v>0</v>
      </c>
      <c r="R103" s="39">
        <v>208333333</v>
      </c>
      <c r="S103" s="39">
        <v>416666666</v>
      </c>
      <c r="T103" s="40">
        <v>0</v>
      </c>
      <c r="U103" s="39">
        <v>208333333</v>
      </c>
      <c r="V103" s="39">
        <v>416666666</v>
      </c>
      <c r="W103" s="30">
        <f t="shared" si="55"/>
        <v>416666666</v>
      </c>
      <c r="X103" s="18">
        <f t="shared" si="63"/>
        <v>2083333334</v>
      </c>
      <c r="Y103" s="34">
        <f t="shared" si="64"/>
        <v>0</v>
      </c>
      <c r="Z103" s="34">
        <f t="shared" si="65"/>
        <v>0</v>
      </c>
      <c r="AA103" s="32">
        <f t="shared" si="47"/>
        <v>0.1666666664</v>
      </c>
    </row>
    <row r="104" spans="1:27" ht="18.75" customHeight="1" x14ac:dyDescent="0.2">
      <c r="A104" s="14" t="s">
        <v>55</v>
      </c>
      <c r="B104" s="15" t="s">
        <v>56</v>
      </c>
      <c r="C104" s="19" t="s">
        <v>907</v>
      </c>
      <c r="D104" s="41" t="s">
        <v>873</v>
      </c>
      <c r="E104" s="17" t="s">
        <v>207</v>
      </c>
      <c r="F104" s="17" t="s">
        <v>58</v>
      </c>
      <c r="G104" s="18">
        <v>3557080000</v>
      </c>
      <c r="H104" s="34">
        <v>0</v>
      </c>
      <c r="I104" s="34">
        <v>0</v>
      </c>
      <c r="J104" s="34">
        <v>0</v>
      </c>
      <c r="K104" s="34">
        <v>0</v>
      </c>
      <c r="L104" s="34">
        <v>0</v>
      </c>
      <c r="M104" s="18">
        <v>3557080000</v>
      </c>
      <c r="N104" s="34">
        <v>0</v>
      </c>
      <c r="O104" s="39">
        <f>P104-[1]ENERO!O104</f>
        <v>296423333</v>
      </c>
      <c r="P104" s="18">
        <v>592846666</v>
      </c>
      <c r="Q104" s="34">
        <v>0</v>
      </c>
      <c r="R104" s="18">
        <v>296423333</v>
      </c>
      <c r="S104" s="18">
        <v>592846666</v>
      </c>
      <c r="T104" s="34">
        <v>0</v>
      </c>
      <c r="U104" s="18">
        <v>296423333</v>
      </c>
      <c r="V104" s="18">
        <v>592846666</v>
      </c>
      <c r="W104" s="30">
        <f t="shared" si="55"/>
        <v>592846666</v>
      </c>
      <c r="X104" s="18">
        <f t="shared" si="63"/>
        <v>2964233334</v>
      </c>
      <c r="Y104" s="34">
        <f t="shared" si="64"/>
        <v>0</v>
      </c>
      <c r="Z104" s="34">
        <f t="shared" si="65"/>
        <v>0</v>
      </c>
      <c r="AA104" s="32">
        <f t="shared" si="47"/>
        <v>0.16666666647924702</v>
      </c>
    </row>
    <row r="105" spans="1:27" ht="18.75" customHeight="1" x14ac:dyDescent="0.2">
      <c r="A105" s="35" t="s">
        <v>55</v>
      </c>
      <c r="B105" s="36" t="s">
        <v>56</v>
      </c>
      <c r="C105" s="19" t="s">
        <v>907</v>
      </c>
      <c r="D105" s="101" t="s">
        <v>874</v>
      </c>
      <c r="E105" s="38" t="s">
        <v>208</v>
      </c>
      <c r="F105" s="38" t="s">
        <v>58</v>
      </c>
      <c r="G105" s="39">
        <v>2747397800</v>
      </c>
      <c r="H105" s="40">
        <v>0</v>
      </c>
      <c r="I105" s="40">
        <v>0</v>
      </c>
      <c r="J105" s="40">
        <v>0</v>
      </c>
      <c r="K105" s="40">
        <v>0</v>
      </c>
      <c r="L105" s="40">
        <v>0</v>
      </c>
      <c r="M105" s="39">
        <v>2747397800</v>
      </c>
      <c r="N105" s="40">
        <v>0</v>
      </c>
      <c r="O105" s="39">
        <f>P105-[1]ENERO!O105</f>
        <v>457899634</v>
      </c>
      <c r="P105" s="39">
        <v>457899634</v>
      </c>
      <c r="Q105" s="40">
        <v>0</v>
      </c>
      <c r="R105" s="39">
        <v>457899634</v>
      </c>
      <c r="S105" s="39">
        <v>457899634</v>
      </c>
      <c r="T105" s="40">
        <v>0</v>
      </c>
      <c r="U105" s="39">
        <v>457899634</v>
      </c>
      <c r="V105" s="39">
        <v>457899634</v>
      </c>
      <c r="W105" s="30">
        <f t="shared" si="55"/>
        <v>457899634</v>
      </c>
      <c r="X105" s="18">
        <f t="shared" si="63"/>
        <v>2289498166</v>
      </c>
      <c r="Y105" s="34">
        <f t="shared" si="64"/>
        <v>0</v>
      </c>
      <c r="Z105" s="34">
        <f t="shared" si="65"/>
        <v>0</v>
      </c>
      <c r="AA105" s="32">
        <f t="shared" si="47"/>
        <v>0.16666666690932053</v>
      </c>
    </row>
    <row r="106" spans="1:27" ht="18.75" customHeight="1" x14ac:dyDescent="0.2">
      <c r="A106" s="14" t="s">
        <v>55</v>
      </c>
      <c r="B106" s="15" t="s">
        <v>56</v>
      </c>
      <c r="C106" s="19" t="s">
        <v>907</v>
      </c>
      <c r="D106" s="41" t="s">
        <v>875</v>
      </c>
      <c r="E106" s="17" t="s">
        <v>209</v>
      </c>
      <c r="F106" s="17" t="s">
        <v>58</v>
      </c>
      <c r="G106" s="18">
        <v>1627586535</v>
      </c>
      <c r="H106" s="34">
        <v>0</v>
      </c>
      <c r="I106" s="34">
        <v>0</v>
      </c>
      <c r="J106" s="34">
        <v>0</v>
      </c>
      <c r="K106" s="34">
        <v>0</v>
      </c>
      <c r="L106" s="34">
        <v>0</v>
      </c>
      <c r="M106" s="18">
        <v>1627586535</v>
      </c>
      <c r="N106" s="34">
        <v>0</v>
      </c>
      <c r="O106" s="39">
        <f>P106-[1]ENERO!O106</f>
        <v>15566961.899999999</v>
      </c>
      <c r="P106" s="18">
        <v>49369506.979999997</v>
      </c>
      <c r="Q106" s="34">
        <v>0</v>
      </c>
      <c r="R106" s="18">
        <v>15566961.9</v>
      </c>
      <c r="S106" s="18">
        <v>49369506.979999997</v>
      </c>
      <c r="T106" s="34">
        <v>0</v>
      </c>
      <c r="U106" s="18">
        <v>15566961.9</v>
      </c>
      <c r="V106" s="18">
        <v>49369506.979999997</v>
      </c>
      <c r="W106" s="30">
        <f t="shared" si="55"/>
        <v>49369506.979999997</v>
      </c>
      <c r="X106" s="18">
        <f t="shared" si="63"/>
        <v>1578217028.02</v>
      </c>
      <c r="Y106" s="34">
        <f t="shared" si="64"/>
        <v>0</v>
      </c>
      <c r="Z106" s="34">
        <f t="shared" si="65"/>
        <v>0</v>
      </c>
      <c r="AA106" s="32">
        <f t="shared" si="47"/>
        <v>3.0332953682244611E-2</v>
      </c>
    </row>
    <row r="107" spans="1:27" ht="18.75" customHeight="1" x14ac:dyDescent="0.2">
      <c r="A107" s="14" t="s">
        <v>55</v>
      </c>
      <c r="B107" s="15" t="s">
        <v>56</v>
      </c>
      <c r="C107" s="19" t="s">
        <v>907</v>
      </c>
      <c r="D107" s="41" t="s">
        <v>876</v>
      </c>
      <c r="E107" s="17" t="s">
        <v>210</v>
      </c>
      <c r="F107" s="17" t="s">
        <v>58</v>
      </c>
      <c r="G107" s="18">
        <v>4565923897</v>
      </c>
      <c r="H107" s="34">
        <v>0</v>
      </c>
      <c r="I107" s="34">
        <v>0</v>
      </c>
      <c r="J107" s="34">
        <v>0</v>
      </c>
      <c r="K107" s="34">
        <v>0</v>
      </c>
      <c r="L107" s="34">
        <v>0</v>
      </c>
      <c r="M107" s="18">
        <v>4565923897</v>
      </c>
      <c r="N107" s="34">
        <v>0</v>
      </c>
      <c r="O107" s="39">
        <f>P107-[1]ENERO!O107</f>
        <v>380493658.07999998</v>
      </c>
      <c r="P107" s="18">
        <v>760987316.15999997</v>
      </c>
      <c r="Q107" s="34">
        <v>0</v>
      </c>
      <c r="R107" s="18">
        <v>380493658.07999998</v>
      </c>
      <c r="S107" s="18">
        <v>760987316.15999997</v>
      </c>
      <c r="T107" s="34">
        <v>0</v>
      </c>
      <c r="U107" s="18">
        <v>380493658.07999998</v>
      </c>
      <c r="V107" s="18">
        <v>760987316.15999997</v>
      </c>
      <c r="W107" s="30">
        <f t="shared" si="55"/>
        <v>760987316.15999997</v>
      </c>
      <c r="X107" s="18">
        <f t="shared" si="63"/>
        <v>3804936580.8400002</v>
      </c>
      <c r="Y107" s="34">
        <f t="shared" si="64"/>
        <v>0</v>
      </c>
      <c r="Z107" s="34">
        <f t="shared" si="65"/>
        <v>0</v>
      </c>
      <c r="AA107" s="32">
        <f t="shared" si="47"/>
        <v>0.16666666666520658</v>
      </c>
    </row>
    <row r="108" spans="1:27" ht="18.75" customHeight="1" x14ac:dyDescent="0.2">
      <c r="A108" s="35" t="s">
        <v>55</v>
      </c>
      <c r="B108" s="36" t="s">
        <v>56</v>
      </c>
      <c r="C108" s="19" t="s">
        <v>907</v>
      </c>
      <c r="D108" s="101" t="s">
        <v>877</v>
      </c>
      <c r="E108" s="38" t="s">
        <v>211</v>
      </c>
      <c r="F108" s="38" t="s">
        <v>58</v>
      </c>
      <c r="G108" s="39">
        <v>5174713749</v>
      </c>
      <c r="H108" s="40">
        <v>0</v>
      </c>
      <c r="I108" s="40">
        <v>0</v>
      </c>
      <c r="J108" s="40">
        <v>0</v>
      </c>
      <c r="K108" s="40">
        <v>0</v>
      </c>
      <c r="L108" s="40">
        <v>0</v>
      </c>
      <c r="M108" s="39">
        <v>5174713749</v>
      </c>
      <c r="N108" s="40">
        <v>0</v>
      </c>
      <c r="O108" s="112">
        <f>P108-[1]ENERO!O108</f>
        <v>0</v>
      </c>
      <c r="P108" s="39">
        <v>800000000</v>
      </c>
      <c r="Q108" s="40">
        <v>0</v>
      </c>
      <c r="R108" s="39">
        <v>0</v>
      </c>
      <c r="S108" s="39">
        <v>800000000</v>
      </c>
      <c r="T108" s="40">
        <v>0</v>
      </c>
      <c r="U108" s="40">
        <v>0</v>
      </c>
      <c r="V108" s="39">
        <v>800000000</v>
      </c>
      <c r="W108" s="30">
        <f t="shared" si="55"/>
        <v>800000000</v>
      </c>
      <c r="X108" s="18">
        <f t="shared" si="63"/>
        <v>4374713749</v>
      </c>
      <c r="Y108" s="34">
        <f t="shared" si="64"/>
        <v>0</v>
      </c>
      <c r="Z108" s="34">
        <f t="shared" si="65"/>
        <v>0</v>
      </c>
      <c r="AA108" s="32">
        <f t="shared" si="47"/>
        <v>0.15459792344158127</v>
      </c>
    </row>
    <row r="109" spans="1:27" ht="18.75" customHeight="1" x14ac:dyDescent="0.2">
      <c r="A109" s="35" t="s">
        <v>55</v>
      </c>
      <c r="B109" s="36" t="s">
        <v>56</v>
      </c>
      <c r="C109" s="19" t="s">
        <v>907</v>
      </c>
      <c r="D109" s="101" t="s">
        <v>878</v>
      </c>
      <c r="E109" s="38" t="s">
        <v>212</v>
      </c>
      <c r="F109" s="38" t="s">
        <v>58</v>
      </c>
      <c r="G109" s="39">
        <v>286350464</v>
      </c>
      <c r="H109" s="40">
        <v>0</v>
      </c>
      <c r="I109" s="40">
        <v>0</v>
      </c>
      <c r="J109" s="40">
        <v>0</v>
      </c>
      <c r="K109" s="40">
        <v>0</v>
      </c>
      <c r="L109" s="40">
        <v>0</v>
      </c>
      <c r="M109" s="39">
        <v>286350464</v>
      </c>
      <c r="N109" s="40">
        <v>0</v>
      </c>
      <c r="O109" s="112">
        <f>P109-[1]ENERO!O109</f>
        <v>0</v>
      </c>
      <c r="P109" s="40">
        <v>0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0</v>
      </c>
      <c r="W109" s="31">
        <f t="shared" si="55"/>
        <v>0</v>
      </c>
      <c r="X109" s="18">
        <f t="shared" si="63"/>
        <v>286350464</v>
      </c>
      <c r="Y109" s="34">
        <f t="shared" si="64"/>
        <v>0</v>
      </c>
      <c r="Z109" s="34">
        <f t="shared" si="65"/>
        <v>0</v>
      </c>
      <c r="AA109" s="32">
        <f t="shared" si="47"/>
        <v>0</v>
      </c>
    </row>
    <row r="110" spans="1:27" ht="18.75" customHeight="1" x14ac:dyDescent="0.2">
      <c r="A110" s="14" t="s">
        <v>55</v>
      </c>
      <c r="B110" s="15" t="s">
        <v>56</v>
      </c>
      <c r="C110" s="19" t="s">
        <v>907</v>
      </c>
      <c r="D110" s="41" t="s">
        <v>879</v>
      </c>
      <c r="E110" s="17" t="s">
        <v>213</v>
      </c>
      <c r="F110" s="17" t="s">
        <v>58</v>
      </c>
      <c r="G110" s="18">
        <v>3748529000</v>
      </c>
      <c r="H110" s="34">
        <v>0</v>
      </c>
      <c r="I110" s="34">
        <v>0</v>
      </c>
      <c r="J110" s="34">
        <v>0</v>
      </c>
      <c r="K110" s="34">
        <v>0</v>
      </c>
      <c r="L110" s="34">
        <v>0</v>
      </c>
      <c r="M110" s="18">
        <v>3748529000</v>
      </c>
      <c r="N110" s="34">
        <v>0</v>
      </c>
      <c r="O110" s="39">
        <f>P110-[1]ENERO!O110</f>
        <v>312377417</v>
      </c>
      <c r="P110" s="18">
        <v>624754834</v>
      </c>
      <c r="Q110" s="34">
        <v>0</v>
      </c>
      <c r="R110" s="18">
        <v>312377417</v>
      </c>
      <c r="S110" s="18">
        <v>624754834</v>
      </c>
      <c r="T110" s="34">
        <v>0</v>
      </c>
      <c r="U110" s="18">
        <v>312377417</v>
      </c>
      <c r="V110" s="18">
        <v>624754834</v>
      </c>
      <c r="W110" s="30">
        <f t="shared" si="55"/>
        <v>624754834</v>
      </c>
      <c r="X110" s="18">
        <f t="shared" si="63"/>
        <v>3123774166</v>
      </c>
      <c r="Y110" s="34">
        <f t="shared" si="64"/>
        <v>0</v>
      </c>
      <c r="Z110" s="34">
        <f t="shared" si="65"/>
        <v>0</v>
      </c>
      <c r="AA110" s="32">
        <f t="shared" si="47"/>
        <v>0.1666666668445142</v>
      </c>
    </row>
    <row r="111" spans="1:27" ht="18.75" customHeight="1" x14ac:dyDescent="0.2">
      <c r="A111" s="35" t="s">
        <v>55</v>
      </c>
      <c r="B111" s="36" t="s">
        <v>56</v>
      </c>
      <c r="C111" s="19" t="s">
        <v>907</v>
      </c>
      <c r="D111" s="101" t="s">
        <v>880</v>
      </c>
      <c r="E111" s="38" t="s">
        <v>214</v>
      </c>
      <c r="F111" s="38" t="s">
        <v>58</v>
      </c>
      <c r="G111" s="39">
        <v>80525000</v>
      </c>
      <c r="H111" s="40">
        <v>0</v>
      </c>
      <c r="I111" s="40">
        <v>0</v>
      </c>
      <c r="J111" s="40">
        <v>0</v>
      </c>
      <c r="K111" s="40">
        <v>0</v>
      </c>
      <c r="L111" s="40">
        <v>0</v>
      </c>
      <c r="M111" s="39">
        <v>80525000</v>
      </c>
      <c r="N111" s="40">
        <v>0</v>
      </c>
      <c r="O111" s="40">
        <f>P111-[1]ENERO!O111</f>
        <v>0</v>
      </c>
      <c r="P111" s="39">
        <v>80525000</v>
      </c>
      <c r="Q111" s="40">
        <v>0</v>
      </c>
      <c r="R111" s="40">
        <v>0</v>
      </c>
      <c r="S111" s="39">
        <v>80525000</v>
      </c>
      <c r="T111" s="40">
        <v>0</v>
      </c>
      <c r="U111" s="40">
        <v>0</v>
      </c>
      <c r="V111" s="39">
        <v>80525000</v>
      </c>
      <c r="W111" s="30">
        <f t="shared" si="55"/>
        <v>80525000</v>
      </c>
      <c r="X111" s="34">
        <f t="shared" si="63"/>
        <v>0</v>
      </c>
      <c r="Y111" s="34">
        <f t="shared" si="64"/>
        <v>0</v>
      </c>
      <c r="Z111" s="34">
        <f t="shared" si="65"/>
        <v>0</v>
      </c>
      <c r="AA111" s="32">
        <f t="shared" si="47"/>
        <v>1</v>
      </c>
    </row>
    <row r="112" spans="1:27" ht="18.75" customHeight="1" x14ac:dyDescent="0.2">
      <c r="A112" s="14" t="s">
        <v>55</v>
      </c>
      <c r="B112" s="15" t="s">
        <v>56</v>
      </c>
      <c r="C112" s="19" t="s">
        <v>907</v>
      </c>
      <c r="D112" s="41" t="s">
        <v>881</v>
      </c>
      <c r="E112" s="17" t="s">
        <v>214</v>
      </c>
      <c r="F112" s="17" t="s">
        <v>215</v>
      </c>
      <c r="G112" s="18">
        <v>10351476177</v>
      </c>
      <c r="H112" s="34">
        <v>0</v>
      </c>
      <c r="I112" s="34">
        <v>0</v>
      </c>
      <c r="J112" s="34">
        <v>0</v>
      </c>
      <c r="K112" s="34">
        <v>0</v>
      </c>
      <c r="L112" s="34">
        <v>0</v>
      </c>
      <c r="M112" s="18">
        <v>10351476177</v>
      </c>
      <c r="N112" s="34">
        <v>0</v>
      </c>
      <c r="O112" s="40">
        <f>P112-[1]ENERO!O112</f>
        <v>0</v>
      </c>
      <c r="P112" s="18">
        <v>326853733</v>
      </c>
      <c r="Q112" s="34">
        <v>0</v>
      </c>
      <c r="R112" s="34">
        <v>0</v>
      </c>
      <c r="S112" s="18">
        <v>326853733</v>
      </c>
      <c r="T112" s="34">
        <v>0</v>
      </c>
      <c r="U112" s="34">
        <v>0</v>
      </c>
      <c r="V112" s="18">
        <v>326853733</v>
      </c>
      <c r="W112" s="30">
        <f t="shared" si="55"/>
        <v>326853733</v>
      </c>
      <c r="X112" s="18">
        <f t="shared" si="63"/>
        <v>10024622444</v>
      </c>
      <c r="Y112" s="34">
        <f t="shared" si="64"/>
        <v>0</v>
      </c>
      <c r="Z112" s="34">
        <f t="shared" si="65"/>
        <v>0</v>
      </c>
      <c r="AA112" s="32">
        <f t="shared" si="47"/>
        <v>3.1575567330796556E-2</v>
      </c>
    </row>
    <row r="113" spans="1:27" ht="26.25" customHeight="1" x14ac:dyDescent="0.2">
      <c r="A113" s="14" t="s">
        <v>55</v>
      </c>
      <c r="B113" s="15" t="s">
        <v>56</v>
      </c>
      <c r="C113" s="19" t="s">
        <v>907</v>
      </c>
      <c r="D113" s="41" t="s">
        <v>882</v>
      </c>
      <c r="E113" s="17" t="s">
        <v>205</v>
      </c>
      <c r="F113" s="17" t="s">
        <v>216</v>
      </c>
      <c r="G113" s="18">
        <v>150000000</v>
      </c>
      <c r="H113" s="34">
        <v>0</v>
      </c>
      <c r="I113" s="34">
        <v>0</v>
      </c>
      <c r="J113" s="34">
        <v>0</v>
      </c>
      <c r="K113" s="34">
        <v>0</v>
      </c>
      <c r="L113" s="34">
        <v>0</v>
      </c>
      <c r="M113" s="18">
        <v>150000000</v>
      </c>
      <c r="N113" s="34">
        <v>0</v>
      </c>
      <c r="O113" s="40">
        <f>P113-[1]ENERO!O113</f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1">
        <f t="shared" si="55"/>
        <v>0</v>
      </c>
      <c r="X113" s="18">
        <f t="shared" si="63"/>
        <v>150000000</v>
      </c>
      <c r="Y113" s="34">
        <f t="shared" si="64"/>
        <v>0</v>
      </c>
      <c r="Z113" s="34">
        <f t="shared" si="65"/>
        <v>0</v>
      </c>
      <c r="AA113" s="32">
        <f t="shared" si="47"/>
        <v>0</v>
      </c>
    </row>
    <row r="114" spans="1:27" s="25" customFormat="1" ht="18.75" customHeight="1" x14ac:dyDescent="0.2">
      <c r="A114" s="19" t="s">
        <v>55</v>
      </c>
      <c r="B114" s="19" t="s">
        <v>56</v>
      </c>
      <c r="C114" s="19" t="s">
        <v>907</v>
      </c>
      <c r="D114" s="26" t="s">
        <v>883</v>
      </c>
      <c r="E114" s="21" t="s">
        <v>217</v>
      </c>
      <c r="F114" s="22" t="s">
        <v>37</v>
      </c>
      <c r="G114" s="22">
        <f>G115</f>
        <v>36000000000</v>
      </c>
      <c r="H114" s="23">
        <f t="shared" ref="H114:Z116" si="66">H115</f>
        <v>0</v>
      </c>
      <c r="I114" s="23">
        <f t="shared" si="66"/>
        <v>0</v>
      </c>
      <c r="J114" s="23">
        <f t="shared" si="66"/>
        <v>0</v>
      </c>
      <c r="K114" s="23">
        <f t="shared" si="66"/>
        <v>0</v>
      </c>
      <c r="L114" s="23">
        <f t="shared" si="66"/>
        <v>0</v>
      </c>
      <c r="M114" s="22">
        <f t="shared" si="66"/>
        <v>36000000000</v>
      </c>
      <c r="N114" s="23">
        <f t="shared" si="66"/>
        <v>0</v>
      </c>
      <c r="O114" s="23">
        <f t="shared" si="66"/>
        <v>0</v>
      </c>
      <c r="P114" s="23">
        <f t="shared" si="66"/>
        <v>0</v>
      </c>
      <c r="Q114" s="23">
        <f t="shared" si="66"/>
        <v>0</v>
      </c>
      <c r="R114" s="23">
        <f t="shared" si="66"/>
        <v>0</v>
      </c>
      <c r="S114" s="23">
        <f t="shared" si="66"/>
        <v>0</v>
      </c>
      <c r="T114" s="23">
        <f t="shared" si="66"/>
        <v>0</v>
      </c>
      <c r="U114" s="23">
        <f t="shared" si="66"/>
        <v>0</v>
      </c>
      <c r="V114" s="23">
        <f t="shared" si="66"/>
        <v>0</v>
      </c>
      <c r="W114" s="23">
        <f>T114+V114</f>
        <v>0</v>
      </c>
      <c r="X114" s="22">
        <f t="shared" si="66"/>
        <v>36000000000</v>
      </c>
      <c r="Y114" s="23">
        <f t="shared" si="66"/>
        <v>0</v>
      </c>
      <c r="Z114" s="23">
        <f t="shared" si="66"/>
        <v>0</v>
      </c>
      <c r="AA114" s="24">
        <f t="shared" si="47"/>
        <v>0</v>
      </c>
    </row>
    <row r="115" spans="1:27" ht="18.75" customHeight="1" x14ac:dyDescent="0.2">
      <c r="A115" s="27" t="s">
        <v>55</v>
      </c>
      <c r="B115" s="27" t="s">
        <v>56</v>
      </c>
      <c r="C115" s="19" t="s">
        <v>907</v>
      </c>
      <c r="D115" s="28" t="s">
        <v>218</v>
      </c>
      <c r="E115" s="29" t="s">
        <v>219</v>
      </c>
      <c r="F115" s="30" t="s">
        <v>37</v>
      </c>
      <c r="G115" s="30">
        <f>G116</f>
        <v>36000000000</v>
      </c>
      <c r="H115" s="31">
        <f t="shared" si="66"/>
        <v>0</v>
      </c>
      <c r="I115" s="31">
        <f t="shared" si="66"/>
        <v>0</v>
      </c>
      <c r="J115" s="31">
        <f t="shared" si="66"/>
        <v>0</v>
      </c>
      <c r="K115" s="31">
        <f t="shared" si="66"/>
        <v>0</v>
      </c>
      <c r="L115" s="31">
        <f t="shared" si="66"/>
        <v>0</v>
      </c>
      <c r="M115" s="30">
        <f t="shared" si="66"/>
        <v>36000000000</v>
      </c>
      <c r="N115" s="31">
        <f t="shared" si="66"/>
        <v>0</v>
      </c>
      <c r="O115" s="31">
        <f t="shared" si="66"/>
        <v>0</v>
      </c>
      <c r="P115" s="31">
        <f t="shared" si="66"/>
        <v>0</v>
      </c>
      <c r="Q115" s="31">
        <f t="shared" si="66"/>
        <v>0</v>
      </c>
      <c r="R115" s="31">
        <f t="shared" si="66"/>
        <v>0</v>
      </c>
      <c r="S115" s="31">
        <f t="shared" si="66"/>
        <v>0</v>
      </c>
      <c r="T115" s="31">
        <f t="shared" si="66"/>
        <v>0</v>
      </c>
      <c r="U115" s="31">
        <f t="shared" si="66"/>
        <v>0</v>
      </c>
      <c r="V115" s="31">
        <f t="shared" si="66"/>
        <v>0</v>
      </c>
      <c r="W115" s="31">
        <f t="shared" ref="W115:W119" si="67">T115+V115</f>
        <v>0</v>
      </c>
      <c r="X115" s="18">
        <f t="shared" ref="X115:X119" si="68">M115-P115</f>
        <v>36000000000</v>
      </c>
      <c r="Y115" s="34">
        <f t="shared" ref="Y115:Y119" si="69">P115-S115</f>
        <v>0</v>
      </c>
      <c r="Z115" s="34">
        <f t="shared" ref="Z115:Z119" si="70">S115-W115</f>
        <v>0</v>
      </c>
      <c r="AA115" s="32">
        <f t="shared" si="47"/>
        <v>0</v>
      </c>
    </row>
    <row r="116" spans="1:27" ht="22.5" customHeight="1" x14ac:dyDescent="0.2">
      <c r="A116" s="27" t="s">
        <v>55</v>
      </c>
      <c r="B116" s="27" t="s">
        <v>56</v>
      </c>
      <c r="C116" s="19" t="s">
        <v>907</v>
      </c>
      <c r="D116" s="28" t="s">
        <v>220</v>
      </c>
      <c r="E116" s="29" t="s">
        <v>221</v>
      </c>
      <c r="F116" s="30" t="s">
        <v>37</v>
      </c>
      <c r="G116" s="30">
        <f>G117</f>
        <v>36000000000</v>
      </c>
      <c r="H116" s="31">
        <f t="shared" si="66"/>
        <v>0</v>
      </c>
      <c r="I116" s="31">
        <f t="shared" si="66"/>
        <v>0</v>
      </c>
      <c r="J116" s="31">
        <f t="shared" si="66"/>
        <v>0</v>
      </c>
      <c r="K116" s="31">
        <f t="shared" si="66"/>
        <v>0</v>
      </c>
      <c r="L116" s="31">
        <f t="shared" si="66"/>
        <v>0</v>
      </c>
      <c r="M116" s="30">
        <f t="shared" si="66"/>
        <v>36000000000</v>
      </c>
      <c r="N116" s="31">
        <f t="shared" si="66"/>
        <v>0</v>
      </c>
      <c r="O116" s="31">
        <f t="shared" si="66"/>
        <v>0</v>
      </c>
      <c r="P116" s="31">
        <f t="shared" si="66"/>
        <v>0</v>
      </c>
      <c r="Q116" s="31">
        <f t="shared" si="66"/>
        <v>0</v>
      </c>
      <c r="R116" s="31">
        <f t="shared" si="66"/>
        <v>0</v>
      </c>
      <c r="S116" s="31">
        <f t="shared" si="66"/>
        <v>0</v>
      </c>
      <c r="T116" s="31">
        <f t="shared" si="66"/>
        <v>0</v>
      </c>
      <c r="U116" s="31">
        <f t="shared" si="66"/>
        <v>0</v>
      </c>
      <c r="V116" s="31">
        <f t="shared" si="66"/>
        <v>0</v>
      </c>
      <c r="W116" s="31">
        <f t="shared" si="67"/>
        <v>0</v>
      </c>
      <c r="X116" s="18">
        <f t="shared" si="68"/>
        <v>36000000000</v>
      </c>
      <c r="Y116" s="34">
        <f t="shared" si="69"/>
        <v>0</v>
      </c>
      <c r="Z116" s="34">
        <f t="shared" si="70"/>
        <v>0</v>
      </c>
      <c r="AA116" s="32">
        <f t="shared" si="47"/>
        <v>0</v>
      </c>
    </row>
    <row r="117" spans="1:27" ht="27" customHeight="1" x14ac:dyDescent="0.2">
      <c r="A117" s="27" t="s">
        <v>55</v>
      </c>
      <c r="B117" s="27" t="s">
        <v>56</v>
      </c>
      <c r="C117" s="19" t="s">
        <v>907</v>
      </c>
      <c r="D117" s="28" t="s">
        <v>222</v>
      </c>
      <c r="E117" s="29" t="s">
        <v>223</v>
      </c>
      <c r="F117" s="30" t="s">
        <v>37</v>
      </c>
      <c r="G117" s="30">
        <f>G118+G119</f>
        <v>36000000000</v>
      </c>
      <c r="H117" s="31">
        <f t="shared" ref="H117:V117" si="71">H118+H119</f>
        <v>0</v>
      </c>
      <c r="I117" s="31">
        <f t="shared" si="71"/>
        <v>0</v>
      </c>
      <c r="J117" s="31">
        <f t="shared" si="71"/>
        <v>0</v>
      </c>
      <c r="K117" s="31">
        <f t="shared" si="71"/>
        <v>0</v>
      </c>
      <c r="L117" s="31">
        <f t="shared" si="71"/>
        <v>0</v>
      </c>
      <c r="M117" s="30">
        <f t="shared" si="71"/>
        <v>36000000000</v>
      </c>
      <c r="N117" s="31">
        <f t="shared" si="71"/>
        <v>0</v>
      </c>
      <c r="O117" s="31">
        <f t="shared" si="71"/>
        <v>0</v>
      </c>
      <c r="P117" s="31">
        <f t="shared" si="71"/>
        <v>0</v>
      </c>
      <c r="Q117" s="31">
        <f t="shared" si="71"/>
        <v>0</v>
      </c>
      <c r="R117" s="31">
        <f t="shared" si="71"/>
        <v>0</v>
      </c>
      <c r="S117" s="31">
        <f t="shared" si="71"/>
        <v>0</v>
      </c>
      <c r="T117" s="31">
        <f t="shared" si="71"/>
        <v>0</v>
      </c>
      <c r="U117" s="31">
        <f t="shared" si="71"/>
        <v>0</v>
      </c>
      <c r="V117" s="31">
        <f t="shared" si="71"/>
        <v>0</v>
      </c>
      <c r="W117" s="31">
        <f t="shared" si="67"/>
        <v>0</v>
      </c>
      <c r="X117" s="18">
        <f t="shared" si="68"/>
        <v>36000000000</v>
      </c>
      <c r="Y117" s="34">
        <f t="shared" si="69"/>
        <v>0</v>
      </c>
      <c r="Z117" s="34">
        <f t="shared" si="70"/>
        <v>0</v>
      </c>
      <c r="AA117" s="32">
        <f t="shared" si="47"/>
        <v>0</v>
      </c>
    </row>
    <row r="118" spans="1:27" ht="18.75" customHeight="1" x14ac:dyDescent="0.2">
      <c r="A118" s="14" t="s">
        <v>55</v>
      </c>
      <c r="B118" s="15" t="s">
        <v>56</v>
      </c>
      <c r="C118" s="19" t="s">
        <v>907</v>
      </c>
      <c r="D118" s="16" t="s">
        <v>224</v>
      </c>
      <c r="E118" s="17" t="s">
        <v>225</v>
      </c>
      <c r="F118" s="17" t="s">
        <v>226</v>
      </c>
      <c r="G118" s="18">
        <v>35280000000</v>
      </c>
      <c r="H118" s="34">
        <v>0</v>
      </c>
      <c r="I118" s="34">
        <v>0</v>
      </c>
      <c r="J118" s="34">
        <v>0</v>
      </c>
      <c r="K118" s="34">
        <v>0</v>
      </c>
      <c r="L118" s="34">
        <v>0</v>
      </c>
      <c r="M118" s="18">
        <v>35280000000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4">
        <v>0</v>
      </c>
      <c r="W118" s="31">
        <f t="shared" si="67"/>
        <v>0</v>
      </c>
      <c r="X118" s="18">
        <f t="shared" si="68"/>
        <v>35280000000</v>
      </c>
      <c r="Y118" s="34">
        <f t="shared" si="69"/>
        <v>0</v>
      </c>
      <c r="Z118" s="34">
        <f t="shared" si="70"/>
        <v>0</v>
      </c>
      <c r="AA118" s="32">
        <f t="shared" si="47"/>
        <v>0</v>
      </c>
    </row>
    <row r="119" spans="1:27" ht="18.75" customHeight="1" x14ac:dyDescent="0.2">
      <c r="A119" s="14" t="s">
        <v>55</v>
      </c>
      <c r="B119" s="15" t="s">
        <v>56</v>
      </c>
      <c r="C119" s="19" t="s">
        <v>907</v>
      </c>
      <c r="D119" s="16" t="s">
        <v>227</v>
      </c>
      <c r="E119" s="17" t="s">
        <v>228</v>
      </c>
      <c r="F119" s="17" t="s">
        <v>226</v>
      </c>
      <c r="G119" s="18">
        <v>720000000</v>
      </c>
      <c r="H119" s="34">
        <v>0</v>
      </c>
      <c r="I119" s="34">
        <v>0</v>
      </c>
      <c r="J119" s="34">
        <v>0</v>
      </c>
      <c r="K119" s="34">
        <v>0</v>
      </c>
      <c r="L119" s="34">
        <v>0</v>
      </c>
      <c r="M119" s="18">
        <v>720000000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1">
        <f t="shared" si="67"/>
        <v>0</v>
      </c>
      <c r="X119" s="18">
        <f t="shared" si="68"/>
        <v>720000000</v>
      </c>
      <c r="Y119" s="34">
        <f t="shared" si="69"/>
        <v>0</v>
      </c>
      <c r="Z119" s="34">
        <f t="shared" si="70"/>
        <v>0</v>
      </c>
      <c r="AA119" s="32">
        <f t="shared" si="47"/>
        <v>0</v>
      </c>
    </row>
    <row r="120" spans="1:27" s="25" customFormat="1" ht="18.75" customHeight="1" x14ac:dyDescent="0.2">
      <c r="A120" s="19" t="s">
        <v>55</v>
      </c>
      <c r="B120" s="19" t="s">
        <v>56</v>
      </c>
      <c r="C120" s="19" t="s">
        <v>907</v>
      </c>
      <c r="D120" s="26" t="s">
        <v>884</v>
      </c>
      <c r="E120" s="21" t="s">
        <v>229</v>
      </c>
      <c r="F120" s="22" t="s">
        <v>56</v>
      </c>
      <c r="G120" s="22">
        <f>G121</f>
        <v>42253026328</v>
      </c>
      <c r="H120" s="23">
        <f t="shared" ref="H120:Z120" si="72">H121</f>
        <v>0</v>
      </c>
      <c r="I120" s="23">
        <f t="shared" si="72"/>
        <v>0</v>
      </c>
      <c r="J120" s="23">
        <f t="shared" si="72"/>
        <v>0</v>
      </c>
      <c r="K120" s="23">
        <f t="shared" si="72"/>
        <v>0</v>
      </c>
      <c r="L120" s="23">
        <f t="shared" si="72"/>
        <v>0</v>
      </c>
      <c r="M120" s="22">
        <f t="shared" si="72"/>
        <v>42253026328</v>
      </c>
      <c r="N120" s="23">
        <f t="shared" si="72"/>
        <v>0</v>
      </c>
      <c r="O120" s="22">
        <f t="shared" si="72"/>
        <v>2276471710</v>
      </c>
      <c r="P120" s="22">
        <f t="shared" si="72"/>
        <v>4386219912</v>
      </c>
      <c r="Q120" s="23">
        <f t="shared" si="72"/>
        <v>0</v>
      </c>
      <c r="R120" s="22">
        <f t="shared" si="72"/>
        <v>2276471710</v>
      </c>
      <c r="S120" s="22">
        <f t="shared" si="72"/>
        <v>4386219912</v>
      </c>
      <c r="T120" s="22">
        <f t="shared" si="72"/>
        <v>2102053727</v>
      </c>
      <c r="U120" s="22">
        <f t="shared" si="72"/>
        <v>2276471710</v>
      </c>
      <c r="V120" s="22">
        <f t="shared" si="72"/>
        <v>2280860725</v>
      </c>
      <c r="W120" s="22">
        <f>T120+V120</f>
        <v>4382914452</v>
      </c>
      <c r="X120" s="22">
        <f t="shared" si="72"/>
        <v>37866806416</v>
      </c>
      <c r="Y120" s="23">
        <f t="shared" si="72"/>
        <v>0</v>
      </c>
      <c r="Z120" s="22">
        <f t="shared" si="72"/>
        <v>3305460</v>
      </c>
      <c r="AA120" s="24">
        <f t="shared" si="47"/>
        <v>0.1038084202052378</v>
      </c>
    </row>
    <row r="121" spans="1:27" ht="18.75" customHeight="1" x14ac:dyDescent="0.2">
      <c r="A121" s="27" t="s">
        <v>55</v>
      </c>
      <c r="B121" s="27" t="s">
        <v>56</v>
      </c>
      <c r="C121" s="19" t="s">
        <v>907</v>
      </c>
      <c r="D121" s="28" t="s">
        <v>885</v>
      </c>
      <c r="E121" s="29" t="s">
        <v>230</v>
      </c>
      <c r="F121" s="30" t="s">
        <v>56</v>
      </c>
      <c r="G121" s="30">
        <f>G122+G127+G130+G132+G133+G134</f>
        <v>42253026328</v>
      </c>
      <c r="H121" s="31">
        <f t="shared" ref="H121:V121" si="73">H122+H127+H130+H132+H133+H134</f>
        <v>0</v>
      </c>
      <c r="I121" s="31">
        <f t="shared" si="73"/>
        <v>0</v>
      </c>
      <c r="J121" s="31">
        <f t="shared" si="73"/>
        <v>0</v>
      </c>
      <c r="K121" s="31">
        <f t="shared" si="73"/>
        <v>0</v>
      </c>
      <c r="L121" s="31">
        <f t="shared" si="73"/>
        <v>0</v>
      </c>
      <c r="M121" s="30">
        <f t="shared" si="73"/>
        <v>42253026328</v>
      </c>
      <c r="N121" s="31">
        <f t="shared" si="73"/>
        <v>0</v>
      </c>
      <c r="O121" s="30">
        <f t="shared" si="73"/>
        <v>2276471710</v>
      </c>
      <c r="P121" s="30">
        <f t="shared" si="73"/>
        <v>4386219912</v>
      </c>
      <c r="Q121" s="31">
        <f t="shared" si="73"/>
        <v>0</v>
      </c>
      <c r="R121" s="30">
        <f t="shared" si="73"/>
        <v>2276471710</v>
      </c>
      <c r="S121" s="30">
        <f t="shared" si="73"/>
        <v>4386219912</v>
      </c>
      <c r="T121" s="30">
        <f t="shared" si="73"/>
        <v>2102053727</v>
      </c>
      <c r="U121" s="30">
        <f t="shared" si="73"/>
        <v>2276471710</v>
      </c>
      <c r="V121" s="30">
        <f t="shared" si="73"/>
        <v>2280860725</v>
      </c>
      <c r="W121" s="30">
        <f t="shared" ref="W121:W134" si="74">T121+V121</f>
        <v>4382914452</v>
      </c>
      <c r="X121" s="18">
        <f t="shared" ref="X121:X134" si="75">M121-P121</f>
        <v>37866806416</v>
      </c>
      <c r="Y121" s="34">
        <f t="shared" ref="Y121:Y134" si="76">P121-S121</f>
        <v>0</v>
      </c>
      <c r="Z121" s="18">
        <f t="shared" ref="Z121:Z134" si="77">S121-W121</f>
        <v>3305460</v>
      </c>
      <c r="AA121" s="32">
        <f t="shared" si="47"/>
        <v>0.1038084202052378</v>
      </c>
    </row>
    <row r="122" spans="1:27" ht="18.75" customHeight="1" x14ac:dyDescent="0.2">
      <c r="A122" s="27" t="s">
        <v>55</v>
      </c>
      <c r="B122" s="27" t="s">
        <v>56</v>
      </c>
      <c r="C122" s="19" t="s">
        <v>907</v>
      </c>
      <c r="D122" s="28" t="s">
        <v>886</v>
      </c>
      <c r="E122" s="29" t="s">
        <v>231</v>
      </c>
      <c r="F122" s="30" t="s">
        <v>56</v>
      </c>
      <c r="G122" s="30">
        <f>G123</f>
        <v>40897026328</v>
      </c>
      <c r="H122" s="31">
        <f t="shared" ref="H122:V122" si="78">H123</f>
        <v>0</v>
      </c>
      <c r="I122" s="31">
        <f t="shared" si="78"/>
        <v>0</v>
      </c>
      <c r="J122" s="31">
        <f t="shared" si="78"/>
        <v>0</v>
      </c>
      <c r="K122" s="31">
        <f t="shared" si="78"/>
        <v>0</v>
      </c>
      <c r="L122" s="31">
        <f t="shared" si="78"/>
        <v>0</v>
      </c>
      <c r="M122" s="30">
        <f t="shared" si="78"/>
        <v>40897026328</v>
      </c>
      <c r="N122" s="31">
        <f t="shared" si="78"/>
        <v>0</v>
      </c>
      <c r="O122" s="30">
        <f t="shared" si="78"/>
        <v>2093320940</v>
      </c>
      <c r="P122" s="30">
        <f t="shared" si="78"/>
        <v>4195374667</v>
      </c>
      <c r="Q122" s="31">
        <f t="shared" si="78"/>
        <v>0</v>
      </c>
      <c r="R122" s="30">
        <f t="shared" si="78"/>
        <v>2093320940</v>
      </c>
      <c r="S122" s="30">
        <f t="shared" si="78"/>
        <v>4195374667</v>
      </c>
      <c r="T122" s="30">
        <f t="shared" si="78"/>
        <v>2102053727</v>
      </c>
      <c r="U122" s="113">
        <f t="shared" si="78"/>
        <v>2093320940</v>
      </c>
      <c r="V122" s="113">
        <f t="shared" si="78"/>
        <v>2093320940</v>
      </c>
      <c r="W122" s="30">
        <f t="shared" si="74"/>
        <v>4195374667</v>
      </c>
      <c r="X122" s="18">
        <f t="shared" si="75"/>
        <v>36701651661</v>
      </c>
      <c r="Y122" s="34">
        <f t="shared" si="76"/>
        <v>0</v>
      </c>
      <c r="Z122" s="34">
        <f t="shared" si="77"/>
        <v>0</v>
      </c>
      <c r="AA122" s="32">
        <f t="shared" si="47"/>
        <v>0.102583856179481</v>
      </c>
    </row>
    <row r="123" spans="1:27" ht="29.25" customHeight="1" x14ac:dyDescent="0.2">
      <c r="A123" s="27" t="s">
        <v>55</v>
      </c>
      <c r="B123" s="27" t="s">
        <v>56</v>
      </c>
      <c r="C123" s="19" t="s">
        <v>907</v>
      </c>
      <c r="D123" s="28" t="s">
        <v>887</v>
      </c>
      <c r="E123" s="29" t="s">
        <v>232</v>
      </c>
      <c r="F123" s="30" t="s">
        <v>37</v>
      </c>
      <c r="G123" s="30">
        <f>G124+G125+G126</f>
        <v>40897026328</v>
      </c>
      <c r="H123" s="31">
        <f t="shared" ref="H123:V123" si="79">H124+H125+H126</f>
        <v>0</v>
      </c>
      <c r="I123" s="31">
        <f t="shared" si="79"/>
        <v>0</v>
      </c>
      <c r="J123" s="31">
        <f t="shared" si="79"/>
        <v>0</v>
      </c>
      <c r="K123" s="31">
        <f t="shared" si="79"/>
        <v>0</v>
      </c>
      <c r="L123" s="31">
        <f t="shared" si="79"/>
        <v>0</v>
      </c>
      <c r="M123" s="30">
        <f t="shared" si="79"/>
        <v>40897026328</v>
      </c>
      <c r="N123" s="31">
        <f t="shared" si="79"/>
        <v>0</v>
      </c>
      <c r="O123" s="30">
        <f t="shared" si="79"/>
        <v>2093320940</v>
      </c>
      <c r="P123" s="30">
        <f t="shared" si="79"/>
        <v>4195374667</v>
      </c>
      <c r="Q123" s="31">
        <f t="shared" si="79"/>
        <v>0</v>
      </c>
      <c r="R123" s="30">
        <f t="shared" si="79"/>
        <v>2093320940</v>
      </c>
      <c r="S123" s="30">
        <f t="shared" si="79"/>
        <v>4195374667</v>
      </c>
      <c r="T123" s="30">
        <f t="shared" si="79"/>
        <v>2102053727</v>
      </c>
      <c r="U123" s="113">
        <f t="shared" si="79"/>
        <v>2093320940</v>
      </c>
      <c r="V123" s="113">
        <f t="shared" si="79"/>
        <v>2093320940</v>
      </c>
      <c r="W123" s="30">
        <f t="shared" si="74"/>
        <v>4195374667</v>
      </c>
      <c r="X123" s="18">
        <f t="shared" si="75"/>
        <v>36701651661</v>
      </c>
      <c r="Y123" s="34">
        <f t="shared" si="76"/>
        <v>0</v>
      </c>
      <c r="Z123" s="34">
        <f t="shared" si="77"/>
        <v>0</v>
      </c>
      <c r="AA123" s="32">
        <f t="shared" si="47"/>
        <v>0.102583856179481</v>
      </c>
    </row>
    <row r="124" spans="1:27" ht="18.75" customHeight="1" x14ac:dyDescent="0.2">
      <c r="A124" s="14" t="s">
        <v>55</v>
      </c>
      <c r="B124" s="15" t="s">
        <v>56</v>
      </c>
      <c r="C124" s="19" t="s">
        <v>907</v>
      </c>
      <c r="D124" s="41" t="s">
        <v>888</v>
      </c>
      <c r="E124" s="17" t="s">
        <v>233</v>
      </c>
      <c r="F124" s="17" t="s">
        <v>58</v>
      </c>
      <c r="G124" s="18">
        <v>28000000000</v>
      </c>
      <c r="H124" s="34">
        <v>0</v>
      </c>
      <c r="I124" s="34">
        <v>0</v>
      </c>
      <c r="J124" s="34">
        <v>0</v>
      </c>
      <c r="K124" s="34">
        <v>0</v>
      </c>
      <c r="L124" s="34">
        <v>0</v>
      </c>
      <c r="M124" s="18">
        <v>28000000000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0</v>
      </c>
      <c r="W124" s="31">
        <f t="shared" si="74"/>
        <v>0</v>
      </c>
      <c r="X124" s="18">
        <f t="shared" si="75"/>
        <v>28000000000</v>
      </c>
      <c r="Y124" s="34">
        <f t="shared" si="76"/>
        <v>0</v>
      </c>
      <c r="Z124" s="34">
        <f t="shared" si="77"/>
        <v>0</v>
      </c>
      <c r="AA124" s="32">
        <f t="shared" si="47"/>
        <v>0</v>
      </c>
    </row>
    <row r="125" spans="1:27" ht="28.5" customHeight="1" x14ac:dyDescent="0.2">
      <c r="A125" s="4" t="s">
        <v>55</v>
      </c>
      <c r="B125" s="4" t="s">
        <v>56</v>
      </c>
      <c r="C125" s="19" t="s">
        <v>907</v>
      </c>
      <c r="D125" s="41" t="s">
        <v>889</v>
      </c>
      <c r="E125" s="42" t="s">
        <v>234</v>
      </c>
      <c r="F125" s="43" t="s">
        <v>235</v>
      </c>
      <c r="G125" s="43">
        <v>10000000000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3">
        <v>10000000000</v>
      </c>
      <c r="N125" s="44">
        <v>0</v>
      </c>
      <c r="O125" s="43">
        <v>2093320940</v>
      </c>
      <c r="P125" s="43">
        <v>4036667267</v>
      </c>
      <c r="Q125" s="44">
        <v>0</v>
      </c>
      <c r="R125" s="43">
        <v>2093320940</v>
      </c>
      <c r="S125" s="43">
        <v>4036667267</v>
      </c>
      <c r="T125" s="43">
        <v>1943346327</v>
      </c>
      <c r="U125" s="114">
        <v>2093320940</v>
      </c>
      <c r="V125" s="114">
        <v>2093320940</v>
      </c>
      <c r="W125" s="30">
        <f t="shared" si="74"/>
        <v>4036667267</v>
      </c>
      <c r="X125" s="18">
        <f t="shared" si="75"/>
        <v>5963332733</v>
      </c>
      <c r="Y125" s="34">
        <f t="shared" si="76"/>
        <v>0</v>
      </c>
      <c r="Z125" s="34">
        <f t="shared" si="77"/>
        <v>0</v>
      </c>
      <c r="AA125" s="32">
        <f t="shared" si="47"/>
        <v>0.40366672669999998</v>
      </c>
    </row>
    <row r="126" spans="1:27" ht="27" customHeight="1" x14ac:dyDescent="0.2">
      <c r="A126" s="4" t="s">
        <v>55</v>
      </c>
      <c r="B126" s="4" t="s">
        <v>56</v>
      </c>
      <c r="C126" s="19" t="s">
        <v>907</v>
      </c>
      <c r="D126" s="41" t="s">
        <v>890</v>
      </c>
      <c r="E126" s="42" t="s">
        <v>236</v>
      </c>
      <c r="F126" s="38" t="s">
        <v>237</v>
      </c>
      <c r="G126" s="39">
        <v>2897026328</v>
      </c>
      <c r="H126" s="40">
        <v>0</v>
      </c>
      <c r="I126" s="40">
        <v>0</v>
      </c>
      <c r="J126" s="40">
        <v>0</v>
      </c>
      <c r="K126" s="40">
        <v>0</v>
      </c>
      <c r="L126" s="40">
        <v>0</v>
      </c>
      <c r="M126" s="39">
        <v>2897026328</v>
      </c>
      <c r="N126" s="40">
        <v>0</v>
      </c>
      <c r="O126" s="39">
        <v>0</v>
      </c>
      <c r="P126" s="39">
        <v>158707400</v>
      </c>
      <c r="Q126" s="40">
        <v>0</v>
      </c>
      <c r="R126" s="39">
        <v>0</v>
      </c>
      <c r="S126" s="39">
        <v>158707400</v>
      </c>
      <c r="T126" s="39">
        <v>158707400</v>
      </c>
      <c r="U126" s="40">
        <v>0</v>
      </c>
      <c r="V126" s="40">
        <v>0</v>
      </c>
      <c r="W126" s="30">
        <f t="shared" si="74"/>
        <v>158707400</v>
      </c>
      <c r="X126" s="18">
        <f t="shared" si="75"/>
        <v>2738318928</v>
      </c>
      <c r="Y126" s="34">
        <f t="shared" si="76"/>
        <v>0</v>
      </c>
      <c r="Z126" s="34">
        <f t="shared" si="77"/>
        <v>0</v>
      </c>
      <c r="AA126" s="32">
        <f t="shared" si="47"/>
        <v>5.4782864230842436E-2</v>
      </c>
    </row>
    <row r="127" spans="1:27" ht="18.75" customHeight="1" x14ac:dyDescent="0.2">
      <c r="A127" s="27" t="s">
        <v>55</v>
      </c>
      <c r="B127" s="27" t="s">
        <v>56</v>
      </c>
      <c r="C127" s="19" t="s">
        <v>907</v>
      </c>
      <c r="D127" s="28" t="s">
        <v>891</v>
      </c>
      <c r="E127" s="29" t="s">
        <v>238</v>
      </c>
      <c r="F127" s="30" t="s">
        <v>37</v>
      </c>
      <c r="G127" s="30">
        <f>G128+G129</f>
        <v>1000000000</v>
      </c>
      <c r="H127" s="31">
        <f t="shared" ref="H127:V127" si="80">H128+H129</f>
        <v>0</v>
      </c>
      <c r="I127" s="31">
        <f t="shared" si="80"/>
        <v>0</v>
      </c>
      <c r="J127" s="31">
        <f t="shared" si="80"/>
        <v>0</v>
      </c>
      <c r="K127" s="31">
        <f t="shared" si="80"/>
        <v>0</v>
      </c>
      <c r="L127" s="31">
        <f t="shared" si="80"/>
        <v>0</v>
      </c>
      <c r="M127" s="30">
        <f t="shared" si="80"/>
        <v>1000000000</v>
      </c>
      <c r="N127" s="31">
        <f t="shared" si="80"/>
        <v>0</v>
      </c>
      <c r="O127" s="109">
        <f t="shared" si="80"/>
        <v>145612000</v>
      </c>
      <c r="P127" s="109">
        <f t="shared" si="80"/>
        <v>145612000</v>
      </c>
      <c r="Q127" s="31">
        <f t="shared" si="80"/>
        <v>0</v>
      </c>
      <c r="R127" s="109">
        <f t="shared" si="80"/>
        <v>145612000</v>
      </c>
      <c r="S127" s="109">
        <f t="shared" si="80"/>
        <v>145612000</v>
      </c>
      <c r="T127" s="31">
        <f t="shared" si="80"/>
        <v>0</v>
      </c>
      <c r="U127" s="109">
        <f t="shared" si="80"/>
        <v>145612000</v>
      </c>
      <c r="V127" s="109">
        <f t="shared" si="80"/>
        <v>145612000</v>
      </c>
      <c r="W127" s="30">
        <f t="shared" si="74"/>
        <v>145612000</v>
      </c>
      <c r="X127" s="18">
        <f t="shared" si="75"/>
        <v>854388000</v>
      </c>
      <c r="Y127" s="34">
        <f t="shared" si="76"/>
        <v>0</v>
      </c>
      <c r="Z127" s="34">
        <f t="shared" si="77"/>
        <v>0</v>
      </c>
      <c r="AA127" s="32">
        <f t="shared" si="47"/>
        <v>0.14561199999999999</v>
      </c>
    </row>
    <row r="128" spans="1:27" ht="18.75" customHeight="1" x14ac:dyDescent="0.2">
      <c r="A128" s="4" t="s">
        <v>55</v>
      </c>
      <c r="B128" s="4" t="s">
        <v>56</v>
      </c>
      <c r="C128" s="19" t="s">
        <v>907</v>
      </c>
      <c r="D128" s="41" t="s">
        <v>893</v>
      </c>
      <c r="E128" s="42" t="s">
        <v>233</v>
      </c>
      <c r="F128" s="43" t="s">
        <v>58</v>
      </c>
      <c r="G128" s="43">
        <v>500000000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3">
        <v>500000000</v>
      </c>
      <c r="N128" s="44">
        <v>0</v>
      </c>
      <c r="O128" s="114">
        <v>0</v>
      </c>
      <c r="P128" s="115">
        <v>0</v>
      </c>
      <c r="Q128" s="44">
        <v>0</v>
      </c>
      <c r="R128" s="115">
        <v>0</v>
      </c>
      <c r="S128" s="115">
        <v>0</v>
      </c>
      <c r="T128" s="44">
        <v>0</v>
      </c>
      <c r="U128" s="44">
        <v>0</v>
      </c>
      <c r="V128" s="44">
        <v>0</v>
      </c>
      <c r="W128" s="31">
        <f t="shared" si="74"/>
        <v>0</v>
      </c>
      <c r="X128" s="18">
        <f t="shared" si="75"/>
        <v>500000000</v>
      </c>
      <c r="Y128" s="34">
        <f t="shared" si="76"/>
        <v>0</v>
      </c>
      <c r="Z128" s="34">
        <f t="shared" si="77"/>
        <v>0</v>
      </c>
      <c r="AA128" s="32">
        <f t="shared" si="47"/>
        <v>0</v>
      </c>
    </row>
    <row r="129" spans="1:27" ht="18.75" customHeight="1" x14ac:dyDescent="0.2">
      <c r="A129" s="4" t="s">
        <v>55</v>
      </c>
      <c r="B129" s="4" t="s">
        <v>56</v>
      </c>
      <c r="C129" s="19" t="s">
        <v>907</v>
      </c>
      <c r="D129" s="41" t="s">
        <v>892</v>
      </c>
      <c r="E129" s="42" t="s">
        <v>239</v>
      </c>
      <c r="F129" s="43" t="s">
        <v>240</v>
      </c>
      <c r="G129" s="43">
        <v>500000000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3">
        <v>500000000</v>
      </c>
      <c r="N129" s="44">
        <v>0</v>
      </c>
      <c r="O129" s="114">
        <v>145612000</v>
      </c>
      <c r="P129" s="114">
        <v>145612000</v>
      </c>
      <c r="Q129" s="44">
        <v>0</v>
      </c>
      <c r="R129" s="114">
        <v>145612000</v>
      </c>
      <c r="S129" s="114">
        <v>145612000</v>
      </c>
      <c r="T129" s="44">
        <v>0</v>
      </c>
      <c r="U129" s="114">
        <v>145612000</v>
      </c>
      <c r="V129" s="114">
        <v>145612000</v>
      </c>
      <c r="W129" s="30">
        <f t="shared" si="74"/>
        <v>145612000</v>
      </c>
      <c r="X129" s="18">
        <f t="shared" si="75"/>
        <v>354388000</v>
      </c>
      <c r="Y129" s="34">
        <f t="shared" si="76"/>
        <v>0</v>
      </c>
      <c r="Z129" s="34">
        <f t="shared" si="77"/>
        <v>0</v>
      </c>
      <c r="AA129" s="32">
        <f t="shared" si="47"/>
        <v>0.29122399999999998</v>
      </c>
    </row>
    <row r="130" spans="1:27" ht="18.75" customHeight="1" x14ac:dyDescent="0.2">
      <c r="A130" s="27" t="s">
        <v>55</v>
      </c>
      <c r="B130" s="27" t="s">
        <v>56</v>
      </c>
      <c r="C130" s="19" t="s">
        <v>907</v>
      </c>
      <c r="D130" s="28" t="s">
        <v>894</v>
      </c>
      <c r="E130" s="29" t="s">
        <v>241</v>
      </c>
      <c r="F130" s="30" t="s">
        <v>37</v>
      </c>
      <c r="G130" s="30">
        <f>G131</f>
        <v>80000000</v>
      </c>
      <c r="H130" s="31">
        <f t="shared" ref="H130:V130" si="81">H131</f>
        <v>0</v>
      </c>
      <c r="I130" s="31">
        <f t="shared" si="81"/>
        <v>0</v>
      </c>
      <c r="J130" s="31">
        <f t="shared" si="81"/>
        <v>0</v>
      </c>
      <c r="K130" s="31">
        <f t="shared" si="81"/>
        <v>0</v>
      </c>
      <c r="L130" s="31">
        <f t="shared" si="81"/>
        <v>0</v>
      </c>
      <c r="M130" s="30">
        <f t="shared" si="81"/>
        <v>80000000</v>
      </c>
      <c r="N130" s="31">
        <f t="shared" si="81"/>
        <v>0</v>
      </c>
      <c r="O130" s="109">
        <f t="shared" si="81"/>
        <v>26487705</v>
      </c>
      <c r="P130" s="109">
        <f t="shared" si="81"/>
        <v>26487705</v>
      </c>
      <c r="Q130" s="31">
        <f t="shared" si="81"/>
        <v>0</v>
      </c>
      <c r="R130" s="109">
        <f t="shared" si="81"/>
        <v>26487705</v>
      </c>
      <c r="S130" s="109">
        <f t="shared" si="81"/>
        <v>26487705</v>
      </c>
      <c r="T130" s="31">
        <f t="shared" si="81"/>
        <v>0</v>
      </c>
      <c r="U130" s="109">
        <f t="shared" si="81"/>
        <v>26487705</v>
      </c>
      <c r="V130" s="109">
        <f t="shared" si="81"/>
        <v>26487705</v>
      </c>
      <c r="W130" s="30">
        <f t="shared" si="74"/>
        <v>26487705</v>
      </c>
      <c r="X130" s="18">
        <f t="shared" si="75"/>
        <v>53512295</v>
      </c>
      <c r="Y130" s="34">
        <f t="shared" si="76"/>
        <v>0</v>
      </c>
      <c r="Z130" s="34">
        <f t="shared" si="77"/>
        <v>0</v>
      </c>
      <c r="AA130" s="32">
        <f t="shared" si="47"/>
        <v>0.33109631249999999</v>
      </c>
    </row>
    <row r="131" spans="1:27" ht="18.75" customHeight="1" x14ac:dyDescent="0.2">
      <c r="A131" s="4" t="s">
        <v>55</v>
      </c>
      <c r="B131" s="4" t="s">
        <v>56</v>
      </c>
      <c r="C131" s="19" t="s">
        <v>907</v>
      </c>
      <c r="D131" s="41" t="s">
        <v>895</v>
      </c>
      <c r="E131" s="42" t="s">
        <v>242</v>
      </c>
      <c r="F131" s="43" t="s">
        <v>58</v>
      </c>
      <c r="G131" s="43">
        <v>80000000</v>
      </c>
      <c r="H131" s="44">
        <v>0</v>
      </c>
      <c r="I131" s="44">
        <v>0</v>
      </c>
      <c r="J131" s="44">
        <v>0</v>
      </c>
      <c r="K131" s="44">
        <v>0</v>
      </c>
      <c r="L131" s="44">
        <v>0</v>
      </c>
      <c r="M131" s="43">
        <v>80000000</v>
      </c>
      <c r="N131" s="44">
        <v>0</v>
      </c>
      <c r="O131" s="114">
        <v>26487705</v>
      </c>
      <c r="P131" s="114">
        <v>26487705</v>
      </c>
      <c r="Q131" s="44">
        <v>0</v>
      </c>
      <c r="R131" s="114">
        <v>26487705</v>
      </c>
      <c r="S131" s="114">
        <v>26487705</v>
      </c>
      <c r="T131" s="44">
        <v>0</v>
      </c>
      <c r="U131" s="114">
        <v>26487705</v>
      </c>
      <c r="V131" s="114">
        <v>26487705</v>
      </c>
      <c r="W131" s="30">
        <f t="shared" si="74"/>
        <v>26487705</v>
      </c>
      <c r="X131" s="18">
        <f t="shared" si="75"/>
        <v>53512295</v>
      </c>
      <c r="Y131" s="34">
        <f t="shared" si="76"/>
        <v>0</v>
      </c>
      <c r="Z131" s="34">
        <f t="shared" si="77"/>
        <v>0</v>
      </c>
      <c r="AA131" s="32">
        <f t="shared" si="47"/>
        <v>0.33109631249999999</v>
      </c>
    </row>
    <row r="132" spans="1:27" ht="18.75" customHeight="1" x14ac:dyDescent="0.2">
      <c r="A132" s="4" t="s">
        <v>55</v>
      </c>
      <c r="B132" s="4" t="s">
        <v>56</v>
      </c>
      <c r="C132" s="19" t="s">
        <v>907</v>
      </c>
      <c r="D132" s="41" t="s">
        <v>896</v>
      </c>
      <c r="E132" s="42" t="s">
        <v>243</v>
      </c>
      <c r="F132" s="43" t="s">
        <v>58</v>
      </c>
      <c r="G132" s="43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0</v>
      </c>
      <c r="M132" s="43">
        <v>0</v>
      </c>
      <c r="N132" s="44">
        <v>0</v>
      </c>
      <c r="O132" s="44">
        <v>0</v>
      </c>
      <c r="P132" s="44">
        <v>0</v>
      </c>
      <c r="Q132" s="44">
        <v>0</v>
      </c>
      <c r="R132" s="44">
        <v>0</v>
      </c>
      <c r="S132" s="44">
        <v>0</v>
      </c>
      <c r="T132" s="44">
        <v>0</v>
      </c>
      <c r="U132" s="44">
        <v>0</v>
      </c>
      <c r="V132" s="44">
        <v>0</v>
      </c>
      <c r="W132" s="31">
        <f t="shared" si="74"/>
        <v>0</v>
      </c>
      <c r="X132" s="34">
        <f t="shared" si="75"/>
        <v>0</v>
      </c>
      <c r="Y132" s="34">
        <f t="shared" si="76"/>
        <v>0</v>
      </c>
      <c r="Z132" s="34">
        <f t="shared" si="77"/>
        <v>0</v>
      </c>
      <c r="AA132" s="32">
        <v>0</v>
      </c>
    </row>
    <row r="133" spans="1:27" ht="18.75" customHeight="1" x14ac:dyDescent="0.2">
      <c r="A133" s="4" t="s">
        <v>55</v>
      </c>
      <c r="B133" s="4" t="s">
        <v>56</v>
      </c>
      <c r="C133" s="19" t="s">
        <v>907</v>
      </c>
      <c r="D133" s="41" t="s">
        <v>897</v>
      </c>
      <c r="E133" s="42" t="s">
        <v>244</v>
      </c>
      <c r="F133" s="43" t="s">
        <v>58</v>
      </c>
      <c r="G133" s="43">
        <v>10000000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3">
        <v>10000000</v>
      </c>
      <c r="N133" s="44">
        <v>0</v>
      </c>
      <c r="O133" s="43">
        <v>0</v>
      </c>
      <c r="P133" s="43">
        <v>4389015</v>
      </c>
      <c r="Q133" s="44">
        <v>0</v>
      </c>
      <c r="R133" s="44">
        <v>0</v>
      </c>
      <c r="S133" s="43">
        <v>4389015</v>
      </c>
      <c r="T133" s="44">
        <v>0</v>
      </c>
      <c r="U133" s="44">
        <v>0</v>
      </c>
      <c r="V133" s="43">
        <v>4389015</v>
      </c>
      <c r="W133" s="30">
        <f t="shared" si="74"/>
        <v>4389015</v>
      </c>
      <c r="X133" s="18">
        <f t="shared" si="75"/>
        <v>5610985</v>
      </c>
      <c r="Y133" s="34">
        <f t="shared" si="76"/>
        <v>0</v>
      </c>
      <c r="Z133" s="34">
        <f t="shared" si="77"/>
        <v>0</v>
      </c>
      <c r="AA133" s="32">
        <f t="shared" si="47"/>
        <v>0.4389015</v>
      </c>
    </row>
    <row r="134" spans="1:27" ht="18.75" customHeight="1" x14ac:dyDescent="0.2">
      <c r="A134" s="4" t="s">
        <v>55</v>
      </c>
      <c r="B134" s="4" t="s">
        <v>56</v>
      </c>
      <c r="C134" s="19" t="s">
        <v>907</v>
      </c>
      <c r="D134" s="41" t="s">
        <v>898</v>
      </c>
      <c r="E134" s="42" t="s">
        <v>245</v>
      </c>
      <c r="F134" s="43" t="s">
        <v>58</v>
      </c>
      <c r="G134" s="43">
        <v>266000000</v>
      </c>
      <c r="H134" s="44">
        <v>0</v>
      </c>
      <c r="I134" s="44">
        <v>0</v>
      </c>
      <c r="J134" s="44">
        <v>0</v>
      </c>
      <c r="K134" s="44">
        <v>0</v>
      </c>
      <c r="L134" s="44">
        <v>0</v>
      </c>
      <c r="M134" s="43">
        <v>266000000</v>
      </c>
      <c r="N134" s="44">
        <v>0</v>
      </c>
      <c r="O134" s="43">
        <v>11051065</v>
      </c>
      <c r="P134" s="43">
        <v>14356525</v>
      </c>
      <c r="Q134" s="44">
        <v>0</v>
      </c>
      <c r="R134" s="43">
        <v>11051065</v>
      </c>
      <c r="S134" s="43">
        <v>14356525</v>
      </c>
      <c r="T134" s="44">
        <v>0</v>
      </c>
      <c r="U134" s="114">
        <v>11051065</v>
      </c>
      <c r="V134" s="114">
        <v>11051065</v>
      </c>
      <c r="W134" s="30">
        <f t="shared" si="74"/>
        <v>11051065</v>
      </c>
      <c r="X134" s="18">
        <f t="shared" si="75"/>
        <v>251643475</v>
      </c>
      <c r="Y134" s="34">
        <f t="shared" si="76"/>
        <v>0</v>
      </c>
      <c r="Z134" s="18">
        <f t="shared" si="77"/>
        <v>3305460</v>
      </c>
      <c r="AA134" s="32">
        <f t="shared" si="47"/>
        <v>5.3971898496240601E-2</v>
      </c>
    </row>
    <row r="135" spans="1:27" s="25" customFormat="1" ht="18.75" customHeight="1" x14ac:dyDescent="0.2">
      <c r="A135" s="19" t="s">
        <v>55</v>
      </c>
      <c r="B135" s="19" t="s">
        <v>56</v>
      </c>
      <c r="C135" s="19" t="s">
        <v>907</v>
      </c>
      <c r="D135" s="26" t="s">
        <v>899</v>
      </c>
      <c r="E135" s="21" t="s">
        <v>246</v>
      </c>
      <c r="F135" s="22" t="s">
        <v>37</v>
      </c>
      <c r="G135" s="22">
        <f>G136</f>
        <v>100000000</v>
      </c>
      <c r="H135" s="23">
        <f t="shared" ref="H135:Z135" si="82">H136</f>
        <v>0</v>
      </c>
      <c r="I135" s="23">
        <f t="shared" si="82"/>
        <v>0</v>
      </c>
      <c r="J135" s="23">
        <f t="shared" si="82"/>
        <v>0</v>
      </c>
      <c r="K135" s="23">
        <f t="shared" si="82"/>
        <v>0</v>
      </c>
      <c r="L135" s="23">
        <f t="shared" si="82"/>
        <v>0</v>
      </c>
      <c r="M135" s="22">
        <f t="shared" si="82"/>
        <v>100000000</v>
      </c>
      <c r="N135" s="23">
        <f t="shared" si="82"/>
        <v>0</v>
      </c>
      <c r="O135" s="22">
        <f t="shared" si="82"/>
        <v>8055052</v>
      </c>
      <c r="P135" s="22">
        <f t="shared" si="82"/>
        <v>18484052</v>
      </c>
      <c r="Q135" s="23">
        <f t="shared" si="82"/>
        <v>0</v>
      </c>
      <c r="R135" s="22">
        <f t="shared" si="82"/>
        <v>6650000</v>
      </c>
      <c r="S135" s="22">
        <f t="shared" si="82"/>
        <v>10850000</v>
      </c>
      <c r="T135" s="23">
        <f t="shared" si="82"/>
        <v>0</v>
      </c>
      <c r="U135" s="22">
        <f t="shared" si="82"/>
        <v>6650000</v>
      </c>
      <c r="V135" s="22">
        <f t="shared" si="82"/>
        <v>10850000</v>
      </c>
      <c r="W135" s="22">
        <f>T135+V135</f>
        <v>10850000</v>
      </c>
      <c r="X135" s="22">
        <f t="shared" si="82"/>
        <v>81515948</v>
      </c>
      <c r="Y135" s="22">
        <f t="shared" si="82"/>
        <v>7634052</v>
      </c>
      <c r="Z135" s="23">
        <f t="shared" si="82"/>
        <v>0</v>
      </c>
      <c r="AA135" s="24">
        <f t="shared" si="47"/>
        <v>0.1085</v>
      </c>
    </row>
    <row r="136" spans="1:27" ht="18.75" customHeight="1" x14ac:dyDescent="0.2">
      <c r="A136" s="27" t="s">
        <v>55</v>
      </c>
      <c r="B136" s="27" t="s">
        <v>56</v>
      </c>
      <c r="C136" s="19" t="s">
        <v>907</v>
      </c>
      <c r="D136" s="28" t="s">
        <v>900</v>
      </c>
      <c r="E136" s="29" t="s">
        <v>247</v>
      </c>
      <c r="F136" s="30" t="s">
        <v>37</v>
      </c>
      <c r="G136" s="30">
        <f>G137+G138</f>
        <v>100000000</v>
      </c>
      <c r="H136" s="31">
        <f t="shared" ref="H136:V136" si="83">H137+H138</f>
        <v>0</v>
      </c>
      <c r="I136" s="31">
        <f t="shared" si="83"/>
        <v>0</v>
      </c>
      <c r="J136" s="31">
        <f t="shared" si="83"/>
        <v>0</v>
      </c>
      <c r="K136" s="31">
        <f t="shared" si="83"/>
        <v>0</v>
      </c>
      <c r="L136" s="31">
        <f t="shared" si="83"/>
        <v>0</v>
      </c>
      <c r="M136" s="30">
        <f t="shared" si="83"/>
        <v>100000000</v>
      </c>
      <c r="N136" s="31">
        <f t="shared" si="83"/>
        <v>0</v>
      </c>
      <c r="O136" s="30">
        <f t="shared" si="83"/>
        <v>8055052</v>
      </c>
      <c r="P136" s="30">
        <f t="shared" si="83"/>
        <v>18484052</v>
      </c>
      <c r="Q136" s="31">
        <f t="shared" si="83"/>
        <v>0</v>
      </c>
      <c r="R136" s="30">
        <f t="shared" si="83"/>
        <v>6650000</v>
      </c>
      <c r="S136" s="30">
        <f t="shared" si="83"/>
        <v>10850000</v>
      </c>
      <c r="T136" s="31">
        <f t="shared" si="83"/>
        <v>0</v>
      </c>
      <c r="U136" s="30">
        <f t="shared" si="83"/>
        <v>6650000</v>
      </c>
      <c r="V136" s="30">
        <f t="shared" si="83"/>
        <v>10850000</v>
      </c>
      <c r="W136" s="30">
        <f t="shared" ref="W136:W138" si="84">T136+V136</f>
        <v>10850000</v>
      </c>
      <c r="X136" s="18">
        <f t="shared" ref="X136:X138" si="85">M136-P136</f>
        <v>81515948</v>
      </c>
      <c r="Y136" s="110">
        <f t="shared" ref="Y136:Y138" si="86">P136-S136</f>
        <v>7634052</v>
      </c>
      <c r="Z136" s="34">
        <f t="shared" ref="Z136:Z138" si="87">S136-W136</f>
        <v>0</v>
      </c>
      <c r="AA136" s="32">
        <f t="shared" si="47"/>
        <v>0.1085</v>
      </c>
    </row>
    <row r="137" spans="1:27" ht="18.75" customHeight="1" x14ac:dyDescent="0.2">
      <c r="A137" s="4" t="s">
        <v>55</v>
      </c>
      <c r="B137" s="4" t="s">
        <v>56</v>
      </c>
      <c r="C137" s="19" t="s">
        <v>907</v>
      </c>
      <c r="D137" s="41" t="s">
        <v>901</v>
      </c>
      <c r="E137" s="42" t="s">
        <v>248</v>
      </c>
      <c r="F137" s="43" t="s">
        <v>58</v>
      </c>
      <c r="G137" s="43">
        <v>70000000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3">
        <v>70000000</v>
      </c>
      <c r="N137" s="44">
        <v>0</v>
      </c>
      <c r="O137" s="43">
        <f>P137-[1]ENERO!O137</f>
        <v>8055052</v>
      </c>
      <c r="P137" s="43">
        <v>18484052</v>
      </c>
      <c r="Q137" s="44">
        <v>0</v>
      </c>
      <c r="R137" s="43">
        <f>S137-[1]ENERO!R137</f>
        <v>6650000</v>
      </c>
      <c r="S137" s="43">
        <v>10850000</v>
      </c>
      <c r="T137" s="44">
        <v>0</v>
      </c>
      <c r="U137" s="43">
        <v>6650000</v>
      </c>
      <c r="V137" s="43">
        <v>10850000</v>
      </c>
      <c r="W137" s="30">
        <f t="shared" si="84"/>
        <v>10850000</v>
      </c>
      <c r="X137" s="18">
        <f t="shared" si="85"/>
        <v>51515948</v>
      </c>
      <c r="Y137" s="110">
        <f t="shared" si="86"/>
        <v>7634052</v>
      </c>
      <c r="Z137" s="34">
        <f t="shared" si="87"/>
        <v>0</v>
      </c>
      <c r="AA137" s="32">
        <f t="shared" si="47"/>
        <v>0.155</v>
      </c>
    </row>
    <row r="138" spans="1:27" ht="18.75" customHeight="1" x14ac:dyDescent="0.2">
      <c r="A138" s="4" t="s">
        <v>55</v>
      </c>
      <c r="B138" s="4" t="s">
        <v>56</v>
      </c>
      <c r="C138" s="19" t="s">
        <v>907</v>
      </c>
      <c r="D138" s="41" t="s">
        <v>902</v>
      </c>
      <c r="E138" s="42" t="s">
        <v>249</v>
      </c>
      <c r="F138" s="43" t="s">
        <v>58</v>
      </c>
      <c r="G138" s="43">
        <v>30000000</v>
      </c>
      <c r="H138" s="44">
        <v>0</v>
      </c>
      <c r="I138" s="44">
        <v>0</v>
      </c>
      <c r="J138" s="44">
        <v>0</v>
      </c>
      <c r="K138" s="44">
        <v>0</v>
      </c>
      <c r="L138" s="44">
        <v>0</v>
      </c>
      <c r="M138" s="43">
        <v>30000000</v>
      </c>
      <c r="N138" s="44">
        <v>0</v>
      </c>
      <c r="O138" s="44">
        <v>0</v>
      </c>
      <c r="P138" s="44">
        <v>0</v>
      </c>
      <c r="Q138" s="44">
        <v>0</v>
      </c>
      <c r="R138" s="44">
        <v>0</v>
      </c>
      <c r="S138" s="44">
        <v>0</v>
      </c>
      <c r="T138" s="44">
        <v>0</v>
      </c>
      <c r="U138" s="44">
        <v>0</v>
      </c>
      <c r="V138" s="44">
        <v>0</v>
      </c>
      <c r="W138" s="31">
        <f t="shared" si="84"/>
        <v>0</v>
      </c>
      <c r="X138" s="18">
        <f t="shared" si="85"/>
        <v>30000000</v>
      </c>
      <c r="Y138" s="34">
        <f t="shared" si="86"/>
        <v>0</v>
      </c>
      <c r="Z138" s="34">
        <f t="shared" si="87"/>
        <v>0</v>
      </c>
      <c r="AA138" s="32">
        <f t="shared" si="47"/>
        <v>0</v>
      </c>
    </row>
    <row r="139" spans="1:27" s="25" customFormat="1" ht="27.75" customHeight="1" x14ac:dyDescent="0.2">
      <c r="A139" s="19" t="s">
        <v>55</v>
      </c>
      <c r="B139" s="19" t="s">
        <v>56</v>
      </c>
      <c r="C139" s="19" t="s">
        <v>907</v>
      </c>
      <c r="D139" s="26" t="s">
        <v>903</v>
      </c>
      <c r="E139" s="21" t="s">
        <v>250</v>
      </c>
      <c r="F139" s="22" t="s">
        <v>37</v>
      </c>
      <c r="G139" s="22">
        <f>G140+G144+G149+G142</f>
        <v>4677993416.5</v>
      </c>
      <c r="H139" s="23">
        <f t="shared" ref="H139:Z139" si="88">H140+H144+H149+H142</f>
        <v>0</v>
      </c>
      <c r="I139" s="23">
        <f t="shared" si="88"/>
        <v>0</v>
      </c>
      <c r="J139" s="23">
        <f t="shared" si="88"/>
        <v>0</v>
      </c>
      <c r="K139" s="23">
        <f t="shared" si="88"/>
        <v>0</v>
      </c>
      <c r="L139" s="23">
        <f t="shared" si="88"/>
        <v>0</v>
      </c>
      <c r="M139" s="22">
        <f t="shared" si="88"/>
        <v>4677993416.5</v>
      </c>
      <c r="N139" s="23">
        <f t="shared" si="88"/>
        <v>0</v>
      </c>
      <c r="O139" s="22">
        <f>O140+O144+O149+O142</f>
        <v>393400104</v>
      </c>
      <c r="P139" s="22">
        <f t="shared" si="88"/>
        <v>767817266</v>
      </c>
      <c r="Q139" s="22">
        <f t="shared" si="88"/>
        <v>662900</v>
      </c>
      <c r="R139" s="22">
        <f t="shared" si="88"/>
        <v>392737204</v>
      </c>
      <c r="S139" s="22">
        <f t="shared" si="88"/>
        <v>767154366</v>
      </c>
      <c r="T139" s="23">
        <f t="shared" si="88"/>
        <v>0</v>
      </c>
      <c r="U139" s="22">
        <f t="shared" si="88"/>
        <v>392487204</v>
      </c>
      <c r="V139" s="22">
        <f t="shared" si="88"/>
        <v>766904366</v>
      </c>
      <c r="W139" s="22">
        <f t="shared" si="88"/>
        <v>766904366</v>
      </c>
      <c r="X139" s="22">
        <f t="shared" si="88"/>
        <v>3910176150.5</v>
      </c>
      <c r="Y139" s="22">
        <f t="shared" si="88"/>
        <v>662900</v>
      </c>
      <c r="Z139" s="22">
        <f t="shared" si="88"/>
        <v>250000</v>
      </c>
      <c r="AA139" s="24">
        <f t="shared" si="47"/>
        <v>0.1639921859005036</v>
      </c>
    </row>
    <row r="140" spans="1:27" ht="18.75" customHeight="1" x14ac:dyDescent="0.2">
      <c r="A140" s="27" t="s">
        <v>55</v>
      </c>
      <c r="B140" s="27" t="s">
        <v>56</v>
      </c>
      <c r="C140" s="19" t="s">
        <v>907</v>
      </c>
      <c r="D140" s="28" t="s">
        <v>904</v>
      </c>
      <c r="E140" s="29" t="s">
        <v>251</v>
      </c>
      <c r="F140" s="30" t="s">
        <v>37</v>
      </c>
      <c r="G140" s="30">
        <f>G141</f>
        <v>50000000</v>
      </c>
      <c r="H140" s="31">
        <f t="shared" ref="H140:Z140" si="89">H141</f>
        <v>0</v>
      </c>
      <c r="I140" s="31">
        <f t="shared" si="89"/>
        <v>0</v>
      </c>
      <c r="J140" s="31">
        <f t="shared" si="89"/>
        <v>0</v>
      </c>
      <c r="K140" s="31">
        <f t="shared" si="89"/>
        <v>0</v>
      </c>
      <c r="L140" s="31">
        <f t="shared" si="89"/>
        <v>0</v>
      </c>
      <c r="M140" s="30">
        <f t="shared" si="89"/>
        <v>50000000</v>
      </c>
      <c r="N140" s="31">
        <f t="shared" si="89"/>
        <v>0</v>
      </c>
      <c r="O140" s="31">
        <f t="shared" si="89"/>
        <v>0</v>
      </c>
      <c r="P140" s="31">
        <f t="shared" si="89"/>
        <v>0</v>
      </c>
      <c r="Q140" s="31">
        <f t="shared" si="89"/>
        <v>0</v>
      </c>
      <c r="R140" s="31">
        <f t="shared" si="89"/>
        <v>0</v>
      </c>
      <c r="S140" s="31">
        <f t="shared" si="89"/>
        <v>0</v>
      </c>
      <c r="T140" s="31">
        <f t="shared" si="89"/>
        <v>0</v>
      </c>
      <c r="U140" s="31">
        <f t="shared" si="89"/>
        <v>0</v>
      </c>
      <c r="V140" s="31">
        <f t="shared" si="89"/>
        <v>0</v>
      </c>
      <c r="W140" s="40">
        <f t="shared" si="89"/>
        <v>0</v>
      </c>
      <c r="X140" s="30">
        <f t="shared" si="89"/>
        <v>50000000</v>
      </c>
      <c r="Y140" s="31">
        <f t="shared" si="89"/>
        <v>0</v>
      </c>
      <c r="Z140" s="31">
        <f t="shared" si="89"/>
        <v>0</v>
      </c>
      <c r="AA140" s="32">
        <f t="shared" si="47"/>
        <v>0</v>
      </c>
    </row>
    <row r="141" spans="1:27" ht="18.75" customHeight="1" x14ac:dyDescent="0.2">
      <c r="A141" s="4" t="s">
        <v>55</v>
      </c>
      <c r="B141" s="4" t="s">
        <v>56</v>
      </c>
      <c r="C141" s="19" t="s">
        <v>907</v>
      </c>
      <c r="D141" s="41" t="s">
        <v>905</v>
      </c>
      <c r="E141" s="42" t="s">
        <v>252</v>
      </c>
      <c r="F141" s="43" t="s">
        <v>58</v>
      </c>
      <c r="G141" s="43">
        <v>50000000</v>
      </c>
      <c r="H141" s="44">
        <v>0</v>
      </c>
      <c r="I141" s="44">
        <v>0</v>
      </c>
      <c r="J141" s="44">
        <v>0</v>
      </c>
      <c r="K141" s="44">
        <v>0</v>
      </c>
      <c r="L141" s="44">
        <v>0</v>
      </c>
      <c r="M141" s="43">
        <v>50000000</v>
      </c>
      <c r="N141" s="44">
        <v>0</v>
      </c>
      <c r="O141" s="44">
        <v>0</v>
      </c>
      <c r="P141" s="44">
        <v>0</v>
      </c>
      <c r="Q141" s="44">
        <v>0</v>
      </c>
      <c r="R141" s="44">
        <v>0</v>
      </c>
      <c r="S141" s="44">
        <v>0</v>
      </c>
      <c r="T141" s="44">
        <v>0</v>
      </c>
      <c r="U141" s="44">
        <v>0</v>
      </c>
      <c r="V141" s="44">
        <v>0</v>
      </c>
      <c r="W141" s="40">
        <f t="shared" ref="W141:W159" si="90">T141+V141</f>
        <v>0</v>
      </c>
      <c r="X141" s="18">
        <f t="shared" ref="X141:X151" si="91">M141-P141</f>
        <v>50000000</v>
      </c>
      <c r="Y141" s="34">
        <f t="shared" ref="Y141:Y151" si="92">P141-S141</f>
        <v>0</v>
      </c>
      <c r="Z141" s="34">
        <f t="shared" ref="Z141:Z151" si="93">S141-W141</f>
        <v>0</v>
      </c>
      <c r="AA141" s="32">
        <f t="shared" si="47"/>
        <v>0</v>
      </c>
    </row>
    <row r="142" spans="1:27" ht="18.75" customHeight="1" x14ac:dyDescent="0.2">
      <c r="A142" s="4" t="s">
        <v>55</v>
      </c>
      <c r="B142" s="4" t="s">
        <v>56</v>
      </c>
      <c r="C142" s="19" t="s">
        <v>907</v>
      </c>
      <c r="D142" s="41" t="s">
        <v>867</v>
      </c>
      <c r="E142" s="42" t="s">
        <v>253</v>
      </c>
      <c r="F142" s="43" t="s">
        <v>58</v>
      </c>
      <c r="G142" s="43">
        <v>50000000</v>
      </c>
      <c r="H142" s="44">
        <v>0</v>
      </c>
      <c r="I142" s="44">
        <v>0</v>
      </c>
      <c r="J142" s="44">
        <v>0</v>
      </c>
      <c r="K142" s="44">
        <v>0</v>
      </c>
      <c r="L142" s="44">
        <v>0</v>
      </c>
      <c r="M142" s="43">
        <v>50000000</v>
      </c>
      <c r="N142" s="44">
        <v>0</v>
      </c>
      <c r="O142" s="116">
        <v>662900</v>
      </c>
      <c r="P142" s="116">
        <v>662900</v>
      </c>
      <c r="Q142" s="116">
        <v>662900</v>
      </c>
      <c r="R142" s="44">
        <v>0</v>
      </c>
      <c r="S142" s="44">
        <v>0</v>
      </c>
      <c r="T142" s="44">
        <v>0</v>
      </c>
      <c r="U142" s="44">
        <v>0</v>
      </c>
      <c r="V142" s="44">
        <v>0</v>
      </c>
      <c r="W142" s="40">
        <f t="shared" si="90"/>
        <v>0</v>
      </c>
      <c r="X142" s="18">
        <f t="shared" si="91"/>
        <v>49337100</v>
      </c>
      <c r="Y142" s="110">
        <f t="shared" si="92"/>
        <v>662900</v>
      </c>
      <c r="Z142" s="34">
        <f t="shared" si="93"/>
        <v>0</v>
      </c>
      <c r="AA142" s="32">
        <f t="shared" si="47"/>
        <v>0</v>
      </c>
    </row>
    <row r="143" spans="1:27" ht="18.75" customHeight="1" x14ac:dyDescent="0.2">
      <c r="A143" s="4" t="s">
        <v>55</v>
      </c>
      <c r="B143" s="4" t="s">
        <v>56</v>
      </c>
      <c r="C143" s="19" t="s">
        <v>907</v>
      </c>
      <c r="D143" s="41" t="s">
        <v>866</v>
      </c>
      <c r="E143" s="42" t="s">
        <v>254</v>
      </c>
      <c r="F143" s="43" t="s">
        <v>58</v>
      </c>
      <c r="G143" s="43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4">
        <v>0</v>
      </c>
      <c r="R143" s="44">
        <v>0</v>
      </c>
      <c r="S143" s="44">
        <v>0</v>
      </c>
      <c r="T143" s="44">
        <v>0</v>
      </c>
      <c r="U143" s="44">
        <v>0</v>
      </c>
      <c r="V143" s="44">
        <v>0</v>
      </c>
      <c r="W143" s="40">
        <f t="shared" si="90"/>
        <v>0</v>
      </c>
      <c r="X143" s="34">
        <f t="shared" si="91"/>
        <v>0</v>
      </c>
      <c r="Y143" s="34">
        <f t="shared" si="92"/>
        <v>0</v>
      </c>
      <c r="Z143" s="34">
        <f t="shared" si="93"/>
        <v>0</v>
      </c>
      <c r="AA143" s="32">
        <v>0</v>
      </c>
    </row>
    <row r="144" spans="1:27" ht="18.75" customHeight="1" x14ac:dyDescent="0.2">
      <c r="A144" s="27" t="s">
        <v>55</v>
      </c>
      <c r="B144" s="27" t="s">
        <v>56</v>
      </c>
      <c r="C144" s="19" t="s">
        <v>907</v>
      </c>
      <c r="D144" s="28" t="s">
        <v>865</v>
      </c>
      <c r="E144" s="29" t="s">
        <v>255</v>
      </c>
      <c r="F144" s="30" t="s">
        <v>37</v>
      </c>
      <c r="G144" s="30">
        <f>G145+G148</f>
        <v>4527993416.5</v>
      </c>
      <c r="H144" s="31">
        <f t="shared" ref="H144:V144" si="94">H145+H148</f>
        <v>0</v>
      </c>
      <c r="I144" s="31">
        <f t="shared" si="94"/>
        <v>0</v>
      </c>
      <c r="J144" s="31">
        <f t="shared" si="94"/>
        <v>0</v>
      </c>
      <c r="K144" s="31">
        <f t="shared" si="94"/>
        <v>0</v>
      </c>
      <c r="L144" s="31">
        <f t="shared" si="94"/>
        <v>0</v>
      </c>
      <c r="M144" s="30">
        <f t="shared" si="94"/>
        <v>4527993416.5</v>
      </c>
      <c r="N144" s="31">
        <f t="shared" si="94"/>
        <v>0</v>
      </c>
      <c r="O144" s="30">
        <f t="shared" si="94"/>
        <v>392487204</v>
      </c>
      <c r="P144" s="30">
        <f t="shared" si="94"/>
        <v>766904366</v>
      </c>
      <c r="Q144" s="31">
        <f t="shared" si="94"/>
        <v>0</v>
      </c>
      <c r="R144" s="30">
        <f t="shared" si="94"/>
        <v>392487204</v>
      </c>
      <c r="S144" s="30">
        <f t="shared" si="94"/>
        <v>766904366</v>
      </c>
      <c r="T144" s="31">
        <f t="shared" si="94"/>
        <v>0</v>
      </c>
      <c r="U144" s="30">
        <f t="shared" si="94"/>
        <v>392487204</v>
      </c>
      <c r="V144" s="30">
        <f t="shared" si="94"/>
        <v>766904366</v>
      </c>
      <c r="W144" s="39">
        <f t="shared" si="90"/>
        <v>766904366</v>
      </c>
      <c r="X144" s="18">
        <f t="shared" si="91"/>
        <v>3761089050.5</v>
      </c>
      <c r="Y144" s="34">
        <f t="shared" si="92"/>
        <v>0</v>
      </c>
      <c r="Z144" s="34">
        <f t="shared" si="93"/>
        <v>0</v>
      </c>
      <c r="AA144" s="32">
        <f t="shared" ref="AA144:AA179" si="95">S144/M144</f>
        <v>0.16936958503636551</v>
      </c>
    </row>
    <row r="145" spans="1:27" ht="18.75" customHeight="1" x14ac:dyDescent="0.2">
      <c r="A145" s="27" t="s">
        <v>55</v>
      </c>
      <c r="B145" s="27" t="s">
        <v>56</v>
      </c>
      <c r="C145" s="19" t="s">
        <v>907</v>
      </c>
      <c r="D145" s="28" t="s">
        <v>864</v>
      </c>
      <c r="E145" s="29" t="s">
        <v>256</v>
      </c>
      <c r="F145" s="30" t="s">
        <v>37</v>
      </c>
      <c r="G145" s="30">
        <f>G146+G147</f>
        <v>4477993416.5</v>
      </c>
      <c r="H145" s="31">
        <f t="shared" ref="H145:V145" si="96">H146+H147</f>
        <v>0</v>
      </c>
      <c r="I145" s="31">
        <f t="shared" si="96"/>
        <v>0</v>
      </c>
      <c r="J145" s="31">
        <f t="shared" si="96"/>
        <v>0</v>
      </c>
      <c r="K145" s="31">
        <f t="shared" si="96"/>
        <v>0</v>
      </c>
      <c r="L145" s="31">
        <f t="shared" si="96"/>
        <v>0</v>
      </c>
      <c r="M145" s="30">
        <f t="shared" si="96"/>
        <v>4477993416.5</v>
      </c>
      <c r="N145" s="31">
        <f t="shared" si="96"/>
        <v>0</v>
      </c>
      <c r="O145" s="30">
        <f t="shared" si="96"/>
        <v>373166118</v>
      </c>
      <c r="P145" s="30">
        <f t="shared" si="96"/>
        <v>746332236</v>
      </c>
      <c r="Q145" s="31">
        <f t="shared" si="96"/>
        <v>0</v>
      </c>
      <c r="R145" s="30">
        <f t="shared" si="96"/>
        <v>373166118</v>
      </c>
      <c r="S145" s="30">
        <f t="shared" si="96"/>
        <v>746332236</v>
      </c>
      <c r="T145" s="31">
        <f t="shared" si="96"/>
        <v>0</v>
      </c>
      <c r="U145" s="30">
        <f t="shared" si="96"/>
        <v>373166118</v>
      </c>
      <c r="V145" s="30">
        <f t="shared" si="96"/>
        <v>746332236</v>
      </c>
      <c r="W145" s="39">
        <f t="shared" si="90"/>
        <v>746332236</v>
      </c>
      <c r="X145" s="18">
        <f t="shared" si="91"/>
        <v>3731661180.5</v>
      </c>
      <c r="Y145" s="34">
        <f t="shared" si="92"/>
        <v>0</v>
      </c>
      <c r="Z145" s="34">
        <f t="shared" si="93"/>
        <v>0</v>
      </c>
      <c r="AA145" s="32">
        <f t="shared" si="95"/>
        <v>0.16666666664805715</v>
      </c>
    </row>
    <row r="146" spans="1:27" ht="18.75" customHeight="1" x14ac:dyDescent="0.2">
      <c r="A146" s="4" t="s">
        <v>55</v>
      </c>
      <c r="B146" s="4" t="s">
        <v>56</v>
      </c>
      <c r="C146" s="19" t="s">
        <v>907</v>
      </c>
      <c r="D146" s="41" t="s">
        <v>863</v>
      </c>
      <c r="E146" s="42" t="s">
        <v>233</v>
      </c>
      <c r="F146" s="43" t="s">
        <v>58</v>
      </c>
      <c r="G146" s="43">
        <v>3177230763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3">
        <v>3177230763</v>
      </c>
      <c r="N146" s="44">
        <v>0</v>
      </c>
      <c r="O146" s="43">
        <v>264769230</v>
      </c>
      <c r="P146" s="43">
        <v>529538460</v>
      </c>
      <c r="Q146" s="44">
        <v>0</v>
      </c>
      <c r="R146" s="43">
        <v>264769230</v>
      </c>
      <c r="S146" s="43">
        <v>529538460</v>
      </c>
      <c r="T146" s="44">
        <v>0</v>
      </c>
      <c r="U146" s="43">
        <v>264769230</v>
      </c>
      <c r="V146" s="43">
        <v>529538460</v>
      </c>
      <c r="W146" s="39">
        <f t="shared" si="90"/>
        <v>529538460</v>
      </c>
      <c r="X146" s="18">
        <f t="shared" si="91"/>
        <v>2647692303</v>
      </c>
      <c r="Y146" s="34">
        <f t="shared" si="92"/>
        <v>0</v>
      </c>
      <c r="Z146" s="34">
        <f t="shared" si="93"/>
        <v>0</v>
      </c>
      <c r="AA146" s="32">
        <f t="shared" si="95"/>
        <v>0.16666666650929693</v>
      </c>
    </row>
    <row r="147" spans="1:27" ht="18.75" customHeight="1" x14ac:dyDescent="0.2">
      <c r="A147" s="4" t="s">
        <v>55</v>
      </c>
      <c r="B147" s="4" t="s">
        <v>56</v>
      </c>
      <c r="C147" s="19" t="s">
        <v>907</v>
      </c>
      <c r="D147" s="41" t="s">
        <v>862</v>
      </c>
      <c r="E147" s="42" t="s">
        <v>257</v>
      </c>
      <c r="F147" s="43" t="s">
        <v>258</v>
      </c>
      <c r="G147" s="43">
        <v>1300762653.5</v>
      </c>
      <c r="H147" s="44">
        <v>0</v>
      </c>
      <c r="I147" s="44">
        <v>0</v>
      </c>
      <c r="J147" s="44">
        <v>0</v>
      </c>
      <c r="K147" s="44">
        <v>0</v>
      </c>
      <c r="L147" s="44">
        <v>0</v>
      </c>
      <c r="M147" s="43">
        <v>1300762653.5</v>
      </c>
      <c r="N147" s="44">
        <v>0</v>
      </c>
      <c r="O147" s="43">
        <v>108396888</v>
      </c>
      <c r="P147" s="43">
        <v>216793776</v>
      </c>
      <c r="Q147" s="44">
        <v>0</v>
      </c>
      <c r="R147" s="43">
        <v>108396888</v>
      </c>
      <c r="S147" s="43">
        <v>216793776</v>
      </c>
      <c r="T147" s="44">
        <v>0</v>
      </c>
      <c r="U147" s="43">
        <v>108396888</v>
      </c>
      <c r="V147" s="43">
        <v>216793776</v>
      </c>
      <c r="W147" s="39">
        <f t="shared" si="90"/>
        <v>216793776</v>
      </c>
      <c r="X147" s="18">
        <f t="shared" si="91"/>
        <v>1083968877.5</v>
      </c>
      <c r="Y147" s="34">
        <f t="shared" si="92"/>
        <v>0</v>
      </c>
      <c r="Z147" s="34">
        <f t="shared" si="93"/>
        <v>0</v>
      </c>
      <c r="AA147" s="32">
        <f t="shared" si="95"/>
        <v>0.16666666698699156</v>
      </c>
    </row>
    <row r="148" spans="1:27" ht="18.75" customHeight="1" x14ac:dyDescent="0.2">
      <c r="A148" s="4" t="s">
        <v>55</v>
      </c>
      <c r="B148" s="4" t="s">
        <v>56</v>
      </c>
      <c r="C148" s="19" t="s">
        <v>907</v>
      </c>
      <c r="D148" s="41" t="s">
        <v>861</v>
      </c>
      <c r="E148" s="42" t="s">
        <v>259</v>
      </c>
      <c r="F148" s="43" t="s">
        <v>58</v>
      </c>
      <c r="G148" s="43">
        <v>50000000</v>
      </c>
      <c r="H148" s="44">
        <v>0</v>
      </c>
      <c r="I148" s="44">
        <v>0</v>
      </c>
      <c r="J148" s="44">
        <v>0</v>
      </c>
      <c r="K148" s="44">
        <v>0</v>
      </c>
      <c r="L148" s="44">
        <v>0</v>
      </c>
      <c r="M148" s="43">
        <v>50000000</v>
      </c>
      <c r="N148" s="44">
        <v>0</v>
      </c>
      <c r="O148" s="43">
        <v>19321086</v>
      </c>
      <c r="P148" s="43">
        <v>20572130</v>
      </c>
      <c r="Q148" s="44">
        <v>0</v>
      </c>
      <c r="R148" s="43">
        <v>19321086</v>
      </c>
      <c r="S148" s="43">
        <v>20572130</v>
      </c>
      <c r="T148" s="44">
        <v>0</v>
      </c>
      <c r="U148" s="43">
        <v>19321086</v>
      </c>
      <c r="V148" s="43">
        <v>20572130</v>
      </c>
      <c r="W148" s="39">
        <f t="shared" si="90"/>
        <v>20572130</v>
      </c>
      <c r="X148" s="18">
        <f t="shared" si="91"/>
        <v>29427870</v>
      </c>
      <c r="Y148" s="34">
        <f t="shared" si="92"/>
        <v>0</v>
      </c>
      <c r="Z148" s="34">
        <f t="shared" si="93"/>
        <v>0</v>
      </c>
      <c r="AA148" s="32">
        <f t="shared" si="95"/>
        <v>0.41144259999999999</v>
      </c>
    </row>
    <row r="149" spans="1:27" ht="18.75" customHeight="1" x14ac:dyDescent="0.2">
      <c r="A149" s="27" t="s">
        <v>55</v>
      </c>
      <c r="B149" s="27" t="s">
        <v>56</v>
      </c>
      <c r="C149" s="19" t="s">
        <v>907</v>
      </c>
      <c r="D149" s="28" t="s">
        <v>860</v>
      </c>
      <c r="E149" s="29" t="s">
        <v>260</v>
      </c>
      <c r="F149" s="30" t="s">
        <v>37</v>
      </c>
      <c r="G149" s="30">
        <f>G150+G152</f>
        <v>50000000</v>
      </c>
      <c r="H149" s="31">
        <f t="shared" ref="H149:V149" si="97">H150+H152</f>
        <v>0</v>
      </c>
      <c r="I149" s="31">
        <f t="shared" si="97"/>
        <v>0</v>
      </c>
      <c r="J149" s="31">
        <f t="shared" si="97"/>
        <v>0</v>
      </c>
      <c r="K149" s="31">
        <f t="shared" si="97"/>
        <v>0</v>
      </c>
      <c r="L149" s="31">
        <f t="shared" si="97"/>
        <v>0</v>
      </c>
      <c r="M149" s="30">
        <f t="shared" si="97"/>
        <v>50000000</v>
      </c>
      <c r="N149" s="31">
        <f t="shared" si="97"/>
        <v>0</v>
      </c>
      <c r="O149" s="109">
        <f t="shared" si="97"/>
        <v>250000</v>
      </c>
      <c r="P149" s="109">
        <f t="shared" si="97"/>
        <v>250000</v>
      </c>
      <c r="Q149" s="31">
        <f t="shared" si="97"/>
        <v>0</v>
      </c>
      <c r="R149" s="109">
        <f t="shared" si="97"/>
        <v>250000</v>
      </c>
      <c r="S149" s="109">
        <f t="shared" si="97"/>
        <v>250000</v>
      </c>
      <c r="T149" s="31">
        <f t="shared" si="97"/>
        <v>0</v>
      </c>
      <c r="U149" s="31">
        <f t="shared" si="97"/>
        <v>0</v>
      </c>
      <c r="V149" s="31">
        <f t="shared" si="97"/>
        <v>0</v>
      </c>
      <c r="W149" s="40">
        <f t="shared" si="90"/>
        <v>0</v>
      </c>
      <c r="X149" s="18">
        <f t="shared" si="91"/>
        <v>49750000</v>
      </c>
      <c r="Y149" s="34">
        <f t="shared" si="92"/>
        <v>0</v>
      </c>
      <c r="Z149" s="18">
        <f t="shared" si="93"/>
        <v>250000</v>
      </c>
      <c r="AA149" s="32">
        <f t="shared" si="95"/>
        <v>5.0000000000000001E-3</v>
      </c>
    </row>
    <row r="150" spans="1:27" ht="18.75" customHeight="1" x14ac:dyDescent="0.2">
      <c r="A150" s="27" t="s">
        <v>55</v>
      </c>
      <c r="B150" s="27" t="s">
        <v>56</v>
      </c>
      <c r="C150" s="19" t="s">
        <v>907</v>
      </c>
      <c r="D150" s="28" t="s">
        <v>859</v>
      </c>
      <c r="E150" s="29" t="s">
        <v>261</v>
      </c>
      <c r="F150" s="30" t="s">
        <v>37</v>
      </c>
      <c r="G150" s="30">
        <f>G151</f>
        <v>10000000</v>
      </c>
      <c r="H150" s="31">
        <f t="shared" ref="H150:V150" si="98">H151</f>
        <v>0</v>
      </c>
      <c r="I150" s="31">
        <f t="shared" si="98"/>
        <v>0</v>
      </c>
      <c r="J150" s="31">
        <f t="shared" si="98"/>
        <v>0</v>
      </c>
      <c r="K150" s="31">
        <f t="shared" si="98"/>
        <v>0</v>
      </c>
      <c r="L150" s="31">
        <f t="shared" si="98"/>
        <v>0</v>
      </c>
      <c r="M150" s="30">
        <f t="shared" si="98"/>
        <v>10000000</v>
      </c>
      <c r="N150" s="31">
        <f t="shared" si="98"/>
        <v>0</v>
      </c>
      <c r="O150" s="109">
        <f t="shared" si="98"/>
        <v>250000</v>
      </c>
      <c r="P150" s="109">
        <f t="shared" si="98"/>
        <v>250000</v>
      </c>
      <c r="Q150" s="31">
        <f t="shared" si="98"/>
        <v>0</v>
      </c>
      <c r="R150" s="109">
        <f t="shared" si="98"/>
        <v>250000</v>
      </c>
      <c r="S150" s="109">
        <f t="shared" si="98"/>
        <v>250000</v>
      </c>
      <c r="T150" s="31">
        <f t="shared" si="98"/>
        <v>0</v>
      </c>
      <c r="U150" s="31">
        <f t="shared" si="98"/>
        <v>0</v>
      </c>
      <c r="V150" s="31">
        <f t="shared" si="98"/>
        <v>0</v>
      </c>
      <c r="W150" s="40">
        <f t="shared" si="90"/>
        <v>0</v>
      </c>
      <c r="X150" s="18">
        <f t="shared" si="91"/>
        <v>9750000</v>
      </c>
      <c r="Y150" s="34">
        <f t="shared" si="92"/>
        <v>0</v>
      </c>
      <c r="Z150" s="18">
        <f t="shared" si="93"/>
        <v>250000</v>
      </c>
      <c r="AA150" s="32">
        <f t="shared" si="95"/>
        <v>2.5000000000000001E-2</v>
      </c>
    </row>
    <row r="151" spans="1:27" ht="18.75" customHeight="1" x14ac:dyDescent="0.2">
      <c r="A151" s="4" t="s">
        <v>55</v>
      </c>
      <c r="B151" s="4" t="s">
        <v>56</v>
      </c>
      <c r="C151" s="19" t="s">
        <v>907</v>
      </c>
      <c r="D151" s="41" t="s">
        <v>858</v>
      </c>
      <c r="E151" s="42" t="s">
        <v>262</v>
      </c>
      <c r="F151" s="43" t="s">
        <v>58</v>
      </c>
      <c r="G151" s="43">
        <v>10000000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3">
        <v>10000000</v>
      </c>
      <c r="N151" s="44">
        <v>0</v>
      </c>
      <c r="O151" s="114">
        <v>250000</v>
      </c>
      <c r="P151" s="114">
        <v>250000</v>
      </c>
      <c r="Q151" s="44">
        <v>0</v>
      </c>
      <c r="R151" s="114">
        <v>250000</v>
      </c>
      <c r="S151" s="114">
        <v>250000</v>
      </c>
      <c r="T151" s="44">
        <v>0</v>
      </c>
      <c r="U151" s="44">
        <v>0</v>
      </c>
      <c r="V151" s="44">
        <v>0</v>
      </c>
      <c r="W151" s="40">
        <f t="shared" si="90"/>
        <v>0</v>
      </c>
      <c r="X151" s="18">
        <f t="shared" si="91"/>
        <v>9750000</v>
      </c>
      <c r="Y151" s="34">
        <f t="shared" si="92"/>
        <v>0</v>
      </c>
      <c r="Z151" s="18">
        <f t="shared" si="93"/>
        <v>250000</v>
      </c>
      <c r="AA151" s="32">
        <f t="shared" si="95"/>
        <v>2.5000000000000001E-2</v>
      </c>
    </row>
    <row r="152" spans="1:27" ht="18.75" customHeight="1" x14ac:dyDescent="0.2">
      <c r="A152" s="4" t="s">
        <v>55</v>
      </c>
      <c r="B152" s="4" t="s">
        <v>56</v>
      </c>
      <c r="C152" s="19" t="s">
        <v>907</v>
      </c>
      <c r="D152" s="41" t="s">
        <v>857</v>
      </c>
      <c r="E152" s="42" t="s">
        <v>263</v>
      </c>
      <c r="F152" s="43" t="s">
        <v>58</v>
      </c>
      <c r="G152" s="43">
        <v>40000000</v>
      </c>
      <c r="H152" s="44">
        <v>0</v>
      </c>
      <c r="I152" s="44">
        <v>0</v>
      </c>
      <c r="J152" s="44">
        <v>0</v>
      </c>
      <c r="K152" s="44">
        <v>0</v>
      </c>
      <c r="L152" s="44">
        <v>0</v>
      </c>
      <c r="M152" s="43">
        <v>40000000</v>
      </c>
      <c r="N152" s="44">
        <v>0</v>
      </c>
      <c r="O152" s="44">
        <v>0</v>
      </c>
      <c r="P152" s="44">
        <v>0</v>
      </c>
      <c r="Q152" s="44">
        <v>0</v>
      </c>
      <c r="R152" s="44">
        <v>0</v>
      </c>
      <c r="S152" s="44">
        <v>0</v>
      </c>
      <c r="T152" s="44">
        <v>0</v>
      </c>
      <c r="U152" s="44">
        <v>0</v>
      </c>
      <c r="V152" s="44">
        <v>0</v>
      </c>
      <c r="W152" s="40">
        <f t="shared" si="90"/>
        <v>0</v>
      </c>
      <c r="X152" s="18">
        <f>M152-P152</f>
        <v>40000000</v>
      </c>
      <c r="Y152" s="34">
        <f>P152-S152</f>
        <v>0</v>
      </c>
      <c r="Z152" s="18">
        <f>S152-W152</f>
        <v>0</v>
      </c>
      <c r="AA152" s="32">
        <f t="shared" si="95"/>
        <v>0</v>
      </c>
    </row>
    <row r="153" spans="1:27" s="25" customFormat="1" ht="18.75" customHeight="1" x14ac:dyDescent="0.2">
      <c r="A153" s="19" t="s">
        <v>49</v>
      </c>
      <c r="B153" s="19" t="s">
        <v>50</v>
      </c>
      <c r="C153" s="19" t="s">
        <v>907</v>
      </c>
      <c r="D153" s="26" t="s">
        <v>856</v>
      </c>
      <c r="E153" s="21" t="s">
        <v>264</v>
      </c>
      <c r="F153" s="22" t="s">
        <v>37</v>
      </c>
      <c r="G153" s="22">
        <f>G154</f>
        <v>58452467165</v>
      </c>
      <c r="H153" s="23">
        <f t="shared" ref="H153:Z153" si="99">H154</f>
        <v>0</v>
      </c>
      <c r="I153" s="23">
        <f t="shared" si="99"/>
        <v>0</v>
      </c>
      <c r="J153" s="23">
        <f t="shared" si="99"/>
        <v>0</v>
      </c>
      <c r="K153" s="23">
        <f t="shared" si="99"/>
        <v>0</v>
      </c>
      <c r="L153" s="23">
        <f t="shared" si="99"/>
        <v>0</v>
      </c>
      <c r="M153" s="22">
        <f t="shared" si="99"/>
        <v>58452467165</v>
      </c>
      <c r="N153" s="23">
        <f t="shared" si="99"/>
        <v>0</v>
      </c>
      <c r="O153" s="22">
        <f t="shared" si="99"/>
        <v>2313767324.9000001</v>
      </c>
      <c r="P153" s="22">
        <f t="shared" si="99"/>
        <v>5262613830.8299999</v>
      </c>
      <c r="Q153" s="23">
        <f t="shared" si="99"/>
        <v>0</v>
      </c>
      <c r="R153" s="22">
        <f t="shared" si="99"/>
        <v>2264996008.9000001</v>
      </c>
      <c r="S153" s="22">
        <f t="shared" si="99"/>
        <v>5213842514.8299999</v>
      </c>
      <c r="T153" s="23">
        <f t="shared" si="99"/>
        <v>0</v>
      </c>
      <c r="U153" s="22">
        <f t="shared" si="99"/>
        <v>2410006322.9200001</v>
      </c>
      <c r="V153" s="22">
        <f t="shared" si="99"/>
        <v>5202766780.8299999</v>
      </c>
      <c r="W153" s="22">
        <f t="shared" si="90"/>
        <v>5202766780.8299999</v>
      </c>
      <c r="X153" s="22">
        <f t="shared" si="99"/>
        <v>53189853334.169998</v>
      </c>
      <c r="Y153" s="108">
        <f t="shared" si="99"/>
        <v>48771316</v>
      </c>
      <c r="Z153" s="22">
        <f t="shared" si="99"/>
        <v>11075734</v>
      </c>
      <c r="AA153" s="24">
        <f t="shared" si="95"/>
        <v>8.9197988856694999E-2</v>
      </c>
    </row>
    <row r="154" spans="1:27" s="25" customFormat="1" ht="18.75" customHeight="1" x14ac:dyDescent="0.2">
      <c r="A154" s="19" t="s">
        <v>55</v>
      </c>
      <c r="B154" s="19" t="s">
        <v>56</v>
      </c>
      <c r="C154" s="19" t="s">
        <v>907</v>
      </c>
      <c r="D154" s="26" t="s">
        <v>855</v>
      </c>
      <c r="E154" s="21" t="s">
        <v>265</v>
      </c>
      <c r="F154" s="22" t="s">
        <v>37</v>
      </c>
      <c r="G154" s="22">
        <f>G155+G165+G170+G160+G169</f>
        <v>58452467165</v>
      </c>
      <c r="H154" s="23">
        <f t="shared" ref="H154:Z154" si="100">H155+H165+H170+H160+H169</f>
        <v>0</v>
      </c>
      <c r="I154" s="23">
        <f t="shared" si="100"/>
        <v>0</v>
      </c>
      <c r="J154" s="23">
        <f t="shared" si="100"/>
        <v>0</v>
      </c>
      <c r="K154" s="23">
        <f t="shared" si="100"/>
        <v>0</v>
      </c>
      <c r="L154" s="23">
        <f t="shared" si="100"/>
        <v>0</v>
      </c>
      <c r="M154" s="22">
        <f t="shared" si="100"/>
        <v>58452467165</v>
      </c>
      <c r="N154" s="23">
        <f t="shared" si="100"/>
        <v>0</v>
      </c>
      <c r="O154" s="22">
        <f t="shared" si="100"/>
        <v>2313767324.9000001</v>
      </c>
      <c r="P154" s="22">
        <f t="shared" si="100"/>
        <v>5262613830.8299999</v>
      </c>
      <c r="Q154" s="23">
        <f t="shared" si="100"/>
        <v>0</v>
      </c>
      <c r="R154" s="22">
        <f t="shared" si="100"/>
        <v>2264996008.9000001</v>
      </c>
      <c r="S154" s="22">
        <f t="shared" si="100"/>
        <v>5213842514.8299999</v>
      </c>
      <c r="T154" s="23">
        <f t="shared" si="100"/>
        <v>0</v>
      </c>
      <c r="U154" s="22">
        <f t="shared" si="100"/>
        <v>2410006322.9200001</v>
      </c>
      <c r="V154" s="22">
        <f t="shared" si="100"/>
        <v>5202766780.8299999</v>
      </c>
      <c r="W154" s="22">
        <f t="shared" si="90"/>
        <v>5202766780.8299999</v>
      </c>
      <c r="X154" s="22">
        <f t="shared" si="100"/>
        <v>53189853334.169998</v>
      </c>
      <c r="Y154" s="108">
        <f t="shared" si="100"/>
        <v>48771316</v>
      </c>
      <c r="Z154" s="22">
        <f t="shared" si="100"/>
        <v>11075734</v>
      </c>
      <c r="AA154" s="24">
        <f t="shared" si="95"/>
        <v>8.9197988856694999E-2</v>
      </c>
    </row>
    <row r="155" spans="1:27" s="25" customFormat="1" ht="18.75" customHeight="1" x14ac:dyDescent="0.2">
      <c r="A155" s="19" t="s">
        <v>37</v>
      </c>
      <c r="B155" s="19" t="s">
        <v>37</v>
      </c>
      <c r="C155" s="19" t="s">
        <v>907</v>
      </c>
      <c r="D155" s="26" t="s">
        <v>854</v>
      </c>
      <c r="E155" s="21" t="s">
        <v>266</v>
      </c>
      <c r="F155" s="22" t="s">
        <v>37</v>
      </c>
      <c r="G155" s="22">
        <f>G156</f>
        <v>28000000000.57</v>
      </c>
      <c r="H155" s="23">
        <f t="shared" ref="H155:Z158" si="101">H156</f>
        <v>0</v>
      </c>
      <c r="I155" s="23">
        <f t="shared" si="101"/>
        <v>0</v>
      </c>
      <c r="J155" s="23">
        <f t="shared" si="101"/>
        <v>0</v>
      </c>
      <c r="K155" s="23">
        <f t="shared" si="101"/>
        <v>0</v>
      </c>
      <c r="L155" s="23">
        <f t="shared" si="101"/>
        <v>0</v>
      </c>
      <c r="M155" s="22">
        <f t="shared" si="101"/>
        <v>28000000000.57</v>
      </c>
      <c r="N155" s="23">
        <f t="shared" si="101"/>
        <v>0</v>
      </c>
      <c r="O155" s="22">
        <f t="shared" si="101"/>
        <v>1546600558.22</v>
      </c>
      <c r="P155" s="22">
        <f t="shared" si="101"/>
        <v>3406257169</v>
      </c>
      <c r="Q155" s="23">
        <f t="shared" si="101"/>
        <v>0</v>
      </c>
      <c r="R155" s="22">
        <f t="shared" si="101"/>
        <v>1546600558.22</v>
      </c>
      <c r="S155" s="22">
        <f t="shared" si="101"/>
        <v>3406257169</v>
      </c>
      <c r="T155" s="23">
        <f t="shared" si="101"/>
        <v>0</v>
      </c>
      <c r="U155" s="22">
        <f t="shared" si="101"/>
        <v>1656405286.03</v>
      </c>
      <c r="V155" s="22">
        <f t="shared" si="101"/>
        <v>3406257169</v>
      </c>
      <c r="W155" s="22">
        <f t="shared" si="90"/>
        <v>3406257169</v>
      </c>
      <c r="X155" s="22">
        <f t="shared" si="101"/>
        <v>24593742831.57</v>
      </c>
      <c r="Y155" s="23">
        <f t="shared" si="101"/>
        <v>0</v>
      </c>
      <c r="Z155" s="23">
        <f t="shared" si="101"/>
        <v>0</v>
      </c>
      <c r="AA155" s="24">
        <f t="shared" si="95"/>
        <v>0.12165204174752352</v>
      </c>
    </row>
    <row r="156" spans="1:27" ht="18.75" customHeight="1" x14ac:dyDescent="0.2">
      <c r="A156" s="27" t="s">
        <v>37</v>
      </c>
      <c r="B156" s="27" t="s">
        <v>37</v>
      </c>
      <c r="C156" s="19" t="s">
        <v>907</v>
      </c>
      <c r="D156" s="28" t="s">
        <v>853</v>
      </c>
      <c r="E156" s="29" t="s">
        <v>267</v>
      </c>
      <c r="F156" s="30" t="s">
        <v>37</v>
      </c>
      <c r="G156" s="30">
        <f>G157</f>
        <v>28000000000.57</v>
      </c>
      <c r="H156" s="31">
        <f t="shared" si="101"/>
        <v>0</v>
      </c>
      <c r="I156" s="31">
        <f t="shared" si="101"/>
        <v>0</v>
      </c>
      <c r="J156" s="31">
        <f t="shared" si="101"/>
        <v>0</v>
      </c>
      <c r="K156" s="31">
        <f t="shared" si="101"/>
        <v>0</v>
      </c>
      <c r="L156" s="31">
        <f t="shared" si="101"/>
        <v>0</v>
      </c>
      <c r="M156" s="30">
        <f t="shared" si="101"/>
        <v>28000000000.57</v>
      </c>
      <c r="N156" s="31">
        <f t="shared" si="101"/>
        <v>0</v>
      </c>
      <c r="O156" s="30">
        <f t="shared" si="101"/>
        <v>1546600558.22</v>
      </c>
      <c r="P156" s="30">
        <f t="shared" si="101"/>
        <v>3406257169</v>
      </c>
      <c r="Q156" s="31">
        <f t="shared" si="101"/>
        <v>0</v>
      </c>
      <c r="R156" s="30">
        <f t="shared" si="101"/>
        <v>1546600558.22</v>
      </c>
      <c r="S156" s="30">
        <f t="shared" si="101"/>
        <v>3406257169</v>
      </c>
      <c r="T156" s="31">
        <f t="shared" si="101"/>
        <v>0</v>
      </c>
      <c r="U156" s="30">
        <f t="shared" si="101"/>
        <v>1656405286.03</v>
      </c>
      <c r="V156" s="30">
        <f t="shared" si="101"/>
        <v>3406257169</v>
      </c>
      <c r="W156" s="30">
        <f t="shared" si="90"/>
        <v>3406257169</v>
      </c>
      <c r="X156" s="18">
        <f t="shared" ref="X156:X159" si="102">M156-P156</f>
        <v>24593742831.57</v>
      </c>
      <c r="Y156" s="34">
        <f t="shared" ref="Y156:Y159" si="103">P156-S156</f>
        <v>0</v>
      </c>
      <c r="Z156" s="34">
        <f t="shared" ref="Z156:Z159" si="104">S156-W156</f>
        <v>0</v>
      </c>
      <c r="AA156" s="32">
        <f t="shared" si="95"/>
        <v>0.12165204174752352</v>
      </c>
    </row>
    <row r="157" spans="1:27" ht="18.75" customHeight="1" x14ac:dyDescent="0.2">
      <c r="A157" s="27" t="s">
        <v>37</v>
      </c>
      <c r="B157" s="27" t="s">
        <v>37</v>
      </c>
      <c r="C157" s="19" t="s">
        <v>907</v>
      </c>
      <c r="D157" s="28" t="s">
        <v>852</v>
      </c>
      <c r="E157" s="29" t="s">
        <v>268</v>
      </c>
      <c r="F157" s="30" t="s">
        <v>37</v>
      </c>
      <c r="G157" s="30">
        <f>G158</f>
        <v>28000000000.57</v>
      </c>
      <c r="H157" s="31">
        <f t="shared" si="101"/>
        <v>0</v>
      </c>
      <c r="I157" s="31">
        <f t="shared" si="101"/>
        <v>0</v>
      </c>
      <c r="J157" s="31">
        <f t="shared" si="101"/>
        <v>0</v>
      </c>
      <c r="K157" s="31">
        <f t="shared" si="101"/>
        <v>0</v>
      </c>
      <c r="L157" s="31">
        <f t="shared" si="101"/>
        <v>0</v>
      </c>
      <c r="M157" s="30">
        <f t="shared" si="101"/>
        <v>28000000000.57</v>
      </c>
      <c r="N157" s="31">
        <f t="shared" si="101"/>
        <v>0</v>
      </c>
      <c r="O157" s="30">
        <f t="shared" si="101"/>
        <v>1546600558.22</v>
      </c>
      <c r="P157" s="30">
        <f t="shared" si="101"/>
        <v>3406257169</v>
      </c>
      <c r="Q157" s="31">
        <f t="shared" si="101"/>
        <v>0</v>
      </c>
      <c r="R157" s="30">
        <f t="shared" si="101"/>
        <v>1546600558.22</v>
      </c>
      <c r="S157" s="30">
        <f t="shared" si="101"/>
        <v>3406257169</v>
      </c>
      <c r="T157" s="31">
        <f t="shared" si="101"/>
        <v>0</v>
      </c>
      <c r="U157" s="30">
        <f t="shared" si="101"/>
        <v>1656405286.03</v>
      </c>
      <c r="V157" s="30">
        <f t="shared" si="101"/>
        <v>3406257169</v>
      </c>
      <c r="W157" s="30">
        <f t="shared" si="90"/>
        <v>3406257169</v>
      </c>
      <c r="X157" s="18">
        <f t="shared" si="102"/>
        <v>24593742831.57</v>
      </c>
      <c r="Y157" s="34">
        <f t="shared" si="103"/>
        <v>0</v>
      </c>
      <c r="Z157" s="34">
        <f t="shared" si="104"/>
        <v>0</v>
      </c>
      <c r="AA157" s="32">
        <f t="shared" si="95"/>
        <v>0.12165204174752352</v>
      </c>
    </row>
    <row r="158" spans="1:27" ht="18.75" customHeight="1" x14ac:dyDescent="0.2">
      <c r="A158" s="27" t="s">
        <v>37</v>
      </c>
      <c r="B158" s="27" t="s">
        <v>37</v>
      </c>
      <c r="C158" s="19" t="s">
        <v>907</v>
      </c>
      <c r="D158" s="28" t="s">
        <v>851</v>
      </c>
      <c r="E158" s="29" t="s">
        <v>269</v>
      </c>
      <c r="F158" s="30" t="s">
        <v>37</v>
      </c>
      <c r="G158" s="30">
        <f>G159</f>
        <v>28000000000.57</v>
      </c>
      <c r="H158" s="31">
        <f t="shared" si="101"/>
        <v>0</v>
      </c>
      <c r="I158" s="31">
        <f t="shared" si="101"/>
        <v>0</v>
      </c>
      <c r="J158" s="31">
        <f t="shared" si="101"/>
        <v>0</v>
      </c>
      <c r="K158" s="31">
        <f t="shared" si="101"/>
        <v>0</v>
      </c>
      <c r="L158" s="31">
        <f t="shared" si="101"/>
        <v>0</v>
      </c>
      <c r="M158" s="30">
        <f t="shared" si="101"/>
        <v>28000000000.57</v>
      </c>
      <c r="N158" s="31">
        <f t="shared" si="101"/>
        <v>0</v>
      </c>
      <c r="O158" s="30">
        <f t="shared" si="101"/>
        <v>1546600558.22</v>
      </c>
      <c r="P158" s="30">
        <f t="shared" si="101"/>
        <v>3406257169</v>
      </c>
      <c r="Q158" s="31">
        <f t="shared" si="101"/>
        <v>0</v>
      </c>
      <c r="R158" s="30">
        <f t="shared" si="101"/>
        <v>1546600558.22</v>
      </c>
      <c r="S158" s="30">
        <f t="shared" si="101"/>
        <v>3406257169</v>
      </c>
      <c r="T158" s="31">
        <f t="shared" si="101"/>
        <v>0</v>
      </c>
      <c r="U158" s="30">
        <f t="shared" si="101"/>
        <v>1656405286.03</v>
      </c>
      <c r="V158" s="30">
        <f t="shared" si="101"/>
        <v>3406257169</v>
      </c>
      <c r="W158" s="30">
        <f t="shared" si="90"/>
        <v>3406257169</v>
      </c>
      <c r="X158" s="18">
        <f t="shared" si="102"/>
        <v>24593742831.57</v>
      </c>
      <c r="Y158" s="34">
        <f t="shared" si="103"/>
        <v>0</v>
      </c>
      <c r="Z158" s="34">
        <f t="shared" si="104"/>
        <v>0</v>
      </c>
      <c r="AA158" s="32">
        <f t="shared" si="95"/>
        <v>0.12165204174752352</v>
      </c>
    </row>
    <row r="159" spans="1:27" ht="18.75" customHeight="1" x14ac:dyDescent="0.2">
      <c r="A159" s="4" t="s">
        <v>55</v>
      </c>
      <c r="B159" s="4" t="s">
        <v>56</v>
      </c>
      <c r="C159" s="19" t="s">
        <v>907</v>
      </c>
      <c r="D159" s="41" t="s">
        <v>850</v>
      </c>
      <c r="E159" s="42" t="s">
        <v>269</v>
      </c>
      <c r="F159" s="43" t="s">
        <v>58</v>
      </c>
      <c r="G159" s="43">
        <v>28000000000.57</v>
      </c>
      <c r="H159" s="44">
        <v>0</v>
      </c>
      <c r="I159" s="44">
        <v>0</v>
      </c>
      <c r="J159" s="44">
        <v>0</v>
      </c>
      <c r="K159" s="44">
        <v>0</v>
      </c>
      <c r="L159" s="44">
        <v>0</v>
      </c>
      <c r="M159" s="43">
        <v>28000000000.57</v>
      </c>
      <c r="N159" s="44">
        <v>0</v>
      </c>
      <c r="O159" s="43">
        <v>1546600558.22</v>
      </c>
      <c r="P159" s="43">
        <v>3406257169</v>
      </c>
      <c r="Q159" s="44">
        <v>0</v>
      </c>
      <c r="R159" s="43">
        <v>1546600558.22</v>
      </c>
      <c r="S159" s="43">
        <v>3406257169</v>
      </c>
      <c r="T159" s="44">
        <v>0</v>
      </c>
      <c r="U159" s="43">
        <v>1656405286.03</v>
      </c>
      <c r="V159" s="43">
        <v>3406257169</v>
      </c>
      <c r="W159" s="30">
        <f t="shared" si="90"/>
        <v>3406257169</v>
      </c>
      <c r="X159" s="18">
        <f t="shared" si="102"/>
        <v>24593742831.57</v>
      </c>
      <c r="Y159" s="34">
        <f t="shared" si="103"/>
        <v>0</v>
      </c>
      <c r="Z159" s="34">
        <f t="shared" si="104"/>
        <v>0</v>
      </c>
      <c r="AA159" s="32">
        <f t="shared" si="95"/>
        <v>0.12165204174752352</v>
      </c>
    </row>
    <row r="160" spans="1:27" s="25" customFormat="1" ht="18.75" customHeight="1" x14ac:dyDescent="0.2">
      <c r="A160" s="19" t="s">
        <v>37</v>
      </c>
      <c r="B160" s="19" t="s">
        <v>37</v>
      </c>
      <c r="C160" s="19" t="s">
        <v>907</v>
      </c>
      <c r="D160" s="26" t="s">
        <v>270</v>
      </c>
      <c r="E160" s="21" t="s">
        <v>271</v>
      </c>
      <c r="F160" s="22" t="s">
        <v>37</v>
      </c>
      <c r="G160" s="22">
        <f>G161</f>
        <v>21500000000</v>
      </c>
      <c r="H160" s="23">
        <f t="shared" ref="H160:Z163" si="105">H161</f>
        <v>0</v>
      </c>
      <c r="I160" s="23">
        <f t="shared" si="105"/>
        <v>0</v>
      </c>
      <c r="J160" s="23">
        <f t="shared" si="105"/>
        <v>0</v>
      </c>
      <c r="K160" s="23">
        <f t="shared" si="105"/>
        <v>0</v>
      </c>
      <c r="L160" s="23">
        <f t="shared" si="105"/>
        <v>0</v>
      </c>
      <c r="M160" s="22">
        <f t="shared" si="105"/>
        <v>21500000000</v>
      </c>
      <c r="N160" s="23">
        <f t="shared" si="105"/>
        <v>0</v>
      </c>
      <c r="O160" s="22">
        <f t="shared" si="105"/>
        <v>438566539.63999999</v>
      </c>
      <c r="P160" s="22">
        <f t="shared" si="105"/>
        <v>1523036569.79</v>
      </c>
      <c r="Q160" s="23">
        <f t="shared" si="105"/>
        <v>0</v>
      </c>
      <c r="R160" s="22">
        <f t="shared" si="105"/>
        <v>438566539.63999999</v>
      </c>
      <c r="S160" s="22">
        <f t="shared" si="105"/>
        <v>1523036569.79</v>
      </c>
      <c r="T160" s="23">
        <f t="shared" si="105"/>
        <v>0</v>
      </c>
      <c r="U160" s="22">
        <f t="shared" si="105"/>
        <v>484847859.85000002</v>
      </c>
      <c r="V160" s="22">
        <f t="shared" si="105"/>
        <v>1523036569.79</v>
      </c>
      <c r="W160" s="22"/>
      <c r="X160" s="22">
        <f t="shared" si="105"/>
        <v>19976963430.209999</v>
      </c>
      <c r="Y160" s="23">
        <f t="shared" si="105"/>
        <v>0</v>
      </c>
      <c r="Z160" s="23">
        <f t="shared" si="105"/>
        <v>0</v>
      </c>
      <c r="AA160" s="24">
        <f t="shared" si="95"/>
        <v>7.0838910222790694E-2</v>
      </c>
    </row>
    <row r="161" spans="1:27" ht="18.75" customHeight="1" x14ac:dyDescent="0.2">
      <c r="A161" s="27" t="s">
        <v>37</v>
      </c>
      <c r="B161" s="27" t="s">
        <v>37</v>
      </c>
      <c r="C161" s="19" t="s">
        <v>907</v>
      </c>
      <c r="D161" s="28" t="s">
        <v>849</v>
      </c>
      <c r="E161" s="29" t="s">
        <v>272</v>
      </c>
      <c r="F161" s="30" t="s">
        <v>56</v>
      </c>
      <c r="G161" s="30">
        <f>G162</f>
        <v>21500000000</v>
      </c>
      <c r="H161" s="31">
        <f t="shared" si="105"/>
        <v>0</v>
      </c>
      <c r="I161" s="31">
        <f t="shared" si="105"/>
        <v>0</v>
      </c>
      <c r="J161" s="31">
        <f t="shared" si="105"/>
        <v>0</v>
      </c>
      <c r="K161" s="31">
        <f t="shared" si="105"/>
        <v>0</v>
      </c>
      <c r="L161" s="31">
        <f t="shared" si="105"/>
        <v>0</v>
      </c>
      <c r="M161" s="30">
        <f t="shared" si="105"/>
        <v>21500000000</v>
      </c>
      <c r="N161" s="31">
        <f t="shared" si="105"/>
        <v>0</v>
      </c>
      <c r="O161" s="30">
        <f t="shared" si="105"/>
        <v>438566539.63999999</v>
      </c>
      <c r="P161" s="30">
        <f t="shared" si="105"/>
        <v>1523036569.79</v>
      </c>
      <c r="Q161" s="31">
        <f t="shared" si="105"/>
        <v>0</v>
      </c>
      <c r="R161" s="30">
        <f t="shared" si="105"/>
        <v>438566539.63999999</v>
      </c>
      <c r="S161" s="30">
        <f t="shared" si="105"/>
        <v>1523036569.79</v>
      </c>
      <c r="T161" s="31">
        <f t="shared" si="105"/>
        <v>0</v>
      </c>
      <c r="U161" s="30">
        <f t="shared" si="105"/>
        <v>484847859.85000002</v>
      </c>
      <c r="V161" s="30">
        <f t="shared" si="105"/>
        <v>1523036569.79</v>
      </c>
      <c r="W161" s="30">
        <f t="shared" ref="W161:W164" si="106">T161+V161</f>
        <v>1523036569.79</v>
      </c>
      <c r="X161" s="18">
        <f t="shared" ref="X161:X164" si="107">M161-P161</f>
        <v>19976963430.209999</v>
      </c>
      <c r="Y161" s="34">
        <f t="shared" ref="Y161:Y164" si="108">P161-S161</f>
        <v>0</v>
      </c>
      <c r="Z161" s="34">
        <f t="shared" ref="Z161:Z164" si="109">S161-W161</f>
        <v>0</v>
      </c>
      <c r="AA161" s="32">
        <f t="shared" si="95"/>
        <v>7.0838910222790694E-2</v>
      </c>
    </row>
    <row r="162" spans="1:27" ht="18.75" customHeight="1" x14ac:dyDescent="0.2">
      <c r="A162" s="27" t="s">
        <v>37</v>
      </c>
      <c r="B162" s="27" t="s">
        <v>37</v>
      </c>
      <c r="C162" s="19" t="s">
        <v>907</v>
      </c>
      <c r="D162" s="28" t="s">
        <v>848</v>
      </c>
      <c r="E162" s="29" t="s">
        <v>268</v>
      </c>
      <c r="F162" s="30" t="s">
        <v>37</v>
      </c>
      <c r="G162" s="30">
        <f>G163</f>
        <v>21500000000</v>
      </c>
      <c r="H162" s="31">
        <f t="shared" si="105"/>
        <v>0</v>
      </c>
      <c r="I162" s="31">
        <f t="shared" si="105"/>
        <v>0</v>
      </c>
      <c r="J162" s="31">
        <f t="shared" si="105"/>
        <v>0</v>
      </c>
      <c r="K162" s="31">
        <f t="shared" si="105"/>
        <v>0</v>
      </c>
      <c r="L162" s="31">
        <f t="shared" si="105"/>
        <v>0</v>
      </c>
      <c r="M162" s="30">
        <f t="shared" si="105"/>
        <v>21500000000</v>
      </c>
      <c r="N162" s="31">
        <f t="shared" si="105"/>
        <v>0</v>
      </c>
      <c r="O162" s="30">
        <f t="shared" si="105"/>
        <v>438566539.63999999</v>
      </c>
      <c r="P162" s="30">
        <f t="shared" si="105"/>
        <v>1523036569.79</v>
      </c>
      <c r="Q162" s="31">
        <f t="shared" si="105"/>
        <v>0</v>
      </c>
      <c r="R162" s="30">
        <f t="shared" si="105"/>
        <v>438566539.63999999</v>
      </c>
      <c r="S162" s="30">
        <f t="shared" si="105"/>
        <v>1523036569.79</v>
      </c>
      <c r="T162" s="31">
        <f t="shared" si="105"/>
        <v>0</v>
      </c>
      <c r="U162" s="30">
        <f t="shared" si="105"/>
        <v>484847859.85000002</v>
      </c>
      <c r="V162" s="30">
        <f t="shared" si="105"/>
        <v>1523036569.79</v>
      </c>
      <c r="W162" s="30">
        <f t="shared" si="106"/>
        <v>1523036569.79</v>
      </c>
      <c r="X162" s="18">
        <f t="shared" si="107"/>
        <v>19976963430.209999</v>
      </c>
      <c r="Y162" s="34">
        <f t="shared" si="108"/>
        <v>0</v>
      </c>
      <c r="Z162" s="34">
        <f t="shared" si="109"/>
        <v>0</v>
      </c>
      <c r="AA162" s="32">
        <f t="shared" si="95"/>
        <v>7.0838910222790694E-2</v>
      </c>
    </row>
    <row r="163" spans="1:27" ht="18.75" customHeight="1" x14ac:dyDescent="0.2">
      <c r="A163" s="27" t="s">
        <v>37</v>
      </c>
      <c r="B163" s="27" t="s">
        <v>37</v>
      </c>
      <c r="C163" s="19" t="s">
        <v>907</v>
      </c>
      <c r="D163" s="28" t="s">
        <v>847</v>
      </c>
      <c r="E163" s="29" t="s">
        <v>269</v>
      </c>
      <c r="F163" s="30" t="s">
        <v>37</v>
      </c>
      <c r="G163" s="30">
        <f>G164</f>
        <v>21500000000</v>
      </c>
      <c r="H163" s="31">
        <f t="shared" si="105"/>
        <v>0</v>
      </c>
      <c r="I163" s="31">
        <f t="shared" si="105"/>
        <v>0</v>
      </c>
      <c r="J163" s="31">
        <f t="shared" si="105"/>
        <v>0</v>
      </c>
      <c r="K163" s="31">
        <f t="shared" si="105"/>
        <v>0</v>
      </c>
      <c r="L163" s="31">
        <f t="shared" si="105"/>
        <v>0</v>
      </c>
      <c r="M163" s="30">
        <f t="shared" si="105"/>
        <v>21500000000</v>
      </c>
      <c r="N163" s="31">
        <f t="shared" si="105"/>
        <v>0</v>
      </c>
      <c r="O163" s="30">
        <f t="shared" si="105"/>
        <v>438566539.63999999</v>
      </c>
      <c r="P163" s="30">
        <f t="shared" si="105"/>
        <v>1523036569.79</v>
      </c>
      <c r="Q163" s="31">
        <f t="shared" si="105"/>
        <v>0</v>
      </c>
      <c r="R163" s="30">
        <f t="shared" si="105"/>
        <v>438566539.63999999</v>
      </c>
      <c r="S163" s="30">
        <f t="shared" si="105"/>
        <v>1523036569.79</v>
      </c>
      <c r="T163" s="31">
        <f t="shared" si="105"/>
        <v>0</v>
      </c>
      <c r="U163" s="30">
        <f t="shared" si="105"/>
        <v>484847859.85000002</v>
      </c>
      <c r="V163" s="30">
        <f t="shared" si="105"/>
        <v>1523036569.79</v>
      </c>
      <c r="W163" s="30">
        <f t="shared" si="106"/>
        <v>1523036569.79</v>
      </c>
      <c r="X163" s="18">
        <f t="shared" si="107"/>
        <v>19976963430.209999</v>
      </c>
      <c r="Y163" s="34">
        <f t="shared" si="108"/>
        <v>0</v>
      </c>
      <c r="Z163" s="34">
        <f t="shared" si="109"/>
        <v>0</v>
      </c>
      <c r="AA163" s="32">
        <f t="shared" si="95"/>
        <v>7.0838910222790694E-2</v>
      </c>
    </row>
    <row r="164" spans="1:27" ht="18.75" customHeight="1" x14ac:dyDescent="0.2">
      <c r="A164" s="4" t="s">
        <v>55</v>
      </c>
      <c r="B164" s="4" t="s">
        <v>56</v>
      </c>
      <c r="C164" s="19" t="s">
        <v>907</v>
      </c>
      <c r="D164" s="41" t="s">
        <v>846</v>
      </c>
      <c r="E164" s="42" t="s">
        <v>269</v>
      </c>
      <c r="F164" s="43" t="s">
        <v>58</v>
      </c>
      <c r="G164" s="43">
        <v>21500000000</v>
      </c>
      <c r="H164" s="44">
        <v>0</v>
      </c>
      <c r="I164" s="44">
        <v>0</v>
      </c>
      <c r="J164" s="44">
        <v>0</v>
      </c>
      <c r="K164" s="44">
        <v>0</v>
      </c>
      <c r="L164" s="44">
        <v>0</v>
      </c>
      <c r="M164" s="43">
        <v>21500000000</v>
      </c>
      <c r="N164" s="44">
        <v>0</v>
      </c>
      <c r="O164" s="43">
        <v>438566539.63999999</v>
      </c>
      <c r="P164" s="43">
        <v>1523036569.79</v>
      </c>
      <c r="Q164" s="44">
        <v>0</v>
      </c>
      <c r="R164" s="43">
        <v>438566539.63999999</v>
      </c>
      <c r="S164" s="43">
        <v>1523036569.79</v>
      </c>
      <c r="T164" s="44">
        <v>0</v>
      </c>
      <c r="U164" s="43">
        <v>484847859.85000002</v>
      </c>
      <c r="V164" s="43">
        <v>1523036569.79</v>
      </c>
      <c r="W164" s="30">
        <f t="shared" si="106"/>
        <v>1523036569.79</v>
      </c>
      <c r="X164" s="18">
        <f t="shared" si="107"/>
        <v>19976963430.209999</v>
      </c>
      <c r="Y164" s="34">
        <f t="shared" si="108"/>
        <v>0</v>
      </c>
      <c r="Z164" s="34">
        <f t="shared" si="109"/>
        <v>0</v>
      </c>
      <c r="AA164" s="32">
        <f t="shared" si="95"/>
        <v>7.0838910222790694E-2</v>
      </c>
    </row>
    <row r="165" spans="1:27" s="25" customFormat="1" ht="18.75" customHeight="1" x14ac:dyDescent="0.2">
      <c r="A165" s="19" t="s">
        <v>37</v>
      </c>
      <c r="B165" s="19" t="s">
        <v>37</v>
      </c>
      <c r="C165" s="19" t="s">
        <v>907</v>
      </c>
      <c r="D165" s="26" t="s">
        <v>273</v>
      </c>
      <c r="E165" s="21" t="s">
        <v>274</v>
      </c>
      <c r="F165" s="22" t="s">
        <v>37</v>
      </c>
      <c r="G165" s="22">
        <f>G166</f>
        <v>200000000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2">
        <f>M166</f>
        <v>200000000</v>
      </c>
      <c r="N165" s="23">
        <f t="shared" ref="N165:Z167" si="110">N166</f>
        <v>0</v>
      </c>
      <c r="O165" s="23">
        <f t="shared" si="110"/>
        <v>0</v>
      </c>
      <c r="P165" s="23">
        <f t="shared" si="110"/>
        <v>0</v>
      </c>
      <c r="Q165" s="23">
        <f t="shared" si="110"/>
        <v>0</v>
      </c>
      <c r="R165" s="23">
        <f t="shared" si="110"/>
        <v>0</v>
      </c>
      <c r="S165" s="23">
        <f t="shared" si="110"/>
        <v>0</v>
      </c>
      <c r="T165" s="23">
        <f t="shared" si="110"/>
        <v>0</v>
      </c>
      <c r="U165" s="23">
        <f t="shared" si="110"/>
        <v>0</v>
      </c>
      <c r="V165" s="23">
        <f t="shared" si="110"/>
        <v>0</v>
      </c>
      <c r="W165" s="23">
        <f t="shared" si="110"/>
        <v>0</v>
      </c>
      <c r="X165" s="22">
        <f t="shared" si="110"/>
        <v>200000000</v>
      </c>
      <c r="Y165" s="23">
        <f t="shared" si="110"/>
        <v>0</v>
      </c>
      <c r="Z165" s="23">
        <f t="shared" si="110"/>
        <v>0</v>
      </c>
      <c r="AA165" s="24">
        <f t="shared" si="95"/>
        <v>0</v>
      </c>
    </row>
    <row r="166" spans="1:27" ht="18.75" customHeight="1" x14ac:dyDescent="0.2">
      <c r="A166" s="27" t="s">
        <v>37</v>
      </c>
      <c r="B166" s="27" t="s">
        <v>37</v>
      </c>
      <c r="C166" s="19" t="s">
        <v>907</v>
      </c>
      <c r="D166" s="28" t="s">
        <v>843</v>
      </c>
      <c r="E166" s="29" t="s">
        <v>267</v>
      </c>
      <c r="F166" s="30" t="s">
        <v>37</v>
      </c>
      <c r="G166" s="30">
        <f>G167</f>
        <v>200000000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0">
        <f t="shared" ref="M166:M167" si="111">M167</f>
        <v>200000000</v>
      </c>
      <c r="N166" s="31">
        <f t="shared" si="110"/>
        <v>0</v>
      </c>
      <c r="O166" s="31">
        <f t="shared" si="110"/>
        <v>0</v>
      </c>
      <c r="P166" s="31">
        <f t="shared" si="110"/>
        <v>0</v>
      </c>
      <c r="Q166" s="31">
        <f t="shared" si="110"/>
        <v>0</v>
      </c>
      <c r="R166" s="31">
        <f t="shared" si="110"/>
        <v>0</v>
      </c>
      <c r="S166" s="31">
        <f t="shared" si="110"/>
        <v>0</v>
      </c>
      <c r="T166" s="31">
        <f t="shared" si="110"/>
        <v>0</v>
      </c>
      <c r="U166" s="31">
        <f t="shared" si="110"/>
        <v>0</v>
      </c>
      <c r="V166" s="31">
        <f t="shared" si="110"/>
        <v>0</v>
      </c>
      <c r="W166" s="31">
        <f t="shared" si="110"/>
        <v>0</v>
      </c>
      <c r="X166" s="30">
        <f t="shared" si="110"/>
        <v>200000000</v>
      </c>
      <c r="Y166" s="31">
        <f t="shared" si="110"/>
        <v>0</v>
      </c>
      <c r="Z166" s="31">
        <f t="shared" si="110"/>
        <v>0</v>
      </c>
      <c r="AA166" s="32">
        <f t="shared" si="95"/>
        <v>0</v>
      </c>
    </row>
    <row r="167" spans="1:27" ht="18.75" customHeight="1" x14ac:dyDescent="0.2">
      <c r="A167" s="27" t="s">
        <v>37</v>
      </c>
      <c r="B167" s="27" t="s">
        <v>37</v>
      </c>
      <c r="C167" s="19" t="s">
        <v>907</v>
      </c>
      <c r="D167" s="28" t="s">
        <v>845</v>
      </c>
      <c r="E167" s="29" t="s">
        <v>268</v>
      </c>
      <c r="F167" s="30" t="s">
        <v>37</v>
      </c>
      <c r="G167" s="30">
        <f>G168</f>
        <v>200000000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0">
        <f t="shared" si="111"/>
        <v>200000000</v>
      </c>
      <c r="N167" s="31">
        <f t="shared" si="110"/>
        <v>0</v>
      </c>
      <c r="O167" s="31">
        <f t="shared" si="110"/>
        <v>0</v>
      </c>
      <c r="P167" s="31">
        <f t="shared" si="110"/>
        <v>0</v>
      </c>
      <c r="Q167" s="31">
        <f t="shared" si="110"/>
        <v>0</v>
      </c>
      <c r="R167" s="31">
        <f t="shared" si="110"/>
        <v>0</v>
      </c>
      <c r="S167" s="31">
        <f t="shared" si="110"/>
        <v>0</v>
      </c>
      <c r="T167" s="31">
        <f t="shared" si="110"/>
        <v>0</v>
      </c>
      <c r="U167" s="31">
        <f t="shared" si="110"/>
        <v>0</v>
      </c>
      <c r="V167" s="31">
        <f t="shared" si="110"/>
        <v>0</v>
      </c>
      <c r="W167" s="31">
        <f t="shared" si="110"/>
        <v>0</v>
      </c>
      <c r="X167" s="30">
        <f t="shared" si="110"/>
        <v>200000000</v>
      </c>
      <c r="Y167" s="31">
        <f t="shared" si="110"/>
        <v>0</v>
      </c>
      <c r="Z167" s="31">
        <f t="shared" si="110"/>
        <v>0</v>
      </c>
      <c r="AA167" s="32">
        <f t="shared" si="95"/>
        <v>0</v>
      </c>
    </row>
    <row r="168" spans="1:27" ht="18.75" customHeight="1" x14ac:dyDescent="0.2">
      <c r="A168" s="4" t="s">
        <v>55</v>
      </c>
      <c r="B168" s="4" t="s">
        <v>56</v>
      </c>
      <c r="C168" s="19" t="s">
        <v>907</v>
      </c>
      <c r="D168" s="41" t="s">
        <v>844</v>
      </c>
      <c r="E168" s="42" t="s">
        <v>269</v>
      </c>
      <c r="F168" s="43" t="s">
        <v>58</v>
      </c>
      <c r="G168" s="43">
        <v>200000000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3">
        <v>200000000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4">
        <v>0</v>
      </c>
      <c r="V168" s="44">
        <v>0</v>
      </c>
      <c r="W168" s="31">
        <f t="shared" ref="W168:W177" si="112">T168+V168</f>
        <v>0</v>
      </c>
      <c r="X168" s="18">
        <f t="shared" ref="X168:X177" si="113">M168-P168</f>
        <v>200000000</v>
      </c>
      <c r="Y168" s="34">
        <f t="shared" ref="Y168:Y177" si="114">P168-S168</f>
        <v>0</v>
      </c>
      <c r="Z168" s="34">
        <f t="shared" ref="Z168:Z177" si="115">S168-W168</f>
        <v>0</v>
      </c>
      <c r="AA168" s="32">
        <f t="shared" si="95"/>
        <v>0</v>
      </c>
    </row>
    <row r="169" spans="1:27" s="79" customFormat="1" ht="18.75" customHeight="1" x14ac:dyDescent="0.2">
      <c r="A169" s="117" t="s">
        <v>55</v>
      </c>
      <c r="B169" s="117" t="s">
        <v>56</v>
      </c>
      <c r="C169" s="19" t="s">
        <v>907</v>
      </c>
      <c r="D169" s="81" t="s">
        <v>842</v>
      </c>
      <c r="E169" s="82" t="s">
        <v>275</v>
      </c>
      <c r="F169" s="83" t="s">
        <v>58</v>
      </c>
      <c r="G169" s="83">
        <v>5000000000</v>
      </c>
      <c r="H169" s="118">
        <v>0</v>
      </c>
      <c r="I169" s="118">
        <v>0</v>
      </c>
      <c r="J169" s="118">
        <v>0</v>
      </c>
      <c r="K169" s="118">
        <v>0</v>
      </c>
      <c r="L169" s="118">
        <v>0</v>
      </c>
      <c r="M169" s="83">
        <v>5000000000</v>
      </c>
      <c r="N169" s="118">
        <v>0</v>
      </c>
      <c r="O169" s="119">
        <v>48771316</v>
      </c>
      <c r="P169" s="119">
        <v>48771316</v>
      </c>
      <c r="Q169" s="118">
        <v>0</v>
      </c>
      <c r="R169" s="118">
        <v>0</v>
      </c>
      <c r="S169" s="118">
        <v>0</v>
      </c>
      <c r="T169" s="118">
        <v>0</v>
      </c>
      <c r="U169" s="118">
        <v>0</v>
      </c>
      <c r="V169" s="118">
        <v>0</v>
      </c>
      <c r="W169" s="120">
        <f t="shared" si="112"/>
        <v>0</v>
      </c>
      <c r="X169" s="119">
        <f t="shared" si="113"/>
        <v>4951228684</v>
      </c>
      <c r="Y169" s="119">
        <f t="shared" si="114"/>
        <v>48771316</v>
      </c>
      <c r="Z169" s="118">
        <f t="shared" si="115"/>
        <v>0</v>
      </c>
      <c r="AA169" s="118">
        <f t="shared" si="95"/>
        <v>0</v>
      </c>
    </row>
    <row r="170" spans="1:27" s="25" customFormat="1" ht="18.75" customHeight="1" x14ac:dyDescent="0.2">
      <c r="A170" s="19" t="s">
        <v>37</v>
      </c>
      <c r="B170" s="19" t="s">
        <v>37</v>
      </c>
      <c r="C170" s="19" t="s">
        <v>907</v>
      </c>
      <c r="D170" s="26" t="s">
        <v>841</v>
      </c>
      <c r="E170" s="21" t="s">
        <v>276</v>
      </c>
      <c r="F170" s="22" t="s">
        <v>37</v>
      </c>
      <c r="G170" s="22">
        <f>G171+G176</f>
        <v>3752467164.4300003</v>
      </c>
      <c r="H170" s="23">
        <f t="shared" ref="H170:V170" si="116">H171+H176</f>
        <v>0</v>
      </c>
      <c r="I170" s="23">
        <f t="shared" si="116"/>
        <v>0</v>
      </c>
      <c r="J170" s="23">
        <f t="shared" si="116"/>
        <v>0</v>
      </c>
      <c r="K170" s="23">
        <f t="shared" si="116"/>
        <v>0</v>
      </c>
      <c r="L170" s="23">
        <f t="shared" si="116"/>
        <v>0</v>
      </c>
      <c r="M170" s="22">
        <f t="shared" si="116"/>
        <v>3752467164.4300003</v>
      </c>
      <c r="N170" s="23">
        <f t="shared" si="116"/>
        <v>0</v>
      </c>
      <c r="O170" s="22">
        <f t="shared" si="116"/>
        <v>279828911.04000002</v>
      </c>
      <c r="P170" s="22">
        <f t="shared" si="116"/>
        <v>284548776.04000002</v>
      </c>
      <c r="Q170" s="23">
        <f t="shared" si="116"/>
        <v>0</v>
      </c>
      <c r="R170" s="22">
        <f t="shared" si="116"/>
        <v>279828911.04000002</v>
      </c>
      <c r="S170" s="22">
        <f t="shared" si="116"/>
        <v>284548776.04000002</v>
      </c>
      <c r="T170" s="23">
        <f t="shared" si="116"/>
        <v>0</v>
      </c>
      <c r="U170" s="22">
        <f t="shared" si="116"/>
        <v>268753177.04000002</v>
      </c>
      <c r="V170" s="22">
        <f t="shared" si="116"/>
        <v>273473042.04000002</v>
      </c>
      <c r="W170" s="121">
        <f t="shared" si="112"/>
        <v>273473042.04000002</v>
      </c>
      <c r="X170" s="121">
        <f t="shared" si="113"/>
        <v>3467918388.3900003</v>
      </c>
      <c r="Y170" s="122">
        <f t="shared" si="114"/>
        <v>0</v>
      </c>
      <c r="Z170" s="121">
        <f t="shared" si="115"/>
        <v>11075734</v>
      </c>
      <c r="AA170" s="49">
        <f t="shared" si="95"/>
        <v>7.582978439818619E-2</v>
      </c>
    </row>
    <row r="171" spans="1:27" ht="18.75" customHeight="1" x14ac:dyDescent="0.2">
      <c r="A171" s="27" t="s">
        <v>37</v>
      </c>
      <c r="B171" s="27" t="s">
        <v>37</v>
      </c>
      <c r="C171" s="19" t="s">
        <v>907</v>
      </c>
      <c r="D171" s="28" t="s">
        <v>840</v>
      </c>
      <c r="E171" s="29" t="s">
        <v>277</v>
      </c>
      <c r="F171" s="30" t="s">
        <v>37</v>
      </c>
      <c r="G171" s="30">
        <f>G172+G173+G174+G175</f>
        <v>3552467164.4300003</v>
      </c>
      <c r="H171" s="31">
        <f t="shared" ref="H171:V171" si="117">H172+H173+H174+H175</f>
        <v>0</v>
      </c>
      <c r="I171" s="31">
        <f t="shared" si="117"/>
        <v>0</v>
      </c>
      <c r="J171" s="31">
        <f t="shared" si="117"/>
        <v>0</v>
      </c>
      <c r="K171" s="31">
        <f t="shared" si="117"/>
        <v>0</v>
      </c>
      <c r="L171" s="31">
        <f t="shared" si="117"/>
        <v>0</v>
      </c>
      <c r="M171" s="30">
        <f t="shared" si="117"/>
        <v>3552467164.4300003</v>
      </c>
      <c r="N171" s="31">
        <f t="shared" si="117"/>
        <v>0</v>
      </c>
      <c r="O171" s="30">
        <f t="shared" si="117"/>
        <v>279828911.04000002</v>
      </c>
      <c r="P171" s="30">
        <f t="shared" si="117"/>
        <v>284548776.04000002</v>
      </c>
      <c r="Q171" s="31">
        <f t="shared" si="117"/>
        <v>0</v>
      </c>
      <c r="R171" s="30">
        <f t="shared" si="117"/>
        <v>279828911.04000002</v>
      </c>
      <c r="S171" s="30">
        <f t="shared" si="117"/>
        <v>284548776.04000002</v>
      </c>
      <c r="T171" s="31">
        <f t="shared" si="117"/>
        <v>0</v>
      </c>
      <c r="U171" s="30">
        <f t="shared" si="117"/>
        <v>268753177.04000002</v>
      </c>
      <c r="V171" s="30">
        <f t="shared" si="117"/>
        <v>273473042.04000002</v>
      </c>
      <c r="W171" s="39">
        <f t="shared" si="112"/>
        <v>273473042.04000002</v>
      </c>
      <c r="X171" s="18">
        <f t="shared" si="113"/>
        <v>3267918388.3900003</v>
      </c>
      <c r="Y171" s="34">
        <f t="shared" si="114"/>
        <v>0</v>
      </c>
      <c r="Z171" s="18">
        <f t="shared" si="115"/>
        <v>11075734</v>
      </c>
      <c r="AA171" s="123">
        <f t="shared" si="95"/>
        <v>8.009891798272438E-2</v>
      </c>
    </row>
    <row r="172" spans="1:27" ht="18.75" customHeight="1" x14ac:dyDescent="0.2">
      <c r="A172" s="4" t="s">
        <v>55</v>
      </c>
      <c r="B172" s="4" t="s">
        <v>56</v>
      </c>
      <c r="C172" s="19" t="s">
        <v>907</v>
      </c>
      <c r="D172" s="41" t="s">
        <v>839</v>
      </c>
      <c r="E172" s="42" t="s">
        <v>233</v>
      </c>
      <c r="F172" s="43" t="s">
        <v>58</v>
      </c>
      <c r="G172" s="43">
        <v>530000000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3">
        <v>530000000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v>0</v>
      </c>
      <c r="V172" s="44">
        <v>0</v>
      </c>
      <c r="W172" s="40">
        <f t="shared" si="112"/>
        <v>0</v>
      </c>
      <c r="X172" s="18">
        <f t="shared" si="113"/>
        <v>530000000</v>
      </c>
      <c r="Y172" s="34">
        <f t="shared" si="114"/>
        <v>0</v>
      </c>
      <c r="Z172" s="34">
        <f t="shared" si="115"/>
        <v>0</v>
      </c>
      <c r="AA172" s="123">
        <f t="shared" si="95"/>
        <v>0</v>
      </c>
    </row>
    <row r="173" spans="1:27" ht="18.75" customHeight="1" x14ac:dyDescent="0.2">
      <c r="A173" s="4" t="s">
        <v>55</v>
      </c>
      <c r="B173" s="4" t="s">
        <v>56</v>
      </c>
      <c r="C173" s="19" t="s">
        <v>907</v>
      </c>
      <c r="D173" s="41" t="s">
        <v>838</v>
      </c>
      <c r="E173" s="42" t="s">
        <v>278</v>
      </c>
      <c r="F173" s="43" t="s">
        <v>253</v>
      </c>
      <c r="G173" s="43">
        <v>600000000</v>
      </c>
      <c r="H173" s="44">
        <v>0</v>
      </c>
      <c r="I173" s="44">
        <v>0</v>
      </c>
      <c r="J173" s="44">
        <v>0</v>
      </c>
      <c r="K173" s="44">
        <v>0</v>
      </c>
      <c r="L173" s="44">
        <v>0</v>
      </c>
      <c r="M173" s="43">
        <v>600000000</v>
      </c>
      <c r="N173" s="44">
        <v>0</v>
      </c>
      <c r="O173" s="44">
        <v>0</v>
      </c>
      <c r="P173" s="44">
        <v>0</v>
      </c>
      <c r="Q173" s="44">
        <v>0</v>
      </c>
      <c r="R173" s="44">
        <v>0</v>
      </c>
      <c r="S173" s="44">
        <v>0</v>
      </c>
      <c r="T173" s="44">
        <v>0</v>
      </c>
      <c r="U173" s="44">
        <v>0</v>
      </c>
      <c r="V173" s="44">
        <v>0</v>
      </c>
      <c r="W173" s="40">
        <f t="shared" si="112"/>
        <v>0</v>
      </c>
      <c r="X173" s="18">
        <f t="shared" si="113"/>
        <v>600000000</v>
      </c>
      <c r="Y173" s="34">
        <f t="shared" si="114"/>
        <v>0</v>
      </c>
      <c r="Z173" s="34">
        <f t="shared" si="115"/>
        <v>0</v>
      </c>
      <c r="AA173" s="123">
        <f t="shared" si="95"/>
        <v>0</v>
      </c>
    </row>
    <row r="174" spans="1:27" ht="25.5" customHeight="1" x14ac:dyDescent="0.2">
      <c r="A174" s="4" t="s">
        <v>55</v>
      </c>
      <c r="B174" s="4" t="s">
        <v>56</v>
      </c>
      <c r="C174" s="19" t="s">
        <v>907</v>
      </c>
      <c r="D174" s="41" t="s">
        <v>837</v>
      </c>
      <c r="E174" s="42" t="s">
        <v>279</v>
      </c>
      <c r="F174" s="43" t="s">
        <v>253</v>
      </c>
      <c r="G174" s="43">
        <v>961836799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3">
        <v>961836799</v>
      </c>
      <c r="N174" s="44">
        <v>0</v>
      </c>
      <c r="O174" s="44">
        <v>0</v>
      </c>
      <c r="P174" s="44">
        <v>0</v>
      </c>
      <c r="Q174" s="44">
        <v>0</v>
      </c>
      <c r="R174" s="44">
        <v>0</v>
      </c>
      <c r="S174" s="44">
        <v>0</v>
      </c>
      <c r="T174" s="44">
        <v>0</v>
      </c>
      <c r="U174" s="44">
        <v>0</v>
      </c>
      <c r="V174" s="44">
        <v>0</v>
      </c>
      <c r="W174" s="40">
        <f t="shared" si="112"/>
        <v>0</v>
      </c>
      <c r="X174" s="18">
        <f t="shared" si="113"/>
        <v>961836799</v>
      </c>
      <c r="Y174" s="34">
        <f t="shared" si="114"/>
        <v>0</v>
      </c>
      <c r="Z174" s="34">
        <f t="shared" si="115"/>
        <v>0</v>
      </c>
      <c r="AA174" s="123">
        <f t="shared" si="95"/>
        <v>0</v>
      </c>
    </row>
    <row r="175" spans="1:27" ht="18.75" customHeight="1" x14ac:dyDescent="0.2">
      <c r="A175" s="4" t="s">
        <v>55</v>
      </c>
      <c r="B175" s="4" t="s">
        <v>56</v>
      </c>
      <c r="C175" s="19" t="s">
        <v>907</v>
      </c>
      <c r="D175" s="41" t="s">
        <v>836</v>
      </c>
      <c r="E175" s="42" t="s">
        <v>239</v>
      </c>
      <c r="F175" s="43" t="s">
        <v>240</v>
      </c>
      <c r="G175" s="43">
        <v>1460630365.4300001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3">
        <v>1460630365.4300001</v>
      </c>
      <c r="N175" s="44">
        <v>0</v>
      </c>
      <c r="O175" s="43">
        <v>279828911.04000002</v>
      </c>
      <c r="P175" s="43">
        <v>284548776.04000002</v>
      </c>
      <c r="Q175" s="43">
        <v>0</v>
      </c>
      <c r="R175" s="43">
        <v>279828911.04000002</v>
      </c>
      <c r="S175" s="43">
        <v>284548776.04000002</v>
      </c>
      <c r="T175" s="44">
        <v>0</v>
      </c>
      <c r="U175" s="43">
        <v>268753177.04000002</v>
      </c>
      <c r="V175" s="43">
        <v>273473042.04000002</v>
      </c>
      <c r="W175" s="39">
        <f t="shared" si="112"/>
        <v>273473042.04000002</v>
      </c>
      <c r="X175" s="18">
        <f t="shared" si="113"/>
        <v>1176081589.3900001</v>
      </c>
      <c r="Y175" s="34">
        <f t="shared" si="114"/>
        <v>0</v>
      </c>
      <c r="Z175" s="18">
        <f t="shared" si="115"/>
        <v>11075734</v>
      </c>
      <c r="AA175" s="123">
        <f t="shared" si="95"/>
        <v>0.19481231033850971</v>
      </c>
    </row>
    <row r="176" spans="1:27" ht="18.75" customHeight="1" x14ac:dyDescent="0.2">
      <c r="A176" s="27" t="s">
        <v>37</v>
      </c>
      <c r="B176" s="27" t="s">
        <v>37</v>
      </c>
      <c r="C176" s="19" t="s">
        <v>907</v>
      </c>
      <c r="D176" s="28" t="s">
        <v>835</v>
      </c>
      <c r="E176" s="29" t="s">
        <v>280</v>
      </c>
      <c r="F176" s="30" t="s">
        <v>37</v>
      </c>
      <c r="G176" s="30">
        <f>G177</f>
        <v>200000000</v>
      </c>
      <c r="H176" s="31">
        <f t="shared" ref="H176:V176" si="118">H177</f>
        <v>0</v>
      </c>
      <c r="I176" s="31">
        <f t="shared" si="118"/>
        <v>0</v>
      </c>
      <c r="J176" s="31">
        <f t="shared" si="118"/>
        <v>0</v>
      </c>
      <c r="K176" s="31">
        <f t="shared" si="118"/>
        <v>0</v>
      </c>
      <c r="L176" s="31">
        <f t="shared" si="118"/>
        <v>0</v>
      </c>
      <c r="M176" s="30">
        <f t="shared" si="118"/>
        <v>200000000</v>
      </c>
      <c r="N176" s="31">
        <f t="shared" si="118"/>
        <v>0</v>
      </c>
      <c r="O176" s="31">
        <f t="shared" si="118"/>
        <v>0</v>
      </c>
      <c r="P176" s="31">
        <f t="shared" si="118"/>
        <v>0</v>
      </c>
      <c r="Q176" s="31">
        <f t="shared" si="118"/>
        <v>0</v>
      </c>
      <c r="R176" s="31">
        <f t="shared" si="118"/>
        <v>0</v>
      </c>
      <c r="S176" s="31">
        <f t="shared" si="118"/>
        <v>0</v>
      </c>
      <c r="T176" s="31">
        <f t="shared" si="118"/>
        <v>0</v>
      </c>
      <c r="U176" s="31">
        <f t="shared" si="118"/>
        <v>0</v>
      </c>
      <c r="V176" s="31">
        <f t="shared" si="118"/>
        <v>0</v>
      </c>
      <c r="W176" s="40">
        <f t="shared" si="112"/>
        <v>0</v>
      </c>
      <c r="X176" s="18">
        <f t="shared" si="113"/>
        <v>200000000</v>
      </c>
      <c r="Y176" s="34">
        <f t="shared" si="114"/>
        <v>0</v>
      </c>
      <c r="Z176" s="34">
        <f t="shared" si="115"/>
        <v>0</v>
      </c>
      <c r="AA176" s="123">
        <f t="shared" si="95"/>
        <v>0</v>
      </c>
    </row>
    <row r="177" spans="1:27" ht="18.75" customHeight="1" x14ac:dyDescent="0.2">
      <c r="A177" s="4" t="s">
        <v>55</v>
      </c>
      <c r="B177" s="4" t="s">
        <v>56</v>
      </c>
      <c r="C177" s="19" t="s">
        <v>907</v>
      </c>
      <c r="D177" s="41" t="s">
        <v>834</v>
      </c>
      <c r="E177" s="42" t="s">
        <v>281</v>
      </c>
      <c r="F177" s="43" t="s">
        <v>253</v>
      </c>
      <c r="G177" s="43">
        <v>200000000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3">
        <v>200000000</v>
      </c>
      <c r="N177" s="44">
        <v>0</v>
      </c>
      <c r="O177" s="44">
        <v>0</v>
      </c>
      <c r="P177" s="44">
        <v>0</v>
      </c>
      <c r="Q177" s="44">
        <v>0</v>
      </c>
      <c r="R177" s="44">
        <v>0</v>
      </c>
      <c r="S177" s="44">
        <v>0</v>
      </c>
      <c r="T177" s="44">
        <v>0</v>
      </c>
      <c r="U177" s="44">
        <v>0</v>
      </c>
      <c r="V177" s="44">
        <v>0</v>
      </c>
      <c r="W177" s="40">
        <f t="shared" si="112"/>
        <v>0</v>
      </c>
      <c r="X177" s="18">
        <f t="shared" si="113"/>
        <v>200000000</v>
      </c>
      <c r="Y177" s="34">
        <f t="shared" si="114"/>
        <v>0</v>
      </c>
      <c r="Z177" s="34">
        <f t="shared" si="115"/>
        <v>0</v>
      </c>
      <c r="AA177" s="123">
        <f t="shared" si="95"/>
        <v>0</v>
      </c>
    </row>
    <row r="178" spans="1:27" ht="18.75" customHeight="1" x14ac:dyDescent="0.2">
      <c r="C178" s="19" t="s">
        <v>907</v>
      </c>
      <c r="D178" s="16"/>
      <c r="E178" s="17"/>
      <c r="F178" s="17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34"/>
      <c r="W178" s="39"/>
      <c r="X178" s="18"/>
      <c r="Y178" s="34"/>
      <c r="Z178" s="34"/>
      <c r="AA178" s="123"/>
    </row>
    <row r="179" spans="1:27" s="124" customFormat="1" ht="18.75" customHeight="1" x14ac:dyDescent="0.25">
      <c r="B179" s="125"/>
      <c r="C179" s="126" t="s">
        <v>907</v>
      </c>
      <c r="D179" s="127" t="s">
        <v>282</v>
      </c>
      <c r="E179" s="128" t="s">
        <v>283</v>
      </c>
      <c r="F179" s="128"/>
      <c r="G179" s="129">
        <f t="shared" ref="G179:V179" si="119">G218+G453+G563+G617+G825+G848+G883+G898+G914+G927+G940+G951+G1006+G793</f>
        <v>778687617478</v>
      </c>
      <c r="H179" s="130">
        <f t="shared" si="119"/>
        <v>0</v>
      </c>
      <c r="I179" s="130">
        <f t="shared" si="119"/>
        <v>0</v>
      </c>
      <c r="J179" s="129">
        <f t="shared" si="119"/>
        <v>55910300399.950005</v>
      </c>
      <c r="K179" s="129">
        <f t="shared" si="119"/>
        <v>55910300399.950005</v>
      </c>
      <c r="L179" s="130">
        <f t="shared" si="119"/>
        <v>0</v>
      </c>
      <c r="M179" s="129">
        <f t="shared" si="119"/>
        <v>778687617478</v>
      </c>
      <c r="N179" s="130">
        <f t="shared" si="119"/>
        <v>0</v>
      </c>
      <c r="O179" s="129">
        <f t="shared" si="119"/>
        <v>60148138057.839996</v>
      </c>
      <c r="P179" s="129">
        <f t="shared" si="119"/>
        <v>379741677845.07996</v>
      </c>
      <c r="Q179" s="129">
        <f t="shared" si="119"/>
        <v>298850000</v>
      </c>
      <c r="R179" s="129">
        <f t="shared" si="119"/>
        <v>70184884226.520004</v>
      </c>
      <c r="S179" s="129">
        <f t="shared" si="119"/>
        <v>166323992059.42999</v>
      </c>
      <c r="T179" s="129">
        <f t="shared" si="119"/>
        <v>1224717726</v>
      </c>
      <c r="U179" s="129">
        <f t="shared" si="119"/>
        <v>46323406447.240005</v>
      </c>
      <c r="V179" s="129">
        <f t="shared" si="119"/>
        <v>77178696414.130005</v>
      </c>
      <c r="W179" s="131">
        <f>T179+V179</f>
        <v>78403414140.130005</v>
      </c>
      <c r="X179" s="129">
        <f>X218+X453+X563+X617+X825+X848+X883+X898+X914+X927+X940+X951+X1006+X793</f>
        <v>398945939632.91998</v>
      </c>
      <c r="Y179" s="129">
        <f>Y218+Y453+Y563+Y617+Y825+Y848+Y883+Y898+Y914+Y927+Y940+Y951+Y1006+Y793</f>
        <v>213417685785.64999</v>
      </c>
      <c r="Z179" s="129">
        <f>Z218+Z453+Z563+Z617+Z825+Z848+Z883+Z898+Z914+Z927+Z940+Z951+Z1006+Z793</f>
        <v>87920577919.300003</v>
      </c>
      <c r="AA179" s="132">
        <f t="shared" si="95"/>
        <v>0.21359527020362448</v>
      </c>
    </row>
    <row r="180" spans="1:27" ht="18.75" customHeight="1" x14ac:dyDescent="0.2">
      <c r="C180" s="19" t="s">
        <v>907</v>
      </c>
      <c r="D180" s="16"/>
      <c r="E180" s="17"/>
      <c r="F180" s="17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s="25" customFormat="1" ht="18.75" customHeight="1" x14ac:dyDescent="0.2">
      <c r="A181" s="58"/>
      <c r="B181" s="59"/>
      <c r="C181" s="19" t="s">
        <v>907</v>
      </c>
      <c r="D181" s="60"/>
      <c r="E181" s="21" t="s">
        <v>284</v>
      </c>
      <c r="F181" s="61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3"/>
    </row>
    <row r="182" spans="1:27" ht="18.75" customHeight="1" x14ac:dyDescent="0.2">
      <c r="A182" s="35"/>
      <c r="B182" s="36"/>
      <c r="C182" s="19" t="s">
        <v>907</v>
      </c>
      <c r="D182" s="37"/>
      <c r="E182" s="29" t="s">
        <v>285</v>
      </c>
      <c r="F182" s="38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0"/>
      <c r="X182" s="39"/>
      <c r="Y182" s="39"/>
      <c r="Z182" s="39"/>
      <c r="AA182" s="18"/>
    </row>
    <row r="183" spans="1:27" ht="18.75" customHeight="1" x14ac:dyDescent="0.2">
      <c r="A183" s="35"/>
      <c r="B183" s="36"/>
      <c r="C183" s="19" t="s">
        <v>907</v>
      </c>
      <c r="D183" s="37"/>
      <c r="E183" s="29" t="s">
        <v>286</v>
      </c>
      <c r="F183" s="38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0"/>
      <c r="X183" s="39"/>
      <c r="Y183" s="39"/>
      <c r="Z183" s="39"/>
      <c r="AA183" s="18"/>
    </row>
    <row r="184" spans="1:27" ht="18.75" customHeight="1" x14ac:dyDescent="0.2">
      <c r="A184" s="35"/>
      <c r="B184" s="36"/>
      <c r="C184" s="19" t="s">
        <v>907</v>
      </c>
      <c r="D184" s="37"/>
      <c r="E184" s="29" t="s">
        <v>179</v>
      </c>
      <c r="F184" s="38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0"/>
      <c r="X184" s="39"/>
      <c r="Y184" s="39"/>
      <c r="Z184" s="39"/>
      <c r="AA184" s="18"/>
    </row>
    <row r="185" spans="1:27" ht="18.75" customHeight="1" x14ac:dyDescent="0.2">
      <c r="A185" s="14"/>
      <c r="B185" s="15"/>
      <c r="C185" s="19" t="s">
        <v>907</v>
      </c>
      <c r="D185" s="16"/>
      <c r="E185" s="29" t="s">
        <v>181</v>
      </c>
      <c r="F185" s="17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30"/>
      <c r="X185" s="18"/>
      <c r="Y185" s="18"/>
      <c r="Z185" s="18"/>
      <c r="AA185" s="18"/>
    </row>
    <row r="186" spans="1:27" ht="18.75" customHeight="1" x14ac:dyDescent="0.2">
      <c r="A186" s="14"/>
      <c r="B186" s="15"/>
      <c r="C186" s="19" t="s">
        <v>907</v>
      </c>
      <c r="D186" s="16"/>
      <c r="E186" s="29" t="s">
        <v>287</v>
      </c>
      <c r="F186" s="17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30"/>
      <c r="X186" s="18"/>
      <c r="Y186" s="18"/>
      <c r="Z186" s="18"/>
      <c r="AA186" s="18"/>
    </row>
    <row r="187" spans="1:27" ht="25.5" x14ac:dyDescent="0.2">
      <c r="A187" s="35"/>
      <c r="B187" s="36"/>
      <c r="C187" s="19" t="s">
        <v>907</v>
      </c>
      <c r="D187" s="28" t="s">
        <v>288</v>
      </c>
      <c r="E187" s="29" t="s">
        <v>289</v>
      </c>
      <c r="F187" s="38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0"/>
      <c r="X187" s="39"/>
      <c r="Y187" s="39"/>
      <c r="Z187" s="39"/>
      <c r="AA187" s="18"/>
    </row>
    <row r="188" spans="1:27" ht="18.75" customHeight="1" x14ac:dyDescent="0.2">
      <c r="A188" s="14" t="s">
        <v>55</v>
      </c>
      <c r="B188" s="15" t="s">
        <v>56</v>
      </c>
      <c r="C188" s="19" t="s">
        <v>907</v>
      </c>
      <c r="D188" s="16" t="s">
        <v>290</v>
      </c>
      <c r="E188" s="17" t="s">
        <v>233</v>
      </c>
      <c r="F188" s="17" t="s">
        <v>58</v>
      </c>
      <c r="G188" s="18">
        <v>100000000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18">
        <v>100000000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40">
        <f t="shared" ref="W188" si="120">T188+V188</f>
        <v>0</v>
      </c>
      <c r="X188" s="18">
        <f t="shared" ref="X188" si="121">M188-P188</f>
        <v>100000000</v>
      </c>
      <c r="Y188" s="34">
        <f t="shared" ref="Y188" si="122">P188-S188</f>
        <v>0</v>
      </c>
      <c r="Z188" s="34">
        <f t="shared" ref="Z188" si="123">S188-W188</f>
        <v>0</v>
      </c>
      <c r="AA188" s="123">
        <f t="shared" ref="AA188" si="124">S188/M188</f>
        <v>0</v>
      </c>
    </row>
    <row r="189" spans="1:27" ht="18.75" customHeight="1" x14ac:dyDescent="0.2">
      <c r="A189" s="14"/>
      <c r="B189" s="15"/>
      <c r="C189" s="19" t="s">
        <v>907</v>
      </c>
      <c r="D189" s="16"/>
      <c r="E189" s="29" t="s">
        <v>291</v>
      </c>
      <c r="F189" s="17"/>
      <c r="G189" s="18"/>
      <c r="H189" s="18"/>
      <c r="I189" s="18"/>
      <c r="J189" s="18"/>
      <c r="K189" s="18"/>
      <c r="L189" s="18"/>
      <c r="M189" s="18"/>
      <c r="N189" s="18"/>
      <c r="O189" s="18"/>
      <c r="P189" s="34"/>
      <c r="Q189" s="34"/>
      <c r="R189" s="34"/>
      <c r="S189" s="34"/>
      <c r="T189" s="34"/>
      <c r="U189" s="34"/>
      <c r="V189" s="34"/>
      <c r="W189" s="31"/>
      <c r="X189" s="18"/>
      <c r="Y189" s="34"/>
      <c r="Z189" s="34"/>
      <c r="AA189" s="18"/>
    </row>
    <row r="190" spans="1:27" ht="18.75" customHeight="1" x14ac:dyDescent="0.2">
      <c r="A190" s="14"/>
      <c r="B190" s="15"/>
      <c r="C190" s="19" t="s">
        <v>907</v>
      </c>
      <c r="D190" s="28" t="s">
        <v>288</v>
      </c>
      <c r="E190" s="29" t="s">
        <v>292</v>
      </c>
      <c r="F190" s="17"/>
      <c r="G190" s="18"/>
      <c r="H190" s="34"/>
      <c r="I190" s="34"/>
      <c r="J190" s="34"/>
      <c r="K190" s="34"/>
      <c r="L190" s="34"/>
      <c r="M190" s="18"/>
      <c r="N190" s="18"/>
      <c r="O190" s="18"/>
      <c r="P190" s="34"/>
      <c r="Q190" s="34"/>
      <c r="R190" s="34"/>
      <c r="S190" s="34"/>
      <c r="T190" s="34"/>
      <c r="U190" s="34"/>
      <c r="V190" s="34"/>
      <c r="W190" s="31"/>
      <c r="X190" s="18"/>
      <c r="Y190" s="34"/>
      <c r="Z190" s="34"/>
      <c r="AA190" s="18"/>
    </row>
    <row r="191" spans="1:27" ht="18.75" customHeight="1" x14ac:dyDescent="0.2">
      <c r="A191" s="14" t="s">
        <v>55</v>
      </c>
      <c r="B191" s="15" t="s">
        <v>56</v>
      </c>
      <c r="C191" s="19" t="s">
        <v>907</v>
      </c>
      <c r="D191" s="16" t="s">
        <v>293</v>
      </c>
      <c r="E191" s="17" t="s">
        <v>233</v>
      </c>
      <c r="F191" s="17" t="s">
        <v>58</v>
      </c>
      <c r="G191" s="18">
        <v>500000000</v>
      </c>
      <c r="H191" s="34">
        <v>0</v>
      </c>
      <c r="I191" s="34">
        <v>0</v>
      </c>
      <c r="J191" s="34">
        <v>0</v>
      </c>
      <c r="K191" s="34">
        <v>0</v>
      </c>
      <c r="L191" s="34">
        <v>0</v>
      </c>
      <c r="M191" s="18">
        <v>500000000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0</v>
      </c>
      <c r="V191" s="34">
        <v>0</v>
      </c>
      <c r="W191" s="40">
        <f t="shared" ref="W191" si="125">T191+V191</f>
        <v>0</v>
      </c>
      <c r="X191" s="18">
        <f t="shared" ref="X191" si="126">M191-P191</f>
        <v>500000000</v>
      </c>
      <c r="Y191" s="34">
        <f t="shared" ref="Y191" si="127">P191-S191</f>
        <v>0</v>
      </c>
      <c r="Z191" s="34">
        <f t="shared" ref="Z191" si="128">S191-W191</f>
        <v>0</v>
      </c>
      <c r="AA191" s="123">
        <f t="shared" ref="AA191" si="129">S191/M191</f>
        <v>0</v>
      </c>
    </row>
    <row r="192" spans="1:27" ht="27" customHeight="1" x14ac:dyDescent="0.2">
      <c r="A192" s="14"/>
      <c r="B192" s="15"/>
      <c r="C192" s="19" t="s">
        <v>907</v>
      </c>
      <c r="D192" s="28" t="s">
        <v>288</v>
      </c>
      <c r="E192" s="29" t="s">
        <v>294</v>
      </c>
      <c r="F192" s="17"/>
      <c r="G192" s="18"/>
      <c r="H192" s="34"/>
      <c r="I192" s="34"/>
      <c r="J192" s="34"/>
      <c r="K192" s="34"/>
      <c r="L192" s="34"/>
      <c r="M192" s="18"/>
      <c r="N192" s="34"/>
      <c r="O192" s="34"/>
      <c r="P192" s="34"/>
      <c r="Q192" s="34"/>
      <c r="R192" s="34"/>
      <c r="S192" s="34"/>
      <c r="T192" s="34"/>
      <c r="U192" s="34"/>
      <c r="V192" s="34"/>
      <c r="W192" s="31"/>
      <c r="X192" s="18"/>
      <c r="Y192" s="34"/>
      <c r="Z192" s="34"/>
      <c r="AA192" s="18"/>
    </row>
    <row r="193" spans="1:27" ht="18.75" customHeight="1" x14ac:dyDescent="0.2">
      <c r="A193" s="14" t="s">
        <v>55</v>
      </c>
      <c r="B193" s="15" t="s">
        <v>56</v>
      </c>
      <c r="C193" s="19" t="s">
        <v>907</v>
      </c>
      <c r="D193" s="16" t="s">
        <v>295</v>
      </c>
      <c r="E193" s="17" t="s">
        <v>233</v>
      </c>
      <c r="F193" s="17" t="s">
        <v>58</v>
      </c>
      <c r="G193" s="18">
        <v>400000000</v>
      </c>
      <c r="H193" s="34">
        <v>0</v>
      </c>
      <c r="I193" s="34">
        <v>0</v>
      </c>
      <c r="J193" s="34">
        <v>0</v>
      </c>
      <c r="K193" s="34">
        <v>0</v>
      </c>
      <c r="L193" s="34">
        <v>0</v>
      </c>
      <c r="M193" s="18">
        <v>400000000</v>
      </c>
      <c r="N193" s="34">
        <v>0</v>
      </c>
      <c r="O193" s="110">
        <v>73076486</v>
      </c>
      <c r="P193" s="110">
        <v>73076486</v>
      </c>
      <c r="Q193" s="34">
        <v>0</v>
      </c>
      <c r="R193" s="110">
        <v>68918969</v>
      </c>
      <c r="S193" s="110">
        <v>68918969</v>
      </c>
      <c r="T193" s="34">
        <v>0</v>
      </c>
      <c r="U193" s="34">
        <v>0</v>
      </c>
      <c r="V193" s="34">
        <v>0</v>
      </c>
      <c r="W193" s="40">
        <f t="shared" ref="W193" si="130">T193+V193</f>
        <v>0</v>
      </c>
      <c r="X193" s="18">
        <f t="shared" ref="X193" si="131">M193-P193</f>
        <v>326923514</v>
      </c>
      <c r="Y193" s="110">
        <f t="shared" ref="Y193" si="132">P193-S193</f>
        <v>4157517</v>
      </c>
      <c r="Z193" s="18">
        <f t="shared" ref="Z193" si="133">S193-W193</f>
        <v>68918969</v>
      </c>
      <c r="AA193" s="123">
        <f t="shared" ref="AA193" si="134">S193/M193</f>
        <v>0.17229742249999999</v>
      </c>
    </row>
    <row r="194" spans="1:27" ht="18.75" customHeight="1" x14ac:dyDescent="0.2">
      <c r="A194" s="14"/>
      <c r="B194" s="15"/>
      <c r="C194" s="19" t="s">
        <v>907</v>
      </c>
      <c r="D194" s="16"/>
      <c r="E194" s="17"/>
      <c r="F194" s="17"/>
      <c r="G194" s="18"/>
      <c r="H194" s="34"/>
      <c r="I194" s="34"/>
      <c r="J194" s="34"/>
      <c r="K194" s="34"/>
      <c r="L194" s="34"/>
      <c r="M194" s="18"/>
      <c r="N194" s="34"/>
      <c r="O194" s="34"/>
      <c r="P194" s="34"/>
      <c r="Q194" s="34"/>
      <c r="R194" s="34"/>
      <c r="S194" s="34"/>
      <c r="T194" s="34"/>
      <c r="U194" s="34"/>
      <c r="V194" s="18"/>
      <c r="W194" s="30"/>
      <c r="X194" s="18"/>
      <c r="Y194" s="18"/>
      <c r="Z194" s="18"/>
      <c r="AA194" s="18"/>
    </row>
    <row r="195" spans="1:27" ht="18.75" customHeight="1" x14ac:dyDescent="0.2">
      <c r="A195" s="14"/>
      <c r="B195" s="15"/>
      <c r="C195" s="19" t="s">
        <v>907</v>
      </c>
      <c r="D195" s="16"/>
      <c r="E195" s="29" t="s">
        <v>189</v>
      </c>
      <c r="F195" s="17"/>
      <c r="G195" s="18"/>
      <c r="H195" s="34"/>
      <c r="I195" s="34"/>
      <c r="J195" s="34"/>
      <c r="K195" s="34"/>
      <c r="L195" s="34"/>
      <c r="M195" s="18"/>
      <c r="N195" s="34"/>
      <c r="O195" s="34"/>
      <c r="P195" s="34"/>
      <c r="Q195" s="34"/>
      <c r="R195" s="34"/>
      <c r="S195" s="34"/>
      <c r="T195" s="34"/>
      <c r="U195" s="34"/>
      <c r="V195" s="18"/>
      <c r="W195" s="30"/>
      <c r="X195" s="18"/>
      <c r="Y195" s="18"/>
      <c r="Z195" s="18"/>
      <c r="AA195" s="18"/>
    </row>
    <row r="196" spans="1:27" ht="18.75" customHeight="1" x14ac:dyDescent="0.2">
      <c r="A196" s="14"/>
      <c r="B196" s="15"/>
      <c r="C196" s="19" t="s">
        <v>907</v>
      </c>
      <c r="D196" s="16"/>
      <c r="E196" s="29" t="s">
        <v>191</v>
      </c>
      <c r="F196" s="17"/>
      <c r="G196" s="18"/>
      <c r="H196" s="34"/>
      <c r="I196" s="34"/>
      <c r="J196" s="34"/>
      <c r="K196" s="34"/>
      <c r="L196" s="34"/>
      <c r="M196" s="18"/>
      <c r="N196" s="34"/>
      <c r="O196" s="34"/>
      <c r="P196" s="34"/>
      <c r="Q196" s="34"/>
      <c r="R196" s="34"/>
      <c r="S196" s="34"/>
      <c r="T196" s="34"/>
      <c r="U196" s="34"/>
      <c r="V196" s="18"/>
      <c r="W196" s="30"/>
      <c r="X196" s="18"/>
      <c r="Y196" s="18"/>
      <c r="Z196" s="18"/>
      <c r="AA196" s="18"/>
    </row>
    <row r="197" spans="1:27" ht="18.75" customHeight="1" x14ac:dyDescent="0.2">
      <c r="A197" s="14"/>
      <c r="B197" s="15"/>
      <c r="C197" s="19" t="s">
        <v>907</v>
      </c>
      <c r="D197" s="28" t="s">
        <v>288</v>
      </c>
      <c r="E197" s="29" t="s">
        <v>296</v>
      </c>
      <c r="F197" s="17"/>
      <c r="G197" s="18"/>
      <c r="H197" s="34"/>
      <c r="I197" s="34"/>
      <c r="J197" s="34"/>
      <c r="K197" s="34"/>
      <c r="L197" s="34"/>
      <c r="M197" s="18"/>
      <c r="N197" s="34"/>
      <c r="O197" s="34"/>
      <c r="P197" s="34"/>
      <c r="Q197" s="34"/>
      <c r="R197" s="34"/>
      <c r="S197" s="34"/>
      <c r="T197" s="34"/>
      <c r="U197" s="34"/>
      <c r="V197" s="18"/>
      <c r="W197" s="30"/>
      <c r="X197" s="18"/>
      <c r="Y197" s="18"/>
      <c r="Z197" s="18"/>
      <c r="AA197" s="18"/>
    </row>
    <row r="198" spans="1:27" ht="18.75" customHeight="1" x14ac:dyDescent="0.2">
      <c r="A198" s="14" t="s">
        <v>55</v>
      </c>
      <c r="B198" s="15" t="s">
        <v>56</v>
      </c>
      <c r="C198" s="19" t="s">
        <v>907</v>
      </c>
      <c r="D198" s="16" t="s">
        <v>297</v>
      </c>
      <c r="E198" s="17" t="s">
        <v>233</v>
      </c>
      <c r="F198" s="17" t="s">
        <v>58</v>
      </c>
      <c r="G198" s="18">
        <v>200000000</v>
      </c>
      <c r="H198" s="34">
        <v>0</v>
      </c>
      <c r="I198" s="34">
        <v>0</v>
      </c>
      <c r="J198" s="34">
        <v>0</v>
      </c>
      <c r="K198" s="34">
        <v>0</v>
      </c>
      <c r="L198" s="34">
        <v>0</v>
      </c>
      <c r="M198" s="18">
        <v>200000000</v>
      </c>
      <c r="N198" s="34">
        <v>0</v>
      </c>
      <c r="O198" s="34">
        <v>0</v>
      </c>
      <c r="P198" s="34">
        <v>0</v>
      </c>
      <c r="Q198" s="34">
        <v>0</v>
      </c>
      <c r="R198" s="34">
        <v>0</v>
      </c>
      <c r="S198" s="34">
        <v>0</v>
      </c>
      <c r="T198" s="34">
        <v>0</v>
      </c>
      <c r="U198" s="34">
        <v>0</v>
      </c>
      <c r="V198" s="34">
        <v>0</v>
      </c>
      <c r="W198" s="40">
        <f t="shared" ref="W198" si="135">T198+V198</f>
        <v>0</v>
      </c>
      <c r="X198" s="18">
        <f t="shared" ref="X198" si="136">M198-P198</f>
        <v>200000000</v>
      </c>
      <c r="Y198" s="34">
        <f t="shared" ref="Y198" si="137">P198-S198</f>
        <v>0</v>
      </c>
      <c r="Z198" s="34">
        <f t="shared" ref="Z198" si="138">S198-W198</f>
        <v>0</v>
      </c>
      <c r="AA198" s="123">
        <f t="shared" ref="AA198" si="139">S198/M198</f>
        <v>0</v>
      </c>
    </row>
    <row r="199" spans="1:27" ht="24" customHeight="1" x14ac:dyDescent="0.2">
      <c r="A199" s="14"/>
      <c r="B199" s="15"/>
      <c r="C199" s="19" t="s">
        <v>907</v>
      </c>
      <c r="D199" s="16"/>
      <c r="E199" s="29" t="s">
        <v>298</v>
      </c>
      <c r="F199" s="17"/>
      <c r="G199" s="18"/>
      <c r="H199" s="34"/>
      <c r="I199" s="34"/>
      <c r="J199" s="34"/>
      <c r="K199" s="34"/>
      <c r="L199" s="34"/>
      <c r="M199" s="18"/>
      <c r="N199" s="18"/>
      <c r="O199" s="18"/>
      <c r="P199" s="18"/>
      <c r="Q199" s="18"/>
      <c r="R199" s="18"/>
      <c r="S199" s="18"/>
      <c r="T199" s="18"/>
      <c r="U199" s="18"/>
      <c r="V199" s="34"/>
      <c r="W199" s="31"/>
      <c r="X199" s="18"/>
      <c r="Y199" s="18"/>
      <c r="Z199" s="18"/>
      <c r="AA199" s="18"/>
    </row>
    <row r="200" spans="1:27" ht="18.75" customHeight="1" x14ac:dyDescent="0.2">
      <c r="A200" s="14"/>
      <c r="B200" s="15"/>
      <c r="C200" s="19" t="s">
        <v>907</v>
      </c>
      <c r="D200" s="28" t="s">
        <v>288</v>
      </c>
      <c r="E200" s="29" t="s">
        <v>299</v>
      </c>
      <c r="F200" s="17"/>
      <c r="G200" s="18"/>
      <c r="H200" s="34"/>
      <c r="I200" s="34"/>
      <c r="J200" s="34"/>
      <c r="K200" s="34"/>
      <c r="L200" s="34"/>
      <c r="M200" s="18"/>
      <c r="N200" s="18"/>
      <c r="O200" s="18"/>
      <c r="P200" s="18"/>
      <c r="Q200" s="18"/>
      <c r="R200" s="18"/>
      <c r="S200" s="18"/>
      <c r="T200" s="18"/>
      <c r="U200" s="18"/>
      <c r="V200" s="34"/>
      <c r="W200" s="31"/>
      <c r="X200" s="18"/>
      <c r="Y200" s="18"/>
      <c r="Z200" s="18"/>
      <c r="AA200" s="18"/>
    </row>
    <row r="201" spans="1:27" ht="18.75" customHeight="1" x14ac:dyDescent="0.2">
      <c r="A201" s="14" t="s">
        <v>55</v>
      </c>
      <c r="B201" s="15" t="s">
        <v>56</v>
      </c>
      <c r="C201" s="19" t="s">
        <v>907</v>
      </c>
      <c r="D201" s="16" t="s">
        <v>300</v>
      </c>
      <c r="E201" s="17" t="s">
        <v>233</v>
      </c>
      <c r="F201" s="17" t="s">
        <v>58</v>
      </c>
      <c r="G201" s="18">
        <v>250000000</v>
      </c>
      <c r="H201" s="34">
        <v>0</v>
      </c>
      <c r="I201" s="34">
        <v>0</v>
      </c>
      <c r="J201" s="34">
        <v>0</v>
      </c>
      <c r="K201" s="34">
        <v>0</v>
      </c>
      <c r="L201" s="34">
        <v>0</v>
      </c>
      <c r="M201" s="18">
        <v>250000000</v>
      </c>
      <c r="N201" s="34">
        <v>0</v>
      </c>
      <c r="O201" s="18">
        <f>P201-[1]ENERO!O201</f>
        <v>53500000</v>
      </c>
      <c r="P201" s="18">
        <v>224500000</v>
      </c>
      <c r="Q201" s="18">
        <v>0</v>
      </c>
      <c r="R201" s="18">
        <f>S201-[1]ENERO!R201</f>
        <v>143500000</v>
      </c>
      <c r="S201" s="18">
        <v>175500000</v>
      </c>
      <c r="T201" s="18">
        <v>0</v>
      </c>
      <c r="U201" s="34">
        <v>0</v>
      </c>
      <c r="V201" s="34">
        <v>0</v>
      </c>
      <c r="W201" s="40">
        <f t="shared" ref="W201:W211" si="140">T201+V201</f>
        <v>0</v>
      </c>
      <c r="X201" s="18">
        <f t="shared" ref="X201" si="141">M201-P201</f>
        <v>25500000</v>
      </c>
      <c r="Y201" s="110">
        <f t="shared" ref="Y201" si="142">P201-S201</f>
        <v>49000000</v>
      </c>
      <c r="Z201" s="110">
        <f t="shared" ref="Z201" si="143">S201-W201</f>
        <v>175500000</v>
      </c>
      <c r="AA201" s="123">
        <f t="shared" ref="AA201" si="144">S201/M201</f>
        <v>0.70199999999999996</v>
      </c>
    </row>
    <row r="202" spans="1:27" ht="18.75" customHeight="1" x14ac:dyDescent="0.2">
      <c r="A202" s="14"/>
      <c r="B202" s="15"/>
      <c r="C202" s="19" t="s">
        <v>907</v>
      </c>
      <c r="D202" s="28" t="s">
        <v>288</v>
      </c>
      <c r="E202" s="29" t="s">
        <v>292</v>
      </c>
      <c r="F202" s="17"/>
      <c r="G202" s="18"/>
      <c r="H202" s="34"/>
      <c r="I202" s="34"/>
      <c r="J202" s="34"/>
      <c r="K202" s="34"/>
      <c r="L202" s="34"/>
      <c r="M202" s="18"/>
      <c r="N202" s="34"/>
      <c r="O202" s="18"/>
      <c r="P202" s="18"/>
      <c r="Q202" s="18"/>
      <c r="R202" s="18"/>
      <c r="S202" s="18"/>
      <c r="T202" s="18"/>
      <c r="U202" s="18"/>
      <c r="V202" s="34"/>
      <c r="W202" s="31"/>
      <c r="X202" s="18"/>
      <c r="Y202" s="18"/>
      <c r="Z202" s="18"/>
      <c r="AA202" s="18"/>
    </row>
    <row r="203" spans="1:27" ht="18.75" customHeight="1" x14ac:dyDescent="0.2">
      <c r="A203" s="35" t="s">
        <v>55</v>
      </c>
      <c r="B203" s="36" t="s">
        <v>56</v>
      </c>
      <c r="C203" s="19" t="s">
        <v>907</v>
      </c>
      <c r="D203" s="37" t="s">
        <v>301</v>
      </c>
      <c r="E203" s="38" t="s">
        <v>233</v>
      </c>
      <c r="F203" s="38" t="s">
        <v>58</v>
      </c>
      <c r="G203" s="39">
        <v>200000000</v>
      </c>
      <c r="H203" s="40">
        <v>0</v>
      </c>
      <c r="I203" s="40">
        <v>0</v>
      </c>
      <c r="J203" s="40">
        <v>0</v>
      </c>
      <c r="K203" s="40">
        <v>0</v>
      </c>
      <c r="L203" s="40">
        <v>0</v>
      </c>
      <c r="M203" s="39">
        <v>200000000</v>
      </c>
      <c r="N203" s="40">
        <v>0</v>
      </c>
      <c r="O203" s="39">
        <v>0</v>
      </c>
      <c r="P203" s="40">
        <v>0</v>
      </c>
      <c r="Q203" s="40">
        <v>0</v>
      </c>
      <c r="R203" s="40">
        <v>0</v>
      </c>
      <c r="S203" s="40">
        <v>0</v>
      </c>
      <c r="T203" s="40">
        <v>0</v>
      </c>
      <c r="U203" s="40">
        <v>0</v>
      </c>
      <c r="V203" s="40">
        <v>0</v>
      </c>
      <c r="W203" s="40">
        <f t="shared" ref="W203" si="145">T203+V203</f>
        <v>0</v>
      </c>
      <c r="X203" s="18">
        <f t="shared" ref="X203" si="146">M203-P203</f>
        <v>200000000</v>
      </c>
      <c r="Y203" s="34">
        <f t="shared" ref="Y203" si="147">P203-S203</f>
        <v>0</v>
      </c>
      <c r="Z203" s="34">
        <f t="shared" ref="Z203" si="148">S203-W203</f>
        <v>0</v>
      </c>
      <c r="AA203" s="123">
        <f t="shared" ref="AA203" si="149">S203/M203</f>
        <v>0</v>
      </c>
    </row>
    <row r="204" spans="1:27" ht="24.75" customHeight="1" x14ac:dyDescent="0.2">
      <c r="A204" s="14"/>
      <c r="B204" s="15"/>
      <c r="C204" s="19" t="s">
        <v>907</v>
      </c>
      <c r="D204" s="28" t="s">
        <v>288</v>
      </c>
      <c r="E204" s="29" t="s">
        <v>302</v>
      </c>
      <c r="F204" s="17"/>
      <c r="G204" s="18"/>
      <c r="H204" s="34"/>
      <c r="I204" s="34"/>
      <c r="J204" s="34"/>
      <c r="K204" s="34"/>
      <c r="L204" s="34"/>
      <c r="M204" s="18"/>
      <c r="N204" s="18"/>
      <c r="O204" s="18"/>
      <c r="P204" s="34"/>
      <c r="Q204" s="34"/>
      <c r="R204" s="34"/>
      <c r="S204" s="34"/>
      <c r="T204" s="34"/>
      <c r="U204" s="34"/>
      <c r="V204" s="34"/>
      <c r="W204" s="31"/>
      <c r="X204" s="18"/>
      <c r="Y204" s="34"/>
      <c r="Z204" s="34"/>
      <c r="AA204" s="18"/>
    </row>
    <row r="205" spans="1:27" ht="18.75" customHeight="1" x14ac:dyDescent="0.2">
      <c r="A205" s="14" t="s">
        <v>55</v>
      </c>
      <c r="B205" s="15" t="s">
        <v>56</v>
      </c>
      <c r="C205" s="19" t="s">
        <v>907</v>
      </c>
      <c r="D205" s="16" t="s">
        <v>303</v>
      </c>
      <c r="E205" s="17" t="s">
        <v>233</v>
      </c>
      <c r="F205" s="17" t="s">
        <v>58</v>
      </c>
      <c r="G205" s="18">
        <v>850000000</v>
      </c>
      <c r="H205" s="34">
        <v>0</v>
      </c>
      <c r="I205" s="34">
        <v>0</v>
      </c>
      <c r="J205" s="34">
        <v>0</v>
      </c>
      <c r="K205" s="34">
        <v>0</v>
      </c>
      <c r="L205" s="34">
        <v>0</v>
      </c>
      <c r="M205" s="18">
        <v>850000000</v>
      </c>
      <c r="N205" s="18">
        <v>0</v>
      </c>
      <c r="O205" s="18">
        <f>P205-[1]ENERO!O205</f>
        <v>575607711</v>
      </c>
      <c r="P205" s="110">
        <v>575607711</v>
      </c>
      <c r="Q205" s="110">
        <v>42500000</v>
      </c>
      <c r="R205" s="110">
        <v>433500000</v>
      </c>
      <c r="S205" s="110">
        <v>433500000</v>
      </c>
      <c r="T205" s="34">
        <v>0</v>
      </c>
      <c r="U205" s="34">
        <v>0</v>
      </c>
      <c r="V205" s="34">
        <v>0</v>
      </c>
      <c r="W205" s="40">
        <f t="shared" ref="W205" si="150">T205+V205</f>
        <v>0</v>
      </c>
      <c r="X205" s="18">
        <f t="shared" ref="X205" si="151">M205-P205</f>
        <v>274392289</v>
      </c>
      <c r="Y205" s="110">
        <f t="shared" ref="Y205" si="152">P205-S205</f>
        <v>142107711</v>
      </c>
      <c r="Z205" s="110">
        <f t="shared" ref="Z205" si="153">S205-W205</f>
        <v>433500000</v>
      </c>
      <c r="AA205" s="123">
        <f t="shared" ref="AA205" si="154">S205/M205</f>
        <v>0.51</v>
      </c>
    </row>
    <row r="206" spans="1:27" ht="18.75" customHeight="1" x14ac:dyDescent="0.2">
      <c r="A206" s="35"/>
      <c r="B206" s="36"/>
      <c r="C206" s="19" t="s">
        <v>907</v>
      </c>
      <c r="D206" s="28" t="s">
        <v>288</v>
      </c>
      <c r="E206" s="29" t="s">
        <v>304</v>
      </c>
      <c r="F206" s="38"/>
      <c r="G206" s="39"/>
      <c r="H206" s="40"/>
      <c r="I206" s="40"/>
      <c r="J206" s="40"/>
      <c r="K206" s="40"/>
      <c r="L206" s="40"/>
      <c r="M206" s="39"/>
      <c r="N206" s="39"/>
      <c r="O206" s="39"/>
      <c r="P206" s="40"/>
      <c r="Q206" s="40"/>
      <c r="R206" s="40"/>
      <c r="S206" s="40"/>
      <c r="T206" s="40"/>
      <c r="U206" s="40"/>
      <c r="V206" s="40"/>
      <c r="W206" s="31"/>
      <c r="X206" s="39"/>
      <c r="Y206" s="40"/>
      <c r="Z206" s="40"/>
      <c r="AA206" s="18"/>
    </row>
    <row r="207" spans="1:27" ht="18.75" customHeight="1" x14ac:dyDescent="0.2">
      <c r="A207" s="14" t="s">
        <v>55</v>
      </c>
      <c r="B207" s="15" t="s">
        <v>56</v>
      </c>
      <c r="C207" s="19" t="s">
        <v>907</v>
      </c>
      <c r="D207" s="16" t="s">
        <v>305</v>
      </c>
      <c r="E207" s="17" t="s">
        <v>233</v>
      </c>
      <c r="F207" s="17" t="s">
        <v>58</v>
      </c>
      <c r="G207" s="18">
        <v>100000000</v>
      </c>
      <c r="H207" s="34">
        <v>0</v>
      </c>
      <c r="I207" s="34">
        <v>0</v>
      </c>
      <c r="J207" s="34">
        <v>0</v>
      </c>
      <c r="K207" s="34">
        <v>0</v>
      </c>
      <c r="L207" s="34">
        <v>0</v>
      </c>
      <c r="M207" s="18">
        <v>100000000</v>
      </c>
      <c r="N207" s="34">
        <v>0</v>
      </c>
      <c r="O207" s="34">
        <v>0</v>
      </c>
      <c r="P207" s="34">
        <v>0</v>
      </c>
      <c r="Q207" s="34">
        <v>0</v>
      </c>
      <c r="R207" s="34">
        <v>0</v>
      </c>
      <c r="S207" s="34">
        <v>0</v>
      </c>
      <c r="T207" s="34">
        <v>0</v>
      </c>
      <c r="U207" s="34">
        <v>0</v>
      </c>
      <c r="V207" s="34">
        <v>0</v>
      </c>
      <c r="W207" s="40">
        <f t="shared" ref="W207" si="155">T207+V207</f>
        <v>0</v>
      </c>
      <c r="X207" s="18">
        <f t="shared" ref="X207" si="156">M207-P207</f>
        <v>100000000</v>
      </c>
      <c r="Y207" s="34">
        <f t="shared" ref="Y207" si="157">P207-S207</f>
        <v>0</v>
      </c>
      <c r="Z207" s="34">
        <f t="shared" ref="Z207" si="158">S207-W207</f>
        <v>0</v>
      </c>
      <c r="AA207" s="123">
        <f t="shared" ref="AA207" si="159">S207/M207</f>
        <v>0</v>
      </c>
    </row>
    <row r="208" spans="1:27" ht="18.75" customHeight="1" x14ac:dyDescent="0.2">
      <c r="A208" s="35"/>
      <c r="B208" s="36"/>
      <c r="C208" s="19" t="s">
        <v>907</v>
      </c>
      <c r="D208" s="28" t="s">
        <v>288</v>
      </c>
      <c r="E208" s="29" t="s">
        <v>306</v>
      </c>
      <c r="F208" s="38"/>
      <c r="G208" s="39"/>
      <c r="H208" s="40"/>
      <c r="I208" s="40"/>
      <c r="J208" s="40"/>
      <c r="K208" s="40"/>
      <c r="L208" s="40"/>
      <c r="M208" s="39"/>
      <c r="N208" s="40"/>
      <c r="O208" s="40"/>
      <c r="P208" s="40"/>
      <c r="Q208" s="40"/>
      <c r="R208" s="40"/>
      <c r="S208" s="40"/>
      <c r="T208" s="40"/>
      <c r="U208" s="40"/>
      <c r="V208" s="39"/>
      <c r="W208" s="30"/>
      <c r="X208" s="39"/>
      <c r="Y208" s="39"/>
      <c r="Z208" s="40"/>
      <c r="AA208" s="18"/>
    </row>
    <row r="209" spans="1:27" ht="18.75" customHeight="1" x14ac:dyDescent="0.2">
      <c r="A209" s="14" t="s">
        <v>55</v>
      </c>
      <c r="B209" s="15" t="s">
        <v>56</v>
      </c>
      <c r="C209" s="19" t="s">
        <v>907</v>
      </c>
      <c r="D209" s="16" t="s">
        <v>307</v>
      </c>
      <c r="E209" s="17" t="s">
        <v>233</v>
      </c>
      <c r="F209" s="17" t="s">
        <v>58</v>
      </c>
      <c r="G209" s="18">
        <v>50000000</v>
      </c>
      <c r="H209" s="34">
        <v>0</v>
      </c>
      <c r="I209" s="34">
        <v>0</v>
      </c>
      <c r="J209" s="34">
        <v>0</v>
      </c>
      <c r="K209" s="34">
        <v>0</v>
      </c>
      <c r="L209" s="34">
        <v>0</v>
      </c>
      <c r="M209" s="18">
        <v>50000000</v>
      </c>
      <c r="N209" s="34">
        <v>0</v>
      </c>
      <c r="O209" s="34">
        <v>0</v>
      </c>
      <c r="P209" s="34">
        <v>0</v>
      </c>
      <c r="Q209" s="34">
        <v>0</v>
      </c>
      <c r="R209" s="34">
        <v>0</v>
      </c>
      <c r="S209" s="34">
        <v>0</v>
      </c>
      <c r="T209" s="34">
        <v>0</v>
      </c>
      <c r="U209" s="34">
        <v>0</v>
      </c>
      <c r="V209" s="34">
        <v>0</v>
      </c>
      <c r="W209" s="40">
        <f t="shared" si="140"/>
        <v>0</v>
      </c>
      <c r="X209" s="18">
        <f t="shared" ref="X209" si="160">M209-P209</f>
        <v>50000000</v>
      </c>
      <c r="Y209" s="34">
        <f t="shared" ref="Y209" si="161">P209-S209</f>
        <v>0</v>
      </c>
      <c r="Z209" s="34">
        <f t="shared" ref="Z209" si="162">S209-W209</f>
        <v>0</v>
      </c>
      <c r="AA209" s="123">
        <f t="shared" ref="AA209" si="163">S209/M209</f>
        <v>0</v>
      </c>
    </row>
    <row r="210" spans="1:27" ht="18.75" customHeight="1" x14ac:dyDescent="0.2">
      <c r="A210" s="14"/>
      <c r="B210" s="15"/>
      <c r="C210" s="19" t="s">
        <v>907</v>
      </c>
      <c r="D210" s="28" t="s">
        <v>288</v>
      </c>
      <c r="E210" s="29" t="s">
        <v>308</v>
      </c>
      <c r="F210" s="17"/>
      <c r="G210" s="18"/>
      <c r="H210" s="34"/>
      <c r="I210" s="34"/>
      <c r="J210" s="34"/>
      <c r="K210" s="34"/>
      <c r="L210" s="34"/>
      <c r="M210" s="18"/>
      <c r="N210" s="34"/>
      <c r="O210" s="34"/>
      <c r="P210" s="34"/>
      <c r="Q210" s="34"/>
      <c r="R210" s="34"/>
      <c r="S210" s="34"/>
      <c r="T210" s="34"/>
      <c r="U210" s="34"/>
      <c r="V210" s="34"/>
      <c r="W210" s="31"/>
      <c r="X210" s="18"/>
      <c r="Y210" s="18"/>
      <c r="Z210" s="34"/>
      <c r="AA210" s="18"/>
    </row>
    <row r="211" spans="1:27" ht="18.75" customHeight="1" x14ac:dyDescent="0.2">
      <c r="A211" s="35" t="s">
        <v>55</v>
      </c>
      <c r="B211" s="36" t="s">
        <v>56</v>
      </c>
      <c r="C211" s="19" t="s">
        <v>907</v>
      </c>
      <c r="D211" s="37" t="s">
        <v>309</v>
      </c>
      <c r="E211" s="38" t="s">
        <v>233</v>
      </c>
      <c r="F211" s="38" t="s">
        <v>58</v>
      </c>
      <c r="G211" s="39">
        <v>50000000</v>
      </c>
      <c r="H211" s="40">
        <v>0</v>
      </c>
      <c r="I211" s="40">
        <v>0</v>
      </c>
      <c r="J211" s="40">
        <v>0</v>
      </c>
      <c r="K211" s="40">
        <v>0</v>
      </c>
      <c r="L211" s="40">
        <v>0</v>
      </c>
      <c r="M211" s="39">
        <v>50000000</v>
      </c>
      <c r="N211" s="40">
        <v>0</v>
      </c>
      <c r="O211" s="40">
        <v>0</v>
      </c>
      <c r="P211" s="40">
        <v>0</v>
      </c>
      <c r="Q211" s="40">
        <v>0</v>
      </c>
      <c r="R211" s="40">
        <v>0</v>
      </c>
      <c r="S211" s="40">
        <v>0</v>
      </c>
      <c r="T211" s="40">
        <v>0</v>
      </c>
      <c r="U211" s="40">
        <v>0</v>
      </c>
      <c r="V211" s="40">
        <v>0</v>
      </c>
      <c r="W211" s="40">
        <f t="shared" si="140"/>
        <v>0</v>
      </c>
      <c r="X211" s="18">
        <f t="shared" ref="X211" si="164">M211-P211</f>
        <v>50000000</v>
      </c>
      <c r="Y211" s="34">
        <f t="shared" ref="Y211" si="165">P211-S211</f>
        <v>0</v>
      </c>
      <c r="Z211" s="34">
        <f t="shared" ref="Z211" si="166">S211-W211</f>
        <v>0</v>
      </c>
      <c r="AA211" s="123">
        <f t="shared" ref="AA211" si="167">S211/M211</f>
        <v>0</v>
      </c>
    </row>
    <row r="212" spans="1:27" ht="18.75" customHeight="1" x14ac:dyDescent="0.2">
      <c r="A212" s="14"/>
      <c r="B212" s="15"/>
      <c r="C212" s="19" t="s">
        <v>907</v>
      </c>
      <c r="D212" s="28" t="s">
        <v>288</v>
      </c>
      <c r="E212" s="29" t="s">
        <v>310</v>
      </c>
      <c r="F212" s="17"/>
      <c r="G212" s="18"/>
      <c r="H212" s="34"/>
      <c r="I212" s="34"/>
      <c r="J212" s="34"/>
      <c r="K212" s="34"/>
      <c r="L212" s="34"/>
      <c r="M212" s="18"/>
      <c r="N212" s="18"/>
      <c r="O212" s="18"/>
      <c r="P212" s="18"/>
      <c r="Q212" s="18"/>
      <c r="R212" s="18"/>
      <c r="S212" s="18"/>
      <c r="T212" s="18"/>
      <c r="U212" s="18"/>
      <c r="V212" s="34"/>
      <c r="W212" s="31"/>
      <c r="X212" s="18"/>
      <c r="Y212" s="18"/>
      <c r="Z212" s="18"/>
      <c r="AA212" s="18"/>
    </row>
    <row r="213" spans="1:27" ht="18.75" customHeight="1" x14ac:dyDescent="0.2">
      <c r="A213" s="14" t="s">
        <v>55</v>
      </c>
      <c r="B213" s="15" t="s">
        <v>56</v>
      </c>
      <c r="C213" s="19" t="s">
        <v>907</v>
      </c>
      <c r="D213" s="16" t="s">
        <v>311</v>
      </c>
      <c r="E213" s="17" t="s">
        <v>233</v>
      </c>
      <c r="F213" s="17" t="s">
        <v>58</v>
      </c>
      <c r="G213" s="18">
        <v>1400000000</v>
      </c>
      <c r="H213" s="34">
        <v>0</v>
      </c>
      <c r="I213" s="34">
        <v>0</v>
      </c>
      <c r="J213" s="34">
        <v>0</v>
      </c>
      <c r="K213" s="34">
        <v>0</v>
      </c>
      <c r="L213" s="34">
        <v>0</v>
      </c>
      <c r="M213" s="18">
        <v>1400000000</v>
      </c>
      <c r="N213" s="34">
        <v>0</v>
      </c>
      <c r="O213" s="18">
        <f>P213-[1]ENERO!O213</f>
        <v>715645081</v>
      </c>
      <c r="P213" s="18">
        <v>1141145081</v>
      </c>
      <c r="Q213" s="18">
        <v>0</v>
      </c>
      <c r="R213" s="18">
        <v>129500000</v>
      </c>
      <c r="S213" s="18">
        <v>425500000</v>
      </c>
      <c r="T213" s="34">
        <v>0</v>
      </c>
      <c r="U213" s="110">
        <v>4183333</v>
      </c>
      <c r="V213" s="110">
        <v>4183333</v>
      </c>
      <c r="W213" s="111">
        <f t="shared" ref="W213" si="168">T213+V213</f>
        <v>4183333</v>
      </c>
      <c r="X213" s="18">
        <f t="shared" ref="X213" si="169">M213-P213</f>
        <v>258854919</v>
      </c>
      <c r="Y213" s="110">
        <f t="shared" ref="Y213" si="170">P213-S213</f>
        <v>715645081</v>
      </c>
      <c r="Z213" s="18">
        <f t="shared" ref="Z213" si="171">S213-W213</f>
        <v>421316667</v>
      </c>
      <c r="AA213" s="123">
        <f t="shared" ref="AA213" si="172">S213/M213</f>
        <v>0.30392857142857144</v>
      </c>
    </row>
    <row r="214" spans="1:27" ht="18.75" customHeight="1" x14ac:dyDescent="0.2">
      <c r="A214" s="35"/>
      <c r="B214" s="36"/>
      <c r="C214" s="19" t="s">
        <v>907</v>
      </c>
      <c r="D214" s="37"/>
      <c r="E214" s="29" t="s">
        <v>199</v>
      </c>
      <c r="F214" s="38"/>
      <c r="G214" s="39"/>
      <c r="H214" s="40"/>
      <c r="I214" s="40"/>
      <c r="J214" s="40"/>
      <c r="K214" s="40"/>
      <c r="L214" s="40"/>
      <c r="M214" s="39"/>
      <c r="N214" s="40"/>
      <c r="O214" s="39"/>
      <c r="P214" s="39"/>
      <c r="Q214" s="39"/>
      <c r="R214" s="39"/>
      <c r="S214" s="39"/>
      <c r="T214" s="40"/>
      <c r="U214" s="40"/>
      <c r="V214" s="40"/>
      <c r="W214" s="31"/>
      <c r="X214" s="39"/>
      <c r="Y214" s="39"/>
      <c r="Z214" s="39"/>
      <c r="AA214" s="18"/>
    </row>
    <row r="215" spans="1:27" ht="26.25" customHeight="1" x14ac:dyDescent="0.2">
      <c r="A215" s="14"/>
      <c r="B215" s="15"/>
      <c r="C215" s="19" t="s">
        <v>907</v>
      </c>
      <c r="D215" s="28" t="s">
        <v>288</v>
      </c>
      <c r="E215" s="29" t="s">
        <v>312</v>
      </c>
      <c r="F215" s="17"/>
      <c r="G215" s="18"/>
      <c r="H215" s="34"/>
      <c r="I215" s="34"/>
      <c r="J215" s="34"/>
      <c r="K215" s="34"/>
      <c r="L215" s="34"/>
      <c r="M215" s="18"/>
      <c r="N215" s="34"/>
      <c r="O215" s="18"/>
      <c r="P215" s="18"/>
      <c r="Q215" s="18"/>
      <c r="R215" s="18"/>
      <c r="S215" s="18"/>
      <c r="T215" s="34"/>
      <c r="U215" s="34"/>
      <c r="V215" s="34"/>
      <c r="W215" s="31"/>
      <c r="X215" s="18"/>
      <c r="Y215" s="18"/>
      <c r="Z215" s="18"/>
      <c r="AA215" s="18"/>
    </row>
    <row r="216" spans="1:27" ht="18.75" customHeight="1" x14ac:dyDescent="0.2">
      <c r="A216" s="14" t="s">
        <v>55</v>
      </c>
      <c r="B216" s="15" t="s">
        <v>56</v>
      </c>
      <c r="C216" s="19" t="s">
        <v>907</v>
      </c>
      <c r="D216" s="16" t="s">
        <v>313</v>
      </c>
      <c r="E216" s="17" t="s">
        <v>233</v>
      </c>
      <c r="F216" s="17" t="s">
        <v>58</v>
      </c>
      <c r="G216" s="18">
        <v>400000000</v>
      </c>
      <c r="H216" s="34">
        <v>0</v>
      </c>
      <c r="I216" s="34">
        <v>0</v>
      </c>
      <c r="J216" s="34">
        <v>0</v>
      </c>
      <c r="K216" s="34">
        <v>0</v>
      </c>
      <c r="L216" s="34">
        <v>0</v>
      </c>
      <c r="M216" s="18">
        <v>400000000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0</v>
      </c>
      <c r="V216" s="34">
        <v>0</v>
      </c>
      <c r="W216" s="40">
        <f t="shared" ref="W216" si="173">T216+V216</f>
        <v>0</v>
      </c>
      <c r="X216" s="18">
        <f t="shared" ref="X216" si="174">M216-P216</f>
        <v>400000000</v>
      </c>
      <c r="Y216" s="34">
        <f t="shared" ref="Y216" si="175">P216-S216</f>
        <v>0</v>
      </c>
      <c r="Z216" s="34">
        <f t="shared" ref="Z216" si="176">S216-W216</f>
        <v>0</v>
      </c>
      <c r="AA216" s="123">
        <f t="shared" ref="AA216" si="177">S216/M216</f>
        <v>0</v>
      </c>
    </row>
    <row r="217" spans="1:27" ht="18.75" customHeight="1" x14ac:dyDescent="0.2">
      <c r="A217" s="14"/>
      <c r="B217" s="15"/>
      <c r="C217" s="19" t="s">
        <v>907</v>
      </c>
      <c r="D217" s="16"/>
      <c r="E217" s="17"/>
      <c r="F217" s="17"/>
      <c r="G217" s="18"/>
      <c r="H217" s="34"/>
      <c r="I217" s="34"/>
      <c r="J217" s="34"/>
      <c r="K217" s="34"/>
      <c r="L217" s="34"/>
      <c r="M217" s="18"/>
      <c r="N217" s="18"/>
      <c r="O217" s="18"/>
      <c r="P217" s="18"/>
      <c r="Q217" s="18"/>
      <c r="R217" s="18"/>
      <c r="S217" s="18"/>
      <c r="T217" s="34"/>
      <c r="U217" s="34"/>
      <c r="V217" s="34"/>
      <c r="W217" s="31"/>
      <c r="X217" s="18"/>
      <c r="Y217" s="18"/>
      <c r="Z217" s="18"/>
      <c r="AA217" s="18"/>
    </row>
    <row r="218" spans="1:27" s="25" customFormat="1" ht="18.75" customHeight="1" x14ac:dyDescent="0.2">
      <c r="A218" s="64"/>
      <c r="B218" s="65"/>
      <c r="C218" s="19" t="s">
        <v>907</v>
      </c>
      <c r="D218" s="66"/>
      <c r="E218" s="47" t="s">
        <v>314</v>
      </c>
      <c r="F218" s="22" t="s">
        <v>315</v>
      </c>
      <c r="G218" s="22">
        <f>SUM(G187:G216)</f>
        <v>4500000000</v>
      </c>
      <c r="H218" s="23">
        <f t="shared" ref="H218:Z218" si="178">SUM(H187:H216)</f>
        <v>0</v>
      </c>
      <c r="I218" s="23">
        <f t="shared" si="178"/>
        <v>0</v>
      </c>
      <c r="J218" s="23">
        <f t="shared" si="178"/>
        <v>0</v>
      </c>
      <c r="K218" s="23">
        <f t="shared" si="178"/>
        <v>0</v>
      </c>
      <c r="L218" s="23">
        <f t="shared" si="178"/>
        <v>0</v>
      </c>
      <c r="M218" s="22">
        <f t="shared" si="178"/>
        <v>4500000000</v>
      </c>
      <c r="N218" s="23">
        <f t="shared" si="178"/>
        <v>0</v>
      </c>
      <c r="O218" s="22">
        <f t="shared" si="178"/>
        <v>1417829278</v>
      </c>
      <c r="P218" s="22">
        <f t="shared" si="178"/>
        <v>2014329278</v>
      </c>
      <c r="Q218" s="22">
        <f t="shared" si="178"/>
        <v>42500000</v>
      </c>
      <c r="R218" s="22">
        <f t="shared" si="178"/>
        <v>775418969</v>
      </c>
      <c r="S218" s="22">
        <f t="shared" si="178"/>
        <v>1103418969</v>
      </c>
      <c r="T218" s="23">
        <f t="shared" si="178"/>
        <v>0</v>
      </c>
      <c r="U218" s="108">
        <f t="shared" si="178"/>
        <v>4183333</v>
      </c>
      <c r="V218" s="108">
        <f t="shared" si="178"/>
        <v>4183333</v>
      </c>
      <c r="W218" s="108">
        <f>T218+V218</f>
        <v>4183333</v>
      </c>
      <c r="X218" s="108">
        <f t="shared" si="178"/>
        <v>2485670722</v>
      </c>
      <c r="Y218" s="22">
        <f t="shared" si="178"/>
        <v>910910309</v>
      </c>
      <c r="Z218" s="22">
        <f t="shared" si="178"/>
        <v>1099235636</v>
      </c>
      <c r="AA218" s="24">
        <f t="shared" ref="AA218" si="179">S218/M218</f>
        <v>0.24520421533333334</v>
      </c>
    </row>
    <row r="219" spans="1:27" ht="18.75" customHeight="1" x14ac:dyDescent="0.2">
      <c r="A219" s="14"/>
      <c r="B219" s="15"/>
      <c r="C219" s="19" t="s">
        <v>907</v>
      </c>
      <c r="D219" s="16"/>
      <c r="E219" s="17"/>
      <c r="F219" s="17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s="25" customFormat="1" ht="18.75" customHeight="1" x14ac:dyDescent="0.2">
      <c r="A220" s="64"/>
      <c r="B220" s="65"/>
      <c r="C220" s="19" t="s">
        <v>907</v>
      </c>
      <c r="D220" s="66"/>
      <c r="E220" s="21" t="s">
        <v>316</v>
      </c>
      <c r="F220" s="67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63"/>
    </row>
    <row r="221" spans="1:27" ht="18.75" customHeight="1" x14ac:dyDescent="0.2">
      <c r="A221" s="14"/>
      <c r="B221" s="15"/>
      <c r="C221" s="19" t="s">
        <v>907</v>
      </c>
      <c r="D221" s="16"/>
      <c r="E221" s="29" t="s">
        <v>317</v>
      </c>
      <c r="F221" s="17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30"/>
      <c r="X221" s="18"/>
      <c r="Y221" s="18"/>
      <c r="Z221" s="18"/>
      <c r="AA221" s="18"/>
    </row>
    <row r="222" spans="1:27" ht="18.75" customHeight="1" x14ac:dyDescent="0.2">
      <c r="A222" s="14"/>
      <c r="B222" s="15"/>
      <c r="C222" s="19" t="s">
        <v>907</v>
      </c>
      <c r="D222" s="16"/>
      <c r="E222" s="29" t="s">
        <v>318</v>
      </c>
      <c r="F222" s="17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30"/>
      <c r="X222" s="18"/>
      <c r="Y222" s="18"/>
      <c r="Z222" s="18"/>
      <c r="AA222" s="18"/>
    </row>
    <row r="223" spans="1:27" ht="25.5" x14ac:dyDescent="0.2">
      <c r="A223" s="35"/>
      <c r="B223" s="36"/>
      <c r="C223" s="19" t="s">
        <v>907</v>
      </c>
      <c r="D223" s="37"/>
      <c r="E223" s="29" t="s">
        <v>319</v>
      </c>
      <c r="F223" s="38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0"/>
      <c r="X223" s="39"/>
      <c r="Y223" s="39"/>
      <c r="Z223" s="39"/>
      <c r="AA223" s="18"/>
    </row>
    <row r="224" spans="1:27" ht="18.75" customHeight="1" x14ac:dyDescent="0.2">
      <c r="A224" s="35"/>
      <c r="B224" s="36"/>
      <c r="C224" s="19" t="s">
        <v>907</v>
      </c>
      <c r="D224" s="37"/>
      <c r="E224" s="29" t="s">
        <v>320</v>
      </c>
      <c r="F224" s="38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0"/>
      <c r="X224" s="39"/>
      <c r="Y224" s="39"/>
      <c r="Z224" s="39"/>
      <c r="AA224" s="18"/>
    </row>
    <row r="225" spans="1:27" ht="18.75" customHeight="1" x14ac:dyDescent="0.2">
      <c r="A225" s="14"/>
      <c r="B225" s="15"/>
      <c r="C225" s="19" t="s">
        <v>907</v>
      </c>
      <c r="D225" s="16"/>
      <c r="E225" s="29" t="s">
        <v>46</v>
      </c>
      <c r="F225" s="17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30"/>
      <c r="X225" s="18"/>
      <c r="Y225" s="18"/>
      <c r="Z225" s="18"/>
      <c r="AA225" s="18"/>
    </row>
    <row r="226" spans="1:27" ht="18.75" customHeight="1" x14ac:dyDescent="0.2">
      <c r="A226" s="14"/>
      <c r="B226" s="15"/>
      <c r="C226" s="19" t="s">
        <v>907</v>
      </c>
      <c r="D226" s="16"/>
      <c r="E226" s="29" t="s">
        <v>48</v>
      </c>
      <c r="F226" s="17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30"/>
      <c r="X226" s="18"/>
      <c r="Y226" s="18"/>
      <c r="Z226" s="18"/>
      <c r="AA226" s="18"/>
    </row>
    <row r="227" spans="1:27" ht="18.75" customHeight="1" x14ac:dyDescent="0.2">
      <c r="A227" s="14"/>
      <c r="B227" s="15"/>
      <c r="C227" s="19" t="s">
        <v>907</v>
      </c>
      <c r="D227" s="16"/>
      <c r="E227" s="29" t="s">
        <v>52</v>
      </c>
      <c r="F227" s="17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30"/>
      <c r="X227" s="18"/>
      <c r="Y227" s="18"/>
      <c r="Z227" s="18"/>
      <c r="AA227" s="18"/>
    </row>
    <row r="228" spans="1:27" ht="18.75" customHeight="1" x14ac:dyDescent="0.2">
      <c r="C228" s="19" t="s">
        <v>907</v>
      </c>
      <c r="D228" s="28" t="s">
        <v>288</v>
      </c>
      <c r="E228" s="29" t="s">
        <v>54</v>
      </c>
      <c r="F228" s="17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30"/>
      <c r="X228" s="18"/>
      <c r="Y228" s="18"/>
      <c r="Z228" s="18"/>
      <c r="AA228" s="18"/>
    </row>
    <row r="229" spans="1:27" ht="18.75" customHeight="1" x14ac:dyDescent="0.2">
      <c r="A229" s="4" t="s">
        <v>55</v>
      </c>
      <c r="B229" s="4" t="s">
        <v>56</v>
      </c>
      <c r="C229" s="19" t="s">
        <v>907</v>
      </c>
      <c r="D229" s="41" t="s">
        <v>321</v>
      </c>
      <c r="E229" s="42" t="s">
        <v>322</v>
      </c>
      <c r="F229" s="38" t="s">
        <v>58</v>
      </c>
      <c r="G229" s="39">
        <v>1139356981</v>
      </c>
      <c r="H229" s="40">
        <v>0</v>
      </c>
      <c r="I229" s="40">
        <v>0</v>
      </c>
      <c r="J229" s="40">
        <v>0</v>
      </c>
      <c r="K229" s="40">
        <v>0</v>
      </c>
      <c r="L229" s="40">
        <v>0</v>
      </c>
      <c r="M229" s="39">
        <v>1139356981</v>
      </c>
      <c r="N229" s="40">
        <v>0</v>
      </c>
      <c r="O229" s="39">
        <v>0</v>
      </c>
      <c r="P229" s="39">
        <v>678902</v>
      </c>
      <c r="Q229" s="40">
        <v>0</v>
      </c>
      <c r="R229" s="39">
        <v>0</v>
      </c>
      <c r="S229" s="39">
        <v>279001</v>
      </c>
      <c r="T229" s="40">
        <v>0</v>
      </c>
      <c r="U229" s="40">
        <v>0</v>
      </c>
      <c r="V229" s="39">
        <v>279001</v>
      </c>
      <c r="W229" s="39">
        <f t="shared" ref="W229:W230" si="180">T229+V229</f>
        <v>279001</v>
      </c>
      <c r="X229" s="18">
        <f t="shared" ref="X229:X230" si="181">M229-P229</f>
        <v>1138678079</v>
      </c>
      <c r="Y229" s="110">
        <f t="shared" ref="Y229:Y230" si="182">P229-S229</f>
        <v>399901</v>
      </c>
      <c r="Z229" s="34">
        <f t="shared" ref="Z229:Z230" si="183">S229-W229</f>
        <v>0</v>
      </c>
      <c r="AA229" s="123">
        <f t="shared" ref="AA229:AA230" si="184">S229/M229</f>
        <v>2.4487584194650229E-4</v>
      </c>
    </row>
    <row r="230" spans="1:27" ht="18.75" customHeight="1" x14ac:dyDescent="0.2">
      <c r="A230" s="4" t="s">
        <v>55</v>
      </c>
      <c r="B230" s="4" t="s">
        <v>56</v>
      </c>
      <c r="C230" s="19" t="s">
        <v>907</v>
      </c>
      <c r="D230" s="41" t="s">
        <v>323</v>
      </c>
      <c r="E230" s="42" t="s">
        <v>324</v>
      </c>
      <c r="F230" s="43" t="s">
        <v>61</v>
      </c>
      <c r="G230" s="43">
        <v>9000660718</v>
      </c>
      <c r="H230" s="44">
        <v>0</v>
      </c>
      <c r="I230" s="44">
        <v>0</v>
      </c>
      <c r="J230" s="44">
        <v>0</v>
      </c>
      <c r="K230" s="44">
        <v>0</v>
      </c>
      <c r="L230" s="44">
        <v>0</v>
      </c>
      <c r="M230" s="43">
        <v>9000660718</v>
      </c>
      <c r="N230" s="44">
        <v>0</v>
      </c>
      <c r="O230" s="43">
        <v>697181898</v>
      </c>
      <c r="P230" s="43">
        <v>1310917909</v>
      </c>
      <c r="Q230" s="44">
        <v>0</v>
      </c>
      <c r="R230" s="43">
        <v>696163544</v>
      </c>
      <c r="S230" s="43">
        <v>1309899555</v>
      </c>
      <c r="T230" s="44">
        <v>0</v>
      </c>
      <c r="U230" s="43">
        <f>V230-[1]ENERO!U230</f>
        <v>696163544</v>
      </c>
      <c r="V230" s="43">
        <v>1309899555</v>
      </c>
      <c r="W230" s="39">
        <f t="shared" si="180"/>
        <v>1309899555</v>
      </c>
      <c r="X230" s="18">
        <f t="shared" si="181"/>
        <v>7689742809</v>
      </c>
      <c r="Y230" s="110">
        <f t="shared" si="182"/>
        <v>1018354</v>
      </c>
      <c r="Z230" s="34">
        <f t="shared" si="183"/>
        <v>0</v>
      </c>
      <c r="AA230" s="123">
        <f t="shared" si="184"/>
        <v>0.14553371091751</v>
      </c>
    </row>
    <row r="231" spans="1:27" ht="18.75" customHeight="1" x14ac:dyDescent="0.2">
      <c r="C231" s="19" t="s">
        <v>907</v>
      </c>
      <c r="D231" s="28" t="s">
        <v>288</v>
      </c>
      <c r="E231" s="29" t="s">
        <v>71</v>
      </c>
      <c r="F231" s="17"/>
      <c r="G231" s="18"/>
      <c r="H231" s="34"/>
      <c r="I231" s="34"/>
      <c r="J231" s="34"/>
      <c r="K231" s="34"/>
      <c r="L231" s="34"/>
      <c r="M231" s="18"/>
      <c r="N231" s="34"/>
      <c r="O231" s="18"/>
      <c r="P231" s="18"/>
      <c r="Q231" s="34"/>
      <c r="R231" s="18"/>
      <c r="S231" s="18"/>
      <c r="T231" s="34"/>
      <c r="U231" s="18"/>
      <c r="V231" s="18"/>
      <c r="W231" s="30"/>
      <c r="X231" s="18"/>
      <c r="Y231" s="18"/>
      <c r="Z231" s="34"/>
      <c r="AA231" s="18"/>
    </row>
    <row r="232" spans="1:27" ht="18.75" customHeight="1" x14ac:dyDescent="0.2">
      <c r="A232" s="4" t="s">
        <v>325</v>
      </c>
      <c r="B232" s="4" t="s">
        <v>326</v>
      </c>
      <c r="C232" s="19" t="s">
        <v>907</v>
      </c>
      <c r="D232" s="41" t="s">
        <v>327</v>
      </c>
      <c r="E232" s="42" t="s">
        <v>328</v>
      </c>
      <c r="F232" s="43" t="s">
        <v>61</v>
      </c>
      <c r="G232" s="43">
        <v>391454539</v>
      </c>
      <c r="H232" s="44">
        <v>0</v>
      </c>
      <c r="I232" s="44">
        <v>0</v>
      </c>
      <c r="J232" s="44">
        <v>0</v>
      </c>
      <c r="K232" s="44">
        <v>0</v>
      </c>
      <c r="L232" s="44">
        <v>0</v>
      </c>
      <c r="M232" s="43">
        <v>391454539</v>
      </c>
      <c r="N232" s="44">
        <v>0</v>
      </c>
      <c r="O232" s="43">
        <v>935838</v>
      </c>
      <c r="P232" s="43">
        <v>5045128</v>
      </c>
      <c r="Q232" s="44">
        <v>0</v>
      </c>
      <c r="R232" s="43">
        <v>935838</v>
      </c>
      <c r="S232" s="43">
        <v>5045128</v>
      </c>
      <c r="T232" s="44">
        <v>0</v>
      </c>
      <c r="U232" s="43">
        <f>V232-[1]ENERO!U232</f>
        <v>935838</v>
      </c>
      <c r="V232" s="43">
        <v>5045128</v>
      </c>
      <c r="W232" s="39">
        <f t="shared" ref="W232" si="185">T232+V232</f>
        <v>5045128</v>
      </c>
      <c r="X232" s="18">
        <f t="shared" ref="X232" si="186">M232-P232</f>
        <v>386409411</v>
      </c>
      <c r="Y232" s="34">
        <f t="shared" ref="Y232" si="187">P232-S232</f>
        <v>0</v>
      </c>
      <c r="Z232" s="34">
        <f t="shared" ref="Z232" si="188">S232-W232</f>
        <v>0</v>
      </c>
      <c r="AA232" s="123">
        <f t="shared" ref="AA232" si="189">S232/M232</f>
        <v>1.2888158131690485E-2</v>
      </c>
    </row>
    <row r="233" spans="1:27" ht="18.75" customHeight="1" x14ac:dyDescent="0.2">
      <c r="C233" s="19" t="s">
        <v>907</v>
      </c>
      <c r="D233" s="28" t="s">
        <v>288</v>
      </c>
      <c r="E233" s="29" t="s">
        <v>76</v>
      </c>
      <c r="F233" s="17"/>
      <c r="G233" s="18"/>
      <c r="H233" s="18"/>
      <c r="I233" s="18"/>
      <c r="J233" s="18"/>
      <c r="K233" s="18"/>
      <c r="L233" s="18"/>
      <c r="M233" s="18"/>
      <c r="N233" s="34"/>
      <c r="O233" s="18"/>
      <c r="P233" s="18"/>
      <c r="Q233" s="34"/>
      <c r="R233" s="18"/>
      <c r="S233" s="18"/>
      <c r="T233" s="34"/>
      <c r="U233" s="18"/>
      <c r="V233" s="18"/>
      <c r="W233" s="30"/>
      <c r="X233" s="18"/>
      <c r="Y233" s="18"/>
      <c r="Z233" s="34"/>
      <c r="AA233" s="18"/>
    </row>
    <row r="234" spans="1:27" ht="18.75" customHeight="1" x14ac:dyDescent="0.2">
      <c r="A234" s="4" t="s">
        <v>325</v>
      </c>
      <c r="B234" s="4" t="s">
        <v>326</v>
      </c>
      <c r="C234" s="19" t="s">
        <v>907</v>
      </c>
      <c r="D234" s="41" t="s">
        <v>329</v>
      </c>
      <c r="E234" s="42" t="s">
        <v>328</v>
      </c>
      <c r="F234" s="43" t="s">
        <v>61</v>
      </c>
      <c r="G234" s="43">
        <v>277293782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3">
        <v>277293782</v>
      </c>
      <c r="N234" s="44">
        <v>0</v>
      </c>
      <c r="O234" s="43">
        <v>10446886</v>
      </c>
      <c r="P234" s="43">
        <v>29666804</v>
      </c>
      <c r="Q234" s="44">
        <v>0</v>
      </c>
      <c r="R234" s="43">
        <v>10446886</v>
      </c>
      <c r="S234" s="43">
        <v>29666804</v>
      </c>
      <c r="T234" s="44">
        <v>0</v>
      </c>
      <c r="U234" s="43">
        <f>V234-[1]ENERO!U234</f>
        <v>10446886</v>
      </c>
      <c r="V234" s="43">
        <v>29666804</v>
      </c>
      <c r="W234" s="39">
        <f t="shared" ref="W234" si="190">T234+V234</f>
        <v>29666804</v>
      </c>
      <c r="X234" s="18">
        <f t="shared" ref="X234" si="191">M234-P234</f>
        <v>247626978</v>
      </c>
      <c r="Y234" s="34">
        <f t="shared" ref="Y234" si="192">P234-S234</f>
        <v>0</v>
      </c>
      <c r="Z234" s="34">
        <f t="shared" ref="Z234" si="193">S234-W234</f>
        <v>0</v>
      </c>
      <c r="AA234" s="123">
        <f t="shared" ref="AA234" si="194">S234/M234</f>
        <v>0.10698690676013788</v>
      </c>
    </row>
    <row r="235" spans="1:27" ht="18.75" customHeight="1" x14ac:dyDescent="0.2">
      <c r="C235" s="19" t="s">
        <v>907</v>
      </c>
      <c r="D235" s="16"/>
      <c r="E235" s="29" t="s">
        <v>81</v>
      </c>
      <c r="F235" s="17"/>
      <c r="G235" s="18"/>
      <c r="H235" s="34"/>
      <c r="I235" s="34"/>
      <c r="J235" s="34"/>
      <c r="K235" s="34"/>
      <c r="L235" s="34"/>
      <c r="M235" s="18"/>
      <c r="N235" s="34"/>
      <c r="O235" s="18"/>
      <c r="P235" s="18"/>
      <c r="Q235" s="34"/>
      <c r="R235" s="18"/>
      <c r="S235" s="18"/>
      <c r="T235" s="34"/>
      <c r="U235" s="18"/>
      <c r="V235" s="18"/>
      <c r="W235" s="30"/>
      <c r="X235" s="18"/>
      <c r="Y235" s="18"/>
      <c r="Z235" s="18"/>
      <c r="AA235" s="18"/>
    </row>
    <row r="236" spans="1:27" ht="18.75" customHeight="1" x14ac:dyDescent="0.2">
      <c r="C236" s="19" t="s">
        <v>907</v>
      </c>
      <c r="D236" s="28" t="s">
        <v>288</v>
      </c>
      <c r="E236" s="29" t="s">
        <v>83</v>
      </c>
      <c r="F236" s="17"/>
      <c r="G236" s="18"/>
      <c r="H236" s="34"/>
      <c r="I236" s="34"/>
      <c r="J236" s="34"/>
      <c r="K236" s="34"/>
      <c r="L236" s="34"/>
      <c r="M236" s="18"/>
      <c r="N236" s="34"/>
      <c r="O236" s="18"/>
      <c r="P236" s="18"/>
      <c r="Q236" s="34"/>
      <c r="R236" s="18"/>
      <c r="S236" s="18"/>
      <c r="T236" s="34"/>
      <c r="U236" s="18"/>
      <c r="V236" s="18"/>
      <c r="W236" s="30"/>
      <c r="X236" s="18"/>
      <c r="Y236" s="18"/>
      <c r="Z236" s="18"/>
      <c r="AA236" s="18"/>
    </row>
    <row r="237" spans="1:27" ht="18.75" customHeight="1" x14ac:dyDescent="0.2">
      <c r="A237" s="4" t="s">
        <v>325</v>
      </c>
      <c r="B237" s="4" t="s">
        <v>326</v>
      </c>
      <c r="C237" s="19" t="s">
        <v>907</v>
      </c>
      <c r="D237" s="41" t="s">
        <v>330</v>
      </c>
      <c r="E237" s="42" t="s">
        <v>328</v>
      </c>
      <c r="F237" s="43" t="s">
        <v>61</v>
      </c>
      <c r="G237" s="43">
        <v>863231353</v>
      </c>
      <c r="H237" s="44">
        <v>0</v>
      </c>
      <c r="I237" s="44">
        <v>0</v>
      </c>
      <c r="J237" s="44">
        <v>0</v>
      </c>
      <c r="K237" s="44">
        <v>0</v>
      </c>
      <c r="L237" s="44">
        <v>0</v>
      </c>
      <c r="M237" s="43">
        <v>863231353</v>
      </c>
      <c r="N237" s="44">
        <v>0</v>
      </c>
      <c r="O237" s="43">
        <v>381451</v>
      </c>
      <c r="P237" s="43">
        <v>1614758</v>
      </c>
      <c r="Q237" s="44">
        <v>0</v>
      </c>
      <c r="R237" s="43">
        <v>381451</v>
      </c>
      <c r="S237" s="43">
        <v>1614758</v>
      </c>
      <c r="T237" s="44">
        <v>0</v>
      </c>
      <c r="U237" s="43">
        <v>381451</v>
      </c>
      <c r="V237" s="43">
        <v>1614758</v>
      </c>
      <c r="W237" s="39">
        <f t="shared" ref="W237" si="195">T237+V237</f>
        <v>1614758</v>
      </c>
      <c r="X237" s="18">
        <f t="shared" ref="X237" si="196">M237-P237</f>
        <v>861616595</v>
      </c>
      <c r="Y237" s="34">
        <f t="shared" ref="Y237" si="197">P237-S237</f>
        <v>0</v>
      </c>
      <c r="Z237" s="34">
        <f t="shared" ref="Z237" si="198">S237-W237</f>
        <v>0</v>
      </c>
      <c r="AA237" s="123">
        <f t="shared" ref="AA237" si="199">S237/M237</f>
        <v>1.8705970240633742E-3</v>
      </c>
    </row>
    <row r="238" spans="1:27" ht="18.75" customHeight="1" x14ac:dyDescent="0.2">
      <c r="C238" s="19" t="s">
        <v>907</v>
      </c>
      <c r="D238" s="28" t="s">
        <v>288</v>
      </c>
      <c r="E238" s="29" t="s">
        <v>88</v>
      </c>
      <c r="F238" s="17"/>
      <c r="G238" s="18"/>
      <c r="H238" s="34"/>
      <c r="I238" s="34"/>
      <c r="J238" s="34"/>
      <c r="K238" s="34"/>
      <c r="L238" s="34"/>
      <c r="M238" s="18"/>
      <c r="N238" s="18"/>
      <c r="O238" s="18"/>
      <c r="P238" s="18"/>
      <c r="Q238" s="18"/>
      <c r="R238" s="18"/>
      <c r="S238" s="18"/>
      <c r="T238" s="34"/>
      <c r="U238" s="18"/>
      <c r="V238" s="18"/>
      <c r="W238" s="30"/>
      <c r="X238" s="18"/>
      <c r="Y238" s="18"/>
      <c r="Z238" s="34"/>
      <c r="AA238" s="18"/>
    </row>
    <row r="239" spans="1:27" ht="18.75" customHeight="1" x14ac:dyDescent="0.2">
      <c r="A239" s="4" t="s">
        <v>325</v>
      </c>
      <c r="B239" s="4" t="s">
        <v>326</v>
      </c>
      <c r="C239" s="19" t="s">
        <v>907</v>
      </c>
      <c r="D239" s="41" t="s">
        <v>331</v>
      </c>
      <c r="E239" s="42" t="s">
        <v>328</v>
      </c>
      <c r="F239" s="43" t="s">
        <v>61</v>
      </c>
      <c r="G239" s="43">
        <v>240951939</v>
      </c>
      <c r="H239" s="44">
        <v>0</v>
      </c>
      <c r="I239" s="44">
        <v>0</v>
      </c>
      <c r="J239" s="44">
        <v>0</v>
      </c>
      <c r="K239" s="44">
        <v>0</v>
      </c>
      <c r="L239" s="44">
        <v>0</v>
      </c>
      <c r="M239" s="43">
        <v>240951939</v>
      </c>
      <c r="N239" s="44">
        <v>0</v>
      </c>
      <c r="O239" s="43">
        <v>5422764</v>
      </c>
      <c r="P239" s="43">
        <v>10996531</v>
      </c>
      <c r="Q239" s="43">
        <v>0</v>
      </c>
      <c r="R239" s="43">
        <v>5422764</v>
      </c>
      <c r="S239" s="43">
        <v>10996531</v>
      </c>
      <c r="T239" s="44">
        <v>0</v>
      </c>
      <c r="U239" s="43">
        <f>V239-[1]ENERO!U239</f>
        <v>5422764</v>
      </c>
      <c r="V239" s="43">
        <v>10996531</v>
      </c>
      <c r="W239" s="39">
        <f t="shared" ref="W239" si="200">T239+V239</f>
        <v>10996531</v>
      </c>
      <c r="X239" s="18">
        <f t="shared" ref="X239" si="201">M239-P239</f>
        <v>229955408</v>
      </c>
      <c r="Y239" s="34">
        <f t="shared" ref="Y239" si="202">P239-S239</f>
        <v>0</v>
      </c>
      <c r="Z239" s="34">
        <f t="shared" ref="Z239" si="203">S239-W239</f>
        <v>0</v>
      </c>
      <c r="AA239" s="123">
        <f t="shared" ref="AA239" si="204">S239/M239</f>
        <v>4.5637860585965237E-2</v>
      </c>
    </row>
    <row r="240" spans="1:27" ht="18.75" customHeight="1" x14ac:dyDescent="0.2">
      <c r="C240" s="19" t="s">
        <v>907</v>
      </c>
      <c r="D240" s="16"/>
      <c r="E240" s="29" t="s">
        <v>103</v>
      </c>
      <c r="F240" s="17"/>
      <c r="G240" s="18"/>
      <c r="H240" s="34"/>
      <c r="I240" s="34"/>
      <c r="J240" s="34"/>
      <c r="K240" s="34"/>
      <c r="L240" s="34"/>
      <c r="M240" s="18"/>
      <c r="N240" s="34"/>
      <c r="O240" s="18"/>
      <c r="P240" s="18"/>
      <c r="Q240" s="18"/>
      <c r="R240" s="18"/>
      <c r="S240" s="18"/>
      <c r="T240" s="18"/>
      <c r="U240" s="18"/>
      <c r="V240" s="18"/>
      <c r="W240" s="30"/>
      <c r="X240" s="18"/>
      <c r="Y240" s="18"/>
      <c r="Z240" s="34"/>
      <c r="AA240" s="18"/>
    </row>
    <row r="241" spans="1:27" ht="18.75" customHeight="1" x14ac:dyDescent="0.2">
      <c r="C241" s="19" t="s">
        <v>907</v>
      </c>
      <c r="D241" s="28" t="s">
        <v>288</v>
      </c>
      <c r="E241" s="29" t="s">
        <v>105</v>
      </c>
      <c r="F241" s="17"/>
      <c r="G241" s="18"/>
      <c r="H241" s="34"/>
      <c r="I241" s="34"/>
      <c r="J241" s="34"/>
      <c r="K241" s="34"/>
      <c r="L241" s="34"/>
      <c r="M241" s="18"/>
      <c r="N241" s="34"/>
      <c r="O241" s="18"/>
      <c r="P241" s="18"/>
      <c r="Q241" s="18"/>
      <c r="R241" s="18"/>
      <c r="S241" s="18"/>
      <c r="T241" s="18"/>
      <c r="U241" s="18"/>
      <c r="V241" s="18"/>
      <c r="W241" s="30"/>
      <c r="X241" s="18"/>
      <c r="Y241" s="18"/>
      <c r="Z241" s="34"/>
      <c r="AA241" s="18"/>
    </row>
    <row r="242" spans="1:27" ht="18.75" customHeight="1" x14ac:dyDescent="0.2">
      <c r="A242" s="4" t="s">
        <v>325</v>
      </c>
      <c r="B242" s="4" t="s">
        <v>326</v>
      </c>
      <c r="C242" s="19" t="s">
        <v>907</v>
      </c>
      <c r="D242" s="41" t="s">
        <v>332</v>
      </c>
      <c r="E242" s="42" t="s">
        <v>328</v>
      </c>
      <c r="F242" s="43" t="s">
        <v>61</v>
      </c>
      <c r="G242" s="43">
        <v>1112875275</v>
      </c>
      <c r="H242" s="44">
        <v>0</v>
      </c>
      <c r="I242" s="44">
        <v>0</v>
      </c>
      <c r="J242" s="44">
        <v>0</v>
      </c>
      <c r="K242" s="44">
        <v>0</v>
      </c>
      <c r="L242" s="44">
        <v>0</v>
      </c>
      <c r="M242" s="43">
        <v>1112875275</v>
      </c>
      <c r="N242" s="44">
        <v>0</v>
      </c>
      <c r="O242" s="43">
        <v>84402600</v>
      </c>
      <c r="P242" s="43">
        <v>171564700</v>
      </c>
      <c r="Q242" s="44">
        <v>0</v>
      </c>
      <c r="R242" s="43">
        <v>84800800</v>
      </c>
      <c r="S242" s="43">
        <v>171090900</v>
      </c>
      <c r="T242" s="110">
        <v>84402600</v>
      </c>
      <c r="U242" s="110">
        <f>V242-[1]ENERO!U242</f>
        <v>86688300</v>
      </c>
      <c r="V242" s="110">
        <v>86688300</v>
      </c>
      <c r="W242" s="39">
        <f t="shared" ref="W242" si="205">T242+V242</f>
        <v>171090900</v>
      </c>
      <c r="X242" s="18">
        <f t="shared" ref="X242" si="206">M242-P242</f>
        <v>941310575</v>
      </c>
      <c r="Y242" s="110">
        <f t="shared" ref="Y242" si="207">P242-S242</f>
        <v>473800</v>
      </c>
      <c r="Z242" s="34">
        <f t="shared" ref="Z242" si="208">S242-W242</f>
        <v>0</v>
      </c>
      <c r="AA242" s="123">
        <f t="shared" ref="AA242" si="209">S242/M242</f>
        <v>0.15373771333000458</v>
      </c>
    </row>
    <row r="243" spans="1:27" ht="18.75" customHeight="1" x14ac:dyDescent="0.2">
      <c r="C243" s="19" t="s">
        <v>907</v>
      </c>
      <c r="D243" s="28" t="s">
        <v>288</v>
      </c>
      <c r="E243" s="29" t="s">
        <v>333</v>
      </c>
      <c r="F243" s="17"/>
      <c r="G243" s="18"/>
      <c r="H243" s="34"/>
      <c r="I243" s="34"/>
      <c r="J243" s="34"/>
      <c r="K243" s="34"/>
      <c r="L243" s="34"/>
      <c r="M243" s="18"/>
      <c r="N243" s="34"/>
      <c r="O243" s="18"/>
      <c r="P243" s="18"/>
      <c r="Q243" s="34"/>
      <c r="R243" s="18"/>
      <c r="S243" s="18"/>
      <c r="T243" s="110"/>
      <c r="U243" s="110"/>
      <c r="V243" s="110"/>
      <c r="W243" s="40"/>
      <c r="X243" s="18"/>
      <c r="Y243" s="110"/>
      <c r="Z243" s="34"/>
      <c r="AA243" s="18"/>
    </row>
    <row r="244" spans="1:27" ht="18.75" customHeight="1" x14ac:dyDescent="0.2">
      <c r="A244" s="4" t="s">
        <v>325</v>
      </c>
      <c r="B244" s="4" t="s">
        <v>326</v>
      </c>
      <c r="C244" s="19" t="s">
        <v>907</v>
      </c>
      <c r="D244" s="41" t="s">
        <v>334</v>
      </c>
      <c r="E244" s="42" t="s">
        <v>328</v>
      </c>
      <c r="F244" s="43" t="s">
        <v>61</v>
      </c>
      <c r="G244" s="43">
        <v>785176343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3">
        <v>785176343</v>
      </c>
      <c r="N244" s="44">
        <v>0</v>
      </c>
      <c r="O244" s="43">
        <v>60006800</v>
      </c>
      <c r="P244" s="43">
        <v>121818000</v>
      </c>
      <c r="Q244" s="44">
        <v>0</v>
      </c>
      <c r="R244" s="43">
        <v>60317900</v>
      </c>
      <c r="S244" s="43">
        <v>121447800</v>
      </c>
      <c r="T244" s="110">
        <v>60006800</v>
      </c>
      <c r="U244" s="110">
        <f>V244-[1]ENERO!U244</f>
        <v>61441000</v>
      </c>
      <c r="V244" s="110">
        <v>61441000</v>
      </c>
      <c r="W244" s="39">
        <f t="shared" ref="W244" si="210">T244+V244</f>
        <v>121447800</v>
      </c>
      <c r="X244" s="18">
        <f t="shared" ref="X244" si="211">M244-P244</f>
        <v>663358343</v>
      </c>
      <c r="Y244" s="110">
        <f t="shared" ref="Y244" si="212">P244-S244</f>
        <v>370200</v>
      </c>
      <c r="Z244" s="34">
        <f t="shared" ref="Z244" si="213">S244-W244</f>
        <v>0</v>
      </c>
      <c r="AA244" s="123">
        <f t="shared" ref="AA244" si="214">S244/M244</f>
        <v>0.15467582675246241</v>
      </c>
    </row>
    <row r="245" spans="1:27" ht="18.75" customHeight="1" x14ac:dyDescent="0.2">
      <c r="C245" s="19" t="s">
        <v>907</v>
      </c>
      <c r="D245" s="28" t="s">
        <v>288</v>
      </c>
      <c r="E245" s="29" t="s">
        <v>115</v>
      </c>
      <c r="F245" s="17"/>
      <c r="G245" s="18"/>
      <c r="H245" s="34"/>
      <c r="I245" s="34"/>
      <c r="J245" s="34"/>
      <c r="K245" s="34"/>
      <c r="L245" s="34"/>
      <c r="M245" s="18"/>
      <c r="N245" s="34"/>
      <c r="O245" s="18"/>
      <c r="P245" s="18"/>
      <c r="Q245" s="34"/>
      <c r="R245" s="18"/>
      <c r="S245" s="18"/>
      <c r="T245" s="110"/>
      <c r="U245" s="110"/>
      <c r="V245" s="110"/>
      <c r="W245" s="30"/>
      <c r="X245" s="18"/>
      <c r="Y245" s="18"/>
      <c r="Z245" s="18"/>
      <c r="AA245" s="18"/>
    </row>
    <row r="246" spans="1:27" ht="18.75" customHeight="1" x14ac:dyDescent="0.2">
      <c r="A246" s="4" t="s">
        <v>325</v>
      </c>
      <c r="B246" s="4" t="s">
        <v>326</v>
      </c>
      <c r="C246" s="19" t="s">
        <v>907</v>
      </c>
      <c r="D246" s="41" t="s">
        <v>335</v>
      </c>
      <c r="E246" s="42" t="s">
        <v>328</v>
      </c>
      <c r="F246" s="43" t="s">
        <v>61</v>
      </c>
      <c r="G246" s="43">
        <v>1074031411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3">
        <v>1074031411</v>
      </c>
      <c r="N246" s="44">
        <v>0</v>
      </c>
      <c r="O246" s="43">
        <v>566856685</v>
      </c>
      <c r="P246" s="43">
        <v>625120473</v>
      </c>
      <c r="Q246" s="44">
        <v>0</v>
      </c>
      <c r="R246" s="43">
        <v>566856685</v>
      </c>
      <c r="S246" s="43">
        <v>625120473</v>
      </c>
      <c r="T246" s="114">
        <v>989501</v>
      </c>
      <c r="U246" s="114">
        <f>V246-[1]ENERO!U246</f>
        <v>568388105</v>
      </c>
      <c r="V246" s="114">
        <v>618576673</v>
      </c>
      <c r="W246" s="39">
        <f t="shared" ref="W246" si="215">T246+V246</f>
        <v>619566174</v>
      </c>
      <c r="X246" s="18">
        <f t="shared" ref="X246" si="216">M246-P246</f>
        <v>448910938</v>
      </c>
      <c r="Y246" s="34">
        <f t="shared" ref="Y246" si="217">P246-S246</f>
        <v>0</v>
      </c>
      <c r="Z246" s="18">
        <f t="shared" ref="Z246" si="218">S246-W246</f>
        <v>5554299</v>
      </c>
      <c r="AA246" s="123">
        <f t="shared" ref="AA246" si="219">S246/M246</f>
        <v>0.58203183500747724</v>
      </c>
    </row>
    <row r="247" spans="1:27" ht="18.75" customHeight="1" x14ac:dyDescent="0.2">
      <c r="C247" s="19" t="s">
        <v>907</v>
      </c>
      <c r="D247" s="28" t="s">
        <v>288</v>
      </c>
      <c r="E247" s="29" t="s">
        <v>119</v>
      </c>
      <c r="F247" s="17"/>
      <c r="G247" s="18"/>
      <c r="H247" s="34"/>
      <c r="I247" s="34"/>
      <c r="J247" s="34"/>
      <c r="K247" s="34"/>
      <c r="L247" s="34"/>
      <c r="M247" s="18"/>
      <c r="N247" s="18"/>
      <c r="O247" s="18"/>
      <c r="P247" s="18"/>
      <c r="Q247" s="34"/>
      <c r="R247" s="18"/>
      <c r="S247" s="18"/>
      <c r="T247" s="110"/>
      <c r="U247" s="110"/>
      <c r="V247" s="110"/>
      <c r="W247" s="30"/>
      <c r="X247" s="18"/>
      <c r="Y247" s="18"/>
      <c r="Z247" s="18"/>
      <c r="AA247" s="18"/>
    </row>
    <row r="248" spans="1:27" ht="18.75" customHeight="1" x14ac:dyDescent="0.2">
      <c r="A248" s="4" t="s">
        <v>325</v>
      </c>
      <c r="B248" s="4" t="s">
        <v>326</v>
      </c>
      <c r="C248" s="19" t="s">
        <v>907</v>
      </c>
      <c r="D248" s="41" t="s">
        <v>336</v>
      </c>
      <c r="E248" s="42" t="s">
        <v>328</v>
      </c>
      <c r="F248" s="43" t="s">
        <v>61</v>
      </c>
      <c r="G248" s="43">
        <v>438243332</v>
      </c>
      <c r="H248" s="44">
        <v>0</v>
      </c>
      <c r="I248" s="44">
        <v>0</v>
      </c>
      <c r="J248" s="44">
        <v>0</v>
      </c>
      <c r="K248" s="44">
        <v>0</v>
      </c>
      <c r="L248" s="44">
        <v>0</v>
      </c>
      <c r="M248" s="43">
        <v>438243332</v>
      </c>
      <c r="N248" s="44">
        <v>0</v>
      </c>
      <c r="O248" s="43">
        <v>28483100</v>
      </c>
      <c r="P248" s="43">
        <v>58008100</v>
      </c>
      <c r="Q248" s="44">
        <v>0</v>
      </c>
      <c r="R248" s="43">
        <v>28483100</v>
      </c>
      <c r="S248" s="43">
        <v>58008100</v>
      </c>
      <c r="T248" s="110">
        <v>28483100</v>
      </c>
      <c r="U248" s="110">
        <v>29525000</v>
      </c>
      <c r="V248" s="110">
        <v>29525000</v>
      </c>
      <c r="W248" s="39">
        <f t="shared" ref="W248:W262" si="220">T248+V248</f>
        <v>58008100</v>
      </c>
      <c r="X248" s="18">
        <f t="shared" ref="X248" si="221">M248-P248</f>
        <v>380235232</v>
      </c>
      <c r="Y248" s="34">
        <f t="shared" ref="Y248" si="222">P248-S248</f>
        <v>0</v>
      </c>
      <c r="Z248" s="34">
        <f t="shared" ref="Z248" si="223">S248-W248</f>
        <v>0</v>
      </c>
      <c r="AA248" s="123">
        <f t="shared" ref="AA248" si="224">S248/M248</f>
        <v>0.13236504873963489</v>
      </c>
    </row>
    <row r="249" spans="1:27" ht="18.75" customHeight="1" x14ac:dyDescent="0.2">
      <c r="C249" s="19" t="s">
        <v>907</v>
      </c>
      <c r="D249" s="28" t="s">
        <v>288</v>
      </c>
      <c r="E249" s="29" t="s">
        <v>124</v>
      </c>
      <c r="F249" s="17"/>
      <c r="G249" s="18"/>
      <c r="H249" s="34"/>
      <c r="I249" s="34"/>
      <c r="J249" s="34"/>
      <c r="K249" s="34"/>
      <c r="L249" s="34"/>
      <c r="M249" s="18"/>
      <c r="N249" s="34"/>
      <c r="O249" s="18"/>
      <c r="P249" s="18"/>
      <c r="Q249" s="34"/>
      <c r="R249" s="18"/>
      <c r="S249" s="18"/>
      <c r="T249" s="34"/>
      <c r="U249" s="34"/>
      <c r="V249" s="34"/>
      <c r="W249" s="40">
        <f t="shared" si="220"/>
        <v>0</v>
      </c>
      <c r="X249" s="18"/>
      <c r="Y249" s="18"/>
      <c r="Z249" s="34"/>
      <c r="AA249" s="18"/>
    </row>
    <row r="250" spans="1:27" ht="18.75" customHeight="1" x14ac:dyDescent="0.2">
      <c r="A250" s="4" t="s">
        <v>325</v>
      </c>
      <c r="B250" s="4" t="s">
        <v>326</v>
      </c>
      <c r="C250" s="19" t="s">
        <v>907</v>
      </c>
      <c r="D250" s="41" t="s">
        <v>337</v>
      </c>
      <c r="E250" s="42" t="s">
        <v>328</v>
      </c>
      <c r="F250" s="43" t="s">
        <v>61</v>
      </c>
      <c r="G250" s="43">
        <v>46632075</v>
      </c>
      <c r="H250" s="44">
        <v>0</v>
      </c>
      <c r="I250" s="44">
        <v>0</v>
      </c>
      <c r="J250" s="44">
        <v>0</v>
      </c>
      <c r="K250" s="44">
        <v>0</v>
      </c>
      <c r="L250" s="44">
        <v>0</v>
      </c>
      <c r="M250" s="43">
        <v>46632075</v>
      </c>
      <c r="N250" s="44">
        <v>0</v>
      </c>
      <c r="O250" s="43">
        <v>3695200</v>
      </c>
      <c r="P250" s="43">
        <v>6989100</v>
      </c>
      <c r="Q250" s="44">
        <v>0</v>
      </c>
      <c r="R250" s="43">
        <v>3695200</v>
      </c>
      <c r="S250" s="43">
        <v>6989100</v>
      </c>
      <c r="T250" s="110">
        <v>3695200</v>
      </c>
      <c r="U250" s="110">
        <v>3293900</v>
      </c>
      <c r="V250" s="110">
        <v>3293900</v>
      </c>
      <c r="W250" s="39">
        <f t="shared" si="220"/>
        <v>6989100</v>
      </c>
      <c r="X250" s="18">
        <f t="shared" ref="X250" si="225">M250-P250</f>
        <v>39642975</v>
      </c>
      <c r="Y250" s="34">
        <f t="shared" ref="Y250" si="226">P250-S250</f>
        <v>0</v>
      </c>
      <c r="Z250" s="34">
        <f t="shared" ref="Z250" si="227">S250-W250</f>
        <v>0</v>
      </c>
      <c r="AA250" s="123">
        <f t="shared" ref="AA250" si="228">S250/M250</f>
        <v>0.14987752528704759</v>
      </c>
    </row>
    <row r="251" spans="1:27" ht="18.75" customHeight="1" x14ac:dyDescent="0.2">
      <c r="C251" s="19" t="s">
        <v>907</v>
      </c>
      <c r="D251" s="28" t="s">
        <v>288</v>
      </c>
      <c r="E251" s="29" t="s">
        <v>129</v>
      </c>
      <c r="F251" s="17"/>
      <c r="G251" s="18"/>
      <c r="H251" s="34"/>
      <c r="I251" s="34"/>
      <c r="J251" s="34"/>
      <c r="K251" s="34"/>
      <c r="L251" s="34"/>
      <c r="M251" s="18"/>
      <c r="N251" s="34"/>
      <c r="O251" s="18"/>
      <c r="P251" s="18"/>
      <c r="Q251" s="34"/>
      <c r="R251" s="18"/>
      <c r="S251" s="18"/>
      <c r="T251" s="110"/>
      <c r="U251" s="110"/>
      <c r="V251" s="110"/>
      <c r="W251" s="40">
        <f t="shared" si="220"/>
        <v>0</v>
      </c>
      <c r="X251" s="18"/>
      <c r="Y251" s="18"/>
      <c r="Z251" s="34"/>
      <c r="AA251" s="18"/>
    </row>
    <row r="252" spans="1:27" ht="18.75" customHeight="1" x14ac:dyDescent="0.2">
      <c r="A252" s="4" t="s">
        <v>325</v>
      </c>
      <c r="B252" s="4" t="s">
        <v>326</v>
      </c>
      <c r="C252" s="19" t="s">
        <v>907</v>
      </c>
      <c r="D252" s="41" t="s">
        <v>338</v>
      </c>
      <c r="E252" s="42" t="s">
        <v>328</v>
      </c>
      <c r="F252" s="43" t="s">
        <v>61</v>
      </c>
      <c r="G252" s="43">
        <v>328682499</v>
      </c>
      <c r="H252" s="44">
        <v>0</v>
      </c>
      <c r="I252" s="44">
        <v>0</v>
      </c>
      <c r="J252" s="44">
        <v>0</v>
      </c>
      <c r="K252" s="44">
        <v>0</v>
      </c>
      <c r="L252" s="44">
        <v>0</v>
      </c>
      <c r="M252" s="43">
        <v>328682499</v>
      </c>
      <c r="N252" s="44">
        <v>0</v>
      </c>
      <c r="O252" s="43">
        <v>21364400</v>
      </c>
      <c r="P252" s="43">
        <v>43509700</v>
      </c>
      <c r="Q252" s="44">
        <v>0</v>
      </c>
      <c r="R252" s="43">
        <v>21364400</v>
      </c>
      <c r="S252" s="43">
        <v>43509700</v>
      </c>
      <c r="T252" s="110">
        <v>21364400</v>
      </c>
      <c r="U252" s="110">
        <v>22145300</v>
      </c>
      <c r="V252" s="110">
        <v>22145300</v>
      </c>
      <c r="W252" s="39">
        <f t="shared" si="220"/>
        <v>43509700</v>
      </c>
      <c r="X252" s="18">
        <f t="shared" ref="X252" si="229">M252-P252</f>
        <v>285172799</v>
      </c>
      <c r="Y252" s="34">
        <f t="shared" ref="Y252" si="230">P252-S252</f>
        <v>0</v>
      </c>
      <c r="Z252" s="34">
        <f t="shared" ref="Z252" si="231">S252-W252</f>
        <v>0</v>
      </c>
      <c r="AA252" s="123">
        <f t="shared" ref="AA252" si="232">S252/M252</f>
        <v>0.13237607762012299</v>
      </c>
    </row>
    <row r="253" spans="1:27" ht="18.75" customHeight="1" x14ac:dyDescent="0.2">
      <c r="C253" s="19" t="s">
        <v>907</v>
      </c>
      <c r="D253" s="28" t="s">
        <v>288</v>
      </c>
      <c r="E253" s="29" t="s">
        <v>133</v>
      </c>
      <c r="F253" s="17"/>
      <c r="G253" s="18"/>
      <c r="H253" s="34"/>
      <c r="I253" s="34"/>
      <c r="J253" s="34"/>
      <c r="K253" s="34"/>
      <c r="L253" s="34"/>
      <c r="M253" s="18"/>
      <c r="N253" s="34"/>
      <c r="O253" s="18"/>
      <c r="P253" s="18"/>
      <c r="Q253" s="34"/>
      <c r="R253" s="18"/>
      <c r="S253" s="18"/>
      <c r="T253" s="110"/>
      <c r="U253" s="110"/>
      <c r="V253" s="110"/>
      <c r="W253" s="40">
        <f t="shared" si="220"/>
        <v>0</v>
      </c>
      <c r="X253" s="18"/>
      <c r="Y253" s="18"/>
      <c r="Z253" s="34"/>
      <c r="AA253" s="18"/>
    </row>
    <row r="254" spans="1:27" ht="18.75" customHeight="1" x14ac:dyDescent="0.2">
      <c r="A254" s="4" t="s">
        <v>325</v>
      </c>
      <c r="B254" s="4" t="s">
        <v>326</v>
      </c>
      <c r="C254" s="19" t="s">
        <v>907</v>
      </c>
      <c r="D254" s="41" t="s">
        <v>339</v>
      </c>
      <c r="E254" s="42" t="s">
        <v>328</v>
      </c>
      <c r="F254" s="43" t="s">
        <v>61</v>
      </c>
      <c r="G254" s="43">
        <v>54780417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3">
        <v>54780417</v>
      </c>
      <c r="N254" s="44">
        <v>0</v>
      </c>
      <c r="O254" s="43">
        <v>3572800</v>
      </c>
      <c r="P254" s="43">
        <v>7279600</v>
      </c>
      <c r="Q254" s="44">
        <v>0</v>
      </c>
      <c r="R254" s="43">
        <v>3572800</v>
      </c>
      <c r="S254" s="43">
        <v>7279600</v>
      </c>
      <c r="T254" s="110">
        <v>3572800</v>
      </c>
      <c r="U254" s="110">
        <v>3706800</v>
      </c>
      <c r="V254" s="110">
        <v>3706800</v>
      </c>
      <c r="W254" s="39">
        <f t="shared" si="220"/>
        <v>7279600</v>
      </c>
      <c r="X254" s="18">
        <f t="shared" ref="X254" si="233">M254-P254</f>
        <v>47500817</v>
      </c>
      <c r="Y254" s="34">
        <f t="shared" ref="Y254" si="234">P254-S254</f>
        <v>0</v>
      </c>
      <c r="Z254" s="34">
        <f t="shared" ref="Z254" si="235">S254-W254</f>
        <v>0</v>
      </c>
      <c r="AA254" s="123">
        <f t="shared" ref="AA254" si="236">S254/M254</f>
        <v>0.13288690372692855</v>
      </c>
    </row>
    <row r="255" spans="1:27" ht="18.75" customHeight="1" x14ac:dyDescent="0.2">
      <c r="C255" s="19" t="s">
        <v>907</v>
      </c>
      <c r="D255" s="28" t="s">
        <v>288</v>
      </c>
      <c r="E255" s="29" t="s">
        <v>138</v>
      </c>
      <c r="F255" s="17"/>
      <c r="G255" s="18"/>
      <c r="H255" s="34"/>
      <c r="I255" s="34"/>
      <c r="J255" s="34"/>
      <c r="K255" s="34"/>
      <c r="L255" s="34"/>
      <c r="M255" s="18"/>
      <c r="N255" s="34"/>
      <c r="O255" s="18"/>
      <c r="P255" s="18"/>
      <c r="Q255" s="34"/>
      <c r="R255" s="18"/>
      <c r="S255" s="18"/>
      <c r="T255" s="110"/>
      <c r="U255" s="110"/>
      <c r="V255" s="110"/>
      <c r="W255" s="40">
        <f t="shared" si="220"/>
        <v>0</v>
      </c>
      <c r="X255" s="18"/>
      <c r="Y255" s="18"/>
      <c r="Z255" s="34"/>
      <c r="AA255" s="18"/>
    </row>
    <row r="256" spans="1:27" ht="18.75" customHeight="1" x14ac:dyDescent="0.2">
      <c r="A256" s="4" t="s">
        <v>325</v>
      </c>
      <c r="B256" s="4" t="s">
        <v>326</v>
      </c>
      <c r="C256" s="19" t="s">
        <v>907</v>
      </c>
      <c r="D256" s="41" t="s">
        <v>340</v>
      </c>
      <c r="E256" s="42" t="s">
        <v>328</v>
      </c>
      <c r="F256" s="43" t="s">
        <v>61</v>
      </c>
      <c r="G256" s="43">
        <v>54780417</v>
      </c>
      <c r="H256" s="44">
        <v>0</v>
      </c>
      <c r="I256" s="44">
        <v>0</v>
      </c>
      <c r="J256" s="44">
        <v>0</v>
      </c>
      <c r="K256" s="44">
        <v>0</v>
      </c>
      <c r="L256" s="44">
        <v>0</v>
      </c>
      <c r="M256" s="43">
        <v>54780417</v>
      </c>
      <c r="N256" s="44">
        <v>0</v>
      </c>
      <c r="O256" s="43">
        <v>3572800</v>
      </c>
      <c r="P256" s="43">
        <v>7279600</v>
      </c>
      <c r="Q256" s="44">
        <v>0</v>
      </c>
      <c r="R256" s="43">
        <v>3572800</v>
      </c>
      <c r="S256" s="43">
        <v>7279600</v>
      </c>
      <c r="T256" s="110">
        <v>3572800</v>
      </c>
      <c r="U256" s="110">
        <v>3706800</v>
      </c>
      <c r="V256" s="110">
        <v>3706800</v>
      </c>
      <c r="W256" s="39">
        <f t="shared" si="220"/>
        <v>7279600</v>
      </c>
      <c r="X256" s="18">
        <f t="shared" ref="X256" si="237">M256-P256</f>
        <v>47500817</v>
      </c>
      <c r="Y256" s="34">
        <f t="shared" ref="Y256" si="238">P256-S256</f>
        <v>0</v>
      </c>
      <c r="Z256" s="34">
        <f t="shared" ref="Z256" si="239">S256-W256</f>
        <v>0</v>
      </c>
      <c r="AA256" s="123">
        <f t="shared" ref="AA256" si="240">S256/M256</f>
        <v>0.13288690372692855</v>
      </c>
    </row>
    <row r="257" spans="1:27" ht="25.5" x14ac:dyDescent="0.2">
      <c r="C257" s="19" t="s">
        <v>907</v>
      </c>
      <c r="D257" s="28" t="s">
        <v>288</v>
      </c>
      <c r="E257" s="29" t="s">
        <v>145</v>
      </c>
      <c r="F257" s="17"/>
      <c r="G257" s="18"/>
      <c r="H257" s="34"/>
      <c r="I257" s="34"/>
      <c r="J257" s="34"/>
      <c r="K257" s="34"/>
      <c r="L257" s="34"/>
      <c r="M257" s="18"/>
      <c r="N257" s="34"/>
      <c r="O257" s="18"/>
      <c r="P257" s="18"/>
      <c r="Q257" s="34"/>
      <c r="R257" s="18"/>
      <c r="S257" s="18"/>
      <c r="T257" s="34"/>
      <c r="U257" s="34"/>
      <c r="V257" s="34"/>
      <c r="W257" s="40">
        <f t="shared" si="220"/>
        <v>0</v>
      </c>
      <c r="X257" s="18"/>
      <c r="Y257" s="18"/>
      <c r="Z257" s="18"/>
      <c r="AA257" s="18"/>
    </row>
    <row r="258" spans="1:27" ht="18.75" customHeight="1" x14ac:dyDescent="0.2">
      <c r="A258" s="4" t="s">
        <v>325</v>
      </c>
      <c r="B258" s="4" t="s">
        <v>326</v>
      </c>
      <c r="C258" s="19" t="s">
        <v>907</v>
      </c>
      <c r="D258" s="41" t="s">
        <v>341</v>
      </c>
      <c r="E258" s="42" t="s">
        <v>328</v>
      </c>
      <c r="F258" s="43" t="s">
        <v>61</v>
      </c>
      <c r="G258" s="43">
        <v>109560833</v>
      </c>
      <c r="H258" s="44">
        <v>0</v>
      </c>
      <c r="I258" s="44">
        <v>0</v>
      </c>
      <c r="J258" s="44">
        <v>0</v>
      </c>
      <c r="K258" s="44">
        <v>0</v>
      </c>
      <c r="L258" s="44">
        <v>0</v>
      </c>
      <c r="M258" s="43">
        <v>109560833</v>
      </c>
      <c r="N258" s="44">
        <v>0</v>
      </c>
      <c r="O258" s="43">
        <v>7133400</v>
      </c>
      <c r="P258" s="43">
        <v>14529100</v>
      </c>
      <c r="Q258" s="44">
        <v>0</v>
      </c>
      <c r="R258" s="43">
        <v>7133400</v>
      </c>
      <c r="S258" s="43">
        <v>14529100</v>
      </c>
      <c r="T258" s="34">
        <v>7133400</v>
      </c>
      <c r="U258" s="110">
        <v>7395700</v>
      </c>
      <c r="V258" s="110">
        <v>7395700</v>
      </c>
      <c r="W258" s="39">
        <f t="shared" si="220"/>
        <v>14529100</v>
      </c>
      <c r="X258" s="18">
        <f t="shared" ref="X258" si="241">M258-P258</f>
        <v>95031733</v>
      </c>
      <c r="Y258" s="34">
        <f t="shared" ref="Y258" si="242">P258-S258</f>
        <v>0</v>
      </c>
      <c r="Z258" s="34">
        <f t="shared" ref="Z258" si="243">S258-W258</f>
        <v>0</v>
      </c>
      <c r="AA258" s="123">
        <f t="shared" ref="AA258" si="244">S258/M258</f>
        <v>0.13261217172381301</v>
      </c>
    </row>
    <row r="259" spans="1:27" ht="18.75" customHeight="1" x14ac:dyDescent="0.2">
      <c r="C259" s="19" t="s">
        <v>907</v>
      </c>
      <c r="D259" s="16"/>
      <c r="E259" s="29" t="s">
        <v>149</v>
      </c>
      <c r="F259" s="17"/>
      <c r="G259" s="18"/>
      <c r="H259" s="34"/>
      <c r="I259" s="34"/>
      <c r="J259" s="34"/>
      <c r="K259" s="34"/>
      <c r="L259" s="34"/>
      <c r="M259" s="18"/>
      <c r="N259" s="34"/>
      <c r="O259" s="18"/>
      <c r="P259" s="18"/>
      <c r="Q259" s="34"/>
      <c r="R259" s="18"/>
      <c r="S259" s="18"/>
      <c r="T259" s="34"/>
      <c r="U259" s="34"/>
      <c r="V259" s="34"/>
      <c r="W259" s="40"/>
      <c r="X259" s="18"/>
      <c r="Y259" s="18"/>
      <c r="Z259" s="34"/>
      <c r="AA259" s="18"/>
    </row>
    <row r="260" spans="1:27" ht="18.75" customHeight="1" x14ac:dyDescent="0.2">
      <c r="C260" s="19" t="s">
        <v>907</v>
      </c>
      <c r="D260" s="16"/>
      <c r="E260" s="29" t="s">
        <v>81</v>
      </c>
      <c r="F260" s="17"/>
      <c r="G260" s="18"/>
      <c r="H260" s="34"/>
      <c r="I260" s="34"/>
      <c r="J260" s="34"/>
      <c r="K260" s="34"/>
      <c r="L260" s="34"/>
      <c r="M260" s="18"/>
      <c r="N260" s="34"/>
      <c r="O260" s="18"/>
      <c r="P260" s="18"/>
      <c r="Q260" s="34"/>
      <c r="R260" s="18"/>
      <c r="S260" s="18"/>
      <c r="T260" s="34"/>
      <c r="U260" s="34"/>
      <c r="V260" s="34"/>
      <c r="W260" s="40"/>
      <c r="X260" s="18"/>
      <c r="Y260" s="18"/>
      <c r="Z260" s="34"/>
      <c r="AA260" s="18"/>
    </row>
    <row r="261" spans="1:27" ht="18.75" customHeight="1" x14ac:dyDescent="0.2">
      <c r="C261" s="19" t="s">
        <v>907</v>
      </c>
      <c r="D261" s="28" t="s">
        <v>288</v>
      </c>
      <c r="E261" s="29" t="s">
        <v>152</v>
      </c>
      <c r="F261" s="17"/>
      <c r="G261" s="18"/>
      <c r="H261" s="34"/>
      <c r="I261" s="34"/>
      <c r="J261" s="34"/>
      <c r="K261" s="34"/>
      <c r="L261" s="34"/>
      <c r="M261" s="18"/>
      <c r="N261" s="34"/>
      <c r="O261" s="18"/>
      <c r="P261" s="18"/>
      <c r="Q261" s="34"/>
      <c r="R261" s="18"/>
      <c r="S261" s="18"/>
      <c r="T261" s="34"/>
      <c r="U261" s="34"/>
      <c r="V261" s="34"/>
      <c r="W261" s="40"/>
      <c r="X261" s="18"/>
      <c r="Y261" s="18"/>
      <c r="Z261" s="34"/>
      <c r="AA261" s="18"/>
    </row>
    <row r="262" spans="1:27" ht="18.75" customHeight="1" x14ac:dyDescent="0.2">
      <c r="A262" s="4" t="s">
        <v>325</v>
      </c>
      <c r="B262" s="4" t="s">
        <v>326</v>
      </c>
      <c r="C262" s="19" t="s">
        <v>907</v>
      </c>
      <c r="D262" s="41" t="s">
        <v>342</v>
      </c>
      <c r="E262" s="42" t="s">
        <v>328</v>
      </c>
      <c r="F262" s="43" t="s">
        <v>61</v>
      </c>
      <c r="G262" s="43">
        <v>229777776</v>
      </c>
      <c r="H262" s="44">
        <v>0</v>
      </c>
      <c r="I262" s="44">
        <v>0</v>
      </c>
      <c r="J262" s="44">
        <v>0</v>
      </c>
      <c r="K262" s="44">
        <v>0</v>
      </c>
      <c r="L262" s="44">
        <v>0</v>
      </c>
      <c r="M262" s="43">
        <v>229777776</v>
      </c>
      <c r="N262" s="44">
        <v>0</v>
      </c>
      <c r="O262" s="43">
        <v>6999457</v>
      </c>
      <c r="P262" s="43">
        <v>17990883</v>
      </c>
      <c r="Q262" s="44">
        <v>0</v>
      </c>
      <c r="R262" s="43">
        <v>6999457</v>
      </c>
      <c r="S262" s="43">
        <v>17990883</v>
      </c>
      <c r="T262" s="34">
        <v>0</v>
      </c>
      <c r="U262" s="110">
        <f>V262-[1]ENERO!U262</f>
        <v>17990883</v>
      </c>
      <c r="V262" s="110">
        <v>17990883</v>
      </c>
      <c r="W262" s="39">
        <f t="shared" si="220"/>
        <v>17990883</v>
      </c>
      <c r="X262" s="18">
        <f t="shared" ref="X262" si="245">M262-P262</f>
        <v>211786893</v>
      </c>
      <c r="Y262" s="34">
        <f t="shared" ref="Y262" si="246">P262-S262</f>
        <v>0</v>
      </c>
      <c r="Z262" s="34">
        <f t="shared" ref="Z262" si="247">S262-W262</f>
        <v>0</v>
      </c>
      <c r="AA262" s="123">
        <f t="shared" ref="AA262" si="248">S262/M262</f>
        <v>7.8296880199589011E-2</v>
      </c>
    </row>
    <row r="263" spans="1:27" ht="18.75" customHeight="1" x14ac:dyDescent="0.2">
      <c r="C263" s="19" t="s">
        <v>907</v>
      </c>
      <c r="D263" s="28" t="s">
        <v>288</v>
      </c>
      <c r="E263" s="29" t="s">
        <v>343</v>
      </c>
      <c r="F263" s="17"/>
      <c r="G263" s="18"/>
      <c r="H263" s="34"/>
      <c r="I263" s="34"/>
      <c r="J263" s="34"/>
      <c r="K263" s="34"/>
      <c r="L263" s="34"/>
      <c r="M263" s="18"/>
      <c r="N263" s="34"/>
      <c r="O263" s="18"/>
      <c r="P263" s="18"/>
      <c r="Q263" s="34"/>
      <c r="R263" s="18"/>
      <c r="S263" s="18"/>
      <c r="T263" s="34"/>
      <c r="U263" s="34"/>
      <c r="V263" s="34"/>
      <c r="W263" s="40"/>
      <c r="X263" s="18"/>
      <c r="Y263" s="18"/>
      <c r="Z263" s="34"/>
      <c r="AA263" s="18"/>
    </row>
    <row r="264" spans="1:27" ht="18.75" customHeight="1" x14ac:dyDescent="0.2">
      <c r="A264" s="4" t="s">
        <v>325</v>
      </c>
      <c r="B264" s="4" t="s">
        <v>326</v>
      </c>
      <c r="C264" s="19" t="s">
        <v>907</v>
      </c>
      <c r="D264" s="41" t="s">
        <v>344</v>
      </c>
      <c r="E264" s="42" t="s">
        <v>328</v>
      </c>
      <c r="F264" s="43" t="s">
        <v>61</v>
      </c>
      <c r="G264" s="43">
        <v>10000000</v>
      </c>
      <c r="H264" s="44">
        <v>0</v>
      </c>
      <c r="I264" s="44">
        <v>0</v>
      </c>
      <c r="J264" s="44">
        <v>0</v>
      </c>
      <c r="K264" s="44">
        <v>0</v>
      </c>
      <c r="L264" s="44">
        <v>0</v>
      </c>
      <c r="M264" s="43">
        <v>10000000</v>
      </c>
      <c r="N264" s="44">
        <v>0</v>
      </c>
      <c r="O264" s="44">
        <v>0</v>
      </c>
      <c r="P264" s="44">
        <v>0</v>
      </c>
      <c r="Q264" s="44">
        <v>0</v>
      </c>
      <c r="R264" s="44">
        <v>0</v>
      </c>
      <c r="S264" s="44">
        <v>0</v>
      </c>
      <c r="T264" s="34">
        <v>0</v>
      </c>
      <c r="U264" s="34">
        <v>0</v>
      </c>
      <c r="V264" s="34">
        <v>0</v>
      </c>
      <c r="W264" s="40">
        <f t="shared" ref="W264" si="249">T264+V264</f>
        <v>0</v>
      </c>
      <c r="X264" s="18">
        <f t="shared" ref="X264" si="250">M264-P264</f>
        <v>10000000</v>
      </c>
      <c r="Y264" s="34">
        <f t="shared" ref="Y264" si="251">P264-S264</f>
        <v>0</v>
      </c>
      <c r="Z264" s="34">
        <f t="shared" ref="Z264" si="252">S264-W264</f>
        <v>0</v>
      </c>
      <c r="AA264" s="123">
        <f t="shared" ref="AA264" si="253">S264/M264</f>
        <v>0</v>
      </c>
    </row>
    <row r="265" spans="1:27" ht="18.75" customHeight="1" x14ac:dyDescent="0.2">
      <c r="C265" s="19" t="s">
        <v>907</v>
      </c>
      <c r="D265" s="28" t="s">
        <v>288</v>
      </c>
      <c r="E265" s="29" t="s">
        <v>162</v>
      </c>
      <c r="F265" s="17"/>
      <c r="G265" s="18"/>
      <c r="H265" s="34"/>
      <c r="I265" s="34"/>
      <c r="J265" s="34"/>
      <c r="K265" s="34"/>
      <c r="L265" s="34"/>
      <c r="M265" s="18"/>
      <c r="N265" s="34"/>
      <c r="O265" s="18"/>
      <c r="P265" s="18"/>
      <c r="Q265" s="34"/>
      <c r="R265" s="18"/>
      <c r="S265" s="18"/>
      <c r="T265" s="34"/>
      <c r="U265" s="34"/>
      <c r="V265" s="34"/>
      <c r="W265" s="40"/>
      <c r="X265" s="18"/>
      <c r="Y265" s="18"/>
      <c r="Z265" s="34"/>
      <c r="AA265" s="18"/>
    </row>
    <row r="266" spans="1:27" ht="18.75" customHeight="1" x14ac:dyDescent="0.2">
      <c r="A266" s="4" t="s">
        <v>325</v>
      </c>
      <c r="B266" s="4" t="s">
        <v>326</v>
      </c>
      <c r="C266" s="19" t="s">
        <v>907</v>
      </c>
      <c r="D266" s="41" t="s">
        <v>345</v>
      </c>
      <c r="E266" s="42" t="s">
        <v>328</v>
      </c>
      <c r="F266" s="43" t="s">
        <v>61</v>
      </c>
      <c r="G266" s="43">
        <v>31208419</v>
      </c>
      <c r="H266" s="44">
        <v>0</v>
      </c>
      <c r="I266" s="44">
        <v>0</v>
      </c>
      <c r="J266" s="44">
        <v>0</v>
      </c>
      <c r="K266" s="44">
        <v>0</v>
      </c>
      <c r="L266" s="44">
        <v>0</v>
      </c>
      <c r="M266" s="43">
        <v>31208419</v>
      </c>
      <c r="N266" s="44">
        <v>0</v>
      </c>
      <c r="O266" s="43">
        <v>683330</v>
      </c>
      <c r="P266" s="43">
        <v>1394470</v>
      </c>
      <c r="Q266" s="44">
        <v>0</v>
      </c>
      <c r="R266" s="43">
        <v>683330</v>
      </c>
      <c r="S266" s="43">
        <v>1394470</v>
      </c>
      <c r="T266" s="34">
        <v>0</v>
      </c>
      <c r="U266" s="110">
        <f>V266-[1]ENERO!U266</f>
        <v>1394470</v>
      </c>
      <c r="V266" s="110">
        <v>1394470</v>
      </c>
      <c r="W266" s="39">
        <f t="shared" ref="W266" si="254">T266+V266</f>
        <v>1394470</v>
      </c>
      <c r="X266" s="18">
        <f t="shared" ref="X266" si="255">M266-P266</f>
        <v>29813949</v>
      </c>
      <c r="Y266" s="34">
        <f t="shared" ref="Y266" si="256">P266-S266</f>
        <v>0</v>
      </c>
      <c r="Z266" s="34">
        <f t="shared" ref="Z266" si="257">S266-W266</f>
        <v>0</v>
      </c>
      <c r="AA266" s="123">
        <f t="shared" ref="AA266" si="258">S266/M266</f>
        <v>4.4682494169281696E-2</v>
      </c>
    </row>
    <row r="267" spans="1:27" ht="18.75" customHeight="1" x14ac:dyDescent="0.2">
      <c r="C267" s="19" t="s">
        <v>907</v>
      </c>
      <c r="D267" s="28" t="s">
        <v>288</v>
      </c>
      <c r="E267" s="29" t="s">
        <v>346</v>
      </c>
      <c r="F267" s="17"/>
      <c r="G267" s="18"/>
      <c r="H267" s="34"/>
      <c r="I267" s="34"/>
      <c r="J267" s="34"/>
      <c r="K267" s="34"/>
      <c r="L267" s="34"/>
      <c r="M267" s="18"/>
      <c r="N267" s="34"/>
      <c r="O267" s="18"/>
      <c r="P267" s="18"/>
      <c r="Q267" s="34"/>
      <c r="R267" s="18"/>
      <c r="S267" s="18"/>
      <c r="T267" s="34"/>
      <c r="U267" s="110"/>
      <c r="V267" s="110"/>
      <c r="W267" s="40"/>
      <c r="X267" s="18"/>
      <c r="Y267" s="18"/>
      <c r="Z267" s="34"/>
      <c r="AA267" s="18"/>
    </row>
    <row r="268" spans="1:27" ht="18.75" customHeight="1" x14ac:dyDescent="0.2">
      <c r="A268" s="4" t="s">
        <v>325</v>
      </c>
      <c r="B268" s="4" t="s">
        <v>326</v>
      </c>
      <c r="C268" s="19" t="s">
        <v>907</v>
      </c>
      <c r="D268" s="41" t="s">
        <v>347</v>
      </c>
      <c r="E268" s="42" t="s">
        <v>328</v>
      </c>
      <c r="F268" s="43" t="s">
        <v>61</v>
      </c>
      <c r="G268" s="43">
        <v>1108512330</v>
      </c>
      <c r="H268" s="44">
        <v>0</v>
      </c>
      <c r="I268" s="44">
        <v>0</v>
      </c>
      <c r="J268" s="44">
        <v>0</v>
      </c>
      <c r="K268" s="44">
        <v>0</v>
      </c>
      <c r="L268" s="44">
        <v>0</v>
      </c>
      <c r="M268" s="43">
        <v>1108512330</v>
      </c>
      <c r="N268" s="44">
        <v>0</v>
      </c>
      <c r="O268" s="43">
        <v>76678925</v>
      </c>
      <c r="P268" s="43">
        <v>141581034</v>
      </c>
      <c r="Q268" s="44">
        <v>0</v>
      </c>
      <c r="R268" s="43">
        <v>76242929</v>
      </c>
      <c r="S268" s="43">
        <v>141145038</v>
      </c>
      <c r="T268" s="34">
        <v>0</v>
      </c>
      <c r="U268" s="110">
        <f>V268-[1]ENERO!U268</f>
        <v>141145038</v>
      </c>
      <c r="V268" s="110">
        <v>141145038</v>
      </c>
      <c r="W268" s="39">
        <f t="shared" ref="W268" si="259">T268+V268</f>
        <v>141145038</v>
      </c>
      <c r="X268" s="18">
        <f t="shared" ref="X268" si="260">M268-P268</f>
        <v>966931296</v>
      </c>
      <c r="Y268" s="110">
        <f t="shared" ref="Y268" si="261">P268-S268</f>
        <v>435996</v>
      </c>
      <c r="Z268" s="34">
        <f t="shared" ref="Z268" si="262">S268-W268</f>
        <v>0</v>
      </c>
      <c r="AA268" s="123">
        <f t="shared" ref="AA268" si="263">S268/M268</f>
        <v>0.12732834284306066</v>
      </c>
    </row>
    <row r="269" spans="1:27" ht="18.75" customHeight="1" x14ac:dyDescent="0.2">
      <c r="C269" s="19" t="s">
        <v>907</v>
      </c>
      <c r="D269" s="16"/>
      <c r="E269" s="29" t="s">
        <v>348</v>
      </c>
      <c r="F269" s="17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34"/>
      <c r="R269" s="18"/>
      <c r="S269" s="18"/>
      <c r="T269" s="18"/>
      <c r="U269" s="18"/>
      <c r="V269" s="18"/>
      <c r="W269" s="30"/>
      <c r="X269" s="18"/>
      <c r="Y269" s="18"/>
      <c r="Z269" s="18"/>
      <c r="AA269" s="18"/>
    </row>
    <row r="270" spans="1:27" ht="18.75" customHeight="1" x14ac:dyDescent="0.2">
      <c r="C270" s="19" t="s">
        <v>907</v>
      </c>
      <c r="D270" s="16"/>
      <c r="E270" s="29" t="s">
        <v>318</v>
      </c>
      <c r="F270" s="17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34"/>
      <c r="R270" s="18"/>
      <c r="S270" s="18"/>
      <c r="T270" s="18"/>
      <c r="U270" s="18"/>
      <c r="V270" s="18"/>
      <c r="W270" s="30"/>
      <c r="X270" s="18"/>
      <c r="Y270" s="18"/>
      <c r="Z270" s="18"/>
      <c r="AA270" s="18"/>
    </row>
    <row r="271" spans="1:27" ht="25.5" x14ac:dyDescent="0.2">
      <c r="C271" s="19" t="s">
        <v>907</v>
      </c>
      <c r="D271" s="16"/>
      <c r="E271" s="29" t="s">
        <v>319</v>
      </c>
      <c r="F271" s="17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34"/>
      <c r="R271" s="18"/>
      <c r="S271" s="18"/>
      <c r="T271" s="18"/>
      <c r="U271" s="18"/>
      <c r="V271" s="18"/>
      <c r="W271" s="30"/>
      <c r="X271" s="18"/>
      <c r="Y271" s="18"/>
      <c r="Z271" s="18"/>
      <c r="AA271" s="18"/>
    </row>
    <row r="272" spans="1:27" ht="18.75" customHeight="1" x14ac:dyDescent="0.2">
      <c r="C272" s="19" t="s">
        <v>907</v>
      </c>
      <c r="D272" s="16"/>
      <c r="E272" s="29" t="s">
        <v>320</v>
      </c>
      <c r="F272" s="17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34"/>
      <c r="R272" s="18"/>
      <c r="S272" s="18"/>
      <c r="T272" s="18"/>
      <c r="U272" s="18"/>
      <c r="V272" s="18"/>
      <c r="W272" s="30"/>
      <c r="X272" s="18"/>
      <c r="Y272" s="18"/>
      <c r="Z272" s="18"/>
      <c r="AA272" s="18"/>
    </row>
    <row r="273" spans="1:27" ht="18.75" customHeight="1" x14ac:dyDescent="0.2">
      <c r="C273" s="19" t="s">
        <v>907</v>
      </c>
      <c r="D273" s="16"/>
      <c r="E273" s="29" t="s">
        <v>46</v>
      </c>
      <c r="F273" s="17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34"/>
      <c r="R273" s="18"/>
      <c r="S273" s="18"/>
      <c r="T273" s="18"/>
      <c r="U273" s="18"/>
      <c r="V273" s="18"/>
      <c r="W273" s="30"/>
      <c r="X273" s="18"/>
      <c r="Y273" s="18"/>
      <c r="Z273" s="18"/>
      <c r="AA273" s="18"/>
    </row>
    <row r="274" spans="1:27" ht="18.75" customHeight="1" x14ac:dyDescent="0.2">
      <c r="C274" s="19" t="s">
        <v>907</v>
      </c>
      <c r="D274" s="16"/>
      <c r="E274" s="29" t="s">
        <v>48</v>
      </c>
      <c r="F274" s="17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34"/>
      <c r="R274" s="18"/>
      <c r="S274" s="18"/>
      <c r="T274" s="18"/>
      <c r="U274" s="18"/>
      <c r="V274" s="18"/>
      <c r="W274" s="30"/>
      <c r="X274" s="18"/>
      <c r="Y274" s="18"/>
      <c r="Z274" s="18"/>
      <c r="AA274" s="18"/>
    </row>
    <row r="275" spans="1:27" ht="18.75" customHeight="1" x14ac:dyDescent="0.2">
      <c r="C275" s="19" t="s">
        <v>907</v>
      </c>
      <c r="D275" s="16"/>
      <c r="E275" s="29" t="s">
        <v>52</v>
      </c>
      <c r="F275" s="17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34"/>
      <c r="R275" s="18"/>
      <c r="S275" s="18"/>
      <c r="T275" s="18"/>
      <c r="U275" s="18"/>
      <c r="V275" s="18"/>
      <c r="W275" s="30"/>
      <c r="X275" s="18"/>
      <c r="Y275" s="18"/>
      <c r="Z275" s="18"/>
      <c r="AA275" s="18"/>
    </row>
    <row r="276" spans="1:27" ht="18.75" customHeight="1" x14ac:dyDescent="0.2">
      <c r="C276" s="19" t="s">
        <v>907</v>
      </c>
      <c r="D276" s="28" t="s">
        <v>288</v>
      </c>
      <c r="E276" s="29" t="s">
        <v>54</v>
      </c>
      <c r="F276" s="17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34"/>
      <c r="R276" s="18"/>
      <c r="S276" s="18"/>
      <c r="T276" s="18"/>
      <c r="U276" s="18"/>
      <c r="V276" s="18"/>
      <c r="W276" s="30"/>
      <c r="X276" s="18"/>
      <c r="Y276" s="18"/>
      <c r="Z276" s="18"/>
      <c r="AA276" s="18"/>
    </row>
    <row r="277" spans="1:27" ht="18.75" customHeight="1" x14ac:dyDescent="0.2">
      <c r="A277" s="4" t="s">
        <v>55</v>
      </c>
      <c r="B277" s="4" t="s">
        <v>56</v>
      </c>
      <c r="C277" s="19" t="s">
        <v>907</v>
      </c>
      <c r="D277" s="41" t="s">
        <v>323</v>
      </c>
      <c r="E277" s="42" t="s">
        <v>324</v>
      </c>
      <c r="F277" s="43" t="s">
        <v>61</v>
      </c>
      <c r="G277" s="43">
        <v>111646949658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3">
        <v>111646949658</v>
      </c>
      <c r="N277" s="44">
        <v>0</v>
      </c>
      <c r="O277" s="43">
        <v>8901820779</v>
      </c>
      <c r="P277" s="43">
        <v>14643023686</v>
      </c>
      <c r="Q277" s="44">
        <v>0</v>
      </c>
      <c r="R277" s="43">
        <v>8901259647</v>
      </c>
      <c r="S277" s="43">
        <v>14642462554</v>
      </c>
      <c r="T277" s="43">
        <v>561132</v>
      </c>
      <c r="U277" s="43">
        <f>V277-[1]ENERO!U277</f>
        <v>8900698515</v>
      </c>
      <c r="V277" s="43">
        <v>14641901422</v>
      </c>
      <c r="W277" s="39">
        <f t="shared" ref="W277" si="264">T277+V277</f>
        <v>14642462554</v>
      </c>
      <c r="X277" s="18">
        <f t="shared" ref="X277" si="265">M277-P277</f>
        <v>97003925972</v>
      </c>
      <c r="Y277" s="110">
        <f t="shared" ref="Y277" si="266">P277-S277</f>
        <v>561132</v>
      </c>
      <c r="Z277" s="34">
        <f t="shared" ref="Z277" si="267">S277-W277</f>
        <v>0</v>
      </c>
      <c r="AA277" s="123">
        <f t="shared" ref="AA277" si="268">S277/M277</f>
        <v>0.13114968746439731</v>
      </c>
    </row>
    <row r="278" spans="1:27" ht="18.75" customHeight="1" x14ac:dyDescent="0.2">
      <c r="C278" s="19" t="s">
        <v>907</v>
      </c>
      <c r="D278" s="28" t="s">
        <v>288</v>
      </c>
      <c r="E278" s="29" t="s">
        <v>63</v>
      </c>
      <c r="F278" s="17"/>
      <c r="G278" s="18"/>
      <c r="H278" s="34"/>
      <c r="I278" s="34"/>
      <c r="J278" s="34"/>
      <c r="K278" s="34"/>
      <c r="L278" s="34"/>
      <c r="M278" s="18"/>
      <c r="N278" s="34"/>
      <c r="O278" s="18"/>
      <c r="P278" s="18"/>
      <c r="Q278" s="34"/>
      <c r="R278" s="18"/>
      <c r="S278" s="18"/>
      <c r="T278" s="18"/>
      <c r="U278" s="18"/>
      <c r="V278" s="18"/>
      <c r="W278" s="30"/>
      <c r="X278" s="18"/>
      <c r="Y278" s="18"/>
      <c r="Z278" s="34"/>
      <c r="AA278" s="18"/>
    </row>
    <row r="279" spans="1:27" ht="18.75" customHeight="1" x14ac:dyDescent="0.2">
      <c r="A279" s="4" t="s">
        <v>325</v>
      </c>
      <c r="B279" s="4" t="s">
        <v>326</v>
      </c>
      <c r="C279" s="19" t="s">
        <v>907</v>
      </c>
      <c r="D279" s="41" t="s">
        <v>349</v>
      </c>
      <c r="E279" s="42" t="s">
        <v>328</v>
      </c>
      <c r="F279" s="43" t="s">
        <v>61</v>
      </c>
      <c r="G279" s="43">
        <v>1252925726</v>
      </c>
      <c r="H279" s="44">
        <v>0</v>
      </c>
      <c r="I279" s="44">
        <v>0</v>
      </c>
      <c r="J279" s="44">
        <v>0</v>
      </c>
      <c r="K279" s="44">
        <v>0</v>
      </c>
      <c r="L279" s="44">
        <v>0</v>
      </c>
      <c r="M279" s="43">
        <v>1252925726</v>
      </c>
      <c r="N279" s="44">
        <v>0</v>
      </c>
      <c r="O279" s="43">
        <v>5343363</v>
      </c>
      <c r="P279" s="43">
        <v>6019939</v>
      </c>
      <c r="Q279" s="44">
        <v>0</v>
      </c>
      <c r="R279" s="43">
        <v>5343363</v>
      </c>
      <c r="S279" s="43">
        <v>6019939</v>
      </c>
      <c r="T279" s="44">
        <v>0</v>
      </c>
      <c r="U279" s="43">
        <f>V279-[1]ENERO!U279</f>
        <v>5343363</v>
      </c>
      <c r="V279" s="43">
        <v>6019939</v>
      </c>
      <c r="W279" s="39">
        <f t="shared" ref="W279" si="269">T279+V279</f>
        <v>6019939</v>
      </c>
      <c r="X279" s="18">
        <f t="shared" ref="X279" si="270">M279-P279</f>
        <v>1246905787</v>
      </c>
      <c r="Y279" s="34">
        <f t="shared" ref="Y279" si="271">P279-S279</f>
        <v>0</v>
      </c>
      <c r="Z279" s="34">
        <f t="shared" ref="Z279" si="272">S279-W279</f>
        <v>0</v>
      </c>
      <c r="AA279" s="123">
        <f t="shared" ref="AA279" si="273">S279/M279</f>
        <v>4.804705398793927E-3</v>
      </c>
    </row>
    <row r="280" spans="1:27" ht="18.75" customHeight="1" x14ac:dyDescent="0.2">
      <c r="C280" s="19" t="s">
        <v>907</v>
      </c>
      <c r="D280" s="28" t="s">
        <v>288</v>
      </c>
      <c r="E280" s="29" t="s">
        <v>67</v>
      </c>
      <c r="F280" s="17"/>
      <c r="G280" s="18"/>
      <c r="H280" s="34"/>
      <c r="I280" s="34"/>
      <c r="J280" s="34"/>
      <c r="K280" s="34"/>
      <c r="L280" s="34"/>
      <c r="M280" s="18"/>
      <c r="N280" s="34"/>
      <c r="O280" s="18"/>
      <c r="P280" s="18"/>
      <c r="Q280" s="34"/>
      <c r="R280" s="18"/>
      <c r="S280" s="18"/>
      <c r="T280" s="34"/>
      <c r="U280" s="18"/>
      <c r="V280" s="18"/>
      <c r="W280" s="39"/>
      <c r="X280" s="18"/>
      <c r="Y280" s="18"/>
      <c r="Z280" s="34"/>
      <c r="AA280" s="18"/>
    </row>
    <row r="281" spans="1:27" ht="18.75" customHeight="1" x14ac:dyDescent="0.2">
      <c r="A281" s="4" t="s">
        <v>325</v>
      </c>
      <c r="B281" s="4" t="s">
        <v>326</v>
      </c>
      <c r="C281" s="19" t="s">
        <v>907</v>
      </c>
      <c r="D281" s="41" t="s">
        <v>350</v>
      </c>
      <c r="E281" s="42" t="s">
        <v>328</v>
      </c>
      <c r="F281" s="43" t="s">
        <v>61</v>
      </c>
      <c r="G281" s="43">
        <v>29846525</v>
      </c>
      <c r="H281" s="44">
        <v>0</v>
      </c>
      <c r="I281" s="44">
        <v>0</v>
      </c>
      <c r="J281" s="44">
        <v>0</v>
      </c>
      <c r="K281" s="44">
        <v>0</v>
      </c>
      <c r="L281" s="44">
        <v>0</v>
      </c>
      <c r="M281" s="43">
        <v>29846525</v>
      </c>
      <c r="N281" s="44">
        <v>0</v>
      </c>
      <c r="O281" s="43">
        <v>2313430</v>
      </c>
      <c r="P281" s="43">
        <v>3855705</v>
      </c>
      <c r="Q281" s="44">
        <v>0</v>
      </c>
      <c r="R281" s="43">
        <v>2313430</v>
      </c>
      <c r="S281" s="43">
        <v>3855705</v>
      </c>
      <c r="T281" s="44">
        <v>0</v>
      </c>
      <c r="U281" s="43">
        <f>V281-[1]ENERO!U281</f>
        <v>2313430</v>
      </c>
      <c r="V281" s="43">
        <v>3855705</v>
      </c>
      <c r="W281" s="39">
        <f t="shared" ref="W281" si="274">T281+V281</f>
        <v>3855705</v>
      </c>
      <c r="X281" s="18">
        <f t="shared" ref="X281" si="275">M281-P281</f>
        <v>25990820</v>
      </c>
      <c r="Y281" s="34">
        <f t="shared" ref="Y281" si="276">P281-S281</f>
        <v>0</v>
      </c>
      <c r="Z281" s="34">
        <f t="shared" ref="Z281" si="277">S281-W281</f>
        <v>0</v>
      </c>
      <c r="AA281" s="123">
        <f t="shared" ref="AA281" si="278">S281/M281</f>
        <v>0.1291843857869551</v>
      </c>
    </row>
    <row r="282" spans="1:27" ht="18.75" customHeight="1" x14ac:dyDescent="0.2">
      <c r="C282" s="19" t="s">
        <v>907</v>
      </c>
      <c r="D282" s="28" t="s">
        <v>288</v>
      </c>
      <c r="E282" s="29" t="s">
        <v>69</v>
      </c>
      <c r="F282" s="17"/>
      <c r="G282" s="18"/>
      <c r="H282" s="34"/>
      <c r="I282" s="34"/>
      <c r="J282" s="34"/>
      <c r="K282" s="34"/>
      <c r="L282" s="34"/>
      <c r="M282" s="18"/>
      <c r="N282" s="34"/>
      <c r="O282" s="18"/>
      <c r="P282" s="18"/>
      <c r="Q282" s="34"/>
      <c r="R282" s="18"/>
      <c r="S282" s="18"/>
      <c r="T282" s="34"/>
      <c r="U282" s="18"/>
      <c r="V282" s="18"/>
      <c r="W282" s="39"/>
      <c r="X282" s="18"/>
      <c r="Y282" s="18"/>
      <c r="Z282" s="34"/>
      <c r="AA282" s="18"/>
    </row>
    <row r="283" spans="1:27" ht="18.75" customHeight="1" x14ac:dyDescent="0.2">
      <c r="A283" s="4" t="s">
        <v>325</v>
      </c>
      <c r="B283" s="4" t="s">
        <v>326</v>
      </c>
      <c r="C283" s="19" t="s">
        <v>907</v>
      </c>
      <c r="D283" s="41" t="s">
        <v>351</v>
      </c>
      <c r="E283" s="42" t="s">
        <v>328</v>
      </c>
      <c r="F283" s="43" t="s">
        <v>61</v>
      </c>
      <c r="G283" s="43">
        <v>8723052</v>
      </c>
      <c r="H283" s="44">
        <v>0</v>
      </c>
      <c r="I283" s="44">
        <v>0</v>
      </c>
      <c r="J283" s="44">
        <v>0</v>
      </c>
      <c r="K283" s="44">
        <v>0</v>
      </c>
      <c r="L283" s="44">
        <v>0</v>
      </c>
      <c r="M283" s="43">
        <v>8723052</v>
      </c>
      <c r="N283" s="44">
        <v>0</v>
      </c>
      <c r="O283" s="43">
        <v>3619436</v>
      </c>
      <c r="P283" s="43">
        <v>6032382</v>
      </c>
      <c r="Q283" s="44">
        <v>0</v>
      </c>
      <c r="R283" s="43">
        <v>3619436</v>
      </c>
      <c r="S283" s="43">
        <v>6032382</v>
      </c>
      <c r="T283" s="44">
        <v>0</v>
      </c>
      <c r="U283" s="43">
        <f>V283-[1]ENERO!U283</f>
        <v>3619436</v>
      </c>
      <c r="V283" s="43">
        <v>6032382</v>
      </c>
      <c r="W283" s="39">
        <f t="shared" ref="W283" si="279">T283+V283</f>
        <v>6032382</v>
      </c>
      <c r="X283" s="18">
        <f t="shared" ref="X283" si="280">M283-P283</f>
        <v>2690670</v>
      </c>
      <c r="Y283" s="34">
        <f t="shared" ref="Y283" si="281">P283-S283</f>
        <v>0</v>
      </c>
      <c r="Z283" s="34">
        <f t="shared" ref="Z283" si="282">S283-W283</f>
        <v>0</v>
      </c>
      <c r="AA283" s="123">
        <f t="shared" ref="AA283" si="283">S283/M283</f>
        <v>0.69154488589544116</v>
      </c>
    </row>
    <row r="284" spans="1:27" ht="18.75" customHeight="1" x14ac:dyDescent="0.2">
      <c r="C284" s="19" t="s">
        <v>907</v>
      </c>
      <c r="D284" s="28" t="s">
        <v>288</v>
      </c>
      <c r="E284" s="29" t="s">
        <v>71</v>
      </c>
      <c r="F284" s="17"/>
      <c r="G284" s="18"/>
      <c r="H284" s="34"/>
      <c r="I284" s="34"/>
      <c r="J284" s="34"/>
      <c r="K284" s="34"/>
      <c r="L284" s="34"/>
      <c r="M284" s="18"/>
      <c r="N284" s="34"/>
      <c r="O284" s="18"/>
      <c r="P284" s="18"/>
      <c r="Q284" s="34"/>
      <c r="R284" s="18"/>
      <c r="S284" s="18"/>
      <c r="T284" s="34"/>
      <c r="U284" s="18"/>
      <c r="V284" s="18"/>
      <c r="W284" s="39"/>
      <c r="X284" s="18"/>
      <c r="Y284" s="18"/>
      <c r="Z284" s="34"/>
      <c r="AA284" s="18"/>
    </row>
    <row r="285" spans="1:27" ht="18.75" customHeight="1" x14ac:dyDescent="0.2">
      <c r="A285" s="4" t="s">
        <v>325</v>
      </c>
      <c r="B285" s="4" t="s">
        <v>326</v>
      </c>
      <c r="C285" s="19" t="s">
        <v>907</v>
      </c>
      <c r="D285" s="41" t="s">
        <v>327</v>
      </c>
      <c r="E285" s="42" t="s">
        <v>328</v>
      </c>
      <c r="F285" s="43" t="s">
        <v>61</v>
      </c>
      <c r="G285" s="43">
        <v>5466979223</v>
      </c>
      <c r="H285" s="44">
        <v>0</v>
      </c>
      <c r="I285" s="44">
        <v>0</v>
      </c>
      <c r="J285" s="44">
        <v>0</v>
      </c>
      <c r="K285" s="44">
        <v>0</v>
      </c>
      <c r="L285" s="44">
        <v>0</v>
      </c>
      <c r="M285" s="43">
        <v>5466979223</v>
      </c>
      <c r="N285" s="44">
        <v>0</v>
      </c>
      <c r="O285" s="43">
        <v>28229366</v>
      </c>
      <c r="P285" s="43">
        <v>56770945</v>
      </c>
      <c r="Q285" s="44">
        <v>0</v>
      </c>
      <c r="R285" s="43">
        <v>28229366</v>
      </c>
      <c r="S285" s="43">
        <v>56770945</v>
      </c>
      <c r="T285" s="44">
        <v>0</v>
      </c>
      <c r="U285" s="43">
        <f>V285-[1]ENERO!U285</f>
        <v>28229366</v>
      </c>
      <c r="V285" s="43">
        <v>56770945</v>
      </c>
      <c r="W285" s="39">
        <f t="shared" ref="W285" si="284">T285+V285</f>
        <v>56770945</v>
      </c>
      <c r="X285" s="18">
        <f t="shared" ref="X285" si="285">M285-P285</f>
        <v>5410208278</v>
      </c>
      <c r="Y285" s="34">
        <f t="shared" ref="Y285" si="286">P285-S285</f>
        <v>0</v>
      </c>
      <c r="Z285" s="34">
        <f t="shared" ref="Z285" si="287">S285-W285</f>
        <v>0</v>
      </c>
      <c r="AA285" s="123">
        <f t="shared" ref="AA285" si="288">S285/M285</f>
        <v>1.0384335239680497E-2</v>
      </c>
    </row>
    <row r="286" spans="1:27" ht="18.75" customHeight="1" x14ac:dyDescent="0.2">
      <c r="C286" s="19" t="s">
        <v>907</v>
      </c>
      <c r="D286" s="28" t="s">
        <v>288</v>
      </c>
      <c r="E286" s="29" t="s">
        <v>76</v>
      </c>
      <c r="F286" s="17"/>
      <c r="G286" s="18"/>
      <c r="H286" s="34"/>
      <c r="I286" s="34"/>
      <c r="J286" s="34"/>
      <c r="K286" s="34"/>
      <c r="L286" s="34"/>
      <c r="M286" s="18"/>
      <c r="N286" s="34"/>
      <c r="O286" s="18"/>
      <c r="P286" s="18"/>
      <c r="Q286" s="34"/>
      <c r="R286" s="18"/>
      <c r="S286" s="18"/>
      <c r="T286" s="18"/>
      <c r="U286" s="18"/>
      <c r="V286" s="18"/>
      <c r="W286" s="39"/>
      <c r="X286" s="18"/>
      <c r="Y286" s="18"/>
      <c r="Z286" s="18"/>
      <c r="AA286" s="18"/>
    </row>
    <row r="287" spans="1:27" ht="18.75" customHeight="1" x14ac:dyDescent="0.2">
      <c r="A287" s="4" t="s">
        <v>325</v>
      </c>
      <c r="B287" s="4" t="s">
        <v>326</v>
      </c>
      <c r="C287" s="19" t="s">
        <v>907</v>
      </c>
      <c r="D287" s="41" t="s">
        <v>329</v>
      </c>
      <c r="E287" s="42" t="s">
        <v>328</v>
      </c>
      <c r="F287" s="43" t="s">
        <v>61</v>
      </c>
      <c r="G287" s="43">
        <v>3964855703</v>
      </c>
      <c r="H287" s="44">
        <v>0</v>
      </c>
      <c r="I287" s="44">
        <v>0</v>
      </c>
      <c r="J287" s="44">
        <v>0</v>
      </c>
      <c r="K287" s="44">
        <v>0</v>
      </c>
      <c r="L287" s="44">
        <v>0</v>
      </c>
      <c r="M287" s="43">
        <v>3964855703</v>
      </c>
      <c r="N287" s="44">
        <v>0</v>
      </c>
      <c r="O287" s="43">
        <v>282512261</v>
      </c>
      <c r="P287" s="43">
        <v>1126431502</v>
      </c>
      <c r="Q287" s="44">
        <v>0</v>
      </c>
      <c r="R287" s="43">
        <v>282512261</v>
      </c>
      <c r="S287" s="43">
        <v>1126431502</v>
      </c>
      <c r="T287" s="44">
        <v>0</v>
      </c>
      <c r="U287" s="43">
        <f>V287-[1]ENERO!U287</f>
        <v>282512261</v>
      </c>
      <c r="V287" s="43">
        <v>1126431502</v>
      </c>
      <c r="W287" s="39">
        <f t="shared" ref="W287" si="289">T287+V287</f>
        <v>1126431502</v>
      </c>
      <c r="X287" s="18">
        <f t="shared" ref="X287" si="290">M287-P287</f>
        <v>2838424201</v>
      </c>
      <c r="Y287" s="34">
        <f t="shared" ref="Y287" si="291">P287-S287</f>
        <v>0</v>
      </c>
      <c r="Z287" s="34">
        <f t="shared" ref="Z287" si="292">S287-W287</f>
        <v>0</v>
      </c>
      <c r="AA287" s="123">
        <f t="shared" ref="AA287" si="293">S287/M287</f>
        <v>0.28410403464309886</v>
      </c>
    </row>
    <row r="288" spans="1:27" ht="18.75" customHeight="1" x14ac:dyDescent="0.2">
      <c r="C288" s="19" t="s">
        <v>907</v>
      </c>
      <c r="D288" s="16"/>
      <c r="E288" s="29" t="s">
        <v>81</v>
      </c>
      <c r="F288" s="17"/>
      <c r="G288" s="18"/>
      <c r="H288" s="34"/>
      <c r="I288" s="34"/>
      <c r="J288" s="34"/>
      <c r="K288" s="34"/>
      <c r="L288" s="34"/>
      <c r="M288" s="18"/>
      <c r="N288" s="34"/>
      <c r="O288" s="18"/>
      <c r="P288" s="18"/>
      <c r="Q288" s="34"/>
      <c r="R288" s="18"/>
      <c r="S288" s="18"/>
      <c r="T288" s="34"/>
      <c r="U288" s="18"/>
      <c r="V288" s="18"/>
      <c r="W288" s="30"/>
      <c r="X288" s="18"/>
      <c r="Y288" s="18"/>
      <c r="Z288" s="34"/>
      <c r="AA288" s="18"/>
    </row>
    <row r="289" spans="1:27" ht="18.75" customHeight="1" x14ac:dyDescent="0.2">
      <c r="C289" s="19" t="s">
        <v>907</v>
      </c>
      <c r="D289" s="28" t="s">
        <v>288</v>
      </c>
      <c r="E289" s="29" t="s">
        <v>83</v>
      </c>
      <c r="F289" s="17"/>
      <c r="G289" s="18"/>
      <c r="H289" s="34"/>
      <c r="I289" s="34"/>
      <c r="J289" s="34"/>
      <c r="K289" s="34"/>
      <c r="L289" s="34"/>
      <c r="M289" s="18"/>
      <c r="N289" s="34"/>
      <c r="O289" s="18"/>
      <c r="P289" s="18"/>
      <c r="Q289" s="34"/>
      <c r="R289" s="18"/>
      <c r="S289" s="18"/>
      <c r="T289" s="34"/>
      <c r="U289" s="18"/>
      <c r="V289" s="18"/>
      <c r="W289" s="30"/>
      <c r="X289" s="18"/>
      <c r="Y289" s="18"/>
      <c r="Z289" s="34"/>
      <c r="AA289" s="18"/>
    </row>
    <row r="290" spans="1:27" ht="18.75" customHeight="1" x14ac:dyDescent="0.2">
      <c r="A290" s="4" t="s">
        <v>325</v>
      </c>
      <c r="B290" s="4" t="s">
        <v>326</v>
      </c>
      <c r="C290" s="19" t="s">
        <v>907</v>
      </c>
      <c r="D290" s="41" t="s">
        <v>330</v>
      </c>
      <c r="E290" s="42" t="s">
        <v>328</v>
      </c>
      <c r="F290" s="43" t="s">
        <v>61</v>
      </c>
      <c r="G290" s="43">
        <v>11363953497</v>
      </c>
      <c r="H290" s="44">
        <v>0</v>
      </c>
      <c r="I290" s="44">
        <v>0</v>
      </c>
      <c r="J290" s="44">
        <v>0</v>
      </c>
      <c r="K290" s="44">
        <v>0</v>
      </c>
      <c r="L290" s="44">
        <v>0</v>
      </c>
      <c r="M290" s="43">
        <v>11363953497</v>
      </c>
      <c r="N290" s="44">
        <v>0</v>
      </c>
      <c r="O290" s="43">
        <v>9523637</v>
      </c>
      <c r="P290" s="43">
        <v>16833427</v>
      </c>
      <c r="Q290" s="44">
        <v>0</v>
      </c>
      <c r="R290" s="43">
        <v>9523637</v>
      </c>
      <c r="S290" s="43">
        <v>16833427</v>
      </c>
      <c r="T290" s="44">
        <v>0</v>
      </c>
      <c r="U290" s="43">
        <f>V290-[1]ENERO!U290</f>
        <v>9523637</v>
      </c>
      <c r="V290" s="43">
        <v>16833427</v>
      </c>
      <c r="W290" s="39">
        <f t="shared" ref="W290" si="294">T290+V290</f>
        <v>16833427</v>
      </c>
      <c r="X290" s="18">
        <f t="shared" ref="X290" si="295">M290-P290</f>
        <v>11347120070</v>
      </c>
      <c r="Y290" s="34">
        <f t="shared" ref="Y290" si="296">P290-S290</f>
        <v>0</v>
      </c>
      <c r="Z290" s="34">
        <f t="shared" ref="Z290" si="297">S290-W290</f>
        <v>0</v>
      </c>
      <c r="AA290" s="123">
        <f t="shared" ref="AA290" si="298">S290/M290</f>
        <v>1.4813002362640696E-3</v>
      </c>
    </row>
    <row r="291" spans="1:27" ht="18.75" customHeight="1" x14ac:dyDescent="0.2">
      <c r="C291" s="19" t="s">
        <v>907</v>
      </c>
      <c r="D291" s="28" t="s">
        <v>288</v>
      </c>
      <c r="E291" s="29" t="s">
        <v>88</v>
      </c>
      <c r="F291" s="17"/>
      <c r="G291" s="18"/>
      <c r="H291" s="34"/>
      <c r="I291" s="34"/>
      <c r="J291" s="34"/>
      <c r="K291" s="34"/>
      <c r="L291" s="34"/>
      <c r="M291" s="18"/>
      <c r="N291" s="34"/>
      <c r="O291" s="18"/>
      <c r="P291" s="18"/>
      <c r="Q291" s="34"/>
      <c r="R291" s="18"/>
      <c r="S291" s="18"/>
      <c r="T291" s="34"/>
      <c r="U291" s="18"/>
      <c r="V291" s="18"/>
      <c r="W291" s="30"/>
      <c r="X291" s="18"/>
      <c r="Y291" s="18"/>
      <c r="Z291" s="34"/>
      <c r="AA291" s="18"/>
    </row>
    <row r="292" spans="1:27" ht="18.75" customHeight="1" x14ac:dyDescent="0.2">
      <c r="A292" s="4" t="s">
        <v>325</v>
      </c>
      <c r="B292" s="4" t="s">
        <v>326</v>
      </c>
      <c r="C292" s="19" t="s">
        <v>907</v>
      </c>
      <c r="D292" s="41" t="s">
        <v>331</v>
      </c>
      <c r="E292" s="42" t="s">
        <v>328</v>
      </c>
      <c r="F292" s="43" t="s">
        <v>61</v>
      </c>
      <c r="G292" s="43">
        <v>5983405720</v>
      </c>
      <c r="H292" s="44">
        <v>0</v>
      </c>
      <c r="I292" s="44">
        <v>0</v>
      </c>
      <c r="J292" s="44">
        <v>0</v>
      </c>
      <c r="K292" s="44">
        <v>0</v>
      </c>
      <c r="L292" s="44">
        <v>0</v>
      </c>
      <c r="M292" s="43">
        <v>5983405720</v>
      </c>
      <c r="N292" s="44">
        <v>0</v>
      </c>
      <c r="O292" s="43">
        <v>0</v>
      </c>
      <c r="P292" s="43">
        <v>2065389</v>
      </c>
      <c r="Q292" s="44">
        <v>0</v>
      </c>
      <c r="R292" s="43">
        <v>0</v>
      </c>
      <c r="S292" s="43">
        <v>2065389</v>
      </c>
      <c r="T292" s="44">
        <v>0</v>
      </c>
      <c r="U292" s="44">
        <v>0</v>
      </c>
      <c r="V292" s="43">
        <v>2065389</v>
      </c>
      <c r="W292" s="39">
        <f t="shared" ref="W292" si="299">T292+V292</f>
        <v>2065389</v>
      </c>
      <c r="X292" s="18">
        <f t="shared" ref="X292" si="300">M292-P292</f>
        <v>5981340331</v>
      </c>
      <c r="Y292" s="34">
        <f t="shared" ref="Y292" si="301">P292-S292</f>
        <v>0</v>
      </c>
      <c r="Z292" s="34">
        <f t="shared" ref="Z292" si="302">S292-W292</f>
        <v>0</v>
      </c>
      <c r="AA292" s="123">
        <f t="shared" ref="AA292" si="303">S292/M292</f>
        <v>3.4518618603720559E-4</v>
      </c>
    </row>
    <row r="293" spans="1:27" ht="18.75" customHeight="1" x14ac:dyDescent="0.2">
      <c r="C293" s="19" t="s">
        <v>907</v>
      </c>
      <c r="D293" s="16"/>
      <c r="E293" s="29" t="s">
        <v>103</v>
      </c>
      <c r="F293" s="17"/>
      <c r="G293" s="18"/>
      <c r="H293" s="34"/>
      <c r="I293" s="34"/>
      <c r="J293" s="34"/>
      <c r="K293" s="34"/>
      <c r="L293" s="34"/>
      <c r="M293" s="18"/>
      <c r="N293" s="34"/>
      <c r="O293" s="18"/>
      <c r="P293" s="18"/>
      <c r="Q293" s="34"/>
      <c r="R293" s="18"/>
      <c r="S293" s="18"/>
      <c r="T293" s="18"/>
      <c r="U293" s="18"/>
      <c r="V293" s="18"/>
      <c r="W293" s="30"/>
      <c r="X293" s="18"/>
      <c r="Y293" s="18"/>
      <c r="Z293" s="18"/>
      <c r="AA293" s="18"/>
    </row>
    <row r="294" spans="1:27" ht="18.75" customHeight="1" x14ac:dyDescent="0.2">
      <c r="C294" s="19" t="s">
        <v>907</v>
      </c>
      <c r="D294" s="28" t="s">
        <v>288</v>
      </c>
      <c r="E294" s="29" t="s">
        <v>352</v>
      </c>
      <c r="F294" s="17"/>
      <c r="G294" s="18"/>
      <c r="H294" s="34"/>
      <c r="I294" s="34"/>
      <c r="J294" s="34"/>
      <c r="K294" s="34"/>
      <c r="L294" s="34"/>
      <c r="M294" s="18"/>
      <c r="N294" s="34"/>
      <c r="O294" s="18"/>
      <c r="P294" s="18"/>
      <c r="Q294" s="34"/>
      <c r="R294" s="18"/>
      <c r="S294" s="18"/>
      <c r="T294" s="18"/>
      <c r="U294" s="18"/>
      <c r="V294" s="18"/>
      <c r="W294" s="30"/>
      <c r="X294" s="18"/>
      <c r="Y294" s="18"/>
      <c r="Z294" s="18"/>
      <c r="AA294" s="18"/>
    </row>
    <row r="295" spans="1:27" ht="18.75" customHeight="1" x14ac:dyDescent="0.2">
      <c r="A295" s="4" t="s">
        <v>325</v>
      </c>
      <c r="B295" s="4" t="s">
        <v>326</v>
      </c>
      <c r="C295" s="19" t="s">
        <v>907</v>
      </c>
      <c r="D295" s="41" t="s">
        <v>332</v>
      </c>
      <c r="E295" s="42" t="s">
        <v>328</v>
      </c>
      <c r="F295" s="43" t="s">
        <v>61</v>
      </c>
      <c r="G295" s="43">
        <v>13134738179</v>
      </c>
      <c r="H295" s="44">
        <v>0</v>
      </c>
      <c r="I295" s="44">
        <v>0</v>
      </c>
      <c r="J295" s="44">
        <v>0</v>
      </c>
      <c r="K295" s="44">
        <v>0</v>
      </c>
      <c r="L295" s="44">
        <v>0</v>
      </c>
      <c r="M295" s="43">
        <v>13134738179</v>
      </c>
      <c r="N295" s="44">
        <v>0</v>
      </c>
      <c r="O295" s="43">
        <v>786575229</v>
      </c>
      <c r="P295" s="43">
        <v>1686234871.2</v>
      </c>
      <c r="Q295" s="44">
        <v>0</v>
      </c>
      <c r="R295" s="43">
        <v>786575229</v>
      </c>
      <c r="S295" s="43">
        <v>1686234871.2</v>
      </c>
      <c r="T295" s="44">
        <v>0</v>
      </c>
      <c r="U295" s="43">
        <f>V295-[1]ENERO!U295</f>
        <v>786575229</v>
      </c>
      <c r="V295" s="43">
        <v>1686234871.2</v>
      </c>
      <c r="W295" s="39">
        <f t="shared" ref="W295" si="304">T295+V295</f>
        <v>1686234871.2</v>
      </c>
      <c r="X295" s="18">
        <f t="shared" ref="X295" si="305">M295-P295</f>
        <v>11448503307.799999</v>
      </c>
      <c r="Y295" s="34">
        <f t="shared" ref="Y295" si="306">P295-S295</f>
        <v>0</v>
      </c>
      <c r="Z295" s="133">
        <f t="shared" ref="Z295" si="307">S295-W295</f>
        <v>0</v>
      </c>
      <c r="AA295" s="123">
        <f t="shared" ref="AA295" si="308">S295/M295</f>
        <v>0.12837978558993857</v>
      </c>
    </row>
    <row r="296" spans="1:27" ht="18.75" customHeight="1" x14ac:dyDescent="0.2">
      <c r="C296" s="19" t="s">
        <v>907</v>
      </c>
      <c r="D296" s="28" t="s">
        <v>288</v>
      </c>
      <c r="E296" s="29" t="s">
        <v>353</v>
      </c>
      <c r="F296" s="17"/>
      <c r="G296" s="18"/>
      <c r="H296" s="34"/>
      <c r="I296" s="34"/>
      <c r="J296" s="34"/>
      <c r="K296" s="34"/>
      <c r="L296" s="34"/>
      <c r="M296" s="18"/>
      <c r="N296" s="34"/>
      <c r="O296" s="18"/>
      <c r="P296" s="18"/>
      <c r="Q296" s="34"/>
      <c r="R296" s="18"/>
      <c r="S296" s="18"/>
      <c r="T296" s="34"/>
      <c r="U296" s="18"/>
      <c r="V296" s="18"/>
      <c r="W296" s="30"/>
      <c r="X296" s="18"/>
      <c r="Y296" s="18"/>
      <c r="Z296" s="133"/>
      <c r="AA296" s="18"/>
    </row>
    <row r="297" spans="1:27" ht="18.75" customHeight="1" x14ac:dyDescent="0.2">
      <c r="A297" s="4" t="s">
        <v>325</v>
      </c>
      <c r="B297" s="4" t="s">
        <v>326</v>
      </c>
      <c r="C297" s="19" t="s">
        <v>907</v>
      </c>
      <c r="D297" s="41" t="s">
        <v>334</v>
      </c>
      <c r="E297" s="42" t="s">
        <v>328</v>
      </c>
      <c r="F297" s="43" t="s">
        <v>61</v>
      </c>
      <c r="G297" s="43">
        <v>9662336131</v>
      </c>
      <c r="H297" s="44">
        <v>0</v>
      </c>
      <c r="I297" s="44">
        <v>0</v>
      </c>
      <c r="J297" s="44">
        <v>0</v>
      </c>
      <c r="K297" s="44">
        <v>0</v>
      </c>
      <c r="L297" s="44">
        <v>0</v>
      </c>
      <c r="M297" s="43">
        <v>9662336131</v>
      </c>
      <c r="N297" s="44">
        <v>0</v>
      </c>
      <c r="O297" s="43">
        <v>835732307</v>
      </c>
      <c r="P297" s="43">
        <v>1589941109.8</v>
      </c>
      <c r="Q297" s="44">
        <v>0</v>
      </c>
      <c r="R297" s="43">
        <v>835732307</v>
      </c>
      <c r="S297" s="43">
        <v>1589941109.8</v>
      </c>
      <c r="T297" s="44">
        <v>0</v>
      </c>
      <c r="U297" s="43">
        <v>835732307</v>
      </c>
      <c r="V297" s="43">
        <v>1589941109.8</v>
      </c>
      <c r="W297" s="39">
        <f t="shared" ref="W297" si="309">T297+V297</f>
        <v>1589941109.8</v>
      </c>
      <c r="X297" s="18">
        <f t="shared" ref="X297" si="310">M297-P297</f>
        <v>8072395021.1999998</v>
      </c>
      <c r="Y297" s="34">
        <f t="shared" ref="Y297" si="311">P297-S297</f>
        <v>0</v>
      </c>
      <c r="Z297" s="133">
        <f t="shared" ref="Z297" si="312">S297-W297</f>
        <v>0</v>
      </c>
      <c r="AA297" s="123">
        <f t="shared" ref="AA297" si="313">S297/M297</f>
        <v>0.16455038287262003</v>
      </c>
    </row>
    <row r="298" spans="1:27" ht="18.75" customHeight="1" x14ac:dyDescent="0.2">
      <c r="C298" s="19" t="s">
        <v>907</v>
      </c>
      <c r="D298" s="28" t="s">
        <v>288</v>
      </c>
      <c r="E298" s="29" t="s">
        <v>354</v>
      </c>
      <c r="F298" s="17"/>
      <c r="G298" s="18"/>
      <c r="H298" s="34"/>
      <c r="I298" s="34"/>
      <c r="J298" s="34"/>
      <c r="K298" s="34"/>
      <c r="L298" s="34"/>
      <c r="M298" s="18"/>
      <c r="N298" s="34"/>
      <c r="O298" s="18"/>
      <c r="P298" s="18"/>
      <c r="Q298" s="34"/>
      <c r="R298" s="18"/>
      <c r="S298" s="18"/>
      <c r="T298" s="34"/>
      <c r="U298" s="18"/>
      <c r="V298" s="18"/>
      <c r="W298" s="30"/>
      <c r="X298" s="18"/>
      <c r="Y298" s="18"/>
      <c r="Z298" s="133"/>
      <c r="AA298" s="18"/>
    </row>
    <row r="299" spans="1:27" ht="18.75" customHeight="1" x14ac:dyDescent="0.2">
      <c r="A299" s="4" t="s">
        <v>325</v>
      </c>
      <c r="B299" s="4" t="s">
        <v>326</v>
      </c>
      <c r="C299" s="19" t="s">
        <v>907</v>
      </c>
      <c r="D299" s="41" t="s">
        <v>335</v>
      </c>
      <c r="E299" s="42" t="s">
        <v>328</v>
      </c>
      <c r="F299" s="43" t="s">
        <v>61</v>
      </c>
      <c r="G299" s="43">
        <v>8037478566</v>
      </c>
      <c r="H299" s="44">
        <v>0</v>
      </c>
      <c r="I299" s="44">
        <v>0</v>
      </c>
      <c r="J299" s="44">
        <v>0</v>
      </c>
      <c r="K299" s="44">
        <v>0</v>
      </c>
      <c r="L299" s="44">
        <v>0</v>
      </c>
      <c r="M299" s="43">
        <v>8037478566</v>
      </c>
      <c r="N299" s="44">
        <v>0</v>
      </c>
      <c r="O299" s="43">
        <v>821460223</v>
      </c>
      <c r="P299" s="43">
        <v>1660494559</v>
      </c>
      <c r="Q299" s="44">
        <v>0</v>
      </c>
      <c r="R299" s="43">
        <v>821460223</v>
      </c>
      <c r="S299" s="43">
        <v>1660494559</v>
      </c>
      <c r="T299" s="44">
        <v>0</v>
      </c>
      <c r="U299" s="43">
        <f>V299-[1]ENERO!U299</f>
        <v>821460223</v>
      </c>
      <c r="V299" s="43">
        <v>1660494559</v>
      </c>
      <c r="W299" s="39">
        <f t="shared" ref="W299" si="314">T299+V299</f>
        <v>1660494559</v>
      </c>
      <c r="X299" s="18">
        <f t="shared" ref="X299" si="315">M299-P299</f>
        <v>6376984007</v>
      </c>
      <c r="Y299" s="34">
        <f t="shared" ref="Y299" si="316">P299-S299</f>
        <v>0</v>
      </c>
      <c r="Z299" s="133">
        <f t="shared" ref="Z299" si="317">S299-W299</f>
        <v>0</v>
      </c>
      <c r="AA299" s="123">
        <f t="shared" ref="AA299" si="318">S299/M299</f>
        <v>0.20659396418476247</v>
      </c>
    </row>
    <row r="300" spans="1:27" ht="18.75" customHeight="1" x14ac:dyDescent="0.2">
      <c r="C300" s="19" t="s">
        <v>907</v>
      </c>
      <c r="D300" s="28" t="s">
        <v>288</v>
      </c>
      <c r="E300" s="29" t="s">
        <v>119</v>
      </c>
      <c r="F300" s="17"/>
      <c r="G300" s="18"/>
      <c r="H300" s="34"/>
      <c r="I300" s="34"/>
      <c r="J300" s="34"/>
      <c r="K300" s="34"/>
      <c r="L300" s="34"/>
      <c r="M300" s="18"/>
      <c r="N300" s="34"/>
      <c r="O300" s="18"/>
      <c r="P300" s="18"/>
      <c r="Q300" s="34"/>
      <c r="R300" s="18"/>
      <c r="S300" s="18"/>
      <c r="T300" s="110"/>
      <c r="U300" s="110"/>
      <c r="V300" s="110"/>
      <c r="W300" s="30"/>
      <c r="X300" s="18"/>
      <c r="Y300" s="18"/>
      <c r="Z300" s="133"/>
      <c r="AA300" s="18"/>
    </row>
    <row r="301" spans="1:27" ht="18.75" customHeight="1" x14ac:dyDescent="0.2">
      <c r="A301" s="4" t="s">
        <v>325</v>
      </c>
      <c r="B301" s="4" t="s">
        <v>326</v>
      </c>
      <c r="C301" s="19" t="s">
        <v>907</v>
      </c>
      <c r="D301" s="41" t="s">
        <v>336</v>
      </c>
      <c r="E301" s="42" t="s">
        <v>328</v>
      </c>
      <c r="F301" s="43" t="s">
        <v>61</v>
      </c>
      <c r="G301" s="43">
        <v>5595577790</v>
      </c>
      <c r="H301" s="44">
        <v>0</v>
      </c>
      <c r="I301" s="44">
        <v>0</v>
      </c>
      <c r="J301" s="44">
        <v>0</v>
      </c>
      <c r="K301" s="44">
        <v>0</v>
      </c>
      <c r="L301" s="44">
        <v>0</v>
      </c>
      <c r="M301" s="43">
        <v>5595577790</v>
      </c>
      <c r="N301" s="44">
        <v>0</v>
      </c>
      <c r="O301" s="43">
        <v>389090000</v>
      </c>
      <c r="P301" s="43">
        <v>787389000</v>
      </c>
      <c r="Q301" s="44">
        <v>0</v>
      </c>
      <c r="R301" s="43">
        <v>389090000</v>
      </c>
      <c r="S301" s="43">
        <v>787389000</v>
      </c>
      <c r="T301" s="114">
        <v>389090000</v>
      </c>
      <c r="U301" s="114">
        <f>V301-[1]ENERO!U301</f>
        <v>398299000</v>
      </c>
      <c r="V301" s="114">
        <v>398299000</v>
      </c>
      <c r="W301" s="39">
        <f t="shared" ref="W301" si="319">T301+V301</f>
        <v>787389000</v>
      </c>
      <c r="X301" s="18">
        <f t="shared" ref="X301" si="320">M301-P301</f>
        <v>4808188790</v>
      </c>
      <c r="Y301" s="34">
        <f t="shared" ref="Y301" si="321">P301-S301</f>
        <v>0</v>
      </c>
      <c r="Z301" s="133">
        <f t="shared" ref="Z301" si="322">S301-W301</f>
        <v>0</v>
      </c>
      <c r="AA301" s="123">
        <f t="shared" ref="AA301" si="323">S301/M301</f>
        <v>0.14071629946904912</v>
      </c>
    </row>
    <row r="302" spans="1:27" ht="18.75" customHeight="1" x14ac:dyDescent="0.2">
      <c r="C302" s="19" t="s">
        <v>907</v>
      </c>
      <c r="D302" s="28"/>
      <c r="E302" s="29" t="s">
        <v>124</v>
      </c>
      <c r="F302" s="17"/>
      <c r="G302" s="18"/>
      <c r="H302" s="34"/>
      <c r="I302" s="34"/>
      <c r="J302" s="34"/>
      <c r="K302" s="34"/>
      <c r="L302" s="34"/>
      <c r="M302" s="18"/>
      <c r="N302" s="34"/>
      <c r="O302" s="18"/>
      <c r="P302" s="18"/>
      <c r="Q302" s="34"/>
      <c r="R302" s="18"/>
      <c r="S302" s="18"/>
      <c r="T302" s="110"/>
      <c r="U302" s="110"/>
      <c r="V302" s="110"/>
      <c r="W302" s="31"/>
      <c r="X302" s="18"/>
      <c r="Y302" s="18"/>
      <c r="Z302" s="18"/>
      <c r="AA302" s="18"/>
    </row>
    <row r="303" spans="1:27" ht="18.75" customHeight="1" x14ac:dyDescent="0.2">
      <c r="C303" s="19" t="s">
        <v>907</v>
      </c>
      <c r="D303" s="28" t="s">
        <v>288</v>
      </c>
      <c r="E303" s="29" t="s">
        <v>129</v>
      </c>
      <c r="F303" s="17"/>
      <c r="G303" s="18"/>
      <c r="H303" s="34"/>
      <c r="I303" s="34"/>
      <c r="J303" s="34"/>
      <c r="K303" s="34"/>
      <c r="L303" s="34"/>
      <c r="M303" s="18"/>
      <c r="N303" s="34"/>
      <c r="O303" s="18"/>
      <c r="P303" s="18"/>
      <c r="Q303" s="34"/>
      <c r="R303" s="18"/>
      <c r="S303" s="18"/>
      <c r="T303" s="110"/>
      <c r="U303" s="110"/>
      <c r="V303" s="110"/>
      <c r="W303" s="31"/>
      <c r="X303" s="18"/>
      <c r="Y303" s="18"/>
      <c r="Z303" s="18"/>
      <c r="AA303" s="18"/>
    </row>
    <row r="304" spans="1:27" ht="18.75" customHeight="1" x14ac:dyDescent="0.2">
      <c r="A304" s="4" t="s">
        <v>325</v>
      </c>
      <c r="B304" s="4" t="s">
        <v>326</v>
      </c>
      <c r="C304" s="19" t="s">
        <v>907</v>
      </c>
      <c r="D304" s="41" t="s">
        <v>338</v>
      </c>
      <c r="E304" s="42" t="s">
        <v>328</v>
      </c>
      <c r="F304" s="43" t="s">
        <v>61</v>
      </c>
      <c r="G304" s="43">
        <v>4197626620</v>
      </c>
      <c r="H304" s="44">
        <v>0</v>
      </c>
      <c r="I304" s="44">
        <v>0</v>
      </c>
      <c r="J304" s="44">
        <v>0</v>
      </c>
      <c r="K304" s="44">
        <v>0</v>
      </c>
      <c r="L304" s="44">
        <v>0</v>
      </c>
      <c r="M304" s="43">
        <v>4197626620</v>
      </c>
      <c r="N304" s="44">
        <v>0</v>
      </c>
      <c r="O304" s="43">
        <v>291875300</v>
      </c>
      <c r="P304" s="43">
        <v>590621500</v>
      </c>
      <c r="Q304" s="44">
        <v>0</v>
      </c>
      <c r="R304" s="43">
        <v>291875300</v>
      </c>
      <c r="S304" s="43">
        <v>590621500</v>
      </c>
      <c r="T304" s="114">
        <v>291875300</v>
      </c>
      <c r="U304" s="114">
        <v>298746200</v>
      </c>
      <c r="V304" s="114">
        <v>298746200</v>
      </c>
      <c r="W304" s="39">
        <f t="shared" ref="W304" si="324">T304+V304</f>
        <v>590621500</v>
      </c>
      <c r="X304" s="18">
        <f t="shared" ref="X304" si="325">M304-P304</f>
        <v>3607005120</v>
      </c>
      <c r="Y304" s="34">
        <f t="shared" ref="Y304" si="326">P304-S304</f>
        <v>0</v>
      </c>
      <c r="Z304" s="34">
        <f t="shared" ref="Z304" si="327">S304-W304</f>
        <v>0</v>
      </c>
      <c r="AA304" s="123">
        <f t="shared" ref="AA304" si="328">S304/M304</f>
        <v>0.14070367697448993</v>
      </c>
    </row>
    <row r="305" spans="1:27" ht="18.75" customHeight="1" x14ac:dyDescent="0.2">
      <c r="C305" s="19" t="s">
        <v>907</v>
      </c>
      <c r="D305" s="28" t="s">
        <v>288</v>
      </c>
      <c r="E305" s="29" t="s">
        <v>133</v>
      </c>
      <c r="F305" s="17"/>
      <c r="G305" s="18"/>
      <c r="H305" s="34"/>
      <c r="I305" s="34"/>
      <c r="J305" s="34"/>
      <c r="K305" s="34"/>
      <c r="L305" s="34"/>
      <c r="M305" s="18"/>
      <c r="N305" s="34"/>
      <c r="O305" s="18"/>
      <c r="P305" s="18"/>
      <c r="Q305" s="34"/>
      <c r="R305" s="18"/>
      <c r="S305" s="18"/>
      <c r="T305" s="110"/>
      <c r="U305" s="110"/>
      <c r="V305" s="110"/>
      <c r="W305" s="31"/>
      <c r="X305" s="18"/>
      <c r="Y305" s="18"/>
      <c r="Z305" s="34"/>
      <c r="AA305" s="18"/>
    </row>
    <row r="306" spans="1:27" ht="18.75" customHeight="1" x14ac:dyDescent="0.2">
      <c r="A306" s="4" t="s">
        <v>325</v>
      </c>
      <c r="B306" s="4" t="s">
        <v>326</v>
      </c>
      <c r="C306" s="19" t="s">
        <v>907</v>
      </c>
      <c r="D306" s="41" t="s">
        <v>339</v>
      </c>
      <c r="E306" s="42" t="s">
        <v>328</v>
      </c>
      <c r="F306" s="43" t="s">
        <v>61</v>
      </c>
      <c r="G306" s="43">
        <v>701459880</v>
      </c>
      <c r="H306" s="44">
        <v>0</v>
      </c>
      <c r="I306" s="44">
        <v>0</v>
      </c>
      <c r="J306" s="44">
        <v>0</v>
      </c>
      <c r="K306" s="44">
        <v>0</v>
      </c>
      <c r="L306" s="44">
        <v>0</v>
      </c>
      <c r="M306" s="43">
        <v>701459880</v>
      </c>
      <c r="N306" s="44">
        <v>0</v>
      </c>
      <c r="O306" s="43">
        <v>48780700</v>
      </c>
      <c r="P306" s="43">
        <v>98794000</v>
      </c>
      <c r="Q306" s="44">
        <v>0</v>
      </c>
      <c r="R306" s="43">
        <v>48780700</v>
      </c>
      <c r="S306" s="43">
        <v>98794000</v>
      </c>
      <c r="T306" s="114">
        <v>48780700</v>
      </c>
      <c r="U306" s="114">
        <v>50013300</v>
      </c>
      <c r="V306" s="114">
        <v>50013300</v>
      </c>
      <c r="W306" s="39">
        <f t="shared" ref="W306" si="329">T306+V306</f>
        <v>98794000</v>
      </c>
      <c r="X306" s="18">
        <f t="shared" ref="X306" si="330">M306-P306</f>
        <v>602665880</v>
      </c>
      <c r="Y306" s="34">
        <f t="shared" ref="Y306" si="331">P306-S306</f>
        <v>0</v>
      </c>
      <c r="Z306" s="34">
        <f t="shared" ref="Z306" si="332">S306-W306</f>
        <v>0</v>
      </c>
      <c r="AA306" s="123">
        <f t="shared" ref="AA306" si="333">S306/M306</f>
        <v>0.14084055669726969</v>
      </c>
    </row>
    <row r="307" spans="1:27" ht="18.75" customHeight="1" x14ac:dyDescent="0.2">
      <c r="C307" s="19" t="s">
        <v>907</v>
      </c>
      <c r="D307" s="28" t="s">
        <v>288</v>
      </c>
      <c r="E307" s="29" t="s">
        <v>138</v>
      </c>
      <c r="F307" s="17"/>
      <c r="G307" s="18"/>
      <c r="H307" s="34"/>
      <c r="I307" s="34"/>
      <c r="J307" s="34"/>
      <c r="K307" s="34"/>
      <c r="L307" s="34"/>
      <c r="M307" s="18"/>
      <c r="N307" s="34"/>
      <c r="O307" s="18"/>
      <c r="P307" s="18"/>
      <c r="Q307" s="34"/>
      <c r="R307" s="18"/>
      <c r="S307" s="18"/>
      <c r="T307" s="110"/>
      <c r="U307" s="110"/>
      <c r="V307" s="110"/>
      <c r="W307" s="31"/>
      <c r="X307" s="18"/>
      <c r="Y307" s="18"/>
      <c r="Z307" s="34"/>
      <c r="AA307" s="18"/>
    </row>
    <row r="308" spans="1:27" ht="18.75" customHeight="1" x14ac:dyDescent="0.2">
      <c r="A308" s="4" t="s">
        <v>325</v>
      </c>
      <c r="B308" s="4" t="s">
        <v>326</v>
      </c>
      <c r="C308" s="19" t="s">
        <v>907</v>
      </c>
      <c r="D308" s="41" t="s">
        <v>340</v>
      </c>
      <c r="E308" s="42" t="s">
        <v>328</v>
      </c>
      <c r="F308" s="43" t="s">
        <v>61</v>
      </c>
      <c r="G308" s="43">
        <v>701459880</v>
      </c>
      <c r="H308" s="44">
        <v>0</v>
      </c>
      <c r="I308" s="44">
        <v>0</v>
      </c>
      <c r="J308" s="44">
        <v>0</v>
      </c>
      <c r="K308" s="44">
        <v>0</v>
      </c>
      <c r="L308" s="44">
        <v>0</v>
      </c>
      <c r="M308" s="43">
        <v>701459880</v>
      </c>
      <c r="N308" s="44">
        <v>0</v>
      </c>
      <c r="O308" s="43">
        <v>48780700</v>
      </c>
      <c r="P308" s="43">
        <v>98794000</v>
      </c>
      <c r="Q308" s="44">
        <v>0</v>
      </c>
      <c r="R308" s="43">
        <v>48780700</v>
      </c>
      <c r="S308" s="43">
        <v>98794000</v>
      </c>
      <c r="T308" s="114">
        <v>48780700</v>
      </c>
      <c r="U308" s="114">
        <v>50013300</v>
      </c>
      <c r="V308" s="114">
        <v>50013300</v>
      </c>
      <c r="W308" s="39">
        <f t="shared" ref="W308:W346" si="334">T308+V308</f>
        <v>98794000</v>
      </c>
      <c r="X308" s="18">
        <f t="shared" ref="X308" si="335">M308-P308</f>
        <v>602665880</v>
      </c>
      <c r="Y308" s="34">
        <f t="shared" ref="Y308" si="336">P308-S308</f>
        <v>0</v>
      </c>
      <c r="Z308" s="34">
        <f t="shared" ref="Z308" si="337">S308-W308</f>
        <v>0</v>
      </c>
      <c r="AA308" s="123">
        <f t="shared" ref="AA308" si="338">S308/M308</f>
        <v>0.14084055669726969</v>
      </c>
    </row>
    <row r="309" spans="1:27" ht="25.5" x14ac:dyDescent="0.2">
      <c r="C309" s="19" t="s">
        <v>907</v>
      </c>
      <c r="D309" s="28" t="s">
        <v>288</v>
      </c>
      <c r="E309" s="29" t="s">
        <v>145</v>
      </c>
      <c r="F309" s="17"/>
      <c r="G309" s="18"/>
      <c r="H309" s="34"/>
      <c r="I309" s="34"/>
      <c r="J309" s="34"/>
      <c r="K309" s="34"/>
      <c r="L309" s="34"/>
      <c r="M309" s="18"/>
      <c r="N309" s="34"/>
      <c r="O309" s="18"/>
      <c r="P309" s="18"/>
      <c r="Q309" s="34"/>
      <c r="R309" s="18"/>
      <c r="S309" s="18"/>
      <c r="T309" s="110"/>
      <c r="U309" s="110"/>
      <c r="V309" s="110"/>
      <c r="W309" s="31"/>
      <c r="X309" s="18"/>
      <c r="Y309" s="18"/>
      <c r="Z309" s="34"/>
      <c r="AA309" s="18"/>
    </row>
    <row r="310" spans="1:27" ht="18.75" customHeight="1" x14ac:dyDescent="0.2">
      <c r="A310" s="4" t="s">
        <v>325</v>
      </c>
      <c r="B310" s="4" t="s">
        <v>326</v>
      </c>
      <c r="C310" s="19" t="s">
        <v>907</v>
      </c>
      <c r="D310" s="41" t="s">
        <v>341</v>
      </c>
      <c r="E310" s="42" t="s">
        <v>328</v>
      </c>
      <c r="F310" s="43" t="s">
        <v>61</v>
      </c>
      <c r="G310" s="43">
        <v>1400409285</v>
      </c>
      <c r="H310" s="44">
        <v>0</v>
      </c>
      <c r="I310" s="44">
        <v>0</v>
      </c>
      <c r="J310" s="44">
        <v>0</v>
      </c>
      <c r="K310" s="44">
        <v>0</v>
      </c>
      <c r="L310" s="44">
        <v>0</v>
      </c>
      <c r="M310" s="43">
        <v>1400409285</v>
      </c>
      <c r="N310" s="44">
        <v>0</v>
      </c>
      <c r="O310" s="43">
        <v>97368100</v>
      </c>
      <c r="P310" s="43">
        <v>197135500</v>
      </c>
      <c r="Q310" s="44">
        <v>0</v>
      </c>
      <c r="R310" s="43">
        <v>97368100</v>
      </c>
      <c r="S310" s="43">
        <v>197135500</v>
      </c>
      <c r="T310" s="114">
        <v>97368100</v>
      </c>
      <c r="U310" s="114">
        <v>99767400</v>
      </c>
      <c r="V310" s="114">
        <v>99767400</v>
      </c>
      <c r="W310" s="39">
        <f t="shared" si="334"/>
        <v>197135500</v>
      </c>
      <c r="X310" s="18">
        <f t="shared" ref="X310" si="339">M310-P310</f>
        <v>1203273785</v>
      </c>
      <c r="Y310" s="34">
        <f t="shared" ref="Y310" si="340">P310-S310</f>
        <v>0</v>
      </c>
      <c r="Z310" s="34">
        <f t="shared" ref="Z310" si="341">S310-W310</f>
        <v>0</v>
      </c>
      <c r="AA310" s="123">
        <f t="shared" ref="AA310" si="342">S310/M310</f>
        <v>0.14076991784583889</v>
      </c>
    </row>
    <row r="311" spans="1:27" ht="28.5" customHeight="1" x14ac:dyDescent="0.2">
      <c r="C311" s="19" t="s">
        <v>907</v>
      </c>
      <c r="D311" s="16"/>
      <c r="E311" s="29" t="s">
        <v>149</v>
      </c>
      <c r="F311" s="17"/>
      <c r="G311" s="18"/>
      <c r="H311" s="34"/>
      <c r="I311" s="34"/>
      <c r="J311" s="34"/>
      <c r="K311" s="34"/>
      <c r="L311" s="34"/>
      <c r="M311" s="18"/>
      <c r="N311" s="34"/>
      <c r="O311" s="18"/>
      <c r="P311" s="18"/>
      <c r="Q311" s="34"/>
      <c r="R311" s="18"/>
      <c r="S311" s="18"/>
      <c r="T311" s="34"/>
      <c r="U311" s="34"/>
      <c r="V311" s="34"/>
      <c r="W311" s="31"/>
      <c r="X311" s="18"/>
      <c r="Y311" s="18"/>
      <c r="Z311" s="18"/>
      <c r="AA311" s="18"/>
    </row>
    <row r="312" spans="1:27" ht="18.75" customHeight="1" x14ac:dyDescent="0.2">
      <c r="C312" s="19" t="s">
        <v>907</v>
      </c>
      <c r="D312" s="16"/>
      <c r="E312" s="29" t="s">
        <v>81</v>
      </c>
      <c r="F312" s="17"/>
      <c r="G312" s="18"/>
      <c r="H312" s="34"/>
      <c r="I312" s="34"/>
      <c r="J312" s="34"/>
      <c r="K312" s="34"/>
      <c r="L312" s="34"/>
      <c r="M312" s="18"/>
      <c r="N312" s="34"/>
      <c r="O312" s="18"/>
      <c r="P312" s="18"/>
      <c r="Q312" s="34"/>
      <c r="R312" s="18"/>
      <c r="S312" s="18"/>
      <c r="T312" s="34"/>
      <c r="U312" s="34"/>
      <c r="V312" s="34"/>
      <c r="W312" s="31"/>
      <c r="X312" s="18"/>
      <c r="Y312" s="18"/>
      <c r="Z312" s="18"/>
      <c r="AA312" s="18"/>
    </row>
    <row r="313" spans="1:27" ht="18.75" customHeight="1" x14ac:dyDescent="0.2">
      <c r="C313" s="19" t="s">
        <v>907</v>
      </c>
      <c r="D313" s="28" t="s">
        <v>288</v>
      </c>
      <c r="E313" s="29" t="s">
        <v>152</v>
      </c>
      <c r="F313" s="17"/>
      <c r="G313" s="18"/>
      <c r="H313" s="34"/>
      <c r="I313" s="34"/>
      <c r="J313" s="34"/>
      <c r="K313" s="34"/>
      <c r="L313" s="34"/>
      <c r="M313" s="18"/>
      <c r="N313" s="34"/>
      <c r="O313" s="18"/>
      <c r="P313" s="18"/>
      <c r="Q313" s="34"/>
      <c r="R313" s="18"/>
      <c r="S313" s="18"/>
      <c r="T313" s="34"/>
      <c r="U313" s="34"/>
      <c r="V313" s="34"/>
      <c r="W313" s="31"/>
      <c r="X313" s="18"/>
      <c r="Y313" s="18"/>
      <c r="Z313" s="18"/>
      <c r="AA313" s="18"/>
    </row>
    <row r="314" spans="1:27" ht="18.75" customHeight="1" x14ac:dyDescent="0.2">
      <c r="A314" s="4" t="s">
        <v>325</v>
      </c>
      <c r="B314" s="4" t="s">
        <v>326</v>
      </c>
      <c r="C314" s="19" t="s">
        <v>907</v>
      </c>
      <c r="D314" s="41" t="s">
        <v>342</v>
      </c>
      <c r="E314" s="42" t="s">
        <v>328</v>
      </c>
      <c r="F314" s="43" t="s">
        <v>61</v>
      </c>
      <c r="G314" s="43">
        <v>10068147601</v>
      </c>
      <c r="H314" s="44">
        <v>0</v>
      </c>
      <c r="I314" s="44">
        <v>0</v>
      </c>
      <c r="J314" s="44">
        <v>0</v>
      </c>
      <c r="K314" s="44">
        <v>0</v>
      </c>
      <c r="L314" s="44">
        <v>0</v>
      </c>
      <c r="M314" s="43">
        <v>10068147601</v>
      </c>
      <c r="N314" s="44">
        <v>0</v>
      </c>
      <c r="O314" s="43">
        <v>1029180</v>
      </c>
      <c r="P314" s="43">
        <v>3371890415</v>
      </c>
      <c r="Q314" s="44">
        <v>0</v>
      </c>
      <c r="R314" s="43">
        <v>1029180</v>
      </c>
      <c r="S314" s="43">
        <v>3371890415</v>
      </c>
      <c r="T314" s="44">
        <v>0</v>
      </c>
      <c r="U314" s="114">
        <f>V314-[1]ENERO!U314</f>
        <v>3371890415</v>
      </c>
      <c r="V314" s="114">
        <v>3371890415</v>
      </c>
      <c r="W314" s="39">
        <f t="shared" ref="W314" si="343">T314+V314</f>
        <v>3371890415</v>
      </c>
      <c r="X314" s="18">
        <f t="shared" ref="X314" si="344">M314-P314</f>
        <v>6696257186</v>
      </c>
      <c r="Y314" s="34">
        <f t="shared" ref="Y314" si="345">P314-S314</f>
        <v>0</v>
      </c>
      <c r="Z314" s="34">
        <f t="shared" ref="Z314" si="346">S314-W314</f>
        <v>0</v>
      </c>
      <c r="AA314" s="123">
        <f t="shared" ref="AA314" si="347">S314/M314</f>
        <v>0.33490673246239389</v>
      </c>
    </row>
    <row r="315" spans="1:27" ht="18.75" customHeight="1" x14ac:dyDescent="0.2">
      <c r="C315" s="19" t="s">
        <v>907</v>
      </c>
      <c r="D315" s="28" t="s">
        <v>288</v>
      </c>
      <c r="E315" s="29" t="s">
        <v>343</v>
      </c>
      <c r="F315" s="17"/>
      <c r="G315" s="18"/>
      <c r="H315" s="34"/>
      <c r="I315" s="34"/>
      <c r="J315" s="34"/>
      <c r="K315" s="34"/>
      <c r="L315" s="34"/>
      <c r="M315" s="18"/>
      <c r="N315" s="34"/>
      <c r="O315" s="18"/>
      <c r="P315" s="18"/>
      <c r="Q315" s="34"/>
      <c r="R315" s="18"/>
      <c r="S315" s="18"/>
      <c r="T315" s="34"/>
      <c r="U315" s="34"/>
      <c r="V315" s="34"/>
      <c r="W315" s="31"/>
      <c r="X315" s="18"/>
      <c r="Y315" s="18"/>
      <c r="Z315" s="34"/>
      <c r="AA315" s="18"/>
    </row>
    <row r="316" spans="1:27" ht="18.75" customHeight="1" x14ac:dyDescent="0.2">
      <c r="A316" s="4" t="s">
        <v>325</v>
      </c>
      <c r="B316" s="4" t="s">
        <v>326</v>
      </c>
      <c r="C316" s="19" t="s">
        <v>907</v>
      </c>
      <c r="D316" s="41" t="s">
        <v>344</v>
      </c>
      <c r="E316" s="42" t="s">
        <v>328</v>
      </c>
      <c r="F316" s="43" t="s">
        <v>61</v>
      </c>
      <c r="G316" s="43">
        <v>10000000</v>
      </c>
      <c r="H316" s="44">
        <v>0</v>
      </c>
      <c r="I316" s="44">
        <v>0</v>
      </c>
      <c r="J316" s="44">
        <v>0</v>
      </c>
      <c r="K316" s="44">
        <v>0</v>
      </c>
      <c r="L316" s="44">
        <v>0</v>
      </c>
      <c r="M316" s="43">
        <v>10000000</v>
      </c>
      <c r="N316" s="44">
        <v>0</v>
      </c>
      <c r="O316" s="43">
        <v>0</v>
      </c>
      <c r="P316" s="44">
        <v>0</v>
      </c>
      <c r="Q316" s="44">
        <v>0</v>
      </c>
      <c r="R316" s="44">
        <v>0</v>
      </c>
      <c r="S316" s="44">
        <v>0</v>
      </c>
      <c r="T316" s="44">
        <v>0</v>
      </c>
      <c r="U316" s="44">
        <v>0</v>
      </c>
      <c r="V316" s="44">
        <v>0</v>
      </c>
      <c r="W316" s="40">
        <f t="shared" si="334"/>
        <v>0</v>
      </c>
      <c r="X316" s="18">
        <f t="shared" ref="X316" si="348">M316-P316</f>
        <v>10000000</v>
      </c>
      <c r="Y316" s="34">
        <f t="shared" ref="Y316" si="349">P316-S316</f>
        <v>0</v>
      </c>
      <c r="Z316" s="34">
        <f t="shared" ref="Z316" si="350">S316-W316</f>
        <v>0</v>
      </c>
      <c r="AA316" s="123">
        <f t="shared" ref="AA316" si="351">S316/M316</f>
        <v>0</v>
      </c>
    </row>
    <row r="317" spans="1:27" ht="18.75" customHeight="1" x14ac:dyDescent="0.2">
      <c r="C317" s="19" t="s">
        <v>907</v>
      </c>
      <c r="D317" s="16"/>
      <c r="E317" s="29" t="s">
        <v>355</v>
      </c>
      <c r="F317" s="17"/>
      <c r="G317" s="18"/>
      <c r="H317" s="34"/>
      <c r="I317" s="34"/>
      <c r="J317" s="34"/>
      <c r="K317" s="34"/>
      <c r="L317" s="34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30"/>
      <c r="X317" s="18"/>
      <c r="Y317" s="18"/>
      <c r="Z317" s="18"/>
      <c r="AA317" s="18"/>
    </row>
    <row r="318" spans="1:27" ht="18.75" customHeight="1" x14ac:dyDescent="0.2">
      <c r="C318" s="19" t="s">
        <v>907</v>
      </c>
      <c r="D318" s="16"/>
      <c r="E318" s="29" t="s">
        <v>320</v>
      </c>
      <c r="F318" s="17"/>
      <c r="G318" s="18"/>
      <c r="H318" s="34"/>
      <c r="I318" s="34"/>
      <c r="J318" s="34"/>
      <c r="K318" s="34"/>
      <c r="L318" s="34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30"/>
      <c r="X318" s="18"/>
      <c r="Y318" s="18"/>
      <c r="Z318" s="18"/>
      <c r="AA318" s="18"/>
    </row>
    <row r="319" spans="1:27" ht="18.75" customHeight="1" x14ac:dyDescent="0.2">
      <c r="C319" s="19" t="s">
        <v>907</v>
      </c>
      <c r="D319" s="16"/>
      <c r="E319" s="29" t="s">
        <v>46</v>
      </c>
      <c r="F319" s="17"/>
      <c r="G319" s="18"/>
      <c r="H319" s="34"/>
      <c r="I319" s="34"/>
      <c r="J319" s="34"/>
      <c r="K319" s="34"/>
      <c r="L319" s="34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30"/>
      <c r="X319" s="18"/>
      <c r="Y319" s="18"/>
      <c r="Z319" s="18"/>
      <c r="AA319" s="18"/>
    </row>
    <row r="320" spans="1:27" ht="18.75" customHeight="1" x14ac:dyDescent="0.2">
      <c r="C320" s="19" t="s">
        <v>907</v>
      </c>
      <c r="D320" s="16"/>
      <c r="E320" s="17"/>
      <c r="F320" s="17"/>
      <c r="G320" s="18"/>
      <c r="H320" s="34"/>
      <c r="I320" s="34"/>
      <c r="J320" s="34"/>
      <c r="K320" s="34"/>
      <c r="L320" s="34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30"/>
      <c r="X320" s="18"/>
      <c r="Y320" s="18"/>
      <c r="Z320" s="18"/>
      <c r="AA320" s="18"/>
    </row>
    <row r="321" spans="1:27" ht="18.75" customHeight="1" x14ac:dyDescent="0.2">
      <c r="C321" s="19" t="s">
        <v>907</v>
      </c>
      <c r="D321" s="16"/>
      <c r="E321" s="29" t="s">
        <v>48</v>
      </c>
      <c r="F321" s="17"/>
      <c r="G321" s="18"/>
      <c r="H321" s="34"/>
      <c r="I321" s="34"/>
      <c r="J321" s="34"/>
      <c r="K321" s="34"/>
      <c r="L321" s="34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30"/>
      <c r="X321" s="18"/>
      <c r="Y321" s="18"/>
      <c r="Z321" s="18"/>
      <c r="AA321" s="18"/>
    </row>
    <row r="322" spans="1:27" ht="18.75" customHeight="1" x14ac:dyDescent="0.2">
      <c r="C322" s="19" t="s">
        <v>907</v>
      </c>
      <c r="D322" s="16"/>
      <c r="E322" s="29" t="s">
        <v>52</v>
      </c>
      <c r="F322" s="17"/>
      <c r="G322" s="18"/>
      <c r="H322" s="34"/>
      <c r="I322" s="34"/>
      <c r="J322" s="34"/>
      <c r="K322" s="34"/>
      <c r="L322" s="34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30"/>
      <c r="X322" s="18"/>
      <c r="Y322" s="18"/>
      <c r="Z322" s="18"/>
      <c r="AA322" s="18"/>
    </row>
    <row r="323" spans="1:27" ht="18.75" customHeight="1" x14ac:dyDescent="0.2">
      <c r="C323" s="19" t="s">
        <v>907</v>
      </c>
      <c r="D323" s="28" t="s">
        <v>288</v>
      </c>
      <c r="E323" s="29" t="s">
        <v>54</v>
      </c>
      <c r="F323" s="17"/>
      <c r="G323" s="18"/>
      <c r="H323" s="34"/>
      <c r="I323" s="34"/>
      <c r="J323" s="34"/>
      <c r="K323" s="34"/>
      <c r="L323" s="34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30"/>
      <c r="X323" s="18"/>
      <c r="Y323" s="18"/>
      <c r="Z323" s="18"/>
      <c r="AA323" s="18"/>
    </row>
    <row r="324" spans="1:27" ht="18.75" customHeight="1" x14ac:dyDescent="0.2">
      <c r="A324" s="4" t="s">
        <v>55</v>
      </c>
      <c r="B324" s="4" t="s">
        <v>56</v>
      </c>
      <c r="C324" s="19" t="s">
        <v>907</v>
      </c>
      <c r="D324" s="41" t="s">
        <v>323</v>
      </c>
      <c r="E324" s="42" t="s">
        <v>324</v>
      </c>
      <c r="F324" s="43" t="s">
        <v>61</v>
      </c>
      <c r="G324" s="43">
        <v>10521612007</v>
      </c>
      <c r="H324" s="44">
        <v>0</v>
      </c>
      <c r="I324" s="44">
        <v>0</v>
      </c>
      <c r="J324" s="44">
        <v>0</v>
      </c>
      <c r="K324" s="44">
        <v>0</v>
      </c>
      <c r="L324" s="44">
        <v>0</v>
      </c>
      <c r="M324" s="43">
        <v>10521612007</v>
      </c>
      <c r="N324" s="44">
        <v>0</v>
      </c>
      <c r="O324" s="43">
        <v>939281762</v>
      </c>
      <c r="P324" s="43">
        <v>1557352336</v>
      </c>
      <c r="Q324" s="44">
        <v>0</v>
      </c>
      <c r="R324" s="43">
        <v>939281762</v>
      </c>
      <c r="S324" s="43">
        <v>1557352336</v>
      </c>
      <c r="T324" s="44">
        <v>0</v>
      </c>
      <c r="U324" s="43">
        <f>V324-[1]ENERO!U324</f>
        <v>939281762</v>
      </c>
      <c r="V324" s="43">
        <v>1557352336</v>
      </c>
      <c r="W324" s="39">
        <f t="shared" ref="W324" si="352">T324+V324</f>
        <v>1557352336</v>
      </c>
      <c r="X324" s="18">
        <f t="shared" ref="X324" si="353">M324-P324</f>
        <v>8964259671</v>
      </c>
      <c r="Y324" s="34">
        <f t="shared" ref="Y324" si="354">P324-S324</f>
        <v>0</v>
      </c>
      <c r="Z324" s="34">
        <f t="shared" ref="Z324" si="355">S324-W324</f>
        <v>0</v>
      </c>
      <c r="AA324" s="123">
        <f t="shared" ref="AA324" si="356">S324/M324</f>
        <v>0.14801461363181781</v>
      </c>
    </row>
    <row r="325" spans="1:27" x14ac:dyDescent="0.2">
      <c r="C325" s="19" t="s">
        <v>907</v>
      </c>
      <c r="D325" s="28" t="s">
        <v>288</v>
      </c>
      <c r="E325" s="29" t="s">
        <v>63</v>
      </c>
      <c r="F325" s="17"/>
      <c r="G325" s="18"/>
      <c r="H325" s="34"/>
      <c r="I325" s="34"/>
      <c r="J325" s="34"/>
      <c r="K325" s="34"/>
      <c r="L325" s="34"/>
      <c r="M325" s="18"/>
      <c r="N325" s="34"/>
      <c r="O325" s="18"/>
      <c r="P325" s="18"/>
      <c r="Q325" s="34"/>
      <c r="R325" s="18"/>
      <c r="S325" s="18"/>
      <c r="T325" s="34"/>
      <c r="U325" s="18"/>
      <c r="V325" s="18"/>
      <c r="W325" s="30"/>
      <c r="X325" s="18"/>
      <c r="Y325" s="18"/>
      <c r="Z325" s="34"/>
      <c r="AA325" s="18"/>
    </row>
    <row r="326" spans="1:27" ht="18.75" customHeight="1" x14ac:dyDescent="0.2">
      <c r="A326" s="4" t="s">
        <v>325</v>
      </c>
      <c r="B326" s="4" t="s">
        <v>326</v>
      </c>
      <c r="C326" s="19" t="s">
        <v>907</v>
      </c>
      <c r="D326" s="41" t="s">
        <v>349</v>
      </c>
      <c r="E326" s="42" t="s">
        <v>328</v>
      </c>
      <c r="F326" s="43" t="s">
        <v>61</v>
      </c>
      <c r="G326" s="43">
        <v>112494898</v>
      </c>
      <c r="H326" s="44">
        <v>0</v>
      </c>
      <c r="I326" s="44">
        <v>0</v>
      </c>
      <c r="J326" s="44">
        <v>0</v>
      </c>
      <c r="K326" s="44">
        <v>0</v>
      </c>
      <c r="L326" s="44">
        <v>0</v>
      </c>
      <c r="M326" s="43">
        <v>112494898</v>
      </c>
      <c r="N326" s="44">
        <v>0</v>
      </c>
      <c r="O326" s="43">
        <v>140460</v>
      </c>
      <c r="P326" s="43">
        <v>3616710</v>
      </c>
      <c r="Q326" s="44">
        <v>0</v>
      </c>
      <c r="R326" s="43">
        <v>140460</v>
      </c>
      <c r="S326" s="43">
        <v>3616710</v>
      </c>
      <c r="T326" s="44">
        <v>0</v>
      </c>
      <c r="U326" s="43">
        <f>V326-[1]ENERO!U326</f>
        <v>140460</v>
      </c>
      <c r="V326" s="43">
        <v>3616710</v>
      </c>
      <c r="W326" s="39">
        <f t="shared" si="334"/>
        <v>3616710</v>
      </c>
      <c r="X326" s="18">
        <f t="shared" ref="X326" si="357">M326-P326</f>
        <v>108878188</v>
      </c>
      <c r="Y326" s="34">
        <f t="shared" ref="Y326" si="358">P326-S326</f>
        <v>0</v>
      </c>
      <c r="Z326" s="34">
        <f t="shared" ref="Z326" si="359">S326-W326</f>
        <v>0</v>
      </c>
      <c r="AA326" s="123">
        <f t="shared" ref="AA326" si="360">S326/M326</f>
        <v>3.2149991371164227E-2</v>
      </c>
    </row>
    <row r="327" spans="1:27" ht="18.75" customHeight="1" x14ac:dyDescent="0.2">
      <c r="C327" s="19" t="s">
        <v>907</v>
      </c>
      <c r="D327" s="28" t="s">
        <v>288</v>
      </c>
      <c r="E327" s="29" t="s">
        <v>71</v>
      </c>
      <c r="F327" s="17"/>
      <c r="G327" s="18"/>
      <c r="H327" s="34"/>
      <c r="I327" s="34"/>
      <c r="J327" s="34"/>
      <c r="K327" s="34"/>
      <c r="L327" s="34"/>
      <c r="M327" s="18"/>
      <c r="N327" s="34"/>
      <c r="O327" s="18"/>
      <c r="P327" s="18"/>
      <c r="Q327" s="34"/>
      <c r="R327" s="18"/>
      <c r="S327" s="18"/>
      <c r="T327" s="34"/>
      <c r="U327" s="18"/>
      <c r="V327" s="18"/>
      <c r="W327" s="30"/>
      <c r="X327" s="18"/>
      <c r="Y327" s="18"/>
      <c r="Z327" s="34"/>
      <c r="AA327" s="18"/>
    </row>
    <row r="328" spans="1:27" ht="18.75" customHeight="1" x14ac:dyDescent="0.2">
      <c r="A328" s="4" t="s">
        <v>325</v>
      </c>
      <c r="B328" s="4" t="s">
        <v>326</v>
      </c>
      <c r="C328" s="19" t="s">
        <v>907</v>
      </c>
      <c r="D328" s="41" t="s">
        <v>327</v>
      </c>
      <c r="E328" s="42" t="s">
        <v>328</v>
      </c>
      <c r="F328" s="43" t="s">
        <v>61</v>
      </c>
      <c r="G328" s="43">
        <v>532969656</v>
      </c>
      <c r="H328" s="44">
        <v>0</v>
      </c>
      <c r="I328" s="44">
        <v>0</v>
      </c>
      <c r="J328" s="44">
        <v>0</v>
      </c>
      <c r="K328" s="44">
        <v>0</v>
      </c>
      <c r="L328" s="44">
        <v>0</v>
      </c>
      <c r="M328" s="43">
        <v>532969656</v>
      </c>
      <c r="N328" s="44">
        <v>0</v>
      </c>
      <c r="O328" s="43">
        <v>3144919</v>
      </c>
      <c r="P328" s="43">
        <v>4443196</v>
      </c>
      <c r="Q328" s="44">
        <v>0</v>
      </c>
      <c r="R328" s="43">
        <v>3144919</v>
      </c>
      <c r="S328" s="43">
        <v>4443196</v>
      </c>
      <c r="T328" s="44">
        <v>0</v>
      </c>
      <c r="U328" s="43">
        <f>V328-[1]ENERO!U328</f>
        <v>3144919</v>
      </c>
      <c r="V328" s="43">
        <v>4443196</v>
      </c>
      <c r="W328" s="39">
        <f t="shared" si="334"/>
        <v>4443196</v>
      </c>
      <c r="X328" s="18">
        <f t="shared" ref="X328" si="361">M328-P328</f>
        <v>528526460</v>
      </c>
      <c r="Y328" s="34">
        <f t="shared" ref="Y328" si="362">P328-S328</f>
        <v>0</v>
      </c>
      <c r="Z328" s="34">
        <f t="shared" ref="Z328" si="363">S328-W328</f>
        <v>0</v>
      </c>
      <c r="AA328" s="123">
        <f t="shared" ref="AA328" si="364">S328/M328</f>
        <v>8.3366772385255646E-3</v>
      </c>
    </row>
    <row r="329" spans="1:27" ht="18.75" customHeight="1" x14ac:dyDescent="0.2">
      <c r="C329" s="19" t="s">
        <v>907</v>
      </c>
      <c r="D329" s="28" t="s">
        <v>288</v>
      </c>
      <c r="E329" s="29" t="s">
        <v>76</v>
      </c>
      <c r="F329" s="17"/>
      <c r="G329" s="18"/>
      <c r="H329" s="34"/>
      <c r="I329" s="34"/>
      <c r="J329" s="34"/>
      <c r="K329" s="34"/>
      <c r="L329" s="34"/>
      <c r="M329" s="18"/>
      <c r="N329" s="34"/>
      <c r="O329" s="18"/>
      <c r="P329" s="18"/>
      <c r="Q329" s="34"/>
      <c r="R329" s="18"/>
      <c r="S329" s="18"/>
      <c r="T329" s="34"/>
      <c r="U329" s="18"/>
      <c r="V329" s="18"/>
      <c r="W329" s="30"/>
      <c r="X329" s="18"/>
      <c r="Y329" s="18"/>
      <c r="Z329" s="34"/>
      <c r="AA329" s="18"/>
    </row>
    <row r="330" spans="1:27" ht="18.75" customHeight="1" x14ac:dyDescent="0.2">
      <c r="A330" s="4" t="s">
        <v>325</v>
      </c>
      <c r="B330" s="4" t="s">
        <v>326</v>
      </c>
      <c r="C330" s="19" t="s">
        <v>907</v>
      </c>
      <c r="D330" s="41" t="s">
        <v>329</v>
      </c>
      <c r="E330" s="42" t="s">
        <v>328</v>
      </c>
      <c r="F330" s="43" t="s">
        <v>61</v>
      </c>
      <c r="G330" s="43">
        <v>318686698</v>
      </c>
      <c r="H330" s="44">
        <v>0</v>
      </c>
      <c r="I330" s="44">
        <v>0</v>
      </c>
      <c r="J330" s="44">
        <v>0</v>
      </c>
      <c r="K330" s="44">
        <v>0</v>
      </c>
      <c r="L330" s="44">
        <v>0</v>
      </c>
      <c r="M330" s="43">
        <v>318686698</v>
      </c>
      <c r="N330" s="44">
        <v>0</v>
      </c>
      <c r="O330" s="43">
        <v>21557606</v>
      </c>
      <c r="P330" s="43">
        <v>83018662</v>
      </c>
      <c r="Q330" s="44">
        <v>0</v>
      </c>
      <c r="R330" s="43">
        <v>21557606</v>
      </c>
      <c r="S330" s="43">
        <v>83018662</v>
      </c>
      <c r="T330" s="44">
        <v>0</v>
      </c>
      <c r="U330" s="43">
        <f>V330-[1]ENERO!U330</f>
        <v>21557606</v>
      </c>
      <c r="V330" s="43">
        <v>83018662</v>
      </c>
      <c r="W330" s="39">
        <f t="shared" si="334"/>
        <v>83018662</v>
      </c>
      <c r="X330" s="18">
        <f t="shared" ref="X330" si="365">M330-P330</f>
        <v>235668036</v>
      </c>
      <c r="Y330" s="34">
        <f t="shared" ref="Y330" si="366">P330-S330</f>
        <v>0</v>
      </c>
      <c r="Z330" s="34">
        <f t="shared" ref="Z330" si="367">S330-W330</f>
        <v>0</v>
      </c>
      <c r="AA330" s="123">
        <f t="shared" ref="AA330" si="368">S330/M330</f>
        <v>0.26050243866783546</v>
      </c>
    </row>
    <row r="331" spans="1:27" ht="18.75" customHeight="1" x14ac:dyDescent="0.2">
      <c r="C331" s="19" t="s">
        <v>907</v>
      </c>
      <c r="D331" s="16"/>
      <c r="E331" s="17"/>
      <c r="F331" s="17"/>
      <c r="G331" s="18"/>
      <c r="H331" s="34"/>
      <c r="I331" s="34"/>
      <c r="J331" s="34"/>
      <c r="K331" s="34"/>
      <c r="L331" s="34"/>
      <c r="M331" s="18"/>
      <c r="N331" s="18"/>
      <c r="O331" s="18"/>
      <c r="P331" s="18"/>
      <c r="Q331" s="34"/>
      <c r="R331" s="18"/>
      <c r="S331" s="18"/>
      <c r="T331" s="18"/>
      <c r="U331" s="18"/>
      <c r="V331" s="18"/>
      <c r="W331" s="30"/>
      <c r="X331" s="18"/>
      <c r="Y331" s="18"/>
      <c r="Z331" s="18"/>
      <c r="AA331" s="18"/>
    </row>
    <row r="332" spans="1:27" ht="18.75" customHeight="1" x14ac:dyDescent="0.2">
      <c r="C332" s="19" t="s">
        <v>907</v>
      </c>
      <c r="D332" s="16"/>
      <c r="E332" s="29" t="s">
        <v>81</v>
      </c>
      <c r="F332" s="17"/>
      <c r="G332" s="18"/>
      <c r="H332" s="34"/>
      <c r="I332" s="34"/>
      <c r="J332" s="34"/>
      <c r="K332" s="34"/>
      <c r="L332" s="34"/>
      <c r="M332" s="18"/>
      <c r="N332" s="18"/>
      <c r="O332" s="18"/>
      <c r="P332" s="18"/>
      <c r="Q332" s="34"/>
      <c r="R332" s="18"/>
      <c r="S332" s="18"/>
      <c r="T332" s="18"/>
      <c r="U332" s="18"/>
      <c r="V332" s="18"/>
      <c r="W332" s="30"/>
      <c r="X332" s="18"/>
      <c r="Y332" s="18"/>
      <c r="Z332" s="18"/>
      <c r="AA332" s="18"/>
    </row>
    <row r="333" spans="1:27" ht="18.75" customHeight="1" x14ac:dyDescent="0.2">
      <c r="C333" s="19" t="s">
        <v>907</v>
      </c>
      <c r="D333" s="28" t="s">
        <v>288</v>
      </c>
      <c r="E333" s="29" t="s">
        <v>83</v>
      </c>
      <c r="F333" s="17"/>
      <c r="G333" s="18"/>
      <c r="H333" s="34"/>
      <c r="I333" s="34"/>
      <c r="J333" s="34"/>
      <c r="K333" s="34"/>
      <c r="L333" s="34"/>
      <c r="M333" s="18"/>
      <c r="N333" s="18"/>
      <c r="O333" s="18"/>
      <c r="P333" s="18"/>
      <c r="Q333" s="34"/>
      <c r="R333" s="18"/>
      <c r="S333" s="18"/>
      <c r="T333" s="18"/>
      <c r="U333" s="18"/>
      <c r="V333" s="18"/>
      <c r="W333" s="30"/>
      <c r="X333" s="18"/>
      <c r="Y333" s="18"/>
      <c r="Z333" s="18"/>
      <c r="AA333" s="18"/>
    </row>
    <row r="334" spans="1:27" ht="18.75" customHeight="1" x14ac:dyDescent="0.2">
      <c r="A334" s="4" t="s">
        <v>325</v>
      </c>
      <c r="B334" s="4" t="s">
        <v>326</v>
      </c>
      <c r="C334" s="19" t="s">
        <v>907</v>
      </c>
      <c r="D334" s="41" t="s">
        <v>330</v>
      </c>
      <c r="E334" s="42" t="s">
        <v>328</v>
      </c>
      <c r="F334" s="43" t="s">
        <v>61</v>
      </c>
      <c r="G334" s="43">
        <v>1177756920</v>
      </c>
      <c r="H334" s="44">
        <v>0</v>
      </c>
      <c r="I334" s="44">
        <v>0</v>
      </c>
      <c r="J334" s="44">
        <v>0</v>
      </c>
      <c r="K334" s="44">
        <v>0</v>
      </c>
      <c r="L334" s="44">
        <v>0</v>
      </c>
      <c r="M334" s="43">
        <v>1177756920</v>
      </c>
      <c r="N334" s="44">
        <v>0</v>
      </c>
      <c r="O334" s="43">
        <v>1738085</v>
      </c>
      <c r="P334" s="43">
        <v>1738085</v>
      </c>
      <c r="Q334" s="44">
        <v>0</v>
      </c>
      <c r="R334" s="43">
        <v>1738085</v>
      </c>
      <c r="S334" s="110">
        <v>1738085</v>
      </c>
      <c r="T334" s="34">
        <v>0</v>
      </c>
      <c r="U334" s="110">
        <v>1738085</v>
      </c>
      <c r="V334" s="110">
        <v>1738085</v>
      </c>
      <c r="W334" s="39">
        <f t="shared" ref="W334" si="369">T334+V334</f>
        <v>1738085</v>
      </c>
      <c r="X334" s="18">
        <f t="shared" ref="X334" si="370">M334-P334</f>
        <v>1176018835</v>
      </c>
      <c r="Y334" s="34">
        <f t="shared" ref="Y334" si="371">P334-S334</f>
        <v>0</v>
      </c>
      <c r="Z334" s="34">
        <f t="shared" ref="Z334" si="372">S334-W334</f>
        <v>0</v>
      </c>
      <c r="AA334" s="123">
        <f t="shared" ref="AA334" si="373">S334/M334</f>
        <v>1.4757586820207348E-3</v>
      </c>
    </row>
    <row r="335" spans="1:27" ht="18.75" customHeight="1" x14ac:dyDescent="0.2">
      <c r="C335" s="19" t="s">
        <v>907</v>
      </c>
      <c r="D335" s="28" t="s">
        <v>288</v>
      </c>
      <c r="E335" s="29" t="s">
        <v>88</v>
      </c>
      <c r="F335" s="17"/>
      <c r="G335" s="18"/>
      <c r="H335" s="34"/>
      <c r="I335" s="34"/>
      <c r="J335" s="34"/>
      <c r="K335" s="34"/>
      <c r="L335" s="34"/>
      <c r="M335" s="18"/>
      <c r="N335" s="34"/>
      <c r="O335" s="18"/>
      <c r="P335" s="18"/>
      <c r="Q335" s="34"/>
      <c r="R335" s="18"/>
      <c r="S335" s="18"/>
      <c r="T335" s="18"/>
      <c r="U335" s="18"/>
      <c r="V335" s="18"/>
      <c r="W335" s="30"/>
      <c r="X335" s="18"/>
      <c r="Y335" s="18"/>
      <c r="Z335" s="34"/>
      <c r="AA335" s="18"/>
    </row>
    <row r="336" spans="1:27" ht="18.75" customHeight="1" x14ac:dyDescent="0.2">
      <c r="A336" s="4" t="s">
        <v>325</v>
      </c>
      <c r="B336" s="4" t="s">
        <v>326</v>
      </c>
      <c r="C336" s="19" t="s">
        <v>907</v>
      </c>
      <c r="D336" s="41" t="s">
        <v>331</v>
      </c>
      <c r="E336" s="42" t="s">
        <v>328</v>
      </c>
      <c r="F336" s="43" t="s">
        <v>61</v>
      </c>
      <c r="G336" s="43">
        <v>565323320</v>
      </c>
      <c r="H336" s="44">
        <v>0</v>
      </c>
      <c r="I336" s="44">
        <v>0</v>
      </c>
      <c r="J336" s="44">
        <v>0</v>
      </c>
      <c r="K336" s="44">
        <v>0</v>
      </c>
      <c r="L336" s="44">
        <v>0</v>
      </c>
      <c r="M336" s="43">
        <v>565323320</v>
      </c>
      <c r="N336" s="44">
        <v>0</v>
      </c>
      <c r="O336" s="43">
        <v>271213</v>
      </c>
      <c r="P336" s="43">
        <v>1527575</v>
      </c>
      <c r="Q336" s="44">
        <v>0</v>
      </c>
      <c r="R336" s="43">
        <v>271213</v>
      </c>
      <c r="S336" s="43">
        <v>1527575</v>
      </c>
      <c r="T336" s="44">
        <v>0</v>
      </c>
      <c r="U336" s="43">
        <v>271213</v>
      </c>
      <c r="V336" s="43">
        <v>1527575</v>
      </c>
      <c r="W336" s="39">
        <f t="shared" si="334"/>
        <v>1527575</v>
      </c>
      <c r="X336" s="18">
        <f t="shared" ref="X336" si="374">M336-P336</f>
        <v>563795745</v>
      </c>
      <c r="Y336" s="34">
        <f t="shared" ref="Y336" si="375">P336-S336</f>
        <v>0</v>
      </c>
      <c r="Z336" s="34">
        <f t="shared" ref="Z336" si="376">S336-W336</f>
        <v>0</v>
      </c>
      <c r="AA336" s="123">
        <f t="shared" ref="AA336" si="377">S336/M336</f>
        <v>2.7021262805857716E-3</v>
      </c>
    </row>
    <row r="337" spans="1:27" ht="18.75" customHeight="1" x14ac:dyDescent="0.2">
      <c r="C337" s="19" t="s">
        <v>907</v>
      </c>
      <c r="D337" s="16"/>
      <c r="E337" s="17"/>
      <c r="F337" s="17"/>
      <c r="G337" s="18"/>
      <c r="H337" s="34"/>
      <c r="I337" s="34"/>
      <c r="J337" s="34"/>
      <c r="K337" s="34"/>
      <c r="L337" s="34"/>
      <c r="M337" s="18"/>
      <c r="N337" s="34"/>
      <c r="O337" s="18"/>
      <c r="P337" s="18"/>
      <c r="Q337" s="18"/>
      <c r="R337" s="18"/>
      <c r="S337" s="18"/>
      <c r="T337" s="34"/>
      <c r="U337" s="18"/>
      <c r="V337" s="18"/>
      <c r="W337" s="30"/>
      <c r="X337" s="18"/>
      <c r="Y337" s="18"/>
      <c r="Z337" s="18"/>
      <c r="AA337" s="18"/>
    </row>
    <row r="338" spans="1:27" ht="18.75" customHeight="1" x14ac:dyDescent="0.2">
      <c r="C338" s="19" t="s">
        <v>907</v>
      </c>
      <c r="D338" s="16"/>
      <c r="E338" s="29" t="s">
        <v>103</v>
      </c>
      <c r="F338" s="17"/>
      <c r="G338" s="18"/>
      <c r="H338" s="34"/>
      <c r="I338" s="34"/>
      <c r="J338" s="34"/>
      <c r="K338" s="34"/>
      <c r="L338" s="34"/>
      <c r="M338" s="18"/>
      <c r="N338" s="34"/>
      <c r="O338" s="18"/>
      <c r="P338" s="18"/>
      <c r="Q338" s="18"/>
      <c r="R338" s="18"/>
      <c r="S338" s="18"/>
      <c r="T338" s="34"/>
      <c r="U338" s="18"/>
      <c r="V338" s="18"/>
      <c r="W338" s="30"/>
      <c r="X338" s="18"/>
      <c r="Y338" s="18"/>
      <c r="Z338" s="18"/>
      <c r="AA338" s="18"/>
    </row>
    <row r="339" spans="1:27" ht="24.75" customHeight="1" x14ac:dyDescent="0.2">
      <c r="C339" s="19" t="s">
        <v>907</v>
      </c>
      <c r="D339" s="28" t="s">
        <v>288</v>
      </c>
      <c r="E339" s="29" t="s">
        <v>352</v>
      </c>
      <c r="F339" s="17"/>
      <c r="G339" s="18"/>
      <c r="H339" s="34"/>
      <c r="I339" s="34"/>
      <c r="J339" s="34"/>
      <c r="K339" s="34"/>
      <c r="L339" s="34"/>
      <c r="M339" s="18"/>
      <c r="N339" s="34"/>
      <c r="O339" s="18"/>
      <c r="P339" s="18"/>
      <c r="Q339" s="18"/>
      <c r="R339" s="18"/>
      <c r="S339" s="18"/>
      <c r="T339" s="34"/>
      <c r="U339" s="18"/>
      <c r="V339" s="18"/>
      <c r="W339" s="39"/>
      <c r="X339" s="18"/>
      <c r="Y339" s="18"/>
      <c r="Z339" s="18"/>
      <c r="AA339" s="18"/>
    </row>
    <row r="340" spans="1:27" ht="18.75" customHeight="1" x14ac:dyDescent="0.2">
      <c r="A340" s="4" t="s">
        <v>325</v>
      </c>
      <c r="B340" s="4" t="s">
        <v>326</v>
      </c>
      <c r="C340" s="19" t="s">
        <v>907</v>
      </c>
      <c r="D340" s="41" t="s">
        <v>332</v>
      </c>
      <c r="E340" s="42" t="s">
        <v>328</v>
      </c>
      <c r="F340" s="43" t="s">
        <v>61</v>
      </c>
      <c r="G340" s="43">
        <v>1248245788</v>
      </c>
      <c r="H340" s="44">
        <v>0</v>
      </c>
      <c r="I340" s="44">
        <v>0</v>
      </c>
      <c r="J340" s="44">
        <v>0</v>
      </c>
      <c r="K340" s="44">
        <v>0</v>
      </c>
      <c r="L340" s="44">
        <v>0</v>
      </c>
      <c r="M340" s="43">
        <v>1248245788</v>
      </c>
      <c r="N340" s="44">
        <v>0</v>
      </c>
      <c r="O340" s="43">
        <v>76163475</v>
      </c>
      <c r="P340" s="43">
        <v>162030698.22</v>
      </c>
      <c r="Q340" s="44">
        <v>0</v>
      </c>
      <c r="R340" s="43">
        <v>76163475</v>
      </c>
      <c r="S340" s="43">
        <v>162030698.22</v>
      </c>
      <c r="T340" s="44">
        <v>0</v>
      </c>
      <c r="U340" s="43">
        <f>V340-[1]ENERO!U340</f>
        <v>76163475</v>
      </c>
      <c r="V340" s="43">
        <v>162030698.22</v>
      </c>
      <c r="W340" s="39">
        <f t="shared" ref="W340" si="378">T340+V340</f>
        <v>162030698.22</v>
      </c>
      <c r="X340" s="18">
        <f t="shared" ref="X340" si="379">M340-P340</f>
        <v>1086215089.78</v>
      </c>
      <c r="Y340" s="34">
        <f t="shared" ref="Y340" si="380">P340-S340</f>
        <v>0</v>
      </c>
      <c r="Z340" s="34">
        <f t="shared" ref="Z340" si="381">S340-W340</f>
        <v>0</v>
      </c>
      <c r="AA340" s="123">
        <f t="shared" ref="AA340" si="382">S340/M340</f>
        <v>0.12980672538828547</v>
      </c>
    </row>
    <row r="341" spans="1:27" ht="18.75" customHeight="1" x14ac:dyDescent="0.2">
      <c r="C341" s="19" t="s">
        <v>907</v>
      </c>
      <c r="D341" s="28" t="s">
        <v>288</v>
      </c>
      <c r="E341" s="29" t="s">
        <v>353</v>
      </c>
      <c r="F341" s="17"/>
      <c r="G341" s="18"/>
      <c r="H341" s="34"/>
      <c r="I341" s="34"/>
      <c r="J341" s="34"/>
      <c r="K341" s="34"/>
      <c r="L341" s="34"/>
      <c r="M341" s="18"/>
      <c r="N341" s="34"/>
      <c r="O341" s="18"/>
      <c r="P341" s="18"/>
      <c r="Q341" s="34"/>
      <c r="R341" s="18"/>
      <c r="S341" s="18"/>
      <c r="T341" s="18"/>
      <c r="U341" s="18"/>
      <c r="V341" s="18"/>
      <c r="W341" s="39"/>
      <c r="X341" s="18"/>
      <c r="Y341" s="18"/>
      <c r="Z341" s="34"/>
      <c r="AA341" s="18"/>
    </row>
    <row r="342" spans="1:27" ht="18.75" customHeight="1" x14ac:dyDescent="0.2">
      <c r="A342" s="4" t="s">
        <v>325</v>
      </c>
      <c r="B342" s="4" t="s">
        <v>326</v>
      </c>
      <c r="C342" s="19" t="s">
        <v>907</v>
      </c>
      <c r="D342" s="41" t="s">
        <v>334</v>
      </c>
      <c r="E342" s="42" t="s">
        <v>328</v>
      </c>
      <c r="F342" s="43" t="s">
        <v>61</v>
      </c>
      <c r="G342" s="43">
        <v>918279775</v>
      </c>
      <c r="H342" s="44">
        <v>0</v>
      </c>
      <c r="I342" s="44">
        <v>0</v>
      </c>
      <c r="J342" s="44">
        <v>0</v>
      </c>
      <c r="K342" s="44">
        <v>0</v>
      </c>
      <c r="L342" s="44">
        <v>0</v>
      </c>
      <c r="M342" s="43">
        <v>918279775</v>
      </c>
      <c r="N342" s="44">
        <v>0</v>
      </c>
      <c r="O342" s="43">
        <v>80923465</v>
      </c>
      <c r="P342" s="43">
        <v>152907989.78</v>
      </c>
      <c r="Q342" s="44">
        <v>0</v>
      </c>
      <c r="R342" s="43">
        <v>80923465</v>
      </c>
      <c r="S342" s="43">
        <v>152907989.78</v>
      </c>
      <c r="T342" s="44">
        <v>0</v>
      </c>
      <c r="U342" s="43">
        <f>V342-[1]ENERO!U342</f>
        <v>80923465</v>
      </c>
      <c r="V342" s="43">
        <v>152907989.78</v>
      </c>
      <c r="W342" s="39">
        <f t="shared" si="334"/>
        <v>152907989.78</v>
      </c>
      <c r="X342" s="18">
        <f t="shared" ref="X342" si="383">M342-P342</f>
        <v>765371785.22000003</v>
      </c>
      <c r="Y342" s="34">
        <f t="shared" ref="Y342" si="384">P342-S342</f>
        <v>0</v>
      </c>
      <c r="Z342" s="34">
        <f t="shared" ref="Z342" si="385">S342-W342</f>
        <v>0</v>
      </c>
      <c r="AA342" s="123">
        <f t="shared" ref="AA342" si="386">S342/M342</f>
        <v>0.16651568938235628</v>
      </c>
    </row>
    <row r="343" spans="1:27" ht="18.75" customHeight="1" x14ac:dyDescent="0.2">
      <c r="C343" s="19" t="s">
        <v>907</v>
      </c>
      <c r="D343" s="28" t="s">
        <v>288</v>
      </c>
      <c r="E343" s="29" t="s">
        <v>354</v>
      </c>
      <c r="F343" s="17"/>
      <c r="G343" s="18"/>
      <c r="H343" s="34"/>
      <c r="I343" s="34"/>
      <c r="J343" s="34"/>
      <c r="K343" s="34"/>
      <c r="L343" s="34"/>
      <c r="M343" s="18"/>
      <c r="N343" s="18"/>
      <c r="O343" s="18"/>
      <c r="P343" s="18"/>
      <c r="Q343" s="34"/>
      <c r="R343" s="18"/>
      <c r="S343" s="18"/>
      <c r="T343" s="34"/>
      <c r="U343" s="18"/>
      <c r="V343" s="18"/>
      <c r="W343" s="39"/>
      <c r="X343" s="18"/>
      <c r="Y343" s="18"/>
      <c r="Z343" s="34"/>
      <c r="AA343" s="18"/>
    </row>
    <row r="344" spans="1:27" ht="18.75" customHeight="1" x14ac:dyDescent="0.2">
      <c r="A344" s="4" t="s">
        <v>325</v>
      </c>
      <c r="B344" s="4" t="s">
        <v>326</v>
      </c>
      <c r="C344" s="19" t="s">
        <v>907</v>
      </c>
      <c r="D344" s="41" t="s">
        <v>335</v>
      </c>
      <c r="E344" s="42" t="s">
        <v>328</v>
      </c>
      <c r="F344" s="43" t="s">
        <v>61</v>
      </c>
      <c r="G344" s="43">
        <v>956127578</v>
      </c>
      <c r="H344" s="44">
        <v>0</v>
      </c>
      <c r="I344" s="44">
        <v>0</v>
      </c>
      <c r="J344" s="44">
        <v>0</v>
      </c>
      <c r="K344" s="44">
        <v>0</v>
      </c>
      <c r="L344" s="44">
        <v>0</v>
      </c>
      <c r="M344" s="43">
        <v>956127578</v>
      </c>
      <c r="N344" s="44">
        <v>0</v>
      </c>
      <c r="O344" s="43">
        <v>79649887</v>
      </c>
      <c r="P344" s="43">
        <v>159946265</v>
      </c>
      <c r="Q344" s="44">
        <v>0</v>
      </c>
      <c r="R344" s="43">
        <v>79649887</v>
      </c>
      <c r="S344" s="43">
        <v>159946265</v>
      </c>
      <c r="T344" s="44">
        <v>0</v>
      </c>
      <c r="U344" s="43">
        <v>79649887</v>
      </c>
      <c r="V344" s="43">
        <v>159946265</v>
      </c>
      <c r="W344" s="39">
        <f t="shared" si="334"/>
        <v>159946265</v>
      </c>
      <c r="X344" s="18">
        <f t="shared" ref="X344" si="387">M344-P344</f>
        <v>796181313</v>
      </c>
      <c r="Y344" s="34">
        <f t="shared" ref="Y344" si="388">P344-S344</f>
        <v>0</v>
      </c>
      <c r="Z344" s="34">
        <f t="shared" ref="Z344" si="389">S344-W344</f>
        <v>0</v>
      </c>
      <c r="AA344" s="123">
        <f t="shared" ref="AA344" si="390">S344/M344</f>
        <v>0.16728548436451438</v>
      </c>
    </row>
    <row r="345" spans="1:27" ht="18.75" customHeight="1" x14ac:dyDescent="0.2">
      <c r="C345" s="19" t="s">
        <v>907</v>
      </c>
      <c r="D345" s="28" t="s">
        <v>288</v>
      </c>
      <c r="E345" s="29" t="s">
        <v>119</v>
      </c>
      <c r="F345" s="17"/>
      <c r="G345" s="18"/>
      <c r="H345" s="34"/>
      <c r="I345" s="34"/>
      <c r="J345" s="34"/>
      <c r="K345" s="34"/>
      <c r="L345" s="34"/>
      <c r="M345" s="18"/>
      <c r="N345" s="34"/>
      <c r="O345" s="18"/>
      <c r="P345" s="18"/>
      <c r="Q345" s="34"/>
      <c r="R345" s="18"/>
      <c r="S345" s="18"/>
      <c r="T345" s="18"/>
      <c r="U345" s="18"/>
      <c r="V345" s="18"/>
      <c r="W345" s="39"/>
      <c r="X345" s="18"/>
      <c r="Y345" s="18"/>
      <c r="Z345" s="34"/>
      <c r="AA345" s="18"/>
    </row>
    <row r="346" spans="1:27" ht="18.75" customHeight="1" x14ac:dyDescent="0.2">
      <c r="A346" s="4" t="s">
        <v>325</v>
      </c>
      <c r="B346" s="4" t="s">
        <v>326</v>
      </c>
      <c r="C346" s="19" t="s">
        <v>907</v>
      </c>
      <c r="D346" s="41" t="s">
        <v>336</v>
      </c>
      <c r="E346" s="42" t="s">
        <v>328</v>
      </c>
      <c r="F346" s="43" t="s">
        <v>61</v>
      </c>
      <c r="G346" s="43">
        <v>527278620</v>
      </c>
      <c r="H346" s="44">
        <v>0</v>
      </c>
      <c r="I346" s="44">
        <v>0</v>
      </c>
      <c r="J346" s="44">
        <v>0</v>
      </c>
      <c r="K346" s="44">
        <v>0</v>
      </c>
      <c r="L346" s="44">
        <v>0</v>
      </c>
      <c r="M346" s="43">
        <v>527278620</v>
      </c>
      <c r="N346" s="44">
        <v>0</v>
      </c>
      <c r="O346" s="43">
        <v>35763100</v>
      </c>
      <c r="P346" s="43">
        <v>73774200</v>
      </c>
      <c r="Q346" s="44">
        <v>0</v>
      </c>
      <c r="R346" s="43">
        <v>35763100</v>
      </c>
      <c r="S346" s="43">
        <v>73774200</v>
      </c>
      <c r="T346" s="114">
        <v>35763100</v>
      </c>
      <c r="U346" s="114">
        <f>V346-[1]ENERO!U346</f>
        <v>38011100</v>
      </c>
      <c r="V346" s="114">
        <v>38011100</v>
      </c>
      <c r="W346" s="39">
        <f t="shared" si="334"/>
        <v>73774200</v>
      </c>
      <c r="X346" s="18">
        <f t="shared" ref="X346" si="391">M346-P346</f>
        <v>453504420</v>
      </c>
      <c r="Y346" s="34">
        <f t="shared" ref="Y346" si="392">P346-S346</f>
        <v>0</v>
      </c>
      <c r="Z346" s="34">
        <f t="shared" ref="Z346" si="393">S346-W346</f>
        <v>0</v>
      </c>
      <c r="AA346" s="123">
        <f t="shared" ref="AA346" si="394">S346/M346</f>
        <v>0.13991502253590332</v>
      </c>
    </row>
    <row r="347" spans="1:27" ht="18.75" customHeight="1" x14ac:dyDescent="0.2">
      <c r="C347" s="19" t="s">
        <v>907</v>
      </c>
      <c r="D347" s="28" t="s">
        <v>288</v>
      </c>
      <c r="E347" s="29" t="s">
        <v>124</v>
      </c>
      <c r="F347" s="17"/>
      <c r="G347" s="18"/>
      <c r="H347" s="34"/>
      <c r="I347" s="34"/>
      <c r="J347" s="34"/>
      <c r="K347" s="34"/>
      <c r="L347" s="34"/>
      <c r="M347" s="18"/>
      <c r="N347" s="34"/>
      <c r="O347" s="18"/>
      <c r="P347" s="18"/>
      <c r="Q347" s="34"/>
      <c r="R347" s="18"/>
      <c r="S347" s="18"/>
      <c r="T347" s="34"/>
      <c r="U347" s="34"/>
      <c r="V347" s="34"/>
      <c r="W347" s="40"/>
      <c r="X347" s="18"/>
      <c r="Y347" s="18"/>
      <c r="Z347" s="18"/>
      <c r="AA347" s="18"/>
    </row>
    <row r="348" spans="1:27" ht="18.75" customHeight="1" x14ac:dyDescent="0.2">
      <c r="C348" s="19" t="s">
        <v>907</v>
      </c>
      <c r="D348" s="28" t="s">
        <v>288</v>
      </c>
      <c r="E348" s="29" t="s">
        <v>129</v>
      </c>
      <c r="F348" s="17"/>
      <c r="G348" s="18"/>
      <c r="H348" s="34"/>
      <c r="I348" s="34"/>
      <c r="J348" s="34"/>
      <c r="K348" s="34"/>
      <c r="L348" s="34"/>
      <c r="M348" s="18"/>
      <c r="N348" s="34"/>
      <c r="O348" s="18"/>
      <c r="P348" s="18"/>
      <c r="Q348" s="34"/>
      <c r="R348" s="18"/>
      <c r="S348" s="18"/>
      <c r="T348" s="34"/>
      <c r="U348" s="34"/>
      <c r="V348" s="34"/>
      <c r="W348" s="40"/>
      <c r="X348" s="18"/>
      <c r="Y348" s="18"/>
      <c r="Z348" s="18"/>
      <c r="AA348" s="18"/>
    </row>
    <row r="349" spans="1:27" ht="18.75" customHeight="1" x14ac:dyDescent="0.2">
      <c r="A349" s="4" t="s">
        <v>325</v>
      </c>
      <c r="B349" s="4" t="s">
        <v>326</v>
      </c>
      <c r="C349" s="19" t="s">
        <v>907</v>
      </c>
      <c r="D349" s="41" t="s">
        <v>338</v>
      </c>
      <c r="E349" s="42" t="s">
        <v>328</v>
      </c>
      <c r="F349" s="43" t="s">
        <v>61</v>
      </c>
      <c r="G349" s="43">
        <v>395516000</v>
      </c>
      <c r="H349" s="44">
        <v>0</v>
      </c>
      <c r="I349" s="44">
        <v>0</v>
      </c>
      <c r="J349" s="44">
        <v>0</v>
      </c>
      <c r="K349" s="44">
        <v>0</v>
      </c>
      <c r="L349" s="44">
        <v>0</v>
      </c>
      <c r="M349" s="43">
        <v>395516000</v>
      </c>
      <c r="N349" s="44">
        <v>0</v>
      </c>
      <c r="O349" s="43">
        <v>26821300</v>
      </c>
      <c r="P349" s="43">
        <v>55335000</v>
      </c>
      <c r="Q349" s="44">
        <v>0</v>
      </c>
      <c r="R349" s="43">
        <v>26821300</v>
      </c>
      <c r="S349" s="43">
        <v>55335000</v>
      </c>
      <c r="T349" s="114">
        <v>26821300</v>
      </c>
      <c r="U349" s="114">
        <v>28513700</v>
      </c>
      <c r="V349" s="114">
        <v>28513700</v>
      </c>
      <c r="W349" s="39">
        <f t="shared" ref="W349" si="395">T349+V349</f>
        <v>55335000</v>
      </c>
      <c r="X349" s="18">
        <f t="shared" ref="X349" si="396">M349-P349</f>
        <v>340181000</v>
      </c>
      <c r="Y349" s="34">
        <f t="shared" ref="Y349" si="397">P349-S349</f>
        <v>0</v>
      </c>
      <c r="Z349" s="34">
        <f t="shared" ref="Z349" si="398">S349-W349</f>
        <v>0</v>
      </c>
      <c r="AA349" s="123">
        <f t="shared" ref="AA349" si="399">S349/M349</f>
        <v>0.13990584451703597</v>
      </c>
    </row>
    <row r="350" spans="1:27" ht="18.75" customHeight="1" x14ac:dyDescent="0.2">
      <c r="C350" s="19" t="s">
        <v>907</v>
      </c>
      <c r="D350" s="28" t="s">
        <v>288</v>
      </c>
      <c r="E350" s="29" t="s">
        <v>133</v>
      </c>
      <c r="F350" s="17"/>
      <c r="G350" s="18"/>
      <c r="H350" s="34"/>
      <c r="I350" s="34"/>
      <c r="J350" s="34"/>
      <c r="K350" s="34"/>
      <c r="L350" s="34"/>
      <c r="M350" s="18"/>
      <c r="N350" s="34"/>
      <c r="O350" s="18"/>
      <c r="P350" s="18"/>
      <c r="Q350" s="34"/>
      <c r="R350" s="18"/>
      <c r="S350" s="18"/>
      <c r="T350" s="34"/>
      <c r="U350" s="34"/>
      <c r="V350" s="34"/>
      <c r="W350" s="40"/>
      <c r="X350" s="18"/>
      <c r="Y350" s="18"/>
      <c r="Z350" s="34"/>
      <c r="AA350" s="18"/>
    </row>
    <row r="351" spans="1:27" ht="18.75" customHeight="1" x14ac:dyDescent="0.2">
      <c r="A351" s="4" t="s">
        <v>325</v>
      </c>
      <c r="B351" s="4" t="s">
        <v>326</v>
      </c>
      <c r="C351" s="19" t="s">
        <v>907</v>
      </c>
      <c r="D351" s="41" t="s">
        <v>339</v>
      </c>
      <c r="E351" s="42" t="s">
        <v>328</v>
      </c>
      <c r="F351" s="43" t="s">
        <v>61</v>
      </c>
      <c r="G351" s="43">
        <v>66047960</v>
      </c>
      <c r="H351" s="44">
        <v>0</v>
      </c>
      <c r="I351" s="44">
        <v>0</v>
      </c>
      <c r="J351" s="44">
        <v>0</v>
      </c>
      <c r="K351" s="44">
        <v>0</v>
      </c>
      <c r="L351" s="44">
        <v>0</v>
      </c>
      <c r="M351" s="43">
        <v>66047960</v>
      </c>
      <c r="N351" s="44">
        <v>0</v>
      </c>
      <c r="O351" s="43">
        <v>4475900</v>
      </c>
      <c r="P351" s="43">
        <v>9239500</v>
      </c>
      <c r="Q351" s="44">
        <v>0</v>
      </c>
      <c r="R351" s="43">
        <v>4475900</v>
      </c>
      <c r="S351" s="43">
        <v>9239500</v>
      </c>
      <c r="T351" s="114">
        <v>4475900</v>
      </c>
      <c r="U351" s="114">
        <v>4763600</v>
      </c>
      <c r="V351" s="114">
        <v>4763600</v>
      </c>
      <c r="W351" s="39">
        <f t="shared" ref="W351" si="400">T351+V351</f>
        <v>9239500</v>
      </c>
      <c r="X351" s="18">
        <f t="shared" ref="X351" si="401">M351-P351</f>
        <v>56808460</v>
      </c>
      <c r="Y351" s="34">
        <f t="shared" ref="Y351" si="402">P351-S351</f>
        <v>0</v>
      </c>
      <c r="Z351" s="34">
        <f t="shared" ref="Z351" si="403">S351-W351</f>
        <v>0</v>
      </c>
      <c r="AA351" s="123">
        <f t="shared" ref="AA351" si="404">S351/M351</f>
        <v>0.13989077028268548</v>
      </c>
    </row>
    <row r="352" spans="1:27" ht="18.75" customHeight="1" x14ac:dyDescent="0.2">
      <c r="C352" s="19" t="s">
        <v>907</v>
      </c>
      <c r="D352" s="28" t="s">
        <v>288</v>
      </c>
      <c r="E352" s="29" t="s">
        <v>138</v>
      </c>
      <c r="F352" s="17"/>
      <c r="G352" s="18"/>
      <c r="H352" s="34"/>
      <c r="I352" s="34"/>
      <c r="J352" s="34"/>
      <c r="K352" s="34"/>
      <c r="L352" s="34"/>
      <c r="M352" s="18"/>
      <c r="N352" s="34"/>
      <c r="O352" s="18"/>
      <c r="P352" s="18"/>
      <c r="Q352" s="34"/>
      <c r="R352" s="18"/>
      <c r="S352" s="18"/>
      <c r="T352" s="110"/>
      <c r="U352" s="110"/>
      <c r="V352" s="110"/>
      <c r="W352" s="40"/>
      <c r="X352" s="18"/>
      <c r="Y352" s="18"/>
      <c r="Z352" s="34"/>
      <c r="AA352" s="18"/>
    </row>
    <row r="353" spans="1:27" ht="18.75" customHeight="1" x14ac:dyDescent="0.2">
      <c r="A353" s="4" t="s">
        <v>325</v>
      </c>
      <c r="B353" s="4" t="s">
        <v>326</v>
      </c>
      <c r="C353" s="19" t="s">
        <v>907</v>
      </c>
      <c r="D353" s="41" t="s">
        <v>340</v>
      </c>
      <c r="E353" s="42" t="s">
        <v>328</v>
      </c>
      <c r="F353" s="43" t="s">
        <v>61</v>
      </c>
      <c r="G353" s="43">
        <v>66047960</v>
      </c>
      <c r="H353" s="44">
        <v>0</v>
      </c>
      <c r="I353" s="44">
        <v>0</v>
      </c>
      <c r="J353" s="44">
        <v>0</v>
      </c>
      <c r="K353" s="44">
        <v>0</v>
      </c>
      <c r="L353" s="44">
        <v>0</v>
      </c>
      <c r="M353" s="43">
        <v>66047960</v>
      </c>
      <c r="N353" s="44">
        <v>0</v>
      </c>
      <c r="O353" s="43">
        <v>4475900</v>
      </c>
      <c r="P353" s="43">
        <v>9239500</v>
      </c>
      <c r="Q353" s="44">
        <v>0</v>
      </c>
      <c r="R353" s="43">
        <v>4475900</v>
      </c>
      <c r="S353" s="43">
        <v>9239500</v>
      </c>
      <c r="T353" s="114">
        <v>4475900</v>
      </c>
      <c r="U353" s="114">
        <v>4763600</v>
      </c>
      <c r="V353" s="114">
        <v>4763600</v>
      </c>
      <c r="W353" s="39">
        <f t="shared" ref="W353" si="405">T353+V353</f>
        <v>9239500</v>
      </c>
      <c r="X353" s="18">
        <f t="shared" ref="X353" si="406">M353-P353</f>
        <v>56808460</v>
      </c>
      <c r="Y353" s="34">
        <f t="shared" ref="Y353" si="407">P353-S353</f>
        <v>0</v>
      </c>
      <c r="Z353" s="34">
        <f t="shared" ref="Z353" si="408">S353-W353</f>
        <v>0</v>
      </c>
      <c r="AA353" s="123">
        <f t="shared" ref="AA353" si="409">S353/M353</f>
        <v>0.13989077028268548</v>
      </c>
    </row>
    <row r="354" spans="1:27" ht="25.5" x14ac:dyDescent="0.2">
      <c r="C354" s="19" t="s">
        <v>907</v>
      </c>
      <c r="D354" s="28" t="s">
        <v>288</v>
      </c>
      <c r="E354" s="29" t="s">
        <v>145</v>
      </c>
      <c r="F354" s="17"/>
      <c r="G354" s="18"/>
      <c r="H354" s="34"/>
      <c r="I354" s="34"/>
      <c r="J354" s="34"/>
      <c r="K354" s="34"/>
      <c r="L354" s="34"/>
      <c r="M354" s="18"/>
      <c r="N354" s="34"/>
      <c r="O354" s="18"/>
      <c r="P354" s="18"/>
      <c r="Q354" s="34"/>
      <c r="R354" s="18"/>
      <c r="S354" s="18"/>
      <c r="T354" s="110"/>
      <c r="U354" s="110"/>
      <c r="V354" s="110"/>
      <c r="W354" s="40"/>
      <c r="X354" s="18"/>
      <c r="Y354" s="18"/>
      <c r="Z354" s="34"/>
      <c r="AA354" s="18"/>
    </row>
    <row r="355" spans="1:27" ht="18.75" customHeight="1" x14ac:dyDescent="0.2">
      <c r="A355" s="4" t="s">
        <v>325</v>
      </c>
      <c r="B355" s="4" t="s">
        <v>326</v>
      </c>
      <c r="C355" s="19" t="s">
        <v>907</v>
      </c>
      <c r="D355" s="41" t="s">
        <v>341</v>
      </c>
      <c r="E355" s="42" t="s">
        <v>328</v>
      </c>
      <c r="F355" s="43" t="s">
        <v>61</v>
      </c>
      <c r="G355" s="43">
        <v>131938455</v>
      </c>
      <c r="H355" s="44">
        <v>0</v>
      </c>
      <c r="I355" s="44">
        <v>0</v>
      </c>
      <c r="J355" s="44">
        <v>0</v>
      </c>
      <c r="K355" s="44">
        <v>0</v>
      </c>
      <c r="L355" s="44">
        <v>0</v>
      </c>
      <c r="M355" s="43">
        <v>131938455</v>
      </c>
      <c r="N355" s="44">
        <v>0</v>
      </c>
      <c r="O355" s="43">
        <v>8947300</v>
      </c>
      <c r="P355" s="43">
        <v>18460800</v>
      </c>
      <c r="Q355" s="44">
        <v>0</v>
      </c>
      <c r="R355" s="43">
        <v>8947300</v>
      </c>
      <c r="S355" s="43">
        <v>18460800</v>
      </c>
      <c r="T355" s="114">
        <v>8947300</v>
      </c>
      <c r="U355" s="114">
        <v>9513500</v>
      </c>
      <c r="V355" s="114">
        <v>9513500</v>
      </c>
      <c r="W355" s="39">
        <f t="shared" ref="W355" si="410">T355+V355</f>
        <v>18460800</v>
      </c>
      <c r="X355" s="18">
        <f t="shared" ref="X355" si="411">M355-P355</f>
        <v>113477655</v>
      </c>
      <c r="Y355" s="34">
        <f t="shared" ref="Y355" si="412">P355-S355</f>
        <v>0</v>
      </c>
      <c r="Z355" s="34">
        <f t="shared" ref="Z355" si="413">S355-W355</f>
        <v>0</v>
      </c>
      <c r="AA355" s="123">
        <f t="shared" ref="AA355" si="414">S355/M355</f>
        <v>0.13991978305339409</v>
      </c>
    </row>
    <row r="356" spans="1:27" ht="18.75" customHeight="1" x14ac:dyDescent="0.2">
      <c r="C356" s="19" t="s">
        <v>907</v>
      </c>
      <c r="D356" s="16"/>
      <c r="E356" s="17"/>
      <c r="F356" s="17"/>
      <c r="G356" s="18"/>
      <c r="H356" s="34"/>
      <c r="I356" s="34"/>
      <c r="J356" s="34"/>
      <c r="K356" s="34"/>
      <c r="L356" s="34"/>
      <c r="M356" s="18"/>
      <c r="N356" s="34"/>
      <c r="O356" s="18"/>
      <c r="P356" s="18"/>
      <c r="Q356" s="34"/>
      <c r="R356" s="18"/>
      <c r="S356" s="18"/>
      <c r="T356" s="34"/>
      <c r="U356" s="34"/>
      <c r="V356" s="34"/>
      <c r="W356" s="40"/>
      <c r="X356" s="18"/>
      <c r="Y356" s="18"/>
      <c r="Z356" s="18"/>
      <c r="AA356" s="18"/>
    </row>
    <row r="357" spans="1:27" ht="18.75" customHeight="1" x14ac:dyDescent="0.2">
      <c r="C357" s="19" t="s">
        <v>907</v>
      </c>
      <c r="D357" s="16"/>
      <c r="E357" s="29" t="s">
        <v>149</v>
      </c>
      <c r="F357" s="17"/>
      <c r="G357" s="18"/>
      <c r="H357" s="34"/>
      <c r="I357" s="34"/>
      <c r="J357" s="34"/>
      <c r="K357" s="34"/>
      <c r="L357" s="34"/>
      <c r="M357" s="18"/>
      <c r="N357" s="34"/>
      <c r="O357" s="18"/>
      <c r="P357" s="18"/>
      <c r="Q357" s="34"/>
      <c r="R357" s="18"/>
      <c r="S357" s="18"/>
      <c r="T357" s="34"/>
      <c r="U357" s="34"/>
      <c r="V357" s="34"/>
      <c r="W357" s="40"/>
      <c r="X357" s="18"/>
      <c r="Y357" s="18"/>
      <c r="Z357" s="18"/>
      <c r="AA357" s="18"/>
    </row>
    <row r="358" spans="1:27" ht="18.75" customHeight="1" x14ac:dyDescent="0.2">
      <c r="C358" s="19" t="s">
        <v>907</v>
      </c>
      <c r="D358" s="16"/>
      <c r="E358" s="29" t="s">
        <v>81</v>
      </c>
      <c r="F358" s="17"/>
      <c r="G358" s="18"/>
      <c r="H358" s="34"/>
      <c r="I358" s="34"/>
      <c r="J358" s="34"/>
      <c r="K358" s="34"/>
      <c r="L358" s="34"/>
      <c r="M358" s="18"/>
      <c r="N358" s="34"/>
      <c r="O358" s="18"/>
      <c r="P358" s="18"/>
      <c r="Q358" s="34"/>
      <c r="R358" s="18"/>
      <c r="S358" s="18"/>
      <c r="T358" s="34"/>
      <c r="U358" s="34"/>
      <c r="V358" s="34"/>
      <c r="W358" s="40"/>
      <c r="X358" s="18"/>
      <c r="Y358" s="18"/>
      <c r="Z358" s="18"/>
      <c r="AA358" s="18"/>
    </row>
    <row r="359" spans="1:27" ht="18.75" customHeight="1" x14ac:dyDescent="0.2">
      <c r="C359" s="19" t="s">
        <v>907</v>
      </c>
      <c r="D359" s="28" t="s">
        <v>288</v>
      </c>
      <c r="E359" s="29" t="s">
        <v>152</v>
      </c>
      <c r="F359" s="17"/>
      <c r="G359" s="18"/>
      <c r="H359" s="34"/>
      <c r="I359" s="34"/>
      <c r="J359" s="34"/>
      <c r="K359" s="34"/>
      <c r="L359" s="34"/>
      <c r="M359" s="18"/>
      <c r="N359" s="34"/>
      <c r="O359" s="18"/>
      <c r="P359" s="18"/>
      <c r="Q359" s="34"/>
      <c r="R359" s="18"/>
      <c r="S359" s="18"/>
      <c r="T359" s="34"/>
      <c r="U359" s="34"/>
      <c r="V359" s="34"/>
      <c r="W359" s="40"/>
      <c r="X359" s="18"/>
      <c r="Y359" s="18"/>
      <c r="Z359" s="18"/>
      <c r="AA359" s="18"/>
    </row>
    <row r="360" spans="1:27" ht="18.75" customHeight="1" x14ac:dyDescent="0.2">
      <c r="A360" s="4" t="s">
        <v>325</v>
      </c>
      <c r="B360" s="4" t="s">
        <v>326</v>
      </c>
      <c r="C360" s="19" t="s">
        <v>907</v>
      </c>
      <c r="D360" s="41" t="s">
        <v>342</v>
      </c>
      <c r="E360" s="42" t="s">
        <v>328</v>
      </c>
      <c r="F360" s="43" t="s">
        <v>61</v>
      </c>
      <c r="G360" s="43">
        <v>1121217736</v>
      </c>
      <c r="H360" s="44">
        <v>0</v>
      </c>
      <c r="I360" s="44">
        <v>0</v>
      </c>
      <c r="J360" s="44">
        <v>0</v>
      </c>
      <c r="K360" s="44">
        <v>0</v>
      </c>
      <c r="L360" s="44">
        <v>0</v>
      </c>
      <c r="M360" s="43">
        <v>1121217736</v>
      </c>
      <c r="N360" s="44">
        <v>0</v>
      </c>
      <c r="O360" s="44">
        <v>0</v>
      </c>
      <c r="P360" s="43">
        <v>257784453</v>
      </c>
      <c r="Q360" s="44">
        <v>0</v>
      </c>
      <c r="R360" s="44">
        <v>0</v>
      </c>
      <c r="S360" s="43">
        <v>257784453</v>
      </c>
      <c r="T360" s="44">
        <v>0</v>
      </c>
      <c r="U360" s="114">
        <f>V360-[1]ENERO!U360</f>
        <v>257784453</v>
      </c>
      <c r="V360" s="114">
        <v>257784453</v>
      </c>
      <c r="W360" s="39">
        <f t="shared" ref="W360" si="415">T360+V360</f>
        <v>257784453</v>
      </c>
      <c r="X360" s="18">
        <f t="shared" ref="X360" si="416">M360-P360</f>
        <v>863433283</v>
      </c>
      <c r="Y360" s="34">
        <f t="shared" ref="Y360" si="417">P360-S360</f>
        <v>0</v>
      </c>
      <c r="Z360" s="34">
        <f t="shared" ref="Z360" si="418">S360-W360</f>
        <v>0</v>
      </c>
      <c r="AA360" s="123">
        <f t="shared" ref="AA360" si="419">S360/M360</f>
        <v>0.22991471212331946</v>
      </c>
    </row>
    <row r="361" spans="1:27" ht="18.75" customHeight="1" x14ac:dyDescent="0.2">
      <c r="C361" s="19" t="s">
        <v>907</v>
      </c>
      <c r="D361" s="28" t="s">
        <v>288</v>
      </c>
      <c r="E361" s="29" t="s">
        <v>343</v>
      </c>
      <c r="F361" s="17"/>
      <c r="G361" s="18"/>
      <c r="H361" s="34"/>
      <c r="I361" s="34"/>
      <c r="J361" s="34"/>
      <c r="K361" s="34"/>
      <c r="L361" s="34"/>
      <c r="M361" s="18"/>
      <c r="N361" s="34"/>
      <c r="O361" s="18"/>
      <c r="P361" s="18"/>
      <c r="Q361" s="34"/>
      <c r="R361" s="18"/>
      <c r="S361" s="18"/>
      <c r="T361" s="18"/>
      <c r="U361" s="18"/>
      <c r="V361" s="18"/>
      <c r="W361" s="39"/>
      <c r="X361" s="18"/>
      <c r="Y361" s="18"/>
      <c r="Z361" s="34"/>
      <c r="AA361" s="18"/>
    </row>
    <row r="362" spans="1:27" ht="18.75" customHeight="1" x14ac:dyDescent="0.2">
      <c r="A362" s="4" t="s">
        <v>325</v>
      </c>
      <c r="B362" s="4" t="s">
        <v>326</v>
      </c>
      <c r="C362" s="19" t="s">
        <v>907</v>
      </c>
      <c r="D362" s="41" t="s">
        <v>344</v>
      </c>
      <c r="E362" s="42" t="s">
        <v>328</v>
      </c>
      <c r="F362" s="43" t="s">
        <v>61</v>
      </c>
      <c r="G362" s="43">
        <v>10000000</v>
      </c>
      <c r="H362" s="44">
        <v>0</v>
      </c>
      <c r="I362" s="44">
        <v>0</v>
      </c>
      <c r="J362" s="44">
        <v>0</v>
      </c>
      <c r="K362" s="44">
        <v>0</v>
      </c>
      <c r="L362" s="44">
        <v>0</v>
      </c>
      <c r="M362" s="43">
        <v>10000000</v>
      </c>
      <c r="N362" s="44">
        <v>0</v>
      </c>
      <c r="O362" s="44">
        <v>0</v>
      </c>
      <c r="P362" s="44">
        <v>0</v>
      </c>
      <c r="Q362" s="44">
        <v>0</v>
      </c>
      <c r="R362" s="44">
        <v>0</v>
      </c>
      <c r="S362" s="44">
        <v>0</v>
      </c>
      <c r="T362" s="44">
        <v>0</v>
      </c>
      <c r="U362" s="44">
        <v>0</v>
      </c>
      <c r="V362" s="44">
        <v>0</v>
      </c>
      <c r="W362" s="40">
        <f t="shared" ref="W362:W387" si="420">T362+V362</f>
        <v>0</v>
      </c>
      <c r="X362" s="18">
        <f t="shared" ref="X362" si="421">M362-P362</f>
        <v>10000000</v>
      </c>
      <c r="Y362" s="34">
        <f t="shared" ref="Y362" si="422">P362-S362</f>
        <v>0</v>
      </c>
      <c r="Z362" s="34">
        <f t="shared" ref="Z362" si="423">S362-W362</f>
        <v>0</v>
      </c>
      <c r="AA362" s="123">
        <f t="shared" ref="AA362" si="424">S362/M362</f>
        <v>0</v>
      </c>
    </row>
    <row r="363" spans="1:27" ht="18.75" customHeight="1" x14ac:dyDescent="0.2">
      <c r="C363" s="19" t="s">
        <v>907</v>
      </c>
      <c r="D363" s="28" t="s">
        <v>288</v>
      </c>
      <c r="E363" s="29" t="s">
        <v>162</v>
      </c>
      <c r="F363" s="17"/>
      <c r="G363" s="18"/>
      <c r="H363" s="34"/>
      <c r="I363" s="34"/>
      <c r="J363" s="34"/>
      <c r="K363" s="34"/>
      <c r="L363" s="34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30"/>
      <c r="X363" s="18"/>
      <c r="Y363" s="18"/>
      <c r="Z363" s="18"/>
      <c r="AA363" s="18"/>
    </row>
    <row r="364" spans="1:27" ht="18.75" customHeight="1" x14ac:dyDescent="0.2">
      <c r="C364" s="19" t="s">
        <v>907</v>
      </c>
      <c r="D364" s="16"/>
      <c r="E364" s="17"/>
      <c r="F364" s="17"/>
      <c r="G364" s="18"/>
      <c r="H364" s="34"/>
      <c r="I364" s="34"/>
      <c r="J364" s="34"/>
      <c r="K364" s="34"/>
      <c r="L364" s="34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30"/>
      <c r="X364" s="18"/>
      <c r="Y364" s="18"/>
      <c r="Z364" s="18"/>
      <c r="AA364" s="18"/>
    </row>
    <row r="365" spans="1:27" ht="18.75" customHeight="1" x14ac:dyDescent="0.2">
      <c r="C365" s="19" t="s">
        <v>907</v>
      </c>
      <c r="D365" s="16"/>
      <c r="E365" s="29" t="s">
        <v>356</v>
      </c>
      <c r="F365" s="17"/>
      <c r="G365" s="18"/>
      <c r="H365" s="34"/>
      <c r="I365" s="34"/>
      <c r="J365" s="34"/>
      <c r="K365" s="34"/>
      <c r="L365" s="34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30"/>
      <c r="X365" s="18"/>
      <c r="Y365" s="18"/>
      <c r="Z365" s="18"/>
      <c r="AA365" s="18"/>
    </row>
    <row r="366" spans="1:27" ht="18.75" customHeight="1" x14ac:dyDescent="0.2">
      <c r="C366" s="19" t="s">
        <v>907</v>
      </c>
      <c r="D366" s="16"/>
      <c r="E366" s="29" t="s">
        <v>286</v>
      </c>
      <c r="F366" s="17"/>
      <c r="G366" s="18"/>
      <c r="H366" s="34"/>
      <c r="I366" s="34"/>
      <c r="J366" s="34"/>
      <c r="K366" s="34"/>
      <c r="L366" s="34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30"/>
      <c r="X366" s="18"/>
      <c r="Y366" s="18"/>
      <c r="Z366" s="18"/>
      <c r="AA366" s="18"/>
    </row>
    <row r="367" spans="1:27" ht="18.75" customHeight="1" x14ac:dyDescent="0.2">
      <c r="C367" s="19" t="s">
        <v>907</v>
      </c>
      <c r="D367" s="16"/>
      <c r="E367" s="29" t="s">
        <v>179</v>
      </c>
      <c r="F367" s="17"/>
      <c r="G367" s="18"/>
      <c r="H367" s="34"/>
      <c r="I367" s="34"/>
      <c r="J367" s="34"/>
      <c r="K367" s="34"/>
      <c r="L367" s="34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30"/>
      <c r="X367" s="18"/>
      <c r="Y367" s="18"/>
      <c r="Z367" s="18"/>
      <c r="AA367" s="18"/>
    </row>
    <row r="368" spans="1:27" ht="18.75" customHeight="1" x14ac:dyDescent="0.2">
      <c r="C368" s="19" t="s">
        <v>907</v>
      </c>
      <c r="D368" s="16"/>
      <c r="E368" s="29" t="s">
        <v>181</v>
      </c>
      <c r="F368" s="17"/>
      <c r="G368" s="18"/>
      <c r="H368" s="34"/>
      <c r="I368" s="34"/>
      <c r="J368" s="34"/>
      <c r="K368" s="34"/>
      <c r="L368" s="34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30"/>
      <c r="X368" s="18"/>
      <c r="Y368" s="18"/>
      <c r="Z368" s="18"/>
      <c r="AA368" s="18"/>
    </row>
    <row r="369" spans="1:27" ht="25.5" x14ac:dyDescent="0.2">
      <c r="C369" s="19" t="s">
        <v>907</v>
      </c>
      <c r="D369" s="16"/>
      <c r="E369" s="29" t="s">
        <v>183</v>
      </c>
      <c r="F369" s="17"/>
      <c r="G369" s="18"/>
      <c r="H369" s="34"/>
      <c r="I369" s="34"/>
      <c r="J369" s="34"/>
      <c r="K369" s="34"/>
      <c r="L369" s="34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30"/>
      <c r="X369" s="18"/>
      <c r="Y369" s="18"/>
      <c r="Z369" s="18"/>
      <c r="AA369" s="18"/>
    </row>
    <row r="370" spans="1:27" ht="18.75" customHeight="1" x14ac:dyDescent="0.2">
      <c r="C370" s="19" t="s">
        <v>907</v>
      </c>
      <c r="D370" s="28" t="s">
        <v>288</v>
      </c>
      <c r="E370" s="29" t="s">
        <v>320</v>
      </c>
      <c r="F370" s="17"/>
      <c r="G370" s="18"/>
      <c r="H370" s="34"/>
      <c r="I370" s="34"/>
      <c r="J370" s="34"/>
      <c r="K370" s="34"/>
      <c r="L370" s="34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30"/>
      <c r="X370" s="18"/>
      <c r="Y370" s="18"/>
      <c r="Z370" s="18"/>
      <c r="AA370" s="18"/>
    </row>
    <row r="371" spans="1:27" ht="18.75" customHeight="1" x14ac:dyDescent="0.2">
      <c r="A371" s="4" t="s">
        <v>55</v>
      </c>
      <c r="B371" s="4" t="s">
        <v>56</v>
      </c>
      <c r="C371" s="19" t="s">
        <v>907</v>
      </c>
      <c r="D371" s="41" t="s">
        <v>357</v>
      </c>
      <c r="E371" s="42" t="s">
        <v>328</v>
      </c>
      <c r="F371" s="43" t="s">
        <v>61</v>
      </c>
      <c r="G371" s="43">
        <v>33040051</v>
      </c>
      <c r="H371" s="44">
        <v>0</v>
      </c>
      <c r="I371" s="44">
        <v>0</v>
      </c>
      <c r="J371" s="44">
        <v>0</v>
      </c>
      <c r="K371" s="44">
        <v>0</v>
      </c>
      <c r="L371" s="44">
        <v>0</v>
      </c>
      <c r="M371" s="43">
        <v>33040051</v>
      </c>
      <c r="N371" s="44">
        <v>0</v>
      </c>
      <c r="O371" s="44">
        <v>0</v>
      </c>
      <c r="P371" s="44">
        <v>0</v>
      </c>
      <c r="Q371" s="44">
        <v>0</v>
      </c>
      <c r="R371" s="44">
        <v>0</v>
      </c>
      <c r="S371" s="44">
        <v>0</v>
      </c>
      <c r="T371" s="44">
        <v>0</v>
      </c>
      <c r="U371" s="44">
        <v>0</v>
      </c>
      <c r="V371" s="44">
        <v>0</v>
      </c>
      <c r="W371" s="40">
        <f t="shared" ref="W371" si="425">T371+V371</f>
        <v>0</v>
      </c>
      <c r="X371" s="18">
        <f t="shared" ref="X371" si="426">M371-P371</f>
        <v>33040051</v>
      </c>
      <c r="Y371" s="34">
        <f t="shared" ref="Y371" si="427">P371-S371</f>
        <v>0</v>
      </c>
      <c r="Z371" s="34">
        <f t="shared" ref="Z371" si="428">S371-W371</f>
        <v>0</v>
      </c>
      <c r="AA371" s="123">
        <f t="shared" ref="AA371" si="429">S371/M371</f>
        <v>0</v>
      </c>
    </row>
    <row r="372" spans="1:27" ht="18.75" customHeight="1" x14ac:dyDescent="0.2">
      <c r="C372" s="19" t="s">
        <v>907</v>
      </c>
      <c r="D372" s="16"/>
      <c r="E372" s="17"/>
      <c r="F372" s="17"/>
      <c r="G372" s="18"/>
      <c r="H372" s="34"/>
      <c r="I372" s="34"/>
      <c r="J372" s="34"/>
      <c r="K372" s="34"/>
      <c r="L372" s="34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31"/>
      <c r="X372" s="18"/>
      <c r="Y372" s="18"/>
      <c r="Z372" s="34"/>
      <c r="AA372" s="18"/>
    </row>
    <row r="373" spans="1:27" ht="18.75" customHeight="1" x14ac:dyDescent="0.2">
      <c r="C373" s="19" t="s">
        <v>907</v>
      </c>
      <c r="D373" s="16"/>
      <c r="E373" s="29" t="s">
        <v>187</v>
      </c>
      <c r="F373" s="17"/>
      <c r="G373" s="18"/>
      <c r="H373" s="34"/>
      <c r="I373" s="34"/>
      <c r="J373" s="34"/>
      <c r="K373" s="34"/>
      <c r="L373" s="34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31"/>
      <c r="X373" s="18"/>
      <c r="Y373" s="18"/>
      <c r="Z373" s="34"/>
      <c r="AA373" s="18"/>
    </row>
    <row r="374" spans="1:27" ht="25.5" x14ac:dyDescent="0.2">
      <c r="C374" s="19" t="s">
        <v>907</v>
      </c>
      <c r="D374" s="28" t="s">
        <v>288</v>
      </c>
      <c r="E374" s="68" t="s">
        <v>358</v>
      </c>
      <c r="F374" s="17"/>
      <c r="G374" s="18"/>
      <c r="H374" s="34"/>
      <c r="I374" s="34"/>
      <c r="J374" s="34"/>
      <c r="K374" s="34"/>
      <c r="L374" s="34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31"/>
      <c r="X374" s="18"/>
      <c r="Y374" s="18"/>
      <c r="Z374" s="34"/>
      <c r="AA374" s="18"/>
    </row>
    <row r="375" spans="1:27" ht="18.75" customHeight="1" x14ac:dyDescent="0.2">
      <c r="A375" s="4" t="s">
        <v>55</v>
      </c>
      <c r="B375" s="4" t="s">
        <v>56</v>
      </c>
      <c r="C375" s="19" t="s">
        <v>907</v>
      </c>
      <c r="D375" s="134" t="s">
        <v>359</v>
      </c>
      <c r="E375" s="69" t="s">
        <v>360</v>
      </c>
      <c r="F375" s="43" t="s">
        <v>361</v>
      </c>
      <c r="G375" s="43">
        <v>800000000</v>
      </c>
      <c r="H375" s="44">
        <v>0</v>
      </c>
      <c r="I375" s="44">
        <v>0</v>
      </c>
      <c r="J375" s="44">
        <v>0</v>
      </c>
      <c r="K375" s="44">
        <v>0</v>
      </c>
      <c r="L375" s="44">
        <v>0</v>
      </c>
      <c r="M375" s="43">
        <v>800000000</v>
      </c>
      <c r="N375" s="44">
        <v>0</v>
      </c>
      <c r="O375" s="43">
        <f>P375-[1]ENERO!O375</f>
        <v>1060602.1200000048</v>
      </c>
      <c r="P375" s="43">
        <v>800000000</v>
      </c>
      <c r="Q375" s="44">
        <v>0</v>
      </c>
      <c r="R375" s="44">
        <v>0</v>
      </c>
      <c r="S375" s="44">
        <v>0</v>
      </c>
      <c r="T375" s="44">
        <v>0</v>
      </c>
      <c r="U375" s="44">
        <v>0</v>
      </c>
      <c r="V375" s="44">
        <v>0</v>
      </c>
      <c r="W375" s="40">
        <f t="shared" ref="W375:W376" si="430">T375+V375</f>
        <v>0</v>
      </c>
      <c r="X375" s="34">
        <f t="shared" ref="X375:X376" si="431">M375-P375</f>
        <v>0</v>
      </c>
      <c r="Y375" s="110">
        <f t="shared" ref="Y375:Y376" si="432">P375-S375</f>
        <v>800000000</v>
      </c>
      <c r="Z375" s="34">
        <f t="shared" ref="Z375:Z376" si="433">S375-W375</f>
        <v>0</v>
      </c>
      <c r="AA375" s="123">
        <f t="shared" ref="AA375:AA376" si="434">S375/M375</f>
        <v>0</v>
      </c>
    </row>
    <row r="376" spans="1:27" ht="18.75" customHeight="1" x14ac:dyDescent="0.2">
      <c r="C376" s="19" t="s">
        <v>907</v>
      </c>
      <c r="D376" s="41" t="s">
        <v>908</v>
      </c>
      <c r="E376" s="69" t="s">
        <v>233</v>
      </c>
      <c r="F376" s="17"/>
      <c r="G376" s="34">
        <v>0</v>
      </c>
      <c r="H376" s="34">
        <v>0</v>
      </c>
      <c r="I376" s="34">
        <v>0</v>
      </c>
      <c r="J376" s="18">
        <v>2000000000</v>
      </c>
      <c r="K376" s="34"/>
      <c r="L376" s="18">
        <f>H376-I376+J376-K376</f>
        <v>2000000000</v>
      </c>
      <c r="M376" s="18">
        <f>G376+L376</f>
        <v>2000000000</v>
      </c>
      <c r="N376" s="34">
        <v>0</v>
      </c>
      <c r="O376" s="18">
        <v>1998959930.71</v>
      </c>
      <c r="P376" s="18">
        <v>1998959930.71</v>
      </c>
      <c r="Q376" s="34">
        <v>0</v>
      </c>
      <c r="R376" s="34">
        <v>0</v>
      </c>
      <c r="S376" s="34">
        <v>0</v>
      </c>
      <c r="T376" s="34">
        <v>0</v>
      </c>
      <c r="U376" s="34">
        <v>0</v>
      </c>
      <c r="V376" s="34">
        <v>0</v>
      </c>
      <c r="W376" s="40">
        <f t="shared" si="430"/>
        <v>0</v>
      </c>
      <c r="X376" s="18">
        <f t="shared" si="431"/>
        <v>1040069.2899999619</v>
      </c>
      <c r="Y376" s="110">
        <f t="shared" si="432"/>
        <v>1998959930.71</v>
      </c>
      <c r="Z376" s="34">
        <f t="shared" si="433"/>
        <v>0</v>
      </c>
      <c r="AA376" s="123">
        <f t="shared" si="434"/>
        <v>0</v>
      </c>
    </row>
    <row r="377" spans="1:27" ht="18.75" customHeight="1" x14ac:dyDescent="0.2">
      <c r="C377" s="19" t="s">
        <v>907</v>
      </c>
      <c r="D377" s="16"/>
      <c r="E377" s="68" t="s">
        <v>189</v>
      </c>
      <c r="F377" s="17"/>
      <c r="G377" s="18"/>
      <c r="H377" s="34"/>
      <c r="I377" s="34"/>
      <c r="J377" s="34"/>
      <c r="K377" s="34"/>
      <c r="L377" s="34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31"/>
      <c r="X377" s="18"/>
      <c r="Y377" s="18"/>
      <c r="Z377" s="34"/>
      <c r="AA377" s="18"/>
    </row>
    <row r="378" spans="1:27" ht="18.75" customHeight="1" x14ac:dyDescent="0.2">
      <c r="C378" s="19" t="s">
        <v>907</v>
      </c>
      <c r="D378" s="16"/>
      <c r="E378" s="68" t="s">
        <v>191</v>
      </c>
      <c r="F378" s="17"/>
      <c r="G378" s="18"/>
      <c r="H378" s="34"/>
      <c r="I378" s="34"/>
      <c r="J378" s="34"/>
      <c r="K378" s="34"/>
      <c r="L378" s="34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31"/>
      <c r="X378" s="18"/>
      <c r="Y378" s="18"/>
      <c r="Z378" s="34"/>
      <c r="AA378" s="18"/>
    </row>
    <row r="379" spans="1:27" ht="18.75" customHeight="1" x14ac:dyDescent="0.2">
      <c r="C379" s="19" t="s">
        <v>907</v>
      </c>
      <c r="D379" s="28" t="s">
        <v>288</v>
      </c>
      <c r="E379" s="68" t="s">
        <v>362</v>
      </c>
      <c r="F379" s="17"/>
      <c r="G379" s="18"/>
      <c r="H379" s="34"/>
      <c r="I379" s="34"/>
      <c r="J379" s="34"/>
      <c r="K379" s="34"/>
      <c r="L379" s="34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31"/>
      <c r="X379" s="18"/>
      <c r="Y379" s="18"/>
      <c r="Z379" s="34"/>
      <c r="AA379" s="18"/>
    </row>
    <row r="380" spans="1:27" ht="18.75" customHeight="1" x14ac:dyDescent="0.2">
      <c r="A380" s="4" t="s">
        <v>55</v>
      </c>
      <c r="B380" s="4" t="s">
        <v>56</v>
      </c>
      <c r="C380" s="19" t="s">
        <v>907</v>
      </c>
      <c r="D380" s="41" t="s">
        <v>363</v>
      </c>
      <c r="E380" s="69" t="s">
        <v>233</v>
      </c>
      <c r="F380" s="43" t="s">
        <v>58</v>
      </c>
      <c r="G380" s="43">
        <v>295200000</v>
      </c>
      <c r="H380" s="44">
        <v>0</v>
      </c>
      <c r="I380" s="44">
        <v>0</v>
      </c>
      <c r="J380" s="44">
        <v>0</v>
      </c>
      <c r="K380" s="44">
        <v>0</v>
      </c>
      <c r="L380" s="44">
        <v>0</v>
      </c>
      <c r="M380" s="43">
        <v>295200000</v>
      </c>
      <c r="N380" s="44">
        <v>0</v>
      </c>
      <c r="O380" s="44">
        <v>0</v>
      </c>
      <c r="P380" s="44">
        <v>0</v>
      </c>
      <c r="Q380" s="44">
        <v>0</v>
      </c>
      <c r="R380" s="44">
        <v>0</v>
      </c>
      <c r="S380" s="44">
        <v>0</v>
      </c>
      <c r="T380" s="44">
        <v>0</v>
      </c>
      <c r="U380" s="44">
        <v>0</v>
      </c>
      <c r="V380" s="44">
        <v>0</v>
      </c>
      <c r="W380" s="40">
        <f t="shared" ref="W380:W381" si="435">T380+V380</f>
        <v>0</v>
      </c>
      <c r="X380" s="18">
        <f t="shared" ref="X380:X381" si="436">M380-P380</f>
        <v>295200000</v>
      </c>
      <c r="Y380" s="34">
        <f t="shared" ref="Y380:Y381" si="437">P380-S380</f>
        <v>0</v>
      </c>
      <c r="Z380" s="34">
        <f t="shared" ref="Z380:Z381" si="438">S380-W380</f>
        <v>0</v>
      </c>
      <c r="AA380" s="123">
        <f t="shared" ref="AA380:AA381" si="439">S380/M380</f>
        <v>0</v>
      </c>
    </row>
    <row r="381" spans="1:27" ht="18.75" customHeight="1" x14ac:dyDescent="0.2">
      <c r="A381" s="4" t="s">
        <v>55</v>
      </c>
      <c r="B381" s="4" t="s">
        <v>56</v>
      </c>
      <c r="C381" s="19" t="s">
        <v>907</v>
      </c>
      <c r="D381" s="41" t="s">
        <v>364</v>
      </c>
      <c r="E381" s="69" t="s">
        <v>360</v>
      </c>
      <c r="F381" s="43" t="s">
        <v>361</v>
      </c>
      <c r="G381" s="43">
        <v>1948457402</v>
      </c>
      <c r="H381" s="44">
        <v>0</v>
      </c>
      <c r="I381" s="44">
        <v>0</v>
      </c>
      <c r="J381" s="44">
        <v>0</v>
      </c>
      <c r="K381" s="44">
        <v>0</v>
      </c>
      <c r="L381" s="44">
        <v>0</v>
      </c>
      <c r="M381" s="43">
        <v>1948457402</v>
      </c>
      <c r="N381" s="44">
        <v>0</v>
      </c>
      <c r="O381" s="44">
        <v>0</v>
      </c>
      <c r="P381" s="44">
        <v>0</v>
      </c>
      <c r="Q381" s="44">
        <v>0</v>
      </c>
      <c r="R381" s="44">
        <v>0</v>
      </c>
      <c r="S381" s="44">
        <v>0</v>
      </c>
      <c r="T381" s="44">
        <v>0</v>
      </c>
      <c r="U381" s="44">
        <v>0</v>
      </c>
      <c r="V381" s="44">
        <v>0</v>
      </c>
      <c r="W381" s="40">
        <f t="shared" si="435"/>
        <v>0</v>
      </c>
      <c r="X381" s="18">
        <f t="shared" si="436"/>
        <v>1948457402</v>
      </c>
      <c r="Y381" s="34">
        <f t="shared" si="437"/>
        <v>0</v>
      </c>
      <c r="Z381" s="34">
        <f t="shared" si="438"/>
        <v>0</v>
      </c>
      <c r="AA381" s="123">
        <f t="shared" si="439"/>
        <v>0</v>
      </c>
    </row>
    <row r="382" spans="1:27" ht="18.75" customHeight="1" x14ac:dyDescent="0.2">
      <c r="C382" s="19" t="s">
        <v>907</v>
      </c>
      <c r="D382" s="28" t="s">
        <v>288</v>
      </c>
      <c r="E382" s="68" t="s">
        <v>365</v>
      </c>
      <c r="F382" s="17"/>
      <c r="G382" s="18"/>
      <c r="H382" s="34"/>
      <c r="I382" s="34"/>
      <c r="J382" s="34"/>
      <c r="K382" s="34"/>
      <c r="L382" s="34"/>
      <c r="M382" s="18"/>
      <c r="N382" s="34"/>
      <c r="O382" s="34"/>
      <c r="P382" s="34"/>
      <c r="Q382" s="34"/>
      <c r="R382" s="34"/>
      <c r="S382" s="34"/>
      <c r="T382" s="34"/>
      <c r="U382" s="34"/>
      <c r="V382" s="34"/>
      <c r="W382" s="40"/>
      <c r="X382" s="18"/>
      <c r="Y382" s="18"/>
      <c r="Z382" s="18"/>
      <c r="AA382" s="18"/>
    </row>
    <row r="383" spans="1:27" ht="18.75" customHeight="1" x14ac:dyDescent="0.2">
      <c r="A383" s="4" t="s">
        <v>55</v>
      </c>
      <c r="B383" s="4" t="s">
        <v>56</v>
      </c>
      <c r="C383" s="19" t="s">
        <v>907</v>
      </c>
      <c r="D383" s="41" t="s">
        <v>366</v>
      </c>
      <c r="E383" s="69" t="s">
        <v>367</v>
      </c>
      <c r="F383" s="43" t="s">
        <v>368</v>
      </c>
      <c r="G383" s="43">
        <v>229393430</v>
      </c>
      <c r="H383" s="44">
        <v>0</v>
      </c>
      <c r="I383" s="44">
        <v>0</v>
      </c>
      <c r="J383" s="44">
        <v>0</v>
      </c>
      <c r="K383" s="44">
        <v>0</v>
      </c>
      <c r="L383" s="44">
        <v>0</v>
      </c>
      <c r="M383" s="43">
        <v>229393430</v>
      </c>
      <c r="N383" s="44">
        <v>0</v>
      </c>
      <c r="O383" s="44">
        <v>0</v>
      </c>
      <c r="P383" s="44">
        <v>0</v>
      </c>
      <c r="Q383" s="44">
        <v>0</v>
      </c>
      <c r="R383" s="44">
        <v>0</v>
      </c>
      <c r="S383" s="44">
        <v>0</v>
      </c>
      <c r="T383" s="44">
        <v>0</v>
      </c>
      <c r="U383" s="44">
        <v>0</v>
      </c>
      <c r="V383" s="44">
        <v>0</v>
      </c>
      <c r="W383" s="40">
        <f t="shared" si="420"/>
        <v>0</v>
      </c>
      <c r="X383" s="18">
        <f t="shared" ref="X383" si="440">M383-P383</f>
        <v>229393430</v>
      </c>
      <c r="Y383" s="34">
        <f t="shared" ref="Y383" si="441">P383-S383</f>
        <v>0</v>
      </c>
      <c r="Z383" s="34">
        <f t="shared" ref="Z383" si="442">S383-W383</f>
        <v>0</v>
      </c>
      <c r="AA383" s="123">
        <f t="shared" ref="AA383" si="443">S383/M383</f>
        <v>0</v>
      </c>
    </row>
    <row r="384" spans="1:27" ht="18.75" customHeight="1" x14ac:dyDescent="0.2">
      <c r="C384" s="19" t="s">
        <v>907</v>
      </c>
      <c r="D384" s="28" t="s">
        <v>288</v>
      </c>
      <c r="E384" s="68" t="s">
        <v>369</v>
      </c>
      <c r="F384" s="17"/>
      <c r="G384" s="18"/>
      <c r="H384" s="34"/>
      <c r="I384" s="34"/>
      <c r="J384" s="34"/>
      <c r="K384" s="34"/>
      <c r="L384" s="34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40"/>
      <c r="X384" s="18"/>
      <c r="Y384" s="18"/>
      <c r="Z384" s="18"/>
      <c r="AA384" s="18"/>
    </row>
    <row r="385" spans="1:27" ht="18.75" customHeight="1" x14ac:dyDescent="0.2">
      <c r="A385" s="4" t="s">
        <v>55</v>
      </c>
      <c r="B385" s="4" t="s">
        <v>56</v>
      </c>
      <c r="C385" s="19" t="s">
        <v>907</v>
      </c>
      <c r="D385" s="41" t="s">
        <v>370</v>
      </c>
      <c r="E385" s="69" t="s">
        <v>233</v>
      </c>
      <c r="F385" s="43" t="s">
        <v>58</v>
      </c>
      <c r="G385" s="43">
        <v>209880000</v>
      </c>
      <c r="H385" s="44">
        <v>0</v>
      </c>
      <c r="I385" s="44">
        <v>0</v>
      </c>
      <c r="J385" s="44">
        <v>0</v>
      </c>
      <c r="K385" s="44">
        <v>0</v>
      </c>
      <c r="L385" s="44">
        <v>0</v>
      </c>
      <c r="M385" s="43">
        <v>209880000</v>
      </c>
      <c r="N385" s="43">
        <v>0</v>
      </c>
      <c r="O385" s="43">
        <v>16000000</v>
      </c>
      <c r="P385" s="43">
        <v>96000000</v>
      </c>
      <c r="Q385" s="43">
        <v>0</v>
      </c>
      <c r="R385" s="43">
        <v>96000000</v>
      </c>
      <c r="S385" s="43">
        <v>96000000</v>
      </c>
      <c r="T385" s="44">
        <v>0</v>
      </c>
      <c r="U385" s="44">
        <v>0</v>
      </c>
      <c r="V385" s="44">
        <v>0</v>
      </c>
      <c r="W385" s="40">
        <f t="shared" si="420"/>
        <v>0</v>
      </c>
      <c r="X385" s="18">
        <f t="shared" ref="X385" si="444">M385-P385</f>
        <v>113880000</v>
      </c>
      <c r="Y385" s="34">
        <f t="shared" ref="Y385" si="445">P385-S385</f>
        <v>0</v>
      </c>
      <c r="Z385" s="18">
        <f t="shared" ref="Z385" si="446">S385-W385</f>
        <v>96000000</v>
      </c>
      <c r="AA385" s="123">
        <f t="shared" ref="AA385" si="447">S385/M385</f>
        <v>0.45740423098913663</v>
      </c>
    </row>
    <row r="386" spans="1:27" ht="18.75" customHeight="1" x14ac:dyDescent="0.2">
      <c r="C386" s="19" t="s">
        <v>907</v>
      </c>
      <c r="D386" s="28" t="s">
        <v>288</v>
      </c>
      <c r="E386" s="68" t="s">
        <v>371</v>
      </c>
      <c r="F386" s="17"/>
      <c r="G386" s="18"/>
      <c r="H386" s="34"/>
      <c r="I386" s="34"/>
      <c r="J386" s="34"/>
      <c r="K386" s="34"/>
      <c r="L386" s="34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40"/>
      <c r="X386" s="18"/>
      <c r="Y386" s="18"/>
      <c r="Z386" s="18"/>
      <c r="AA386" s="18"/>
    </row>
    <row r="387" spans="1:27" ht="18.75" customHeight="1" x14ac:dyDescent="0.2">
      <c r="A387" s="4" t="s">
        <v>55</v>
      </c>
      <c r="B387" s="4" t="s">
        <v>56</v>
      </c>
      <c r="C387" s="19" t="s">
        <v>907</v>
      </c>
      <c r="D387" s="41" t="s">
        <v>372</v>
      </c>
      <c r="E387" s="69" t="s">
        <v>233</v>
      </c>
      <c r="F387" s="43" t="s">
        <v>58</v>
      </c>
      <c r="G387" s="43">
        <v>290120000</v>
      </c>
      <c r="H387" s="44">
        <v>0</v>
      </c>
      <c r="I387" s="44">
        <v>0</v>
      </c>
      <c r="J387" s="44">
        <v>0</v>
      </c>
      <c r="K387" s="44">
        <v>0</v>
      </c>
      <c r="L387" s="44">
        <v>0</v>
      </c>
      <c r="M387" s="43">
        <v>290120000</v>
      </c>
      <c r="N387" s="44">
        <v>0</v>
      </c>
      <c r="O387" s="44">
        <v>0</v>
      </c>
      <c r="P387" s="44">
        <v>0</v>
      </c>
      <c r="Q387" s="44">
        <v>0</v>
      </c>
      <c r="R387" s="44">
        <v>0</v>
      </c>
      <c r="S387" s="44">
        <v>0</v>
      </c>
      <c r="T387" s="44">
        <v>0</v>
      </c>
      <c r="U387" s="44">
        <v>0</v>
      </c>
      <c r="V387" s="44">
        <v>0</v>
      </c>
      <c r="W387" s="40">
        <f t="shared" si="420"/>
        <v>0</v>
      </c>
      <c r="X387" s="18">
        <f t="shared" ref="X387" si="448">M387-P387</f>
        <v>290120000</v>
      </c>
      <c r="Y387" s="34">
        <f t="shared" ref="Y387" si="449">P387-S387</f>
        <v>0</v>
      </c>
      <c r="Z387" s="34">
        <f t="shared" ref="Z387" si="450">S387-W387</f>
        <v>0</v>
      </c>
      <c r="AA387" s="123">
        <f t="shared" ref="AA387" si="451">S387/M387</f>
        <v>0</v>
      </c>
    </row>
    <row r="388" spans="1:27" ht="18.75" customHeight="1" x14ac:dyDescent="0.2">
      <c r="C388" s="19" t="s">
        <v>907</v>
      </c>
      <c r="D388" s="16"/>
      <c r="E388" s="70"/>
      <c r="F388" s="17"/>
      <c r="G388" s="18"/>
      <c r="H388" s="34"/>
      <c r="I388" s="34"/>
      <c r="J388" s="34"/>
      <c r="K388" s="34"/>
      <c r="L388" s="34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40"/>
      <c r="X388" s="18"/>
      <c r="Y388" s="18"/>
      <c r="Z388" s="18"/>
      <c r="AA388" s="18"/>
    </row>
    <row r="389" spans="1:27" ht="38.25" x14ac:dyDescent="0.2">
      <c r="C389" s="19" t="s">
        <v>907</v>
      </c>
      <c r="D389" s="16"/>
      <c r="E389" s="68" t="s">
        <v>373</v>
      </c>
      <c r="F389" s="17"/>
      <c r="G389" s="18"/>
      <c r="H389" s="34"/>
      <c r="I389" s="34"/>
      <c r="J389" s="34"/>
      <c r="K389" s="34"/>
      <c r="L389" s="34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40"/>
      <c r="X389" s="18"/>
      <c r="Y389" s="18"/>
      <c r="Z389" s="18"/>
      <c r="AA389" s="18"/>
    </row>
    <row r="390" spans="1:27" ht="25.5" x14ac:dyDescent="0.2">
      <c r="C390" s="19" t="s">
        <v>907</v>
      </c>
      <c r="D390" s="28"/>
      <c r="E390" s="68" t="s">
        <v>374</v>
      </c>
      <c r="F390" s="17"/>
      <c r="G390" s="18"/>
      <c r="H390" s="34"/>
      <c r="I390" s="34"/>
      <c r="J390" s="34"/>
      <c r="K390" s="34"/>
      <c r="L390" s="34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40"/>
      <c r="X390" s="18"/>
      <c r="Y390" s="18"/>
      <c r="Z390" s="18"/>
      <c r="AA390" s="18"/>
    </row>
    <row r="391" spans="1:27" ht="25.5" x14ac:dyDescent="0.2">
      <c r="C391" s="19" t="s">
        <v>907</v>
      </c>
      <c r="D391" s="28" t="s">
        <v>288</v>
      </c>
      <c r="E391" s="68" t="s">
        <v>375</v>
      </c>
      <c r="F391" s="17"/>
      <c r="G391" s="18"/>
      <c r="H391" s="34"/>
      <c r="I391" s="34"/>
      <c r="J391" s="34"/>
      <c r="K391" s="34"/>
      <c r="L391" s="34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40"/>
      <c r="X391" s="18"/>
      <c r="Y391" s="18"/>
      <c r="Z391" s="18"/>
      <c r="AA391" s="18"/>
    </row>
    <row r="392" spans="1:27" x14ac:dyDescent="0.2">
      <c r="A392" s="4" t="s">
        <v>55</v>
      </c>
      <c r="B392" s="4" t="s">
        <v>56</v>
      </c>
      <c r="C392" s="19" t="s">
        <v>907</v>
      </c>
      <c r="D392" s="41" t="s">
        <v>376</v>
      </c>
      <c r="E392" s="69" t="s">
        <v>233</v>
      </c>
      <c r="F392" s="43" t="s">
        <v>58</v>
      </c>
      <c r="G392" s="43">
        <v>3416292195</v>
      </c>
      <c r="H392" s="44">
        <v>0</v>
      </c>
      <c r="I392" s="44">
        <v>0</v>
      </c>
      <c r="J392" s="44">
        <v>0</v>
      </c>
      <c r="K392" s="44">
        <v>0</v>
      </c>
      <c r="L392" s="44">
        <v>0</v>
      </c>
      <c r="M392" s="43">
        <v>3416292195</v>
      </c>
      <c r="N392" s="44">
        <v>0</v>
      </c>
      <c r="O392" s="44">
        <v>0</v>
      </c>
      <c r="P392" s="43">
        <v>3416292195</v>
      </c>
      <c r="Q392" s="44">
        <v>0</v>
      </c>
      <c r="R392" s="44">
        <v>0</v>
      </c>
      <c r="S392" s="43">
        <v>3321331218</v>
      </c>
      <c r="T392" s="44">
        <v>0</v>
      </c>
      <c r="U392" s="44">
        <v>0</v>
      </c>
      <c r="V392" s="44">
        <v>0</v>
      </c>
      <c r="W392" s="40">
        <f t="shared" ref="W392" si="452">T392+V392</f>
        <v>0</v>
      </c>
      <c r="X392" s="34">
        <f t="shared" ref="X392" si="453">M392-P392</f>
        <v>0</v>
      </c>
      <c r="Y392" s="110">
        <f t="shared" ref="Y392" si="454">P392-S392</f>
        <v>94960977</v>
      </c>
      <c r="Z392" s="18">
        <f t="shared" ref="Z392" si="455">S392-W392</f>
        <v>3321331218</v>
      </c>
      <c r="AA392" s="123">
        <f t="shared" ref="AA392" si="456">S392/M392</f>
        <v>0.97220349677964246</v>
      </c>
    </row>
    <row r="393" spans="1:27" ht="18.75" customHeight="1" x14ac:dyDescent="0.2">
      <c r="C393" s="19" t="s">
        <v>907</v>
      </c>
      <c r="D393" s="28" t="s">
        <v>288</v>
      </c>
      <c r="E393" s="29" t="s">
        <v>320</v>
      </c>
      <c r="F393" s="17"/>
      <c r="G393" s="18"/>
      <c r="H393" s="34"/>
      <c r="I393" s="34"/>
      <c r="J393" s="34"/>
      <c r="K393" s="34"/>
      <c r="L393" s="34"/>
      <c r="M393" s="18"/>
      <c r="N393" s="34"/>
      <c r="O393" s="34"/>
      <c r="P393" s="18"/>
      <c r="Q393" s="34"/>
      <c r="R393" s="34"/>
      <c r="S393" s="18"/>
      <c r="T393" s="34"/>
      <c r="U393" s="34"/>
      <c r="V393" s="34"/>
      <c r="W393" s="40"/>
      <c r="X393" s="18"/>
      <c r="Y393" s="18"/>
      <c r="Z393" s="18"/>
      <c r="AA393" s="18"/>
    </row>
    <row r="394" spans="1:27" ht="18.75" customHeight="1" x14ac:dyDescent="0.2">
      <c r="A394" s="4" t="s">
        <v>55</v>
      </c>
      <c r="B394" s="4" t="s">
        <v>56</v>
      </c>
      <c r="C394" s="19" t="s">
        <v>907</v>
      </c>
      <c r="D394" s="41" t="s">
        <v>377</v>
      </c>
      <c r="E394" s="42" t="s">
        <v>328</v>
      </c>
      <c r="F394" s="43" t="s">
        <v>61</v>
      </c>
      <c r="G394" s="43">
        <v>10632000</v>
      </c>
      <c r="H394" s="44">
        <v>0</v>
      </c>
      <c r="I394" s="44">
        <v>0</v>
      </c>
      <c r="J394" s="44">
        <v>0</v>
      </c>
      <c r="K394" s="44">
        <v>0</v>
      </c>
      <c r="L394" s="44">
        <v>0</v>
      </c>
      <c r="M394" s="43">
        <v>10632000</v>
      </c>
      <c r="N394" s="44">
        <v>0</v>
      </c>
      <c r="O394" s="44">
        <v>0</v>
      </c>
      <c r="P394" s="43">
        <v>0</v>
      </c>
      <c r="Q394" s="44">
        <v>0</v>
      </c>
      <c r="R394" s="44">
        <v>0</v>
      </c>
      <c r="S394" s="43">
        <v>0</v>
      </c>
      <c r="T394" s="44">
        <v>0</v>
      </c>
      <c r="U394" s="44">
        <v>0</v>
      </c>
      <c r="V394" s="44">
        <v>0</v>
      </c>
      <c r="W394" s="40">
        <f t="shared" ref="W394:W396" si="457">T394+V394</f>
        <v>0</v>
      </c>
      <c r="X394" s="18">
        <f t="shared" ref="X394:X396" si="458">M394-P394</f>
        <v>10632000</v>
      </c>
      <c r="Y394" s="34">
        <f t="shared" ref="Y394:Y396" si="459">P394-S394</f>
        <v>0</v>
      </c>
      <c r="Z394" s="34">
        <f t="shared" ref="Z394:Z396" si="460">S394-W394</f>
        <v>0</v>
      </c>
      <c r="AA394" s="123">
        <f t="shared" ref="AA394:AA396" si="461">S394/M394</f>
        <v>0</v>
      </c>
    </row>
    <row r="395" spans="1:27" ht="18.75" customHeight="1" x14ac:dyDescent="0.2">
      <c r="A395" s="4" t="s">
        <v>55</v>
      </c>
      <c r="B395" s="4" t="s">
        <v>56</v>
      </c>
      <c r="C395" s="19" t="s">
        <v>907</v>
      </c>
      <c r="D395" s="41" t="s">
        <v>378</v>
      </c>
      <c r="E395" s="42" t="s">
        <v>379</v>
      </c>
      <c r="F395" s="43" t="s">
        <v>380</v>
      </c>
      <c r="G395" s="43">
        <v>2835585455</v>
      </c>
      <c r="H395" s="44">
        <v>0</v>
      </c>
      <c r="I395" s="44">
        <v>0</v>
      </c>
      <c r="J395" s="44">
        <v>0</v>
      </c>
      <c r="K395" s="44">
        <v>0</v>
      </c>
      <c r="L395" s="44">
        <v>0</v>
      </c>
      <c r="M395" s="43">
        <v>2835585455</v>
      </c>
      <c r="N395" s="44">
        <v>0</v>
      </c>
      <c r="O395" s="43">
        <v>163412773</v>
      </c>
      <c r="P395" s="43">
        <v>287224030</v>
      </c>
      <c r="Q395" s="44">
        <v>0</v>
      </c>
      <c r="R395" s="43">
        <v>163412773</v>
      </c>
      <c r="S395" s="43">
        <v>287224030</v>
      </c>
      <c r="T395" s="114">
        <v>7817728</v>
      </c>
      <c r="U395" s="43">
        <f>V395-[1]ENERO!U395</f>
        <v>9557061</v>
      </c>
      <c r="V395" s="43">
        <v>133368318</v>
      </c>
      <c r="W395" s="39">
        <f t="shared" si="457"/>
        <v>141186046</v>
      </c>
      <c r="X395" s="18">
        <f t="shared" si="458"/>
        <v>2548361425</v>
      </c>
      <c r="Y395" s="34">
        <f t="shared" si="459"/>
        <v>0</v>
      </c>
      <c r="Z395" s="18">
        <f t="shared" si="460"/>
        <v>146037984</v>
      </c>
      <c r="AA395" s="123">
        <f t="shared" si="461"/>
        <v>0.10129267290941157</v>
      </c>
    </row>
    <row r="396" spans="1:27" ht="18.75" customHeight="1" x14ac:dyDescent="0.2">
      <c r="A396" s="4" t="s">
        <v>55</v>
      </c>
      <c r="B396" s="4" t="s">
        <v>56</v>
      </c>
      <c r="C396" s="19" t="s">
        <v>907</v>
      </c>
      <c r="D396" s="41" t="s">
        <v>381</v>
      </c>
      <c r="E396" s="42" t="s">
        <v>382</v>
      </c>
      <c r="F396" s="43" t="s">
        <v>383</v>
      </c>
      <c r="G396" s="43">
        <v>1274304912</v>
      </c>
      <c r="H396" s="44">
        <v>0</v>
      </c>
      <c r="I396" s="44">
        <v>0</v>
      </c>
      <c r="J396" s="44">
        <v>0</v>
      </c>
      <c r="K396" s="44">
        <v>0</v>
      </c>
      <c r="L396" s="44">
        <v>0</v>
      </c>
      <c r="M396" s="43">
        <v>1274304912</v>
      </c>
      <c r="N396" s="44">
        <v>0</v>
      </c>
      <c r="O396" s="44">
        <v>0</v>
      </c>
      <c r="P396" s="44">
        <v>0</v>
      </c>
      <c r="Q396" s="44">
        <v>0</v>
      </c>
      <c r="R396" s="43">
        <v>0</v>
      </c>
      <c r="S396" s="44">
        <v>0</v>
      </c>
      <c r="T396" s="44">
        <v>0</v>
      </c>
      <c r="U396" s="44">
        <v>0</v>
      </c>
      <c r="V396" s="44">
        <v>0</v>
      </c>
      <c r="W396" s="40">
        <f t="shared" si="457"/>
        <v>0</v>
      </c>
      <c r="X396" s="18">
        <f t="shared" si="458"/>
        <v>1274304912</v>
      </c>
      <c r="Y396" s="34">
        <f t="shared" si="459"/>
        <v>0</v>
      </c>
      <c r="Z396" s="34">
        <f t="shared" si="460"/>
        <v>0</v>
      </c>
      <c r="AA396" s="123">
        <f t="shared" si="461"/>
        <v>0</v>
      </c>
    </row>
    <row r="397" spans="1:27" ht="38.25" x14ac:dyDescent="0.2">
      <c r="C397" s="19" t="s">
        <v>907</v>
      </c>
      <c r="D397" s="28" t="s">
        <v>288</v>
      </c>
      <c r="E397" s="29" t="s">
        <v>384</v>
      </c>
      <c r="F397" s="17"/>
      <c r="G397" s="18"/>
      <c r="H397" s="34"/>
      <c r="I397" s="34"/>
      <c r="J397" s="34"/>
      <c r="K397" s="34"/>
      <c r="L397" s="34"/>
      <c r="M397" s="18"/>
      <c r="N397" s="18"/>
      <c r="O397" s="18"/>
      <c r="P397" s="18"/>
      <c r="Q397" s="34"/>
      <c r="R397" s="18"/>
      <c r="S397" s="18"/>
      <c r="T397" s="18"/>
      <c r="U397" s="18"/>
      <c r="V397" s="18"/>
      <c r="W397" s="39"/>
      <c r="X397" s="18"/>
      <c r="Y397" s="18"/>
      <c r="Z397" s="18"/>
      <c r="AA397" s="18"/>
    </row>
    <row r="398" spans="1:27" ht="18.75" customHeight="1" x14ac:dyDescent="0.2">
      <c r="A398" s="4" t="s">
        <v>55</v>
      </c>
      <c r="B398" s="4" t="s">
        <v>56</v>
      </c>
      <c r="C398" s="19" t="s">
        <v>907</v>
      </c>
      <c r="D398" s="41" t="s">
        <v>385</v>
      </c>
      <c r="E398" s="42" t="s">
        <v>233</v>
      </c>
      <c r="F398" s="43" t="s">
        <v>58</v>
      </c>
      <c r="G398" s="43">
        <v>9793380820</v>
      </c>
      <c r="H398" s="44">
        <v>0</v>
      </c>
      <c r="I398" s="44">
        <v>0</v>
      </c>
      <c r="J398" s="44">
        <v>0</v>
      </c>
      <c r="K398" s="44">
        <v>0</v>
      </c>
      <c r="L398" s="44">
        <v>0</v>
      </c>
      <c r="M398" s="43">
        <v>9793380820</v>
      </c>
      <c r="N398" s="43">
        <v>0</v>
      </c>
      <c r="O398" s="43">
        <v>68000000</v>
      </c>
      <c r="P398" s="43">
        <v>9530080073</v>
      </c>
      <c r="Q398" s="44">
        <v>0</v>
      </c>
      <c r="R398" s="43">
        <v>68000000</v>
      </c>
      <c r="S398" s="43">
        <v>9489050100</v>
      </c>
      <c r="T398" s="44">
        <v>0</v>
      </c>
      <c r="U398" s="114">
        <v>1950000</v>
      </c>
      <c r="V398" s="114">
        <v>1950000</v>
      </c>
      <c r="W398" s="39">
        <f t="shared" ref="W398:W402" si="462">T398+V398</f>
        <v>1950000</v>
      </c>
      <c r="X398" s="18">
        <f t="shared" ref="X398:X402" si="463">M398-P398</f>
        <v>263300747</v>
      </c>
      <c r="Y398" s="110">
        <f t="shared" ref="Y398:Y402" si="464">P398-S398</f>
        <v>41029973</v>
      </c>
      <c r="Z398" s="110">
        <f t="shared" ref="Z398:Z402" si="465">S398-W398</f>
        <v>9487100100</v>
      </c>
      <c r="AA398" s="123">
        <f t="shared" ref="AA398:AA402" si="466">S398/M398</f>
        <v>0.96892485592120581</v>
      </c>
    </row>
    <row r="399" spans="1:27" ht="18.75" customHeight="1" x14ac:dyDescent="0.2">
      <c r="A399" s="4" t="s">
        <v>55</v>
      </c>
      <c r="B399" s="4" t="s">
        <v>56</v>
      </c>
      <c r="C399" s="19" t="s">
        <v>907</v>
      </c>
      <c r="D399" s="41" t="s">
        <v>386</v>
      </c>
      <c r="E399" s="42" t="s">
        <v>382</v>
      </c>
      <c r="F399" s="43" t="s">
        <v>383</v>
      </c>
      <c r="G399" s="43">
        <v>8000000000</v>
      </c>
      <c r="H399" s="44">
        <v>0</v>
      </c>
      <c r="I399" s="44">
        <v>0</v>
      </c>
      <c r="J399" s="44">
        <v>0</v>
      </c>
      <c r="K399" s="44">
        <v>0</v>
      </c>
      <c r="L399" s="44">
        <v>0</v>
      </c>
      <c r="M399" s="43">
        <v>8000000000</v>
      </c>
      <c r="N399" s="44">
        <v>0</v>
      </c>
      <c r="O399" s="44">
        <v>0</v>
      </c>
      <c r="P399" s="43">
        <v>8000000000</v>
      </c>
      <c r="Q399" s="44">
        <v>0</v>
      </c>
      <c r="R399" s="44">
        <v>0</v>
      </c>
      <c r="S399" s="43">
        <v>8000000000</v>
      </c>
      <c r="T399" s="44">
        <v>0</v>
      </c>
      <c r="U399" s="44">
        <v>0</v>
      </c>
      <c r="V399" s="44">
        <v>0</v>
      </c>
      <c r="W399" s="40">
        <f t="shared" si="462"/>
        <v>0</v>
      </c>
      <c r="X399" s="34">
        <f t="shared" si="463"/>
        <v>0</v>
      </c>
      <c r="Y399" s="34">
        <f t="shared" si="464"/>
        <v>0</v>
      </c>
      <c r="Z399" s="18">
        <f t="shared" si="465"/>
        <v>8000000000</v>
      </c>
      <c r="AA399" s="123">
        <f t="shared" si="466"/>
        <v>1</v>
      </c>
    </row>
    <row r="400" spans="1:27" ht="18.75" customHeight="1" x14ac:dyDescent="0.2">
      <c r="A400" s="4" t="s">
        <v>55</v>
      </c>
      <c r="B400" s="4" t="s">
        <v>56</v>
      </c>
      <c r="C400" s="19" t="s">
        <v>907</v>
      </c>
      <c r="D400" s="41" t="s">
        <v>387</v>
      </c>
      <c r="E400" s="42" t="s">
        <v>388</v>
      </c>
      <c r="F400" s="43" t="s">
        <v>389</v>
      </c>
      <c r="G400" s="43">
        <v>951016677</v>
      </c>
      <c r="H400" s="44">
        <v>0</v>
      </c>
      <c r="I400" s="44">
        <v>0</v>
      </c>
      <c r="J400" s="44">
        <v>0</v>
      </c>
      <c r="K400" s="44">
        <v>0</v>
      </c>
      <c r="L400" s="44">
        <v>0</v>
      </c>
      <c r="M400" s="43">
        <v>951016677</v>
      </c>
      <c r="N400" s="44">
        <v>0</v>
      </c>
      <c r="O400" s="44">
        <v>0</v>
      </c>
      <c r="P400" s="43">
        <v>951016677</v>
      </c>
      <c r="Q400" s="44">
        <v>0</v>
      </c>
      <c r="R400" s="44">
        <v>0</v>
      </c>
      <c r="S400" s="43">
        <v>951016677</v>
      </c>
      <c r="T400" s="44">
        <v>0</v>
      </c>
      <c r="U400" s="44">
        <v>0</v>
      </c>
      <c r="V400" s="44">
        <v>0</v>
      </c>
      <c r="W400" s="40">
        <f t="shared" si="462"/>
        <v>0</v>
      </c>
      <c r="X400" s="34">
        <f t="shared" si="463"/>
        <v>0</v>
      </c>
      <c r="Y400" s="34">
        <f t="shared" si="464"/>
        <v>0</v>
      </c>
      <c r="Z400" s="18">
        <f t="shared" si="465"/>
        <v>951016677</v>
      </c>
      <c r="AA400" s="123">
        <f t="shared" si="466"/>
        <v>1</v>
      </c>
    </row>
    <row r="401" spans="1:27" ht="18.75" customHeight="1" x14ac:dyDescent="0.2">
      <c r="A401" s="4" t="s">
        <v>55</v>
      </c>
      <c r="B401" s="4" t="s">
        <v>56</v>
      </c>
      <c r="C401" s="19" t="s">
        <v>907</v>
      </c>
      <c r="D401" s="41" t="s">
        <v>390</v>
      </c>
      <c r="E401" s="42" t="s">
        <v>391</v>
      </c>
      <c r="F401" s="43" t="s">
        <v>392</v>
      </c>
      <c r="G401" s="43">
        <v>2011708314</v>
      </c>
      <c r="H401" s="44">
        <v>0</v>
      </c>
      <c r="I401" s="44">
        <v>0</v>
      </c>
      <c r="J401" s="44">
        <v>0</v>
      </c>
      <c r="K401" s="44">
        <v>0</v>
      </c>
      <c r="L401" s="44">
        <v>0</v>
      </c>
      <c r="M401" s="43">
        <v>2011708314</v>
      </c>
      <c r="N401" s="44">
        <v>0</v>
      </c>
      <c r="O401" s="44">
        <v>0</v>
      </c>
      <c r="P401" s="43">
        <v>2011708314</v>
      </c>
      <c r="Q401" s="44">
        <v>0</v>
      </c>
      <c r="R401" s="44">
        <v>0</v>
      </c>
      <c r="S401" s="43">
        <v>2011708314</v>
      </c>
      <c r="T401" s="44">
        <v>0</v>
      </c>
      <c r="U401" s="44">
        <v>0</v>
      </c>
      <c r="V401" s="44">
        <v>0</v>
      </c>
      <c r="W401" s="40">
        <f t="shared" si="462"/>
        <v>0</v>
      </c>
      <c r="X401" s="34">
        <f t="shared" si="463"/>
        <v>0</v>
      </c>
      <c r="Y401" s="34">
        <f t="shared" si="464"/>
        <v>0</v>
      </c>
      <c r="Z401" s="18">
        <f t="shared" si="465"/>
        <v>2011708314</v>
      </c>
      <c r="AA401" s="123">
        <f t="shared" si="466"/>
        <v>1</v>
      </c>
    </row>
    <row r="402" spans="1:27" ht="18.75" customHeight="1" x14ac:dyDescent="0.2">
      <c r="A402" s="4" t="s">
        <v>55</v>
      </c>
      <c r="B402" s="4" t="s">
        <v>56</v>
      </c>
      <c r="C402" s="19" t="s">
        <v>907</v>
      </c>
      <c r="D402" s="41" t="s">
        <v>393</v>
      </c>
      <c r="E402" s="42" t="s">
        <v>394</v>
      </c>
      <c r="F402" s="43" t="s">
        <v>368</v>
      </c>
      <c r="G402" s="43">
        <v>64817304.240000002</v>
      </c>
      <c r="H402" s="44">
        <v>0</v>
      </c>
      <c r="I402" s="44">
        <v>0</v>
      </c>
      <c r="J402" s="44">
        <v>0</v>
      </c>
      <c r="K402" s="44">
        <v>0</v>
      </c>
      <c r="L402" s="44">
        <v>0</v>
      </c>
      <c r="M402" s="43">
        <v>64817304.240000002</v>
      </c>
      <c r="N402" s="44">
        <v>0</v>
      </c>
      <c r="O402" s="44">
        <v>0</v>
      </c>
      <c r="P402" s="43">
        <v>64817304</v>
      </c>
      <c r="Q402" s="44">
        <v>0</v>
      </c>
      <c r="R402" s="44">
        <v>0</v>
      </c>
      <c r="S402" s="43">
        <v>64817304</v>
      </c>
      <c r="T402" s="44">
        <v>0</v>
      </c>
      <c r="U402" s="44">
        <v>0</v>
      </c>
      <c r="V402" s="44">
        <v>0</v>
      </c>
      <c r="W402" s="40">
        <f t="shared" si="462"/>
        <v>0</v>
      </c>
      <c r="X402" s="18">
        <f t="shared" si="463"/>
        <v>0.24000000208616257</v>
      </c>
      <c r="Y402" s="34">
        <f t="shared" si="464"/>
        <v>0</v>
      </c>
      <c r="Z402" s="18">
        <f t="shared" si="465"/>
        <v>64817304</v>
      </c>
      <c r="AA402" s="123">
        <f t="shared" si="466"/>
        <v>0.99999999629728509</v>
      </c>
    </row>
    <row r="403" spans="1:27" ht="18.75" customHeight="1" x14ac:dyDescent="0.2">
      <c r="C403" s="19" t="s">
        <v>907</v>
      </c>
      <c r="D403" s="16"/>
      <c r="E403" s="17"/>
      <c r="F403" s="17"/>
      <c r="G403" s="18"/>
      <c r="H403" s="34"/>
      <c r="I403" s="34"/>
      <c r="J403" s="34"/>
      <c r="K403" s="34"/>
      <c r="L403" s="34"/>
      <c r="M403" s="18"/>
      <c r="N403" s="18"/>
      <c r="O403" s="18"/>
      <c r="P403" s="18"/>
      <c r="Q403" s="34"/>
      <c r="R403" s="34"/>
      <c r="S403" s="18"/>
      <c r="T403" s="18"/>
      <c r="U403" s="18"/>
      <c r="V403" s="18"/>
      <c r="W403" s="40"/>
      <c r="X403" s="18"/>
      <c r="Y403" s="18"/>
      <c r="Z403" s="18"/>
      <c r="AA403" s="18"/>
    </row>
    <row r="404" spans="1:27" ht="25.5" x14ac:dyDescent="0.2">
      <c r="C404" s="19" t="s">
        <v>907</v>
      </c>
      <c r="D404" s="16"/>
      <c r="E404" s="29" t="s">
        <v>195</v>
      </c>
      <c r="F404" s="17"/>
      <c r="G404" s="18"/>
      <c r="H404" s="34"/>
      <c r="I404" s="34"/>
      <c r="J404" s="34"/>
      <c r="K404" s="34"/>
      <c r="L404" s="34"/>
      <c r="M404" s="18"/>
      <c r="N404" s="18"/>
      <c r="O404" s="18"/>
      <c r="P404" s="18"/>
      <c r="Q404" s="34"/>
      <c r="R404" s="34"/>
      <c r="S404" s="18"/>
      <c r="T404" s="18"/>
      <c r="U404" s="18"/>
      <c r="V404" s="18"/>
      <c r="W404" s="40"/>
      <c r="X404" s="18"/>
      <c r="Y404" s="18"/>
      <c r="Z404" s="18"/>
      <c r="AA404" s="18"/>
    </row>
    <row r="405" spans="1:27" ht="18.75" customHeight="1" x14ac:dyDescent="0.2">
      <c r="C405" s="19" t="s">
        <v>907</v>
      </c>
      <c r="D405" s="28" t="s">
        <v>288</v>
      </c>
      <c r="E405" s="29" t="s">
        <v>320</v>
      </c>
      <c r="F405" s="17"/>
      <c r="G405" s="18"/>
      <c r="H405" s="34"/>
      <c r="I405" s="34"/>
      <c r="J405" s="34"/>
      <c r="K405" s="34"/>
      <c r="L405" s="34"/>
      <c r="M405" s="18"/>
      <c r="N405" s="18"/>
      <c r="O405" s="18"/>
      <c r="P405" s="18"/>
      <c r="Q405" s="34"/>
      <c r="R405" s="34"/>
      <c r="S405" s="18"/>
      <c r="T405" s="18"/>
      <c r="U405" s="18"/>
      <c r="V405" s="18"/>
      <c r="W405" s="40"/>
      <c r="X405" s="18"/>
      <c r="Y405" s="18"/>
      <c r="Z405" s="18"/>
      <c r="AA405" s="18"/>
    </row>
    <row r="406" spans="1:27" ht="18.75" customHeight="1" x14ac:dyDescent="0.2">
      <c r="A406" s="4" t="s">
        <v>55</v>
      </c>
      <c r="B406" s="4" t="s">
        <v>56</v>
      </c>
      <c r="C406" s="19" t="s">
        <v>907</v>
      </c>
      <c r="D406" s="41" t="s">
        <v>395</v>
      </c>
      <c r="E406" s="42" t="s">
        <v>233</v>
      </c>
      <c r="F406" s="43" t="s">
        <v>58</v>
      </c>
      <c r="G406" s="43">
        <v>77302510</v>
      </c>
      <c r="H406" s="44">
        <v>0</v>
      </c>
      <c r="I406" s="44">
        <v>0</v>
      </c>
      <c r="J406" s="44">
        <v>0</v>
      </c>
      <c r="K406" s="44">
        <v>0</v>
      </c>
      <c r="L406" s="44">
        <v>0</v>
      </c>
      <c r="M406" s="43">
        <v>77302510</v>
      </c>
      <c r="N406" s="44">
        <v>0</v>
      </c>
      <c r="O406" s="44">
        <v>0</v>
      </c>
      <c r="P406" s="43">
        <v>76566312</v>
      </c>
      <c r="Q406" s="44">
        <v>0</v>
      </c>
      <c r="R406" s="44">
        <v>0</v>
      </c>
      <c r="S406" s="43">
        <v>76566312</v>
      </c>
      <c r="T406" s="44">
        <v>0</v>
      </c>
      <c r="U406" s="44">
        <v>0</v>
      </c>
      <c r="V406" s="44">
        <v>0</v>
      </c>
      <c r="W406" s="40">
        <f t="shared" ref="W406" si="467">T406+V406</f>
        <v>0</v>
      </c>
      <c r="X406" s="18">
        <f t="shared" ref="X406" si="468">M406-P406</f>
        <v>736198</v>
      </c>
      <c r="Y406" s="34">
        <f t="shared" ref="Y406" si="469">P406-S406</f>
        <v>0</v>
      </c>
      <c r="Z406" s="18">
        <f t="shared" ref="Z406" si="470">S406-W406</f>
        <v>76566312</v>
      </c>
      <c r="AA406" s="123">
        <f t="shared" ref="AA406" si="471">S406/M406</f>
        <v>0.99047640238331203</v>
      </c>
    </row>
    <row r="407" spans="1:27" ht="18.75" customHeight="1" x14ac:dyDescent="0.2">
      <c r="C407" s="19" t="s">
        <v>907</v>
      </c>
      <c r="D407" s="16"/>
      <c r="E407" s="17"/>
      <c r="F407" s="17"/>
      <c r="G407" s="18"/>
      <c r="H407" s="34"/>
      <c r="I407" s="34"/>
      <c r="J407" s="34"/>
      <c r="K407" s="34"/>
      <c r="L407" s="34"/>
      <c r="M407" s="18"/>
      <c r="N407" s="18"/>
      <c r="O407" s="18"/>
      <c r="P407" s="18"/>
      <c r="Q407" s="18"/>
      <c r="R407" s="18"/>
      <c r="S407" s="18"/>
      <c r="T407" s="34"/>
      <c r="U407" s="34"/>
      <c r="V407" s="34"/>
      <c r="W407" s="40"/>
      <c r="X407" s="18"/>
      <c r="Y407" s="18"/>
      <c r="Z407" s="18"/>
      <c r="AA407" s="18"/>
    </row>
    <row r="408" spans="1:27" ht="25.5" x14ac:dyDescent="0.2">
      <c r="C408" s="19" t="s">
        <v>907</v>
      </c>
      <c r="D408" s="16"/>
      <c r="E408" s="29" t="s">
        <v>197</v>
      </c>
      <c r="F408" s="17"/>
      <c r="G408" s="18"/>
      <c r="H408" s="34"/>
      <c r="I408" s="34"/>
      <c r="J408" s="34"/>
      <c r="K408" s="34"/>
      <c r="L408" s="34"/>
      <c r="M408" s="18"/>
      <c r="N408" s="18"/>
      <c r="O408" s="18"/>
      <c r="P408" s="18"/>
      <c r="Q408" s="18"/>
      <c r="R408" s="18"/>
      <c r="S408" s="18"/>
      <c r="T408" s="34"/>
      <c r="U408" s="34"/>
      <c r="V408" s="34"/>
      <c r="W408" s="40"/>
      <c r="X408" s="18"/>
      <c r="Y408" s="18"/>
      <c r="Z408" s="18"/>
      <c r="AA408" s="18"/>
    </row>
    <row r="409" spans="1:27" ht="25.5" x14ac:dyDescent="0.2">
      <c r="C409" s="19" t="s">
        <v>907</v>
      </c>
      <c r="D409" s="28" t="s">
        <v>288</v>
      </c>
      <c r="E409" s="29" t="s">
        <v>396</v>
      </c>
      <c r="F409" s="17"/>
      <c r="G409" s="18"/>
      <c r="H409" s="34"/>
      <c r="I409" s="34"/>
      <c r="J409" s="34"/>
      <c r="K409" s="34"/>
      <c r="L409" s="34"/>
      <c r="M409" s="18"/>
      <c r="N409" s="18"/>
      <c r="O409" s="18"/>
      <c r="P409" s="18"/>
      <c r="Q409" s="18"/>
      <c r="R409" s="18"/>
      <c r="S409" s="18"/>
      <c r="T409" s="34"/>
      <c r="U409" s="34"/>
      <c r="V409" s="34"/>
      <c r="W409" s="40"/>
      <c r="X409" s="18"/>
      <c r="Y409" s="18"/>
      <c r="Z409" s="18"/>
      <c r="AA409" s="18"/>
    </row>
    <row r="410" spans="1:27" ht="18.75" customHeight="1" x14ac:dyDescent="0.2">
      <c r="A410" s="4" t="s">
        <v>55</v>
      </c>
      <c r="B410" s="4" t="s">
        <v>56</v>
      </c>
      <c r="C410" s="19" t="s">
        <v>907</v>
      </c>
      <c r="D410" s="41" t="s">
        <v>397</v>
      </c>
      <c r="E410" s="42" t="s">
        <v>328</v>
      </c>
      <c r="F410" s="43" t="s">
        <v>61</v>
      </c>
      <c r="G410" s="43">
        <v>838526678</v>
      </c>
      <c r="H410" s="44">
        <v>0</v>
      </c>
      <c r="I410" s="44">
        <v>0</v>
      </c>
      <c r="J410" s="44">
        <v>0</v>
      </c>
      <c r="K410" s="44">
        <v>0</v>
      </c>
      <c r="L410" s="44">
        <v>0</v>
      </c>
      <c r="M410" s="43">
        <v>838526678</v>
      </c>
      <c r="N410" s="44">
        <v>0</v>
      </c>
      <c r="O410" s="44">
        <v>0</v>
      </c>
      <c r="P410" s="44">
        <v>0</v>
      </c>
      <c r="Q410" s="44">
        <v>0</v>
      </c>
      <c r="R410" s="44">
        <v>0</v>
      </c>
      <c r="S410" s="43">
        <v>0</v>
      </c>
      <c r="T410" s="44">
        <v>0</v>
      </c>
      <c r="U410" s="44">
        <v>0</v>
      </c>
      <c r="V410" s="44">
        <v>0</v>
      </c>
      <c r="W410" s="40">
        <f t="shared" ref="W410" si="472">T410+V410</f>
        <v>0</v>
      </c>
      <c r="X410" s="18">
        <f t="shared" ref="X410" si="473">M410-P410</f>
        <v>838526678</v>
      </c>
      <c r="Y410" s="34">
        <f t="shared" ref="Y410" si="474">P410-S410</f>
        <v>0</v>
      </c>
      <c r="Z410" s="34">
        <f t="shared" ref="Z410" si="475">S410-W410</f>
        <v>0</v>
      </c>
      <c r="AA410" s="123">
        <f t="shared" ref="AA410" si="476">S410/M410</f>
        <v>0</v>
      </c>
    </row>
    <row r="411" spans="1:27" ht="18.75" customHeight="1" x14ac:dyDescent="0.2">
      <c r="C411" s="19" t="s">
        <v>907</v>
      </c>
      <c r="D411" s="28" t="s">
        <v>288</v>
      </c>
      <c r="E411" s="29" t="s">
        <v>320</v>
      </c>
      <c r="F411" s="17"/>
      <c r="G411" s="18"/>
      <c r="H411" s="34"/>
      <c r="I411" s="34"/>
      <c r="J411" s="34"/>
      <c r="K411" s="34"/>
      <c r="L411" s="34"/>
      <c r="M411" s="18"/>
      <c r="N411" s="18"/>
      <c r="O411" s="18"/>
      <c r="P411" s="18"/>
      <c r="Q411" s="34"/>
      <c r="R411" s="18"/>
      <c r="S411" s="18"/>
      <c r="T411" s="34"/>
      <c r="U411" s="34"/>
      <c r="V411" s="34"/>
      <c r="W411" s="40"/>
      <c r="X411" s="18"/>
      <c r="Y411" s="18"/>
      <c r="Z411" s="18"/>
      <c r="AA411" s="18"/>
    </row>
    <row r="412" spans="1:27" ht="18.75" customHeight="1" x14ac:dyDescent="0.2">
      <c r="A412" s="4" t="s">
        <v>55</v>
      </c>
      <c r="B412" s="4" t="s">
        <v>56</v>
      </c>
      <c r="C412" s="19" t="s">
        <v>907</v>
      </c>
      <c r="D412" s="41" t="s">
        <v>398</v>
      </c>
      <c r="E412" s="42" t="s">
        <v>233</v>
      </c>
      <c r="F412" s="43" t="s">
        <v>58</v>
      </c>
      <c r="G412" s="43">
        <v>9048558947</v>
      </c>
      <c r="H412" s="44">
        <v>0</v>
      </c>
      <c r="I412" s="44">
        <v>0</v>
      </c>
      <c r="J412" s="44">
        <v>0</v>
      </c>
      <c r="K412" s="44">
        <v>0</v>
      </c>
      <c r="L412" s="44">
        <v>0</v>
      </c>
      <c r="M412" s="43">
        <v>9048558947</v>
      </c>
      <c r="N412" s="44">
        <v>0</v>
      </c>
      <c r="O412" s="44">
        <v>0</v>
      </c>
      <c r="P412" s="43">
        <v>8022557478.8199997</v>
      </c>
      <c r="Q412" s="44">
        <v>0</v>
      </c>
      <c r="R412" s="44">
        <v>0</v>
      </c>
      <c r="S412" s="43">
        <v>7771880654.8199997</v>
      </c>
      <c r="T412" s="44">
        <v>0</v>
      </c>
      <c r="U412" s="44">
        <v>0</v>
      </c>
      <c r="V412" s="44">
        <v>0</v>
      </c>
      <c r="W412" s="40">
        <f t="shared" ref="W412:W413" si="477">T412+V412</f>
        <v>0</v>
      </c>
      <c r="X412" s="18">
        <f t="shared" ref="X412:X413" si="478">M412-P412</f>
        <v>1026001468.1800003</v>
      </c>
      <c r="Y412" s="110">
        <f t="shared" ref="Y412:Y413" si="479">P412-S412</f>
        <v>250676824</v>
      </c>
      <c r="Z412" s="18">
        <f t="shared" ref="Z412:Z413" si="480">S412-W412</f>
        <v>7771880654.8199997</v>
      </c>
      <c r="AA412" s="123">
        <f t="shared" ref="AA412:AA413" si="481">S412/M412</f>
        <v>0.85890810905273751</v>
      </c>
    </row>
    <row r="413" spans="1:27" ht="18.75" customHeight="1" x14ac:dyDescent="0.2">
      <c r="A413" s="4" t="s">
        <v>55</v>
      </c>
      <c r="B413" s="4" t="s">
        <v>56</v>
      </c>
      <c r="C413" s="19" t="s">
        <v>907</v>
      </c>
      <c r="D413" s="41" t="s">
        <v>399</v>
      </c>
      <c r="E413" s="42" t="s">
        <v>382</v>
      </c>
      <c r="F413" s="43" t="s">
        <v>383</v>
      </c>
      <c r="G413" s="43">
        <v>1274304910</v>
      </c>
      <c r="H413" s="44">
        <v>0</v>
      </c>
      <c r="I413" s="44">
        <v>0</v>
      </c>
      <c r="J413" s="44">
        <v>0</v>
      </c>
      <c r="K413" s="44">
        <v>0</v>
      </c>
      <c r="L413" s="44">
        <v>0</v>
      </c>
      <c r="M413" s="43">
        <v>1274304910</v>
      </c>
      <c r="N413" s="44">
        <v>0</v>
      </c>
      <c r="O413" s="44">
        <v>0</v>
      </c>
      <c r="P413" s="43">
        <v>1274304910</v>
      </c>
      <c r="Q413" s="44">
        <v>0</v>
      </c>
      <c r="R413" s="44">
        <v>0</v>
      </c>
      <c r="S413" s="43">
        <v>1274304910</v>
      </c>
      <c r="T413" s="44">
        <v>0</v>
      </c>
      <c r="U413" s="44">
        <v>0</v>
      </c>
      <c r="V413" s="44">
        <v>0</v>
      </c>
      <c r="W413" s="40">
        <f t="shared" si="477"/>
        <v>0</v>
      </c>
      <c r="X413" s="34">
        <f t="shared" si="478"/>
        <v>0</v>
      </c>
      <c r="Y413" s="34">
        <f t="shared" si="479"/>
        <v>0</v>
      </c>
      <c r="Z413" s="18">
        <f t="shared" si="480"/>
        <v>1274304910</v>
      </c>
      <c r="AA413" s="123">
        <f t="shared" si="481"/>
        <v>1</v>
      </c>
    </row>
    <row r="414" spans="1:27" ht="18.75" customHeight="1" x14ac:dyDescent="0.2">
      <c r="C414" s="19" t="s">
        <v>907</v>
      </c>
      <c r="D414" s="28" t="s">
        <v>288</v>
      </c>
      <c r="E414" s="29" t="s">
        <v>400</v>
      </c>
      <c r="F414" s="17"/>
      <c r="G414" s="18"/>
      <c r="H414" s="34"/>
      <c r="I414" s="34"/>
      <c r="J414" s="34"/>
      <c r="K414" s="34"/>
      <c r="L414" s="34"/>
      <c r="M414" s="18"/>
      <c r="N414" s="18"/>
      <c r="O414" s="18"/>
      <c r="P414" s="18"/>
      <c r="Q414" s="34"/>
      <c r="R414" s="18"/>
      <c r="S414" s="18"/>
      <c r="T414" s="34"/>
      <c r="U414" s="34"/>
      <c r="V414" s="34"/>
      <c r="W414" s="40"/>
      <c r="X414" s="18"/>
      <c r="Y414" s="18"/>
      <c r="Z414" s="18"/>
      <c r="AA414" s="18"/>
    </row>
    <row r="415" spans="1:27" ht="18.75" customHeight="1" x14ac:dyDescent="0.2">
      <c r="A415" s="4" t="s">
        <v>55</v>
      </c>
      <c r="B415" s="4" t="s">
        <v>56</v>
      </c>
      <c r="C415" s="19" t="s">
        <v>907</v>
      </c>
      <c r="D415" s="41" t="s">
        <v>401</v>
      </c>
      <c r="E415" s="42" t="s">
        <v>233</v>
      </c>
      <c r="F415" s="43" t="s">
        <v>58</v>
      </c>
      <c r="G415" s="43">
        <v>1000000000</v>
      </c>
      <c r="H415" s="44">
        <v>0</v>
      </c>
      <c r="I415" s="44">
        <v>0</v>
      </c>
      <c r="J415" s="44">
        <v>0</v>
      </c>
      <c r="K415" s="44">
        <v>0</v>
      </c>
      <c r="L415" s="44">
        <v>0</v>
      </c>
      <c r="M415" s="43">
        <v>1000000000</v>
      </c>
      <c r="N415" s="43">
        <v>0</v>
      </c>
      <c r="O415" s="43">
        <f>P415-[1]ENERO!O415</f>
        <v>147200000</v>
      </c>
      <c r="P415" s="43">
        <v>672000000</v>
      </c>
      <c r="Q415" s="44">
        <v>0</v>
      </c>
      <c r="R415" s="43">
        <v>245200000</v>
      </c>
      <c r="S415" s="43">
        <v>666000000</v>
      </c>
      <c r="T415" s="114">
        <v>2036667</v>
      </c>
      <c r="U415" s="114">
        <v>13983334</v>
      </c>
      <c r="V415" s="114">
        <v>13983334</v>
      </c>
      <c r="W415" s="39">
        <f t="shared" ref="W415:W442" si="482">T415+V415</f>
        <v>16020001</v>
      </c>
      <c r="X415" s="110">
        <f t="shared" ref="X415" si="483">M415-P415</f>
        <v>328000000</v>
      </c>
      <c r="Y415" s="110">
        <f t="shared" ref="Y415" si="484">P415-S415</f>
        <v>6000000</v>
      </c>
      <c r="Z415" s="18">
        <f t="shared" ref="Z415" si="485">S415-W415</f>
        <v>649979999</v>
      </c>
      <c r="AA415" s="123">
        <f t="shared" ref="AA415" si="486">S415/M415</f>
        <v>0.66600000000000004</v>
      </c>
    </row>
    <row r="416" spans="1:27" ht="18.75" customHeight="1" x14ac:dyDescent="0.2">
      <c r="C416" s="19" t="s">
        <v>907</v>
      </c>
      <c r="D416" s="16"/>
      <c r="E416" s="17"/>
      <c r="F416" s="17"/>
      <c r="G416" s="18"/>
      <c r="H416" s="34"/>
      <c r="I416" s="34"/>
      <c r="J416" s="34"/>
      <c r="K416" s="34"/>
      <c r="L416" s="34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30"/>
      <c r="X416" s="18"/>
      <c r="Y416" s="18"/>
      <c r="Z416" s="18"/>
      <c r="AA416" s="18"/>
    </row>
    <row r="417" spans="1:27" ht="18.75" customHeight="1" x14ac:dyDescent="0.2">
      <c r="C417" s="19" t="s">
        <v>907</v>
      </c>
      <c r="D417" s="16"/>
      <c r="E417" s="29" t="s">
        <v>199</v>
      </c>
      <c r="F417" s="17"/>
      <c r="G417" s="18"/>
      <c r="H417" s="34"/>
      <c r="I417" s="34"/>
      <c r="J417" s="34"/>
      <c r="K417" s="34"/>
      <c r="L417" s="34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30"/>
      <c r="X417" s="18"/>
      <c r="Y417" s="18"/>
      <c r="Z417" s="18"/>
      <c r="AA417" s="18"/>
    </row>
    <row r="418" spans="1:27" ht="25.5" x14ac:dyDescent="0.2">
      <c r="C418" s="19" t="s">
        <v>907</v>
      </c>
      <c r="D418" s="28" t="s">
        <v>288</v>
      </c>
      <c r="E418" s="29" t="s">
        <v>402</v>
      </c>
      <c r="F418" s="17"/>
      <c r="G418" s="18"/>
      <c r="H418" s="34"/>
      <c r="I418" s="34"/>
      <c r="J418" s="34"/>
      <c r="K418" s="34"/>
      <c r="L418" s="34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30"/>
      <c r="X418" s="18"/>
      <c r="Y418" s="18"/>
      <c r="Z418" s="18"/>
      <c r="AA418" s="18"/>
    </row>
    <row r="419" spans="1:27" ht="18.75" customHeight="1" x14ac:dyDescent="0.2">
      <c r="A419" s="4" t="s">
        <v>55</v>
      </c>
      <c r="B419" s="4" t="s">
        <v>56</v>
      </c>
      <c r="C419" s="19" t="s">
        <v>907</v>
      </c>
      <c r="D419" s="41" t="s">
        <v>403</v>
      </c>
      <c r="E419" s="42" t="s">
        <v>233</v>
      </c>
      <c r="F419" s="43" t="s">
        <v>58</v>
      </c>
      <c r="G419" s="43">
        <v>206000002.94</v>
      </c>
      <c r="H419" s="44">
        <v>0</v>
      </c>
      <c r="I419" s="44">
        <v>0</v>
      </c>
      <c r="J419" s="44">
        <v>0</v>
      </c>
      <c r="K419" s="44">
        <v>0</v>
      </c>
      <c r="L419" s="44">
        <v>0</v>
      </c>
      <c r="M419" s="43">
        <v>206000002.94</v>
      </c>
      <c r="N419" s="44">
        <v>0</v>
      </c>
      <c r="O419" s="114">
        <f>P419-[1]ENERO!O419</f>
        <v>13104000</v>
      </c>
      <c r="P419" s="114">
        <v>13104000</v>
      </c>
      <c r="Q419" s="44">
        <v>0</v>
      </c>
      <c r="R419" s="114">
        <v>13104000</v>
      </c>
      <c r="S419" s="114">
        <v>13104000</v>
      </c>
      <c r="T419" s="114">
        <v>13104000</v>
      </c>
      <c r="U419" s="44">
        <v>0</v>
      </c>
      <c r="V419" s="44">
        <v>0</v>
      </c>
      <c r="W419" s="39">
        <f t="shared" ref="W419" si="487">T419+V419</f>
        <v>13104000</v>
      </c>
      <c r="X419" s="18">
        <f t="shared" ref="X419" si="488">M419-P419</f>
        <v>192896002.94</v>
      </c>
      <c r="Y419" s="34">
        <f t="shared" ref="Y419" si="489">P419-S419</f>
        <v>0</v>
      </c>
      <c r="Z419" s="133">
        <f t="shared" ref="Z419" si="490">S419-W419</f>
        <v>0</v>
      </c>
      <c r="AA419" s="123">
        <f t="shared" ref="AA419" si="491">S419/M419</f>
        <v>6.3611649577581308E-2</v>
      </c>
    </row>
    <row r="420" spans="1:27" ht="18.75" customHeight="1" x14ac:dyDescent="0.2">
      <c r="C420" s="19" t="s">
        <v>907</v>
      </c>
      <c r="D420" s="28" t="s">
        <v>288</v>
      </c>
      <c r="E420" s="29" t="s">
        <v>404</v>
      </c>
      <c r="F420" s="17"/>
      <c r="G420" s="18"/>
      <c r="H420" s="34"/>
      <c r="I420" s="34"/>
      <c r="J420" s="34"/>
      <c r="K420" s="34"/>
      <c r="L420" s="34"/>
      <c r="M420" s="18"/>
      <c r="N420" s="34"/>
      <c r="O420" s="34"/>
      <c r="P420" s="34"/>
      <c r="Q420" s="34"/>
      <c r="R420" s="34"/>
      <c r="S420" s="34"/>
      <c r="T420" s="34"/>
      <c r="U420" s="34"/>
      <c r="V420" s="34"/>
      <c r="W420" s="31"/>
      <c r="X420" s="18"/>
      <c r="Y420" s="34"/>
      <c r="Z420" s="133"/>
      <c r="AA420" s="18"/>
    </row>
    <row r="421" spans="1:27" ht="18.75" customHeight="1" x14ac:dyDescent="0.2">
      <c r="A421" s="4" t="s">
        <v>55</v>
      </c>
      <c r="B421" s="4" t="s">
        <v>56</v>
      </c>
      <c r="C421" s="19" t="s">
        <v>907</v>
      </c>
      <c r="D421" s="41" t="s">
        <v>405</v>
      </c>
      <c r="E421" s="42" t="s">
        <v>233</v>
      </c>
      <c r="F421" s="43" t="s">
        <v>58</v>
      </c>
      <c r="G421" s="43">
        <v>50000000</v>
      </c>
      <c r="H421" s="44">
        <v>0</v>
      </c>
      <c r="I421" s="44">
        <v>0</v>
      </c>
      <c r="J421" s="44">
        <v>0</v>
      </c>
      <c r="K421" s="44">
        <v>0</v>
      </c>
      <c r="L421" s="44">
        <v>0</v>
      </c>
      <c r="M421" s="43">
        <v>50000000</v>
      </c>
      <c r="N421" s="44">
        <v>0</v>
      </c>
      <c r="O421" s="44">
        <v>0</v>
      </c>
      <c r="P421" s="44">
        <v>0</v>
      </c>
      <c r="Q421" s="44">
        <v>0</v>
      </c>
      <c r="R421" s="44">
        <v>0</v>
      </c>
      <c r="S421" s="44">
        <v>0</v>
      </c>
      <c r="T421" s="44">
        <v>0</v>
      </c>
      <c r="U421" s="44">
        <v>0</v>
      </c>
      <c r="V421" s="44">
        <v>0</v>
      </c>
      <c r="W421" s="40">
        <f t="shared" si="482"/>
        <v>0</v>
      </c>
      <c r="X421" s="18">
        <f t="shared" ref="X421" si="492">M421-P421</f>
        <v>50000000</v>
      </c>
      <c r="Y421" s="34">
        <f t="shared" ref="Y421" si="493">P421-S421</f>
        <v>0</v>
      </c>
      <c r="Z421" s="133">
        <f t="shared" ref="Z421" si="494">S421-W421</f>
        <v>0</v>
      </c>
      <c r="AA421" s="123">
        <f t="shared" ref="AA421" si="495">S421/M421</f>
        <v>0</v>
      </c>
    </row>
    <row r="422" spans="1:27" ht="18.75" customHeight="1" x14ac:dyDescent="0.2">
      <c r="C422" s="19" t="s">
        <v>907</v>
      </c>
      <c r="D422" s="28" t="s">
        <v>288</v>
      </c>
      <c r="E422" s="29" t="s">
        <v>362</v>
      </c>
      <c r="F422" s="17"/>
      <c r="G422" s="18"/>
      <c r="H422" s="34"/>
      <c r="I422" s="34"/>
      <c r="J422" s="34"/>
      <c r="K422" s="34"/>
      <c r="L422" s="34"/>
      <c r="M422" s="18"/>
      <c r="N422" s="34"/>
      <c r="O422" s="34"/>
      <c r="P422" s="34"/>
      <c r="Q422" s="34"/>
      <c r="R422" s="34"/>
      <c r="S422" s="34"/>
      <c r="T422" s="34"/>
      <c r="U422" s="34"/>
      <c r="V422" s="34"/>
      <c r="W422" s="31"/>
      <c r="X422" s="18"/>
      <c r="Y422" s="34"/>
      <c r="Z422" s="133"/>
      <c r="AA422" s="18"/>
    </row>
    <row r="423" spans="1:27" ht="18.75" customHeight="1" x14ac:dyDescent="0.2">
      <c r="A423" s="4" t="s">
        <v>55</v>
      </c>
      <c r="B423" s="4" t="s">
        <v>56</v>
      </c>
      <c r="C423" s="19" t="s">
        <v>907</v>
      </c>
      <c r="D423" s="41" t="s">
        <v>406</v>
      </c>
      <c r="E423" s="69" t="s">
        <v>379</v>
      </c>
      <c r="F423" s="43" t="s">
        <v>380</v>
      </c>
      <c r="G423" s="43">
        <v>155990000</v>
      </c>
      <c r="H423" s="44">
        <v>0</v>
      </c>
      <c r="I423" s="44">
        <v>0</v>
      </c>
      <c r="J423" s="44">
        <v>0</v>
      </c>
      <c r="K423" s="44">
        <v>0</v>
      </c>
      <c r="L423" s="44">
        <v>0</v>
      </c>
      <c r="M423" s="43">
        <v>155990000</v>
      </c>
      <c r="N423" s="44">
        <v>0</v>
      </c>
      <c r="O423" s="44">
        <v>0</v>
      </c>
      <c r="P423" s="44">
        <v>0</v>
      </c>
      <c r="Q423" s="44">
        <v>0</v>
      </c>
      <c r="R423" s="44">
        <v>0</v>
      </c>
      <c r="S423" s="44">
        <v>0</v>
      </c>
      <c r="T423" s="44">
        <v>0</v>
      </c>
      <c r="U423" s="44">
        <v>0</v>
      </c>
      <c r="V423" s="44">
        <v>0</v>
      </c>
      <c r="W423" s="40">
        <f t="shared" si="482"/>
        <v>0</v>
      </c>
      <c r="X423" s="18">
        <f t="shared" ref="X423" si="496">M423-P423</f>
        <v>155990000</v>
      </c>
      <c r="Y423" s="34">
        <f t="shared" ref="Y423" si="497">P423-S423</f>
        <v>0</v>
      </c>
      <c r="Z423" s="133">
        <f t="shared" ref="Z423" si="498">S423-W423</f>
        <v>0</v>
      </c>
      <c r="AA423" s="123">
        <f t="shared" ref="AA423" si="499">S423/M423</f>
        <v>0</v>
      </c>
    </row>
    <row r="424" spans="1:27" ht="25.5" x14ac:dyDescent="0.2">
      <c r="C424" s="19" t="s">
        <v>907</v>
      </c>
      <c r="D424" s="28" t="s">
        <v>288</v>
      </c>
      <c r="E424" s="29" t="s">
        <v>407</v>
      </c>
      <c r="F424" s="17"/>
      <c r="G424" s="18"/>
      <c r="H424" s="34"/>
      <c r="I424" s="34"/>
      <c r="J424" s="34"/>
      <c r="K424" s="34"/>
      <c r="L424" s="34"/>
      <c r="M424" s="18"/>
      <c r="N424" s="34"/>
      <c r="O424" s="34"/>
      <c r="P424" s="34"/>
      <c r="Q424" s="34"/>
      <c r="R424" s="34"/>
      <c r="S424" s="34"/>
      <c r="T424" s="34"/>
      <c r="U424" s="34"/>
      <c r="V424" s="34"/>
      <c r="W424" s="31"/>
      <c r="X424" s="18"/>
      <c r="Y424" s="34"/>
      <c r="Z424" s="133"/>
      <c r="AA424" s="18"/>
    </row>
    <row r="425" spans="1:27" ht="18.75" customHeight="1" x14ac:dyDescent="0.2">
      <c r="A425" s="4" t="s">
        <v>55</v>
      </c>
      <c r="B425" s="4" t="s">
        <v>56</v>
      </c>
      <c r="C425" s="19" t="s">
        <v>907</v>
      </c>
      <c r="D425" s="41" t="s">
        <v>408</v>
      </c>
      <c r="E425" s="42" t="s">
        <v>233</v>
      </c>
      <c r="F425" s="43" t="s">
        <v>58</v>
      </c>
      <c r="G425" s="43">
        <v>126488672</v>
      </c>
      <c r="H425" s="44">
        <v>0</v>
      </c>
      <c r="I425" s="44">
        <v>0</v>
      </c>
      <c r="J425" s="44">
        <v>0</v>
      </c>
      <c r="K425" s="44">
        <v>0</v>
      </c>
      <c r="L425" s="44">
        <v>0</v>
      </c>
      <c r="M425" s="43">
        <v>126488672</v>
      </c>
      <c r="N425" s="44">
        <v>0</v>
      </c>
      <c r="O425" s="44">
        <v>0</v>
      </c>
      <c r="P425" s="44">
        <v>0</v>
      </c>
      <c r="Q425" s="44">
        <v>0</v>
      </c>
      <c r="R425" s="44">
        <v>0</v>
      </c>
      <c r="S425" s="44">
        <v>0</v>
      </c>
      <c r="T425" s="44">
        <v>0</v>
      </c>
      <c r="U425" s="44">
        <v>0</v>
      </c>
      <c r="V425" s="44">
        <v>0</v>
      </c>
      <c r="W425" s="40">
        <f t="shared" ref="W425:W426" si="500">T425+V425</f>
        <v>0</v>
      </c>
      <c r="X425" s="18">
        <f t="shared" ref="X425:X426" si="501">M425-P425</f>
        <v>126488672</v>
      </c>
      <c r="Y425" s="34">
        <f t="shared" ref="Y425:Y426" si="502">P425-S425</f>
        <v>0</v>
      </c>
      <c r="Z425" s="133">
        <f t="shared" ref="Z425:Z426" si="503">S425-W425</f>
        <v>0</v>
      </c>
      <c r="AA425" s="123">
        <f t="shared" ref="AA425:AA426" si="504">S425/M425</f>
        <v>0</v>
      </c>
    </row>
    <row r="426" spans="1:27" ht="18.75" customHeight="1" x14ac:dyDescent="0.2">
      <c r="A426" s="4" t="s">
        <v>55</v>
      </c>
      <c r="B426" s="4" t="s">
        <v>56</v>
      </c>
      <c r="C426" s="19" t="s">
        <v>907</v>
      </c>
      <c r="D426" s="41" t="s">
        <v>409</v>
      </c>
      <c r="E426" s="42" t="s">
        <v>379</v>
      </c>
      <c r="F426" s="43" t="s">
        <v>380</v>
      </c>
      <c r="G426" s="43">
        <v>373511328</v>
      </c>
      <c r="H426" s="44">
        <v>0</v>
      </c>
      <c r="I426" s="44">
        <v>0</v>
      </c>
      <c r="J426" s="44">
        <v>0</v>
      </c>
      <c r="K426" s="44">
        <v>0</v>
      </c>
      <c r="L426" s="44">
        <v>0</v>
      </c>
      <c r="M426" s="43">
        <v>373511328</v>
      </c>
      <c r="N426" s="44">
        <v>0</v>
      </c>
      <c r="O426" s="44">
        <v>0</v>
      </c>
      <c r="P426" s="44">
        <v>0</v>
      </c>
      <c r="Q426" s="44">
        <v>0</v>
      </c>
      <c r="R426" s="44">
        <v>0</v>
      </c>
      <c r="S426" s="44">
        <v>0</v>
      </c>
      <c r="T426" s="44">
        <v>0</v>
      </c>
      <c r="U426" s="44">
        <v>0</v>
      </c>
      <c r="V426" s="44">
        <v>0</v>
      </c>
      <c r="W426" s="40">
        <f t="shared" si="500"/>
        <v>0</v>
      </c>
      <c r="X426" s="18">
        <f t="shared" si="501"/>
        <v>373511328</v>
      </c>
      <c r="Y426" s="34">
        <f t="shared" si="502"/>
        <v>0</v>
      </c>
      <c r="Z426" s="133">
        <f t="shared" si="503"/>
        <v>0</v>
      </c>
      <c r="AA426" s="123">
        <f t="shared" si="504"/>
        <v>0</v>
      </c>
    </row>
    <row r="427" spans="1:27" ht="25.5" x14ac:dyDescent="0.2">
      <c r="C427" s="19" t="s">
        <v>907</v>
      </c>
      <c r="D427" s="28" t="s">
        <v>288</v>
      </c>
      <c r="E427" s="29" t="s">
        <v>410</v>
      </c>
      <c r="F427" s="17"/>
      <c r="G427" s="18"/>
      <c r="H427" s="34"/>
      <c r="I427" s="34"/>
      <c r="J427" s="34"/>
      <c r="K427" s="34"/>
      <c r="L427" s="34"/>
      <c r="M427" s="18"/>
      <c r="N427" s="34"/>
      <c r="O427" s="34"/>
      <c r="P427" s="34"/>
      <c r="Q427" s="34"/>
      <c r="R427" s="34"/>
      <c r="S427" s="34"/>
      <c r="T427" s="34"/>
      <c r="U427" s="34"/>
      <c r="V427" s="34"/>
      <c r="W427" s="31"/>
      <c r="X427" s="18"/>
      <c r="Y427" s="34"/>
      <c r="Z427" s="18"/>
      <c r="AA427" s="18"/>
    </row>
    <row r="428" spans="1:27" ht="18.75" customHeight="1" x14ac:dyDescent="0.2">
      <c r="A428" s="4" t="s">
        <v>55</v>
      </c>
      <c r="B428" s="4" t="s">
        <v>56</v>
      </c>
      <c r="C428" s="19" t="s">
        <v>907</v>
      </c>
      <c r="D428" s="41" t="s">
        <v>411</v>
      </c>
      <c r="E428" s="42" t="s">
        <v>412</v>
      </c>
      <c r="F428" s="43" t="s">
        <v>380</v>
      </c>
      <c r="G428" s="43">
        <v>6161937303</v>
      </c>
      <c r="H428" s="44">
        <v>0</v>
      </c>
      <c r="I428" s="44">
        <v>0</v>
      </c>
      <c r="J428" s="44">
        <v>0</v>
      </c>
      <c r="K428" s="44">
        <v>0</v>
      </c>
      <c r="L428" s="44">
        <v>0</v>
      </c>
      <c r="M428" s="43">
        <v>6161937303</v>
      </c>
      <c r="N428" s="44">
        <v>0</v>
      </c>
      <c r="O428" s="44">
        <v>0</v>
      </c>
      <c r="P428" s="44">
        <v>0</v>
      </c>
      <c r="Q428" s="44">
        <v>0</v>
      </c>
      <c r="R428" s="44">
        <v>0</v>
      </c>
      <c r="S428" s="44">
        <v>0</v>
      </c>
      <c r="T428" s="44">
        <v>0</v>
      </c>
      <c r="U428" s="44">
        <v>0</v>
      </c>
      <c r="V428" s="44">
        <v>0</v>
      </c>
      <c r="W428" s="40">
        <f t="shared" ref="W428" si="505">T428+V428</f>
        <v>0</v>
      </c>
      <c r="X428" s="18">
        <f t="shared" ref="X428" si="506">M428-P428</f>
        <v>6161937303</v>
      </c>
      <c r="Y428" s="34">
        <f t="shared" ref="Y428" si="507">P428-S428</f>
        <v>0</v>
      </c>
      <c r="Z428" s="34">
        <f t="shared" ref="Z428" si="508">S428-W428</f>
        <v>0</v>
      </c>
      <c r="AA428" s="123">
        <f t="shared" ref="AA428" si="509">S428/M428</f>
        <v>0</v>
      </c>
    </row>
    <row r="429" spans="1:27" ht="18.75" customHeight="1" x14ac:dyDescent="0.2">
      <c r="C429" s="19" t="s">
        <v>907</v>
      </c>
      <c r="D429" s="28" t="s">
        <v>288</v>
      </c>
      <c r="E429" s="29" t="s">
        <v>320</v>
      </c>
      <c r="F429" s="17"/>
      <c r="G429" s="18"/>
      <c r="H429" s="34"/>
      <c r="I429" s="34"/>
      <c r="J429" s="34"/>
      <c r="K429" s="34"/>
      <c r="L429" s="34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31"/>
      <c r="X429" s="18"/>
      <c r="Y429" s="34"/>
      <c r="Z429" s="18"/>
      <c r="AA429" s="18"/>
    </row>
    <row r="430" spans="1:27" ht="18.75" customHeight="1" x14ac:dyDescent="0.2">
      <c r="A430" s="4" t="s">
        <v>37</v>
      </c>
      <c r="B430" s="4" t="s">
        <v>37</v>
      </c>
      <c r="C430" s="19" t="s">
        <v>907</v>
      </c>
      <c r="D430" s="41" t="s">
        <v>413</v>
      </c>
      <c r="E430" s="42" t="s">
        <v>233</v>
      </c>
      <c r="F430" s="43" t="s">
        <v>58</v>
      </c>
      <c r="G430" s="43">
        <v>1212000000</v>
      </c>
      <c r="H430" s="44">
        <v>0</v>
      </c>
      <c r="I430" s="44">
        <v>0</v>
      </c>
      <c r="J430" s="44">
        <v>0</v>
      </c>
      <c r="K430" s="44">
        <v>0</v>
      </c>
      <c r="L430" s="44">
        <v>0</v>
      </c>
      <c r="M430" s="43">
        <v>1212000000</v>
      </c>
      <c r="N430" s="44">
        <v>0</v>
      </c>
      <c r="O430" s="43">
        <f>P430-[1]ENERO!O430</f>
        <v>49315332</v>
      </c>
      <c r="P430" s="43">
        <v>1161315332</v>
      </c>
      <c r="Q430" s="44">
        <v>0</v>
      </c>
      <c r="R430" s="43">
        <v>49315332</v>
      </c>
      <c r="S430" s="43">
        <v>1161315332</v>
      </c>
      <c r="T430" s="44">
        <v>0</v>
      </c>
      <c r="U430" s="44">
        <v>0</v>
      </c>
      <c r="V430" s="44">
        <v>0</v>
      </c>
      <c r="W430" s="40">
        <f t="shared" ref="W430:W431" si="510">T430+V430</f>
        <v>0</v>
      </c>
      <c r="X430" s="18">
        <f t="shared" ref="X430:X431" si="511">M430-P430</f>
        <v>50684668</v>
      </c>
      <c r="Y430" s="34">
        <f t="shared" ref="Y430:Y431" si="512">P430-S430</f>
        <v>0</v>
      </c>
      <c r="Z430" s="18">
        <f t="shared" ref="Z430:Z431" si="513">S430-W430</f>
        <v>1161315332</v>
      </c>
      <c r="AA430" s="123">
        <f t="shared" ref="AA430:AA431" si="514">S430/M430</f>
        <v>0.95818096699669963</v>
      </c>
    </row>
    <row r="431" spans="1:27" ht="18.75" customHeight="1" x14ac:dyDescent="0.2">
      <c r="A431" s="4" t="s">
        <v>55</v>
      </c>
      <c r="B431" s="4" t="s">
        <v>56</v>
      </c>
      <c r="C431" s="19" t="s">
        <v>907</v>
      </c>
      <c r="D431" s="41" t="s">
        <v>414</v>
      </c>
      <c r="E431" s="42" t="s">
        <v>328</v>
      </c>
      <c r="F431" s="43" t="s">
        <v>61</v>
      </c>
      <c r="G431" s="43">
        <v>13807166550</v>
      </c>
      <c r="H431" s="44">
        <v>0</v>
      </c>
      <c r="I431" s="44">
        <v>0</v>
      </c>
      <c r="J431" s="44">
        <v>0</v>
      </c>
      <c r="K431" s="44">
        <v>0</v>
      </c>
      <c r="L431" s="44">
        <v>0</v>
      </c>
      <c r="M431" s="43">
        <v>13807166550</v>
      </c>
      <c r="N431" s="44">
        <v>0</v>
      </c>
      <c r="O431" s="43">
        <f>P431-[1]ENERO!O431</f>
        <v>7008329346</v>
      </c>
      <c r="P431" s="43">
        <v>12807972817</v>
      </c>
      <c r="Q431" s="44">
        <v>0</v>
      </c>
      <c r="R431" s="43">
        <v>7008329346</v>
      </c>
      <c r="S431" s="43">
        <v>12807972817</v>
      </c>
      <c r="T431" s="44">
        <v>0</v>
      </c>
      <c r="U431" s="44">
        <v>0</v>
      </c>
      <c r="V431" s="44">
        <v>0</v>
      </c>
      <c r="W431" s="40">
        <f t="shared" si="510"/>
        <v>0</v>
      </c>
      <c r="X431" s="18">
        <f t="shared" si="511"/>
        <v>999193733</v>
      </c>
      <c r="Y431" s="34">
        <f t="shared" si="512"/>
        <v>0</v>
      </c>
      <c r="Z431" s="18">
        <f t="shared" si="513"/>
        <v>12807972817</v>
      </c>
      <c r="AA431" s="123">
        <f t="shared" si="514"/>
        <v>0.92763223870867262</v>
      </c>
    </row>
    <row r="432" spans="1:27" ht="38.25" x14ac:dyDescent="0.2">
      <c r="C432" s="19" t="s">
        <v>907</v>
      </c>
      <c r="D432" s="28" t="s">
        <v>288</v>
      </c>
      <c r="E432" s="29" t="s">
        <v>415</v>
      </c>
      <c r="F432" s="17"/>
      <c r="G432" s="18"/>
      <c r="H432" s="34"/>
      <c r="I432" s="34"/>
      <c r="J432" s="34"/>
      <c r="K432" s="34"/>
      <c r="L432" s="34"/>
      <c r="M432" s="18"/>
      <c r="N432" s="34"/>
      <c r="O432" s="18"/>
      <c r="P432" s="18"/>
      <c r="Q432" s="18"/>
      <c r="R432" s="18"/>
      <c r="S432" s="18"/>
      <c r="T432" s="34"/>
      <c r="U432" s="34"/>
      <c r="V432" s="34"/>
      <c r="W432" s="40"/>
      <c r="X432" s="18"/>
      <c r="Y432" s="34"/>
      <c r="Z432" s="18"/>
      <c r="AA432" s="18"/>
    </row>
    <row r="433" spans="1:27" ht="18.75" customHeight="1" x14ac:dyDescent="0.2">
      <c r="A433" s="4" t="s">
        <v>55</v>
      </c>
      <c r="B433" s="4" t="s">
        <v>56</v>
      </c>
      <c r="C433" s="19" t="s">
        <v>907</v>
      </c>
      <c r="D433" s="41" t="s">
        <v>416</v>
      </c>
      <c r="E433" s="42" t="s">
        <v>379</v>
      </c>
      <c r="F433" s="43" t="s">
        <v>380</v>
      </c>
      <c r="G433" s="43">
        <v>50000000</v>
      </c>
      <c r="H433" s="44">
        <v>0</v>
      </c>
      <c r="I433" s="44">
        <v>0</v>
      </c>
      <c r="J433" s="44">
        <v>0</v>
      </c>
      <c r="K433" s="44">
        <v>0</v>
      </c>
      <c r="L433" s="44">
        <v>0</v>
      </c>
      <c r="M433" s="43">
        <v>50000000</v>
      </c>
      <c r="N433" s="44">
        <v>0</v>
      </c>
      <c r="O433" s="43">
        <v>0</v>
      </c>
      <c r="P433" s="44">
        <v>0</v>
      </c>
      <c r="Q433" s="44">
        <v>0</v>
      </c>
      <c r="R433" s="44">
        <v>0</v>
      </c>
      <c r="S433" s="44">
        <v>0</v>
      </c>
      <c r="T433" s="44">
        <v>0</v>
      </c>
      <c r="U433" s="44">
        <v>0</v>
      </c>
      <c r="V433" s="44">
        <v>0</v>
      </c>
      <c r="W433" s="40">
        <f t="shared" ref="W433" si="515">T433+V433</f>
        <v>0</v>
      </c>
      <c r="X433" s="18">
        <f t="shared" ref="X433" si="516">M433-P433</f>
        <v>50000000</v>
      </c>
      <c r="Y433" s="34">
        <f t="shared" ref="Y433" si="517">P433-S433</f>
        <v>0</v>
      </c>
      <c r="Z433" s="34">
        <f t="shared" ref="Z433" si="518">S433-W433</f>
        <v>0</v>
      </c>
      <c r="AA433" s="123">
        <f t="shared" ref="AA433" si="519">S433/M433</f>
        <v>0</v>
      </c>
    </row>
    <row r="434" spans="1:27" ht="38.25" x14ac:dyDescent="0.2">
      <c r="C434" s="19" t="s">
        <v>907</v>
      </c>
      <c r="D434" s="28" t="s">
        <v>288</v>
      </c>
      <c r="E434" s="29" t="s">
        <v>417</v>
      </c>
      <c r="F434" s="17"/>
      <c r="G434" s="18"/>
      <c r="H434" s="34"/>
      <c r="I434" s="34"/>
      <c r="J434" s="34"/>
      <c r="K434" s="34"/>
      <c r="L434" s="34"/>
      <c r="M434" s="18"/>
      <c r="N434" s="34"/>
      <c r="O434" s="18"/>
      <c r="P434" s="34"/>
      <c r="Q434" s="34"/>
      <c r="R434" s="34"/>
      <c r="S434" s="34"/>
      <c r="T434" s="34"/>
      <c r="U434" s="34"/>
      <c r="V434" s="34"/>
      <c r="W434" s="40"/>
      <c r="X434" s="18"/>
      <c r="Y434" s="34"/>
      <c r="Z434" s="34"/>
      <c r="AA434" s="18"/>
    </row>
    <row r="435" spans="1:27" ht="25.5" x14ac:dyDescent="0.2">
      <c r="C435" s="19" t="s">
        <v>907</v>
      </c>
      <c r="D435" s="28" t="s">
        <v>288</v>
      </c>
      <c r="E435" s="29" t="s">
        <v>418</v>
      </c>
      <c r="F435" s="17"/>
      <c r="G435" s="18"/>
      <c r="H435" s="34"/>
      <c r="I435" s="34"/>
      <c r="J435" s="34"/>
      <c r="K435" s="34"/>
      <c r="L435" s="34"/>
      <c r="M435" s="18"/>
      <c r="N435" s="34"/>
      <c r="O435" s="18"/>
      <c r="P435" s="34"/>
      <c r="Q435" s="34"/>
      <c r="R435" s="34"/>
      <c r="S435" s="34"/>
      <c r="T435" s="34"/>
      <c r="U435" s="34"/>
      <c r="V435" s="34"/>
      <c r="W435" s="40"/>
      <c r="X435" s="18"/>
      <c r="Y435" s="34"/>
      <c r="Z435" s="34"/>
      <c r="AA435" s="18"/>
    </row>
    <row r="436" spans="1:27" x14ac:dyDescent="0.2">
      <c r="A436" s="4" t="s">
        <v>55</v>
      </c>
      <c r="B436" s="4" t="s">
        <v>56</v>
      </c>
      <c r="C436" s="19" t="s">
        <v>907</v>
      </c>
      <c r="D436" s="41" t="s">
        <v>419</v>
      </c>
      <c r="E436" s="42" t="s">
        <v>233</v>
      </c>
      <c r="F436" s="43" t="s">
        <v>58</v>
      </c>
      <c r="G436" s="43">
        <v>200000000</v>
      </c>
      <c r="H436" s="44">
        <v>0</v>
      </c>
      <c r="I436" s="44">
        <v>0</v>
      </c>
      <c r="J436" s="44">
        <v>0</v>
      </c>
      <c r="K436" s="44">
        <v>0</v>
      </c>
      <c r="L436" s="44">
        <v>0</v>
      </c>
      <c r="M436" s="43">
        <v>200000000</v>
      </c>
      <c r="N436" s="44">
        <v>0</v>
      </c>
      <c r="O436" s="43">
        <v>0</v>
      </c>
      <c r="P436" s="44">
        <v>0</v>
      </c>
      <c r="Q436" s="44">
        <v>0</v>
      </c>
      <c r="R436" s="44">
        <v>0</v>
      </c>
      <c r="S436" s="44">
        <v>0</v>
      </c>
      <c r="T436" s="44">
        <v>0</v>
      </c>
      <c r="U436" s="44">
        <v>0</v>
      </c>
      <c r="V436" s="44">
        <v>0</v>
      </c>
      <c r="W436" s="40">
        <f t="shared" si="482"/>
        <v>0</v>
      </c>
      <c r="X436" s="18">
        <f t="shared" ref="X436" si="520">M436-P436</f>
        <v>200000000</v>
      </c>
      <c r="Y436" s="34">
        <f t="shared" ref="Y436" si="521">P436-S436</f>
        <v>0</v>
      </c>
      <c r="Z436" s="34">
        <f t="shared" ref="Z436" si="522">S436-W436</f>
        <v>0</v>
      </c>
      <c r="AA436" s="123">
        <f t="shared" ref="AA436" si="523">S436/M436</f>
        <v>0</v>
      </c>
    </row>
    <row r="437" spans="1:27" ht="51" x14ac:dyDescent="0.2">
      <c r="C437" s="19" t="s">
        <v>907</v>
      </c>
      <c r="D437" s="28" t="s">
        <v>288</v>
      </c>
      <c r="E437" s="29" t="s">
        <v>420</v>
      </c>
      <c r="F437" s="17"/>
      <c r="G437" s="18"/>
      <c r="H437" s="34"/>
      <c r="I437" s="34"/>
      <c r="J437" s="34"/>
      <c r="K437" s="34"/>
      <c r="L437" s="34"/>
      <c r="M437" s="18"/>
      <c r="N437" s="34"/>
      <c r="O437" s="18"/>
      <c r="P437" s="18"/>
      <c r="Q437" s="18"/>
      <c r="R437" s="18"/>
      <c r="S437" s="18"/>
      <c r="T437" s="18"/>
      <c r="U437" s="18"/>
      <c r="V437" s="18"/>
      <c r="W437" s="40"/>
      <c r="X437" s="18"/>
      <c r="Y437" s="18"/>
      <c r="Z437" s="18"/>
      <c r="AA437" s="18"/>
    </row>
    <row r="438" spans="1:27" x14ac:dyDescent="0.2">
      <c r="A438" s="4" t="s">
        <v>55</v>
      </c>
      <c r="B438" s="4" t="s">
        <v>56</v>
      </c>
      <c r="C438" s="19" t="s">
        <v>907</v>
      </c>
      <c r="D438" s="41" t="s">
        <v>421</v>
      </c>
      <c r="E438" s="42" t="s">
        <v>328</v>
      </c>
      <c r="F438" s="43" t="s">
        <v>61</v>
      </c>
      <c r="G438" s="43">
        <v>501573828</v>
      </c>
      <c r="H438" s="44">
        <v>0</v>
      </c>
      <c r="I438" s="44">
        <v>0</v>
      </c>
      <c r="J438" s="44">
        <v>0</v>
      </c>
      <c r="K438" s="44">
        <v>0</v>
      </c>
      <c r="L438" s="44">
        <v>0</v>
      </c>
      <c r="M438" s="43">
        <v>501573828</v>
      </c>
      <c r="N438" s="44">
        <v>0</v>
      </c>
      <c r="O438" s="43">
        <f>P438-[1]ENERO!O438</f>
        <v>44800000</v>
      </c>
      <c r="P438" s="43">
        <v>492800000</v>
      </c>
      <c r="Q438" s="44">
        <v>0</v>
      </c>
      <c r="R438" s="43">
        <v>67200000</v>
      </c>
      <c r="S438" s="43">
        <v>492800000</v>
      </c>
      <c r="T438" s="114">
        <v>2240000</v>
      </c>
      <c r="U438" s="114">
        <v>3453332</v>
      </c>
      <c r="V438" s="114">
        <v>3453332</v>
      </c>
      <c r="W438" s="39">
        <f t="shared" si="482"/>
        <v>5693332</v>
      </c>
      <c r="X438" s="18">
        <f t="shared" ref="X438:X439" si="524">M438-P438</f>
        <v>8773828</v>
      </c>
      <c r="Y438" s="34">
        <f t="shared" ref="Y438:Y439" si="525">P438-S438</f>
        <v>0</v>
      </c>
      <c r="Z438" s="18">
        <f t="shared" ref="Z438:Z439" si="526">S438-W438</f>
        <v>487106668</v>
      </c>
      <c r="AA438" s="123">
        <f t="shared" ref="AA438:AA439" si="527">S438/M438</f>
        <v>0.98250740467263775</v>
      </c>
    </row>
    <row r="439" spans="1:27" ht="25.5" x14ac:dyDescent="0.2">
      <c r="A439" s="4" t="s">
        <v>55</v>
      </c>
      <c r="B439" s="4" t="s">
        <v>56</v>
      </c>
      <c r="C439" s="19" t="s">
        <v>907</v>
      </c>
      <c r="D439" s="41" t="s">
        <v>422</v>
      </c>
      <c r="E439" s="42" t="s">
        <v>423</v>
      </c>
      <c r="F439" s="43" t="s">
        <v>424</v>
      </c>
      <c r="G439" s="43">
        <v>370346171.69999999</v>
      </c>
      <c r="H439" s="44">
        <v>0</v>
      </c>
      <c r="I439" s="44">
        <v>0</v>
      </c>
      <c r="J439" s="44">
        <v>0</v>
      </c>
      <c r="K439" s="44">
        <v>0</v>
      </c>
      <c r="L439" s="44">
        <v>0</v>
      </c>
      <c r="M439" s="43">
        <v>370346171.69999999</v>
      </c>
      <c r="N439" s="44">
        <v>0</v>
      </c>
      <c r="O439" s="43">
        <f>P439-[1]ENERO!O439</f>
        <v>44800000</v>
      </c>
      <c r="P439" s="43">
        <v>89600000</v>
      </c>
      <c r="Q439" s="44">
        <v>0</v>
      </c>
      <c r="R439" s="43">
        <v>67200000</v>
      </c>
      <c r="S439" s="43">
        <v>89600000</v>
      </c>
      <c r="T439" s="44">
        <v>186667</v>
      </c>
      <c r="U439" s="44">
        <v>0</v>
      </c>
      <c r="V439" s="44">
        <v>0</v>
      </c>
      <c r="W439" s="39">
        <f t="shared" si="482"/>
        <v>186667</v>
      </c>
      <c r="X439" s="18">
        <f t="shared" si="524"/>
        <v>280746171.69999999</v>
      </c>
      <c r="Y439" s="34">
        <f t="shared" si="525"/>
        <v>0</v>
      </c>
      <c r="Z439" s="18">
        <f t="shared" si="526"/>
        <v>89413333</v>
      </c>
      <c r="AA439" s="123">
        <f t="shared" si="527"/>
        <v>0.24193580721709401</v>
      </c>
    </row>
    <row r="440" spans="1:27" ht="18.75" customHeight="1" x14ac:dyDescent="0.2">
      <c r="C440" s="19" t="s">
        <v>907</v>
      </c>
      <c r="D440" s="28" t="s">
        <v>288</v>
      </c>
      <c r="E440" s="29" t="s">
        <v>400</v>
      </c>
      <c r="F440" s="17"/>
      <c r="G440" s="18"/>
      <c r="H440" s="34"/>
      <c r="I440" s="34"/>
      <c r="J440" s="34"/>
      <c r="K440" s="34"/>
      <c r="L440" s="34"/>
      <c r="M440" s="18"/>
      <c r="N440" s="34"/>
      <c r="O440" s="18"/>
      <c r="P440" s="18"/>
      <c r="Q440" s="34"/>
      <c r="R440" s="18"/>
      <c r="S440" s="18"/>
      <c r="T440" s="34"/>
      <c r="U440" s="34"/>
      <c r="V440" s="34"/>
      <c r="W440" s="40"/>
      <c r="X440" s="18"/>
      <c r="Y440" s="18"/>
      <c r="Z440" s="18"/>
      <c r="AA440" s="18"/>
    </row>
    <row r="441" spans="1:27" ht="18.75" customHeight="1" x14ac:dyDescent="0.2">
      <c r="A441" s="4" t="s">
        <v>55</v>
      </c>
      <c r="B441" s="4" t="s">
        <v>56</v>
      </c>
      <c r="C441" s="19" t="s">
        <v>907</v>
      </c>
      <c r="D441" s="41" t="s">
        <v>425</v>
      </c>
      <c r="E441" s="42" t="s">
        <v>233</v>
      </c>
      <c r="F441" s="43" t="s">
        <v>58</v>
      </c>
      <c r="G441" s="43">
        <v>318078211</v>
      </c>
      <c r="H441" s="44">
        <v>0</v>
      </c>
      <c r="I441" s="44">
        <v>0</v>
      </c>
      <c r="J441" s="44">
        <v>0</v>
      </c>
      <c r="K441" s="44">
        <v>0</v>
      </c>
      <c r="L441" s="44">
        <v>0</v>
      </c>
      <c r="M441" s="43">
        <v>318078211</v>
      </c>
      <c r="N441" s="44">
        <v>0</v>
      </c>
      <c r="O441" s="44">
        <v>0</v>
      </c>
      <c r="P441" s="43">
        <v>217200000</v>
      </c>
      <c r="Q441" s="44">
        <v>0</v>
      </c>
      <c r="R441" s="44">
        <v>0</v>
      </c>
      <c r="S441" s="43">
        <v>217200000</v>
      </c>
      <c r="T441" s="44">
        <v>0</v>
      </c>
      <c r="U441" s="114">
        <v>3106667</v>
      </c>
      <c r="V441" s="114">
        <v>3106667</v>
      </c>
      <c r="W441" s="39">
        <f t="shared" si="482"/>
        <v>3106667</v>
      </c>
      <c r="X441" s="18">
        <f t="shared" ref="X441:X442" si="528">M441-P441</f>
        <v>100878211</v>
      </c>
      <c r="Y441" s="34">
        <f t="shared" ref="Y441:Y442" si="529">P441-S441</f>
        <v>0</v>
      </c>
      <c r="Z441" s="18">
        <f t="shared" ref="Z441:Z442" si="530">S441-W441</f>
        <v>214093333</v>
      </c>
      <c r="AA441" s="123">
        <f t="shared" ref="AA441:AA442" si="531">S441/M441</f>
        <v>0.68285092310205431</v>
      </c>
    </row>
    <row r="442" spans="1:27" ht="18.75" customHeight="1" x14ac:dyDescent="0.2">
      <c r="A442" s="4" t="s">
        <v>55</v>
      </c>
      <c r="B442" s="4" t="s">
        <v>56</v>
      </c>
      <c r="C442" s="19" t="s">
        <v>907</v>
      </c>
      <c r="D442" s="41" t="s">
        <v>426</v>
      </c>
      <c r="E442" s="42" t="s">
        <v>427</v>
      </c>
      <c r="F442" s="43" t="s">
        <v>428</v>
      </c>
      <c r="G442" s="43">
        <v>12674978.119999999</v>
      </c>
      <c r="H442" s="44">
        <v>0</v>
      </c>
      <c r="I442" s="44">
        <v>0</v>
      </c>
      <c r="J442" s="44">
        <v>0</v>
      </c>
      <c r="K442" s="44">
        <v>0</v>
      </c>
      <c r="L442" s="44">
        <v>0</v>
      </c>
      <c r="M442" s="43">
        <v>12674978.119999999</v>
      </c>
      <c r="N442" s="44">
        <v>0</v>
      </c>
      <c r="O442" s="44">
        <v>0</v>
      </c>
      <c r="P442" s="44">
        <v>0</v>
      </c>
      <c r="Q442" s="44">
        <v>0</v>
      </c>
      <c r="R442" s="44">
        <v>0</v>
      </c>
      <c r="S442" s="44">
        <v>0</v>
      </c>
      <c r="T442" s="44">
        <v>0</v>
      </c>
      <c r="U442" s="44">
        <v>0</v>
      </c>
      <c r="V442" s="44">
        <v>0</v>
      </c>
      <c r="W442" s="40">
        <f t="shared" si="482"/>
        <v>0</v>
      </c>
      <c r="X442" s="18">
        <f t="shared" si="528"/>
        <v>12674978.119999999</v>
      </c>
      <c r="Y442" s="34">
        <f t="shared" si="529"/>
        <v>0</v>
      </c>
      <c r="Z442" s="34">
        <f t="shared" si="530"/>
        <v>0</v>
      </c>
      <c r="AA442" s="123">
        <f t="shared" si="531"/>
        <v>0</v>
      </c>
    </row>
    <row r="443" spans="1:27" ht="18.75" customHeight="1" x14ac:dyDescent="0.2">
      <c r="C443" s="19" t="s">
        <v>907</v>
      </c>
      <c r="D443" s="16"/>
      <c r="E443" s="17"/>
      <c r="F443" s="17"/>
      <c r="G443" s="18"/>
      <c r="H443" s="34"/>
      <c r="I443" s="34"/>
      <c r="J443" s="34"/>
      <c r="K443" s="34"/>
      <c r="L443" s="34"/>
      <c r="M443" s="18"/>
      <c r="N443" s="34"/>
      <c r="O443" s="18"/>
      <c r="P443" s="18"/>
      <c r="Q443" s="18"/>
      <c r="R443" s="18"/>
      <c r="S443" s="18"/>
      <c r="T443" s="18"/>
      <c r="U443" s="18"/>
      <c r="V443" s="18"/>
      <c r="W443" s="40"/>
      <c r="X443" s="18"/>
      <c r="Y443" s="18"/>
      <c r="Z443" s="18"/>
      <c r="AA443" s="18"/>
    </row>
    <row r="444" spans="1:27" ht="18.75" customHeight="1" x14ac:dyDescent="0.2">
      <c r="C444" s="19" t="s">
        <v>907</v>
      </c>
      <c r="D444" s="16"/>
      <c r="E444" s="29" t="s">
        <v>429</v>
      </c>
      <c r="F444" s="17"/>
      <c r="G444" s="18"/>
      <c r="H444" s="34"/>
      <c r="I444" s="34"/>
      <c r="J444" s="34"/>
      <c r="K444" s="34"/>
      <c r="L444" s="34"/>
      <c r="M444" s="18"/>
      <c r="N444" s="34"/>
      <c r="O444" s="18"/>
      <c r="P444" s="18"/>
      <c r="Q444" s="18"/>
      <c r="R444" s="18"/>
      <c r="S444" s="18"/>
      <c r="T444" s="18"/>
      <c r="U444" s="18"/>
      <c r="V444" s="18"/>
      <c r="W444" s="40"/>
      <c r="X444" s="18"/>
      <c r="Y444" s="18"/>
      <c r="Z444" s="18"/>
      <c r="AA444" s="18"/>
    </row>
    <row r="445" spans="1:27" ht="18.75" customHeight="1" x14ac:dyDescent="0.2">
      <c r="C445" s="19" t="s">
        <v>907</v>
      </c>
      <c r="D445" s="16"/>
      <c r="E445" s="29" t="s">
        <v>286</v>
      </c>
      <c r="F445" s="17"/>
      <c r="G445" s="18"/>
      <c r="H445" s="34"/>
      <c r="I445" s="34"/>
      <c r="J445" s="34"/>
      <c r="K445" s="34"/>
      <c r="L445" s="34"/>
      <c r="M445" s="18"/>
      <c r="N445" s="34"/>
      <c r="O445" s="18"/>
      <c r="P445" s="18"/>
      <c r="Q445" s="18"/>
      <c r="R445" s="18"/>
      <c r="S445" s="18"/>
      <c r="T445" s="18"/>
      <c r="U445" s="18"/>
      <c r="V445" s="18"/>
      <c r="W445" s="40"/>
      <c r="X445" s="18"/>
      <c r="Y445" s="18"/>
      <c r="Z445" s="18"/>
      <c r="AA445" s="18"/>
    </row>
    <row r="446" spans="1:27" ht="18.75" customHeight="1" x14ac:dyDescent="0.2">
      <c r="C446" s="19" t="s">
        <v>907</v>
      </c>
      <c r="D446" s="16"/>
      <c r="E446" s="29" t="s">
        <v>179</v>
      </c>
      <c r="F446" s="17"/>
      <c r="G446" s="18"/>
      <c r="H446" s="34"/>
      <c r="I446" s="34"/>
      <c r="J446" s="34"/>
      <c r="K446" s="34"/>
      <c r="L446" s="34"/>
      <c r="M446" s="18"/>
      <c r="N446" s="34"/>
      <c r="O446" s="18"/>
      <c r="P446" s="18"/>
      <c r="Q446" s="18"/>
      <c r="R446" s="18"/>
      <c r="S446" s="18"/>
      <c r="T446" s="18"/>
      <c r="U446" s="18"/>
      <c r="V446" s="18"/>
      <c r="W446" s="40"/>
      <c r="X446" s="18"/>
      <c r="Y446" s="18"/>
      <c r="Z446" s="18"/>
      <c r="AA446" s="18"/>
    </row>
    <row r="447" spans="1:27" ht="18.75" customHeight="1" x14ac:dyDescent="0.2">
      <c r="C447" s="19" t="s">
        <v>907</v>
      </c>
      <c r="D447" s="16"/>
      <c r="E447" s="29" t="s">
        <v>189</v>
      </c>
      <c r="F447" s="17"/>
      <c r="G447" s="18"/>
      <c r="H447" s="34"/>
      <c r="I447" s="34"/>
      <c r="J447" s="34"/>
      <c r="K447" s="34"/>
      <c r="L447" s="34"/>
      <c r="M447" s="18"/>
      <c r="N447" s="34"/>
      <c r="O447" s="18"/>
      <c r="P447" s="18"/>
      <c r="Q447" s="18"/>
      <c r="R447" s="18"/>
      <c r="S447" s="18"/>
      <c r="T447" s="18"/>
      <c r="U447" s="18"/>
      <c r="V447" s="18"/>
      <c r="W447" s="40"/>
      <c r="X447" s="18"/>
      <c r="Y447" s="18"/>
      <c r="Z447" s="18"/>
      <c r="AA447" s="18"/>
    </row>
    <row r="448" spans="1:27" ht="18.75" customHeight="1" x14ac:dyDescent="0.2">
      <c r="C448" s="19" t="s">
        <v>907</v>
      </c>
      <c r="D448" s="16"/>
      <c r="E448" s="29" t="s">
        <v>199</v>
      </c>
      <c r="F448" s="17"/>
      <c r="G448" s="18"/>
      <c r="H448" s="34"/>
      <c r="I448" s="34"/>
      <c r="J448" s="34"/>
      <c r="K448" s="34"/>
      <c r="L448" s="34"/>
      <c r="M448" s="18"/>
      <c r="N448" s="34"/>
      <c r="O448" s="18"/>
      <c r="P448" s="18"/>
      <c r="Q448" s="18"/>
      <c r="R448" s="18"/>
      <c r="S448" s="18"/>
      <c r="T448" s="18"/>
      <c r="U448" s="18"/>
      <c r="V448" s="18"/>
      <c r="W448" s="40"/>
      <c r="X448" s="18"/>
      <c r="Y448" s="18"/>
      <c r="Z448" s="18"/>
      <c r="AA448" s="18"/>
    </row>
    <row r="449" spans="1:27" ht="25.5" x14ac:dyDescent="0.2">
      <c r="C449" s="19" t="s">
        <v>907</v>
      </c>
      <c r="D449" s="28" t="s">
        <v>288</v>
      </c>
      <c r="E449" s="29" t="s">
        <v>418</v>
      </c>
      <c r="F449" s="17"/>
      <c r="G449" s="18"/>
      <c r="H449" s="34"/>
      <c r="I449" s="34"/>
      <c r="J449" s="34"/>
      <c r="K449" s="34"/>
      <c r="L449" s="34"/>
      <c r="M449" s="18"/>
      <c r="N449" s="34"/>
      <c r="O449" s="18"/>
      <c r="P449" s="18"/>
      <c r="Q449" s="18"/>
      <c r="R449" s="18"/>
      <c r="S449" s="18"/>
      <c r="T449" s="18"/>
      <c r="U449" s="18"/>
      <c r="V449" s="18"/>
      <c r="W449" s="40"/>
      <c r="X449" s="18"/>
      <c r="Y449" s="18"/>
      <c r="Z449" s="18"/>
      <c r="AA449" s="18"/>
    </row>
    <row r="450" spans="1:27" ht="18.75" customHeight="1" x14ac:dyDescent="0.2">
      <c r="A450" s="4" t="s">
        <v>55</v>
      </c>
      <c r="B450" s="4" t="s">
        <v>56</v>
      </c>
      <c r="C450" s="19" t="s">
        <v>907</v>
      </c>
      <c r="D450" s="41" t="s">
        <v>419</v>
      </c>
      <c r="E450" s="42" t="s">
        <v>233</v>
      </c>
      <c r="F450" s="43" t="s">
        <v>58</v>
      </c>
      <c r="G450" s="43">
        <v>2364833525</v>
      </c>
      <c r="H450" s="44">
        <v>0</v>
      </c>
      <c r="I450" s="44">
        <v>0</v>
      </c>
      <c r="J450" s="44">
        <v>0</v>
      </c>
      <c r="K450" s="44">
        <v>0</v>
      </c>
      <c r="L450" s="44">
        <v>0</v>
      </c>
      <c r="M450" s="43">
        <v>2364833525</v>
      </c>
      <c r="N450" s="44">
        <v>0</v>
      </c>
      <c r="O450" s="44">
        <v>0</v>
      </c>
      <c r="P450" s="43">
        <v>1156935744</v>
      </c>
      <c r="Q450" s="44">
        <v>0</v>
      </c>
      <c r="R450" s="44">
        <v>0</v>
      </c>
      <c r="S450" s="43">
        <v>1156935744</v>
      </c>
      <c r="T450" s="44">
        <v>0</v>
      </c>
      <c r="U450" s="44">
        <v>0</v>
      </c>
      <c r="V450" s="44">
        <v>0</v>
      </c>
      <c r="W450" s="40">
        <f t="shared" ref="W450:W452" si="532">T450+V450</f>
        <v>0</v>
      </c>
      <c r="X450" s="18">
        <f t="shared" ref="X450:X452" si="533">M450-P450</f>
        <v>1207897781</v>
      </c>
      <c r="Y450" s="34">
        <f t="shared" ref="Y450:Y452" si="534">P450-S450</f>
        <v>0</v>
      </c>
      <c r="Z450" s="18">
        <f t="shared" ref="Z450:Z452" si="535">S450-W450</f>
        <v>1156935744</v>
      </c>
      <c r="AA450" s="123">
        <f t="shared" ref="AA450:AA453" si="536">S450/M450</f>
        <v>0.48922502652697297</v>
      </c>
    </row>
    <row r="451" spans="1:27" ht="18.75" customHeight="1" x14ac:dyDescent="0.2">
      <c r="A451" s="4" t="s">
        <v>55</v>
      </c>
      <c r="B451" s="4" t="s">
        <v>56</v>
      </c>
      <c r="C451" s="19" t="s">
        <v>907</v>
      </c>
      <c r="D451" s="41" t="s">
        <v>430</v>
      </c>
      <c r="E451" s="42" t="s">
        <v>431</v>
      </c>
      <c r="F451" s="43" t="s">
        <v>432</v>
      </c>
      <c r="G451" s="43">
        <v>1269842288</v>
      </c>
      <c r="H451" s="44">
        <v>0</v>
      </c>
      <c r="I451" s="44">
        <v>0</v>
      </c>
      <c r="J451" s="44">
        <v>0</v>
      </c>
      <c r="K451" s="44">
        <v>0</v>
      </c>
      <c r="L451" s="44">
        <v>0</v>
      </c>
      <c r="M451" s="43">
        <v>1269842288</v>
      </c>
      <c r="N451" s="44">
        <v>0</v>
      </c>
      <c r="O451" s="44">
        <v>0</v>
      </c>
      <c r="P451" s="43">
        <v>1269842288</v>
      </c>
      <c r="Q451" s="44">
        <v>0</v>
      </c>
      <c r="R451" s="44">
        <v>0</v>
      </c>
      <c r="S451" s="43">
        <v>1269842288</v>
      </c>
      <c r="T451" s="44">
        <v>0</v>
      </c>
      <c r="U451" s="44">
        <v>0</v>
      </c>
      <c r="V451" s="44">
        <v>0</v>
      </c>
      <c r="W451" s="40">
        <f t="shared" si="532"/>
        <v>0</v>
      </c>
      <c r="X451" s="34">
        <f t="shared" si="533"/>
        <v>0</v>
      </c>
      <c r="Y451" s="34">
        <f t="shared" si="534"/>
        <v>0</v>
      </c>
      <c r="Z451" s="18">
        <f t="shared" si="535"/>
        <v>1269842288</v>
      </c>
      <c r="AA451" s="123">
        <f t="shared" si="536"/>
        <v>1</v>
      </c>
    </row>
    <row r="452" spans="1:27" ht="18.75" customHeight="1" x14ac:dyDescent="0.2">
      <c r="A452" s="4" t="s">
        <v>55</v>
      </c>
      <c r="B452" s="4" t="s">
        <v>56</v>
      </c>
      <c r="C452" s="19" t="s">
        <v>907</v>
      </c>
      <c r="D452" s="41" t="s">
        <v>433</v>
      </c>
      <c r="E452" s="42" t="s">
        <v>434</v>
      </c>
      <c r="F452" s="43" t="s">
        <v>428</v>
      </c>
      <c r="G452" s="43">
        <v>1185147617</v>
      </c>
      <c r="H452" s="44">
        <v>0</v>
      </c>
      <c r="I452" s="44">
        <v>0</v>
      </c>
      <c r="J452" s="44">
        <v>0</v>
      </c>
      <c r="K452" s="44">
        <v>0</v>
      </c>
      <c r="L452" s="44">
        <v>0</v>
      </c>
      <c r="M452" s="43">
        <v>1185147617</v>
      </c>
      <c r="N452" s="44">
        <v>0</v>
      </c>
      <c r="O452" s="44">
        <v>0</v>
      </c>
      <c r="P452" s="44">
        <v>0</v>
      </c>
      <c r="Q452" s="44">
        <v>0</v>
      </c>
      <c r="R452" s="44">
        <v>0</v>
      </c>
      <c r="S452" s="44">
        <v>0</v>
      </c>
      <c r="T452" s="44">
        <v>0</v>
      </c>
      <c r="U452" s="44">
        <v>0</v>
      </c>
      <c r="V452" s="44">
        <v>0</v>
      </c>
      <c r="W452" s="40">
        <f t="shared" si="532"/>
        <v>0</v>
      </c>
      <c r="X452" s="18">
        <f t="shared" si="533"/>
        <v>1185147617</v>
      </c>
      <c r="Y452" s="34">
        <f t="shared" si="534"/>
        <v>0</v>
      </c>
      <c r="Z452" s="34">
        <f t="shared" si="535"/>
        <v>0</v>
      </c>
      <c r="AA452" s="123">
        <f t="shared" si="536"/>
        <v>0</v>
      </c>
    </row>
    <row r="453" spans="1:27" s="50" customFormat="1" ht="18.75" customHeight="1" x14ac:dyDescent="0.2">
      <c r="A453" s="45"/>
      <c r="B453" s="45"/>
      <c r="C453" s="19" t="s">
        <v>907</v>
      </c>
      <c r="D453" s="46"/>
      <c r="E453" s="47" t="s">
        <v>435</v>
      </c>
      <c r="F453" s="48"/>
      <c r="G453" s="48">
        <f>SUM(G226:G452)</f>
        <v>301961738926</v>
      </c>
      <c r="H453" s="49">
        <f t="shared" ref="H453:Z453" si="537">SUM(H226:H452)</f>
        <v>0</v>
      </c>
      <c r="I453" s="49">
        <f t="shared" si="537"/>
        <v>0</v>
      </c>
      <c r="J453" s="48">
        <f t="shared" si="537"/>
        <v>2000000000</v>
      </c>
      <c r="K453" s="49">
        <f t="shared" si="537"/>
        <v>0</v>
      </c>
      <c r="L453" s="48">
        <f t="shared" si="537"/>
        <v>2000000000</v>
      </c>
      <c r="M453" s="48">
        <f t="shared" si="537"/>
        <v>303961738926</v>
      </c>
      <c r="N453" s="49">
        <f t="shared" si="537"/>
        <v>0</v>
      </c>
      <c r="O453" s="48">
        <f t="shared" si="537"/>
        <v>24970208700.830002</v>
      </c>
      <c r="P453" s="48">
        <f t="shared" si="537"/>
        <v>85479025097.529999</v>
      </c>
      <c r="Q453" s="48">
        <f t="shared" si="537"/>
        <v>0</v>
      </c>
      <c r="R453" s="48">
        <f t="shared" si="537"/>
        <v>23191681986</v>
      </c>
      <c r="S453" s="48">
        <f t="shared" si="537"/>
        <v>82284138009.820007</v>
      </c>
      <c r="T453" s="48">
        <f t="shared" si="537"/>
        <v>1195545095</v>
      </c>
      <c r="U453" s="48">
        <f>SUM(U226:U452)</f>
        <v>19183180380</v>
      </c>
      <c r="V453" s="48">
        <f t="shared" si="537"/>
        <v>30045615628</v>
      </c>
      <c r="W453" s="22">
        <f>T453+V453</f>
        <v>31241160723</v>
      </c>
      <c r="X453" s="48">
        <f t="shared" si="537"/>
        <v>218482713828.47</v>
      </c>
      <c r="Y453" s="48">
        <f t="shared" si="537"/>
        <v>3194887087.71</v>
      </c>
      <c r="Z453" s="48">
        <f t="shared" si="537"/>
        <v>51042977286.82</v>
      </c>
      <c r="AA453" s="24">
        <f t="shared" si="536"/>
        <v>0.2707055772892924</v>
      </c>
    </row>
    <row r="454" spans="1:27" ht="18.75" customHeight="1" x14ac:dyDescent="0.2">
      <c r="C454" s="19" t="s">
        <v>907</v>
      </c>
      <c r="D454" s="16"/>
      <c r="E454" s="17"/>
      <c r="F454" s="17"/>
      <c r="G454" s="18"/>
      <c r="H454" s="34"/>
      <c r="I454" s="34"/>
      <c r="J454" s="34"/>
      <c r="K454" s="34"/>
      <c r="L454" s="34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</row>
    <row r="455" spans="1:27" s="25" customFormat="1" ht="18.75" customHeight="1" x14ac:dyDescent="0.2">
      <c r="B455" s="71"/>
      <c r="C455" s="19" t="s">
        <v>907</v>
      </c>
      <c r="D455" s="66"/>
      <c r="E455" s="21" t="s">
        <v>436</v>
      </c>
      <c r="F455" s="67"/>
      <c r="G455" s="63"/>
      <c r="H455" s="72"/>
      <c r="I455" s="72"/>
      <c r="J455" s="72"/>
      <c r="K455" s="72"/>
      <c r="L455" s="7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</row>
    <row r="456" spans="1:27" ht="18.75" customHeight="1" x14ac:dyDescent="0.2">
      <c r="C456" s="19" t="s">
        <v>907</v>
      </c>
      <c r="D456" s="16"/>
      <c r="E456" s="29" t="s">
        <v>38</v>
      </c>
      <c r="F456" s="17"/>
      <c r="G456" s="18"/>
      <c r="H456" s="34"/>
      <c r="I456" s="34"/>
      <c r="J456" s="34"/>
      <c r="K456" s="34"/>
      <c r="L456" s="34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</row>
    <row r="457" spans="1:27" ht="18.75" customHeight="1" x14ac:dyDescent="0.2">
      <c r="C457" s="19" t="s">
        <v>907</v>
      </c>
      <c r="D457" s="16"/>
      <c r="E457" s="29" t="s">
        <v>285</v>
      </c>
      <c r="F457" s="17"/>
      <c r="G457" s="18"/>
      <c r="H457" s="34"/>
      <c r="I457" s="34"/>
      <c r="J457" s="34"/>
      <c r="K457" s="34"/>
      <c r="L457" s="34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</row>
    <row r="458" spans="1:27" ht="18.75" customHeight="1" x14ac:dyDescent="0.2">
      <c r="C458" s="19" t="s">
        <v>907</v>
      </c>
      <c r="D458" s="16"/>
      <c r="E458" s="29" t="s">
        <v>286</v>
      </c>
      <c r="F458" s="17"/>
      <c r="G458" s="18"/>
      <c r="H458" s="34"/>
      <c r="I458" s="34"/>
      <c r="J458" s="34"/>
      <c r="K458" s="34"/>
      <c r="L458" s="34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</row>
    <row r="459" spans="1:27" ht="18.75" customHeight="1" x14ac:dyDescent="0.2">
      <c r="C459" s="19" t="s">
        <v>907</v>
      </c>
      <c r="D459" s="16"/>
      <c r="E459" s="29" t="s">
        <v>179</v>
      </c>
      <c r="F459" s="17"/>
      <c r="G459" s="18"/>
      <c r="H459" s="34"/>
      <c r="I459" s="34"/>
      <c r="J459" s="34"/>
      <c r="K459" s="34"/>
      <c r="L459" s="34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</row>
    <row r="460" spans="1:27" ht="18.75" customHeight="1" x14ac:dyDescent="0.2">
      <c r="C460" s="19" t="s">
        <v>907</v>
      </c>
      <c r="D460" s="16"/>
      <c r="E460" s="29" t="s">
        <v>181</v>
      </c>
      <c r="F460" s="17"/>
      <c r="G460" s="18"/>
      <c r="H460" s="34"/>
      <c r="I460" s="34"/>
      <c r="J460" s="34"/>
      <c r="K460" s="34"/>
      <c r="L460" s="34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</row>
    <row r="461" spans="1:27" ht="25.5" x14ac:dyDescent="0.2">
      <c r="C461" s="19" t="s">
        <v>907</v>
      </c>
      <c r="D461" s="16"/>
      <c r="E461" s="29" t="s">
        <v>437</v>
      </c>
      <c r="F461" s="17"/>
      <c r="G461" s="18"/>
      <c r="H461" s="34"/>
      <c r="I461" s="34"/>
      <c r="J461" s="34"/>
      <c r="K461" s="34"/>
      <c r="L461" s="34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</row>
    <row r="462" spans="1:27" ht="18.75" customHeight="1" x14ac:dyDescent="0.2">
      <c r="A462" s="4" t="s">
        <v>55</v>
      </c>
      <c r="B462" s="4" t="s">
        <v>56</v>
      </c>
      <c r="C462" s="19" t="s">
        <v>907</v>
      </c>
      <c r="D462" s="41" t="s">
        <v>438</v>
      </c>
      <c r="E462" s="42" t="s">
        <v>439</v>
      </c>
      <c r="F462" s="43" t="s">
        <v>428</v>
      </c>
      <c r="G462" s="43">
        <v>43946996</v>
      </c>
      <c r="H462" s="44">
        <v>0</v>
      </c>
      <c r="I462" s="44">
        <v>0</v>
      </c>
      <c r="J462" s="44">
        <v>0</v>
      </c>
      <c r="K462" s="44">
        <v>0</v>
      </c>
      <c r="L462" s="44">
        <v>0</v>
      </c>
      <c r="M462" s="43">
        <v>43946996</v>
      </c>
      <c r="N462" s="44">
        <v>0</v>
      </c>
      <c r="O462" s="44">
        <v>0</v>
      </c>
      <c r="P462" s="44">
        <v>0</v>
      </c>
      <c r="Q462" s="44">
        <v>0</v>
      </c>
      <c r="R462" s="44">
        <v>0</v>
      </c>
      <c r="S462" s="44">
        <v>0</v>
      </c>
      <c r="T462" s="44">
        <v>0</v>
      </c>
      <c r="U462" s="44">
        <v>0</v>
      </c>
      <c r="V462" s="44">
        <v>0</v>
      </c>
      <c r="W462" s="40">
        <f t="shared" ref="W462" si="538">T462+V462</f>
        <v>0</v>
      </c>
      <c r="X462" s="18">
        <f t="shared" ref="X462" si="539">M462-P462</f>
        <v>43946996</v>
      </c>
      <c r="Y462" s="34">
        <f t="shared" ref="Y462" si="540">P462-S462</f>
        <v>0</v>
      </c>
      <c r="Z462" s="34">
        <f t="shared" ref="Z462" si="541">S462-W462</f>
        <v>0</v>
      </c>
      <c r="AA462" s="123">
        <f t="shared" ref="AA462" si="542">S462/M462</f>
        <v>0</v>
      </c>
    </row>
    <row r="463" spans="1:27" ht="43.5" customHeight="1" x14ac:dyDescent="0.2">
      <c r="C463" s="19" t="s">
        <v>907</v>
      </c>
      <c r="D463" s="28" t="s">
        <v>288</v>
      </c>
      <c r="E463" s="29" t="s">
        <v>440</v>
      </c>
      <c r="F463" s="17"/>
      <c r="G463" s="18"/>
      <c r="H463" s="34"/>
      <c r="I463" s="34"/>
      <c r="J463" s="34"/>
      <c r="K463" s="34"/>
      <c r="L463" s="34"/>
      <c r="M463" s="18"/>
      <c r="N463" s="34"/>
      <c r="O463" s="34"/>
      <c r="P463" s="34"/>
      <c r="Q463" s="34"/>
      <c r="R463" s="34"/>
      <c r="S463" s="34"/>
      <c r="T463" s="34"/>
      <c r="U463" s="34"/>
      <c r="V463" s="34"/>
      <c r="W463" s="40"/>
      <c r="X463" s="18"/>
      <c r="Y463" s="18"/>
      <c r="Z463" s="18"/>
      <c r="AA463" s="18"/>
    </row>
    <row r="464" spans="1:27" ht="18.75" customHeight="1" x14ac:dyDescent="0.2">
      <c r="A464" s="4" t="s">
        <v>55</v>
      </c>
      <c r="B464" s="4" t="s">
        <v>56</v>
      </c>
      <c r="C464" s="19" t="s">
        <v>907</v>
      </c>
      <c r="D464" s="41" t="s">
        <v>441</v>
      </c>
      <c r="E464" s="42" t="s">
        <v>439</v>
      </c>
      <c r="F464" s="43" t="s">
        <v>428</v>
      </c>
      <c r="G464" s="43">
        <v>3500000</v>
      </c>
      <c r="H464" s="44">
        <v>0</v>
      </c>
      <c r="I464" s="44">
        <v>0</v>
      </c>
      <c r="J464" s="44">
        <v>0</v>
      </c>
      <c r="K464" s="44">
        <v>0</v>
      </c>
      <c r="L464" s="44">
        <v>0</v>
      </c>
      <c r="M464" s="43">
        <v>3500000</v>
      </c>
      <c r="N464" s="44">
        <v>0</v>
      </c>
      <c r="O464" s="44">
        <v>0</v>
      </c>
      <c r="P464" s="44">
        <v>0</v>
      </c>
      <c r="Q464" s="44">
        <v>0</v>
      </c>
      <c r="R464" s="44">
        <v>0</v>
      </c>
      <c r="S464" s="44">
        <v>0</v>
      </c>
      <c r="T464" s="44">
        <v>0</v>
      </c>
      <c r="U464" s="44">
        <v>0</v>
      </c>
      <c r="V464" s="44">
        <v>0</v>
      </c>
      <c r="W464" s="40">
        <f>T464+V464</f>
        <v>0</v>
      </c>
      <c r="X464" s="18">
        <f t="shared" ref="X464" si="543">M464-P464</f>
        <v>3500000</v>
      </c>
      <c r="Y464" s="34">
        <f t="shared" ref="Y464" si="544">P464-S464</f>
        <v>0</v>
      </c>
      <c r="Z464" s="34">
        <f t="shared" ref="Z464" si="545">S464-W464</f>
        <v>0</v>
      </c>
      <c r="AA464" s="123">
        <f t="shared" ref="AA464" si="546">S464/M464</f>
        <v>0</v>
      </c>
    </row>
    <row r="465" spans="1:27" ht="18.75" customHeight="1" x14ac:dyDescent="0.2">
      <c r="A465" s="4"/>
      <c r="B465" s="4"/>
      <c r="C465" s="19" t="s">
        <v>907</v>
      </c>
      <c r="D465" s="73" t="s">
        <v>288</v>
      </c>
      <c r="E465" s="74" t="s">
        <v>291</v>
      </c>
      <c r="F465" s="43"/>
      <c r="G465" s="43"/>
      <c r="H465" s="44"/>
      <c r="I465" s="44"/>
      <c r="J465" s="44"/>
      <c r="K465" s="44"/>
      <c r="L465" s="44"/>
      <c r="M465" s="43"/>
      <c r="N465" s="43"/>
      <c r="O465" s="43"/>
      <c r="P465" s="43"/>
      <c r="Q465" s="43"/>
      <c r="R465" s="43"/>
      <c r="S465" s="43"/>
      <c r="T465" s="44"/>
      <c r="U465" s="44"/>
      <c r="V465" s="44"/>
      <c r="W465" s="40"/>
      <c r="X465" s="43"/>
      <c r="Y465" s="44"/>
      <c r="Z465" s="44"/>
      <c r="AA465" s="43"/>
    </row>
    <row r="466" spans="1:27" ht="18.75" customHeight="1" x14ac:dyDescent="0.2">
      <c r="A466" s="4" t="s">
        <v>55</v>
      </c>
      <c r="B466" s="4" t="s">
        <v>56</v>
      </c>
      <c r="C466" s="19" t="s">
        <v>907</v>
      </c>
      <c r="D466" s="41" t="s">
        <v>442</v>
      </c>
      <c r="E466" s="42" t="s">
        <v>439</v>
      </c>
      <c r="F466" s="43" t="s">
        <v>428</v>
      </c>
      <c r="G466" s="43">
        <v>105900000</v>
      </c>
      <c r="H466" s="44">
        <v>0</v>
      </c>
      <c r="I466" s="44">
        <v>0</v>
      </c>
      <c r="J466" s="44">
        <v>0</v>
      </c>
      <c r="K466" s="44">
        <v>0</v>
      </c>
      <c r="L466" s="44">
        <v>0</v>
      </c>
      <c r="M466" s="43">
        <v>105900000</v>
      </c>
      <c r="N466" s="44">
        <v>0</v>
      </c>
      <c r="O466" s="44">
        <v>0</v>
      </c>
      <c r="P466" s="44">
        <v>0</v>
      </c>
      <c r="Q466" s="43">
        <v>0</v>
      </c>
      <c r="R466" s="43">
        <v>0</v>
      </c>
      <c r="S466" s="43">
        <v>0</v>
      </c>
      <c r="T466" s="44">
        <v>0</v>
      </c>
      <c r="U466" s="44">
        <v>0</v>
      </c>
      <c r="V466" s="44">
        <v>0</v>
      </c>
      <c r="W466" s="40">
        <f>T466+V466</f>
        <v>0</v>
      </c>
      <c r="X466" s="18">
        <f t="shared" ref="X466" si="547">M466-P466</f>
        <v>105900000</v>
      </c>
      <c r="Y466" s="34">
        <f t="shared" ref="Y466" si="548">P466-S466</f>
        <v>0</v>
      </c>
      <c r="Z466" s="34">
        <f t="shared" ref="Z466" si="549">S466-W466</f>
        <v>0</v>
      </c>
      <c r="AA466" s="123">
        <f t="shared" ref="AA466" si="550">S466/M466</f>
        <v>0</v>
      </c>
    </row>
    <row r="467" spans="1:27" ht="18.75" customHeight="1" x14ac:dyDescent="0.2">
      <c r="C467" s="19" t="s">
        <v>907</v>
      </c>
      <c r="D467" s="16"/>
      <c r="E467" s="29" t="s">
        <v>189</v>
      </c>
      <c r="F467" s="17"/>
      <c r="G467" s="18"/>
      <c r="H467" s="34"/>
      <c r="I467" s="34"/>
      <c r="J467" s="34"/>
      <c r="K467" s="34"/>
      <c r="L467" s="34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39"/>
      <c r="X467" s="18"/>
      <c r="Y467" s="34"/>
      <c r="Z467" s="18"/>
      <c r="AA467" s="18"/>
    </row>
    <row r="468" spans="1:27" ht="18.75" customHeight="1" x14ac:dyDescent="0.2">
      <c r="C468" s="19" t="s">
        <v>907</v>
      </c>
      <c r="D468" s="16"/>
      <c r="E468" s="29" t="s">
        <v>191</v>
      </c>
      <c r="F468" s="17"/>
      <c r="G468" s="18"/>
      <c r="H468" s="34"/>
      <c r="I468" s="34"/>
      <c r="J468" s="34"/>
      <c r="K468" s="34"/>
      <c r="L468" s="34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39"/>
      <c r="X468" s="18"/>
      <c r="Y468" s="34"/>
      <c r="Z468" s="18"/>
      <c r="AA468" s="18"/>
    </row>
    <row r="469" spans="1:27" ht="18.75" customHeight="1" x14ac:dyDescent="0.2">
      <c r="C469" s="19" t="s">
        <v>907</v>
      </c>
      <c r="D469" s="28" t="s">
        <v>288</v>
      </c>
      <c r="E469" s="29" t="s">
        <v>443</v>
      </c>
      <c r="F469" s="17"/>
      <c r="G469" s="18"/>
      <c r="H469" s="34"/>
      <c r="I469" s="34"/>
      <c r="J469" s="34"/>
      <c r="K469" s="34"/>
      <c r="L469" s="34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39"/>
      <c r="X469" s="18"/>
      <c r="Y469" s="34"/>
      <c r="Z469" s="18"/>
      <c r="AA469" s="18"/>
    </row>
    <row r="470" spans="1:27" ht="18.75" customHeight="1" x14ac:dyDescent="0.2">
      <c r="A470" s="4" t="s">
        <v>55</v>
      </c>
      <c r="B470" s="4" t="s">
        <v>56</v>
      </c>
      <c r="C470" s="19" t="s">
        <v>907</v>
      </c>
      <c r="D470" s="41" t="s">
        <v>444</v>
      </c>
      <c r="E470" s="42" t="s">
        <v>233</v>
      </c>
      <c r="F470" s="43" t="s">
        <v>58</v>
      </c>
      <c r="G470" s="43">
        <v>530557116</v>
      </c>
      <c r="H470" s="44">
        <v>0</v>
      </c>
      <c r="I470" s="44">
        <v>0</v>
      </c>
      <c r="J470" s="44">
        <v>0</v>
      </c>
      <c r="K470" s="44">
        <v>0</v>
      </c>
      <c r="L470" s="44">
        <v>0</v>
      </c>
      <c r="M470" s="43">
        <v>530557116</v>
      </c>
      <c r="N470" s="44">
        <v>0</v>
      </c>
      <c r="O470" s="44">
        <v>0</v>
      </c>
      <c r="P470" s="44">
        <v>0</v>
      </c>
      <c r="Q470" s="44">
        <v>0</v>
      </c>
      <c r="R470" s="44">
        <v>0</v>
      </c>
      <c r="S470" s="44">
        <v>0</v>
      </c>
      <c r="T470" s="44">
        <v>0</v>
      </c>
      <c r="U470" s="44">
        <v>0</v>
      </c>
      <c r="V470" s="44">
        <v>0</v>
      </c>
      <c r="W470" s="40">
        <f>T470+V470</f>
        <v>0</v>
      </c>
      <c r="X470" s="18">
        <f t="shared" ref="X470" si="551">M470-P470</f>
        <v>530557116</v>
      </c>
      <c r="Y470" s="34">
        <f t="shared" ref="Y470" si="552">P470-S470</f>
        <v>0</v>
      </c>
      <c r="Z470" s="34">
        <f t="shared" ref="Z470" si="553">S470-W470</f>
        <v>0</v>
      </c>
      <c r="AA470" s="123">
        <f t="shared" ref="AA470" si="554">S470/M470</f>
        <v>0</v>
      </c>
    </row>
    <row r="471" spans="1:27" ht="18.75" customHeight="1" x14ac:dyDescent="0.2">
      <c r="C471" s="19" t="s">
        <v>907</v>
      </c>
      <c r="D471" s="28" t="s">
        <v>288</v>
      </c>
      <c r="E471" s="29" t="s">
        <v>445</v>
      </c>
      <c r="F471" s="17"/>
      <c r="G471" s="18"/>
      <c r="H471" s="18"/>
      <c r="I471" s="18"/>
      <c r="J471" s="18"/>
      <c r="K471" s="18"/>
      <c r="L471" s="18"/>
      <c r="M471" s="18"/>
      <c r="N471" s="34"/>
      <c r="O471" s="34"/>
      <c r="P471" s="34"/>
      <c r="Q471" s="34"/>
      <c r="R471" s="34"/>
      <c r="S471" s="34"/>
      <c r="T471" s="34"/>
      <c r="U471" s="34"/>
      <c r="V471" s="34"/>
      <c r="W471" s="40">
        <f t="shared" ref="W471:W528" si="555">T471+V471</f>
        <v>0</v>
      </c>
      <c r="X471" s="18"/>
      <c r="Y471" s="34"/>
      <c r="Z471" s="18"/>
      <c r="AA471" s="18"/>
    </row>
    <row r="472" spans="1:27" ht="18.75" customHeight="1" x14ac:dyDescent="0.2">
      <c r="A472" s="4" t="s">
        <v>55</v>
      </c>
      <c r="B472" s="4" t="s">
        <v>56</v>
      </c>
      <c r="C472" s="19" t="s">
        <v>907</v>
      </c>
      <c r="D472" s="41" t="s">
        <v>446</v>
      </c>
      <c r="E472" s="42" t="s">
        <v>233</v>
      </c>
      <c r="F472" s="43" t="s">
        <v>58</v>
      </c>
      <c r="G472" s="43">
        <v>1315360000</v>
      </c>
      <c r="H472" s="44">
        <v>0</v>
      </c>
      <c r="I472" s="44">
        <v>0</v>
      </c>
      <c r="J472" s="43">
        <v>24165016</v>
      </c>
      <c r="K472" s="75">
        <v>0</v>
      </c>
      <c r="L472" s="43">
        <f>H472-I472+J472-K472</f>
        <v>24165016</v>
      </c>
      <c r="M472" s="43">
        <f>G472+L472</f>
        <v>1339525016</v>
      </c>
      <c r="N472" s="44">
        <v>0</v>
      </c>
      <c r="O472" s="114">
        <v>5134940.1100000003</v>
      </c>
      <c r="P472" s="114">
        <v>5134940.1100000003</v>
      </c>
      <c r="Q472" s="44">
        <v>0</v>
      </c>
      <c r="R472" s="114">
        <v>5134940.1100000003</v>
      </c>
      <c r="S472" s="114">
        <v>5134940.1100000003</v>
      </c>
      <c r="T472" s="44">
        <v>0</v>
      </c>
      <c r="U472" s="114">
        <v>5134940.1100000003</v>
      </c>
      <c r="V472" s="114">
        <v>5134940.1100000003</v>
      </c>
      <c r="W472" s="111">
        <f>T472+V472</f>
        <v>5134940.1100000003</v>
      </c>
      <c r="X472" s="18">
        <f t="shared" ref="X472" si="556">M472-P472</f>
        <v>1334390075.8900001</v>
      </c>
      <c r="Y472" s="34">
        <f t="shared" ref="Y472" si="557">P472-S472</f>
        <v>0</v>
      </c>
      <c r="Z472" s="34">
        <f t="shared" ref="Z472" si="558">S472-W472</f>
        <v>0</v>
      </c>
      <c r="AA472" s="123">
        <f t="shared" ref="AA472" si="559">S472/M472</f>
        <v>3.8334036682148836E-3</v>
      </c>
    </row>
    <row r="473" spans="1:27" ht="18.75" customHeight="1" x14ac:dyDescent="0.2">
      <c r="C473" s="19" t="s">
        <v>907</v>
      </c>
      <c r="D473" s="28" t="s">
        <v>288</v>
      </c>
      <c r="E473" s="29" t="s">
        <v>447</v>
      </c>
      <c r="F473" s="17"/>
      <c r="G473" s="18"/>
      <c r="H473" s="34"/>
      <c r="I473" s="34"/>
      <c r="J473" s="18"/>
      <c r="K473" s="76"/>
      <c r="L473" s="18"/>
      <c r="M473" s="18"/>
      <c r="N473" s="34"/>
      <c r="O473" s="34"/>
      <c r="P473" s="34"/>
      <c r="Q473" s="34"/>
      <c r="R473" s="34"/>
      <c r="S473" s="34"/>
      <c r="T473" s="34"/>
      <c r="U473" s="34"/>
      <c r="V473" s="34"/>
      <c r="W473" s="40"/>
      <c r="X473" s="18"/>
      <c r="Y473" s="34"/>
      <c r="Z473" s="34"/>
      <c r="AA473" s="18"/>
    </row>
    <row r="474" spans="1:27" ht="18.75" customHeight="1" x14ac:dyDescent="0.2">
      <c r="A474" s="4" t="s">
        <v>55</v>
      </c>
      <c r="B474" s="4" t="s">
        <v>56</v>
      </c>
      <c r="C474" s="19" t="s">
        <v>907</v>
      </c>
      <c r="D474" s="41" t="s">
        <v>448</v>
      </c>
      <c r="E474" s="42" t="s">
        <v>449</v>
      </c>
      <c r="F474" s="43" t="s">
        <v>428</v>
      </c>
      <c r="G474" s="43">
        <v>1568183063</v>
      </c>
      <c r="H474" s="44">
        <v>0</v>
      </c>
      <c r="I474" s="44">
        <v>0</v>
      </c>
      <c r="J474" s="75">
        <v>0</v>
      </c>
      <c r="K474" s="75">
        <v>0</v>
      </c>
      <c r="L474" s="44">
        <v>0</v>
      </c>
      <c r="M474" s="43">
        <v>1568183063</v>
      </c>
      <c r="N474" s="44">
        <v>0</v>
      </c>
      <c r="O474" s="44">
        <v>0</v>
      </c>
      <c r="P474" s="44">
        <v>0</v>
      </c>
      <c r="Q474" s="44">
        <v>0</v>
      </c>
      <c r="R474" s="44">
        <v>0</v>
      </c>
      <c r="S474" s="44">
        <v>0</v>
      </c>
      <c r="T474" s="44">
        <v>0</v>
      </c>
      <c r="U474" s="44">
        <v>0</v>
      </c>
      <c r="V474" s="44">
        <v>0</v>
      </c>
      <c r="W474" s="40">
        <f t="shared" si="555"/>
        <v>0</v>
      </c>
      <c r="X474" s="18">
        <f t="shared" ref="X474:X476" si="560">M474-P474</f>
        <v>1568183063</v>
      </c>
      <c r="Y474" s="34">
        <f t="shared" ref="Y474:Y476" si="561">P474-S474</f>
        <v>0</v>
      </c>
      <c r="Z474" s="34">
        <f t="shared" ref="Z474:Z476" si="562">S474-W474</f>
        <v>0</v>
      </c>
      <c r="AA474" s="123">
        <f t="shared" ref="AA474:AA476" si="563">S474/M474</f>
        <v>0</v>
      </c>
    </row>
    <row r="475" spans="1:27" ht="18.75" customHeight="1" x14ac:dyDescent="0.2">
      <c r="A475" s="4" t="s">
        <v>55</v>
      </c>
      <c r="B475" s="4" t="s">
        <v>56</v>
      </c>
      <c r="C475" s="19" t="s">
        <v>907</v>
      </c>
      <c r="D475" s="41" t="s">
        <v>450</v>
      </c>
      <c r="E475" s="42" t="s">
        <v>451</v>
      </c>
      <c r="F475" s="43" t="s">
        <v>428</v>
      </c>
      <c r="G475" s="43">
        <v>54121641</v>
      </c>
      <c r="H475" s="44">
        <v>0</v>
      </c>
      <c r="I475" s="44">
        <v>0</v>
      </c>
      <c r="J475" s="75">
        <v>0</v>
      </c>
      <c r="K475" s="75">
        <v>0</v>
      </c>
      <c r="L475" s="44">
        <v>0</v>
      </c>
      <c r="M475" s="43">
        <v>54121641</v>
      </c>
      <c r="N475" s="44">
        <v>0</v>
      </c>
      <c r="O475" s="44">
        <v>0</v>
      </c>
      <c r="P475" s="44">
        <v>0</v>
      </c>
      <c r="Q475" s="44">
        <v>0</v>
      </c>
      <c r="R475" s="44">
        <v>0</v>
      </c>
      <c r="S475" s="44">
        <v>0</v>
      </c>
      <c r="T475" s="44">
        <v>0</v>
      </c>
      <c r="U475" s="44">
        <v>0</v>
      </c>
      <c r="V475" s="44">
        <v>0</v>
      </c>
      <c r="W475" s="40">
        <f t="shared" si="555"/>
        <v>0</v>
      </c>
      <c r="X475" s="18">
        <f t="shared" si="560"/>
        <v>54121641</v>
      </c>
      <c r="Y475" s="34">
        <f t="shared" si="561"/>
        <v>0</v>
      </c>
      <c r="Z475" s="34">
        <f t="shared" si="562"/>
        <v>0</v>
      </c>
      <c r="AA475" s="123">
        <f t="shared" si="563"/>
        <v>0</v>
      </c>
    </row>
    <row r="476" spans="1:27" ht="18.75" customHeight="1" x14ac:dyDescent="0.2">
      <c r="A476" s="4" t="s">
        <v>55</v>
      </c>
      <c r="B476" s="4" t="s">
        <v>56</v>
      </c>
      <c r="C476" s="19" t="s">
        <v>907</v>
      </c>
      <c r="D476" s="41" t="s">
        <v>452</v>
      </c>
      <c r="E476" s="42" t="s">
        <v>453</v>
      </c>
      <c r="F476" s="43" t="s">
        <v>454</v>
      </c>
      <c r="G476" s="43">
        <v>13500000000</v>
      </c>
      <c r="H476" s="44">
        <v>0</v>
      </c>
      <c r="I476" s="44">
        <v>0</v>
      </c>
      <c r="J476" s="75">
        <v>0</v>
      </c>
      <c r="K476" s="43">
        <v>10658999538</v>
      </c>
      <c r="L476" s="43">
        <f>H476-I476+J476-K476</f>
        <v>-10658999538</v>
      </c>
      <c r="M476" s="43">
        <f>G476+L476</f>
        <v>2841000462</v>
      </c>
      <c r="N476" s="44">
        <v>0</v>
      </c>
      <c r="O476" s="44">
        <v>0</v>
      </c>
      <c r="P476" s="44">
        <v>0</v>
      </c>
      <c r="Q476" s="44">
        <v>0</v>
      </c>
      <c r="R476" s="44">
        <v>0</v>
      </c>
      <c r="S476" s="44">
        <v>0</v>
      </c>
      <c r="T476" s="44">
        <v>0</v>
      </c>
      <c r="U476" s="44">
        <v>0</v>
      </c>
      <c r="V476" s="44">
        <v>0</v>
      </c>
      <c r="W476" s="40">
        <f t="shared" si="555"/>
        <v>0</v>
      </c>
      <c r="X476" s="18">
        <f t="shared" si="560"/>
        <v>2841000462</v>
      </c>
      <c r="Y476" s="34">
        <f t="shared" si="561"/>
        <v>0</v>
      </c>
      <c r="Z476" s="34">
        <f t="shared" si="562"/>
        <v>0</v>
      </c>
      <c r="AA476" s="123">
        <f t="shared" si="563"/>
        <v>0</v>
      </c>
    </row>
    <row r="477" spans="1:27" ht="18.75" customHeight="1" x14ac:dyDescent="0.2">
      <c r="C477" s="19" t="s">
        <v>907</v>
      </c>
      <c r="D477" s="28" t="s">
        <v>288</v>
      </c>
      <c r="E477" s="29" t="s">
        <v>455</v>
      </c>
      <c r="F477" s="17"/>
      <c r="G477" s="18"/>
      <c r="H477" s="34"/>
      <c r="I477" s="34"/>
      <c r="J477" s="76"/>
      <c r="K477" s="18"/>
      <c r="L477" s="18"/>
      <c r="M477" s="18"/>
      <c r="N477" s="34"/>
      <c r="O477" s="34"/>
      <c r="P477" s="34"/>
      <c r="Q477" s="34"/>
      <c r="R477" s="34"/>
      <c r="S477" s="34"/>
      <c r="T477" s="34"/>
      <c r="U477" s="34"/>
      <c r="V477" s="34"/>
      <c r="W477" s="40"/>
      <c r="X477" s="18"/>
      <c r="Y477" s="34"/>
      <c r="Z477" s="34"/>
      <c r="AA477" s="18"/>
    </row>
    <row r="478" spans="1:27" ht="18.75" customHeight="1" x14ac:dyDescent="0.2">
      <c r="A478" s="4" t="s">
        <v>55</v>
      </c>
      <c r="B478" s="4" t="s">
        <v>56</v>
      </c>
      <c r="C478" s="19" t="s">
        <v>907</v>
      </c>
      <c r="D478" s="41" t="s">
        <v>456</v>
      </c>
      <c r="E478" s="42" t="s">
        <v>233</v>
      </c>
      <c r="F478" s="43" t="s">
        <v>58</v>
      </c>
      <c r="G478" s="43">
        <v>1983597115.25</v>
      </c>
      <c r="H478" s="44">
        <v>0</v>
      </c>
      <c r="I478" s="44">
        <v>0</v>
      </c>
      <c r="J478" s="75">
        <v>0</v>
      </c>
      <c r="K478" s="44">
        <v>0</v>
      </c>
      <c r="L478" s="43">
        <v>0</v>
      </c>
      <c r="M478" s="43">
        <v>1983597115.25</v>
      </c>
      <c r="N478" s="44">
        <v>0</v>
      </c>
      <c r="O478" s="44">
        <v>0</v>
      </c>
      <c r="P478" s="44">
        <v>0</v>
      </c>
      <c r="Q478" s="44">
        <v>0</v>
      </c>
      <c r="R478" s="44">
        <v>0</v>
      </c>
      <c r="S478" s="44">
        <v>0</v>
      </c>
      <c r="T478" s="44">
        <v>0</v>
      </c>
      <c r="U478" s="44">
        <v>0</v>
      </c>
      <c r="V478" s="44">
        <v>0</v>
      </c>
      <c r="W478" s="40">
        <f t="shared" si="555"/>
        <v>0</v>
      </c>
      <c r="X478" s="18">
        <f t="shared" ref="X478:X479" si="564">M478-P478</f>
        <v>1983597115.25</v>
      </c>
      <c r="Y478" s="34">
        <f t="shared" ref="Y478:Y479" si="565">P478-S478</f>
        <v>0</v>
      </c>
      <c r="Z478" s="34">
        <f t="shared" ref="Z478:Z479" si="566">S478-W478</f>
        <v>0</v>
      </c>
      <c r="AA478" s="123">
        <f t="shared" ref="AA478:AA479" si="567">S478/M478</f>
        <v>0</v>
      </c>
    </row>
    <row r="479" spans="1:27" ht="18.75" customHeight="1" x14ac:dyDescent="0.2">
      <c r="A479" s="4" t="s">
        <v>55</v>
      </c>
      <c r="B479" s="4" t="s">
        <v>56</v>
      </c>
      <c r="C479" s="19" t="s">
        <v>907</v>
      </c>
      <c r="D479" s="41" t="s">
        <v>457</v>
      </c>
      <c r="E479" s="42" t="s">
        <v>458</v>
      </c>
      <c r="F479" s="43" t="s">
        <v>454</v>
      </c>
      <c r="G479" s="43">
        <v>0</v>
      </c>
      <c r="H479" s="44">
        <v>0</v>
      </c>
      <c r="I479" s="44">
        <v>0</v>
      </c>
      <c r="J479" s="43">
        <v>20296364215</v>
      </c>
      <c r="K479" s="44">
        <v>0</v>
      </c>
      <c r="L479" s="43">
        <f>H479-I479+J479-K479</f>
        <v>20296364215</v>
      </c>
      <c r="M479" s="43">
        <f>G479+L479</f>
        <v>20296364215</v>
      </c>
      <c r="N479" s="44">
        <v>0</v>
      </c>
      <c r="O479" s="44">
        <f>P479-[1]ENERO!O479</f>
        <v>0</v>
      </c>
      <c r="P479" s="43">
        <v>20296361142</v>
      </c>
      <c r="Q479" s="44">
        <v>0</v>
      </c>
      <c r="R479" s="44">
        <v>0</v>
      </c>
      <c r="S479" s="44">
        <v>0</v>
      </c>
      <c r="T479" s="44">
        <v>0</v>
      </c>
      <c r="U479" s="44">
        <v>0</v>
      </c>
      <c r="V479" s="44">
        <v>0</v>
      </c>
      <c r="W479" s="40">
        <f t="shared" si="555"/>
        <v>0</v>
      </c>
      <c r="X479" s="18">
        <f t="shared" si="564"/>
        <v>3073</v>
      </c>
      <c r="Y479" s="110">
        <f t="shared" si="565"/>
        <v>20296361142</v>
      </c>
      <c r="Z479" s="34">
        <f t="shared" si="566"/>
        <v>0</v>
      </c>
      <c r="AA479" s="123">
        <f t="shared" si="567"/>
        <v>0</v>
      </c>
    </row>
    <row r="480" spans="1:27" ht="18.75" customHeight="1" x14ac:dyDescent="0.2">
      <c r="C480" s="19" t="s">
        <v>907</v>
      </c>
      <c r="D480" s="28" t="s">
        <v>288</v>
      </c>
      <c r="E480" s="29" t="s">
        <v>459</v>
      </c>
      <c r="F480" s="17"/>
      <c r="G480" s="18"/>
      <c r="H480" s="34"/>
      <c r="I480" s="34"/>
      <c r="J480" s="18"/>
      <c r="K480" s="34"/>
      <c r="L480" s="18"/>
      <c r="M480" s="18"/>
      <c r="N480" s="34"/>
      <c r="O480" s="34"/>
      <c r="P480" s="18"/>
      <c r="Q480" s="34"/>
      <c r="R480" s="34"/>
      <c r="S480" s="18"/>
      <c r="T480" s="34"/>
      <c r="U480" s="34"/>
      <c r="V480" s="34"/>
      <c r="W480" s="40"/>
      <c r="X480" s="18"/>
      <c r="Y480" s="18"/>
      <c r="Z480" s="18"/>
      <c r="AA480" s="18"/>
    </row>
    <row r="481" spans="1:27" ht="18.75" customHeight="1" x14ac:dyDescent="0.2">
      <c r="A481" s="4" t="s">
        <v>55</v>
      </c>
      <c r="B481" s="4" t="s">
        <v>56</v>
      </c>
      <c r="C481" s="19" t="s">
        <v>907</v>
      </c>
      <c r="D481" s="41" t="s">
        <v>460</v>
      </c>
      <c r="E481" s="42" t="s">
        <v>233</v>
      </c>
      <c r="F481" s="43" t="s">
        <v>58</v>
      </c>
      <c r="G481" s="43">
        <v>867728401</v>
      </c>
      <c r="H481" s="44">
        <v>0</v>
      </c>
      <c r="I481" s="44">
        <v>0</v>
      </c>
      <c r="J481" s="44">
        <v>0</v>
      </c>
      <c r="K481" s="44">
        <v>0</v>
      </c>
      <c r="L481" s="44">
        <v>0</v>
      </c>
      <c r="M481" s="43">
        <v>867728401</v>
      </c>
      <c r="N481" s="44">
        <v>0</v>
      </c>
      <c r="O481" s="44">
        <v>0</v>
      </c>
      <c r="P481" s="43">
        <v>829015863.20000005</v>
      </c>
      <c r="Q481" s="44">
        <v>0</v>
      </c>
      <c r="R481" s="44">
        <v>0</v>
      </c>
      <c r="S481" s="43">
        <v>829015863.20000005</v>
      </c>
      <c r="T481" s="44">
        <v>0</v>
      </c>
      <c r="U481" s="44">
        <v>0</v>
      </c>
      <c r="V481" s="44">
        <v>0</v>
      </c>
      <c r="W481" s="40">
        <f t="shared" si="555"/>
        <v>0</v>
      </c>
      <c r="X481" s="18">
        <f t="shared" ref="X481:X482" si="568">M481-P481</f>
        <v>38712537.799999952</v>
      </c>
      <c r="Y481" s="34">
        <f t="shared" ref="Y481:Y482" si="569">P481-S481</f>
        <v>0</v>
      </c>
      <c r="Z481" s="18">
        <f t="shared" ref="Z481:Z482" si="570">S481-W481</f>
        <v>829015863.20000005</v>
      </c>
      <c r="AA481" s="123">
        <f t="shared" ref="AA481:AA482" si="571">S481/M481</f>
        <v>0.95538634236774289</v>
      </c>
    </row>
    <row r="482" spans="1:27" ht="18.75" customHeight="1" x14ac:dyDescent="0.2">
      <c r="A482" s="4" t="s">
        <v>55</v>
      </c>
      <c r="B482" s="4" t="s">
        <v>56</v>
      </c>
      <c r="C482" s="19" t="s">
        <v>907</v>
      </c>
      <c r="D482" s="41" t="s">
        <v>461</v>
      </c>
      <c r="E482" s="42" t="s">
        <v>462</v>
      </c>
      <c r="F482" s="43" t="s">
        <v>428</v>
      </c>
      <c r="G482" s="43">
        <v>208691582</v>
      </c>
      <c r="H482" s="44">
        <v>0</v>
      </c>
      <c r="I482" s="44">
        <v>0</v>
      </c>
      <c r="J482" s="44">
        <v>0</v>
      </c>
      <c r="K482" s="44">
        <v>0</v>
      </c>
      <c r="L482" s="44">
        <v>0</v>
      </c>
      <c r="M482" s="43">
        <v>208691582</v>
      </c>
      <c r="N482" s="44">
        <v>0</v>
      </c>
      <c r="O482" s="44">
        <v>0</v>
      </c>
      <c r="P482" s="44">
        <v>0</v>
      </c>
      <c r="Q482" s="44">
        <v>0</v>
      </c>
      <c r="R482" s="44">
        <v>0</v>
      </c>
      <c r="S482" s="44">
        <v>0</v>
      </c>
      <c r="T482" s="44">
        <v>0</v>
      </c>
      <c r="U482" s="44">
        <v>0</v>
      </c>
      <c r="V482" s="44">
        <v>0</v>
      </c>
      <c r="W482" s="40">
        <f t="shared" si="555"/>
        <v>0</v>
      </c>
      <c r="X482" s="18">
        <f t="shared" si="568"/>
        <v>208691582</v>
      </c>
      <c r="Y482" s="34">
        <f t="shared" si="569"/>
        <v>0</v>
      </c>
      <c r="Z482" s="34">
        <f t="shared" si="570"/>
        <v>0</v>
      </c>
      <c r="AA482" s="123">
        <f t="shared" si="571"/>
        <v>0</v>
      </c>
    </row>
    <row r="483" spans="1:27" ht="18.75" customHeight="1" x14ac:dyDescent="0.2">
      <c r="A483" s="4"/>
      <c r="B483" s="4"/>
      <c r="C483" s="19" t="s">
        <v>907</v>
      </c>
      <c r="D483" s="73" t="s">
        <v>288</v>
      </c>
      <c r="E483" s="74" t="s">
        <v>463</v>
      </c>
      <c r="F483" s="43"/>
      <c r="G483" s="43"/>
      <c r="H483" s="44"/>
      <c r="I483" s="44"/>
      <c r="J483" s="43"/>
      <c r="K483" s="44"/>
      <c r="L483" s="43"/>
      <c r="M483" s="43"/>
      <c r="N483" s="44"/>
      <c r="O483" s="44"/>
      <c r="P483" s="44"/>
      <c r="Q483" s="44"/>
      <c r="R483" s="44"/>
      <c r="S483" s="44"/>
      <c r="T483" s="44"/>
      <c r="U483" s="44"/>
      <c r="V483" s="44"/>
      <c r="W483" s="40"/>
      <c r="X483" s="43"/>
      <c r="Y483" s="44"/>
      <c r="Z483" s="44"/>
      <c r="AA483" s="43"/>
    </row>
    <row r="484" spans="1:27" ht="18.75" customHeight="1" x14ac:dyDescent="0.2">
      <c r="A484" s="4"/>
      <c r="B484" s="4"/>
      <c r="C484" s="19" t="s">
        <v>907</v>
      </c>
      <c r="D484" s="134" t="s">
        <v>464</v>
      </c>
      <c r="E484" s="17" t="s">
        <v>458</v>
      </c>
      <c r="F484" s="43"/>
      <c r="G484" s="44">
        <v>0</v>
      </c>
      <c r="H484" s="44">
        <v>0</v>
      </c>
      <c r="I484" s="44">
        <v>0</v>
      </c>
      <c r="J484" s="43">
        <v>1555449996</v>
      </c>
      <c r="K484" s="44">
        <v>0</v>
      </c>
      <c r="L484" s="43">
        <f>H484-I484+J484-K484</f>
        <v>1555449996</v>
      </c>
      <c r="M484" s="43">
        <f>G484+L484</f>
        <v>1555449996</v>
      </c>
      <c r="N484" s="44">
        <v>0</v>
      </c>
      <c r="O484" s="44">
        <v>0</v>
      </c>
      <c r="P484" s="44">
        <v>0</v>
      </c>
      <c r="Q484" s="44">
        <v>0</v>
      </c>
      <c r="R484" s="44">
        <v>0</v>
      </c>
      <c r="S484" s="44">
        <v>0</v>
      </c>
      <c r="T484" s="44">
        <v>0</v>
      </c>
      <c r="U484" s="44">
        <v>0</v>
      </c>
      <c r="V484" s="44">
        <v>0</v>
      </c>
      <c r="W484" s="40">
        <f>T484+V484</f>
        <v>0</v>
      </c>
      <c r="X484" s="18">
        <f t="shared" ref="X484" si="572">M484-P484</f>
        <v>1555449996</v>
      </c>
      <c r="Y484" s="34">
        <f t="shared" ref="Y484" si="573">P484-S484</f>
        <v>0</v>
      </c>
      <c r="Z484" s="34">
        <f t="shared" ref="Z484" si="574">S484-W484</f>
        <v>0</v>
      </c>
      <c r="AA484" s="123">
        <f t="shared" ref="AA484" si="575">S484/M484</f>
        <v>0</v>
      </c>
    </row>
    <row r="485" spans="1:27" ht="18.75" customHeight="1" x14ac:dyDescent="0.2">
      <c r="C485" s="19" t="s">
        <v>907</v>
      </c>
      <c r="D485" s="28" t="s">
        <v>288</v>
      </c>
      <c r="E485" s="29" t="s">
        <v>465</v>
      </c>
      <c r="F485" s="17"/>
      <c r="G485" s="18"/>
      <c r="H485" s="34"/>
      <c r="I485" s="34"/>
      <c r="J485" s="18"/>
      <c r="K485" s="34"/>
      <c r="L485" s="18"/>
      <c r="M485" s="18"/>
      <c r="N485" s="34"/>
      <c r="O485" s="34"/>
      <c r="P485" s="34"/>
      <c r="Q485" s="34"/>
      <c r="R485" s="34"/>
      <c r="S485" s="34"/>
      <c r="T485" s="34"/>
      <c r="U485" s="34"/>
      <c r="V485" s="34"/>
      <c r="W485" s="40"/>
      <c r="X485" s="18"/>
      <c r="Y485" s="34"/>
      <c r="Z485" s="34"/>
      <c r="AA485" s="18"/>
    </row>
    <row r="486" spans="1:27" ht="18.75" customHeight="1" x14ac:dyDescent="0.2">
      <c r="A486" s="4" t="s">
        <v>55</v>
      </c>
      <c r="B486" s="4" t="s">
        <v>56</v>
      </c>
      <c r="C486" s="19" t="s">
        <v>907</v>
      </c>
      <c r="D486" s="41" t="s">
        <v>466</v>
      </c>
      <c r="E486" s="42" t="s">
        <v>233</v>
      </c>
      <c r="F486" s="43" t="s">
        <v>58</v>
      </c>
      <c r="G486" s="44">
        <v>0</v>
      </c>
      <c r="H486" s="44">
        <v>0</v>
      </c>
      <c r="I486" s="44">
        <v>0</v>
      </c>
      <c r="J486" s="43">
        <v>95000000</v>
      </c>
      <c r="K486" s="44">
        <v>0</v>
      </c>
      <c r="L486" s="43">
        <f>H486-I486+J486-K486</f>
        <v>95000000</v>
      </c>
      <c r="M486" s="43">
        <f>G486+L486</f>
        <v>95000000</v>
      </c>
      <c r="N486" s="44">
        <v>0</v>
      </c>
      <c r="O486" s="114">
        <v>94976390.849999994</v>
      </c>
      <c r="P486" s="114">
        <v>94976390.849999994</v>
      </c>
      <c r="Q486" s="44">
        <v>0</v>
      </c>
      <c r="R486" s="114">
        <v>94976390.849999994</v>
      </c>
      <c r="S486" s="114">
        <v>94976390.849999994</v>
      </c>
      <c r="T486" s="44">
        <v>0</v>
      </c>
      <c r="U486" s="44">
        <v>0</v>
      </c>
      <c r="V486" s="44">
        <v>0</v>
      </c>
      <c r="W486" s="40">
        <f>T486+V486</f>
        <v>0</v>
      </c>
      <c r="X486" s="18">
        <f t="shared" ref="X486" si="576">M486-P486</f>
        <v>23609.15000000596</v>
      </c>
      <c r="Y486" s="34">
        <f t="shared" ref="Y486" si="577">P486-S486</f>
        <v>0</v>
      </c>
      <c r="Z486" s="110">
        <f t="shared" ref="Z486" si="578">S486-W486</f>
        <v>94976390.849999994</v>
      </c>
      <c r="AA486" s="123">
        <f t="shared" ref="AA486" si="579">S486/M486</f>
        <v>0.99975148263157887</v>
      </c>
    </row>
    <row r="487" spans="1:27" ht="18.75" customHeight="1" x14ac:dyDescent="0.2">
      <c r="C487" s="19" t="s">
        <v>907</v>
      </c>
      <c r="D487" s="16"/>
      <c r="E487" s="29" t="s">
        <v>467</v>
      </c>
      <c r="F487" s="17"/>
      <c r="G487" s="34"/>
      <c r="H487" s="34"/>
      <c r="I487" s="34"/>
      <c r="J487" s="18"/>
      <c r="K487" s="34"/>
      <c r="L487" s="18"/>
      <c r="M487" s="18"/>
      <c r="N487" s="34"/>
      <c r="O487" s="34"/>
      <c r="P487" s="34"/>
      <c r="Q487" s="34"/>
      <c r="R487" s="34"/>
      <c r="S487" s="34"/>
      <c r="T487" s="34"/>
      <c r="U487" s="34"/>
      <c r="V487" s="34"/>
      <c r="W487" s="40"/>
      <c r="X487" s="18"/>
      <c r="Y487" s="34"/>
      <c r="Z487" s="34"/>
      <c r="AA487" s="18"/>
    </row>
    <row r="488" spans="1:27" ht="18.75" customHeight="1" x14ac:dyDescent="0.2">
      <c r="A488" s="4" t="s">
        <v>55</v>
      </c>
      <c r="B488" s="4" t="s">
        <v>56</v>
      </c>
      <c r="C488" s="19" t="s">
        <v>907</v>
      </c>
      <c r="D488" s="41" t="s">
        <v>468</v>
      </c>
      <c r="E488" s="42" t="s">
        <v>458</v>
      </c>
      <c r="F488" s="43" t="s">
        <v>454</v>
      </c>
      <c r="G488" s="44">
        <v>0</v>
      </c>
      <c r="H488" s="44">
        <v>0</v>
      </c>
      <c r="I488" s="44">
        <v>0</v>
      </c>
      <c r="J488" s="43">
        <v>1331864802</v>
      </c>
      <c r="K488" s="44">
        <v>0</v>
      </c>
      <c r="L488" s="43">
        <f>H488-I488+J488-K488</f>
        <v>1331864802</v>
      </c>
      <c r="M488" s="43">
        <f>G488+L488</f>
        <v>1331864802</v>
      </c>
      <c r="N488" s="44">
        <v>0</v>
      </c>
      <c r="O488" s="44">
        <v>0</v>
      </c>
      <c r="P488" s="44">
        <v>0</v>
      </c>
      <c r="Q488" s="44">
        <v>0</v>
      </c>
      <c r="R488" s="44">
        <v>0</v>
      </c>
      <c r="S488" s="44">
        <v>0</v>
      </c>
      <c r="T488" s="44">
        <v>0</v>
      </c>
      <c r="U488" s="44">
        <v>0</v>
      </c>
      <c r="V488" s="44">
        <v>0</v>
      </c>
      <c r="W488" s="40">
        <f>T488+V488</f>
        <v>0</v>
      </c>
      <c r="X488" s="18">
        <f t="shared" ref="X488" si="580">M488-P488</f>
        <v>1331864802</v>
      </c>
      <c r="Y488" s="34">
        <f t="shared" ref="Y488" si="581">P488-S488</f>
        <v>0</v>
      </c>
      <c r="Z488" s="34">
        <f t="shared" ref="Z488" si="582">S488-W488</f>
        <v>0</v>
      </c>
      <c r="AA488" s="123">
        <f t="shared" ref="AA488" si="583">S488/M488</f>
        <v>0</v>
      </c>
    </row>
    <row r="489" spans="1:27" ht="18.75" customHeight="1" x14ac:dyDescent="0.2">
      <c r="C489" s="19" t="s">
        <v>907</v>
      </c>
      <c r="D489" s="28" t="s">
        <v>288</v>
      </c>
      <c r="E489" s="29" t="s">
        <v>469</v>
      </c>
      <c r="F489" s="17"/>
      <c r="G489" s="18"/>
      <c r="H489" s="18"/>
      <c r="I489" s="18"/>
      <c r="J489" s="18"/>
      <c r="K489" s="34"/>
      <c r="L489" s="18"/>
      <c r="M489" s="18"/>
      <c r="N489" s="34"/>
      <c r="O489" s="34"/>
      <c r="P489" s="34"/>
      <c r="Q489" s="34"/>
      <c r="R489" s="34"/>
      <c r="S489" s="34"/>
      <c r="T489" s="34"/>
      <c r="U489" s="34"/>
      <c r="V489" s="34"/>
      <c r="W489" s="40"/>
      <c r="X489" s="18"/>
      <c r="Y489" s="34"/>
      <c r="Z489" s="18"/>
      <c r="AA489" s="18"/>
    </row>
    <row r="490" spans="1:27" ht="18.75" customHeight="1" x14ac:dyDescent="0.2">
      <c r="A490" s="4" t="s">
        <v>55</v>
      </c>
      <c r="B490" s="4" t="s">
        <v>56</v>
      </c>
      <c r="C490" s="19" t="s">
        <v>907</v>
      </c>
      <c r="D490" s="41" t="s">
        <v>470</v>
      </c>
      <c r="E490" s="42" t="s">
        <v>233</v>
      </c>
      <c r="F490" s="43" t="s">
        <v>58</v>
      </c>
      <c r="G490" s="43">
        <v>128000000</v>
      </c>
      <c r="H490" s="44">
        <v>0</v>
      </c>
      <c r="I490" s="44">
        <v>0</v>
      </c>
      <c r="J490" s="44">
        <v>0</v>
      </c>
      <c r="K490" s="44">
        <v>0</v>
      </c>
      <c r="L490" s="44">
        <v>0</v>
      </c>
      <c r="M490" s="43">
        <v>128000000</v>
      </c>
      <c r="N490" s="44">
        <v>0</v>
      </c>
      <c r="O490" s="44">
        <v>0</v>
      </c>
      <c r="P490" s="44">
        <v>0</v>
      </c>
      <c r="Q490" s="44">
        <v>0</v>
      </c>
      <c r="R490" s="44">
        <v>0</v>
      </c>
      <c r="S490" s="44">
        <v>0</v>
      </c>
      <c r="T490" s="44">
        <v>0</v>
      </c>
      <c r="U490" s="44">
        <v>0</v>
      </c>
      <c r="V490" s="44">
        <v>0</v>
      </c>
      <c r="W490" s="40">
        <f>T490+V490</f>
        <v>0</v>
      </c>
      <c r="X490" s="18">
        <f t="shared" ref="X490" si="584">M490-P490</f>
        <v>128000000</v>
      </c>
      <c r="Y490" s="34">
        <f t="shared" ref="Y490" si="585">P490-S490</f>
        <v>0</v>
      </c>
      <c r="Z490" s="34">
        <f t="shared" ref="Z490" si="586">S490-W490</f>
        <v>0</v>
      </c>
      <c r="AA490" s="123">
        <f t="shared" ref="AA490" si="587">S490/M490</f>
        <v>0</v>
      </c>
    </row>
    <row r="491" spans="1:27" ht="18.75" customHeight="1" x14ac:dyDescent="0.2">
      <c r="C491" s="19" t="s">
        <v>907</v>
      </c>
      <c r="D491" s="28" t="s">
        <v>288</v>
      </c>
      <c r="E491" s="29" t="s">
        <v>471</v>
      </c>
      <c r="F491" s="17"/>
      <c r="G491" s="18"/>
      <c r="H491" s="34"/>
      <c r="I491" s="34"/>
      <c r="J491" s="34"/>
      <c r="K491" s="18"/>
      <c r="L491" s="18"/>
      <c r="M491" s="18"/>
      <c r="N491" s="34"/>
      <c r="O491" s="34"/>
      <c r="P491" s="34"/>
      <c r="Q491" s="34"/>
      <c r="R491" s="34"/>
      <c r="S491" s="34"/>
      <c r="T491" s="34"/>
      <c r="U491" s="34"/>
      <c r="V491" s="34"/>
      <c r="W491" s="40"/>
      <c r="X491" s="18"/>
      <c r="Y491" s="34"/>
      <c r="Z491" s="34"/>
      <c r="AA491" s="18"/>
    </row>
    <row r="492" spans="1:27" ht="18.75" customHeight="1" x14ac:dyDescent="0.2">
      <c r="A492" s="4" t="s">
        <v>55</v>
      </c>
      <c r="B492" s="4" t="s">
        <v>56</v>
      </c>
      <c r="C492" s="19" t="s">
        <v>907</v>
      </c>
      <c r="D492" s="41" t="s">
        <v>472</v>
      </c>
      <c r="E492" s="42" t="s">
        <v>453</v>
      </c>
      <c r="F492" s="43" t="s">
        <v>454</v>
      </c>
      <c r="G492" s="43">
        <v>16500000000</v>
      </c>
      <c r="H492" s="44">
        <v>0</v>
      </c>
      <c r="I492" s="44">
        <v>0</v>
      </c>
      <c r="J492" s="44">
        <v>0</v>
      </c>
      <c r="K492" s="43">
        <v>16500000000</v>
      </c>
      <c r="L492" s="43">
        <f>H492-I492+J492-K492</f>
        <v>-16500000000</v>
      </c>
      <c r="M492" s="44">
        <f>G492+L492</f>
        <v>0</v>
      </c>
      <c r="N492" s="44">
        <v>0</v>
      </c>
      <c r="O492" s="44">
        <v>0</v>
      </c>
      <c r="P492" s="44">
        <v>0</v>
      </c>
      <c r="Q492" s="44">
        <v>0</v>
      </c>
      <c r="R492" s="44">
        <v>0</v>
      </c>
      <c r="S492" s="44">
        <v>0</v>
      </c>
      <c r="T492" s="44">
        <v>0</v>
      </c>
      <c r="U492" s="44">
        <v>0</v>
      </c>
      <c r="V492" s="44">
        <v>0</v>
      </c>
      <c r="W492" s="40">
        <f>T492+V492</f>
        <v>0</v>
      </c>
      <c r="X492" s="34">
        <f t="shared" ref="X492" si="588">M492-P492</f>
        <v>0</v>
      </c>
      <c r="Y492" s="34">
        <f t="shared" ref="Y492" si="589">P492-S492</f>
        <v>0</v>
      </c>
      <c r="Z492" s="34">
        <f t="shared" ref="Z492" si="590">S492-W492</f>
        <v>0</v>
      </c>
      <c r="AA492" s="123">
        <v>0</v>
      </c>
    </row>
    <row r="493" spans="1:27" ht="25.5" x14ac:dyDescent="0.2">
      <c r="C493" s="19" t="s">
        <v>907</v>
      </c>
      <c r="D493" s="28" t="s">
        <v>288</v>
      </c>
      <c r="E493" s="29" t="s">
        <v>473</v>
      </c>
      <c r="F493" s="17"/>
      <c r="G493" s="18"/>
      <c r="H493" s="18"/>
      <c r="I493" s="18"/>
      <c r="J493" s="18"/>
      <c r="K493" s="18"/>
      <c r="L493" s="18"/>
      <c r="M493" s="18"/>
      <c r="N493" s="34"/>
      <c r="O493" s="34"/>
      <c r="P493" s="34"/>
      <c r="Q493" s="34"/>
      <c r="R493" s="34"/>
      <c r="S493" s="34"/>
      <c r="T493" s="18"/>
      <c r="U493" s="18"/>
      <c r="V493" s="18"/>
      <c r="W493" s="40"/>
      <c r="X493" s="18"/>
      <c r="Y493" s="34"/>
      <c r="Z493" s="34"/>
      <c r="AA493" s="18"/>
    </row>
    <row r="494" spans="1:27" ht="18.75" customHeight="1" x14ac:dyDescent="0.2">
      <c r="A494" s="4" t="s">
        <v>55</v>
      </c>
      <c r="B494" s="4" t="s">
        <v>56</v>
      </c>
      <c r="C494" s="19" t="s">
        <v>907</v>
      </c>
      <c r="D494" s="41" t="s">
        <v>474</v>
      </c>
      <c r="E494" s="42" t="s">
        <v>233</v>
      </c>
      <c r="F494" s="43" t="s">
        <v>58</v>
      </c>
      <c r="G494" s="44">
        <v>0</v>
      </c>
      <c r="H494" s="44">
        <v>0</v>
      </c>
      <c r="I494" s="44">
        <v>0</v>
      </c>
      <c r="J494" s="43">
        <v>22204778</v>
      </c>
      <c r="K494" s="44">
        <v>0</v>
      </c>
      <c r="L494" s="43">
        <f>H494-I494+J494-K494</f>
        <v>22204778</v>
      </c>
      <c r="M494" s="43">
        <f>G494+L494</f>
        <v>22204778</v>
      </c>
      <c r="N494" s="44">
        <v>0</v>
      </c>
      <c r="O494" s="44">
        <v>0</v>
      </c>
      <c r="P494" s="44">
        <v>0</v>
      </c>
      <c r="Q494" s="44">
        <v>0</v>
      </c>
      <c r="R494" s="44">
        <v>0</v>
      </c>
      <c r="S494" s="44">
        <v>0</v>
      </c>
      <c r="T494" s="44">
        <v>0</v>
      </c>
      <c r="U494" s="44">
        <v>0</v>
      </c>
      <c r="V494" s="44">
        <v>0</v>
      </c>
      <c r="W494" s="40">
        <f>T494+V494</f>
        <v>0</v>
      </c>
      <c r="X494" s="18">
        <f t="shared" ref="X494" si="591">M494-P494</f>
        <v>22204778</v>
      </c>
      <c r="Y494" s="34">
        <f t="shared" ref="Y494" si="592">P494-S494</f>
        <v>0</v>
      </c>
      <c r="Z494" s="34">
        <f t="shared" ref="Z494" si="593">S494-W494</f>
        <v>0</v>
      </c>
      <c r="AA494" s="123">
        <f t="shared" ref="AA494" si="594">S494/M494</f>
        <v>0</v>
      </c>
    </row>
    <row r="495" spans="1:27" x14ac:dyDescent="0.2">
      <c r="C495" s="19" t="s">
        <v>907</v>
      </c>
      <c r="D495" s="16"/>
      <c r="E495" s="29" t="s">
        <v>475</v>
      </c>
      <c r="F495" s="17"/>
      <c r="G495" s="34"/>
      <c r="H495" s="34"/>
      <c r="I495" s="34"/>
      <c r="J495" s="18"/>
      <c r="K495" s="34"/>
      <c r="L495" s="18"/>
      <c r="M495" s="18"/>
      <c r="N495" s="34"/>
      <c r="O495" s="34"/>
      <c r="P495" s="34"/>
      <c r="Q495" s="34"/>
      <c r="R495" s="34"/>
      <c r="S495" s="34"/>
      <c r="T495" s="34"/>
      <c r="U495" s="34"/>
      <c r="V495" s="34"/>
      <c r="W495" s="40"/>
      <c r="X495" s="18"/>
      <c r="Y495" s="34"/>
      <c r="Z495" s="18"/>
      <c r="AA495" s="18"/>
    </row>
    <row r="496" spans="1:27" x14ac:dyDescent="0.2">
      <c r="A496" s="4" t="s">
        <v>55</v>
      </c>
      <c r="B496" s="4" t="s">
        <v>56</v>
      </c>
      <c r="C496" s="19" t="s">
        <v>907</v>
      </c>
      <c r="D496" s="41" t="s">
        <v>476</v>
      </c>
      <c r="E496" s="42" t="s">
        <v>458</v>
      </c>
      <c r="F496" s="43" t="s">
        <v>454</v>
      </c>
      <c r="G496" s="44">
        <v>0</v>
      </c>
      <c r="H496" s="44">
        <v>0</v>
      </c>
      <c r="I496" s="44">
        <v>0</v>
      </c>
      <c r="J496" s="43">
        <v>3975320525</v>
      </c>
      <c r="K496" s="44">
        <v>0</v>
      </c>
      <c r="L496" s="43">
        <f>H496-I496+J496-K496</f>
        <v>3975320525</v>
      </c>
      <c r="M496" s="43">
        <f>G496+L496</f>
        <v>3975320525</v>
      </c>
      <c r="N496" s="115">
        <v>0</v>
      </c>
      <c r="O496" s="114">
        <v>3726948730</v>
      </c>
      <c r="P496" s="114">
        <v>3726948730</v>
      </c>
      <c r="Q496" s="44">
        <v>0</v>
      </c>
      <c r="R496" s="44">
        <v>0</v>
      </c>
      <c r="S496" s="44">
        <v>0</v>
      </c>
      <c r="T496" s="44">
        <v>0</v>
      </c>
      <c r="U496" s="44">
        <v>0</v>
      </c>
      <c r="V496" s="44">
        <v>0</v>
      </c>
      <c r="W496" s="40">
        <f>T496+V496</f>
        <v>0</v>
      </c>
      <c r="X496" s="18">
        <f t="shared" ref="X496" si="595">M496-P496</f>
        <v>248371795</v>
      </c>
      <c r="Y496" s="110">
        <f t="shared" ref="Y496" si="596">P496-S496</f>
        <v>3726948730</v>
      </c>
      <c r="Z496" s="34">
        <f t="shared" ref="Z496" si="597">S496-W496</f>
        <v>0</v>
      </c>
      <c r="AA496" s="123">
        <f t="shared" ref="AA496" si="598">S496/M496</f>
        <v>0</v>
      </c>
    </row>
    <row r="497" spans="1:27" ht="25.5" x14ac:dyDescent="0.2">
      <c r="C497" s="19" t="s">
        <v>907</v>
      </c>
      <c r="D497" s="28" t="s">
        <v>288</v>
      </c>
      <c r="E497" s="29" t="s">
        <v>477</v>
      </c>
      <c r="F497" s="17"/>
      <c r="G497" s="18"/>
      <c r="H497" s="18"/>
      <c r="I497" s="18"/>
      <c r="J497" s="18"/>
      <c r="K497" s="18"/>
      <c r="L497" s="18"/>
      <c r="M497" s="18"/>
      <c r="N497" s="34"/>
      <c r="O497" s="18"/>
      <c r="P497" s="18"/>
      <c r="Q497" s="18"/>
      <c r="R497" s="18"/>
      <c r="S497" s="18"/>
      <c r="T497" s="34"/>
      <c r="U497" s="34"/>
      <c r="V497" s="34"/>
      <c r="W497" s="40"/>
      <c r="X497" s="18"/>
      <c r="Y497" s="18"/>
      <c r="Z497" s="18"/>
      <c r="AA497" s="18"/>
    </row>
    <row r="498" spans="1:27" x14ac:dyDescent="0.2">
      <c r="A498" s="4" t="s">
        <v>55</v>
      </c>
      <c r="B498" s="4" t="s">
        <v>56</v>
      </c>
      <c r="C498" s="19" t="s">
        <v>907</v>
      </c>
      <c r="D498" s="41" t="s">
        <v>478</v>
      </c>
      <c r="E498" s="42" t="s">
        <v>233</v>
      </c>
      <c r="F498" s="43" t="s">
        <v>58</v>
      </c>
      <c r="G498" s="43">
        <v>389814494</v>
      </c>
      <c r="H498" s="44">
        <v>0</v>
      </c>
      <c r="I498" s="44">
        <v>0</v>
      </c>
      <c r="J498" s="44">
        <v>0</v>
      </c>
      <c r="K498" s="44">
        <v>0</v>
      </c>
      <c r="L498" s="44">
        <v>0</v>
      </c>
      <c r="M498" s="43">
        <v>389814494</v>
      </c>
      <c r="N498" s="44">
        <v>0</v>
      </c>
      <c r="O498" s="44">
        <v>0</v>
      </c>
      <c r="P498" s="43">
        <v>355292091</v>
      </c>
      <c r="Q498" s="44">
        <v>0</v>
      </c>
      <c r="R498" s="43">
        <v>42097442</v>
      </c>
      <c r="S498" s="43">
        <v>355292091</v>
      </c>
      <c r="T498" s="44">
        <v>0</v>
      </c>
      <c r="U498" s="44">
        <v>0</v>
      </c>
      <c r="V498" s="44">
        <v>0</v>
      </c>
      <c r="W498" s="40">
        <f>T498+V498</f>
        <v>0</v>
      </c>
      <c r="X498" s="18">
        <f t="shared" ref="X498:X499" si="599">M498-P498</f>
        <v>34522403</v>
      </c>
      <c r="Y498" s="34">
        <f t="shared" ref="Y498:Y499" si="600">P498-S498</f>
        <v>0</v>
      </c>
      <c r="Z498" s="18">
        <f t="shared" ref="Z498:Z499" si="601">S498-W498</f>
        <v>355292091</v>
      </c>
      <c r="AA498" s="123">
        <f t="shared" ref="AA498:AA499" si="602">S498/M498</f>
        <v>0.91143889329061223</v>
      </c>
    </row>
    <row r="499" spans="1:27" ht="25.5" x14ac:dyDescent="0.2">
      <c r="A499" s="4" t="s">
        <v>55</v>
      </c>
      <c r="B499" s="4" t="s">
        <v>56</v>
      </c>
      <c r="C499" s="19" t="s">
        <v>907</v>
      </c>
      <c r="D499" s="41" t="s">
        <v>479</v>
      </c>
      <c r="E499" s="42" t="s">
        <v>480</v>
      </c>
      <c r="F499" s="43" t="s">
        <v>368</v>
      </c>
      <c r="G499" s="43">
        <v>88687399.159999996</v>
      </c>
      <c r="H499" s="44">
        <v>0</v>
      </c>
      <c r="I499" s="44">
        <v>0</v>
      </c>
      <c r="J499" s="44">
        <v>0</v>
      </c>
      <c r="K499" s="44">
        <v>0</v>
      </c>
      <c r="L499" s="44">
        <v>0</v>
      </c>
      <c r="M499" s="43">
        <v>88687399.159999996</v>
      </c>
      <c r="N499" s="44">
        <v>0</v>
      </c>
      <c r="O499" s="44">
        <v>0</v>
      </c>
      <c r="P499" s="43">
        <v>56565934</v>
      </c>
      <c r="Q499" s="44">
        <v>0</v>
      </c>
      <c r="R499" s="43">
        <v>56565934</v>
      </c>
      <c r="S499" s="43">
        <v>56565934</v>
      </c>
      <c r="T499" s="44">
        <v>0</v>
      </c>
      <c r="U499" s="44">
        <v>0</v>
      </c>
      <c r="V499" s="44">
        <v>0</v>
      </c>
      <c r="W499" s="40">
        <f>T499+V499</f>
        <v>0</v>
      </c>
      <c r="X499" s="18">
        <f t="shared" si="599"/>
        <v>32121465.159999996</v>
      </c>
      <c r="Y499" s="34">
        <f t="shared" si="600"/>
        <v>0</v>
      </c>
      <c r="Z499" s="18">
        <f t="shared" si="601"/>
        <v>56565934</v>
      </c>
      <c r="AA499" s="123">
        <f t="shared" si="602"/>
        <v>0.63781252506852748</v>
      </c>
    </row>
    <row r="500" spans="1:27" ht="25.5" x14ac:dyDescent="0.2">
      <c r="C500" s="19" t="s">
        <v>907</v>
      </c>
      <c r="D500" s="28" t="s">
        <v>288</v>
      </c>
      <c r="E500" s="29" t="s">
        <v>481</v>
      </c>
      <c r="F500" s="17"/>
      <c r="G500" s="18"/>
      <c r="H500" s="18"/>
      <c r="I500" s="18"/>
      <c r="J500" s="18"/>
      <c r="K500" s="18"/>
      <c r="L500" s="18"/>
      <c r="M500" s="18"/>
      <c r="N500" s="34"/>
      <c r="O500" s="34"/>
      <c r="P500" s="18"/>
      <c r="Q500" s="34"/>
      <c r="R500" s="18"/>
      <c r="S500" s="18"/>
      <c r="T500" s="34"/>
      <c r="U500" s="34"/>
      <c r="V500" s="34"/>
      <c r="W500" s="40"/>
      <c r="X500" s="18"/>
      <c r="Y500" s="18"/>
      <c r="Z500" s="18"/>
      <c r="AA500" s="18"/>
    </row>
    <row r="501" spans="1:27" x14ac:dyDescent="0.2">
      <c r="A501" s="4" t="s">
        <v>55</v>
      </c>
      <c r="B501" s="4" t="s">
        <v>56</v>
      </c>
      <c r="C501" s="19" t="s">
        <v>907</v>
      </c>
      <c r="D501" s="41" t="s">
        <v>482</v>
      </c>
      <c r="E501" s="42" t="s">
        <v>233</v>
      </c>
      <c r="F501" s="43" t="s">
        <v>58</v>
      </c>
      <c r="G501" s="43">
        <v>732098782</v>
      </c>
      <c r="H501" s="44">
        <v>0</v>
      </c>
      <c r="I501" s="44">
        <v>0</v>
      </c>
      <c r="J501" s="44">
        <v>0</v>
      </c>
      <c r="K501" s="44">
        <v>0</v>
      </c>
      <c r="L501" s="44">
        <v>0</v>
      </c>
      <c r="M501" s="43">
        <v>732098782</v>
      </c>
      <c r="N501" s="44">
        <v>0</v>
      </c>
      <c r="O501" s="44">
        <f>P501-[1]ENERO!O501</f>
        <v>0</v>
      </c>
      <c r="P501" s="43">
        <v>658085546</v>
      </c>
      <c r="Q501" s="44">
        <v>0</v>
      </c>
      <c r="R501" s="43">
        <v>0</v>
      </c>
      <c r="S501" s="43">
        <v>658085546</v>
      </c>
      <c r="T501" s="44">
        <v>0</v>
      </c>
      <c r="U501" s="44">
        <v>0</v>
      </c>
      <c r="V501" s="44">
        <v>0</v>
      </c>
      <c r="W501" s="40">
        <f>T501+V501</f>
        <v>0</v>
      </c>
      <c r="X501" s="18">
        <f t="shared" ref="X501" si="603">M501-P501</f>
        <v>74013236</v>
      </c>
      <c r="Y501" s="34">
        <f t="shared" ref="Y501" si="604">P501-S501</f>
        <v>0</v>
      </c>
      <c r="Z501" s="18">
        <f t="shared" ref="Z501" si="605">S501-W501</f>
        <v>658085546</v>
      </c>
      <c r="AA501" s="123">
        <f t="shared" ref="AA501" si="606">S501/M501</f>
        <v>0.89890266474995995</v>
      </c>
    </row>
    <row r="502" spans="1:27" x14ac:dyDescent="0.2">
      <c r="C502" s="19" t="s">
        <v>907</v>
      </c>
      <c r="D502" s="28" t="s">
        <v>288</v>
      </c>
      <c r="E502" s="29" t="s">
        <v>483</v>
      </c>
      <c r="F502" s="17"/>
      <c r="G502" s="18"/>
      <c r="H502" s="34"/>
      <c r="I502" s="34"/>
      <c r="J502" s="18"/>
      <c r="K502" s="34"/>
      <c r="L502" s="18"/>
      <c r="M502" s="18"/>
      <c r="N502" s="18"/>
      <c r="O502" s="18"/>
      <c r="P502" s="18"/>
      <c r="Q502" s="18"/>
      <c r="R502" s="18"/>
      <c r="S502" s="18"/>
      <c r="T502" s="34"/>
      <c r="U502" s="34"/>
      <c r="V502" s="34"/>
      <c r="W502" s="40"/>
      <c r="X502" s="18"/>
      <c r="Y502" s="34"/>
      <c r="Z502" s="18"/>
      <c r="AA502" s="18"/>
    </row>
    <row r="503" spans="1:27" x14ac:dyDescent="0.2">
      <c r="A503" s="4" t="s">
        <v>55</v>
      </c>
      <c r="B503" s="4" t="s">
        <v>56</v>
      </c>
      <c r="C503" s="19" t="s">
        <v>907</v>
      </c>
      <c r="D503" s="41" t="s">
        <v>484</v>
      </c>
      <c r="E503" s="42" t="s">
        <v>233</v>
      </c>
      <c r="F503" s="43" t="s">
        <v>58</v>
      </c>
      <c r="G503" s="44">
        <v>0</v>
      </c>
      <c r="H503" s="44">
        <v>0</v>
      </c>
      <c r="I503" s="44">
        <v>0</v>
      </c>
      <c r="J503" s="43">
        <v>60325921.149999999</v>
      </c>
      <c r="K503" s="44">
        <v>0</v>
      </c>
      <c r="L503" s="43">
        <f>H503-I503+J503-K503</f>
        <v>60325921.149999999</v>
      </c>
      <c r="M503" s="43">
        <f>G503+L503</f>
        <v>60325921.149999999</v>
      </c>
      <c r="N503" s="44">
        <v>0</v>
      </c>
      <c r="O503" s="44">
        <v>0</v>
      </c>
      <c r="P503" s="44">
        <v>0</v>
      </c>
      <c r="Q503" s="44">
        <v>0</v>
      </c>
      <c r="R503" s="44">
        <v>0</v>
      </c>
      <c r="S503" s="44">
        <v>0</v>
      </c>
      <c r="T503" s="44">
        <v>0</v>
      </c>
      <c r="U503" s="44">
        <v>0</v>
      </c>
      <c r="V503" s="44">
        <v>0</v>
      </c>
      <c r="W503" s="40">
        <f>T503+V503</f>
        <v>0</v>
      </c>
      <c r="X503" s="18">
        <f t="shared" ref="X503" si="607">M503-P503</f>
        <v>60325921.149999999</v>
      </c>
      <c r="Y503" s="34">
        <f t="shared" ref="Y503" si="608">P503-S503</f>
        <v>0</v>
      </c>
      <c r="Z503" s="34">
        <f t="shared" ref="Z503" si="609">S503-W503</f>
        <v>0</v>
      </c>
      <c r="AA503" s="123">
        <f t="shared" ref="AA503" si="610">S503/M503</f>
        <v>0</v>
      </c>
    </row>
    <row r="504" spans="1:27" x14ac:dyDescent="0.2">
      <c r="C504" s="19" t="s">
        <v>907</v>
      </c>
      <c r="D504" s="28" t="s">
        <v>288</v>
      </c>
      <c r="E504" s="29" t="s">
        <v>485</v>
      </c>
      <c r="F504" s="17"/>
      <c r="G504" s="18"/>
      <c r="H504" s="34"/>
      <c r="I504" s="34"/>
      <c r="J504" s="18"/>
      <c r="K504" s="34"/>
      <c r="L504" s="18"/>
      <c r="M504" s="18"/>
      <c r="N504" s="34"/>
      <c r="O504" s="34"/>
      <c r="P504" s="34"/>
      <c r="Q504" s="34"/>
      <c r="R504" s="34"/>
      <c r="S504" s="34"/>
      <c r="T504" s="34"/>
      <c r="U504" s="34"/>
      <c r="V504" s="34"/>
      <c r="W504" s="40"/>
      <c r="X504" s="18"/>
      <c r="Y504" s="34"/>
      <c r="Z504" s="34"/>
      <c r="AA504" s="18"/>
    </row>
    <row r="505" spans="1:27" x14ac:dyDescent="0.2">
      <c r="A505" s="4" t="s">
        <v>55</v>
      </c>
      <c r="B505" s="4" t="s">
        <v>56</v>
      </c>
      <c r="C505" s="19" t="s">
        <v>907</v>
      </c>
      <c r="D505" s="41" t="s">
        <v>486</v>
      </c>
      <c r="E505" s="42" t="s">
        <v>233</v>
      </c>
      <c r="F505" s="43" t="s">
        <v>58</v>
      </c>
      <c r="G505" s="43">
        <v>530557116</v>
      </c>
      <c r="H505" s="44">
        <v>0</v>
      </c>
      <c r="I505" s="44">
        <v>0</v>
      </c>
      <c r="J505" s="44">
        <v>0</v>
      </c>
      <c r="K505" s="44">
        <v>0</v>
      </c>
      <c r="L505" s="44">
        <v>0</v>
      </c>
      <c r="M505" s="43">
        <v>530557116</v>
      </c>
      <c r="N505" s="44">
        <v>0</v>
      </c>
      <c r="O505" s="44">
        <v>0</v>
      </c>
      <c r="P505" s="44">
        <v>0</v>
      </c>
      <c r="Q505" s="44">
        <v>0</v>
      </c>
      <c r="R505" s="44">
        <v>0</v>
      </c>
      <c r="S505" s="44">
        <v>0</v>
      </c>
      <c r="T505" s="44">
        <v>0</v>
      </c>
      <c r="U505" s="44">
        <v>0</v>
      </c>
      <c r="V505" s="44">
        <v>0</v>
      </c>
      <c r="W505" s="40">
        <f>T505+V505</f>
        <v>0</v>
      </c>
      <c r="X505" s="18">
        <f t="shared" ref="X505" si="611">M505-P505</f>
        <v>530557116</v>
      </c>
      <c r="Y505" s="34">
        <f t="shared" ref="Y505" si="612">P505-S505</f>
        <v>0</v>
      </c>
      <c r="Z505" s="34">
        <f t="shared" ref="Z505" si="613">S505-W505</f>
        <v>0</v>
      </c>
      <c r="AA505" s="123">
        <f t="shared" ref="AA505" si="614">S505/M505</f>
        <v>0</v>
      </c>
    </row>
    <row r="506" spans="1:27" ht="38.25" x14ac:dyDescent="0.2">
      <c r="C506" s="19" t="s">
        <v>907</v>
      </c>
      <c r="D506" s="16"/>
      <c r="E506" s="29" t="s">
        <v>193</v>
      </c>
      <c r="F506" s="17"/>
      <c r="G506" s="18"/>
      <c r="H506" s="34"/>
      <c r="I506" s="34"/>
      <c r="J506" s="18"/>
      <c r="K506" s="18"/>
      <c r="L506" s="18"/>
      <c r="M506" s="18"/>
      <c r="N506" s="34"/>
      <c r="O506" s="34"/>
      <c r="P506" s="34"/>
      <c r="Q506" s="34"/>
      <c r="R506" s="34"/>
      <c r="S506" s="34"/>
      <c r="T506" s="34"/>
      <c r="U506" s="34"/>
      <c r="V506" s="34"/>
      <c r="W506" s="40"/>
      <c r="X506" s="18"/>
      <c r="Y506" s="34"/>
      <c r="Z506" s="18"/>
      <c r="AA506" s="18"/>
    </row>
    <row r="507" spans="1:27" ht="18.75" customHeight="1" x14ac:dyDescent="0.2">
      <c r="C507" s="19" t="s">
        <v>907</v>
      </c>
      <c r="D507" s="28" t="s">
        <v>288</v>
      </c>
      <c r="E507" s="29" t="s">
        <v>487</v>
      </c>
      <c r="F507" s="17"/>
      <c r="G507" s="18"/>
      <c r="H507" s="34"/>
      <c r="I507" s="34"/>
      <c r="J507" s="18"/>
      <c r="K507" s="18"/>
      <c r="L507" s="18"/>
      <c r="M507" s="18"/>
      <c r="N507" s="34"/>
      <c r="O507" s="34"/>
      <c r="P507" s="34"/>
      <c r="Q507" s="34"/>
      <c r="R507" s="34"/>
      <c r="S507" s="34"/>
      <c r="T507" s="34"/>
      <c r="U507" s="34"/>
      <c r="V507" s="34"/>
      <c r="W507" s="40"/>
      <c r="X507" s="18"/>
      <c r="Y507" s="34"/>
      <c r="Z507" s="18"/>
      <c r="AA507" s="18"/>
    </row>
    <row r="508" spans="1:27" ht="18.75" customHeight="1" x14ac:dyDescent="0.2">
      <c r="A508" s="4" t="s">
        <v>55</v>
      </c>
      <c r="B508" s="4" t="s">
        <v>56</v>
      </c>
      <c r="C508" s="19" t="s">
        <v>907</v>
      </c>
      <c r="D508" s="41" t="s">
        <v>488</v>
      </c>
      <c r="E508" s="42" t="s">
        <v>439</v>
      </c>
      <c r="F508" s="43" t="s">
        <v>428</v>
      </c>
      <c r="G508" s="43">
        <v>14800000000</v>
      </c>
      <c r="H508" s="44">
        <v>0</v>
      </c>
      <c r="I508" s="44">
        <v>0</v>
      </c>
      <c r="J508" s="44">
        <v>0</v>
      </c>
      <c r="K508" s="43">
        <v>265538240</v>
      </c>
      <c r="L508" s="43">
        <f>H508-I508+J508-K508</f>
        <v>-265538240</v>
      </c>
      <c r="M508" s="43">
        <f>G508+L508</f>
        <v>14534461760</v>
      </c>
      <c r="N508" s="44">
        <v>0</v>
      </c>
      <c r="O508" s="114">
        <v>1763520211</v>
      </c>
      <c r="P508" s="114">
        <v>1763520211</v>
      </c>
      <c r="Q508" s="44">
        <v>0</v>
      </c>
      <c r="R508" s="114">
        <v>1763520211</v>
      </c>
      <c r="S508" s="114">
        <v>1763520211</v>
      </c>
      <c r="T508" s="44">
        <v>0</v>
      </c>
      <c r="U508" s="114">
        <v>1763520211</v>
      </c>
      <c r="V508" s="114">
        <v>1763520211</v>
      </c>
      <c r="W508" s="111">
        <f t="shared" si="555"/>
        <v>1763520211</v>
      </c>
      <c r="X508" s="18">
        <f t="shared" ref="X508:X509" si="615">M508-P508</f>
        <v>12770941549</v>
      </c>
      <c r="Y508" s="34">
        <f t="shared" ref="Y508:Y509" si="616">P508-S508</f>
        <v>0</v>
      </c>
      <c r="Z508" s="34">
        <f t="shared" ref="Z508:Z509" si="617">S508-W508</f>
        <v>0</v>
      </c>
      <c r="AA508" s="123">
        <f t="shared" ref="AA508:AA509" si="618">S508/M508</f>
        <v>0.12133371294514314</v>
      </c>
    </row>
    <row r="509" spans="1:27" ht="18.75" customHeight="1" x14ac:dyDescent="0.2">
      <c r="A509" s="4" t="s">
        <v>55</v>
      </c>
      <c r="B509" s="4" t="s">
        <v>56</v>
      </c>
      <c r="C509" s="19" t="s">
        <v>907</v>
      </c>
      <c r="D509" s="41" t="s">
        <v>489</v>
      </c>
      <c r="E509" s="42" t="s">
        <v>490</v>
      </c>
      <c r="F509" s="43" t="s">
        <v>368</v>
      </c>
      <c r="G509" s="43">
        <v>28000000.199999999</v>
      </c>
      <c r="H509" s="44">
        <v>0</v>
      </c>
      <c r="I509" s="44">
        <v>0</v>
      </c>
      <c r="J509" s="44">
        <v>0</v>
      </c>
      <c r="K509" s="44">
        <v>0</v>
      </c>
      <c r="L509" s="44">
        <v>0</v>
      </c>
      <c r="M509" s="43">
        <v>28000000.199999999</v>
      </c>
      <c r="N509" s="44">
        <v>0</v>
      </c>
      <c r="O509" s="114">
        <v>1790060</v>
      </c>
      <c r="P509" s="114">
        <v>3581606</v>
      </c>
      <c r="Q509" s="43">
        <v>0</v>
      </c>
      <c r="R509" s="114">
        <v>1790060</v>
      </c>
      <c r="S509" s="114">
        <v>3581606</v>
      </c>
      <c r="T509" s="44">
        <v>0</v>
      </c>
      <c r="U509" s="114">
        <v>1790060</v>
      </c>
      <c r="V509" s="114">
        <v>3581606</v>
      </c>
      <c r="W509" s="111">
        <f t="shared" si="555"/>
        <v>3581606</v>
      </c>
      <c r="X509" s="18">
        <f t="shared" si="615"/>
        <v>24418394.199999999</v>
      </c>
      <c r="Y509" s="34">
        <f t="shared" si="616"/>
        <v>0</v>
      </c>
      <c r="Z509" s="34">
        <f t="shared" si="617"/>
        <v>0</v>
      </c>
      <c r="AA509" s="123">
        <f t="shared" si="618"/>
        <v>0.12791449908632502</v>
      </c>
    </row>
    <row r="510" spans="1:27" ht="25.5" x14ac:dyDescent="0.2">
      <c r="C510" s="19" t="s">
        <v>907</v>
      </c>
      <c r="D510" s="16"/>
      <c r="E510" s="29" t="s">
        <v>195</v>
      </c>
      <c r="F510" s="17"/>
      <c r="G510" s="18"/>
      <c r="H510" s="34"/>
      <c r="I510" s="34"/>
      <c r="J510" s="34"/>
      <c r="K510" s="34"/>
      <c r="L510" s="34"/>
      <c r="M510" s="18"/>
      <c r="N510" s="34"/>
      <c r="O510" s="18"/>
      <c r="P510" s="18"/>
      <c r="Q510" s="18"/>
      <c r="R510" s="18"/>
      <c r="S510" s="18"/>
      <c r="T510" s="18"/>
      <c r="U510" s="18"/>
      <c r="V510" s="18"/>
      <c r="W510" s="30"/>
      <c r="X510" s="18"/>
      <c r="Y510" s="18"/>
      <c r="Z510" s="18"/>
      <c r="AA510" s="18"/>
    </row>
    <row r="511" spans="1:27" ht="18.75" customHeight="1" x14ac:dyDescent="0.2">
      <c r="C511" s="19" t="s">
        <v>907</v>
      </c>
      <c r="D511" s="28" t="s">
        <v>288</v>
      </c>
      <c r="E511" s="29" t="s">
        <v>487</v>
      </c>
      <c r="F511" s="17"/>
      <c r="G511" s="18"/>
      <c r="H511" s="34"/>
      <c r="I511" s="34"/>
      <c r="J511" s="34"/>
      <c r="K511" s="34"/>
      <c r="L511" s="34"/>
      <c r="M511" s="18"/>
      <c r="N511" s="34"/>
      <c r="O511" s="18"/>
      <c r="P511" s="18"/>
      <c r="Q511" s="18"/>
      <c r="R511" s="18"/>
      <c r="S511" s="18"/>
      <c r="T511" s="18"/>
      <c r="U511" s="18"/>
      <c r="V511" s="18"/>
      <c r="W511" s="30"/>
      <c r="X511" s="18"/>
      <c r="Y511" s="18"/>
      <c r="Z511" s="18"/>
      <c r="AA511" s="18"/>
    </row>
    <row r="512" spans="1:27" ht="18.75" customHeight="1" x14ac:dyDescent="0.2">
      <c r="A512" s="4" t="s">
        <v>55</v>
      </c>
      <c r="B512" s="4" t="s">
        <v>56</v>
      </c>
      <c r="C512" s="19" t="s">
        <v>907</v>
      </c>
      <c r="D512" s="41" t="s">
        <v>491</v>
      </c>
      <c r="E512" s="42" t="s">
        <v>490</v>
      </c>
      <c r="F512" s="43" t="s">
        <v>368</v>
      </c>
      <c r="G512" s="43">
        <v>192000000</v>
      </c>
      <c r="H512" s="44">
        <v>0</v>
      </c>
      <c r="I512" s="44">
        <v>0</v>
      </c>
      <c r="J512" s="44">
        <v>0</v>
      </c>
      <c r="K512" s="44">
        <v>0</v>
      </c>
      <c r="L512" s="44">
        <v>0</v>
      </c>
      <c r="M512" s="43">
        <v>192000000</v>
      </c>
      <c r="N512" s="44">
        <v>0</v>
      </c>
      <c r="O512" s="44">
        <v>0</v>
      </c>
      <c r="P512" s="43">
        <v>166971871</v>
      </c>
      <c r="Q512" s="43">
        <v>0</v>
      </c>
      <c r="R512" s="43">
        <v>166971871</v>
      </c>
      <c r="S512" s="43">
        <v>166971871</v>
      </c>
      <c r="T512" s="44">
        <v>0</v>
      </c>
      <c r="U512" s="44">
        <v>0</v>
      </c>
      <c r="V512" s="44">
        <v>0</v>
      </c>
      <c r="W512" s="40">
        <f>T512+V512</f>
        <v>0</v>
      </c>
      <c r="X512" s="18">
        <f t="shared" ref="X512" si="619">M512-P512</f>
        <v>25028129</v>
      </c>
      <c r="Y512" s="34">
        <f t="shared" ref="Y512" si="620">P512-S512</f>
        <v>0</v>
      </c>
      <c r="Z512" s="18">
        <f t="shared" ref="Z512" si="621">S512-W512</f>
        <v>166971871</v>
      </c>
      <c r="AA512" s="123">
        <f t="shared" ref="AA512" si="622">S512/M512</f>
        <v>0.86964516145833337</v>
      </c>
    </row>
    <row r="513" spans="1:27" ht="25.5" x14ac:dyDescent="0.2">
      <c r="C513" s="19" t="s">
        <v>907</v>
      </c>
      <c r="D513" s="16"/>
      <c r="E513" s="29" t="s">
        <v>197</v>
      </c>
      <c r="F513" s="17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34"/>
      <c r="U513" s="34"/>
      <c r="V513" s="34"/>
      <c r="W513" s="40"/>
      <c r="X513" s="18"/>
      <c r="Y513" s="18"/>
      <c r="Z513" s="18"/>
      <c r="AA513" s="18"/>
    </row>
    <row r="514" spans="1:27" ht="18.75" customHeight="1" x14ac:dyDescent="0.2">
      <c r="C514" s="19" t="s">
        <v>907</v>
      </c>
      <c r="D514" s="16"/>
      <c r="E514" s="29" t="s">
        <v>492</v>
      </c>
      <c r="F514" s="17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34"/>
      <c r="U514" s="34"/>
      <c r="V514" s="34"/>
      <c r="W514" s="40"/>
      <c r="X514" s="18"/>
      <c r="Y514" s="18"/>
      <c r="Z514" s="18"/>
      <c r="AA514" s="18"/>
    </row>
    <row r="515" spans="1:27" ht="18.75" customHeight="1" x14ac:dyDescent="0.2">
      <c r="A515" s="4" t="s">
        <v>55</v>
      </c>
      <c r="B515" s="4" t="s">
        <v>56</v>
      </c>
      <c r="C515" s="19" t="s">
        <v>907</v>
      </c>
      <c r="D515" s="41" t="s">
        <v>493</v>
      </c>
      <c r="E515" s="42" t="s">
        <v>233</v>
      </c>
      <c r="F515" s="43" t="s">
        <v>58</v>
      </c>
      <c r="G515" s="44">
        <v>0</v>
      </c>
      <c r="H515" s="44">
        <v>0</v>
      </c>
      <c r="I515" s="44">
        <v>0</v>
      </c>
      <c r="J515" s="43">
        <v>503000000</v>
      </c>
      <c r="K515" s="44">
        <v>0</v>
      </c>
      <c r="L515" s="43">
        <f>H515-I515+J515-K515</f>
        <v>503000000</v>
      </c>
      <c r="M515" s="43">
        <f>G515+L515</f>
        <v>503000000</v>
      </c>
      <c r="N515" s="44">
        <v>0</v>
      </c>
      <c r="O515" s="44">
        <v>0</v>
      </c>
      <c r="P515" s="44">
        <v>0</v>
      </c>
      <c r="Q515" s="44">
        <v>0</v>
      </c>
      <c r="R515" s="44">
        <v>0</v>
      </c>
      <c r="S515" s="44">
        <v>0</v>
      </c>
      <c r="T515" s="44">
        <v>0</v>
      </c>
      <c r="U515" s="44">
        <v>0</v>
      </c>
      <c r="V515" s="44">
        <v>0</v>
      </c>
      <c r="W515" s="40">
        <f>T515+V515</f>
        <v>0</v>
      </c>
      <c r="X515" s="18">
        <f t="shared" ref="X515" si="623">M515-P515</f>
        <v>503000000</v>
      </c>
      <c r="Y515" s="34">
        <f t="shared" ref="Y515" si="624">P515-S515</f>
        <v>0</v>
      </c>
      <c r="Z515" s="34">
        <f t="shared" ref="Z515" si="625">S515-W515</f>
        <v>0</v>
      </c>
      <c r="AA515" s="123">
        <f t="shared" ref="AA515" si="626">S515/M515</f>
        <v>0</v>
      </c>
    </row>
    <row r="516" spans="1:27" ht="18.75" customHeight="1" x14ac:dyDescent="0.2">
      <c r="C516" s="19" t="s">
        <v>907</v>
      </c>
      <c r="D516" s="28" t="s">
        <v>288</v>
      </c>
      <c r="E516" s="29" t="s">
        <v>494</v>
      </c>
      <c r="F516" s="17"/>
      <c r="G516" s="18"/>
      <c r="H516" s="34"/>
      <c r="I516" s="34"/>
      <c r="J516" s="18"/>
      <c r="K516" s="34"/>
      <c r="L516" s="18"/>
      <c r="M516" s="18"/>
      <c r="N516" s="18"/>
      <c r="O516" s="18"/>
      <c r="P516" s="18"/>
      <c r="Q516" s="18"/>
      <c r="R516" s="18"/>
      <c r="S516" s="18"/>
      <c r="T516" s="34"/>
      <c r="U516" s="34"/>
      <c r="V516" s="34"/>
      <c r="W516" s="40"/>
      <c r="X516" s="18"/>
      <c r="Y516" s="18"/>
      <c r="Z516" s="18"/>
      <c r="AA516" s="18"/>
    </row>
    <row r="517" spans="1:27" ht="18.75" customHeight="1" x14ac:dyDescent="0.2">
      <c r="A517" s="4" t="s">
        <v>55</v>
      </c>
      <c r="B517" s="4" t="s">
        <v>56</v>
      </c>
      <c r="C517" s="19" t="s">
        <v>907</v>
      </c>
      <c r="D517" s="41" t="s">
        <v>495</v>
      </c>
      <c r="E517" s="42" t="s">
        <v>233</v>
      </c>
      <c r="F517" s="43" t="s">
        <v>58</v>
      </c>
      <c r="G517" s="43">
        <v>100000000</v>
      </c>
      <c r="H517" s="44">
        <v>0</v>
      </c>
      <c r="I517" s="44">
        <v>0</v>
      </c>
      <c r="J517" s="44">
        <v>0</v>
      </c>
      <c r="K517" s="44">
        <v>0</v>
      </c>
      <c r="L517" s="44">
        <f>H517-I517+J517-K517</f>
        <v>0</v>
      </c>
      <c r="M517" s="43">
        <f>G517+L517</f>
        <v>100000000</v>
      </c>
      <c r="N517" s="44">
        <v>0</v>
      </c>
      <c r="O517" s="44">
        <v>0</v>
      </c>
      <c r="P517" s="43">
        <v>46277775</v>
      </c>
      <c r="Q517" s="43">
        <v>0</v>
      </c>
      <c r="R517" s="43">
        <v>0</v>
      </c>
      <c r="S517" s="43">
        <v>46277775</v>
      </c>
      <c r="T517" s="44">
        <v>0</v>
      </c>
      <c r="U517" s="44">
        <v>0</v>
      </c>
      <c r="V517" s="44">
        <v>0</v>
      </c>
      <c r="W517" s="40">
        <f>T517+V517</f>
        <v>0</v>
      </c>
      <c r="X517" s="18">
        <f t="shared" ref="X517" si="627">M517-P517</f>
        <v>53722225</v>
      </c>
      <c r="Y517" s="34">
        <f t="shared" ref="Y517" si="628">P517-S517</f>
        <v>0</v>
      </c>
      <c r="Z517" s="18">
        <f t="shared" ref="Z517" si="629">S517-W517</f>
        <v>46277775</v>
      </c>
      <c r="AA517" s="123">
        <f t="shared" ref="AA517" si="630">S517/M517</f>
        <v>0.46277774999999999</v>
      </c>
    </row>
    <row r="518" spans="1:27" ht="18.75" customHeight="1" x14ac:dyDescent="0.2">
      <c r="A518" s="4"/>
      <c r="B518" s="4"/>
      <c r="C518" s="19" t="s">
        <v>907</v>
      </c>
      <c r="D518" s="41" t="s">
        <v>288</v>
      </c>
      <c r="E518" s="74" t="s">
        <v>463</v>
      </c>
      <c r="F518" s="43"/>
      <c r="G518" s="43"/>
      <c r="H518" s="44"/>
      <c r="I518" s="44"/>
      <c r="J518" s="43"/>
      <c r="K518" s="44"/>
      <c r="L518" s="43"/>
      <c r="M518" s="43"/>
      <c r="N518" s="44"/>
      <c r="O518" s="44"/>
      <c r="P518" s="43"/>
      <c r="Q518" s="43"/>
      <c r="R518" s="43"/>
      <c r="S518" s="43"/>
      <c r="T518" s="44"/>
      <c r="U518" s="44"/>
      <c r="V518" s="44"/>
      <c r="W518" s="40"/>
      <c r="X518" s="43"/>
      <c r="Y518" s="43"/>
      <c r="Z518" s="43"/>
      <c r="AA518" s="32"/>
    </row>
    <row r="519" spans="1:27" ht="18.75" customHeight="1" x14ac:dyDescent="0.2">
      <c r="A519" s="4"/>
      <c r="B519" s="4"/>
      <c r="C519" s="19" t="s">
        <v>907</v>
      </c>
      <c r="D519" s="139" t="s">
        <v>909</v>
      </c>
      <c r="E519" s="42" t="s">
        <v>233</v>
      </c>
      <c r="F519" s="43"/>
      <c r="G519" s="44">
        <v>0</v>
      </c>
      <c r="H519" s="44">
        <v>0</v>
      </c>
      <c r="I519" s="44">
        <v>0</v>
      </c>
      <c r="J519" s="43">
        <v>1556000000</v>
      </c>
      <c r="K519" s="44">
        <v>0</v>
      </c>
      <c r="L519" s="43">
        <f>H519-I519+J519-K519</f>
        <v>1556000000</v>
      </c>
      <c r="M519" s="43">
        <f>G519+L519</f>
        <v>1556000000</v>
      </c>
      <c r="N519" s="44">
        <v>0</v>
      </c>
      <c r="O519" s="44">
        <v>0</v>
      </c>
      <c r="P519" s="43">
        <v>0</v>
      </c>
      <c r="Q519" s="43">
        <v>0</v>
      </c>
      <c r="R519" s="43">
        <v>0</v>
      </c>
      <c r="S519" s="43">
        <v>0</v>
      </c>
      <c r="T519" s="44">
        <v>0</v>
      </c>
      <c r="U519" s="44">
        <v>0</v>
      </c>
      <c r="V519" s="44">
        <v>0</v>
      </c>
      <c r="W519" s="40">
        <f>T519+V519</f>
        <v>0</v>
      </c>
      <c r="X519" s="18">
        <f t="shared" ref="X519" si="631">M519-P519</f>
        <v>1556000000</v>
      </c>
      <c r="Y519" s="34">
        <f t="shared" ref="Y519" si="632">P519-S519</f>
        <v>0</v>
      </c>
      <c r="Z519" s="34">
        <f t="shared" ref="Z519" si="633">S519-W519</f>
        <v>0</v>
      </c>
      <c r="AA519" s="123">
        <f t="shared" ref="AA519" si="634">S519/M519</f>
        <v>0</v>
      </c>
    </row>
    <row r="520" spans="1:27" ht="18.75" customHeight="1" x14ac:dyDescent="0.2">
      <c r="C520" s="19" t="s">
        <v>907</v>
      </c>
      <c r="D520" s="28" t="s">
        <v>288</v>
      </c>
      <c r="E520" s="29" t="s">
        <v>496</v>
      </c>
      <c r="F520" s="17"/>
      <c r="G520" s="34"/>
      <c r="H520" s="34"/>
      <c r="I520" s="34"/>
      <c r="J520" s="18"/>
      <c r="K520" s="34"/>
      <c r="L520" s="18"/>
      <c r="M520" s="18"/>
      <c r="N520" s="18"/>
      <c r="O520" s="18"/>
      <c r="P520" s="18"/>
      <c r="Q520" s="18"/>
      <c r="R520" s="18"/>
      <c r="S520" s="18"/>
      <c r="T520" s="34"/>
      <c r="U520" s="34"/>
      <c r="V520" s="34"/>
      <c r="W520" s="40">
        <f t="shared" si="555"/>
        <v>0</v>
      </c>
      <c r="X520" s="18"/>
      <c r="Y520" s="18"/>
      <c r="Z520" s="18"/>
      <c r="AA520" s="18"/>
    </row>
    <row r="521" spans="1:27" ht="18.75" customHeight="1" x14ac:dyDescent="0.2">
      <c r="A521" s="4" t="s">
        <v>55</v>
      </c>
      <c r="B521" s="4" t="s">
        <v>56</v>
      </c>
      <c r="C521" s="19" t="s">
        <v>907</v>
      </c>
      <c r="D521" s="41" t="s">
        <v>497</v>
      </c>
      <c r="E521" s="42" t="s">
        <v>233</v>
      </c>
      <c r="F521" s="43" t="s">
        <v>58</v>
      </c>
      <c r="G521" s="44">
        <v>0</v>
      </c>
      <c r="H521" s="44">
        <v>0</v>
      </c>
      <c r="I521" s="44">
        <v>0</v>
      </c>
      <c r="J521" s="43">
        <v>91680424</v>
      </c>
      <c r="K521" s="44">
        <v>0</v>
      </c>
      <c r="L521" s="43">
        <f>H521-I521+J521-K521</f>
        <v>91680424</v>
      </c>
      <c r="M521" s="43">
        <f>G521+L521</f>
        <v>91680424</v>
      </c>
      <c r="N521" s="44">
        <v>0</v>
      </c>
      <c r="O521" s="114">
        <v>80261243</v>
      </c>
      <c r="P521" s="114">
        <v>80261243</v>
      </c>
      <c r="Q521" s="44">
        <v>0</v>
      </c>
      <c r="R521" s="44">
        <v>80261243</v>
      </c>
      <c r="S521" s="114">
        <v>80261243</v>
      </c>
      <c r="T521" s="44">
        <v>0</v>
      </c>
      <c r="U521" s="114">
        <v>80261243</v>
      </c>
      <c r="V521" s="114">
        <v>80261243</v>
      </c>
      <c r="W521" s="39">
        <f>T521+V521</f>
        <v>80261243</v>
      </c>
      <c r="X521" s="18">
        <f t="shared" ref="X521" si="635">M521-P521</f>
        <v>11419181</v>
      </c>
      <c r="Y521" s="34">
        <f t="shared" ref="Y521" si="636">P521-S521</f>
        <v>0</v>
      </c>
      <c r="Z521" s="34">
        <f t="shared" ref="Z521" si="637">S521-W521</f>
        <v>0</v>
      </c>
      <c r="AA521" s="123">
        <f t="shared" ref="AA521" si="638">S521/M521</f>
        <v>0.87544580945655315</v>
      </c>
    </row>
    <row r="522" spans="1:27" ht="18.75" customHeight="1" x14ac:dyDescent="0.2">
      <c r="C522" s="19" t="s">
        <v>907</v>
      </c>
      <c r="D522" s="28" t="s">
        <v>288</v>
      </c>
      <c r="E522" s="29" t="s">
        <v>498</v>
      </c>
      <c r="F522" s="17"/>
      <c r="G522" s="18"/>
      <c r="H522" s="34"/>
      <c r="I522" s="34"/>
      <c r="J522" s="18"/>
      <c r="K522" s="18"/>
      <c r="L522" s="18"/>
      <c r="M522" s="18"/>
      <c r="N522" s="34"/>
      <c r="O522" s="34"/>
      <c r="P522" s="34"/>
      <c r="Q522" s="34"/>
      <c r="R522" s="34"/>
      <c r="S522" s="34"/>
      <c r="T522" s="34"/>
      <c r="U522" s="34"/>
      <c r="V522" s="34"/>
      <c r="W522" s="40">
        <f t="shared" si="555"/>
        <v>0</v>
      </c>
      <c r="X522" s="18"/>
      <c r="Y522" s="18"/>
      <c r="Z522" s="18"/>
      <c r="AA522" s="18"/>
    </row>
    <row r="523" spans="1:27" ht="18.75" customHeight="1" x14ac:dyDescent="0.2">
      <c r="A523" s="4" t="s">
        <v>55</v>
      </c>
      <c r="B523" s="4" t="s">
        <v>56</v>
      </c>
      <c r="C523" s="19" t="s">
        <v>907</v>
      </c>
      <c r="D523" s="41" t="s">
        <v>499</v>
      </c>
      <c r="E523" s="42" t="s">
        <v>233</v>
      </c>
      <c r="F523" s="43" t="s">
        <v>58</v>
      </c>
      <c r="G523" s="43">
        <v>5000000000</v>
      </c>
      <c r="H523" s="44">
        <v>0</v>
      </c>
      <c r="I523" s="44">
        <v>0</v>
      </c>
      <c r="J523" s="44">
        <v>0</v>
      </c>
      <c r="K523" s="43">
        <v>2332895811.1500001</v>
      </c>
      <c r="L523" s="43">
        <f>H523-I523+J523-K523</f>
        <v>-2332895811.1500001</v>
      </c>
      <c r="M523" s="43">
        <f>G523+L523</f>
        <v>2667104188.8499999</v>
      </c>
      <c r="N523" s="44">
        <v>0</v>
      </c>
      <c r="O523" s="114">
        <v>1434700926</v>
      </c>
      <c r="P523" s="114">
        <v>1434700926</v>
      </c>
      <c r="Q523" s="44">
        <v>0</v>
      </c>
      <c r="R523" s="44">
        <v>1434700926</v>
      </c>
      <c r="S523" s="44">
        <v>1434700926</v>
      </c>
      <c r="T523" s="44">
        <v>0</v>
      </c>
      <c r="U523" s="44">
        <v>0</v>
      </c>
      <c r="V523" s="44">
        <v>0</v>
      </c>
      <c r="W523" s="40">
        <f>T523+V523</f>
        <v>0</v>
      </c>
      <c r="X523" s="18">
        <f t="shared" ref="X523" si="639">M523-P523</f>
        <v>1232403262.8499999</v>
      </c>
      <c r="Y523" s="34">
        <f t="shared" ref="Y523" si="640">P523-S523</f>
        <v>0</v>
      </c>
      <c r="Z523" s="18">
        <f t="shared" ref="Z523" si="641">S523-W523</f>
        <v>1434700926</v>
      </c>
      <c r="AA523" s="123">
        <f t="shared" ref="AA523" si="642">S523/M523</f>
        <v>0.53792458952217137</v>
      </c>
    </row>
    <row r="524" spans="1:27" ht="18.75" customHeight="1" x14ac:dyDescent="0.2">
      <c r="C524" s="19" t="s">
        <v>907</v>
      </c>
      <c r="D524" s="28" t="s">
        <v>288</v>
      </c>
      <c r="E524" s="29" t="s">
        <v>483</v>
      </c>
      <c r="F524" s="17"/>
      <c r="G524" s="18"/>
      <c r="H524" s="34"/>
      <c r="I524" s="34"/>
      <c r="J524" s="18"/>
      <c r="K524" s="18"/>
      <c r="L524" s="18"/>
      <c r="M524" s="18"/>
      <c r="N524" s="34"/>
      <c r="O524" s="34"/>
      <c r="P524" s="34"/>
      <c r="Q524" s="34"/>
      <c r="R524" s="34"/>
      <c r="S524" s="34"/>
      <c r="T524" s="34"/>
      <c r="U524" s="34"/>
      <c r="V524" s="34"/>
      <c r="W524" s="40"/>
      <c r="X524" s="18"/>
      <c r="Y524" s="18"/>
      <c r="Z524" s="18"/>
      <c r="AA524" s="18"/>
    </row>
    <row r="525" spans="1:27" ht="18.75" customHeight="1" x14ac:dyDescent="0.2">
      <c r="A525" s="4" t="s">
        <v>55</v>
      </c>
      <c r="B525" s="4" t="s">
        <v>56</v>
      </c>
      <c r="C525" s="19" t="s">
        <v>907</v>
      </c>
      <c r="D525" s="41" t="s">
        <v>500</v>
      </c>
      <c r="E525" s="42" t="s">
        <v>233</v>
      </c>
      <c r="F525" s="43" t="s">
        <v>58</v>
      </c>
      <c r="G525" s="44">
        <v>0</v>
      </c>
      <c r="H525" s="44">
        <v>0</v>
      </c>
      <c r="I525" s="44">
        <v>0</v>
      </c>
      <c r="J525" s="43">
        <v>36519672</v>
      </c>
      <c r="K525" s="44">
        <v>0</v>
      </c>
      <c r="L525" s="43">
        <f>H525-I525+J525-K525</f>
        <v>36519672</v>
      </c>
      <c r="M525" s="43">
        <f>G525+L525</f>
        <v>36519672</v>
      </c>
      <c r="N525" s="44">
        <v>0</v>
      </c>
      <c r="O525" s="44">
        <v>0</v>
      </c>
      <c r="P525" s="44">
        <v>0</v>
      </c>
      <c r="Q525" s="44">
        <v>0</v>
      </c>
      <c r="R525" s="44">
        <v>0</v>
      </c>
      <c r="S525" s="44">
        <v>0</v>
      </c>
      <c r="T525" s="44">
        <v>0</v>
      </c>
      <c r="U525" s="44">
        <v>0</v>
      </c>
      <c r="V525" s="44">
        <v>0</v>
      </c>
      <c r="W525" s="40">
        <f>T525+V525</f>
        <v>0</v>
      </c>
      <c r="X525" s="18">
        <f t="shared" ref="X525" si="643">M525-P525</f>
        <v>36519672</v>
      </c>
      <c r="Y525" s="34">
        <f t="shared" ref="Y525" si="644">P525-S525</f>
        <v>0</v>
      </c>
      <c r="Z525" s="34">
        <f t="shared" ref="Z525" si="645">S525-W525</f>
        <v>0</v>
      </c>
      <c r="AA525" s="123">
        <f t="shared" ref="AA525" si="646">S525/M525</f>
        <v>0</v>
      </c>
    </row>
    <row r="526" spans="1:27" ht="18.75" customHeight="1" x14ac:dyDescent="0.2">
      <c r="C526" s="19" t="s">
        <v>907</v>
      </c>
      <c r="D526" s="28" t="s">
        <v>288</v>
      </c>
      <c r="E526" s="29" t="s">
        <v>487</v>
      </c>
      <c r="F526" s="17"/>
      <c r="G526" s="18"/>
      <c r="H526" s="34"/>
      <c r="I526" s="34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39"/>
      <c r="X526" s="18"/>
      <c r="Y526" s="18"/>
      <c r="Z526" s="18"/>
      <c r="AA526" s="18"/>
    </row>
    <row r="527" spans="1:27" ht="18.75" customHeight="1" x14ac:dyDescent="0.2">
      <c r="A527" s="4" t="s">
        <v>55</v>
      </c>
      <c r="B527" s="4" t="s">
        <v>56</v>
      </c>
      <c r="C527" s="19" t="s">
        <v>907</v>
      </c>
      <c r="D527" s="41" t="s">
        <v>501</v>
      </c>
      <c r="E527" s="42" t="s">
        <v>439</v>
      </c>
      <c r="F527" s="43" t="s">
        <v>428</v>
      </c>
      <c r="G527" s="43">
        <v>4549743506</v>
      </c>
      <c r="H527" s="44">
        <v>0</v>
      </c>
      <c r="I527" s="44">
        <v>0</v>
      </c>
      <c r="J527" s="43">
        <v>265538240</v>
      </c>
      <c r="K527" s="44">
        <v>0</v>
      </c>
      <c r="L527" s="43">
        <f>H527-I527+J527-K527</f>
        <v>265538240</v>
      </c>
      <c r="M527" s="43">
        <f>G527+L527</f>
        <v>4815281746</v>
      </c>
      <c r="N527" s="44">
        <v>0</v>
      </c>
      <c r="O527" s="43">
        <f>P527-[1]ENERO!O525</f>
        <v>507267657.00000012</v>
      </c>
      <c r="P527" s="43">
        <v>1404364186.6300001</v>
      </c>
      <c r="Q527" s="43">
        <v>0</v>
      </c>
      <c r="R527" s="43">
        <v>897096529.63</v>
      </c>
      <c r="S527" s="43">
        <v>897096529.63</v>
      </c>
      <c r="T527" s="44">
        <v>0</v>
      </c>
      <c r="U527" s="44">
        <v>0</v>
      </c>
      <c r="V527" s="44">
        <v>0</v>
      </c>
      <c r="W527" s="40">
        <f t="shared" si="555"/>
        <v>0</v>
      </c>
      <c r="X527" s="18">
        <f t="shared" ref="X527:X528" si="647">M527-P527</f>
        <v>3410917559.3699999</v>
      </c>
      <c r="Y527" s="110">
        <f t="shared" ref="Y527:Y528" si="648">P527-S527</f>
        <v>507267657.00000012</v>
      </c>
      <c r="Z527" s="18">
        <f t="shared" ref="Z527:Z528" si="649">S527-W527</f>
        <v>897096529.63</v>
      </c>
      <c r="AA527" s="123">
        <f t="shared" ref="AA527:AA528" si="650">S527/M527</f>
        <v>0.18630198126521005</v>
      </c>
    </row>
    <row r="528" spans="1:27" ht="18.75" customHeight="1" x14ac:dyDescent="0.2">
      <c r="A528" s="4" t="s">
        <v>55</v>
      </c>
      <c r="B528" s="4" t="s">
        <v>56</v>
      </c>
      <c r="C528" s="19" t="s">
        <v>907</v>
      </c>
      <c r="D528" s="41" t="s">
        <v>502</v>
      </c>
      <c r="E528" s="42" t="s">
        <v>490</v>
      </c>
      <c r="F528" s="43" t="s">
        <v>368</v>
      </c>
      <c r="G528" s="43">
        <v>104829219</v>
      </c>
      <c r="H528" s="44">
        <v>0</v>
      </c>
      <c r="I528" s="44">
        <v>0</v>
      </c>
      <c r="J528" s="44">
        <v>0</v>
      </c>
      <c r="K528" s="44">
        <v>0</v>
      </c>
      <c r="L528" s="44">
        <v>0</v>
      </c>
      <c r="M528" s="43">
        <v>104829219</v>
      </c>
      <c r="N528" s="44">
        <v>0</v>
      </c>
      <c r="O528" s="43">
        <f>P528-[1]ENERO!O526</f>
        <v>7085086.3299999991</v>
      </c>
      <c r="P528" s="43">
        <v>13763136.779999999</v>
      </c>
      <c r="Q528" s="43">
        <v>0</v>
      </c>
      <c r="R528" s="43">
        <v>7085086.3300000001</v>
      </c>
      <c r="S528" s="43">
        <v>13763136.779999999</v>
      </c>
      <c r="T528" s="44">
        <v>0</v>
      </c>
      <c r="U528" s="43">
        <v>7085086.3300000001</v>
      </c>
      <c r="V528" s="43">
        <v>13763136.779999999</v>
      </c>
      <c r="W528" s="39">
        <f t="shared" si="555"/>
        <v>13763136.779999999</v>
      </c>
      <c r="X528" s="18">
        <f t="shared" si="647"/>
        <v>91066082.219999999</v>
      </c>
      <c r="Y528" s="34">
        <f t="shared" si="648"/>
        <v>0</v>
      </c>
      <c r="Z528" s="34">
        <f t="shared" si="649"/>
        <v>0</v>
      </c>
      <c r="AA528" s="123">
        <f t="shared" si="650"/>
        <v>0.13129103613754864</v>
      </c>
    </row>
    <row r="529" spans="1:27" ht="18.75" customHeight="1" x14ac:dyDescent="0.2">
      <c r="C529" s="19" t="s">
        <v>907</v>
      </c>
      <c r="D529" s="28" t="s">
        <v>288</v>
      </c>
      <c r="E529" s="29" t="s">
        <v>400</v>
      </c>
      <c r="F529" s="17"/>
      <c r="G529" s="18"/>
      <c r="H529" s="34"/>
      <c r="I529" s="34"/>
      <c r="J529" s="18"/>
      <c r="K529" s="18"/>
      <c r="L529" s="18"/>
      <c r="M529" s="18"/>
      <c r="N529" s="34"/>
      <c r="O529" s="18"/>
      <c r="P529" s="18"/>
      <c r="Q529" s="18"/>
      <c r="R529" s="18"/>
      <c r="S529" s="18"/>
      <c r="T529" s="18"/>
      <c r="U529" s="18"/>
      <c r="V529" s="18"/>
      <c r="W529" s="39"/>
      <c r="X529" s="18"/>
      <c r="Y529" s="18"/>
      <c r="Z529" s="18"/>
      <c r="AA529" s="18"/>
    </row>
    <row r="530" spans="1:27" ht="18.75" customHeight="1" x14ac:dyDescent="0.2">
      <c r="A530" s="4" t="s">
        <v>55</v>
      </c>
      <c r="B530" s="4" t="s">
        <v>56</v>
      </c>
      <c r="C530" s="19" t="s">
        <v>907</v>
      </c>
      <c r="D530" s="41" t="s">
        <v>401</v>
      </c>
      <c r="E530" s="42" t="s">
        <v>233</v>
      </c>
      <c r="F530" s="43" t="s">
        <v>58</v>
      </c>
      <c r="G530" s="43">
        <v>2673811725</v>
      </c>
      <c r="H530" s="44">
        <v>0</v>
      </c>
      <c r="I530" s="44">
        <v>0</v>
      </c>
      <c r="J530" s="43">
        <v>1500000000</v>
      </c>
      <c r="K530" s="44">
        <v>0</v>
      </c>
      <c r="L530" s="43">
        <f>H530-I530+J530-K530</f>
        <v>1500000000</v>
      </c>
      <c r="M530" s="43">
        <f>G530+L530</f>
        <v>4173811725</v>
      </c>
      <c r="N530" s="44">
        <v>0</v>
      </c>
      <c r="O530" s="43">
        <f>P530-[1]ENERO!O528</f>
        <v>940100000</v>
      </c>
      <c r="P530" s="43">
        <v>3469700000</v>
      </c>
      <c r="Q530" s="43">
        <v>103250000</v>
      </c>
      <c r="R530" s="43">
        <v>770000000</v>
      </c>
      <c r="S530" s="43">
        <v>3263600000</v>
      </c>
      <c r="T530" s="114">
        <v>14033333</v>
      </c>
      <c r="U530" s="114">
        <v>100273333</v>
      </c>
      <c r="V530" s="114">
        <v>100273333</v>
      </c>
      <c r="W530" s="111">
        <f t="shared" ref="W530:W539" si="651">T530+V530</f>
        <v>114306666</v>
      </c>
      <c r="X530" s="18">
        <f t="shared" ref="X530:X531" si="652">M530-P530</f>
        <v>704111725</v>
      </c>
      <c r="Y530" s="110">
        <f t="shared" ref="Y530:Y531" si="653">P530-S530</f>
        <v>206100000</v>
      </c>
      <c r="Z530" s="18">
        <f t="shared" ref="Z530:Z531" si="654">S530-W530</f>
        <v>3149293334</v>
      </c>
      <c r="AA530" s="123">
        <f t="shared" ref="AA530:AA531" si="655">S530/M530</f>
        <v>0.78192314724018841</v>
      </c>
    </row>
    <row r="531" spans="1:27" ht="18.75" customHeight="1" x14ac:dyDescent="0.2">
      <c r="A531" s="4" t="s">
        <v>55</v>
      </c>
      <c r="B531" s="4" t="s">
        <v>56</v>
      </c>
      <c r="C531" s="19" t="s">
        <v>907</v>
      </c>
      <c r="D531" s="41" t="s">
        <v>503</v>
      </c>
      <c r="E531" s="42" t="s">
        <v>439</v>
      </c>
      <c r="F531" s="43" t="s">
        <v>428</v>
      </c>
      <c r="G531" s="43">
        <v>1237500000</v>
      </c>
      <c r="H531" s="44">
        <v>0</v>
      </c>
      <c r="I531" s="44">
        <v>0</v>
      </c>
      <c r="J531" s="44">
        <v>0</v>
      </c>
      <c r="K531" s="44">
        <v>0</v>
      </c>
      <c r="L531" s="44">
        <v>0</v>
      </c>
      <c r="M531" s="43">
        <v>1237500000</v>
      </c>
      <c r="N531" s="44">
        <v>0</v>
      </c>
      <c r="O531" s="43">
        <f>P531-[1]ENERO!O529</f>
        <v>106300000</v>
      </c>
      <c r="P531" s="43">
        <v>988700000</v>
      </c>
      <c r="Q531" s="43">
        <v>0</v>
      </c>
      <c r="R531" s="43">
        <v>100000000</v>
      </c>
      <c r="S531" s="43">
        <v>938400000</v>
      </c>
      <c r="T531" s="114">
        <v>4400000</v>
      </c>
      <c r="U531" s="114">
        <v>36756668</v>
      </c>
      <c r="V531" s="114">
        <v>36756668</v>
      </c>
      <c r="W531" s="111">
        <f t="shared" si="651"/>
        <v>41156668</v>
      </c>
      <c r="X531" s="18">
        <f t="shared" si="652"/>
        <v>248800000</v>
      </c>
      <c r="Y531" s="110">
        <f t="shared" si="653"/>
        <v>50300000</v>
      </c>
      <c r="Z531" s="18">
        <f t="shared" si="654"/>
        <v>897243332</v>
      </c>
      <c r="AA531" s="123">
        <f t="shared" si="655"/>
        <v>0.75830303030303026</v>
      </c>
    </row>
    <row r="532" spans="1:27" ht="18.75" customHeight="1" x14ac:dyDescent="0.2">
      <c r="C532" s="19" t="s">
        <v>907</v>
      </c>
      <c r="D532" s="16"/>
      <c r="E532" s="29" t="s">
        <v>199</v>
      </c>
      <c r="F532" s="17"/>
      <c r="G532" s="18"/>
      <c r="H532" s="34"/>
      <c r="I532" s="34"/>
      <c r="J532" s="34"/>
      <c r="K532" s="34"/>
      <c r="L532" s="34"/>
      <c r="M532" s="18"/>
      <c r="N532" s="18"/>
      <c r="O532" s="18"/>
      <c r="P532" s="18"/>
      <c r="Q532" s="18"/>
      <c r="R532" s="18"/>
      <c r="S532" s="18"/>
      <c r="T532" s="34"/>
      <c r="U532" s="34"/>
      <c r="V532" s="34"/>
      <c r="W532" s="40"/>
      <c r="X532" s="18"/>
      <c r="Y532" s="18"/>
      <c r="Z532" s="18"/>
      <c r="AA532" s="18"/>
    </row>
    <row r="533" spans="1:27" ht="18.75" customHeight="1" x14ac:dyDescent="0.2">
      <c r="C533" s="19" t="s">
        <v>907</v>
      </c>
      <c r="D533" s="28" t="s">
        <v>288</v>
      </c>
      <c r="E533" s="29" t="s">
        <v>504</v>
      </c>
      <c r="F533" s="17"/>
      <c r="G533" s="18"/>
      <c r="H533" s="34"/>
      <c r="I533" s="34"/>
      <c r="J533" s="34"/>
      <c r="K533" s="34"/>
      <c r="L533" s="34"/>
      <c r="M533" s="18"/>
      <c r="N533" s="18"/>
      <c r="O533" s="18"/>
      <c r="P533" s="18"/>
      <c r="Q533" s="18"/>
      <c r="R533" s="18"/>
      <c r="S533" s="18"/>
      <c r="T533" s="34"/>
      <c r="U533" s="34"/>
      <c r="V533" s="34"/>
      <c r="W533" s="40"/>
      <c r="X533" s="18"/>
      <c r="Y533" s="18"/>
      <c r="Z533" s="18"/>
      <c r="AA533" s="18"/>
    </row>
    <row r="534" spans="1:27" ht="18.75" customHeight="1" x14ac:dyDescent="0.2">
      <c r="A534" s="4" t="s">
        <v>55</v>
      </c>
      <c r="B534" s="4" t="s">
        <v>56</v>
      </c>
      <c r="C534" s="19" t="s">
        <v>907</v>
      </c>
      <c r="D534" s="41" t="s">
        <v>505</v>
      </c>
      <c r="E534" s="42" t="s">
        <v>439</v>
      </c>
      <c r="F534" s="43" t="s">
        <v>428</v>
      </c>
      <c r="G534" s="43">
        <v>1896134100.8599999</v>
      </c>
      <c r="H534" s="44">
        <v>0</v>
      </c>
      <c r="I534" s="44">
        <v>0</v>
      </c>
      <c r="J534" s="44">
        <v>0</v>
      </c>
      <c r="K534" s="44">
        <v>0</v>
      </c>
      <c r="L534" s="44">
        <v>0</v>
      </c>
      <c r="M534" s="43">
        <v>1896134100.8599999</v>
      </c>
      <c r="N534" s="44">
        <v>0</v>
      </c>
      <c r="O534" s="114">
        <v>1632017983</v>
      </c>
      <c r="P534" s="114">
        <v>1632017983</v>
      </c>
      <c r="Q534" s="44">
        <v>0</v>
      </c>
      <c r="R534" s="44">
        <v>0</v>
      </c>
      <c r="S534" s="44">
        <v>0</v>
      </c>
      <c r="T534" s="44">
        <v>0</v>
      </c>
      <c r="U534" s="44">
        <v>0</v>
      </c>
      <c r="V534" s="44">
        <v>0</v>
      </c>
      <c r="W534" s="40">
        <f>T534+V534</f>
        <v>0</v>
      </c>
      <c r="X534" s="18">
        <f t="shared" ref="X534" si="656">M534-P534</f>
        <v>264116117.8599999</v>
      </c>
      <c r="Y534" s="110">
        <f t="shared" ref="Y534" si="657">P534-S534</f>
        <v>1632017983</v>
      </c>
      <c r="Z534" s="34">
        <f t="shared" ref="Z534" si="658">S534-W534</f>
        <v>0</v>
      </c>
      <c r="AA534" s="123">
        <f t="shared" ref="AA534" si="659">S534/M534</f>
        <v>0</v>
      </c>
    </row>
    <row r="535" spans="1:27" ht="18.75" customHeight="1" x14ac:dyDescent="0.2">
      <c r="C535" s="19" t="s">
        <v>907</v>
      </c>
      <c r="D535" s="28" t="s">
        <v>288</v>
      </c>
      <c r="E535" s="29" t="s">
        <v>506</v>
      </c>
      <c r="F535" s="17"/>
      <c r="G535" s="18"/>
      <c r="H535" s="34"/>
      <c r="I535" s="34"/>
      <c r="J535" s="34"/>
      <c r="K535" s="34"/>
      <c r="L535" s="34"/>
      <c r="M535" s="18"/>
      <c r="N535" s="34"/>
      <c r="O535" s="110"/>
      <c r="P535" s="110"/>
      <c r="Q535" s="34"/>
      <c r="R535" s="34"/>
      <c r="S535" s="34"/>
      <c r="T535" s="34"/>
      <c r="U535" s="34"/>
      <c r="V535" s="34"/>
      <c r="W535" s="40"/>
      <c r="X535" s="18"/>
      <c r="Y535" s="34"/>
      <c r="Z535" s="18"/>
      <c r="AA535" s="18"/>
    </row>
    <row r="536" spans="1:27" ht="18.75" customHeight="1" x14ac:dyDescent="0.2">
      <c r="A536" s="4" t="s">
        <v>55</v>
      </c>
      <c r="B536" s="4" t="s">
        <v>56</v>
      </c>
      <c r="C536" s="19" t="s">
        <v>907</v>
      </c>
      <c r="D536" s="41" t="s">
        <v>507</v>
      </c>
      <c r="E536" s="42" t="s">
        <v>439</v>
      </c>
      <c r="F536" s="43" t="s">
        <v>428</v>
      </c>
      <c r="G536" s="43">
        <v>6191009183.8000002</v>
      </c>
      <c r="H536" s="44">
        <v>0</v>
      </c>
      <c r="I536" s="44">
        <v>0</v>
      </c>
      <c r="J536" s="44">
        <v>0</v>
      </c>
      <c r="K536" s="43">
        <v>4680084481.8000002</v>
      </c>
      <c r="L536" s="43">
        <f>H536-I536+J536-K536</f>
        <v>-4680084481.8000002</v>
      </c>
      <c r="M536" s="43">
        <f>G536+L536</f>
        <v>1510924702</v>
      </c>
      <c r="N536" s="44">
        <v>0</v>
      </c>
      <c r="O536" s="114">
        <v>527557672.80000001</v>
      </c>
      <c r="P536" s="114">
        <v>527557672.80000001</v>
      </c>
      <c r="Q536" s="44">
        <v>0</v>
      </c>
      <c r="R536" s="44">
        <v>527557672.80000001</v>
      </c>
      <c r="S536" s="114">
        <v>527557672.80000001</v>
      </c>
      <c r="T536" s="44">
        <v>0</v>
      </c>
      <c r="U536" s="44">
        <v>0</v>
      </c>
      <c r="V536" s="44">
        <v>0</v>
      </c>
      <c r="W536" s="40">
        <f>T536+V536</f>
        <v>0</v>
      </c>
      <c r="X536" s="18">
        <f t="shared" ref="X536" si="660">M536-P536</f>
        <v>983367029.20000005</v>
      </c>
      <c r="Y536" s="34">
        <f t="shared" ref="Y536" si="661">P536-S536</f>
        <v>0</v>
      </c>
      <c r="Z536" s="18">
        <f t="shared" ref="Z536" si="662">S536-W536</f>
        <v>527557672.80000001</v>
      </c>
      <c r="AA536" s="123">
        <f t="shared" ref="AA536" si="663">S536/M536</f>
        <v>0.34916212045621847</v>
      </c>
    </row>
    <row r="537" spans="1:27" ht="18.75" customHeight="1" x14ac:dyDescent="0.2">
      <c r="C537" s="19" t="s">
        <v>907</v>
      </c>
      <c r="D537" s="28" t="s">
        <v>288</v>
      </c>
      <c r="E537" s="29" t="s">
        <v>508</v>
      </c>
      <c r="F537" s="17"/>
      <c r="G537" s="18"/>
      <c r="H537" s="34"/>
      <c r="I537" s="34"/>
      <c r="J537" s="34"/>
      <c r="K537" s="34"/>
      <c r="L537" s="34"/>
      <c r="M537" s="18"/>
      <c r="N537" s="34"/>
      <c r="O537" s="34"/>
      <c r="P537" s="34"/>
      <c r="Q537" s="34"/>
      <c r="R537" s="34"/>
      <c r="S537" s="34"/>
      <c r="T537" s="34"/>
      <c r="U537" s="34"/>
      <c r="V537" s="34"/>
      <c r="W537" s="40"/>
      <c r="X537" s="18"/>
      <c r="Y537" s="34"/>
      <c r="Z537" s="18"/>
      <c r="AA537" s="18"/>
    </row>
    <row r="538" spans="1:27" ht="18.75" customHeight="1" x14ac:dyDescent="0.2">
      <c r="A538" s="4" t="s">
        <v>55</v>
      </c>
      <c r="B538" s="4" t="s">
        <v>56</v>
      </c>
      <c r="C538" s="19" t="s">
        <v>907</v>
      </c>
      <c r="D538" s="41" t="s">
        <v>509</v>
      </c>
      <c r="E538" s="42" t="s">
        <v>439</v>
      </c>
      <c r="F538" s="43" t="s">
        <v>428</v>
      </c>
      <c r="G538" s="43">
        <v>9340881185.3400002</v>
      </c>
      <c r="H538" s="44">
        <v>0</v>
      </c>
      <c r="I538" s="44">
        <v>0</v>
      </c>
      <c r="J538" s="43">
        <v>4680084481.8000002</v>
      </c>
      <c r="K538" s="44">
        <v>0</v>
      </c>
      <c r="L538" s="43">
        <f>H538-I538+J538-K538</f>
        <v>4680084481.8000002</v>
      </c>
      <c r="M538" s="43">
        <f>G538+L538</f>
        <v>14020965667.139999</v>
      </c>
      <c r="N538" s="44">
        <v>0</v>
      </c>
      <c r="O538" s="44">
        <v>0</v>
      </c>
      <c r="P538" s="44">
        <v>0</v>
      </c>
      <c r="Q538" s="44">
        <v>0</v>
      </c>
      <c r="R538" s="44">
        <v>0</v>
      </c>
      <c r="S538" s="44">
        <v>0</v>
      </c>
      <c r="T538" s="44">
        <v>0</v>
      </c>
      <c r="U538" s="44">
        <v>0</v>
      </c>
      <c r="V538" s="44">
        <v>0</v>
      </c>
      <c r="W538" s="40">
        <f t="shared" si="651"/>
        <v>0</v>
      </c>
      <c r="X538" s="18">
        <f t="shared" ref="X538:X539" si="664">M538-P538</f>
        <v>14020965667.139999</v>
      </c>
      <c r="Y538" s="34">
        <f t="shared" ref="Y538:Y539" si="665">P538-S538</f>
        <v>0</v>
      </c>
      <c r="Z538" s="34">
        <f t="shared" ref="Z538:Z539" si="666">S538-W538</f>
        <v>0</v>
      </c>
      <c r="AA538" s="123">
        <f t="shared" ref="AA538:AA539" si="667">S538/M538</f>
        <v>0</v>
      </c>
    </row>
    <row r="539" spans="1:27" ht="18.75" customHeight="1" x14ac:dyDescent="0.2">
      <c r="A539" s="4" t="s">
        <v>55</v>
      </c>
      <c r="B539" s="4" t="s">
        <v>56</v>
      </c>
      <c r="C539" s="19" t="s">
        <v>907</v>
      </c>
      <c r="D539" s="41" t="s">
        <v>510</v>
      </c>
      <c r="E539" s="42" t="s">
        <v>490</v>
      </c>
      <c r="F539" s="43" t="s">
        <v>368</v>
      </c>
      <c r="G539" s="43">
        <v>659690762</v>
      </c>
      <c r="H539" s="44">
        <v>0</v>
      </c>
      <c r="I539" s="44">
        <v>0</v>
      </c>
      <c r="J539" s="44">
        <v>0</v>
      </c>
      <c r="K539" s="44">
        <v>0</v>
      </c>
      <c r="L539" s="44">
        <v>0</v>
      </c>
      <c r="M539" s="43">
        <v>659690762</v>
      </c>
      <c r="N539" s="44">
        <v>0</v>
      </c>
      <c r="O539" s="44">
        <v>0</v>
      </c>
      <c r="P539" s="44">
        <v>0</v>
      </c>
      <c r="Q539" s="44">
        <v>0</v>
      </c>
      <c r="R539" s="44">
        <v>0</v>
      </c>
      <c r="S539" s="44">
        <v>0</v>
      </c>
      <c r="T539" s="44">
        <v>0</v>
      </c>
      <c r="U539" s="44">
        <v>0</v>
      </c>
      <c r="V539" s="44">
        <v>0</v>
      </c>
      <c r="W539" s="40">
        <f t="shared" si="651"/>
        <v>0</v>
      </c>
      <c r="X539" s="18">
        <f t="shared" si="664"/>
        <v>659690762</v>
      </c>
      <c r="Y539" s="34">
        <f t="shared" si="665"/>
        <v>0</v>
      </c>
      <c r="Z539" s="34">
        <f t="shared" si="666"/>
        <v>0</v>
      </c>
      <c r="AA539" s="123">
        <f t="shared" si="667"/>
        <v>0</v>
      </c>
    </row>
    <row r="540" spans="1:27" ht="25.5" x14ac:dyDescent="0.2">
      <c r="C540" s="19" t="s">
        <v>907</v>
      </c>
      <c r="D540" s="16"/>
      <c r="E540" s="29" t="s">
        <v>511</v>
      </c>
      <c r="F540" s="17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34"/>
      <c r="U540" s="34"/>
      <c r="V540" s="34"/>
      <c r="W540" s="40"/>
      <c r="X540" s="18"/>
      <c r="Y540" s="18"/>
      <c r="Z540" s="18"/>
      <c r="AA540" s="18"/>
    </row>
    <row r="541" spans="1:27" ht="18.75" customHeight="1" x14ac:dyDescent="0.2">
      <c r="C541" s="19" t="s">
        <v>907</v>
      </c>
      <c r="D541" s="16"/>
      <c r="E541" s="29" t="s">
        <v>285</v>
      </c>
      <c r="F541" s="17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30"/>
      <c r="X541" s="18"/>
      <c r="Y541" s="18"/>
      <c r="Z541" s="18"/>
      <c r="AA541" s="18"/>
    </row>
    <row r="542" spans="1:27" ht="18.75" customHeight="1" x14ac:dyDescent="0.2">
      <c r="C542" s="19" t="s">
        <v>907</v>
      </c>
      <c r="D542" s="16"/>
      <c r="E542" s="29" t="s">
        <v>286</v>
      </c>
      <c r="F542" s="17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30"/>
      <c r="X542" s="18"/>
      <c r="Y542" s="18"/>
      <c r="Z542" s="18"/>
      <c r="AA542" s="18"/>
    </row>
    <row r="543" spans="1:27" ht="18.75" customHeight="1" x14ac:dyDescent="0.2">
      <c r="C543" s="19" t="s">
        <v>907</v>
      </c>
      <c r="D543" s="16"/>
      <c r="E543" s="29" t="s">
        <v>179</v>
      </c>
      <c r="F543" s="17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30"/>
      <c r="X543" s="18"/>
      <c r="Y543" s="18"/>
      <c r="Z543" s="18"/>
      <c r="AA543" s="18"/>
    </row>
    <row r="544" spans="1:27" ht="18.75" customHeight="1" x14ac:dyDescent="0.2">
      <c r="C544" s="19" t="s">
        <v>907</v>
      </c>
      <c r="D544" s="16"/>
      <c r="E544" s="29" t="s">
        <v>189</v>
      </c>
      <c r="F544" s="17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30"/>
      <c r="X544" s="18"/>
      <c r="Y544" s="18"/>
      <c r="Z544" s="18"/>
      <c r="AA544" s="18"/>
    </row>
    <row r="545" spans="1:27" ht="18.75" customHeight="1" x14ac:dyDescent="0.2">
      <c r="C545" s="19" t="s">
        <v>907</v>
      </c>
      <c r="D545" s="16"/>
      <c r="E545" s="29" t="s">
        <v>199</v>
      </c>
      <c r="F545" s="17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30"/>
      <c r="X545" s="18"/>
      <c r="Y545" s="18"/>
      <c r="Z545" s="18"/>
      <c r="AA545" s="18"/>
    </row>
    <row r="546" spans="1:27" ht="25.5" x14ac:dyDescent="0.2">
      <c r="C546" s="19" t="s">
        <v>907</v>
      </c>
      <c r="D546" s="28" t="s">
        <v>288</v>
      </c>
      <c r="E546" s="29" t="s">
        <v>512</v>
      </c>
      <c r="F546" s="17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30"/>
      <c r="X546" s="18"/>
      <c r="Y546" s="18"/>
      <c r="Z546" s="18"/>
      <c r="AA546" s="18"/>
    </row>
    <row r="547" spans="1:27" ht="18.75" customHeight="1" x14ac:dyDescent="0.2">
      <c r="A547" s="4" t="s">
        <v>55</v>
      </c>
      <c r="B547" s="4" t="s">
        <v>56</v>
      </c>
      <c r="C547" s="19" t="s">
        <v>907</v>
      </c>
      <c r="D547" s="41" t="s">
        <v>513</v>
      </c>
      <c r="E547" s="42" t="s">
        <v>233</v>
      </c>
      <c r="F547" s="43" t="s">
        <v>58</v>
      </c>
      <c r="G547" s="43">
        <v>331060322</v>
      </c>
      <c r="H547" s="44">
        <v>0</v>
      </c>
      <c r="I547" s="44">
        <v>0</v>
      </c>
      <c r="J547" s="44">
        <v>0</v>
      </c>
      <c r="K547" s="44">
        <v>0</v>
      </c>
      <c r="L547" s="44">
        <v>0</v>
      </c>
      <c r="M547" s="43">
        <v>331060322</v>
      </c>
      <c r="N547" s="44">
        <v>0</v>
      </c>
      <c r="O547" s="44">
        <v>0</v>
      </c>
      <c r="P547" s="44">
        <v>0</v>
      </c>
      <c r="Q547" s="44">
        <v>0</v>
      </c>
      <c r="R547" s="44">
        <v>0</v>
      </c>
      <c r="S547" s="44">
        <v>0</v>
      </c>
      <c r="T547" s="34">
        <v>0</v>
      </c>
      <c r="U547" s="34">
        <v>0</v>
      </c>
      <c r="V547" s="34">
        <v>0</v>
      </c>
      <c r="W547" s="40">
        <f t="shared" ref="W547:W551" si="668">T547+V547</f>
        <v>0</v>
      </c>
      <c r="X547" s="18">
        <f t="shared" ref="X547:X551" si="669">M547-P547</f>
        <v>331060322</v>
      </c>
      <c r="Y547" s="34">
        <f t="shared" ref="Y547:Y551" si="670">P547-S547</f>
        <v>0</v>
      </c>
      <c r="Z547" s="34">
        <f t="shared" ref="Z547:Z551" si="671">S547-W547</f>
        <v>0</v>
      </c>
      <c r="AA547" s="123">
        <f t="shared" ref="AA547:AA551" si="672">S547/M547</f>
        <v>0</v>
      </c>
    </row>
    <row r="548" spans="1:27" ht="18.75" customHeight="1" x14ac:dyDescent="0.2">
      <c r="A548" s="4" t="s">
        <v>55</v>
      </c>
      <c r="B548" s="4" t="s">
        <v>56</v>
      </c>
      <c r="C548" s="19" t="s">
        <v>907</v>
      </c>
      <c r="D548" s="41" t="s">
        <v>514</v>
      </c>
      <c r="E548" s="42" t="s">
        <v>515</v>
      </c>
      <c r="F548" s="43" t="s">
        <v>516</v>
      </c>
      <c r="G548" s="43">
        <v>6887333116</v>
      </c>
      <c r="H548" s="44">
        <v>0</v>
      </c>
      <c r="I548" s="44">
        <v>0</v>
      </c>
      <c r="J548" s="44">
        <v>0</v>
      </c>
      <c r="K548" s="44">
        <v>0</v>
      </c>
      <c r="L548" s="44">
        <v>0</v>
      </c>
      <c r="M548" s="43">
        <v>6887333116</v>
      </c>
      <c r="N548" s="115">
        <v>0</v>
      </c>
      <c r="O548" s="114">
        <v>1879859599</v>
      </c>
      <c r="P548" s="114">
        <v>1879859599</v>
      </c>
      <c r="Q548" s="114">
        <v>0</v>
      </c>
      <c r="R548" s="114">
        <v>1879859599</v>
      </c>
      <c r="S548" s="114">
        <v>1879859599</v>
      </c>
      <c r="T548" s="133">
        <v>0</v>
      </c>
      <c r="U548" s="110">
        <v>718171834</v>
      </c>
      <c r="V548" s="110">
        <v>718171834</v>
      </c>
      <c r="W548" s="39">
        <f t="shared" si="668"/>
        <v>718171834</v>
      </c>
      <c r="X548" s="18">
        <f t="shared" si="669"/>
        <v>5007473517</v>
      </c>
      <c r="Y548" s="34">
        <f t="shared" si="670"/>
        <v>0</v>
      </c>
      <c r="Z548" s="18">
        <f t="shared" si="671"/>
        <v>1161687765</v>
      </c>
      <c r="AA548" s="123">
        <f t="shared" si="672"/>
        <v>0.27294448625301543</v>
      </c>
    </row>
    <row r="549" spans="1:27" x14ac:dyDescent="0.2">
      <c r="A549" s="4" t="s">
        <v>55</v>
      </c>
      <c r="B549" s="4" t="s">
        <v>56</v>
      </c>
      <c r="C549" s="19" t="s">
        <v>907</v>
      </c>
      <c r="D549" s="41" t="s">
        <v>517</v>
      </c>
      <c r="E549" s="42" t="s">
        <v>518</v>
      </c>
      <c r="F549" s="43" t="s">
        <v>428</v>
      </c>
      <c r="G549" s="43">
        <v>263626220</v>
      </c>
      <c r="H549" s="44">
        <v>0</v>
      </c>
      <c r="I549" s="44">
        <v>0</v>
      </c>
      <c r="J549" s="44">
        <v>0</v>
      </c>
      <c r="K549" s="44">
        <v>0</v>
      </c>
      <c r="L549" s="44">
        <v>0</v>
      </c>
      <c r="M549" s="43">
        <v>263626220</v>
      </c>
      <c r="N549" s="44">
        <v>0</v>
      </c>
      <c r="O549" s="44">
        <v>0</v>
      </c>
      <c r="P549" s="44">
        <v>0</v>
      </c>
      <c r="Q549" s="44">
        <v>0</v>
      </c>
      <c r="R549" s="44">
        <v>0</v>
      </c>
      <c r="S549" s="44">
        <v>0</v>
      </c>
      <c r="T549" s="34">
        <v>0</v>
      </c>
      <c r="U549" s="34">
        <v>0</v>
      </c>
      <c r="V549" s="34">
        <v>0</v>
      </c>
      <c r="W549" s="40">
        <f t="shared" si="668"/>
        <v>0</v>
      </c>
      <c r="X549" s="18">
        <f t="shared" si="669"/>
        <v>263626220</v>
      </c>
      <c r="Y549" s="34">
        <f t="shared" si="670"/>
        <v>0</v>
      </c>
      <c r="Z549" s="34">
        <f t="shared" si="671"/>
        <v>0</v>
      </c>
      <c r="AA549" s="123">
        <f t="shared" si="672"/>
        <v>0</v>
      </c>
    </row>
    <row r="550" spans="1:27" ht="25.5" x14ac:dyDescent="0.2">
      <c r="A550" s="4" t="s">
        <v>55</v>
      </c>
      <c r="B550" s="4" t="s">
        <v>56</v>
      </c>
      <c r="C550" s="19" t="s">
        <v>907</v>
      </c>
      <c r="D550" s="41" t="s">
        <v>519</v>
      </c>
      <c r="E550" s="42" t="s">
        <v>520</v>
      </c>
      <c r="F550" s="43" t="s">
        <v>368</v>
      </c>
      <c r="G550" s="43">
        <v>6200094.4000000004</v>
      </c>
      <c r="H550" s="44">
        <v>0</v>
      </c>
      <c r="I550" s="44">
        <v>0</v>
      </c>
      <c r="J550" s="44">
        <v>0</v>
      </c>
      <c r="K550" s="44">
        <v>0</v>
      </c>
      <c r="L550" s="44">
        <v>0</v>
      </c>
      <c r="M550" s="43">
        <v>6200094.4000000004</v>
      </c>
      <c r="N550" s="44">
        <v>0</v>
      </c>
      <c r="O550" s="44">
        <v>0</v>
      </c>
      <c r="P550" s="44">
        <v>0</v>
      </c>
      <c r="Q550" s="44">
        <v>0</v>
      </c>
      <c r="R550" s="44">
        <v>0</v>
      </c>
      <c r="S550" s="44">
        <v>0</v>
      </c>
      <c r="T550" s="34">
        <v>0</v>
      </c>
      <c r="U550" s="34">
        <v>0</v>
      </c>
      <c r="V550" s="34">
        <v>0</v>
      </c>
      <c r="W550" s="40">
        <f t="shared" si="668"/>
        <v>0</v>
      </c>
      <c r="X550" s="18">
        <f t="shared" si="669"/>
        <v>6200094.4000000004</v>
      </c>
      <c r="Y550" s="34">
        <f t="shared" si="670"/>
        <v>0</v>
      </c>
      <c r="Z550" s="34">
        <f t="shared" si="671"/>
        <v>0</v>
      </c>
      <c r="AA550" s="123">
        <f t="shared" si="672"/>
        <v>0</v>
      </c>
    </row>
    <row r="551" spans="1:27" ht="25.5" x14ac:dyDescent="0.2">
      <c r="A551" s="4" t="s">
        <v>55</v>
      </c>
      <c r="B551" s="4" t="s">
        <v>56</v>
      </c>
      <c r="C551" s="19" t="s">
        <v>907</v>
      </c>
      <c r="D551" s="41" t="s">
        <v>521</v>
      </c>
      <c r="E551" s="42" t="s">
        <v>522</v>
      </c>
      <c r="F551" s="43" t="s">
        <v>368</v>
      </c>
      <c r="G551" s="43">
        <v>112310609.13</v>
      </c>
      <c r="H551" s="44">
        <v>0</v>
      </c>
      <c r="I551" s="44">
        <v>0</v>
      </c>
      <c r="J551" s="44">
        <v>0</v>
      </c>
      <c r="K551" s="44">
        <v>0</v>
      </c>
      <c r="L551" s="44">
        <v>0</v>
      </c>
      <c r="M551" s="43">
        <v>112310609.13</v>
      </c>
      <c r="N551" s="44">
        <v>0</v>
      </c>
      <c r="O551" s="44">
        <v>0</v>
      </c>
      <c r="P551" s="44">
        <v>0</v>
      </c>
      <c r="Q551" s="44">
        <v>0</v>
      </c>
      <c r="R551" s="44">
        <v>0</v>
      </c>
      <c r="S551" s="44">
        <v>0</v>
      </c>
      <c r="T551" s="34">
        <v>0</v>
      </c>
      <c r="U551" s="34">
        <v>0</v>
      </c>
      <c r="V551" s="34">
        <v>0</v>
      </c>
      <c r="W551" s="40">
        <f t="shared" si="668"/>
        <v>0</v>
      </c>
      <c r="X551" s="18">
        <f t="shared" si="669"/>
        <v>112310609.13</v>
      </c>
      <c r="Y551" s="34">
        <f t="shared" si="670"/>
        <v>0</v>
      </c>
      <c r="Z551" s="34">
        <f t="shared" si="671"/>
        <v>0</v>
      </c>
      <c r="AA551" s="123">
        <f t="shared" si="672"/>
        <v>0</v>
      </c>
    </row>
    <row r="552" spans="1:27" ht="18.75" customHeight="1" x14ac:dyDescent="0.2">
      <c r="C552" s="19" t="s">
        <v>907</v>
      </c>
      <c r="D552" s="16"/>
      <c r="E552" s="17"/>
      <c r="F552" s="17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34"/>
      <c r="U552" s="34"/>
      <c r="V552" s="34"/>
      <c r="W552" s="40"/>
      <c r="X552" s="18"/>
      <c r="Y552" s="18"/>
      <c r="Z552" s="18"/>
      <c r="AA552" s="18"/>
    </row>
    <row r="553" spans="1:27" ht="18.75" customHeight="1" x14ac:dyDescent="0.2">
      <c r="C553" s="19" t="s">
        <v>907</v>
      </c>
      <c r="D553" s="16"/>
      <c r="E553" s="29" t="s">
        <v>523</v>
      </c>
      <c r="F553" s="17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34"/>
      <c r="U553" s="34"/>
      <c r="V553" s="34"/>
      <c r="W553" s="40"/>
      <c r="X553" s="18"/>
      <c r="Y553" s="18"/>
      <c r="Z553" s="18"/>
      <c r="AA553" s="18"/>
    </row>
    <row r="554" spans="1:27" ht="18.75" customHeight="1" x14ac:dyDescent="0.2">
      <c r="C554" s="19" t="s">
        <v>907</v>
      </c>
      <c r="D554" s="16"/>
      <c r="E554" s="29" t="s">
        <v>285</v>
      </c>
      <c r="F554" s="17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34"/>
      <c r="U554" s="34"/>
      <c r="V554" s="34"/>
      <c r="W554" s="40"/>
      <c r="X554" s="18"/>
      <c r="Y554" s="18"/>
      <c r="Z554" s="18"/>
      <c r="AA554" s="18"/>
    </row>
    <row r="555" spans="1:27" ht="18.75" customHeight="1" x14ac:dyDescent="0.2">
      <c r="C555" s="19" t="s">
        <v>907</v>
      </c>
      <c r="D555" s="16"/>
      <c r="E555" s="29" t="s">
        <v>286</v>
      </c>
      <c r="F555" s="17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34"/>
      <c r="U555" s="34"/>
      <c r="V555" s="34"/>
      <c r="W555" s="40"/>
      <c r="X555" s="18"/>
      <c r="Y555" s="18"/>
      <c r="Z555" s="18"/>
      <c r="AA555" s="18"/>
    </row>
    <row r="556" spans="1:27" ht="18.75" customHeight="1" x14ac:dyDescent="0.2">
      <c r="C556" s="19" t="s">
        <v>907</v>
      </c>
      <c r="D556" s="16"/>
      <c r="E556" s="29" t="s">
        <v>179</v>
      </c>
      <c r="F556" s="17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34"/>
      <c r="U556" s="34"/>
      <c r="V556" s="34"/>
      <c r="W556" s="40"/>
      <c r="X556" s="18"/>
      <c r="Y556" s="18"/>
      <c r="Z556" s="18"/>
      <c r="AA556" s="18"/>
    </row>
    <row r="557" spans="1:27" ht="18.75" customHeight="1" x14ac:dyDescent="0.2">
      <c r="C557" s="19" t="s">
        <v>907</v>
      </c>
      <c r="D557" s="16"/>
      <c r="E557" s="29" t="s">
        <v>189</v>
      </c>
      <c r="F557" s="17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34"/>
      <c r="U557" s="34"/>
      <c r="V557" s="34"/>
      <c r="W557" s="40"/>
      <c r="X557" s="18"/>
      <c r="Y557" s="18"/>
      <c r="Z557" s="18"/>
      <c r="AA557" s="18"/>
    </row>
    <row r="558" spans="1:27" ht="18.75" customHeight="1" x14ac:dyDescent="0.2">
      <c r="C558" s="19" t="s">
        <v>907</v>
      </c>
      <c r="D558" s="16"/>
      <c r="E558" s="29" t="s">
        <v>191</v>
      </c>
      <c r="F558" s="17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34"/>
      <c r="U558" s="34"/>
      <c r="V558" s="34"/>
      <c r="W558" s="40"/>
      <c r="X558" s="18"/>
      <c r="Y558" s="18"/>
      <c r="Z558" s="18"/>
      <c r="AA558" s="18"/>
    </row>
    <row r="559" spans="1:27" ht="18.75" customHeight="1" x14ac:dyDescent="0.2">
      <c r="C559" s="19" t="s">
        <v>907</v>
      </c>
      <c r="D559" s="28" t="s">
        <v>288</v>
      </c>
      <c r="E559" s="29" t="s">
        <v>459</v>
      </c>
      <c r="F559" s="17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34"/>
      <c r="U559" s="34"/>
      <c r="V559" s="34"/>
      <c r="W559" s="40"/>
      <c r="X559" s="18"/>
      <c r="Y559" s="18"/>
      <c r="Z559" s="18"/>
      <c r="AA559" s="18"/>
    </row>
    <row r="560" spans="1:27" ht="25.5" x14ac:dyDescent="0.2">
      <c r="A560" s="4" t="s">
        <v>55</v>
      </c>
      <c r="B560" s="4" t="s">
        <v>56</v>
      </c>
      <c r="C560" s="19" t="s">
        <v>907</v>
      </c>
      <c r="D560" s="41" t="s">
        <v>524</v>
      </c>
      <c r="E560" s="42" t="s">
        <v>525</v>
      </c>
      <c r="F560" s="43" t="s">
        <v>428</v>
      </c>
      <c r="G560" s="43">
        <v>47990790</v>
      </c>
      <c r="H560" s="44">
        <v>0</v>
      </c>
      <c r="I560" s="44">
        <v>0</v>
      </c>
      <c r="J560" s="44">
        <v>0</v>
      </c>
      <c r="K560" s="44">
        <v>0</v>
      </c>
      <c r="L560" s="44">
        <v>0</v>
      </c>
      <c r="M560" s="43">
        <v>47990790</v>
      </c>
      <c r="N560" s="44">
        <v>0</v>
      </c>
      <c r="O560" s="44">
        <v>0</v>
      </c>
      <c r="P560" s="44">
        <v>0</v>
      </c>
      <c r="Q560" s="44">
        <v>0</v>
      </c>
      <c r="R560" s="44">
        <v>0</v>
      </c>
      <c r="S560" s="44">
        <v>0</v>
      </c>
      <c r="T560" s="34">
        <v>0</v>
      </c>
      <c r="U560" s="34">
        <v>0</v>
      </c>
      <c r="V560" s="34">
        <v>0</v>
      </c>
      <c r="W560" s="40">
        <f t="shared" ref="W560:W561" si="673">T560+V560</f>
        <v>0</v>
      </c>
      <c r="X560" s="18">
        <f t="shared" ref="X560:X561" si="674">M560-P560</f>
        <v>47990790</v>
      </c>
      <c r="Y560" s="34">
        <f t="shared" ref="Y560:Y561" si="675">P560-S560</f>
        <v>0</v>
      </c>
      <c r="Z560" s="34">
        <f t="shared" ref="Z560:Z561" si="676">S560-W560</f>
        <v>0</v>
      </c>
      <c r="AA560" s="123">
        <f t="shared" ref="AA560:AA561" si="677">S560/M560</f>
        <v>0</v>
      </c>
    </row>
    <row r="561" spans="1:27" ht="25.5" x14ac:dyDescent="0.2">
      <c r="A561" s="4" t="s">
        <v>55</v>
      </c>
      <c r="B561" s="4" t="s">
        <v>56</v>
      </c>
      <c r="C561" s="19" t="s">
        <v>907</v>
      </c>
      <c r="D561" s="41" t="s">
        <v>526</v>
      </c>
      <c r="E561" s="42" t="s">
        <v>527</v>
      </c>
      <c r="F561" s="43" t="s">
        <v>428</v>
      </c>
      <c r="G561" s="43">
        <v>1098509998.8599999</v>
      </c>
      <c r="H561" s="44">
        <v>0</v>
      </c>
      <c r="I561" s="44">
        <v>0</v>
      </c>
      <c r="J561" s="44">
        <v>0</v>
      </c>
      <c r="K561" s="44">
        <v>0</v>
      </c>
      <c r="L561" s="44">
        <v>0</v>
      </c>
      <c r="M561" s="43">
        <v>1098509998.8599999</v>
      </c>
      <c r="N561" s="44">
        <v>0</v>
      </c>
      <c r="O561" s="44">
        <v>0</v>
      </c>
      <c r="P561" s="44">
        <v>0</v>
      </c>
      <c r="Q561" s="44">
        <v>0</v>
      </c>
      <c r="R561" s="44">
        <v>0</v>
      </c>
      <c r="S561" s="44">
        <v>0</v>
      </c>
      <c r="T561" s="34">
        <v>0</v>
      </c>
      <c r="U561" s="34">
        <v>0</v>
      </c>
      <c r="V561" s="34">
        <v>0</v>
      </c>
      <c r="W561" s="40">
        <f t="shared" si="673"/>
        <v>0</v>
      </c>
      <c r="X561" s="18">
        <f t="shared" si="674"/>
        <v>1098509998.8599999</v>
      </c>
      <c r="Y561" s="34">
        <f t="shared" si="675"/>
        <v>0</v>
      </c>
      <c r="Z561" s="34">
        <f t="shared" si="676"/>
        <v>0</v>
      </c>
      <c r="AA561" s="123">
        <f t="shared" si="677"/>
        <v>0</v>
      </c>
    </row>
    <row r="562" spans="1:27" x14ac:dyDescent="0.2">
      <c r="C562" s="19" t="s">
        <v>907</v>
      </c>
      <c r="D562" s="16"/>
      <c r="E562" s="17"/>
      <c r="F562" s="17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30"/>
      <c r="X562" s="18"/>
      <c r="Y562" s="18"/>
      <c r="Z562" s="18"/>
      <c r="AA562" s="18"/>
    </row>
    <row r="563" spans="1:27" s="50" customFormat="1" ht="18.75" customHeight="1" x14ac:dyDescent="0.2">
      <c r="B563" s="77"/>
      <c r="C563" s="19" t="s">
        <v>907</v>
      </c>
      <c r="D563" s="46"/>
      <c r="E563" s="47" t="s">
        <v>528</v>
      </c>
      <c r="F563" s="47"/>
      <c r="G563" s="48">
        <f t="shared" ref="G563:V563" si="678">SUM(G461:G561)</f>
        <v>94071374538</v>
      </c>
      <c r="H563" s="49">
        <f t="shared" si="678"/>
        <v>0</v>
      </c>
      <c r="I563" s="49">
        <f t="shared" si="678"/>
        <v>0</v>
      </c>
      <c r="J563" s="48">
        <f t="shared" si="678"/>
        <v>35993518070.950005</v>
      </c>
      <c r="K563" s="48">
        <f t="shared" si="678"/>
        <v>34437518070.950005</v>
      </c>
      <c r="L563" s="48">
        <f t="shared" si="678"/>
        <v>1556000000</v>
      </c>
      <c r="M563" s="48">
        <f t="shared" si="678"/>
        <v>95627374538</v>
      </c>
      <c r="N563" s="49">
        <f t="shared" si="678"/>
        <v>0</v>
      </c>
      <c r="O563" s="48">
        <f t="shared" si="678"/>
        <v>12707520499.09</v>
      </c>
      <c r="P563" s="48">
        <f>SUM(P461:P561)</f>
        <v>39433656847.370003</v>
      </c>
      <c r="Q563" s="48">
        <f t="shared" si="678"/>
        <v>103250000</v>
      </c>
      <c r="R563" s="48">
        <f t="shared" si="678"/>
        <v>7827617905.7200003</v>
      </c>
      <c r="S563" s="48">
        <f t="shared" si="678"/>
        <v>13014661335.369999</v>
      </c>
      <c r="T563" s="48">
        <f t="shared" si="678"/>
        <v>18433333</v>
      </c>
      <c r="U563" s="48">
        <f t="shared" si="678"/>
        <v>2712993375.4399996</v>
      </c>
      <c r="V563" s="48">
        <f t="shared" si="678"/>
        <v>2721462971.8899999</v>
      </c>
      <c r="W563" s="22">
        <f>T563+V563</f>
        <v>2739896304.8899999</v>
      </c>
      <c r="X563" s="48">
        <f>SUM(X461:X561)</f>
        <v>56193717690.629997</v>
      </c>
      <c r="Y563" s="48">
        <f>SUM(Y461:Y561)</f>
        <v>26418995512</v>
      </c>
      <c r="Z563" s="48">
        <f>SUM(Z461:Z561)</f>
        <v>10274765030.48</v>
      </c>
      <c r="AA563" s="24">
        <f t="shared" ref="AA563" si="679">S563/M563</f>
        <v>0.13609765402686327</v>
      </c>
    </row>
    <row r="564" spans="1:27" ht="18.75" customHeight="1" x14ac:dyDescent="0.2">
      <c r="C564" s="19" t="s">
        <v>907</v>
      </c>
      <c r="D564" s="16"/>
      <c r="E564" s="17"/>
      <c r="F564" s="17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</row>
    <row r="565" spans="1:27" s="25" customFormat="1" ht="18.75" customHeight="1" x14ac:dyDescent="0.2">
      <c r="B565" s="71"/>
      <c r="C565" s="19" t="s">
        <v>907</v>
      </c>
      <c r="D565" s="66"/>
      <c r="E565" s="21" t="s">
        <v>529</v>
      </c>
      <c r="F565" s="67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  <c r="AA565" s="63"/>
    </row>
    <row r="566" spans="1:27" ht="18.75" customHeight="1" x14ac:dyDescent="0.2">
      <c r="C566" s="19" t="s">
        <v>907</v>
      </c>
      <c r="D566" s="16"/>
      <c r="E566" s="29" t="s">
        <v>286</v>
      </c>
      <c r="F566" s="17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</row>
    <row r="567" spans="1:27" ht="18.75" customHeight="1" x14ac:dyDescent="0.2">
      <c r="C567" s="19" t="s">
        <v>907</v>
      </c>
      <c r="D567" s="16"/>
      <c r="E567" s="29" t="s">
        <v>179</v>
      </c>
      <c r="F567" s="17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</row>
    <row r="568" spans="1:27" ht="18.75" customHeight="1" x14ac:dyDescent="0.2">
      <c r="C568" s="19" t="s">
        <v>907</v>
      </c>
      <c r="D568" s="16"/>
      <c r="E568" s="29" t="s">
        <v>181</v>
      </c>
      <c r="F568" s="17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</row>
    <row r="569" spans="1:27" x14ac:dyDescent="0.2">
      <c r="C569" s="19" t="s">
        <v>907</v>
      </c>
      <c r="D569" s="16"/>
      <c r="E569" s="29" t="s">
        <v>530</v>
      </c>
      <c r="F569" s="17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30"/>
      <c r="X569" s="18"/>
      <c r="Y569" s="18"/>
      <c r="Z569" s="18"/>
      <c r="AA569" s="18"/>
    </row>
    <row r="570" spans="1:27" ht="25.5" x14ac:dyDescent="0.2">
      <c r="C570" s="19" t="s">
        <v>907</v>
      </c>
      <c r="D570" s="28" t="s">
        <v>288</v>
      </c>
      <c r="E570" s="29" t="s">
        <v>531</v>
      </c>
      <c r="F570" s="17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30"/>
      <c r="X570" s="18"/>
      <c r="Y570" s="18"/>
      <c r="Z570" s="18"/>
      <c r="AA570" s="18"/>
    </row>
    <row r="571" spans="1:27" x14ac:dyDescent="0.2">
      <c r="A571" s="4" t="s">
        <v>55</v>
      </c>
      <c r="B571" s="4" t="s">
        <v>56</v>
      </c>
      <c r="C571" s="19" t="s">
        <v>907</v>
      </c>
      <c r="D571" s="41" t="s">
        <v>532</v>
      </c>
      <c r="E571" s="42" t="s">
        <v>233</v>
      </c>
      <c r="F571" s="43" t="s">
        <v>58</v>
      </c>
      <c r="G571" s="43">
        <v>40000000.659999996</v>
      </c>
      <c r="H571" s="44">
        <v>0</v>
      </c>
      <c r="I571" s="44">
        <v>0</v>
      </c>
      <c r="J571" s="43">
        <v>250000000</v>
      </c>
      <c r="K571" s="44">
        <v>0</v>
      </c>
      <c r="L571" s="43">
        <f>H571-I571+J571-K571</f>
        <v>250000000</v>
      </c>
      <c r="M571" s="43">
        <f>G571+L571</f>
        <v>290000000.65999997</v>
      </c>
      <c r="N571" s="44">
        <v>0</v>
      </c>
      <c r="O571" s="44">
        <v>0</v>
      </c>
      <c r="P571" s="44">
        <v>0</v>
      </c>
      <c r="Q571" s="44">
        <v>0</v>
      </c>
      <c r="R571" s="44">
        <v>0</v>
      </c>
      <c r="S571" s="44">
        <v>0</v>
      </c>
      <c r="T571" s="34">
        <v>0</v>
      </c>
      <c r="U571" s="34">
        <v>0</v>
      </c>
      <c r="V571" s="34">
        <v>0</v>
      </c>
      <c r="W571" s="40">
        <f t="shared" ref="W571:W573" si="680">T571+V571</f>
        <v>0</v>
      </c>
      <c r="X571" s="18">
        <f t="shared" ref="X571:X573" si="681">M571-P571</f>
        <v>290000000.65999997</v>
      </c>
      <c r="Y571" s="34">
        <f t="shared" ref="Y571:Y573" si="682">P571-S571</f>
        <v>0</v>
      </c>
      <c r="Z571" s="34">
        <f t="shared" ref="Z571:Z573" si="683">S571-W571</f>
        <v>0</v>
      </c>
      <c r="AA571" s="123">
        <f t="shared" ref="AA571:AA573" si="684">S571/M571</f>
        <v>0</v>
      </c>
    </row>
    <row r="572" spans="1:27" ht="25.5" x14ac:dyDescent="0.2">
      <c r="C572" s="19" t="s">
        <v>907</v>
      </c>
      <c r="D572" s="28" t="s">
        <v>288</v>
      </c>
      <c r="E572" s="29" t="s">
        <v>533</v>
      </c>
      <c r="F572" s="17"/>
      <c r="G572" s="18"/>
      <c r="H572" s="34"/>
      <c r="I572" s="34"/>
      <c r="J572" s="34"/>
      <c r="K572" s="34"/>
      <c r="L572" s="34"/>
      <c r="M572" s="18"/>
      <c r="N572" s="18"/>
      <c r="O572" s="18"/>
      <c r="P572" s="18"/>
      <c r="Q572" s="18"/>
      <c r="R572" s="18"/>
      <c r="S572" s="18"/>
      <c r="T572" s="34"/>
      <c r="U572" s="34"/>
      <c r="V572" s="34"/>
      <c r="W572" s="40"/>
      <c r="X572" s="18"/>
      <c r="Y572" s="34"/>
      <c r="Z572" s="34"/>
      <c r="AA572" s="123"/>
    </row>
    <row r="573" spans="1:27" x14ac:dyDescent="0.2">
      <c r="A573" s="4" t="s">
        <v>55</v>
      </c>
      <c r="B573" s="4" t="s">
        <v>56</v>
      </c>
      <c r="C573" s="19" t="s">
        <v>907</v>
      </c>
      <c r="D573" s="41" t="s">
        <v>534</v>
      </c>
      <c r="E573" s="42" t="s">
        <v>233</v>
      </c>
      <c r="F573" s="43" t="s">
        <v>58</v>
      </c>
      <c r="G573" s="43">
        <v>100000000</v>
      </c>
      <c r="H573" s="44">
        <v>0</v>
      </c>
      <c r="I573" s="44">
        <v>0</v>
      </c>
      <c r="J573" s="44">
        <v>0</v>
      </c>
      <c r="K573" s="44">
        <v>0</v>
      </c>
      <c r="L573" s="44">
        <v>0</v>
      </c>
      <c r="M573" s="43">
        <v>100000000</v>
      </c>
      <c r="N573" s="44">
        <v>0</v>
      </c>
      <c r="O573" s="44">
        <v>0</v>
      </c>
      <c r="P573" s="44">
        <v>0</v>
      </c>
      <c r="Q573" s="44">
        <v>0</v>
      </c>
      <c r="R573" s="44">
        <v>0</v>
      </c>
      <c r="S573" s="44">
        <v>0</v>
      </c>
      <c r="T573" s="34">
        <v>0</v>
      </c>
      <c r="U573" s="34">
        <v>0</v>
      </c>
      <c r="V573" s="34">
        <v>0</v>
      </c>
      <c r="W573" s="40">
        <f t="shared" si="680"/>
        <v>0</v>
      </c>
      <c r="X573" s="18">
        <f t="shared" si="681"/>
        <v>100000000</v>
      </c>
      <c r="Y573" s="34">
        <f t="shared" si="682"/>
        <v>0</v>
      </c>
      <c r="Z573" s="34">
        <f t="shared" si="683"/>
        <v>0</v>
      </c>
      <c r="AA573" s="123">
        <f t="shared" si="684"/>
        <v>0</v>
      </c>
    </row>
    <row r="574" spans="1:27" x14ac:dyDescent="0.2">
      <c r="C574" s="19" t="s">
        <v>907</v>
      </c>
      <c r="D574" s="16"/>
      <c r="E574" s="17"/>
      <c r="F574" s="17"/>
      <c r="G574" s="18"/>
      <c r="H574" s="34"/>
      <c r="I574" s="34"/>
      <c r="J574" s="34"/>
      <c r="K574" s="34"/>
      <c r="L574" s="34"/>
      <c r="M574" s="18"/>
      <c r="N574" s="34"/>
      <c r="O574" s="34"/>
      <c r="P574" s="34"/>
      <c r="Q574" s="34"/>
      <c r="R574" s="34"/>
      <c r="S574" s="34"/>
      <c r="T574" s="18"/>
      <c r="U574" s="18"/>
      <c r="V574" s="18"/>
      <c r="W574" s="31"/>
      <c r="X574" s="18"/>
      <c r="Y574" s="18"/>
      <c r="Z574" s="34"/>
      <c r="AA574" s="18"/>
    </row>
    <row r="575" spans="1:27" ht="25.5" x14ac:dyDescent="0.2">
      <c r="C575" s="19" t="s">
        <v>907</v>
      </c>
      <c r="D575" s="16"/>
      <c r="E575" s="29" t="s">
        <v>183</v>
      </c>
      <c r="F575" s="17"/>
      <c r="G575" s="18"/>
      <c r="H575" s="34"/>
      <c r="I575" s="34"/>
      <c r="J575" s="34"/>
      <c r="K575" s="34"/>
      <c r="L575" s="34"/>
      <c r="M575" s="18"/>
      <c r="N575" s="34"/>
      <c r="O575" s="34"/>
      <c r="P575" s="34"/>
      <c r="Q575" s="34"/>
      <c r="R575" s="34"/>
      <c r="S575" s="34"/>
      <c r="T575" s="18"/>
      <c r="U575" s="18"/>
      <c r="V575" s="18"/>
      <c r="W575" s="31"/>
      <c r="X575" s="18"/>
      <c r="Y575" s="18"/>
      <c r="Z575" s="34"/>
      <c r="AA575" s="18"/>
    </row>
    <row r="576" spans="1:27" ht="25.5" x14ac:dyDescent="0.2">
      <c r="C576" s="19" t="s">
        <v>907</v>
      </c>
      <c r="D576" s="28" t="s">
        <v>288</v>
      </c>
      <c r="E576" s="29" t="s">
        <v>535</v>
      </c>
      <c r="F576" s="17"/>
      <c r="G576" s="18"/>
      <c r="H576" s="34"/>
      <c r="I576" s="34"/>
      <c r="J576" s="34"/>
      <c r="K576" s="34"/>
      <c r="L576" s="34"/>
      <c r="M576" s="18"/>
      <c r="N576" s="34"/>
      <c r="O576" s="34"/>
      <c r="P576" s="34"/>
      <c r="Q576" s="34"/>
      <c r="R576" s="34"/>
      <c r="S576" s="34"/>
      <c r="T576" s="18"/>
      <c r="U576" s="18"/>
      <c r="V576" s="18"/>
      <c r="W576" s="31"/>
      <c r="X576" s="18"/>
      <c r="Y576" s="18"/>
      <c r="Z576" s="34"/>
      <c r="AA576" s="18"/>
    </row>
    <row r="577" spans="1:27" x14ac:dyDescent="0.2">
      <c r="A577" s="4" t="s">
        <v>55</v>
      </c>
      <c r="B577" s="4" t="s">
        <v>56</v>
      </c>
      <c r="C577" s="19" t="s">
        <v>907</v>
      </c>
      <c r="D577" s="41" t="s">
        <v>536</v>
      </c>
      <c r="E577" s="42" t="s">
        <v>233</v>
      </c>
      <c r="F577" s="43" t="s">
        <v>58</v>
      </c>
      <c r="G577" s="43">
        <v>246000000</v>
      </c>
      <c r="H577" s="44">
        <v>0</v>
      </c>
      <c r="I577" s="44">
        <v>0</v>
      </c>
      <c r="J577" s="43">
        <v>200000000</v>
      </c>
      <c r="K577" s="44">
        <v>0</v>
      </c>
      <c r="L577" s="43">
        <f>H577-I577+J577-K577</f>
        <v>200000000</v>
      </c>
      <c r="M577" s="43">
        <f>G577+L577</f>
        <v>446000000</v>
      </c>
      <c r="N577" s="44">
        <v>0</v>
      </c>
      <c r="O577" s="44">
        <v>0</v>
      </c>
      <c r="P577" s="44">
        <v>0</v>
      </c>
      <c r="Q577" s="44">
        <v>0</v>
      </c>
      <c r="R577" s="44">
        <v>0</v>
      </c>
      <c r="S577" s="44">
        <v>0</v>
      </c>
      <c r="T577" s="44">
        <v>0</v>
      </c>
      <c r="U577" s="44">
        <v>0</v>
      </c>
      <c r="V577" s="44">
        <v>0</v>
      </c>
      <c r="W577" s="40">
        <f t="shared" ref="W577:W579" si="685">T577+V577</f>
        <v>0</v>
      </c>
      <c r="X577" s="18">
        <f t="shared" ref="X577:X579" si="686">M577-P577</f>
        <v>446000000</v>
      </c>
      <c r="Y577" s="34">
        <f t="shared" ref="Y577:Y579" si="687">P577-S577</f>
        <v>0</v>
      </c>
      <c r="Z577" s="34">
        <f t="shared" ref="Z577:Z579" si="688">S577-W577</f>
        <v>0</v>
      </c>
      <c r="AA577" s="123">
        <f t="shared" ref="AA577:AA579" si="689">S577/M577</f>
        <v>0</v>
      </c>
    </row>
    <row r="578" spans="1:27" x14ac:dyDescent="0.2">
      <c r="A578" s="4" t="s">
        <v>55</v>
      </c>
      <c r="B578" s="4" t="s">
        <v>56</v>
      </c>
      <c r="C578" s="19" t="s">
        <v>907</v>
      </c>
      <c r="D578" s="41" t="s">
        <v>537</v>
      </c>
      <c r="E578" s="42" t="s">
        <v>538</v>
      </c>
      <c r="F578" s="43" t="s">
        <v>253</v>
      </c>
      <c r="G578" s="43">
        <v>603350727</v>
      </c>
      <c r="H578" s="44">
        <v>0</v>
      </c>
      <c r="I578" s="44">
        <v>0</v>
      </c>
      <c r="J578" s="44">
        <v>0</v>
      </c>
      <c r="K578" s="44">
        <v>0</v>
      </c>
      <c r="L578" s="44">
        <v>0</v>
      </c>
      <c r="M578" s="43">
        <v>603350727</v>
      </c>
      <c r="N578" s="44">
        <v>0</v>
      </c>
      <c r="O578" s="44">
        <v>0</v>
      </c>
      <c r="P578" s="44">
        <v>0</v>
      </c>
      <c r="Q578" s="44">
        <v>0</v>
      </c>
      <c r="R578" s="44">
        <v>0</v>
      </c>
      <c r="S578" s="44">
        <v>0</v>
      </c>
      <c r="T578" s="44">
        <v>0</v>
      </c>
      <c r="U578" s="44">
        <v>0</v>
      </c>
      <c r="V578" s="44">
        <v>0</v>
      </c>
      <c r="W578" s="40">
        <f t="shared" si="685"/>
        <v>0</v>
      </c>
      <c r="X578" s="18">
        <f t="shared" si="686"/>
        <v>603350727</v>
      </c>
      <c r="Y578" s="34">
        <f t="shared" si="687"/>
        <v>0</v>
      </c>
      <c r="Z578" s="34">
        <f t="shared" si="688"/>
        <v>0</v>
      </c>
      <c r="AA578" s="123">
        <f t="shared" si="689"/>
        <v>0</v>
      </c>
    </row>
    <row r="579" spans="1:27" ht="25.5" x14ac:dyDescent="0.2">
      <c r="A579" s="4" t="s">
        <v>55</v>
      </c>
      <c r="B579" s="4" t="s">
        <v>56</v>
      </c>
      <c r="C579" s="19" t="s">
        <v>907</v>
      </c>
      <c r="D579" s="41" t="s">
        <v>539</v>
      </c>
      <c r="E579" s="42" t="s">
        <v>540</v>
      </c>
      <c r="F579" s="43" t="s">
        <v>253</v>
      </c>
      <c r="G579" s="43">
        <v>850649274</v>
      </c>
      <c r="H579" s="44">
        <v>0</v>
      </c>
      <c r="I579" s="44">
        <v>0</v>
      </c>
      <c r="J579" s="44">
        <v>0</v>
      </c>
      <c r="K579" s="44">
        <v>0</v>
      </c>
      <c r="L579" s="44">
        <v>0</v>
      </c>
      <c r="M579" s="43">
        <v>850649274</v>
      </c>
      <c r="N579" s="44">
        <v>0</v>
      </c>
      <c r="O579" s="44">
        <v>0</v>
      </c>
      <c r="P579" s="44">
        <v>0</v>
      </c>
      <c r="Q579" s="44">
        <v>0</v>
      </c>
      <c r="R579" s="44">
        <v>0</v>
      </c>
      <c r="S579" s="44">
        <v>0</v>
      </c>
      <c r="T579" s="44">
        <v>0</v>
      </c>
      <c r="U579" s="44">
        <v>0</v>
      </c>
      <c r="V579" s="44">
        <v>0</v>
      </c>
      <c r="W579" s="40">
        <f t="shared" si="685"/>
        <v>0</v>
      </c>
      <c r="X579" s="18">
        <f t="shared" si="686"/>
        <v>850649274</v>
      </c>
      <c r="Y579" s="34">
        <f t="shared" si="687"/>
        <v>0</v>
      </c>
      <c r="Z579" s="34">
        <f t="shared" si="688"/>
        <v>0</v>
      </c>
      <c r="AA579" s="123">
        <f t="shared" si="689"/>
        <v>0</v>
      </c>
    </row>
    <row r="580" spans="1:27" x14ac:dyDescent="0.2">
      <c r="C580" s="19" t="s">
        <v>907</v>
      </c>
      <c r="D580" s="16"/>
      <c r="E580" s="17"/>
      <c r="F580" s="17"/>
      <c r="G580" s="18"/>
      <c r="H580" s="34"/>
      <c r="I580" s="34"/>
      <c r="J580" s="34"/>
      <c r="K580" s="34"/>
      <c r="L580" s="34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30"/>
      <c r="X580" s="18"/>
      <c r="Y580" s="18"/>
      <c r="Z580" s="18"/>
      <c r="AA580" s="18"/>
    </row>
    <row r="581" spans="1:27" x14ac:dyDescent="0.2">
      <c r="C581" s="19" t="s">
        <v>907</v>
      </c>
      <c r="D581" s="16"/>
      <c r="E581" s="29" t="s">
        <v>199</v>
      </c>
      <c r="F581" s="17"/>
      <c r="G581" s="18"/>
      <c r="H581" s="34"/>
      <c r="I581" s="34"/>
      <c r="J581" s="34"/>
      <c r="K581" s="34"/>
      <c r="L581" s="34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30"/>
      <c r="X581" s="18"/>
      <c r="Y581" s="18"/>
      <c r="Z581" s="18"/>
      <c r="AA581" s="18"/>
    </row>
    <row r="582" spans="1:27" ht="25.5" x14ac:dyDescent="0.2">
      <c r="C582" s="19" t="s">
        <v>907</v>
      </c>
      <c r="D582" s="28" t="s">
        <v>288</v>
      </c>
      <c r="E582" s="29" t="s">
        <v>531</v>
      </c>
      <c r="F582" s="17"/>
      <c r="G582" s="18"/>
      <c r="H582" s="34"/>
      <c r="I582" s="34"/>
      <c r="J582" s="34"/>
      <c r="K582" s="34"/>
      <c r="L582" s="34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30"/>
      <c r="X582" s="18"/>
      <c r="Y582" s="18"/>
      <c r="Z582" s="18"/>
      <c r="AA582" s="18"/>
    </row>
    <row r="583" spans="1:27" x14ac:dyDescent="0.2">
      <c r="A583" s="4" t="s">
        <v>55</v>
      </c>
      <c r="B583" s="4" t="s">
        <v>56</v>
      </c>
      <c r="C583" s="19" t="s">
        <v>907</v>
      </c>
      <c r="D583" s="41" t="s">
        <v>541</v>
      </c>
      <c r="E583" s="42" t="s">
        <v>233</v>
      </c>
      <c r="F583" s="43" t="s">
        <v>58</v>
      </c>
      <c r="G583" s="43">
        <v>190000000</v>
      </c>
      <c r="H583" s="44">
        <v>0</v>
      </c>
      <c r="I583" s="44">
        <v>0</v>
      </c>
      <c r="J583" s="44">
        <v>0</v>
      </c>
      <c r="K583" s="44">
        <v>0</v>
      </c>
      <c r="L583" s="44">
        <v>0</v>
      </c>
      <c r="M583" s="43">
        <v>190000000</v>
      </c>
      <c r="N583" s="115">
        <v>0</v>
      </c>
      <c r="O583" s="114">
        <f>P583-[1]ENERO!O581</f>
        <v>88000000</v>
      </c>
      <c r="P583" s="114">
        <v>88000000</v>
      </c>
      <c r="Q583" s="114">
        <v>0</v>
      </c>
      <c r="R583" s="114">
        <v>32000000</v>
      </c>
      <c r="S583" s="114">
        <v>32000000</v>
      </c>
      <c r="T583" s="115">
        <v>0</v>
      </c>
      <c r="U583" s="115">
        <v>0</v>
      </c>
      <c r="V583" s="115">
        <v>0</v>
      </c>
      <c r="W583" s="40">
        <f t="shared" ref="W583" si="690">T583+V583</f>
        <v>0</v>
      </c>
      <c r="X583" s="18">
        <f t="shared" ref="X583" si="691">M583-P583</f>
        <v>102000000</v>
      </c>
      <c r="Y583" s="110">
        <f t="shared" ref="Y583" si="692">P583-S583</f>
        <v>56000000</v>
      </c>
      <c r="Z583" s="18">
        <f t="shared" ref="Z583" si="693">S583-W583</f>
        <v>32000000</v>
      </c>
      <c r="AA583" s="123">
        <f t="shared" ref="AA583" si="694">S583/M583</f>
        <v>0.16842105263157894</v>
      </c>
    </row>
    <row r="584" spans="1:27" x14ac:dyDescent="0.2">
      <c r="C584" s="19" t="s">
        <v>907</v>
      </c>
      <c r="D584" s="28" t="s">
        <v>288</v>
      </c>
      <c r="E584" s="29" t="s">
        <v>542</v>
      </c>
      <c r="F584" s="17"/>
      <c r="G584" s="18"/>
      <c r="H584" s="34"/>
      <c r="I584" s="34"/>
      <c r="J584" s="34"/>
      <c r="K584" s="34"/>
      <c r="L584" s="34"/>
      <c r="M584" s="18"/>
      <c r="N584" s="34"/>
      <c r="O584" s="34"/>
      <c r="P584" s="34"/>
      <c r="Q584" s="34"/>
      <c r="R584" s="34"/>
      <c r="S584" s="34"/>
      <c r="T584" s="34"/>
      <c r="U584" s="34"/>
      <c r="V584" s="34"/>
      <c r="W584" s="31"/>
      <c r="X584" s="18"/>
      <c r="Y584" s="18"/>
      <c r="Z584" s="18"/>
      <c r="AA584" s="18"/>
    </row>
    <row r="585" spans="1:27" x14ac:dyDescent="0.2">
      <c r="A585" s="4" t="s">
        <v>55</v>
      </c>
      <c r="B585" s="4" t="s">
        <v>56</v>
      </c>
      <c r="C585" s="19" t="s">
        <v>907</v>
      </c>
      <c r="D585" s="41" t="s">
        <v>543</v>
      </c>
      <c r="E585" s="42" t="s">
        <v>233</v>
      </c>
      <c r="F585" s="43" t="s">
        <v>58</v>
      </c>
      <c r="G585" s="43">
        <v>229000000</v>
      </c>
      <c r="H585" s="44">
        <v>0</v>
      </c>
      <c r="I585" s="44">
        <v>0</v>
      </c>
      <c r="J585" s="44">
        <v>0</v>
      </c>
      <c r="K585" s="44">
        <v>0</v>
      </c>
      <c r="L585" s="44">
        <v>0</v>
      </c>
      <c r="M585" s="43">
        <v>229000000</v>
      </c>
      <c r="N585" s="44">
        <v>0</v>
      </c>
      <c r="O585" s="44">
        <v>0</v>
      </c>
      <c r="P585" s="44">
        <v>0</v>
      </c>
      <c r="Q585" s="44">
        <v>0</v>
      </c>
      <c r="R585" s="44">
        <v>0</v>
      </c>
      <c r="S585" s="44">
        <v>0</v>
      </c>
      <c r="T585" s="44">
        <v>0</v>
      </c>
      <c r="U585" s="44">
        <v>0</v>
      </c>
      <c r="V585" s="44">
        <v>0</v>
      </c>
      <c r="W585" s="40">
        <f t="shared" ref="W585" si="695">T585+V585</f>
        <v>0</v>
      </c>
      <c r="X585" s="18">
        <f t="shared" ref="X585" si="696">M585-P585</f>
        <v>229000000</v>
      </c>
      <c r="Y585" s="34">
        <f t="shared" ref="Y585" si="697">P585-S585</f>
        <v>0</v>
      </c>
      <c r="Z585" s="34">
        <f t="shared" ref="Z585" si="698">S585-W585</f>
        <v>0</v>
      </c>
      <c r="AA585" s="123">
        <f t="shared" ref="AA585" si="699">S585/M585</f>
        <v>0</v>
      </c>
    </row>
    <row r="586" spans="1:27" ht="25.5" x14ac:dyDescent="0.2">
      <c r="C586" s="19" t="s">
        <v>907</v>
      </c>
      <c r="D586" s="28" t="s">
        <v>288</v>
      </c>
      <c r="E586" s="29" t="s">
        <v>544</v>
      </c>
      <c r="F586" s="17"/>
      <c r="G586" s="18"/>
      <c r="H586" s="34"/>
      <c r="I586" s="34"/>
      <c r="J586" s="34"/>
      <c r="K586" s="34"/>
      <c r="L586" s="34"/>
      <c r="M586" s="18"/>
      <c r="N586" s="34"/>
      <c r="O586" s="34"/>
      <c r="P586" s="34"/>
      <c r="Q586" s="34"/>
      <c r="R586" s="34"/>
      <c r="S586" s="34"/>
      <c r="T586" s="34"/>
      <c r="U586" s="34"/>
      <c r="V586" s="34"/>
      <c r="W586" s="31"/>
      <c r="X586" s="18"/>
      <c r="Y586" s="18"/>
      <c r="Z586" s="34"/>
      <c r="AA586" s="18"/>
    </row>
    <row r="587" spans="1:27" x14ac:dyDescent="0.2">
      <c r="A587" s="4" t="s">
        <v>55</v>
      </c>
      <c r="B587" s="4" t="s">
        <v>56</v>
      </c>
      <c r="C587" s="19" t="s">
        <v>907</v>
      </c>
      <c r="D587" s="41" t="s">
        <v>545</v>
      </c>
      <c r="E587" s="42" t="s">
        <v>233</v>
      </c>
      <c r="F587" s="43" t="s">
        <v>58</v>
      </c>
      <c r="G587" s="43">
        <v>150000000</v>
      </c>
      <c r="H587" s="44">
        <v>0</v>
      </c>
      <c r="I587" s="44">
        <v>0</v>
      </c>
      <c r="J587" s="44">
        <v>0</v>
      </c>
      <c r="K587" s="44">
        <v>0</v>
      </c>
      <c r="L587" s="44">
        <v>0</v>
      </c>
      <c r="M587" s="43">
        <v>150000000</v>
      </c>
      <c r="N587" s="44">
        <v>0</v>
      </c>
      <c r="O587" s="44">
        <v>0</v>
      </c>
      <c r="P587" s="44">
        <v>0</v>
      </c>
      <c r="Q587" s="44">
        <v>0</v>
      </c>
      <c r="R587" s="44">
        <v>0</v>
      </c>
      <c r="S587" s="44">
        <v>0</v>
      </c>
      <c r="T587" s="44">
        <v>0</v>
      </c>
      <c r="U587" s="44">
        <v>0</v>
      </c>
      <c r="V587" s="44">
        <v>0</v>
      </c>
      <c r="W587" s="40">
        <f t="shared" ref="W587" si="700">T587+V587</f>
        <v>0</v>
      </c>
      <c r="X587" s="18">
        <f t="shared" ref="X587" si="701">M587-P587</f>
        <v>150000000</v>
      </c>
      <c r="Y587" s="34">
        <f t="shared" ref="Y587" si="702">P587-S587</f>
        <v>0</v>
      </c>
      <c r="Z587" s="34">
        <f t="shared" ref="Z587" si="703">S587-W587</f>
        <v>0</v>
      </c>
      <c r="AA587" s="123">
        <f t="shared" ref="AA587" si="704">S587/M587</f>
        <v>0</v>
      </c>
    </row>
    <row r="588" spans="1:27" ht="38.25" x14ac:dyDescent="0.2">
      <c r="C588" s="19" t="s">
        <v>907</v>
      </c>
      <c r="D588" s="28" t="s">
        <v>288</v>
      </c>
      <c r="E588" s="29" t="s">
        <v>546</v>
      </c>
      <c r="F588" s="17"/>
      <c r="G588" s="18"/>
      <c r="H588" s="34"/>
      <c r="I588" s="34"/>
      <c r="J588" s="34"/>
      <c r="K588" s="34"/>
      <c r="L588" s="34"/>
      <c r="M588" s="18"/>
      <c r="N588" s="34"/>
      <c r="O588" s="18"/>
      <c r="P588" s="18"/>
      <c r="Q588" s="18"/>
      <c r="R588" s="18"/>
      <c r="S588" s="18"/>
      <c r="T588" s="18"/>
      <c r="U588" s="18"/>
      <c r="V588" s="18"/>
      <c r="W588" s="30"/>
      <c r="X588" s="18"/>
      <c r="Y588" s="18"/>
      <c r="Z588" s="18"/>
      <c r="AA588" s="18"/>
    </row>
    <row r="589" spans="1:27" x14ac:dyDescent="0.2">
      <c r="A589" s="4" t="s">
        <v>55</v>
      </c>
      <c r="B589" s="4" t="s">
        <v>56</v>
      </c>
      <c r="C589" s="19" t="s">
        <v>907</v>
      </c>
      <c r="D589" s="41" t="s">
        <v>547</v>
      </c>
      <c r="E589" s="42" t="s">
        <v>233</v>
      </c>
      <c r="F589" s="43" t="s">
        <v>58</v>
      </c>
      <c r="G589" s="43">
        <v>80000000</v>
      </c>
      <c r="H589" s="44">
        <v>0</v>
      </c>
      <c r="I589" s="44">
        <v>0</v>
      </c>
      <c r="J589" s="44">
        <v>0</v>
      </c>
      <c r="K589" s="44">
        <v>0</v>
      </c>
      <c r="L589" s="44">
        <v>0</v>
      </c>
      <c r="M589" s="43">
        <v>80000000</v>
      </c>
      <c r="N589" s="44">
        <v>0</v>
      </c>
      <c r="O589" s="44">
        <f>P589-[1]ENERO!O587</f>
        <v>0</v>
      </c>
      <c r="P589" s="43">
        <v>80000000</v>
      </c>
      <c r="Q589" s="43">
        <v>0</v>
      </c>
      <c r="R589" s="43">
        <v>80000000</v>
      </c>
      <c r="S589" s="110">
        <v>80000000</v>
      </c>
      <c r="T589" s="34">
        <v>0</v>
      </c>
      <c r="U589" s="34">
        <v>0</v>
      </c>
      <c r="V589" s="34">
        <v>0</v>
      </c>
      <c r="W589" s="40">
        <f t="shared" ref="W589:W611" si="705">T589+V589</f>
        <v>0</v>
      </c>
      <c r="X589" s="34">
        <f t="shared" ref="X589" si="706">M589-P589</f>
        <v>0</v>
      </c>
      <c r="Y589" s="34">
        <f t="shared" ref="Y589" si="707">P589-S589</f>
        <v>0</v>
      </c>
      <c r="Z589" s="18">
        <f t="shared" ref="Z589" si="708">S589-W589</f>
        <v>80000000</v>
      </c>
      <c r="AA589" s="123">
        <f t="shared" ref="AA589" si="709">S589/M589</f>
        <v>1</v>
      </c>
    </row>
    <row r="590" spans="1:27" ht="38.25" x14ac:dyDescent="0.2">
      <c r="C590" s="19" t="s">
        <v>907</v>
      </c>
      <c r="D590" s="28" t="s">
        <v>288</v>
      </c>
      <c r="E590" s="29" t="s">
        <v>548</v>
      </c>
      <c r="F590" s="17"/>
      <c r="G590" s="18"/>
      <c r="H590" s="34"/>
      <c r="I590" s="34"/>
      <c r="J590" s="34"/>
      <c r="K590" s="34"/>
      <c r="L590" s="34"/>
      <c r="M590" s="18"/>
      <c r="N590" s="18"/>
      <c r="O590" s="18"/>
      <c r="P590" s="18"/>
      <c r="Q590" s="18"/>
      <c r="R590" s="18"/>
      <c r="S590" s="34"/>
      <c r="T590" s="34"/>
      <c r="U590" s="34"/>
      <c r="V590" s="34"/>
      <c r="W590" s="40"/>
      <c r="X590" s="18"/>
      <c r="Y590" s="18"/>
      <c r="Z590" s="18"/>
      <c r="AA590" s="18"/>
    </row>
    <row r="591" spans="1:27" x14ac:dyDescent="0.2">
      <c r="A591" s="4" t="s">
        <v>55</v>
      </c>
      <c r="B591" s="4" t="s">
        <v>56</v>
      </c>
      <c r="C591" s="19" t="s">
        <v>907</v>
      </c>
      <c r="D591" s="41" t="s">
        <v>549</v>
      </c>
      <c r="E591" s="42" t="s">
        <v>233</v>
      </c>
      <c r="F591" s="43" t="s">
        <v>58</v>
      </c>
      <c r="G591" s="43">
        <v>40000000</v>
      </c>
      <c r="H591" s="44">
        <v>0</v>
      </c>
      <c r="I591" s="44">
        <v>0</v>
      </c>
      <c r="J591" s="44">
        <v>0</v>
      </c>
      <c r="K591" s="44">
        <v>0</v>
      </c>
      <c r="L591" s="44">
        <v>0</v>
      </c>
      <c r="M591" s="43">
        <v>40000000</v>
      </c>
      <c r="N591" s="43">
        <v>0</v>
      </c>
      <c r="O591" s="43">
        <v>0</v>
      </c>
      <c r="P591" s="43">
        <v>0</v>
      </c>
      <c r="Q591" s="43">
        <v>0</v>
      </c>
      <c r="R591" s="43">
        <v>0</v>
      </c>
      <c r="S591" s="34">
        <v>0</v>
      </c>
      <c r="T591" s="34">
        <v>0</v>
      </c>
      <c r="U591" s="34">
        <v>0</v>
      </c>
      <c r="V591" s="34">
        <v>0</v>
      </c>
      <c r="W591" s="40">
        <f t="shared" si="705"/>
        <v>0</v>
      </c>
      <c r="X591" s="18">
        <f t="shared" ref="X591" si="710">M591-P591</f>
        <v>40000000</v>
      </c>
      <c r="Y591" s="34">
        <f t="shared" ref="Y591" si="711">P591-S591</f>
        <v>0</v>
      </c>
      <c r="Z591" s="18">
        <f t="shared" ref="Z591" si="712">S591-W591</f>
        <v>0</v>
      </c>
      <c r="AA591" s="123">
        <f t="shared" ref="AA591" si="713">S591/M591</f>
        <v>0</v>
      </c>
    </row>
    <row r="592" spans="1:27" ht="25.5" x14ac:dyDescent="0.2">
      <c r="C592" s="19" t="s">
        <v>907</v>
      </c>
      <c r="D592" s="28" t="s">
        <v>288</v>
      </c>
      <c r="E592" s="29" t="s">
        <v>550</v>
      </c>
      <c r="F592" s="17"/>
      <c r="G592" s="18"/>
      <c r="H592" s="34"/>
      <c r="I592" s="34"/>
      <c r="J592" s="34"/>
      <c r="K592" s="34"/>
      <c r="L592" s="34"/>
      <c r="M592" s="18"/>
      <c r="N592" s="18"/>
      <c r="O592" s="18"/>
      <c r="P592" s="18"/>
      <c r="Q592" s="18"/>
      <c r="R592" s="18"/>
      <c r="S592" s="34"/>
      <c r="T592" s="34"/>
      <c r="U592" s="34"/>
      <c r="V592" s="34"/>
      <c r="W592" s="40"/>
      <c r="X592" s="18"/>
      <c r="Y592" s="18"/>
      <c r="Z592" s="18"/>
      <c r="AA592" s="18"/>
    </row>
    <row r="593" spans="1:27" x14ac:dyDescent="0.2">
      <c r="A593" s="4" t="s">
        <v>55</v>
      </c>
      <c r="B593" s="4" t="s">
        <v>56</v>
      </c>
      <c r="C593" s="19" t="s">
        <v>907</v>
      </c>
      <c r="D593" s="41" t="s">
        <v>551</v>
      </c>
      <c r="E593" s="42" t="s">
        <v>233</v>
      </c>
      <c r="F593" s="43" t="s">
        <v>58</v>
      </c>
      <c r="G593" s="43">
        <v>670000000</v>
      </c>
      <c r="H593" s="44">
        <v>0</v>
      </c>
      <c r="I593" s="44">
        <v>0</v>
      </c>
      <c r="J593" s="43">
        <v>932000000</v>
      </c>
      <c r="K593" s="44">
        <v>0</v>
      </c>
      <c r="L593" s="43">
        <f>H593-I593+J593-K593</f>
        <v>932000000</v>
      </c>
      <c r="M593" s="43">
        <f>G593+L593</f>
        <v>1602000000</v>
      </c>
      <c r="N593" s="44">
        <v>0</v>
      </c>
      <c r="O593" s="43">
        <f>P593-[1]ENERO!O591</f>
        <v>54500000</v>
      </c>
      <c r="P593" s="43">
        <v>375300000</v>
      </c>
      <c r="Q593" s="43">
        <v>0</v>
      </c>
      <c r="R593" s="43">
        <v>328424930</v>
      </c>
      <c r="S593" s="34">
        <v>328424930</v>
      </c>
      <c r="T593" s="34">
        <v>0</v>
      </c>
      <c r="U593" s="34">
        <v>5800000</v>
      </c>
      <c r="V593" s="110">
        <v>5800000</v>
      </c>
      <c r="W593" s="39">
        <f t="shared" ref="W593:W594" si="714">T593+V593</f>
        <v>5800000</v>
      </c>
      <c r="X593" s="18">
        <f t="shared" ref="X593:X594" si="715">M593-P593</f>
        <v>1226700000</v>
      </c>
      <c r="Y593" s="110">
        <f t="shared" ref="Y593:Y594" si="716">P593-S593</f>
        <v>46875070</v>
      </c>
      <c r="Z593" s="18">
        <f t="shared" ref="Z593:Z594" si="717">S593-W593</f>
        <v>322624930</v>
      </c>
      <c r="AA593" s="123">
        <f t="shared" ref="AA593:AA594" si="718">S593/M593</f>
        <v>0.20500931960049937</v>
      </c>
    </row>
    <row r="594" spans="1:27" x14ac:dyDescent="0.2">
      <c r="A594" s="4" t="s">
        <v>55</v>
      </c>
      <c r="B594" s="4" t="s">
        <v>56</v>
      </c>
      <c r="C594" s="19" t="s">
        <v>907</v>
      </c>
      <c r="D594" s="41" t="s">
        <v>552</v>
      </c>
      <c r="E594" s="42" t="s">
        <v>382</v>
      </c>
      <c r="F594" s="43" t="s">
        <v>383</v>
      </c>
      <c r="G594" s="43">
        <v>120000000</v>
      </c>
      <c r="H594" s="44">
        <v>0</v>
      </c>
      <c r="I594" s="44">
        <v>0</v>
      </c>
      <c r="J594" s="44">
        <v>0</v>
      </c>
      <c r="K594" s="44">
        <v>0</v>
      </c>
      <c r="L594" s="44">
        <v>0</v>
      </c>
      <c r="M594" s="43">
        <v>120000000</v>
      </c>
      <c r="N594" s="44">
        <v>0</v>
      </c>
      <c r="O594" s="43">
        <v>0</v>
      </c>
      <c r="P594" s="43">
        <v>0</v>
      </c>
      <c r="Q594" s="43">
        <v>0</v>
      </c>
      <c r="R594" s="43">
        <v>0</v>
      </c>
      <c r="S594" s="34">
        <v>0</v>
      </c>
      <c r="T594" s="34">
        <v>0</v>
      </c>
      <c r="U594" s="34">
        <v>0</v>
      </c>
      <c r="V594" s="34">
        <v>0</v>
      </c>
      <c r="W594" s="40">
        <f t="shared" si="714"/>
        <v>0</v>
      </c>
      <c r="X594" s="18">
        <f t="shared" si="715"/>
        <v>120000000</v>
      </c>
      <c r="Y594" s="34">
        <f t="shared" si="716"/>
        <v>0</v>
      </c>
      <c r="Z594" s="18">
        <f t="shared" si="717"/>
        <v>0</v>
      </c>
      <c r="AA594" s="123">
        <f t="shared" si="718"/>
        <v>0</v>
      </c>
    </row>
    <row r="595" spans="1:27" ht="25.5" x14ac:dyDescent="0.2">
      <c r="C595" s="19" t="s">
        <v>907</v>
      </c>
      <c r="D595" s="28" t="s">
        <v>288</v>
      </c>
      <c r="E595" s="29" t="s">
        <v>553</v>
      </c>
      <c r="F595" s="17"/>
      <c r="G595" s="18"/>
      <c r="H595" s="34"/>
      <c r="I595" s="34"/>
      <c r="J595" s="34"/>
      <c r="K595" s="34"/>
      <c r="L595" s="34"/>
      <c r="M595" s="18"/>
      <c r="N595" s="34"/>
      <c r="O595" s="18"/>
      <c r="P595" s="18"/>
      <c r="Q595" s="18"/>
      <c r="R595" s="18"/>
      <c r="S595" s="18"/>
      <c r="T595" s="18"/>
      <c r="U595" s="18"/>
      <c r="V595" s="18"/>
      <c r="W595" s="30"/>
      <c r="X595" s="18"/>
      <c r="Y595" s="18"/>
      <c r="Z595" s="18"/>
      <c r="AA595" s="18"/>
    </row>
    <row r="596" spans="1:27" x14ac:dyDescent="0.2">
      <c r="A596" s="4" t="s">
        <v>55</v>
      </c>
      <c r="B596" s="4" t="s">
        <v>56</v>
      </c>
      <c r="C596" s="19" t="s">
        <v>907</v>
      </c>
      <c r="D596" s="41" t="s">
        <v>554</v>
      </c>
      <c r="E596" s="42" t="s">
        <v>233</v>
      </c>
      <c r="F596" s="43" t="s">
        <v>58</v>
      </c>
      <c r="G596" s="43">
        <v>200000000</v>
      </c>
      <c r="H596" s="44">
        <v>0</v>
      </c>
      <c r="I596" s="44">
        <v>0</v>
      </c>
      <c r="J596" s="44">
        <v>0</v>
      </c>
      <c r="K596" s="44">
        <v>0</v>
      </c>
      <c r="L596" s="44">
        <v>0</v>
      </c>
      <c r="M596" s="43">
        <v>200000000</v>
      </c>
      <c r="N596" s="44">
        <v>0</v>
      </c>
      <c r="O596" s="43">
        <f>P596-[1]ENERO!O594</f>
        <v>8438017.7699999809</v>
      </c>
      <c r="P596" s="43">
        <v>150487745.53999999</v>
      </c>
      <c r="Q596" s="43">
        <v>0</v>
      </c>
      <c r="R596" s="43">
        <v>150038017.77000001</v>
      </c>
      <c r="S596" s="43">
        <v>150487745.53999999</v>
      </c>
      <c r="T596" s="43">
        <v>392350</v>
      </c>
      <c r="U596" s="43">
        <v>45667.77</v>
      </c>
      <c r="V596" s="43">
        <v>495395.54</v>
      </c>
      <c r="W596" s="39">
        <f t="shared" si="705"/>
        <v>887745.54</v>
      </c>
      <c r="X596" s="18">
        <f t="shared" ref="X596" si="719">M596-P596</f>
        <v>49512254.460000008</v>
      </c>
      <c r="Y596" s="34">
        <f t="shared" ref="Y596" si="720">P596-S596</f>
        <v>0</v>
      </c>
      <c r="Z596" s="18">
        <f t="shared" ref="Z596" si="721">S596-W596</f>
        <v>149600000</v>
      </c>
      <c r="AA596" s="123">
        <f t="shared" ref="AA596" si="722">S596/M596</f>
        <v>0.75243872769999998</v>
      </c>
    </row>
    <row r="597" spans="1:27" ht="25.5" x14ac:dyDescent="0.2">
      <c r="C597" s="19" t="s">
        <v>907</v>
      </c>
      <c r="D597" s="28" t="s">
        <v>288</v>
      </c>
      <c r="E597" s="29" t="s">
        <v>535</v>
      </c>
      <c r="F597" s="17"/>
      <c r="G597" s="18"/>
      <c r="H597" s="34"/>
      <c r="I597" s="34"/>
      <c r="J597" s="34"/>
      <c r="K597" s="34"/>
      <c r="L597" s="34"/>
      <c r="M597" s="18"/>
      <c r="N597" s="34"/>
      <c r="O597" s="18"/>
      <c r="P597" s="18"/>
      <c r="Q597" s="18"/>
      <c r="R597" s="18"/>
      <c r="S597" s="18"/>
      <c r="T597" s="18"/>
      <c r="U597" s="18"/>
      <c r="V597" s="18"/>
      <c r="W597" s="30"/>
      <c r="X597" s="18"/>
      <c r="Y597" s="18"/>
      <c r="Z597" s="18"/>
      <c r="AA597" s="18"/>
    </row>
    <row r="598" spans="1:27" x14ac:dyDescent="0.2">
      <c r="A598" s="4" t="s">
        <v>55</v>
      </c>
      <c r="B598" s="4" t="s">
        <v>56</v>
      </c>
      <c r="C598" s="19" t="s">
        <v>907</v>
      </c>
      <c r="D598" s="41" t="s">
        <v>555</v>
      </c>
      <c r="E598" s="42" t="s">
        <v>233</v>
      </c>
      <c r="F598" s="43" t="s">
        <v>58</v>
      </c>
      <c r="G598" s="43">
        <v>1154000000</v>
      </c>
      <c r="H598" s="44">
        <v>0</v>
      </c>
      <c r="I598" s="44">
        <v>0</v>
      </c>
      <c r="J598" s="44">
        <v>0</v>
      </c>
      <c r="K598" s="44">
        <v>0</v>
      </c>
      <c r="L598" s="44">
        <v>0</v>
      </c>
      <c r="M598" s="43">
        <v>1154000000</v>
      </c>
      <c r="N598" s="44">
        <v>0</v>
      </c>
      <c r="O598" s="43">
        <f>P598-[1]ENERO!O596</f>
        <v>201600000</v>
      </c>
      <c r="P598" s="43">
        <v>897054761</v>
      </c>
      <c r="Q598" s="43">
        <v>0</v>
      </c>
      <c r="R598" s="43">
        <v>225600000</v>
      </c>
      <c r="S598" s="43">
        <v>889054761</v>
      </c>
      <c r="T598" s="44">
        <v>0</v>
      </c>
      <c r="U598" s="44">
        <v>0</v>
      </c>
      <c r="V598" s="44">
        <v>0</v>
      </c>
      <c r="W598" s="40">
        <f t="shared" si="705"/>
        <v>0</v>
      </c>
      <c r="X598" s="18">
        <f t="shared" ref="X598:X601" si="723">M598-P598</f>
        <v>256945239</v>
      </c>
      <c r="Y598" s="110">
        <f t="shared" ref="Y598:Y601" si="724">P598-S598</f>
        <v>8000000</v>
      </c>
      <c r="Z598" s="18">
        <f t="shared" ref="Z598:Z601" si="725">S598-W598</f>
        <v>889054761</v>
      </c>
      <c r="AA598" s="123">
        <f t="shared" ref="AA598:AA601" si="726">S598/M598</f>
        <v>0.77041140467937608</v>
      </c>
    </row>
    <row r="599" spans="1:27" ht="25.5" x14ac:dyDescent="0.2">
      <c r="A599" s="4" t="s">
        <v>55</v>
      </c>
      <c r="B599" s="4" t="s">
        <v>56</v>
      </c>
      <c r="C599" s="19" t="s">
        <v>907</v>
      </c>
      <c r="D599" s="41" t="s">
        <v>556</v>
      </c>
      <c r="E599" s="42" t="s">
        <v>279</v>
      </c>
      <c r="F599" s="43" t="s">
        <v>253</v>
      </c>
      <c r="G599" s="43">
        <v>3243996468</v>
      </c>
      <c r="H599" s="44">
        <v>0</v>
      </c>
      <c r="I599" s="44">
        <v>0</v>
      </c>
      <c r="J599" s="44">
        <v>0</v>
      </c>
      <c r="K599" s="44">
        <v>0</v>
      </c>
      <c r="L599" s="44">
        <v>0</v>
      </c>
      <c r="M599" s="43">
        <v>3243996468</v>
      </c>
      <c r="N599" s="44">
        <v>0</v>
      </c>
      <c r="O599" s="43">
        <f>P599-[1]ENERO!O597</f>
        <v>432623546.93000031</v>
      </c>
      <c r="P599" s="43">
        <v>3060726452.8600001</v>
      </c>
      <c r="Q599" s="43">
        <v>0</v>
      </c>
      <c r="R599" s="43">
        <v>244524546.93000001</v>
      </c>
      <c r="S599" s="43">
        <v>2872627452.8600001</v>
      </c>
      <c r="T599" s="44">
        <v>0</v>
      </c>
      <c r="U599" s="43">
        <v>29414546.93</v>
      </c>
      <c r="V599" s="43">
        <v>30320834.859999999</v>
      </c>
      <c r="W599" s="39">
        <f t="shared" si="705"/>
        <v>30320834.859999999</v>
      </c>
      <c r="X599" s="18">
        <f t="shared" si="723"/>
        <v>183270015.13999987</v>
      </c>
      <c r="Y599" s="110">
        <f t="shared" si="724"/>
        <v>188099000</v>
      </c>
      <c r="Z599" s="18">
        <f t="shared" si="725"/>
        <v>2842306618</v>
      </c>
      <c r="AA599" s="123">
        <f t="shared" si="726"/>
        <v>0.88552114072770316</v>
      </c>
    </row>
    <row r="600" spans="1:27" ht="38.25" x14ac:dyDescent="0.2">
      <c r="A600" s="4" t="s">
        <v>55</v>
      </c>
      <c r="B600" s="4" t="s">
        <v>56</v>
      </c>
      <c r="C600" s="19" t="s">
        <v>907</v>
      </c>
      <c r="D600" s="41" t="s">
        <v>557</v>
      </c>
      <c r="E600" s="42" t="s">
        <v>558</v>
      </c>
      <c r="F600" s="43" t="s">
        <v>368</v>
      </c>
      <c r="G600" s="43">
        <v>101429564.34</v>
      </c>
      <c r="H600" s="44">
        <v>0</v>
      </c>
      <c r="I600" s="44">
        <v>0</v>
      </c>
      <c r="J600" s="44">
        <v>0</v>
      </c>
      <c r="K600" s="44">
        <v>0</v>
      </c>
      <c r="L600" s="44">
        <v>0</v>
      </c>
      <c r="M600" s="43">
        <v>101429564.34</v>
      </c>
      <c r="N600" s="44">
        <v>0</v>
      </c>
      <c r="O600" s="44">
        <v>0</v>
      </c>
      <c r="P600" s="44">
        <v>0</v>
      </c>
      <c r="Q600" s="43">
        <v>0</v>
      </c>
      <c r="R600" s="43">
        <v>0</v>
      </c>
      <c r="S600" s="44">
        <v>0</v>
      </c>
      <c r="T600" s="44">
        <v>0</v>
      </c>
      <c r="U600" s="44">
        <v>0</v>
      </c>
      <c r="V600" s="44">
        <v>0</v>
      </c>
      <c r="W600" s="40">
        <f t="shared" si="705"/>
        <v>0</v>
      </c>
      <c r="X600" s="18">
        <f t="shared" si="723"/>
        <v>101429564.34</v>
      </c>
      <c r="Y600" s="34">
        <f t="shared" si="724"/>
        <v>0</v>
      </c>
      <c r="Z600" s="34">
        <f t="shared" si="725"/>
        <v>0</v>
      </c>
      <c r="AA600" s="123">
        <f t="shared" si="726"/>
        <v>0</v>
      </c>
    </row>
    <row r="601" spans="1:27" ht="25.5" x14ac:dyDescent="0.2">
      <c r="A601" s="4" t="s">
        <v>55</v>
      </c>
      <c r="B601" s="4" t="s">
        <v>56</v>
      </c>
      <c r="C601" s="19" t="s">
        <v>907</v>
      </c>
      <c r="D601" s="41" t="s">
        <v>559</v>
      </c>
      <c r="E601" s="42" t="s">
        <v>540</v>
      </c>
      <c r="F601" s="43" t="s">
        <v>253</v>
      </c>
      <c r="G601" s="43">
        <v>1690003316</v>
      </c>
      <c r="H601" s="44">
        <v>0</v>
      </c>
      <c r="I601" s="44">
        <v>0</v>
      </c>
      <c r="J601" s="44">
        <v>0</v>
      </c>
      <c r="K601" s="44">
        <v>0</v>
      </c>
      <c r="L601" s="44">
        <v>0</v>
      </c>
      <c r="M601" s="43">
        <v>1690003316</v>
      </c>
      <c r="N601" s="44">
        <v>0</v>
      </c>
      <c r="O601" s="44">
        <f>P601-[1]ENERO!O599</f>
        <v>0</v>
      </c>
      <c r="P601" s="43">
        <v>1661510016</v>
      </c>
      <c r="Q601" s="43">
        <v>0</v>
      </c>
      <c r="R601" s="43">
        <v>0</v>
      </c>
      <c r="S601" s="43">
        <v>1661510016</v>
      </c>
      <c r="T601" s="34">
        <v>0</v>
      </c>
      <c r="U601" s="34">
        <v>0</v>
      </c>
      <c r="V601" s="34">
        <v>0</v>
      </c>
      <c r="W601" s="40">
        <f t="shared" si="705"/>
        <v>0</v>
      </c>
      <c r="X601" s="18">
        <f t="shared" si="723"/>
        <v>28493300</v>
      </c>
      <c r="Y601" s="34">
        <f t="shared" si="724"/>
        <v>0</v>
      </c>
      <c r="Z601" s="18">
        <f t="shared" si="725"/>
        <v>1661510016</v>
      </c>
      <c r="AA601" s="123">
        <f t="shared" si="726"/>
        <v>0.98314009225293142</v>
      </c>
    </row>
    <row r="602" spans="1:27" ht="25.5" x14ac:dyDescent="0.2">
      <c r="C602" s="19" t="s">
        <v>907</v>
      </c>
      <c r="D602" s="28" t="s">
        <v>288</v>
      </c>
      <c r="E602" s="29" t="s">
        <v>560</v>
      </c>
      <c r="F602" s="17"/>
      <c r="G602" s="18"/>
      <c r="H602" s="34"/>
      <c r="I602" s="34"/>
      <c r="J602" s="34"/>
      <c r="K602" s="34"/>
      <c r="L602" s="34"/>
      <c r="M602" s="18"/>
      <c r="N602" s="18"/>
      <c r="O602" s="18"/>
      <c r="P602" s="18"/>
      <c r="Q602" s="18"/>
      <c r="R602" s="18"/>
      <c r="S602" s="18"/>
      <c r="T602" s="34"/>
      <c r="U602" s="34"/>
      <c r="V602" s="34"/>
      <c r="W602" s="40"/>
      <c r="X602" s="18"/>
      <c r="Y602" s="18"/>
      <c r="Z602" s="18"/>
      <c r="AA602" s="18"/>
    </row>
    <row r="603" spans="1:27" x14ac:dyDescent="0.2">
      <c r="A603" s="4" t="s">
        <v>55</v>
      </c>
      <c r="B603" s="4" t="s">
        <v>56</v>
      </c>
      <c r="C603" s="19" t="s">
        <v>907</v>
      </c>
      <c r="D603" s="41" t="s">
        <v>561</v>
      </c>
      <c r="E603" s="42" t="s">
        <v>233</v>
      </c>
      <c r="F603" s="43" t="s">
        <v>58</v>
      </c>
      <c r="G603" s="43">
        <v>510000000</v>
      </c>
      <c r="H603" s="44">
        <v>0</v>
      </c>
      <c r="I603" s="44">
        <v>0</v>
      </c>
      <c r="J603" s="43">
        <v>20000000</v>
      </c>
      <c r="K603" s="44">
        <v>0</v>
      </c>
      <c r="L603" s="43">
        <f>H603-I603+J603-K603</f>
        <v>20000000</v>
      </c>
      <c r="M603" s="43">
        <f>G603+L603</f>
        <v>530000000</v>
      </c>
      <c r="N603" s="43">
        <v>0</v>
      </c>
      <c r="O603" s="43">
        <f>P603-[1]ENERO!O601</f>
        <v>48000000</v>
      </c>
      <c r="P603" s="43">
        <v>168800000</v>
      </c>
      <c r="Q603" s="43">
        <v>0</v>
      </c>
      <c r="R603" s="43">
        <v>144800000</v>
      </c>
      <c r="S603" s="114">
        <v>144800000</v>
      </c>
      <c r="T603" s="34">
        <v>0</v>
      </c>
      <c r="U603" s="34">
        <v>0</v>
      </c>
      <c r="V603" s="34">
        <v>0</v>
      </c>
      <c r="W603" s="40">
        <f t="shared" ref="W603:W604" si="727">T603+V603</f>
        <v>0</v>
      </c>
      <c r="X603" s="18">
        <f t="shared" ref="X603:X604" si="728">M603-P603</f>
        <v>361200000</v>
      </c>
      <c r="Y603" s="110">
        <f t="shared" ref="Y603:Y604" si="729">P603-S603</f>
        <v>24000000</v>
      </c>
      <c r="Z603" s="18">
        <f t="shared" ref="Z603:Z604" si="730">S603-W603</f>
        <v>144800000</v>
      </c>
      <c r="AA603" s="123">
        <f t="shared" ref="AA603:AA604" si="731">S603/M603</f>
        <v>0.27320754716981133</v>
      </c>
    </row>
    <row r="604" spans="1:27" ht="18.75" customHeight="1" x14ac:dyDescent="0.2">
      <c r="A604" s="4" t="s">
        <v>55</v>
      </c>
      <c r="B604" s="4" t="s">
        <v>56</v>
      </c>
      <c r="C604" s="19" t="s">
        <v>907</v>
      </c>
      <c r="D604" s="41" t="s">
        <v>562</v>
      </c>
      <c r="E604" s="42" t="s">
        <v>382</v>
      </c>
      <c r="F604" s="43" t="s">
        <v>383</v>
      </c>
      <c r="G604" s="43">
        <v>770000000</v>
      </c>
      <c r="H604" s="44">
        <v>0</v>
      </c>
      <c r="I604" s="44">
        <v>0</v>
      </c>
      <c r="J604" s="44">
        <v>0</v>
      </c>
      <c r="K604" s="44">
        <v>0</v>
      </c>
      <c r="L604" s="44">
        <v>0</v>
      </c>
      <c r="M604" s="43">
        <v>770000000</v>
      </c>
      <c r="N604" s="43">
        <v>0</v>
      </c>
      <c r="O604" s="43">
        <v>0</v>
      </c>
      <c r="P604" s="43">
        <v>0</v>
      </c>
      <c r="Q604" s="43">
        <v>0</v>
      </c>
      <c r="R604" s="43">
        <v>0</v>
      </c>
      <c r="S604" s="114">
        <v>0</v>
      </c>
      <c r="T604" s="34">
        <v>0</v>
      </c>
      <c r="U604" s="34">
        <v>0</v>
      </c>
      <c r="V604" s="34">
        <v>0</v>
      </c>
      <c r="W604" s="40">
        <f t="shared" si="727"/>
        <v>0</v>
      </c>
      <c r="X604" s="18">
        <f t="shared" si="728"/>
        <v>770000000</v>
      </c>
      <c r="Y604" s="34">
        <f t="shared" si="729"/>
        <v>0</v>
      </c>
      <c r="Z604" s="34">
        <f t="shared" si="730"/>
        <v>0</v>
      </c>
      <c r="AA604" s="123">
        <f t="shared" si="731"/>
        <v>0</v>
      </c>
    </row>
    <row r="605" spans="1:27" ht="25.5" customHeight="1" x14ac:dyDescent="0.2">
      <c r="C605" s="19" t="s">
        <v>907</v>
      </c>
      <c r="D605" s="28" t="s">
        <v>288</v>
      </c>
      <c r="E605" s="29" t="s">
        <v>563</v>
      </c>
      <c r="F605" s="17"/>
      <c r="G605" s="18"/>
      <c r="H605" s="34"/>
      <c r="I605" s="34"/>
      <c r="J605" s="34"/>
      <c r="K605" s="34"/>
      <c r="L605" s="34"/>
      <c r="M605" s="18"/>
      <c r="N605" s="18"/>
      <c r="O605" s="18"/>
      <c r="P605" s="18"/>
      <c r="Q605" s="18"/>
      <c r="R605" s="18"/>
      <c r="S605" s="110"/>
      <c r="T605" s="34"/>
      <c r="U605" s="34"/>
      <c r="V605" s="34"/>
      <c r="W605" s="40"/>
      <c r="X605" s="18"/>
      <c r="Y605" s="18"/>
      <c r="Z605" s="18"/>
      <c r="AA605" s="18"/>
    </row>
    <row r="606" spans="1:27" ht="18.75" customHeight="1" x14ac:dyDescent="0.2">
      <c r="A606" s="4" t="s">
        <v>55</v>
      </c>
      <c r="B606" s="4" t="s">
        <v>56</v>
      </c>
      <c r="C606" s="19" t="s">
        <v>907</v>
      </c>
      <c r="D606" s="41" t="s">
        <v>564</v>
      </c>
      <c r="E606" s="42" t="s">
        <v>233</v>
      </c>
      <c r="F606" s="43" t="s">
        <v>58</v>
      </c>
      <c r="G606" s="43">
        <v>150000000</v>
      </c>
      <c r="H606" s="44">
        <v>0</v>
      </c>
      <c r="I606" s="44">
        <v>0</v>
      </c>
      <c r="J606" s="43">
        <v>200000000</v>
      </c>
      <c r="K606" s="44">
        <v>0</v>
      </c>
      <c r="L606" s="43">
        <f>H606-I606+J606-K606</f>
        <v>200000000</v>
      </c>
      <c r="M606" s="43">
        <f>G606+L606</f>
        <v>350000000</v>
      </c>
      <c r="N606" s="44">
        <v>0</v>
      </c>
      <c r="O606" s="114">
        <f>P606-[1]ENERO!O604</f>
        <v>118400000</v>
      </c>
      <c r="P606" s="114">
        <v>118400000</v>
      </c>
      <c r="Q606" s="44">
        <v>0</v>
      </c>
      <c r="R606" s="44">
        <v>89600000</v>
      </c>
      <c r="S606" s="114">
        <v>89600000</v>
      </c>
      <c r="T606" s="34">
        <v>0</v>
      </c>
      <c r="U606" s="133">
        <v>0</v>
      </c>
      <c r="V606" s="133">
        <v>0</v>
      </c>
      <c r="W606" s="135">
        <f t="shared" ref="W606:W607" si="732">T606+V606</f>
        <v>0</v>
      </c>
      <c r="X606" s="110">
        <f t="shared" ref="X606:X607" si="733">M606-P606</f>
        <v>231600000</v>
      </c>
      <c r="Y606" s="110">
        <f t="shared" ref="Y606:Y607" si="734">P606-S606</f>
        <v>28800000</v>
      </c>
      <c r="Z606" s="110">
        <f t="shared" ref="Z606:Z607" si="735">S606-W606</f>
        <v>89600000</v>
      </c>
      <c r="AA606" s="123">
        <f t="shared" ref="AA606:AA607" si="736">S606/M606</f>
        <v>0.25600000000000001</v>
      </c>
    </row>
    <row r="607" spans="1:27" ht="18.75" customHeight="1" x14ac:dyDescent="0.2">
      <c r="A607" s="4" t="s">
        <v>55</v>
      </c>
      <c r="B607" s="4" t="s">
        <v>56</v>
      </c>
      <c r="C607" s="19" t="s">
        <v>907</v>
      </c>
      <c r="D607" s="41" t="s">
        <v>565</v>
      </c>
      <c r="E607" s="42" t="s">
        <v>382</v>
      </c>
      <c r="F607" s="43" t="s">
        <v>383</v>
      </c>
      <c r="G607" s="43">
        <v>1110000000</v>
      </c>
      <c r="H607" s="44">
        <v>0</v>
      </c>
      <c r="I607" s="44">
        <v>0</v>
      </c>
      <c r="J607" s="44">
        <v>0</v>
      </c>
      <c r="K607" s="44">
        <v>0</v>
      </c>
      <c r="L607" s="44">
        <v>0</v>
      </c>
      <c r="M607" s="43">
        <v>1110000000</v>
      </c>
      <c r="N607" s="44">
        <v>0</v>
      </c>
      <c r="O607" s="114">
        <v>60000000</v>
      </c>
      <c r="P607" s="114">
        <v>60000000</v>
      </c>
      <c r="Q607" s="44">
        <v>0</v>
      </c>
      <c r="R607" s="44">
        <v>13050000</v>
      </c>
      <c r="S607" s="114">
        <v>13050000</v>
      </c>
      <c r="T607" s="34">
        <v>0</v>
      </c>
      <c r="U607" s="110">
        <v>2610000</v>
      </c>
      <c r="V607" s="110">
        <v>2610000</v>
      </c>
      <c r="W607" s="111">
        <f t="shared" si="732"/>
        <v>2610000</v>
      </c>
      <c r="X607" s="110">
        <f t="shared" si="733"/>
        <v>1050000000</v>
      </c>
      <c r="Y607" s="110">
        <f t="shared" si="734"/>
        <v>46950000</v>
      </c>
      <c r="Z607" s="110">
        <f t="shared" si="735"/>
        <v>10440000</v>
      </c>
      <c r="AA607" s="123">
        <f t="shared" si="736"/>
        <v>1.1756756756756756E-2</v>
      </c>
    </row>
    <row r="608" spans="1:27" ht="18.75" customHeight="1" x14ac:dyDescent="0.2">
      <c r="C608" s="19" t="s">
        <v>907</v>
      </c>
      <c r="D608" s="28" t="s">
        <v>288</v>
      </c>
      <c r="E608" s="29" t="s">
        <v>566</v>
      </c>
      <c r="F608" s="17"/>
      <c r="G608" s="18"/>
      <c r="H608" s="34"/>
      <c r="I608" s="34"/>
      <c r="J608" s="34"/>
      <c r="K608" s="34"/>
      <c r="L608" s="34"/>
      <c r="M608" s="18"/>
      <c r="N608" s="18"/>
      <c r="O608" s="18"/>
      <c r="P608" s="18"/>
      <c r="Q608" s="18"/>
      <c r="R608" s="18"/>
      <c r="S608" s="110"/>
      <c r="T608" s="18"/>
      <c r="U608" s="18"/>
      <c r="V608" s="18"/>
      <c r="W608" s="30"/>
      <c r="X608" s="18"/>
      <c r="Y608" s="18"/>
      <c r="Z608" s="18"/>
      <c r="AA608" s="18"/>
    </row>
    <row r="609" spans="1:27" ht="18.75" customHeight="1" x14ac:dyDescent="0.2">
      <c r="A609" s="4" t="s">
        <v>55</v>
      </c>
      <c r="B609" s="4" t="s">
        <v>56</v>
      </c>
      <c r="C609" s="19" t="s">
        <v>907</v>
      </c>
      <c r="D609" s="41" t="s">
        <v>567</v>
      </c>
      <c r="E609" s="42" t="s">
        <v>233</v>
      </c>
      <c r="F609" s="43" t="s">
        <v>58</v>
      </c>
      <c r="G609" s="43">
        <v>771000000</v>
      </c>
      <c r="H609" s="44">
        <v>0</v>
      </c>
      <c r="I609" s="44">
        <v>0</v>
      </c>
      <c r="J609" s="44">
        <v>0</v>
      </c>
      <c r="K609" s="44">
        <v>0</v>
      </c>
      <c r="L609" s="44">
        <v>0</v>
      </c>
      <c r="M609" s="43">
        <v>771000000</v>
      </c>
      <c r="N609" s="44">
        <v>0</v>
      </c>
      <c r="O609" s="43">
        <f>P609-[1]ENERO!O607</f>
        <v>14253667.770000041</v>
      </c>
      <c r="P609" s="43">
        <v>413425735.54000002</v>
      </c>
      <c r="Q609" s="43">
        <v>0</v>
      </c>
      <c r="R609" s="114">
        <v>399053667.76999998</v>
      </c>
      <c r="S609" s="114">
        <v>413425735.54000002</v>
      </c>
      <c r="T609" s="44">
        <v>0</v>
      </c>
      <c r="U609" s="43">
        <v>14253667.77</v>
      </c>
      <c r="V609" s="43">
        <v>28625735.539999999</v>
      </c>
      <c r="W609" s="39">
        <f t="shared" si="705"/>
        <v>28625735.539999999</v>
      </c>
      <c r="X609" s="18">
        <f t="shared" ref="X609" si="737">M609-P609</f>
        <v>357574264.45999998</v>
      </c>
      <c r="Y609" s="34">
        <f t="shared" ref="Y609" si="738">P609-S609</f>
        <v>0</v>
      </c>
      <c r="Z609" s="18">
        <f t="shared" ref="Z609" si="739">S609-W609</f>
        <v>384800000</v>
      </c>
      <c r="AA609" s="123">
        <f t="shared" ref="AA609" si="740">S609/M609</f>
        <v>0.53622014985732813</v>
      </c>
    </row>
    <row r="610" spans="1:27" ht="18.75" customHeight="1" x14ac:dyDescent="0.2">
      <c r="C610" s="19" t="s">
        <v>907</v>
      </c>
      <c r="D610" s="28" t="s">
        <v>288</v>
      </c>
      <c r="E610" s="29" t="s">
        <v>568</v>
      </c>
      <c r="F610" s="17"/>
      <c r="G610" s="18"/>
      <c r="H610" s="34"/>
      <c r="I610" s="34"/>
      <c r="J610" s="34"/>
      <c r="K610" s="34"/>
      <c r="L610" s="34"/>
      <c r="M610" s="18"/>
      <c r="N610" s="34"/>
      <c r="O610" s="18"/>
      <c r="P610" s="18"/>
      <c r="Q610" s="18"/>
      <c r="R610" s="110"/>
      <c r="S610" s="110"/>
      <c r="T610" s="18"/>
      <c r="U610" s="18"/>
      <c r="V610" s="18"/>
      <c r="W610" s="30"/>
      <c r="X610" s="18"/>
      <c r="Y610" s="18"/>
      <c r="Z610" s="18"/>
      <c r="AA610" s="18"/>
    </row>
    <row r="611" spans="1:27" ht="18.75" customHeight="1" x14ac:dyDescent="0.2">
      <c r="A611" s="4" t="s">
        <v>55</v>
      </c>
      <c r="B611" s="4" t="s">
        <v>56</v>
      </c>
      <c r="C611" s="19" t="s">
        <v>907</v>
      </c>
      <c r="D611" s="41" t="s">
        <v>569</v>
      </c>
      <c r="E611" s="42" t="s">
        <v>233</v>
      </c>
      <c r="F611" s="43" t="s">
        <v>58</v>
      </c>
      <c r="G611" s="43">
        <v>230000000</v>
      </c>
      <c r="H611" s="44">
        <v>0</v>
      </c>
      <c r="I611" s="44">
        <v>0</v>
      </c>
      <c r="J611" s="44">
        <v>0</v>
      </c>
      <c r="K611" s="44">
        <v>0</v>
      </c>
      <c r="L611" s="44">
        <v>0</v>
      </c>
      <c r="M611" s="43">
        <v>230000000</v>
      </c>
      <c r="N611" s="44">
        <v>0</v>
      </c>
      <c r="O611" s="43">
        <f>P611-[1]ENERO!O609</f>
        <v>164000000</v>
      </c>
      <c r="P611" s="43">
        <v>164000000</v>
      </c>
      <c r="Q611" s="44">
        <v>0</v>
      </c>
      <c r="R611" s="114">
        <v>164000000</v>
      </c>
      <c r="S611" s="114">
        <v>164000000</v>
      </c>
      <c r="T611" s="34">
        <v>0</v>
      </c>
      <c r="U611" s="34">
        <v>0</v>
      </c>
      <c r="V611" s="34">
        <v>0</v>
      </c>
      <c r="W611" s="40">
        <f t="shared" si="705"/>
        <v>0</v>
      </c>
      <c r="X611" s="18">
        <f t="shared" ref="X611" si="741">M611-P611</f>
        <v>66000000</v>
      </c>
      <c r="Y611" s="34">
        <f t="shared" ref="Y611" si="742">P611-S611</f>
        <v>0</v>
      </c>
      <c r="Z611" s="18">
        <f t="shared" ref="Z611" si="743">S611-W611</f>
        <v>164000000</v>
      </c>
      <c r="AA611" s="123">
        <f t="shared" ref="AA611" si="744">S611/M611</f>
        <v>0.71304347826086956</v>
      </c>
    </row>
    <row r="612" spans="1:27" ht="18.75" customHeight="1" x14ac:dyDescent="0.2">
      <c r="C612" s="19" t="s">
        <v>907</v>
      </c>
      <c r="D612" s="28" t="s">
        <v>288</v>
      </c>
      <c r="E612" s="29" t="s">
        <v>570</v>
      </c>
      <c r="F612" s="17"/>
      <c r="G612" s="18"/>
      <c r="H612" s="34"/>
      <c r="I612" s="34"/>
      <c r="J612" s="34"/>
      <c r="K612" s="34"/>
      <c r="L612" s="34"/>
      <c r="M612" s="18"/>
      <c r="N612" s="34"/>
      <c r="O612" s="18"/>
      <c r="P612" s="18"/>
      <c r="Q612" s="34"/>
      <c r="R612" s="110"/>
      <c r="S612" s="110"/>
      <c r="T612" s="34"/>
      <c r="U612" s="34"/>
      <c r="V612" s="34"/>
      <c r="W612" s="40"/>
      <c r="X612" s="18"/>
      <c r="Y612" s="18"/>
      <c r="Z612" s="18"/>
      <c r="AA612" s="18"/>
    </row>
    <row r="613" spans="1:27" ht="18.75" customHeight="1" x14ac:dyDescent="0.2">
      <c r="A613" s="4" t="s">
        <v>55</v>
      </c>
      <c r="B613" s="4" t="s">
        <v>56</v>
      </c>
      <c r="C613" s="19" t="s">
        <v>907</v>
      </c>
      <c r="D613" s="41" t="s">
        <v>571</v>
      </c>
      <c r="E613" s="42" t="s">
        <v>233</v>
      </c>
      <c r="F613" s="43" t="s">
        <v>58</v>
      </c>
      <c r="G613" s="43">
        <v>300000000</v>
      </c>
      <c r="H613" s="44">
        <v>0</v>
      </c>
      <c r="I613" s="44">
        <v>0</v>
      </c>
      <c r="J613" s="44">
        <v>0</v>
      </c>
      <c r="K613" s="44">
        <v>0</v>
      </c>
      <c r="L613" s="44">
        <v>0</v>
      </c>
      <c r="M613" s="43">
        <v>300000000</v>
      </c>
      <c r="N613" s="44">
        <v>0</v>
      </c>
      <c r="O613" s="44">
        <f>P613-[1]ENERO!O611</f>
        <v>0</v>
      </c>
      <c r="P613" s="43">
        <v>152000000</v>
      </c>
      <c r="Q613" s="44">
        <v>0</v>
      </c>
      <c r="R613" s="114">
        <v>152000000</v>
      </c>
      <c r="S613" s="114">
        <v>152000000</v>
      </c>
      <c r="T613" s="34">
        <v>0</v>
      </c>
      <c r="U613" s="34">
        <v>0</v>
      </c>
      <c r="V613" s="34">
        <v>0</v>
      </c>
      <c r="W613" s="40">
        <f t="shared" ref="W613" si="745">T613+V613</f>
        <v>0</v>
      </c>
      <c r="X613" s="18">
        <f t="shared" ref="X613" si="746">M613-P613</f>
        <v>148000000</v>
      </c>
      <c r="Y613" s="133">
        <f t="shared" ref="Y613" si="747">P613-S613</f>
        <v>0</v>
      </c>
      <c r="Z613" s="18">
        <f t="shared" ref="Z613" si="748">S613-W613</f>
        <v>152000000</v>
      </c>
      <c r="AA613" s="123">
        <f t="shared" ref="AA613" si="749">S613/M613</f>
        <v>0.50666666666666671</v>
      </c>
    </row>
    <row r="614" spans="1:27" ht="18.75" customHeight="1" x14ac:dyDescent="0.2">
      <c r="C614" s="19" t="s">
        <v>907</v>
      </c>
      <c r="D614" s="28" t="s">
        <v>288</v>
      </c>
      <c r="E614" s="29" t="s">
        <v>400</v>
      </c>
      <c r="F614" s="17"/>
      <c r="G614" s="18"/>
      <c r="H614" s="34"/>
      <c r="I614" s="34"/>
      <c r="J614" s="34"/>
      <c r="K614" s="34"/>
      <c r="L614" s="34"/>
      <c r="M614" s="18"/>
      <c r="N614" s="34"/>
      <c r="O614" s="18"/>
      <c r="P614" s="18"/>
      <c r="Q614" s="34"/>
      <c r="R614" s="110"/>
      <c r="S614" s="110"/>
      <c r="T614" s="34"/>
      <c r="U614" s="34"/>
      <c r="V614" s="34"/>
      <c r="W614" s="40"/>
      <c r="X614" s="18"/>
      <c r="Y614" s="110"/>
      <c r="Z614" s="18"/>
      <c r="AA614" s="18"/>
    </row>
    <row r="615" spans="1:27" ht="18.75" customHeight="1" x14ac:dyDescent="0.2">
      <c r="A615" s="4" t="s">
        <v>55</v>
      </c>
      <c r="B615" s="4" t="s">
        <v>56</v>
      </c>
      <c r="C615" s="19" t="s">
        <v>907</v>
      </c>
      <c r="D615" s="41" t="s">
        <v>425</v>
      </c>
      <c r="E615" s="42" t="s">
        <v>233</v>
      </c>
      <c r="F615" s="43" t="s">
        <v>58</v>
      </c>
      <c r="G615" s="43">
        <v>440000000</v>
      </c>
      <c r="H615" s="44">
        <v>0</v>
      </c>
      <c r="I615" s="44">
        <v>0</v>
      </c>
      <c r="J615" s="43">
        <v>42000000</v>
      </c>
      <c r="K615" s="44">
        <v>0</v>
      </c>
      <c r="L615" s="43">
        <f>H615-I615+J615-K615</f>
        <v>42000000</v>
      </c>
      <c r="M615" s="43">
        <f>G615+L615</f>
        <v>482000000</v>
      </c>
      <c r="N615" s="44">
        <v>0</v>
      </c>
      <c r="O615" s="43">
        <f>P615-[1]ENERO!O613</f>
        <v>58400000</v>
      </c>
      <c r="P615" s="43">
        <v>378400000</v>
      </c>
      <c r="Q615" s="44">
        <v>0</v>
      </c>
      <c r="R615" s="114">
        <v>314400000</v>
      </c>
      <c r="S615" s="114">
        <v>314400000</v>
      </c>
      <c r="T615" s="34">
        <v>0</v>
      </c>
      <c r="U615" s="34">
        <v>0</v>
      </c>
      <c r="V615" s="34">
        <v>0</v>
      </c>
      <c r="W615" s="40">
        <f t="shared" ref="W615" si="750">T615+V615</f>
        <v>0</v>
      </c>
      <c r="X615" s="18">
        <f t="shared" ref="X615" si="751">M615-P615</f>
        <v>103600000</v>
      </c>
      <c r="Y615" s="110">
        <f t="shared" ref="Y615" si="752">P615-S615</f>
        <v>64000000</v>
      </c>
      <c r="Z615" s="18">
        <f t="shared" ref="Z615" si="753">S615-W615</f>
        <v>314400000</v>
      </c>
      <c r="AA615" s="123">
        <f t="shared" ref="AA615" si="754">S615/M615</f>
        <v>0.65228215767634856</v>
      </c>
    </row>
    <row r="616" spans="1:27" ht="18.75" customHeight="1" x14ac:dyDescent="0.2">
      <c r="C616" s="19" t="s">
        <v>907</v>
      </c>
      <c r="D616" s="16"/>
      <c r="E616" s="17"/>
      <c r="F616" s="17"/>
      <c r="G616" s="18"/>
      <c r="H616" s="34"/>
      <c r="I616" s="34"/>
      <c r="J616" s="34"/>
      <c r="K616" s="34"/>
      <c r="L616" s="34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30"/>
      <c r="X616" s="18"/>
      <c r="Y616" s="18"/>
      <c r="Z616" s="18"/>
      <c r="AA616" s="18"/>
    </row>
    <row r="617" spans="1:27" s="50" customFormat="1" ht="18.75" customHeight="1" x14ac:dyDescent="0.2">
      <c r="B617" s="77"/>
      <c r="C617" s="19" t="s">
        <v>907</v>
      </c>
      <c r="D617" s="46"/>
      <c r="E617" s="47" t="s">
        <v>572</v>
      </c>
      <c r="F617" s="47"/>
      <c r="G617" s="48">
        <f>SUM(G568:G616)</f>
        <v>13989429350</v>
      </c>
      <c r="H617" s="49">
        <f t="shared" ref="H617:Z617" si="755">SUM(H568:H616)</f>
        <v>0</v>
      </c>
      <c r="I617" s="49">
        <f t="shared" si="755"/>
        <v>0</v>
      </c>
      <c r="J617" s="48">
        <f t="shared" si="755"/>
        <v>1644000000</v>
      </c>
      <c r="K617" s="49">
        <f t="shared" si="755"/>
        <v>0</v>
      </c>
      <c r="L617" s="48">
        <f t="shared" si="755"/>
        <v>1644000000</v>
      </c>
      <c r="M617" s="48">
        <f t="shared" si="755"/>
        <v>15633429350</v>
      </c>
      <c r="N617" s="49">
        <f t="shared" si="755"/>
        <v>0</v>
      </c>
      <c r="O617" s="48">
        <f t="shared" si="755"/>
        <v>1248215232.4700003</v>
      </c>
      <c r="P617" s="48">
        <f t="shared" si="755"/>
        <v>7768104710.9399996</v>
      </c>
      <c r="Q617" s="48">
        <f t="shared" si="755"/>
        <v>0</v>
      </c>
      <c r="R617" s="48">
        <f t="shared" si="755"/>
        <v>2337491162.4700003</v>
      </c>
      <c r="S617" s="48">
        <f t="shared" si="755"/>
        <v>7305380640.9399996</v>
      </c>
      <c r="T617" s="48">
        <f t="shared" si="755"/>
        <v>392350</v>
      </c>
      <c r="U617" s="48">
        <f t="shared" si="755"/>
        <v>52123882.469999999</v>
      </c>
      <c r="V617" s="48">
        <f t="shared" si="755"/>
        <v>67851965.939999998</v>
      </c>
      <c r="W617" s="22">
        <f>T617+V617</f>
        <v>68244315.939999998</v>
      </c>
      <c r="X617" s="48">
        <f t="shared" si="755"/>
        <v>7865324639.0600004</v>
      </c>
      <c r="Y617" s="48">
        <f t="shared" si="755"/>
        <v>462724070</v>
      </c>
      <c r="Z617" s="48">
        <f t="shared" si="755"/>
        <v>7237136325</v>
      </c>
      <c r="AA617" s="24">
        <f t="shared" ref="AA617" si="756">S617/M617</f>
        <v>0.46729226693566117</v>
      </c>
    </row>
    <row r="618" spans="1:27" ht="18.75" customHeight="1" x14ac:dyDescent="0.2">
      <c r="C618" s="19" t="s">
        <v>907</v>
      </c>
      <c r="D618" s="16"/>
      <c r="E618" s="17"/>
      <c r="F618" s="17"/>
      <c r="G618" s="18"/>
      <c r="H618" s="34"/>
      <c r="I618" s="34"/>
      <c r="J618" s="34"/>
      <c r="K618" s="34"/>
      <c r="L618" s="34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</row>
    <row r="619" spans="1:27" s="25" customFormat="1" ht="18.75" customHeight="1" x14ac:dyDescent="0.2">
      <c r="B619" s="71"/>
      <c r="C619" s="19" t="s">
        <v>907</v>
      </c>
      <c r="D619" s="66"/>
      <c r="E619" s="21" t="s">
        <v>573</v>
      </c>
      <c r="F619" s="67"/>
      <c r="G619" s="63"/>
      <c r="H619" s="72"/>
      <c r="I619" s="72"/>
      <c r="J619" s="72"/>
      <c r="K619" s="72"/>
      <c r="L619" s="72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  <c r="AA619" s="63"/>
    </row>
    <row r="620" spans="1:27" ht="18.75" customHeight="1" x14ac:dyDescent="0.2">
      <c r="C620" s="19" t="s">
        <v>907</v>
      </c>
      <c r="D620" s="16"/>
      <c r="E620" s="29" t="s">
        <v>286</v>
      </c>
      <c r="F620" s="17"/>
      <c r="G620" s="18"/>
      <c r="H620" s="34"/>
      <c r="I620" s="34"/>
      <c r="J620" s="34"/>
      <c r="K620" s="34"/>
      <c r="L620" s="34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</row>
    <row r="621" spans="1:27" ht="18.75" customHeight="1" x14ac:dyDescent="0.2">
      <c r="C621" s="19" t="s">
        <v>907</v>
      </c>
      <c r="D621" s="16"/>
      <c r="E621" s="29" t="s">
        <v>574</v>
      </c>
      <c r="F621" s="17"/>
      <c r="G621" s="18"/>
      <c r="H621" s="34"/>
      <c r="I621" s="34"/>
      <c r="J621" s="34"/>
      <c r="K621" s="34"/>
      <c r="L621" s="34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</row>
    <row r="622" spans="1:27" ht="18.75" customHeight="1" x14ac:dyDescent="0.2">
      <c r="C622" s="19" t="s">
        <v>907</v>
      </c>
      <c r="D622" s="16"/>
      <c r="E622" s="29" t="s">
        <v>575</v>
      </c>
      <c r="F622" s="17"/>
      <c r="G622" s="18"/>
      <c r="H622" s="34"/>
      <c r="I622" s="34"/>
      <c r="J622" s="34"/>
      <c r="K622" s="34"/>
      <c r="L622" s="34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</row>
    <row r="623" spans="1:27" ht="18.75" customHeight="1" x14ac:dyDescent="0.2">
      <c r="C623" s="19" t="s">
        <v>907</v>
      </c>
      <c r="D623" s="16"/>
      <c r="E623" s="29" t="s">
        <v>576</v>
      </c>
      <c r="F623" s="17"/>
      <c r="G623" s="18"/>
      <c r="H623" s="34"/>
      <c r="I623" s="34"/>
      <c r="J623" s="34"/>
      <c r="K623" s="34"/>
      <c r="L623" s="34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</row>
    <row r="624" spans="1:27" x14ac:dyDescent="0.2">
      <c r="C624" s="19" t="s">
        <v>907</v>
      </c>
      <c r="D624" s="16"/>
      <c r="E624" s="29" t="s">
        <v>577</v>
      </c>
      <c r="F624" s="17"/>
      <c r="G624" s="18"/>
      <c r="H624" s="34"/>
      <c r="I624" s="34"/>
      <c r="J624" s="34"/>
      <c r="K624" s="34"/>
      <c r="L624" s="34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</row>
    <row r="625" spans="1:27" ht="25.5" x14ac:dyDescent="0.2">
      <c r="C625" s="19" t="s">
        <v>907</v>
      </c>
      <c r="D625" s="16"/>
      <c r="E625" s="29" t="s">
        <v>578</v>
      </c>
      <c r="F625" s="17"/>
      <c r="G625" s="18"/>
      <c r="H625" s="34"/>
      <c r="I625" s="34"/>
      <c r="J625" s="34"/>
      <c r="K625" s="34"/>
      <c r="L625" s="34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30"/>
      <c r="X625" s="18"/>
      <c r="Y625" s="18"/>
      <c r="Z625" s="18"/>
      <c r="AA625" s="18"/>
    </row>
    <row r="626" spans="1:27" ht="25.5" x14ac:dyDescent="0.2">
      <c r="C626" s="19" t="s">
        <v>907</v>
      </c>
      <c r="D626" s="16"/>
      <c r="E626" s="29" t="s">
        <v>579</v>
      </c>
      <c r="F626" s="17"/>
      <c r="G626" s="18"/>
      <c r="H626" s="34"/>
      <c r="I626" s="34"/>
      <c r="J626" s="34"/>
      <c r="K626" s="34"/>
      <c r="L626" s="34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30"/>
      <c r="X626" s="18"/>
      <c r="Y626" s="18"/>
      <c r="Z626" s="18"/>
      <c r="AA626" s="18"/>
    </row>
    <row r="627" spans="1:27" x14ac:dyDescent="0.2">
      <c r="A627" s="4" t="s">
        <v>55</v>
      </c>
      <c r="B627" s="4" t="s">
        <v>56</v>
      </c>
      <c r="C627" s="19" t="s">
        <v>907</v>
      </c>
      <c r="D627" s="41" t="s">
        <v>580</v>
      </c>
      <c r="E627" s="42" t="s">
        <v>233</v>
      </c>
      <c r="F627" s="43" t="s">
        <v>58</v>
      </c>
      <c r="G627" s="43">
        <v>50000000</v>
      </c>
      <c r="H627" s="44">
        <v>0</v>
      </c>
      <c r="I627" s="44">
        <v>0</v>
      </c>
      <c r="J627" s="44">
        <v>0</v>
      </c>
      <c r="K627" s="44">
        <v>0</v>
      </c>
      <c r="L627" s="44">
        <v>0</v>
      </c>
      <c r="M627" s="43">
        <v>50000000</v>
      </c>
      <c r="N627" s="44">
        <v>0</v>
      </c>
      <c r="O627" s="44">
        <v>0</v>
      </c>
      <c r="P627" s="44">
        <v>0</v>
      </c>
      <c r="Q627" s="44">
        <v>0</v>
      </c>
      <c r="R627" s="44">
        <v>0</v>
      </c>
      <c r="S627" s="44">
        <v>0</v>
      </c>
      <c r="T627" s="34">
        <v>0</v>
      </c>
      <c r="U627" s="34">
        <v>0</v>
      </c>
      <c r="V627" s="34">
        <v>0</v>
      </c>
      <c r="W627" s="40">
        <f t="shared" ref="W627:W668" si="757">T627+V627</f>
        <v>0</v>
      </c>
      <c r="X627" s="18">
        <f t="shared" ref="X627" si="758">M627-P627</f>
        <v>50000000</v>
      </c>
      <c r="Y627" s="133">
        <f t="shared" ref="Y627" si="759">P627-S627</f>
        <v>0</v>
      </c>
      <c r="Z627" s="34">
        <f t="shared" ref="Z627" si="760">S627-W627</f>
        <v>0</v>
      </c>
      <c r="AA627" s="123">
        <f t="shared" ref="AA627" si="761">S627/M627</f>
        <v>0</v>
      </c>
    </row>
    <row r="628" spans="1:27" ht="38.25" x14ac:dyDescent="0.2">
      <c r="C628" s="19" t="s">
        <v>907</v>
      </c>
      <c r="D628" s="28" t="s">
        <v>288</v>
      </c>
      <c r="E628" s="29" t="s">
        <v>581</v>
      </c>
      <c r="F628" s="17"/>
      <c r="G628" s="18"/>
      <c r="H628" s="18"/>
      <c r="I628" s="18"/>
      <c r="J628" s="18"/>
      <c r="K628" s="18"/>
      <c r="L628" s="18"/>
      <c r="M628" s="18"/>
      <c r="N628" s="34"/>
      <c r="O628" s="34"/>
      <c r="P628" s="34"/>
      <c r="Q628" s="34"/>
      <c r="R628" s="34"/>
      <c r="S628" s="34"/>
      <c r="T628" s="34"/>
      <c r="U628" s="34"/>
      <c r="V628" s="34"/>
      <c r="W628" s="40"/>
      <c r="X628" s="18"/>
      <c r="Y628" s="34"/>
      <c r="Z628" s="34"/>
      <c r="AA628" s="18"/>
    </row>
    <row r="629" spans="1:27" x14ac:dyDescent="0.2">
      <c r="A629" s="4" t="s">
        <v>55</v>
      </c>
      <c r="B629" s="4" t="s">
        <v>56</v>
      </c>
      <c r="C629" s="19" t="s">
        <v>907</v>
      </c>
      <c r="D629" s="41" t="s">
        <v>582</v>
      </c>
      <c r="E629" s="42" t="s">
        <v>233</v>
      </c>
      <c r="F629" s="43" t="s">
        <v>58</v>
      </c>
      <c r="G629" s="43">
        <v>75000000</v>
      </c>
      <c r="H629" s="44">
        <v>0</v>
      </c>
      <c r="I629" s="44">
        <v>0</v>
      </c>
      <c r="J629" s="44">
        <v>0</v>
      </c>
      <c r="K629" s="43">
        <v>75000000</v>
      </c>
      <c r="L629" s="43">
        <f>H629-I629+J629-K629</f>
        <v>-75000000</v>
      </c>
      <c r="M629" s="44">
        <f>G629+L629</f>
        <v>0</v>
      </c>
      <c r="N629" s="44">
        <v>0</v>
      </c>
      <c r="O629" s="44">
        <v>0</v>
      </c>
      <c r="P629" s="44">
        <v>0</v>
      </c>
      <c r="Q629" s="44">
        <v>0</v>
      </c>
      <c r="R629" s="44">
        <v>0</v>
      </c>
      <c r="S629" s="44">
        <v>0</v>
      </c>
      <c r="T629" s="34">
        <v>0</v>
      </c>
      <c r="U629" s="34">
        <v>0</v>
      </c>
      <c r="V629" s="34">
        <v>0</v>
      </c>
      <c r="W629" s="40">
        <f t="shared" ref="W629" si="762">T629+V629</f>
        <v>0</v>
      </c>
      <c r="X629" s="34">
        <f t="shared" ref="X629" si="763">M629-P629</f>
        <v>0</v>
      </c>
      <c r="Y629" s="133">
        <f t="shared" ref="Y629" si="764">P629-S629</f>
        <v>0</v>
      </c>
      <c r="Z629" s="34">
        <f t="shared" ref="Z629" si="765">S629-W629</f>
        <v>0</v>
      </c>
      <c r="AA629" s="123">
        <v>0</v>
      </c>
    </row>
    <row r="630" spans="1:27" ht="25.5" x14ac:dyDescent="0.2">
      <c r="A630" s="4"/>
      <c r="B630" s="4"/>
      <c r="C630" s="19" t="s">
        <v>907</v>
      </c>
      <c r="D630" s="73" t="s">
        <v>288</v>
      </c>
      <c r="E630" s="74" t="s">
        <v>910</v>
      </c>
      <c r="F630" s="43"/>
      <c r="G630" s="43"/>
      <c r="H630" s="44"/>
      <c r="I630" s="44"/>
      <c r="K630" s="43"/>
      <c r="N630" s="44"/>
      <c r="O630" s="44"/>
      <c r="P630" s="44"/>
      <c r="Q630" s="44"/>
      <c r="R630" s="44"/>
      <c r="S630" s="44"/>
      <c r="T630" s="34"/>
      <c r="U630" s="34"/>
      <c r="V630" s="34"/>
      <c r="W630" s="40"/>
      <c r="X630" s="43"/>
      <c r="Y630" s="44"/>
      <c r="Z630" s="44"/>
      <c r="AA630" s="32"/>
    </row>
    <row r="631" spans="1:27" x14ac:dyDescent="0.2">
      <c r="A631" s="4"/>
      <c r="B631" s="4"/>
      <c r="C631" s="19" t="s">
        <v>907</v>
      </c>
      <c r="D631" s="41" t="s">
        <v>911</v>
      </c>
      <c r="E631" s="42" t="s">
        <v>233</v>
      </c>
      <c r="F631" s="43"/>
      <c r="G631" s="44">
        <v>0</v>
      </c>
      <c r="H631" s="44">
        <v>0</v>
      </c>
      <c r="I631" s="44">
        <v>0</v>
      </c>
      <c r="J631" s="43">
        <v>31295090</v>
      </c>
      <c r="K631" s="44">
        <v>0</v>
      </c>
      <c r="L631" s="43">
        <f>H630-I630+J631-K630</f>
        <v>31295090</v>
      </c>
      <c r="M631" s="43">
        <f>G630+L631</f>
        <v>31295090</v>
      </c>
      <c r="N631" s="44">
        <v>0</v>
      </c>
      <c r="O631" s="44">
        <v>0</v>
      </c>
      <c r="P631" s="44">
        <v>0</v>
      </c>
      <c r="Q631" s="44">
        <v>0</v>
      </c>
      <c r="R631" s="44">
        <v>0</v>
      </c>
      <c r="S631" s="44">
        <v>0</v>
      </c>
      <c r="T631" s="34">
        <v>0</v>
      </c>
      <c r="U631" s="34">
        <v>0</v>
      </c>
      <c r="V631" s="34">
        <v>0</v>
      </c>
      <c r="W631" s="40">
        <f t="shared" ref="W631" si="766">T631+V631</f>
        <v>0</v>
      </c>
      <c r="X631" s="18">
        <f t="shared" ref="X631" si="767">M631-P631</f>
        <v>31295090</v>
      </c>
      <c r="Y631" s="133">
        <f t="shared" ref="Y631" si="768">P631-S631</f>
        <v>0</v>
      </c>
      <c r="Z631" s="34">
        <f t="shared" ref="Z631" si="769">S631-W631</f>
        <v>0</v>
      </c>
      <c r="AA631" s="123">
        <f t="shared" ref="AA631" si="770">S631/M631</f>
        <v>0</v>
      </c>
    </row>
    <row r="632" spans="1:27" x14ac:dyDescent="0.2">
      <c r="C632" s="19" t="s">
        <v>907</v>
      </c>
      <c r="D632" s="16"/>
      <c r="E632" s="17"/>
      <c r="F632" s="17"/>
      <c r="G632" s="18"/>
      <c r="H632" s="34"/>
      <c r="I632" s="34"/>
      <c r="J632" s="34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30"/>
      <c r="X632" s="18"/>
      <c r="Y632" s="18"/>
      <c r="Z632" s="18"/>
      <c r="AA632" s="18"/>
    </row>
    <row r="633" spans="1:27" x14ac:dyDescent="0.2">
      <c r="C633" s="19" t="s">
        <v>907</v>
      </c>
      <c r="D633" s="16"/>
      <c r="E633" s="29" t="s">
        <v>179</v>
      </c>
      <c r="F633" s="17"/>
      <c r="G633" s="18"/>
      <c r="H633" s="34"/>
      <c r="I633" s="34"/>
      <c r="J633" s="34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30"/>
      <c r="X633" s="18"/>
      <c r="Y633" s="18"/>
      <c r="Z633" s="18"/>
      <c r="AA633" s="18"/>
    </row>
    <row r="634" spans="1:27" x14ac:dyDescent="0.2">
      <c r="C634" s="19" t="s">
        <v>907</v>
      </c>
      <c r="D634" s="16"/>
      <c r="E634" s="29" t="s">
        <v>181</v>
      </c>
      <c r="F634" s="17"/>
      <c r="G634" s="18"/>
      <c r="H634" s="34"/>
      <c r="I634" s="34"/>
      <c r="J634" s="34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30"/>
      <c r="X634" s="18"/>
      <c r="Y634" s="18"/>
      <c r="Z634" s="18"/>
      <c r="AA634" s="18"/>
    </row>
    <row r="635" spans="1:27" ht="25.5" x14ac:dyDescent="0.2">
      <c r="C635" s="19" t="s">
        <v>907</v>
      </c>
      <c r="D635" s="16"/>
      <c r="E635" s="29" t="s">
        <v>185</v>
      </c>
      <c r="F635" s="17"/>
      <c r="G635" s="18"/>
      <c r="H635" s="34"/>
      <c r="I635" s="34"/>
      <c r="J635" s="34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30"/>
      <c r="X635" s="18"/>
      <c r="Y635" s="18"/>
      <c r="Z635" s="18"/>
      <c r="AA635" s="18"/>
    </row>
    <row r="636" spans="1:27" ht="25.5" x14ac:dyDescent="0.2">
      <c r="C636" s="19" t="s">
        <v>907</v>
      </c>
      <c r="D636" s="28" t="s">
        <v>288</v>
      </c>
      <c r="E636" s="29" t="s">
        <v>583</v>
      </c>
      <c r="F636" s="17"/>
      <c r="G636" s="18"/>
      <c r="H636" s="34"/>
      <c r="I636" s="34"/>
      <c r="J636" s="34"/>
      <c r="K636" s="18"/>
      <c r="L636" s="18"/>
      <c r="M636" s="18"/>
      <c r="N636" s="34"/>
      <c r="O636" s="34"/>
      <c r="P636" s="34"/>
      <c r="Q636" s="34"/>
      <c r="R636" s="34"/>
      <c r="S636" s="34"/>
      <c r="T636" s="18"/>
      <c r="U636" s="18"/>
      <c r="V636" s="18"/>
      <c r="W636" s="30"/>
      <c r="X636" s="18"/>
      <c r="Y636" s="18"/>
      <c r="Z636" s="18"/>
      <c r="AA636" s="18"/>
    </row>
    <row r="637" spans="1:27" x14ac:dyDescent="0.2">
      <c r="A637" s="4" t="s">
        <v>55</v>
      </c>
      <c r="B637" s="4" t="s">
        <v>56</v>
      </c>
      <c r="C637" s="19" t="s">
        <v>907</v>
      </c>
      <c r="D637" s="41" t="s">
        <v>584</v>
      </c>
      <c r="E637" s="42" t="s">
        <v>233</v>
      </c>
      <c r="F637" s="43" t="s">
        <v>58</v>
      </c>
      <c r="G637" s="43">
        <v>50000000</v>
      </c>
      <c r="H637" s="44">
        <v>0</v>
      </c>
      <c r="I637" s="44">
        <v>0</v>
      </c>
      <c r="J637" s="44">
        <v>0</v>
      </c>
      <c r="K637" s="44">
        <v>0</v>
      </c>
      <c r="L637" s="44">
        <v>0</v>
      </c>
      <c r="M637" s="43">
        <v>50000000</v>
      </c>
      <c r="N637" s="44">
        <v>0</v>
      </c>
      <c r="O637" s="44">
        <v>0</v>
      </c>
      <c r="P637" s="44">
        <v>0</v>
      </c>
      <c r="Q637" s="44">
        <v>0</v>
      </c>
      <c r="R637" s="44">
        <v>0</v>
      </c>
      <c r="S637" s="44">
        <v>0</v>
      </c>
      <c r="T637" s="44">
        <v>0</v>
      </c>
      <c r="U637" s="44">
        <v>0</v>
      </c>
      <c r="V637" s="44">
        <v>0</v>
      </c>
      <c r="W637" s="40">
        <f t="shared" si="757"/>
        <v>0</v>
      </c>
      <c r="X637" s="18">
        <f t="shared" ref="X637" si="771">M637-P637</f>
        <v>50000000</v>
      </c>
      <c r="Y637" s="133">
        <f t="shared" ref="Y637" si="772">P637-S637</f>
        <v>0</v>
      </c>
      <c r="Z637" s="34">
        <f t="shared" ref="Z637" si="773">S637-W637</f>
        <v>0</v>
      </c>
      <c r="AA637" s="123">
        <f t="shared" ref="AA637" si="774">S637/M637</f>
        <v>0</v>
      </c>
    </row>
    <row r="638" spans="1:27" x14ac:dyDescent="0.2">
      <c r="C638" s="19" t="s">
        <v>907</v>
      </c>
      <c r="D638" s="16"/>
      <c r="E638" s="17"/>
      <c r="F638" s="17"/>
      <c r="G638" s="18"/>
      <c r="H638" s="34"/>
      <c r="I638" s="34"/>
      <c r="J638" s="34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30"/>
      <c r="X638" s="18"/>
      <c r="Y638" s="18"/>
      <c r="Z638" s="18"/>
      <c r="AA638" s="18"/>
    </row>
    <row r="639" spans="1:27" x14ac:dyDescent="0.2">
      <c r="C639" s="19" t="s">
        <v>907</v>
      </c>
      <c r="D639" s="16"/>
      <c r="E639" s="29" t="s">
        <v>189</v>
      </c>
      <c r="F639" s="17"/>
      <c r="G639" s="18"/>
      <c r="H639" s="34"/>
      <c r="I639" s="34"/>
      <c r="J639" s="34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30"/>
      <c r="X639" s="18"/>
      <c r="Y639" s="18"/>
      <c r="Z639" s="18"/>
      <c r="AA639" s="18"/>
    </row>
    <row r="640" spans="1:27" ht="38.25" x14ac:dyDescent="0.2">
      <c r="C640" s="19" t="s">
        <v>907</v>
      </c>
      <c r="D640" s="16"/>
      <c r="E640" s="29" t="s">
        <v>373</v>
      </c>
      <c r="F640" s="17"/>
      <c r="G640" s="18"/>
      <c r="H640" s="34"/>
      <c r="I640" s="34"/>
      <c r="J640" s="34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30"/>
      <c r="X640" s="18"/>
      <c r="Y640" s="18"/>
      <c r="Z640" s="18"/>
      <c r="AA640" s="18"/>
    </row>
    <row r="641" spans="1:27" ht="25.5" x14ac:dyDescent="0.2">
      <c r="C641" s="19" t="s">
        <v>907</v>
      </c>
      <c r="D641" s="28" t="s">
        <v>288</v>
      </c>
      <c r="E641" s="29" t="s">
        <v>585</v>
      </c>
      <c r="F641" s="17"/>
      <c r="G641" s="18"/>
      <c r="H641" s="34"/>
      <c r="I641" s="34"/>
      <c r="J641" s="34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30"/>
      <c r="X641" s="18"/>
      <c r="Y641" s="18"/>
      <c r="Z641" s="18"/>
      <c r="AA641" s="18"/>
    </row>
    <row r="642" spans="1:27" x14ac:dyDescent="0.2">
      <c r="A642" s="4" t="s">
        <v>55</v>
      </c>
      <c r="B642" s="4" t="s">
        <v>56</v>
      </c>
      <c r="C642" s="19" t="s">
        <v>907</v>
      </c>
      <c r="D642" s="41" t="s">
        <v>586</v>
      </c>
      <c r="E642" s="42" t="s">
        <v>233</v>
      </c>
      <c r="F642" s="43" t="s">
        <v>58</v>
      </c>
      <c r="G642" s="43">
        <v>165000000</v>
      </c>
      <c r="H642" s="44">
        <v>0</v>
      </c>
      <c r="I642" s="44">
        <v>0</v>
      </c>
      <c r="J642" s="44">
        <v>0</v>
      </c>
      <c r="K642" s="44">
        <v>0</v>
      </c>
      <c r="L642" s="44">
        <v>0</v>
      </c>
      <c r="M642" s="43">
        <v>165000000</v>
      </c>
      <c r="N642" s="44">
        <v>0</v>
      </c>
      <c r="O642" s="44"/>
      <c r="P642" s="43">
        <v>142500000</v>
      </c>
      <c r="Q642" s="43">
        <v>0</v>
      </c>
      <c r="R642" s="43">
        <v>0</v>
      </c>
      <c r="S642" s="34">
        <v>0</v>
      </c>
      <c r="T642" s="34">
        <v>0</v>
      </c>
      <c r="U642" s="34">
        <v>0</v>
      </c>
      <c r="V642" s="34">
        <v>0</v>
      </c>
      <c r="W642" s="40">
        <f t="shared" ref="W642" si="775">T642+V642</f>
        <v>0</v>
      </c>
      <c r="X642" s="18">
        <f t="shared" ref="X642" si="776">M642-P642</f>
        <v>22500000</v>
      </c>
      <c r="Y642" s="110">
        <f t="shared" ref="Y642" si="777">P642-S642</f>
        <v>142500000</v>
      </c>
      <c r="Z642" s="34">
        <f t="shared" ref="Z642" si="778">S642-W642</f>
        <v>0</v>
      </c>
      <c r="AA642" s="123">
        <f t="shared" ref="AA642" si="779">S642/M642</f>
        <v>0</v>
      </c>
    </row>
    <row r="643" spans="1:27" ht="25.5" x14ac:dyDescent="0.2">
      <c r="C643" s="19" t="s">
        <v>907</v>
      </c>
      <c r="D643" s="28" t="s">
        <v>288</v>
      </c>
      <c r="E643" s="29" t="s">
        <v>587</v>
      </c>
      <c r="F643" s="17"/>
      <c r="G643" s="18"/>
      <c r="H643" s="34"/>
      <c r="I643" s="34"/>
      <c r="J643" s="34"/>
      <c r="K643" s="34"/>
      <c r="L643" s="34"/>
      <c r="M643" s="18"/>
      <c r="N643" s="18"/>
      <c r="O643" s="18"/>
      <c r="P643" s="18"/>
      <c r="Q643" s="18"/>
      <c r="R643" s="18"/>
      <c r="S643" s="34"/>
      <c r="T643" s="34"/>
      <c r="U643" s="34"/>
      <c r="V643" s="34"/>
      <c r="W643" s="40"/>
      <c r="X643" s="18"/>
      <c r="Y643" s="18"/>
      <c r="Z643" s="18"/>
      <c r="AA643" s="18"/>
    </row>
    <row r="644" spans="1:27" x14ac:dyDescent="0.2">
      <c r="A644" s="4" t="s">
        <v>55</v>
      </c>
      <c r="B644" s="4" t="s">
        <v>56</v>
      </c>
      <c r="C644" s="19" t="s">
        <v>907</v>
      </c>
      <c r="D644" s="41" t="s">
        <v>588</v>
      </c>
      <c r="E644" s="42" t="s">
        <v>233</v>
      </c>
      <c r="F644" s="43" t="s">
        <v>58</v>
      </c>
      <c r="G644" s="43">
        <v>360000000</v>
      </c>
      <c r="H644" s="44">
        <v>0</v>
      </c>
      <c r="I644" s="44">
        <v>0</v>
      </c>
      <c r="J644" s="44">
        <v>0</v>
      </c>
      <c r="K644" s="44">
        <v>0</v>
      </c>
      <c r="L644" s="44">
        <v>0</v>
      </c>
      <c r="M644" s="43">
        <v>360000000</v>
      </c>
      <c r="N644" s="44">
        <v>0</v>
      </c>
      <c r="O644" s="114">
        <f>P644-[1]ENERO!O640</f>
        <v>320207103</v>
      </c>
      <c r="P644" s="114">
        <v>320207103</v>
      </c>
      <c r="Q644" s="44">
        <v>0</v>
      </c>
      <c r="R644" s="44">
        <v>0</v>
      </c>
      <c r="S644" s="34">
        <v>0</v>
      </c>
      <c r="T644" s="34">
        <v>0</v>
      </c>
      <c r="U644" s="34">
        <v>0</v>
      </c>
      <c r="V644" s="34">
        <v>0</v>
      </c>
      <c r="W644" s="40">
        <f t="shared" ref="W644" si="780">T644+V644</f>
        <v>0</v>
      </c>
      <c r="X644" s="18">
        <f t="shared" ref="X644" si="781">M644-P644</f>
        <v>39792897</v>
      </c>
      <c r="Y644" s="110">
        <f t="shared" ref="Y644" si="782">P644-S644</f>
        <v>320207103</v>
      </c>
      <c r="Z644" s="34">
        <f t="shared" ref="Z644" si="783">S644-W644</f>
        <v>0</v>
      </c>
      <c r="AA644" s="123">
        <f t="shared" ref="AA644" si="784">S644/M644</f>
        <v>0</v>
      </c>
    </row>
    <row r="645" spans="1:27" ht="25.5" x14ac:dyDescent="0.2">
      <c r="C645" s="19" t="s">
        <v>907</v>
      </c>
      <c r="D645" s="28" t="s">
        <v>288</v>
      </c>
      <c r="E645" s="29" t="s">
        <v>589</v>
      </c>
      <c r="F645" s="17"/>
      <c r="G645" s="18"/>
      <c r="H645" s="34"/>
      <c r="I645" s="34"/>
      <c r="J645" s="34"/>
      <c r="K645" s="34"/>
      <c r="L645" s="34"/>
      <c r="M645" s="18"/>
      <c r="N645" s="34"/>
      <c r="O645" s="34"/>
      <c r="P645" s="34"/>
      <c r="Q645" s="34"/>
      <c r="R645" s="34"/>
      <c r="S645" s="34"/>
      <c r="T645" s="34"/>
      <c r="U645" s="34"/>
      <c r="V645" s="34"/>
      <c r="W645" s="40"/>
      <c r="X645" s="18"/>
      <c r="Y645" s="18"/>
      <c r="Z645" s="34"/>
      <c r="AA645" s="18"/>
    </row>
    <row r="646" spans="1:27" x14ac:dyDescent="0.2">
      <c r="A646" s="4" t="s">
        <v>55</v>
      </c>
      <c r="B646" s="4" t="s">
        <v>56</v>
      </c>
      <c r="C646" s="19" t="s">
        <v>907</v>
      </c>
      <c r="D646" s="41" t="s">
        <v>590</v>
      </c>
      <c r="E646" s="42" t="s">
        <v>233</v>
      </c>
      <c r="F646" s="43" t="s">
        <v>58</v>
      </c>
      <c r="G646" s="43">
        <v>2564591998.2600002</v>
      </c>
      <c r="H646" s="44">
        <v>0</v>
      </c>
      <c r="I646" s="44">
        <v>0</v>
      </c>
      <c r="J646" s="44">
        <v>0</v>
      </c>
      <c r="K646" s="44">
        <v>0</v>
      </c>
      <c r="L646" s="44">
        <v>0</v>
      </c>
      <c r="M646" s="43">
        <v>2564591998.2600002</v>
      </c>
      <c r="N646" s="44">
        <v>0</v>
      </c>
      <c r="O646" s="44">
        <v>0</v>
      </c>
      <c r="P646" s="44">
        <v>0</v>
      </c>
      <c r="Q646" s="44">
        <v>0</v>
      </c>
      <c r="R646" s="44">
        <v>0</v>
      </c>
      <c r="S646" s="34">
        <v>0</v>
      </c>
      <c r="T646" s="34">
        <v>0</v>
      </c>
      <c r="U646" s="34">
        <v>0</v>
      </c>
      <c r="V646" s="34">
        <v>0</v>
      </c>
      <c r="W646" s="40">
        <f t="shared" ref="W646" si="785">T646+V646</f>
        <v>0</v>
      </c>
      <c r="X646" s="18">
        <f t="shared" ref="X646" si="786">M646-P646</f>
        <v>2564591998.2600002</v>
      </c>
      <c r="Y646" s="133">
        <f t="shared" ref="Y646" si="787">P646-S646</f>
        <v>0</v>
      </c>
      <c r="Z646" s="34">
        <f t="shared" ref="Z646" si="788">S646-W646</f>
        <v>0</v>
      </c>
      <c r="AA646" s="123">
        <f t="shared" ref="AA646" si="789">S646/M646</f>
        <v>0</v>
      </c>
    </row>
    <row r="647" spans="1:27" x14ac:dyDescent="0.2">
      <c r="C647" s="19" t="s">
        <v>907</v>
      </c>
      <c r="D647" s="16"/>
      <c r="E647" s="17"/>
      <c r="F647" s="17"/>
      <c r="G647" s="18"/>
      <c r="H647" s="34"/>
      <c r="I647" s="34"/>
      <c r="J647" s="34"/>
      <c r="K647" s="34"/>
      <c r="L647" s="34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30"/>
      <c r="X647" s="18"/>
      <c r="Y647" s="18"/>
      <c r="Z647" s="18"/>
      <c r="AA647" s="18"/>
    </row>
    <row r="648" spans="1:27" ht="25.5" x14ac:dyDescent="0.2">
      <c r="C648" s="19" t="s">
        <v>907</v>
      </c>
      <c r="D648" s="16"/>
      <c r="E648" s="29" t="s">
        <v>197</v>
      </c>
      <c r="F648" s="17"/>
      <c r="G648" s="18"/>
      <c r="H648" s="34"/>
      <c r="I648" s="34"/>
      <c r="J648" s="34"/>
      <c r="K648" s="34"/>
      <c r="L648" s="34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30"/>
      <c r="X648" s="18"/>
      <c r="Y648" s="18"/>
      <c r="Z648" s="18"/>
      <c r="AA648" s="18"/>
    </row>
    <row r="649" spans="1:27" x14ac:dyDescent="0.2">
      <c r="C649" s="19" t="s">
        <v>907</v>
      </c>
      <c r="D649" s="28" t="s">
        <v>288</v>
      </c>
      <c r="E649" s="29" t="s">
        <v>591</v>
      </c>
      <c r="F649" s="17"/>
      <c r="G649" s="18"/>
      <c r="H649" s="34"/>
      <c r="I649" s="34"/>
      <c r="J649" s="34"/>
      <c r="K649" s="34"/>
      <c r="L649" s="34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30"/>
      <c r="X649" s="18"/>
      <c r="Y649" s="18"/>
      <c r="Z649" s="18"/>
      <c r="AA649" s="18"/>
    </row>
    <row r="650" spans="1:27" x14ac:dyDescent="0.2">
      <c r="A650" s="4" t="s">
        <v>55</v>
      </c>
      <c r="B650" s="4" t="s">
        <v>56</v>
      </c>
      <c r="C650" s="19" t="s">
        <v>907</v>
      </c>
      <c r="D650" s="41" t="s">
        <v>592</v>
      </c>
      <c r="E650" s="42" t="s">
        <v>233</v>
      </c>
      <c r="F650" s="43" t="s">
        <v>58</v>
      </c>
      <c r="G650" s="43">
        <v>458060751</v>
      </c>
      <c r="H650" s="44">
        <v>0</v>
      </c>
      <c r="I650" s="44">
        <v>0</v>
      </c>
      <c r="J650" s="44">
        <v>0</v>
      </c>
      <c r="K650" s="44">
        <v>0</v>
      </c>
      <c r="L650" s="44">
        <v>0</v>
      </c>
      <c r="M650" s="43">
        <v>458060751</v>
      </c>
      <c r="N650" s="44">
        <v>0</v>
      </c>
      <c r="O650" s="43">
        <f>P650-[1]ENERO!O646</f>
        <v>20000000</v>
      </c>
      <c r="P650" s="43">
        <v>332660751</v>
      </c>
      <c r="Q650" s="43">
        <v>0</v>
      </c>
      <c r="R650" s="43">
        <v>0</v>
      </c>
      <c r="S650" s="43">
        <v>312660751</v>
      </c>
      <c r="T650" s="110">
        <v>2616666</v>
      </c>
      <c r="U650" s="110">
        <v>9483336</v>
      </c>
      <c r="V650" s="110">
        <v>9483336</v>
      </c>
      <c r="W650" s="111">
        <f t="shared" ref="W650" si="790">T650+V650</f>
        <v>12100002</v>
      </c>
      <c r="X650" s="18">
        <f t="shared" ref="X650" si="791">M650-P650</f>
        <v>125400000</v>
      </c>
      <c r="Y650" s="110">
        <f t="shared" ref="Y650" si="792">P650-S650</f>
        <v>20000000</v>
      </c>
      <c r="Z650" s="18">
        <f t="shared" ref="Z650" si="793">S650-W650</f>
        <v>300560749</v>
      </c>
      <c r="AA650" s="123">
        <f t="shared" ref="AA650" si="794">S650/M650</f>
        <v>0.68257485566581544</v>
      </c>
    </row>
    <row r="651" spans="1:27" ht="25.5" x14ac:dyDescent="0.2">
      <c r="C651" s="19" t="s">
        <v>907</v>
      </c>
      <c r="D651" s="28" t="s">
        <v>288</v>
      </c>
      <c r="E651" s="29" t="s">
        <v>593</v>
      </c>
      <c r="F651" s="17"/>
      <c r="G651" s="18"/>
      <c r="H651" s="34"/>
      <c r="I651" s="34"/>
      <c r="J651" s="34"/>
      <c r="K651" s="34"/>
      <c r="L651" s="34"/>
      <c r="M651" s="18"/>
      <c r="N651" s="34"/>
      <c r="O651" s="18"/>
      <c r="P651" s="18"/>
      <c r="Q651" s="18"/>
      <c r="R651" s="18"/>
      <c r="S651" s="18"/>
      <c r="T651" s="110"/>
      <c r="U651" s="110"/>
      <c r="V651" s="110"/>
      <c r="W651" s="111"/>
      <c r="X651" s="18"/>
      <c r="Y651" s="18"/>
      <c r="Z651" s="18"/>
      <c r="AA651" s="18"/>
    </row>
    <row r="652" spans="1:27" x14ac:dyDescent="0.2">
      <c r="A652" s="4" t="s">
        <v>55</v>
      </c>
      <c r="B652" s="4" t="s">
        <v>56</v>
      </c>
      <c r="C652" s="19" t="s">
        <v>907</v>
      </c>
      <c r="D652" s="41" t="s">
        <v>594</v>
      </c>
      <c r="E652" s="42" t="s">
        <v>233</v>
      </c>
      <c r="F652" s="43" t="s">
        <v>58</v>
      </c>
      <c r="G652" s="43">
        <v>522500000</v>
      </c>
      <c r="H652" s="44">
        <v>0</v>
      </c>
      <c r="I652" s="44">
        <v>0</v>
      </c>
      <c r="J652" s="44">
        <v>0</v>
      </c>
      <c r="K652" s="44">
        <v>0</v>
      </c>
      <c r="L652" s="44">
        <v>0</v>
      </c>
      <c r="M652" s="43">
        <v>522500000</v>
      </c>
      <c r="N652" s="44">
        <v>0</v>
      </c>
      <c r="O652" s="43">
        <f>P652-[1]ENERO!O648</f>
        <v>20000000</v>
      </c>
      <c r="P652" s="43">
        <v>380000000</v>
      </c>
      <c r="Q652" s="43">
        <v>0</v>
      </c>
      <c r="R652" s="43">
        <v>40000000</v>
      </c>
      <c r="S652" s="43">
        <v>340000000</v>
      </c>
      <c r="T652" s="110">
        <v>2250000</v>
      </c>
      <c r="U652" s="110">
        <v>9950001</v>
      </c>
      <c r="V652" s="110">
        <v>9950001</v>
      </c>
      <c r="W652" s="111">
        <f t="shared" ref="W652" si="795">T652+V652</f>
        <v>12200001</v>
      </c>
      <c r="X652" s="18">
        <f t="shared" ref="X652" si="796">M652-P652</f>
        <v>142500000</v>
      </c>
      <c r="Y652" s="110">
        <f t="shared" ref="Y652" si="797">P652-S652</f>
        <v>40000000</v>
      </c>
      <c r="Z652" s="18">
        <f t="shared" ref="Z652" si="798">S652-W652</f>
        <v>327799999</v>
      </c>
      <c r="AA652" s="123">
        <f t="shared" ref="AA652" si="799">S652/M652</f>
        <v>0.65071770334928225</v>
      </c>
    </row>
    <row r="653" spans="1:27" ht="25.5" x14ac:dyDescent="0.2">
      <c r="C653" s="19" t="s">
        <v>907</v>
      </c>
      <c r="D653" s="28" t="s">
        <v>288</v>
      </c>
      <c r="E653" s="29" t="s">
        <v>583</v>
      </c>
      <c r="F653" s="17"/>
      <c r="G653" s="18"/>
      <c r="H653" s="34"/>
      <c r="I653" s="34"/>
      <c r="J653" s="34"/>
      <c r="K653" s="34"/>
      <c r="L653" s="34"/>
      <c r="M653" s="18"/>
      <c r="N653" s="18"/>
      <c r="O653" s="18"/>
      <c r="P653" s="18"/>
      <c r="Q653" s="18"/>
      <c r="R653" s="18"/>
      <c r="S653" s="18"/>
      <c r="T653" s="34"/>
      <c r="U653" s="34"/>
      <c r="V653" s="34"/>
      <c r="W653" s="40"/>
      <c r="X653" s="18"/>
      <c r="Y653" s="18"/>
      <c r="Z653" s="18"/>
      <c r="AA653" s="18"/>
    </row>
    <row r="654" spans="1:27" x14ac:dyDescent="0.2">
      <c r="A654" s="4" t="s">
        <v>55</v>
      </c>
      <c r="B654" s="4" t="s">
        <v>56</v>
      </c>
      <c r="C654" s="19" t="s">
        <v>907</v>
      </c>
      <c r="D654" s="41" t="s">
        <v>595</v>
      </c>
      <c r="E654" s="42" t="s">
        <v>233</v>
      </c>
      <c r="F654" s="43" t="s">
        <v>58</v>
      </c>
      <c r="G654" s="43">
        <v>100000000</v>
      </c>
      <c r="H654" s="44">
        <v>0</v>
      </c>
      <c r="I654" s="44">
        <v>0</v>
      </c>
      <c r="J654" s="44">
        <v>0</v>
      </c>
      <c r="K654" s="44">
        <v>0</v>
      </c>
      <c r="L654" s="44">
        <v>0</v>
      </c>
      <c r="M654" s="43">
        <v>100000000</v>
      </c>
      <c r="N654" s="44">
        <v>0</v>
      </c>
      <c r="O654" s="44">
        <v>0</v>
      </c>
      <c r="P654" s="44">
        <v>0</v>
      </c>
      <c r="Q654" s="44">
        <v>0</v>
      </c>
      <c r="R654" s="44">
        <v>0</v>
      </c>
      <c r="S654" s="44">
        <v>0</v>
      </c>
      <c r="T654" s="34">
        <v>0</v>
      </c>
      <c r="U654" s="34">
        <v>0</v>
      </c>
      <c r="V654" s="34">
        <v>0</v>
      </c>
      <c r="W654" s="40">
        <f t="shared" ref="W654" si="800">T654+V654</f>
        <v>0</v>
      </c>
      <c r="X654" s="18">
        <f t="shared" ref="X654" si="801">M654-P654</f>
        <v>100000000</v>
      </c>
      <c r="Y654" s="133">
        <f t="shared" ref="Y654" si="802">P654-S654</f>
        <v>0</v>
      </c>
      <c r="Z654" s="34">
        <f t="shared" ref="Z654" si="803">S654-W654</f>
        <v>0</v>
      </c>
      <c r="AA654" s="123">
        <f t="shared" ref="AA654" si="804">S654/M654</f>
        <v>0</v>
      </c>
    </row>
    <row r="655" spans="1:27" ht="25.5" x14ac:dyDescent="0.2">
      <c r="C655" s="19" t="s">
        <v>907</v>
      </c>
      <c r="D655" s="28" t="s">
        <v>288</v>
      </c>
      <c r="E655" s="29" t="s">
        <v>596</v>
      </c>
      <c r="F655" s="17"/>
      <c r="G655" s="18"/>
      <c r="H655" s="34"/>
      <c r="I655" s="34"/>
      <c r="J655" s="34"/>
      <c r="K655" s="34"/>
      <c r="L655" s="34"/>
      <c r="M655" s="18"/>
      <c r="N655" s="34"/>
      <c r="O655" s="110"/>
      <c r="P655" s="110"/>
      <c r="Q655" s="34"/>
      <c r="R655" s="34"/>
      <c r="S655" s="34"/>
      <c r="T655" s="34"/>
      <c r="U655" s="34"/>
      <c r="V655" s="34"/>
      <c r="W655" s="40"/>
      <c r="X655" s="18"/>
      <c r="Y655" s="18"/>
      <c r="Z655" s="18"/>
      <c r="AA655" s="18"/>
    </row>
    <row r="656" spans="1:27" x14ac:dyDescent="0.2">
      <c r="A656" s="4" t="s">
        <v>55</v>
      </c>
      <c r="B656" s="4" t="s">
        <v>56</v>
      </c>
      <c r="C656" s="19" t="s">
        <v>907</v>
      </c>
      <c r="D656" s="41" t="s">
        <v>597</v>
      </c>
      <c r="E656" s="42" t="s">
        <v>233</v>
      </c>
      <c r="F656" s="43" t="s">
        <v>58</v>
      </c>
      <c r="G656" s="43">
        <v>279700000</v>
      </c>
      <c r="H656" s="44">
        <v>0</v>
      </c>
      <c r="I656" s="44">
        <v>0</v>
      </c>
      <c r="J656" s="44">
        <v>0</v>
      </c>
      <c r="K656" s="44">
        <v>0</v>
      </c>
      <c r="L656" s="44">
        <v>0</v>
      </c>
      <c r="M656" s="43">
        <v>279700000</v>
      </c>
      <c r="N656" s="44">
        <v>0</v>
      </c>
      <c r="O656" s="114">
        <f>P656-[1]ENERO!O652</f>
        <v>193600000</v>
      </c>
      <c r="P656" s="114">
        <v>193600000</v>
      </c>
      <c r="Q656" s="44">
        <v>0</v>
      </c>
      <c r="R656" s="114">
        <v>149600000</v>
      </c>
      <c r="S656" s="114">
        <v>149600000</v>
      </c>
      <c r="T656" s="34">
        <v>0</v>
      </c>
      <c r="U656" s="34">
        <v>0</v>
      </c>
      <c r="V656" s="34">
        <v>0</v>
      </c>
      <c r="W656" s="40">
        <f t="shared" ref="W656" si="805">T656+V656</f>
        <v>0</v>
      </c>
      <c r="X656" s="18">
        <f t="shared" ref="X656" si="806">M656-P656</f>
        <v>86100000</v>
      </c>
      <c r="Y656" s="110">
        <f t="shared" ref="Y656" si="807">P656-S656</f>
        <v>44000000</v>
      </c>
      <c r="Z656" s="18">
        <f t="shared" ref="Z656" si="808">S656-W656</f>
        <v>149600000</v>
      </c>
      <c r="AA656" s="123">
        <f t="shared" ref="AA656" si="809">S656/M656</f>
        <v>0.53485877726135145</v>
      </c>
    </row>
    <row r="657" spans="1:27" ht="38.25" x14ac:dyDescent="0.2">
      <c r="C657" s="19" t="s">
        <v>907</v>
      </c>
      <c r="D657" s="28" t="s">
        <v>288</v>
      </c>
      <c r="E657" s="29" t="s">
        <v>598</v>
      </c>
      <c r="F657" s="17"/>
      <c r="G657" s="18"/>
      <c r="H657" s="34"/>
      <c r="I657" s="34"/>
      <c r="J657" s="34"/>
      <c r="K657" s="34"/>
      <c r="L657" s="34"/>
      <c r="M657" s="18"/>
      <c r="N657" s="18"/>
      <c r="O657" s="18"/>
      <c r="P657" s="18"/>
      <c r="Q657" s="18"/>
      <c r="R657" s="18"/>
      <c r="S657" s="18"/>
      <c r="T657" s="110"/>
      <c r="U657" s="110"/>
      <c r="V657" s="110"/>
      <c r="W657" s="109"/>
      <c r="X657" s="18"/>
      <c r="Y657" s="18"/>
      <c r="Z657" s="18"/>
      <c r="AA657" s="18"/>
    </row>
    <row r="658" spans="1:27" x14ac:dyDescent="0.2">
      <c r="A658" s="4" t="s">
        <v>55</v>
      </c>
      <c r="B658" s="4" t="s">
        <v>56</v>
      </c>
      <c r="C658" s="19" t="s">
        <v>907</v>
      </c>
      <c r="D658" s="41" t="s">
        <v>599</v>
      </c>
      <c r="E658" s="42" t="s">
        <v>233</v>
      </c>
      <c r="F658" s="43" t="s">
        <v>58</v>
      </c>
      <c r="G658" s="43">
        <v>418000000</v>
      </c>
      <c r="H658" s="44">
        <v>0</v>
      </c>
      <c r="I658" s="44">
        <v>0</v>
      </c>
      <c r="J658" s="44">
        <v>0</v>
      </c>
      <c r="K658" s="44">
        <v>0</v>
      </c>
      <c r="L658" s="44">
        <v>0</v>
      </c>
      <c r="M658" s="43">
        <v>418000000</v>
      </c>
      <c r="N658" s="43">
        <v>0</v>
      </c>
      <c r="O658" s="43">
        <v>32000000</v>
      </c>
      <c r="P658" s="43">
        <v>300000000</v>
      </c>
      <c r="Q658" s="43">
        <v>0</v>
      </c>
      <c r="R658" s="43">
        <v>48000000</v>
      </c>
      <c r="S658" s="43">
        <v>300000000</v>
      </c>
      <c r="T658" s="110">
        <v>466667</v>
      </c>
      <c r="U658" s="110">
        <v>3133336</v>
      </c>
      <c r="V658" s="110">
        <v>3133336</v>
      </c>
      <c r="W658" s="111">
        <f t="shared" si="757"/>
        <v>3600003</v>
      </c>
      <c r="X658" s="18">
        <f t="shared" ref="X658" si="810">M658-P658</f>
        <v>118000000</v>
      </c>
      <c r="Y658" s="133">
        <f t="shared" ref="Y658" si="811">P658-S658</f>
        <v>0</v>
      </c>
      <c r="Z658" s="18">
        <f t="shared" ref="Z658" si="812">S658-W658</f>
        <v>296399997</v>
      </c>
      <c r="AA658" s="123">
        <f t="shared" ref="AA658" si="813">S658/M658</f>
        <v>0.71770334928229662</v>
      </c>
    </row>
    <row r="659" spans="1:27" x14ac:dyDescent="0.2">
      <c r="C659" s="19" t="s">
        <v>907</v>
      </c>
      <c r="D659" s="28" t="s">
        <v>288</v>
      </c>
      <c r="E659" s="29" t="s">
        <v>600</v>
      </c>
      <c r="F659" s="17"/>
      <c r="G659" s="18"/>
      <c r="H659" s="34"/>
      <c r="I659" s="34"/>
      <c r="J659" s="34"/>
      <c r="K659" s="34"/>
      <c r="L659" s="34"/>
      <c r="M659" s="18"/>
      <c r="N659" s="18"/>
      <c r="O659" s="18"/>
      <c r="P659" s="18"/>
      <c r="Q659" s="18"/>
      <c r="R659" s="18"/>
      <c r="S659" s="18"/>
      <c r="T659" s="34"/>
      <c r="U659" s="34"/>
      <c r="V659" s="34"/>
      <c r="W659" s="40"/>
      <c r="X659" s="18"/>
      <c r="Y659" s="18"/>
      <c r="Z659" s="18"/>
      <c r="AA659" s="18"/>
    </row>
    <row r="660" spans="1:27" s="150" customFormat="1" x14ac:dyDescent="0.2">
      <c r="A660" s="140" t="s">
        <v>55</v>
      </c>
      <c r="B660" s="140" t="s">
        <v>56</v>
      </c>
      <c r="C660" s="141" t="s">
        <v>907</v>
      </c>
      <c r="D660" s="134" t="s">
        <v>601</v>
      </c>
      <c r="E660" s="69" t="s">
        <v>233</v>
      </c>
      <c r="F660" s="142" t="s">
        <v>58</v>
      </c>
      <c r="G660" s="142">
        <v>337300000</v>
      </c>
      <c r="H660" s="143">
        <v>0</v>
      </c>
      <c r="I660" s="143">
        <v>0</v>
      </c>
      <c r="J660" s="143">
        <v>0</v>
      </c>
      <c r="K660" s="142">
        <v>31295090</v>
      </c>
      <c r="L660" s="142">
        <f>H660-I660+J660-K660</f>
        <v>-31295090</v>
      </c>
      <c r="M660" s="142">
        <f>G660+L660</f>
        <v>306004910</v>
      </c>
      <c r="N660" s="143">
        <v>0</v>
      </c>
      <c r="O660" s="144">
        <v>306004910.20999998</v>
      </c>
      <c r="P660" s="144">
        <v>306004910</v>
      </c>
      <c r="Q660" s="143">
        <v>0</v>
      </c>
      <c r="R660" s="143">
        <v>0</v>
      </c>
      <c r="S660" s="143">
        <v>0</v>
      </c>
      <c r="T660" s="145">
        <v>0</v>
      </c>
      <c r="U660" s="145">
        <v>0</v>
      </c>
      <c r="V660" s="145">
        <v>0</v>
      </c>
      <c r="W660" s="146">
        <f t="shared" ref="W660" si="814">T660+V660</f>
        <v>0</v>
      </c>
      <c r="X660" s="147">
        <f t="shared" ref="X660" si="815">M660-P660</f>
        <v>0</v>
      </c>
      <c r="Y660" s="148">
        <f t="shared" ref="Y660" si="816">P660-S660</f>
        <v>306004910</v>
      </c>
      <c r="Z660" s="147">
        <f t="shared" ref="Z660" si="817">S660-W660</f>
        <v>0</v>
      </c>
      <c r="AA660" s="149">
        <f t="shared" ref="AA660" si="818">S660/M660</f>
        <v>0</v>
      </c>
    </row>
    <row r="661" spans="1:27" ht="25.5" x14ac:dyDescent="0.2">
      <c r="C661" s="19" t="s">
        <v>907</v>
      </c>
      <c r="D661" s="28" t="s">
        <v>288</v>
      </c>
      <c r="E661" s="29" t="s">
        <v>602</v>
      </c>
      <c r="F661" s="17"/>
      <c r="G661" s="18"/>
      <c r="H661" s="18"/>
      <c r="I661" s="18"/>
      <c r="J661" s="18"/>
      <c r="K661" s="18"/>
      <c r="L661" s="18"/>
      <c r="M661" s="18"/>
      <c r="N661" s="34"/>
      <c r="O661" s="34"/>
      <c r="P661" s="34"/>
      <c r="Q661" s="34"/>
      <c r="R661" s="34"/>
      <c r="S661" s="34"/>
      <c r="T661" s="34"/>
      <c r="U661" s="34"/>
      <c r="V661" s="34"/>
      <c r="W661" s="40"/>
      <c r="X661" s="18"/>
      <c r="Y661" s="18"/>
      <c r="Z661" s="18"/>
      <c r="AA661" s="18"/>
    </row>
    <row r="662" spans="1:27" x14ac:dyDescent="0.2">
      <c r="A662" s="4" t="s">
        <v>55</v>
      </c>
      <c r="B662" s="4" t="s">
        <v>56</v>
      </c>
      <c r="C662" s="19" t="s">
        <v>907</v>
      </c>
      <c r="D662" s="41" t="s">
        <v>603</v>
      </c>
      <c r="E662" s="42" t="s">
        <v>233</v>
      </c>
      <c r="F662" s="43" t="s">
        <v>58</v>
      </c>
      <c r="G662" s="44">
        <v>0</v>
      </c>
      <c r="H662" s="44">
        <v>0</v>
      </c>
      <c r="I662" s="44">
        <v>0</v>
      </c>
      <c r="J662" s="43">
        <v>4400000</v>
      </c>
      <c r="K662" s="44">
        <v>0</v>
      </c>
      <c r="L662" s="43">
        <f>H662-I662+J662-K662</f>
        <v>4400000</v>
      </c>
      <c r="M662" s="43">
        <f>G662+L662</f>
        <v>4400000</v>
      </c>
      <c r="N662" s="44">
        <v>0</v>
      </c>
      <c r="O662" s="44">
        <v>0</v>
      </c>
      <c r="P662" s="44">
        <v>0</v>
      </c>
      <c r="Q662" s="44">
        <v>0</v>
      </c>
      <c r="R662" s="44">
        <v>0</v>
      </c>
      <c r="S662" s="44">
        <v>0</v>
      </c>
      <c r="T662" s="34">
        <v>0</v>
      </c>
      <c r="U662" s="34">
        <v>0</v>
      </c>
      <c r="V662" s="34">
        <v>0</v>
      </c>
      <c r="W662" s="40">
        <f t="shared" ref="W662" si="819">T662+V662</f>
        <v>0</v>
      </c>
      <c r="X662" s="18">
        <f t="shared" ref="X662" si="820">M662-P662</f>
        <v>4400000</v>
      </c>
      <c r="Y662" s="133">
        <f t="shared" ref="Y662" si="821">P662-S662</f>
        <v>0</v>
      </c>
      <c r="Z662" s="34">
        <f t="shared" ref="Z662" si="822">S662-W662</f>
        <v>0</v>
      </c>
      <c r="AA662" s="123">
        <f t="shared" ref="AA662" si="823">S662/M662</f>
        <v>0</v>
      </c>
    </row>
    <row r="663" spans="1:27" ht="25.5" x14ac:dyDescent="0.2">
      <c r="C663" s="19" t="s">
        <v>907</v>
      </c>
      <c r="D663" s="28" t="s">
        <v>288</v>
      </c>
      <c r="E663" s="29" t="s">
        <v>197</v>
      </c>
      <c r="F663" s="17"/>
      <c r="G663" s="34"/>
      <c r="H663" s="34"/>
      <c r="I663" s="34"/>
      <c r="J663" s="18"/>
      <c r="K663" s="34"/>
      <c r="L663" s="18"/>
      <c r="M663" s="18"/>
      <c r="N663" s="34"/>
      <c r="O663" s="34"/>
      <c r="P663" s="34"/>
      <c r="Q663" s="34"/>
      <c r="R663" s="34"/>
      <c r="S663" s="34"/>
      <c r="T663" s="34"/>
      <c r="U663" s="34"/>
      <c r="V663" s="34"/>
      <c r="W663" s="40"/>
      <c r="X663" s="18"/>
      <c r="Y663" s="34"/>
      <c r="Z663" s="34"/>
      <c r="AA663" s="18"/>
    </row>
    <row r="664" spans="1:27" ht="25.5" x14ac:dyDescent="0.2">
      <c r="A664" s="4" t="s">
        <v>55</v>
      </c>
      <c r="B664" s="4" t="s">
        <v>56</v>
      </c>
      <c r="C664" s="19" t="s">
        <v>907</v>
      </c>
      <c r="D664" s="41" t="s">
        <v>604</v>
      </c>
      <c r="E664" s="42" t="s">
        <v>605</v>
      </c>
      <c r="F664" s="43" t="s">
        <v>58</v>
      </c>
      <c r="G664" s="44">
        <v>0</v>
      </c>
      <c r="H664" s="44">
        <v>0</v>
      </c>
      <c r="I664" s="44">
        <v>0</v>
      </c>
      <c r="J664" s="43">
        <v>88500000</v>
      </c>
      <c r="K664" s="44">
        <v>0</v>
      </c>
      <c r="L664" s="43">
        <f>H664-I664+J664-K664</f>
        <v>88500000</v>
      </c>
      <c r="M664" s="43">
        <f>G664+L664</f>
        <v>88500000</v>
      </c>
      <c r="N664" s="44">
        <v>0</v>
      </c>
      <c r="O664" s="44">
        <v>0</v>
      </c>
      <c r="P664" s="44">
        <v>0</v>
      </c>
      <c r="Q664" s="44">
        <v>0</v>
      </c>
      <c r="R664" s="44">
        <v>0</v>
      </c>
      <c r="S664" s="44">
        <v>0</v>
      </c>
      <c r="T664" s="34">
        <v>0</v>
      </c>
      <c r="U664" s="34">
        <v>0</v>
      </c>
      <c r="V664" s="34">
        <v>0</v>
      </c>
      <c r="W664" s="40">
        <f t="shared" ref="W664" si="824">T664+V664</f>
        <v>0</v>
      </c>
      <c r="X664" s="18">
        <f t="shared" ref="X664" si="825">M664-P664</f>
        <v>88500000</v>
      </c>
      <c r="Y664" s="133">
        <f t="shared" ref="Y664" si="826">P664-S664</f>
        <v>0</v>
      </c>
      <c r="Z664" s="34">
        <f t="shared" ref="Z664" si="827">S664-W664</f>
        <v>0</v>
      </c>
      <c r="AA664" s="123">
        <f t="shared" ref="AA664" si="828">S664/M664</f>
        <v>0</v>
      </c>
    </row>
    <row r="665" spans="1:27" ht="38.25" x14ac:dyDescent="0.2">
      <c r="C665" s="19" t="s">
        <v>907</v>
      </c>
      <c r="D665" s="28" t="s">
        <v>288</v>
      </c>
      <c r="E665" s="29" t="s">
        <v>606</v>
      </c>
      <c r="F665" s="17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30"/>
      <c r="X665" s="18"/>
      <c r="Y665" s="34"/>
      <c r="Z665" s="18"/>
      <c r="AA665" s="18"/>
    </row>
    <row r="666" spans="1:27" x14ac:dyDescent="0.2">
      <c r="A666" s="4" t="s">
        <v>55</v>
      </c>
      <c r="B666" s="4" t="s">
        <v>56</v>
      </c>
      <c r="C666" s="19" t="s">
        <v>907</v>
      </c>
      <c r="D666" s="41" t="s">
        <v>607</v>
      </c>
      <c r="E666" s="42" t="s">
        <v>233</v>
      </c>
      <c r="F666" s="43" t="s">
        <v>58</v>
      </c>
      <c r="G666" s="43">
        <v>859800000</v>
      </c>
      <c r="H666" s="44">
        <v>0</v>
      </c>
      <c r="I666" s="44">
        <v>0</v>
      </c>
      <c r="J666" s="44">
        <v>0</v>
      </c>
      <c r="K666" s="43">
        <v>900000</v>
      </c>
      <c r="L666" s="43">
        <f>H666-I666+J666-K666</f>
        <v>-900000</v>
      </c>
      <c r="M666" s="43">
        <f>G666+L666</f>
        <v>858900000</v>
      </c>
      <c r="N666" s="44">
        <v>0</v>
      </c>
      <c r="O666" s="43">
        <f>P666-[1]ENERO!O662</f>
        <v>34600000</v>
      </c>
      <c r="P666" s="43">
        <v>520200000</v>
      </c>
      <c r="Q666" s="43">
        <v>0</v>
      </c>
      <c r="R666" s="43">
        <v>50600000</v>
      </c>
      <c r="S666" s="43">
        <v>520200000</v>
      </c>
      <c r="T666" s="34">
        <v>0</v>
      </c>
      <c r="U666" s="110">
        <v>16216667</v>
      </c>
      <c r="V666" s="110">
        <v>16216667</v>
      </c>
      <c r="W666" s="111">
        <f t="shared" si="757"/>
        <v>16216667</v>
      </c>
      <c r="X666" s="18">
        <f t="shared" ref="X666" si="829">M666-P666</f>
        <v>338700000</v>
      </c>
      <c r="Y666" s="133">
        <f t="shared" ref="Y666" si="830">P666-S666</f>
        <v>0</v>
      </c>
      <c r="Z666" s="18">
        <f t="shared" ref="Z666" si="831">S666-W666</f>
        <v>503983333</v>
      </c>
      <c r="AA666" s="123">
        <f t="shared" ref="AA666" si="832">S666/M666</f>
        <v>0.60565840027942719</v>
      </c>
    </row>
    <row r="667" spans="1:27" ht="25.5" x14ac:dyDescent="0.2">
      <c r="C667" s="19" t="s">
        <v>907</v>
      </c>
      <c r="D667" s="28" t="s">
        <v>288</v>
      </c>
      <c r="E667" s="29" t="s">
        <v>608</v>
      </c>
      <c r="F667" s="17"/>
      <c r="G667" s="18"/>
      <c r="H667" s="34"/>
      <c r="I667" s="34"/>
      <c r="J667" s="34"/>
      <c r="K667" s="18"/>
      <c r="L667" s="18"/>
      <c r="M667" s="18"/>
      <c r="N667" s="34"/>
      <c r="O667" s="18"/>
      <c r="P667" s="18"/>
      <c r="Q667" s="18"/>
      <c r="R667" s="18"/>
      <c r="S667" s="18"/>
      <c r="T667" s="34"/>
      <c r="U667" s="34"/>
      <c r="V667" s="34"/>
      <c r="W667" s="40">
        <f t="shared" si="757"/>
        <v>0</v>
      </c>
      <c r="X667" s="18"/>
      <c r="Y667" s="34"/>
      <c r="Z667" s="18"/>
      <c r="AA667" s="18"/>
    </row>
    <row r="668" spans="1:27" x14ac:dyDescent="0.2">
      <c r="A668" s="4" t="s">
        <v>55</v>
      </c>
      <c r="B668" s="4" t="s">
        <v>56</v>
      </c>
      <c r="C668" s="19" t="s">
        <v>907</v>
      </c>
      <c r="D668" s="41" t="s">
        <v>609</v>
      </c>
      <c r="E668" s="42" t="s">
        <v>233</v>
      </c>
      <c r="F668" s="43" t="s">
        <v>58</v>
      </c>
      <c r="G668" s="43">
        <v>20000000</v>
      </c>
      <c r="H668" s="44">
        <v>0</v>
      </c>
      <c r="I668" s="44">
        <v>0</v>
      </c>
      <c r="J668" s="44">
        <v>0</v>
      </c>
      <c r="K668" s="44">
        <v>0</v>
      </c>
      <c r="L668" s="44">
        <v>0</v>
      </c>
      <c r="M668" s="43">
        <v>20000000</v>
      </c>
      <c r="N668" s="44">
        <v>0</v>
      </c>
      <c r="O668" s="44">
        <v>0</v>
      </c>
      <c r="P668" s="44">
        <v>0</v>
      </c>
      <c r="Q668" s="43">
        <v>0</v>
      </c>
      <c r="R668" s="43">
        <v>0</v>
      </c>
      <c r="S668" s="44">
        <v>0</v>
      </c>
      <c r="T668" s="34">
        <v>0</v>
      </c>
      <c r="U668" s="34">
        <v>0</v>
      </c>
      <c r="V668" s="34">
        <v>0</v>
      </c>
      <c r="W668" s="40">
        <f t="shared" si="757"/>
        <v>0</v>
      </c>
      <c r="X668" s="18">
        <f t="shared" ref="X668" si="833">M668-P668</f>
        <v>20000000</v>
      </c>
      <c r="Y668" s="133">
        <f t="shared" ref="Y668" si="834">P668-S668</f>
        <v>0</v>
      </c>
      <c r="Z668" s="34">
        <f t="shared" ref="Z668" si="835">S668-W668</f>
        <v>0</v>
      </c>
      <c r="AA668" s="123">
        <f t="shared" ref="AA668" si="836">S668/M668</f>
        <v>0</v>
      </c>
    </row>
    <row r="669" spans="1:27" x14ac:dyDescent="0.2">
      <c r="C669" s="19" t="s">
        <v>907</v>
      </c>
      <c r="D669" s="28" t="s">
        <v>288</v>
      </c>
      <c r="E669" s="29" t="s">
        <v>400</v>
      </c>
      <c r="F669" s="17"/>
      <c r="G669" s="18"/>
      <c r="H669" s="34"/>
      <c r="I669" s="34"/>
      <c r="J669" s="34"/>
      <c r="K669" s="34"/>
      <c r="L669" s="34"/>
      <c r="M669" s="18"/>
      <c r="N669" s="34"/>
      <c r="O669" s="18"/>
      <c r="P669" s="18"/>
      <c r="Q669" s="18"/>
      <c r="R669" s="18"/>
      <c r="S669" s="18"/>
      <c r="T669" s="34"/>
      <c r="U669" s="34"/>
      <c r="V669" s="34"/>
      <c r="W669" s="40"/>
      <c r="X669" s="18"/>
      <c r="Y669" s="18"/>
      <c r="Z669" s="18"/>
      <c r="AA669" s="18"/>
    </row>
    <row r="670" spans="1:27" x14ac:dyDescent="0.2">
      <c r="A670" s="4" t="s">
        <v>55</v>
      </c>
      <c r="B670" s="4" t="s">
        <v>56</v>
      </c>
      <c r="C670" s="19" t="s">
        <v>907</v>
      </c>
      <c r="D670" s="41" t="s">
        <v>610</v>
      </c>
      <c r="E670" s="42" t="s">
        <v>233</v>
      </c>
      <c r="F670" s="43" t="s">
        <v>58</v>
      </c>
      <c r="G670" s="43">
        <v>379500000</v>
      </c>
      <c r="H670" s="44">
        <v>0</v>
      </c>
      <c r="I670" s="44">
        <v>0</v>
      </c>
      <c r="J670" s="44">
        <v>0</v>
      </c>
      <c r="K670" s="44">
        <v>0</v>
      </c>
      <c r="L670" s="44">
        <v>0</v>
      </c>
      <c r="M670" s="43">
        <v>379500000</v>
      </c>
      <c r="N670" s="44">
        <v>0</v>
      </c>
      <c r="O670" s="43">
        <f>P670-[1]ENERO!O666</f>
        <v>28000000</v>
      </c>
      <c r="P670" s="43">
        <v>244000000</v>
      </c>
      <c r="Q670" s="43">
        <v>0</v>
      </c>
      <c r="R670" s="43">
        <v>28000000</v>
      </c>
      <c r="S670" s="43">
        <v>216000000</v>
      </c>
      <c r="T670" s="34">
        <v>0</v>
      </c>
      <c r="U670" s="110">
        <v>8916667</v>
      </c>
      <c r="V670" s="110">
        <v>8916667</v>
      </c>
      <c r="W670" s="111">
        <f t="shared" ref="W670" si="837">T670+V670</f>
        <v>8916667</v>
      </c>
      <c r="X670" s="18">
        <f t="shared" ref="X670" si="838">M670-P670</f>
        <v>135500000</v>
      </c>
      <c r="Y670" s="110">
        <f t="shared" ref="Y670" si="839">P670-S670</f>
        <v>28000000</v>
      </c>
      <c r="Z670" s="18">
        <f t="shared" ref="Z670" si="840">S670-W670</f>
        <v>207083333</v>
      </c>
      <c r="AA670" s="123">
        <f t="shared" ref="AA670" si="841">S670/M670</f>
        <v>0.56916996047430835</v>
      </c>
    </row>
    <row r="671" spans="1:27" x14ac:dyDescent="0.2">
      <c r="C671" s="19" t="s">
        <v>907</v>
      </c>
      <c r="D671" s="16"/>
      <c r="E671" s="17"/>
      <c r="F671" s="17"/>
      <c r="G671" s="18"/>
      <c r="H671" s="34"/>
      <c r="I671" s="34"/>
      <c r="J671" s="34"/>
      <c r="K671" s="18"/>
      <c r="L671" s="18"/>
      <c r="M671" s="18"/>
      <c r="N671" s="34"/>
      <c r="O671" s="18"/>
      <c r="P671" s="18"/>
      <c r="Q671" s="18"/>
      <c r="R671" s="18"/>
      <c r="S671" s="18"/>
      <c r="T671" s="34"/>
      <c r="U671" s="34"/>
      <c r="V671" s="34"/>
      <c r="W671" s="40"/>
      <c r="X671" s="18"/>
      <c r="Y671" s="18"/>
      <c r="Z671" s="18"/>
      <c r="AA671" s="18"/>
    </row>
    <row r="672" spans="1:27" x14ac:dyDescent="0.2">
      <c r="C672" s="19" t="s">
        <v>907</v>
      </c>
      <c r="D672" s="16"/>
      <c r="E672" s="29" t="s">
        <v>199</v>
      </c>
      <c r="F672" s="17"/>
      <c r="G672" s="18"/>
      <c r="H672" s="34"/>
      <c r="I672" s="34"/>
      <c r="J672" s="34"/>
      <c r="K672" s="18"/>
      <c r="L672" s="18"/>
      <c r="M672" s="18"/>
      <c r="N672" s="34"/>
      <c r="O672" s="18"/>
      <c r="P672" s="18"/>
      <c r="Q672" s="18"/>
      <c r="R672" s="18"/>
      <c r="S672" s="18"/>
      <c r="T672" s="34"/>
      <c r="U672" s="34"/>
      <c r="V672" s="34"/>
      <c r="W672" s="40"/>
      <c r="X672" s="18"/>
      <c r="Y672" s="18"/>
      <c r="Z672" s="18"/>
      <c r="AA672" s="18"/>
    </row>
    <row r="673" spans="1:27" ht="38.25" x14ac:dyDescent="0.2">
      <c r="C673" s="19" t="s">
        <v>907</v>
      </c>
      <c r="D673" s="28" t="s">
        <v>288</v>
      </c>
      <c r="E673" s="29" t="s">
        <v>611</v>
      </c>
      <c r="F673" s="17"/>
      <c r="G673" s="18"/>
      <c r="H673" s="34"/>
      <c r="I673" s="34"/>
      <c r="J673" s="34"/>
      <c r="K673" s="18"/>
      <c r="L673" s="18"/>
      <c r="M673" s="18"/>
      <c r="N673" s="34"/>
      <c r="O673" s="18"/>
      <c r="P673" s="18"/>
      <c r="Q673" s="18"/>
      <c r="R673" s="18"/>
      <c r="S673" s="18"/>
      <c r="T673" s="34"/>
      <c r="U673" s="34"/>
      <c r="V673" s="34"/>
      <c r="W673" s="40"/>
      <c r="X673" s="18"/>
      <c r="Y673" s="18"/>
      <c r="Z673" s="18"/>
      <c r="AA673" s="18"/>
    </row>
    <row r="674" spans="1:27" x14ac:dyDescent="0.2">
      <c r="A674" s="4" t="s">
        <v>55</v>
      </c>
      <c r="B674" s="4" t="s">
        <v>56</v>
      </c>
      <c r="C674" s="19" t="s">
        <v>907</v>
      </c>
      <c r="D674" s="41" t="s">
        <v>612</v>
      </c>
      <c r="E674" s="42" t="s">
        <v>233</v>
      </c>
      <c r="F674" s="43" t="s">
        <v>58</v>
      </c>
      <c r="G674" s="43">
        <v>725000000</v>
      </c>
      <c r="H674" s="44">
        <v>0</v>
      </c>
      <c r="I674" s="44">
        <v>0</v>
      </c>
      <c r="J674" s="44">
        <v>0</v>
      </c>
      <c r="K674" s="43">
        <v>17000000</v>
      </c>
      <c r="L674" s="43">
        <f>H674-I674+J674-K674</f>
        <v>-17000000</v>
      </c>
      <c r="M674" s="43">
        <f>G674+L674</f>
        <v>708000000</v>
      </c>
      <c r="N674" s="44">
        <v>0</v>
      </c>
      <c r="O674" s="43">
        <f>P674-[1]ENERO!O670</f>
        <v>290000000</v>
      </c>
      <c r="P674" s="43">
        <v>360000000</v>
      </c>
      <c r="Q674" s="43">
        <v>0</v>
      </c>
      <c r="R674" s="43">
        <v>15991907</v>
      </c>
      <c r="S674" s="114">
        <v>15991907</v>
      </c>
      <c r="T674" s="110">
        <v>1736947</v>
      </c>
      <c r="U674" s="110">
        <v>13775803</v>
      </c>
      <c r="V674" s="110">
        <v>13775803</v>
      </c>
      <c r="W674" s="111">
        <f t="shared" ref="W674" si="842">T674+V674</f>
        <v>15512750</v>
      </c>
      <c r="X674" s="110">
        <f t="shared" ref="X674" si="843">M674-P674</f>
        <v>348000000</v>
      </c>
      <c r="Y674" s="110">
        <f t="shared" ref="Y674" si="844">P674-S674</f>
        <v>344008093</v>
      </c>
      <c r="Z674" s="18">
        <f t="shared" ref="Z674" si="845">S674-W674</f>
        <v>479157</v>
      </c>
      <c r="AA674" s="123">
        <f t="shared" ref="AA674" si="846">S674/M674</f>
        <v>2.2587439265536722E-2</v>
      </c>
    </row>
    <row r="675" spans="1:27" x14ac:dyDescent="0.2">
      <c r="C675" s="19" t="s">
        <v>907</v>
      </c>
      <c r="D675" s="16"/>
      <c r="E675" s="17"/>
      <c r="F675" s="17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34"/>
      <c r="U675" s="34"/>
      <c r="V675" s="34"/>
      <c r="W675" s="40"/>
      <c r="X675" s="18"/>
      <c r="Y675" s="18"/>
      <c r="Z675" s="18"/>
      <c r="AA675" s="18"/>
    </row>
    <row r="676" spans="1:27" ht="38.25" x14ac:dyDescent="0.2">
      <c r="C676" s="19" t="s">
        <v>907</v>
      </c>
      <c r="D676" s="16"/>
      <c r="E676" s="29" t="s">
        <v>613</v>
      </c>
      <c r="F676" s="17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30"/>
      <c r="X676" s="18"/>
      <c r="Y676" s="18"/>
      <c r="Z676" s="18"/>
      <c r="AA676" s="18"/>
    </row>
    <row r="677" spans="1:27" x14ac:dyDescent="0.2">
      <c r="C677" s="19" t="s">
        <v>907</v>
      </c>
      <c r="D677" s="16"/>
      <c r="E677" s="29" t="s">
        <v>614</v>
      </c>
      <c r="F677" s="17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30"/>
      <c r="X677" s="18"/>
      <c r="Y677" s="18"/>
      <c r="Z677" s="18"/>
      <c r="AA677" s="18"/>
    </row>
    <row r="678" spans="1:27" x14ac:dyDescent="0.2">
      <c r="C678" s="19" t="s">
        <v>907</v>
      </c>
      <c r="D678" s="16"/>
      <c r="E678" s="29" t="s">
        <v>286</v>
      </c>
      <c r="F678" s="17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30"/>
      <c r="X678" s="18"/>
      <c r="Y678" s="18"/>
      <c r="Z678" s="18"/>
      <c r="AA678" s="18"/>
    </row>
    <row r="679" spans="1:27" x14ac:dyDescent="0.2">
      <c r="C679" s="19" t="s">
        <v>907</v>
      </c>
      <c r="D679" s="16"/>
      <c r="E679" s="29" t="s">
        <v>574</v>
      </c>
      <c r="F679" s="17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30"/>
      <c r="X679" s="18"/>
      <c r="Y679" s="18"/>
      <c r="Z679" s="18"/>
      <c r="AA679" s="18"/>
    </row>
    <row r="680" spans="1:27" x14ac:dyDescent="0.2">
      <c r="C680" s="19" t="s">
        <v>907</v>
      </c>
      <c r="D680" s="16"/>
      <c r="E680" s="29" t="s">
        <v>575</v>
      </c>
      <c r="F680" s="17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30"/>
      <c r="X680" s="18"/>
      <c r="Y680" s="18"/>
      <c r="Z680" s="18"/>
      <c r="AA680" s="18"/>
    </row>
    <row r="681" spans="1:27" x14ac:dyDescent="0.2">
      <c r="C681" s="19" t="s">
        <v>907</v>
      </c>
      <c r="D681" s="16"/>
      <c r="E681" s="29" t="s">
        <v>576</v>
      </c>
      <c r="F681" s="17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30"/>
      <c r="X681" s="18"/>
      <c r="Y681" s="18"/>
      <c r="Z681" s="18"/>
      <c r="AA681" s="18"/>
    </row>
    <row r="682" spans="1:27" x14ac:dyDescent="0.2">
      <c r="C682" s="19" t="s">
        <v>907</v>
      </c>
      <c r="D682" s="16"/>
      <c r="E682" s="29" t="s">
        <v>615</v>
      </c>
      <c r="F682" s="17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30"/>
      <c r="X682" s="18"/>
      <c r="Y682" s="18"/>
      <c r="Z682" s="18"/>
      <c r="AA682" s="18"/>
    </row>
    <row r="683" spans="1:27" ht="25.5" x14ac:dyDescent="0.2">
      <c r="C683" s="19" t="s">
        <v>907</v>
      </c>
      <c r="D683" s="16"/>
      <c r="E683" s="29" t="s">
        <v>579</v>
      </c>
      <c r="F683" s="17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30"/>
      <c r="X683" s="18"/>
      <c r="Y683" s="18"/>
      <c r="Z683" s="18"/>
      <c r="AA683" s="18"/>
    </row>
    <row r="684" spans="1:27" ht="25.5" x14ac:dyDescent="0.2">
      <c r="C684" s="19" t="s">
        <v>907</v>
      </c>
      <c r="D684" s="28" t="s">
        <v>288</v>
      </c>
      <c r="E684" s="29" t="s">
        <v>616</v>
      </c>
      <c r="F684" s="17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30"/>
      <c r="X684" s="18"/>
      <c r="Y684" s="18"/>
      <c r="Z684" s="18"/>
      <c r="AA684" s="18"/>
    </row>
    <row r="685" spans="1:27" x14ac:dyDescent="0.2">
      <c r="A685" s="4" t="s">
        <v>55</v>
      </c>
      <c r="B685" s="4" t="s">
        <v>56</v>
      </c>
      <c r="C685" s="19" t="s">
        <v>907</v>
      </c>
      <c r="D685" s="41" t="s">
        <v>617</v>
      </c>
      <c r="E685" s="42" t="s">
        <v>618</v>
      </c>
      <c r="F685" s="43" t="s">
        <v>619</v>
      </c>
      <c r="G685" s="43">
        <v>100000000</v>
      </c>
      <c r="H685" s="44">
        <v>0</v>
      </c>
      <c r="I685" s="44">
        <v>0</v>
      </c>
      <c r="J685" s="43">
        <f>770000000+704534301</f>
        <v>1474534301</v>
      </c>
      <c r="K685" s="137">
        <v>0</v>
      </c>
      <c r="L685" s="43">
        <f>H685-I685+J685-K685</f>
        <v>1474534301</v>
      </c>
      <c r="M685" s="43">
        <f>G685+L685</f>
        <v>1574534301</v>
      </c>
      <c r="N685" s="44">
        <v>0</v>
      </c>
      <c r="O685" s="114">
        <f>P685-[1]ENERO!O681</f>
        <v>24323419</v>
      </c>
      <c r="P685" s="114">
        <v>24323419</v>
      </c>
      <c r="Q685" s="44">
        <v>0</v>
      </c>
      <c r="R685" s="44">
        <v>0</v>
      </c>
      <c r="S685" s="44">
        <v>0</v>
      </c>
      <c r="T685" s="44">
        <v>0</v>
      </c>
      <c r="U685" s="44">
        <v>0</v>
      </c>
      <c r="V685" s="44">
        <v>0</v>
      </c>
      <c r="W685" s="40">
        <f t="shared" ref="W685" si="847">T685+V685</f>
        <v>0</v>
      </c>
      <c r="X685" s="18">
        <f t="shared" ref="X685" si="848">M685-P685</f>
        <v>1550210882</v>
      </c>
      <c r="Y685" s="110">
        <f t="shared" ref="Y685" si="849">P685-S685</f>
        <v>24323419</v>
      </c>
      <c r="Z685" s="34">
        <f t="shared" ref="Z685" si="850">S685-W685</f>
        <v>0</v>
      </c>
      <c r="AA685" s="123">
        <f t="shared" ref="AA685" si="851">S685/M685</f>
        <v>0</v>
      </c>
    </row>
    <row r="686" spans="1:27" x14ac:dyDescent="0.2">
      <c r="C686" s="19" t="s">
        <v>907</v>
      </c>
      <c r="D686" s="16"/>
      <c r="E686" s="17"/>
      <c r="F686" s="17"/>
      <c r="G686" s="18"/>
      <c r="H686" s="34"/>
      <c r="I686" s="34"/>
      <c r="J686" s="34"/>
      <c r="K686" s="34"/>
      <c r="L686" s="34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30"/>
      <c r="X686" s="18"/>
      <c r="Y686" s="18"/>
      <c r="Z686" s="18"/>
      <c r="AA686" s="18"/>
    </row>
    <row r="687" spans="1:27" x14ac:dyDescent="0.2">
      <c r="C687" s="19" t="s">
        <v>907</v>
      </c>
      <c r="D687" s="16"/>
      <c r="E687" s="29" t="s">
        <v>620</v>
      </c>
      <c r="F687" s="17"/>
      <c r="G687" s="18"/>
      <c r="H687" s="34"/>
      <c r="I687" s="34"/>
      <c r="J687" s="34"/>
      <c r="K687" s="34"/>
      <c r="L687" s="34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30"/>
      <c r="X687" s="18"/>
      <c r="Y687" s="18"/>
      <c r="Z687" s="18"/>
      <c r="AA687" s="18"/>
    </row>
    <row r="688" spans="1:27" ht="25.5" x14ac:dyDescent="0.2">
      <c r="C688" s="19" t="s">
        <v>907</v>
      </c>
      <c r="D688" s="16"/>
      <c r="E688" s="29" t="s">
        <v>621</v>
      </c>
      <c r="F688" s="17"/>
      <c r="G688" s="18"/>
      <c r="H688" s="34"/>
      <c r="I688" s="34"/>
      <c r="J688" s="34"/>
      <c r="K688" s="34"/>
      <c r="L688" s="34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30"/>
      <c r="X688" s="18"/>
      <c r="Y688" s="18"/>
      <c r="Z688" s="18"/>
      <c r="AA688" s="18"/>
    </row>
    <row r="689" spans="1:27" ht="25.5" x14ac:dyDescent="0.2">
      <c r="C689" s="19" t="s">
        <v>907</v>
      </c>
      <c r="D689" s="28" t="s">
        <v>288</v>
      </c>
      <c r="E689" s="29" t="s">
        <v>616</v>
      </c>
      <c r="F689" s="17"/>
      <c r="G689" s="18"/>
      <c r="H689" s="34"/>
      <c r="I689" s="34"/>
      <c r="J689" s="34"/>
      <c r="K689" s="34"/>
      <c r="L689" s="34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30"/>
      <c r="X689" s="18"/>
      <c r="Y689" s="18"/>
      <c r="Z689" s="18"/>
      <c r="AA689" s="18"/>
    </row>
    <row r="690" spans="1:27" x14ac:dyDescent="0.2">
      <c r="A690" s="4" t="s">
        <v>55</v>
      </c>
      <c r="B690" s="4" t="s">
        <v>56</v>
      </c>
      <c r="C690" s="19" t="s">
        <v>907</v>
      </c>
      <c r="D690" s="41" t="s">
        <v>622</v>
      </c>
      <c r="E690" s="42" t="s">
        <v>618</v>
      </c>
      <c r="F690" s="43" t="s">
        <v>619</v>
      </c>
      <c r="G690" s="43">
        <v>162000000</v>
      </c>
      <c r="H690" s="44">
        <v>0</v>
      </c>
      <c r="I690" s="44">
        <v>0</v>
      </c>
      <c r="J690" s="43">
        <f>24729623+163270377</f>
        <v>188000000</v>
      </c>
      <c r="K690" s="44">
        <v>0</v>
      </c>
      <c r="L690" s="43">
        <f>H690-I690+J690-K690</f>
        <v>188000000</v>
      </c>
      <c r="M690" s="43">
        <f>G690+L690</f>
        <v>350000000</v>
      </c>
      <c r="N690" s="44">
        <v>0</v>
      </c>
      <c r="O690" s="44">
        <v>0</v>
      </c>
      <c r="P690" s="44">
        <v>0</v>
      </c>
      <c r="Q690" s="44">
        <v>0</v>
      </c>
      <c r="R690" s="44">
        <v>0</v>
      </c>
      <c r="S690" s="44">
        <v>0</v>
      </c>
      <c r="T690" s="44">
        <v>0</v>
      </c>
      <c r="U690" s="44">
        <v>0</v>
      </c>
      <c r="V690" s="44">
        <v>0</v>
      </c>
      <c r="W690" s="40">
        <f t="shared" ref="W690" si="852">T690+V690</f>
        <v>0</v>
      </c>
      <c r="X690" s="18">
        <f t="shared" ref="X690" si="853">M690-P690</f>
        <v>350000000</v>
      </c>
      <c r="Y690" s="133">
        <f t="shared" ref="Y690" si="854">P690-S690</f>
        <v>0</v>
      </c>
      <c r="Z690" s="34">
        <f t="shared" ref="Z690" si="855">S690-W690</f>
        <v>0</v>
      </c>
      <c r="AA690" s="123">
        <f t="shared" ref="AA690" si="856">S690/M690</f>
        <v>0</v>
      </c>
    </row>
    <row r="691" spans="1:27" x14ac:dyDescent="0.2">
      <c r="C691" s="19" t="s">
        <v>907</v>
      </c>
      <c r="D691" s="16"/>
      <c r="E691" s="17"/>
      <c r="F691" s="17"/>
      <c r="G691" s="18"/>
      <c r="H691" s="34"/>
      <c r="I691" s="34"/>
      <c r="J691" s="34"/>
      <c r="K691" s="34"/>
      <c r="L691" s="34"/>
      <c r="M691" s="18"/>
      <c r="N691" s="34"/>
      <c r="O691" s="34"/>
      <c r="P691" s="34"/>
      <c r="Q691" s="34"/>
      <c r="R691" s="34"/>
      <c r="S691" s="34"/>
      <c r="T691" s="34"/>
      <c r="U691" s="34"/>
      <c r="V691" s="34"/>
      <c r="W691" s="31"/>
      <c r="X691" s="18"/>
      <c r="Y691" s="18"/>
      <c r="Z691" s="18"/>
      <c r="AA691" s="18"/>
    </row>
    <row r="692" spans="1:27" x14ac:dyDescent="0.2">
      <c r="C692" s="19" t="s">
        <v>907</v>
      </c>
      <c r="D692" s="16"/>
      <c r="E692" s="29" t="s">
        <v>623</v>
      </c>
      <c r="F692" s="17"/>
      <c r="G692" s="18"/>
      <c r="H692" s="34"/>
      <c r="I692" s="34"/>
      <c r="J692" s="34"/>
      <c r="K692" s="34"/>
      <c r="L692" s="34"/>
      <c r="M692" s="18"/>
      <c r="N692" s="34"/>
      <c r="O692" s="34"/>
      <c r="P692" s="34"/>
      <c r="Q692" s="34"/>
      <c r="R692" s="34"/>
      <c r="S692" s="34"/>
      <c r="T692" s="34"/>
      <c r="U692" s="34"/>
      <c r="V692" s="34"/>
      <c r="W692" s="31"/>
      <c r="X692" s="18"/>
      <c r="Y692" s="18"/>
      <c r="Z692" s="18"/>
      <c r="AA692" s="18"/>
    </row>
    <row r="693" spans="1:27" ht="25.5" x14ac:dyDescent="0.2">
      <c r="C693" s="19" t="s">
        <v>907</v>
      </c>
      <c r="D693" s="16"/>
      <c r="E693" s="29" t="s">
        <v>624</v>
      </c>
      <c r="F693" s="17"/>
      <c r="G693" s="18"/>
      <c r="H693" s="34"/>
      <c r="I693" s="34"/>
      <c r="J693" s="34"/>
      <c r="K693" s="34"/>
      <c r="L693" s="34"/>
      <c r="M693" s="18"/>
      <c r="N693" s="34"/>
      <c r="O693" s="34"/>
      <c r="P693" s="34"/>
      <c r="Q693" s="34"/>
      <c r="R693" s="34"/>
      <c r="S693" s="34"/>
      <c r="T693" s="34"/>
      <c r="U693" s="34"/>
      <c r="V693" s="34"/>
      <c r="W693" s="31"/>
      <c r="X693" s="18"/>
      <c r="Y693" s="18"/>
      <c r="Z693" s="18"/>
      <c r="AA693" s="18"/>
    </row>
    <row r="694" spans="1:27" ht="25.5" x14ac:dyDescent="0.2">
      <c r="C694" s="19" t="s">
        <v>907</v>
      </c>
      <c r="D694" s="28" t="s">
        <v>288</v>
      </c>
      <c r="E694" s="29" t="s">
        <v>616</v>
      </c>
      <c r="F694" s="17"/>
      <c r="G694" s="18"/>
      <c r="H694" s="34"/>
      <c r="I694" s="34"/>
      <c r="J694" s="34"/>
      <c r="K694" s="34"/>
      <c r="L694" s="34"/>
      <c r="M694" s="18"/>
      <c r="N694" s="34"/>
      <c r="O694" s="34"/>
      <c r="P694" s="34"/>
      <c r="Q694" s="34"/>
      <c r="R694" s="34"/>
      <c r="S694" s="34"/>
      <c r="T694" s="34"/>
      <c r="U694" s="34"/>
      <c r="V694" s="34"/>
      <c r="W694" s="31"/>
      <c r="X694" s="18"/>
      <c r="Y694" s="18"/>
      <c r="Z694" s="18"/>
      <c r="AA694" s="18"/>
    </row>
    <row r="695" spans="1:27" x14ac:dyDescent="0.2">
      <c r="A695" s="4" t="s">
        <v>55</v>
      </c>
      <c r="B695" s="4" t="s">
        <v>56</v>
      </c>
      <c r="C695" s="19" t="s">
        <v>907</v>
      </c>
      <c r="D695" s="41" t="s">
        <v>625</v>
      </c>
      <c r="E695" s="42" t="s">
        <v>618</v>
      </c>
      <c r="F695" s="43" t="s">
        <v>619</v>
      </c>
      <c r="G695" s="43">
        <v>163270377</v>
      </c>
      <c r="H695" s="44">
        <v>0</v>
      </c>
      <c r="I695" s="44">
        <v>0</v>
      </c>
      <c r="J695" s="44">
        <v>0</v>
      </c>
      <c r="K695" s="43">
        <v>163270377</v>
      </c>
      <c r="L695" s="43">
        <f>H695-I695+J695-K695</f>
        <v>-163270377</v>
      </c>
      <c r="M695" s="44">
        <f>G695+L695</f>
        <v>0</v>
      </c>
      <c r="N695" s="44">
        <v>0</v>
      </c>
      <c r="O695" s="44">
        <v>0</v>
      </c>
      <c r="P695" s="44">
        <v>0</v>
      </c>
      <c r="Q695" s="44">
        <v>0</v>
      </c>
      <c r="R695" s="44">
        <v>0</v>
      </c>
      <c r="S695" s="44">
        <v>0</v>
      </c>
      <c r="T695" s="44">
        <v>0</v>
      </c>
      <c r="U695" s="44">
        <v>0</v>
      </c>
      <c r="V695" s="44">
        <v>0</v>
      </c>
      <c r="W695" s="40">
        <f t="shared" ref="W695" si="857">T695+V695</f>
        <v>0</v>
      </c>
      <c r="X695" s="34">
        <f t="shared" ref="X695" si="858">M695-P695</f>
        <v>0</v>
      </c>
      <c r="Y695" s="133">
        <f t="shared" ref="Y695" si="859">P695-S695</f>
        <v>0</v>
      </c>
      <c r="Z695" s="34">
        <f t="shared" ref="Z695" si="860">S695-W695</f>
        <v>0</v>
      </c>
      <c r="AA695" s="123">
        <v>0</v>
      </c>
    </row>
    <row r="696" spans="1:27" x14ac:dyDescent="0.2">
      <c r="C696" s="19" t="s">
        <v>907</v>
      </c>
      <c r="D696" s="16"/>
      <c r="E696" s="17"/>
      <c r="F696" s="17"/>
      <c r="G696" s="18"/>
      <c r="H696" s="18"/>
      <c r="I696" s="18"/>
      <c r="J696" s="18"/>
      <c r="K696" s="18"/>
      <c r="L696" s="18"/>
      <c r="M696" s="18"/>
      <c r="N696" s="34"/>
      <c r="O696" s="34"/>
      <c r="P696" s="34"/>
      <c r="Q696" s="34"/>
      <c r="R696" s="34"/>
      <c r="S696" s="34"/>
      <c r="T696" s="18"/>
      <c r="U696" s="18"/>
      <c r="V696" s="18"/>
      <c r="W696" s="30"/>
      <c r="X696" s="18"/>
      <c r="Y696" s="18"/>
      <c r="Z696" s="18"/>
      <c r="AA696" s="18"/>
    </row>
    <row r="697" spans="1:27" ht="25.5" x14ac:dyDescent="0.2">
      <c r="C697" s="19" t="s">
        <v>907</v>
      </c>
      <c r="D697" s="16"/>
      <c r="E697" s="29" t="s">
        <v>626</v>
      </c>
      <c r="F697" s="17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30"/>
      <c r="X697" s="18"/>
      <c r="Y697" s="18"/>
      <c r="Z697" s="18"/>
      <c r="AA697" s="18"/>
    </row>
    <row r="698" spans="1:27" ht="25.5" x14ac:dyDescent="0.2">
      <c r="C698" s="19" t="s">
        <v>907</v>
      </c>
      <c r="D698" s="16"/>
      <c r="E698" s="29" t="s">
        <v>627</v>
      </c>
      <c r="F698" s="17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30"/>
      <c r="X698" s="18"/>
      <c r="Y698" s="18"/>
      <c r="Z698" s="18"/>
      <c r="AA698" s="18"/>
    </row>
    <row r="699" spans="1:27" x14ac:dyDescent="0.2">
      <c r="C699" s="19" t="s">
        <v>907</v>
      </c>
      <c r="D699" s="16"/>
      <c r="E699" s="29" t="s">
        <v>628</v>
      </c>
      <c r="F699" s="17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30"/>
      <c r="X699" s="18"/>
      <c r="Y699" s="18"/>
      <c r="Z699" s="18"/>
      <c r="AA699" s="18"/>
    </row>
    <row r="700" spans="1:27" x14ac:dyDescent="0.2">
      <c r="C700" s="19" t="s">
        <v>907</v>
      </c>
      <c r="D700" s="16"/>
      <c r="E700" s="29" t="s">
        <v>629</v>
      </c>
      <c r="F700" s="17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30"/>
      <c r="X700" s="18"/>
      <c r="Y700" s="18"/>
      <c r="Z700" s="18"/>
      <c r="AA700" s="18"/>
    </row>
    <row r="701" spans="1:27" ht="25.5" x14ac:dyDescent="0.2">
      <c r="C701" s="19" t="s">
        <v>907</v>
      </c>
      <c r="D701" s="28" t="s">
        <v>288</v>
      </c>
      <c r="E701" s="29" t="s">
        <v>616</v>
      </c>
      <c r="F701" s="17"/>
      <c r="G701" s="18"/>
      <c r="H701" s="34"/>
      <c r="I701" s="34"/>
      <c r="J701" s="34"/>
      <c r="K701" s="34"/>
      <c r="L701" s="34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30"/>
      <c r="X701" s="18"/>
      <c r="Y701" s="18"/>
      <c r="Z701" s="18"/>
      <c r="AA701" s="18"/>
    </row>
    <row r="702" spans="1:27" x14ac:dyDescent="0.2">
      <c r="A702" s="4" t="s">
        <v>55</v>
      </c>
      <c r="B702" s="4" t="s">
        <v>56</v>
      </c>
      <c r="C702" s="19" t="s">
        <v>907</v>
      </c>
      <c r="D702" s="41" t="s">
        <v>630</v>
      </c>
      <c r="E702" s="42" t="s">
        <v>618</v>
      </c>
      <c r="F702" s="43" t="s">
        <v>619</v>
      </c>
      <c r="G702" s="43">
        <v>100000000</v>
      </c>
      <c r="H702" s="44">
        <v>0</v>
      </c>
      <c r="I702" s="44">
        <v>0</v>
      </c>
      <c r="J702" s="44">
        <v>0</v>
      </c>
      <c r="K702" s="43">
        <v>74931884</v>
      </c>
      <c r="L702" s="43">
        <f>H702-I702+J702-K702</f>
        <v>-74931884</v>
      </c>
      <c r="M702" s="43">
        <f>G702+L702</f>
        <v>25068116</v>
      </c>
      <c r="N702" s="44">
        <v>0</v>
      </c>
      <c r="O702" s="43">
        <f>P702-[1]ENERO!O698</f>
        <v>10397501</v>
      </c>
      <c r="P702" s="43">
        <v>10397501</v>
      </c>
      <c r="Q702" s="43">
        <v>0</v>
      </c>
      <c r="R702" s="43">
        <v>0</v>
      </c>
      <c r="S702" s="44">
        <v>0</v>
      </c>
      <c r="T702" s="44">
        <v>0</v>
      </c>
      <c r="U702" s="44">
        <v>0</v>
      </c>
      <c r="V702" s="44">
        <v>0</v>
      </c>
      <c r="W702" s="40">
        <f t="shared" ref="W702" si="861">T702+V702</f>
        <v>0</v>
      </c>
      <c r="X702" s="18">
        <f t="shared" ref="X702" si="862">M702-P702</f>
        <v>14670615</v>
      </c>
      <c r="Y702" s="110">
        <f t="shared" ref="Y702" si="863">P702-S702</f>
        <v>10397501</v>
      </c>
      <c r="Z702" s="34">
        <f t="shared" ref="Z702" si="864">S702-W702</f>
        <v>0</v>
      </c>
      <c r="AA702" s="123">
        <f t="shared" ref="AA702" si="865">S702/M702</f>
        <v>0</v>
      </c>
    </row>
    <row r="703" spans="1:27" x14ac:dyDescent="0.2">
      <c r="C703" s="19" t="s">
        <v>907</v>
      </c>
      <c r="D703" s="16"/>
      <c r="E703" s="17"/>
      <c r="F703" s="17"/>
      <c r="G703" s="18"/>
      <c r="H703" s="34"/>
      <c r="I703" s="34"/>
      <c r="J703" s="34"/>
      <c r="K703" s="34"/>
      <c r="L703" s="34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30"/>
      <c r="X703" s="18"/>
      <c r="Y703" s="18"/>
      <c r="Z703" s="18"/>
      <c r="AA703" s="18"/>
    </row>
    <row r="704" spans="1:27" x14ac:dyDescent="0.2">
      <c r="C704" s="19" t="s">
        <v>907</v>
      </c>
      <c r="D704" s="16"/>
      <c r="E704" s="29" t="s">
        <v>631</v>
      </c>
      <c r="F704" s="17"/>
      <c r="G704" s="18"/>
      <c r="H704" s="34"/>
      <c r="I704" s="34"/>
      <c r="J704" s="34"/>
      <c r="K704" s="34"/>
      <c r="L704" s="34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30"/>
      <c r="X704" s="18"/>
      <c r="Y704" s="18"/>
      <c r="Z704" s="18"/>
      <c r="AA704" s="18"/>
    </row>
    <row r="705" spans="1:27" x14ac:dyDescent="0.2">
      <c r="C705" s="19" t="s">
        <v>907</v>
      </c>
      <c r="D705" s="16"/>
      <c r="E705" s="29" t="s">
        <v>632</v>
      </c>
      <c r="F705" s="17"/>
      <c r="G705" s="18"/>
      <c r="H705" s="34"/>
      <c r="I705" s="34"/>
      <c r="J705" s="34"/>
      <c r="K705" s="34"/>
      <c r="L705" s="34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30"/>
      <c r="X705" s="18"/>
      <c r="Y705" s="18"/>
      <c r="Z705" s="18"/>
      <c r="AA705" s="18"/>
    </row>
    <row r="706" spans="1:27" x14ac:dyDescent="0.2">
      <c r="C706" s="19" t="s">
        <v>907</v>
      </c>
      <c r="D706" s="16"/>
      <c r="E706" s="29" t="s">
        <v>633</v>
      </c>
      <c r="F706" s="17"/>
      <c r="G706" s="18"/>
      <c r="H706" s="34"/>
      <c r="I706" s="34"/>
      <c r="J706" s="34"/>
      <c r="K706" s="34"/>
      <c r="L706" s="34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30"/>
      <c r="X706" s="18"/>
      <c r="Y706" s="18"/>
      <c r="Z706" s="18"/>
      <c r="AA706" s="18"/>
    </row>
    <row r="707" spans="1:27" x14ac:dyDescent="0.2">
      <c r="C707" s="19" t="s">
        <v>907</v>
      </c>
      <c r="D707" s="16"/>
      <c r="E707" s="29" t="s">
        <v>634</v>
      </c>
      <c r="F707" s="17"/>
      <c r="G707" s="18"/>
      <c r="H707" s="34"/>
      <c r="I707" s="34"/>
      <c r="J707" s="34"/>
      <c r="K707" s="34"/>
      <c r="L707" s="34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30"/>
      <c r="X707" s="18"/>
      <c r="Y707" s="18"/>
      <c r="Z707" s="18"/>
      <c r="AA707" s="18"/>
    </row>
    <row r="708" spans="1:27" x14ac:dyDescent="0.2">
      <c r="C708" s="19" t="s">
        <v>907</v>
      </c>
      <c r="D708" s="16"/>
      <c r="E708" s="29" t="s">
        <v>635</v>
      </c>
      <c r="F708" s="17"/>
      <c r="G708" s="18"/>
      <c r="H708" s="34"/>
      <c r="I708" s="34"/>
      <c r="J708" s="34"/>
      <c r="K708" s="34"/>
      <c r="L708" s="34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30"/>
      <c r="X708" s="18"/>
      <c r="Y708" s="18"/>
      <c r="Z708" s="18"/>
      <c r="AA708" s="18"/>
    </row>
    <row r="709" spans="1:27" ht="25.5" x14ac:dyDescent="0.2">
      <c r="C709" s="19" t="s">
        <v>907</v>
      </c>
      <c r="D709" s="28" t="s">
        <v>288</v>
      </c>
      <c r="E709" s="29" t="s">
        <v>616</v>
      </c>
      <c r="F709" s="17"/>
      <c r="G709" s="18"/>
      <c r="H709" s="34"/>
      <c r="I709" s="34"/>
      <c r="J709" s="34"/>
      <c r="K709" s="34"/>
      <c r="L709" s="34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30"/>
      <c r="X709" s="18"/>
      <c r="Y709" s="18"/>
      <c r="Z709" s="18"/>
      <c r="AA709" s="18"/>
    </row>
    <row r="710" spans="1:27" ht="18.75" customHeight="1" x14ac:dyDescent="0.2">
      <c r="A710" s="4" t="s">
        <v>55</v>
      </c>
      <c r="B710" s="4" t="s">
        <v>56</v>
      </c>
      <c r="C710" s="19" t="s">
        <v>907</v>
      </c>
      <c r="D710" s="41" t="s">
        <v>636</v>
      </c>
      <c r="E710" s="42" t="s">
        <v>618</v>
      </c>
      <c r="F710" s="43" t="s">
        <v>619</v>
      </c>
      <c r="G710" s="43">
        <v>80000000</v>
      </c>
      <c r="H710" s="44">
        <v>0</v>
      </c>
      <c r="I710" s="44">
        <v>0</v>
      </c>
      <c r="J710" s="44">
        <v>0</v>
      </c>
      <c r="K710" s="44">
        <v>0</v>
      </c>
      <c r="L710" s="44">
        <v>0</v>
      </c>
      <c r="M710" s="43">
        <v>80000000</v>
      </c>
      <c r="N710" s="44">
        <v>0</v>
      </c>
      <c r="O710" s="44">
        <v>0</v>
      </c>
      <c r="P710" s="44">
        <v>0</v>
      </c>
      <c r="Q710" s="44">
        <v>0</v>
      </c>
      <c r="R710" s="44">
        <v>0</v>
      </c>
      <c r="S710" s="44">
        <v>0</v>
      </c>
      <c r="T710" s="44">
        <v>0</v>
      </c>
      <c r="U710" s="44">
        <v>0</v>
      </c>
      <c r="V710" s="44">
        <v>0</v>
      </c>
      <c r="W710" s="40">
        <f t="shared" ref="W710" si="866">T710+V710</f>
        <v>0</v>
      </c>
      <c r="X710" s="18">
        <f t="shared" ref="X710" si="867">M710-P710</f>
        <v>80000000</v>
      </c>
      <c r="Y710" s="133">
        <f t="shared" ref="Y710" si="868">P710-S710</f>
        <v>0</v>
      </c>
      <c r="Z710" s="34">
        <f t="shared" ref="Z710" si="869">S710-W710</f>
        <v>0</v>
      </c>
      <c r="AA710" s="123">
        <f t="shared" ref="AA710" si="870">S710/M710</f>
        <v>0</v>
      </c>
    </row>
    <row r="711" spans="1:27" ht="18.75" customHeight="1" x14ac:dyDescent="0.2">
      <c r="C711" s="19" t="s">
        <v>907</v>
      </c>
      <c r="D711" s="16"/>
      <c r="E711" s="17"/>
      <c r="F711" s="17"/>
      <c r="G711" s="18"/>
      <c r="H711" s="34"/>
      <c r="I711" s="34"/>
      <c r="J711" s="34"/>
      <c r="K711" s="34"/>
      <c r="L711" s="34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30"/>
      <c r="X711" s="18"/>
      <c r="Y711" s="18"/>
      <c r="Z711" s="18"/>
      <c r="AA711" s="18"/>
    </row>
    <row r="712" spans="1:27" ht="18.75" customHeight="1" x14ac:dyDescent="0.2">
      <c r="C712" s="19" t="s">
        <v>907</v>
      </c>
      <c r="D712" s="16"/>
      <c r="E712" s="29" t="s">
        <v>179</v>
      </c>
      <c r="F712" s="17"/>
      <c r="G712" s="18"/>
      <c r="H712" s="34"/>
      <c r="I712" s="34"/>
      <c r="J712" s="34"/>
      <c r="K712" s="34"/>
      <c r="L712" s="34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30"/>
      <c r="X712" s="18"/>
      <c r="Y712" s="18"/>
      <c r="Z712" s="18"/>
      <c r="AA712" s="18"/>
    </row>
    <row r="713" spans="1:27" ht="18.75" customHeight="1" x14ac:dyDescent="0.2">
      <c r="C713" s="19" t="s">
        <v>907</v>
      </c>
      <c r="D713" s="16"/>
      <c r="E713" s="29" t="s">
        <v>181</v>
      </c>
      <c r="F713" s="17"/>
      <c r="G713" s="18"/>
      <c r="H713" s="34"/>
      <c r="I713" s="34"/>
      <c r="J713" s="34"/>
      <c r="K713" s="34"/>
      <c r="L713" s="34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30"/>
      <c r="X713" s="18"/>
      <c r="Y713" s="18"/>
      <c r="Z713" s="18"/>
      <c r="AA713" s="18"/>
    </row>
    <row r="714" spans="1:27" ht="25.5" x14ac:dyDescent="0.2">
      <c r="C714" s="19" t="s">
        <v>907</v>
      </c>
      <c r="D714" s="16"/>
      <c r="E714" s="29" t="s">
        <v>637</v>
      </c>
      <c r="F714" s="17"/>
      <c r="G714" s="18"/>
      <c r="H714" s="34"/>
      <c r="I714" s="34"/>
      <c r="J714" s="34"/>
      <c r="K714" s="34"/>
      <c r="L714" s="34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30"/>
      <c r="X714" s="18"/>
      <c r="Y714" s="18"/>
      <c r="Z714" s="18"/>
      <c r="AA714" s="18"/>
    </row>
    <row r="715" spans="1:27" ht="18.75" customHeight="1" x14ac:dyDescent="0.2">
      <c r="C715" s="19" t="s">
        <v>907</v>
      </c>
      <c r="D715" s="28" t="s">
        <v>288</v>
      </c>
      <c r="E715" s="29" t="s">
        <v>638</v>
      </c>
      <c r="F715" s="17"/>
      <c r="G715" s="18"/>
      <c r="H715" s="34"/>
      <c r="I715" s="34"/>
      <c r="J715" s="34"/>
      <c r="K715" s="34"/>
      <c r="L715" s="34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30"/>
      <c r="X715" s="18"/>
      <c r="Y715" s="18"/>
      <c r="Z715" s="18"/>
      <c r="AA715" s="18"/>
    </row>
    <row r="716" spans="1:27" ht="25.5" x14ac:dyDescent="0.2">
      <c r="C716" s="19" t="s">
        <v>907</v>
      </c>
      <c r="D716" s="28" t="s">
        <v>288</v>
      </c>
      <c r="E716" s="29" t="s">
        <v>616</v>
      </c>
      <c r="F716" s="17"/>
      <c r="G716" s="18"/>
      <c r="H716" s="34"/>
      <c r="I716" s="34"/>
      <c r="J716" s="34"/>
      <c r="K716" s="34"/>
      <c r="L716" s="34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30"/>
      <c r="X716" s="18"/>
      <c r="Y716" s="18"/>
      <c r="Z716" s="18"/>
      <c r="AA716" s="18"/>
    </row>
    <row r="717" spans="1:27" x14ac:dyDescent="0.2">
      <c r="A717" s="4" t="s">
        <v>55</v>
      </c>
      <c r="B717" s="4" t="s">
        <v>56</v>
      </c>
      <c r="C717" s="19" t="s">
        <v>907</v>
      </c>
      <c r="D717" s="41" t="s">
        <v>639</v>
      </c>
      <c r="E717" s="42" t="s">
        <v>618</v>
      </c>
      <c r="F717" s="43" t="s">
        <v>619</v>
      </c>
      <c r="G717" s="43">
        <v>1601743650</v>
      </c>
      <c r="H717" s="44">
        <v>0</v>
      </c>
      <c r="I717" s="44">
        <v>0</v>
      </c>
      <c r="J717" s="44">
        <v>0</v>
      </c>
      <c r="K717" s="43">
        <v>794729623</v>
      </c>
      <c r="L717" s="43">
        <f>H717-I717+J717-K717</f>
        <v>-794729623</v>
      </c>
      <c r="M717" s="43">
        <f>G717+L717</f>
        <v>807014027</v>
      </c>
      <c r="N717" s="44">
        <v>0</v>
      </c>
      <c r="O717" s="44">
        <v>0</v>
      </c>
      <c r="P717" s="44">
        <v>0</v>
      </c>
      <c r="Q717" s="44">
        <v>0</v>
      </c>
      <c r="R717" s="44">
        <v>0</v>
      </c>
      <c r="S717" s="44">
        <v>0</v>
      </c>
      <c r="T717" s="44">
        <v>0</v>
      </c>
      <c r="U717" s="44">
        <v>0</v>
      </c>
      <c r="V717" s="44">
        <v>0</v>
      </c>
      <c r="W717" s="40">
        <f t="shared" ref="W717:W718" si="871">T717+V717</f>
        <v>0</v>
      </c>
      <c r="X717" s="18">
        <f t="shared" ref="X717:X718" si="872">M717-P717</f>
        <v>807014027</v>
      </c>
      <c r="Y717" s="133">
        <f t="shared" ref="Y717:Y718" si="873">P717-S717</f>
        <v>0</v>
      </c>
      <c r="Z717" s="34">
        <f t="shared" ref="Z717:Z718" si="874">S717-W717</f>
        <v>0</v>
      </c>
      <c r="AA717" s="123">
        <f t="shared" ref="AA717:AA718" si="875">S717/M717</f>
        <v>0</v>
      </c>
    </row>
    <row r="718" spans="1:27" ht="23.25" customHeight="1" x14ac:dyDescent="0.2">
      <c r="A718" s="4" t="s">
        <v>55</v>
      </c>
      <c r="B718" s="4" t="s">
        <v>56</v>
      </c>
      <c r="C718" s="19" t="s">
        <v>907</v>
      </c>
      <c r="D718" s="41" t="s">
        <v>640</v>
      </c>
      <c r="E718" s="42" t="s">
        <v>641</v>
      </c>
      <c r="F718" s="43" t="s">
        <v>642</v>
      </c>
      <c r="G718" s="43">
        <v>20790000</v>
      </c>
      <c r="H718" s="44">
        <v>0</v>
      </c>
      <c r="I718" s="44">
        <v>0</v>
      </c>
      <c r="J718" s="44">
        <v>0</v>
      </c>
      <c r="K718" s="44">
        <v>0</v>
      </c>
      <c r="L718" s="44">
        <v>0</v>
      </c>
      <c r="M718" s="43">
        <v>20790000</v>
      </c>
      <c r="N718" s="44">
        <v>0</v>
      </c>
      <c r="O718" s="44">
        <v>0</v>
      </c>
      <c r="P718" s="44">
        <v>0</v>
      </c>
      <c r="Q718" s="44">
        <v>0</v>
      </c>
      <c r="R718" s="44">
        <v>0</v>
      </c>
      <c r="S718" s="44">
        <v>0</v>
      </c>
      <c r="T718" s="44">
        <v>0</v>
      </c>
      <c r="U718" s="44">
        <v>0</v>
      </c>
      <c r="V718" s="44">
        <v>0</v>
      </c>
      <c r="W718" s="40">
        <f t="shared" si="871"/>
        <v>0</v>
      </c>
      <c r="X718" s="18">
        <f t="shared" si="872"/>
        <v>20790000</v>
      </c>
      <c r="Y718" s="133">
        <f t="shared" si="873"/>
        <v>0</v>
      </c>
      <c r="Z718" s="34">
        <f t="shared" si="874"/>
        <v>0</v>
      </c>
      <c r="AA718" s="123">
        <f t="shared" si="875"/>
        <v>0</v>
      </c>
    </row>
    <row r="719" spans="1:27" ht="18.75" customHeight="1" x14ac:dyDescent="0.2">
      <c r="C719" s="19" t="s">
        <v>907</v>
      </c>
      <c r="D719" s="16"/>
      <c r="E719" s="17"/>
      <c r="F719" s="17"/>
      <c r="G719" s="18"/>
      <c r="H719" s="34"/>
      <c r="I719" s="34"/>
      <c r="J719" s="34"/>
      <c r="K719" s="34"/>
      <c r="L719" s="34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30"/>
      <c r="X719" s="18"/>
      <c r="Y719" s="18"/>
      <c r="Z719" s="18"/>
      <c r="AA719" s="18"/>
    </row>
    <row r="720" spans="1:27" ht="26.25" customHeight="1" x14ac:dyDescent="0.2">
      <c r="C720" s="19" t="s">
        <v>907</v>
      </c>
      <c r="D720" s="16"/>
      <c r="E720" s="29" t="s">
        <v>197</v>
      </c>
      <c r="F720" s="17"/>
      <c r="G720" s="18"/>
      <c r="H720" s="34"/>
      <c r="I720" s="34"/>
      <c r="J720" s="34"/>
      <c r="K720" s="34"/>
      <c r="L720" s="34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30"/>
      <c r="X720" s="18"/>
      <c r="Y720" s="18"/>
      <c r="Z720" s="18"/>
      <c r="AA720" s="18"/>
    </row>
    <row r="721" spans="1:27" ht="26.25" customHeight="1" x14ac:dyDescent="0.2">
      <c r="C721" s="19" t="s">
        <v>907</v>
      </c>
      <c r="D721" s="28" t="s">
        <v>288</v>
      </c>
      <c r="E721" s="29" t="s">
        <v>643</v>
      </c>
      <c r="F721" s="17"/>
      <c r="G721" s="18"/>
      <c r="H721" s="34"/>
      <c r="I721" s="34"/>
      <c r="J721" s="34"/>
      <c r="K721" s="34"/>
      <c r="L721" s="34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30"/>
      <c r="X721" s="18"/>
      <c r="Y721" s="18"/>
      <c r="Z721" s="18"/>
      <c r="AA721" s="18"/>
    </row>
    <row r="722" spans="1:27" x14ac:dyDescent="0.2">
      <c r="A722" s="4" t="s">
        <v>55</v>
      </c>
      <c r="B722" s="4" t="s">
        <v>56</v>
      </c>
      <c r="C722" s="19" t="s">
        <v>907</v>
      </c>
      <c r="D722" s="41" t="s">
        <v>644</v>
      </c>
      <c r="E722" s="42" t="s">
        <v>618</v>
      </c>
      <c r="F722" s="43" t="s">
        <v>619</v>
      </c>
      <c r="G722" s="43">
        <v>530000000</v>
      </c>
      <c r="H722" s="44">
        <v>0</v>
      </c>
      <c r="I722" s="44">
        <v>0</v>
      </c>
      <c r="J722" s="44">
        <v>0</v>
      </c>
      <c r="K722" s="44">
        <v>0</v>
      </c>
      <c r="L722" s="44">
        <v>0</v>
      </c>
      <c r="M722" s="43">
        <v>530000000</v>
      </c>
      <c r="N722" s="44">
        <v>0</v>
      </c>
      <c r="O722" s="44">
        <f>P722-[1]ENERO!O718</f>
        <v>0</v>
      </c>
      <c r="P722" s="43">
        <v>493600000</v>
      </c>
      <c r="Q722" s="43">
        <v>0</v>
      </c>
      <c r="R722" s="43">
        <v>40000000</v>
      </c>
      <c r="S722" s="43">
        <v>465600000</v>
      </c>
      <c r="T722" s="114">
        <v>833333</v>
      </c>
      <c r="U722" s="114">
        <v>15276664</v>
      </c>
      <c r="V722" s="114">
        <v>15276664</v>
      </c>
      <c r="W722" s="111">
        <f t="shared" ref="W722" si="876">T722+V722</f>
        <v>16109997</v>
      </c>
      <c r="X722" s="18">
        <f t="shared" ref="X722" si="877">M722-P722</f>
        <v>36400000</v>
      </c>
      <c r="Y722" s="110">
        <f t="shared" ref="Y722" si="878">P722-S722</f>
        <v>28000000</v>
      </c>
      <c r="Z722" s="18">
        <f t="shared" ref="Z722" si="879">S722-W722</f>
        <v>449490003</v>
      </c>
      <c r="AA722" s="123">
        <f t="shared" ref="AA722" si="880">S722/M722</f>
        <v>0.8784905660377359</v>
      </c>
    </row>
    <row r="723" spans="1:27" ht="25.5" x14ac:dyDescent="0.2">
      <c r="C723" s="19" t="s">
        <v>907</v>
      </c>
      <c r="D723" s="28" t="s">
        <v>288</v>
      </c>
      <c r="E723" s="29" t="s">
        <v>616</v>
      </c>
      <c r="F723" s="17"/>
      <c r="G723" s="18"/>
      <c r="H723" s="34"/>
      <c r="I723" s="34"/>
      <c r="J723" s="34"/>
      <c r="K723" s="34"/>
      <c r="L723" s="34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30"/>
      <c r="X723" s="18"/>
      <c r="Y723" s="18"/>
      <c r="Z723" s="18"/>
      <c r="AA723" s="18"/>
    </row>
    <row r="724" spans="1:27" x14ac:dyDescent="0.2">
      <c r="A724" s="4" t="s">
        <v>55</v>
      </c>
      <c r="B724" s="4" t="s">
        <v>56</v>
      </c>
      <c r="C724" s="19" t="s">
        <v>907</v>
      </c>
      <c r="D724" s="41" t="s">
        <v>645</v>
      </c>
      <c r="E724" s="42" t="s">
        <v>618</v>
      </c>
      <c r="F724" s="43" t="s">
        <v>619</v>
      </c>
      <c r="G724" s="43">
        <v>2879425052</v>
      </c>
      <c r="H724" s="44">
        <v>0</v>
      </c>
      <c r="I724" s="44">
        <v>0</v>
      </c>
      <c r="J724" s="44">
        <v>0</v>
      </c>
      <c r="K724" s="43">
        <v>221572545</v>
      </c>
      <c r="L724" s="43">
        <f>H724-I724+J724-K724</f>
        <v>-221572545</v>
      </c>
      <c r="M724" s="43">
        <f>G724+L724</f>
        <v>2657852507</v>
      </c>
      <c r="N724" s="43">
        <v>0</v>
      </c>
      <c r="O724" s="43">
        <f>P724-[1]ENERO!O720</f>
        <v>1198999956</v>
      </c>
      <c r="P724" s="114">
        <v>1198999956</v>
      </c>
      <c r="Q724" s="114">
        <v>0</v>
      </c>
      <c r="R724" s="43">
        <v>0</v>
      </c>
      <c r="S724" s="44">
        <v>0</v>
      </c>
      <c r="T724" s="44">
        <v>0</v>
      </c>
      <c r="U724" s="44">
        <v>0</v>
      </c>
      <c r="V724" s="44">
        <v>0</v>
      </c>
      <c r="W724" s="40">
        <f t="shared" ref="W724:W726" si="881">T724+V724</f>
        <v>0</v>
      </c>
      <c r="X724" s="18">
        <f t="shared" ref="X724:X726" si="882">M724-P724</f>
        <v>1458852551</v>
      </c>
      <c r="Y724" s="110">
        <f t="shared" ref="Y724:Y726" si="883">P724-S724</f>
        <v>1198999956</v>
      </c>
      <c r="Z724" s="34">
        <f t="shared" ref="Z724:Z726" si="884">S724-W724</f>
        <v>0</v>
      </c>
      <c r="AA724" s="123">
        <f t="shared" ref="AA724:AA726" si="885">S724/M724</f>
        <v>0</v>
      </c>
    </row>
    <row r="725" spans="1:27" ht="25.5" x14ac:dyDescent="0.2">
      <c r="A725" s="4" t="s">
        <v>55</v>
      </c>
      <c r="B725" s="4" t="s">
        <v>56</v>
      </c>
      <c r="C725" s="19" t="s">
        <v>907</v>
      </c>
      <c r="D725" s="41" t="s">
        <v>646</v>
      </c>
      <c r="E725" s="42" t="s">
        <v>647</v>
      </c>
      <c r="F725" s="43" t="s">
        <v>642</v>
      </c>
      <c r="G725" s="43">
        <v>404210000</v>
      </c>
      <c r="H725" s="44">
        <v>0</v>
      </c>
      <c r="I725" s="44">
        <v>0</v>
      </c>
      <c r="J725" s="44">
        <v>0</v>
      </c>
      <c r="K725" s="44">
        <v>0</v>
      </c>
      <c r="L725" s="44">
        <v>0</v>
      </c>
      <c r="M725" s="43">
        <v>404210000</v>
      </c>
      <c r="N725" s="44">
        <v>0</v>
      </c>
      <c r="O725" s="43">
        <f>P725-[1]ENERO!O721</f>
        <v>259200000</v>
      </c>
      <c r="P725" s="114">
        <v>259200000</v>
      </c>
      <c r="Q725" s="114">
        <v>9600000</v>
      </c>
      <c r="R725" s="114">
        <v>119200000</v>
      </c>
      <c r="S725" s="114">
        <v>119200000</v>
      </c>
      <c r="T725" s="44">
        <v>0</v>
      </c>
      <c r="U725" s="44">
        <v>0</v>
      </c>
      <c r="V725" s="44">
        <v>0</v>
      </c>
      <c r="W725" s="40">
        <f t="shared" si="881"/>
        <v>0</v>
      </c>
      <c r="X725" s="18">
        <f t="shared" si="882"/>
        <v>145010000</v>
      </c>
      <c r="Y725" s="110">
        <f t="shared" si="883"/>
        <v>140000000</v>
      </c>
      <c r="Z725" s="18">
        <f t="shared" si="884"/>
        <v>119200000</v>
      </c>
      <c r="AA725" s="123">
        <f t="shared" si="885"/>
        <v>0.29489621731278298</v>
      </c>
    </row>
    <row r="726" spans="1:27" ht="25.5" x14ac:dyDescent="0.2">
      <c r="A726" s="4" t="s">
        <v>55</v>
      </c>
      <c r="B726" s="4" t="s">
        <v>56</v>
      </c>
      <c r="C726" s="19" t="s">
        <v>907</v>
      </c>
      <c r="D726" s="41" t="s">
        <v>648</v>
      </c>
      <c r="E726" s="42" t="s">
        <v>649</v>
      </c>
      <c r="F726" s="43" t="s">
        <v>650</v>
      </c>
      <c r="G726" s="43">
        <v>425000000</v>
      </c>
      <c r="H726" s="44">
        <v>0</v>
      </c>
      <c r="I726" s="44">
        <v>0</v>
      </c>
      <c r="J726" s="44">
        <v>0</v>
      </c>
      <c r="K726" s="44">
        <v>0</v>
      </c>
      <c r="L726" s="44">
        <v>0</v>
      </c>
      <c r="M726" s="43">
        <v>425000000</v>
      </c>
      <c r="N726" s="44">
        <v>0</v>
      </c>
      <c r="O726" s="43">
        <f>P726-[1]ENERO!O722</f>
        <v>131200000</v>
      </c>
      <c r="P726" s="114">
        <v>131200000</v>
      </c>
      <c r="Q726" s="114">
        <v>14400000</v>
      </c>
      <c r="R726" s="114">
        <v>116800000</v>
      </c>
      <c r="S726" s="114">
        <v>116800000</v>
      </c>
      <c r="T726" s="44">
        <v>0</v>
      </c>
      <c r="U726" s="44">
        <v>0</v>
      </c>
      <c r="V726" s="44">
        <v>0</v>
      </c>
      <c r="W726" s="40">
        <f t="shared" si="881"/>
        <v>0</v>
      </c>
      <c r="X726" s="18">
        <f t="shared" si="882"/>
        <v>293800000</v>
      </c>
      <c r="Y726" s="110">
        <f t="shared" si="883"/>
        <v>14400000</v>
      </c>
      <c r="Z726" s="18">
        <f t="shared" si="884"/>
        <v>116800000</v>
      </c>
      <c r="AA726" s="123">
        <f t="shared" si="885"/>
        <v>0.27482352941176469</v>
      </c>
    </row>
    <row r="727" spans="1:27" x14ac:dyDescent="0.2">
      <c r="C727" s="19" t="s">
        <v>907</v>
      </c>
      <c r="D727" s="16"/>
      <c r="E727" s="17"/>
      <c r="F727" s="17"/>
      <c r="G727" s="18"/>
      <c r="H727" s="34"/>
      <c r="I727" s="34"/>
      <c r="J727" s="34"/>
      <c r="K727" s="34"/>
      <c r="L727" s="34"/>
      <c r="M727" s="18"/>
      <c r="N727" s="34"/>
      <c r="O727" s="34"/>
      <c r="P727" s="34"/>
      <c r="Q727" s="34"/>
      <c r="R727" s="34"/>
      <c r="S727" s="34"/>
      <c r="T727" s="18"/>
      <c r="U727" s="18"/>
      <c r="V727" s="18"/>
      <c r="W727" s="30"/>
      <c r="X727" s="18"/>
      <c r="Y727" s="18"/>
      <c r="Z727" s="18"/>
      <c r="AA727" s="18"/>
    </row>
    <row r="728" spans="1:27" x14ac:dyDescent="0.2">
      <c r="C728" s="19" t="s">
        <v>907</v>
      </c>
      <c r="D728" s="16"/>
      <c r="E728" s="29" t="s">
        <v>199</v>
      </c>
      <c r="F728" s="17"/>
      <c r="G728" s="18"/>
      <c r="H728" s="34"/>
      <c r="I728" s="34"/>
      <c r="J728" s="34"/>
      <c r="K728" s="34"/>
      <c r="L728" s="34"/>
      <c r="M728" s="18"/>
      <c r="N728" s="34"/>
      <c r="O728" s="34"/>
      <c r="P728" s="34"/>
      <c r="Q728" s="34"/>
      <c r="R728" s="34"/>
      <c r="S728" s="34"/>
      <c r="T728" s="18"/>
      <c r="U728" s="18"/>
      <c r="V728" s="18"/>
      <c r="W728" s="30"/>
      <c r="X728" s="18"/>
      <c r="Y728" s="18"/>
      <c r="Z728" s="18"/>
      <c r="AA728" s="18"/>
    </row>
    <row r="729" spans="1:27" ht="25.5" x14ac:dyDescent="0.2">
      <c r="C729" s="19" t="s">
        <v>907</v>
      </c>
      <c r="D729" s="28" t="s">
        <v>288</v>
      </c>
      <c r="E729" s="29" t="s">
        <v>616</v>
      </c>
      <c r="F729" s="17"/>
      <c r="G729" s="18"/>
      <c r="H729" s="34"/>
      <c r="I729" s="34"/>
      <c r="J729" s="34"/>
      <c r="K729" s="34"/>
      <c r="L729" s="34"/>
      <c r="M729" s="18"/>
      <c r="N729" s="34"/>
      <c r="O729" s="34"/>
      <c r="P729" s="34"/>
      <c r="Q729" s="34"/>
      <c r="R729" s="34"/>
      <c r="S729" s="34"/>
      <c r="T729" s="18"/>
      <c r="U729" s="18"/>
      <c r="V729" s="18"/>
      <c r="W729" s="30"/>
      <c r="X729" s="18"/>
      <c r="Y729" s="18"/>
      <c r="Z729" s="18"/>
      <c r="AA729" s="18"/>
    </row>
    <row r="730" spans="1:27" x14ac:dyDescent="0.2">
      <c r="A730" s="4" t="s">
        <v>55</v>
      </c>
      <c r="B730" s="4" t="s">
        <v>56</v>
      </c>
      <c r="C730" s="19" t="s">
        <v>907</v>
      </c>
      <c r="D730" s="134" t="s">
        <v>651</v>
      </c>
      <c r="E730" s="42" t="s">
        <v>618</v>
      </c>
      <c r="F730" s="43" t="s">
        <v>619</v>
      </c>
      <c r="G730" s="43">
        <v>408029872</v>
      </c>
      <c r="H730" s="44">
        <v>0</v>
      </c>
      <c r="I730" s="44">
        <v>0</v>
      </c>
      <c r="J730" s="44">
        <v>0</v>
      </c>
      <c r="K730" s="43">
        <v>408029872</v>
      </c>
      <c r="L730" s="43">
        <f>H730-I730+J730-K730</f>
        <v>-408029872</v>
      </c>
      <c r="M730" s="43">
        <f>G730+L730</f>
        <v>0</v>
      </c>
      <c r="N730" s="44">
        <v>0</v>
      </c>
      <c r="O730" s="44">
        <v>0</v>
      </c>
      <c r="P730" s="44">
        <v>0</v>
      </c>
      <c r="Q730" s="44">
        <v>0</v>
      </c>
      <c r="R730" s="44">
        <v>0</v>
      </c>
      <c r="S730" s="44">
        <v>0</v>
      </c>
      <c r="T730" s="44">
        <v>0</v>
      </c>
      <c r="U730" s="44">
        <v>0</v>
      </c>
      <c r="V730" s="44">
        <v>0</v>
      </c>
      <c r="W730" s="40">
        <f t="shared" ref="W730:W731" si="886">T730+V730</f>
        <v>0</v>
      </c>
      <c r="X730" s="34">
        <f t="shared" ref="X730:X731" si="887">M730-P730</f>
        <v>0</v>
      </c>
      <c r="Y730" s="133">
        <f t="shared" ref="Y730:Y731" si="888">P730-S730</f>
        <v>0</v>
      </c>
      <c r="Z730" s="34">
        <f t="shared" ref="Z730:Z731" si="889">S730-W730</f>
        <v>0</v>
      </c>
      <c r="AA730" s="123">
        <v>0</v>
      </c>
    </row>
    <row r="731" spans="1:27" ht="38.25" x14ac:dyDescent="0.2">
      <c r="A731" s="4" t="s">
        <v>55</v>
      </c>
      <c r="B731" s="4" t="s">
        <v>56</v>
      </c>
      <c r="C731" s="19" t="s">
        <v>907</v>
      </c>
      <c r="D731" s="41" t="s">
        <v>652</v>
      </c>
      <c r="E731" s="42" t="s">
        <v>653</v>
      </c>
      <c r="F731" s="43" t="s">
        <v>368</v>
      </c>
      <c r="G731" s="43">
        <v>159146685.47999999</v>
      </c>
      <c r="H731" s="44">
        <v>0</v>
      </c>
      <c r="I731" s="44">
        <v>0</v>
      </c>
      <c r="J731" s="44">
        <v>0</v>
      </c>
      <c r="K731" s="44">
        <v>0</v>
      </c>
      <c r="L731" s="44">
        <v>0</v>
      </c>
      <c r="M731" s="43">
        <v>159146685.47999999</v>
      </c>
      <c r="N731" s="44">
        <v>0</v>
      </c>
      <c r="O731" s="44">
        <v>0</v>
      </c>
      <c r="P731" s="44">
        <v>0</v>
      </c>
      <c r="Q731" s="44">
        <v>0</v>
      </c>
      <c r="R731" s="44">
        <v>0</v>
      </c>
      <c r="S731" s="44">
        <v>0</v>
      </c>
      <c r="T731" s="44">
        <v>0</v>
      </c>
      <c r="U731" s="44">
        <v>0</v>
      </c>
      <c r="V731" s="44">
        <v>0</v>
      </c>
      <c r="W731" s="40">
        <f t="shared" si="886"/>
        <v>0</v>
      </c>
      <c r="X731" s="18">
        <f t="shared" si="887"/>
        <v>159146685.47999999</v>
      </c>
      <c r="Y731" s="133">
        <f t="shared" si="888"/>
        <v>0</v>
      </c>
      <c r="Z731" s="34">
        <f t="shared" si="889"/>
        <v>0</v>
      </c>
      <c r="AA731" s="123">
        <f t="shared" ref="AA731" si="890">S731/M731</f>
        <v>0</v>
      </c>
    </row>
    <row r="732" spans="1:27" x14ac:dyDescent="0.2">
      <c r="C732" s="19" t="s">
        <v>907</v>
      </c>
      <c r="D732" s="16"/>
      <c r="E732" s="17"/>
      <c r="F732" s="17"/>
      <c r="G732" s="18"/>
      <c r="H732" s="34"/>
      <c r="I732" s="34"/>
      <c r="J732" s="34"/>
      <c r="K732" s="34"/>
      <c r="L732" s="34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30"/>
      <c r="X732" s="18"/>
      <c r="Y732" s="18"/>
      <c r="Z732" s="18"/>
      <c r="AA732" s="18"/>
    </row>
    <row r="733" spans="1:27" x14ac:dyDescent="0.2">
      <c r="C733" s="19" t="s">
        <v>907</v>
      </c>
      <c r="D733" s="16"/>
      <c r="E733" s="29" t="s">
        <v>654</v>
      </c>
      <c r="F733" s="17"/>
      <c r="G733" s="18"/>
      <c r="H733" s="34"/>
      <c r="I733" s="34"/>
      <c r="J733" s="34"/>
      <c r="K733" s="34"/>
      <c r="L733" s="34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30"/>
      <c r="X733" s="18"/>
      <c r="Y733" s="18"/>
      <c r="Z733" s="18"/>
      <c r="AA733" s="18"/>
    </row>
    <row r="734" spans="1:27" x14ac:dyDescent="0.2">
      <c r="C734" s="19" t="s">
        <v>907</v>
      </c>
      <c r="D734" s="16"/>
      <c r="E734" s="29" t="s">
        <v>614</v>
      </c>
      <c r="F734" s="17"/>
      <c r="G734" s="18"/>
      <c r="H734" s="34"/>
      <c r="I734" s="34"/>
      <c r="J734" s="34"/>
      <c r="K734" s="34"/>
      <c r="L734" s="34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30"/>
      <c r="X734" s="18"/>
      <c r="Y734" s="18"/>
      <c r="Z734" s="18"/>
      <c r="AA734" s="18"/>
    </row>
    <row r="735" spans="1:27" x14ac:dyDescent="0.2">
      <c r="C735" s="19" t="s">
        <v>907</v>
      </c>
      <c r="D735" s="16"/>
      <c r="E735" s="29" t="s">
        <v>286</v>
      </c>
      <c r="F735" s="17"/>
      <c r="G735" s="18"/>
      <c r="H735" s="34"/>
      <c r="I735" s="34"/>
      <c r="J735" s="34"/>
      <c r="K735" s="34"/>
      <c r="L735" s="34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30"/>
      <c r="X735" s="18"/>
      <c r="Y735" s="18"/>
      <c r="Z735" s="18"/>
      <c r="AA735" s="18"/>
    </row>
    <row r="736" spans="1:27" x14ac:dyDescent="0.2">
      <c r="C736" s="19" t="s">
        <v>907</v>
      </c>
      <c r="D736" s="16"/>
      <c r="E736" s="29" t="s">
        <v>181</v>
      </c>
      <c r="F736" s="17"/>
      <c r="G736" s="18"/>
      <c r="H736" s="34"/>
      <c r="I736" s="34"/>
      <c r="J736" s="34"/>
      <c r="K736" s="34"/>
      <c r="L736" s="34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30"/>
      <c r="X736" s="18"/>
      <c r="Y736" s="18"/>
      <c r="Z736" s="18"/>
      <c r="AA736" s="18"/>
    </row>
    <row r="737" spans="1:27" ht="25.5" x14ac:dyDescent="0.2">
      <c r="C737" s="19" t="s">
        <v>907</v>
      </c>
      <c r="D737" s="16"/>
      <c r="E737" s="29" t="s">
        <v>637</v>
      </c>
      <c r="F737" s="17"/>
      <c r="G737" s="18"/>
      <c r="H737" s="34"/>
      <c r="I737" s="34"/>
      <c r="J737" s="34"/>
      <c r="K737" s="34"/>
      <c r="L737" s="34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30"/>
      <c r="X737" s="18"/>
      <c r="Y737" s="18"/>
      <c r="Z737" s="18"/>
      <c r="AA737" s="18"/>
    </row>
    <row r="738" spans="1:27" ht="25.5" x14ac:dyDescent="0.2">
      <c r="C738" s="19" t="s">
        <v>907</v>
      </c>
      <c r="D738" s="28" t="s">
        <v>288</v>
      </c>
      <c r="E738" s="29" t="s">
        <v>655</v>
      </c>
      <c r="F738" s="17"/>
      <c r="G738" s="18"/>
      <c r="H738" s="34"/>
      <c r="I738" s="34"/>
      <c r="J738" s="34"/>
      <c r="K738" s="34"/>
      <c r="L738" s="34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30"/>
      <c r="X738" s="18"/>
      <c r="Y738" s="18"/>
      <c r="Z738" s="18"/>
      <c r="AA738" s="18"/>
    </row>
    <row r="739" spans="1:27" x14ac:dyDescent="0.2">
      <c r="A739" s="4" t="s">
        <v>55</v>
      </c>
      <c r="B739" s="4" t="s">
        <v>56</v>
      </c>
      <c r="C739" s="19" t="s">
        <v>907</v>
      </c>
      <c r="D739" s="41" t="s">
        <v>656</v>
      </c>
      <c r="E739" s="42" t="s">
        <v>233</v>
      </c>
      <c r="F739" s="43" t="s">
        <v>58</v>
      </c>
      <c r="G739" s="43">
        <v>800000000</v>
      </c>
      <c r="H739" s="44">
        <v>0</v>
      </c>
      <c r="I739" s="44">
        <v>0</v>
      </c>
      <c r="J739" s="44">
        <v>0</v>
      </c>
      <c r="K739" s="44">
        <v>0</v>
      </c>
      <c r="L739" s="44">
        <v>0</v>
      </c>
      <c r="M739" s="43">
        <v>800000000</v>
      </c>
      <c r="N739" s="44">
        <v>0</v>
      </c>
      <c r="O739" s="44">
        <v>0</v>
      </c>
      <c r="P739" s="44">
        <v>0</v>
      </c>
      <c r="Q739" s="44">
        <v>0</v>
      </c>
      <c r="R739" s="44">
        <v>0</v>
      </c>
      <c r="S739" s="44">
        <v>0</v>
      </c>
      <c r="T739" s="44">
        <v>0</v>
      </c>
      <c r="U739" s="44">
        <v>0</v>
      </c>
      <c r="V739" s="44">
        <v>0</v>
      </c>
      <c r="W739" s="40">
        <f t="shared" ref="W739" si="891">T739+V739</f>
        <v>0</v>
      </c>
      <c r="X739" s="18">
        <f t="shared" ref="X739" si="892">M739-P739</f>
        <v>800000000</v>
      </c>
      <c r="Y739" s="133">
        <f t="shared" ref="Y739" si="893">P739-S739</f>
        <v>0</v>
      </c>
      <c r="Z739" s="34">
        <f t="shared" ref="Z739" si="894">S739-W739</f>
        <v>0</v>
      </c>
      <c r="AA739" s="123">
        <f t="shared" ref="AA739" si="895">S739/M739</f>
        <v>0</v>
      </c>
    </row>
    <row r="740" spans="1:27" ht="25.5" x14ac:dyDescent="0.2">
      <c r="C740" s="19" t="s">
        <v>907</v>
      </c>
      <c r="D740" s="28" t="s">
        <v>288</v>
      </c>
      <c r="E740" s="29" t="s">
        <v>616</v>
      </c>
      <c r="F740" s="17"/>
      <c r="G740" s="18"/>
      <c r="H740" s="34"/>
      <c r="I740" s="34"/>
      <c r="J740" s="34"/>
      <c r="K740" s="34"/>
      <c r="L740" s="34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30"/>
      <c r="X740" s="18"/>
      <c r="Y740" s="18"/>
      <c r="Z740" s="18"/>
      <c r="AA740" s="18"/>
    </row>
    <row r="741" spans="1:27" x14ac:dyDescent="0.2">
      <c r="C741" s="19" t="s">
        <v>907</v>
      </c>
      <c r="D741" s="16"/>
      <c r="E741" s="17"/>
      <c r="F741" s="17"/>
      <c r="G741" s="18"/>
      <c r="H741" s="34"/>
      <c r="I741" s="34"/>
      <c r="J741" s="34"/>
      <c r="K741" s="34"/>
      <c r="L741" s="34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30"/>
      <c r="X741" s="18"/>
      <c r="Y741" s="18"/>
      <c r="Z741" s="18"/>
      <c r="AA741" s="18"/>
    </row>
    <row r="742" spans="1:27" ht="18.75" customHeight="1" x14ac:dyDescent="0.2">
      <c r="C742" s="19" t="s">
        <v>907</v>
      </c>
      <c r="D742" s="16"/>
      <c r="E742" s="29" t="s">
        <v>189</v>
      </c>
      <c r="F742" s="17"/>
      <c r="G742" s="18"/>
      <c r="H742" s="34"/>
      <c r="I742" s="34"/>
      <c r="J742" s="34"/>
      <c r="K742" s="34"/>
      <c r="L742" s="34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30"/>
      <c r="X742" s="18"/>
      <c r="Y742" s="18"/>
      <c r="Z742" s="18"/>
      <c r="AA742" s="18"/>
    </row>
    <row r="743" spans="1:27" ht="38.25" x14ac:dyDescent="0.2">
      <c r="C743" s="19" t="s">
        <v>907</v>
      </c>
      <c r="D743" s="16"/>
      <c r="E743" s="29" t="s">
        <v>193</v>
      </c>
      <c r="F743" s="17"/>
      <c r="G743" s="18"/>
      <c r="H743" s="34"/>
      <c r="I743" s="34"/>
      <c r="J743" s="34"/>
      <c r="K743" s="34"/>
      <c r="L743" s="34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30"/>
      <c r="X743" s="18"/>
      <c r="Y743" s="18"/>
      <c r="Z743" s="18"/>
      <c r="AA743" s="18"/>
    </row>
    <row r="744" spans="1:27" ht="25.5" x14ac:dyDescent="0.2">
      <c r="C744" s="19" t="s">
        <v>907</v>
      </c>
      <c r="D744" s="28" t="s">
        <v>288</v>
      </c>
      <c r="E744" s="29" t="s">
        <v>616</v>
      </c>
      <c r="F744" s="17"/>
      <c r="G744" s="18"/>
      <c r="H744" s="34"/>
      <c r="I744" s="34"/>
      <c r="J744" s="34"/>
      <c r="K744" s="34"/>
      <c r="L744" s="34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30"/>
      <c r="X744" s="18"/>
      <c r="Y744" s="18"/>
      <c r="Z744" s="18"/>
      <c r="AA744" s="18"/>
    </row>
    <row r="745" spans="1:27" x14ac:dyDescent="0.2">
      <c r="A745" s="4" t="s">
        <v>37</v>
      </c>
      <c r="B745" s="4" t="s">
        <v>37</v>
      </c>
      <c r="C745" s="19" t="s">
        <v>907</v>
      </c>
      <c r="D745" s="41" t="s">
        <v>657</v>
      </c>
      <c r="E745" s="42" t="s">
        <v>233</v>
      </c>
      <c r="F745" s="43" t="s">
        <v>58</v>
      </c>
      <c r="G745" s="43">
        <v>400000000</v>
      </c>
      <c r="H745" s="44">
        <v>0</v>
      </c>
      <c r="I745" s="44">
        <v>0</v>
      </c>
      <c r="J745" s="44">
        <v>0</v>
      </c>
      <c r="K745" s="44">
        <v>0</v>
      </c>
      <c r="L745" s="44">
        <v>0</v>
      </c>
      <c r="M745" s="43">
        <v>400000000</v>
      </c>
      <c r="N745" s="44">
        <v>0</v>
      </c>
      <c r="O745" s="44">
        <v>0</v>
      </c>
      <c r="P745" s="44">
        <v>0</v>
      </c>
      <c r="Q745" s="44">
        <v>0</v>
      </c>
      <c r="R745" s="44">
        <v>0</v>
      </c>
      <c r="S745" s="44">
        <v>0</v>
      </c>
      <c r="T745" s="44">
        <v>0</v>
      </c>
      <c r="U745" s="44">
        <v>0</v>
      </c>
      <c r="V745" s="44">
        <v>0</v>
      </c>
      <c r="W745" s="40">
        <f t="shared" ref="W745" si="896">T745+V745</f>
        <v>0</v>
      </c>
      <c r="X745" s="18">
        <f t="shared" ref="X745" si="897">M745-P745</f>
        <v>400000000</v>
      </c>
      <c r="Y745" s="133">
        <f t="shared" ref="Y745" si="898">P745-S745</f>
        <v>0</v>
      </c>
      <c r="Z745" s="34">
        <f t="shared" ref="Z745" si="899">S745-W745</f>
        <v>0</v>
      </c>
      <c r="AA745" s="123">
        <f t="shared" ref="AA745" si="900">S745/M745</f>
        <v>0</v>
      </c>
    </row>
    <row r="746" spans="1:27" x14ac:dyDescent="0.2">
      <c r="C746" s="19" t="s">
        <v>907</v>
      </c>
      <c r="D746" s="16"/>
      <c r="E746" s="17"/>
      <c r="F746" s="17"/>
      <c r="G746" s="18"/>
      <c r="H746" s="34"/>
      <c r="I746" s="34"/>
      <c r="J746" s="34"/>
      <c r="K746" s="34"/>
      <c r="L746" s="34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30"/>
      <c r="X746" s="18"/>
      <c r="Y746" s="34"/>
      <c r="Z746" s="34"/>
      <c r="AA746" s="18"/>
    </row>
    <row r="747" spans="1:27" ht="25.5" x14ac:dyDescent="0.2">
      <c r="C747" s="19" t="s">
        <v>907</v>
      </c>
      <c r="D747" s="16"/>
      <c r="E747" s="29" t="s">
        <v>197</v>
      </c>
      <c r="F747" s="17"/>
      <c r="G747" s="18"/>
      <c r="H747" s="34"/>
      <c r="I747" s="34"/>
      <c r="J747" s="34"/>
      <c r="K747" s="34"/>
      <c r="L747" s="34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30"/>
      <c r="X747" s="18"/>
      <c r="Y747" s="34"/>
      <c r="Z747" s="34"/>
      <c r="AA747" s="18"/>
    </row>
    <row r="748" spans="1:27" ht="25.5" x14ac:dyDescent="0.2">
      <c r="C748" s="19" t="s">
        <v>907</v>
      </c>
      <c r="D748" s="28" t="s">
        <v>288</v>
      </c>
      <c r="E748" s="29" t="s">
        <v>616</v>
      </c>
      <c r="F748" s="17"/>
      <c r="G748" s="18"/>
      <c r="H748" s="34"/>
      <c r="I748" s="34"/>
      <c r="J748" s="34"/>
      <c r="K748" s="34"/>
      <c r="L748" s="34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30"/>
      <c r="X748" s="18"/>
      <c r="Y748" s="34"/>
      <c r="Z748" s="34"/>
      <c r="AA748" s="18"/>
    </row>
    <row r="749" spans="1:27" x14ac:dyDescent="0.2">
      <c r="A749" s="4" t="s">
        <v>55</v>
      </c>
      <c r="B749" s="4" t="s">
        <v>56</v>
      </c>
      <c r="C749" s="19" t="s">
        <v>907</v>
      </c>
      <c r="D749" s="41" t="s">
        <v>658</v>
      </c>
      <c r="E749" s="42" t="s">
        <v>233</v>
      </c>
      <c r="F749" s="43" t="s">
        <v>58</v>
      </c>
      <c r="G749" s="43">
        <v>80000001.5</v>
      </c>
      <c r="H749" s="44">
        <v>0</v>
      </c>
      <c r="I749" s="44">
        <v>0</v>
      </c>
      <c r="J749" s="44">
        <v>0</v>
      </c>
      <c r="K749" s="44">
        <v>0</v>
      </c>
      <c r="L749" s="44">
        <v>0</v>
      </c>
      <c r="M749" s="43">
        <v>80000001.5</v>
      </c>
      <c r="N749" s="44">
        <v>0</v>
      </c>
      <c r="O749" s="44">
        <v>0</v>
      </c>
      <c r="P749" s="44">
        <v>0</v>
      </c>
      <c r="Q749" s="44">
        <v>0</v>
      </c>
      <c r="R749" s="44">
        <v>0</v>
      </c>
      <c r="S749" s="44">
        <v>0</v>
      </c>
      <c r="T749" s="44">
        <v>0</v>
      </c>
      <c r="U749" s="44">
        <v>0</v>
      </c>
      <c r="V749" s="44">
        <v>0</v>
      </c>
      <c r="W749" s="40">
        <f t="shared" ref="W749:W750" si="901">T749+V749</f>
        <v>0</v>
      </c>
      <c r="X749" s="18">
        <f t="shared" ref="X749:X750" si="902">M749-P749</f>
        <v>80000001.5</v>
      </c>
      <c r="Y749" s="133">
        <f t="shared" ref="Y749:Y750" si="903">P749-S749</f>
        <v>0</v>
      </c>
      <c r="Z749" s="34">
        <f t="shared" ref="Z749:Z750" si="904">S749-W749</f>
        <v>0</v>
      </c>
      <c r="AA749" s="123">
        <f t="shared" ref="AA749:AA750" si="905">S749/M749</f>
        <v>0</v>
      </c>
    </row>
    <row r="750" spans="1:27" ht="25.5" x14ac:dyDescent="0.2">
      <c r="A750" s="4" t="s">
        <v>55</v>
      </c>
      <c r="B750" s="4" t="s">
        <v>56</v>
      </c>
      <c r="C750" s="19" t="s">
        <v>907</v>
      </c>
      <c r="D750" s="41" t="s">
        <v>659</v>
      </c>
      <c r="E750" s="42" t="s">
        <v>660</v>
      </c>
      <c r="F750" s="43" t="s">
        <v>368</v>
      </c>
      <c r="G750" s="43">
        <v>18064798.5</v>
      </c>
      <c r="H750" s="44">
        <v>0</v>
      </c>
      <c r="I750" s="44">
        <v>0</v>
      </c>
      <c r="J750" s="44">
        <v>0</v>
      </c>
      <c r="K750" s="44">
        <v>0</v>
      </c>
      <c r="L750" s="44">
        <v>0</v>
      </c>
      <c r="M750" s="43">
        <v>18064798.5</v>
      </c>
      <c r="N750" s="44">
        <v>0</v>
      </c>
      <c r="O750" s="44">
        <v>0</v>
      </c>
      <c r="P750" s="44">
        <v>0</v>
      </c>
      <c r="Q750" s="44">
        <v>0</v>
      </c>
      <c r="R750" s="44">
        <v>0</v>
      </c>
      <c r="S750" s="44">
        <v>0</v>
      </c>
      <c r="T750" s="44">
        <v>0</v>
      </c>
      <c r="U750" s="44">
        <v>0</v>
      </c>
      <c r="V750" s="44">
        <v>0</v>
      </c>
      <c r="W750" s="40">
        <f t="shared" si="901"/>
        <v>0</v>
      </c>
      <c r="X750" s="18">
        <f t="shared" si="902"/>
        <v>18064798.5</v>
      </c>
      <c r="Y750" s="133">
        <f t="shared" si="903"/>
        <v>0</v>
      </c>
      <c r="Z750" s="34">
        <f t="shared" si="904"/>
        <v>0</v>
      </c>
      <c r="AA750" s="123">
        <f t="shared" si="905"/>
        <v>0</v>
      </c>
    </row>
    <row r="751" spans="1:27" x14ac:dyDescent="0.2">
      <c r="C751" s="19" t="s">
        <v>907</v>
      </c>
      <c r="D751" s="16"/>
      <c r="E751" s="17"/>
      <c r="F751" s="17"/>
      <c r="G751" s="18"/>
      <c r="H751" s="34"/>
      <c r="I751" s="34"/>
      <c r="J751" s="34"/>
      <c r="K751" s="34"/>
      <c r="L751" s="34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30"/>
      <c r="X751" s="18"/>
      <c r="Y751" s="18"/>
      <c r="Z751" s="18"/>
      <c r="AA751" s="18"/>
    </row>
    <row r="752" spans="1:27" x14ac:dyDescent="0.2">
      <c r="C752" s="19" t="s">
        <v>907</v>
      </c>
      <c r="D752" s="16"/>
      <c r="E752" s="29" t="s">
        <v>661</v>
      </c>
      <c r="F752" s="17"/>
      <c r="G752" s="18"/>
      <c r="H752" s="34"/>
      <c r="I752" s="34"/>
      <c r="J752" s="34"/>
      <c r="K752" s="34"/>
      <c r="L752" s="34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30"/>
      <c r="X752" s="18"/>
      <c r="Y752" s="18"/>
      <c r="Z752" s="18"/>
      <c r="AA752" s="18"/>
    </row>
    <row r="753" spans="1:27" x14ac:dyDescent="0.2">
      <c r="C753" s="19" t="s">
        <v>907</v>
      </c>
      <c r="D753" s="16"/>
      <c r="E753" s="29" t="s">
        <v>614</v>
      </c>
      <c r="F753" s="17"/>
      <c r="G753" s="18"/>
      <c r="H753" s="34"/>
      <c r="I753" s="34"/>
      <c r="J753" s="34"/>
      <c r="K753" s="34"/>
      <c r="L753" s="34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30"/>
      <c r="X753" s="18"/>
      <c r="Y753" s="18"/>
      <c r="Z753" s="18"/>
      <c r="AA753" s="18"/>
    </row>
    <row r="754" spans="1:27" x14ac:dyDescent="0.2">
      <c r="C754" s="19" t="s">
        <v>907</v>
      </c>
      <c r="D754" s="16"/>
      <c r="E754" s="29" t="s">
        <v>286</v>
      </c>
      <c r="F754" s="17"/>
      <c r="G754" s="18"/>
      <c r="H754" s="34"/>
      <c r="I754" s="34"/>
      <c r="J754" s="34"/>
      <c r="K754" s="34"/>
      <c r="L754" s="34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30"/>
      <c r="X754" s="18"/>
      <c r="Y754" s="18"/>
      <c r="Z754" s="18"/>
      <c r="AA754" s="18"/>
    </row>
    <row r="755" spans="1:27" x14ac:dyDescent="0.2">
      <c r="C755" s="19" t="s">
        <v>907</v>
      </c>
      <c r="D755" s="16"/>
      <c r="E755" s="29" t="s">
        <v>179</v>
      </c>
      <c r="F755" s="17"/>
      <c r="G755" s="18"/>
      <c r="H755" s="34"/>
      <c r="I755" s="34"/>
      <c r="J755" s="34"/>
      <c r="K755" s="34"/>
      <c r="L755" s="34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30"/>
      <c r="X755" s="18"/>
      <c r="Y755" s="18"/>
      <c r="Z755" s="18"/>
      <c r="AA755" s="18"/>
    </row>
    <row r="756" spans="1:27" x14ac:dyDescent="0.2">
      <c r="C756" s="19" t="s">
        <v>907</v>
      </c>
      <c r="D756" s="16"/>
      <c r="E756" s="29" t="s">
        <v>189</v>
      </c>
      <c r="F756" s="17"/>
      <c r="G756" s="18"/>
      <c r="H756" s="34"/>
      <c r="I756" s="34"/>
      <c r="J756" s="34"/>
      <c r="K756" s="34"/>
      <c r="L756" s="34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30"/>
      <c r="X756" s="18"/>
      <c r="Y756" s="18"/>
      <c r="Z756" s="18"/>
      <c r="AA756" s="18"/>
    </row>
    <row r="757" spans="1:27" ht="25.5" x14ac:dyDescent="0.2">
      <c r="C757" s="19" t="s">
        <v>907</v>
      </c>
      <c r="D757" s="16"/>
      <c r="E757" s="29" t="s">
        <v>197</v>
      </c>
      <c r="F757" s="17"/>
      <c r="G757" s="18"/>
      <c r="H757" s="34"/>
      <c r="I757" s="34"/>
      <c r="J757" s="34"/>
      <c r="K757" s="34"/>
      <c r="L757" s="34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30"/>
      <c r="X757" s="18"/>
      <c r="Y757" s="18"/>
      <c r="Z757" s="18"/>
      <c r="AA757" s="18"/>
    </row>
    <row r="758" spans="1:27" x14ac:dyDescent="0.2">
      <c r="C758" s="19" t="s">
        <v>907</v>
      </c>
      <c r="D758" s="28" t="s">
        <v>288</v>
      </c>
      <c r="E758" s="29" t="s">
        <v>591</v>
      </c>
      <c r="F758" s="17"/>
      <c r="G758" s="18"/>
      <c r="H758" s="34"/>
      <c r="I758" s="34"/>
      <c r="J758" s="34"/>
      <c r="K758" s="34"/>
      <c r="L758" s="34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30"/>
      <c r="X758" s="18"/>
      <c r="Y758" s="18"/>
      <c r="Z758" s="18"/>
      <c r="AA758" s="18"/>
    </row>
    <row r="759" spans="1:27" ht="25.5" x14ac:dyDescent="0.2">
      <c r="A759" s="4" t="s">
        <v>55</v>
      </c>
      <c r="B759" s="4" t="s">
        <v>56</v>
      </c>
      <c r="C759" s="19" t="s">
        <v>907</v>
      </c>
      <c r="D759" s="41" t="s">
        <v>662</v>
      </c>
      <c r="E759" s="42" t="s">
        <v>660</v>
      </c>
      <c r="F759" s="43" t="s">
        <v>368</v>
      </c>
      <c r="G759" s="43">
        <v>3179405.26</v>
      </c>
      <c r="H759" s="44">
        <v>0</v>
      </c>
      <c r="I759" s="44">
        <v>0</v>
      </c>
      <c r="J759" s="44">
        <v>0</v>
      </c>
      <c r="K759" s="44">
        <v>0</v>
      </c>
      <c r="L759" s="44">
        <v>0</v>
      </c>
      <c r="M759" s="43">
        <v>3179405.26</v>
      </c>
      <c r="N759" s="44">
        <v>0</v>
      </c>
      <c r="O759" s="44">
        <f>P759-[1]ENERO!O755</f>
        <v>0</v>
      </c>
      <c r="P759" s="43">
        <v>1739249</v>
      </c>
      <c r="Q759" s="43">
        <v>0</v>
      </c>
      <c r="R759" s="43">
        <v>0</v>
      </c>
      <c r="S759" s="43">
        <v>1739249</v>
      </c>
      <c r="T759" s="44">
        <v>0</v>
      </c>
      <c r="U759" s="44">
        <v>0</v>
      </c>
      <c r="V759" s="44">
        <v>0</v>
      </c>
      <c r="W759" s="40">
        <f t="shared" ref="W759" si="906">T759+V759</f>
        <v>0</v>
      </c>
      <c r="X759" s="18">
        <f t="shared" ref="X759" si="907">M759-P759</f>
        <v>1440156.2599999998</v>
      </c>
      <c r="Y759" s="133">
        <f t="shared" ref="Y759" si="908">P759-S759</f>
        <v>0</v>
      </c>
      <c r="Z759" s="18">
        <f t="shared" ref="Z759" si="909">S759-W759</f>
        <v>1739249</v>
      </c>
      <c r="AA759" s="123">
        <f t="shared" ref="AA759" si="910">S759/M759</f>
        <v>0.54703595728466525</v>
      </c>
    </row>
    <row r="760" spans="1:27" x14ac:dyDescent="0.2">
      <c r="C760" s="19" t="s">
        <v>907</v>
      </c>
      <c r="D760" s="16"/>
      <c r="E760" s="17"/>
      <c r="F760" s="17"/>
      <c r="G760" s="18"/>
      <c r="H760" s="34"/>
      <c r="I760" s="34"/>
      <c r="J760" s="34"/>
      <c r="K760" s="34"/>
      <c r="L760" s="34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30"/>
      <c r="X760" s="18"/>
      <c r="Y760" s="18"/>
      <c r="Z760" s="18"/>
      <c r="AA760" s="18"/>
    </row>
    <row r="761" spans="1:27" ht="25.5" x14ac:dyDescent="0.2">
      <c r="C761" s="19" t="s">
        <v>907</v>
      </c>
      <c r="D761" s="16"/>
      <c r="E761" s="29" t="s">
        <v>663</v>
      </c>
      <c r="F761" s="17"/>
      <c r="G761" s="18"/>
      <c r="H761" s="34"/>
      <c r="I761" s="34"/>
      <c r="J761" s="34"/>
      <c r="K761" s="34"/>
      <c r="L761" s="34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30"/>
      <c r="X761" s="18"/>
      <c r="Y761" s="18"/>
      <c r="Z761" s="18"/>
      <c r="AA761" s="18"/>
    </row>
    <row r="762" spans="1:27" x14ac:dyDescent="0.2">
      <c r="C762" s="19" t="s">
        <v>907</v>
      </c>
      <c r="D762" s="16"/>
      <c r="E762" s="29" t="s">
        <v>614</v>
      </c>
      <c r="F762" s="17"/>
      <c r="G762" s="18"/>
      <c r="H762" s="34"/>
      <c r="I762" s="34"/>
      <c r="J762" s="34"/>
      <c r="K762" s="34"/>
      <c r="L762" s="34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30"/>
      <c r="X762" s="18"/>
      <c r="Y762" s="18"/>
      <c r="Z762" s="18"/>
      <c r="AA762" s="18"/>
    </row>
    <row r="763" spans="1:27" x14ac:dyDescent="0.2">
      <c r="C763" s="19" t="s">
        <v>907</v>
      </c>
      <c r="D763" s="16"/>
      <c r="E763" s="29" t="s">
        <v>286</v>
      </c>
      <c r="F763" s="17"/>
      <c r="G763" s="18"/>
      <c r="H763" s="34"/>
      <c r="I763" s="34"/>
      <c r="J763" s="34"/>
      <c r="K763" s="34"/>
      <c r="L763" s="34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30"/>
      <c r="X763" s="18"/>
      <c r="Y763" s="18"/>
      <c r="Z763" s="18"/>
      <c r="AA763" s="18"/>
    </row>
    <row r="764" spans="1:27" ht="18.75" customHeight="1" x14ac:dyDescent="0.2">
      <c r="C764" s="19" t="s">
        <v>907</v>
      </c>
      <c r="D764" s="16"/>
      <c r="E764" s="29" t="s">
        <v>664</v>
      </c>
      <c r="F764" s="17"/>
      <c r="G764" s="18"/>
      <c r="H764" s="34"/>
      <c r="I764" s="34"/>
      <c r="J764" s="34"/>
      <c r="K764" s="34"/>
      <c r="L764" s="34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30"/>
      <c r="X764" s="18"/>
      <c r="Y764" s="18"/>
      <c r="Z764" s="18"/>
      <c r="AA764" s="18"/>
    </row>
    <row r="765" spans="1:27" ht="18.75" customHeight="1" x14ac:dyDescent="0.2">
      <c r="C765" s="19" t="s">
        <v>907</v>
      </c>
      <c r="D765" s="16"/>
      <c r="E765" s="29" t="s">
        <v>575</v>
      </c>
      <c r="F765" s="17"/>
      <c r="G765" s="18"/>
      <c r="H765" s="34"/>
      <c r="I765" s="34"/>
      <c r="J765" s="34"/>
      <c r="K765" s="34"/>
      <c r="L765" s="34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30"/>
      <c r="X765" s="18"/>
      <c r="Y765" s="18"/>
      <c r="Z765" s="18"/>
      <c r="AA765" s="18"/>
    </row>
    <row r="766" spans="1:27" ht="18.75" customHeight="1" x14ac:dyDescent="0.2">
      <c r="C766" s="19" t="s">
        <v>907</v>
      </c>
      <c r="D766" s="16"/>
      <c r="E766" s="29" t="s">
        <v>631</v>
      </c>
      <c r="F766" s="17"/>
      <c r="G766" s="18"/>
      <c r="H766" s="34"/>
      <c r="I766" s="34"/>
      <c r="J766" s="34"/>
      <c r="K766" s="34"/>
      <c r="L766" s="34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30"/>
      <c r="X766" s="18"/>
      <c r="Y766" s="18"/>
      <c r="Z766" s="18"/>
      <c r="AA766" s="18"/>
    </row>
    <row r="767" spans="1:27" ht="18.75" customHeight="1" x14ac:dyDescent="0.2">
      <c r="C767" s="19" t="s">
        <v>907</v>
      </c>
      <c r="D767" s="16"/>
      <c r="E767" s="29" t="s">
        <v>632</v>
      </c>
      <c r="F767" s="17"/>
      <c r="G767" s="18"/>
      <c r="H767" s="34"/>
      <c r="I767" s="34"/>
      <c r="J767" s="34"/>
      <c r="K767" s="34"/>
      <c r="L767" s="34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30"/>
      <c r="X767" s="18"/>
      <c r="Y767" s="18"/>
      <c r="Z767" s="18"/>
      <c r="AA767" s="18"/>
    </row>
    <row r="768" spans="1:27" ht="18.75" customHeight="1" x14ac:dyDescent="0.2">
      <c r="C768" s="19" t="s">
        <v>907</v>
      </c>
      <c r="D768" s="16"/>
      <c r="E768" s="29" t="s">
        <v>633</v>
      </c>
      <c r="F768" s="17"/>
      <c r="G768" s="18"/>
      <c r="H768" s="34"/>
      <c r="I768" s="34"/>
      <c r="J768" s="34"/>
      <c r="K768" s="34"/>
      <c r="L768" s="34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30"/>
      <c r="X768" s="18"/>
      <c r="Y768" s="18"/>
      <c r="Z768" s="18"/>
      <c r="AA768" s="18"/>
    </row>
    <row r="769" spans="1:27" ht="18.75" customHeight="1" x14ac:dyDescent="0.2">
      <c r="C769" s="19" t="s">
        <v>907</v>
      </c>
      <c r="D769" s="16"/>
      <c r="E769" s="29" t="s">
        <v>634</v>
      </c>
      <c r="F769" s="17"/>
      <c r="G769" s="18"/>
      <c r="H769" s="34"/>
      <c r="I769" s="34"/>
      <c r="J769" s="34"/>
      <c r="K769" s="34"/>
      <c r="L769" s="34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30"/>
      <c r="X769" s="18"/>
      <c r="Y769" s="18"/>
      <c r="Z769" s="18"/>
      <c r="AA769" s="18"/>
    </row>
    <row r="770" spans="1:27" ht="18.75" customHeight="1" x14ac:dyDescent="0.2">
      <c r="C770" s="19" t="s">
        <v>907</v>
      </c>
      <c r="D770" s="16"/>
      <c r="E770" s="29" t="s">
        <v>635</v>
      </c>
      <c r="F770" s="17"/>
      <c r="G770" s="18"/>
      <c r="H770" s="34"/>
      <c r="I770" s="34"/>
      <c r="J770" s="34"/>
      <c r="K770" s="34"/>
      <c r="L770" s="34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30"/>
      <c r="X770" s="18"/>
      <c r="Y770" s="18"/>
      <c r="Z770" s="18"/>
      <c r="AA770" s="18"/>
    </row>
    <row r="771" spans="1:27" ht="18.75" customHeight="1" x14ac:dyDescent="0.2">
      <c r="C771" s="19" t="s">
        <v>907</v>
      </c>
      <c r="D771" s="28" t="s">
        <v>288</v>
      </c>
      <c r="E771" s="29" t="s">
        <v>665</v>
      </c>
      <c r="F771" s="17"/>
      <c r="G771" s="18"/>
      <c r="H771" s="34"/>
      <c r="I771" s="34"/>
      <c r="J771" s="34"/>
      <c r="K771" s="34"/>
      <c r="L771" s="34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30"/>
      <c r="X771" s="18"/>
      <c r="Y771" s="18"/>
      <c r="Z771" s="18"/>
      <c r="AA771" s="18"/>
    </row>
    <row r="772" spans="1:27" ht="18.75" customHeight="1" x14ac:dyDescent="0.2">
      <c r="A772" s="4" t="s">
        <v>37</v>
      </c>
      <c r="B772" s="4" t="s">
        <v>37</v>
      </c>
      <c r="C772" s="19" t="s">
        <v>907</v>
      </c>
      <c r="D772" s="41" t="s">
        <v>666</v>
      </c>
      <c r="E772" s="42" t="s">
        <v>233</v>
      </c>
      <c r="F772" s="43" t="s">
        <v>58</v>
      </c>
      <c r="G772" s="43">
        <v>22000000</v>
      </c>
      <c r="H772" s="44">
        <v>0</v>
      </c>
      <c r="I772" s="44">
        <v>0</v>
      </c>
      <c r="J772" s="44">
        <v>0</v>
      </c>
      <c r="K772" s="44">
        <v>0</v>
      </c>
      <c r="L772" s="44">
        <v>0</v>
      </c>
      <c r="M772" s="43">
        <v>22000000</v>
      </c>
      <c r="N772" s="44">
        <v>0</v>
      </c>
      <c r="O772" s="44">
        <v>0</v>
      </c>
      <c r="P772" s="44">
        <v>0</v>
      </c>
      <c r="Q772" s="44">
        <v>0</v>
      </c>
      <c r="R772" s="44">
        <v>0</v>
      </c>
      <c r="S772" s="44">
        <v>0</v>
      </c>
      <c r="T772" s="44">
        <v>0</v>
      </c>
      <c r="U772" s="44">
        <v>0</v>
      </c>
      <c r="V772" s="44">
        <v>0</v>
      </c>
      <c r="W772" s="40">
        <f t="shared" ref="W772" si="911">T772+V772</f>
        <v>0</v>
      </c>
      <c r="X772" s="18">
        <f t="shared" ref="X772" si="912">M772-P772</f>
        <v>22000000</v>
      </c>
      <c r="Y772" s="133">
        <f t="shared" ref="Y772" si="913">P772-S772</f>
        <v>0</v>
      </c>
      <c r="Z772" s="34">
        <f t="shared" ref="Z772" si="914">S772-W772</f>
        <v>0</v>
      </c>
      <c r="AA772" s="123">
        <f t="shared" ref="AA772" si="915">S772/M772</f>
        <v>0</v>
      </c>
    </row>
    <row r="773" spans="1:27" ht="18.75" customHeight="1" x14ac:dyDescent="0.2">
      <c r="C773" s="19" t="s">
        <v>907</v>
      </c>
      <c r="D773" s="16"/>
      <c r="E773" s="17"/>
      <c r="F773" s="17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30"/>
      <c r="X773" s="18"/>
      <c r="Y773" s="34"/>
      <c r="Z773" s="34"/>
      <c r="AA773" s="18"/>
    </row>
    <row r="774" spans="1:27" ht="18.75" customHeight="1" x14ac:dyDescent="0.2">
      <c r="C774" s="19" t="s">
        <v>907</v>
      </c>
      <c r="D774" s="16"/>
      <c r="E774" s="29" t="s">
        <v>179</v>
      </c>
      <c r="F774" s="17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30"/>
      <c r="X774" s="18"/>
      <c r="Y774" s="34"/>
      <c r="Z774" s="34"/>
      <c r="AA774" s="18"/>
    </row>
    <row r="775" spans="1:27" ht="18.75" customHeight="1" x14ac:dyDescent="0.2">
      <c r="C775" s="19" t="s">
        <v>907</v>
      </c>
      <c r="D775" s="16"/>
      <c r="E775" s="29" t="s">
        <v>181</v>
      </c>
      <c r="F775" s="17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30"/>
      <c r="X775" s="18"/>
      <c r="Y775" s="34"/>
      <c r="Z775" s="34"/>
      <c r="AA775" s="18"/>
    </row>
    <row r="776" spans="1:27" ht="25.5" x14ac:dyDescent="0.2">
      <c r="C776" s="19" t="s">
        <v>907</v>
      </c>
      <c r="D776" s="16"/>
      <c r="E776" s="29" t="s">
        <v>183</v>
      </c>
      <c r="F776" s="17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30"/>
      <c r="X776" s="18"/>
      <c r="Y776" s="34"/>
      <c r="Z776" s="34"/>
      <c r="AA776" s="18"/>
    </row>
    <row r="777" spans="1:27" ht="18.75" customHeight="1" x14ac:dyDescent="0.2">
      <c r="C777" s="19" t="s">
        <v>907</v>
      </c>
      <c r="D777" s="28" t="s">
        <v>288</v>
      </c>
      <c r="E777" s="29" t="s">
        <v>667</v>
      </c>
      <c r="F777" s="17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30"/>
      <c r="X777" s="18"/>
      <c r="Y777" s="34"/>
      <c r="Z777" s="34"/>
      <c r="AA777" s="18"/>
    </row>
    <row r="778" spans="1:27" ht="18.75" customHeight="1" x14ac:dyDescent="0.2">
      <c r="A778" s="4" t="s">
        <v>668</v>
      </c>
      <c r="B778" s="4" t="s">
        <v>669</v>
      </c>
      <c r="C778" s="19" t="s">
        <v>907</v>
      </c>
      <c r="D778" s="41" t="s">
        <v>670</v>
      </c>
      <c r="E778" s="42" t="s">
        <v>233</v>
      </c>
      <c r="F778" s="43" t="s">
        <v>58</v>
      </c>
      <c r="G778" s="43">
        <v>1000000000</v>
      </c>
      <c r="H778" s="44">
        <v>0</v>
      </c>
      <c r="I778" s="44">
        <v>0</v>
      </c>
      <c r="J778" s="44">
        <v>0</v>
      </c>
      <c r="K778" s="44">
        <v>0</v>
      </c>
      <c r="L778" s="44">
        <v>0</v>
      </c>
      <c r="M778" s="43">
        <v>1000000000</v>
      </c>
      <c r="N778" s="44">
        <v>0</v>
      </c>
      <c r="O778" s="44">
        <v>0</v>
      </c>
      <c r="P778" s="44">
        <v>0</v>
      </c>
      <c r="Q778" s="44">
        <v>0</v>
      </c>
      <c r="R778" s="44">
        <v>0</v>
      </c>
      <c r="S778" s="44">
        <v>0</v>
      </c>
      <c r="T778" s="44">
        <v>0</v>
      </c>
      <c r="U778" s="44">
        <v>0</v>
      </c>
      <c r="V778" s="44">
        <v>0</v>
      </c>
      <c r="W778" s="40">
        <f t="shared" ref="W778" si="916">T778+V778</f>
        <v>0</v>
      </c>
      <c r="X778" s="18">
        <f t="shared" ref="X778" si="917">M778-P778</f>
        <v>1000000000</v>
      </c>
      <c r="Y778" s="133">
        <f t="shared" ref="Y778" si="918">P778-S778</f>
        <v>0</v>
      </c>
      <c r="Z778" s="34">
        <f t="shared" ref="Z778" si="919">S778-W778</f>
        <v>0</v>
      </c>
      <c r="AA778" s="123">
        <f t="shared" ref="AA778" si="920">S778/M778</f>
        <v>0</v>
      </c>
    </row>
    <row r="779" spans="1:27" ht="18.75" customHeight="1" x14ac:dyDescent="0.2">
      <c r="C779" s="19" t="s">
        <v>907</v>
      </c>
      <c r="D779" s="16"/>
      <c r="E779" s="17"/>
      <c r="F779" s="17"/>
      <c r="G779" s="18"/>
      <c r="H779" s="34"/>
      <c r="I779" s="34"/>
      <c r="J779" s="34"/>
      <c r="K779" s="34"/>
      <c r="L779" s="34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30"/>
      <c r="X779" s="18"/>
      <c r="Y779" s="34"/>
      <c r="Z779" s="34"/>
      <c r="AA779" s="18"/>
    </row>
    <row r="780" spans="1:27" ht="25.5" x14ac:dyDescent="0.2">
      <c r="C780" s="19" t="s">
        <v>907</v>
      </c>
      <c r="D780" s="16"/>
      <c r="E780" s="29" t="s">
        <v>637</v>
      </c>
      <c r="F780" s="17"/>
      <c r="G780" s="18"/>
      <c r="H780" s="34"/>
      <c r="I780" s="34"/>
      <c r="J780" s="34"/>
      <c r="K780" s="34"/>
      <c r="L780" s="34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30"/>
      <c r="X780" s="18"/>
      <c r="Y780" s="34"/>
      <c r="Z780" s="34"/>
      <c r="AA780" s="18"/>
    </row>
    <row r="781" spans="1:27" ht="18.75" customHeight="1" x14ac:dyDescent="0.2">
      <c r="C781" s="19" t="s">
        <v>907</v>
      </c>
      <c r="D781" s="28" t="s">
        <v>288</v>
      </c>
      <c r="E781" s="29" t="s">
        <v>667</v>
      </c>
      <c r="F781" s="17"/>
      <c r="G781" s="18"/>
      <c r="H781" s="34"/>
      <c r="I781" s="34"/>
      <c r="J781" s="34"/>
      <c r="K781" s="34"/>
      <c r="L781" s="34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30"/>
      <c r="X781" s="18"/>
      <c r="Y781" s="34"/>
      <c r="Z781" s="34"/>
      <c r="AA781" s="18"/>
    </row>
    <row r="782" spans="1:27" ht="18.75" customHeight="1" x14ac:dyDescent="0.2">
      <c r="A782" s="4" t="s">
        <v>55</v>
      </c>
      <c r="B782" s="4" t="s">
        <v>56</v>
      </c>
      <c r="C782" s="19" t="s">
        <v>907</v>
      </c>
      <c r="D782" s="41" t="s">
        <v>671</v>
      </c>
      <c r="E782" s="42" t="s">
        <v>233</v>
      </c>
      <c r="F782" s="43" t="s">
        <v>58</v>
      </c>
      <c r="G782" s="43">
        <v>856200000</v>
      </c>
      <c r="H782" s="44">
        <v>0</v>
      </c>
      <c r="I782" s="44">
        <v>0</v>
      </c>
      <c r="J782" s="44">
        <v>0</v>
      </c>
      <c r="K782" s="44">
        <v>0</v>
      </c>
      <c r="L782" s="44">
        <v>0</v>
      </c>
      <c r="M782" s="43">
        <v>856200000</v>
      </c>
      <c r="N782" s="44">
        <v>0</v>
      </c>
      <c r="O782" s="44">
        <v>0</v>
      </c>
      <c r="P782" s="44">
        <v>0</v>
      </c>
      <c r="Q782" s="44">
        <v>0</v>
      </c>
      <c r="R782" s="44">
        <v>0</v>
      </c>
      <c r="S782" s="44">
        <v>0</v>
      </c>
      <c r="T782" s="44">
        <v>0</v>
      </c>
      <c r="U782" s="44">
        <v>0</v>
      </c>
      <c r="V782" s="44">
        <v>0</v>
      </c>
      <c r="W782" s="40">
        <f t="shared" ref="W782" si="921">T782+V782</f>
        <v>0</v>
      </c>
      <c r="X782" s="18">
        <f t="shared" ref="X782" si="922">M782-P782</f>
        <v>856200000</v>
      </c>
      <c r="Y782" s="133">
        <f t="shared" ref="Y782" si="923">P782-S782</f>
        <v>0</v>
      </c>
      <c r="Z782" s="34">
        <f t="shared" ref="Z782" si="924">S782-W782</f>
        <v>0</v>
      </c>
      <c r="AA782" s="123">
        <f t="shared" ref="AA782" si="925">S782/M782</f>
        <v>0</v>
      </c>
    </row>
    <row r="783" spans="1:27" ht="18.75" customHeight="1" x14ac:dyDescent="0.2">
      <c r="C783" s="19" t="s">
        <v>907</v>
      </c>
      <c r="D783" s="16"/>
      <c r="E783" s="17"/>
      <c r="F783" s="17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30"/>
      <c r="X783" s="18"/>
      <c r="Y783" s="34"/>
      <c r="Z783" s="34"/>
      <c r="AA783" s="18"/>
    </row>
    <row r="784" spans="1:27" ht="18.75" customHeight="1" x14ac:dyDescent="0.2">
      <c r="C784" s="19" t="s">
        <v>907</v>
      </c>
      <c r="D784" s="16"/>
      <c r="E784" s="29" t="s">
        <v>189</v>
      </c>
      <c r="F784" s="17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30"/>
      <c r="X784" s="18"/>
      <c r="Y784" s="34"/>
      <c r="Z784" s="34"/>
      <c r="AA784" s="18"/>
    </row>
    <row r="785" spans="1:27" ht="25.5" x14ac:dyDescent="0.2">
      <c r="C785" s="19" t="s">
        <v>907</v>
      </c>
      <c r="D785" s="16"/>
      <c r="E785" s="29" t="s">
        <v>197</v>
      </c>
      <c r="F785" s="17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30"/>
      <c r="X785" s="18"/>
      <c r="Y785" s="34"/>
      <c r="Z785" s="34"/>
      <c r="AA785" s="18"/>
    </row>
    <row r="786" spans="1:27" ht="18.75" customHeight="1" x14ac:dyDescent="0.2">
      <c r="C786" s="19" t="s">
        <v>907</v>
      </c>
      <c r="D786" s="28" t="s">
        <v>288</v>
      </c>
      <c r="E786" s="29" t="s">
        <v>667</v>
      </c>
      <c r="F786" s="17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30"/>
      <c r="X786" s="18"/>
      <c r="Y786" s="18"/>
      <c r="Z786" s="18"/>
      <c r="AA786" s="18"/>
    </row>
    <row r="787" spans="1:27" ht="18.75" customHeight="1" x14ac:dyDescent="0.2">
      <c r="A787" s="4" t="s">
        <v>55</v>
      </c>
      <c r="B787" s="4" t="s">
        <v>56</v>
      </c>
      <c r="C787" s="19" t="s">
        <v>907</v>
      </c>
      <c r="D787" s="41" t="s">
        <v>672</v>
      </c>
      <c r="E787" s="42" t="s">
        <v>233</v>
      </c>
      <c r="F787" s="43" t="s">
        <v>58</v>
      </c>
      <c r="G787" s="43">
        <v>500000000</v>
      </c>
      <c r="H787" s="44">
        <v>0</v>
      </c>
      <c r="I787" s="44">
        <v>0</v>
      </c>
      <c r="J787" s="44">
        <v>0</v>
      </c>
      <c r="K787" s="44">
        <v>0</v>
      </c>
      <c r="L787" s="44">
        <v>0</v>
      </c>
      <c r="M787" s="43">
        <v>500000000</v>
      </c>
      <c r="N787" s="43">
        <v>0</v>
      </c>
      <c r="O787" s="43">
        <f>P787-[1]ENERO!O783</f>
        <v>71740256</v>
      </c>
      <c r="P787" s="43">
        <v>178140256</v>
      </c>
      <c r="Q787" s="43">
        <v>0</v>
      </c>
      <c r="R787" s="43">
        <v>60000000</v>
      </c>
      <c r="S787" s="114">
        <v>92000000</v>
      </c>
      <c r="T787" s="114">
        <v>266667</v>
      </c>
      <c r="U787" s="44">
        <v>0</v>
      </c>
      <c r="V787" s="44">
        <v>0</v>
      </c>
      <c r="W787" s="111">
        <f t="shared" ref="W787" si="926">T787+V787</f>
        <v>266667</v>
      </c>
      <c r="X787" s="18">
        <f t="shared" ref="X787" si="927">M787-P787</f>
        <v>321859744</v>
      </c>
      <c r="Y787" s="110">
        <f t="shared" ref="Y787" si="928">P787-S787</f>
        <v>86140256</v>
      </c>
      <c r="Z787" s="18">
        <f t="shared" ref="Z787" si="929">S787-W787</f>
        <v>91733333</v>
      </c>
      <c r="AA787" s="123">
        <f t="shared" ref="AA787" si="930">S787/M787</f>
        <v>0.184</v>
      </c>
    </row>
    <row r="788" spans="1:27" ht="18.75" customHeight="1" x14ac:dyDescent="0.2">
      <c r="C788" s="19" t="s">
        <v>907</v>
      </c>
      <c r="D788" s="16"/>
      <c r="E788" s="17"/>
      <c r="F788" s="17"/>
      <c r="G788" s="18"/>
      <c r="H788" s="34"/>
      <c r="I788" s="34"/>
      <c r="J788" s="34"/>
      <c r="K788" s="34"/>
      <c r="L788" s="34"/>
      <c r="M788" s="18"/>
      <c r="N788" s="18"/>
      <c r="O788" s="18"/>
      <c r="P788" s="18"/>
      <c r="Q788" s="18"/>
      <c r="R788" s="18"/>
      <c r="S788" s="18"/>
      <c r="T788" s="34"/>
      <c r="U788" s="34"/>
      <c r="V788" s="34"/>
      <c r="W788" s="31"/>
      <c r="X788" s="18"/>
      <c r="Y788" s="18"/>
      <c r="Z788" s="18"/>
      <c r="AA788" s="18"/>
    </row>
    <row r="789" spans="1:27" ht="18.75" customHeight="1" x14ac:dyDescent="0.2">
      <c r="C789" s="19" t="s">
        <v>907</v>
      </c>
      <c r="D789" s="16"/>
      <c r="E789" s="29" t="s">
        <v>199</v>
      </c>
      <c r="F789" s="17"/>
      <c r="G789" s="18"/>
      <c r="H789" s="34"/>
      <c r="I789" s="34"/>
      <c r="J789" s="34"/>
      <c r="K789" s="34"/>
      <c r="L789" s="34"/>
      <c r="M789" s="18"/>
      <c r="N789" s="18"/>
      <c r="O789" s="18"/>
      <c r="P789" s="18"/>
      <c r="Q789" s="18"/>
      <c r="R789" s="18"/>
      <c r="S789" s="18"/>
      <c r="T789" s="34"/>
      <c r="U789" s="34"/>
      <c r="V789" s="34"/>
      <c r="W789" s="31"/>
      <c r="X789" s="18"/>
      <c r="Y789" s="18"/>
      <c r="Z789" s="18"/>
      <c r="AA789" s="18"/>
    </row>
    <row r="790" spans="1:27" ht="18.75" customHeight="1" x14ac:dyDescent="0.2">
      <c r="C790" s="19" t="s">
        <v>907</v>
      </c>
      <c r="D790" s="28" t="s">
        <v>288</v>
      </c>
      <c r="E790" s="29" t="s">
        <v>667</v>
      </c>
      <c r="F790" s="17"/>
      <c r="G790" s="18"/>
      <c r="H790" s="34"/>
      <c r="I790" s="34"/>
      <c r="J790" s="34"/>
      <c r="K790" s="34"/>
      <c r="L790" s="34"/>
      <c r="M790" s="18"/>
      <c r="N790" s="18"/>
      <c r="O790" s="18"/>
      <c r="P790" s="18"/>
      <c r="Q790" s="18"/>
      <c r="R790" s="18"/>
      <c r="S790" s="18"/>
      <c r="T790" s="34"/>
      <c r="U790" s="34"/>
      <c r="V790" s="34"/>
      <c r="W790" s="31"/>
      <c r="X790" s="18"/>
      <c r="Y790" s="18"/>
      <c r="Z790" s="18"/>
      <c r="AA790" s="18"/>
    </row>
    <row r="791" spans="1:27" ht="18.75" customHeight="1" x14ac:dyDescent="0.2">
      <c r="A791" s="4" t="s">
        <v>55</v>
      </c>
      <c r="B791" s="4" t="s">
        <v>56</v>
      </c>
      <c r="C791" s="19" t="s">
        <v>907</v>
      </c>
      <c r="D791" s="41" t="s">
        <v>673</v>
      </c>
      <c r="E791" s="42" t="s">
        <v>233</v>
      </c>
      <c r="F791" s="43" t="s">
        <v>58</v>
      </c>
      <c r="G791" s="43">
        <v>121800000</v>
      </c>
      <c r="H791" s="44">
        <v>0</v>
      </c>
      <c r="I791" s="44">
        <v>0</v>
      </c>
      <c r="J791" s="44">
        <v>0</v>
      </c>
      <c r="K791" s="44">
        <v>0</v>
      </c>
      <c r="L791" s="44">
        <v>0</v>
      </c>
      <c r="M791" s="43">
        <v>121800000</v>
      </c>
      <c r="N791" s="44">
        <v>0</v>
      </c>
      <c r="O791" s="44">
        <v>0</v>
      </c>
      <c r="P791" s="44">
        <v>0</v>
      </c>
      <c r="Q791" s="44">
        <v>0</v>
      </c>
      <c r="R791" s="44">
        <v>0</v>
      </c>
      <c r="S791" s="44">
        <v>0</v>
      </c>
      <c r="T791" s="44">
        <v>0</v>
      </c>
      <c r="U791" s="44">
        <v>0</v>
      </c>
      <c r="V791" s="44">
        <v>0</v>
      </c>
      <c r="W791" s="40">
        <f t="shared" ref="W791" si="931">T791+V791</f>
        <v>0</v>
      </c>
      <c r="X791" s="18">
        <f t="shared" ref="X791" si="932">M791-P791</f>
        <v>121800000</v>
      </c>
      <c r="Y791" s="133">
        <f t="shared" ref="Y791" si="933">P791-S791</f>
        <v>0</v>
      </c>
      <c r="Z791" s="34">
        <f t="shared" ref="Z791" si="934">S791-W791</f>
        <v>0</v>
      </c>
      <c r="AA791" s="123">
        <f t="shared" ref="AA791" si="935">S791/M791</f>
        <v>0</v>
      </c>
    </row>
    <row r="792" spans="1:27" ht="18.75" customHeight="1" x14ac:dyDescent="0.2">
      <c r="C792" s="19" t="s">
        <v>907</v>
      </c>
      <c r="D792" s="16"/>
      <c r="E792" s="17"/>
      <c r="F792" s="17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34"/>
      <c r="U792" s="34"/>
      <c r="V792" s="34"/>
      <c r="W792" s="31"/>
      <c r="X792" s="18"/>
      <c r="Y792" s="18"/>
      <c r="Z792" s="18"/>
      <c r="AA792" s="18"/>
    </row>
    <row r="793" spans="1:27" s="50" customFormat="1" ht="18.75" customHeight="1" x14ac:dyDescent="0.2">
      <c r="B793" s="77"/>
      <c r="C793" s="19" t="s">
        <v>907</v>
      </c>
      <c r="D793" s="46"/>
      <c r="E793" s="47" t="s">
        <v>674</v>
      </c>
      <c r="F793" s="47"/>
      <c r="G793" s="48">
        <f t="shared" ref="G793:V793" si="936">SUM(G625:G792)</f>
        <v>18199312591</v>
      </c>
      <c r="H793" s="49">
        <f t="shared" si="936"/>
        <v>0</v>
      </c>
      <c r="I793" s="49">
        <f t="shared" si="936"/>
        <v>0</v>
      </c>
      <c r="J793" s="48">
        <f t="shared" si="936"/>
        <v>1786729391</v>
      </c>
      <c r="K793" s="48">
        <f t="shared" si="936"/>
        <v>1786729391</v>
      </c>
      <c r="L793" s="49">
        <f t="shared" si="936"/>
        <v>0</v>
      </c>
      <c r="M793" s="48">
        <f t="shared" si="936"/>
        <v>18199312591</v>
      </c>
      <c r="N793" s="49">
        <f t="shared" si="936"/>
        <v>0</v>
      </c>
      <c r="O793" s="48">
        <f t="shared" si="936"/>
        <v>2940273145.21</v>
      </c>
      <c r="P793" s="48">
        <f t="shared" si="936"/>
        <v>5396773145</v>
      </c>
      <c r="Q793" s="48">
        <f t="shared" si="936"/>
        <v>24000000</v>
      </c>
      <c r="R793" s="48">
        <f t="shared" si="936"/>
        <v>668191907</v>
      </c>
      <c r="S793" s="48">
        <f t="shared" si="936"/>
        <v>2649791907</v>
      </c>
      <c r="T793" s="121">
        <f t="shared" si="936"/>
        <v>8170280</v>
      </c>
      <c r="U793" s="121">
        <f t="shared" si="936"/>
        <v>76752474</v>
      </c>
      <c r="V793" s="121">
        <f t="shared" si="936"/>
        <v>76752474</v>
      </c>
      <c r="W793" s="108">
        <f>T793+V793</f>
        <v>84922754</v>
      </c>
      <c r="X793" s="48">
        <f>SUM(X625:X792)</f>
        <v>12802539446</v>
      </c>
      <c r="Y793" s="48">
        <f>SUM(Y625:Y792)</f>
        <v>2746981238</v>
      </c>
      <c r="Z793" s="48">
        <f>SUM(Z625:Z792)</f>
        <v>2564869153</v>
      </c>
      <c r="AA793" s="24">
        <f t="shared" ref="AA793" si="937">S793/M793</f>
        <v>0.14559846113695449</v>
      </c>
    </row>
    <row r="794" spans="1:27" s="79" customFormat="1" ht="18.75" customHeight="1" x14ac:dyDescent="0.2">
      <c r="B794" s="80"/>
      <c r="C794" s="19" t="s">
        <v>907</v>
      </c>
      <c r="D794" s="81"/>
      <c r="E794" s="82"/>
      <c r="F794" s="82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  <c r="AA794" s="83"/>
    </row>
    <row r="795" spans="1:27" s="25" customFormat="1" ht="18.75" customHeight="1" x14ac:dyDescent="0.2">
      <c r="B795" s="71"/>
      <c r="C795" s="19" t="s">
        <v>907</v>
      </c>
      <c r="D795" s="66"/>
      <c r="E795" s="21" t="s">
        <v>675</v>
      </c>
      <c r="F795" s="67"/>
      <c r="G795" s="63"/>
      <c r="H795" s="63"/>
      <c r="I795" s="63"/>
      <c r="J795" s="63"/>
      <c r="K795" s="63"/>
      <c r="L795" s="63"/>
      <c r="M795" s="63"/>
      <c r="N795" s="63"/>
      <c r="O795" s="63"/>
      <c r="P795" s="63"/>
      <c r="Q795" s="63"/>
      <c r="R795" s="63"/>
      <c r="S795" s="63"/>
      <c r="T795" s="63"/>
      <c r="U795" s="63"/>
      <c r="V795" s="63"/>
      <c r="W795" s="63"/>
      <c r="X795" s="63"/>
      <c r="Y795" s="63"/>
      <c r="Z795" s="63"/>
      <c r="AA795" s="63"/>
    </row>
    <row r="796" spans="1:27" ht="18.75" customHeight="1" x14ac:dyDescent="0.2">
      <c r="C796" s="19" t="s">
        <v>907</v>
      </c>
      <c r="D796" s="16"/>
      <c r="E796" s="29" t="s">
        <v>676</v>
      </c>
      <c r="F796" s="17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</row>
    <row r="797" spans="1:27" ht="18.75" customHeight="1" x14ac:dyDescent="0.2">
      <c r="C797" s="19" t="s">
        <v>907</v>
      </c>
      <c r="D797" s="16"/>
      <c r="E797" s="29" t="s">
        <v>286</v>
      </c>
      <c r="F797" s="17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</row>
    <row r="798" spans="1:27" ht="18.75" customHeight="1" x14ac:dyDescent="0.2">
      <c r="C798" s="19" t="s">
        <v>907</v>
      </c>
      <c r="D798" s="16"/>
      <c r="E798" s="29" t="s">
        <v>179</v>
      </c>
      <c r="F798" s="17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</row>
    <row r="799" spans="1:27" ht="18.75" customHeight="1" x14ac:dyDescent="0.2">
      <c r="C799" s="19" t="s">
        <v>907</v>
      </c>
      <c r="D799" s="16"/>
      <c r="E799" s="29" t="s">
        <v>181</v>
      </c>
      <c r="F799" s="17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</row>
    <row r="800" spans="1:27" ht="18.75" customHeight="1" x14ac:dyDescent="0.2">
      <c r="C800" s="19" t="s">
        <v>907</v>
      </c>
      <c r="D800" s="16"/>
      <c r="E800" s="29" t="s">
        <v>187</v>
      </c>
      <c r="F800" s="17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30"/>
      <c r="X800" s="18"/>
      <c r="Y800" s="18"/>
      <c r="Z800" s="18"/>
      <c r="AA800" s="18"/>
    </row>
    <row r="801" spans="1:27" ht="18.75" customHeight="1" x14ac:dyDescent="0.2">
      <c r="C801" s="19" t="s">
        <v>907</v>
      </c>
      <c r="D801" s="28" t="s">
        <v>288</v>
      </c>
      <c r="E801" s="29" t="s">
        <v>292</v>
      </c>
      <c r="F801" s="17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30"/>
      <c r="X801" s="18"/>
      <c r="Y801" s="18"/>
      <c r="Z801" s="18"/>
      <c r="AA801" s="18"/>
    </row>
    <row r="802" spans="1:27" ht="18.75" customHeight="1" x14ac:dyDescent="0.2">
      <c r="A802" s="4" t="s">
        <v>55</v>
      </c>
      <c r="B802" s="4" t="s">
        <v>56</v>
      </c>
      <c r="C802" s="19" t="s">
        <v>907</v>
      </c>
      <c r="D802" s="41" t="s">
        <v>677</v>
      </c>
      <c r="E802" s="42" t="s">
        <v>233</v>
      </c>
      <c r="F802" s="43" t="s">
        <v>58</v>
      </c>
      <c r="G802" s="43">
        <v>10000000</v>
      </c>
      <c r="H802" s="44">
        <v>0</v>
      </c>
      <c r="I802" s="44">
        <v>0</v>
      </c>
      <c r="J802" s="44">
        <v>0</v>
      </c>
      <c r="K802" s="44">
        <v>0</v>
      </c>
      <c r="L802" s="44">
        <v>0</v>
      </c>
      <c r="M802" s="43">
        <v>10000000</v>
      </c>
      <c r="N802" s="44">
        <v>0</v>
      </c>
      <c r="O802" s="44">
        <v>0</v>
      </c>
      <c r="P802" s="44">
        <v>0</v>
      </c>
      <c r="Q802" s="44">
        <v>0</v>
      </c>
      <c r="R802" s="44">
        <v>0</v>
      </c>
      <c r="S802" s="44">
        <v>0</v>
      </c>
      <c r="T802" s="44">
        <v>0</v>
      </c>
      <c r="U802" s="44">
        <v>0</v>
      </c>
      <c r="V802" s="44">
        <v>0</v>
      </c>
      <c r="W802" s="40">
        <f t="shared" ref="W802" si="938">T802+V802</f>
        <v>0</v>
      </c>
      <c r="X802" s="18">
        <f t="shared" ref="X802" si="939">M802-P802</f>
        <v>10000000</v>
      </c>
      <c r="Y802" s="133">
        <f t="shared" ref="Y802" si="940">P802-S802</f>
        <v>0</v>
      </c>
      <c r="Z802" s="34">
        <f t="shared" ref="Z802" si="941">S802-W802</f>
        <v>0</v>
      </c>
      <c r="AA802" s="123">
        <f t="shared" ref="AA802" si="942">S802/M802</f>
        <v>0</v>
      </c>
    </row>
    <row r="803" spans="1:27" ht="25.5" x14ac:dyDescent="0.2">
      <c r="C803" s="19" t="s">
        <v>907</v>
      </c>
      <c r="D803" s="28" t="s">
        <v>288</v>
      </c>
      <c r="E803" s="29" t="s">
        <v>678</v>
      </c>
      <c r="F803" s="17"/>
      <c r="G803" s="18"/>
      <c r="H803" s="18"/>
      <c r="I803" s="18"/>
      <c r="J803" s="18"/>
      <c r="K803" s="18"/>
      <c r="L803" s="18"/>
      <c r="M803" s="18"/>
      <c r="N803" s="34"/>
      <c r="O803" s="34"/>
      <c r="P803" s="34"/>
      <c r="Q803" s="34"/>
      <c r="R803" s="34"/>
      <c r="S803" s="34"/>
      <c r="T803" s="34"/>
      <c r="U803" s="34"/>
      <c r="V803" s="34"/>
      <c r="W803" s="40"/>
      <c r="X803" s="18"/>
      <c r="Y803" s="34"/>
      <c r="Z803" s="34"/>
      <c r="AA803" s="18"/>
    </row>
    <row r="804" spans="1:27" x14ac:dyDescent="0.2">
      <c r="A804" s="4" t="s">
        <v>55</v>
      </c>
      <c r="B804" s="4" t="s">
        <v>56</v>
      </c>
      <c r="C804" s="19" t="s">
        <v>907</v>
      </c>
      <c r="D804" s="41" t="s">
        <v>679</v>
      </c>
      <c r="E804" s="42" t="s">
        <v>233</v>
      </c>
      <c r="F804" s="43" t="s">
        <v>58</v>
      </c>
      <c r="G804" s="43">
        <v>14000000</v>
      </c>
      <c r="H804" s="44">
        <v>0</v>
      </c>
      <c r="I804" s="44">
        <v>0</v>
      </c>
      <c r="J804" s="44">
        <v>0</v>
      </c>
      <c r="K804" s="44">
        <v>0</v>
      </c>
      <c r="L804" s="44">
        <v>0</v>
      </c>
      <c r="M804" s="43">
        <v>14000000</v>
      </c>
      <c r="N804" s="44">
        <v>0</v>
      </c>
      <c r="O804" s="44">
        <v>0</v>
      </c>
      <c r="P804" s="44">
        <v>0</v>
      </c>
      <c r="Q804" s="44">
        <v>0</v>
      </c>
      <c r="R804" s="44">
        <v>0</v>
      </c>
      <c r="S804" s="44">
        <v>0</v>
      </c>
      <c r="T804" s="44">
        <v>0</v>
      </c>
      <c r="U804" s="44">
        <v>0</v>
      </c>
      <c r="V804" s="44">
        <v>0</v>
      </c>
      <c r="W804" s="40">
        <f t="shared" ref="W804:W823" si="943">T804+V804</f>
        <v>0</v>
      </c>
      <c r="X804" s="18">
        <f t="shared" ref="X804" si="944">M804-P804</f>
        <v>14000000</v>
      </c>
      <c r="Y804" s="133">
        <f t="shared" ref="Y804" si="945">P804-S804</f>
        <v>0</v>
      </c>
      <c r="Z804" s="34">
        <f t="shared" ref="Z804" si="946">S804-W804</f>
        <v>0</v>
      </c>
      <c r="AA804" s="123">
        <f t="shared" ref="AA804" si="947">S804/M804</f>
        <v>0</v>
      </c>
    </row>
    <row r="805" spans="1:27" x14ac:dyDescent="0.2">
      <c r="C805" s="19" t="s">
        <v>907</v>
      </c>
      <c r="D805" s="16"/>
      <c r="E805" s="17"/>
      <c r="F805" s="17"/>
      <c r="G805" s="18"/>
      <c r="H805" s="34"/>
      <c r="I805" s="34"/>
      <c r="J805" s="34"/>
      <c r="K805" s="34"/>
      <c r="L805" s="34"/>
      <c r="M805" s="18"/>
      <c r="N805" s="34"/>
      <c r="O805" s="34"/>
      <c r="P805" s="34"/>
      <c r="Q805" s="34"/>
      <c r="R805" s="34"/>
      <c r="S805" s="34"/>
      <c r="T805" s="18"/>
      <c r="U805" s="18"/>
      <c r="V805" s="18"/>
      <c r="W805" s="30"/>
      <c r="X805" s="18"/>
      <c r="Y805" s="18"/>
      <c r="Z805" s="18"/>
      <c r="AA805" s="18"/>
    </row>
    <row r="806" spans="1:27" x14ac:dyDescent="0.2">
      <c r="C806" s="19" t="s">
        <v>907</v>
      </c>
      <c r="D806" s="16"/>
      <c r="E806" s="29" t="s">
        <v>189</v>
      </c>
      <c r="F806" s="17"/>
      <c r="G806" s="18"/>
      <c r="H806" s="34"/>
      <c r="I806" s="34"/>
      <c r="J806" s="34"/>
      <c r="K806" s="34"/>
      <c r="L806" s="34"/>
      <c r="M806" s="18"/>
      <c r="N806" s="34"/>
      <c r="O806" s="34"/>
      <c r="P806" s="34"/>
      <c r="Q806" s="34"/>
      <c r="R806" s="34"/>
      <c r="S806" s="34"/>
      <c r="T806" s="18"/>
      <c r="U806" s="18"/>
      <c r="V806" s="18"/>
      <c r="W806" s="30"/>
      <c r="X806" s="18"/>
      <c r="Y806" s="18"/>
      <c r="Z806" s="18"/>
      <c r="AA806" s="18"/>
    </row>
    <row r="807" spans="1:27" ht="25.5" x14ac:dyDescent="0.2">
      <c r="C807" s="19" t="s">
        <v>907</v>
      </c>
      <c r="D807" s="16"/>
      <c r="E807" s="29" t="s">
        <v>197</v>
      </c>
      <c r="F807" s="17"/>
      <c r="G807" s="18"/>
      <c r="H807" s="34"/>
      <c r="I807" s="34"/>
      <c r="J807" s="34"/>
      <c r="K807" s="34"/>
      <c r="L807" s="34"/>
      <c r="M807" s="18"/>
      <c r="N807" s="34"/>
      <c r="O807" s="34"/>
      <c r="P807" s="34"/>
      <c r="Q807" s="34"/>
      <c r="R807" s="34"/>
      <c r="S807" s="34"/>
      <c r="T807" s="18"/>
      <c r="U807" s="18"/>
      <c r="V807" s="18"/>
      <c r="W807" s="30"/>
      <c r="X807" s="18"/>
      <c r="Y807" s="18"/>
      <c r="Z807" s="18"/>
      <c r="AA807" s="18"/>
    </row>
    <row r="808" spans="1:27" x14ac:dyDescent="0.2">
      <c r="C808" s="19" t="s">
        <v>907</v>
      </c>
      <c r="D808" s="28" t="s">
        <v>288</v>
      </c>
      <c r="E808" s="29" t="s">
        <v>292</v>
      </c>
      <c r="F808" s="17"/>
      <c r="G808" s="18"/>
      <c r="H808" s="34"/>
      <c r="I808" s="34"/>
      <c r="J808" s="34"/>
      <c r="K808" s="34"/>
      <c r="L808" s="34"/>
      <c r="M808" s="18"/>
      <c r="N808" s="34"/>
      <c r="O808" s="34"/>
      <c r="P808" s="34"/>
      <c r="Q808" s="34"/>
      <c r="R808" s="34"/>
      <c r="S808" s="34"/>
      <c r="T808" s="18"/>
      <c r="U808" s="18"/>
      <c r="V808" s="18"/>
      <c r="W808" s="30"/>
      <c r="X808" s="18"/>
      <c r="Y808" s="18"/>
      <c r="Z808" s="18"/>
      <c r="AA808" s="18"/>
    </row>
    <row r="809" spans="1:27" x14ac:dyDescent="0.2">
      <c r="A809" s="4" t="s">
        <v>55</v>
      </c>
      <c r="B809" s="4" t="s">
        <v>56</v>
      </c>
      <c r="C809" s="19" t="s">
        <v>907</v>
      </c>
      <c r="D809" s="41" t="s">
        <v>680</v>
      </c>
      <c r="E809" s="42" t="s">
        <v>233</v>
      </c>
      <c r="F809" s="43" t="s">
        <v>58</v>
      </c>
      <c r="G809" s="43">
        <v>90000000</v>
      </c>
      <c r="H809" s="44">
        <v>0</v>
      </c>
      <c r="I809" s="44">
        <v>0</v>
      </c>
      <c r="J809" s="44">
        <v>0</v>
      </c>
      <c r="K809" s="44">
        <v>0</v>
      </c>
      <c r="L809" s="44">
        <v>0</v>
      </c>
      <c r="M809" s="43">
        <v>90000000</v>
      </c>
      <c r="N809" s="44">
        <v>0</v>
      </c>
      <c r="O809" s="44">
        <v>0</v>
      </c>
      <c r="P809" s="44">
        <v>0</v>
      </c>
      <c r="Q809" s="44">
        <v>0</v>
      </c>
      <c r="R809" s="44">
        <v>0</v>
      </c>
      <c r="S809" s="44">
        <v>0</v>
      </c>
      <c r="T809" s="44">
        <v>0</v>
      </c>
      <c r="U809" s="44">
        <v>0</v>
      </c>
      <c r="V809" s="44">
        <v>0</v>
      </c>
      <c r="W809" s="40">
        <f t="shared" ref="W809" si="948">T809+V809</f>
        <v>0</v>
      </c>
      <c r="X809" s="18">
        <f t="shared" ref="X809" si="949">M809-P809</f>
        <v>90000000</v>
      </c>
      <c r="Y809" s="133">
        <f t="shared" ref="Y809" si="950">P809-S809</f>
        <v>0</v>
      </c>
      <c r="Z809" s="34">
        <f t="shared" ref="Z809" si="951">S809-W809</f>
        <v>0</v>
      </c>
      <c r="AA809" s="123">
        <f t="shared" ref="AA809" si="952">S809/M809</f>
        <v>0</v>
      </c>
    </row>
    <row r="810" spans="1:27" ht="25.5" x14ac:dyDescent="0.2">
      <c r="C810" s="19" t="s">
        <v>907</v>
      </c>
      <c r="D810" s="28" t="s">
        <v>288</v>
      </c>
      <c r="E810" s="29" t="s">
        <v>678</v>
      </c>
      <c r="F810" s="17"/>
      <c r="G810" s="18"/>
      <c r="H810" s="34"/>
      <c r="I810" s="34"/>
      <c r="J810" s="34"/>
      <c r="K810" s="34"/>
      <c r="L810" s="34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30"/>
      <c r="X810" s="18"/>
      <c r="Y810" s="18"/>
      <c r="Z810" s="18"/>
      <c r="AA810" s="18"/>
    </row>
    <row r="811" spans="1:27" x14ac:dyDescent="0.2">
      <c r="A811" s="4" t="s">
        <v>55</v>
      </c>
      <c r="B811" s="4" t="s">
        <v>56</v>
      </c>
      <c r="C811" s="19" t="s">
        <v>907</v>
      </c>
      <c r="D811" s="41" t="s">
        <v>681</v>
      </c>
      <c r="E811" s="42" t="s">
        <v>233</v>
      </c>
      <c r="F811" s="43" t="s">
        <v>58</v>
      </c>
      <c r="G811" s="43">
        <v>4085500000</v>
      </c>
      <c r="H811" s="44">
        <v>0</v>
      </c>
      <c r="I811" s="44">
        <v>0</v>
      </c>
      <c r="J811" s="43">
        <v>2080000000</v>
      </c>
      <c r="K811" s="44">
        <v>0</v>
      </c>
      <c r="L811" s="43">
        <f>H811-I811+J811-K811</f>
        <v>2080000000</v>
      </c>
      <c r="M811" s="43">
        <f>G811+L811</f>
        <v>6165500000</v>
      </c>
      <c r="N811" s="44">
        <v>0</v>
      </c>
      <c r="O811" s="43">
        <f>P811-[1]ENERO!O807</f>
        <v>384650000</v>
      </c>
      <c r="P811" s="43">
        <v>779150000</v>
      </c>
      <c r="Q811" s="43">
        <v>24500000</v>
      </c>
      <c r="R811" s="43">
        <v>482650000</v>
      </c>
      <c r="S811" s="43">
        <v>723150000</v>
      </c>
      <c r="T811" s="44">
        <v>0</v>
      </c>
      <c r="U811" s="114">
        <v>4573333</v>
      </c>
      <c r="V811" s="114">
        <v>4573333</v>
      </c>
      <c r="W811" s="111">
        <f t="shared" ref="W811" si="953">T811+V811</f>
        <v>4573333</v>
      </c>
      <c r="X811" s="18">
        <f t="shared" ref="X811" si="954">M811-P811</f>
        <v>5386350000</v>
      </c>
      <c r="Y811" s="110">
        <f t="shared" ref="Y811" si="955">P811-S811</f>
        <v>56000000</v>
      </c>
      <c r="Z811" s="18">
        <f t="shared" ref="Z811" si="956">S811-W811</f>
        <v>718576667</v>
      </c>
      <c r="AA811" s="123">
        <f t="shared" ref="AA811" si="957">S811/M811</f>
        <v>0.11728975752169329</v>
      </c>
    </row>
    <row r="812" spans="1:27" ht="25.5" x14ac:dyDescent="0.2">
      <c r="C812" s="19" t="s">
        <v>907</v>
      </c>
      <c r="D812" s="28" t="s">
        <v>288</v>
      </c>
      <c r="E812" s="29" t="s">
        <v>682</v>
      </c>
      <c r="F812" s="17"/>
      <c r="G812" s="18"/>
      <c r="H812" s="34"/>
      <c r="I812" s="34"/>
      <c r="J812" s="34"/>
      <c r="K812" s="34"/>
      <c r="L812" s="34"/>
      <c r="M812" s="18"/>
      <c r="N812" s="18"/>
      <c r="O812" s="18"/>
      <c r="P812" s="18"/>
      <c r="Q812" s="18"/>
      <c r="R812" s="18"/>
      <c r="S812" s="18"/>
      <c r="T812" s="34"/>
      <c r="U812" s="34"/>
      <c r="V812" s="34"/>
      <c r="W812" s="31"/>
      <c r="X812" s="18"/>
      <c r="Y812" s="18"/>
      <c r="Z812" s="18"/>
      <c r="AA812" s="18"/>
    </row>
    <row r="813" spans="1:27" x14ac:dyDescent="0.2">
      <c r="A813" s="4" t="s">
        <v>55</v>
      </c>
      <c r="B813" s="4" t="s">
        <v>56</v>
      </c>
      <c r="C813" s="19" t="s">
        <v>907</v>
      </c>
      <c r="D813" s="41" t="s">
        <v>683</v>
      </c>
      <c r="E813" s="42" t="s">
        <v>233</v>
      </c>
      <c r="F813" s="43" t="s">
        <v>58</v>
      </c>
      <c r="G813" s="43">
        <v>467600000</v>
      </c>
      <c r="H813" s="44">
        <v>0</v>
      </c>
      <c r="I813" s="44">
        <v>0</v>
      </c>
      <c r="J813" s="43">
        <v>2580000000</v>
      </c>
      <c r="K813" s="44">
        <v>0</v>
      </c>
      <c r="L813" s="43">
        <f>H813-I813+J813-K813</f>
        <v>2580000000</v>
      </c>
      <c r="M813" s="43">
        <f>G813+L813</f>
        <v>3047600000</v>
      </c>
      <c r="N813" s="44">
        <v>0</v>
      </c>
      <c r="O813" s="43">
        <f>P813-[1]ENERO!O809</f>
        <v>340050000</v>
      </c>
      <c r="P813" s="43">
        <v>428050000</v>
      </c>
      <c r="Q813" s="43">
        <v>45800000</v>
      </c>
      <c r="R813" s="43">
        <v>332750000</v>
      </c>
      <c r="S813" s="43">
        <v>350750000</v>
      </c>
      <c r="T813" s="44">
        <v>0</v>
      </c>
      <c r="U813" s="114">
        <v>300000</v>
      </c>
      <c r="V813" s="114">
        <v>300000</v>
      </c>
      <c r="W813" s="111">
        <f t="shared" ref="W813" si="958">T813+V813</f>
        <v>300000</v>
      </c>
      <c r="X813" s="18">
        <f t="shared" ref="X813" si="959">M813-P813</f>
        <v>2619550000</v>
      </c>
      <c r="Y813" s="110">
        <f t="shared" ref="Y813" si="960">P813-S813</f>
        <v>77300000</v>
      </c>
      <c r="Z813" s="18">
        <f t="shared" ref="Z813" si="961">S813-W813</f>
        <v>350450000</v>
      </c>
      <c r="AA813" s="123">
        <f t="shared" ref="AA813" si="962">S813/M813</f>
        <v>0.11509056306601917</v>
      </c>
    </row>
    <row r="814" spans="1:27" x14ac:dyDescent="0.2">
      <c r="C814" s="19" t="s">
        <v>907</v>
      </c>
      <c r="D814" s="28" t="s">
        <v>288</v>
      </c>
      <c r="E814" s="68" t="s">
        <v>684</v>
      </c>
      <c r="F814" s="17"/>
      <c r="G814" s="18"/>
      <c r="H814" s="34"/>
      <c r="I814" s="34"/>
      <c r="J814" s="34"/>
      <c r="K814" s="34"/>
      <c r="L814" s="34"/>
      <c r="M814" s="18"/>
      <c r="N814" s="34"/>
      <c r="O814" s="18"/>
      <c r="P814" s="18"/>
      <c r="Q814" s="18"/>
      <c r="R814" s="18"/>
      <c r="S814" s="18"/>
      <c r="T814" s="34"/>
      <c r="U814" s="34"/>
      <c r="V814" s="34"/>
      <c r="W814" s="31"/>
      <c r="X814" s="18"/>
      <c r="Y814" s="18"/>
      <c r="Z814" s="18"/>
      <c r="AA814" s="18"/>
    </row>
    <row r="815" spans="1:27" x14ac:dyDescent="0.2">
      <c r="A815" s="4" t="s">
        <v>55</v>
      </c>
      <c r="B815" s="4" t="s">
        <v>56</v>
      </c>
      <c r="C815" s="19" t="s">
        <v>907</v>
      </c>
      <c r="D815" s="41" t="s">
        <v>685</v>
      </c>
      <c r="E815" s="69" t="s">
        <v>233</v>
      </c>
      <c r="F815" s="43" t="s">
        <v>58</v>
      </c>
      <c r="G815" s="43">
        <v>6107898530</v>
      </c>
      <c r="H815" s="44">
        <v>0</v>
      </c>
      <c r="I815" s="44">
        <v>0</v>
      </c>
      <c r="J815" s="44">
        <v>0</v>
      </c>
      <c r="K815" s="44">
        <v>0</v>
      </c>
      <c r="L815" s="44">
        <v>0</v>
      </c>
      <c r="M815" s="43">
        <v>6107898530</v>
      </c>
      <c r="N815" s="44">
        <v>0</v>
      </c>
      <c r="O815" s="44">
        <v>0</v>
      </c>
      <c r="P815" s="44">
        <v>0</v>
      </c>
      <c r="Q815" s="43">
        <v>0</v>
      </c>
      <c r="R815" s="43">
        <v>0</v>
      </c>
      <c r="S815" s="43">
        <v>0</v>
      </c>
      <c r="T815" s="44">
        <v>0</v>
      </c>
      <c r="U815" s="44">
        <v>0</v>
      </c>
      <c r="V815" s="44">
        <v>0</v>
      </c>
      <c r="W815" s="40">
        <f t="shared" ref="W815" si="963">T815+V815</f>
        <v>0</v>
      </c>
      <c r="X815" s="18">
        <f t="shared" ref="X815" si="964">M815-P815</f>
        <v>6107898530</v>
      </c>
      <c r="Y815" s="133">
        <f t="shared" ref="Y815" si="965">P815-S815</f>
        <v>0</v>
      </c>
      <c r="Z815" s="34">
        <f t="shared" ref="Z815" si="966">S815-W815</f>
        <v>0</v>
      </c>
      <c r="AA815" s="123">
        <f t="shared" ref="AA815" si="967">S815/M815</f>
        <v>0</v>
      </c>
    </row>
    <row r="816" spans="1:27" x14ac:dyDescent="0.2">
      <c r="C816" s="19" t="s">
        <v>907</v>
      </c>
      <c r="D816" s="28" t="s">
        <v>288</v>
      </c>
      <c r="E816" s="29" t="s">
        <v>306</v>
      </c>
      <c r="F816" s="17"/>
      <c r="G816" s="18"/>
      <c r="H816" s="34"/>
      <c r="I816" s="34"/>
      <c r="J816" s="34"/>
      <c r="K816" s="34"/>
      <c r="L816" s="34"/>
      <c r="M816" s="18"/>
      <c r="N816" s="34"/>
      <c r="O816" s="18"/>
      <c r="P816" s="18"/>
      <c r="Q816" s="18"/>
      <c r="R816" s="18"/>
      <c r="S816" s="18"/>
      <c r="T816" s="34"/>
      <c r="U816" s="34"/>
      <c r="V816" s="34"/>
      <c r="W816" s="31"/>
      <c r="X816" s="18"/>
      <c r="Y816" s="34"/>
      <c r="Z816" s="18"/>
      <c r="AA816" s="18"/>
    </row>
    <row r="817" spans="1:27" x14ac:dyDescent="0.2">
      <c r="A817" s="4" t="s">
        <v>55</v>
      </c>
      <c r="B817" s="4" t="s">
        <v>56</v>
      </c>
      <c r="C817" s="19" t="s">
        <v>907</v>
      </c>
      <c r="D817" s="41" t="s">
        <v>307</v>
      </c>
      <c r="E817" s="42" t="s">
        <v>233</v>
      </c>
      <c r="F817" s="43" t="s">
        <v>58</v>
      </c>
      <c r="G817" s="43">
        <v>147500000</v>
      </c>
      <c r="H817" s="44">
        <v>0</v>
      </c>
      <c r="I817" s="44">
        <v>0</v>
      </c>
      <c r="J817" s="44">
        <v>0</v>
      </c>
      <c r="K817" s="44">
        <v>0</v>
      </c>
      <c r="L817" s="44">
        <v>0</v>
      </c>
      <c r="M817" s="43">
        <v>147500000</v>
      </c>
      <c r="N817" s="44">
        <v>0</v>
      </c>
      <c r="O817" s="43">
        <f>P817-[1]ENERO!O813</f>
        <v>26600000</v>
      </c>
      <c r="P817" s="43">
        <v>127700000</v>
      </c>
      <c r="Q817" s="43">
        <v>0</v>
      </c>
      <c r="R817" s="43">
        <v>26600000</v>
      </c>
      <c r="S817" s="43">
        <v>127700000</v>
      </c>
      <c r="T817" s="44">
        <v>0</v>
      </c>
      <c r="U817" s="114">
        <v>3923333</v>
      </c>
      <c r="V817" s="114">
        <v>3923333</v>
      </c>
      <c r="W817" s="111">
        <f t="shared" ref="W817" si="968">T817+V817</f>
        <v>3923333</v>
      </c>
      <c r="X817" s="110">
        <f t="shared" ref="X817" si="969">M817-P817</f>
        <v>19800000</v>
      </c>
      <c r="Y817" s="133">
        <f t="shared" ref="Y817" si="970">P817-S817</f>
        <v>0</v>
      </c>
      <c r="Z817" s="18">
        <f t="shared" ref="Z817" si="971">S817-W817</f>
        <v>123776667</v>
      </c>
      <c r="AA817" s="123">
        <f t="shared" ref="AA817" si="972">S817/M817</f>
        <v>0.86576271186440679</v>
      </c>
    </row>
    <row r="818" spans="1:27" x14ac:dyDescent="0.2">
      <c r="C818" s="19" t="s">
        <v>907</v>
      </c>
      <c r="D818" s="28" t="s">
        <v>288</v>
      </c>
      <c r="E818" s="29" t="s">
        <v>400</v>
      </c>
      <c r="F818" s="17"/>
      <c r="G818" s="18"/>
      <c r="H818" s="34"/>
      <c r="I818" s="34"/>
      <c r="J818" s="34"/>
      <c r="K818" s="34"/>
      <c r="L818" s="34"/>
      <c r="M818" s="18"/>
      <c r="N818" s="34"/>
      <c r="O818" s="18"/>
      <c r="P818" s="18"/>
      <c r="Q818" s="18"/>
      <c r="R818" s="18"/>
      <c r="S818" s="18"/>
      <c r="T818" s="18"/>
      <c r="U818" s="110"/>
      <c r="V818" s="110"/>
      <c r="W818" s="109"/>
      <c r="X818" s="110"/>
      <c r="Y818" s="18"/>
      <c r="Z818" s="18"/>
      <c r="AA818" s="18"/>
    </row>
    <row r="819" spans="1:27" x14ac:dyDescent="0.2">
      <c r="A819" s="4" t="s">
        <v>55</v>
      </c>
      <c r="B819" s="4" t="s">
        <v>56</v>
      </c>
      <c r="C819" s="19" t="s">
        <v>907</v>
      </c>
      <c r="D819" s="41" t="s">
        <v>401</v>
      </c>
      <c r="E819" s="42" t="s">
        <v>233</v>
      </c>
      <c r="F819" s="43" t="s">
        <v>58</v>
      </c>
      <c r="G819" s="43">
        <v>996500000</v>
      </c>
      <c r="H819" s="44">
        <v>0</v>
      </c>
      <c r="I819" s="44">
        <v>0</v>
      </c>
      <c r="J819" s="43">
        <v>140000000</v>
      </c>
      <c r="K819" s="44">
        <v>0</v>
      </c>
      <c r="L819" s="43">
        <f>H819-I819+J819-K819</f>
        <v>140000000</v>
      </c>
      <c r="M819" s="43">
        <f>G819+L819</f>
        <v>1136500000</v>
      </c>
      <c r="N819" s="44">
        <v>0</v>
      </c>
      <c r="O819" s="43">
        <f>P819-[1]ENERO!O815</f>
        <v>91500000</v>
      </c>
      <c r="P819" s="43">
        <v>683750000</v>
      </c>
      <c r="Q819" s="43">
        <v>0</v>
      </c>
      <c r="R819" s="43">
        <v>120800000</v>
      </c>
      <c r="S819" s="43">
        <v>670250000</v>
      </c>
      <c r="T819" s="34">
        <v>0</v>
      </c>
      <c r="U819" s="110">
        <v>18560001</v>
      </c>
      <c r="V819" s="110">
        <v>18560001</v>
      </c>
      <c r="W819" s="111">
        <f t="shared" ref="W819:W821" si="973">T819+V819</f>
        <v>18560001</v>
      </c>
      <c r="X819" s="110">
        <f t="shared" ref="X819:X821" si="974">M819-P819</f>
        <v>452750000</v>
      </c>
      <c r="Y819" s="110">
        <f t="shared" ref="Y819:Y821" si="975">P819-S819</f>
        <v>13500000</v>
      </c>
      <c r="Z819" s="18">
        <f t="shared" ref="Z819:Z821" si="976">S819-W819</f>
        <v>651689999</v>
      </c>
      <c r="AA819" s="123">
        <f t="shared" ref="AA819:AA821" si="977">S819/M819</f>
        <v>0.58974923009238889</v>
      </c>
    </row>
    <row r="820" spans="1:27" x14ac:dyDescent="0.2">
      <c r="A820" s="4" t="s">
        <v>55</v>
      </c>
      <c r="B820" s="4" t="s">
        <v>56</v>
      </c>
      <c r="C820" s="19" t="s">
        <v>907</v>
      </c>
      <c r="D820" s="41" t="s">
        <v>686</v>
      </c>
      <c r="E820" s="42" t="s">
        <v>687</v>
      </c>
      <c r="F820" s="43" t="s">
        <v>428</v>
      </c>
      <c r="G820" s="43">
        <v>51500000</v>
      </c>
      <c r="H820" s="44">
        <v>0</v>
      </c>
      <c r="I820" s="44">
        <v>0</v>
      </c>
      <c r="J820" s="44">
        <v>0</v>
      </c>
      <c r="K820" s="44">
        <v>0</v>
      </c>
      <c r="L820" s="44">
        <v>0</v>
      </c>
      <c r="M820" s="43">
        <v>51500000</v>
      </c>
      <c r="N820" s="44">
        <v>0</v>
      </c>
      <c r="O820" s="43">
        <f>P820-[1]ENERO!O816</f>
        <v>9000000</v>
      </c>
      <c r="P820" s="43">
        <v>51400000</v>
      </c>
      <c r="Q820" s="43">
        <v>0</v>
      </c>
      <c r="R820" s="43">
        <v>51400000</v>
      </c>
      <c r="S820" s="43">
        <v>51400000</v>
      </c>
      <c r="T820" s="34">
        <v>0</v>
      </c>
      <c r="U820" s="34">
        <v>0</v>
      </c>
      <c r="V820" s="34">
        <v>0</v>
      </c>
      <c r="W820" s="40">
        <f t="shared" si="973"/>
        <v>0</v>
      </c>
      <c r="X820" s="18">
        <f t="shared" si="974"/>
        <v>100000</v>
      </c>
      <c r="Y820" s="133">
        <f t="shared" si="975"/>
        <v>0</v>
      </c>
      <c r="Z820" s="18">
        <f t="shared" si="976"/>
        <v>51400000</v>
      </c>
      <c r="AA820" s="123">
        <f t="shared" si="977"/>
        <v>0.99805825242718449</v>
      </c>
    </row>
    <row r="821" spans="1:27" ht="25.5" x14ac:dyDescent="0.2">
      <c r="A821" s="4" t="s">
        <v>55</v>
      </c>
      <c r="B821" s="4" t="s">
        <v>56</v>
      </c>
      <c r="C821" s="19" t="s">
        <v>907</v>
      </c>
      <c r="D821" s="41" t="s">
        <v>688</v>
      </c>
      <c r="E821" s="42" t="s">
        <v>689</v>
      </c>
      <c r="F821" s="43" t="s">
        <v>368</v>
      </c>
      <c r="G821" s="43">
        <v>6785951</v>
      </c>
      <c r="H821" s="44">
        <v>0</v>
      </c>
      <c r="I821" s="44">
        <v>0</v>
      </c>
      <c r="J821" s="44">
        <v>0</v>
      </c>
      <c r="K821" s="44">
        <v>0</v>
      </c>
      <c r="L821" s="44">
        <v>0</v>
      </c>
      <c r="M821" s="43">
        <v>6785951</v>
      </c>
      <c r="N821" s="44">
        <v>0</v>
      </c>
      <c r="O821" s="44">
        <v>0</v>
      </c>
      <c r="P821" s="44">
        <v>0</v>
      </c>
      <c r="Q821" s="44">
        <v>0</v>
      </c>
      <c r="R821" s="44">
        <v>0</v>
      </c>
      <c r="S821" s="44">
        <v>0</v>
      </c>
      <c r="T821" s="34">
        <v>0</v>
      </c>
      <c r="U821" s="34">
        <v>0</v>
      </c>
      <c r="V821" s="34">
        <v>0</v>
      </c>
      <c r="W821" s="40">
        <f t="shared" si="973"/>
        <v>0</v>
      </c>
      <c r="X821" s="18">
        <f t="shared" si="974"/>
        <v>6785951</v>
      </c>
      <c r="Y821" s="133">
        <f t="shared" si="975"/>
        <v>0</v>
      </c>
      <c r="Z821" s="34">
        <f t="shared" si="976"/>
        <v>0</v>
      </c>
      <c r="AA821" s="123">
        <f t="shared" si="977"/>
        <v>0</v>
      </c>
    </row>
    <row r="822" spans="1:27" ht="25.5" x14ac:dyDescent="0.2">
      <c r="C822" s="19" t="s">
        <v>907</v>
      </c>
      <c r="D822" s="28" t="s">
        <v>288</v>
      </c>
      <c r="E822" s="29" t="s">
        <v>690</v>
      </c>
      <c r="F822" s="17"/>
      <c r="G822" s="18"/>
      <c r="H822" s="34"/>
      <c r="I822" s="34"/>
      <c r="J822" s="34"/>
      <c r="K822" s="34"/>
      <c r="L822" s="34"/>
      <c r="M822" s="18"/>
      <c r="N822" s="34"/>
      <c r="O822" s="34"/>
      <c r="P822" s="34"/>
      <c r="Q822" s="34"/>
      <c r="R822" s="34"/>
      <c r="S822" s="34"/>
      <c r="T822" s="34"/>
      <c r="U822" s="34"/>
      <c r="V822" s="34"/>
      <c r="W822" s="40"/>
      <c r="X822" s="18"/>
      <c r="Y822" s="18"/>
      <c r="Z822" s="18"/>
      <c r="AA822" s="18"/>
    </row>
    <row r="823" spans="1:27" x14ac:dyDescent="0.2">
      <c r="A823" s="4" t="s">
        <v>55</v>
      </c>
      <c r="B823" s="4" t="s">
        <v>56</v>
      </c>
      <c r="C823" s="19" t="s">
        <v>907</v>
      </c>
      <c r="D823" s="41" t="s">
        <v>691</v>
      </c>
      <c r="E823" s="42" t="s">
        <v>233</v>
      </c>
      <c r="F823" s="43" t="s">
        <v>58</v>
      </c>
      <c r="G823" s="43">
        <v>368900000</v>
      </c>
      <c r="H823" s="44">
        <v>0</v>
      </c>
      <c r="I823" s="44">
        <v>0</v>
      </c>
      <c r="J823" s="44">
        <v>0</v>
      </c>
      <c r="K823" s="44">
        <v>0</v>
      </c>
      <c r="L823" s="44">
        <v>0</v>
      </c>
      <c r="M823" s="43">
        <v>368900000</v>
      </c>
      <c r="N823" s="44">
        <v>0</v>
      </c>
      <c r="O823" s="114">
        <f>P823-[1]ENERO!O819</f>
        <v>172200000</v>
      </c>
      <c r="P823" s="114">
        <v>172200000</v>
      </c>
      <c r="Q823" s="114">
        <v>58800000</v>
      </c>
      <c r="R823" s="114">
        <v>113400000</v>
      </c>
      <c r="S823" s="114">
        <v>113400000</v>
      </c>
      <c r="T823" s="34">
        <v>0</v>
      </c>
      <c r="U823" s="34">
        <v>0</v>
      </c>
      <c r="V823" s="34">
        <v>0</v>
      </c>
      <c r="W823" s="40">
        <f t="shared" si="943"/>
        <v>0</v>
      </c>
      <c r="X823" s="18">
        <f t="shared" ref="X823" si="978">M823-P823</f>
        <v>196700000</v>
      </c>
      <c r="Y823" s="110">
        <f t="shared" ref="Y823" si="979">P823-S823</f>
        <v>58800000</v>
      </c>
      <c r="Z823" s="18">
        <f t="shared" ref="Z823" si="980">S823-W823</f>
        <v>113400000</v>
      </c>
      <c r="AA823" s="123">
        <f t="shared" ref="AA823" si="981">S823/M823</f>
        <v>0.30740037950664134</v>
      </c>
    </row>
    <row r="824" spans="1:27" x14ac:dyDescent="0.2">
      <c r="C824" s="19" t="s">
        <v>907</v>
      </c>
      <c r="D824" s="16"/>
      <c r="E824" s="17"/>
      <c r="F824" s="17"/>
      <c r="G824" s="18"/>
      <c r="H824" s="34"/>
      <c r="I824" s="34"/>
      <c r="J824" s="34"/>
      <c r="K824" s="34"/>
      <c r="L824" s="34"/>
      <c r="M824" s="18"/>
      <c r="N824" s="18"/>
      <c r="O824" s="18"/>
      <c r="P824" s="18"/>
      <c r="Q824" s="18"/>
      <c r="R824" s="18"/>
      <c r="S824" s="18"/>
      <c r="T824" s="34"/>
      <c r="U824" s="34"/>
      <c r="V824" s="34"/>
      <c r="W824" s="40"/>
      <c r="X824" s="18"/>
      <c r="Y824" s="18"/>
      <c r="Z824" s="18"/>
      <c r="AA824" s="18"/>
    </row>
    <row r="825" spans="1:27" ht="18.75" customHeight="1" x14ac:dyDescent="0.2">
      <c r="C825" s="19" t="s">
        <v>907</v>
      </c>
      <c r="D825" s="46"/>
      <c r="E825" s="47" t="s">
        <v>692</v>
      </c>
      <c r="F825" s="47"/>
      <c r="G825" s="48">
        <f>SUM(G798:G824)</f>
        <v>12346184481</v>
      </c>
      <c r="H825" s="49">
        <f t="shared" ref="H825:Z825" si="982">SUM(H798:H824)</f>
        <v>0</v>
      </c>
      <c r="I825" s="49">
        <f t="shared" si="982"/>
        <v>0</v>
      </c>
      <c r="J825" s="48">
        <f t="shared" si="982"/>
        <v>4800000000</v>
      </c>
      <c r="K825" s="49">
        <f t="shared" si="982"/>
        <v>0</v>
      </c>
      <c r="L825" s="48">
        <f t="shared" si="982"/>
        <v>4800000000</v>
      </c>
      <c r="M825" s="48">
        <f t="shared" si="982"/>
        <v>17146184481</v>
      </c>
      <c r="N825" s="49">
        <f t="shared" si="982"/>
        <v>0</v>
      </c>
      <c r="O825" s="48">
        <f t="shared" si="982"/>
        <v>1024000000</v>
      </c>
      <c r="P825" s="48">
        <f t="shared" si="982"/>
        <v>2242250000</v>
      </c>
      <c r="Q825" s="48">
        <f t="shared" si="982"/>
        <v>129100000</v>
      </c>
      <c r="R825" s="48">
        <f t="shared" si="982"/>
        <v>1127600000</v>
      </c>
      <c r="S825" s="48">
        <f t="shared" si="982"/>
        <v>2036650000</v>
      </c>
      <c r="T825" s="49">
        <f t="shared" si="982"/>
        <v>0</v>
      </c>
      <c r="U825" s="121">
        <f t="shared" si="982"/>
        <v>27356667</v>
      </c>
      <c r="V825" s="121">
        <f t="shared" si="982"/>
        <v>27356667</v>
      </c>
      <c r="W825" s="108">
        <f>T825+V825</f>
        <v>27356667</v>
      </c>
      <c r="X825" s="48">
        <f t="shared" si="982"/>
        <v>14903934481</v>
      </c>
      <c r="Y825" s="48">
        <f t="shared" si="982"/>
        <v>205600000</v>
      </c>
      <c r="Z825" s="48">
        <f t="shared" si="982"/>
        <v>2009293333</v>
      </c>
      <c r="AA825" s="24">
        <f t="shared" ref="AA825" si="983">S825/M825</f>
        <v>0.1187815284652308</v>
      </c>
    </row>
    <row r="826" spans="1:27" ht="18.75" customHeight="1" x14ac:dyDescent="0.2">
      <c r="C826" s="19" t="s">
        <v>907</v>
      </c>
      <c r="D826" s="16"/>
      <c r="E826" s="17"/>
      <c r="F826" s="17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</row>
    <row r="827" spans="1:27" s="25" customFormat="1" ht="18.75" customHeight="1" x14ac:dyDescent="0.2">
      <c r="B827" s="71"/>
      <c r="C827" s="19" t="s">
        <v>907</v>
      </c>
      <c r="D827" s="66"/>
      <c r="E827" s="21" t="s">
        <v>693</v>
      </c>
      <c r="F827" s="67"/>
      <c r="G827" s="63"/>
      <c r="H827" s="63"/>
      <c r="I827" s="63"/>
      <c r="J827" s="63"/>
      <c r="K827" s="63"/>
      <c r="L827" s="63"/>
      <c r="M827" s="63"/>
      <c r="N827" s="63"/>
      <c r="O827" s="63"/>
      <c r="P827" s="63"/>
      <c r="Q827" s="63"/>
      <c r="R827" s="63"/>
      <c r="S827" s="63"/>
      <c r="T827" s="63"/>
      <c r="U827" s="63"/>
      <c r="V827" s="63"/>
      <c r="W827" s="63"/>
      <c r="X827" s="63"/>
      <c r="Y827" s="63"/>
      <c r="Z827" s="63"/>
      <c r="AA827" s="63"/>
    </row>
    <row r="828" spans="1:27" ht="18.75" customHeight="1" x14ac:dyDescent="0.2">
      <c r="C828" s="19" t="s">
        <v>907</v>
      </c>
      <c r="D828" s="16"/>
      <c r="E828" s="29" t="s">
        <v>285</v>
      </c>
      <c r="F828" s="17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</row>
    <row r="829" spans="1:27" ht="18.75" customHeight="1" x14ac:dyDescent="0.2">
      <c r="C829" s="19" t="s">
        <v>907</v>
      </c>
      <c r="D829" s="16"/>
      <c r="E829" s="29" t="s">
        <v>286</v>
      </c>
      <c r="F829" s="17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</row>
    <row r="830" spans="1:27" ht="18.75" customHeight="1" x14ac:dyDescent="0.2">
      <c r="C830" s="19" t="s">
        <v>907</v>
      </c>
      <c r="D830" s="16"/>
      <c r="E830" s="29" t="s">
        <v>179</v>
      </c>
      <c r="F830" s="17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</row>
    <row r="831" spans="1:27" x14ac:dyDescent="0.2">
      <c r="C831" s="19" t="s">
        <v>907</v>
      </c>
      <c r="D831" s="16"/>
      <c r="E831" s="29" t="s">
        <v>189</v>
      </c>
      <c r="F831" s="17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</row>
    <row r="832" spans="1:27" ht="38.25" x14ac:dyDescent="0.2">
      <c r="C832" s="19" t="s">
        <v>907</v>
      </c>
      <c r="D832" s="16"/>
      <c r="E832" s="29" t="s">
        <v>193</v>
      </c>
      <c r="F832" s="17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30"/>
      <c r="X832" s="18"/>
      <c r="Y832" s="18"/>
      <c r="Z832" s="18"/>
      <c r="AA832" s="18"/>
    </row>
    <row r="833" spans="1:27" ht="25.5" x14ac:dyDescent="0.2">
      <c r="C833" s="19" t="s">
        <v>907</v>
      </c>
      <c r="D833" s="28" t="s">
        <v>288</v>
      </c>
      <c r="E833" s="29" t="s">
        <v>694</v>
      </c>
      <c r="F833" s="17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30"/>
      <c r="X833" s="18"/>
      <c r="Y833" s="18"/>
      <c r="Z833" s="18"/>
      <c r="AA833" s="18"/>
    </row>
    <row r="834" spans="1:27" x14ac:dyDescent="0.2">
      <c r="A834" s="4" t="s">
        <v>55</v>
      </c>
      <c r="B834" s="4" t="s">
        <v>56</v>
      </c>
      <c r="C834" s="19" t="s">
        <v>907</v>
      </c>
      <c r="D834" s="41" t="s">
        <v>695</v>
      </c>
      <c r="E834" s="42" t="s">
        <v>233</v>
      </c>
      <c r="F834" s="43" t="s">
        <v>58</v>
      </c>
      <c r="G834" s="43">
        <v>20000000000</v>
      </c>
      <c r="H834" s="44">
        <v>0</v>
      </c>
      <c r="I834" s="44">
        <v>0</v>
      </c>
      <c r="J834" s="44">
        <v>0</v>
      </c>
      <c r="K834" s="43">
        <v>10000000000</v>
      </c>
      <c r="L834" s="43">
        <f>H834-I834+J834-K834</f>
        <v>-10000000000</v>
      </c>
      <c r="M834" s="43">
        <f>G834+L834</f>
        <v>10000000000</v>
      </c>
      <c r="N834" s="115">
        <v>0</v>
      </c>
      <c r="O834" s="114">
        <f>P834-[1]ENERO!O830</f>
        <v>8927500500</v>
      </c>
      <c r="P834" s="114">
        <v>8927500500</v>
      </c>
      <c r="Q834" s="114">
        <v>0</v>
      </c>
      <c r="R834" s="114">
        <v>8927500500</v>
      </c>
      <c r="S834" s="114">
        <v>8927500500</v>
      </c>
      <c r="T834" s="115">
        <v>0</v>
      </c>
      <c r="U834" s="114">
        <v>3000000000</v>
      </c>
      <c r="V834" s="114">
        <v>3000000000</v>
      </c>
      <c r="W834" s="111">
        <f t="shared" ref="W834:W846" si="984">T834+V834</f>
        <v>3000000000</v>
      </c>
      <c r="X834" s="18">
        <f t="shared" ref="X834" si="985">M834-P834</f>
        <v>1072499500</v>
      </c>
      <c r="Y834" s="133">
        <f t="shared" ref="Y834" si="986">P834-S834</f>
        <v>0</v>
      </c>
      <c r="Z834" s="18">
        <f t="shared" ref="Z834" si="987">S834-W834</f>
        <v>5927500500</v>
      </c>
      <c r="AA834" s="123">
        <f t="shared" ref="AA834" si="988">S834/M834</f>
        <v>0.89275004999999996</v>
      </c>
    </row>
    <row r="835" spans="1:27" x14ac:dyDescent="0.2">
      <c r="C835" s="19" t="s">
        <v>907</v>
      </c>
      <c r="D835" s="16"/>
      <c r="E835" s="17"/>
      <c r="F835" s="17"/>
      <c r="G835" s="18"/>
      <c r="H835" s="34"/>
      <c r="I835" s="34"/>
      <c r="J835" s="34"/>
      <c r="K835" s="34"/>
      <c r="L835" s="34"/>
      <c r="M835" s="18"/>
      <c r="N835" s="18"/>
      <c r="O835" s="18"/>
      <c r="P835" s="18"/>
      <c r="Q835" s="18"/>
      <c r="R835" s="18"/>
      <c r="S835" s="34"/>
      <c r="T835" s="34"/>
      <c r="U835" s="34"/>
      <c r="V835" s="34"/>
      <c r="W835" s="40">
        <f t="shared" si="984"/>
        <v>0</v>
      </c>
      <c r="X835" s="18"/>
      <c r="Y835" s="18"/>
      <c r="Z835" s="18"/>
      <c r="AA835" s="18"/>
    </row>
    <row r="836" spans="1:27" ht="25.5" x14ac:dyDescent="0.2">
      <c r="C836" s="19" t="s">
        <v>907</v>
      </c>
      <c r="D836" s="16"/>
      <c r="E836" s="29" t="s">
        <v>195</v>
      </c>
      <c r="F836" s="17"/>
      <c r="G836" s="18"/>
      <c r="H836" s="34"/>
      <c r="I836" s="34"/>
      <c r="J836" s="34"/>
      <c r="K836" s="34"/>
      <c r="L836" s="34"/>
      <c r="M836" s="18"/>
      <c r="N836" s="18"/>
      <c r="O836" s="18"/>
      <c r="P836" s="18"/>
      <c r="Q836" s="18"/>
      <c r="R836" s="18"/>
      <c r="S836" s="34"/>
      <c r="T836" s="34"/>
      <c r="U836" s="34"/>
      <c r="V836" s="34"/>
      <c r="W836" s="40"/>
      <c r="X836" s="18"/>
      <c r="Y836" s="18"/>
      <c r="Z836" s="18"/>
      <c r="AA836" s="18"/>
    </row>
    <row r="837" spans="1:27" ht="25.5" x14ac:dyDescent="0.2">
      <c r="C837" s="19" t="s">
        <v>907</v>
      </c>
      <c r="D837" s="28" t="s">
        <v>288</v>
      </c>
      <c r="E837" s="29" t="s">
        <v>696</v>
      </c>
      <c r="F837" s="17"/>
      <c r="G837" s="18"/>
      <c r="H837" s="34"/>
      <c r="I837" s="34"/>
      <c r="J837" s="34"/>
      <c r="K837" s="34"/>
      <c r="L837" s="34"/>
      <c r="M837" s="18"/>
      <c r="N837" s="18"/>
      <c r="O837" s="18"/>
      <c r="P837" s="18"/>
      <c r="Q837" s="18"/>
      <c r="R837" s="18"/>
      <c r="S837" s="34"/>
      <c r="T837" s="34"/>
      <c r="U837" s="34"/>
      <c r="V837" s="34"/>
      <c r="W837" s="40"/>
      <c r="X837" s="18"/>
      <c r="Y837" s="18"/>
      <c r="Z837" s="18"/>
      <c r="AA837" s="18"/>
    </row>
    <row r="838" spans="1:27" x14ac:dyDescent="0.2">
      <c r="A838" s="4" t="s">
        <v>55</v>
      </c>
      <c r="B838" s="4" t="s">
        <v>56</v>
      </c>
      <c r="C838" s="19" t="s">
        <v>907</v>
      </c>
      <c r="D838" s="41" t="s">
        <v>697</v>
      </c>
      <c r="E838" s="42" t="s">
        <v>233</v>
      </c>
      <c r="F838" s="43" t="s">
        <v>58</v>
      </c>
      <c r="G838" s="43">
        <v>5000000000</v>
      </c>
      <c r="H838" s="44">
        <v>0</v>
      </c>
      <c r="I838" s="44">
        <v>0</v>
      </c>
      <c r="J838" s="44">
        <v>0</v>
      </c>
      <c r="K838" s="44">
        <v>0</v>
      </c>
      <c r="L838" s="44">
        <v>0</v>
      </c>
      <c r="M838" s="43">
        <v>5000000000</v>
      </c>
      <c r="N838" s="44">
        <v>0</v>
      </c>
      <c r="O838" s="44">
        <v>0</v>
      </c>
      <c r="P838" s="44">
        <v>0</v>
      </c>
      <c r="Q838" s="44">
        <v>0</v>
      </c>
      <c r="R838" s="44">
        <v>0</v>
      </c>
      <c r="S838" s="44">
        <v>0</v>
      </c>
      <c r="T838" s="44">
        <v>0</v>
      </c>
      <c r="U838" s="44">
        <v>0</v>
      </c>
      <c r="V838" s="44">
        <v>0</v>
      </c>
      <c r="W838" s="40">
        <f t="shared" ref="W838" si="989">T838+V838</f>
        <v>0</v>
      </c>
      <c r="X838" s="18">
        <f t="shared" ref="X838" si="990">M838-P838</f>
        <v>5000000000</v>
      </c>
      <c r="Y838" s="133">
        <f t="shared" ref="Y838" si="991">P838-S838</f>
        <v>0</v>
      </c>
      <c r="Z838" s="34">
        <f t="shared" ref="Z838" si="992">S838-W838</f>
        <v>0</v>
      </c>
      <c r="AA838" s="123">
        <f t="shared" ref="AA838" si="993">S838/M838</f>
        <v>0</v>
      </c>
    </row>
    <row r="839" spans="1:27" ht="25.5" x14ac:dyDescent="0.2">
      <c r="C839" s="19" t="s">
        <v>907</v>
      </c>
      <c r="D839" s="28" t="s">
        <v>288</v>
      </c>
      <c r="E839" s="29" t="s">
        <v>698</v>
      </c>
      <c r="F839" s="17"/>
      <c r="G839" s="18"/>
      <c r="H839" s="18"/>
      <c r="I839" s="18"/>
      <c r="J839" s="18"/>
      <c r="K839" s="18"/>
      <c r="L839" s="18"/>
      <c r="M839" s="18"/>
      <c r="N839" s="34"/>
      <c r="O839" s="34"/>
      <c r="P839" s="34"/>
      <c r="Q839" s="34"/>
      <c r="R839" s="34"/>
      <c r="S839" s="34"/>
      <c r="T839" s="18"/>
      <c r="U839" s="18"/>
      <c r="V839" s="18"/>
      <c r="W839" s="39"/>
      <c r="X839" s="18"/>
      <c r="Y839" s="34"/>
      <c r="Z839" s="34"/>
      <c r="AA839" s="18"/>
    </row>
    <row r="840" spans="1:27" x14ac:dyDescent="0.2">
      <c r="A840" s="4" t="s">
        <v>55</v>
      </c>
      <c r="B840" s="4" t="s">
        <v>56</v>
      </c>
      <c r="C840" s="19" t="s">
        <v>907</v>
      </c>
      <c r="D840" s="41" t="s">
        <v>699</v>
      </c>
      <c r="E840" s="42" t="s">
        <v>233</v>
      </c>
      <c r="F840" s="43" t="s">
        <v>58</v>
      </c>
      <c r="G840" s="43">
        <v>4500000000</v>
      </c>
      <c r="H840" s="44">
        <v>0</v>
      </c>
      <c r="I840" s="44">
        <v>0</v>
      </c>
      <c r="J840" s="44">
        <v>0</v>
      </c>
      <c r="K840" s="44">
        <v>0</v>
      </c>
      <c r="L840" s="44">
        <v>0</v>
      </c>
      <c r="M840" s="43">
        <v>4500000000</v>
      </c>
      <c r="N840" s="44">
        <v>0</v>
      </c>
      <c r="O840" s="44">
        <v>0</v>
      </c>
      <c r="P840" s="44">
        <v>0</v>
      </c>
      <c r="Q840" s="44">
        <v>0</v>
      </c>
      <c r="R840" s="44">
        <v>0</v>
      </c>
      <c r="S840" s="44">
        <v>0</v>
      </c>
      <c r="T840" s="44">
        <v>0</v>
      </c>
      <c r="U840" s="44">
        <v>0</v>
      </c>
      <c r="V840" s="44">
        <v>0</v>
      </c>
      <c r="W840" s="40">
        <f t="shared" si="984"/>
        <v>0</v>
      </c>
      <c r="X840" s="18">
        <f t="shared" ref="X840" si="994">M840-P840</f>
        <v>4500000000</v>
      </c>
      <c r="Y840" s="133">
        <f t="shared" ref="Y840" si="995">P840-S840</f>
        <v>0</v>
      </c>
      <c r="Z840" s="34">
        <f t="shared" ref="Z840" si="996">S840-W840</f>
        <v>0</v>
      </c>
      <c r="AA840" s="123">
        <f t="shared" ref="AA840" si="997">S840/M840</f>
        <v>0</v>
      </c>
    </row>
    <row r="841" spans="1:27" x14ac:dyDescent="0.2">
      <c r="C841" s="19" t="s">
        <v>907</v>
      </c>
      <c r="D841" s="16"/>
      <c r="E841" s="17"/>
      <c r="F841" s="17"/>
      <c r="G841" s="18"/>
      <c r="H841" s="34"/>
      <c r="I841" s="34"/>
      <c r="J841" s="34"/>
      <c r="K841" s="34"/>
      <c r="L841" s="34"/>
      <c r="M841" s="18"/>
      <c r="N841" s="34"/>
      <c r="O841" s="34"/>
      <c r="P841" s="34"/>
      <c r="Q841" s="34"/>
      <c r="R841" s="34"/>
      <c r="S841" s="34"/>
      <c r="T841" s="34"/>
      <c r="U841" s="34"/>
      <c r="V841" s="34"/>
      <c r="W841" s="31"/>
      <c r="X841" s="18"/>
      <c r="Y841" s="34"/>
      <c r="Z841" s="34"/>
      <c r="AA841" s="18"/>
    </row>
    <row r="842" spans="1:27" ht="25.5" x14ac:dyDescent="0.2">
      <c r="C842" s="19" t="s">
        <v>907</v>
      </c>
      <c r="D842" s="16"/>
      <c r="E842" s="29" t="s">
        <v>197</v>
      </c>
      <c r="F842" s="17"/>
      <c r="G842" s="18"/>
      <c r="H842" s="34"/>
      <c r="I842" s="34"/>
      <c r="J842" s="34"/>
      <c r="K842" s="34"/>
      <c r="L842" s="34"/>
      <c r="M842" s="18"/>
      <c r="N842" s="34"/>
      <c r="O842" s="34"/>
      <c r="P842" s="34"/>
      <c r="Q842" s="34"/>
      <c r="R842" s="34"/>
      <c r="S842" s="34"/>
      <c r="T842" s="34"/>
      <c r="U842" s="34"/>
      <c r="V842" s="34"/>
      <c r="W842" s="31"/>
      <c r="X842" s="18"/>
      <c r="Y842" s="34"/>
      <c r="Z842" s="34"/>
      <c r="AA842" s="18"/>
    </row>
    <row r="843" spans="1:27" ht="25.5" x14ac:dyDescent="0.2">
      <c r="C843" s="19" t="s">
        <v>907</v>
      </c>
      <c r="D843" s="28" t="s">
        <v>288</v>
      </c>
      <c r="E843" s="29" t="s">
        <v>700</v>
      </c>
      <c r="F843" s="17"/>
      <c r="G843" s="18"/>
      <c r="H843" s="34"/>
      <c r="I843" s="34"/>
      <c r="J843" s="34"/>
      <c r="K843" s="34"/>
      <c r="L843" s="34"/>
      <c r="M843" s="18"/>
      <c r="N843" s="34"/>
      <c r="O843" s="34"/>
      <c r="P843" s="34"/>
      <c r="Q843" s="34"/>
      <c r="R843" s="34"/>
      <c r="S843" s="34"/>
      <c r="T843" s="34"/>
      <c r="U843" s="34"/>
      <c r="V843" s="34"/>
      <c r="W843" s="31"/>
      <c r="X843" s="18"/>
      <c r="Y843" s="34"/>
      <c r="Z843" s="34"/>
      <c r="AA843" s="18"/>
    </row>
    <row r="844" spans="1:27" x14ac:dyDescent="0.2">
      <c r="A844" s="4" t="s">
        <v>55</v>
      </c>
      <c r="B844" s="4" t="s">
        <v>56</v>
      </c>
      <c r="C844" s="19" t="s">
        <v>907</v>
      </c>
      <c r="D844" s="41" t="s">
        <v>701</v>
      </c>
      <c r="E844" s="42" t="s">
        <v>233</v>
      </c>
      <c r="F844" s="43" t="s">
        <v>58</v>
      </c>
      <c r="G844" s="43">
        <v>4500000000</v>
      </c>
      <c r="H844" s="44">
        <v>0</v>
      </c>
      <c r="I844" s="44">
        <v>0</v>
      </c>
      <c r="J844" s="44">
        <v>0</v>
      </c>
      <c r="K844" s="44">
        <v>0</v>
      </c>
      <c r="L844" s="44">
        <v>0</v>
      </c>
      <c r="M844" s="43">
        <v>4500000000</v>
      </c>
      <c r="N844" s="44">
        <v>0</v>
      </c>
      <c r="O844" s="44">
        <v>0</v>
      </c>
      <c r="P844" s="44">
        <v>0</v>
      </c>
      <c r="Q844" s="44">
        <v>0</v>
      </c>
      <c r="R844" s="44">
        <v>0</v>
      </c>
      <c r="S844" s="44">
        <v>0</v>
      </c>
      <c r="T844" s="44">
        <v>0</v>
      </c>
      <c r="U844" s="44">
        <v>0</v>
      </c>
      <c r="V844" s="44">
        <v>0</v>
      </c>
      <c r="W844" s="40">
        <f t="shared" si="984"/>
        <v>0</v>
      </c>
      <c r="X844" s="18">
        <f t="shared" ref="X844" si="998">M844-P844</f>
        <v>4500000000</v>
      </c>
      <c r="Y844" s="133">
        <f t="shared" ref="Y844" si="999">P844-S844</f>
        <v>0</v>
      </c>
      <c r="Z844" s="34">
        <f t="shared" ref="Z844" si="1000">S844-W844</f>
        <v>0</v>
      </c>
      <c r="AA844" s="123">
        <f t="shared" ref="AA844" si="1001">S844/M844</f>
        <v>0</v>
      </c>
    </row>
    <row r="845" spans="1:27" x14ac:dyDescent="0.2">
      <c r="C845" s="19" t="s">
        <v>907</v>
      </c>
      <c r="D845" s="28" t="s">
        <v>288</v>
      </c>
      <c r="E845" s="29" t="s">
        <v>400</v>
      </c>
      <c r="F845" s="17"/>
      <c r="G845" s="18"/>
      <c r="H845" s="34"/>
      <c r="I845" s="34"/>
      <c r="J845" s="34"/>
      <c r="K845" s="34"/>
      <c r="L845" s="34"/>
      <c r="M845" s="18"/>
      <c r="N845" s="34"/>
      <c r="O845" s="34"/>
      <c r="P845" s="34"/>
      <c r="Q845" s="34"/>
      <c r="R845" s="34"/>
      <c r="S845" s="34"/>
      <c r="T845" s="34"/>
      <c r="U845" s="34"/>
      <c r="V845" s="34"/>
      <c r="W845" s="31"/>
      <c r="X845" s="18"/>
      <c r="Y845" s="34"/>
      <c r="Z845" s="18"/>
      <c r="AA845" s="18"/>
    </row>
    <row r="846" spans="1:27" x14ac:dyDescent="0.2">
      <c r="A846" s="4" t="s">
        <v>55</v>
      </c>
      <c r="B846" s="4" t="s">
        <v>56</v>
      </c>
      <c r="C846" s="19" t="s">
        <v>907</v>
      </c>
      <c r="D846" s="41" t="s">
        <v>401</v>
      </c>
      <c r="E846" s="42" t="s">
        <v>233</v>
      </c>
      <c r="F846" s="43" t="s">
        <v>58</v>
      </c>
      <c r="G846" s="43">
        <v>4899360013</v>
      </c>
      <c r="H846" s="44">
        <v>0</v>
      </c>
      <c r="I846" s="44">
        <v>0</v>
      </c>
      <c r="J846" s="44">
        <v>0</v>
      </c>
      <c r="K846" s="44">
        <v>0</v>
      </c>
      <c r="L846" s="44">
        <v>0</v>
      </c>
      <c r="M846" s="43">
        <v>4899360013</v>
      </c>
      <c r="N846" s="44">
        <v>0</v>
      </c>
      <c r="O846" s="44">
        <f>P846-[1]ENERO!O842</f>
        <v>0</v>
      </c>
      <c r="P846" s="114">
        <v>1646652618</v>
      </c>
      <c r="Q846" s="43">
        <v>0</v>
      </c>
      <c r="R846" s="43">
        <v>407000000</v>
      </c>
      <c r="S846" s="43">
        <v>1646652618</v>
      </c>
      <c r="T846" s="114">
        <v>1783334</v>
      </c>
      <c r="U846" s="114">
        <v>9140001</v>
      </c>
      <c r="V846" s="114">
        <v>9140001</v>
      </c>
      <c r="W846" s="111">
        <f t="shared" si="984"/>
        <v>10923335</v>
      </c>
      <c r="X846" s="18">
        <f t="shared" ref="X846" si="1002">M846-P846</f>
        <v>3252707395</v>
      </c>
      <c r="Y846" s="133">
        <f t="shared" ref="Y846" si="1003">P846-S846</f>
        <v>0</v>
      </c>
      <c r="Z846" s="18">
        <f t="shared" ref="Z846" si="1004">S846-W846</f>
        <v>1635729283</v>
      </c>
      <c r="AA846" s="123">
        <f t="shared" ref="AA846" si="1005">S846/M846</f>
        <v>0.33609545198367935</v>
      </c>
    </row>
    <row r="847" spans="1:27" x14ac:dyDescent="0.2">
      <c r="C847" s="19" t="s">
        <v>907</v>
      </c>
      <c r="D847" s="16"/>
      <c r="E847" s="17"/>
      <c r="F847" s="17"/>
      <c r="G847" s="18"/>
      <c r="H847" s="34"/>
      <c r="I847" s="34"/>
      <c r="J847" s="34"/>
      <c r="K847" s="34"/>
      <c r="L847" s="34"/>
      <c r="M847" s="18"/>
      <c r="N847" s="34"/>
      <c r="O847" s="18"/>
      <c r="P847" s="18"/>
      <c r="Q847" s="18"/>
      <c r="R847" s="18"/>
      <c r="S847" s="18"/>
      <c r="T847" s="34"/>
      <c r="U847" s="34"/>
      <c r="V847" s="34"/>
      <c r="W847" s="31"/>
      <c r="X847" s="18"/>
      <c r="Y847" s="34"/>
      <c r="Z847" s="18"/>
      <c r="AA847" s="18"/>
    </row>
    <row r="848" spans="1:27" s="50" customFormat="1" x14ac:dyDescent="0.2">
      <c r="B848" s="77"/>
      <c r="C848" s="19" t="s">
        <v>907</v>
      </c>
      <c r="D848" s="46"/>
      <c r="E848" s="47" t="s">
        <v>702</v>
      </c>
      <c r="F848" s="47"/>
      <c r="G848" s="48">
        <f>SUM(G831:G846)</f>
        <v>38899360013</v>
      </c>
      <c r="H848" s="49">
        <f t="shared" ref="H848:Z848" si="1006">SUM(H831:H846)</f>
        <v>0</v>
      </c>
      <c r="I848" s="49">
        <f t="shared" si="1006"/>
        <v>0</v>
      </c>
      <c r="J848" s="49">
        <f t="shared" si="1006"/>
        <v>0</v>
      </c>
      <c r="K848" s="48">
        <f t="shared" si="1006"/>
        <v>10000000000</v>
      </c>
      <c r="L848" s="48">
        <f t="shared" si="1006"/>
        <v>-10000000000</v>
      </c>
      <c r="M848" s="48">
        <f t="shared" si="1006"/>
        <v>28899360013</v>
      </c>
      <c r="N848" s="49">
        <f t="shared" si="1006"/>
        <v>0</v>
      </c>
      <c r="O848" s="48">
        <f t="shared" si="1006"/>
        <v>8927500500</v>
      </c>
      <c r="P848" s="48">
        <f t="shared" si="1006"/>
        <v>10574153118</v>
      </c>
      <c r="Q848" s="48">
        <f t="shared" si="1006"/>
        <v>0</v>
      </c>
      <c r="R848" s="48">
        <f t="shared" si="1006"/>
        <v>9334500500</v>
      </c>
      <c r="S848" s="48">
        <f t="shared" si="1006"/>
        <v>10574153118</v>
      </c>
      <c r="T848" s="121">
        <f t="shared" si="1006"/>
        <v>1783334</v>
      </c>
      <c r="U848" s="121">
        <f t="shared" si="1006"/>
        <v>3009140001</v>
      </c>
      <c r="V848" s="121">
        <f t="shared" si="1006"/>
        <v>3009140001</v>
      </c>
      <c r="W848" s="108">
        <f>T848+V848</f>
        <v>3010923335</v>
      </c>
      <c r="X848" s="48">
        <f t="shared" si="1006"/>
        <v>18325206895</v>
      </c>
      <c r="Y848" s="49">
        <f t="shared" si="1006"/>
        <v>0</v>
      </c>
      <c r="Z848" s="48">
        <f t="shared" si="1006"/>
        <v>7563229783</v>
      </c>
      <c r="AA848" s="24">
        <f t="shared" ref="AA848" si="1007">S848/M848</f>
        <v>0.36589575385902506</v>
      </c>
    </row>
    <row r="849" spans="1:27" x14ac:dyDescent="0.2">
      <c r="C849" s="19" t="s">
        <v>907</v>
      </c>
      <c r="D849" s="16"/>
      <c r="E849" s="17"/>
      <c r="F849" s="17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</row>
    <row r="850" spans="1:27" s="25" customFormat="1" x14ac:dyDescent="0.2">
      <c r="B850" s="71"/>
      <c r="C850" s="19" t="s">
        <v>907</v>
      </c>
      <c r="D850" s="66"/>
      <c r="E850" s="21" t="s">
        <v>703</v>
      </c>
      <c r="F850" s="67"/>
      <c r="G850" s="63"/>
      <c r="H850" s="63"/>
      <c r="I850" s="63"/>
      <c r="J850" s="63"/>
      <c r="K850" s="63"/>
      <c r="L850" s="63"/>
      <c r="M850" s="63"/>
      <c r="N850" s="63"/>
      <c r="O850" s="63"/>
      <c r="P850" s="63"/>
      <c r="Q850" s="63"/>
      <c r="R850" s="63"/>
      <c r="S850" s="63"/>
      <c r="T850" s="63"/>
      <c r="U850" s="63"/>
      <c r="V850" s="63"/>
      <c r="W850" s="63"/>
      <c r="X850" s="63"/>
      <c r="Y850" s="63"/>
      <c r="Z850" s="63"/>
      <c r="AA850" s="63"/>
    </row>
    <row r="851" spans="1:27" x14ac:dyDescent="0.2">
      <c r="C851" s="19" t="s">
        <v>907</v>
      </c>
      <c r="D851" s="16"/>
      <c r="E851" s="29" t="s">
        <v>676</v>
      </c>
      <c r="F851" s="17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</row>
    <row r="852" spans="1:27" ht="18.75" customHeight="1" x14ac:dyDescent="0.2">
      <c r="C852" s="19" t="s">
        <v>907</v>
      </c>
      <c r="D852" s="16"/>
      <c r="E852" s="29" t="s">
        <v>286</v>
      </c>
      <c r="F852" s="17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</row>
    <row r="853" spans="1:27" ht="18.75" customHeight="1" x14ac:dyDescent="0.2">
      <c r="C853" s="19" t="s">
        <v>907</v>
      </c>
      <c r="D853" s="16"/>
      <c r="E853" s="29" t="s">
        <v>179</v>
      </c>
      <c r="F853" s="17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</row>
    <row r="854" spans="1:27" ht="18.75" customHeight="1" x14ac:dyDescent="0.2">
      <c r="C854" s="19" t="s">
        <v>907</v>
      </c>
      <c r="D854" s="16"/>
      <c r="E854" s="29" t="s">
        <v>189</v>
      </c>
      <c r="F854" s="17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</row>
    <row r="855" spans="1:27" ht="18.75" customHeight="1" x14ac:dyDescent="0.2">
      <c r="C855" s="19" t="s">
        <v>907</v>
      </c>
      <c r="D855" s="16"/>
      <c r="E855" s="29" t="s">
        <v>199</v>
      </c>
      <c r="F855" s="17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30"/>
      <c r="X855" s="18"/>
      <c r="Y855" s="18"/>
      <c r="Z855" s="18"/>
      <c r="AA855" s="18"/>
    </row>
    <row r="856" spans="1:27" x14ac:dyDescent="0.2">
      <c r="C856" s="19" t="s">
        <v>907</v>
      </c>
      <c r="D856" s="28" t="s">
        <v>288</v>
      </c>
      <c r="E856" s="29" t="s">
        <v>704</v>
      </c>
      <c r="F856" s="17"/>
      <c r="G856" s="18"/>
      <c r="H856" s="18"/>
      <c r="I856" s="18"/>
      <c r="J856" s="18"/>
      <c r="K856" s="18"/>
      <c r="L856" s="18"/>
      <c r="M856" s="18"/>
      <c r="N856" s="34"/>
      <c r="O856" s="34"/>
      <c r="P856" s="34"/>
      <c r="Q856" s="34"/>
      <c r="R856" s="34"/>
      <c r="S856" s="34"/>
      <c r="T856" s="34"/>
      <c r="U856" s="34"/>
      <c r="V856" s="34"/>
      <c r="W856" s="31"/>
      <c r="X856" s="18"/>
      <c r="Y856" s="18"/>
      <c r="Z856" s="18"/>
      <c r="AA856" s="18"/>
    </row>
    <row r="857" spans="1:27" x14ac:dyDescent="0.2">
      <c r="A857" s="4" t="s">
        <v>55</v>
      </c>
      <c r="B857" s="4" t="s">
        <v>56</v>
      </c>
      <c r="C857" s="19" t="s">
        <v>907</v>
      </c>
      <c r="D857" s="41" t="s">
        <v>705</v>
      </c>
      <c r="E857" s="42" t="s">
        <v>233</v>
      </c>
      <c r="F857" s="43" t="s">
        <v>58</v>
      </c>
      <c r="G857" s="43">
        <v>221000000</v>
      </c>
      <c r="H857" s="44">
        <v>0</v>
      </c>
      <c r="I857" s="44">
        <v>0</v>
      </c>
      <c r="J857" s="44">
        <v>0</v>
      </c>
      <c r="K857" s="43">
        <v>221000000</v>
      </c>
      <c r="L857" s="136">
        <f>H857-I857+J857-K857</f>
        <v>-221000000</v>
      </c>
      <c r="M857" s="44">
        <f>G857+L857</f>
        <v>0</v>
      </c>
      <c r="N857" s="44">
        <v>0</v>
      </c>
      <c r="O857" s="44">
        <v>0</v>
      </c>
      <c r="P857" s="44">
        <v>0</v>
      </c>
      <c r="Q857" s="44">
        <v>0</v>
      </c>
      <c r="R857" s="44">
        <v>0</v>
      </c>
      <c r="S857" s="44">
        <v>0</v>
      </c>
      <c r="T857" s="44">
        <v>0</v>
      </c>
      <c r="U857" s="44">
        <v>0</v>
      </c>
      <c r="V857" s="44">
        <v>0</v>
      </c>
      <c r="W857" s="40">
        <f t="shared" ref="W857:W861" si="1008">T857+V857</f>
        <v>0</v>
      </c>
      <c r="X857" s="34">
        <f t="shared" ref="X857" si="1009">M857-P857</f>
        <v>0</v>
      </c>
      <c r="Y857" s="133">
        <f t="shared" ref="Y857" si="1010">P857-S857</f>
        <v>0</v>
      </c>
      <c r="Z857" s="34">
        <f t="shared" ref="Z857" si="1011">S857-W857</f>
        <v>0</v>
      </c>
      <c r="AA857" s="123">
        <v>0</v>
      </c>
    </row>
    <row r="858" spans="1:27" ht="25.5" x14ac:dyDescent="0.2">
      <c r="C858" s="19" t="s">
        <v>907</v>
      </c>
      <c r="D858" s="28" t="s">
        <v>288</v>
      </c>
      <c r="E858" s="29" t="s">
        <v>706</v>
      </c>
      <c r="F858" s="17"/>
      <c r="G858" s="18"/>
      <c r="H858" s="34"/>
      <c r="I858" s="34"/>
      <c r="J858" s="34"/>
      <c r="K858" s="18"/>
      <c r="L858" s="18"/>
      <c r="M858" s="18"/>
      <c r="N858" s="18"/>
      <c r="O858" s="18"/>
      <c r="P858" s="18"/>
      <c r="Q858" s="18"/>
      <c r="R858" s="18"/>
      <c r="S858" s="18"/>
      <c r="T858" s="34"/>
      <c r="U858" s="34"/>
      <c r="V858" s="34"/>
      <c r="W858" s="31"/>
      <c r="X858" s="18"/>
      <c r="Y858" s="18"/>
      <c r="Z858" s="18"/>
      <c r="AA858" s="18"/>
    </row>
    <row r="859" spans="1:27" x14ac:dyDescent="0.2">
      <c r="A859" s="4" t="s">
        <v>55</v>
      </c>
      <c r="B859" s="4" t="s">
        <v>56</v>
      </c>
      <c r="C859" s="19" t="s">
        <v>907</v>
      </c>
      <c r="D859" s="41" t="s">
        <v>707</v>
      </c>
      <c r="E859" s="42" t="s">
        <v>233</v>
      </c>
      <c r="F859" s="43" t="s">
        <v>58</v>
      </c>
      <c r="G859" s="43">
        <v>2458264706</v>
      </c>
      <c r="H859" s="44">
        <v>0</v>
      </c>
      <c r="I859" s="44">
        <v>0</v>
      </c>
      <c r="J859" s="44">
        <v>0</v>
      </c>
      <c r="K859" s="44">
        <v>0</v>
      </c>
      <c r="L859" s="97">
        <f>H859-I859+J859-K859</f>
        <v>0</v>
      </c>
      <c r="M859" s="43">
        <f>G859+L859</f>
        <v>2458264706</v>
      </c>
      <c r="N859" s="44">
        <v>0</v>
      </c>
      <c r="O859" s="43">
        <v>-2000000</v>
      </c>
      <c r="P859" s="43">
        <v>2079364706</v>
      </c>
      <c r="Q859" s="43">
        <v>0</v>
      </c>
      <c r="R859" s="43">
        <v>308500000</v>
      </c>
      <c r="S859" s="43">
        <v>2079364706</v>
      </c>
      <c r="T859" s="44">
        <v>0</v>
      </c>
      <c r="U859" s="114">
        <v>533333</v>
      </c>
      <c r="V859" s="114">
        <v>533333</v>
      </c>
      <c r="W859" s="111">
        <f t="shared" si="1008"/>
        <v>533333</v>
      </c>
      <c r="X859" s="18">
        <f t="shared" ref="X859" si="1012">M859-P859</f>
        <v>378900000</v>
      </c>
      <c r="Y859" s="133">
        <f t="shared" ref="Y859" si="1013">P859-S859</f>
        <v>0</v>
      </c>
      <c r="Z859" s="18">
        <f t="shared" ref="Z859" si="1014">S859-W859</f>
        <v>2078831373</v>
      </c>
      <c r="AA859" s="123">
        <f t="shared" ref="AA859" si="1015">S859/M859</f>
        <v>0.84586688362925222</v>
      </c>
    </row>
    <row r="860" spans="1:27" ht="25.5" x14ac:dyDescent="0.2">
      <c r="C860" s="19" t="s">
        <v>907</v>
      </c>
      <c r="D860" s="28" t="s">
        <v>288</v>
      </c>
      <c r="E860" s="29" t="s">
        <v>708</v>
      </c>
      <c r="F860" s="17"/>
      <c r="G860" s="18"/>
      <c r="H860" s="34"/>
      <c r="I860" s="34"/>
      <c r="J860" s="34"/>
      <c r="K860" s="18"/>
      <c r="L860" s="18"/>
      <c r="M860" s="18"/>
      <c r="N860" s="18"/>
      <c r="O860" s="18"/>
      <c r="P860" s="18"/>
      <c r="Q860" s="18"/>
      <c r="R860" s="18"/>
      <c r="S860" s="18"/>
      <c r="T860" s="34"/>
      <c r="U860" s="34"/>
      <c r="V860" s="34"/>
      <c r="W860" s="31"/>
      <c r="X860" s="18"/>
      <c r="Y860" s="18"/>
      <c r="Z860" s="18"/>
      <c r="AA860" s="18"/>
    </row>
    <row r="861" spans="1:27" x14ac:dyDescent="0.2">
      <c r="A861" s="4" t="s">
        <v>55</v>
      </c>
      <c r="B861" s="4" t="s">
        <v>56</v>
      </c>
      <c r="C861" s="19" t="s">
        <v>907</v>
      </c>
      <c r="D861" s="41" t="s">
        <v>709</v>
      </c>
      <c r="E861" s="42" t="s">
        <v>233</v>
      </c>
      <c r="F861" s="43" t="s">
        <v>58</v>
      </c>
      <c r="G861" s="43">
        <v>501500000</v>
      </c>
      <c r="H861" s="44">
        <v>0</v>
      </c>
      <c r="I861" s="44">
        <v>0</v>
      </c>
      <c r="J861" s="43">
        <v>204500000</v>
      </c>
      <c r="K861" s="43">
        <v>501500000</v>
      </c>
      <c r="L861" s="136">
        <f>H861-I861+J861-K861</f>
        <v>-297000000</v>
      </c>
      <c r="M861" s="43">
        <f>G861+L861</f>
        <v>204500000</v>
      </c>
      <c r="N861" s="44">
        <v>0</v>
      </c>
      <c r="O861" s="44">
        <v>0</v>
      </c>
      <c r="P861" s="44">
        <v>0</v>
      </c>
      <c r="Q861" s="44">
        <v>0</v>
      </c>
      <c r="R861" s="44">
        <v>0</v>
      </c>
      <c r="S861" s="44">
        <v>0</v>
      </c>
      <c r="T861" s="44">
        <v>0</v>
      </c>
      <c r="U861" s="44">
        <v>0</v>
      </c>
      <c r="V861" s="44">
        <v>0</v>
      </c>
      <c r="W861" s="31">
        <f t="shared" si="1008"/>
        <v>0</v>
      </c>
      <c r="X861" s="18">
        <f t="shared" ref="X861" si="1016">M861-P861</f>
        <v>204500000</v>
      </c>
      <c r="Y861" s="133">
        <f t="shared" ref="Y861" si="1017">P861-S861</f>
        <v>0</v>
      </c>
      <c r="Z861" s="34">
        <f t="shared" ref="Z861" si="1018">S861-W861</f>
        <v>0</v>
      </c>
      <c r="AA861" s="123">
        <f t="shared" ref="AA861" si="1019">S861/M861</f>
        <v>0</v>
      </c>
    </row>
    <row r="862" spans="1:27" x14ac:dyDescent="0.2">
      <c r="C862" s="19" t="s">
        <v>907</v>
      </c>
      <c r="D862" s="28" t="s">
        <v>288</v>
      </c>
      <c r="E862" s="29" t="s">
        <v>710</v>
      </c>
      <c r="F862" s="17"/>
      <c r="G862" s="18"/>
      <c r="H862" s="18"/>
      <c r="I862" s="18"/>
      <c r="J862" s="18"/>
      <c r="K862" s="18"/>
      <c r="L862" s="18"/>
      <c r="M862" s="18"/>
      <c r="N862" s="34"/>
      <c r="O862" s="34"/>
      <c r="P862" s="34"/>
      <c r="Q862" s="34"/>
      <c r="R862" s="34"/>
      <c r="S862" s="34"/>
      <c r="T862" s="34"/>
      <c r="U862" s="34"/>
      <c r="V862" s="34"/>
      <c r="W862" s="31"/>
      <c r="X862" s="18"/>
      <c r="Y862" s="34"/>
      <c r="Z862" s="34"/>
      <c r="AA862" s="18"/>
    </row>
    <row r="863" spans="1:27" x14ac:dyDescent="0.2">
      <c r="A863" s="4" t="s">
        <v>55</v>
      </c>
      <c r="B863" s="4" t="s">
        <v>56</v>
      </c>
      <c r="C863" s="19" t="s">
        <v>907</v>
      </c>
      <c r="D863" s="41" t="s">
        <v>711</v>
      </c>
      <c r="E863" s="17" t="s">
        <v>233</v>
      </c>
      <c r="F863" s="43" t="s">
        <v>58</v>
      </c>
      <c r="G863" s="44">
        <v>0</v>
      </c>
      <c r="H863" s="44">
        <v>0</v>
      </c>
      <c r="I863" s="44">
        <v>0</v>
      </c>
      <c r="J863" s="43">
        <v>3086332698</v>
      </c>
      <c r="K863" s="43">
        <v>0</v>
      </c>
      <c r="L863" s="136">
        <f>H863-I863+J863-K863</f>
        <v>3086332698</v>
      </c>
      <c r="M863" s="43">
        <f>G863+L863</f>
        <v>3086332698</v>
      </c>
      <c r="N863" s="44">
        <v>0</v>
      </c>
      <c r="O863" s="44">
        <v>0</v>
      </c>
      <c r="P863" s="44">
        <v>0</v>
      </c>
      <c r="Q863" s="44">
        <v>0</v>
      </c>
      <c r="R863" s="44">
        <v>0</v>
      </c>
      <c r="S863" s="44">
        <v>0</v>
      </c>
      <c r="T863" s="44">
        <v>0</v>
      </c>
      <c r="U863" s="44">
        <v>0</v>
      </c>
      <c r="V863" s="44">
        <v>0</v>
      </c>
      <c r="W863" s="40">
        <f t="shared" ref="W863" si="1020">T863+V863</f>
        <v>0</v>
      </c>
      <c r="X863" s="18">
        <f t="shared" ref="X863" si="1021">M863-P863</f>
        <v>3086332698</v>
      </c>
      <c r="Y863" s="133">
        <f t="shared" ref="Y863" si="1022">P863-S863</f>
        <v>0</v>
      </c>
      <c r="Z863" s="34">
        <f t="shared" ref="Z863" si="1023">S863-W863</f>
        <v>0</v>
      </c>
      <c r="AA863" s="123">
        <f t="shared" ref="AA863" si="1024">S863/M863</f>
        <v>0</v>
      </c>
    </row>
    <row r="864" spans="1:27" x14ac:dyDescent="0.2">
      <c r="C864" s="19" t="s">
        <v>907</v>
      </c>
      <c r="D864" s="28" t="s">
        <v>288</v>
      </c>
      <c r="E864" s="29" t="s">
        <v>712</v>
      </c>
      <c r="F864" s="17"/>
      <c r="G864" s="34"/>
      <c r="H864" s="34"/>
      <c r="I864" s="34"/>
      <c r="J864" s="18"/>
      <c r="K864" s="18"/>
      <c r="L864" s="18"/>
      <c r="M864" s="18"/>
      <c r="N864" s="34"/>
      <c r="O864" s="34"/>
      <c r="P864" s="34"/>
      <c r="Q864" s="34"/>
      <c r="R864" s="34"/>
      <c r="S864" s="34"/>
      <c r="T864" s="18"/>
      <c r="U864" s="18"/>
      <c r="V864" s="34"/>
      <c r="W864" s="31"/>
      <c r="X864" s="18"/>
      <c r="Y864" s="34"/>
      <c r="Z864" s="34"/>
      <c r="AA864" s="18"/>
    </row>
    <row r="865" spans="1:27" x14ac:dyDescent="0.2">
      <c r="A865" s="4" t="s">
        <v>55</v>
      </c>
      <c r="B865" s="4" t="s">
        <v>56</v>
      </c>
      <c r="C865" s="19" t="s">
        <v>907</v>
      </c>
      <c r="D865" s="41" t="s">
        <v>713</v>
      </c>
      <c r="E865" s="17" t="s">
        <v>233</v>
      </c>
      <c r="F865" s="43" t="s">
        <v>58</v>
      </c>
      <c r="G865" s="44">
        <v>0</v>
      </c>
      <c r="H865" s="44">
        <v>0</v>
      </c>
      <c r="I865" s="44">
        <v>0</v>
      </c>
      <c r="J865" s="43">
        <v>501500000</v>
      </c>
      <c r="K865" s="43">
        <v>204500000</v>
      </c>
      <c r="L865" s="136">
        <f>H865-I865+J865-K865</f>
        <v>297000000</v>
      </c>
      <c r="M865" s="43">
        <f>G865+L865</f>
        <v>297000000</v>
      </c>
      <c r="N865" s="44">
        <v>0</v>
      </c>
      <c r="O865" s="114">
        <v>259500000</v>
      </c>
      <c r="P865" s="114">
        <v>259500000</v>
      </c>
      <c r="Q865" s="44">
        <v>0</v>
      </c>
      <c r="R865" s="114">
        <v>259500000</v>
      </c>
      <c r="S865" s="114">
        <v>259500000</v>
      </c>
      <c r="T865" s="44">
        <v>0</v>
      </c>
      <c r="U865" s="44">
        <v>0</v>
      </c>
      <c r="V865" s="44">
        <v>0</v>
      </c>
      <c r="W865" s="40">
        <f t="shared" ref="W865" si="1025">T865+V865</f>
        <v>0</v>
      </c>
      <c r="X865" s="18">
        <f t="shared" ref="X865" si="1026">M865-P865</f>
        <v>37500000</v>
      </c>
      <c r="Y865" s="133">
        <f t="shared" ref="Y865" si="1027">P865-S865</f>
        <v>0</v>
      </c>
      <c r="Z865" s="18">
        <f t="shared" ref="Z865" si="1028">S865-W865</f>
        <v>259500000</v>
      </c>
      <c r="AA865" s="123">
        <f t="shared" ref="AA865" si="1029">S865/M865</f>
        <v>0.8737373737373737</v>
      </c>
    </row>
    <row r="866" spans="1:27" ht="25.5" x14ac:dyDescent="0.2">
      <c r="C866" s="19" t="s">
        <v>907</v>
      </c>
      <c r="D866" s="28" t="s">
        <v>288</v>
      </c>
      <c r="E866" s="29" t="s">
        <v>714</v>
      </c>
      <c r="F866" s="17"/>
      <c r="G866" s="18"/>
      <c r="H866" s="18"/>
      <c r="I866" s="18"/>
      <c r="J866" s="18"/>
      <c r="K866" s="18"/>
      <c r="L866" s="18"/>
      <c r="M866" s="18"/>
      <c r="N866" s="34"/>
      <c r="O866" s="34"/>
      <c r="P866" s="34"/>
      <c r="Q866" s="34"/>
      <c r="R866" s="34"/>
      <c r="S866" s="34"/>
      <c r="T866" s="34"/>
      <c r="U866" s="34"/>
      <c r="V866" s="34"/>
      <c r="W866" s="31"/>
      <c r="X866" s="18"/>
      <c r="Y866" s="34"/>
      <c r="Z866" s="34"/>
      <c r="AA866" s="18"/>
    </row>
    <row r="867" spans="1:27" x14ac:dyDescent="0.2">
      <c r="A867" s="4" t="s">
        <v>55</v>
      </c>
      <c r="B867" s="4" t="s">
        <v>56</v>
      </c>
      <c r="C867" s="19" t="s">
        <v>907</v>
      </c>
      <c r="D867" s="41" t="s">
        <v>715</v>
      </c>
      <c r="E867" s="17" t="s">
        <v>233</v>
      </c>
      <c r="F867" s="43" t="s">
        <v>58</v>
      </c>
      <c r="G867" s="43">
        <v>3086332698</v>
      </c>
      <c r="H867" s="44">
        <v>0</v>
      </c>
      <c r="I867" s="44">
        <v>0</v>
      </c>
      <c r="J867" s="44">
        <v>0</v>
      </c>
      <c r="K867" s="43">
        <v>3086332698</v>
      </c>
      <c r="L867" s="136">
        <f>H867-I867+J867-K867</f>
        <v>-3086332698</v>
      </c>
      <c r="M867" s="44">
        <f>G867+L867</f>
        <v>0</v>
      </c>
      <c r="N867" s="44">
        <v>0</v>
      </c>
      <c r="O867" s="44">
        <v>0</v>
      </c>
      <c r="P867" s="44">
        <v>0</v>
      </c>
      <c r="Q867" s="44">
        <v>0</v>
      </c>
      <c r="R867" s="44">
        <v>0</v>
      </c>
      <c r="S867" s="44">
        <v>0</v>
      </c>
      <c r="T867" s="44">
        <v>0</v>
      </c>
      <c r="U867" s="44">
        <v>0</v>
      </c>
      <c r="V867" s="44">
        <v>0</v>
      </c>
      <c r="W867" s="40">
        <f t="shared" ref="W867" si="1030">T867+V867</f>
        <v>0</v>
      </c>
      <c r="X867" s="34">
        <f t="shared" ref="X867" si="1031">M867-P867</f>
        <v>0</v>
      </c>
      <c r="Y867" s="133">
        <f t="shared" ref="Y867" si="1032">P867-S867</f>
        <v>0</v>
      </c>
      <c r="Z867" s="34">
        <f t="shared" ref="Z867" si="1033">S867-W867</f>
        <v>0</v>
      </c>
      <c r="AA867" s="123">
        <v>0</v>
      </c>
    </row>
    <row r="868" spans="1:27" ht="25.5" x14ac:dyDescent="0.2">
      <c r="C868" s="19" t="s">
        <v>907</v>
      </c>
      <c r="D868" s="28" t="s">
        <v>288</v>
      </c>
      <c r="E868" s="29" t="s">
        <v>716</v>
      </c>
      <c r="F868" s="17"/>
      <c r="G868" s="18"/>
      <c r="H868" s="34"/>
      <c r="I868" s="34"/>
      <c r="J868" s="18"/>
      <c r="K868" s="18"/>
      <c r="L868" s="18"/>
      <c r="M868" s="18"/>
      <c r="N868" s="34"/>
      <c r="O868" s="34"/>
      <c r="P868" s="34"/>
      <c r="Q868" s="34"/>
      <c r="R868" s="34"/>
      <c r="S868" s="34"/>
      <c r="T868" s="34"/>
      <c r="U868" s="34"/>
      <c r="V868" s="34"/>
      <c r="W868" s="31"/>
      <c r="X868" s="18"/>
      <c r="Y868" s="34"/>
      <c r="Z868" s="18"/>
      <c r="AA868" s="18"/>
    </row>
    <row r="869" spans="1:27" x14ac:dyDescent="0.2">
      <c r="A869" s="4" t="s">
        <v>55</v>
      </c>
      <c r="B869" s="4" t="s">
        <v>56</v>
      </c>
      <c r="C869" s="19" t="s">
        <v>907</v>
      </c>
      <c r="D869" s="41" t="s">
        <v>717</v>
      </c>
      <c r="E869" s="17" t="s">
        <v>233</v>
      </c>
      <c r="F869" s="43" t="s">
        <v>58</v>
      </c>
      <c r="G869" s="44">
        <v>0</v>
      </c>
      <c r="H869" s="44">
        <v>0</v>
      </c>
      <c r="I869" s="44">
        <v>0</v>
      </c>
      <c r="J869" s="43">
        <v>221000000</v>
      </c>
      <c r="K869" s="44">
        <v>0</v>
      </c>
      <c r="L869" s="43">
        <v>221000000</v>
      </c>
      <c r="M869" s="43">
        <v>221000000</v>
      </c>
      <c r="N869" s="44">
        <v>0</v>
      </c>
      <c r="O869" s="44">
        <v>0</v>
      </c>
      <c r="P869" s="44">
        <v>0</v>
      </c>
      <c r="Q869" s="44">
        <v>0</v>
      </c>
      <c r="R869" s="44">
        <v>0</v>
      </c>
      <c r="S869" s="44">
        <v>0</v>
      </c>
      <c r="T869" s="44">
        <v>0</v>
      </c>
      <c r="U869" s="44">
        <v>0</v>
      </c>
      <c r="V869" s="44">
        <v>0</v>
      </c>
      <c r="W869" s="40">
        <f t="shared" ref="W869" si="1034">T869+V869</f>
        <v>0</v>
      </c>
      <c r="X869" s="18">
        <f t="shared" ref="X869" si="1035">M869-P869</f>
        <v>221000000</v>
      </c>
      <c r="Y869" s="133">
        <f t="shared" ref="Y869" si="1036">P869-S869</f>
        <v>0</v>
      </c>
      <c r="Z869" s="34">
        <f t="shared" ref="Z869" si="1037">S869-W869</f>
        <v>0</v>
      </c>
      <c r="AA869" s="123">
        <f t="shared" ref="AA869" si="1038">S869/M869</f>
        <v>0</v>
      </c>
    </row>
    <row r="870" spans="1:27" x14ac:dyDescent="0.2">
      <c r="C870" s="19" t="s">
        <v>907</v>
      </c>
      <c r="D870" s="28" t="s">
        <v>288</v>
      </c>
      <c r="E870" s="29" t="s">
        <v>718</v>
      </c>
      <c r="F870" s="17"/>
      <c r="G870" s="18"/>
      <c r="H870" s="34"/>
      <c r="I870" s="34"/>
      <c r="J870" s="18"/>
      <c r="K870" s="18"/>
      <c r="L870" s="18"/>
      <c r="M870" s="18"/>
      <c r="N870" s="18"/>
      <c r="O870" s="18"/>
      <c r="P870" s="18"/>
      <c r="Q870" s="18"/>
      <c r="R870" s="18"/>
      <c r="S870" s="34"/>
      <c r="T870" s="34"/>
      <c r="U870" s="34"/>
      <c r="V870" s="34"/>
      <c r="W870" s="31"/>
      <c r="X870" s="18"/>
      <c r="Y870" s="18"/>
      <c r="Z870" s="18"/>
      <c r="AA870" s="18"/>
    </row>
    <row r="871" spans="1:27" x14ac:dyDescent="0.2">
      <c r="A871" s="4" t="s">
        <v>55</v>
      </c>
      <c r="B871" s="4" t="s">
        <v>56</v>
      </c>
      <c r="C871" s="19" t="s">
        <v>907</v>
      </c>
      <c r="D871" s="41" t="s">
        <v>719</v>
      </c>
      <c r="E871" s="42" t="s">
        <v>233</v>
      </c>
      <c r="F871" s="43" t="s">
        <v>58</v>
      </c>
      <c r="G871" s="43">
        <v>546100000</v>
      </c>
      <c r="H871" s="44">
        <v>0</v>
      </c>
      <c r="I871" s="44">
        <v>0</v>
      </c>
      <c r="J871" s="44">
        <v>0</v>
      </c>
      <c r="K871" s="44">
        <v>0</v>
      </c>
      <c r="L871" s="44">
        <v>0</v>
      </c>
      <c r="M871" s="43">
        <v>546100000</v>
      </c>
      <c r="N871" s="43">
        <v>0</v>
      </c>
      <c r="O871" s="43">
        <v>-650000</v>
      </c>
      <c r="P871" s="43">
        <v>530450000</v>
      </c>
      <c r="Q871" s="43">
        <v>0</v>
      </c>
      <c r="R871" s="43">
        <v>414950000</v>
      </c>
      <c r="S871" s="44">
        <v>414950000</v>
      </c>
      <c r="T871" s="44">
        <v>0</v>
      </c>
      <c r="U871" s="44">
        <v>0</v>
      </c>
      <c r="V871" s="44">
        <v>0</v>
      </c>
      <c r="W871" s="40">
        <f t="shared" ref="W871" si="1039">T871+V871</f>
        <v>0</v>
      </c>
      <c r="X871" s="18">
        <f t="shared" ref="X871" si="1040">M871-P871</f>
        <v>15650000</v>
      </c>
      <c r="Y871" s="110">
        <f t="shared" ref="Y871" si="1041">P871-S871</f>
        <v>115500000</v>
      </c>
      <c r="Z871" s="18">
        <f t="shared" ref="Z871" si="1042">S871-W871</f>
        <v>414950000</v>
      </c>
      <c r="AA871" s="123">
        <f t="shared" ref="AA871" si="1043">S871/M871</f>
        <v>0.75984251968503935</v>
      </c>
    </row>
    <row r="872" spans="1:27" x14ac:dyDescent="0.2">
      <c r="C872" s="19" t="s">
        <v>907</v>
      </c>
      <c r="D872" s="16"/>
      <c r="E872" s="17"/>
      <c r="F872" s="17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34"/>
      <c r="T872" s="34"/>
      <c r="U872" s="34"/>
      <c r="V872" s="34"/>
      <c r="W872" s="31"/>
      <c r="X872" s="18"/>
      <c r="Y872" s="18"/>
      <c r="Z872" s="18"/>
      <c r="AA872" s="18"/>
    </row>
    <row r="873" spans="1:27" x14ac:dyDescent="0.2">
      <c r="C873" s="19" t="s">
        <v>907</v>
      </c>
      <c r="D873" s="16"/>
      <c r="E873" s="29" t="s">
        <v>720</v>
      </c>
      <c r="F873" s="17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30"/>
      <c r="X873" s="18"/>
      <c r="Y873" s="18"/>
      <c r="Z873" s="18"/>
      <c r="AA873" s="18"/>
    </row>
    <row r="874" spans="1:27" x14ac:dyDescent="0.2">
      <c r="C874" s="19" t="s">
        <v>907</v>
      </c>
      <c r="D874" s="16"/>
      <c r="E874" s="29" t="s">
        <v>676</v>
      </c>
      <c r="F874" s="17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30"/>
      <c r="X874" s="18"/>
      <c r="Y874" s="18"/>
      <c r="Z874" s="18"/>
      <c r="AA874" s="18"/>
    </row>
    <row r="875" spans="1:27" x14ac:dyDescent="0.2">
      <c r="C875" s="19" t="s">
        <v>907</v>
      </c>
      <c r="D875" s="16"/>
      <c r="E875" s="29" t="s">
        <v>286</v>
      </c>
      <c r="F875" s="17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30"/>
      <c r="X875" s="18"/>
      <c r="Y875" s="18"/>
      <c r="Z875" s="18"/>
      <c r="AA875" s="18"/>
    </row>
    <row r="876" spans="1:27" x14ac:dyDescent="0.2">
      <c r="C876" s="19" t="s">
        <v>907</v>
      </c>
      <c r="D876" s="16"/>
      <c r="E876" s="29" t="s">
        <v>179</v>
      </c>
      <c r="F876" s="17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30"/>
      <c r="X876" s="18"/>
      <c r="Y876" s="18"/>
      <c r="Z876" s="18"/>
      <c r="AA876" s="18"/>
    </row>
    <row r="877" spans="1:27" x14ac:dyDescent="0.2">
      <c r="C877" s="19" t="s">
        <v>907</v>
      </c>
      <c r="D877" s="16"/>
      <c r="E877" s="29" t="s">
        <v>189</v>
      </c>
      <c r="F877" s="17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30"/>
      <c r="X877" s="18"/>
      <c r="Y877" s="18"/>
      <c r="Z877" s="18"/>
      <c r="AA877" s="18"/>
    </row>
    <row r="878" spans="1:27" x14ac:dyDescent="0.2">
      <c r="C878" s="19" t="s">
        <v>907</v>
      </c>
      <c r="D878" s="16"/>
      <c r="E878" s="29" t="s">
        <v>199</v>
      </c>
      <c r="F878" s="17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30"/>
      <c r="X878" s="18"/>
      <c r="Y878" s="18"/>
      <c r="Z878" s="18"/>
      <c r="AA878" s="18"/>
    </row>
    <row r="879" spans="1:27" x14ac:dyDescent="0.2">
      <c r="C879" s="19" t="s">
        <v>907</v>
      </c>
      <c r="D879" s="28" t="s">
        <v>288</v>
      </c>
      <c r="E879" s="29" t="s">
        <v>718</v>
      </c>
      <c r="F879" s="17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30"/>
      <c r="X879" s="18"/>
      <c r="Y879" s="18"/>
      <c r="Z879" s="18"/>
      <c r="AA879" s="18"/>
    </row>
    <row r="880" spans="1:27" x14ac:dyDescent="0.2">
      <c r="A880" s="4" t="s">
        <v>55</v>
      </c>
      <c r="B880" s="4" t="s">
        <v>56</v>
      </c>
      <c r="C880" s="19" t="s">
        <v>907</v>
      </c>
      <c r="D880" s="41" t="s">
        <v>721</v>
      </c>
      <c r="E880" s="42" t="s">
        <v>722</v>
      </c>
      <c r="F880" s="43" t="s">
        <v>723</v>
      </c>
      <c r="G880" s="43">
        <v>7643630</v>
      </c>
      <c r="H880" s="44">
        <v>0</v>
      </c>
      <c r="I880" s="44">
        <v>0</v>
      </c>
      <c r="J880" s="44">
        <v>0</v>
      </c>
      <c r="K880" s="44">
        <v>0</v>
      </c>
      <c r="L880" s="44">
        <v>0</v>
      </c>
      <c r="M880" s="43">
        <v>7643630</v>
      </c>
      <c r="N880" s="44">
        <v>0</v>
      </c>
      <c r="O880" s="44">
        <v>0</v>
      </c>
      <c r="P880" s="44">
        <v>0</v>
      </c>
      <c r="Q880" s="44">
        <v>0</v>
      </c>
      <c r="R880" s="44">
        <v>0</v>
      </c>
      <c r="S880" s="44">
        <v>0</v>
      </c>
      <c r="T880" s="44">
        <v>0</v>
      </c>
      <c r="U880" s="44">
        <v>0</v>
      </c>
      <c r="V880" s="44">
        <v>0</v>
      </c>
      <c r="W880" s="40">
        <f t="shared" ref="W880:W881" si="1044">T880+V880</f>
        <v>0</v>
      </c>
      <c r="X880" s="18">
        <f t="shared" ref="X880:X881" si="1045">M880-P880</f>
        <v>7643630</v>
      </c>
      <c r="Y880" s="133">
        <f t="shared" ref="Y880:Y881" si="1046">P880-S880</f>
        <v>0</v>
      </c>
      <c r="Z880" s="34">
        <f t="shared" ref="Z880:Z881" si="1047">S880-W880</f>
        <v>0</v>
      </c>
      <c r="AA880" s="123">
        <f t="shared" ref="AA880" si="1048">S880/M880</f>
        <v>0</v>
      </c>
    </row>
    <row r="881" spans="1:27" x14ac:dyDescent="0.2">
      <c r="A881" s="4" t="s">
        <v>55</v>
      </c>
      <c r="B881" s="4" t="s">
        <v>56</v>
      </c>
      <c r="C881" s="19" t="s">
        <v>907</v>
      </c>
      <c r="D881" s="41" t="s">
        <v>724</v>
      </c>
      <c r="E881" s="42" t="s">
        <v>725</v>
      </c>
      <c r="F881" s="43" t="s">
        <v>428</v>
      </c>
      <c r="G881" s="43">
        <v>56100000</v>
      </c>
      <c r="H881" s="44">
        <v>0</v>
      </c>
      <c r="I881" s="44">
        <v>0</v>
      </c>
      <c r="J881" s="44">
        <v>0</v>
      </c>
      <c r="K881" s="44">
        <v>0</v>
      </c>
      <c r="L881" s="44">
        <v>0</v>
      </c>
      <c r="M881" s="43">
        <v>56100000</v>
      </c>
      <c r="N881" s="44">
        <v>0</v>
      </c>
      <c r="O881" s="44">
        <v>0</v>
      </c>
      <c r="P881" s="44">
        <v>0</v>
      </c>
      <c r="Q881" s="44">
        <v>0</v>
      </c>
      <c r="R881" s="44">
        <v>0</v>
      </c>
      <c r="S881" s="44">
        <v>0</v>
      </c>
      <c r="T881" s="44">
        <v>0</v>
      </c>
      <c r="U881" s="44">
        <v>0</v>
      </c>
      <c r="V881" s="44">
        <v>0</v>
      </c>
      <c r="W881" s="40">
        <f t="shared" si="1044"/>
        <v>0</v>
      </c>
      <c r="X881" s="18">
        <f t="shared" si="1045"/>
        <v>56100000</v>
      </c>
      <c r="Y881" s="133">
        <f t="shared" si="1046"/>
        <v>0</v>
      </c>
      <c r="Z881" s="34">
        <f t="shared" si="1047"/>
        <v>0</v>
      </c>
      <c r="AA881" s="123">
        <f>S881/M881</f>
        <v>0</v>
      </c>
    </row>
    <row r="882" spans="1:27" x14ac:dyDescent="0.2">
      <c r="C882" s="19" t="s">
        <v>907</v>
      </c>
      <c r="D882" s="16"/>
      <c r="E882" s="17"/>
      <c r="F882" s="17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34"/>
      <c r="U882" s="34"/>
      <c r="V882" s="34"/>
      <c r="W882" s="31"/>
      <c r="X882" s="18"/>
      <c r="Y882" s="18"/>
      <c r="Z882" s="18"/>
      <c r="AA882" s="18"/>
    </row>
    <row r="883" spans="1:27" s="50" customFormat="1" ht="18.75" customHeight="1" x14ac:dyDescent="0.2">
      <c r="B883" s="77"/>
      <c r="C883" s="19" t="s">
        <v>907</v>
      </c>
      <c r="D883" s="46"/>
      <c r="E883" s="47" t="s">
        <v>726</v>
      </c>
      <c r="F883" s="47"/>
      <c r="G883" s="48">
        <f>SUM(G855:G881)</f>
        <v>6876941034</v>
      </c>
      <c r="H883" s="49">
        <f t="shared" ref="H883:Z883" si="1049">SUM(H855:H881)</f>
        <v>0</v>
      </c>
      <c r="I883" s="49">
        <f t="shared" si="1049"/>
        <v>0</v>
      </c>
      <c r="J883" s="48">
        <f t="shared" si="1049"/>
        <v>4013332698</v>
      </c>
      <c r="K883" s="48">
        <f t="shared" si="1049"/>
        <v>4013332698</v>
      </c>
      <c r="L883" s="151">
        <f t="shared" si="1049"/>
        <v>0</v>
      </c>
      <c r="M883" s="48">
        <f t="shared" si="1049"/>
        <v>6876941034</v>
      </c>
      <c r="N883" s="49">
        <f t="shared" si="1049"/>
        <v>0</v>
      </c>
      <c r="O883" s="48">
        <f t="shared" si="1049"/>
        <v>256850000</v>
      </c>
      <c r="P883" s="48">
        <f t="shared" si="1049"/>
        <v>2869314706</v>
      </c>
      <c r="Q883" s="48">
        <f t="shared" si="1049"/>
        <v>0</v>
      </c>
      <c r="R883" s="48">
        <f t="shared" si="1049"/>
        <v>982950000</v>
      </c>
      <c r="S883" s="48">
        <f t="shared" si="1049"/>
        <v>2753814706</v>
      </c>
      <c r="T883" s="49">
        <f t="shared" si="1049"/>
        <v>0</v>
      </c>
      <c r="U883" s="121">
        <f t="shared" si="1049"/>
        <v>533333</v>
      </c>
      <c r="V883" s="121">
        <f t="shared" si="1049"/>
        <v>533333</v>
      </c>
      <c r="W883" s="108">
        <f>T883+V883</f>
        <v>533333</v>
      </c>
      <c r="X883" s="48">
        <f>SUM(X855:X881)</f>
        <v>4007626328</v>
      </c>
      <c r="Y883" s="48">
        <f t="shared" si="1049"/>
        <v>115500000</v>
      </c>
      <c r="Z883" s="48">
        <f t="shared" si="1049"/>
        <v>2753281373</v>
      </c>
      <c r="AA883" s="24">
        <f t="shared" ref="AA883" si="1050">S883/M883</f>
        <v>0.40044180870316881</v>
      </c>
    </row>
    <row r="884" spans="1:27" ht="18.75" customHeight="1" x14ac:dyDescent="0.2">
      <c r="C884" s="19" t="s">
        <v>907</v>
      </c>
      <c r="D884" s="16"/>
      <c r="E884" s="17"/>
      <c r="F884" s="17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</row>
    <row r="885" spans="1:27" s="25" customFormat="1" ht="18.75" customHeight="1" x14ac:dyDescent="0.2">
      <c r="B885" s="71"/>
      <c r="C885" s="19" t="s">
        <v>907</v>
      </c>
      <c r="D885" s="66"/>
      <c r="E885" s="21" t="s">
        <v>727</v>
      </c>
      <c r="F885" s="67"/>
      <c r="G885" s="63"/>
      <c r="H885" s="63"/>
      <c r="I885" s="63"/>
      <c r="J885" s="63"/>
      <c r="K885" s="63"/>
      <c r="L885" s="63"/>
      <c r="M885" s="63"/>
      <c r="N885" s="63"/>
      <c r="O885" s="63"/>
      <c r="P885" s="63"/>
      <c r="Q885" s="63"/>
      <c r="R885" s="63"/>
      <c r="S885" s="63"/>
      <c r="T885" s="63"/>
      <c r="U885" s="63"/>
      <c r="V885" s="63"/>
      <c r="W885" s="63"/>
      <c r="X885" s="63"/>
      <c r="Y885" s="63"/>
      <c r="Z885" s="63"/>
      <c r="AA885" s="63"/>
    </row>
    <row r="886" spans="1:27" ht="18.75" customHeight="1" x14ac:dyDescent="0.2">
      <c r="C886" s="19" t="s">
        <v>907</v>
      </c>
      <c r="D886" s="16"/>
      <c r="E886" s="29" t="s">
        <v>285</v>
      </c>
      <c r="F886" s="17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</row>
    <row r="887" spans="1:27" ht="18.75" customHeight="1" x14ac:dyDescent="0.2">
      <c r="C887" s="19" t="s">
        <v>907</v>
      </c>
      <c r="D887" s="16"/>
      <c r="E887" s="29" t="s">
        <v>202</v>
      </c>
      <c r="F887" s="17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</row>
    <row r="888" spans="1:27" ht="18.75" customHeight="1" x14ac:dyDescent="0.2">
      <c r="C888" s="19" t="s">
        <v>907</v>
      </c>
      <c r="D888" s="16"/>
      <c r="E888" s="29" t="s">
        <v>203</v>
      </c>
      <c r="F888" s="17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</row>
    <row r="889" spans="1:27" x14ac:dyDescent="0.2">
      <c r="C889" s="19" t="s">
        <v>907</v>
      </c>
      <c r="D889" s="16"/>
      <c r="E889" s="29" t="s">
        <v>204</v>
      </c>
      <c r="F889" s="17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</row>
    <row r="890" spans="1:27" ht="25.5" x14ac:dyDescent="0.2">
      <c r="C890" s="19" t="s">
        <v>907</v>
      </c>
      <c r="D890" s="16"/>
      <c r="E890" s="29" t="s">
        <v>205</v>
      </c>
      <c r="F890" s="17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</row>
    <row r="891" spans="1:27" ht="25.5" x14ac:dyDescent="0.2">
      <c r="C891" s="19" t="s">
        <v>907</v>
      </c>
      <c r="D891" s="16"/>
      <c r="E891" s="29" t="s">
        <v>205</v>
      </c>
      <c r="F891" s="17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</row>
    <row r="892" spans="1:27" ht="25.5" x14ac:dyDescent="0.2">
      <c r="C892" s="19" t="s">
        <v>907</v>
      </c>
      <c r="D892" s="28" t="s">
        <v>288</v>
      </c>
      <c r="E892" s="29" t="s">
        <v>728</v>
      </c>
      <c r="F892" s="17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30">
        <f t="shared" ref="W892:W896" si="1051">T892+V892</f>
        <v>0</v>
      </c>
      <c r="X892" s="18"/>
      <c r="Y892" s="18"/>
      <c r="Z892" s="18"/>
      <c r="AA892" s="18"/>
    </row>
    <row r="893" spans="1:27" x14ac:dyDescent="0.2">
      <c r="A893" s="4" t="s">
        <v>55</v>
      </c>
      <c r="B893" s="4" t="s">
        <v>56</v>
      </c>
      <c r="C893" s="19" t="s">
        <v>907</v>
      </c>
      <c r="D893" s="41" t="s">
        <v>729</v>
      </c>
      <c r="E893" s="42" t="s">
        <v>233</v>
      </c>
      <c r="F893" s="43" t="s">
        <v>58</v>
      </c>
      <c r="G893" s="43">
        <v>1500000000</v>
      </c>
      <c r="H893" s="44">
        <v>0</v>
      </c>
      <c r="I893" s="44">
        <v>0</v>
      </c>
      <c r="J893" s="44">
        <v>0</v>
      </c>
      <c r="K893" s="44">
        <v>0</v>
      </c>
      <c r="L893" s="44">
        <v>0</v>
      </c>
      <c r="M893" s="43">
        <v>1500000000</v>
      </c>
      <c r="N893" s="44">
        <v>0</v>
      </c>
      <c r="O893" s="114">
        <v>250000000</v>
      </c>
      <c r="P893" s="114">
        <v>250000000</v>
      </c>
      <c r="Q893" s="44">
        <v>0</v>
      </c>
      <c r="R893" s="114">
        <v>250000000</v>
      </c>
      <c r="S893" s="114">
        <v>250000000</v>
      </c>
      <c r="T893" s="44">
        <v>0</v>
      </c>
      <c r="U893" s="114">
        <v>250000000</v>
      </c>
      <c r="V893" s="114">
        <v>250000000</v>
      </c>
      <c r="W893" s="111">
        <f t="shared" si="1051"/>
        <v>250000000</v>
      </c>
      <c r="X893" s="18">
        <f t="shared" ref="X893:X896" si="1052">M893-P893</f>
        <v>1250000000</v>
      </c>
      <c r="Y893" s="133">
        <f t="shared" ref="Y893:Y896" si="1053">P893-S893</f>
        <v>0</v>
      </c>
      <c r="Z893" s="34">
        <f t="shared" ref="Z893:Z896" si="1054">S893-W893</f>
        <v>0</v>
      </c>
      <c r="AA893" s="123">
        <f t="shared" ref="AA893:AA896" si="1055">S893/M893</f>
        <v>0.16666666666666666</v>
      </c>
    </row>
    <row r="894" spans="1:27" x14ac:dyDescent="0.2">
      <c r="A894" s="4" t="s">
        <v>55</v>
      </c>
      <c r="B894" s="4" t="s">
        <v>56</v>
      </c>
      <c r="C894" s="19" t="s">
        <v>907</v>
      </c>
      <c r="D894" s="41" t="s">
        <v>730</v>
      </c>
      <c r="E894" s="42" t="s">
        <v>731</v>
      </c>
      <c r="F894" s="43" t="s">
        <v>732</v>
      </c>
      <c r="G894" s="43">
        <v>1531432613</v>
      </c>
      <c r="H894" s="44">
        <v>0</v>
      </c>
      <c r="I894" s="44">
        <v>0</v>
      </c>
      <c r="J894" s="44">
        <v>0</v>
      </c>
      <c r="K894" s="44">
        <v>0</v>
      </c>
      <c r="L894" s="44">
        <v>0</v>
      </c>
      <c r="M894" s="43">
        <v>1531432613</v>
      </c>
      <c r="N894" s="44">
        <v>0</v>
      </c>
      <c r="O894" s="114">
        <v>255238768</v>
      </c>
      <c r="P894" s="114">
        <v>255238768</v>
      </c>
      <c r="Q894" s="44">
        <v>0</v>
      </c>
      <c r="R894" s="114">
        <v>255238768</v>
      </c>
      <c r="S894" s="114">
        <v>255238768</v>
      </c>
      <c r="T894" s="44">
        <v>0</v>
      </c>
      <c r="U894" s="114">
        <v>255238768</v>
      </c>
      <c r="V894" s="114">
        <v>255238768</v>
      </c>
      <c r="W894" s="111">
        <f t="shared" si="1051"/>
        <v>255238768</v>
      </c>
      <c r="X894" s="18">
        <f t="shared" si="1052"/>
        <v>1276193845</v>
      </c>
      <c r="Y894" s="133">
        <f t="shared" si="1053"/>
        <v>0</v>
      </c>
      <c r="Z894" s="34">
        <f t="shared" si="1054"/>
        <v>0</v>
      </c>
      <c r="AA894" s="123">
        <f t="shared" si="1055"/>
        <v>0.16666666612251388</v>
      </c>
    </row>
    <row r="895" spans="1:27" x14ac:dyDescent="0.2">
      <c r="A895" s="4" t="s">
        <v>55</v>
      </c>
      <c r="B895" s="4" t="s">
        <v>56</v>
      </c>
      <c r="C895" s="19" t="s">
        <v>907</v>
      </c>
      <c r="D895" s="41" t="s">
        <v>733</v>
      </c>
      <c r="E895" s="42" t="s">
        <v>734</v>
      </c>
      <c r="F895" s="43" t="s">
        <v>383</v>
      </c>
      <c r="G895" s="43">
        <v>2000000000</v>
      </c>
      <c r="H895" s="44">
        <v>0</v>
      </c>
      <c r="I895" s="44">
        <v>0</v>
      </c>
      <c r="J895" s="44">
        <v>0</v>
      </c>
      <c r="K895" s="44">
        <v>0</v>
      </c>
      <c r="L895" s="44">
        <v>0</v>
      </c>
      <c r="M895" s="43">
        <v>2000000000</v>
      </c>
      <c r="N895" s="44">
        <v>0</v>
      </c>
      <c r="O895" s="114">
        <v>333333334</v>
      </c>
      <c r="P895" s="114">
        <v>333333334</v>
      </c>
      <c r="Q895" s="44">
        <v>0</v>
      </c>
      <c r="R895" s="114">
        <v>333333334</v>
      </c>
      <c r="S895" s="114">
        <v>333333334</v>
      </c>
      <c r="T895" s="44">
        <v>0</v>
      </c>
      <c r="U895" s="114">
        <v>333333334</v>
      </c>
      <c r="V895" s="114">
        <v>333333334</v>
      </c>
      <c r="W895" s="111">
        <f t="shared" si="1051"/>
        <v>333333334</v>
      </c>
      <c r="X895" s="18">
        <f t="shared" si="1052"/>
        <v>1666666666</v>
      </c>
      <c r="Y895" s="133">
        <f t="shared" si="1053"/>
        <v>0</v>
      </c>
      <c r="Z895" s="34">
        <f t="shared" si="1054"/>
        <v>0</v>
      </c>
      <c r="AA895" s="123">
        <f t="shared" si="1055"/>
        <v>0.16666666699999999</v>
      </c>
    </row>
    <row r="896" spans="1:27" ht="25.5" x14ac:dyDescent="0.2">
      <c r="A896" s="4" t="s">
        <v>55</v>
      </c>
      <c r="B896" s="4" t="s">
        <v>56</v>
      </c>
      <c r="C896" s="19" t="s">
        <v>907</v>
      </c>
      <c r="D896" s="41" t="s">
        <v>735</v>
      </c>
      <c r="E896" s="42" t="s">
        <v>736</v>
      </c>
      <c r="F896" s="43" t="s">
        <v>428</v>
      </c>
      <c r="G896" s="43">
        <v>24512970</v>
      </c>
      <c r="H896" s="44">
        <v>0</v>
      </c>
      <c r="I896" s="44">
        <v>0</v>
      </c>
      <c r="J896" s="44">
        <v>0</v>
      </c>
      <c r="K896" s="44">
        <v>0</v>
      </c>
      <c r="L896" s="44">
        <v>0</v>
      </c>
      <c r="M896" s="43">
        <v>24512970</v>
      </c>
      <c r="N896" s="44">
        <v>0</v>
      </c>
      <c r="O896" s="44">
        <v>0</v>
      </c>
      <c r="P896" s="44">
        <v>0</v>
      </c>
      <c r="Q896" s="44">
        <v>0</v>
      </c>
      <c r="R896" s="44">
        <v>0</v>
      </c>
      <c r="S896" s="44">
        <v>0</v>
      </c>
      <c r="T896" s="44">
        <v>0</v>
      </c>
      <c r="U896" s="44">
        <v>0</v>
      </c>
      <c r="V896" s="44">
        <v>0</v>
      </c>
      <c r="W896" s="40">
        <f t="shared" si="1051"/>
        <v>0</v>
      </c>
      <c r="X896" s="18">
        <f t="shared" si="1052"/>
        <v>24512970</v>
      </c>
      <c r="Y896" s="133">
        <f t="shared" si="1053"/>
        <v>0</v>
      </c>
      <c r="Z896" s="34">
        <f t="shared" si="1054"/>
        <v>0</v>
      </c>
      <c r="AA896" s="123">
        <f t="shared" si="1055"/>
        <v>0</v>
      </c>
    </row>
    <row r="897" spans="1:27" x14ac:dyDescent="0.2">
      <c r="C897" s="19" t="s">
        <v>907</v>
      </c>
      <c r="D897" s="16"/>
      <c r="E897" s="17"/>
      <c r="F897" s="17"/>
      <c r="G897" s="18"/>
      <c r="H897" s="34"/>
      <c r="I897" s="34"/>
      <c r="J897" s="34"/>
      <c r="K897" s="34"/>
      <c r="L897" s="34"/>
      <c r="M897" s="18"/>
      <c r="N897" s="34"/>
      <c r="O897" s="34"/>
      <c r="P897" s="34"/>
      <c r="Q897" s="34"/>
      <c r="R897" s="34"/>
      <c r="S897" s="34"/>
      <c r="T897" s="34"/>
      <c r="U897" s="34"/>
      <c r="V897" s="34"/>
      <c r="W897" s="31"/>
      <c r="X897" s="18"/>
      <c r="Y897" s="18"/>
      <c r="Z897" s="18"/>
      <c r="AA897" s="18"/>
    </row>
    <row r="898" spans="1:27" s="50" customFormat="1" x14ac:dyDescent="0.2">
      <c r="B898" s="77"/>
      <c r="C898" s="19" t="s">
        <v>907</v>
      </c>
      <c r="D898" s="46"/>
      <c r="E898" s="47" t="s">
        <v>737</v>
      </c>
      <c r="F898" s="47"/>
      <c r="G898" s="48">
        <f>SUM(G893:G897)</f>
        <v>5055945583</v>
      </c>
      <c r="H898" s="49">
        <f t="shared" ref="H898:Z898" si="1056">SUM(H893:H897)</f>
        <v>0</v>
      </c>
      <c r="I898" s="49">
        <f t="shared" si="1056"/>
        <v>0</v>
      </c>
      <c r="J898" s="49">
        <f t="shared" si="1056"/>
        <v>0</v>
      </c>
      <c r="K898" s="49">
        <f t="shared" si="1056"/>
        <v>0</v>
      </c>
      <c r="L898" s="49">
        <f t="shared" si="1056"/>
        <v>0</v>
      </c>
      <c r="M898" s="48">
        <f t="shared" si="1056"/>
        <v>5055945583</v>
      </c>
      <c r="N898" s="49">
        <f t="shared" si="1056"/>
        <v>0</v>
      </c>
      <c r="O898" s="121">
        <f t="shared" si="1056"/>
        <v>838572102</v>
      </c>
      <c r="P898" s="121">
        <f t="shared" si="1056"/>
        <v>838572102</v>
      </c>
      <c r="Q898" s="49">
        <f t="shared" si="1056"/>
        <v>0</v>
      </c>
      <c r="R898" s="121">
        <f t="shared" si="1056"/>
        <v>838572102</v>
      </c>
      <c r="S898" s="121">
        <f t="shared" si="1056"/>
        <v>838572102</v>
      </c>
      <c r="T898" s="49">
        <f t="shared" si="1056"/>
        <v>0</v>
      </c>
      <c r="U898" s="121">
        <f t="shared" si="1056"/>
        <v>838572102</v>
      </c>
      <c r="V898" s="121">
        <f t="shared" si="1056"/>
        <v>838572102</v>
      </c>
      <c r="W898" s="108">
        <f>T898+V898</f>
        <v>838572102</v>
      </c>
      <c r="X898" s="48">
        <f t="shared" si="1056"/>
        <v>4217373481</v>
      </c>
      <c r="Y898" s="49">
        <f t="shared" si="1056"/>
        <v>0</v>
      </c>
      <c r="Z898" s="49">
        <f t="shared" si="1056"/>
        <v>0</v>
      </c>
      <c r="AA898" s="24">
        <f t="shared" ref="AA898" si="1057">S898/M898</f>
        <v>0.165858609083847</v>
      </c>
    </row>
    <row r="899" spans="1:27" x14ac:dyDescent="0.2">
      <c r="C899" s="19" t="s">
        <v>907</v>
      </c>
      <c r="D899" s="16"/>
      <c r="E899" s="17"/>
      <c r="F899" s="17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</row>
    <row r="900" spans="1:27" s="25" customFormat="1" x14ac:dyDescent="0.2">
      <c r="B900" s="71"/>
      <c r="C900" s="19" t="s">
        <v>907</v>
      </c>
      <c r="D900" s="66"/>
      <c r="E900" s="21" t="s">
        <v>738</v>
      </c>
      <c r="F900" s="67"/>
      <c r="G900" s="63"/>
      <c r="H900" s="63"/>
      <c r="I900" s="63"/>
      <c r="J900" s="63"/>
      <c r="K900" s="63"/>
      <c r="L900" s="63"/>
      <c r="M900" s="63"/>
      <c r="N900" s="63"/>
      <c r="O900" s="63"/>
      <c r="P900" s="63"/>
      <c r="Q900" s="63"/>
      <c r="R900" s="63"/>
      <c r="S900" s="63"/>
      <c r="T900" s="63"/>
      <c r="U900" s="63"/>
      <c r="V900" s="63"/>
      <c r="W900" s="63"/>
      <c r="X900" s="63"/>
      <c r="Y900" s="63"/>
      <c r="Z900" s="63"/>
      <c r="AA900" s="63"/>
    </row>
    <row r="901" spans="1:27" x14ac:dyDescent="0.2">
      <c r="C901" s="19" t="s">
        <v>907</v>
      </c>
      <c r="D901" s="16"/>
      <c r="E901" s="29" t="s">
        <v>285</v>
      </c>
      <c r="F901" s="17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</row>
    <row r="902" spans="1:27" x14ac:dyDescent="0.2">
      <c r="C902" s="19" t="s">
        <v>907</v>
      </c>
      <c r="D902" s="16"/>
      <c r="E902" s="29" t="s">
        <v>202</v>
      </c>
      <c r="F902" s="17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</row>
    <row r="903" spans="1:27" x14ac:dyDescent="0.2">
      <c r="C903" s="19" t="s">
        <v>907</v>
      </c>
      <c r="D903" s="16"/>
      <c r="E903" s="29" t="s">
        <v>203</v>
      </c>
      <c r="F903" s="17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</row>
    <row r="904" spans="1:27" x14ac:dyDescent="0.2">
      <c r="C904" s="19" t="s">
        <v>907</v>
      </c>
      <c r="D904" s="16"/>
      <c r="E904" s="29" t="s">
        <v>204</v>
      </c>
      <c r="F904" s="17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</row>
    <row r="905" spans="1:27" ht="25.5" x14ac:dyDescent="0.2">
      <c r="C905" s="19" t="s">
        <v>907</v>
      </c>
      <c r="D905" s="16"/>
      <c r="E905" s="29" t="s">
        <v>739</v>
      </c>
      <c r="F905" s="17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</row>
    <row r="906" spans="1:27" ht="25.5" x14ac:dyDescent="0.2">
      <c r="C906" s="19" t="s">
        <v>907</v>
      </c>
      <c r="D906" s="16"/>
      <c r="E906" s="29" t="s">
        <v>205</v>
      </c>
      <c r="F906" s="17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30"/>
      <c r="X906" s="18"/>
      <c r="Y906" s="18"/>
      <c r="Z906" s="18"/>
      <c r="AA906" s="18"/>
    </row>
    <row r="907" spans="1:27" ht="25.5" x14ac:dyDescent="0.2">
      <c r="C907" s="19" t="s">
        <v>907</v>
      </c>
      <c r="D907" s="28" t="s">
        <v>288</v>
      </c>
      <c r="E907" s="29" t="s">
        <v>740</v>
      </c>
      <c r="F907" s="17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30"/>
      <c r="X907" s="18"/>
      <c r="Y907" s="18"/>
      <c r="Z907" s="18"/>
      <c r="AA907" s="18"/>
    </row>
    <row r="908" spans="1:27" x14ac:dyDescent="0.2">
      <c r="A908" s="4" t="s">
        <v>55</v>
      </c>
      <c r="B908" s="4" t="s">
        <v>56</v>
      </c>
      <c r="C908" s="19" t="s">
        <v>907</v>
      </c>
      <c r="D908" s="41" t="s">
        <v>741</v>
      </c>
      <c r="E908" s="42" t="s">
        <v>233</v>
      </c>
      <c r="F908" s="43" t="s">
        <v>58</v>
      </c>
      <c r="G908" s="43">
        <v>9645837227</v>
      </c>
      <c r="H908" s="44">
        <v>0</v>
      </c>
      <c r="I908" s="44">
        <v>0</v>
      </c>
      <c r="J908" s="44">
        <v>0</v>
      </c>
      <c r="K908" s="44">
        <v>0</v>
      </c>
      <c r="L908" s="44">
        <v>0</v>
      </c>
      <c r="M908" s="43">
        <v>9645837227</v>
      </c>
      <c r="N908" s="44">
        <v>0</v>
      </c>
      <c r="O908" s="43">
        <v>803819769</v>
      </c>
      <c r="P908" s="43">
        <v>1607639538</v>
      </c>
      <c r="Q908" s="44">
        <v>0</v>
      </c>
      <c r="R908" s="43">
        <v>803819769</v>
      </c>
      <c r="S908" s="43">
        <v>1607639538</v>
      </c>
      <c r="T908" s="44">
        <v>0</v>
      </c>
      <c r="U908" s="114">
        <v>803819769</v>
      </c>
      <c r="V908" s="114">
        <v>1607639538</v>
      </c>
      <c r="W908" s="111">
        <f t="shared" ref="W908:W912" si="1058">T908+V908</f>
        <v>1607639538</v>
      </c>
      <c r="X908" s="110">
        <f t="shared" ref="X908:X912" si="1059">M908-P908</f>
        <v>8038197689</v>
      </c>
      <c r="Y908" s="133">
        <f t="shared" ref="Y908:Y912" si="1060">P908-S908</f>
        <v>0</v>
      </c>
      <c r="Z908" s="34">
        <f t="shared" ref="Z908:Z912" si="1061">S908-W908</f>
        <v>0</v>
      </c>
      <c r="AA908" s="123">
        <f t="shared" ref="AA908:AA912" si="1062">S908/M908</f>
        <v>0.16666666668394528</v>
      </c>
    </row>
    <row r="909" spans="1:27" x14ac:dyDescent="0.2">
      <c r="A909" s="4" t="s">
        <v>55</v>
      </c>
      <c r="B909" s="4" t="s">
        <v>56</v>
      </c>
      <c r="C909" s="19" t="s">
        <v>907</v>
      </c>
      <c r="D909" s="41" t="s">
        <v>742</v>
      </c>
      <c r="E909" s="42" t="s">
        <v>743</v>
      </c>
      <c r="F909" s="43" t="s">
        <v>744</v>
      </c>
      <c r="G909" s="43">
        <v>1148574460</v>
      </c>
      <c r="H909" s="44">
        <v>0</v>
      </c>
      <c r="I909" s="44">
        <v>0</v>
      </c>
      <c r="J909" s="44">
        <v>0</v>
      </c>
      <c r="K909" s="44">
        <v>0</v>
      </c>
      <c r="L909" s="44">
        <v>0</v>
      </c>
      <c r="M909" s="43">
        <v>1148574460</v>
      </c>
      <c r="N909" s="44">
        <v>0</v>
      </c>
      <c r="O909" s="43">
        <v>95714538</v>
      </c>
      <c r="P909" s="43">
        <v>191429076</v>
      </c>
      <c r="Q909" s="44">
        <v>0</v>
      </c>
      <c r="R909" s="43">
        <v>95714538</v>
      </c>
      <c r="S909" s="43">
        <v>191429076</v>
      </c>
      <c r="T909" s="44">
        <v>0</v>
      </c>
      <c r="U909" s="114">
        <v>191429076</v>
      </c>
      <c r="V909" s="114">
        <v>191429076</v>
      </c>
      <c r="W909" s="111">
        <f t="shared" si="1058"/>
        <v>191429076</v>
      </c>
      <c r="X909" s="110">
        <f t="shared" si="1059"/>
        <v>957145384</v>
      </c>
      <c r="Y909" s="133">
        <f t="shared" si="1060"/>
        <v>0</v>
      </c>
      <c r="Z909" s="34">
        <f t="shared" si="1061"/>
        <v>0</v>
      </c>
      <c r="AA909" s="123">
        <f t="shared" si="1062"/>
        <v>0.16666666608623701</v>
      </c>
    </row>
    <row r="910" spans="1:27" x14ac:dyDescent="0.2">
      <c r="A910" s="4" t="s">
        <v>55</v>
      </c>
      <c r="B910" s="4" t="s">
        <v>56</v>
      </c>
      <c r="C910" s="19" t="s">
        <v>907</v>
      </c>
      <c r="D910" s="41" t="s">
        <v>745</v>
      </c>
      <c r="E910" s="42" t="s">
        <v>281</v>
      </c>
      <c r="F910" s="43" t="s">
        <v>253</v>
      </c>
      <c r="G910" s="43">
        <v>3200000000</v>
      </c>
      <c r="H910" s="44">
        <v>0</v>
      </c>
      <c r="I910" s="44">
        <v>0</v>
      </c>
      <c r="J910" s="44">
        <v>0</v>
      </c>
      <c r="K910" s="44">
        <v>0</v>
      </c>
      <c r="L910" s="44">
        <v>0</v>
      </c>
      <c r="M910" s="43">
        <v>3200000000</v>
      </c>
      <c r="N910" s="44">
        <v>0</v>
      </c>
      <c r="O910" s="43">
        <v>0</v>
      </c>
      <c r="P910" s="43">
        <v>340000000</v>
      </c>
      <c r="Q910" s="44">
        <v>0</v>
      </c>
      <c r="R910" s="43">
        <v>0</v>
      </c>
      <c r="S910" s="43">
        <v>340000000</v>
      </c>
      <c r="T910" s="44">
        <v>0</v>
      </c>
      <c r="U910" s="114">
        <v>340000000</v>
      </c>
      <c r="V910" s="114">
        <v>340000000</v>
      </c>
      <c r="W910" s="111">
        <f t="shared" si="1058"/>
        <v>340000000</v>
      </c>
      <c r="X910" s="110">
        <f t="shared" si="1059"/>
        <v>2860000000</v>
      </c>
      <c r="Y910" s="133">
        <f t="shared" si="1060"/>
        <v>0</v>
      </c>
      <c r="Z910" s="34">
        <f t="shared" si="1061"/>
        <v>0</v>
      </c>
      <c r="AA910" s="123">
        <f t="shared" si="1062"/>
        <v>0.10625</v>
      </c>
    </row>
    <row r="911" spans="1:27" ht="25.5" x14ac:dyDescent="0.2">
      <c r="A911" s="4" t="s">
        <v>55</v>
      </c>
      <c r="B911" s="4" t="s">
        <v>56</v>
      </c>
      <c r="C911" s="19" t="s">
        <v>907</v>
      </c>
      <c r="D911" s="41" t="s">
        <v>746</v>
      </c>
      <c r="E911" s="42" t="s">
        <v>747</v>
      </c>
      <c r="F911" s="43" t="s">
        <v>258</v>
      </c>
      <c r="G911" s="43">
        <v>35443183</v>
      </c>
      <c r="H911" s="44">
        <v>0</v>
      </c>
      <c r="I911" s="44">
        <v>0</v>
      </c>
      <c r="J911" s="44">
        <v>0</v>
      </c>
      <c r="K911" s="44">
        <v>0</v>
      </c>
      <c r="L911" s="44">
        <v>0</v>
      </c>
      <c r="M911" s="43">
        <v>35443183</v>
      </c>
      <c r="N911" s="44">
        <v>0</v>
      </c>
      <c r="O911" s="44">
        <v>0</v>
      </c>
      <c r="P911" s="44">
        <v>0</v>
      </c>
      <c r="Q911" s="44">
        <v>0</v>
      </c>
      <c r="R911" s="44">
        <v>0</v>
      </c>
      <c r="S911" s="44">
        <v>0</v>
      </c>
      <c r="T911" s="44">
        <v>0</v>
      </c>
      <c r="U911" s="44">
        <v>0</v>
      </c>
      <c r="V911" s="44">
        <v>0</v>
      </c>
      <c r="W911" s="135">
        <f t="shared" si="1058"/>
        <v>0</v>
      </c>
      <c r="X911" s="110">
        <f t="shared" si="1059"/>
        <v>35443183</v>
      </c>
      <c r="Y911" s="133">
        <f t="shared" si="1060"/>
        <v>0</v>
      </c>
      <c r="Z911" s="34">
        <f t="shared" si="1061"/>
        <v>0</v>
      </c>
      <c r="AA911" s="123">
        <f t="shared" si="1062"/>
        <v>0</v>
      </c>
    </row>
    <row r="912" spans="1:27" x14ac:dyDescent="0.2">
      <c r="A912" s="4" t="s">
        <v>55</v>
      </c>
      <c r="B912" s="4" t="s">
        <v>56</v>
      </c>
      <c r="C912" s="19" t="s">
        <v>907</v>
      </c>
      <c r="D912" s="41" t="s">
        <v>748</v>
      </c>
      <c r="E912" s="42" t="s">
        <v>749</v>
      </c>
      <c r="F912" s="43" t="s">
        <v>368</v>
      </c>
      <c r="G912" s="43">
        <v>30000000</v>
      </c>
      <c r="H912" s="44">
        <v>0</v>
      </c>
      <c r="I912" s="44">
        <v>0</v>
      </c>
      <c r="J912" s="44">
        <v>0</v>
      </c>
      <c r="K912" s="44">
        <v>0</v>
      </c>
      <c r="L912" s="44">
        <v>0</v>
      </c>
      <c r="M912" s="43">
        <v>30000000</v>
      </c>
      <c r="N912" s="44">
        <v>0</v>
      </c>
      <c r="O912" s="44">
        <v>0</v>
      </c>
      <c r="P912" s="44">
        <v>0</v>
      </c>
      <c r="Q912" s="44">
        <v>0</v>
      </c>
      <c r="R912" s="44">
        <v>0</v>
      </c>
      <c r="S912" s="44">
        <v>0</v>
      </c>
      <c r="T912" s="44">
        <v>0</v>
      </c>
      <c r="U912" s="44">
        <v>0</v>
      </c>
      <c r="V912" s="44">
        <v>0</v>
      </c>
      <c r="W912" s="135">
        <f t="shared" si="1058"/>
        <v>0</v>
      </c>
      <c r="X912" s="110">
        <f t="shared" si="1059"/>
        <v>30000000</v>
      </c>
      <c r="Y912" s="133">
        <f t="shared" si="1060"/>
        <v>0</v>
      </c>
      <c r="Z912" s="34">
        <f t="shared" si="1061"/>
        <v>0</v>
      </c>
      <c r="AA912" s="123">
        <f t="shared" si="1062"/>
        <v>0</v>
      </c>
    </row>
    <row r="913" spans="1:27" x14ac:dyDescent="0.2">
      <c r="C913" s="19" t="s">
        <v>907</v>
      </c>
      <c r="D913" s="16"/>
      <c r="E913" s="17"/>
      <c r="F913" s="17"/>
      <c r="G913" s="18"/>
      <c r="H913" s="34"/>
      <c r="I913" s="34"/>
      <c r="J913" s="34"/>
      <c r="K913" s="34"/>
      <c r="L913" s="34"/>
      <c r="M913" s="18"/>
      <c r="N913" s="34"/>
      <c r="O913" s="18"/>
      <c r="P913" s="18"/>
      <c r="Q913" s="34"/>
      <c r="R913" s="18"/>
      <c r="S913" s="18"/>
      <c r="T913" s="18"/>
      <c r="U913" s="18"/>
      <c r="V913" s="18"/>
      <c r="W913" s="30"/>
      <c r="X913" s="18"/>
      <c r="Y913" s="18"/>
      <c r="Z913" s="18"/>
      <c r="AA913" s="18"/>
    </row>
    <row r="914" spans="1:27" s="50" customFormat="1" x14ac:dyDescent="0.2">
      <c r="B914" s="77"/>
      <c r="C914" s="19" t="s">
        <v>907</v>
      </c>
      <c r="D914" s="46"/>
      <c r="E914" s="47" t="s">
        <v>750</v>
      </c>
      <c r="F914" s="22" t="s">
        <v>751</v>
      </c>
      <c r="G914" s="22">
        <f>SUM(G908:G913)</f>
        <v>14059854870</v>
      </c>
      <c r="H914" s="23">
        <f t="shared" ref="H914:Z914" si="1063">SUM(H908:H913)</f>
        <v>0</v>
      </c>
      <c r="I914" s="23">
        <f t="shared" si="1063"/>
        <v>0</v>
      </c>
      <c r="J914" s="23">
        <f t="shared" si="1063"/>
        <v>0</v>
      </c>
      <c r="K914" s="23">
        <f t="shared" si="1063"/>
        <v>0</v>
      </c>
      <c r="L914" s="23">
        <f t="shared" si="1063"/>
        <v>0</v>
      </c>
      <c r="M914" s="22">
        <f t="shared" si="1063"/>
        <v>14059854870</v>
      </c>
      <c r="N914" s="23">
        <f t="shared" si="1063"/>
        <v>0</v>
      </c>
      <c r="O914" s="22">
        <f t="shared" si="1063"/>
        <v>899534307</v>
      </c>
      <c r="P914" s="22">
        <f t="shared" si="1063"/>
        <v>2139068614</v>
      </c>
      <c r="Q914" s="23">
        <f t="shared" si="1063"/>
        <v>0</v>
      </c>
      <c r="R914" s="22">
        <f t="shared" si="1063"/>
        <v>899534307</v>
      </c>
      <c r="S914" s="22">
        <f t="shared" si="1063"/>
        <v>2139068614</v>
      </c>
      <c r="T914" s="22">
        <f t="shared" si="1063"/>
        <v>0</v>
      </c>
      <c r="U914" s="22">
        <f t="shared" si="1063"/>
        <v>1335248845</v>
      </c>
      <c r="V914" s="22">
        <f t="shared" si="1063"/>
        <v>2139068614</v>
      </c>
      <c r="W914" s="22">
        <f>T914+V914</f>
        <v>2139068614</v>
      </c>
      <c r="X914" s="22">
        <f t="shared" si="1063"/>
        <v>11920786256</v>
      </c>
      <c r="Y914" s="23">
        <f t="shared" si="1063"/>
        <v>0</v>
      </c>
      <c r="Z914" s="23">
        <f t="shared" si="1063"/>
        <v>0</v>
      </c>
      <c r="AA914" s="24">
        <f t="shared" ref="AA914" si="1064">S914/M914</f>
        <v>0.15214016316514084</v>
      </c>
    </row>
    <row r="915" spans="1:27" x14ac:dyDescent="0.2">
      <c r="C915" s="19" t="s">
        <v>907</v>
      </c>
      <c r="D915" s="16"/>
      <c r="E915" s="17"/>
      <c r="F915" s="17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</row>
    <row r="916" spans="1:27" x14ac:dyDescent="0.2">
      <c r="C916" s="19" t="s">
        <v>907</v>
      </c>
      <c r="D916" s="16"/>
      <c r="E916" s="29" t="s">
        <v>207</v>
      </c>
      <c r="F916" s="17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</row>
    <row r="917" spans="1:27" x14ac:dyDescent="0.2">
      <c r="C917" s="19" t="s">
        <v>907</v>
      </c>
      <c r="D917" s="16"/>
      <c r="E917" s="29" t="s">
        <v>285</v>
      </c>
      <c r="F917" s="17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</row>
    <row r="918" spans="1:27" x14ac:dyDescent="0.2">
      <c r="C918" s="19" t="s">
        <v>907</v>
      </c>
      <c r="D918" s="16"/>
      <c r="E918" s="29" t="s">
        <v>202</v>
      </c>
      <c r="F918" s="17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</row>
    <row r="919" spans="1:27" x14ac:dyDescent="0.2">
      <c r="C919" s="19" t="s">
        <v>907</v>
      </c>
      <c r="D919" s="16"/>
      <c r="E919" s="29" t="s">
        <v>203</v>
      </c>
      <c r="F919" s="17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</row>
    <row r="920" spans="1:27" x14ac:dyDescent="0.2">
      <c r="C920" s="19" t="s">
        <v>907</v>
      </c>
      <c r="D920" s="16"/>
      <c r="E920" s="29" t="s">
        <v>752</v>
      </c>
      <c r="F920" s="17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</row>
    <row r="921" spans="1:27" ht="25.5" x14ac:dyDescent="0.2">
      <c r="C921" s="19" t="s">
        <v>907</v>
      </c>
      <c r="D921" s="16"/>
      <c r="E921" s="29" t="s">
        <v>205</v>
      </c>
      <c r="F921" s="17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</row>
    <row r="922" spans="1:27" ht="25.5" x14ac:dyDescent="0.2">
      <c r="C922" s="19" t="s">
        <v>907</v>
      </c>
      <c r="D922" s="16"/>
      <c r="E922" s="29" t="s">
        <v>205</v>
      </c>
      <c r="F922" s="17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30"/>
      <c r="X922" s="18"/>
      <c r="Y922" s="18"/>
      <c r="Z922" s="18"/>
      <c r="AA922" s="18"/>
    </row>
    <row r="923" spans="1:27" ht="25.5" x14ac:dyDescent="0.2">
      <c r="C923" s="19" t="s">
        <v>907</v>
      </c>
      <c r="D923" s="28" t="s">
        <v>288</v>
      </c>
      <c r="E923" s="29" t="s">
        <v>753</v>
      </c>
      <c r="F923" s="17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30"/>
      <c r="X923" s="18"/>
      <c r="Y923" s="18"/>
      <c r="Z923" s="18"/>
      <c r="AA923" s="18"/>
    </row>
    <row r="924" spans="1:27" x14ac:dyDescent="0.2">
      <c r="A924" s="4" t="s">
        <v>55</v>
      </c>
      <c r="B924" s="4" t="s">
        <v>56</v>
      </c>
      <c r="C924" s="19" t="s">
        <v>907</v>
      </c>
      <c r="D924" s="41" t="s">
        <v>754</v>
      </c>
      <c r="E924" s="42" t="s">
        <v>233</v>
      </c>
      <c r="F924" s="43" t="s">
        <v>58</v>
      </c>
      <c r="G924" s="43">
        <v>3500000000</v>
      </c>
      <c r="H924" s="44">
        <v>0</v>
      </c>
      <c r="I924" s="44">
        <v>0</v>
      </c>
      <c r="J924" s="44">
        <v>0</v>
      </c>
      <c r="K924" s="44">
        <v>0</v>
      </c>
      <c r="L924" s="44">
        <v>0</v>
      </c>
      <c r="M924" s="43">
        <v>3500000000</v>
      </c>
      <c r="N924" s="44">
        <v>0</v>
      </c>
      <c r="O924" s="43">
        <v>291666667</v>
      </c>
      <c r="P924" s="43">
        <v>583333334</v>
      </c>
      <c r="Q924" s="44">
        <v>0</v>
      </c>
      <c r="R924" s="43">
        <v>291666667</v>
      </c>
      <c r="S924" s="43">
        <v>583333334</v>
      </c>
      <c r="T924" s="44">
        <v>0</v>
      </c>
      <c r="U924" s="43">
        <v>291666667</v>
      </c>
      <c r="V924" s="43">
        <v>583333334</v>
      </c>
      <c r="W924" s="111">
        <f t="shared" ref="W924:W925" si="1065">T924+V924</f>
        <v>583333334</v>
      </c>
      <c r="X924" s="110">
        <f t="shared" ref="X924:X925" si="1066">M924-P924</f>
        <v>2916666666</v>
      </c>
      <c r="Y924" s="133">
        <f t="shared" ref="Y924:Y925" si="1067">P924-S924</f>
        <v>0</v>
      </c>
      <c r="Z924" s="34">
        <f t="shared" ref="Z924:Z925" si="1068">S924-W924</f>
        <v>0</v>
      </c>
      <c r="AA924" s="123">
        <f t="shared" ref="AA924:AA925" si="1069">S924/M924</f>
        <v>0.16666666685714285</v>
      </c>
    </row>
    <row r="925" spans="1:27" x14ac:dyDescent="0.2">
      <c r="A925" s="4" t="s">
        <v>55</v>
      </c>
      <c r="B925" s="4" t="s">
        <v>56</v>
      </c>
      <c r="C925" s="19" t="s">
        <v>907</v>
      </c>
      <c r="D925" s="41" t="s">
        <v>755</v>
      </c>
      <c r="E925" s="42" t="s">
        <v>756</v>
      </c>
      <c r="F925" s="43" t="s">
        <v>757</v>
      </c>
      <c r="G925" s="43">
        <v>103000000</v>
      </c>
      <c r="H925" s="44">
        <v>0</v>
      </c>
      <c r="I925" s="44">
        <v>0</v>
      </c>
      <c r="J925" s="44">
        <v>0</v>
      </c>
      <c r="K925" s="44">
        <v>0</v>
      </c>
      <c r="L925" s="44">
        <v>0</v>
      </c>
      <c r="M925" s="43">
        <v>103000000</v>
      </c>
      <c r="N925" s="44">
        <v>0</v>
      </c>
      <c r="O925" s="43">
        <v>0</v>
      </c>
      <c r="P925" s="43">
        <v>0</v>
      </c>
      <c r="Q925" s="44">
        <v>0</v>
      </c>
      <c r="R925" s="43">
        <v>0</v>
      </c>
      <c r="S925" s="43">
        <v>0</v>
      </c>
      <c r="T925" s="44">
        <v>0</v>
      </c>
      <c r="U925" s="44">
        <v>0</v>
      </c>
      <c r="V925" s="44">
        <v>0</v>
      </c>
      <c r="W925" s="135">
        <f t="shared" si="1065"/>
        <v>0</v>
      </c>
      <c r="X925" s="110">
        <f t="shared" si="1066"/>
        <v>103000000</v>
      </c>
      <c r="Y925" s="133">
        <f t="shared" si="1067"/>
        <v>0</v>
      </c>
      <c r="Z925" s="34">
        <f t="shared" si="1068"/>
        <v>0</v>
      </c>
      <c r="AA925" s="123">
        <f t="shared" si="1069"/>
        <v>0</v>
      </c>
    </row>
    <row r="926" spans="1:27" x14ac:dyDescent="0.2">
      <c r="C926" s="19" t="s">
        <v>907</v>
      </c>
      <c r="D926" s="16"/>
      <c r="E926" s="17"/>
      <c r="F926" s="17"/>
      <c r="G926" s="18"/>
      <c r="H926" s="34"/>
      <c r="I926" s="34"/>
      <c r="J926" s="34"/>
      <c r="K926" s="34"/>
      <c r="L926" s="34"/>
      <c r="M926" s="18"/>
      <c r="N926" s="34"/>
      <c r="O926" s="18"/>
      <c r="P926" s="18"/>
      <c r="Q926" s="34"/>
      <c r="R926" s="18"/>
      <c r="S926" s="18"/>
      <c r="T926" s="34"/>
      <c r="U926" s="18"/>
      <c r="V926" s="18"/>
      <c r="W926" s="30"/>
      <c r="X926" s="18"/>
      <c r="Y926" s="18"/>
      <c r="Z926" s="18"/>
      <c r="AA926" s="18"/>
    </row>
    <row r="927" spans="1:27" s="50" customFormat="1" x14ac:dyDescent="0.2">
      <c r="B927" s="77"/>
      <c r="C927" s="19" t="s">
        <v>907</v>
      </c>
      <c r="D927" s="46"/>
      <c r="E927" s="47" t="s">
        <v>758</v>
      </c>
      <c r="F927" s="22" t="s">
        <v>759</v>
      </c>
      <c r="G927" s="22">
        <f>SUM(G924:G926)</f>
        <v>3603000000</v>
      </c>
      <c r="H927" s="23">
        <f t="shared" ref="H927:AA927" si="1070">SUM(H924:H926)</f>
        <v>0</v>
      </c>
      <c r="I927" s="23">
        <f t="shared" si="1070"/>
        <v>0</v>
      </c>
      <c r="J927" s="23">
        <f t="shared" si="1070"/>
        <v>0</v>
      </c>
      <c r="K927" s="23">
        <f t="shared" si="1070"/>
        <v>0</v>
      </c>
      <c r="L927" s="23">
        <f t="shared" si="1070"/>
        <v>0</v>
      </c>
      <c r="M927" s="22">
        <f t="shared" si="1070"/>
        <v>3603000000</v>
      </c>
      <c r="N927" s="23">
        <f t="shared" si="1070"/>
        <v>0</v>
      </c>
      <c r="O927" s="22">
        <f t="shared" si="1070"/>
        <v>291666667</v>
      </c>
      <c r="P927" s="22">
        <f t="shared" si="1070"/>
        <v>583333334</v>
      </c>
      <c r="Q927" s="23">
        <f t="shared" si="1070"/>
        <v>0</v>
      </c>
      <c r="R927" s="22">
        <f t="shared" si="1070"/>
        <v>291666667</v>
      </c>
      <c r="S927" s="22">
        <f t="shared" si="1070"/>
        <v>583333334</v>
      </c>
      <c r="T927" s="23">
        <f t="shared" si="1070"/>
        <v>0</v>
      </c>
      <c r="U927" s="22">
        <f t="shared" si="1070"/>
        <v>291666667</v>
      </c>
      <c r="V927" s="22">
        <f t="shared" si="1070"/>
        <v>583333334</v>
      </c>
      <c r="W927" s="22">
        <f>T927+V927</f>
        <v>583333334</v>
      </c>
      <c r="X927" s="22">
        <f t="shared" si="1070"/>
        <v>3019666666</v>
      </c>
      <c r="Y927" s="23">
        <f t="shared" si="1070"/>
        <v>0</v>
      </c>
      <c r="Z927" s="23">
        <f t="shared" si="1070"/>
        <v>0</v>
      </c>
      <c r="AA927" s="22">
        <f t="shared" si="1070"/>
        <v>0.16666666685714285</v>
      </c>
    </row>
    <row r="928" spans="1:27" x14ac:dyDescent="0.2">
      <c r="C928" s="19" t="s">
        <v>907</v>
      </c>
      <c r="D928" s="16"/>
      <c r="E928" s="17"/>
      <c r="F928" s="17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</row>
    <row r="929" spans="1:27" s="25" customFormat="1" x14ac:dyDescent="0.2">
      <c r="B929" s="71"/>
      <c r="C929" s="19" t="s">
        <v>907</v>
      </c>
      <c r="D929" s="66"/>
      <c r="E929" s="21" t="s">
        <v>760</v>
      </c>
      <c r="F929" s="67"/>
      <c r="G929" s="63"/>
      <c r="H929" s="63"/>
      <c r="I929" s="63"/>
      <c r="J929" s="63"/>
      <c r="K929" s="63"/>
      <c r="L929" s="63"/>
      <c r="M929" s="63"/>
      <c r="N929" s="63"/>
      <c r="O929" s="63"/>
      <c r="P929" s="63"/>
      <c r="Q929" s="63"/>
      <c r="R929" s="63"/>
      <c r="S929" s="63"/>
      <c r="T929" s="63"/>
      <c r="U929" s="63"/>
      <c r="V929" s="63"/>
      <c r="W929" s="63"/>
      <c r="X929" s="63"/>
      <c r="Y929" s="63"/>
      <c r="Z929" s="63"/>
      <c r="AA929" s="63"/>
    </row>
    <row r="930" spans="1:27" x14ac:dyDescent="0.2">
      <c r="C930" s="19" t="s">
        <v>907</v>
      </c>
      <c r="D930" s="16"/>
      <c r="E930" s="29" t="s">
        <v>285</v>
      </c>
      <c r="F930" s="17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</row>
    <row r="931" spans="1:27" x14ac:dyDescent="0.2">
      <c r="C931" s="19" t="s">
        <v>907</v>
      </c>
      <c r="D931" s="16"/>
      <c r="E931" s="29" t="s">
        <v>177</v>
      </c>
      <c r="F931" s="17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</row>
    <row r="932" spans="1:27" x14ac:dyDescent="0.2">
      <c r="C932" s="19" t="s">
        <v>907</v>
      </c>
      <c r="D932" s="16"/>
      <c r="E932" s="29" t="s">
        <v>179</v>
      </c>
      <c r="F932" s="17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</row>
    <row r="933" spans="1:27" x14ac:dyDescent="0.2">
      <c r="C933" s="19" t="s">
        <v>907</v>
      </c>
      <c r="D933" s="16"/>
      <c r="E933" s="29" t="s">
        <v>761</v>
      </c>
      <c r="F933" s="17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</row>
    <row r="934" spans="1:27" ht="25.5" x14ac:dyDescent="0.2">
      <c r="C934" s="19" t="s">
        <v>907</v>
      </c>
      <c r="D934" s="16"/>
      <c r="E934" s="29" t="s">
        <v>298</v>
      </c>
      <c r="F934" s="17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</row>
    <row r="935" spans="1:27" ht="51" x14ac:dyDescent="0.2">
      <c r="C935" s="19" t="s">
        <v>907</v>
      </c>
      <c r="D935" s="28" t="s">
        <v>288</v>
      </c>
      <c r="E935" s="29" t="s">
        <v>762</v>
      </c>
      <c r="F935" s="17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30"/>
      <c r="X935" s="18"/>
      <c r="Y935" s="18"/>
      <c r="Z935" s="18"/>
      <c r="AA935" s="18"/>
    </row>
    <row r="936" spans="1:27" x14ac:dyDescent="0.2">
      <c r="A936" s="4" t="s">
        <v>55</v>
      </c>
      <c r="B936" s="4" t="s">
        <v>56</v>
      </c>
      <c r="C936" s="19" t="s">
        <v>907</v>
      </c>
      <c r="D936" s="41" t="s">
        <v>763</v>
      </c>
      <c r="E936" s="42" t="s">
        <v>233</v>
      </c>
      <c r="F936" s="43" t="s">
        <v>58</v>
      </c>
      <c r="G936" s="43">
        <v>123000000</v>
      </c>
      <c r="H936" s="44">
        <v>0</v>
      </c>
      <c r="I936" s="44">
        <v>0</v>
      </c>
      <c r="J936" s="44">
        <v>0</v>
      </c>
      <c r="K936" s="44">
        <v>0</v>
      </c>
      <c r="L936" s="44">
        <v>0</v>
      </c>
      <c r="M936" s="43">
        <v>123000000</v>
      </c>
      <c r="N936" s="44">
        <v>0</v>
      </c>
      <c r="O936" s="43">
        <v>4200000</v>
      </c>
      <c r="P936" s="43">
        <v>111780000</v>
      </c>
      <c r="Q936" s="44">
        <v>0</v>
      </c>
      <c r="R936" s="43">
        <v>4200000</v>
      </c>
      <c r="S936" s="43">
        <v>111780000</v>
      </c>
      <c r="T936" s="44">
        <v>0</v>
      </c>
      <c r="U936" s="114">
        <v>2150000</v>
      </c>
      <c r="V936" s="114">
        <v>2150000</v>
      </c>
      <c r="W936" s="111">
        <f t="shared" ref="W936:W938" si="1071">T936+V936</f>
        <v>2150000</v>
      </c>
      <c r="X936" s="110">
        <f t="shared" ref="X936" si="1072">M936-P936</f>
        <v>11220000</v>
      </c>
      <c r="Y936" s="133">
        <f t="shared" ref="Y936" si="1073">P936-S936</f>
        <v>0</v>
      </c>
      <c r="Z936" s="110">
        <f t="shared" ref="Z936" si="1074">S936-W936</f>
        <v>109630000</v>
      </c>
      <c r="AA936" s="123">
        <f t="shared" ref="AA936" si="1075">S936/M936</f>
        <v>0.90878048780487808</v>
      </c>
    </row>
    <row r="937" spans="1:27" x14ac:dyDescent="0.2">
      <c r="C937" s="19" t="s">
        <v>907</v>
      </c>
      <c r="D937" s="28" t="s">
        <v>288</v>
      </c>
      <c r="E937" s="29" t="s">
        <v>764</v>
      </c>
      <c r="F937" s="17"/>
      <c r="G937" s="18"/>
      <c r="H937" s="18"/>
      <c r="I937" s="18"/>
      <c r="J937" s="18"/>
      <c r="K937" s="18"/>
      <c r="L937" s="18"/>
      <c r="M937" s="18"/>
      <c r="N937" s="34"/>
      <c r="O937" s="18"/>
      <c r="P937" s="18"/>
      <c r="Q937" s="34"/>
      <c r="R937" s="18"/>
      <c r="S937" s="18"/>
      <c r="T937" s="34"/>
      <c r="U937" s="34"/>
      <c r="V937" s="34"/>
      <c r="W937" s="31"/>
      <c r="X937" s="18"/>
      <c r="Y937" s="18"/>
      <c r="Z937" s="110"/>
      <c r="AA937" s="18"/>
    </row>
    <row r="938" spans="1:27" x14ac:dyDescent="0.2">
      <c r="A938" s="4" t="s">
        <v>55</v>
      </c>
      <c r="B938" s="4" t="s">
        <v>56</v>
      </c>
      <c r="C938" s="19" t="s">
        <v>907</v>
      </c>
      <c r="D938" s="41" t="s">
        <v>765</v>
      </c>
      <c r="E938" s="42" t="s">
        <v>233</v>
      </c>
      <c r="F938" s="43" t="s">
        <v>58</v>
      </c>
      <c r="G938" s="43">
        <v>77000000</v>
      </c>
      <c r="H938" s="44">
        <v>0</v>
      </c>
      <c r="I938" s="44">
        <v>0</v>
      </c>
      <c r="J938" s="44">
        <v>0</v>
      </c>
      <c r="K938" s="44">
        <v>0</v>
      </c>
      <c r="L938" s="44">
        <v>0</v>
      </c>
      <c r="M938" s="43">
        <v>77000000</v>
      </c>
      <c r="N938" s="44">
        <v>0</v>
      </c>
      <c r="O938" s="43">
        <v>-12000000</v>
      </c>
      <c r="P938" s="43">
        <v>65000000</v>
      </c>
      <c r="Q938" s="44">
        <v>0</v>
      </c>
      <c r="R938" s="43">
        <v>65000000</v>
      </c>
      <c r="S938" s="43">
        <v>65000000</v>
      </c>
      <c r="T938" s="44">
        <v>0</v>
      </c>
      <c r="U938" s="44">
        <v>0</v>
      </c>
      <c r="V938" s="44">
        <v>0</v>
      </c>
      <c r="W938" s="135">
        <f t="shared" si="1071"/>
        <v>0</v>
      </c>
      <c r="X938" s="110">
        <f t="shared" ref="X938" si="1076">M938-P938</f>
        <v>12000000</v>
      </c>
      <c r="Y938" s="133">
        <f t="shared" ref="Y938" si="1077">P938-S938</f>
        <v>0</v>
      </c>
      <c r="Z938" s="110">
        <f t="shared" ref="Z938" si="1078">S938-W938</f>
        <v>65000000</v>
      </c>
      <c r="AA938" s="123">
        <f t="shared" ref="AA938" si="1079">S938/M938</f>
        <v>0.8441558441558441</v>
      </c>
    </row>
    <row r="939" spans="1:27" x14ac:dyDescent="0.2">
      <c r="C939" s="19" t="s">
        <v>907</v>
      </c>
      <c r="D939" s="16"/>
      <c r="E939" s="17"/>
      <c r="F939" s="17"/>
      <c r="G939" s="18"/>
      <c r="H939" s="34"/>
      <c r="I939" s="34"/>
      <c r="J939" s="34"/>
      <c r="K939" s="34"/>
      <c r="L939" s="34"/>
      <c r="M939" s="18"/>
      <c r="N939" s="34"/>
      <c r="O939" s="18"/>
      <c r="P939" s="18"/>
      <c r="Q939" s="34"/>
      <c r="R939" s="18"/>
      <c r="S939" s="18"/>
      <c r="T939" s="34"/>
      <c r="U939" s="34"/>
      <c r="V939" s="34"/>
      <c r="W939" s="31"/>
      <c r="X939" s="18"/>
      <c r="Y939" s="18"/>
      <c r="Z939" s="18"/>
      <c r="AA939" s="18"/>
    </row>
    <row r="940" spans="1:27" s="50" customFormat="1" x14ac:dyDescent="0.2">
      <c r="B940" s="77"/>
      <c r="C940" s="19" t="s">
        <v>907</v>
      </c>
      <c r="D940" s="46"/>
      <c r="E940" s="47" t="s">
        <v>766</v>
      </c>
      <c r="F940" s="22" t="s">
        <v>767</v>
      </c>
      <c r="G940" s="22">
        <f>SUM(G935:G938)</f>
        <v>200000000</v>
      </c>
      <c r="H940" s="23">
        <f t="shared" ref="H940:Z940" si="1080">SUM(H935:H938)</f>
        <v>0</v>
      </c>
      <c r="I940" s="23">
        <f t="shared" si="1080"/>
        <v>0</v>
      </c>
      <c r="J940" s="23">
        <f t="shared" si="1080"/>
        <v>0</v>
      </c>
      <c r="K940" s="23">
        <f t="shared" si="1080"/>
        <v>0</v>
      </c>
      <c r="L940" s="23">
        <f t="shared" si="1080"/>
        <v>0</v>
      </c>
      <c r="M940" s="22">
        <f t="shared" si="1080"/>
        <v>200000000</v>
      </c>
      <c r="N940" s="23">
        <f t="shared" si="1080"/>
        <v>0</v>
      </c>
      <c r="O940" s="22">
        <f t="shared" si="1080"/>
        <v>-7800000</v>
      </c>
      <c r="P940" s="22">
        <f t="shared" si="1080"/>
        <v>176780000</v>
      </c>
      <c r="Q940" s="23">
        <f t="shared" si="1080"/>
        <v>0</v>
      </c>
      <c r="R940" s="22">
        <f t="shared" si="1080"/>
        <v>69200000</v>
      </c>
      <c r="S940" s="22">
        <f t="shared" si="1080"/>
        <v>176780000</v>
      </c>
      <c r="T940" s="23">
        <f t="shared" si="1080"/>
        <v>0</v>
      </c>
      <c r="U940" s="108">
        <f t="shared" si="1080"/>
        <v>2150000</v>
      </c>
      <c r="V940" s="108">
        <f t="shared" si="1080"/>
        <v>2150000</v>
      </c>
      <c r="W940" s="108">
        <f>T940+V940</f>
        <v>2150000</v>
      </c>
      <c r="X940" s="22">
        <f t="shared" si="1080"/>
        <v>23220000</v>
      </c>
      <c r="Y940" s="23">
        <f t="shared" si="1080"/>
        <v>0</v>
      </c>
      <c r="Z940" s="22">
        <f t="shared" si="1080"/>
        <v>174630000</v>
      </c>
      <c r="AA940" s="24">
        <f t="shared" ref="AA940" si="1081">S940/M940</f>
        <v>0.88390000000000002</v>
      </c>
    </row>
    <row r="941" spans="1:27" x14ac:dyDescent="0.2">
      <c r="C941" s="19" t="s">
        <v>907</v>
      </c>
      <c r="D941" s="16"/>
      <c r="E941" s="17"/>
      <c r="F941" s="17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</row>
    <row r="942" spans="1:27" s="25" customFormat="1" x14ac:dyDescent="0.2">
      <c r="B942" s="71"/>
      <c r="C942" s="19" t="s">
        <v>907</v>
      </c>
      <c r="D942" s="66"/>
      <c r="E942" s="21" t="s">
        <v>768</v>
      </c>
      <c r="F942" s="67"/>
      <c r="G942" s="63"/>
      <c r="H942" s="63"/>
      <c r="I942" s="63"/>
      <c r="J942" s="63"/>
      <c r="K942" s="63"/>
      <c r="L942" s="63"/>
      <c r="M942" s="63"/>
      <c r="N942" s="63"/>
      <c r="O942" s="63"/>
      <c r="P942" s="63"/>
      <c r="Q942" s="63"/>
      <c r="R942" s="63"/>
      <c r="S942" s="63"/>
      <c r="T942" s="63"/>
      <c r="U942" s="63"/>
      <c r="V942" s="63"/>
      <c r="W942" s="63"/>
      <c r="X942" s="63"/>
      <c r="Y942" s="63"/>
      <c r="Z942" s="63"/>
      <c r="AA942" s="63"/>
    </row>
    <row r="943" spans="1:27" x14ac:dyDescent="0.2">
      <c r="C943" s="19" t="s">
        <v>907</v>
      </c>
      <c r="D943" s="16"/>
      <c r="E943" s="29" t="s">
        <v>285</v>
      </c>
      <c r="F943" s="17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</row>
    <row r="944" spans="1:27" x14ac:dyDescent="0.2">
      <c r="C944" s="19" t="s">
        <v>907</v>
      </c>
      <c r="D944" s="16"/>
      <c r="E944" s="29" t="s">
        <v>202</v>
      </c>
      <c r="F944" s="17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</row>
    <row r="945" spans="1:27" x14ac:dyDescent="0.2">
      <c r="C945" s="19" t="s">
        <v>907</v>
      </c>
      <c r="D945" s="16"/>
      <c r="E945" s="29" t="s">
        <v>203</v>
      </c>
      <c r="F945" s="17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</row>
    <row r="946" spans="1:27" x14ac:dyDescent="0.2">
      <c r="C946" s="19" t="s">
        <v>907</v>
      </c>
      <c r="D946" s="16"/>
      <c r="E946" s="29" t="s">
        <v>204</v>
      </c>
      <c r="F946" s="17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</row>
    <row r="947" spans="1:27" ht="25.5" x14ac:dyDescent="0.2">
      <c r="C947" s="19" t="s">
        <v>907</v>
      </c>
      <c r="D947" s="16"/>
      <c r="E947" s="29" t="s">
        <v>205</v>
      </c>
      <c r="F947" s="17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</row>
    <row r="948" spans="1:27" ht="25.5" x14ac:dyDescent="0.2">
      <c r="C948" s="19" t="s">
        <v>907</v>
      </c>
      <c r="D948" s="28" t="s">
        <v>288</v>
      </c>
      <c r="E948" s="29" t="s">
        <v>769</v>
      </c>
      <c r="F948" s="17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30"/>
      <c r="X948" s="18"/>
      <c r="Y948" s="18"/>
      <c r="Z948" s="18"/>
      <c r="AA948" s="18"/>
    </row>
    <row r="949" spans="1:27" x14ac:dyDescent="0.2">
      <c r="A949" s="4" t="s">
        <v>55</v>
      </c>
      <c r="B949" s="4" t="s">
        <v>56</v>
      </c>
      <c r="C949" s="19" t="s">
        <v>907</v>
      </c>
      <c r="D949" s="41" t="s">
        <v>770</v>
      </c>
      <c r="E949" s="42" t="s">
        <v>233</v>
      </c>
      <c r="F949" s="43" t="s">
        <v>58</v>
      </c>
      <c r="G949" s="43">
        <v>4000000000</v>
      </c>
      <c r="H949" s="44">
        <v>0</v>
      </c>
      <c r="I949" s="44">
        <v>0</v>
      </c>
      <c r="J949" s="44">
        <v>0</v>
      </c>
      <c r="K949" s="44">
        <v>0</v>
      </c>
      <c r="L949" s="44">
        <v>0</v>
      </c>
      <c r="M949" s="43">
        <v>4000000000</v>
      </c>
      <c r="N949" s="44">
        <v>0</v>
      </c>
      <c r="O949" s="43">
        <v>333333333</v>
      </c>
      <c r="P949" s="43">
        <v>666666666</v>
      </c>
      <c r="Q949" s="44">
        <v>0</v>
      </c>
      <c r="R949" s="43">
        <v>333333333</v>
      </c>
      <c r="S949" s="43">
        <v>666666666</v>
      </c>
      <c r="T949" s="44">
        <v>0</v>
      </c>
      <c r="U949" s="43">
        <v>333333333</v>
      </c>
      <c r="V949" s="43">
        <v>666666666</v>
      </c>
      <c r="W949" s="111">
        <f t="shared" ref="W949" si="1082">T949+V949</f>
        <v>666666666</v>
      </c>
      <c r="X949" s="110">
        <f t="shared" ref="X949" si="1083">M949-P949</f>
        <v>3333333334</v>
      </c>
      <c r="Y949" s="133">
        <f t="shared" ref="Y949" si="1084">P949-S949</f>
        <v>0</v>
      </c>
      <c r="Z949" s="133">
        <f t="shared" ref="Z949" si="1085">S949-W949</f>
        <v>0</v>
      </c>
      <c r="AA949" s="123">
        <f t="shared" ref="AA949" si="1086">S949/M949</f>
        <v>0.1666666665</v>
      </c>
    </row>
    <row r="950" spans="1:27" x14ac:dyDescent="0.2">
      <c r="C950" s="19" t="s">
        <v>907</v>
      </c>
      <c r="D950" s="16"/>
      <c r="E950" s="17"/>
      <c r="F950" s="17"/>
      <c r="G950" s="18"/>
      <c r="H950" s="34"/>
      <c r="I950" s="34"/>
      <c r="J950" s="34"/>
      <c r="K950" s="34"/>
      <c r="L950" s="34"/>
      <c r="M950" s="18"/>
      <c r="N950" s="34"/>
      <c r="O950" s="18"/>
      <c r="P950" s="18"/>
      <c r="Q950" s="34"/>
      <c r="R950" s="18"/>
      <c r="S950" s="18"/>
      <c r="T950" s="34"/>
      <c r="U950" s="18"/>
      <c r="V950" s="18"/>
      <c r="W950" s="30"/>
      <c r="X950" s="18"/>
      <c r="Y950" s="34"/>
      <c r="Z950" s="34"/>
      <c r="AA950" s="18"/>
    </row>
    <row r="951" spans="1:27" s="50" customFormat="1" x14ac:dyDescent="0.2">
      <c r="B951" s="77"/>
      <c r="C951" s="19" t="s">
        <v>907</v>
      </c>
      <c r="D951" s="46"/>
      <c r="E951" s="47" t="s">
        <v>771</v>
      </c>
      <c r="F951" s="22" t="s">
        <v>772</v>
      </c>
      <c r="G951" s="22">
        <f>SUM(G949:G950)</f>
        <v>4000000000</v>
      </c>
      <c r="H951" s="23">
        <f t="shared" ref="H951:Z951" si="1087">SUM(H949:H950)</f>
        <v>0</v>
      </c>
      <c r="I951" s="23">
        <f t="shared" si="1087"/>
        <v>0</v>
      </c>
      <c r="J951" s="23">
        <f t="shared" si="1087"/>
        <v>0</v>
      </c>
      <c r="K951" s="23">
        <f t="shared" si="1087"/>
        <v>0</v>
      </c>
      <c r="L951" s="23">
        <f t="shared" si="1087"/>
        <v>0</v>
      </c>
      <c r="M951" s="22">
        <f t="shared" si="1087"/>
        <v>4000000000</v>
      </c>
      <c r="N951" s="23">
        <f t="shared" si="1087"/>
        <v>0</v>
      </c>
      <c r="O951" s="22">
        <f t="shared" si="1087"/>
        <v>333333333</v>
      </c>
      <c r="P951" s="22">
        <f t="shared" si="1087"/>
        <v>666666666</v>
      </c>
      <c r="Q951" s="23">
        <f t="shared" si="1087"/>
        <v>0</v>
      </c>
      <c r="R951" s="22">
        <f t="shared" si="1087"/>
        <v>333333333</v>
      </c>
      <c r="S951" s="22">
        <f t="shared" si="1087"/>
        <v>666666666</v>
      </c>
      <c r="T951" s="23">
        <f t="shared" si="1087"/>
        <v>0</v>
      </c>
      <c r="U951" s="22">
        <f t="shared" si="1087"/>
        <v>333333333</v>
      </c>
      <c r="V951" s="22">
        <f t="shared" si="1087"/>
        <v>666666666</v>
      </c>
      <c r="W951" s="22">
        <f>T951+V951</f>
        <v>666666666</v>
      </c>
      <c r="X951" s="22">
        <f t="shared" si="1087"/>
        <v>3333333334</v>
      </c>
      <c r="Y951" s="23">
        <f t="shared" si="1087"/>
        <v>0</v>
      </c>
      <c r="Z951" s="23">
        <f t="shared" si="1087"/>
        <v>0</v>
      </c>
      <c r="AA951" s="24">
        <f t="shared" ref="AA951" si="1088">S951/M951</f>
        <v>0.1666666665</v>
      </c>
    </row>
    <row r="952" spans="1:27" x14ac:dyDescent="0.2">
      <c r="C952" s="19" t="s">
        <v>907</v>
      </c>
      <c r="D952" s="16"/>
      <c r="E952" s="17"/>
      <c r="F952" s="17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34"/>
      <c r="R952" s="18"/>
      <c r="S952" s="18"/>
      <c r="T952" s="18"/>
      <c r="U952" s="18"/>
      <c r="V952" s="18"/>
      <c r="W952" s="18"/>
      <c r="X952" s="18"/>
      <c r="Y952" s="18"/>
      <c r="Z952" s="18"/>
      <c r="AA952" s="18"/>
    </row>
    <row r="953" spans="1:27" s="25" customFormat="1" x14ac:dyDescent="0.2">
      <c r="B953" s="71"/>
      <c r="C953" s="19" t="s">
        <v>907</v>
      </c>
      <c r="D953" s="85"/>
      <c r="E953" s="86" t="s">
        <v>773</v>
      </c>
      <c r="F953" s="87"/>
      <c r="G953" s="63"/>
      <c r="H953" s="88"/>
      <c r="I953" s="88"/>
      <c r="J953" s="88"/>
      <c r="K953" s="88"/>
      <c r="L953" s="88"/>
      <c r="M953" s="88"/>
      <c r="N953" s="88"/>
      <c r="O953" s="88"/>
      <c r="P953" s="88"/>
      <c r="Q953" s="88"/>
      <c r="R953" s="88"/>
      <c r="S953" s="88"/>
      <c r="T953" s="88"/>
      <c r="U953" s="88"/>
      <c r="V953" s="88"/>
      <c r="W953" s="88"/>
      <c r="X953" s="88"/>
      <c r="Y953" s="88"/>
      <c r="Z953" s="88"/>
      <c r="AA953" s="88"/>
    </row>
    <row r="954" spans="1:27" x14ac:dyDescent="0.2">
      <c r="C954" s="19" t="s">
        <v>907</v>
      </c>
      <c r="D954" s="89"/>
      <c r="E954" s="90" t="s">
        <v>676</v>
      </c>
      <c r="F954" s="91"/>
      <c r="G954" s="18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  <c r="AA954" s="92"/>
    </row>
    <row r="955" spans="1:27" x14ac:dyDescent="0.2">
      <c r="C955" s="19" t="s">
        <v>907</v>
      </c>
      <c r="D955" s="89"/>
      <c r="E955" s="90" t="s">
        <v>286</v>
      </c>
      <c r="F955" s="91"/>
      <c r="G955" s="18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  <c r="AA955" s="92"/>
    </row>
    <row r="956" spans="1:27" x14ac:dyDescent="0.2">
      <c r="C956" s="19" t="s">
        <v>907</v>
      </c>
      <c r="D956" s="89"/>
      <c r="E956" s="90" t="s">
        <v>179</v>
      </c>
      <c r="F956" s="91"/>
      <c r="G956" s="18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  <c r="AA956" s="92"/>
    </row>
    <row r="957" spans="1:27" x14ac:dyDescent="0.2">
      <c r="C957" s="19" t="s">
        <v>907</v>
      </c>
      <c r="D957" s="89"/>
      <c r="E957" s="90" t="s">
        <v>189</v>
      </c>
      <c r="F957" s="91"/>
      <c r="G957" s="18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  <c r="AA957" s="92"/>
    </row>
    <row r="958" spans="1:27" x14ac:dyDescent="0.2">
      <c r="C958" s="19" t="s">
        <v>907</v>
      </c>
      <c r="D958" s="89"/>
      <c r="E958" s="90" t="s">
        <v>191</v>
      </c>
      <c r="F958" s="91"/>
      <c r="G958" s="18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  <c r="AA958" s="92"/>
    </row>
    <row r="959" spans="1:27" ht="38.25" x14ac:dyDescent="0.2">
      <c r="C959" s="19" t="s">
        <v>907</v>
      </c>
      <c r="D959" s="93" t="s">
        <v>288</v>
      </c>
      <c r="E959" s="90" t="s">
        <v>774</v>
      </c>
      <c r="F959" s="91"/>
      <c r="G959" s="18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30"/>
      <c r="X959" s="92"/>
      <c r="Y959" s="92"/>
      <c r="Z959" s="92"/>
      <c r="AA959" s="92"/>
    </row>
    <row r="960" spans="1:27" ht="25.5" x14ac:dyDescent="0.2">
      <c r="C960" s="19" t="s">
        <v>907</v>
      </c>
      <c r="D960" s="94" t="s">
        <v>775</v>
      </c>
      <c r="E960" s="95" t="s">
        <v>776</v>
      </c>
      <c r="F960" s="96" t="s">
        <v>777</v>
      </c>
      <c r="G960" s="44">
        <v>0</v>
      </c>
      <c r="H960" s="97">
        <v>0</v>
      </c>
      <c r="I960" s="97">
        <v>0</v>
      </c>
      <c r="J960" s="43">
        <v>5536570240</v>
      </c>
      <c r="K960" s="96">
        <v>0</v>
      </c>
      <c r="L960" s="136">
        <f>H960-I960+J960-K960</f>
        <v>5536570240</v>
      </c>
      <c r="M960" s="43">
        <f>G960+L960</f>
        <v>5536570240</v>
      </c>
      <c r="N960" s="97">
        <v>0</v>
      </c>
      <c r="O960" s="114">
        <v>1999714834</v>
      </c>
      <c r="P960" s="114">
        <v>1999714834</v>
      </c>
      <c r="Q960" s="97">
        <v>0</v>
      </c>
      <c r="R960" s="114">
        <v>1505000000</v>
      </c>
      <c r="S960" s="114">
        <v>1505000000</v>
      </c>
      <c r="T960" s="97">
        <v>0</v>
      </c>
      <c r="U960" s="97">
        <v>0</v>
      </c>
      <c r="V960" s="97">
        <v>0</v>
      </c>
      <c r="W960" s="135">
        <f t="shared" ref="W960" si="1089">T960+V960</f>
        <v>0</v>
      </c>
      <c r="X960" s="110">
        <f t="shared" ref="X960" si="1090">M960-P960</f>
        <v>3536855406</v>
      </c>
      <c r="Y960" s="133">
        <f t="shared" ref="Y960" si="1091">P960-S960</f>
        <v>494714834</v>
      </c>
      <c r="Z960" s="110">
        <f t="shared" ref="Z960" si="1092">S960-W960</f>
        <v>1505000000</v>
      </c>
      <c r="AA960" s="123">
        <f t="shared" ref="AA960" si="1093">S960/M960</f>
        <v>0.2718289364644636</v>
      </c>
    </row>
    <row r="961" spans="3:27" ht="25.5" x14ac:dyDescent="0.2">
      <c r="C961" s="19" t="s">
        <v>907</v>
      </c>
      <c r="D961" s="93" t="s">
        <v>288</v>
      </c>
      <c r="E961" s="90" t="s">
        <v>778</v>
      </c>
      <c r="F961" s="91"/>
      <c r="G961" s="18"/>
      <c r="H961" s="98"/>
      <c r="I961" s="98"/>
      <c r="J961" s="92"/>
      <c r="K961" s="92"/>
      <c r="L961" s="92"/>
      <c r="M961" s="18"/>
      <c r="N961" s="98"/>
      <c r="O961" s="98"/>
      <c r="P961" s="98"/>
      <c r="Q961" s="98"/>
      <c r="R961" s="98"/>
      <c r="S961" s="98"/>
      <c r="T961" s="98"/>
      <c r="U961" s="98"/>
      <c r="V961" s="98"/>
      <c r="W961" s="31"/>
      <c r="X961" s="18"/>
      <c r="Y961" s="34"/>
      <c r="Z961" s="34"/>
      <c r="AA961" s="92"/>
    </row>
    <row r="962" spans="3:27" x14ac:dyDescent="0.2">
      <c r="C962" s="19" t="s">
        <v>907</v>
      </c>
      <c r="D962" s="94" t="s">
        <v>779</v>
      </c>
      <c r="E962" s="95" t="s">
        <v>780</v>
      </c>
      <c r="F962" s="96" t="s">
        <v>368</v>
      </c>
      <c r="G962" s="43">
        <v>920421961</v>
      </c>
      <c r="H962" s="97">
        <v>0</v>
      </c>
      <c r="I962" s="97">
        <v>0</v>
      </c>
      <c r="J962" s="96">
        <v>0</v>
      </c>
      <c r="K962" s="96">
        <v>0</v>
      </c>
      <c r="L962" s="96">
        <v>0</v>
      </c>
      <c r="M962" s="43">
        <v>920421961</v>
      </c>
      <c r="N962" s="97">
        <v>0</v>
      </c>
      <c r="O962" s="97">
        <v>0</v>
      </c>
      <c r="P962" s="97">
        <v>0</v>
      </c>
      <c r="Q962" s="97">
        <v>0</v>
      </c>
      <c r="R962" s="97">
        <v>0</v>
      </c>
      <c r="S962" s="97">
        <v>0</v>
      </c>
      <c r="T962" s="97">
        <v>0</v>
      </c>
      <c r="U962" s="97">
        <v>0</v>
      </c>
      <c r="V962" s="97">
        <v>0</v>
      </c>
      <c r="W962" s="135">
        <f t="shared" ref="W962:W963" si="1094">T962+V962</f>
        <v>0</v>
      </c>
      <c r="X962" s="110">
        <f t="shared" ref="X962:X963" si="1095">M962-P962</f>
        <v>920421961</v>
      </c>
      <c r="Y962" s="133">
        <f t="shared" ref="Y962:Y963" si="1096">P962-S962</f>
        <v>0</v>
      </c>
      <c r="Z962" s="133">
        <f t="shared" ref="Z962:Z963" si="1097">S962-W962</f>
        <v>0</v>
      </c>
      <c r="AA962" s="123">
        <f t="shared" ref="AA962:AA963" si="1098">S962/M962</f>
        <v>0</v>
      </c>
    </row>
    <row r="963" spans="3:27" ht="25.5" x14ac:dyDescent="0.2">
      <c r="C963" s="19" t="s">
        <v>907</v>
      </c>
      <c r="D963" s="94" t="s">
        <v>781</v>
      </c>
      <c r="E963" s="95" t="s">
        <v>776</v>
      </c>
      <c r="F963" s="96" t="s">
        <v>777</v>
      </c>
      <c r="G963" s="43">
        <v>23813351805</v>
      </c>
      <c r="H963" s="97">
        <v>0</v>
      </c>
      <c r="I963" s="97">
        <v>0</v>
      </c>
      <c r="J963" s="96">
        <v>0</v>
      </c>
      <c r="K963" s="43">
        <v>5536570240</v>
      </c>
      <c r="L963" s="136">
        <f>H963-I963+J963-K963</f>
        <v>-5536570240</v>
      </c>
      <c r="M963" s="43">
        <f>G963+L963</f>
        <v>18276781565</v>
      </c>
      <c r="N963" s="97">
        <v>0</v>
      </c>
      <c r="O963" s="97">
        <v>0</v>
      </c>
      <c r="P963" s="97">
        <v>0</v>
      </c>
      <c r="Q963" s="97">
        <v>0</v>
      </c>
      <c r="R963" s="97">
        <v>0</v>
      </c>
      <c r="S963" s="97">
        <v>0</v>
      </c>
      <c r="T963" s="97">
        <v>0</v>
      </c>
      <c r="U963" s="97">
        <v>0</v>
      </c>
      <c r="V963" s="97">
        <v>0</v>
      </c>
      <c r="W963" s="135">
        <f t="shared" si="1094"/>
        <v>0</v>
      </c>
      <c r="X963" s="110">
        <f t="shared" si="1095"/>
        <v>18276781565</v>
      </c>
      <c r="Y963" s="133">
        <f t="shared" si="1096"/>
        <v>0</v>
      </c>
      <c r="Z963" s="133">
        <f t="shared" si="1097"/>
        <v>0</v>
      </c>
      <c r="AA963" s="123">
        <f t="shared" si="1098"/>
        <v>0</v>
      </c>
    </row>
    <row r="964" spans="3:27" x14ac:dyDescent="0.2">
      <c r="C964" s="19" t="s">
        <v>907</v>
      </c>
      <c r="D964" s="89"/>
      <c r="E964" s="91"/>
      <c r="F964" s="91"/>
      <c r="G964" s="18"/>
      <c r="H964" s="92"/>
      <c r="I964" s="92"/>
      <c r="J964" s="92"/>
      <c r="K964" s="92"/>
      <c r="L964" s="92"/>
      <c r="M964" s="18"/>
      <c r="N964" s="98"/>
      <c r="O964" s="98"/>
      <c r="P964" s="98"/>
      <c r="Q964" s="98"/>
      <c r="R964" s="98"/>
      <c r="S964" s="98"/>
      <c r="T964" s="98"/>
      <c r="U964" s="98"/>
      <c r="V964" s="92"/>
      <c r="W964" s="30"/>
      <c r="X964" s="18"/>
      <c r="Y964" s="18"/>
      <c r="Z964" s="18"/>
      <c r="AA964" s="92"/>
    </row>
    <row r="965" spans="3:27" x14ac:dyDescent="0.2">
      <c r="C965" s="19" t="s">
        <v>907</v>
      </c>
      <c r="D965" s="89"/>
      <c r="E965" s="90" t="s">
        <v>199</v>
      </c>
      <c r="F965" s="91"/>
      <c r="G965" s="18"/>
      <c r="H965" s="92"/>
      <c r="I965" s="92"/>
      <c r="J965" s="92"/>
      <c r="K965" s="92"/>
      <c r="L965" s="92"/>
      <c r="M965" s="18"/>
      <c r="N965" s="98"/>
      <c r="O965" s="98"/>
      <c r="P965" s="98"/>
      <c r="Q965" s="98"/>
      <c r="R965" s="98"/>
      <c r="S965" s="98"/>
      <c r="T965" s="98"/>
      <c r="U965" s="98"/>
      <c r="V965" s="92"/>
      <c r="W965" s="30"/>
      <c r="X965" s="18"/>
      <c r="Y965" s="18"/>
      <c r="Z965" s="18"/>
      <c r="AA965" s="92"/>
    </row>
    <row r="966" spans="3:27" x14ac:dyDescent="0.2">
      <c r="C966" s="19" t="s">
        <v>907</v>
      </c>
      <c r="D966" s="93" t="s">
        <v>288</v>
      </c>
      <c r="E966" s="90" t="s">
        <v>782</v>
      </c>
      <c r="F966" s="91"/>
      <c r="G966" s="18"/>
      <c r="H966" s="92"/>
      <c r="I966" s="92"/>
      <c r="J966" s="92"/>
      <c r="K966" s="92"/>
      <c r="L966" s="92"/>
      <c r="M966" s="18"/>
      <c r="N966" s="98"/>
      <c r="O966" s="98"/>
      <c r="P966" s="98"/>
      <c r="Q966" s="98"/>
      <c r="R966" s="98"/>
      <c r="S966" s="98"/>
      <c r="T966" s="98"/>
      <c r="U966" s="98"/>
      <c r="V966" s="92"/>
      <c r="W966" s="30"/>
      <c r="X966" s="18"/>
      <c r="Y966" s="18"/>
      <c r="Z966" s="18"/>
      <c r="AA966" s="92"/>
    </row>
    <row r="967" spans="3:27" ht="25.5" x14ac:dyDescent="0.2">
      <c r="C967" s="19" t="s">
        <v>907</v>
      </c>
      <c r="D967" s="94" t="s">
        <v>783</v>
      </c>
      <c r="E967" s="95" t="s">
        <v>784</v>
      </c>
      <c r="F967" s="96" t="s">
        <v>368</v>
      </c>
      <c r="G967" s="43">
        <v>40000000</v>
      </c>
      <c r="H967" s="96">
        <v>0</v>
      </c>
      <c r="I967" s="96">
        <v>0</v>
      </c>
      <c r="J967" s="96">
        <v>0</v>
      </c>
      <c r="K967" s="96">
        <v>0</v>
      </c>
      <c r="L967" s="96">
        <v>0</v>
      </c>
      <c r="M967" s="43">
        <v>40000000</v>
      </c>
      <c r="N967" s="97">
        <v>0</v>
      </c>
      <c r="O967" s="34">
        <v>0</v>
      </c>
      <c r="P967" s="137">
        <v>0</v>
      </c>
      <c r="Q967" s="97">
        <v>0</v>
      </c>
      <c r="R967" s="97">
        <v>0</v>
      </c>
      <c r="S967" s="97">
        <v>0</v>
      </c>
      <c r="T967" s="97">
        <v>0</v>
      </c>
      <c r="U967" s="97">
        <v>0</v>
      </c>
      <c r="V967" s="97">
        <v>0</v>
      </c>
      <c r="W967" s="135">
        <f t="shared" ref="W967:W969" si="1099">T967+V967</f>
        <v>0</v>
      </c>
      <c r="X967" s="110">
        <f t="shared" ref="X967:X969" si="1100">M967-P967</f>
        <v>40000000</v>
      </c>
      <c r="Y967" s="133">
        <f t="shared" ref="Y967:Y969" si="1101">P967-S967</f>
        <v>0</v>
      </c>
      <c r="Z967" s="133">
        <f t="shared" ref="Z967:Z969" si="1102">S967-W967</f>
        <v>0</v>
      </c>
      <c r="AA967" s="123">
        <f t="shared" ref="AA967:AA969" si="1103">S967/M967</f>
        <v>0</v>
      </c>
    </row>
    <row r="968" spans="3:27" ht="25.5" x14ac:dyDescent="0.2">
      <c r="C968" s="19" t="s">
        <v>907</v>
      </c>
      <c r="D968" s="94" t="s">
        <v>785</v>
      </c>
      <c r="E968" s="95" t="s">
        <v>786</v>
      </c>
      <c r="F968" s="96" t="s">
        <v>258</v>
      </c>
      <c r="G968" s="43">
        <v>2438425656.1900001</v>
      </c>
      <c r="H968" s="96">
        <v>0</v>
      </c>
      <c r="I968" s="96">
        <v>0</v>
      </c>
      <c r="J968" s="96">
        <v>0</v>
      </c>
      <c r="K968" s="96">
        <v>0</v>
      </c>
      <c r="L968" s="96">
        <v>0</v>
      </c>
      <c r="M968" s="43">
        <v>2438425656.1900001</v>
      </c>
      <c r="N968" s="43">
        <v>0</v>
      </c>
      <c r="O968" s="114">
        <v>57750000</v>
      </c>
      <c r="P968" s="114">
        <v>57750000</v>
      </c>
      <c r="Q968" s="92">
        <v>0</v>
      </c>
      <c r="R968" s="92">
        <v>0</v>
      </c>
      <c r="S968" s="92">
        <v>0</v>
      </c>
      <c r="T968" s="97">
        <v>0</v>
      </c>
      <c r="U968" s="98">
        <v>0</v>
      </c>
      <c r="V968" s="97">
        <v>0</v>
      </c>
      <c r="W968" s="135">
        <f t="shared" si="1099"/>
        <v>0</v>
      </c>
      <c r="X968" s="110">
        <f t="shared" si="1100"/>
        <v>2380675656.1900001</v>
      </c>
      <c r="Y968" s="110">
        <f t="shared" si="1101"/>
        <v>57750000</v>
      </c>
      <c r="Z968" s="133">
        <f t="shared" si="1102"/>
        <v>0</v>
      </c>
      <c r="AA968" s="123">
        <f t="shared" si="1103"/>
        <v>0</v>
      </c>
    </row>
    <row r="969" spans="3:27" x14ac:dyDescent="0.2">
      <c r="C969" s="19" t="s">
        <v>907</v>
      </c>
      <c r="D969" s="94" t="s">
        <v>787</v>
      </c>
      <c r="E969" s="95" t="s">
        <v>788</v>
      </c>
      <c r="F969" s="96" t="s">
        <v>789</v>
      </c>
      <c r="G969" s="43">
        <v>886001426</v>
      </c>
      <c r="H969" s="96">
        <v>0</v>
      </c>
      <c r="I969" s="96">
        <v>0</v>
      </c>
      <c r="J969" s="96">
        <v>0</v>
      </c>
      <c r="K969" s="96">
        <v>0</v>
      </c>
      <c r="L969" s="96">
        <v>0</v>
      </c>
      <c r="M969" s="43">
        <v>886001426</v>
      </c>
      <c r="N969" s="43">
        <v>0</v>
      </c>
      <c r="O969" s="18">
        <v>73521416</v>
      </c>
      <c r="P969" s="18">
        <f>73113345+73521416</f>
        <v>146634761</v>
      </c>
      <c r="Q969" s="92">
        <v>0</v>
      </c>
      <c r="R969" s="18">
        <v>73521416</v>
      </c>
      <c r="S969" s="18">
        <f>73113345+73521416</f>
        <v>146634761</v>
      </c>
      <c r="T969" s="96">
        <v>0</v>
      </c>
      <c r="U969" s="18">
        <v>73521416</v>
      </c>
      <c r="V969" s="43">
        <v>146634761</v>
      </c>
      <c r="W969" s="111">
        <f t="shared" si="1099"/>
        <v>146634761</v>
      </c>
      <c r="X969" s="110">
        <f t="shared" si="1100"/>
        <v>739366665</v>
      </c>
      <c r="Y969" s="133">
        <f t="shared" si="1101"/>
        <v>0</v>
      </c>
      <c r="Z969" s="133">
        <f t="shared" si="1102"/>
        <v>0</v>
      </c>
      <c r="AA969" s="123">
        <f t="shared" si="1103"/>
        <v>0.16550172121280537</v>
      </c>
    </row>
    <row r="970" spans="3:27" x14ac:dyDescent="0.2">
      <c r="C970" s="19" t="s">
        <v>907</v>
      </c>
      <c r="D970" s="93" t="s">
        <v>288</v>
      </c>
      <c r="E970" s="90" t="s">
        <v>790</v>
      </c>
      <c r="F970" s="91"/>
      <c r="G970" s="18"/>
      <c r="H970" s="92"/>
      <c r="I970" s="92"/>
      <c r="J970" s="92"/>
      <c r="K970" s="92"/>
      <c r="L970" s="92"/>
      <c r="M970" s="18"/>
      <c r="N970" s="18"/>
      <c r="O970" s="18"/>
      <c r="P970" s="18"/>
      <c r="Q970" s="92"/>
      <c r="R970" s="18"/>
      <c r="S970" s="18"/>
      <c r="T970" s="92"/>
      <c r="U970" s="92"/>
      <c r="V970" s="92"/>
      <c r="W970" s="30"/>
      <c r="X970" s="18"/>
      <c r="Y970" s="110"/>
      <c r="Z970" s="18"/>
      <c r="AA970" s="92"/>
    </row>
    <row r="971" spans="3:27" x14ac:dyDescent="0.2">
      <c r="C971" s="19" t="s">
        <v>907</v>
      </c>
      <c r="D971" s="94" t="s">
        <v>791</v>
      </c>
      <c r="E971" s="95" t="s">
        <v>233</v>
      </c>
      <c r="F971" s="96" t="s">
        <v>58</v>
      </c>
      <c r="G971" s="43">
        <v>300000000</v>
      </c>
      <c r="H971" s="96">
        <v>0</v>
      </c>
      <c r="I971" s="96">
        <v>0</v>
      </c>
      <c r="J971" s="96">
        <v>0</v>
      </c>
      <c r="K971" s="96">
        <v>0</v>
      </c>
      <c r="L971" s="96">
        <v>0</v>
      </c>
      <c r="M971" s="43">
        <v>300000000</v>
      </c>
      <c r="N971" s="44">
        <v>0</v>
      </c>
      <c r="O971" s="18">
        <v>300000000</v>
      </c>
      <c r="P971" s="18">
        <v>300000000</v>
      </c>
      <c r="Q971" s="92">
        <v>0</v>
      </c>
      <c r="R971" s="18">
        <v>300000000</v>
      </c>
      <c r="S971" s="18">
        <v>300000000</v>
      </c>
      <c r="T971" s="96">
        <v>0</v>
      </c>
      <c r="U971" s="96">
        <v>0</v>
      </c>
      <c r="V971" s="97">
        <v>0</v>
      </c>
      <c r="W971" s="135">
        <f t="shared" ref="W971:W972" si="1104">T971+V971</f>
        <v>0</v>
      </c>
      <c r="X971" s="133">
        <f t="shared" ref="X971:X972" si="1105">M971-P971</f>
        <v>0</v>
      </c>
      <c r="Y971" s="133">
        <f t="shared" ref="Y971:Y972" si="1106">P971-S971</f>
        <v>0</v>
      </c>
      <c r="Z971" s="110">
        <f t="shared" ref="Z971:Z972" si="1107">S971-W971</f>
        <v>300000000</v>
      </c>
      <c r="AA971" s="123">
        <f t="shared" ref="AA971:AA972" si="1108">S971/M971</f>
        <v>1</v>
      </c>
    </row>
    <row r="972" spans="3:27" x14ac:dyDescent="0.2">
      <c r="C972" s="19" t="s">
        <v>907</v>
      </c>
      <c r="D972" s="94" t="s">
        <v>792</v>
      </c>
      <c r="E972" s="95" t="s">
        <v>793</v>
      </c>
      <c r="F972" s="96" t="s">
        <v>794</v>
      </c>
      <c r="G972" s="43">
        <v>664600000</v>
      </c>
      <c r="H972" s="96">
        <v>0</v>
      </c>
      <c r="I972" s="96">
        <v>0</v>
      </c>
      <c r="J972" s="96">
        <v>0</v>
      </c>
      <c r="K972" s="96">
        <v>0</v>
      </c>
      <c r="L972" s="96">
        <v>0</v>
      </c>
      <c r="M972" s="43">
        <v>664600000</v>
      </c>
      <c r="N972" s="44">
        <v>0</v>
      </c>
      <c r="O972" s="18">
        <v>647473333.24000001</v>
      </c>
      <c r="P972" s="18">
        <f>17100000+647473333.24</f>
        <v>664573333.24000001</v>
      </c>
      <c r="Q972" s="92">
        <v>0</v>
      </c>
      <c r="R972" s="18">
        <v>476500000</v>
      </c>
      <c r="S972" s="18">
        <f>17100000+476500000</f>
        <v>493600000</v>
      </c>
      <c r="T972" s="114">
        <v>126667</v>
      </c>
      <c r="U972" s="96">
        <v>0</v>
      </c>
      <c r="V972" s="96">
        <v>0</v>
      </c>
      <c r="W972" s="111">
        <f t="shared" si="1104"/>
        <v>126667</v>
      </c>
      <c r="X972" s="110">
        <f t="shared" si="1105"/>
        <v>26666.759999990463</v>
      </c>
      <c r="Y972" s="110">
        <f t="shared" si="1106"/>
        <v>170973333.24000001</v>
      </c>
      <c r="Z972" s="110">
        <f t="shared" si="1107"/>
        <v>493473333</v>
      </c>
      <c r="AA972" s="123">
        <f t="shared" si="1108"/>
        <v>0.74270237736984657</v>
      </c>
    </row>
    <row r="973" spans="3:27" ht="25.5" x14ac:dyDescent="0.2">
      <c r="C973" s="19" t="s">
        <v>907</v>
      </c>
      <c r="D973" s="93" t="s">
        <v>288</v>
      </c>
      <c r="E973" s="90" t="s">
        <v>795</v>
      </c>
      <c r="F973" s="91"/>
      <c r="G973" s="18"/>
      <c r="H973" s="92"/>
      <c r="I973" s="92"/>
      <c r="J973" s="92"/>
      <c r="K973" s="92"/>
      <c r="L973" s="92"/>
      <c r="M973" s="18"/>
      <c r="N973" s="34"/>
      <c r="O973" s="18"/>
      <c r="P973" s="18"/>
      <c r="Q973" s="92"/>
      <c r="R973" s="18"/>
      <c r="S973" s="18"/>
      <c r="T973" s="92"/>
      <c r="U973" s="92"/>
      <c r="V973" s="92"/>
      <c r="W973" s="40"/>
      <c r="X973" s="18"/>
      <c r="Y973" s="110"/>
      <c r="Z973" s="18"/>
      <c r="AA973" s="92"/>
    </row>
    <row r="974" spans="3:27" x14ac:dyDescent="0.2">
      <c r="C974" s="19" t="s">
        <v>907</v>
      </c>
      <c r="D974" s="94" t="s">
        <v>796</v>
      </c>
      <c r="E974" s="95" t="s">
        <v>233</v>
      </c>
      <c r="F974" s="96" t="s">
        <v>58</v>
      </c>
      <c r="G974" s="43">
        <v>242950000</v>
      </c>
      <c r="H974" s="96">
        <v>0</v>
      </c>
      <c r="I974" s="96">
        <v>0</v>
      </c>
      <c r="J974" s="96">
        <v>0</v>
      </c>
      <c r="K974" s="96">
        <v>0</v>
      </c>
      <c r="L974" s="96">
        <v>0</v>
      </c>
      <c r="M974" s="43">
        <v>242950000</v>
      </c>
      <c r="N974" s="44">
        <v>0</v>
      </c>
      <c r="O974" s="44">
        <v>0</v>
      </c>
      <c r="P974" s="44">
        <v>0</v>
      </c>
      <c r="Q974" s="97">
        <v>0</v>
      </c>
      <c r="R974" s="44">
        <v>0</v>
      </c>
      <c r="S974" s="44">
        <v>0</v>
      </c>
      <c r="T974" s="97">
        <v>0</v>
      </c>
      <c r="U974" s="97">
        <v>0</v>
      </c>
      <c r="V974" s="96">
        <v>0</v>
      </c>
      <c r="W974" s="135">
        <f t="shared" ref="W974:W977" si="1109">T974+V974</f>
        <v>0</v>
      </c>
      <c r="X974" s="110">
        <f t="shared" ref="X974:X977" si="1110">M974-P974</f>
        <v>242950000</v>
      </c>
      <c r="Y974" s="133">
        <f t="shared" ref="Y974:Y977" si="1111">P974-S974</f>
        <v>0</v>
      </c>
      <c r="Z974" s="133">
        <f t="shared" ref="Z974:Z977" si="1112">S974-W974</f>
        <v>0</v>
      </c>
      <c r="AA974" s="123">
        <f t="shared" ref="AA974:AA977" si="1113">S974/M974</f>
        <v>0</v>
      </c>
    </row>
    <row r="975" spans="3:27" x14ac:dyDescent="0.2">
      <c r="C975" s="19" t="s">
        <v>907</v>
      </c>
      <c r="D975" s="94" t="s">
        <v>797</v>
      </c>
      <c r="E975" s="95" t="s">
        <v>793</v>
      </c>
      <c r="F975" s="96" t="s">
        <v>794</v>
      </c>
      <c r="G975" s="43">
        <v>1746250000</v>
      </c>
      <c r="H975" s="96">
        <v>0</v>
      </c>
      <c r="I975" s="96">
        <v>0</v>
      </c>
      <c r="J975" s="96">
        <v>0</v>
      </c>
      <c r="K975" s="96">
        <v>0</v>
      </c>
      <c r="L975" s="96">
        <v>0</v>
      </c>
      <c r="M975" s="43">
        <v>1746250000</v>
      </c>
      <c r="N975" s="44">
        <v>0</v>
      </c>
      <c r="O975" s="114">
        <v>370800000</v>
      </c>
      <c r="P975" s="114">
        <v>370800000</v>
      </c>
      <c r="Q975" s="97">
        <v>0</v>
      </c>
      <c r="R975" s="114">
        <v>78300000</v>
      </c>
      <c r="S975" s="114">
        <v>78300000</v>
      </c>
      <c r="T975" s="97">
        <v>0</v>
      </c>
      <c r="U975" s="97">
        <v>0</v>
      </c>
      <c r="V975" s="97">
        <v>0</v>
      </c>
      <c r="W975" s="135">
        <f t="shared" si="1109"/>
        <v>0</v>
      </c>
      <c r="X975" s="110">
        <f t="shared" si="1110"/>
        <v>1375450000</v>
      </c>
      <c r="Y975" s="110">
        <f t="shared" si="1111"/>
        <v>292500000</v>
      </c>
      <c r="Z975" s="110">
        <f t="shared" si="1112"/>
        <v>78300000</v>
      </c>
      <c r="AA975" s="123">
        <f t="shared" si="1113"/>
        <v>4.4838940586972083E-2</v>
      </c>
    </row>
    <row r="976" spans="3:27" ht="25.5" x14ac:dyDescent="0.2">
      <c r="C976" s="19" t="s">
        <v>907</v>
      </c>
      <c r="D976" s="94" t="s">
        <v>798</v>
      </c>
      <c r="E976" s="95" t="s">
        <v>799</v>
      </c>
      <c r="F976" s="96" t="s">
        <v>368</v>
      </c>
      <c r="G976" s="43">
        <v>20000000</v>
      </c>
      <c r="H976" s="96">
        <v>0</v>
      </c>
      <c r="I976" s="96">
        <v>0</v>
      </c>
      <c r="J976" s="96">
        <v>0</v>
      </c>
      <c r="K976" s="96">
        <v>0</v>
      </c>
      <c r="L976" s="96">
        <v>0</v>
      </c>
      <c r="M976" s="43">
        <v>20000000</v>
      </c>
      <c r="N976" s="44">
        <v>0</v>
      </c>
      <c r="O976" s="44">
        <v>0</v>
      </c>
      <c r="P976" s="44">
        <v>0</v>
      </c>
      <c r="Q976" s="97">
        <v>0</v>
      </c>
      <c r="R976" s="44">
        <v>0</v>
      </c>
      <c r="S976" s="44">
        <v>0</v>
      </c>
      <c r="T976" s="97">
        <v>0</v>
      </c>
      <c r="U976" s="97">
        <v>0</v>
      </c>
      <c r="V976" s="97">
        <v>0</v>
      </c>
      <c r="W976" s="135">
        <f t="shared" si="1109"/>
        <v>0</v>
      </c>
      <c r="X976" s="110">
        <f t="shared" si="1110"/>
        <v>20000000</v>
      </c>
      <c r="Y976" s="133">
        <f t="shared" si="1111"/>
        <v>0</v>
      </c>
      <c r="Z976" s="133">
        <f t="shared" si="1112"/>
        <v>0</v>
      </c>
      <c r="AA976" s="123">
        <f t="shared" si="1113"/>
        <v>0</v>
      </c>
    </row>
    <row r="977" spans="3:27" x14ac:dyDescent="0.2">
      <c r="C977" s="19" t="s">
        <v>907</v>
      </c>
      <c r="D977" s="94" t="s">
        <v>800</v>
      </c>
      <c r="E977" s="95" t="s">
        <v>801</v>
      </c>
      <c r="F977" s="96" t="s">
        <v>802</v>
      </c>
      <c r="G977" s="43">
        <v>300000000</v>
      </c>
      <c r="H977" s="96">
        <v>0</v>
      </c>
      <c r="I977" s="96">
        <v>0</v>
      </c>
      <c r="J977" s="96">
        <v>0</v>
      </c>
      <c r="K977" s="96">
        <v>0</v>
      </c>
      <c r="L977" s="96">
        <v>0</v>
      </c>
      <c r="M977" s="43">
        <v>300000000</v>
      </c>
      <c r="N977" s="114">
        <v>0</v>
      </c>
      <c r="O977" s="18">
        <f>177350000</f>
        <v>177350000</v>
      </c>
      <c r="P977" s="18">
        <f>71100000+177350000</f>
        <v>248450000</v>
      </c>
      <c r="Q977" s="92">
        <v>0</v>
      </c>
      <c r="R977" s="18">
        <v>101450000</v>
      </c>
      <c r="S977" s="18">
        <f>57000000+101450000</f>
        <v>158450000</v>
      </c>
      <c r="T977" s="114">
        <v>266667</v>
      </c>
      <c r="U977" s="114">
        <v>1666667</v>
      </c>
      <c r="V977" s="114">
        <v>1666667</v>
      </c>
      <c r="W977" s="111">
        <f t="shared" si="1109"/>
        <v>1933334</v>
      </c>
      <c r="X977" s="110">
        <f t="shared" si="1110"/>
        <v>51550000</v>
      </c>
      <c r="Y977" s="110">
        <f t="shared" si="1111"/>
        <v>90000000</v>
      </c>
      <c r="Z977" s="110">
        <f t="shared" si="1112"/>
        <v>156516666</v>
      </c>
      <c r="AA977" s="123">
        <f t="shared" si="1113"/>
        <v>0.52816666666666667</v>
      </c>
    </row>
    <row r="978" spans="3:27" ht="25.5" x14ac:dyDescent="0.2">
      <c r="C978" s="19" t="s">
        <v>907</v>
      </c>
      <c r="D978" s="93" t="s">
        <v>288</v>
      </c>
      <c r="E978" s="90" t="s">
        <v>803</v>
      </c>
      <c r="F978" s="91"/>
      <c r="G978" s="18"/>
      <c r="H978" s="92"/>
      <c r="I978" s="92"/>
      <c r="J978" s="92"/>
      <c r="K978" s="92"/>
      <c r="L978" s="92"/>
      <c r="M978" s="18"/>
      <c r="N978" s="34"/>
      <c r="O978" s="18"/>
      <c r="P978" s="18"/>
      <c r="Q978" s="92"/>
      <c r="R978" s="18"/>
      <c r="S978" s="18"/>
      <c r="T978" s="92"/>
      <c r="U978" s="92"/>
      <c r="V978" s="98"/>
      <c r="W978" s="31"/>
      <c r="X978" s="18"/>
      <c r="Y978" s="18"/>
      <c r="Z978" s="18"/>
      <c r="AA978" s="92"/>
    </row>
    <row r="979" spans="3:27" x14ac:dyDescent="0.2">
      <c r="C979" s="19" t="s">
        <v>907</v>
      </c>
      <c r="D979" s="94" t="s">
        <v>804</v>
      </c>
      <c r="E979" s="95" t="s">
        <v>793</v>
      </c>
      <c r="F979" s="96" t="s">
        <v>794</v>
      </c>
      <c r="G979" s="43">
        <v>485467000</v>
      </c>
      <c r="H979" s="96">
        <v>0</v>
      </c>
      <c r="I979" s="96">
        <v>0</v>
      </c>
      <c r="J979" s="96">
        <v>0</v>
      </c>
      <c r="K979" s="96">
        <v>0</v>
      </c>
      <c r="L979" s="96">
        <v>0</v>
      </c>
      <c r="M979" s="43">
        <v>485467000</v>
      </c>
      <c r="N979" s="97">
        <v>0</v>
      </c>
      <c r="O979" s="97">
        <v>0</v>
      </c>
      <c r="P979" s="97">
        <v>0</v>
      </c>
      <c r="Q979" s="97">
        <v>0</v>
      </c>
      <c r="R979" s="96">
        <v>0</v>
      </c>
      <c r="S979" s="97">
        <v>0</v>
      </c>
      <c r="T979" s="97">
        <v>0</v>
      </c>
      <c r="U979" s="97">
        <v>0</v>
      </c>
      <c r="V979" s="97">
        <v>0</v>
      </c>
      <c r="W979" s="135">
        <f t="shared" ref="W979" si="1114">T979+V979</f>
        <v>0</v>
      </c>
      <c r="X979" s="110">
        <f t="shared" ref="X979" si="1115">M979-P979</f>
        <v>485467000</v>
      </c>
      <c r="Y979" s="133">
        <f t="shared" ref="Y979" si="1116">P979-S979</f>
        <v>0</v>
      </c>
      <c r="Z979" s="133">
        <f t="shared" ref="Z979" si="1117">S979-W979</f>
        <v>0</v>
      </c>
      <c r="AA979" s="123">
        <f t="shared" ref="AA979" si="1118">S979/M979</f>
        <v>0</v>
      </c>
    </row>
    <row r="980" spans="3:27" ht="25.5" x14ac:dyDescent="0.2">
      <c r="C980" s="19" t="s">
        <v>907</v>
      </c>
      <c r="D980" s="93" t="s">
        <v>288</v>
      </c>
      <c r="E980" s="90" t="s">
        <v>805</v>
      </c>
      <c r="F980" s="91"/>
      <c r="G980" s="18"/>
      <c r="H980" s="92"/>
      <c r="I980" s="92"/>
      <c r="J980" s="92"/>
      <c r="K980" s="92"/>
      <c r="L980" s="92"/>
      <c r="M980" s="18"/>
      <c r="N980" s="98"/>
      <c r="O980" s="110"/>
      <c r="P980" s="110"/>
      <c r="Q980" s="92"/>
      <c r="R980" s="92"/>
      <c r="S980" s="92"/>
      <c r="T980" s="92"/>
      <c r="U980" s="92"/>
      <c r="V980" s="98"/>
      <c r="W980" s="31"/>
      <c r="X980" s="18"/>
      <c r="Y980" s="34"/>
      <c r="Z980" s="34"/>
      <c r="AA980" s="92"/>
    </row>
    <row r="981" spans="3:27" x14ac:dyDescent="0.2">
      <c r="C981" s="19" t="s">
        <v>907</v>
      </c>
      <c r="D981" s="94" t="s">
        <v>806</v>
      </c>
      <c r="E981" s="95" t="s">
        <v>793</v>
      </c>
      <c r="F981" s="96" t="s">
        <v>794</v>
      </c>
      <c r="G981" s="43">
        <v>402000000</v>
      </c>
      <c r="H981" s="96">
        <v>0</v>
      </c>
      <c r="I981" s="96">
        <v>0</v>
      </c>
      <c r="J981" s="96">
        <v>0</v>
      </c>
      <c r="K981" s="96">
        <v>0</v>
      </c>
      <c r="L981" s="96">
        <v>0</v>
      </c>
      <c r="M981" s="43">
        <v>402000000</v>
      </c>
      <c r="N981" s="97">
        <v>0</v>
      </c>
      <c r="O981" s="114">
        <v>72000000</v>
      </c>
      <c r="P981" s="114">
        <v>72000000</v>
      </c>
      <c r="Q981" s="97">
        <v>0</v>
      </c>
      <c r="R981" s="114">
        <v>72000000</v>
      </c>
      <c r="S981" s="114">
        <v>72000000</v>
      </c>
      <c r="T981" s="97">
        <v>0</v>
      </c>
      <c r="U981" s="97">
        <v>0</v>
      </c>
      <c r="V981" s="97">
        <v>0</v>
      </c>
      <c r="W981" s="135">
        <f t="shared" ref="W981" si="1119">T981+V981</f>
        <v>0</v>
      </c>
      <c r="X981" s="110">
        <f t="shared" ref="X981" si="1120">M981-P981</f>
        <v>330000000</v>
      </c>
      <c r="Y981" s="133">
        <f t="shared" ref="Y981" si="1121">P981-S981</f>
        <v>0</v>
      </c>
      <c r="Z981" s="110">
        <f t="shared" ref="Z981" si="1122">S981-W981</f>
        <v>72000000</v>
      </c>
      <c r="AA981" s="123">
        <f t="shared" ref="AA981" si="1123">S981/M981</f>
        <v>0.17910447761194029</v>
      </c>
    </row>
    <row r="982" spans="3:27" ht="38.25" x14ac:dyDescent="0.2">
      <c r="C982" s="19" t="s">
        <v>907</v>
      </c>
      <c r="D982" s="93" t="s">
        <v>288</v>
      </c>
      <c r="E982" s="90" t="s">
        <v>807</v>
      </c>
      <c r="F982" s="91"/>
      <c r="G982" s="18"/>
      <c r="H982" s="92"/>
      <c r="I982" s="92"/>
      <c r="J982" s="92"/>
      <c r="K982" s="92"/>
      <c r="L982" s="92"/>
      <c r="M982" s="18"/>
      <c r="N982" s="98"/>
      <c r="O982" s="98"/>
      <c r="P982" s="98"/>
      <c r="Q982" s="98"/>
      <c r="R982" s="98"/>
      <c r="S982" s="98"/>
      <c r="T982" s="98"/>
      <c r="U982" s="98"/>
      <c r="V982" s="98"/>
      <c r="W982" s="31"/>
      <c r="X982" s="18"/>
      <c r="Y982" s="34"/>
      <c r="Z982" s="34"/>
      <c r="AA982" s="92"/>
    </row>
    <row r="983" spans="3:27" x14ac:dyDescent="0.2">
      <c r="C983" s="19" t="s">
        <v>907</v>
      </c>
      <c r="D983" s="94" t="s">
        <v>808</v>
      </c>
      <c r="E983" s="95" t="s">
        <v>233</v>
      </c>
      <c r="F983" s="96" t="s">
        <v>58</v>
      </c>
      <c r="G983" s="43">
        <v>313050000.81</v>
      </c>
      <c r="H983" s="96">
        <v>0</v>
      </c>
      <c r="I983" s="96">
        <v>0</v>
      </c>
      <c r="J983" s="96">
        <v>0</v>
      </c>
      <c r="K983" s="43">
        <v>136150000</v>
      </c>
      <c r="L983" s="136">
        <f>H983-I983+J983-K983</f>
        <v>-136150000</v>
      </c>
      <c r="M983" s="43">
        <f>G983+L983</f>
        <v>176900000.81</v>
      </c>
      <c r="N983" s="97">
        <v>0</v>
      </c>
      <c r="O983" s="114">
        <v>175300000</v>
      </c>
      <c r="P983" s="114">
        <v>175300000</v>
      </c>
      <c r="Q983" s="97">
        <v>0</v>
      </c>
      <c r="R983" s="114">
        <v>141100000</v>
      </c>
      <c r="S983" s="114">
        <v>141100000</v>
      </c>
      <c r="T983" s="97">
        <v>0</v>
      </c>
      <c r="U983" s="97">
        <v>0</v>
      </c>
      <c r="V983" s="97">
        <v>0</v>
      </c>
      <c r="W983" s="135">
        <f t="shared" ref="W983:W985" si="1124">T983+V983</f>
        <v>0</v>
      </c>
      <c r="X983" s="110">
        <f t="shared" ref="X983:X985" si="1125">M983-P983</f>
        <v>1600000.8100000024</v>
      </c>
      <c r="Y983" s="110">
        <f t="shared" ref="Y983:Y985" si="1126">P983-S983</f>
        <v>34200000</v>
      </c>
      <c r="Z983" s="110">
        <f t="shared" ref="Z983:Z985" si="1127">S983-W983</f>
        <v>141100000</v>
      </c>
      <c r="AA983" s="123">
        <f t="shared" ref="AA983:AA985" si="1128">S983/M983</f>
        <v>0.79762577362308151</v>
      </c>
    </row>
    <row r="984" spans="3:27" x14ac:dyDescent="0.2">
      <c r="C984" s="19" t="s">
        <v>907</v>
      </c>
      <c r="D984" s="94" t="s">
        <v>809</v>
      </c>
      <c r="E984" s="95" t="s">
        <v>793</v>
      </c>
      <c r="F984" s="96" t="s">
        <v>794</v>
      </c>
      <c r="G984" s="43">
        <v>256800000</v>
      </c>
      <c r="H984" s="96">
        <v>0</v>
      </c>
      <c r="I984" s="96">
        <v>0</v>
      </c>
      <c r="J984" s="96">
        <v>0</v>
      </c>
      <c r="K984" s="96">
        <v>0</v>
      </c>
      <c r="L984" s="96">
        <v>0</v>
      </c>
      <c r="M984" s="43">
        <v>256800000</v>
      </c>
      <c r="N984" s="97">
        <v>0</v>
      </c>
      <c r="O984" s="114">
        <v>46800000</v>
      </c>
      <c r="P984" s="114">
        <v>46800000</v>
      </c>
      <c r="Q984" s="97">
        <v>0</v>
      </c>
      <c r="R984" s="114">
        <v>17100000</v>
      </c>
      <c r="S984" s="114">
        <v>17100000</v>
      </c>
      <c r="T984" s="97">
        <v>0</v>
      </c>
      <c r="U984" s="97">
        <v>0</v>
      </c>
      <c r="V984" s="97">
        <v>0</v>
      </c>
      <c r="W984" s="135">
        <f t="shared" si="1124"/>
        <v>0</v>
      </c>
      <c r="X984" s="110">
        <f t="shared" si="1125"/>
        <v>210000000</v>
      </c>
      <c r="Y984" s="110">
        <f t="shared" si="1126"/>
        <v>29700000</v>
      </c>
      <c r="Z984" s="110">
        <f t="shared" si="1127"/>
        <v>17100000</v>
      </c>
      <c r="AA984" s="123">
        <f t="shared" si="1128"/>
        <v>6.6588785046728965E-2</v>
      </c>
    </row>
    <row r="985" spans="3:27" x14ac:dyDescent="0.2">
      <c r="C985" s="19" t="s">
        <v>907</v>
      </c>
      <c r="D985" s="94" t="s">
        <v>810</v>
      </c>
      <c r="E985" s="95" t="s">
        <v>811</v>
      </c>
      <c r="F985" s="96" t="s">
        <v>368</v>
      </c>
      <c r="G985" s="43">
        <v>90000000</v>
      </c>
      <c r="H985" s="96">
        <v>0</v>
      </c>
      <c r="I985" s="96">
        <v>0</v>
      </c>
      <c r="J985" s="96">
        <v>0</v>
      </c>
      <c r="K985" s="96">
        <v>0</v>
      </c>
      <c r="L985" s="96">
        <v>0</v>
      </c>
      <c r="M985" s="43">
        <v>90000000</v>
      </c>
      <c r="N985" s="97">
        <v>0</v>
      </c>
      <c r="O985" s="114">
        <v>90000000</v>
      </c>
      <c r="P985" s="114">
        <v>90000000</v>
      </c>
      <c r="Q985" s="97">
        <v>0</v>
      </c>
      <c r="R985" s="114">
        <v>0</v>
      </c>
      <c r="S985" s="115">
        <v>0</v>
      </c>
      <c r="T985" s="97">
        <v>0</v>
      </c>
      <c r="U985" s="97">
        <v>0</v>
      </c>
      <c r="V985" s="97">
        <v>0</v>
      </c>
      <c r="W985" s="135">
        <f t="shared" si="1124"/>
        <v>0</v>
      </c>
      <c r="X985" s="133">
        <f t="shared" si="1125"/>
        <v>0</v>
      </c>
      <c r="Y985" s="110">
        <f t="shared" si="1126"/>
        <v>90000000</v>
      </c>
      <c r="Z985" s="133">
        <f t="shared" si="1127"/>
        <v>0</v>
      </c>
      <c r="AA985" s="123">
        <f t="shared" si="1128"/>
        <v>0</v>
      </c>
    </row>
    <row r="986" spans="3:27" ht="25.5" x14ac:dyDescent="0.2">
      <c r="C986" s="19" t="s">
        <v>907</v>
      </c>
      <c r="D986" s="93" t="s">
        <v>288</v>
      </c>
      <c r="E986" s="90" t="s">
        <v>812</v>
      </c>
      <c r="F986" s="91"/>
      <c r="G986" s="18"/>
      <c r="H986" s="92"/>
      <c r="I986" s="92"/>
      <c r="J986" s="92"/>
      <c r="K986" s="92"/>
      <c r="L986" s="92"/>
      <c r="M986" s="18"/>
      <c r="N986" s="98"/>
      <c r="O986" s="98"/>
      <c r="P986" s="98"/>
      <c r="Q986" s="98"/>
      <c r="R986" s="98"/>
      <c r="S986" s="98"/>
      <c r="T986" s="98"/>
      <c r="U986" s="98"/>
      <c r="V986" s="98"/>
      <c r="W986" s="31"/>
      <c r="X986" s="18"/>
      <c r="Y986" s="18"/>
      <c r="Z986" s="18"/>
      <c r="AA986" s="92"/>
    </row>
    <row r="987" spans="3:27" x14ac:dyDescent="0.2">
      <c r="C987" s="19" t="s">
        <v>907</v>
      </c>
      <c r="D987" s="94" t="s">
        <v>813</v>
      </c>
      <c r="E987" s="95" t="s">
        <v>793</v>
      </c>
      <c r="F987" s="96" t="s">
        <v>794</v>
      </c>
      <c r="G987" s="43">
        <v>57600000</v>
      </c>
      <c r="H987" s="96">
        <v>0</v>
      </c>
      <c r="I987" s="96">
        <v>0</v>
      </c>
      <c r="J987" s="96">
        <v>0</v>
      </c>
      <c r="K987" s="96">
        <v>0</v>
      </c>
      <c r="L987" s="96">
        <v>0</v>
      </c>
      <c r="M987" s="43">
        <v>57600000</v>
      </c>
      <c r="N987" s="97">
        <v>0</v>
      </c>
      <c r="O987" s="97">
        <v>0</v>
      </c>
      <c r="P987" s="97">
        <v>0</v>
      </c>
      <c r="Q987" s="97">
        <v>0</v>
      </c>
      <c r="R987" s="97">
        <v>0</v>
      </c>
      <c r="S987" s="97">
        <v>0</v>
      </c>
      <c r="T987" s="97">
        <v>0</v>
      </c>
      <c r="U987" s="97">
        <v>0</v>
      </c>
      <c r="V987" s="97">
        <v>0</v>
      </c>
      <c r="W987" s="135">
        <f t="shared" ref="W987:W1004" si="1129">T987+V987</f>
        <v>0</v>
      </c>
      <c r="X987" s="110">
        <f t="shared" ref="X987" si="1130">M987-P987</f>
        <v>57600000</v>
      </c>
      <c r="Y987" s="133">
        <f t="shared" ref="Y987" si="1131">P987-S987</f>
        <v>0</v>
      </c>
      <c r="Z987" s="133">
        <f t="shared" ref="Z987" si="1132">S987-W987</f>
        <v>0</v>
      </c>
      <c r="AA987" s="123">
        <f t="shared" ref="AA987" si="1133">S987/M987</f>
        <v>0</v>
      </c>
    </row>
    <row r="988" spans="3:27" ht="25.5" x14ac:dyDescent="0.2">
      <c r="C988" s="19" t="s">
        <v>907</v>
      </c>
      <c r="D988" s="93" t="s">
        <v>288</v>
      </c>
      <c r="E988" s="90" t="s">
        <v>814</v>
      </c>
      <c r="F988" s="91"/>
      <c r="G988" s="18"/>
      <c r="H988" s="92"/>
      <c r="I988" s="92"/>
      <c r="J988" s="92"/>
      <c r="K988" s="92"/>
      <c r="L988" s="92"/>
      <c r="M988" s="18"/>
      <c r="N988" s="92"/>
      <c r="O988" s="92"/>
      <c r="P988" s="92"/>
      <c r="Q988" s="92"/>
      <c r="R988" s="92"/>
      <c r="S988" s="98"/>
      <c r="T988" s="98"/>
      <c r="U988" s="98"/>
      <c r="V988" s="98"/>
      <c r="W988" s="40"/>
      <c r="X988" s="18"/>
      <c r="Y988" s="18"/>
      <c r="Z988" s="18"/>
      <c r="AA988" s="92"/>
    </row>
    <row r="989" spans="3:27" x14ac:dyDescent="0.2">
      <c r="C989" s="19" t="s">
        <v>907</v>
      </c>
      <c r="D989" s="94" t="s">
        <v>815</v>
      </c>
      <c r="E989" s="95" t="s">
        <v>793</v>
      </c>
      <c r="F989" s="96" t="s">
        <v>794</v>
      </c>
      <c r="G989" s="43">
        <v>414513482</v>
      </c>
      <c r="H989" s="96">
        <v>0</v>
      </c>
      <c r="I989" s="96">
        <v>0</v>
      </c>
      <c r="J989" s="96">
        <v>0</v>
      </c>
      <c r="K989" s="96">
        <v>0</v>
      </c>
      <c r="L989" s="96">
        <v>0</v>
      </c>
      <c r="M989" s="43">
        <v>414513482</v>
      </c>
      <c r="N989" s="97">
        <v>0</v>
      </c>
      <c r="O989" s="34">
        <v>0</v>
      </c>
      <c r="P989" s="18">
        <v>219600000</v>
      </c>
      <c r="Q989" s="92">
        <v>0</v>
      </c>
      <c r="R989" s="110">
        <f>S989-[1]ENERO!Q985</f>
        <v>177300000</v>
      </c>
      <c r="S989" s="110">
        <v>177300000</v>
      </c>
      <c r="T989" s="97">
        <v>0</v>
      </c>
      <c r="U989" s="97">
        <v>0</v>
      </c>
      <c r="V989" s="97">
        <v>0</v>
      </c>
      <c r="W989" s="135">
        <f t="shared" ref="W989" si="1134">T989+V989</f>
        <v>0</v>
      </c>
      <c r="X989" s="110">
        <f t="shared" ref="X989" si="1135">M989-P989</f>
        <v>194913482</v>
      </c>
      <c r="Y989" s="110">
        <f t="shared" ref="Y989" si="1136">P989-S989</f>
        <v>42300000</v>
      </c>
      <c r="Z989" s="110">
        <f t="shared" ref="Z989" si="1137">S989-W989</f>
        <v>177300000</v>
      </c>
      <c r="AA989" s="123">
        <f t="shared" ref="AA989" si="1138">S989/M989</f>
        <v>0.42773035787530789</v>
      </c>
    </row>
    <row r="990" spans="3:27" ht="25.5" x14ac:dyDescent="0.2">
      <c r="C990" s="19" t="s">
        <v>907</v>
      </c>
      <c r="D990" s="93" t="s">
        <v>288</v>
      </c>
      <c r="E990" s="90" t="s">
        <v>816</v>
      </c>
      <c r="F990" s="91"/>
      <c r="G990" s="18"/>
      <c r="H990" s="92"/>
      <c r="I990" s="92"/>
      <c r="J990" s="92"/>
      <c r="K990" s="92"/>
      <c r="L990" s="92"/>
      <c r="M990" s="18"/>
      <c r="N990" s="98"/>
      <c r="O990" s="98"/>
      <c r="P990" s="92"/>
      <c r="Q990" s="92"/>
      <c r="R990" s="92"/>
      <c r="S990" s="92"/>
      <c r="T990" s="92"/>
      <c r="U990" s="92"/>
      <c r="V990" s="92"/>
      <c r="W990" s="40"/>
      <c r="X990" s="18"/>
      <c r="Y990" s="18"/>
      <c r="Z990" s="18"/>
      <c r="AA990" s="92"/>
    </row>
    <row r="991" spans="3:27" x14ac:dyDescent="0.2">
      <c r="C991" s="19" t="s">
        <v>907</v>
      </c>
      <c r="D991" s="94" t="s">
        <v>817</v>
      </c>
      <c r="E991" s="95" t="s">
        <v>793</v>
      </c>
      <c r="F991" s="96" t="s">
        <v>794</v>
      </c>
      <c r="G991" s="43">
        <v>76500000</v>
      </c>
      <c r="H991" s="96">
        <v>0</v>
      </c>
      <c r="I991" s="96">
        <v>0</v>
      </c>
      <c r="J991" s="96">
        <v>0</v>
      </c>
      <c r="K991" s="96">
        <v>0</v>
      </c>
      <c r="L991" s="96">
        <v>0</v>
      </c>
      <c r="M991" s="43">
        <v>76500000</v>
      </c>
      <c r="N991" s="97">
        <v>0</v>
      </c>
      <c r="O991" s="110">
        <v>0</v>
      </c>
      <c r="P991" s="18">
        <v>76500000</v>
      </c>
      <c r="Q991" s="18">
        <v>0</v>
      </c>
      <c r="R991" s="18">
        <f>S991-[1]ENERO!R987</f>
        <v>0</v>
      </c>
      <c r="S991" s="18">
        <v>76500000</v>
      </c>
      <c r="T991" s="96">
        <v>0</v>
      </c>
      <c r="U991" s="114">
        <v>630000</v>
      </c>
      <c r="V991" s="114">
        <v>630000</v>
      </c>
      <c r="W991" s="111">
        <f t="shared" ref="W991" si="1139">T991+V991</f>
        <v>630000</v>
      </c>
      <c r="X991" s="133">
        <f t="shared" ref="X991" si="1140">M991-P991</f>
        <v>0</v>
      </c>
      <c r="Y991" s="133">
        <f t="shared" ref="Y991" si="1141">P991-S991</f>
        <v>0</v>
      </c>
      <c r="Z991" s="110">
        <f t="shared" ref="Z991" si="1142">S991-W991</f>
        <v>75870000</v>
      </c>
      <c r="AA991" s="123">
        <f t="shared" ref="AA991" si="1143">S991/M991</f>
        <v>1</v>
      </c>
    </row>
    <row r="992" spans="3:27" ht="38.25" x14ac:dyDescent="0.2">
      <c r="C992" s="19" t="s">
        <v>907</v>
      </c>
      <c r="D992" s="93" t="s">
        <v>288</v>
      </c>
      <c r="E992" s="90" t="s">
        <v>818</v>
      </c>
      <c r="F992" s="91"/>
      <c r="G992" s="18"/>
      <c r="H992" s="92"/>
      <c r="I992" s="92"/>
      <c r="J992" s="92"/>
      <c r="K992" s="92"/>
      <c r="L992" s="92"/>
      <c r="M992" s="18"/>
      <c r="N992" s="98"/>
      <c r="O992" s="98"/>
      <c r="P992" s="92"/>
      <c r="Q992" s="92"/>
      <c r="R992" s="92"/>
      <c r="S992" s="92"/>
      <c r="T992" s="92"/>
      <c r="U992" s="92"/>
      <c r="V992" s="92"/>
      <c r="W992" s="40"/>
      <c r="X992" s="18"/>
      <c r="Y992" s="18"/>
      <c r="Z992" s="18"/>
      <c r="AA992" s="92"/>
    </row>
    <row r="993" spans="2:27" x14ac:dyDescent="0.2">
      <c r="C993" s="19" t="s">
        <v>907</v>
      </c>
      <c r="D993" s="94" t="s">
        <v>819</v>
      </c>
      <c r="E993" s="95" t="s">
        <v>793</v>
      </c>
      <c r="F993" s="96" t="s">
        <v>794</v>
      </c>
      <c r="G993" s="43">
        <v>150000000</v>
      </c>
      <c r="H993" s="96">
        <v>0</v>
      </c>
      <c r="I993" s="96">
        <v>0</v>
      </c>
      <c r="J993" s="96">
        <v>0</v>
      </c>
      <c r="K993" s="96">
        <v>0</v>
      </c>
      <c r="L993" s="96">
        <v>0</v>
      </c>
      <c r="M993" s="43">
        <v>150000000</v>
      </c>
      <c r="N993" s="97">
        <v>0</v>
      </c>
      <c r="O993" s="97">
        <v>0</v>
      </c>
      <c r="P993" s="97">
        <v>0</v>
      </c>
      <c r="Q993" s="97">
        <v>0</v>
      </c>
      <c r="R993" s="97">
        <v>0</v>
      </c>
      <c r="S993" s="97">
        <v>0</v>
      </c>
      <c r="T993" s="97">
        <v>0</v>
      </c>
      <c r="U993" s="96">
        <v>0</v>
      </c>
      <c r="V993" s="97">
        <v>0</v>
      </c>
      <c r="W993" s="135">
        <f t="shared" ref="W993" si="1144">T993+V993</f>
        <v>0</v>
      </c>
      <c r="X993" s="110">
        <f t="shared" ref="X993" si="1145">M993-P993</f>
        <v>150000000</v>
      </c>
      <c r="Y993" s="133">
        <f t="shared" ref="Y993" si="1146">P993-S993</f>
        <v>0</v>
      </c>
      <c r="Z993" s="133">
        <f t="shared" ref="Z993" si="1147">S993-W993</f>
        <v>0</v>
      </c>
      <c r="AA993" s="123">
        <f t="shared" ref="AA993" si="1148">S993/M993</f>
        <v>0</v>
      </c>
    </row>
    <row r="994" spans="2:27" ht="25.5" x14ac:dyDescent="0.2">
      <c r="C994" s="19" t="s">
        <v>907</v>
      </c>
      <c r="D994" s="93" t="s">
        <v>288</v>
      </c>
      <c r="E994" s="90" t="s">
        <v>820</v>
      </c>
      <c r="F994" s="91"/>
      <c r="G994" s="18"/>
      <c r="H994" s="92"/>
      <c r="I994" s="92"/>
      <c r="J994" s="92"/>
      <c r="K994" s="92"/>
      <c r="L994" s="92"/>
      <c r="M994" s="18"/>
      <c r="N994" s="92"/>
      <c r="O994" s="92"/>
      <c r="P994" s="92"/>
      <c r="Q994" s="92"/>
      <c r="R994" s="92"/>
      <c r="S994" s="92"/>
      <c r="T994" s="92"/>
      <c r="U994" s="92"/>
      <c r="V994" s="98"/>
      <c r="W994" s="40"/>
      <c r="X994" s="18"/>
      <c r="Y994" s="18"/>
      <c r="Z994" s="18"/>
      <c r="AA994" s="92"/>
    </row>
    <row r="995" spans="2:27" x14ac:dyDescent="0.2">
      <c r="C995" s="19" t="s">
        <v>907</v>
      </c>
      <c r="D995" s="94" t="s">
        <v>821</v>
      </c>
      <c r="E995" s="95" t="s">
        <v>233</v>
      </c>
      <c r="F995" s="96" t="s">
        <v>58</v>
      </c>
      <c r="G995" s="43">
        <v>144000000</v>
      </c>
      <c r="H995" s="96">
        <v>0</v>
      </c>
      <c r="I995" s="96">
        <v>0</v>
      </c>
      <c r="J995" s="96">
        <v>0</v>
      </c>
      <c r="K995" s="96">
        <v>0</v>
      </c>
      <c r="L995" s="96">
        <v>0</v>
      </c>
      <c r="M995" s="43">
        <v>144000000</v>
      </c>
      <c r="N995" s="43">
        <v>0</v>
      </c>
      <c r="O995" s="114">
        <v>144000000</v>
      </c>
      <c r="P995" s="114">
        <v>144000000</v>
      </c>
      <c r="Q995" s="97">
        <v>0</v>
      </c>
      <c r="R995" s="114">
        <v>144000000</v>
      </c>
      <c r="S995" s="114">
        <v>144000000</v>
      </c>
      <c r="T995" s="97">
        <v>0</v>
      </c>
      <c r="U995" s="96">
        <v>0</v>
      </c>
      <c r="V995" s="97">
        <v>0</v>
      </c>
      <c r="W995" s="135">
        <f t="shared" si="1129"/>
        <v>0</v>
      </c>
      <c r="X995" s="133">
        <f t="shared" ref="X995:X996" si="1149">M995-P995</f>
        <v>0</v>
      </c>
      <c r="Y995" s="133">
        <f t="shared" ref="Y995:Y996" si="1150">P995-S995</f>
        <v>0</v>
      </c>
      <c r="Z995" s="110">
        <f t="shared" ref="Z995:Z996" si="1151">S995-W995</f>
        <v>144000000</v>
      </c>
      <c r="AA995" s="123">
        <f t="shared" ref="AA995:AA996" si="1152">S995/M995</f>
        <v>1</v>
      </c>
    </row>
    <row r="996" spans="2:27" x14ac:dyDescent="0.2">
      <c r="C996" s="19" t="s">
        <v>907</v>
      </c>
      <c r="D996" s="94" t="s">
        <v>822</v>
      </c>
      <c r="E996" s="95" t="s">
        <v>793</v>
      </c>
      <c r="F996" s="96" t="s">
        <v>794</v>
      </c>
      <c r="G996" s="43">
        <v>72000000</v>
      </c>
      <c r="H996" s="96">
        <v>0</v>
      </c>
      <c r="I996" s="96">
        <v>0</v>
      </c>
      <c r="J996" s="96">
        <v>0</v>
      </c>
      <c r="K996" s="96">
        <v>0</v>
      </c>
      <c r="L996" s="96">
        <v>0</v>
      </c>
      <c r="M996" s="43">
        <v>72000000</v>
      </c>
      <c r="N996" s="44">
        <v>0</v>
      </c>
      <c r="O996" s="114">
        <v>68500000</v>
      </c>
      <c r="P996" s="114">
        <v>68500000</v>
      </c>
      <c r="Q996" s="97">
        <v>0</v>
      </c>
      <c r="R996" s="114">
        <v>40500000</v>
      </c>
      <c r="S996" s="114">
        <v>40500000</v>
      </c>
      <c r="T996" s="97">
        <v>0</v>
      </c>
      <c r="U996" s="96">
        <v>0</v>
      </c>
      <c r="V996" s="97">
        <v>0</v>
      </c>
      <c r="W996" s="135">
        <f t="shared" si="1129"/>
        <v>0</v>
      </c>
      <c r="X996" s="110">
        <f t="shared" si="1149"/>
        <v>3500000</v>
      </c>
      <c r="Y996" s="110">
        <f t="shared" si="1150"/>
        <v>28000000</v>
      </c>
      <c r="Z996" s="110">
        <f t="shared" si="1151"/>
        <v>40500000</v>
      </c>
      <c r="AA996" s="123">
        <f t="shared" si="1152"/>
        <v>0.5625</v>
      </c>
    </row>
    <row r="997" spans="2:27" ht="38.25" x14ac:dyDescent="0.2">
      <c r="C997" s="19" t="s">
        <v>907</v>
      </c>
      <c r="D997" s="94" t="s">
        <v>288</v>
      </c>
      <c r="E997" s="138" t="s">
        <v>912</v>
      </c>
      <c r="F997" s="96"/>
      <c r="G997" s="43"/>
      <c r="H997" s="96"/>
      <c r="I997" s="96"/>
      <c r="J997" s="96"/>
      <c r="K997" s="96"/>
      <c r="L997" s="96"/>
      <c r="M997" s="43"/>
      <c r="N997" s="44"/>
      <c r="O997" s="44"/>
      <c r="P997" s="44"/>
      <c r="Q997" s="97"/>
      <c r="R997" s="44"/>
      <c r="S997" s="44"/>
      <c r="T997" s="97"/>
      <c r="U997" s="96"/>
      <c r="V997" s="97"/>
      <c r="W997" s="40"/>
      <c r="X997" s="43"/>
      <c r="Y997" s="44"/>
      <c r="Z997" s="44"/>
      <c r="AA997" s="32"/>
    </row>
    <row r="998" spans="2:27" x14ac:dyDescent="0.2">
      <c r="C998" s="19" t="s">
        <v>907</v>
      </c>
      <c r="D998" s="94" t="s">
        <v>913</v>
      </c>
      <c r="E998" s="95" t="s">
        <v>233</v>
      </c>
      <c r="F998" s="96"/>
      <c r="G998" s="43">
        <v>0</v>
      </c>
      <c r="H998" s="96">
        <v>0</v>
      </c>
      <c r="I998" s="96">
        <v>0</v>
      </c>
      <c r="J998" s="43">
        <v>136150000</v>
      </c>
      <c r="K998" s="96"/>
      <c r="L998" s="136">
        <f>H998-I998+J998-K998</f>
        <v>136150000</v>
      </c>
      <c r="M998" s="43">
        <f>G998+L998</f>
        <v>136150000</v>
      </c>
      <c r="N998" s="44"/>
      <c r="O998" s="114">
        <v>77224710</v>
      </c>
      <c r="P998" s="114">
        <v>77224710</v>
      </c>
      <c r="Q998" s="97">
        <v>0</v>
      </c>
      <c r="R998" s="44">
        <v>0</v>
      </c>
      <c r="S998" s="44">
        <v>0</v>
      </c>
      <c r="T998" s="97">
        <v>0</v>
      </c>
      <c r="U998" s="96">
        <v>0</v>
      </c>
      <c r="V998" s="97">
        <v>0</v>
      </c>
      <c r="W998" s="135">
        <f t="shared" ref="W998" si="1153">T998+V998</f>
        <v>0</v>
      </c>
      <c r="X998" s="110">
        <f t="shared" ref="X998" si="1154">M998-P998</f>
        <v>58925290</v>
      </c>
      <c r="Y998" s="110">
        <f t="shared" ref="Y998" si="1155">P998-S998</f>
        <v>77224710</v>
      </c>
      <c r="Z998" s="133">
        <f t="shared" ref="Z998" si="1156">S998-W998</f>
        <v>0</v>
      </c>
      <c r="AA998" s="123">
        <f t="shared" ref="AA998" si="1157">S998/M998</f>
        <v>0</v>
      </c>
    </row>
    <row r="999" spans="2:27" ht="25.5" x14ac:dyDescent="0.2">
      <c r="C999" s="19" t="s">
        <v>907</v>
      </c>
      <c r="D999" s="93" t="s">
        <v>288</v>
      </c>
      <c r="E999" s="90" t="s">
        <v>778</v>
      </c>
      <c r="F999" s="91"/>
      <c r="G999" s="18"/>
      <c r="H999" s="92"/>
      <c r="I999" s="92"/>
      <c r="J999" s="92"/>
      <c r="K999" s="92"/>
      <c r="L999" s="92"/>
      <c r="M999" s="18"/>
      <c r="N999" s="34"/>
      <c r="O999" s="18"/>
      <c r="P999" s="18"/>
      <c r="Q999" s="92"/>
      <c r="R999" s="18"/>
      <c r="S999" s="18"/>
      <c r="T999" s="92"/>
      <c r="U999" s="92"/>
      <c r="V999" s="92"/>
      <c r="W999" s="30"/>
      <c r="X999" s="18"/>
      <c r="Y999" s="18"/>
      <c r="Z999" s="18"/>
      <c r="AA999" s="92"/>
    </row>
    <row r="1000" spans="2:27" x14ac:dyDescent="0.2">
      <c r="C1000" s="19" t="s">
        <v>907</v>
      </c>
      <c r="D1000" s="94" t="s">
        <v>823</v>
      </c>
      <c r="E1000" s="95" t="s">
        <v>824</v>
      </c>
      <c r="F1000" s="96" t="s">
        <v>794</v>
      </c>
      <c r="G1000" s="43">
        <v>68497522112</v>
      </c>
      <c r="H1000" s="96">
        <v>0</v>
      </c>
      <c r="I1000" s="96">
        <v>0</v>
      </c>
      <c r="J1000" s="96">
        <v>0</v>
      </c>
      <c r="K1000" s="96">
        <v>0</v>
      </c>
      <c r="L1000" s="96">
        <v>0</v>
      </c>
      <c r="M1000" s="43">
        <v>68497522112</v>
      </c>
      <c r="N1000" s="44">
        <v>0</v>
      </c>
      <c r="O1000" s="44">
        <v>0</v>
      </c>
      <c r="P1000" s="18">
        <v>68497522112</v>
      </c>
      <c r="Q1000" s="98">
        <v>0</v>
      </c>
      <c r="R1000" s="18">
        <f>S1000-[1]ENERO!R994</f>
        <v>6711410086</v>
      </c>
      <c r="S1000" s="43">
        <f>6055004971+6711410086</f>
        <v>12766415057</v>
      </c>
      <c r="T1000" s="96">
        <v>0</v>
      </c>
      <c r="U1000" s="18">
        <v>6711410086</v>
      </c>
      <c r="V1000" s="43">
        <f>6055004971+6711410086</f>
        <v>12766415057</v>
      </c>
      <c r="W1000" s="111">
        <f t="shared" si="1129"/>
        <v>12766415057</v>
      </c>
      <c r="X1000" s="133">
        <f t="shared" ref="X1000:X1004" si="1158">M1000-P1000</f>
        <v>0</v>
      </c>
      <c r="Y1000" s="110">
        <f t="shared" ref="Y1000:Y1004" si="1159">P1000-S1000</f>
        <v>55731107055</v>
      </c>
      <c r="Z1000" s="133">
        <f t="shared" ref="Z1000:Z1004" si="1160">S1000-W1000</f>
        <v>0</v>
      </c>
      <c r="AA1000" s="123">
        <f t="shared" ref="AA1000:AA1004" si="1161">S1000/M1000</f>
        <v>0.18637776467484021</v>
      </c>
    </row>
    <row r="1001" spans="2:27" x14ac:dyDescent="0.2">
      <c r="C1001" s="19" t="s">
        <v>907</v>
      </c>
      <c r="D1001" s="94" t="s">
        <v>825</v>
      </c>
      <c r="E1001" s="95" t="s">
        <v>826</v>
      </c>
      <c r="F1001" s="96" t="s">
        <v>802</v>
      </c>
      <c r="G1001" s="43">
        <v>6053442339</v>
      </c>
      <c r="H1001" s="96">
        <v>0</v>
      </c>
      <c r="I1001" s="96">
        <v>0</v>
      </c>
      <c r="J1001" s="96">
        <v>0</v>
      </c>
      <c r="K1001" s="96">
        <v>0</v>
      </c>
      <c r="L1001" s="96">
        <v>0</v>
      </c>
      <c r="M1001" s="43">
        <v>6053442339</v>
      </c>
      <c r="N1001" s="44">
        <v>0</v>
      </c>
      <c r="O1001" s="44">
        <v>0</v>
      </c>
      <c r="P1001" s="18">
        <v>3247805756</v>
      </c>
      <c r="Q1001" s="98">
        <v>0</v>
      </c>
      <c r="R1001" s="18">
        <f>S1001-[1]ENERO!R995</f>
        <v>249663545</v>
      </c>
      <c r="S1001" s="43">
        <f>247977015+249663545</f>
        <v>497640560</v>
      </c>
      <c r="T1001" s="96">
        <v>0</v>
      </c>
      <c r="U1001" s="18">
        <v>249663545</v>
      </c>
      <c r="V1001" s="43">
        <f>247977015+249663545</f>
        <v>497640560</v>
      </c>
      <c r="W1001" s="111">
        <f t="shared" si="1129"/>
        <v>497640560</v>
      </c>
      <c r="X1001" s="110">
        <f t="shared" si="1158"/>
        <v>2805636583</v>
      </c>
      <c r="Y1001" s="110">
        <f t="shared" si="1159"/>
        <v>2750165196</v>
      </c>
      <c r="Z1001" s="133">
        <f t="shared" si="1160"/>
        <v>0</v>
      </c>
      <c r="AA1001" s="123">
        <f t="shared" si="1161"/>
        <v>8.2207863250615826E-2</v>
      </c>
    </row>
    <row r="1002" spans="2:27" ht="25.5" x14ac:dyDescent="0.2">
      <c r="C1002" s="19" t="s">
        <v>907</v>
      </c>
      <c r="D1002" s="94" t="s">
        <v>827</v>
      </c>
      <c r="E1002" s="95" t="s">
        <v>776</v>
      </c>
      <c r="F1002" s="96" t="s">
        <v>777</v>
      </c>
      <c r="G1002" s="43">
        <v>5590188172</v>
      </c>
      <c r="H1002" s="96">
        <v>0</v>
      </c>
      <c r="I1002" s="96">
        <v>0</v>
      </c>
      <c r="J1002" s="96">
        <v>0</v>
      </c>
      <c r="K1002" s="96">
        <v>0</v>
      </c>
      <c r="L1002" s="96">
        <v>0</v>
      </c>
      <c r="M1002" s="43">
        <v>5590188172</v>
      </c>
      <c r="N1002" s="44">
        <v>0</v>
      </c>
      <c r="O1002" s="44">
        <v>0</v>
      </c>
      <c r="P1002" s="18">
        <v>188387793</v>
      </c>
      <c r="Q1002" s="98">
        <v>0</v>
      </c>
      <c r="R1002" s="18">
        <f>S1002-[1]ENERO!R996</f>
        <v>0</v>
      </c>
      <c r="S1002" s="43">
        <v>188387793</v>
      </c>
      <c r="T1002" s="96">
        <v>0</v>
      </c>
      <c r="U1002" s="18">
        <v>0</v>
      </c>
      <c r="V1002" s="43">
        <v>188387793</v>
      </c>
      <c r="W1002" s="111">
        <f t="shared" si="1129"/>
        <v>188387793</v>
      </c>
      <c r="X1002" s="110">
        <f t="shared" si="1158"/>
        <v>5401800379</v>
      </c>
      <c r="Y1002" s="133">
        <f t="shared" si="1159"/>
        <v>0</v>
      </c>
      <c r="Z1002" s="133">
        <f t="shared" si="1160"/>
        <v>0</v>
      </c>
      <c r="AA1002" s="123">
        <f t="shared" si="1161"/>
        <v>3.3699723015334665E-2</v>
      </c>
    </row>
    <row r="1003" spans="2:27" x14ac:dyDescent="0.2">
      <c r="C1003" s="19" t="s">
        <v>907</v>
      </c>
      <c r="D1003" s="94" t="s">
        <v>828</v>
      </c>
      <c r="E1003" s="95" t="s">
        <v>829</v>
      </c>
      <c r="F1003" s="96" t="s">
        <v>789</v>
      </c>
      <c r="G1003" s="43">
        <v>134040044112</v>
      </c>
      <c r="H1003" s="96">
        <v>0</v>
      </c>
      <c r="I1003" s="96">
        <v>0</v>
      </c>
      <c r="J1003" s="96">
        <v>0</v>
      </c>
      <c r="K1003" s="96">
        <v>0</v>
      </c>
      <c r="L1003" s="96">
        <v>0</v>
      </c>
      <c r="M1003" s="43">
        <v>134040044112</v>
      </c>
      <c r="N1003" s="44">
        <v>0</v>
      </c>
      <c r="O1003" s="44">
        <v>0</v>
      </c>
      <c r="P1003" s="18">
        <v>129958738901</v>
      </c>
      <c r="Q1003" s="98">
        <v>0</v>
      </c>
      <c r="R1003" s="18">
        <f>S1003-[1]ENERO!R997</f>
        <v>9679631148.5300007</v>
      </c>
      <c r="S1003" s="43">
        <f>11975354145.97+9679631148.53</f>
        <v>21654985294.5</v>
      </c>
      <c r="T1003" s="96">
        <v>0</v>
      </c>
      <c r="U1003" s="18">
        <v>9679631148.5300007</v>
      </c>
      <c r="V1003" s="43">
        <f>11975354145.97+9679631148.53</f>
        <v>21654985294.5</v>
      </c>
      <c r="W1003" s="111">
        <f t="shared" si="1129"/>
        <v>21654985294.5</v>
      </c>
      <c r="X1003" s="110">
        <f t="shared" si="1158"/>
        <v>4081305211</v>
      </c>
      <c r="Y1003" s="110">
        <f t="shared" si="1159"/>
        <v>108303753606.5</v>
      </c>
      <c r="Z1003" s="133">
        <f t="shared" si="1160"/>
        <v>0</v>
      </c>
      <c r="AA1003" s="123">
        <f t="shared" si="1161"/>
        <v>0.16155608898789767</v>
      </c>
    </row>
    <row r="1004" spans="2:27" ht="25.5" x14ac:dyDescent="0.2">
      <c r="C1004" s="19" t="s">
        <v>907</v>
      </c>
      <c r="D1004" s="94" t="s">
        <v>830</v>
      </c>
      <c r="E1004" s="95" t="s">
        <v>831</v>
      </c>
      <c r="F1004" s="96" t="s">
        <v>832</v>
      </c>
      <c r="G1004" s="43">
        <v>12909348026</v>
      </c>
      <c r="H1004" s="96">
        <v>0</v>
      </c>
      <c r="I1004" s="96">
        <v>0</v>
      </c>
      <c r="J1004" s="96">
        <v>0</v>
      </c>
      <c r="K1004" s="96">
        <v>0</v>
      </c>
      <c r="L1004" s="96">
        <v>0</v>
      </c>
      <c r="M1004" s="43">
        <v>12909348026</v>
      </c>
      <c r="N1004" s="44">
        <v>0</v>
      </c>
      <c r="O1004" s="44">
        <v>0</v>
      </c>
      <c r="P1004" s="18">
        <v>12909348026</v>
      </c>
      <c r="Q1004" s="98">
        <v>0</v>
      </c>
      <c r="R1004" s="110">
        <f>S1004-[1]ENERO!R998</f>
        <v>1739649191.8</v>
      </c>
      <c r="S1004" s="116">
        <v>1739649191.8</v>
      </c>
      <c r="T1004" s="96">
        <v>0</v>
      </c>
      <c r="U1004" s="114">
        <v>1739649191.8</v>
      </c>
      <c r="V1004" s="114">
        <v>1739649191.8</v>
      </c>
      <c r="W1004" s="111">
        <f t="shared" si="1129"/>
        <v>1739649191.8</v>
      </c>
      <c r="X1004" s="133">
        <f t="shared" si="1158"/>
        <v>0</v>
      </c>
      <c r="Y1004" s="110">
        <f t="shared" si="1159"/>
        <v>11169698834.200001</v>
      </c>
      <c r="Z1004" s="133">
        <f t="shared" si="1160"/>
        <v>0</v>
      </c>
      <c r="AA1004" s="123">
        <f t="shared" si="1161"/>
        <v>0.13475887305046461</v>
      </c>
    </row>
    <row r="1005" spans="2:27" x14ac:dyDescent="0.2">
      <c r="C1005" s="19" t="s">
        <v>907</v>
      </c>
      <c r="D1005" s="89"/>
      <c r="E1005" s="91"/>
      <c r="F1005" s="91"/>
      <c r="G1005" s="18"/>
      <c r="H1005" s="92"/>
      <c r="I1005" s="92"/>
      <c r="J1005" s="92"/>
      <c r="K1005" s="92"/>
      <c r="L1005" s="92"/>
      <c r="M1005" s="92"/>
      <c r="N1005" s="98"/>
      <c r="O1005" s="92"/>
      <c r="P1005" s="92"/>
      <c r="Q1005" s="92"/>
      <c r="R1005" s="92"/>
      <c r="S1005" s="92"/>
      <c r="T1005" s="92"/>
      <c r="U1005" s="92"/>
      <c r="V1005" s="92"/>
      <c r="W1005" s="92"/>
      <c r="X1005" s="92"/>
      <c r="Y1005" s="92"/>
      <c r="Z1005" s="92"/>
      <c r="AA1005" s="92"/>
    </row>
    <row r="1006" spans="2:27" s="50" customFormat="1" x14ac:dyDescent="0.2">
      <c r="B1006" s="77"/>
      <c r="C1006" s="19" t="s">
        <v>907</v>
      </c>
      <c r="D1006" s="46"/>
      <c r="E1006" s="47" t="s">
        <v>833</v>
      </c>
      <c r="F1006" s="47"/>
      <c r="G1006" s="48">
        <f>SUM(G957:G1004)</f>
        <v>260924476092</v>
      </c>
      <c r="H1006" s="49">
        <f t="shared" ref="H1006:Z1006" si="1162">SUM(H957:H1004)</f>
        <v>0</v>
      </c>
      <c r="I1006" s="49">
        <f t="shared" si="1162"/>
        <v>0</v>
      </c>
      <c r="J1006" s="48">
        <f t="shared" si="1162"/>
        <v>5672720240</v>
      </c>
      <c r="K1006" s="48">
        <f t="shared" si="1162"/>
        <v>5672720240</v>
      </c>
      <c r="L1006" s="49">
        <f t="shared" si="1162"/>
        <v>0</v>
      </c>
      <c r="M1006" s="48">
        <f t="shared" si="1162"/>
        <v>260924476092</v>
      </c>
      <c r="N1006" s="49">
        <f t="shared" si="1162"/>
        <v>0</v>
      </c>
      <c r="O1006" s="48">
        <f t="shared" si="1162"/>
        <v>4300434293.2399998</v>
      </c>
      <c r="P1006" s="48">
        <f t="shared" si="1162"/>
        <v>219559650226.23999</v>
      </c>
      <c r="Q1006" s="49">
        <f t="shared" si="1162"/>
        <v>0</v>
      </c>
      <c r="R1006" s="48">
        <f t="shared" si="1162"/>
        <v>21507125387.329998</v>
      </c>
      <c r="S1006" s="48">
        <f t="shared" si="1162"/>
        <v>40197562657.300003</v>
      </c>
      <c r="T1006" s="48">
        <f t="shared" si="1162"/>
        <v>393334</v>
      </c>
      <c r="U1006" s="48">
        <f t="shared" si="1162"/>
        <v>18456172054.330002</v>
      </c>
      <c r="V1006" s="48">
        <f t="shared" si="1162"/>
        <v>36996009324.300003</v>
      </c>
      <c r="W1006" s="22">
        <f>T1006+V1006</f>
        <v>36996402658.300003</v>
      </c>
      <c r="X1006" s="48">
        <f>SUM(X957:X1004)</f>
        <v>41364825865.759995</v>
      </c>
      <c r="Y1006" s="48">
        <f>SUM(Y957:Y1004)</f>
        <v>179362087568.94</v>
      </c>
      <c r="Z1006" s="48">
        <f t="shared" si="1162"/>
        <v>3201159999</v>
      </c>
      <c r="AA1006" s="24">
        <f t="shared" ref="AA1006" si="1163">S1006/M1006</f>
        <v>0.15405822887664491</v>
      </c>
    </row>
    <row r="1007" spans="2:27" x14ac:dyDescent="0.2">
      <c r="C1007" s="19" t="s">
        <v>907</v>
      </c>
    </row>
    <row r="1008" spans="2:27" x14ac:dyDescent="0.2">
      <c r="C1008" s="19" t="s">
        <v>907</v>
      </c>
    </row>
    <row r="1009" spans="3:5" x14ac:dyDescent="0.2">
      <c r="C1009" s="19" t="s">
        <v>907</v>
      </c>
    </row>
    <row r="1010" spans="3:5" x14ac:dyDescent="0.2">
      <c r="C1010" s="19" t="s">
        <v>907</v>
      </c>
    </row>
    <row r="1011" spans="3:5" ht="13.5" thickBot="1" x14ac:dyDescent="0.25">
      <c r="C1011" s="19" t="s">
        <v>907</v>
      </c>
      <c r="E1011" s="152"/>
    </row>
    <row r="1012" spans="3:5" ht="15.75" x14ac:dyDescent="0.2">
      <c r="C1012" s="19" t="s">
        <v>907</v>
      </c>
      <c r="E1012" s="153" t="s">
        <v>914</v>
      </c>
    </row>
    <row r="1013" spans="3:5" x14ac:dyDescent="0.2">
      <c r="C1013" s="19" t="s">
        <v>907</v>
      </c>
      <c r="E1013" s="154" t="s">
        <v>916</v>
      </c>
    </row>
    <row r="1014" spans="3:5" x14ac:dyDescent="0.2">
      <c r="C1014" s="19" t="s">
        <v>907</v>
      </c>
      <c r="E1014" s="154" t="s">
        <v>917</v>
      </c>
    </row>
    <row r="1015" spans="3:5" x14ac:dyDescent="0.2">
      <c r="C1015" s="19" t="s">
        <v>907</v>
      </c>
    </row>
    <row r="1016" spans="3:5" x14ac:dyDescent="0.2">
      <c r="C1016" s="19" t="s">
        <v>907</v>
      </c>
    </row>
    <row r="1017" spans="3:5" x14ac:dyDescent="0.2">
      <c r="C1017" s="19" t="s">
        <v>907</v>
      </c>
    </row>
    <row r="1018" spans="3:5" x14ac:dyDescent="0.2">
      <c r="C1018" s="19" t="s">
        <v>907</v>
      </c>
    </row>
    <row r="1019" spans="3:5" x14ac:dyDescent="0.2">
      <c r="C1019" s="19" t="s">
        <v>907</v>
      </c>
    </row>
    <row r="1020" spans="3:5" x14ac:dyDescent="0.2">
      <c r="C1020" s="19" t="s">
        <v>907</v>
      </c>
    </row>
    <row r="1021" spans="3:5" x14ac:dyDescent="0.2">
      <c r="C1021" s="19" t="s">
        <v>907</v>
      </c>
    </row>
    <row r="1022" spans="3:5" x14ac:dyDescent="0.2">
      <c r="C1022" s="19" t="s">
        <v>907</v>
      </c>
    </row>
    <row r="1023" spans="3:5" x14ac:dyDescent="0.2">
      <c r="C1023" s="19" t="s">
        <v>907</v>
      </c>
    </row>
    <row r="1024" spans="3:5" x14ac:dyDescent="0.2">
      <c r="C1024" s="19" t="s">
        <v>907</v>
      </c>
    </row>
    <row r="1025" spans="3:3" x14ac:dyDescent="0.2">
      <c r="C1025" s="19" t="s">
        <v>907</v>
      </c>
    </row>
    <row r="1026" spans="3:3" x14ac:dyDescent="0.2">
      <c r="C1026" s="19" t="s">
        <v>907</v>
      </c>
    </row>
    <row r="1027" spans="3:3" x14ac:dyDescent="0.2">
      <c r="C1027" s="19" t="s">
        <v>907</v>
      </c>
    </row>
    <row r="1028" spans="3:3" x14ac:dyDescent="0.2">
      <c r="C1028" s="19" t="s">
        <v>907</v>
      </c>
    </row>
    <row r="1029" spans="3:3" x14ac:dyDescent="0.2">
      <c r="C1029" s="19" t="s">
        <v>907</v>
      </c>
    </row>
    <row r="1030" spans="3:3" x14ac:dyDescent="0.2">
      <c r="C1030" s="19" t="s">
        <v>907</v>
      </c>
    </row>
    <row r="1031" spans="3:3" x14ac:dyDescent="0.2">
      <c r="C1031" s="19" t="s">
        <v>907</v>
      </c>
    </row>
    <row r="1032" spans="3:3" x14ac:dyDescent="0.2">
      <c r="C1032" s="19" t="s">
        <v>907</v>
      </c>
    </row>
    <row r="1033" spans="3:3" x14ac:dyDescent="0.2">
      <c r="C1033" s="19" t="s">
        <v>907</v>
      </c>
    </row>
    <row r="1034" spans="3:3" x14ac:dyDescent="0.2">
      <c r="C1034" s="19" t="s">
        <v>907</v>
      </c>
    </row>
    <row r="1035" spans="3:3" x14ac:dyDescent="0.2">
      <c r="C1035" s="19" t="s">
        <v>907</v>
      </c>
    </row>
    <row r="1036" spans="3:3" x14ac:dyDescent="0.2">
      <c r="C1036" s="19" t="s">
        <v>907</v>
      </c>
    </row>
    <row r="1037" spans="3:3" x14ac:dyDescent="0.2">
      <c r="C1037" s="19" t="s">
        <v>907</v>
      </c>
    </row>
    <row r="1038" spans="3:3" x14ac:dyDescent="0.2">
      <c r="C1038" s="19" t="s">
        <v>907</v>
      </c>
    </row>
    <row r="1039" spans="3:3" x14ac:dyDescent="0.2">
      <c r="C1039" s="19" t="s">
        <v>907</v>
      </c>
    </row>
    <row r="1040" spans="3:3" x14ac:dyDescent="0.2">
      <c r="C1040" s="19" t="s">
        <v>907</v>
      </c>
    </row>
    <row r="1041" spans="3:3" x14ac:dyDescent="0.2">
      <c r="C1041" s="19" t="s">
        <v>907</v>
      </c>
    </row>
    <row r="1042" spans="3:3" x14ac:dyDescent="0.2">
      <c r="C1042" s="19" t="s">
        <v>907</v>
      </c>
    </row>
    <row r="1043" spans="3:3" x14ac:dyDescent="0.2">
      <c r="C1043" s="19" t="s">
        <v>907</v>
      </c>
    </row>
  </sheetData>
  <mergeCells count="23">
    <mergeCell ref="M7:M8"/>
    <mergeCell ref="A2:Z2"/>
    <mergeCell ref="A3:Z3"/>
    <mergeCell ref="A4:Z4"/>
    <mergeCell ref="A5:Z5"/>
    <mergeCell ref="A7:A9"/>
    <mergeCell ref="B7:B9"/>
    <mergeCell ref="D7:D9"/>
    <mergeCell ref="E7:E9"/>
    <mergeCell ref="F7:F9"/>
    <mergeCell ref="G7:G8"/>
    <mergeCell ref="H7:H8"/>
    <mergeCell ref="I7:I8"/>
    <mergeCell ref="J7:J8"/>
    <mergeCell ref="K7:K8"/>
    <mergeCell ref="L7:L8"/>
    <mergeCell ref="AA7:AA8"/>
    <mergeCell ref="N7:P7"/>
    <mergeCell ref="Q7:S7"/>
    <mergeCell ref="T7:V7"/>
    <mergeCell ref="X7:X8"/>
    <mergeCell ref="Y7:Y8"/>
    <mergeCell ref="Z7:Z8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0D0E3-41D3-4C70-B962-BCCB0BAF7E0F}">
  <dimension ref="A1:AX1039"/>
  <sheetViews>
    <sheetView topLeftCell="AA1" zoomScale="80" zoomScaleNormal="80" workbookViewId="0">
      <pane xSplit="3" ySplit="9" topLeftCell="AD945" activePane="bottomRight" state="frozen"/>
      <selection activeCell="AA1" sqref="AA1"/>
      <selection pane="topRight" activeCell="AD1" sqref="AD1"/>
      <selection pane="bottomLeft" activeCell="AA10" sqref="AA10"/>
      <selection pane="bottomRight" activeCell="AA950" sqref="AA950"/>
    </sheetView>
  </sheetViews>
  <sheetFormatPr baseColWidth="10" defaultColWidth="9.140625" defaultRowHeight="12.75" x14ac:dyDescent="0.2"/>
  <cols>
    <col min="1" max="1" width="15.7109375" style="33" customWidth="1"/>
    <col min="2" max="2" width="38.42578125" style="51" customWidth="1"/>
    <col min="3" max="3" width="27.7109375" style="51" bestFit="1" customWidth="1"/>
    <col min="4" max="4" width="18.7109375" style="51" bestFit="1" customWidth="1"/>
    <col min="5" max="5" width="13.85546875" style="51" bestFit="1" customWidth="1"/>
    <col min="6" max="6" width="14.42578125" style="51" bestFit="1" customWidth="1"/>
    <col min="7" max="7" width="10.85546875" style="51" bestFit="1" customWidth="1"/>
    <col min="8" max="8" width="9.85546875" style="51" bestFit="1" customWidth="1"/>
    <col min="9" max="9" width="23" style="51" bestFit="1" customWidth="1"/>
    <col min="10" max="10" width="14.5703125" style="51" bestFit="1" customWidth="1"/>
    <col min="11" max="11" width="18.85546875" style="51" bestFit="1" customWidth="1"/>
    <col min="12" max="12" width="12" style="51" bestFit="1" customWidth="1"/>
    <col min="13" max="13" width="16.85546875" style="51" bestFit="1" customWidth="1"/>
    <col min="14" max="14" width="20.5703125" style="51" bestFit="1" customWidth="1"/>
    <col min="15" max="15" width="22.7109375" style="51" bestFit="1" customWidth="1"/>
    <col min="16" max="16" width="29" style="51" bestFit="1" customWidth="1"/>
    <col min="17" max="17" width="20" style="51" bestFit="1" customWidth="1"/>
    <col min="18" max="18" width="23.5703125" style="51" bestFit="1" customWidth="1"/>
    <col min="19" max="19" width="23.5703125" style="51" hidden="1" customWidth="1"/>
    <col min="20" max="20" width="27.140625" style="51" hidden="1" customWidth="1"/>
    <col min="21" max="21" width="25.5703125" style="51" hidden="1" customWidth="1"/>
    <col min="22" max="22" width="18.85546875" style="51" hidden="1" customWidth="1"/>
    <col min="23" max="23" width="18.5703125" style="51" hidden="1" customWidth="1"/>
    <col min="24" max="24" width="20.85546875" style="51" hidden="1" customWidth="1"/>
    <col min="25" max="26" width="29.7109375" style="51" hidden="1" customWidth="1"/>
    <col min="27" max="27" width="37.5703125" style="99" customWidth="1"/>
    <col min="28" max="28" width="60.140625" style="51" customWidth="1"/>
    <col min="29" max="29" width="60.7109375" style="51" hidden="1" customWidth="1"/>
    <col min="30" max="30" width="23.5703125" style="33" customWidth="1"/>
    <col min="31" max="32" width="20.7109375" style="33" hidden="1" customWidth="1"/>
    <col min="33" max="34" width="22" style="33" hidden="1" customWidth="1"/>
    <col min="35" max="35" width="22.140625" style="33" hidden="1" customWidth="1"/>
    <col min="36" max="36" width="26" style="33" customWidth="1"/>
    <col min="37" max="37" width="24.140625" style="33" hidden="1" customWidth="1"/>
    <col min="38" max="39" width="27.7109375" style="33" hidden="1" customWidth="1"/>
    <col min="40" max="40" width="20.7109375" style="33" hidden="1" customWidth="1"/>
    <col min="41" max="41" width="22.42578125" style="33" hidden="1" customWidth="1"/>
    <col min="42" max="42" width="23.42578125" style="33" hidden="1" customWidth="1"/>
    <col min="43" max="43" width="20.7109375" style="33" hidden="1" customWidth="1"/>
    <col min="44" max="44" width="23.42578125" style="33" customWidth="1"/>
    <col min="45" max="45" width="23" style="33" customWidth="1"/>
    <col min="46" max="46" width="22.85546875" style="33" customWidth="1"/>
    <col min="47" max="47" width="23" style="33" customWidth="1"/>
    <col min="48" max="48" width="23.42578125" style="33" customWidth="1"/>
    <col min="49" max="49" width="22" style="33" bestFit="1" customWidth="1"/>
    <col min="50" max="50" width="12.140625" style="33" customWidth="1"/>
    <col min="51" max="281" width="9.140625" style="33"/>
    <col min="282" max="283" width="0" style="33" hidden="1" customWidth="1"/>
    <col min="284" max="284" width="29.42578125" style="33" customWidth="1"/>
    <col min="285" max="285" width="75.7109375" style="33" customWidth="1"/>
    <col min="286" max="286" width="0" style="33" hidden="1" customWidth="1"/>
    <col min="287" max="305" width="20.7109375" style="33" customWidth="1"/>
    <col min="306" max="306" width="12.140625" style="33" customWidth="1"/>
    <col min="307" max="537" width="9.140625" style="33"/>
    <col min="538" max="539" width="0" style="33" hidden="1" customWidth="1"/>
    <col min="540" max="540" width="29.42578125" style="33" customWidth="1"/>
    <col min="541" max="541" width="75.7109375" style="33" customWidth="1"/>
    <col min="542" max="542" width="0" style="33" hidden="1" customWidth="1"/>
    <col min="543" max="561" width="20.7109375" style="33" customWidth="1"/>
    <col min="562" max="562" width="12.140625" style="33" customWidth="1"/>
    <col min="563" max="793" width="9.140625" style="33"/>
    <col min="794" max="795" width="0" style="33" hidden="1" customWidth="1"/>
    <col min="796" max="796" width="29.42578125" style="33" customWidth="1"/>
    <col min="797" max="797" width="75.7109375" style="33" customWidth="1"/>
    <col min="798" max="798" width="0" style="33" hidden="1" customWidth="1"/>
    <col min="799" max="817" width="20.7109375" style="33" customWidth="1"/>
    <col min="818" max="818" width="12.140625" style="33" customWidth="1"/>
    <col min="819" max="1049" width="9.140625" style="33"/>
    <col min="1050" max="1051" width="0" style="33" hidden="1" customWidth="1"/>
    <col min="1052" max="1052" width="29.42578125" style="33" customWidth="1"/>
    <col min="1053" max="1053" width="75.7109375" style="33" customWidth="1"/>
    <col min="1054" max="1054" width="0" style="33" hidden="1" customWidth="1"/>
    <col min="1055" max="1073" width="20.7109375" style="33" customWidth="1"/>
    <col min="1074" max="1074" width="12.140625" style="33" customWidth="1"/>
    <col min="1075" max="1305" width="9.140625" style="33"/>
    <col min="1306" max="1307" width="0" style="33" hidden="1" customWidth="1"/>
    <col min="1308" max="1308" width="29.42578125" style="33" customWidth="1"/>
    <col min="1309" max="1309" width="75.7109375" style="33" customWidth="1"/>
    <col min="1310" max="1310" width="0" style="33" hidden="1" customWidth="1"/>
    <col min="1311" max="1329" width="20.7109375" style="33" customWidth="1"/>
    <col min="1330" max="1330" width="12.140625" style="33" customWidth="1"/>
    <col min="1331" max="1561" width="9.140625" style="33"/>
    <col min="1562" max="1563" width="0" style="33" hidden="1" customWidth="1"/>
    <col min="1564" max="1564" width="29.42578125" style="33" customWidth="1"/>
    <col min="1565" max="1565" width="75.7109375" style="33" customWidth="1"/>
    <col min="1566" max="1566" width="0" style="33" hidden="1" customWidth="1"/>
    <col min="1567" max="1585" width="20.7109375" style="33" customWidth="1"/>
    <col min="1586" max="1586" width="12.140625" style="33" customWidth="1"/>
    <col min="1587" max="1817" width="9.140625" style="33"/>
    <col min="1818" max="1819" width="0" style="33" hidden="1" customWidth="1"/>
    <col min="1820" max="1820" width="29.42578125" style="33" customWidth="1"/>
    <col min="1821" max="1821" width="75.7109375" style="33" customWidth="1"/>
    <col min="1822" max="1822" width="0" style="33" hidden="1" customWidth="1"/>
    <col min="1823" max="1841" width="20.7109375" style="33" customWidth="1"/>
    <col min="1842" max="1842" width="12.140625" style="33" customWidth="1"/>
    <col min="1843" max="2073" width="9.140625" style="33"/>
    <col min="2074" max="2075" width="0" style="33" hidden="1" customWidth="1"/>
    <col min="2076" max="2076" width="29.42578125" style="33" customWidth="1"/>
    <col min="2077" max="2077" width="75.7109375" style="33" customWidth="1"/>
    <col min="2078" max="2078" width="0" style="33" hidden="1" customWidth="1"/>
    <col min="2079" max="2097" width="20.7109375" style="33" customWidth="1"/>
    <col min="2098" max="2098" width="12.140625" style="33" customWidth="1"/>
    <col min="2099" max="2329" width="9.140625" style="33"/>
    <col min="2330" max="2331" width="0" style="33" hidden="1" customWidth="1"/>
    <col min="2332" max="2332" width="29.42578125" style="33" customWidth="1"/>
    <col min="2333" max="2333" width="75.7109375" style="33" customWidth="1"/>
    <col min="2334" max="2334" width="0" style="33" hidden="1" customWidth="1"/>
    <col min="2335" max="2353" width="20.7109375" style="33" customWidth="1"/>
    <col min="2354" max="2354" width="12.140625" style="33" customWidth="1"/>
    <col min="2355" max="2585" width="9.140625" style="33"/>
    <col min="2586" max="2587" width="0" style="33" hidden="1" customWidth="1"/>
    <col min="2588" max="2588" width="29.42578125" style="33" customWidth="1"/>
    <col min="2589" max="2589" width="75.7109375" style="33" customWidth="1"/>
    <col min="2590" max="2590" width="0" style="33" hidden="1" customWidth="1"/>
    <col min="2591" max="2609" width="20.7109375" style="33" customWidth="1"/>
    <col min="2610" max="2610" width="12.140625" style="33" customWidth="1"/>
    <col min="2611" max="2841" width="9.140625" style="33"/>
    <col min="2842" max="2843" width="0" style="33" hidden="1" customWidth="1"/>
    <col min="2844" max="2844" width="29.42578125" style="33" customWidth="1"/>
    <col min="2845" max="2845" width="75.7109375" style="33" customWidth="1"/>
    <col min="2846" max="2846" width="0" style="33" hidden="1" customWidth="1"/>
    <col min="2847" max="2865" width="20.7109375" style="33" customWidth="1"/>
    <col min="2866" max="2866" width="12.140625" style="33" customWidth="1"/>
    <col min="2867" max="3097" width="9.140625" style="33"/>
    <col min="3098" max="3099" width="0" style="33" hidden="1" customWidth="1"/>
    <col min="3100" max="3100" width="29.42578125" style="33" customWidth="1"/>
    <col min="3101" max="3101" width="75.7109375" style="33" customWidth="1"/>
    <col min="3102" max="3102" width="0" style="33" hidden="1" customWidth="1"/>
    <col min="3103" max="3121" width="20.7109375" style="33" customWidth="1"/>
    <col min="3122" max="3122" width="12.140625" style="33" customWidth="1"/>
    <col min="3123" max="3353" width="9.140625" style="33"/>
    <col min="3354" max="3355" width="0" style="33" hidden="1" customWidth="1"/>
    <col min="3356" max="3356" width="29.42578125" style="33" customWidth="1"/>
    <col min="3357" max="3357" width="75.7109375" style="33" customWidth="1"/>
    <col min="3358" max="3358" width="0" style="33" hidden="1" customWidth="1"/>
    <col min="3359" max="3377" width="20.7109375" style="33" customWidth="1"/>
    <col min="3378" max="3378" width="12.140625" style="33" customWidth="1"/>
    <col min="3379" max="3609" width="9.140625" style="33"/>
    <col min="3610" max="3611" width="0" style="33" hidden="1" customWidth="1"/>
    <col min="3612" max="3612" width="29.42578125" style="33" customWidth="1"/>
    <col min="3613" max="3613" width="75.7109375" style="33" customWidth="1"/>
    <col min="3614" max="3614" width="0" style="33" hidden="1" customWidth="1"/>
    <col min="3615" max="3633" width="20.7109375" style="33" customWidth="1"/>
    <col min="3634" max="3634" width="12.140625" style="33" customWidth="1"/>
    <col min="3635" max="3865" width="9.140625" style="33"/>
    <col min="3866" max="3867" width="0" style="33" hidden="1" customWidth="1"/>
    <col min="3868" max="3868" width="29.42578125" style="33" customWidth="1"/>
    <col min="3869" max="3869" width="75.7109375" style="33" customWidth="1"/>
    <col min="3870" max="3870" width="0" style="33" hidden="1" customWidth="1"/>
    <col min="3871" max="3889" width="20.7109375" style="33" customWidth="1"/>
    <col min="3890" max="3890" width="12.140625" style="33" customWidth="1"/>
    <col min="3891" max="4121" width="9.140625" style="33"/>
    <col min="4122" max="4123" width="0" style="33" hidden="1" customWidth="1"/>
    <col min="4124" max="4124" width="29.42578125" style="33" customWidth="1"/>
    <col min="4125" max="4125" width="75.7109375" style="33" customWidth="1"/>
    <col min="4126" max="4126" width="0" style="33" hidden="1" customWidth="1"/>
    <col min="4127" max="4145" width="20.7109375" style="33" customWidth="1"/>
    <col min="4146" max="4146" width="12.140625" style="33" customWidth="1"/>
    <col min="4147" max="4377" width="9.140625" style="33"/>
    <col min="4378" max="4379" width="0" style="33" hidden="1" customWidth="1"/>
    <col min="4380" max="4380" width="29.42578125" style="33" customWidth="1"/>
    <col min="4381" max="4381" width="75.7109375" style="33" customWidth="1"/>
    <col min="4382" max="4382" width="0" style="33" hidden="1" customWidth="1"/>
    <col min="4383" max="4401" width="20.7109375" style="33" customWidth="1"/>
    <col min="4402" max="4402" width="12.140625" style="33" customWidth="1"/>
    <col min="4403" max="4633" width="9.140625" style="33"/>
    <col min="4634" max="4635" width="0" style="33" hidden="1" customWidth="1"/>
    <col min="4636" max="4636" width="29.42578125" style="33" customWidth="1"/>
    <col min="4637" max="4637" width="75.7109375" style="33" customWidth="1"/>
    <col min="4638" max="4638" width="0" style="33" hidden="1" customWidth="1"/>
    <col min="4639" max="4657" width="20.7109375" style="33" customWidth="1"/>
    <col min="4658" max="4658" width="12.140625" style="33" customWidth="1"/>
    <col min="4659" max="4889" width="9.140625" style="33"/>
    <col min="4890" max="4891" width="0" style="33" hidden="1" customWidth="1"/>
    <col min="4892" max="4892" width="29.42578125" style="33" customWidth="1"/>
    <col min="4893" max="4893" width="75.7109375" style="33" customWidth="1"/>
    <col min="4894" max="4894" width="0" style="33" hidden="1" customWidth="1"/>
    <col min="4895" max="4913" width="20.7109375" style="33" customWidth="1"/>
    <col min="4914" max="4914" width="12.140625" style="33" customWidth="1"/>
    <col min="4915" max="5145" width="9.140625" style="33"/>
    <col min="5146" max="5147" width="0" style="33" hidden="1" customWidth="1"/>
    <col min="5148" max="5148" width="29.42578125" style="33" customWidth="1"/>
    <col min="5149" max="5149" width="75.7109375" style="33" customWidth="1"/>
    <col min="5150" max="5150" width="0" style="33" hidden="1" customWidth="1"/>
    <col min="5151" max="5169" width="20.7109375" style="33" customWidth="1"/>
    <col min="5170" max="5170" width="12.140625" style="33" customWidth="1"/>
    <col min="5171" max="5401" width="9.140625" style="33"/>
    <col min="5402" max="5403" width="0" style="33" hidden="1" customWidth="1"/>
    <col min="5404" max="5404" width="29.42578125" style="33" customWidth="1"/>
    <col min="5405" max="5405" width="75.7109375" style="33" customWidth="1"/>
    <col min="5406" max="5406" width="0" style="33" hidden="1" customWidth="1"/>
    <col min="5407" max="5425" width="20.7109375" style="33" customWidth="1"/>
    <col min="5426" max="5426" width="12.140625" style="33" customWidth="1"/>
    <col min="5427" max="5657" width="9.140625" style="33"/>
    <col min="5658" max="5659" width="0" style="33" hidden="1" customWidth="1"/>
    <col min="5660" max="5660" width="29.42578125" style="33" customWidth="1"/>
    <col min="5661" max="5661" width="75.7109375" style="33" customWidth="1"/>
    <col min="5662" max="5662" width="0" style="33" hidden="1" customWidth="1"/>
    <col min="5663" max="5681" width="20.7109375" style="33" customWidth="1"/>
    <col min="5682" max="5682" width="12.140625" style="33" customWidth="1"/>
    <col min="5683" max="5913" width="9.140625" style="33"/>
    <col min="5914" max="5915" width="0" style="33" hidden="1" customWidth="1"/>
    <col min="5916" max="5916" width="29.42578125" style="33" customWidth="1"/>
    <col min="5917" max="5917" width="75.7109375" style="33" customWidth="1"/>
    <col min="5918" max="5918" width="0" style="33" hidden="1" customWidth="1"/>
    <col min="5919" max="5937" width="20.7109375" style="33" customWidth="1"/>
    <col min="5938" max="5938" width="12.140625" style="33" customWidth="1"/>
    <col min="5939" max="6169" width="9.140625" style="33"/>
    <col min="6170" max="6171" width="0" style="33" hidden="1" customWidth="1"/>
    <col min="6172" max="6172" width="29.42578125" style="33" customWidth="1"/>
    <col min="6173" max="6173" width="75.7109375" style="33" customWidth="1"/>
    <col min="6174" max="6174" width="0" style="33" hidden="1" customWidth="1"/>
    <col min="6175" max="6193" width="20.7109375" style="33" customWidth="1"/>
    <col min="6194" max="6194" width="12.140625" style="33" customWidth="1"/>
    <col min="6195" max="6425" width="9.140625" style="33"/>
    <col min="6426" max="6427" width="0" style="33" hidden="1" customWidth="1"/>
    <col min="6428" max="6428" width="29.42578125" style="33" customWidth="1"/>
    <col min="6429" max="6429" width="75.7109375" style="33" customWidth="1"/>
    <col min="6430" max="6430" width="0" style="33" hidden="1" customWidth="1"/>
    <col min="6431" max="6449" width="20.7109375" style="33" customWidth="1"/>
    <col min="6450" max="6450" width="12.140625" style="33" customWidth="1"/>
    <col min="6451" max="6681" width="9.140625" style="33"/>
    <col min="6682" max="6683" width="0" style="33" hidden="1" customWidth="1"/>
    <col min="6684" max="6684" width="29.42578125" style="33" customWidth="1"/>
    <col min="6685" max="6685" width="75.7109375" style="33" customWidth="1"/>
    <col min="6686" max="6686" width="0" style="33" hidden="1" customWidth="1"/>
    <col min="6687" max="6705" width="20.7109375" style="33" customWidth="1"/>
    <col min="6706" max="6706" width="12.140625" style="33" customWidth="1"/>
    <col min="6707" max="6937" width="9.140625" style="33"/>
    <col min="6938" max="6939" width="0" style="33" hidden="1" customWidth="1"/>
    <col min="6940" max="6940" width="29.42578125" style="33" customWidth="1"/>
    <col min="6941" max="6941" width="75.7109375" style="33" customWidth="1"/>
    <col min="6942" max="6942" width="0" style="33" hidden="1" customWidth="1"/>
    <col min="6943" max="6961" width="20.7109375" style="33" customWidth="1"/>
    <col min="6962" max="6962" width="12.140625" style="33" customWidth="1"/>
    <col min="6963" max="7193" width="9.140625" style="33"/>
    <col min="7194" max="7195" width="0" style="33" hidden="1" customWidth="1"/>
    <col min="7196" max="7196" width="29.42578125" style="33" customWidth="1"/>
    <col min="7197" max="7197" width="75.7109375" style="33" customWidth="1"/>
    <col min="7198" max="7198" width="0" style="33" hidden="1" customWidth="1"/>
    <col min="7199" max="7217" width="20.7109375" style="33" customWidth="1"/>
    <col min="7218" max="7218" width="12.140625" style="33" customWidth="1"/>
    <col min="7219" max="7449" width="9.140625" style="33"/>
    <col min="7450" max="7451" width="0" style="33" hidden="1" customWidth="1"/>
    <col min="7452" max="7452" width="29.42578125" style="33" customWidth="1"/>
    <col min="7453" max="7453" width="75.7109375" style="33" customWidth="1"/>
    <col min="7454" max="7454" width="0" style="33" hidden="1" customWidth="1"/>
    <col min="7455" max="7473" width="20.7109375" style="33" customWidth="1"/>
    <col min="7474" max="7474" width="12.140625" style="33" customWidth="1"/>
    <col min="7475" max="7705" width="9.140625" style="33"/>
    <col min="7706" max="7707" width="0" style="33" hidden="1" customWidth="1"/>
    <col min="7708" max="7708" width="29.42578125" style="33" customWidth="1"/>
    <col min="7709" max="7709" width="75.7109375" style="33" customWidth="1"/>
    <col min="7710" max="7710" width="0" style="33" hidden="1" customWidth="1"/>
    <col min="7711" max="7729" width="20.7109375" style="33" customWidth="1"/>
    <col min="7730" max="7730" width="12.140625" style="33" customWidth="1"/>
    <col min="7731" max="7961" width="9.140625" style="33"/>
    <col min="7962" max="7963" width="0" style="33" hidden="1" customWidth="1"/>
    <col min="7964" max="7964" width="29.42578125" style="33" customWidth="1"/>
    <col min="7965" max="7965" width="75.7109375" style="33" customWidth="1"/>
    <col min="7966" max="7966" width="0" style="33" hidden="1" customWidth="1"/>
    <col min="7967" max="7985" width="20.7109375" style="33" customWidth="1"/>
    <col min="7986" max="7986" width="12.140625" style="33" customWidth="1"/>
    <col min="7987" max="8217" width="9.140625" style="33"/>
    <col min="8218" max="8219" width="0" style="33" hidden="1" customWidth="1"/>
    <col min="8220" max="8220" width="29.42578125" style="33" customWidth="1"/>
    <col min="8221" max="8221" width="75.7109375" style="33" customWidth="1"/>
    <col min="8222" max="8222" width="0" style="33" hidden="1" customWidth="1"/>
    <col min="8223" max="8241" width="20.7109375" style="33" customWidth="1"/>
    <col min="8242" max="8242" width="12.140625" style="33" customWidth="1"/>
    <col min="8243" max="8473" width="9.140625" style="33"/>
    <col min="8474" max="8475" width="0" style="33" hidden="1" customWidth="1"/>
    <col min="8476" max="8476" width="29.42578125" style="33" customWidth="1"/>
    <col min="8477" max="8477" width="75.7109375" style="33" customWidth="1"/>
    <col min="8478" max="8478" width="0" style="33" hidden="1" customWidth="1"/>
    <col min="8479" max="8497" width="20.7109375" style="33" customWidth="1"/>
    <col min="8498" max="8498" width="12.140625" style="33" customWidth="1"/>
    <col min="8499" max="8729" width="9.140625" style="33"/>
    <col min="8730" max="8731" width="0" style="33" hidden="1" customWidth="1"/>
    <col min="8732" max="8732" width="29.42578125" style="33" customWidth="1"/>
    <col min="8733" max="8733" width="75.7109375" style="33" customWidth="1"/>
    <col min="8734" max="8734" width="0" style="33" hidden="1" customWidth="1"/>
    <col min="8735" max="8753" width="20.7109375" style="33" customWidth="1"/>
    <col min="8754" max="8754" width="12.140625" style="33" customWidth="1"/>
    <col min="8755" max="8985" width="9.140625" style="33"/>
    <col min="8986" max="8987" width="0" style="33" hidden="1" customWidth="1"/>
    <col min="8988" max="8988" width="29.42578125" style="33" customWidth="1"/>
    <col min="8989" max="8989" width="75.7109375" style="33" customWidth="1"/>
    <col min="8990" max="8990" width="0" style="33" hidden="1" customWidth="1"/>
    <col min="8991" max="9009" width="20.7109375" style="33" customWidth="1"/>
    <col min="9010" max="9010" width="12.140625" style="33" customWidth="1"/>
    <col min="9011" max="9241" width="9.140625" style="33"/>
    <col min="9242" max="9243" width="0" style="33" hidden="1" customWidth="1"/>
    <col min="9244" max="9244" width="29.42578125" style="33" customWidth="1"/>
    <col min="9245" max="9245" width="75.7109375" style="33" customWidth="1"/>
    <col min="9246" max="9246" width="0" style="33" hidden="1" customWidth="1"/>
    <col min="9247" max="9265" width="20.7109375" style="33" customWidth="1"/>
    <col min="9266" max="9266" width="12.140625" style="33" customWidth="1"/>
    <col min="9267" max="9497" width="9.140625" style="33"/>
    <col min="9498" max="9499" width="0" style="33" hidden="1" customWidth="1"/>
    <col min="9500" max="9500" width="29.42578125" style="33" customWidth="1"/>
    <col min="9501" max="9501" width="75.7109375" style="33" customWidth="1"/>
    <col min="9502" max="9502" width="0" style="33" hidden="1" customWidth="1"/>
    <col min="9503" max="9521" width="20.7109375" style="33" customWidth="1"/>
    <col min="9522" max="9522" width="12.140625" style="33" customWidth="1"/>
    <col min="9523" max="9753" width="9.140625" style="33"/>
    <col min="9754" max="9755" width="0" style="33" hidden="1" customWidth="1"/>
    <col min="9756" max="9756" width="29.42578125" style="33" customWidth="1"/>
    <col min="9757" max="9757" width="75.7109375" style="33" customWidth="1"/>
    <col min="9758" max="9758" width="0" style="33" hidden="1" customWidth="1"/>
    <col min="9759" max="9777" width="20.7109375" style="33" customWidth="1"/>
    <col min="9778" max="9778" width="12.140625" style="33" customWidth="1"/>
    <col min="9779" max="10009" width="9.140625" style="33"/>
    <col min="10010" max="10011" width="0" style="33" hidden="1" customWidth="1"/>
    <col min="10012" max="10012" width="29.42578125" style="33" customWidth="1"/>
    <col min="10013" max="10013" width="75.7109375" style="33" customWidth="1"/>
    <col min="10014" max="10014" width="0" style="33" hidden="1" customWidth="1"/>
    <col min="10015" max="10033" width="20.7109375" style="33" customWidth="1"/>
    <col min="10034" max="10034" width="12.140625" style="33" customWidth="1"/>
    <col min="10035" max="10265" width="9.140625" style="33"/>
    <col min="10266" max="10267" width="0" style="33" hidden="1" customWidth="1"/>
    <col min="10268" max="10268" width="29.42578125" style="33" customWidth="1"/>
    <col min="10269" max="10269" width="75.7109375" style="33" customWidth="1"/>
    <col min="10270" max="10270" width="0" style="33" hidden="1" customWidth="1"/>
    <col min="10271" max="10289" width="20.7109375" style="33" customWidth="1"/>
    <col min="10290" max="10290" width="12.140625" style="33" customWidth="1"/>
    <col min="10291" max="10521" width="9.140625" style="33"/>
    <col min="10522" max="10523" width="0" style="33" hidden="1" customWidth="1"/>
    <col min="10524" max="10524" width="29.42578125" style="33" customWidth="1"/>
    <col min="10525" max="10525" width="75.7109375" style="33" customWidth="1"/>
    <col min="10526" max="10526" width="0" style="33" hidden="1" customWidth="1"/>
    <col min="10527" max="10545" width="20.7109375" style="33" customWidth="1"/>
    <col min="10546" max="10546" width="12.140625" style="33" customWidth="1"/>
    <col min="10547" max="10777" width="9.140625" style="33"/>
    <col min="10778" max="10779" width="0" style="33" hidden="1" customWidth="1"/>
    <col min="10780" max="10780" width="29.42578125" style="33" customWidth="1"/>
    <col min="10781" max="10781" width="75.7109375" style="33" customWidth="1"/>
    <col min="10782" max="10782" width="0" style="33" hidden="1" customWidth="1"/>
    <col min="10783" max="10801" width="20.7109375" style="33" customWidth="1"/>
    <col min="10802" max="10802" width="12.140625" style="33" customWidth="1"/>
    <col min="10803" max="11033" width="9.140625" style="33"/>
    <col min="11034" max="11035" width="0" style="33" hidden="1" customWidth="1"/>
    <col min="11036" max="11036" width="29.42578125" style="33" customWidth="1"/>
    <col min="11037" max="11037" width="75.7109375" style="33" customWidth="1"/>
    <col min="11038" max="11038" width="0" style="33" hidden="1" customWidth="1"/>
    <col min="11039" max="11057" width="20.7109375" style="33" customWidth="1"/>
    <col min="11058" max="11058" width="12.140625" style="33" customWidth="1"/>
    <col min="11059" max="11289" width="9.140625" style="33"/>
    <col min="11290" max="11291" width="0" style="33" hidden="1" customWidth="1"/>
    <col min="11292" max="11292" width="29.42578125" style="33" customWidth="1"/>
    <col min="11293" max="11293" width="75.7109375" style="33" customWidth="1"/>
    <col min="11294" max="11294" width="0" style="33" hidden="1" customWidth="1"/>
    <col min="11295" max="11313" width="20.7109375" style="33" customWidth="1"/>
    <col min="11314" max="11314" width="12.140625" style="33" customWidth="1"/>
    <col min="11315" max="11545" width="9.140625" style="33"/>
    <col min="11546" max="11547" width="0" style="33" hidden="1" customWidth="1"/>
    <col min="11548" max="11548" width="29.42578125" style="33" customWidth="1"/>
    <col min="11549" max="11549" width="75.7109375" style="33" customWidth="1"/>
    <col min="11550" max="11550" width="0" style="33" hidden="1" customWidth="1"/>
    <col min="11551" max="11569" width="20.7109375" style="33" customWidth="1"/>
    <col min="11570" max="11570" width="12.140625" style="33" customWidth="1"/>
    <col min="11571" max="11801" width="9.140625" style="33"/>
    <col min="11802" max="11803" width="0" style="33" hidden="1" customWidth="1"/>
    <col min="11804" max="11804" width="29.42578125" style="33" customWidth="1"/>
    <col min="11805" max="11805" width="75.7109375" style="33" customWidth="1"/>
    <col min="11806" max="11806" width="0" style="33" hidden="1" customWidth="1"/>
    <col min="11807" max="11825" width="20.7109375" style="33" customWidth="1"/>
    <col min="11826" max="11826" width="12.140625" style="33" customWidth="1"/>
    <col min="11827" max="12057" width="9.140625" style="33"/>
    <col min="12058" max="12059" width="0" style="33" hidden="1" customWidth="1"/>
    <col min="12060" max="12060" width="29.42578125" style="33" customWidth="1"/>
    <col min="12061" max="12061" width="75.7109375" style="33" customWidth="1"/>
    <col min="12062" max="12062" width="0" style="33" hidden="1" customWidth="1"/>
    <col min="12063" max="12081" width="20.7109375" style="33" customWidth="1"/>
    <col min="12082" max="12082" width="12.140625" style="33" customWidth="1"/>
    <col min="12083" max="12313" width="9.140625" style="33"/>
    <col min="12314" max="12315" width="0" style="33" hidden="1" customWidth="1"/>
    <col min="12316" max="12316" width="29.42578125" style="33" customWidth="1"/>
    <col min="12317" max="12317" width="75.7109375" style="33" customWidth="1"/>
    <col min="12318" max="12318" width="0" style="33" hidden="1" customWidth="1"/>
    <col min="12319" max="12337" width="20.7109375" style="33" customWidth="1"/>
    <col min="12338" max="12338" width="12.140625" style="33" customWidth="1"/>
    <col min="12339" max="12569" width="9.140625" style="33"/>
    <col min="12570" max="12571" width="0" style="33" hidden="1" customWidth="1"/>
    <col min="12572" max="12572" width="29.42578125" style="33" customWidth="1"/>
    <col min="12573" max="12573" width="75.7109375" style="33" customWidth="1"/>
    <col min="12574" max="12574" width="0" style="33" hidden="1" customWidth="1"/>
    <col min="12575" max="12593" width="20.7109375" style="33" customWidth="1"/>
    <col min="12594" max="12594" width="12.140625" style="33" customWidth="1"/>
    <col min="12595" max="12825" width="9.140625" style="33"/>
    <col min="12826" max="12827" width="0" style="33" hidden="1" customWidth="1"/>
    <col min="12828" max="12828" width="29.42578125" style="33" customWidth="1"/>
    <col min="12829" max="12829" width="75.7109375" style="33" customWidth="1"/>
    <col min="12830" max="12830" width="0" style="33" hidden="1" customWidth="1"/>
    <col min="12831" max="12849" width="20.7109375" style="33" customWidth="1"/>
    <col min="12850" max="12850" width="12.140625" style="33" customWidth="1"/>
    <col min="12851" max="13081" width="9.140625" style="33"/>
    <col min="13082" max="13083" width="0" style="33" hidden="1" customWidth="1"/>
    <col min="13084" max="13084" width="29.42578125" style="33" customWidth="1"/>
    <col min="13085" max="13085" width="75.7109375" style="33" customWidth="1"/>
    <col min="13086" max="13086" width="0" style="33" hidden="1" customWidth="1"/>
    <col min="13087" max="13105" width="20.7109375" style="33" customWidth="1"/>
    <col min="13106" max="13106" width="12.140625" style="33" customWidth="1"/>
    <col min="13107" max="13337" width="9.140625" style="33"/>
    <col min="13338" max="13339" width="0" style="33" hidden="1" customWidth="1"/>
    <col min="13340" max="13340" width="29.42578125" style="33" customWidth="1"/>
    <col min="13341" max="13341" width="75.7109375" style="33" customWidth="1"/>
    <col min="13342" max="13342" width="0" style="33" hidden="1" customWidth="1"/>
    <col min="13343" max="13361" width="20.7109375" style="33" customWidth="1"/>
    <col min="13362" max="13362" width="12.140625" style="33" customWidth="1"/>
    <col min="13363" max="13593" width="9.140625" style="33"/>
    <col min="13594" max="13595" width="0" style="33" hidden="1" customWidth="1"/>
    <col min="13596" max="13596" width="29.42578125" style="33" customWidth="1"/>
    <col min="13597" max="13597" width="75.7109375" style="33" customWidth="1"/>
    <col min="13598" max="13598" width="0" style="33" hidden="1" customWidth="1"/>
    <col min="13599" max="13617" width="20.7109375" style="33" customWidth="1"/>
    <col min="13618" max="13618" width="12.140625" style="33" customWidth="1"/>
    <col min="13619" max="13849" width="9.140625" style="33"/>
    <col min="13850" max="13851" width="0" style="33" hidden="1" customWidth="1"/>
    <col min="13852" max="13852" width="29.42578125" style="33" customWidth="1"/>
    <col min="13853" max="13853" width="75.7109375" style="33" customWidth="1"/>
    <col min="13854" max="13854" width="0" style="33" hidden="1" customWidth="1"/>
    <col min="13855" max="13873" width="20.7109375" style="33" customWidth="1"/>
    <col min="13874" max="13874" width="12.140625" style="33" customWidth="1"/>
    <col min="13875" max="14105" width="9.140625" style="33"/>
    <col min="14106" max="14107" width="0" style="33" hidden="1" customWidth="1"/>
    <col min="14108" max="14108" width="29.42578125" style="33" customWidth="1"/>
    <col min="14109" max="14109" width="75.7109375" style="33" customWidth="1"/>
    <col min="14110" max="14110" width="0" style="33" hidden="1" customWidth="1"/>
    <col min="14111" max="14129" width="20.7109375" style="33" customWidth="1"/>
    <col min="14130" max="14130" width="12.140625" style="33" customWidth="1"/>
    <col min="14131" max="14361" width="9.140625" style="33"/>
    <col min="14362" max="14363" width="0" style="33" hidden="1" customWidth="1"/>
    <col min="14364" max="14364" width="29.42578125" style="33" customWidth="1"/>
    <col min="14365" max="14365" width="75.7109375" style="33" customWidth="1"/>
    <col min="14366" max="14366" width="0" style="33" hidden="1" customWidth="1"/>
    <col min="14367" max="14385" width="20.7109375" style="33" customWidth="1"/>
    <col min="14386" max="14386" width="12.140625" style="33" customWidth="1"/>
    <col min="14387" max="14617" width="9.140625" style="33"/>
    <col min="14618" max="14619" width="0" style="33" hidden="1" customWidth="1"/>
    <col min="14620" max="14620" width="29.42578125" style="33" customWidth="1"/>
    <col min="14621" max="14621" width="75.7109375" style="33" customWidth="1"/>
    <col min="14622" max="14622" width="0" style="33" hidden="1" customWidth="1"/>
    <col min="14623" max="14641" width="20.7109375" style="33" customWidth="1"/>
    <col min="14642" max="14642" width="12.140625" style="33" customWidth="1"/>
    <col min="14643" max="14873" width="9.140625" style="33"/>
    <col min="14874" max="14875" width="0" style="33" hidden="1" customWidth="1"/>
    <col min="14876" max="14876" width="29.42578125" style="33" customWidth="1"/>
    <col min="14877" max="14877" width="75.7109375" style="33" customWidth="1"/>
    <col min="14878" max="14878" width="0" style="33" hidden="1" customWidth="1"/>
    <col min="14879" max="14897" width="20.7109375" style="33" customWidth="1"/>
    <col min="14898" max="14898" width="12.140625" style="33" customWidth="1"/>
    <col min="14899" max="15129" width="9.140625" style="33"/>
    <col min="15130" max="15131" width="0" style="33" hidden="1" customWidth="1"/>
    <col min="15132" max="15132" width="29.42578125" style="33" customWidth="1"/>
    <col min="15133" max="15133" width="75.7109375" style="33" customWidth="1"/>
    <col min="15134" max="15134" width="0" style="33" hidden="1" customWidth="1"/>
    <col min="15135" max="15153" width="20.7109375" style="33" customWidth="1"/>
    <col min="15154" max="15154" width="12.140625" style="33" customWidth="1"/>
    <col min="15155" max="15385" width="9.140625" style="33"/>
    <col min="15386" max="15387" width="0" style="33" hidden="1" customWidth="1"/>
    <col min="15388" max="15388" width="29.42578125" style="33" customWidth="1"/>
    <col min="15389" max="15389" width="75.7109375" style="33" customWidth="1"/>
    <col min="15390" max="15390" width="0" style="33" hidden="1" customWidth="1"/>
    <col min="15391" max="15409" width="20.7109375" style="33" customWidth="1"/>
    <col min="15410" max="15410" width="12.140625" style="33" customWidth="1"/>
    <col min="15411" max="15641" width="9.140625" style="33"/>
    <col min="15642" max="15643" width="0" style="33" hidden="1" customWidth="1"/>
    <col min="15644" max="15644" width="29.42578125" style="33" customWidth="1"/>
    <col min="15645" max="15645" width="75.7109375" style="33" customWidth="1"/>
    <col min="15646" max="15646" width="0" style="33" hidden="1" customWidth="1"/>
    <col min="15647" max="15665" width="20.7109375" style="33" customWidth="1"/>
    <col min="15666" max="15666" width="12.140625" style="33" customWidth="1"/>
    <col min="15667" max="15897" width="9.140625" style="33"/>
    <col min="15898" max="15899" width="0" style="33" hidden="1" customWidth="1"/>
    <col min="15900" max="15900" width="29.42578125" style="33" customWidth="1"/>
    <col min="15901" max="15901" width="75.7109375" style="33" customWidth="1"/>
    <col min="15902" max="15902" width="0" style="33" hidden="1" customWidth="1"/>
    <col min="15903" max="15921" width="20.7109375" style="33" customWidth="1"/>
    <col min="15922" max="15922" width="12.140625" style="33" customWidth="1"/>
    <col min="15923" max="16153" width="9.140625" style="33"/>
    <col min="16154" max="16155" width="0" style="33" hidden="1" customWidth="1"/>
    <col min="16156" max="16156" width="29.42578125" style="33" customWidth="1"/>
    <col min="16157" max="16157" width="75.7109375" style="33" customWidth="1"/>
    <col min="16158" max="16158" width="0" style="33" hidden="1" customWidth="1"/>
    <col min="16159" max="16177" width="20.7109375" style="33" customWidth="1"/>
    <col min="16178" max="16178" width="12.140625" style="33" customWidth="1"/>
    <col min="16179" max="16384" width="9.140625" style="33"/>
  </cols>
  <sheetData>
    <row r="1" spans="1:50" s="1" customFormat="1" x14ac:dyDescent="0.2">
      <c r="AA1" s="2"/>
      <c r="AB1" s="3"/>
    </row>
    <row r="2" spans="1:50" s="4" customFormat="1" ht="20.25" x14ac:dyDescent="0.3">
      <c r="A2" s="339" t="s">
        <v>0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</row>
    <row r="3" spans="1:50" s="4" customFormat="1" ht="20.25" x14ac:dyDescent="0.3">
      <c r="A3" s="339" t="s">
        <v>1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</row>
    <row r="4" spans="1:50" s="4" customFormat="1" ht="20.25" x14ac:dyDescent="0.3">
      <c r="A4" s="339" t="s">
        <v>915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</row>
    <row r="5" spans="1:50" s="4" customFormat="1" ht="20.25" x14ac:dyDescent="0.3">
      <c r="A5" s="339" t="s">
        <v>918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 s="339"/>
      <c r="AU5" s="339"/>
      <c r="AV5" s="339"/>
      <c r="AW5" s="339"/>
    </row>
    <row r="6" spans="1:50" s="4" customFormat="1" ht="16.5" customHeight="1" x14ac:dyDescent="0.3">
      <c r="A6" s="156"/>
      <c r="B6" s="156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6"/>
      <c r="AB6" s="7"/>
      <c r="AC6" s="156"/>
      <c r="AD6" s="156"/>
      <c r="AE6" s="8"/>
      <c r="AF6" s="156"/>
      <c r="AG6" s="156"/>
      <c r="AH6" s="156"/>
      <c r="AI6" s="156"/>
      <c r="AJ6" s="8"/>
      <c r="AK6" s="184"/>
      <c r="AL6" s="8"/>
      <c r="AM6" s="8"/>
      <c r="AN6" s="8"/>
      <c r="AP6" s="8"/>
      <c r="AQ6" s="8"/>
      <c r="AR6" s="8"/>
      <c r="AS6" s="8"/>
      <c r="AT6" s="8"/>
      <c r="AU6" s="8"/>
      <c r="AV6" s="8"/>
      <c r="AW6" s="156"/>
    </row>
    <row r="7" spans="1:50" s="4" customFormat="1" ht="16.5" customHeight="1" x14ac:dyDescent="0.2">
      <c r="A7" s="340" t="s">
        <v>3</v>
      </c>
      <c r="B7" s="341" t="s">
        <v>4</v>
      </c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342" t="s">
        <v>5</v>
      </c>
      <c r="AB7" s="337" t="s">
        <v>6</v>
      </c>
      <c r="AC7" s="337" t="s">
        <v>7</v>
      </c>
      <c r="AD7" s="342" t="s">
        <v>8</v>
      </c>
      <c r="AE7" s="342" t="s">
        <v>9</v>
      </c>
      <c r="AF7" s="337" t="s">
        <v>10</v>
      </c>
      <c r="AG7" s="337" t="s">
        <v>11</v>
      </c>
      <c r="AH7" s="337" t="s">
        <v>12</v>
      </c>
      <c r="AI7" s="337" t="s">
        <v>13</v>
      </c>
      <c r="AJ7" s="337" t="s">
        <v>14</v>
      </c>
      <c r="AK7" s="338" t="s">
        <v>15</v>
      </c>
      <c r="AL7" s="338"/>
      <c r="AM7" s="338"/>
      <c r="AN7" s="338" t="s">
        <v>16</v>
      </c>
      <c r="AO7" s="338"/>
      <c r="AP7" s="338"/>
      <c r="AQ7" s="338" t="s">
        <v>17</v>
      </c>
      <c r="AR7" s="338"/>
      <c r="AS7" s="338"/>
      <c r="AT7" s="158"/>
      <c r="AU7" s="337" t="s">
        <v>18</v>
      </c>
      <c r="AV7" s="337" t="s">
        <v>19</v>
      </c>
      <c r="AW7" s="337" t="s">
        <v>20</v>
      </c>
      <c r="AX7" s="337" t="s">
        <v>21</v>
      </c>
    </row>
    <row r="8" spans="1:50" s="4" customFormat="1" ht="30" customHeight="1" x14ac:dyDescent="0.2">
      <c r="A8" s="340"/>
      <c r="B8" s="341"/>
      <c r="C8" s="157" t="s">
        <v>949</v>
      </c>
      <c r="D8" s="157" t="s">
        <v>950</v>
      </c>
      <c r="E8" s="157" t="s">
        <v>951</v>
      </c>
      <c r="F8" s="157" t="s">
        <v>952</v>
      </c>
      <c r="G8" s="157" t="s">
        <v>919</v>
      </c>
      <c r="H8" s="157" t="s">
        <v>920</v>
      </c>
      <c r="I8" s="157" t="s">
        <v>929</v>
      </c>
      <c r="J8" s="157" t="s">
        <v>930</v>
      </c>
      <c r="K8" s="157" t="s">
        <v>921</v>
      </c>
      <c r="L8" s="157" t="s">
        <v>922</v>
      </c>
      <c r="M8" s="157" t="s">
        <v>923</v>
      </c>
      <c r="N8" s="157" t="s">
        <v>924</v>
      </c>
      <c r="O8" s="157" t="s">
        <v>925</v>
      </c>
      <c r="P8" s="157" t="s">
        <v>926</v>
      </c>
      <c r="Q8" s="157" t="s">
        <v>927</v>
      </c>
      <c r="R8" s="157" t="s">
        <v>928</v>
      </c>
      <c r="S8" s="157" t="s">
        <v>953</v>
      </c>
      <c r="T8" s="157" t="s">
        <v>954</v>
      </c>
      <c r="U8" s="157" t="s">
        <v>955</v>
      </c>
      <c r="V8" s="157" t="s">
        <v>956</v>
      </c>
      <c r="W8" s="157" t="s">
        <v>957</v>
      </c>
      <c r="X8" s="157" t="s">
        <v>931</v>
      </c>
      <c r="Y8" s="157"/>
      <c r="Z8" s="157"/>
      <c r="AA8" s="342"/>
      <c r="AB8" s="337"/>
      <c r="AC8" s="337"/>
      <c r="AD8" s="342"/>
      <c r="AE8" s="342"/>
      <c r="AF8" s="337"/>
      <c r="AG8" s="337"/>
      <c r="AH8" s="337"/>
      <c r="AI8" s="337"/>
      <c r="AJ8" s="337"/>
      <c r="AK8" s="155" t="s">
        <v>22</v>
      </c>
      <c r="AL8" s="155" t="s">
        <v>23</v>
      </c>
      <c r="AM8" s="155" t="s">
        <v>24</v>
      </c>
      <c r="AN8" s="155" t="s">
        <v>25</v>
      </c>
      <c r="AO8" s="155" t="s">
        <v>26</v>
      </c>
      <c r="AP8" s="155" t="s">
        <v>27</v>
      </c>
      <c r="AQ8" s="155" t="s">
        <v>28</v>
      </c>
      <c r="AR8" s="155" t="s">
        <v>29</v>
      </c>
      <c r="AS8" s="155" t="s">
        <v>30</v>
      </c>
      <c r="AT8" s="155" t="s">
        <v>31</v>
      </c>
      <c r="AU8" s="337"/>
      <c r="AV8" s="337"/>
      <c r="AW8" s="337"/>
      <c r="AX8" s="337"/>
    </row>
    <row r="9" spans="1:50" s="4" customFormat="1" ht="18" customHeight="1" x14ac:dyDescent="0.2">
      <c r="A9" s="340"/>
      <c r="B9" s="341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57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342"/>
      <c r="AB9" s="337"/>
      <c r="AC9" s="337"/>
      <c r="AD9" s="158">
        <v>1</v>
      </c>
      <c r="AE9" s="11"/>
      <c r="AF9" s="12"/>
      <c r="AG9" s="12"/>
      <c r="AH9" s="12"/>
      <c r="AI9" s="155">
        <v>2</v>
      </c>
      <c r="AJ9" s="158" t="s">
        <v>32</v>
      </c>
      <c r="AK9" s="158"/>
      <c r="AL9" s="158"/>
      <c r="AM9" s="158">
        <v>5</v>
      </c>
      <c r="AN9" s="158"/>
      <c r="AO9" s="158"/>
      <c r="AP9" s="158">
        <v>7</v>
      </c>
      <c r="AQ9" s="158"/>
      <c r="AR9" s="158"/>
      <c r="AS9" s="158">
        <v>9</v>
      </c>
      <c r="AT9" s="158"/>
      <c r="AU9" s="158" t="s">
        <v>33</v>
      </c>
      <c r="AV9" s="158" t="s">
        <v>34</v>
      </c>
      <c r="AW9" s="158" t="s">
        <v>35</v>
      </c>
      <c r="AX9" s="13" t="s">
        <v>36</v>
      </c>
    </row>
    <row r="10" spans="1:50" s="14" customForma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6"/>
      <c r="AB10" s="17"/>
      <c r="AC10" s="17"/>
      <c r="AD10" s="18"/>
      <c r="AE10" s="18"/>
      <c r="AF10" s="17"/>
      <c r="AG10" s="18">
        <f>AH11-AG11</f>
        <v>0</v>
      </c>
      <c r="AH10" s="18"/>
      <c r="AI10" s="17"/>
      <c r="AJ10" s="18"/>
      <c r="AK10" s="18"/>
      <c r="AL10" s="17"/>
      <c r="AM10" s="18"/>
      <c r="AN10" s="18"/>
      <c r="AO10" s="17"/>
      <c r="AP10" s="18"/>
      <c r="AQ10" s="18"/>
      <c r="AR10" s="17"/>
      <c r="AS10" s="18"/>
      <c r="AT10" s="18"/>
      <c r="AU10" s="18"/>
      <c r="AV10" s="17"/>
      <c r="AW10" s="18"/>
      <c r="AX10" s="18"/>
    </row>
    <row r="11" spans="1:50" s="25" customFormat="1" ht="18.75" customHeight="1" x14ac:dyDescent="0.2">
      <c r="A11" s="19" t="s">
        <v>37</v>
      </c>
      <c r="B11" s="19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20">
        <v>2</v>
      </c>
      <c r="AB11" s="21" t="s">
        <v>38</v>
      </c>
      <c r="AC11" s="22" t="s">
        <v>37</v>
      </c>
      <c r="AD11" s="22">
        <f t="shared" ref="AD11:AS12" si="0">AD12+AD153+AD179</f>
        <v>1017611726826</v>
      </c>
      <c r="AE11" s="22">
        <f t="shared" si="0"/>
        <v>30988412763</v>
      </c>
      <c r="AF11" s="23">
        <f t="shared" si="0"/>
        <v>0</v>
      </c>
      <c r="AG11" s="22">
        <f t="shared" si="0"/>
        <v>78248349388.350006</v>
      </c>
      <c r="AH11" s="22">
        <f t="shared" si="0"/>
        <v>78248349388.350006</v>
      </c>
      <c r="AI11" s="22">
        <f t="shared" si="0"/>
        <v>30988412763</v>
      </c>
      <c r="AJ11" s="22">
        <f t="shared" si="0"/>
        <v>1048600139589</v>
      </c>
      <c r="AK11" s="22">
        <f t="shared" si="0"/>
        <v>496193096</v>
      </c>
      <c r="AL11" s="22">
        <f t="shared" si="0"/>
        <v>85311746426.020004</v>
      </c>
      <c r="AM11" s="22">
        <f t="shared" si="0"/>
        <v>497272285761.75</v>
      </c>
      <c r="AN11" s="22">
        <f t="shared" si="0"/>
        <v>434195147.06999999</v>
      </c>
      <c r="AO11" s="22">
        <f t="shared" si="0"/>
        <v>58130421024.070007</v>
      </c>
      <c r="AP11" s="22">
        <f t="shared" si="0"/>
        <v>253364990273.72998</v>
      </c>
      <c r="AQ11" s="22">
        <f t="shared" si="0"/>
        <v>7134277309.1499996</v>
      </c>
      <c r="AR11" s="22">
        <f t="shared" si="0"/>
        <v>44151573344</v>
      </c>
      <c r="AS11" s="22">
        <f t="shared" si="0"/>
        <v>138104032594.28</v>
      </c>
      <c r="AT11" s="22">
        <f>AQ11+AS11</f>
        <v>145238309903.42999</v>
      </c>
      <c r="AU11" s="22">
        <f>AU12+AU153+AU179</f>
        <v>551327853827.25</v>
      </c>
      <c r="AV11" s="22">
        <f>AV12+AV153+AV179</f>
        <v>243907295488.02002</v>
      </c>
      <c r="AW11" s="22">
        <f>AW12+AW153+AW179</f>
        <v>108126680370.29999</v>
      </c>
      <c r="AX11" s="24">
        <f>AP11/AJ11</f>
        <v>0.24162212144377235</v>
      </c>
    </row>
    <row r="12" spans="1:50" s="25" customFormat="1" ht="18.75" customHeight="1" x14ac:dyDescent="0.2">
      <c r="A12" s="19" t="s">
        <v>37</v>
      </c>
      <c r="B12" s="19" t="s">
        <v>37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26" t="s">
        <v>39</v>
      </c>
      <c r="AB12" s="21" t="s">
        <v>40</v>
      </c>
      <c r="AC12" s="22" t="s">
        <v>37</v>
      </c>
      <c r="AD12" s="22">
        <f t="shared" ref="AD12:AS12" si="1">AD13+AD86+AD99+AD139</f>
        <v>180471642183</v>
      </c>
      <c r="AE12" s="23">
        <f t="shared" si="1"/>
        <v>0</v>
      </c>
      <c r="AF12" s="23">
        <f t="shared" si="1"/>
        <v>0</v>
      </c>
      <c r="AG12" s="22">
        <f t="shared" si="1"/>
        <v>2394200000</v>
      </c>
      <c r="AH12" s="22">
        <f t="shared" si="1"/>
        <v>2394200000</v>
      </c>
      <c r="AI12" s="23">
        <f t="shared" si="0"/>
        <v>0</v>
      </c>
      <c r="AJ12" s="22">
        <f t="shared" si="1"/>
        <v>180471642183</v>
      </c>
      <c r="AK12" s="22">
        <f t="shared" si="1"/>
        <v>496193096</v>
      </c>
      <c r="AL12" s="22">
        <f t="shared" si="1"/>
        <v>13420383285.24</v>
      </c>
      <c r="AM12" s="22">
        <f t="shared" si="1"/>
        <v>40376630945.059998</v>
      </c>
      <c r="AN12" s="22">
        <f t="shared" si="1"/>
        <v>91650000</v>
      </c>
      <c r="AO12" s="22">
        <f t="shared" si="1"/>
        <v>9638837261.960001</v>
      </c>
      <c r="AP12" s="22">
        <f t="shared" si="1"/>
        <v>33335571937.360001</v>
      </c>
      <c r="AQ12" s="22">
        <f t="shared" si="1"/>
        <v>3219155244.5700002</v>
      </c>
      <c r="AR12" s="22">
        <f t="shared" si="1"/>
        <v>9920080316.2400017</v>
      </c>
      <c r="AS12" s="22">
        <f t="shared" si="1"/>
        <v>21491076371.559998</v>
      </c>
      <c r="AT12" s="22">
        <f t="shared" ref="AT12:AT13" si="2">AQ12+AS12</f>
        <v>24710231616.129997</v>
      </c>
      <c r="AU12" s="22">
        <f>AU13+AU86+AU99+AU139</f>
        <v>140095011237.94</v>
      </c>
      <c r="AV12" s="22">
        <f>AV13+AV86+AV99+AV139</f>
        <v>7041059007.6999989</v>
      </c>
      <c r="AW12" s="22">
        <f>AW13+AW86+AW99+AW139</f>
        <v>8625340321.2300014</v>
      </c>
      <c r="AX12" s="24">
        <f t="shared" ref="AX12:AX13" si="3">AP12/AJ12</f>
        <v>0.18471362887892054</v>
      </c>
    </row>
    <row r="13" spans="1:50" s="25" customFormat="1" ht="18.75" customHeight="1" x14ac:dyDescent="0.2">
      <c r="A13" s="19" t="s">
        <v>41</v>
      </c>
      <c r="B13" s="19" t="s">
        <v>42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26" t="s">
        <v>43</v>
      </c>
      <c r="AB13" s="21" t="s">
        <v>44</v>
      </c>
      <c r="AC13" s="22" t="s">
        <v>37</v>
      </c>
      <c r="AD13" s="22">
        <f>AD14</f>
        <v>38718257195.5</v>
      </c>
      <c r="AE13" s="23">
        <f t="shared" ref="AE13:AW13" si="4">AE14</f>
        <v>0</v>
      </c>
      <c r="AF13" s="23">
        <f t="shared" si="4"/>
        <v>0</v>
      </c>
      <c r="AG13" s="23">
        <f t="shared" si="4"/>
        <v>0</v>
      </c>
      <c r="AH13" s="23">
        <f t="shared" si="4"/>
        <v>0</v>
      </c>
      <c r="AI13" s="23">
        <f t="shared" si="4"/>
        <v>0</v>
      </c>
      <c r="AJ13" s="22">
        <f>AJ14</f>
        <v>38718257195.5</v>
      </c>
      <c r="AK13" s="22">
        <f t="shared" si="4"/>
        <v>495201660</v>
      </c>
      <c r="AL13" s="22">
        <f t="shared" si="4"/>
        <v>2276813954</v>
      </c>
      <c r="AM13" s="22">
        <f t="shared" si="4"/>
        <v>7522503903</v>
      </c>
      <c r="AN13" s="23">
        <f t="shared" si="4"/>
        <v>0</v>
      </c>
      <c r="AO13" s="22">
        <f t="shared" si="4"/>
        <v>2276659654</v>
      </c>
      <c r="AP13" s="22">
        <f t="shared" si="4"/>
        <v>7522349603</v>
      </c>
      <c r="AQ13" s="108">
        <f t="shared" si="4"/>
        <v>36302368</v>
      </c>
      <c r="AR13" s="22">
        <f t="shared" si="4"/>
        <v>3457042421</v>
      </c>
      <c r="AS13" s="22">
        <f t="shared" si="4"/>
        <v>6935785722</v>
      </c>
      <c r="AT13" s="22">
        <f t="shared" si="2"/>
        <v>6972088090</v>
      </c>
      <c r="AU13" s="22">
        <f t="shared" si="4"/>
        <v>31195753292.5</v>
      </c>
      <c r="AV13" s="23">
        <f t="shared" si="4"/>
        <v>154300</v>
      </c>
      <c r="AW13" s="22">
        <f t="shared" si="4"/>
        <v>550261513</v>
      </c>
      <c r="AX13" s="24">
        <f t="shared" si="3"/>
        <v>0.19428430275199163</v>
      </c>
    </row>
    <row r="14" spans="1:50" ht="18.75" customHeight="1" x14ac:dyDescent="0.2">
      <c r="A14" s="27" t="s">
        <v>41</v>
      </c>
      <c r="B14" s="27" t="s">
        <v>42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8" t="s">
        <v>45</v>
      </c>
      <c r="AB14" s="29" t="s">
        <v>46</v>
      </c>
      <c r="AC14" s="30" t="s">
        <v>37</v>
      </c>
      <c r="AD14" s="30">
        <f>AD15+AD42+AD70</f>
        <v>38718257195.5</v>
      </c>
      <c r="AE14" s="31">
        <f t="shared" ref="AE14:AW14" si="5">AE15+AE42+AE70</f>
        <v>0</v>
      </c>
      <c r="AF14" s="31">
        <f t="shared" si="5"/>
        <v>0</v>
      </c>
      <c r="AG14" s="31">
        <f t="shared" si="5"/>
        <v>0</v>
      </c>
      <c r="AH14" s="31">
        <f t="shared" si="5"/>
        <v>0</v>
      </c>
      <c r="AI14" s="31">
        <f t="shared" si="5"/>
        <v>0</v>
      </c>
      <c r="AJ14" s="30">
        <f t="shared" si="5"/>
        <v>38718257195.5</v>
      </c>
      <c r="AK14" s="30">
        <f t="shared" si="5"/>
        <v>495201660</v>
      </c>
      <c r="AL14" s="30">
        <f t="shared" si="5"/>
        <v>2276813954</v>
      </c>
      <c r="AM14" s="30">
        <f t="shared" si="5"/>
        <v>7522503903</v>
      </c>
      <c r="AN14" s="31">
        <f t="shared" si="5"/>
        <v>0</v>
      </c>
      <c r="AO14" s="30">
        <f t="shared" si="5"/>
        <v>2276659654</v>
      </c>
      <c r="AP14" s="30">
        <f t="shared" si="5"/>
        <v>7522349603</v>
      </c>
      <c r="AQ14" s="109">
        <f t="shared" si="5"/>
        <v>36302368</v>
      </c>
      <c r="AR14" s="30">
        <f t="shared" si="5"/>
        <v>3457042421</v>
      </c>
      <c r="AS14" s="30">
        <f t="shared" si="5"/>
        <v>6935785722</v>
      </c>
      <c r="AT14" s="30">
        <f>AQ14+AS14</f>
        <v>6972088090</v>
      </c>
      <c r="AU14" s="30">
        <f t="shared" si="5"/>
        <v>31195753292.5</v>
      </c>
      <c r="AV14" s="31">
        <f t="shared" si="5"/>
        <v>154300</v>
      </c>
      <c r="AW14" s="30">
        <f t="shared" si="5"/>
        <v>550261513</v>
      </c>
      <c r="AX14" s="32">
        <f>AP14/AJ14</f>
        <v>0.19428430275199163</v>
      </c>
    </row>
    <row r="15" spans="1:50" ht="18.75" customHeight="1" x14ac:dyDescent="0.2">
      <c r="A15" s="27" t="s">
        <v>41</v>
      </c>
      <c r="B15" s="27" t="s">
        <v>42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8" t="s">
        <v>47</v>
      </c>
      <c r="AB15" s="29" t="s">
        <v>48</v>
      </c>
      <c r="AC15" s="30" t="s">
        <v>37</v>
      </c>
      <c r="AD15" s="30">
        <f>AD16+AD39</f>
        <v>25931861921.5</v>
      </c>
      <c r="AE15" s="31">
        <f t="shared" ref="AE15:AW15" si="6">AE16+AE39</f>
        <v>0</v>
      </c>
      <c r="AF15" s="31">
        <f t="shared" si="6"/>
        <v>0</v>
      </c>
      <c r="AG15" s="31">
        <f t="shared" si="6"/>
        <v>0</v>
      </c>
      <c r="AH15" s="31">
        <f t="shared" si="6"/>
        <v>0</v>
      </c>
      <c r="AI15" s="31">
        <f t="shared" si="6"/>
        <v>0</v>
      </c>
      <c r="AJ15" s="30">
        <f t="shared" si="6"/>
        <v>25931861921.5</v>
      </c>
      <c r="AK15" s="31">
        <f t="shared" si="6"/>
        <v>0</v>
      </c>
      <c r="AL15" s="30">
        <f t="shared" si="6"/>
        <v>1615507171</v>
      </c>
      <c r="AM15" s="30">
        <f t="shared" si="6"/>
        <v>4887304148</v>
      </c>
      <c r="AN15" s="31">
        <f t="shared" si="6"/>
        <v>0</v>
      </c>
      <c r="AO15" s="30">
        <f t="shared" si="6"/>
        <v>1615507171</v>
      </c>
      <c r="AP15" s="30">
        <f t="shared" si="6"/>
        <v>4887304148</v>
      </c>
      <c r="AQ15" s="31">
        <f t="shared" si="6"/>
        <v>0</v>
      </c>
      <c r="AR15" s="30">
        <f t="shared" si="6"/>
        <v>2908151100</v>
      </c>
      <c r="AS15" s="30">
        <f t="shared" si="6"/>
        <v>4726000523</v>
      </c>
      <c r="AT15" s="30">
        <f t="shared" ref="AT15:AT38" si="7">AQ15+AS15</f>
        <v>4726000523</v>
      </c>
      <c r="AU15" s="30">
        <f t="shared" si="6"/>
        <v>21044557773.5</v>
      </c>
      <c r="AV15" s="31">
        <f t="shared" si="6"/>
        <v>0</v>
      </c>
      <c r="AW15" s="30">
        <f t="shared" si="6"/>
        <v>161303625</v>
      </c>
      <c r="AX15" s="32">
        <f t="shared" ref="AX15:AX78" si="8">AP15/AJ15</f>
        <v>0.18846715144460785</v>
      </c>
    </row>
    <row r="16" spans="1:50" ht="18.75" customHeight="1" x14ac:dyDescent="0.2">
      <c r="A16" s="27" t="s">
        <v>49</v>
      </c>
      <c r="B16" s="27" t="s">
        <v>50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8" t="s">
        <v>51</v>
      </c>
      <c r="AB16" s="29" t="s">
        <v>52</v>
      </c>
      <c r="AC16" s="30" t="s">
        <v>37</v>
      </c>
      <c r="AD16" s="30">
        <f>AD17+AD20+AD21+AD22+AD23++AD24+AD27+AD30+AD37+AD38</f>
        <v>25908449467.5</v>
      </c>
      <c r="AE16" s="31">
        <f t="shared" ref="AE16:AW16" si="9">AE17+AE20+AE21+AE22+AE23++AE24+AE27+AE30+AE37+AE38</f>
        <v>0</v>
      </c>
      <c r="AF16" s="31">
        <f t="shared" si="9"/>
        <v>0</v>
      </c>
      <c r="AG16" s="31">
        <f t="shared" si="9"/>
        <v>0</v>
      </c>
      <c r="AH16" s="31">
        <f t="shared" si="9"/>
        <v>0</v>
      </c>
      <c r="AI16" s="31">
        <f t="shared" si="9"/>
        <v>0</v>
      </c>
      <c r="AJ16" s="30">
        <f t="shared" si="9"/>
        <v>25908449467.5</v>
      </c>
      <c r="AK16" s="31">
        <f t="shared" si="9"/>
        <v>0</v>
      </c>
      <c r="AL16" s="30">
        <f t="shared" si="9"/>
        <v>1615507171</v>
      </c>
      <c r="AM16" s="30">
        <f t="shared" si="9"/>
        <v>4887304148</v>
      </c>
      <c r="AN16" s="31">
        <f t="shared" si="9"/>
        <v>0</v>
      </c>
      <c r="AO16" s="30">
        <f t="shared" si="9"/>
        <v>1615507171</v>
      </c>
      <c r="AP16" s="30">
        <f t="shared" si="9"/>
        <v>4887304148</v>
      </c>
      <c r="AQ16" s="31">
        <f t="shared" si="9"/>
        <v>0</v>
      </c>
      <c r="AR16" s="30">
        <f t="shared" si="9"/>
        <v>2908151100</v>
      </c>
      <c r="AS16" s="30">
        <f t="shared" si="9"/>
        <v>4726000523</v>
      </c>
      <c r="AT16" s="30">
        <f t="shared" si="7"/>
        <v>4726000523</v>
      </c>
      <c r="AU16" s="30">
        <f t="shared" si="9"/>
        <v>21021145319.5</v>
      </c>
      <c r="AV16" s="31">
        <f t="shared" si="9"/>
        <v>0</v>
      </c>
      <c r="AW16" s="30">
        <f t="shared" si="9"/>
        <v>161303625</v>
      </c>
      <c r="AX16" s="32">
        <f t="shared" si="8"/>
        <v>0.18863746184929814</v>
      </c>
    </row>
    <row r="17" spans="1:50" ht="18.75" customHeight="1" x14ac:dyDescent="0.2">
      <c r="A17" s="27" t="s">
        <v>41</v>
      </c>
      <c r="B17" s="27" t="s">
        <v>42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8" t="s">
        <v>53</v>
      </c>
      <c r="AB17" s="29" t="s">
        <v>54</v>
      </c>
      <c r="AC17" s="30" t="s">
        <v>37</v>
      </c>
      <c r="AD17" s="30">
        <f>AD18+AD19</f>
        <v>19589756868.5</v>
      </c>
      <c r="AE17" s="31">
        <f t="shared" ref="AE17:AW17" si="10">AE18+AE19</f>
        <v>0</v>
      </c>
      <c r="AF17" s="31">
        <f t="shared" si="10"/>
        <v>0</v>
      </c>
      <c r="AG17" s="31">
        <f t="shared" si="10"/>
        <v>0</v>
      </c>
      <c r="AH17" s="31">
        <f t="shared" si="10"/>
        <v>0</v>
      </c>
      <c r="AI17" s="31">
        <f t="shared" si="10"/>
        <v>0</v>
      </c>
      <c r="AJ17" s="30">
        <f t="shared" si="10"/>
        <v>19589756868.5</v>
      </c>
      <c r="AK17" s="31">
        <f t="shared" si="10"/>
        <v>0</v>
      </c>
      <c r="AL17" s="30">
        <f t="shared" si="10"/>
        <v>1513749642</v>
      </c>
      <c r="AM17" s="30">
        <f t="shared" si="10"/>
        <v>4461989547</v>
      </c>
      <c r="AN17" s="31">
        <f t="shared" si="10"/>
        <v>0</v>
      </c>
      <c r="AO17" s="30">
        <f t="shared" si="10"/>
        <v>1513749642</v>
      </c>
      <c r="AP17" s="30">
        <f t="shared" si="10"/>
        <v>4461989547</v>
      </c>
      <c r="AQ17" s="31">
        <f t="shared" si="10"/>
        <v>0</v>
      </c>
      <c r="AR17" s="30">
        <f t="shared" si="10"/>
        <v>2844824671</v>
      </c>
      <c r="AS17" s="30">
        <f t="shared" si="10"/>
        <v>4461989547</v>
      </c>
      <c r="AT17" s="30">
        <f t="shared" si="7"/>
        <v>4461989547</v>
      </c>
      <c r="AU17" s="30">
        <f t="shared" si="10"/>
        <v>15127767321.5</v>
      </c>
      <c r="AV17" s="31">
        <f t="shared" si="10"/>
        <v>0</v>
      </c>
      <c r="AW17" s="30">
        <f t="shared" si="10"/>
        <v>0</v>
      </c>
      <c r="AX17" s="32">
        <f t="shared" si="8"/>
        <v>0.22777156332015555</v>
      </c>
    </row>
    <row r="18" spans="1:50" ht="18.75" customHeight="1" x14ac:dyDescent="0.2">
      <c r="A18" s="14" t="s">
        <v>55</v>
      </c>
      <c r="B18" s="15" t="s">
        <v>56</v>
      </c>
      <c r="C18" s="15"/>
      <c r="D18" s="15" t="s">
        <v>40</v>
      </c>
      <c r="E18" s="15"/>
      <c r="F18" s="15"/>
      <c r="G18" s="15" t="s">
        <v>41</v>
      </c>
      <c r="H18" s="15"/>
      <c r="I18" s="15" t="s">
        <v>936</v>
      </c>
      <c r="J18" s="15"/>
      <c r="K18" s="15" t="s">
        <v>932</v>
      </c>
      <c r="L18" s="15"/>
      <c r="M18" s="15" t="s">
        <v>933</v>
      </c>
      <c r="N18" s="15"/>
      <c r="O18" s="15" t="s">
        <v>938</v>
      </c>
      <c r="P18" s="15"/>
      <c r="Q18" s="15" t="s">
        <v>939</v>
      </c>
      <c r="R18" s="15"/>
      <c r="S18" s="15" t="s">
        <v>940</v>
      </c>
      <c r="T18" s="15">
        <v>0</v>
      </c>
      <c r="U18" s="15">
        <v>0</v>
      </c>
      <c r="V18" s="15">
        <v>0</v>
      </c>
      <c r="W18" s="15">
        <v>0</v>
      </c>
      <c r="X18" s="15" t="s">
        <v>937</v>
      </c>
      <c r="Y18" s="15"/>
      <c r="Z18" s="15"/>
      <c r="AA18" s="16" t="s">
        <v>57</v>
      </c>
      <c r="AB18" s="17" t="s">
        <v>54</v>
      </c>
      <c r="AC18" s="17" t="s">
        <v>58</v>
      </c>
      <c r="AD18" s="18">
        <v>18005571308.5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18">
        <v>18005571308.5</v>
      </c>
      <c r="AK18" s="34">
        <v>0</v>
      </c>
      <c r="AL18" s="18">
        <f>AM18-FEBRERO!P18</f>
        <v>1399231444</v>
      </c>
      <c r="AM18" s="18">
        <v>4127039563</v>
      </c>
      <c r="AN18" s="34">
        <v>0</v>
      </c>
      <c r="AO18" s="18">
        <v>1399231444</v>
      </c>
      <c r="AP18" s="18">
        <v>4127039563</v>
      </c>
      <c r="AQ18" s="34">
        <v>0</v>
      </c>
      <c r="AR18" s="18">
        <f>AS18-FEBRERO!V18</f>
        <v>2730306473</v>
      </c>
      <c r="AS18" s="18">
        <v>4127039563</v>
      </c>
      <c r="AT18" s="39">
        <f t="shared" si="7"/>
        <v>4127039563</v>
      </c>
      <c r="AU18" s="18">
        <f>AJ18-AM18</f>
        <v>13878531745.5</v>
      </c>
      <c r="AV18" s="34">
        <f>AM18-AP18</f>
        <v>0</v>
      </c>
      <c r="AW18" s="18">
        <f>AP18-AT18</f>
        <v>0</v>
      </c>
      <c r="AX18" s="32">
        <f t="shared" si="8"/>
        <v>0.22920903159855435</v>
      </c>
    </row>
    <row r="19" spans="1:50" ht="18.75" customHeight="1" x14ac:dyDescent="0.2">
      <c r="A19" s="14" t="s">
        <v>55</v>
      </c>
      <c r="B19" s="15" t="s">
        <v>56</v>
      </c>
      <c r="C19" s="15"/>
      <c r="D19" s="15" t="s">
        <v>40</v>
      </c>
      <c r="E19" s="15"/>
      <c r="F19" s="15"/>
      <c r="G19" s="15" t="s">
        <v>41</v>
      </c>
      <c r="H19" s="15"/>
      <c r="I19" s="15" t="s">
        <v>941</v>
      </c>
      <c r="J19" s="15"/>
      <c r="K19" s="15" t="s">
        <v>932</v>
      </c>
      <c r="L19" s="15"/>
      <c r="M19" s="15" t="s">
        <v>933</v>
      </c>
      <c r="N19" s="15"/>
      <c r="O19" s="15" t="s">
        <v>938</v>
      </c>
      <c r="P19" s="15"/>
      <c r="Q19" s="15" t="s">
        <v>939</v>
      </c>
      <c r="R19" s="15"/>
      <c r="S19" s="15" t="s">
        <v>940</v>
      </c>
      <c r="T19" s="15">
        <v>0</v>
      </c>
      <c r="U19" s="15">
        <v>0</v>
      </c>
      <c r="V19" s="15">
        <v>0</v>
      </c>
      <c r="W19" s="15">
        <v>0</v>
      </c>
      <c r="X19" s="15" t="s">
        <v>937</v>
      </c>
      <c r="Y19" s="15"/>
      <c r="Z19" s="15"/>
      <c r="AA19" s="16" t="s">
        <v>59</v>
      </c>
      <c r="AB19" s="17" t="s">
        <v>60</v>
      </c>
      <c r="AC19" s="17" t="s">
        <v>61</v>
      </c>
      <c r="AD19" s="18">
        <v>1584185560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18">
        <v>1584185560</v>
      </c>
      <c r="AK19" s="34">
        <v>0</v>
      </c>
      <c r="AL19" s="18">
        <f>AM19-FEBRERO!P19</f>
        <v>114518198</v>
      </c>
      <c r="AM19" s="18">
        <v>334949984</v>
      </c>
      <c r="AN19" s="34">
        <v>0</v>
      </c>
      <c r="AO19" s="18">
        <v>114518198</v>
      </c>
      <c r="AP19" s="18">
        <v>334949984</v>
      </c>
      <c r="AQ19" s="34">
        <v>0</v>
      </c>
      <c r="AR19" s="34">
        <f>AS19-FEBRERO!V19</f>
        <v>114518198</v>
      </c>
      <c r="AS19" s="18">
        <v>334949984</v>
      </c>
      <c r="AT19" s="39">
        <f t="shared" si="7"/>
        <v>334949984</v>
      </c>
      <c r="AU19" s="18">
        <f t="shared" ref="AU19:AU38" si="11">AJ19-AM19</f>
        <v>1249235576</v>
      </c>
      <c r="AV19" s="34">
        <f t="shared" ref="AV19:AV38" si="12">AM19-AP19</f>
        <v>0</v>
      </c>
      <c r="AW19" s="18">
        <f>AP19-AT19</f>
        <v>0</v>
      </c>
      <c r="AX19" s="32">
        <f t="shared" si="8"/>
        <v>0.21143355453890136</v>
      </c>
    </row>
    <row r="20" spans="1:50" ht="18.75" customHeight="1" x14ac:dyDescent="0.2">
      <c r="A20" s="14" t="s">
        <v>49</v>
      </c>
      <c r="B20" s="15" t="s">
        <v>50</v>
      </c>
      <c r="C20" s="15"/>
      <c r="D20" s="15" t="s">
        <v>40</v>
      </c>
      <c r="E20" s="15"/>
      <c r="F20" s="15"/>
      <c r="G20" s="15" t="s">
        <v>41</v>
      </c>
      <c r="H20" s="15"/>
      <c r="I20" s="15" t="s">
        <v>936</v>
      </c>
      <c r="J20" s="15"/>
      <c r="K20" s="15" t="s">
        <v>932</v>
      </c>
      <c r="L20" s="15"/>
      <c r="M20" s="15" t="s">
        <v>933</v>
      </c>
      <c r="N20" s="15"/>
      <c r="O20" s="15" t="s">
        <v>938</v>
      </c>
      <c r="P20" s="15"/>
      <c r="Q20" s="15" t="s">
        <v>939</v>
      </c>
      <c r="R20" s="15"/>
      <c r="S20" s="15" t="s">
        <v>940</v>
      </c>
      <c r="T20" s="15">
        <v>0</v>
      </c>
      <c r="U20" s="15">
        <v>0</v>
      </c>
      <c r="V20" s="15">
        <v>0</v>
      </c>
      <c r="W20" s="15">
        <v>0</v>
      </c>
      <c r="X20" s="15" t="s">
        <v>937</v>
      </c>
      <c r="Y20" s="15"/>
      <c r="Z20" s="15"/>
      <c r="AA20" s="16" t="s">
        <v>62</v>
      </c>
      <c r="AB20" s="17" t="s">
        <v>63</v>
      </c>
      <c r="AC20" s="17" t="s">
        <v>58</v>
      </c>
      <c r="AD20" s="18">
        <v>398412895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18">
        <v>398412895</v>
      </c>
      <c r="AK20" s="34">
        <v>0</v>
      </c>
      <c r="AL20" s="18">
        <f>AM20-FEBRERO!P20</f>
        <v>26033485</v>
      </c>
      <c r="AM20" s="18">
        <v>79541580</v>
      </c>
      <c r="AN20" s="34">
        <v>0</v>
      </c>
      <c r="AO20" s="18">
        <v>26033485</v>
      </c>
      <c r="AP20" s="18">
        <v>79541580</v>
      </c>
      <c r="AQ20" s="34">
        <v>0</v>
      </c>
      <c r="AR20" s="18">
        <f>AS20-FEBRERO!V20</f>
        <v>44619300</v>
      </c>
      <c r="AS20" s="18">
        <v>79541580</v>
      </c>
      <c r="AT20" s="39">
        <f t="shared" si="7"/>
        <v>79541580</v>
      </c>
      <c r="AU20" s="18">
        <f t="shared" si="11"/>
        <v>318871315</v>
      </c>
      <c r="AV20" s="34">
        <f t="shared" si="12"/>
        <v>0</v>
      </c>
      <c r="AW20" s="18">
        <f t="shared" ref="AW20:AW38" si="13">AP20-AT20</f>
        <v>0</v>
      </c>
      <c r="AX20" s="32">
        <f t="shared" si="8"/>
        <v>0.19964609830211444</v>
      </c>
    </row>
    <row r="21" spans="1:50" ht="18.75" customHeight="1" x14ac:dyDescent="0.2">
      <c r="A21" s="14" t="s">
        <v>49</v>
      </c>
      <c r="B21" s="15" t="s">
        <v>50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6" t="s">
        <v>64</v>
      </c>
      <c r="AB21" s="17" t="s">
        <v>65</v>
      </c>
      <c r="AC21" s="17" t="s">
        <v>58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f>AS21-[1]ENERO!U21</f>
        <v>0</v>
      </c>
      <c r="AS21" s="34">
        <v>0</v>
      </c>
      <c r="AT21" s="40">
        <f t="shared" si="7"/>
        <v>0</v>
      </c>
      <c r="AU21" s="34">
        <f t="shared" si="11"/>
        <v>0</v>
      </c>
      <c r="AV21" s="34">
        <f t="shared" si="12"/>
        <v>0</v>
      </c>
      <c r="AW21" s="34">
        <f t="shared" si="13"/>
        <v>0</v>
      </c>
      <c r="AX21" s="32">
        <v>0</v>
      </c>
    </row>
    <row r="22" spans="1:50" ht="18.75" customHeight="1" x14ac:dyDescent="0.2">
      <c r="A22" s="14" t="s">
        <v>49</v>
      </c>
      <c r="B22" s="15" t="s">
        <v>50</v>
      </c>
      <c r="C22" s="15"/>
      <c r="D22" s="15" t="s">
        <v>40</v>
      </c>
      <c r="E22" s="15"/>
      <c r="F22" s="15"/>
      <c r="G22" s="15" t="s">
        <v>41</v>
      </c>
      <c r="H22" s="15"/>
      <c r="I22" s="15" t="s">
        <v>936</v>
      </c>
      <c r="J22" s="15"/>
      <c r="K22" s="15" t="s">
        <v>932</v>
      </c>
      <c r="L22" s="15"/>
      <c r="M22" s="15" t="s">
        <v>933</v>
      </c>
      <c r="N22" s="15"/>
      <c r="O22" s="15" t="s">
        <v>938</v>
      </c>
      <c r="P22" s="15"/>
      <c r="Q22" s="15" t="s">
        <v>939</v>
      </c>
      <c r="R22" s="15"/>
      <c r="S22" s="15" t="s">
        <v>940</v>
      </c>
      <c r="T22" s="15">
        <v>0</v>
      </c>
      <c r="U22" s="15">
        <v>0</v>
      </c>
      <c r="V22" s="15">
        <v>0</v>
      </c>
      <c r="W22" s="15">
        <v>0</v>
      </c>
      <c r="X22" s="15" t="s">
        <v>937</v>
      </c>
      <c r="Y22" s="15"/>
      <c r="Z22" s="15"/>
      <c r="AA22" s="16" t="s">
        <v>66</v>
      </c>
      <c r="AB22" s="17" t="s">
        <v>67</v>
      </c>
      <c r="AC22" s="17" t="s">
        <v>58</v>
      </c>
      <c r="AD22" s="18">
        <v>13303349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18">
        <v>13303349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f>AS22-[1]ENERO!U22</f>
        <v>0</v>
      </c>
      <c r="AS22" s="34">
        <v>0</v>
      </c>
      <c r="AT22" s="40">
        <f t="shared" si="7"/>
        <v>0</v>
      </c>
      <c r="AU22" s="18">
        <f t="shared" si="11"/>
        <v>13303349</v>
      </c>
      <c r="AV22" s="34">
        <f t="shared" si="12"/>
        <v>0</v>
      </c>
      <c r="AW22" s="34">
        <f t="shared" si="13"/>
        <v>0</v>
      </c>
      <c r="AX22" s="32">
        <f t="shared" si="8"/>
        <v>0</v>
      </c>
    </row>
    <row r="23" spans="1:50" ht="18.75" customHeight="1" x14ac:dyDescent="0.2">
      <c r="A23" s="14" t="s">
        <v>49</v>
      </c>
      <c r="B23" s="15" t="s">
        <v>50</v>
      </c>
      <c r="C23" s="15"/>
      <c r="D23" s="15" t="s">
        <v>40</v>
      </c>
      <c r="E23" s="15"/>
      <c r="F23" s="15"/>
      <c r="G23" s="15" t="s">
        <v>41</v>
      </c>
      <c r="H23" s="15"/>
      <c r="I23" s="15" t="s">
        <v>936</v>
      </c>
      <c r="J23" s="15"/>
      <c r="K23" s="15" t="s">
        <v>932</v>
      </c>
      <c r="L23" s="15"/>
      <c r="M23" s="15" t="s">
        <v>933</v>
      </c>
      <c r="N23" s="15"/>
      <c r="O23" s="15" t="s">
        <v>938</v>
      </c>
      <c r="P23" s="15"/>
      <c r="Q23" s="15" t="s">
        <v>939</v>
      </c>
      <c r="R23" s="15"/>
      <c r="S23" s="15" t="s">
        <v>940</v>
      </c>
      <c r="T23" s="15">
        <v>0</v>
      </c>
      <c r="U23" s="15">
        <v>0</v>
      </c>
      <c r="V23" s="15">
        <v>0</v>
      </c>
      <c r="W23" s="15">
        <v>0</v>
      </c>
      <c r="X23" s="15" t="s">
        <v>937</v>
      </c>
      <c r="Y23" s="15"/>
      <c r="Z23" s="15"/>
      <c r="AA23" s="16" t="s">
        <v>68</v>
      </c>
      <c r="AB23" s="17" t="s">
        <v>69</v>
      </c>
      <c r="AC23" s="17" t="s">
        <v>58</v>
      </c>
      <c r="AD23" s="18">
        <v>37582851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18">
        <v>37582851</v>
      </c>
      <c r="AK23" s="34">
        <v>0</v>
      </c>
      <c r="AL23" s="18">
        <f>AM23-FEBRERO!P23</f>
        <v>2874258</v>
      </c>
      <c r="AM23" s="18">
        <v>8622774</v>
      </c>
      <c r="AN23" s="34">
        <v>0</v>
      </c>
      <c r="AO23" s="18">
        <v>2874258</v>
      </c>
      <c r="AP23" s="18">
        <v>8622774</v>
      </c>
      <c r="AQ23" s="34">
        <v>0</v>
      </c>
      <c r="AR23" s="18">
        <f>AS23-FEBRERO!V23</f>
        <v>5748516</v>
      </c>
      <c r="AS23" s="18">
        <v>8622774</v>
      </c>
      <c r="AT23" s="39">
        <f t="shared" si="7"/>
        <v>8622774</v>
      </c>
      <c r="AU23" s="18">
        <f t="shared" si="11"/>
        <v>28960077</v>
      </c>
      <c r="AV23" s="34">
        <f t="shared" si="12"/>
        <v>0</v>
      </c>
      <c r="AW23" s="18">
        <f t="shared" si="13"/>
        <v>0</v>
      </c>
      <c r="AX23" s="32">
        <f t="shared" si="8"/>
        <v>0.22943373827600252</v>
      </c>
    </row>
    <row r="24" spans="1:50" ht="18.75" customHeight="1" x14ac:dyDescent="0.2">
      <c r="A24" s="27" t="s">
        <v>49</v>
      </c>
      <c r="B24" s="27" t="s">
        <v>50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8" t="s">
        <v>70</v>
      </c>
      <c r="AB24" s="29" t="s">
        <v>71</v>
      </c>
      <c r="AC24" s="30" t="s">
        <v>37</v>
      </c>
      <c r="AD24" s="30">
        <f>AD25+AD26</f>
        <v>1845616015</v>
      </c>
      <c r="AE24" s="31">
        <f t="shared" ref="AE24:AS24" si="14">AE25+AE26</f>
        <v>0</v>
      </c>
      <c r="AF24" s="31">
        <f t="shared" si="14"/>
        <v>0</v>
      </c>
      <c r="AG24" s="31">
        <f t="shared" si="14"/>
        <v>0</v>
      </c>
      <c r="AH24" s="31">
        <f t="shared" si="14"/>
        <v>0</v>
      </c>
      <c r="AI24" s="31">
        <f t="shared" si="14"/>
        <v>0</v>
      </c>
      <c r="AJ24" s="30">
        <f t="shared" si="14"/>
        <v>1845616015</v>
      </c>
      <c r="AK24" s="31">
        <f t="shared" si="14"/>
        <v>0</v>
      </c>
      <c r="AL24" s="30">
        <f t="shared" si="14"/>
        <v>3890444</v>
      </c>
      <c r="AM24" s="30">
        <f t="shared" si="14"/>
        <v>7415431</v>
      </c>
      <c r="AN24" s="31">
        <f t="shared" si="14"/>
        <v>0</v>
      </c>
      <c r="AO24" s="30">
        <f t="shared" si="14"/>
        <v>3890444</v>
      </c>
      <c r="AP24" s="30">
        <f t="shared" si="14"/>
        <v>7415431</v>
      </c>
      <c r="AQ24" s="31">
        <f t="shared" si="14"/>
        <v>0</v>
      </c>
      <c r="AR24" s="30">
        <f t="shared" si="14"/>
        <v>1426374</v>
      </c>
      <c r="AS24" s="30">
        <f t="shared" si="14"/>
        <v>4915444</v>
      </c>
      <c r="AT24" s="30">
        <f t="shared" si="7"/>
        <v>4915444</v>
      </c>
      <c r="AU24" s="176">
        <f t="shared" si="11"/>
        <v>1838200584</v>
      </c>
      <c r="AV24" s="177">
        <f t="shared" si="12"/>
        <v>0</v>
      </c>
      <c r="AW24" s="176">
        <f t="shared" si="13"/>
        <v>2499987</v>
      </c>
      <c r="AX24" s="32">
        <f t="shared" si="8"/>
        <v>4.0178622962371725E-3</v>
      </c>
    </row>
    <row r="25" spans="1:50" ht="18.75" customHeight="1" x14ac:dyDescent="0.2">
      <c r="A25" s="14" t="s">
        <v>55</v>
      </c>
      <c r="B25" s="15" t="s">
        <v>56</v>
      </c>
      <c r="C25" s="15"/>
      <c r="D25" s="15" t="s">
        <v>40</v>
      </c>
      <c r="E25" s="15"/>
      <c r="F25" s="15"/>
      <c r="G25" s="15" t="s">
        <v>41</v>
      </c>
      <c r="H25" s="15"/>
      <c r="I25" s="15" t="s">
        <v>936</v>
      </c>
      <c r="J25" s="15"/>
      <c r="K25" s="15" t="s">
        <v>932</v>
      </c>
      <c r="L25" s="15"/>
      <c r="M25" s="15" t="s">
        <v>933</v>
      </c>
      <c r="N25" s="15"/>
      <c r="O25" s="15" t="s">
        <v>938</v>
      </c>
      <c r="P25" s="15"/>
      <c r="Q25" s="15" t="s">
        <v>939</v>
      </c>
      <c r="R25" s="15"/>
      <c r="S25" s="15" t="s">
        <v>940</v>
      </c>
      <c r="T25" s="15">
        <v>0</v>
      </c>
      <c r="U25" s="15">
        <v>0</v>
      </c>
      <c r="V25" s="15">
        <v>0</v>
      </c>
      <c r="W25" s="15">
        <v>0</v>
      </c>
      <c r="X25" s="15" t="s">
        <v>937</v>
      </c>
      <c r="Y25" s="15"/>
      <c r="Z25" s="15"/>
      <c r="AA25" s="16" t="s">
        <v>72</v>
      </c>
      <c r="AB25" s="17" t="s">
        <v>71</v>
      </c>
      <c r="AC25" s="17" t="s">
        <v>58</v>
      </c>
      <c r="AD25" s="18">
        <v>1777683059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18">
        <v>1777683059</v>
      </c>
      <c r="AK25" s="34">
        <v>0</v>
      </c>
      <c r="AL25" s="18">
        <f>AM25-FEBRERO!P25</f>
        <v>2005352</v>
      </c>
      <c r="AM25" s="18">
        <v>5530339</v>
      </c>
      <c r="AN25" s="18">
        <v>0</v>
      </c>
      <c r="AO25" s="18">
        <v>2005352</v>
      </c>
      <c r="AP25" s="18">
        <v>5530339</v>
      </c>
      <c r="AQ25" s="34">
        <v>0</v>
      </c>
      <c r="AR25" s="18">
        <v>1426374</v>
      </c>
      <c r="AS25" s="18">
        <v>4915444</v>
      </c>
      <c r="AT25" s="39">
        <f t="shared" si="7"/>
        <v>4915444</v>
      </c>
      <c r="AU25" s="18">
        <f t="shared" si="11"/>
        <v>1772152720</v>
      </c>
      <c r="AV25" s="34">
        <f t="shared" si="12"/>
        <v>0</v>
      </c>
      <c r="AW25" s="18">
        <f t="shared" si="13"/>
        <v>614895</v>
      </c>
      <c r="AX25" s="32">
        <f t="shared" si="8"/>
        <v>3.1109814384522412E-3</v>
      </c>
    </row>
    <row r="26" spans="1:50" ht="18.75" customHeight="1" x14ac:dyDescent="0.2">
      <c r="A26" s="14" t="s">
        <v>55</v>
      </c>
      <c r="B26" s="15" t="s">
        <v>56</v>
      </c>
      <c r="C26" s="15"/>
      <c r="D26" s="15" t="s">
        <v>40</v>
      </c>
      <c r="E26" s="15"/>
      <c r="F26" s="15"/>
      <c r="G26" s="15" t="s">
        <v>41</v>
      </c>
      <c r="H26" s="15"/>
      <c r="I26" s="15" t="s">
        <v>941</v>
      </c>
      <c r="J26" s="15"/>
      <c r="K26" s="15" t="s">
        <v>932</v>
      </c>
      <c r="L26" s="15"/>
      <c r="M26" s="15" t="s">
        <v>933</v>
      </c>
      <c r="N26" s="15"/>
      <c r="O26" s="15" t="s">
        <v>938</v>
      </c>
      <c r="P26" s="15"/>
      <c r="Q26" s="15" t="s">
        <v>939</v>
      </c>
      <c r="R26" s="15"/>
      <c r="S26" s="15" t="s">
        <v>940</v>
      </c>
      <c r="T26" s="15">
        <v>0</v>
      </c>
      <c r="U26" s="15">
        <v>0</v>
      </c>
      <c r="V26" s="15">
        <v>0</v>
      </c>
      <c r="W26" s="15">
        <v>0</v>
      </c>
      <c r="X26" s="15" t="s">
        <v>937</v>
      </c>
      <c r="Y26" s="15"/>
      <c r="Z26" s="15"/>
      <c r="AA26" s="16" t="s">
        <v>73</v>
      </c>
      <c r="AB26" s="17" t="s">
        <v>74</v>
      </c>
      <c r="AC26" s="17" t="s">
        <v>61</v>
      </c>
      <c r="AD26" s="18">
        <v>67932956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18">
        <v>67932956</v>
      </c>
      <c r="AK26" s="34">
        <v>0</v>
      </c>
      <c r="AL26" s="18">
        <f>AM26-FEBRERO!P26</f>
        <v>1885092</v>
      </c>
      <c r="AM26" s="18">
        <v>1885092</v>
      </c>
      <c r="AN26" s="18">
        <v>0</v>
      </c>
      <c r="AO26" s="18">
        <v>1885092</v>
      </c>
      <c r="AP26" s="18">
        <v>1885092</v>
      </c>
      <c r="AQ26" s="34">
        <v>0</v>
      </c>
      <c r="AR26" s="18">
        <v>0</v>
      </c>
      <c r="AS26" s="18">
        <v>0</v>
      </c>
      <c r="AT26" s="40">
        <f t="shared" si="7"/>
        <v>0</v>
      </c>
      <c r="AU26" s="18">
        <f t="shared" si="11"/>
        <v>66047864</v>
      </c>
      <c r="AV26" s="34">
        <f t="shared" si="12"/>
        <v>0</v>
      </c>
      <c r="AW26" s="18">
        <f t="shared" si="13"/>
        <v>1885092</v>
      </c>
      <c r="AX26" s="32">
        <f t="shared" si="8"/>
        <v>2.774930035430815E-2</v>
      </c>
    </row>
    <row r="27" spans="1:50" ht="18.75" customHeight="1" x14ac:dyDescent="0.2">
      <c r="A27" s="27" t="s">
        <v>49</v>
      </c>
      <c r="B27" s="27" t="s">
        <v>50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8" t="s">
        <v>75</v>
      </c>
      <c r="AB27" s="29" t="s">
        <v>76</v>
      </c>
      <c r="AC27" s="30" t="s">
        <v>37</v>
      </c>
      <c r="AD27" s="30">
        <f>AD28+AD29</f>
        <v>592992922</v>
      </c>
      <c r="AE27" s="31">
        <f t="shared" ref="AE27:AS27" si="15">AE28+AE29</f>
        <v>0</v>
      </c>
      <c r="AF27" s="31">
        <f t="shared" si="15"/>
        <v>0</v>
      </c>
      <c r="AG27" s="31">
        <f t="shared" si="15"/>
        <v>0</v>
      </c>
      <c r="AH27" s="31">
        <f t="shared" si="15"/>
        <v>0</v>
      </c>
      <c r="AI27" s="31">
        <f t="shared" si="15"/>
        <v>0</v>
      </c>
      <c r="AJ27" s="30">
        <f t="shared" si="15"/>
        <v>592992922</v>
      </c>
      <c r="AK27" s="31">
        <f t="shared" si="15"/>
        <v>0</v>
      </c>
      <c r="AL27" s="30">
        <f t="shared" si="15"/>
        <v>23324141</v>
      </c>
      <c r="AM27" s="30">
        <f t="shared" si="15"/>
        <v>153568599</v>
      </c>
      <c r="AN27" s="31">
        <f t="shared" si="15"/>
        <v>0</v>
      </c>
      <c r="AO27" s="30">
        <f t="shared" si="15"/>
        <v>23324141</v>
      </c>
      <c r="AP27" s="30">
        <f t="shared" si="15"/>
        <v>153568599</v>
      </c>
      <c r="AQ27" s="31">
        <f t="shared" si="15"/>
        <v>0</v>
      </c>
      <c r="AR27" s="30">
        <f t="shared" si="15"/>
        <v>1270770</v>
      </c>
      <c r="AS27" s="30">
        <f t="shared" si="15"/>
        <v>57019800</v>
      </c>
      <c r="AT27" s="30">
        <f t="shared" si="7"/>
        <v>57019800</v>
      </c>
      <c r="AU27" s="176">
        <f t="shared" si="11"/>
        <v>439424323</v>
      </c>
      <c r="AV27" s="177">
        <f t="shared" si="12"/>
        <v>0</v>
      </c>
      <c r="AW27" s="176">
        <f t="shared" si="13"/>
        <v>96548799</v>
      </c>
      <c r="AX27" s="32">
        <f t="shared" si="8"/>
        <v>0.25897206071542284</v>
      </c>
    </row>
    <row r="28" spans="1:50" ht="18.75" customHeight="1" x14ac:dyDescent="0.2">
      <c r="A28" s="14" t="s">
        <v>55</v>
      </c>
      <c r="B28" s="15" t="s">
        <v>56</v>
      </c>
      <c r="C28" s="15"/>
      <c r="D28" s="15" t="s">
        <v>40</v>
      </c>
      <c r="E28" s="15"/>
      <c r="F28" s="15"/>
      <c r="G28" s="15" t="s">
        <v>41</v>
      </c>
      <c r="H28" s="15"/>
      <c r="I28" s="15" t="s">
        <v>936</v>
      </c>
      <c r="J28" s="15"/>
      <c r="K28" s="15" t="s">
        <v>932</v>
      </c>
      <c r="L28" s="15"/>
      <c r="M28" s="15" t="s">
        <v>933</v>
      </c>
      <c r="N28" s="15"/>
      <c r="O28" s="15" t="s">
        <v>938</v>
      </c>
      <c r="P28" s="15"/>
      <c r="Q28" s="15" t="s">
        <v>939</v>
      </c>
      <c r="R28" s="15"/>
      <c r="S28" s="15" t="s">
        <v>940</v>
      </c>
      <c r="T28" s="15">
        <v>0</v>
      </c>
      <c r="U28" s="15">
        <v>0</v>
      </c>
      <c r="V28" s="15">
        <v>0</v>
      </c>
      <c r="W28" s="15">
        <v>0</v>
      </c>
      <c r="X28" s="15" t="s">
        <v>937</v>
      </c>
      <c r="Y28" s="15"/>
      <c r="Z28" s="15"/>
      <c r="AA28" s="16" t="s">
        <v>77</v>
      </c>
      <c r="AB28" s="17" t="s">
        <v>76</v>
      </c>
      <c r="AC28" s="17" t="s">
        <v>58</v>
      </c>
      <c r="AD28" s="18">
        <v>546787511</v>
      </c>
      <c r="AE28" s="34">
        <v>0</v>
      </c>
      <c r="AF28" s="34">
        <v>0</v>
      </c>
      <c r="AG28" s="34">
        <v>0</v>
      </c>
      <c r="AH28" s="34">
        <v>0</v>
      </c>
      <c r="AI28" s="34">
        <v>0</v>
      </c>
      <c r="AJ28" s="18">
        <v>546787511</v>
      </c>
      <c r="AK28" s="34">
        <v>0</v>
      </c>
      <c r="AL28" s="18">
        <v>22030054</v>
      </c>
      <c r="AM28" s="18">
        <v>151063632</v>
      </c>
      <c r="AN28" s="34">
        <v>0</v>
      </c>
      <c r="AO28" s="18">
        <v>22030054</v>
      </c>
      <c r="AP28" s="18">
        <v>151063632</v>
      </c>
      <c r="AQ28" s="34">
        <v>0</v>
      </c>
      <c r="AR28" s="18">
        <v>1270770</v>
      </c>
      <c r="AS28" s="18">
        <v>55808920</v>
      </c>
      <c r="AT28" s="39">
        <f t="shared" si="7"/>
        <v>55808920</v>
      </c>
      <c r="AU28" s="18">
        <f t="shared" si="11"/>
        <v>395723879</v>
      </c>
      <c r="AV28" s="34">
        <f t="shared" si="12"/>
        <v>0</v>
      </c>
      <c r="AW28" s="18">
        <f t="shared" si="13"/>
        <v>95254712</v>
      </c>
      <c r="AX28" s="32">
        <f t="shared" si="8"/>
        <v>0.27627483978872369</v>
      </c>
    </row>
    <row r="29" spans="1:50" ht="18.75" customHeight="1" x14ac:dyDescent="0.2">
      <c r="A29" s="14" t="s">
        <v>55</v>
      </c>
      <c r="B29" s="15" t="s">
        <v>56</v>
      </c>
      <c r="C29" s="15"/>
      <c r="D29" s="15" t="s">
        <v>40</v>
      </c>
      <c r="E29" s="15"/>
      <c r="F29" s="15"/>
      <c r="G29" s="15" t="s">
        <v>41</v>
      </c>
      <c r="H29" s="15"/>
      <c r="I29" s="15" t="s">
        <v>941</v>
      </c>
      <c r="J29" s="15"/>
      <c r="K29" s="15" t="s">
        <v>932</v>
      </c>
      <c r="L29" s="15"/>
      <c r="M29" s="15" t="s">
        <v>933</v>
      </c>
      <c r="N29" s="15"/>
      <c r="O29" s="15" t="s">
        <v>938</v>
      </c>
      <c r="P29" s="15"/>
      <c r="Q29" s="15" t="s">
        <v>939</v>
      </c>
      <c r="R29" s="15"/>
      <c r="S29" s="15" t="s">
        <v>940</v>
      </c>
      <c r="T29" s="15">
        <v>0</v>
      </c>
      <c r="U29" s="15">
        <v>0</v>
      </c>
      <c r="V29" s="15">
        <v>0</v>
      </c>
      <c r="W29" s="15">
        <v>0</v>
      </c>
      <c r="X29" s="15" t="s">
        <v>937</v>
      </c>
      <c r="Y29" s="15"/>
      <c r="Z29" s="15"/>
      <c r="AA29" s="16" t="s">
        <v>78</v>
      </c>
      <c r="AB29" s="17" t="s">
        <v>79</v>
      </c>
      <c r="AC29" s="42" t="s">
        <v>61</v>
      </c>
      <c r="AD29" s="18">
        <v>46205411</v>
      </c>
      <c r="AE29" s="34">
        <v>0</v>
      </c>
      <c r="AF29" s="34">
        <v>0</v>
      </c>
      <c r="AG29" s="34">
        <v>0</v>
      </c>
      <c r="AH29" s="34">
        <v>0</v>
      </c>
      <c r="AI29" s="34">
        <v>0</v>
      </c>
      <c r="AJ29" s="18">
        <v>46205411</v>
      </c>
      <c r="AK29" s="34">
        <v>0</v>
      </c>
      <c r="AL29" s="18">
        <v>1294087</v>
      </c>
      <c r="AM29" s="18">
        <v>2504967</v>
      </c>
      <c r="AN29" s="34">
        <v>0</v>
      </c>
      <c r="AO29" s="18">
        <v>1294087</v>
      </c>
      <c r="AP29" s="18">
        <v>2504967</v>
      </c>
      <c r="AQ29" s="34">
        <v>0</v>
      </c>
      <c r="AR29" s="18">
        <v>0</v>
      </c>
      <c r="AS29" s="18">
        <v>1210880</v>
      </c>
      <c r="AT29" s="39">
        <f t="shared" si="7"/>
        <v>1210880</v>
      </c>
      <c r="AU29" s="18">
        <f t="shared" si="11"/>
        <v>43700444</v>
      </c>
      <c r="AV29" s="34">
        <f t="shared" si="12"/>
        <v>0</v>
      </c>
      <c r="AW29" s="18">
        <f t="shared" si="13"/>
        <v>1294087</v>
      </c>
      <c r="AX29" s="32">
        <f t="shared" si="8"/>
        <v>5.4213715359008492E-2</v>
      </c>
    </row>
    <row r="30" spans="1:50" ht="18.75" customHeight="1" x14ac:dyDescent="0.2">
      <c r="A30" s="27" t="s">
        <v>49</v>
      </c>
      <c r="B30" s="27" t="s">
        <v>50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8" t="s">
        <v>80</v>
      </c>
      <c r="AB30" s="29" t="s">
        <v>81</v>
      </c>
      <c r="AC30" s="30" t="s">
        <v>37</v>
      </c>
      <c r="AD30" s="30">
        <f>AD31+AD34</f>
        <v>3301831967</v>
      </c>
      <c r="AE30" s="31">
        <f t="shared" ref="AE30:AS30" si="16">AE31+AE34</f>
        <v>0</v>
      </c>
      <c r="AF30" s="31">
        <f t="shared" si="16"/>
        <v>0</v>
      </c>
      <c r="AG30" s="31">
        <f t="shared" si="16"/>
        <v>0</v>
      </c>
      <c r="AH30" s="31">
        <f t="shared" si="16"/>
        <v>0</v>
      </c>
      <c r="AI30" s="31">
        <f t="shared" si="16"/>
        <v>0</v>
      </c>
      <c r="AJ30" s="30">
        <f t="shared" si="16"/>
        <v>3301831967</v>
      </c>
      <c r="AK30" s="31">
        <f t="shared" si="16"/>
        <v>0</v>
      </c>
      <c r="AL30" s="30">
        <f t="shared" si="16"/>
        <v>45635201</v>
      </c>
      <c r="AM30" s="30">
        <f t="shared" si="16"/>
        <v>176166217</v>
      </c>
      <c r="AN30" s="31">
        <f t="shared" si="16"/>
        <v>0</v>
      </c>
      <c r="AO30" s="30">
        <f t="shared" si="16"/>
        <v>45635201</v>
      </c>
      <c r="AP30" s="30">
        <f t="shared" si="16"/>
        <v>176166217</v>
      </c>
      <c r="AQ30" s="31">
        <f t="shared" si="16"/>
        <v>0</v>
      </c>
      <c r="AR30" s="30">
        <f t="shared" si="16"/>
        <v>10261469</v>
      </c>
      <c r="AS30" s="30">
        <f t="shared" si="16"/>
        <v>113911378</v>
      </c>
      <c r="AT30" s="39">
        <f t="shared" si="7"/>
        <v>113911378</v>
      </c>
      <c r="AU30" s="18">
        <f t="shared" si="11"/>
        <v>3125665750</v>
      </c>
      <c r="AV30" s="34">
        <f t="shared" si="12"/>
        <v>0</v>
      </c>
      <c r="AW30" s="18">
        <f t="shared" si="13"/>
        <v>62254839</v>
      </c>
      <c r="AX30" s="32">
        <f t="shared" si="8"/>
        <v>5.3354083054705612E-2</v>
      </c>
    </row>
    <row r="31" spans="1:50" ht="18.75" customHeight="1" x14ac:dyDescent="0.2">
      <c r="A31" s="27" t="s">
        <v>49</v>
      </c>
      <c r="B31" s="27" t="s">
        <v>50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8" t="s">
        <v>82</v>
      </c>
      <c r="AB31" s="29" t="s">
        <v>83</v>
      </c>
      <c r="AC31" s="30" t="s">
        <v>37</v>
      </c>
      <c r="AD31" s="30">
        <f>AD32+AD33</f>
        <v>2120123016</v>
      </c>
      <c r="AE31" s="31">
        <f t="shared" ref="AE31:AS31" si="17">AE32+AE33</f>
        <v>0</v>
      </c>
      <c r="AF31" s="31">
        <f t="shared" si="17"/>
        <v>0</v>
      </c>
      <c r="AG31" s="31">
        <f t="shared" si="17"/>
        <v>0</v>
      </c>
      <c r="AH31" s="31">
        <f t="shared" si="17"/>
        <v>0</v>
      </c>
      <c r="AI31" s="31">
        <f t="shared" si="17"/>
        <v>0</v>
      </c>
      <c r="AJ31" s="30">
        <f t="shared" si="17"/>
        <v>2120123016</v>
      </c>
      <c r="AK31" s="31">
        <f t="shared" si="17"/>
        <v>0</v>
      </c>
      <c r="AL31" s="30">
        <f t="shared" si="17"/>
        <v>8643299</v>
      </c>
      <c r="AM31" s="30">
        <f t="shared" si="17"/>
        <v>17319216</v>
      </c>
      <c r="AN31" s="31">
        <f t="shared" si="17"/>
        <v>0</v>
      </c>
      <c r="AO31" s="30">
        <f t="shared" si="17"/>
        <v>8643299</v>
      </c>
      <c r="AP31" s="30">
        <f t="shared" si="17"/>
        <v>17319216</v>
      </c>
      <c r="AQ31" s="31">
        <f t="shared" si="17"/>
        <v>0</v>
      </c>
      <c r="AR31" s="30">
        <f t="shared" si="17"/>
        <v>4214452</v>
      </c>
      <c r="AS31" s="30">
        <f t="shared" si="17"/>
        <v>12715567</v>
      </c>
      <c r="AT31" s="39">
        <f t="shared" si="7"/>
        <v>12715567</v>
      </c>
      <c r="AU31" s="18">
        <f t="shared" si="11"/>
        <v>2102803800</v>
      </c>
      <c r="AV31" s="34">
        <f t="shared" si="12"/>
        <v>0</v>
      </c>
      <c r="AW31" s="18">
        <f t="shared" si="13"/>
        <v>4603649</v>
      </c>
      <c r="AX31" s="32">
        <f t="shared" si="8"/>
        <v>8.16896749353529E-3</v>
      </c>
    </row>
    <row r="32" spans="1:50" ht="18.75" customHeight="1" x14ac:dyDescent="0.2">
      <c r="A32" s="14" t="s">
        <v>55</v>
      </c>
      <c r="B32" s="15" t="s">
        <v>56</v>
      </c>
      <c r="C32" s="15"/>
      <c r="D32" s="15" t="s">
        <v>40</v>
      </c>
      <c r="E32" s="15"/>
      <c r="F32" s="15"/>
      <c r="G32" s="15" t="s">
        <v>41</v>
      </c>
      <c r="H32" s="15"/>
      <c r="I32" s="15" t="s">
        <v>941</v>
      </c>
      <c r="J32" s="15"/>
      <c r="K32" s="15" t="s">
        <v>932</v>
      </c>
      <c r="L32" s="15"/>
      <c r="M32" s="15" t="s">
        <v>933</v>
      </c>
      <c r="N32" s="15"/>
      <c r="O32" s="15" t="s">
        <v>938</v>
      </c>
      <c r="P32" s="15"/>
      <c r="Q32" s="15" t="s">
        <v>939</v>
      </c>
      <c r="R32" s="15"/>
      <c r="S32" s="15" t="s">
        <v>940</v>
      </c>
      <c r="T32" s="15">
        <v>0</v>
      </c>
      <c r="U32" s="15">
        <v>0</v>
      </c>
      <c r="V32" s="15">
        <v>0</v>
      </c>
      <c r="W32" s="15">
        <v>0</v>
      </c>
      <c r="X32" s="15" t="s">
        <v>937</v>
      </c>
      <c r="Y32" s="15"/>
      <c r="Z32" s="15"/>
      <c r="AA32" s="16" t="s">
        <v>84</v>
      </c>
      <c r="AB32" s="17" t="s">
        <v>85</v>
      </c>
      <c r="AC32" s="17" t="s">
        <v>61</v>
      </c>
      <c r="AD32" s="18">
        <v>151225079</v>
      </c>
      <c r="AE32" s="34">
        <v>0</v>
      </c>
      <c r="AF32" s="34">
        <v>0</v>
      </c>
      <c r="AG32" s="34">
        <v>0</v>
      </c>
      <c r="AH32" s="34">
        <v>0</v>
      </c>
      <c r="AI32" s="34">
        <v>0</v>
      </c>
      <c r="AJ32" s="18">
        <v>151225079</v>
      </c>
      <c r="AK32" s="34">
        <v>0</v>
      </c>
      <c r="AL32" s="18">
        <v>1038779</v>
      </c>
      <c r="AM32" s="18">
        <v>1038779</v>
      </c>
      <c r="AN32" s="34">
        <v>0</v>
      </c>
      <c r="AO32" s="18">
        <v>1038779</v>
      </c>
      <c r="AP32" s="18">
        <v>1038779</v>
      </c>
      <c r="AQ32" s="34">
        <v>0</v>
      </c>
      <c r="AR32" s="34">
        <v>0</v>
      </c>
      <c r="AS32" s="34">
        <v>0</v>
      </c>
      <c r="AT32" s="40">
        <f t="shared" si="7"/>
        <v>0</v>
      </c>
      <c r="AU32" s="18">
        <f t="shared" si="11"/>
        <v>150186300</v>
      </c>
      <c r="AV32" s="34">
        <f t="shared" si="12"/>
        <v>0</v>
      </c>
      <c r="AW32" s="18">
        <f t="shared" si="13"/>
        <v>1038779</v>
      </c>
      <c r="AX32" s="32">
        <f t="shared" si="8"/>
        <v>6.8690921298840916E-3</v>
      </c>
    </row>
    <row r="33" spans="1:50" ht="18.75" customHeight="1" x14ac:dyDescent="0.2">
      <c r="A33" s="14" t="s">
        <v>55</v>
      </c>
      <c r="B33" s="15" t="s">
        <v>56</v>
      </c>
      <c r="C33" s="15"/>
      <c r="D33" s="15" t="s">
        <v>40</v>
      </c>
      <c r="E33" s="15"/>
      <c r="F33" s="15"/>
      <c r="G33" s="15" t="s">
        <v>41</v>
      </c>
      <c r="H33" s="15"/>
      <c r="I33" s="15" t="s">
        <v>936</v>
      </c>
      <c r="J33" s="15"/>
      <c r="K33" s="15" t="s">
        <v>932</v>
      </c>
      <c r="L33" s="15"/>
      <c r="M33" s="15" t="s">
        <v>933</v>
      </c>
      <c r="N33" s="15"/>
      <c r="O33" s="15" t="s">
        <v>938</v>
      </c>
      <c r="P33" s="15"/>
      <c r="Q33" s="15" t="s">
        <v>939</v>
      </c>
      <c r="R33" s="15"/>
      <c r="S33" s="15" t="s">
        <v>940</v>
      </c>
      <c r="T33" s="15">
        <v>0</v>
      </c>
      <c r="U33" s="15">
        <v>0</v>
      </c>
      <c r="V33" s="15">
        <v>0</v>
      </c>
      <c r="W33" s="15">
        <v>0</v>
      </c>
      <c r="X33" s="15" t="s">
        <v>937</v>
      </c>
      <c r="Y33" s="15"/>
      <c r="Z33" s="15"/>
      <c r="AA33" s="16" t="s">
        <v>86</v>
      </c>
      <c r="AB33" s="17" t="s">
        <v>83</v>
      </c>
      <c r="AC33" s="17" t="s">
        <v>58</v>
      </c>
      <c r="AD33" s="18">
        <v>1968897937</v>
      </c>
      <c r="AE33" s="34">
        <v>0</v>
      </c>
      <c r="AF33" s="34">
        <v>0</v>
      </c>
      <c r="AG33" s="34">
        <v>0</v>
      </c>
      <c r="AH33" s="34">
        <v>0</v>
      </c>
      <c r="AI33" s="34">
        <v>0</v>
      </c>
      <c r="AJ33" s="18">
        <v>1968897937</v>
      </c>
      <c r="AK33" s="34">
        <v>0</v>
      </c>
      <c r="AL33" s="18">
        <v>7604520</v>
      </c>
      <c r="AM33" s="18">
        <v>16280437</v>
      </c>
      <c r="AN33" s="34">
        <v>0</v>
      </c>
      <c r="AO33" s="18">
        <v>7604520</v>
      </c>
      <c r="AP33" s="18">
        <v>16280437</v>
      </c>
      <c r="AQ33" s="34">
        <v>0</v>
      </c>
      <c r="AR33" s="18">
        <v>4214452</v>
      </c>
      <c r="AS33" s="18">
        <v>12715567</v>
      </c>
      <c r="AT33" s="39">
        <f t="shared" si="7"/>
        <v>12715567</v>
      </c>
      <c r="AU33" s="18">
        <f t="shared" si="11"/>
        <v>1952617500</v>
      </c>
      <c r="AV33" s="34">
        <f t="shared" si="12"/>
        <v>0</v>
      </c>
      <c r="AW33" s="18">
        <f t="shared" si="13"/>
        <v>3564870</v>
      </c>
      <c r="AX33" s="32">
        <f t="shared" si="8"/>
        <v>8.2688069777788597E-3</v>
      </c>
    </row>
    <row r="34" spans="1:50" ht="18.75" customHeight="1" x14ac:dyDescent="0.2">
      <c r="A34" s="27" t="s">
        <v>49</v>
      </c>
      <c r="B34" s="27" t="s">
        <v>50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8" t="s">
        <v>87</v>
      </c>
      <c r="AB34" s="29" t="s">
        <v>88</v>
      </c>
      <c r="AC34" s="30" t="s">
        <v>37</v>
      </c>
      <c r="AD34" s="30">
        <f>AD35+AD36</f>
        <v>1181708951</v>
      </c>
      <c r="AE34" s="31">
        <f t="shared" ref="AE34:AS34" si="18">AE35+AE36</f>
        <v>0</v>
      </c>
      <c r="AF34" s="31">
        <f t="shared" si="18"/>
        <v>0</v>
      </c>
      <c r="AG34" s="31">
        <f t="shared" si="18"/>
        <v>0</v>
      </c>
      <c r="AH34" s="31">
        <f t="shared" si="18"/>
        <v>0</v>
      </c>
      <c r="AI34" s="31">
        <f t="shared" si="18"/>
        <v>0</v>
      </c>
      <c r="AJ34" s="30">
        <f t="shared" si="18"/>
        <v>1181708951</v>
      </c>
      <c r="AK34" s="31">
        <f t="shared" si="18"/>
        <v>0</v>
      </c>
      <c r="AL34" s="30">
        <f t="shared" si="18"/>
        <v>36991902</v>
      </c>
      <c r="AM34" s="30">
        <f t="shared" si="18"/>
        <v>158847001</v>
      </c>
      <c r="AN34" s="31">
        <f t="shared" si="18"/>
        <v>0</v>
      </c>
      <c r="AO34" s="30">
        <f t="shared" si="18"/>
        <v>36991902</v>
      </c>
      <c r="AP34" s="30">
        <f t="shared" si="18"/>
        <v>158847001</v>
      </c>
      <c r="AQ34" s="31">
        <f t="shared" si="18"/>
        <v>0</v>
      </c>
      <c r="AR34" s="30">
        <f t="shared" si="18"/>
        <v>6047017</v>
      </c>
      <c r="AS34" s="30">
        <f t="shared" si="18"/>
        <v>101195811</v>
      </c>
      <c r="AT34" s="30">
        <f t="shared" si="7"/>
        <v>101195811</v>
      </c>
      <c r="AU34" s="176">
        <f t="shared" si="11"/>
        <v>1022861950</v>
      </c>
      <c r="AV34" s="177">
        <f t="shared" si="12"/>
        <v>0</v>
      </c>
      <c r="AW34" s="176">
        <f t="shared" si="13"/>
        <v>57651190</v>
      </c>
      <c r="AX34" s="32">
        <f t="shared" si="8"/>
        <v>0.13442142489111095</v>
      </c>
    </row>
    <row r="35" spans="1:50" ht="18.75" customHeight="1" x14ac:dyDescent="0.2">
      <c r="A35" s="35" t="s">
        <v>55</v>
      </c>
      <c r="B35" s="36" t="s">
        <v>56</v>
      </c>
      <c r="C35" s="36"/>
      <c r="D35" s="36" t="s">
        <v>40</v>
      </c>
      <c r="E35" s="36"/>
      <c r="F35" s="36"/>
      <c r="G35" s="36" t="s">
        <v>41</v>
      </c>
      <c r="H35" s="36"/>
      <c r="I35" s="36" t="s">
        <v>936</v>
      </c>
      <c r="J35" s="36"/>
      <c r="K35" s="36" t="s">
        <v>932</v>
      </c>
      <c r="L35" s="36"/>
      <c r="M35" s="36" t="s">
        <v>933</v>
      </c>
      <c r="N35" s="36"/>
      <c r="O35" s="36" t="s">
        <v>938</v>
      </c>
      <c r="P35" s="36"/>
      <c r="Q35" s="36" t="s">
        <v>939</v>
      </c>
      <c r="R35" s="36"/>
      <c r="S35" s="36" t="s">
        <v>940</v>
      </c>
      <c r="T35" s="36">
        <v>0</v>
      </c>
      <c r="U35" s="36">
        <v>0</v>
      </c>
      <c r="V35" s="36">
        <v>0</v>
      </c>
      <c r="W35" s="36">
        <v>0</v>
      </c>
      <c r="X35" s="36" t="s">
        <v>937</v>
      </c>
      <c r="Y35" s="36"/>
      <c r="Z35" s="36"/>
      <c r="AA35" s="37" t="s">
        <v>89</v>
      </c>
      <c r="AB35" s="38" t="s">
        <v>88</v>
      </c>
      <c r="AC35" s="38" t="s">
        <v>58</v>
      </c>
      <c r="AD35" s="39">
        <v>1110945455</v>
      </c>
      <c r="AE35" s="40">
        <v>0</v>
      </c>
      <c r="AF35" s="40">
        <v>0</v>
      </c>
      <c r="AG35" s="40">
        <v>0</v>
      </c>
      <c r="AH35" s="40">
        <v>0</v>
      </c>
      <c r="AI35" s="40">
        <v>0</v>
      </c>
      <c r="AJ35" s="39">
        <v>1110945455</v>
      </c>
      <c r="AK35" s="40">
        <v>0</v>
      </c>
      <c r="AL35" s="39">
        <v>34671912</v>
      </c>
      <c r="AM35" s="39">
        <v>156527011</v>
      </c>
      <c r="AN35" s="40">
        <v>0</v>
      </c>
      <c r="AO35" s="39">
        <v>34671912</v>
      </c>
      <c r="AP35" s="39">
        <v>156527011</v>
      </c>
      <c r="AQ35" s="40">
        <v>0</v>
      </c>
      <c r="AR35" s="39">
        <v>6047017</v>
      </c>
      <c r="AS35" s="39">
        <v>101195811</v>
      </c>
      <c r="AT35" s="39">
        <f t="shared" si="7"/>
        <v>101195811</v>
      </c>
      <c r="AU35" s="18">
        <f t="shared" si="11"/>
        <v>954418444</v>
      </c>
      <c r="AV35" s="34">
        <f t="shared" si="12"/>
        <v>0</v>
      </c>
      <c r="AW35" s="18">
        <f t="shared" si="13"/>
        <v>55331200</v>
      </c>
      <c r="AX35" s="32">
        <f t="shared" si="8"/>
        <v>0.14089531605311803</v>
      </c>
    </row>
    <row r="36" spans="1:50" ht="18.75" customHeight="1" x14ac:dyDescent="0.2">
      <c r="A36" s="14" t="s">
        <v>55</v>
      </c>
      <c r="B36" s="15" t="s">
        <v>56</v>
      </c>
      <c r="C36" s="15"/>
      <c r="D36" s="15" t="s">
        <v>40</v>
      </c>
      <c r="E36" s="15"/>
      <c r="F36" s="15"/>
      <c r="G36" s="15" t="s">
        <v>41</v>
      </c>
      <c r="H36" s="15"/>
      <c r="I36" s="15" t="s">
        <v>941</v>
      </c>
      <c r="J36" s="15"/>
      <c r="K36" s="15" t="s">
        <v>932</v>
      </c>
      <c r="L36" s="15"/>
      <c r="M36" s="15" t="s">
        <v>933</v>
      </c>
      <c r="N36" s="15"/>
      <c r="O36" s="15" t="s">
        <v>938</v>
      </c>
      <c r="P36" s="15"/>
      <c r="Q36" s="15" t="s">
        <v>939</v>
      </c>
      <c r="R36" s="15"/>
      <c r="S36" s="15" t="s">
        <v>940</v>
      </c>
      <c r="T36" s="15">
        <v>0</v>
      </c>
      <c r="U36" s="15">
        <v>0</v>
      </c>
      <c r="V36" s="15">
        <v>0</v>
      </c>
      <c r="W36" s="15">
        <v>0</v>
      </c>
      <c r="X36" s="15" t="s">
        <v>937</v>
      </c>
      <c r="Y36" s="15"/>
      <c r="Z36" s="15"/>
      <c r="AA36" s="16" t="s">
        <v>90</v>
      </c>
      <c r="AB36" s="17" t="s">
        <v>91</v>
      </c>
      <c r="AC36" s="17" t="s">
        <v>61</v>
      </c>
      <c r="AD36" s="18">
        <v>70763496</v>
      </c>
      <c r="AE36" s="34">
        <v>0</v>
      </c>
      <c r="AF36" s="34">
        <v>0</v>
      </c>
      <c r="AG36" s="34">
        <v>0</v>
      </c>
      <c r="AH36" s="34">
        <v>0</v>
      </c>
      <c r="AI36" s="34">
        <v>0</v>
      </c>
      <c r="AJ36" s="18">
        <v>70763496</v>
      </c>
      <c r="AK36" s="34">
        <v>0</v>
      </c>
      <c r="AL36" s="18">
        <v>2319990</v>
      </c>
      <c r="AM36" s="18">
        <v>2319990</v>
      </c>
      <c r="AN36" s="34">
        <v>0</v>
      </c>
      <c r="AO36" s="18">
        <v>2319990</v>
      </c>
      <c r="AP36" s="18">
        <v>2319990</v>
      </c>
      <c r="AQ36" s="34">
        <v>0</v>
      </c>
      <c r="AR36" s="34">
        <v>0</v>
      </c>
      <c r="AS36" s="34">
        <v>0</v>
      </c>
      <c r="AT36" s="40">
        <f t="shared" si="7"/>
        <v>0</v>
      </c>
      <c r="AU36" s="18">
        <f t="shared" si="11"/>
        <v>68443506</v>
      </c>
      <c r="AV36" s="34">
        <f t="shared" si="12"/>
        <v>0</v>
      </c>
      <c r="AW36" s="18">
        <f t="shared" si="13"/>
        <v>2319990</v>
      </c>
      <c r="AX36" s="32">
        <f t="shared" si="8"/>
        <v>3.2785124126710752E-2</v>
      </c>
    </row>
    <row r="37" spans="1:50" ht="18.75" customHeight="1" x14ac:dyDescent="0.2">
      <c r="A37" s="14" t="s">
        <v>49</v>
      </c>
      <c r="B37" s="15" t="s">
        <v>50</v>
      </c>
      <c r="C37" s="15"/>
      <c r="D37" s="15" t="s">
        <v>40</v>
      </c>
      <c r="E37" s="15"/>
      <c r="F37" s="15"/>
      <c r="G37" s="15" t="s">
        <v>41</v>
      </c>
      <c r="H37" s="15"/>
      <c r="I37" s="15" t="s">
        <v>936</v>
      </c>
      <c r="J37" s="15"/>
      <c r="K37" s="15" t="s">
        <v>932</v>
      </c>
      <c r="L37" s="15"/>
      <c r="M37" s="15" t="s">
        <v>933</v>
      </c>
      <c r="N37" s="15"/>
      <c r="O37" s="15" t="s">
        <v>938</v>
      </c>
      <c r="P37" s="15"/>
      <c r="Q37" s="15" t="s">
        <v>939</v>
      </c>
      <c r="R37" s="15"/>
      <c r="S37" s="15" t="s">
        <v>940</v>
      </c>
      <c r="T37" s="15">
        <v>0</v>
      </c>
      <c r="U37" s="15">
        <v>0</v>
      </c>
      <c r="V37" s="15">
        <v>0</v>
      </c>
      <c r="W37" s="15">
        <v>0</v>
      </c>
      <c r="X37" s="15" t="s">
        <v>937</v>
      </c>
      <c r="Y37" s="15"/>
      <c r="Z37" s="15"/>
      <c r="AA37" s="16" t="s">
        <v>92</v>
      </c>
      <c r="AB37" s="17" t="s">
        <v>93</v>
      </c>
      <c r="AC37" s="17" t="s">
        <v>58</v>
      </c>
      <c r="AD37" s="18">
        <v>128952600</v>
      </c>
      <c r="AE37" s="34">
        <v>0</v>
      </c>
      <c r="AF37" s="34">
        <v>0</v>
      </c>
      <c r="AG37" s="34">
        <v>0</v>
      </c>
      <c r="AH37" s="34">
        <v>0</v>
      </c>
      <c r="AI37" s="34">
        <v>0</v>
      </c>
      <c r="AJ37" s="18">
        <v>128952600</v>
      </c>
      <c r="AK37" s="34">
        <v>0</v>
      </c>
      <c r="AL37" s="34">
        <v>0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40">
        <f t="shared" si="7"/>
        <v>0</v>
      </c>
      <c r="AU37" s="18">
        <f t="shared" si="11"/>
        <v>128952600</v>
      </c>
      <c r="AV37" s="34">
        <f t="shared" si="12"/>
        <v>0</v>
      </c>
      <c r="AW37" s="34">
        <f t="shared" si="13"/>
        <v>0</v>
      </c>
      <c r="AX37" s="32">
        <f t="shared" si="8"/>
        <v>0</v>
      </c>
    </row>
    <row r="38" spans="1:50" ht="18.75" customHeight="1" x14ac:dyDescent="0.2">
      <c r="A38" s="35" t="s">
        <v>49</v>
      </c>
      <c r="B38" s="36" t="s">
        <v>50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7" t="s">
        <v>94</v>
      </c>
      <c r="AB38" s="38" t="s">
        <v>95</v>
      </c>
      <c r="AC38" s="38" t="s">
        <v>56</v>
      </c>
      <c r="AD38" s="40">
        <v>0</v>
      </c>
      <c r="AE38" s="40">
        <v>0</v>
      </c>
      <c r="AF38" s="40">
        <v>0</v>
      </c>
      <c r="AG38" s="40">
        <v>0</v>
      </c>
      <c r="AH38" s="40">
        <v>0</v>
      </c>
      <c r="AI38" s="40">
        <v>0</v>
      </c>
      <c r="AJ38" s="40">
        <v>0</v>
      </c>
      <c r="AK38" s="40">
        <v>0</v>
      </c>
      <c r="AL38" s="40"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0</v>
      </c>
      <c r="AT38" s="40">
        <f t="shared" si="7"/>
        <v>0</v>
      </c>
      <c r="AU38" s="34">
        <f t="shared" si="11"/>
        <v>0</v>
      </c>
      <c r="AV38" s="34">
        <f t="shared" si="12"/>
        <v>0</v>
      </c>
      <c r="AW38" s="34">
        <f t="shared" si="13"/>
        <v>0</v>
      </c>
      <c r="AX38" s="32">
        <v>0</v>
      </c>
    </row>
    <row r="39" spans="1:50" s="25" customFormat="1" ht="18.75" customHeight="1" x14ac:dyDescent="0.2">
      <c r="A39" s="19" t="s">
        <v>49</v>
      </c>
      <c r="B39" s="19" t="s">
        <v>50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26" t="s">
        <v>96</v>
      </c>
      <c r="AB39" s="21" t="s">
        <v>97</v>
      </c>
      <c r="AC39" s="22" t="s">
        <v>37</v>
      </c>
      <c r="AD39" s="22">
        <f>AD40</f>
        <v>23412454</v>
      </c>
      <c r="AE39" s="23">
        <f t="shared" ref="AE39:AW40" si="19">AE40</f>
        <v>0</v>
      </c>
      <c r="AF39" s="23">
        <f t="shared" si="19"/>
        <v>0</v>
      </c>
      <c r="AG39" s="23">
        <f t="shared" si="19"/>
        <v>0</v>
      </c>
      <c r="AH39" s="23">
        <f t="shared" si="19"/>
        <v>0</v>
      </c>
      <c r="AI39" s="23">
        <f t="shared" si="19"/>
        <v>0</v>
      </c>
      <c r="AJ39" s="22">
        <f t="shared" si="19"/>
        <v>23412454</v>
      </c>
      <c r="AK39" s="23">
        <f t="shared" si="19"/>
        <v>0</v>
      </c>
      <c r="AL39" s="23">
        <f t="shared" si="19"/>
        <v>0</v>
      </c>
      <c r="AM39" s="23">
        <f t="shared" si="19"/>
        <v>0</v>
      </c>
      <c r="AN39" s="23">
        <f t="shared" si="19"/>
        <v>0</v>
      </c>
      <c r="AO39" s="23">
        <f t="shared" si="19"/>
        <v>0</v>
      </c>
      <c r="AP39" s="23">
        <f t="shared" si="19"/>
        <v>0</v>
      </c>
      <c r="AQ39" s="23">
        <f t="shared" si="19"/>
        <v>0</v>
      </c>
      <c r="AR39" s="23">
        <f t="shared" si="19"/>
        <v>0</v>
      </c>
      <c r="AS39" s="23">
        <f t="shared" si="19"/>
        <v>0</v>
      </c>
      <c r="AT39" s="23">
        <f>AQ39+AS39</f>
        <v>0</v>
      </c>
      <c r="AU39" s="22">
        <f t="shared" si="19"/>
        <v>23412454</v>
      </c>
      <c r="AV39" s="23">
        <f t="shared" si="19"/>
        <v>0</v>
      </c>
      <c r="AW39" s="23">
        <f t="shared" si="19"/>
        <v>0</v>
      </c>
      <c r="AX39" s="24">
        <f t="shared" si="8"/>
        <v>0</v>
      </c>
    </row>
    <row r="40" spans="1:50" ht="18.75" customHeight="1" x14ac:dyDescent="0.2">
      <c r="A40" s="27" t="s">
        <v>55</v>
      </c>
      <c r="B40" s="27" t="s">
        <v>56</v>
      </c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8" t="s">
        <v>98</v>
      </c>
      <c r="AB40" s="29" t="s">
        <v>99</v>
      </c>
      <c r="AC40" s="30" t="s">
        <v>37</v>
      </c>
      <c r="AD40" s="30">
        <f>AD41</f>
        <v>23412454</v>
      </c>
      <c r="AE40" s="31">
        <f t="shared" si="19"/>
        <v>0</v>
      </c>
      <c r="AF40" s="31">
        <f t="shared" si="19"/>
        <v>0</v>
      </c>
      <c r="AG40" s="31">
        <f t="shared" si="19"/>
        <v>0</v>
      </c>
      <c r="AH40" s="31">
        <f t="shared" si="19"/>
        <v>0</v>
      </c>
      <c r="AI40" s="31">
        <f t="shared" si="19"/>
        <v>0</v>
      </c>
      <c r="AJ40" s="30">
        <f t="shared" si="19"/>
        <v>23412454</v>
      </c>
      <c r="AK40" s="31">
        <f t="shared" si="19"/>
        <v>0</v>
      </c>
      <c r="AL40" s="31">
        <f t="shared" si="19"/>
        <v>0</v>
      </c>
      <c r="AM40" s="31">
        <f t="shared" si="19"/>
        <v>0</v>
      </c>
      <c r="AN40" s="31">
        <f t="shared" si="19"/>
        <v>0</v>
      </c>
      <c r="AO40" s="31">
        <f t="shared" si="19"/>
        <v>0</v>
      </c>
      <c r="AP40" s="31">
        <f t="shared" si="19"/>
        <v>0</v>
      </c>
      <c r="AQ40" s="31">
        <f t="shared" si="19"/>
        <v>0</v>
      </c>
      <c r="AR40" s="31">
        <f t="shared" si="19"/>
        <v>0</v>
      </c>
      <c r="AS40" s="31">
        <f t="shared" si="19"/>
        <v>0</v>
      </c>
      <c r="AT40" s="31">
        <f t="shared" ref="AT40:AT41" si="20">AQ40+AS40</f>
        <v>0</v>
      </c>
      <c r="AU40" s="18">
        <f t="shared" ref="AU40:AU41" si="21">AJ40-AM40</f>
        <v>23412454</v>
      </c>
      <c r="AV40" s="34">
        <f t="shared" ref="AV40:AV41" si="22">AM40-AP40</f>
        <v>0</v>
      </c>
      <c r="AW40" s="34">
        <f t="shared" ref="AW40:AW41" si="23">AP40-AT40</f>
        <v>0</v>
      </c>
      <c r="AX40" s="32">
        <f t="shared" si="8"/>
        <v>0</v>
      </c>
    </row>
    <row r="41" spans="1:50" ht="18.75" customHeight="1" x14ac:dyDescent="0.2">
      <c r="A41" s="14" t="s">
        <v>55</v>
      </c>
      <c r="B41" s="15" t="s">
        <v>56</v>
      </c>
      <c r="C41" s="15"/>
      <c r="D41" s="15" t="s">
        <v>40</v>
      </c>
      <c r="E41" s="15"/>
      <c r="F41" s="15"/>
      <c r="G41" s="15" t="s">
        <v>41</v>
      </c>
      <c r="H41" s="15"/>
      <c r="I41" s="15" t="s">
        <v>936</v>
      </c>
      <c r="J41" s="15"/>
      <c r="K41" s="15" t="s">
        <v>932</v>
      </c>
      <c r="L41" s="15"/>
      <c r="M41" s="15" t="s">
        <v>933</v>
      </c>
      <c r="N41" s="15"/>
      <c r="O41" s="15" t="s">
        <v>938</v>
      </c>
      <c r="P41" s="15"/>
      <c r="Q41" s="15" t="s">
        <v>939</v>
      </c>
      <c r="R41" s="15"/>
      <c r="S41" s="15" t="s">
        <v>940</v>
      </c>
      <c r="T41" s="15">
        <v>0</v>
      </c>
      <c r="U41" s="15">
        <v>0</v>
      </c>
      <c r="V41" s="15">
        <v>0</v>
      </c>
      <c r="W41" s="15">
        <v>0</v>
      </c>
      <c r="X41" s="15" t="s">
        <v>937</v>
      </c>
      <c r="Y41" s="15"/>
      <c r="Z41" s="15"/>
      <c r="AA41" s="16" t="s">
        <v>100</v>
      </c>
      <c r="AB41" s="17" t="s">
        <v>101</v>
      </c>
      <c r="AC41" s="17" t="s">
        <v>58</v>
      </c>
      <c r="AD41" s="18">
        <v>23412454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18">
        <v>23412454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1">
        <f t="shared" si="20"/>
        <v>0</v>
      </c>
      <c r="AU41" s="18">
        <f t="shared" si="21"/>
        <v>23412454</v>
      </c>
      <c r="AV41" s="34">
        <f t="shared" si="22"/>
        <v>0</v>
      </c>
      <c r="AW41" s="34">
        <f t="shared" si="23"/>
        <v>0</v>
      </c>
      <c r="AX41" s="32">
        <f t="shared" si="8"/>
        <v>0</v>
      </c>
    </row>
    <row r="42" spans="1:50" s="25" customFormat="1" ht="18.75" customHeight="1" x14ac:dyDescent="0.2">
      <c r="A42" s="19" t="s">
        <v>49</v>
      </c>
      <c r="B42" s="19" t="s">
        <v>50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6" t="s">
        <v>102</v>
      </c>
      <c r="AB42" s="21" t="s">
        <v>103</v>
      </c>
      <c r="AC42" s="22" t="s">
        <v>37</v>
      </c>
      <c r="AD42" s="22">
        <f>AD43+AD46+AD49+AD52+AD55+AD58+AD61+AD64+AD67</f>
        <v>9938807657</v>
      </c>
      <c r="AE42" s="23">
        <f t="shared" ref="AE42:AW42" si="24">AE43+AE46+AE49+AE52+AE55+AE58+AE61+AE64+AE67</f>
        <v>0</v>
      </c>
      <c r="AF42" s="23">
        <f t="shared" si="24"/>
        <v>0</v>
      </c>
      <c r="AG42" s="23">
        <f t="shared" si="24"/>
        <v>0</v>
      </c>
      <c r="AH42" s="23">
        <f t="shared" si="24"/>
        <v>0</v>
      </c>
      <c r="AI42" s="23">
        <f t="shared" si="24"/>
        <v>0</v>
      </c>
      <c r="AJ42" s="22">
        <f t="shared" si="24"/>
        <v>9938807657</v>
      </c>
      <c r="AK42" s="22">
        <f t="shared" si="24"/>
        <v>495201660</v>
      </c>
      <c r="AL42" s="22">
        <f t="shared" si="24"/>
        <v>552397444</v>
      </c>
      <c r="AM42" s="22">
        <f t="shared" si="24"/>
        <v>2265690497</v>
      </c>
      <c r="AN42" s="23">
        <f t="shared" si="24"/>
        <v>0</v>
      </c>
      <c r="AO42" s="22">
        <f t="shared" si="24"/>
        <v>552243144</v>
      </c>
      <c r="AP42" s="22">
        <f t="shared" si="24"/>
        <v>2265536197</v>
      </c>
      <c r="AQ42" s="22">
        <f t="shared" si="24"/>
        <v>36302368</v>
      </c>
      <c r="AR42" s="22">
        <f t="shared" si="24"/>
        <v>536331417</v>
      </c>
      <c r="AS42" s="22">
        <f t="shared" si="24"/>
        <v>2065193747</v>
      </c>
      <c r="AT42" s="22">
        <f>AQ42+AS42</f>
        <v>2101496115</v>
      </c>
      <c r="AU42" s="22">
        <f t="shared" si="24"/>
        <v>7673117160</v>
      </c>
      <c r="AV42" s="22">
        <f t="shared" si="24"/>
        <v>154300</v>
      </c>
      <c r="AW42" s="22">
        <f t="shared" si="24"/>
        <v>164040082</v>
      </c>
      <c r="AX42" s="24">
        <f t="shared" si="8"/>
        <v>0.22794848991814029</v>
      </c>
    </row>
    <row r="43" spans="1:50" ht="18.75" customHeight="1" x14ac:dyDescent="0.2">
      <c r="A43" s="27" t="s">
        <v>49</v>
      </c>
      <c r="B43" s="27" t="s">
        <v>50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8" t="s">
        <v>104</v>
      </c>
      <c r="AB43" s="29" t="s">
        <v>105</v>
      </c>
      <c r="AC43" s="30" t="s">
        <v>37</v>
      </c>
      <c r="AD43" s="30">
        <f>AD44+AD45</f>
        <v>2694944550</v>
      </c>
      <c r="AE43" s="31">
        <f t="shared" ref="AE43:AS43" si="25">AE44+AE45</f>
        <v>0</v>
      </c>
      <c r="AF43" s="31">
        <f t="shared" si="25"/>
        <v>0</v>
      </c>
      <c r="AG43" s="31">
        <f t="shared" si="25"/>
        <v>0</v>
      </c>
      <c r="AH43" s="31">
        <f t="shared" si="25"/>
        <v>0</v>
      </c>
      <c r="AI43" s="31">
        <f t="shared" si="25"/>
        <v>0</v>
      </c>
      <c r="AJ43" s="30">
        <f t="shared" si="25"/>
        <v>2694944550</v>
      </c>
      <c r="AK43" s="30">
        <f t="shared" si="25"/>
        <v>178209200</v>
      </c>
      <c r="AL43" s="30">
        <f t="shared" si="25"/>
        <v>190927800</v>
      </c>
      <c r="AM43" s="30">
        <f t="shared" si="25"/>
        <v>396260800</v>
      </c>
      <c r="AN43" s="31">
        <f t="shared" si="25"/>
        <v>0</v>
      </c>
      <c r="AO43" s="30">
        <f t="shared" si="25"/>
        <v>190841200</v>
      </c>
      <c r="AP43" s="30">
        <f t="shared" si="25"/>
        <v>396174200</v>
      </c>
      <c r="AQ43" s="30">
        <f t="shared" si="25"/>
        <v>13897900</v>
      </c>
      <c r="AR43" s="31">
        <f t="shared" si="25"/>
        <v>190752700</v>
      </c>
      <c r="AS43" s="30">
        <f t="shared" si="25"/>
        <v>382276300</v>
      </c>
      <c r="AT43" s="30">
        <f t="shared" ref="AT43:AT69" si="26">AQ43+AS43</f>
        <v>396174200</v>
      </c>
      <c r="AU43" s="18">
        <f t="shared" ref="AU43:AU69" si="27">AJ43-AM43</f>
        <v>2298683750</v>
      </c>
      <c r="AV43" s="18">
        <f t="shared" ref="AV43:AV69" si="28">AM43-AP43</f>
        <v>86600</v>
      </c>
      <c r="AW43" s="34">
        <f t="shared" ref="AW43:AW69" si="29">AP43-AT43</f>
        <v>0</v>
      </c>
      <c r="AX43" s="32">
        <f t="shared" si="8"/>
        <v>0.14700643840705369</v>
      </c>
    </row>
    <row r="44" spans="1:50" ht="18.75" customHeight="1" x14ac:dyDescent="0.2">
      <c r="A44" s="14" t="s">
        <v>55</v>
      </c>
      <c r="B44" s="15" t="s">
        <v>56</v>
      </c>
      <c r="C44" s="15"/>
      <c r="D44" s="15" t="s">
        <v>40</v>
      </c>
      <c r="E44" s="15"/>
      <c r="F44" s="15"/>
      <c r="G44" s="15" t="s">
        <v>41</v>
      </c>
      <c r="H44" s="15"/>
      <c r="I44" s="15" t="s">
        <v>936</v>
      </c>
      <c r="J44" s="15"/>
      <c r="K44" s="15" t="s">
        <v>932</v>
      </c>
      <c r="L44" s="15"/>
      <c r="M44" s="15" t="s">
        <v>933</v>
      </c>
      <c r="N44" s="15"/>
      <c r="O44" s="15" t="s">
        <v>938</v>
      </c>
      <c r="P44" s="15"/>
      <c r="Q44" s="15" t="s">
        <v>939</v>
      </c>
      <c r="R44" s="15"/>
      <c r="S44" s="15" t="s">
        <v>940</v>
      </c>
      <c r="T44" s="15">
        <v>0</v>
      </c>
      <c r="U44" s="15">
        <v>0</v>
      </c>
      <c r="V44" s="15">
        <v>0</v>
      </c>
      <c r="W44" s="15">
        <v>0</v>
      </c>
      <c r="X44" s="15" t="s">
        <v>937</v>
      </c>
      <c r="Y44" s="15"/>
      <c r="Z44" s="15"/>
      <c r="AA44" s="16" t="s">
        <v>106</v>
      </c>
      <c r="AB44" s="17" t="s">
        <v>105</v>
      </c>
      <c r="AC44" s="17" t="s">
        <v>58</v>
      </c>
      <c r="AD44" s="18">
        <v>2434081998</v>
      </c>
      <c r="AE44" s="34">
        <v>0</v>
      </c>
      <c r="AF44" s="34">
        <v>0</v>
      </c>
      <c r="AG44" s="34">
        <v>0</v>
      </c>
      <c r="AH44" s="34">
        <v>0</v>
      </c>
      <c r="AI44" s="34">
        <v>0</v>
      </c>
      <c r="AJ44" s="18">
        <v>2434081998</v>
      </c>
      <c r="AK44" s="18">
        <v>178209200</v>
      </c>
      <c r="AL44" s="18">
        <v>176943300</v>
      </c>
      <c r="AM44" s="18">
        <v>355678300</v>
      </c>
      <c r="AN44" s="18">
        <v>0</v>
      </c>
      <c r="AO44" s="18">
        <v>176943300</v>
      </c>
      <c r="AP44" s="18">
        <v>355678300</v>
      </c>
      <c r="AQ44" s="18">
        <v>0</v>
      </c>
      <c r="AR44" s="18">
        <v>176943300</v>
      </c>
      <c r="AS44" s="18">
        <v>355678300</v>
      </c>
      <c r="AT44" s="30">
        <f t="shared" si="26"/>
        <v>355678300</v>
      </c>
      <c r="AU44" s="18">
        <f t="shared" si="27"/>
        <v>2078403698</v>
      </c>
      <c r="AV44" s="18">
        <f t="shared" si="28"/>
        <v>0</v>
      </c>
      <c r="AW44" s="34">
        <f t="shared" si="29"/>
        <v>0</v>
      </c>
      <c r="AX44" s="32">
        <f t="shared" si="8"/>
        <v>0.14612420628896167</v>
      </c>
    </row>
    <row r="45" spans="1:50" ht="27" customHeight="1" x14ac:dyDescent="0.2">
      <c r="A45" s="14" t="s">
        <v>55</v>
      </c>
      <c r="B45" s="15" t="s">
        <v>56</v>
      </c>
      <c r="C45" s="15"/>
      <c r="D45" s="15" t="s">
        <v>40</v>
      </c>
      <c r="E45" s="15"/>
      <c r="F45" s="15"/>
      <c r="G45" s="15" t="s">
        <v>41</v>
      </c>
      <c r="H45" s="15"/>
      <c r="I45" s="15" t="s">
        <v>941</v>
      </c>
      <c r="J45" s="15"/>
      <c r="K45" s="15" t="s">
        <v>932</v>
      </c>
      <c r="L45" s="15"/>
      <c r="M45" s="15" t="s">
        <v>933</v>
      </c>
      <c r="N45" s="15"/>
      <c r="O45" s="15" t="s">
        <v>938</v>
      </c>
      <c r="P45" s="15"/>
      <c r="Q45" s="15" t="s">
        <v>939</v>
      </c>
      <c r="R45" s="15"/>
      <c r="S45" s="15" t="s">
        <v>940</v>
      </c>
      <c r="T45" s="15">
        <v>0</v>
      </c>
      <c r="U45" s="15">
        <v>0</v>
      </c>
      <c r="V45" s="15">
        <v>0</v>
      </c>
      <c r="W45" s="15">
        <v>0</v>
      </c>
      <c r="X45" s="15" t="s">
        <v>937</v>
      </c>
      <c r="Y45" s="15"/>
      <c r="Z45" s="15"/>
      <c r="AA45" s="16" t="s">
        <v>107</v>
      </c>
      <c r="AB45" s="17" t="s">
        <v>108</v>
      </c>
      <c r="AC45" s="17" t="s">
        <v>61</v>
      </c>
      <c r="AD45" s="18">
        <v>260862552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18">
        <v>260862552</v>
      </c>
      <c r="AK45" s="18">
        <v>0</v>
      </c>
      <c r="AL45" s="18">
        <v>13984500</v>
      </c>
      <c r="AM45" s="18">
        <v>40582500</v>
      </c>
      <c r="AN45" s="18">
        <v>0</v>
      </c>
      <c r="AO45" s="18">
        <v>13897900</v>
      </c>
      <c r="AP45" s="18">
        <v>40495900</v>
      </c>
      <c r="AQ45" s="18">
        <v>13897900</v>
      </c>
      <c r="AR45" s="18">
        <v>13809400</v>
      </c>
      <c r="AS45" s="18">
        <v>26598000</v>
      </c>
      <c r="AT45" s="30">
        <f t="shared" si="26"/>
        <v>40495900</v>
      </c>
      <c r="AU45" s="18">
        <f t="shared" si="27"/>
        <v>220280052</v>
      </c>
      <c r="AV45" s="18">
        <f t="shared" si="28"/>
        <v>86600</v>
      </c>
      <c r="AW45" s="34">
        <f t="shared" si="29"/>
        <v>0</v>
      </c>
      <c r="AX45" s="32">
        <f t="shared" si="8"/>
        <v>0.15523845676400497</v>
      </c>
    </row>
    <row r="46" spans="1:50" ht="18.75" customHeight="1" x14ac:dyDescent="0.2">
      <c r="A46" s="27" t="s">
        <v>49</v>
      </c>
      <c r="B46" s="27" t="s">
        <v>50</v>
      </c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8" t="s">
        <v>109</v>
      </c>
      <c r="AB46" s="29" t="s">
        <v>110</v>
      </c>
      <c r="AC46" s="30" t="s">
        <v>37</v>
      </c>
      <c r="AD46" s="30">
        <f>AD47+AD48</f>
        <v>1966170915</v>
      </c>
      <c r="AE46" s="31">
        <f t="shared" ref="AE46:AS46" si="30">AE47+AE48</f>
        <v>0</v>
      </c>
      <c r="AF46" s="31">
        <f t="shared" si="30"/>
        <v>0</v>
      </c>
      <c r="AG46" s="31">
        <f t="shared" si="30"/>
        <v>0</v>
      </c>
      <c r="AH46" s="31">
        <f t="shared" si="30"/>
        <v>0</v>
      </c>
      <c r="AI46" s="31">
        <f t="shared" si="30"/>
        <v>0</v>
      </c>
      <c r="AJ46" s="30">
        <f t="shared" si="30"/>
        <v>1966170915</v>
      </c>
      <c r="AK46" s="30">
        <f t="shared" si="30"/>
        <v>130851500</v>
      </c>
      <c r="AL46" s="30">
        <f t="shared" si="30"/>
        <v>139143600</v>
      </c>
      <c r="AM46" s="30">
        <f t="shared" si="30"/>
        <v>287887400</v>
      </c>
      <c r="AN46" s="31">
        <f t="shared" si="30"/>
        <v>0</v>
      </c>
      <c r="AO46" s="30">
        <f t="shared" si="30"/>
        <v>139075900</v>
      </c>
      <c r="AP46" s="30">
        <f t="shared" si="30"/>
        <v>287819700</v>
      </c>
      <c r="AQ46" s="30">
        <f t="shared" si="30"/>
        <v>9844400</v>
      </c>
      <c r="AR46" s="30">
        <f t="shared" si="30"/>
        <v>139013200</v>
      </c>
      <c r="AS46" s="109">
        <f t="shared" si="30"/>
        <v>277975300</v>
      </c>
      <c r="AT46" s="39">
        <f t="shared" si="26"/>
        <v>287819700</v>
      </c>
      <c r="AU46" s="18">
        <f t="shared" si="27"/>
        <v>1678283515</v>
      </c>
      <c r="AV46" s="18">
        <f t="shared" si="28"/>
        <v>67700</v>
      </c>
      <c r="AW46" s="34">
        <f t="shared" si="29"/>
        <v>0</v>
      </c>
      <c r="AX46" s="32">
        <f t="shared" si="8"/>
        <v>0.14638590053601724</v>
      </c>
    </row>
    <row r="47" spans="1:50" ht="18.75" customHeight="1" x14ac:dyDescent="0.2">
      <c r="A47" s="35" t="s">
        <v>55</v>
      </c>
      <c r="B47" s="36" t="s">
        <v>56</v>
      </c>
      <c r="C47" s="36"/>
      <c r="D47" s="36" t="s">
        <v>40</v>
      </c>
      <c r="E47" s="36"/>
      <c r="F47" s="36"/>
      <c r="G47" s="36" t="s">
        <v>41</v>
      </c>
      <c r="H47" s="36"/>
      <c r="I47" s="36" t="s">
        <v>936</v>
      </c>
      <c r="J47" s="36"/>
      <c r="K47" s="36" t="s">
        <v>932</v>
      </c>
      <c r="L47" s="36"/>
      <c r="M47" s="36" t="s">
        <v>933</v>
      </c>
      <c r="N47" s="36"/>
      <c r="O47" s="36" t="s">
        <v>938</v>
      </c>
      <c r="P47" s="36"/>
      <c r="Q47" s="36" t="s">
        <v>939</v>
      </c>
      <c r="R47" s="36"/>
      <c r="S47" s="36" t="s">
        <v>940</v>
      </c>
      <c r="T47" s="36">
        <v>0</v>
      </c>
      <c r="U47" s="36">
        <v>0</v>
      </c>
      <c r="V47" s="36">
        <v>0</v>
      </c>
      <c r="W47" s="36">
        <v>0</v>
      </c>
      <c r="X47" s="36" t="s">
        <v>937</v>
      </c>
      <c r="Y47" s="36"/>
      <c r="Z47" s="36"/>
      <c r="AA47" s="37" t="s">
        <v>111</v>
      </c>
      <c r="AB47" s="38" t="s">
        <v>110</v>
      </c>
      <c r="AC47" s="38" t="s">
        <v>58</v>
      </c>
      <c r="AD47" s="39">
        <v>1757106683</v>
      </c>
      <c r="AE47" s="40">
        <v>0</v>
      </c>
      <c r="AF47" s="40">
        <v>0</v>
      </c>
      <c r="AG47" s="40">
        <v>0</v>
      </c>
      <c r="AH47" s="40">
        <v>0</v>
      </c>
      <c r="AI47" s="40">
        <v>0</v>
      </c>
      <c r="AJ47" s="39">
        <v>1757106683</v>
      </c>
      <c r="AK47" s="39">
        <v>130851500</v>
      </c>
      <c r="AL47" s="39">
        <v>129231500</v>
      </c>
      <c r="AM47" s="39">
        <v>259135100</v>
      </c>
      <c r="AN47" s="40">
        <v>0</v>
      </c>
      <c r="AO47" s="39">
        <v>129231500</v>
      </c>
      <c r="AP47" s="39">
        <v>259135100</v>
      </c>
      <c r="AQ47" s="39">
        <v>0</v>
      </c>
      <c r="AR47" s="39">
        <v>129231500</v>
      </c>
      <c r="AS47" s="111">
        <v>259135100</v>
      </c>
      <c r="AT47" s="39">
        <f t="shared" si="26"/>
        <v>259135100</v>
      </c>
      <c r="AU47" s="18">
        <f t="shared" si="27"/>
        <v>1497971583</v>
      </c>
      <c r="AV47" s="18">
        <f t="shared" si="28"/>
        <v>0</v>
      </c>
      <c r="AW47" s="34">
        <f t="shared" si="29"/>
        <v>0</v>
      </c>
      <c r="AX47" s="32">
        <f t="shared" si="8"/>
        <v>0.14747829628509812</v>
      </c>
    </row>
    <row r="48" spans="1:50" ht="18.75" customHeight="1" x14ac:dyDescent="0.2">
      <c r="A48" s="14" t="s">
        <v>55</v>
      </c>
      <c r="B48" s="15" t="s">
        <v>56</v>
      </c>
      <c r="C48" s="15"/>
      <c r="D48" s="15" t="s">
        <v>40</v>
      </c>
      <c r="E48" s="15"/>
      <c r="F48" s="15"/>
      <c r="G48" s="15" t="s">
        <v>41</v>
      </c>
      <c r="H48" s="15"/>
      <c r="I48" s="15" t="s">
        <v>941</v>
      </c>
      <c r="J48" s="15"/>
      <c r="K48" s="15" t="s">
        <v>932</v>
      </c>
      <c r="L48" s="15"/>
      <c r="M48" s="15" t="s">
        <v>933</v>
      </c>
      <c r="N48" s="15"/>
      <c r="O48" s="15" t="s">
        <v>938</v>
      </c>
      <c r="P48" s="15"/>
      <c r="Q48" s="15" t="s">
        <v>939</v>
      </c>
      <c r="R48" s="15"/>
      <c r="S48" s="15" t="s">
        <v>940</v>
      </c>
      <c r="T48" s="15">
        <v>0</v>
      </c>
      <c r="U48" s="15">
        <v>0</v>
      </c>
      <c r="V48" s="15">
        <v>0</v>
      </c>
      <c r="W48" s="15">
        <v>0</v>
      </c>
      <c r="X48" s="15" t="s">
        <v>937</v>
      </c>
      <c r="Y48" s="15"/>
      <c r="Z48" s="15"/>
      <c r="AA48" s="16" t="s">
        <v>112</v>
      </c>
      <c r="AB48" s="17" t="s">
        <v>113</v>
      </c>
      <c r="AC48" s="17" t="s">
        <v>61</v>
      </c>
      <c r="AD48" s="18">
        <v>209064232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18">
        <v>209064232</v>
      </c>
      <c r="AK48" s="34">
        <v>0</v>
      </c>
      <c r="AL48" s="18">
        <v>9912100</v>
      </c>
      <c r="AM48" s="18">
        <v>28752300</v>
      </c>
      <c r="AN48" s="34">
        <v>0</v>
      </c>
      <c r="AO48" s="18">
        <v>9844400</v>
      </c>
      <c r="AP48" s="18">
        <v>28684600</v>
      </c>
      <c r="AQ48" s="18">
        <v>9844400</v>
      </c>
      <c r="AR48" s="18">
        <v>9781700</v>
      </c>
      <c r="AS48" s="110">
        <v>18840200</v>
      </c>
      <c r="AT48" s="39">
        <f t="shared" si="26"/>
        <v>28684600</v>
      </c>
      <c r="AU48" s="18">
        <f t="shared" si="27"/>
        <v>180311932</v>
      </c>
      <c r="AV48" s="18">
        <f t="shared" si="28"/>
        <v>67700</v>
      </c>
      <c r="AW48" s="34">
        <f t="shared" si="29"/>
        <v>0</v>
      </c>
      <c r="AX48" s="32">
        <f t="shared" si="8"/>
        <v>0.13720472280499899</v>
      </c>
    </row>
    <row r="49" spans="1:50" ht="18.75" customHeight="1" x14ac:dyDescent="0.2">
      <c r="A49" s="27" t="s">
        <v>49</v>
      </c>
      <c r="B49" s="27" t="s">
        <v>50</v>
      </c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8" t="s">
        <v>114</v>
      </c>
      <c r="AB49" s="29" t="s">
        <v>115</v>
      </c>
      <c r="AC49" s="30" t="s">
        <v>37</v>
      </c>
      <c r="AD49" s="30">
        <f>AD50+AD51</f>
        <v>2387025947</v>
      </c>
      <c r="AE49" s="31">
        <f t="shared" ref="AE49:AS49" si="31">AE50+AE51</f>
        <v>0</v>
      </c>
      <c r="AF49" s="31">
        <f t="shared" si="31"/>
        <v>0</v>
      </c>
      <c r="AG49" s="31">
        <f t="shared" si="31"/>
        <v>0</v>
      </c>
      <c r="AH49" s="31">
        <f t="shared" si="31"/>
        <v>0</v>
      </c>
      <c r="AI49" s="31">
        <f t="shared" si="31"/>
        <v>0</v>
      </c>
      <c r="AJ49" s="30">
        <f t="shared" si="31"/>
        <v>2387025947</v>
      </c>
      <c r="AK49" s="30">
        <f t="shared" si="31"/>
        <v>35111360</v>
      </c>
      <c r="AL49" s="30">
        <f t="shared" si="31"/>
        <v>57440844</v>
      </c>
      <c r="AM49" s="30">
        <f t="shared" si="31"/>
        <v>1244935297</v>
      </c>
      <c r="AN49" s="31">
        <f t="shared" si="31"/>
        <v>0</v>
      </c>
      <c r="AO49" s="30">
        <f t="shared" si="31"/>
        <v>57440844</v>
      </c>
      <c r="AP49" s="30">
        <f t="shared" si="31"/>
        <v>1244935297</v>
      </c>
      <c r="AQ49" s="31">
        <f t="shared" si="31"/>
        <v>1100368</v>
      </c>
      <c r="AR49" s="30">
        <f t="shared" si="31"/>
        <v>42177317</v>
      </c>
      <c r="AS49" s="30">
        <f t="shared" si="31"/>
        <v>1079794847</v>
      </c>
      <c r="AT49" s="39">
        <f t="shared" si="26"/>
        <v>1080895215</v>
      </c>
      <c r="AU49" s="18">
        <f t="shared" si="27"/>
        <v>1142090650</v>
      </c>
      <c r="AV49" s="34">
        <f t="shared" si="28"/>
        <v>0</v>
      </c>
      <c r="AW49" s="18">
        <f t="shared" si="29"/>
        <v>164040082</v>
      </c>
      <c r="AX49" s="32">
        <f t="shared" si="8"/>
        <v>0.52154242335095991</v>
      </c>
    </row>
    <row r="50" spans="1:50" ht="18.75" customHeight="1" x14ac:dyDescent="0.2">
      <c r="A50" s="14" t="s">
        <v>55</v>
      </c>
      <c r="B50" s="15" t="s">
        <v>56</v>
      </c>
      <c r="C50" s="15"/>
      <c r="D50" s="15" t="s">
        <v>40</v>
      </c>
      <c r="E50" s="15"/>
      <c r="F50" s="15"/>
      <c r="G50" s="15" t="s">
        <v>41</v>
      </c>
      <c r="H50" s="15"/>
      <c r="I50" s="15" t="s">
        <v>936</v>
      </c>
      <c r="J50" s="15"/>
      <c r="K50" s="15" t="s">
        <v>932</v>
      </c>
      <c r="L50" s="15"/>
      <c r="M50" s="15" t="s">
        <v>933</v>
      </c>
      <c r="N50" s="15"/>
      <c r="O50" s="15" t="s">
        <v>938</v>
      </c>
      <c r="P50" s="15"/>
      <c r="Q50" s="15" t="s">
        <v>939</v>
      </c>
      <c r="R50" s="15"/>
      <c r="S50" s="15" t="s">
        <v>940</v>
      </c>
      <c r="T50" s="15">
        <v>0</v>
      </c>
      <c r="U50" s="15">
        <v>0</v>
      </c>
      <c r="V50" s="15">
        <v>0</v>
      </c>
      <c r="W50" s="15">
        <v>0</v>
      </c>
      <c r="X50" s="15" t="s">
        <v>937</v>
      </c>
      <c r="Y50" s="15"/>
      <c r="Z50" s="15"/>
      <c r="AA50" s="16" t="s">
        <v>116</v>
      </c>
      <c r="AB50" s="17" t="s">
        <v>115</v>
      </c>
      <c r="AC50" s="17" t="s">
        <v>58</v>
      </c>
      <c r="AD50" s="18">
        <v>2208060292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18">
        <v>2208060292</v>
      </c>
      <c r="AK50" s="18">
        <v>35111360</v>
      </c>
      <c r="AL50" s="18">
        <v>56340476</v>
      </c>
      <c r="AM50" s="18">
        <v>1178673213</v>
      </c>
      <c r="AN50" s="34">
        <v>0</v>
      </c>
      <c r="AO50" s="18">
        <v>56340476</v>
      </c>
      <c r="AP50" s="18">
        <v>1178673213</v>
      </c>
      <c r="AQ50" s="34">
        <v>0</v>
      </c>
      <c r="AR50" s="18">
        <v>41017624</v>
      </c>
      <c r="AS50" s="110">
        <v>1014633131</v>
      </c>
      <c r="AT50" s="39">
        <f t="shared" si="26"/>
        <v>1014633131</v>
      </c>
      <c r="AU50" s="18">
        <f t="shared" si="27"/>
        <v>1029387079</v>
      </c>
      <c r="AV50" s="34">
        <f t="shared" si="28"/>
        <v>0</v>
      </c>
      <c r="AW50" s="18">
        <f t="shared" si="29"/>
        <v>164040082</v>
      </c>
      <c r="AX50" s="32">
        <f t="shared" si="8"/>
        <v>0.53380481378630762</v>
      </c>
    </row>
    <row r="51" spans="1:50" ht="18.75" customHeight="1" x14ac:dyDescent="0.2">
      <c r="A51" s="14" t="s">
        <v>55</v>
      </c>
      <c r="B51" s="15" t="s">
        <v>56</v>
      </c>
      <c r="C51" s="15"/>
      <c r="D51" s="15" t="s">
        <v>40</v>
      </c>
      <c r="E51" s="15"/>
      <c r="F51" s="15"/>
      <c r="G51" s="15" t="s">
        <v>41</v>
      </c>
      <c r="H51" s="15"/>
      <c r="I51" s="15" t="s">
        <v>941</v>
      </c>
      <c r="J51" s="15"/>
      <c r="K51" s="15" t="s">
        <v>932</v>
      </c>
      <c r="L51" s="15"/>
      <c r="M51" s="15" t="s">
        <v>933</v>
      </c>
      <c r="N51" s="15"/>
      <c r="O51" s="15" t="s">
        <v>938</v>
      </c>
      <c r="P51" s="15"/>
      <c r="Q51" s="15" t="s">
        <v>939</v>
      </c>
      <c r="R51" s="15"/>
      <c r="S51" s="15" t="s">
        <v>940</v>
      </c>
      <c r="T51" s="15">
        <v>0</v>
      </c>
      <c r="U51" s="15">
        <v>0</v>
      </c>
      <c r="V51" s="15">
        <v>0</v>
      </c>
      <c r="W51" s="15">
        <v>0</v>
      </c>
      <c r="X51" s="15" t="s">
        <v>937</v>
      </c>
      <c r="Y51" s="15"/>
      <c r="Z51" s="15"/>
      <c r="AA51" s="16" t="s">
        <v>117</v>
      </c>
      <c r="AB51" s="17" t="s">
        <v>115</v>
      </c>
      <c r="AC51" s="17" t="s">
        <v>61</v>
      </c>
      <c r="AD51" s="18">
        <v>178965655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18">
        <v>178965655</v>
      </c>
      <c r="AK51" s="34">
        <v>0</v>
      </c>
      <c r="AL51" s="18">
        <v>1100368</v>
      </c>
      <c r="AM51" s="18">
        <v>66262084</v>
      </c>
      <c r="AN51" s="34">
        <v>0</v>
      </c>
      <c r="AO51" s="18">
        <v>1100368</v>
      </c>
      <c r="AP51" s="18">
        <v>66262084</v>
      </c>
      <c r="AQ51" s="34">
        <v>1100368</v>
      </c>
      <c r="AR51" s="18">
        <v>1159693</v>
      </c>
      <c r="AS51" s="110">
        <v>65161716</v>
      </c>
      <c r="AT51" s="39">
        <f t="shared" si="26"/>
        <v>66262084</v>
      </c>
      <c r="AU51" s="18">
        <f t="shared" si="27"/>
        <v>112703571</v>
      </c>
      <c r="AV51" s="34">
        <f t="shared" si="28"/>
        <v>0</v>
      </c>
      <c r="AW51" s="18">
        <f t="shared" si="29"/>
        <v>0</v>
      </c>
      <c r="AX51" s="32">
        <f t="shared" si="8"/>
        <v>0.37025028070330029</v>
      </c>
    </row>
    <row r="52" spans="1:50" ht="18.75" customHeight="1" x14ac:dyDescent="0.2">
      <c r="A52" s="27" t="s">
        <v>49</v>
      </c>
      <c r="B52" s="27" t="s">
        <v>50</v>
      </c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8" t="s">
        <v>118</v>
      </c>
      <c r="AB52" s="29" t="s">
        <v>119</v>
      </c>
      <c r="AC52" s="30" t="s">
        <v>37</v>
      </c>
      <c r="AD52" s="30">
        <f>AD53+AD54</f>
        <v>1154194065</v>
      </c>
      <c r="AE52" s="31">
        <f t="shared" ref="AE52:AS52" si="32">AE53+AE54</f>
        <v>0</v>
      </c>
      <c r="AF52" s="31">
        <f t="shared" si="32"/>
        <v>0</v>
      </c>
      <c r="AG52" s="31">
        <f t="shared" si="32"/>
        <v>0</v>
      </c>
      <c r="AH52" s="31">
        <f t="shared" si="32"/>
        <v>0</v>
      </c>
      <c r="AI52" s="31">
        <f t="shared" si="32"/>
        <v>0</v>
      </c>
      <c r="AJ52" s="30">
        <f t="shared" si="32"/>
        <v>1154194065</v>
      </c>
      <c r="AK52" s="31">
        <f t="shared" si="32"/>
        <v>61243400</v>
      </c>
      <c r="AL52" s="30">
        <f t="shared" si="32"/>
        <v>66317200</v>
      </c>
      <c r="AM52" s="30">
        <f t="shared" si="32"/>
        <v>136198600</v>
      </c>
      <c r="AN52" s="31">
        <f t="shared" si="32"/>
        <v>0</v>
      </c>
      <c r="AO52" s="30">
        <f t="shared" si="32"/>
        <v>66317200</v>
      </c>
      <c r="AP52" s="30">
        <f t="shared" si="32"/>
        <v>136198600</v>
      </c>
      <c r="AQ52" s="31">
        <f t="shared" si="32"/>
        <v>4829000</v>
      </c>
      <c r="AR52" s="30">
        <f t="shared" si="32"/>
        <v>66092500</v>
      </c>
      <c r="AS52" s="109">
        <f t="shared" si="32"/>
        <v>131369600</v>
      </c>
      <c r="AT52" s="30">
        <f t="shared" si="26"/>
        <v>136198600</v>
      </c>
      <c r="AU52" s="18">
        <f t="shared" si="27"/>
        <v>1017995465</v>
      </c>
      <c r="AV52" s="34">
        <f t="shared" si="28"/>
        <v>0</v>
      </c>
      <c r="AW52" s="34">
        <f t="shared" si="29"/>
        <v>0</v>
      </c>
      <c r="AX52" s="32">
        <f t="shared" si="8"/>
        <v>0.11800320598598815</v>
      </c>
    </row>
    <row r="53" spans="1:50" ht="18.75" customHeight="1" x14ac:dyDescent="0.2">
      <c r="A53" s="14" t="s">
        <v>55</v>
      </c>
      <c r="B53" s="15" t="s">
        <v>56</v>
      </c>
      <c r="C53" s="15"/>
      <c r="D53" s="15" t="s">
        <v>40</v>
      </c>
      <c r="E53" s="15"/>
      <c r="F53" s="15"/>
      <c r="G53" s="15" t="s">
        <v>41</v>
      </c>
      <c r="H53" s="15"/>
      <c r="I53" s="15" t="s">
        <v>936</v>
      </c>
      <c r="J53" s="15"/>
      <c r="K53" s="15" t="s">
        <v>932</v>
      </c>
      <c r="L53" s="15"/>
      <c r="M53" s="15" t="s">
        <v>933</v>
      </c>
      <c r="N53" s="15"/>
      <c r="O53" s="15" t="s">
        <v>938</v>
      </c>
      <c r="P53" s="15"/>
      <c r="Q53" s="15" t="s">
        <v>939</v>
      </c>
      <c r="R53" s="15"/>
      <c r="S53" s="15" t="s">
        <v>940</v>
      </c>
      <c r="T53" s="15">
        <v>0</v>
      </c>
      <c r="U53" s="15">
        <v>0</v>
      </c>
      <c r="V53" s="15">
        <v>0</v>
      </c>
      <c r="W53" s="15">
        <v>0</v>
      </c>
      <c r="X53" s="15" t="s">
        <v>937</v>
      </c>
      <c r="Y53" s="15"/>
      <c r="Z53" s="15"/>
      <c r="AA53" s="16" t="s">
        <v>120</v>
      </c>
      <c r="AB53" s="17" t="s">
        <v>119</v>
      </c>
      <c r="AC53" s="17" t="s">
        <v>58</v>
      </c>
      <c r="AD53" s="18">
        <v>1088978427</v>
      </c>
      <c r="AE53" s="34">
        <v>0</v>
      </c>
      <c r="AF53" s="34">
        <v>0</v>
      </c>
      <c r="AG53" s="34">
        <v>0</v>
      </c>
      <c r="AH53" s="34">
        <v>0</v>
      </c>
      <c r="AI53" s="34">
        <v>0</v>
      </c>
      <c r="AJ53" s="18">
        <v>1088978427</v>
      </c>
      <c r="AK53" s="34">
        <v>61243400</v>
      </c>
      <c r="AL53" s="18">
        <v>61488200</v>
      </c>
      <c r="AM53" s="18">
        <v>122516000</v>
      </c>
      <c r="AN53" s="34">
        <v>0</v>
      </c>
      <c r="AO53" s="18">
        <v>61488200</v>
      </c>
      <c r="AP53" s="18">
        <v>122516000</v>
      </c>
      <c r="AQ53" s="34">
        <v>0</v>
      </c>
      <c r="AR53" s="18">
        <v>61488200</v>
      </c>
      <c r="AS53" s="110">
        <v>122516000</v>
      </c>
      <c r="AT53" s="30">
        <f t="shared" si="26"/>
        <v>122516000</v>
      </c>
      <c r="AU53" s="18">
        <f t="shared" si="27"/>
        <v>966462427</v>
      </c>
      <c r="AV53" s="34">
        <f t="shared" si="28"/>
        <v>0</v>
      </c>
      <c r="AW53" s="34">
        <f t="shared" si="29"/>
        <v>0</v>
      </c>
      <c r="AX53" s="32">
        <f t="shared" si="8"/>
        <v>0.11250544268128096</v>
      </c>
    </row>
    <row r="54" spans="1:50" ht="28.5" customHeight="1" x14ac:dyDescent="0.2">
      <c r="A54" s="14" t="s">
        <v>55</v>
      </c>
      <c r="B54" s="15" t="s">
        <v>56</v>
      </c>
      <c r="C54" s="15"/>
      <c r="D54" s="15" t="s">
        <v>40</v>
      </c>
      <c r="E54" s="15"/>
      <c r="F54" s="15"/>
      <c r="G54" s="15" t="s">
        <v>41</v>
      </c>
      <c r="H54" s="15"/>
      <c r="I54" s="15" t="s">
        <v>941</v>
      </c>
      <c r="J54" s="15"/>
      <c r="K54" s="15" t="s">
        <v>932</v>
      </c>
      <c r="L54" s="15"/>
      <c r="M54" s="15" t="s">
        <v>933</v>
      </c>
      <c r="N54" s="15"/>
      <c r="O54" s="15" t="s">
        <v>938</v>
      </c>
      <c r="P54" s="15"/>
      <c r="Q54" s="15" t="s">
        <v>939</v>
      </c>
      <c r="R54" s="15"/>
      <c r="S54" s="15" t="s">
        <v>940</v>
      </c>
      <c r="T54" s="15">
        <v>0</v>
      </c>
      <c r="U54" s="15">
        <v>0</v>
      </c>
      <c r="V54" s="15">
        <v>0</v>
      </c>
      <c r="W54" s="15">
        <v>0</v>
      </c>
      <c r="X54" s="15" t="s">
        <v>937</v>
      </c>
      <c r="Y54" s="15"/>
      <c r="Z54" s="15"/>
      <c r="AA54" s="16" t="s">
        <v>121</v>
      </c>
      <c r="AB54" s="17" t="s">
        <v>122</v>
      </c>
      <c r="AC54" s="17" t="s">
        <v>61</v>
      </c>
      <c r="AD54" s="18">
        <v>65215638</v>
      </c>
      <c r="AE54" s="34">
        <v>0</v>
      </c>
      <c r="AF54" s="34">
        <v>0</v>
      </c>
      <c r="AG54" s="34">
        <v>0</v>
      </c>
      <c r="AH54" s="34">
        <v>0</v>
      </c>
      <c r="AI54" s="34">
        <v>0</v>
      </c>
      <c r="AJ54" s="18">
        <v>65215638</v>
      </c>
      <c r="AK54" s="34">
        <v>0</v>
      </c>
      <c r="AL54" s="18">
        <v>4829000</v>
      </c>
      <c r="AM54" s="18">
        <v>13682600</v>
      </c>
      <c r="AN54" s="34">
        <v>0</v>
      </c>
      <c r="AO54" s="18">
        <v>4829000</v>
      </c>
      <c r="AP54" s="18">
        <v>13682600</v>
      </c>
      <c r="AQ54" s="34">
        <v>4829000</v>
      </c>
      <c r="AR54" s="18">
        <v>4604300</v>
      </c>
      <c r="AS54" s="110">
        <v>8853600</v>
      </c>
      <c r="AT54" s="30">
        <f t="shared" si="26"/>
        <v>13682600</v>
      </c>
      <c r="AU54" s="18">
        <f t="shared" si="27"/>
        <v>51533038</v>
      </c>
      <c r="AV54" s="34">
        <f t="shared" si="28"/>
        <v>0</v>
      </c>
      <c r="AW54" s="34">
        <f t="shared" si="29"/>
        <v>0</v>
      </c>
      <c r="AX54" s="32">
        <f t="shared" si="8"/>
        <v>0.20980550707791895</v>
      </c>
    </row>
    <row r="55" spans="1:50" ht="18.75" customHeight="1" x14ac:dyDescent="0.2">
      <c r="A55" s="27" t="s">
        <v>49</v>
      </c>
      <c r="B55" s="27" t="s">
        <v>50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8" t="s">
        <v>123</v>
      </c>
      <c r="AB55" s="29" t="s">
        <v>124</v>
      </c>
      <c r="AC55" s="30" t="s">
        <v>37</v>
      </c>
      <c r="AD55" s="30">
        <f>AD56+AD57</f>
        <v>308515529</v>
      </c>
      <c r="AE55" s="31">
        <f t="shared" ref="AE55:AS55" si="33">AE56+AE57</f>
        <v>0</v>
      </c>
      <c r="AF55" s="31">
        <f t="shared" si="33"/>
        <v>0</v>
      </c>
      <c r="AG55" s="31">
        <f t="shared" si="33"/>
        <v>0</v>
      </c>
      <c r="AH55" s="31">
        <f t="shared" si="33"/>
        <v>0</v>
      </c>
      <c r="AI55" s="31">
        <f t="shared" si="33"/>
        <v>0</v>
      </c>
      <c r="AJ55" s="30">
        <f t="shared" si="33"/>
        <v>308515529</v>
      </c>
      <c r="AK55" s="30">
        <f t="shared" si="33"/>
        <v>13184200</v>
      </c>
      <c r="AL55" s="30">
        <f t="shared" si="33"/>
        <v>15621900</v>
      </c>
      <c r="AM55" s="30">
        <f t="shared" si="33"/>
        <v>30059400</v>
      </c>
      <c r="AN55" s="31">
        <f t="shared" si="33"/>
        <v>0</v>
      </c>
      <c r="AO55" s="30">
        <f t="shared" si="33"/>
        <v>15621900</v>
      </c>
      <c r="AP55" s="30">
        <f t="shared" si="33"/>
        <v>30059400</v>
      </c>
      <c r="AQ55" s="31">
        <f t="shared" si="33"/>
        <v>593500</v>
      </c>
      <c r="AR55" s="31">
        <f t="shared" si="33"/>
        <v>15630400</v>
      </c>
      <c r="AS55" s="109">
        <f t="shared" si="33"/>
        <v>29465900</v>
      </c>
      <c r="AT55" s="30">
        <f t="shared" si="26"/>
        <v>30059400</v>
      </c>
      <c r="AU55" s="18">
        <f t="shared" si="27"/>
        <v>278456129</v>
      </c>
      <c r="AV55" s="34">
        <f t="shared" si="28"/>
        <v>0</v>
      </c>
      <c r="AW55" s="34">
        <f t="shared" si="29"/>
        <v>0</v>
      </c>
      <c r="AX55" s="32">
        <f t="shared" si="8"/>
        <v>9.7432372682932269E-2</v>
      </c>
    </row>
    <row r="56" spans="1:50" ht="18.75" customHeight="1" x14ac:dyDescent="0.2">
      <c r="A56" s="35" t="s">
        <v>55</v>
      </c>
      <c r="B56" s="36" t="s">
        <v>56</v>
      </c>
      <c r="C56" s="36"/>
      <c r="D56" s="36" t="s">
        <v>40</v>
      </c>
      <c r="E56" s="36"/>
      <c r="F56" s="36"/>
      <c r="G56" s="36" t="s">
        <v>41</v>
      </c>
      <c r="H56" s="36"/>
      <c r="I56" s="36" t="s">
        <v>936</v>
      </c>
      <c r="J56" s="36"/>
      <c r="K56" s="36" t="s">
        <v>932</v>
      </c>
      <c r="L56" s="36"/>
      <c r="M56" s="36" t="s">
        <v>933</v>
      </c>
      <c r="N56" s="36"/>
      <c r="O56" s="36" t="s">
        <v>938</v>
      </c>
      <c r="P56" s="36"/>
      <c r="Q56" s="36" t="s">
        <v>939</v>
      </c>
      <c r="R56" s="36"/>
      <c r="S56" s="36" t="s">
        <v>940</v>
      </c>
      <c r="T56" s="36">
        <v>0</v>
      </c>
      <c r="U56" s="36">
        <v>0</v>
      </c>
      <c r="V56" s="36">
        <v>0</v>
      </c>
      <c r="W56" s="36">
        <v>0</v>
      </c>
      <c r="X56" s="36" t="s">
        <v>937</v>
      </c>
      <c r="Y56" s="36"/>
      <c r="Z56" s="36"/>
      <c r="AA56" s="37" t="s">
        <v>125</v>
      </c>
      <c r="AB56" s="38" t="s">
        <v>124</v>
      </c>
      <c r="AC56" s="38" t="s">
        <v>58</v>
      </c>
      <c r="AD56" s="39">
        <v>299999998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39">
        <v>299999998</v>
      </c>
      <c r="AK56" s="39">
        <v>13184200</v>
      </c>
      <c r="AL56" s="39">
        <v>15028400</v>
      </c>
      <c r="AM56" s="39">
        <v>28308300</v>
      </c>
      <c r="AN56" s="40">
        <v>0</v>
      </c>
      <c r="AO56" s="39">
        <v>15028400</v>
      </c>
      <c r="AP56" s="39">
        <v>28308300</v>
      </c>
      <c r="AQ56" s="40">
        <v>0</v>
      </c>
      <c r="AR56" s="40">
        <v>15028400</v>
      </c>
      <c r="AS56" s="111">
        <v>28308300</v>
      </c>
      <c r="AT56" s="30">
        <f t="shared" si="26"/>
        <v>28308300</v>
      </c>
      <c r="AU56" s="18">
        <f t="shared" si="27"/>
        <v>271691698</v>
      </c>
      <c r="AV56" s="34">
        <f t="shared" si="28"/>
        <v>0</v>
      </c>
      <c r="AW56" s="34">
        <f t="shared" si="29"/>
        <v>0</v>
      </c>
      <c r="AX56" s="32">
        <f t="shared" si="8"/>
        <v>9.4361000629073336E-2</v>
      </c>
    </row>
    <row r="57" spans="1:50" ht="26.25" customHeight="1" x14ac:dyDescent="0.2">
      <c r="A57" s="35" t="s">
        <v>55</v>
      </c>
      <c r="B57" s="36" t="s">
        <v>56</v>
      </c>
      <c r="C57" s="36"/>
      <c r="D57" s="36" t="s">
        <v>40</v>
      </c>
      <c r="E57" s="36"/>
      <c r="F57" s="36"/>
      <c r="G57" s="36" t="s">
        <v>41</v>
      </c>
      <c r="H57" s="36"/>
      <c r="I57" s="36" t="s">
        <v>941</v>
      </c>
      <c r="J57" s="36"/>
      <c r="K57" s="36" t="s">
        <v>932</v>
      </c>
      <c r="L57" s="36"/>
      <c r="M57" s="36" t="s">
        <v>933</v>
      </c>
      <c r="N57" s="36"/>
      <c r="O57" s="36" t="s">
        <v>938</v>
      </c>
      <c r="P57" s="36"/>
      <c r="Q57" s="36" t="s">
        <v>939</v>
      </c>
      <c r="R57" s="36"/>
      <c r="S57" s="36" t="s">
        <v>940</v>
      </c>
      <c r="T57" s="36">
        <v>0</v>
      </c>
      <c r="U57" s="36">
        <v>0</v>
      </c>
      <c r="V57" s="36">
        <v>0</v>
      </c>
      <c r="W57" s="36">
        <v>0</v>
      </c>
      <c r="X57" s="36" t="s">
        <v>937</v>
      </c>
      <c r="Y57" s="36"/>
      <c r="Z57" s="36"/>
      <c r="AA57" s="37" t="s">
        <v>126</v>
      </c>
      <c r="AB57" s="38" t="s">
        <v>127</v>
      </c>
      <c r="AC57" s="38" t="s">
        <v>61</v>
      </c>
      <c r="AD57" s="39">
        <v>8515531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39">
        <v>8515531</v>
      </c>
      <c r="AK57" s="40">
        <v>0</v>
      </c>
      <c r="AL57" s="39">
        <v>593500</v>
      </c>
      <c r="AM57" s="39">
        <v>1751100</v>
      </c>
      <c r="AN57" s="40">
        <v>0</v>
      </c>
      <c r="AO57" s="39">
        <v>593500</v>
      </c>
      <c r="AP57" s="39">
        <v>1751100</v>
      </c>
      <c r="AQ57" s="40">
        <v>593500</v>
      </c>
      <c r="AR57" s="40">
        <v>602000</v>
      </c>
      <c r="AS57" s="111">
        <v>1157600</v>
      </c>
      <c r="AT57" s="30">
        <f t="shared" si="26"/>
        <v>1751100</v>
      </c>
      <c r="AU57" s="18">
        <f t="shared" si="27"/>
        <v>6764431</v>
      </c>
      <c r="AV57" s="34">
        <f t="shared" si="28"/>
        <v>0</v>
      </c>
      <c r="AW57" s="34">
        <f t="shared" si="29"/>
        <v>0</v>
      </c>
      <c r="AX57" s="32">
        <f t="shared" si="8"/>
        <v>0.20563603138782538</v>
      </c>
    </row>
    <row r="58" spans="1:50" ht="18.75" customHeight="1" x14ac:dyDescent="0.2">
      <c r="A58" s="27" t="s">
        <v>49</v>
      </c>
      <c r="B58" s="27" t="s">
        <v>50</v>
      </c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8" t="s">
        <v>128</v>
      </c>
      <c r="AB58" s="29" t="s">
        <v>129</v>
      </c>
      <c r="AC58" s="30" t="s">
        <v>37</v>
      </c>
      <c r="AD58" s="30">
        <f>AD59+AD60</f>
        <v>865645548</v>
      </c>
      <c r="AE58" s="31">
        <f t="shared" ref="AE58:AS58" si="34">AE59+AE60</f>
        <v>0</v>
      </c>
      <c r="AF58" s="31">
        <f t="shared" si="34"/>
        <v>0</v>
      </c>
      <c r="AG58" s="31">
        <f t="shared" si="34"/>
        <v>0</v>
      </c>
      <c r="AH58" s="31">
        <f t="shared" si="34"/>
        <v>0</v>
      </c>
      <c r="AI58" s="31">
        <f t="shared" si="34"/>
        <v>0</v>
      </c>
      <c r="AJ58" s="30">
        <f t="shared" si="34"/>
        <v>865645548</v>
      </c>
      <c r="AK58" s="30">
        <f t="shared" si="34"/>
        <v>45932800</v>
      </c>
      <c r="AL58" s="30">
        <f t="shared" si="34"/>
        <v>49737900</v>
      </c>
      <c r="AM58" s="30">
        <f t="shared" si="34"/>
        <v>102150700</v>
      </c>
      <c r="AN58" s="31">
        <f t="shared" si="34"/>
        <v>0</v>
      </c>
      <c r="AO58" s="30">
        <f t="shared" si="34"/>
        <v>49737900</v>
      </c>
      <c r="AP58" s="30">
        <f t="shared" si="34"/>
        <v>102150700</v>
      </c>
      <c r="AQ58" s="31">
        <f t="shared" si="34"/>
        <v>3621600</v>
      </c>
      <c r="AR58" s="31">
        <f t="shared" si="34"/>
        <v>49569400</v>
      </c>
      <c r="AS58" s="109">
        <f t="shared" si="34"/>
        <v>98529100</v>
      </c>
      <c r="AT58" s="30">
        <f t="shared" si="26"/>
        <v>102150700</v>
      </c>
      <c r="AU58" s="18">
        <f t="shared" si="27"/>
        <v>763494848</v>
      </c>
      <c r="AV58" s="34">
        <f t="shared" si="28"/>
        <v>0</v>
      </c>
      <c r="AW58" s="34">
        <f t="shared" si="29"/>
        <v>0</v>
      </c>
      <c r="AX58" s="32">
        <f t="shared" si="8"/>
        <v>0.11800522770088803</v>
      </c>
    </row>
    <row r="59" spans="1:50" ht="18.75" customHeight="1" x14ac:dyDescent="0.2">
      <c r="A59" s="14" t="s">
        <v>55</v>
      </c>
      <c r="B59" s="15" t="s">
        <v>56</v>
      </c>
      <c r="C59" s="15"/>
      <c r="D59" s="15" t="s">
        <v>40</v>
      </c>
      <c r="E59" s="15"/>
      <c r="F59" s="15"/>
      <c r="G59" s="15" t="s">
        <v>41</v>
      </c>
      <c r="H59" s="15"/>
      <c r="I59" s="15" t="s">
        <v>936</v>
      </c>
      <c r="J59" s="15"/>
      <c r="K59" s="15" t="s">
        <v>932</v>
      </c>
      <c r="L59" s="15"/>
      <c r="M59" s="15" t="s">
        <v>933</v>
      </c>
      <c r="N59" s="15"/>
      <c r="O59" s="15" t="s">
        <v>938</v>
      </c>
      <c r="P59" s="15"/>
      <c r="Q59" s="15" t="s">
        <v>939</v>
      </c>
      <c r="R59" s="15"/>
      <c r="S59" s="15" t="s">
        <v>940</v>
      </c>
      <c r="T59" s="15">
        <v>0</v>
      </c>
      <c r="U59" s="15">
        <v>0</v>
      </c>
      <c r="V59" s="15">
        <v>0</v>
      </c>
      <c r="W59" s="15">
        <v>0</v>
      </c>
      <c r="X59" s="15" t="s">
        <v>937</v>
      </c>
      <c r="Y59" s="15"/>
      <c r="Z59" s="15"/>
      <c r="AA59" s="16" t="s">
        <v>130</v>
      </c>
      <c r="AB59" s="17" t="s">
        <v>129</v>
      </c>
      <c r="AC59" s="17" t="s">
        <v>58</v>
      </c>
      <c r="AD59" s="18">
        <v>816733820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18">
        <v>816733820</v>
      </c>
      <c r="AK59" s="18">
        <v>45932800</v>
      </c>
      <c r="AL59" s="18">
        <v>46116300</v>
      </c>
      <c r="AM59" s="18">
        <v>91889100</v>
      </c>
      <c r="AN59" s="34">
        <v>0</v>
      </c>
      <c r="AO59" s="18">
        <v>46116300</v>
      </c>
      <c r="AP59" s="18">
        <v>91889100</v>
      </c>
      <c r="AQ59" s="34">
        <v>0</v>
      </c>
      <c r="AR59" s="34">
        <v>46116300</v>
      </c>
      <c r="AS59" s="110">
        <v>91889100</v>
      </c>
      <c r="AT59" s="30">
        <f t="shared" si="26"/>
        <v>91889100</v>
      </c>
      <c r="AU59" s="18">
        <f t="shared" si="27"/>
        <v>724844720</v>
      </c>
      <c r="AV59" s="34">
        <f t="shared" si="28"/>
        <v>0</v>
      </c>
      <c r="AW59" s="34">
        <f t="shared" si="29"/>
        <v>0</v>
      </c>
      <c r="AX59" s="32">
        <f t="shared" si="8"/>
        <v>0.11250801393286249</v>
      </c>
    </row>
    <row r="60" spans="1:50" ht="18.75" customHeight="1" x14ac:dyDescent="0.2">
      <c r="A60" s="14" t="s">
        <v>55</v>
      </c>
      <c r="B60" s="15" t="s">
        <v>56</v>
      </c>
      <c r="C60" s="15"/>
      <c r="D60" s="15" t="s">
        <v>40</v>
      </c>
      <c r="E60" s="15"/>
      <c r="F60" s="15"/>
      <c r="G60" s="15" t="s">
        <v>41</v>
      </c>
      <c r="H60" s="15"/>
      <c r="I60" s="15" t="s">
        <v>941</v>
      </c>
      <c r="J60" s="15"/>
      <c r="K60" s="15" t="s">
        <v>932</v>
      </c>
      <c r="L60" s="15"/>
      <c r="M60" s="15" t="s">
        <v>933</v>
      </c>
      <c r="N60" s="15"/>
      <c r="O60" s="15" t="s">
        <v>938</v>
      </c>
      <c r="P60" s="15"/>
      <c r="Q60" s="15" t="s">
        <v>939</v>
      </c>
      <c r="R60" s="15"/>
      <c r="S60" s="15" t="s">
        <v>940</v>
      </c>
      <c r="T60" s="15">
        <v>0</v>
      </c>
      <c r="U60" s="15">
        <v>0</v>
      </c>
      <c r="V60" s="15">
        <v>0</v>
      </c>
      <c r="W60" s="15">
        <v>0</v>
      </c>
      <c r="X60" s="15" t="s">
        <v>937</v>
      </c>
      <c r="Y60" s="15"/>
      <c r="Z60" s="15"/>
      <c r="AA60" s="16" t="s">
        <v>131</v>
      </c>
      <c r="AB60" s="17" t="s">
        <v>129</v>
      </c>
      <c r="AC60" s="17" t="s">
        <v>61</v>
      </c>
      <c r="AD60" s="18">
        <v>48911728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18">
        <v>48911728</v>
      </c>
      <c r="AK60" s="34">
        <v>0</v>
      </c>
      <c r="AL60" s="18">
        <v>3621600</v>
      </c>
      <c r="AM60" s="18">
        <v>10261600</v>
      </c>
      <c r="AN60" s="34">
        <v>0</v>
      </c>
      <c r="AO60" s="18">
        <v>3621600</v>
      </c>
      <c r="AP60" s="18">
        <v>10261600</v>
      </c>
      <c r="AQ60" s="34">
        <v>3621600</v>
      </c>
      <c r="AR60" s="34">
        <v>3453100</v>
      </c>
      <c r="AS60" s="110">
        <v>6640000</v>
      </c>
      <c r="AT60" s="30">
        <f t="shared" si="26"/>
        <v>10261600</v>
      </c>
      <c r="AU60" s="18">
        <f t="shared" si="27"/>
        <v>38650128</v>
      </c>
      <c r="AV60" s="34">
        <f t="shared" si="28"/>
        <v>0</v>
      </c>
      <c r="AW60" s="34">
        <f t="shared" si="29"/>
        <v>0</v>
      </c>
      <c r="AX60" s="32">
        <f t="shared" si="8"/>
        <v>0.20979835347465131</v>
      </c>
    </row>
    <row r="61" spans="1:50" ht="18.75" customHeight="1" x14ac:dyDescent="0.2">
      <c r="A61" s="27" t="s">
        <v>49</v>
      </c>
      <c r="B61" s="27" t="s">
        <v>50</v>
      </c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8" t="s">
        <v>132</v>
      </c>
      <c r="AB61" s="29" t="s">
        <v>133</v>
      </c>
      <c r="AC61" s="30" t="s">
        <v>37</v>
      </c>
      <c r="AD61" s="30">
        <f>AD62+AD63</f>
        <v>144274257</v>
      </c>
      <c r="AE61" s="31">
        <f t="shared" ref="AE61:AS61" si="35">AE62+AE63</f>
        <v>0</v>
      </c>
      <c r="AF61" s="31">
        <f t="shared" si="35"/>
        <v>0</v>
      </c>
      <c r="AG61" s="31">
        <f t="shared" si="35"/>
        <v>0</v>
      </c>
      <c r="AH61" s="31">
        <f t="shared" si="35"/>
        <v>0</v>
      </c>
      <c r="AI61" s="31">
        <f t="shared" si="35"/>
        <v>0</v>
      </c>
      <c r="AJ61" s="30">
        <f t="shared" si="35"/>
        <v>144274257</v>
      </c>
      <c r="AK61" s="30">
        <f t="shared" si="35"/>
        <v>7671600</v>
      </c>
      <c r="AL61" s="30">
        <f t="shared" si="35"/>
        <v>8307000</v>
      </c>
      <c r="AM61" s="30">
        <f t="shared" si="35"/>
        <v>17059600</v>
      </c>
      <c r="AN61" s="31">
        <f t="shared" si="35"/>
        <v>0</v>
      </c>
      <c r="AO61" s="30">
        <f t="shared" si="35"/>
        <v>8307000</v>
      </c>
      <c r="AP61" s="30">
        <f t="shared" si="35"/>
        <v>17059600</v>
      </c>
      <c r="AQ61" s="31">
        <f t="shared" si="35"/>
        <v>604100</v>
      </c>
      <c r="AR61" s="31">
        <f t="shared" si="35"/>
        <v>8278900</v>
      </c>
      <c r="AS61" s="109">
        <f t="shared" si="35"/>
        <v>16455500</v>
      </c>
      <c r="AT61" s="30">
        <f t="shared" si="26"/>
        <v>17059600</v>
      </c>
      <c r="AU61" s="18">
        <f t="shared" si="27"/>
        <v>127214657</v>
      </c>
      <c r="AV61" s="34">
        <f t="shared" si="28"/>
        <v>0</v>
      </c>
      <c r="AW61" s="34">
        <f t="shared" si="29"/>
        <v>0</v>
      </c>
      <c r="AX61" s="32">
        <f t="shared" si="8"/>
        <v>0.11824424089739032</v>
      </c>
    </row>
    <row r="62" spans="1:50" ht="18.75" customHeight="1" x14ac:dyDescent="0.2">
      <c r="A62" s="14" t="s">
        <v>55</v>
      </c>
      <c r="B62" s="15" t="s">
        <v>56</v>
      </c>
      <c r="C62" s="15"/>
      <c r="D62" s="15" t="s">
        <v>40</v>
      </c>
      <c r="E62" s="15"/>
      <c r="F62" s="15"/>
      <c r="G62" s="15" t="s">
        <v>41</v>
      </c>
      <c r="H62" s="15"/>
      <c r="I62" s="15" t="s">
        <v>936</v>
      </c>
      <c r="J62" s="15"/>
      <c r="K62" s="15" t="s">
        <v>932</v>
      </c>
      <c r="L62" s="15"/>
      <c r="M62" s="15" t="s">
        <v>933</v>
      </c>
      <c r="N62" s="15"/>
      <c r="O62" s="15" t="s">
        <v>938</v>
      </c>
      <c r="P62" s="15"/>
      <c r="Q62" s="15" t="s">
        <v>939</v>
      </c>
      <c r="R62" s="15"/>
      <c r="S62" s="15" t="s">
        <v>940</v>
      </c>
      <c r="T62" s="15">
        <v>0</v>
      </c>
      <c r="U62" s="15">
        <v>0</v>
      </c>
      <c r="V62" s="15">
        <v>0</v>
      </c>
      <c r="W62" s="15">
        <v>0</v>
      </c>
      <c r="X62" s="15" t="s">
        <v>937</v>
      </c>
      <c r="Y62" s="15"/>
      <c r="Z62" s="15"/>
      <c r="AA62" s="16" t="s">
        <v>134</v>
      </c>
      <c r="AB62" s="17" t="s">
        <v>133</v>
      </c>
      <c r="AC62" s="17" t="s">
        <v>58</v>
      </c>
      <c r="AD62" s="18">
        <v>136122303</v>
      </c>
      <c r="AE62" s="34">
        <v>0</v>
      </c>
      <c r="AF62" s="34">
        <v>0</v>
      </c>
      <c r="AG62" s="34">
        <v>0</v>
      </c>
      <c r="AH62" s="34">
        <v>0</v>
      </c>
      <c r="AI62" s="34">
        <v>0</v>
      </c>
      <c r="AJ62" s="18">
        <v>136122303</v>
      </c>
      <c r="AK62" s="18">
        <v>7671600</v>
      </c>
      <c r="AL62" s="18">
        <v>7702900</v>
      </c>
      <c r="AM62" s="18">
        <v>15348000</v>
      </c>
      <c r="AN62" s="34">
        <v>0</v>
      </c>
      <c r="AO62" s="18">
        <v>7702900</v>
      </c>
      <c r="AP62" s="18">
        <v>15348000</v>
      </c>
      <c r="AQ62" s="34">
        <v>0</v>
      </c>
      <c r="AR62" s="34">
        <v>7702900</v>
      </c>
      <c r="AS62" s="110">
        <v>15348000</v>
      </c>
      <c r="AT62" s="30">
        <f t="shared" si="26"/>
        <v>15348000</v>
      </c>
      <c r="AU62" s="18">
        <f t="shared" si="27"/>
        <v>120774303</v>
      </c>
      <c r="AV62" s="34">
        <f t="shared" si="28"/>
        <v>0</v>
      </c>
      <c r="AW62" s="34">
        <f t="shared" si="29"/>
        <v>0</v>
      </c>
      <c r="AX62" s="32">
        <f t="shared" si="8"/>
        <v>0.11275154520416834</v>
      </c>
    </row>
    <row r="63" spans="1:50" ht="18.75" customHeight="1" x14ac:dyDescent="0.2">
      <c r="A63" s="14" t="s">
        <v>55</v>
      </c>
      <c r="B63" s="15" t="s">
        <v>56</v>
      </c>
      <c r="C63" s="15"/>
      <c r="D63" s="15" t="s">
        <v>40</v>
      </c>
      <c r="E63" s="15"/>
      <c r="F63" s="15"/>
      <c r="G63" s="15" t="s">
        <v>41</v>
      </c>
      <c r="H63" s="15"/>
      <c r="I63" s="15" t="s">
        <v>941</v>
      </c>
      <c r="J63" s="15"/>
      <c r="K63" s="15" t="s">
        <v>932</v>
      </c>
      <c r="L63" s="15"/>
      <c r="M63" s="15" t="s">
        <v>933</v>
      </c>
      <c r="N63" s="15"/>
      <c r="O63" s="15" t="s">
        <v>938</v>
      </c>
      <c r="P63" s="15"/>
      <c r="Q63" s="15" t="s">
        <v>939</v>
      </c>
      <c r="R63" s="15"/>
      <c r="S63" s="15" t="s">
        <v>940</v>
      </c>
      <c r="T63" s="15">
        <v>0</v>
      </c>
      <c r="U63" s="15">
        <v>0</v>
      </c>
      <c r="V63" s="15">
        <v>0</v>
      </c>
      <c r="W63" s="15">
        <v>0</v>
      </c>
      <c r="X63" s="15" t="s">
        <v>937</v>
      </c>
      <c r="Y63" s="15"/>
      <c r="Z63" s="15"/>
      <c r="AA63" s="16" t="s">
        <v>135</v>
      </c>
      <c r="AB63" s="17" t="s">
        <v>136</v>
      </c>
      <c r="AC63" s="17" t="s">
        <v>61</v>
      </c>
      <c r="AD63" s="18">
        <v>8151954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18">
        <v>8151954</v>
      </c>
      <c r="AK63" s="34">
        <v>0</v>
      </c>
      <c r="AL63" s="18">
        <v>604100</v>
      </c>
      <c r="AM63" s="18">
        <v>1711600</v>
      </c>
      <c r="AN63" s="34">
        <v>0</v>
      </c>
      <c r="AO63" s="18">
        <v>604100</v>
      </c>
      <c r="AP63" s="18">
        <v>1711600</v>
      </c>
      <c r="AQ63" s="34">
        <v>604100</v>
      </c>
      <c r="AR63" s="34">
        <v>576000</v>
      </c>
      <c r="AS63" s="110">
        <v>1107500</v>
      </c>
      <c r="AT63" s="30">
        <f t="shared" si="26"/>
        <v>1711600</v>
      </c>
      <c r="AU63" s="18">
        <f t="shared" si="27"/>
        <v>6440354</v>
      </c>
      <c r="AV63" s="34">
        <f t="shared" si="28"/>
        <v>0</v>
      </c>
      <c r="AW63" s="34">
        <f t="shared" si="29"/>
        <v>0</v>
      </c>
      <c r="AX63" s="32">
        <f t="shared" si="8"/>
        <v>0.20996193059970653</v>
      </c>
    </row>
    <row r="64" spans="1:50" ht="18.75" customHeight="1" x14ac:dyDescent="0.2">
      <c r="A64" s="27" t="s">
        <v>49</v>
      </c>
      <c r="B64" s="27" t="s">
        <v>50</v>
      </c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8" t="s">
        <v>137</v>
      </c>
      <c r="AB64" s="29" t="s">
        <v>138</v>
      </c>
      <c r="AC64" s="30" t="s">
        <v>37</v>
      </c>
      <c r="AD64" s="30">
        <f>AD65+AD66</f>
        <v>144274257</v>
      </c>
      <c r="AE64" s="31">
        <f t="shared" ref="AE64:AS64" si="36">AE65+AE66</f>
        <v>0</v>
      </c>
      <c r="AF64" s="31">
        <f t="shared" si="36"/>
        <v>0</v>
      </c>
      <c r="AG64" s="31">
        <f t="shared" si="36"/>
        <v>0</v>
      </c>
      <c r="AH64" s="31">
        <f t="shared" si="36"/>
        <v>0</v>
      </c>
      <c r="AI64" s="31">
        <f t="shared" si="36"/>
        <v>0</v>
      </c>
      <c r="AJ64" s="30">
        <f t="shared" si="36"/>
        <v>144274257</v>
      </c>
      <c r="AK64" s="30">
        <f t="shared" si="36"/>
        <v>7671600</v>
      </c>
      <c r="AL64" s="30">
        <f t="shared" si="36"/>
        <v>8307000</v>
      </c>
      <c r="AM64" s="30">
        <f t="shared" si="36"/>
        <v>17059600</v>
      </c>
      <c r="AN64" s="31">
        <f t="shared" si="36"/>
        <v>0</v>
      </c>
      <c r="AO64" s="30">
        <f t="shared" si="36"/>
        <v>8307000</v>
      </c>
      <c r="AP64" s="30">
        <f t="shared" si="36"/>
        <v>17059600</v>
      </c>
      <c r="AQ64" s="30">
        <f t="shared" si="36"/>
        <v>604100</v>
      </c>
      <c r="AR64" s="30">
        <f t="shared" si="36"/>
        <v>8278900</v>
      </c>
      <c r="AS64" s="109">
        <f t="shared" si="36"/>
        <v>16455500</v>
      </c>
      <c r="AT64" s="30">
        <f t="shared" si="26"/>
        <v>17059600</v>
      </c>
      <c r="AU64" s="18">
        <f t="shared" si="27"/>
        <v>127214657</v>
      </c>
      <c r="AV64" s="34">
        <f t="shared" si="28"/>
        <v>0</v>
      </c>
      <c r="AW64" s="34">
        <f t="shared" si="29"/>
        <v>0</v>
      </c>
      <c r="AX64" s="32">
        <f t="shared" si="8"/>
        <v>0.11824424089739032</v>
      </c>
    </row>
    <row r="65" spans="1:50" ht="18.75" customHeight="1" x14ac:dyDescent="0.2">
      <c r="A65" s="14" t="s">
        <v>55</v>
      </c>
      <c r="B65" s="15" t="s">
        <v>56</v>
      </c>
      <c r="C65" s="15"/>
      <c r="D65" s="15" t="s">
        <v>40</v>
      </c>
      <c r="E65" s="15"/>
      <c r="F65" s="15"/>
      <c r="G65" s="15" t="s">
        <v>41</v>
      </c>
      <c r="H65" s="15"/>
      <c r="I65" s="15" t="s">
        <v>936</v>
      </c>
      <c r="J65" s="15"/>
      <c r="K65" s="15" t="s">
        <v>932</v>
      </c>
      <c r="L65" s="15"/>
      <c r="M65" s="15" t="s">
        <v>933</v>
      </c>
      <c r="N65" s="15"/>
      <c r="O65" s="15" t="s">
        <v>938</v>
      </c>
      <c r="P65" s="15"/>
      <c r="Q65" s="15" t="s">
        <v>939</v>
      </c>
      <c r="R65" s="15"/>
      <c r="S65" s="15" t="s">
        <v>940</v>
      </c>
      <c r="T65" s="15">
        <v>0</v>
      </c>
      <c r="U65" s="15">
        <v>0</v>
      </c>
      <c r="V65" s="15">
        <v>0</v>
      </c>
      <c r="W65" s="15">
        <v>0</v>
      </c>
      <c r="X65" s="15" t="s">
        <v>937</v>
      </c>
      <c r="Y65" s="15"/>
      <c r="Z65" s="15"/>
      <c r="AA65" s="16" t="s">
        <v>139</v>
      </c>
      <c r="AB65" s="17" t="s">
        <v>138</v>
      </c>
      <c r="AC65" s="17" t="s">
        <v>58</v>
      </c>
      <c r="AD65" s="18">
        <v>136122303</v>
      </c>
      <c r="AE65" s="34">
        <v>0</v>
      </c>
      <c r="AF65" s="34">
        <v>0</v>
      </c>
      <c r="AG65" s="34">
        <v>0</v>
      </c>
      <c r="AH65" s="34">
        <v>0</v>
      </c>
      <c r="AI65" s="34">
        <v>0</v>
      </c>
      <c r="AJ65" s="18">
        <v>136122303</v>
      </c>
      <c r="AK65" s="18">
        <v>7671600</v>
      </c>
      <c r="AL65" s="18">
        <v>7702900</v>
      </c>
      <c r="AM65" s="18">
        <v>15348000</v>
      </c>
      <c r="AN65" s="34">
        <v>0</v>
      </c>
      <c r="AO65" s="18">
        <v>7702900</v>
      </c>
      <c r="AP65" s="18">
        <v>15348000</v>
      </c>
      <c r="AQ65" s="18">
        <v>0</v>
      </c>
      <c r="AR65" s="18">
        <v>7702900</v>
      </c>
      <c r="AS65" s="110">
        <v>15348000</v>
      </c>
      <c r="AT65" s="30">
        <f t="shared" si="26"/>
        <v>15348000</v>
      </c>
      <c r="AU65" s="18">
        <f t="shared" si="27"/>
        <v>120774303</v>
      </c>
      <c r="AV65" s="34">
        <f t="shared" si="28"/>
        <v>0</v>
      </c>
      <c r="AW65" s="34">
        <f t="shared" si="29"/>
        <v>0</v>
      </c>
      <c r="AX65" s="32">
        <f t="shared" si="8"/>
        <v>0.11275154520416834</v>
      </c>
    </row>
    <row r="66" spans="1:50" ht="18.75" customHeight="1" x14ac:dyDescent="0.2">
      <c r="A66" s="14" t="s">
        <v>55</v>
      </c>
      <c r="B66" s="15" t="s">
        <v>56</v>
      </c>
      <c r="C66" s="15"/>
      <c r="D66" s="15" t="s">
        <v>40</v>
      </c>
      <c r="E66" s="15"/>
      <c r="F66" s="15"/>
      <c r="G66" s="15" t="s">
        <v>41</v>
      </c>
      <c r="H66" s="15"/>
      <c r="I66" s="15" t="s">
        <v>941</v>
      </c>
      <c r="J66" s="15"/>
      <c r="K66" s="15" t="s">
        <v>932</v>
      </c>
      <c r="L66" s="15"/>
      <c r="M66" s="15" t="s">
        <v>933</v>
      </c>
      <c r="N66" s="15"/>
      <c r="O66" s="15" t="s">
        <v>938</v>
      </c>
      <c r="P66" s="15"/>
      <c r="Q66" s="15" t="s">
        <v>939</v>
      </c>
      <c r="R66" s="15"/>
      <c r="S66" s="15" t="s">
        <v>940</v>
      </c>
      <c r="T66" s="15">
        <v>0</v>
      </c>
      <c r="U66" s="15">
        <v>0</v>
      </c>
      <c r="V66" s="15">
        <v>0</v>
      </c>
      <c r="W66" s="15">
        <v>0</v>
      </c>
      <c r="X66" s="15" t="s">
        <v>937</v>
      </c>
      <c r="Y66" s="15"/>
      <c r="Z66" s="15"/>
      <c r="AA66" s="16" t="s">
        <v>140</v>
      </c>
      <c r="AB66" s="17" t="s">
        <v>141</v>
      </c>
      <c r="AC66" s="17" t="s">
        <v>61</v>
      </c>
      <c r="AD66" s="18">
        <v>8151954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18">
        <v>8151954</v>
      </c>
      <c r="AK66" s="34">
        <v>0</v>
      </c>
      <c r="AL66" s="18">
        <v>604100</v>
      </c>
      <c r="AM66" s="18">
        <v>1711600</v>
      </c>
      <c r="AN66" s="34">
        <v>0</v>
      </c>
      <c r="AO66" s="18">
        <v>604100</v>
      </c>
      <c r="AP66" s="18">
        <v>1711600</v>
      </c>
      <c r="AQ66" s="18">
        <v>604100</v>
      </c>
      <c r="AR66" s="18">
        <v>576000</v>
      </c>
      <c r="AS66" s="110">
        <v>1107500</v>
      </c>
      <c r="AT66" s="30">
        <f t="shared" si="26"/>
        <v>1711600</v>
      </c>
      <c r="AU66" s="18">
        <f t="shared" si="27"/>
        <v>6440354</v>
      </c>
      <c r="AV66" s="34">
        <f t="shared" si="28"/>
        <v>0</v>
      </c>
      <c r="AW66" s="34">
        <f t="shared" si="29"/>
        <v>0</v>
      </c>
      <c r="AX66" s="32">
        <f t="shared" si="8"/>
        <v>0.20996193059970653</v>
      </c>
    </row>
    <row r="67" spans="1:50" ht="18.75" customHeight="1" x14ac:dyDescent="0.2">
      <c r="A67" s="27" t="s">
        <v>55</v>
      </c>
      <c r="B67" s="27" t="s">
        <v>56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8" t="s">
        <v>142</v>
      </c>
      <c r="AB67" s="29" t="s">
        <v>143</v>
      </c>
      <c r="AC67" s="30" t="s">
        <v>37</v>
      </c>
      <c r="AD67" s="30">
        <f>AD68+AD69</f>
        <v>273762589</v>
      </c>
      <c r="AE67" s="31">
        <f t="shared" ref="AE67:AS67" si="37">AE68+AE69</f>
        <v>0</v>
      </c>
      <c r="AF67" s="31">
        <f t="shared" si="37"/>
        <v>0</v>
      </c>
      <c r="AG67" s="31">
        <f t="shared" si="37"/>
        <v>0</v>
      </c>
      <c r="AH67" s="31">
        <f t="shared" si="37"/>
        <v>0</v>
      </c>
      <c r="AI67" s="31">
        <f t="shared" si="37"/>
        <v>0</v>
      </c>
      <c r="AJ67" s="30">
        <f t="shared" si="37"/>
        <v>273762589</v>
      </c>
      <c r="AK67" s="30">
        <f t="shared" si="37"/>
        <v>15326000</v>
      </c>
      <c r="AL67" s="30">
        <f t="shared" si="37"/>
        <v>16594200</v>
      </c>
      <c r="AM67" s="30">
        <f t="shared" si="37"/>
        <v>34079100</v>
      </c>
      <c r="AN67" s="31">
        <f t="shared" si="37"/>
        <v>0</v>
      </c>
      <c r="AO67" s="30">
        <f t="shared" si="37"/>
        <v>16594200</v>
      </c>
      <c r="AP67" s="30">
        <f t="shared" si="37"/>
        <v>34079100</v>
      </c>
      <c r="AQ67" s="30">
        <f t="shared" si="37"/>
        <v>1207400</v>
      </c>
      <c r="AR67" s="30">
        <f t="shared" si="37"/>
        <v>16538100</v>
      </c>
      <c r="AS67" s="109">
        <f t="shared" si="37"/>
        <v>32871700</v>
      </c>
      <c r="AT67" s="30">
        <f t="shared" si="26"/>
        <v>34079100</v>
      </c>
      <c r="AU67" s="18">
        <f t="shared" si="27"/>
        <v>239683489</v>
      </c>
      <c r="AV67" s="34">
        <f t="shared" si="28"/>
        <v>0</v>
      </c>
      <c r="AW67" s="34">
        <f t="shared" si="29"/>
        <v>0</v>
      </c>
      <c r="AX67" s="32">
        <f t="shared" si="8"/>
        <v>0.12448413833491324</v>
      </c>
    </row>
    <row r="68" spans="1:50" ht="18.75" customHeight="1" x14ac:dyDescent="0.2">
      <c r="A68" s="35" t="s">
        <v>55</v>
      </c>
      <c r="B68" s="36" t="s">
        <v>56</v>
      </c>
      <c r="C68" s="36"/>
      <c r="D68" s="36" t="s">
        <v>40</v>
      </c>
      <c r="E68" s="36"/>
      <c r="F68" s="36"/>
      <c r="G68" s="36" t="s">
        <v>41</v>
      </c>
      <c r="H68" s="36"/>
      <c r="I68" s="36" t="s">
        <v>936</v>
      </c>
      <c r="J68" s="36"/>
      <c r="K68" s="36" t="s">
        <v>932</v>
      </c>
      <c r="L68" s="36"/>
      <c r="M68" s="36" t="s">
        <v>933</v>
      </c>
      <c r="N68" s="36"/>
      <c r="O68" s="36" t="s">
        <v>938</v>
      </c>
      <c r="P68" s="36"/>
      <c r="Q68" s="36" t="s">
        <v>939</v>
      </c>
      <c r="R68" s="36"/>
      <c r="S68" s="36" t="s">
        <v>940</v>
      </c>
      <c r="T68" s="36">
        <v>0</v>
      </c>
      <c r="U68" s="36">
        <v>0</v>
      </c>
      <c r="V68" s="36">
        <v>0</v>
      </c>
      <c r="W68" s="36">
        <v>0</v>
      </c>
      <c r="X68" s="36" t="s">
        <v>937</v>
      </c>
      <c r="Y68" s="36"/>
      <c r="Z68" s="36"/>
      <c r="AA68" s="37" t="s">
        <v>144</v>
      </c>
      <c r="AB68" s="38" t="s">
        <v>145</v>
      </c>
      <c r="AC68" s="38" t="s">
        <v>58</v>
      </c>
      <c r="AD68" s="39">
        <v>257458680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  <c r="AJ68" s="39">
        <v>257458680</v>
      </c>
      <c r="AK68" s="39">
        <v>15326000</v>
      </c>
      <c r="AL68" s="39">
        <v>15386800</v>
      </c>
      <c r="AM68" s="39">
        <v>30657900</v>
      </c>
      <c r="AN68" s="40">
        <v>0</v>
      </c>
      <c r="AO68" s="39">
        <v>15386800</v>
      </c>
      <c r="AP68" s="39">
        <v>30657900</v>
      </c>
      <c r="AQ68" s="39">
        <v>0</v>
      </c>
      <c r="AR68" s="39">
        <v>15386800</v>
      </c>
      <c r="AS68" s="39">
        <v>30657900</v>
      </c>
      <c r="AT68" s="30">
        <f t="shared" si="26"/>
        <v>30657900</v>
      </c>
      <c r="AU68" s="18">
        <f t="shared" si="27"/>
        <v>226800780</v>
      </c>
      <c r="AV68" s="34">
        <f t="shared" si="28"/>
        <v>0</v>
      </c>
      <c r="AW68" s="34">
        <f t="shared" si="29"/>
        <v>0</v>
      </c>
      <c r="AX68" s="32">
        <f t="shared" si="8"/>
        <v>0.11907891394455995</v>
      </c>
    </row>
    <row r="69" spans="1:50" ht="31.5" customHeight="1" x14ac:dyDescent="0.2">
      <c r="A69" s="14" t="s">
        <v>55</v>
      </c>
      <c r="B69" s="15" t="s">
        <v>56</v>
      </c>
      <c r="C69" s="15"/>
      <c r="D69" s="15" t="s">
        <v>40</v>
      </c>
      <c r="E69" s="15"/>
      <c r="F69" s="15"/>
      <c r="G69" s="15" t="s">
        <v>41</v>
      </c>
      <c r="H69" s="15"/>
      <c r="I69" s="15" t="s">
        <v>941</v>
      </c>
      <c r="J69" s="15"/>
      <c r="K69" s="15" t="s">
        <v>932</v>
      </c>
      <c r="L69" s="15"/>
      <c r="M69" s="15" t="s">
        <v>933</v>
      </c>
      <c r="N69" s="15"/>
      <c r="O69" s="15" t="s">
        <v>938</v>
      </c>
      <c r="P69" s="15"/>
      <c r="Q69" s="15" t="s">
        <v>939</v>
      </c>
      <c r="R69" s="15"/>
      <c r="S69" s="15" t="s">
        <v>940</v>
      </c>
      <c r="T69" s="15">
        <v>0</v>
      </c>
      <c r="U69" s="15">
        <v>0</v>
      </c>
      <c r="V69" s="15">
        <v>0</v>
      </c>
      <c r="W69" s="15">
        <v>0</v>
      </c>
      <c r="X69" s="15" t="s">
        <v>937</v>
      </c>
      <c r="Y69" s="15"/>
      <c r="Z69" s="15"/>
      <c r="AA69" s="16" t="s">
        <v>146</v>
      </c>
      <c r="AB69" s="17" t="s">
        <v>147</v>
      </c>
      <c r="AC69" s="17" t="s">
        <v>61</v>
      </c>
      <c r="AD69" s="18">
        <v>16303909</v>
      </c>
      <c r="AE69" s="34">
        <v>0</v>
      </c>
      <c r="AF69" s="34">
        <v>0</v>
      </c>
      <c r="AG69" s="34">
        <v>0</v>
      </c>
      <c r="AH69" s="34">
        <v>0</v>
      </c>
      <c r="AI69" s="34">
        <v>0</v>
      </c>
      <c r="AJ69" s="18">
        <v>16303909</v>
      </c>
      <c r="AK69" s="18">
        <v>0</v>
      </c>
      <c r="AL69" s="18">
        <v>1207400</v>
      </c>
      <c r="AM69" s="18">
        <v>3421200</v>
      </c>
      <c r="AN69" s="34">
        <v>0</v>
      </c>
      <c r="AO69" s="18">
        <v>1207400</v>
      </c>
      <c r="AP69" s="18">
        <v>3421200</v>
      </c>
      <c r="AQ69" s="18">
        <v>1207400</v>
      </c>
      <c r="AR69" s="18">
        <v>1151300</v>
      </c>
      <c r="AS69" s="18">
        <v>2213800</v>
      </c>
      <c r="AT69" s="30">
        <f t="shared" si="26"/>
        <v>3421200</v>
      </c>
      <c r="AU69" s="18">
        <f t="shared" si="27"/>
        <v>12882709</v>
      </c>
      <c r="AV69" s="34">
        <f t="shared" si="28"/>
        <v>0</v>
      </c>
      <c r="AW69" s="34">
        <f t="shared" si="29"/>
        <v>0</v>
      </c>
      <c r="AX69" s="32">
        <f t="shared" si="8"/>
        <v>0.20983924775340687</v>
      </c>
    </row>
    <row r="70" spans="1:50" s="25" customFormat="1" ht="18.75" customHeight="1" x14ac:dyDescent="0.2">
      <c r="A70" s="19" t="s">
        <v>49</v>
      </c>
      <c r="B70" s="19" t="s">
        <v>50</v>
      </c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26" t="s">
        <v>148</v>
      </c>
      <c r="AB70" s="21" t="s">
        <v>149</v>
      </c>
      <c r="AC70" s="22" t="s">
        <v>37</v>
      </c>
      <c r="AD70" s="22">
        <f>AD71+AD81+AD82+AD83+AD84+AD85</f>
        <v>2847587617</v>
      </c>
      <c r="AE70" s="23">
        <f t="shared" ref="AE70:AW70" si="38">AE71+AE81+AE82+AE83+AE84+AE85</f>
        <v>0</v>
      </c>
      <c r="AF70" s="23">
        <f t="shared" si="38"/>
        <v>0</v>
      </c>
      <c r="AG70" s="23">
        <f t="shared" si="38"/>
        <v>0</v>
      </c>
      <c r="AH70" s="23">
        <f t="shared" si="38"/>
        <v>0</v>
      </c>
      <c r="AI70" s="23">
        <f t="shared" si="38"/>
        <v>0</v>
      </c>
      <c r="AJ70" s="22">
        <f t="shared" si="38"/>
        <v>2847587617</v>
      </c>
      <c r="AK70" s="23">
        <f t="shared" si="38"/>
        <v>0</v>
      </c>
      <c r="AL70" s="22">
        <f t="shared" si="38"/>
        <v>108909339</v>
      </c>
      <c r="AM70" s="22">
        <f t="shared" si="38"/>
        <v>369509258</v>
      </c>
      <c r="AN70" s="23">
        <f t="shared" si="38"/>
        <v>0</v>
      </c>
      <c r="AO70" s="22">
        <f t="shared" si="38"/>
        <v>108909339</v>
      </c>
      <c r="AP70" s="22">
        <f t="shared" si="38"/>
        <v>369509258</v>
      </c>
      <c r="AQ70" s="23">
        <f t="shared" si="38"/>
        <v>0</v>
      </c>
      <c r="AR70" s="22">
        <f t="shared" si="38"/>
        <v>12559904</v>
      </c>
      <c r="AS70" s="22">
        <f t="shared" si="38"/>
        <v>144591452</v>
      </c>
      <c r="AT70" s="22">
        <f t="shared" si="38"/>
        <v>144591452</v>
      </c>
      <c r="AU70" s="22">
        <f t="shared" si="38"/>
        <v>2478078359</v>
      </c>
      <c r="AV70" s="23">
        <f t="shared" si="38"/>
        <v>0</v>
      </c>
      <c r="AW70" s="22">
        <f t="shared" si="38"/>
        <v>224917806</v>
      </c>
      <c r="AX70" s="24">
        <f t="shared" si="8"/>
        <v>0.12976220847219677</v>
      </c>
    </row>
    <row r="71" spans="1:50" ht="18.75" customHeight="1" x14ac:dyDescent="0.2">
      <c r="A71" s="27" t="s">
        <v>49</v>
      </c>
      <c r="B71" s="27" t="s">
        <v>50</v>
      </c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8" t="s">
        <v>150</v>
      </c>
      <c r="AB71" s="29" t="s">
        <v>81</v>
      </c>
      <c r="AC71" s="30" t="s">
        <v>37</v>
      </c>
      <c r="AD71" s="30">
        <f>AD72+AD75+AD78</f>
        <v>2386452170</v>
      </c>
      <c r="AE71" s="31">
        <f t="shared" ref="AE71:AS71" si="39">AE72+AE75+AE78</f>
        <v>0</v>
      </c>
      <c r="AF71" s="31">
        <f t="shared" si="39"/>
        <v>0</v>
      </c>
      <c r="AG71" s="31">
        <f t="shared" si="39"/>
        <v>0</v>
      </c>
      <c r="AH71" s="31">
        <f t="shared" si="39"/>
        <v>0</v>
      </c>
      <c r="AI71" s="31">
        <f t="shared" si="39"/>
        <v>0</v>
      </c>
      <c r="AJ71" s="30">
        <f t="shared" si="39"/>
        <v>2386452170</v>
      </c>
      <c r="AK71" s="31">
        <f t="shared" si="39"/>
        <v>0</v>
      </c>
      <c r="AL71" s="30">
        <f t="shared" si="39"/>
        <v>68121894</v>
      </c>
      <c r="AM71" s="30">
        <f t="shared" si="39"/>
        <v>260539054</v>
      </c>
      <c r="AN71" s="31">
        <f t="shared" si="39"/>
        <v>0</v>
      </c>
      <c r="AO71" s="30">
        <f t="shared" si="39"/>
        <v>68121894</v>
      </c>
      <c r="AP71" s="30">
        <f t="shared" si="39"/>
        <v>260539054</v>
      </c>
      <c r="AQ71" s="31">
        <f t="shared" si="39"/>
        <v>0</v>
      </c>
      <c r="AR71" s="30">
        <f t="shared" si="39"/>
        <v>2904617</v>
      </c>
      <c r="AS71" s="30">
        <f t="shared" si="39"/>
        <v>99539308</v>
      </c>
      <c r="AT71" s="30">
        <f t="shared" ref="AT71:AT91" si="40">AQ71+AS71</f>
        <v>99539308</v>
      </c>
      <c r="AU71" s="18">
        <f t="shared" ref="AU71:AU85" si="41">AJ71-AM71</f>
        <v>2125913116</v>
      </c>
      <c r="AV71" s="34">
        <f t="shared" ref="AV71:AV85" si="42">AM71-AP71</f>
        <v>0</v>
      </c>
      <c r="AW71" s="18">
        <f t="shared" ref="AW71:AW85" si="43">AP71-AT71</f>
        <v>160999746</v>
      </c>
      <c r="AX71" s="32">
        <f t="shared" si="8"/>
        <v>0.10917421990485567</v>
      </c>
    </row>
    <row r="72" spans="1:50" ht="18.75" customHeight="1" x14ac:dyDescent="0.2">
      <c r="A72" s="27" t="s">
        <v>49</v>
      </c>
      <c r="B72" s="27" t="s">
        <v>50</v>
      </c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8" t="s">
        <v>151</v>
      </c>
      <c r="AB72" s="29" t="s">
        <v>152</v>
      </c>
      <c r="AC72" s="30" t="s">
        <v>37</v>
      </c>
      <c r="AD72" s="30">
        <f>AD73+AD74</f>
        <v>1664997140</v>
      </c>
      <c r="AE72" s="31">
        <f t="shared" ref="AE72:AS72" si="44">AE73+AE74</f>
        <v>0</v>
      </c>
      <c r="AF72" s="31">
        <f t="shared" si="44"/>
        <v>0</v>
      </c>
      <c r="AG72" s="31">
        <f t="shared" si="44"/>
        <v>0</v>
      </c>
      <c r="AH72" s="31">
        <f t="shared" si="44"/>
        <v>0</v>
      </c>
      <c r="AI72" s="31">
        <f t="shared" si="44"/>
        <v>0</v>
      </c>
      <c r="AJ72" s="30">
        <f t="shared" si="44"/>
        <v>1664997140</v>
      </c>
      <c r="AK72" s="31">
        <f t="shared" si="44"/>
        <v>0</v>
      </c>
      <c r="AL72" s="30">
        <f t="shared" si="44"/>
        <v>39799873</v>
      </c>
      <c r="AM72" s="30">
        <f t="shared" si="44"/>
        <v>119681845</v>
      </c>
      <c r="AN72" s="31">
        <f t="shared" si="44"/>
        <v>0</v>
      </c>
      <c r="AO72" s="30">
        <f t="shared" si="44"/>
        <v>39799873</v>
      </c>
      <c r="AP72" s="30">
        <f t="shared" si="44"/>
        <v>119681845</v>
      </c>
      <c r="AQ72" s="31">
        <f t="shared" si="44"/>
        <v>0</v>
      </c>
      <c r="AR72" s="31">
        <f t="shared" si="44"/>
        <v>0</v>
      </c>
      <c r="AS72" s="109">
        <f t="shared" si="44"/>
        <v>1582050</v>
      </c>
      <c r="AT72" s="30">
        <f t="shared" si="40"/>
        <v>1582050</v>
      </c>
      <c r="AU72" s="18">
        <f t="shared" si="41"/>
        <v>1545315295</v>
      </c>
      <c r="AV72" s="34">
        <f t="shared" si="42"/>
        <v>0</v>
      </c>
      <c r="AW72" s="18">
        <f t="shared" si="43"/>
        <v>118099795</v>
      </c>
      <c r="AX72" s="32">
        <f t="shared" si="8"/>
        <v>7.1881111459446714E-2</v>
      </c>
    </row>
    <row r="73" spans="1:50" ht="18.75" customHeight="1" x14ac:dyDescent="0.2">
      <c r="A73" s="14" t="s">
        <v>55</v>
      </c>
      <c r="B73" s="15" t="s">
        <v>56</v>
      </c>
      <c r="C73" s="15"/>
      <c r="D73" s="15" t="s">
        <v>40</v>
      </c>
      <c r="E73" s="15"/>
      <c r="F73" s="15"/>
      <c r="G73" s="15" t="s">
        <v>41</v>
      </c>
      <c r="H73" s="15"/>
      <c r="I73" s="15" t="s">
        <v>936</v>
      </c>
      <c r="J73" s="15"/>
      <c r="K73" s="15" t="s">
        <v>932</v>
      </c>
      <c r="L73" s="15"/>
      <c r="M73" s="15" t="s">
        <v>933</v>
      </c>
      <c r="N73" s="15"/>
      <c r="O73" s="15" t="s">
        <v>938</v>
      </c>
      <c r="P73" s="15"/>
      <c r="Q73" s="15" t="s">
        <v>939</v>
      </c>
      <c r="R73" s="15"/>
      <c r="S73" s="15" t="s">
        <v>940</v>
      </c>
      <c r="T73" s="15">
        <v>0</v>
      </c>
      <c r="U73" s="15">
        <v>0</v>
      </c>
      <c r="V73" s="15">
        <v>0</v>
      </c>
      <c r="W73" s="15">
        <v>0</v>
      </c>
      <c r="X73" s="15" t="s">
        <v>937</v>
      </c>
      <c r="Y73" s="15"/>
      <c r="Z73" s="15"/>
      <c r="AA73" s="16" t="s">
        <v>153</v>
      </c>
      <c r="AB73" s="17" t="s">
        <v>152</v>
      </c>
      <c r="AC73" s="17" t="s">
        <v>58</v>
      </c>
      <c r="AD73" s="18">
        <v>1564997140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18">
        <v>1564997140</v>
      </c>
      <c r="AK73" s="34">
        <v>0</v>
      </c>
      <c r="AL73" s="18">
        <v>36737180</v>
      </c>
      <c r="AM73" s="18">
        <v>116619152</v>
      </c>
      <c r="AN73" s="34">
        <v>0</v>
      </c>
      <c r="AO73" s="18">
        <v>36737180</v>
      </c>
      <c r="AP73" s="18">
        <v>116619152</v>
      </c>
      <c r="AQ73" s="34">
        <v>0</v>
      </c>
      <c r="AR73" s="34">
        <v>0</v>
      </c>
      <c r="AS73" s="110">
        <v>1582050</v>
      </c>
      <c r="AT73" s="30">
        <f t="shared" si="40"/>
        <v>1582050</v>
      </c>
      <c r="AU73" s="18">
        <f t="shared" si="41"/>
        <v>1448377988</v>
      </c>
      <c r="AV73" s="34">
        <f t="shared" si="42"/>
        <v>0</v>
      </c>
      <c r="AW73" s="18">
        <f t="shared" si="43"/>
        <v>115037102</v>
      </c>
      <c r="AX73" s="32">
        <f t="shared" si="8"/>
        <v>7.4517166210284577E-2</v>
      </c>
    </row>
    <row r="74" spans="1:50" ht="18.75" customHeight="1" x14ac:dyDescent="0.2">
      <c r="A74" s="35" t="s">
        <v>55</v>
      </c>
      <c r="B74" s="36" t="s">
        <v>56</v>
      </c>
      <c r="C74" s="36"/>
      <c r="D74" s="36" t="s">
        <v>40</v>
      </c>
      <c r="E74" s="36"/>
      <c r="F74" s="36"/>
      <c r="G74" s="36" t="s">
        <v>41</v>
      </c>
      <c r="H74" s="36"/>
      <c r="I74" s="36" t="s">
        <v>941</v>
      </c>
      <c r="J74" s="36"/>
      <c r="K74" s="36" t="s">
        <v>932</v>
      </c>
      <c r="L74" s="36"/>
      <c r="M74" s="36" t="s">
        <v>933</v>
      </c>
      <c r="N74" s="36"/>
      <c r="O74" s="36" t="s">
        <v>938</v>
      </c>
      <c r="P74" s="36"/>
      <c r="Q74" s="36" t="s">
        <v>939</v>
      </c>
      <c r="R74" s="36"/>
      <c r="S74" s="36" t="s">
        <v>940</v>
      </c>
      <c r="T74" s="36">
        <v>0</v>
      </c>
      <c r="U74" s="36">
        <v>0</v>
      </c>
      <c r="V74" s="36">
        <v>0</v>
      </c>
      <c r="W74" s="36">
        <v>0</v>
      </c>
      <c r="X74" s="36" t="s">
        <v>937</v>
      </c>
      <c r="Y74" s="36"/>
      <c r="Z74" s="36"/>
      <c r="AA74" s="37" t="s">
        <v>154</v>
      </c>
      <c r="AB74" s="38" t="s">
        <v>155</v>
      </c>
      <c r="AC74" s="38" t="s">
        <v>61</v>
      </c>
      <c r="AD74" s="39">
        <v>100000000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39">
        <v>100000000</v>
      </c>
      <c r="AK74" s="40">
        <v>0</v>
      </c>
      <c r="AL74" s="39">
        <v>3062693</v>
      </c>
      <c r="AM74" s="39">
        <v>3062693</v>
      </c>
      <c r="AN74" s="40">
        <v>0</v>
      </c>
      <c r="AO74" s="40">
        <v>3062693</v>
      </c>
      <c r="AP74" s="40">
        <v>3062693</v>
      </c>
      <c r="AQ74" s="40">
        <v>0</v>
      </c>
      <c r="AR74" s="40">
        <v>0</v>
      </c>
      <c r="AS74" s="40">
        <v>0</v>
      </c>
      <c r="AT74" s="31">
        <f t="shared" si="40"/>
        <v>0</v>
      </c>
      <c r="AU74" s="18">
        <f t="shared" si="41"/>
        <v>96937307</v>
      </c>
      <c r="AV74" s="34">
        <f t="shared" si="42"/>
        <v>0</v>
      </c>
      <c r="AW74" s="34">
        <f t="shared" si="43"/>
        <v>3062693</v>
      </c>
      <c r="AX74" s="32">
        <f t="shared" si="8"/>
        <v>3.062693E-2</v>
      </c>
    </row>
    <row r="75" spans="1:50" ht="18.75" customHeight="1" x14ac:dyDescent="0.2">
      <c r="A75" s="27" t="s">
        <v>49</v>
      </c>
      <c r="B75" s="27" t="s">
        <v>50</v>
      </c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8" t="s">
        <v>156</v>
      </c>
      <c r="AB75" s="29" t="s">
        <v>157</v>
      </c>
      <c r="AC75" s="30" t="s">
        <v>37</v>
      </c>
      <c r="AD75" s="30">
        <f>AD76+AD77</f>
        <v>608504027</v>
      </c>
      <c r="AE75" s="31">
        <f t="shared" ref="AE75:AS75" si="45">AE76+AE77</f>
        <v>0</v>
      </c>
      <c r="AF75" s="31">
        <f t="shared" si="45"/>
        <v>0</v>
      </c>
      <c r="AG75" s="31">
        <f t="shared" si="45"/>
        <v>0</v>
      </c>
      <c r="AH75" s="31">
        <f t="shared" si="45"/>
        <v>0</v>
      </c>
      <c r="AI75" s="31">
        <f t="shared" si="45"/>
        <v>0</v>
      </c>
      <c r="AJ75" s="30">
        <f t="shared" si="45"/>
        <v>608504027</v>
      </c>
      <c r="AK75" s="31">
        <f t="shared" si="45"/>
        <v>0</v>
      </c>
      <c r="AL75" s="30">
        <f t="shared" si="45"/>
        <v>24380970</v>
      </c>
      <c r="AM75" s="30">
        <f t="shared" si="45"/>
        <v>123721877</v>
      </c>
      <c r="AN75" s="31">
        <f t="shared" si="45"/>
        <v>0</v>
      </c>
      <c r="AO75" s="30">
        <f t="shared" si="45"/>
        <v>24380970</v>
      </c>
      <c r="AP75" s="30">
        <f t="shared" si="45"/>
        <v>123721877</v>
      </c>
      <c r="AQ75" s="31">
        <f t="shared" si="45"/>
        <v>0</v>
      </c>
      <c r="AR75" s="30">
        <f t="shared" si="45"/>
        <v>2662133</v>
      </c>
      <c r="AS75" s="30">
        <f t="shared" si="45"/>
        <v>87142540</v>
      </c>
      <c r="AT75" s="30">
        <f t="shared" si="40"/>
        <v>87142540</v>
      </c>
      <c r="AU75" s="18">
        <f t="shared" si="41"/>
        <v>484782150</v>
      </c>
      <c r="AV75" s="34">
        <f t="shared" si="42"/>
        <v>0</v>
      </c>
      <c r="AW75" s="18">
        <f t="shared" si="43"/>
        <v>36579337</v>
      </c>
      <c r="AX75" s="32">
        <f t="shared" si="8"/>
        <v>0.2033213775263972</v>
      </c>
    </row>
    <row r="76" spans="1:50" ht="18.75" customHeight="1" x14ac:dyDescent="0.2">
      <c r="A76" s="14" t="s">
        <v>55</v>
      </c>
      <c r="B76" s="15" t="s">
        <v>56</v>
      </c>
      <c r="C76" s="15"/>
      <c r="D76" s="15" t="s">
        <v>40</v>
      </c>
      <c r="E76" s="15"/>
      <c r="F76" s="15"/>
      <c r="G76" s="15" t="s">
        <v>41</v>
      </c>
      <c r="H76" s="15"/>
      <c r="I76" s="15" t="s">
        <v>936</v>
      </c>
      <c r="J76" s="15"/>
      <c r="K76" s="15" t="s">
        <v>932</v>
      </c>
      <c r="L76" s="15"/>
      <c r="M76" s="15" t="s">
        <v>933</v>
      </c>
      <c r="N76" s="15"/>
      <c r="O76" s="15" t="s">
        <v>938</v>
      </c>
      <c r="P76" s="15"/>
      <c r="Q76" s="15" t="s">
        <v>939</v>
      </c>
      <c r="R76" s="15"/>
      <c r="S76" s="15" t="s">
        <v>940</v>
      </c>
      <c r="T76" s="15">
        <v>0</v>
      </c>
      <c r="U76" s="15">
        <v>0</v>
      </c>
      <c r="V76" s="15">
        <v>0</v>
      </c>
      <c r="W76" s="15">
        <v>0</v>
      </c>
      <c r="X76" s="15" t="s">
        <v>937</v>
      </c>
      <c r="Y76" s="15"/>
      <c r="Z76" s="15"/>
      <c r="AA76" s="16" t="s">
        <v>158</v>
      </c>
      <c r="AB76" s="17" t="s">
        <v>157</v>
      </c>
      <c r="AC76" s="17" t="s">
        <v>58</v>
      </c>
      <c r="AD76" s="18">
        <v>600000000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18">
        <v>600000000</v>
      </c>
      <c r="AK76" s="34">
        <v>0</v>
      </c>
      <c r="AL76" s="18">
        <v>24380970</v>
      </c>
      <c r="AM76" s="18">
        <v>123721877</v>
      </c>
      <c r="AN76" s="34">
        <v>0</v>
      </c>
      <c r="AO76" s="18">
        <v>24380970</v>
      </c>
      <c r="AP76" s="18">
        <v>123721877</v>
      </c>
      <c r="AQ76" s="34">
        <v>0</v>
      </c>
      <c r="AR76" s="18">
        <v>2662133</v>
      </c>
      <c r="AS76" s="18">
        <v>87142540</v>
      </c>
      <c r="AT76" s="30">
        <f t="shared" si="40"/>
        <v>87142540</v>
      </c>
      <c r="AU76" s="18">
        <f t="shared" si="41"/>
        <v>476278123</v>
      </c>
      <c r="AV76" s="34">
        <f t="shared" si="42"/>
        <v>0</v>
      </c>
      <c r="AW76" s="18">
        <f t="shared" si="43"/>
        <v>36579337</v>
      </c>
      <c r="AX76" s="32">
        <f t="shared" si="8"/>
        <v>0.20620312833333335</v>
      </c>
    </row>
    <row r="77" spans="1:50" ht="18.75" customHeight="1" x14ac:dyDescent="0.2">
      <c r="A77" s="14" t="s">
        <v>55</v>
      </c>
      <c r="B77" s="15" t="s">
        <v>56</v>
      </c>
      <c r="C77" s="15"/>
      <c r="D77" s="15" t="s">
        <v>40</v>
      </c>
      <c r="E77" s="15"/>
      <c r="F77" s="15"/>
      <c r="G77" s="15" t="s">
        <v>41</v>
      </c>
      <c r="H77" s="15"/>
      <c r="I77" s="15" t="s">
        <v>941</v>
      </c>
      <c r="J77" s="15"/>
      <c r="K77" s="15" t="s">
        <v>932</v>
      </c>
      <c r="L77" s="15"/>
      <c r="M77" s="15" t="s">
        <v>933</v>
      </c>
      <c r="N77" s="15"/>
      <c r="O77" s="15" t="s">
        <v>938</v>
      </c>
      <c r="P77" s="15"/>
      <c r="Q77" s="15" t="s">
        <v>939</v>
      </c>
      <c r="R77" s="15"/>
      <c r="S77" s="15" t="s">
        <v>940</v>
      </c>
      <c r="T77" s="15">
        <v>0</v>
      </c>
      <c r="U77" s="15">
        <v>0</v>
      </c>
      <c r="V77" s="15">
        <v>0</v>
      </c>
      <c r="W77" s="15">
        <v>0</v>
      </c>
      <c r="X77" s="15" t="s">
        <v>937</v>
      </c>
      <c r="Y77" s="15"/>
      <c r="Z77" s="15"/>
      <c r="AA77" s="16" t="s">
        <v>159</v>
      </c>
      <c r="AB77" s="17" t="s">
        <v>160</v>
      </c>
      <c r="AC77" s="17" t="s">
        <v>61</v>
      </c>
      <c r="AD77" s="18">
        <v>8504027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18">
        <v>8504027</v>
      </c>
      <c r="AK77" s="34">
        <v>0</v>
      </c>
      <c r="AL77" s="18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1">
        <f t="shared" si="40"/>
        <v>0</v>
      </c>
      <c r="AU77" s="18">
        <f t="shared" si="41"/>
        <v>8504027</v>
      </c>
      <c r="AV77" s="34">
        <f t="shared" si="42"/>
        <v>0</v>
      </c>
      <c r="AW77" s="34">
        <f t="shared" si="43"/>
        <v>0</v>
      </c>
      <c r="AX77" s="32">
        <f t="shared" si="8"/>
        <v>0</v>
      </c>
    </row>
    <row r="78" spans="1:50" ht="18.75" customHeight="1" x14ac:dyDescent="0.2">
      <c r="A78" s="27" t="s">
        <v>49</v>
      </c>
      <c r="B78" s="27" t="s">
        <v>50</v>
      </c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8" t="s">
        <v>161</v>
      </c>
      <c r="AB78" s="29" t="s">
        <v>162</v>
      </c>
      <c r="AC78" s="30" t="s">
        <v>37</v>
      </c>
      <c r="AD78" s="30">
        <f>AD79+AD80</f>
        <v>112951003</v>
      </c>
      <c r="AE78" s="31">
        <f t="shared" ref="AE78:AS78" si="46">AE79+AE80</f>
        <v>0</v>
      </c>
      <c r="AF78" s="31">
        <f t="shared" si="46"/>
        <v>0</v>
      </c>
      <c r="AG78" s="31">
        <f t="shared" si="46"/>
        <v>0</v>
      </c>
      <c r="AH78" s="31">
        <f t="shared" si="46"/>
        <v>0</v>
      </c>
      <c r="AI78" s="31">
        <f t="shared" si="46"/>
        <v>0</v>
      </c>
      <c r="AJ78" s="30">
        <f t="shared" si="46"/>
        <v>112951003</v>
      </c>
      <c r="AK78" s="31">
        <f t="shared" si="46"/>
        <v>0</v>
      </c>
      <c r="AL78" s="30">
        <f t="shared" si="46"/>
        <v>3941051</v>
      </c>
      <c r="AM78" s="30">
        <f t="shared" si="46"/>
        <v>17135332</v>
      </c>
      <c r="AN78" s="31">
        <f t="shared" si="46"/>
        <v>0</v>
      </c>
      <c r="AO78" s="30">
        <f t="shared" si="46"/>
        <v>3941051</v>
      </c>
      <c r="AP78" s="30">
        <f t="shared" si="46"/>
        <v>17135332</v>
      </c>
      <c r="AQ78" s="31">
        <f t="shared" si="46"/>
        <v>0</v>
      </c>
      <c r="AR78" s="30">
        <f t="shared" si="46"/>
        <v>242484</v>
      </c>
      <c r="AS78" s="30">
        <f t="shared" si="46"/>
        <v>10814718</v>
      </c>
      <c r="AT78" s="30">
        <f t="shared" si="40"/>
        <v>10814718</v>
      </c>
      <c r="AU78" s="18">
        <f t="shared" si="41"/>
        <v>95815671</v>
      </c>
      <c r="AV78" s="34">
        <f t="shared" si="42"/>
        <v>0</v>
      </c>
      <c r="AW78" s="18">
        <f t="shared" si="43"/>
        <v>6320614</v>
      </c>
      <c r="AX78" s="32">
        <f t="shared" si="8"/>
        <v>0.15170588613542457</v>
      </c>
    </row>
    <row r="79" spans="1:50" ht="18.75" customHeight="1" x14ac:dyDescent="0.2">
      <c r="A79" s="14" t="s">
        <v>55</v>
      </c>
      <c r="B79" s="15" t="s">
        <v>56</v>
      </c>
      <c r="C79" s="15"/>
      <c r="D79" s="15" t="s">
        <v>40</v>
      </c>
      <c r="E79" s="15"/>
      <c r="F79" s="15"/>
      <c r="G79" s="15" t="s">
        <v>41</v>
      </c>
      <c r="H79" s="15"/>
      <c r="I79" s="15" t="s">
        <v>936</v>
      </c>
      <c r="J79" s="15"/>
      <c r="K79" s="15" t="s">
        <v>932</v>
      </c>
      <c r="L79" s="15"/>
      <c r="M79" s="15" t="s">
        <v>933</v>
      </c>
      <c r="N79" s="15"/>
      <c r="O79" s="15" t="s">
        <v>938</v>
      </c>
      <c r="P79" s="15"/>
      <c r="Q79" s="15" t="s">
        <v>939</v>
      </c>
      <c r="R79" s="15"/>
      <c r="S79" s="15" t="s">
        <v>940</v>
      </c>
      <c r="T79" s="15">
        <v>0</v>
      </c>
      <c r="U79" s="15">
        <v>0</v>
      </c>
      <c r="V79" s="15">
        <v>0</v>
      </c>
      <c r="W79" s="15">
        <v>0</v>
      </c>
      <c r="X79" s="15" t="s">
        <v>937</v>
      </c>
      <c r="Y79" s="15"/>
      <c r="Z79" s="15"/>
      <c r="AA79" s="16" t="s">
        <v>163</v>
      </c>
      <c r="AB79" s="17" t="s">
        <v>162</v>
      </c>
      <c r="AC79" s="17" t="s">
        <v>58</v>
      </c>
      <c r="AD79" s="18">
        <v>104149973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18">
        <v>104149973</v>
      </c>
      <c r="AK79" s="34">
        <v>0</v>
      </c>
      <c r="AL79" s="18">
        <v>3645990</v>
      </c>
      <c r="AM79" s="18">
        <v>16840271</v>
      </c>
      <c r="AN79" s="34">
        <v>0</v>
      </c>
      <c r="AO79" s="18">
        <v>3645990</v>
      </c>
      <c r="AP79" s="18">
        <v>16840271</v>
      </c>
      <c r="AQ79" s="34">
        <v>0</v>
      </c>
      <c r="AR79" s="18">
        <v>242484</v>
      </c>
      <c r="AS79" s="18">
        <v>10814718</v>
      </c>
      <c r="AT79" s="39">
        <f t="shared" si="40"/>
        <v>10814718</v>
      </c>
      <c r="AU79" s="18">
        <f t="shared" si="41"/>
        <v>87309702</v>
      </c>
      <c r="AV79" s="34">
        <f t="shared" si="42"/>
        <v>0</v>
      </c>
      <c r="AW79" s="18">
        <f t="shared" si="43"/>
        <v>6025553</v>
      </c>
      <c r="AX79" s="32">
        <f t="shared" ref="AX79:AX142" si="47">AP79/AJ79</f>
        <v>0.16169251431298978</v>
      </c>
    </row>
    <row r="80" spans="1:50" ht="18.75" customHeight="1" x14ac:dyDescent="0.2">
      <c r="A80" s="14" t="s">
        <v>55</v>
      </c>
      <c r="B80" s="15" t="s">
        <v>56</v>
      </c>
      <c r="C80" s="15"/>
      <c r="D80" s="15" t="s">
        <v>40</v>
      </c>
      <c r="E80" s="15"/>
      <c r="F80" s="15"/>
      <c r="G80" s="15" t="s">
        <v>41</v>
      </c>
      <c r="H80" s="15"/>
      <c r="I80" s="15" t="s">
        <v>941</v>
      </c>
      <c r="J80" s="15"/>
      <c r="K80" s="15" t="s">
        <v>932</v>
      </c>
      <c r="L80" s="15"/>
      <c r="M80" s="15" t="s">
        <v>933</v>
      </c>
      <c r="N80" s="15"/>
      <c r="O80" s="15" t="s">
        <v>938</v>
      </c>
      <c r="P80" s="15"/>
      <c r="Q80" s="15" t="s">
        <v>939</v>
      </c>
      <c r="R80" s="15"/>
      <c r="S80" s="15" t="s">
        <v>940</v>
      </c>
      <c r="T80" s="15">
        <v>0</v>
      </c>
      <c r="U80" s="15">
        <v>0</v>
      </c>
      <c r="V80" s="15">
        <v>0</v>
      </c>
      <c r="W80" s="15">
        <v>0</v>
      </c>
      <c r="X80" s="15" t="s">
        <v>937</v>
      </c>
      <c r="Y80" s="15"/>
      <c r="Z80" s="15"/>
      <c r="AA80" s="16" t="s">
        <v>164</v>
      </c>
      <c r="AB80" s="17" t="s">
        <v>165</v>
      </c>
      <c r="AC80" s="17" t="s">
        <v>61</v>
      </c>
      <c r="AD80" s="18">
        <v>8801030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18">
        <v>8801030</v>
      </c>
      <c r="AK80" s="34">
        <v>0</v>
      </c>
      <c r="AL80" s="34">
        <v>295061</v>
      </c>
      <c r="AM80" s="34">
        <v>295061</v>
      </c>
      <c r="AN80" s="34">
        <v>0</v>
      </c>
      <c r="AO80" s="34">
        <v>295061</v>
      </c>
      <c r="AP80" s="34">
        <v>295061</v>
      </c>
      <c r="AQ80" s="34">
        <v>0</v>
      </c>
      <c r="AR80" s="34">
        <v>0</v>
      </c>
      <c r="AS80" s="34">
        <v>0</v>
      </c>
      <c r="AT80" s="40">
        <f t="shared" si="40"/>
        <v>0</v>
      </c>
      <c r="AU80" s="18">
        <f t="shared" si="41"/>
        <v>8505969</v>
      </c>
      <c r="AV80" s="34">
        <f t="shared" si="42"/>
        <v>0</v>
      </c>
      <c r="AW80" s="34">
        <f t="shared" si="43"/>
        <v>295061</v>
      </c>
      <c r="AX80" s="32">
        <f t="shared" si="47"/>
        <v>3.3525735056010489E-2</v>
      </c>
    </row>
    <row r="81" spans="1:50" ht="29.25" customHeight="1" x14ac:dyDescent="0.2">
      <c r="A81" s="14" t="s">
        <v>49</v>
      </c>
      <c r="B81" s="15" t="s">
        <v>50</v>
      </c>
      <c r="C81" s="15"/>
      <c r="D81" s="15" t="s">
        <v>40</v>
      </c>
      <c r="E81" s="15"/>
      <c r="F81" s="15"/>
      <c r="G81" s="15" t="s">
        <v>41</v>
      </c>
      <c r="H81" s="15"/>
      <c r="I81" s="15" t="s">
        <v>936</v>
      </c>
      <c r="J81" s="15"/>
      <c r="K81" s="15" t="s">
        <v>932</v>
      </c>
      <c r="L81" s="15"/>
      <c r="M81" s="15" t="s">
        <v>933</v>
      </c>
      <c r="N81" s="15"/>
      <c r="O81" s="15" t="s">
        <v>938</v>
      </c>
      <c r="P81" s="15"/>
      <c r="Q81" s="15" t="s">
        <v>939</v>
      </c>
      <c r="R81" s="15"/>
      <c r="S81" s="15" t="s">
        <v>940</v>
      </c>
      <c r="T81" s="15">
        <v>0</v>
      </c>
      <c r="U81" s="15">
        <v>0</v>
      </c>
      <c r="V81" s="15">
        <v>0</v>
      </c>
      <c r="W81" s="15">
        <v>0</v>
      </c>
      <c r="X81" s="15" t="s">
        <v>937</v>
      </c>
      <c r="Y81" s="15"/>
      <c r="Z81" s="15"/>
      <c r="AA81" s="16" t="s">
        <v>166</v>
      </c>
      <c r="AB81" s="17" t="s">
        <v>167</v>
      </c>
      <c r="AC81" s="17" t="s">
        <v>56</v>
      </c>
      <c r="AD81" s="18">
        <v>60643852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18">
        <v>60643852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40">
        <f t="shared" si="40"/>
        <v>0</v>
      </c>
      <c r="AU81" s="18">
        <f t="shared" si="41"/>
        <v>60643852</v>
      </c>
      <c r="AV81" s="34">
        <f t="shared" si="42"/>
        <v>0</v>
      </c>
      <c r="AW81" s="34">
        <f t="shared" si="43"/>
        <v>0</v>
      </c>
      <c r="AX81" s="32">
        <f t="shared" si="47"/>
        <v>0</v>
      </c>
    </row>
    <row r="82" spans="1:50" ht="18.75" customHeight="1" x14ac:dyDescent="0.2">
      <c r="A82" s="35" t="s">
        <v>49</v>
      </c>
      <c r="B82" s="36" t="s">
        <v>50</v>
      </c>
      <c r="C82" s="36"/>
      <c r="D82" s="36" t="s">
        <v>40</v>
      </c>
      <c r="E82" s="36"/>
      <c r="F82" s="36"/>
      <c r="G82" s="36" t="s">
        <v>41</v>
      </c>
      <c r="H82" s="36"/>
      <c r="I82" s="36" t="s">
        <v>936</v>
      </c>
      <c r="J82" s="36"/>
      <c r="K82" s="36" t="s">
        <v>932</v>
      </c>
      <c r="L82" s="36"/>
      <c r="M82" s="36" t="s">
        <v>933</v>
      </c>
      <c r="N82" s="36"/>
      <c r="O82" s="36" t="s">
        <v>938</v>
      </c>
      <c r="P82" s="36"/>
      <c r="Q82" s="36" t="s">
        <v>939</v>
      </c>
      <c r="R82" s="36"/>
      <c r="S82" s="36" t="s">
        <v>940</v>
      </c>
      <c r="T82" s="36">
        <v>0</v>
      </c>
      <c r="U82" s="36">
        <v>0</v>
      </c>
      <c r="V82" s="36">
        <v>0</v>
      </c>
      <c r="W82" s="36">
        <v>0</v>
      </c>
      <c r="X82" s="36" t="s">
        <v>937</v>
      </c>
      <c r="Y82" s="36"/>
      <c r="Z82" s="36"/>
      <c r="AA82" s="37" t="s">
        <v>168</v>
      </c>
      <c r="AB82" s="38" t="s">
        <v>169</v>
      </c>
      <c r="AC82" s="38" t="s">
        <v>56</v>
      </c>
      <c r="AD82" s="39">
        <v>15160962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39">
        <v>15160962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f t="shared" si="40"/>
        <v>0</v>
      </c>
      <c r="AU82" s="18">
        <f t="shared" si="41"/>
        <v>15160962</v>
      </c>
      <c r="AV82" s="34">
        <f t="shared" si="42"/>
        <v>0</v>
      </c>
      <c r="AW82" s="34">
        <f t="shared" si="43"/>
        <v>0</v>
      </c>
      <c r="AX82" s="32">
        <f t="shared" si="47"/>
        <v>0</v>
      </c>
    </row>
    <row r="83" spans="1:50" ht="18.75" customHeight="1" x14ac:dyDescent="0.2">
      <c r="A83" s="14" t="s">
        <v>55</v>
      </c>
      <c r="B83" s="15" t="s">
        <v>56</v>
      </c>
      <c r="C83" s="15"/>
      <c r="D83" s="15" t="s">
        <v>40</v>
      </c>
      <c r="E83" s="15"/>
      <c r="F83" s="15"/>
      <c r="G83" s="15" t="s">
        <v>41</v>
      </c>
      <c r="H83" s="15"/>
      <c r="I83" s="15" t="s">
        <v>936</v>
      </c>
      <c r="J83" s="15"/>
      <c r="K83" s="15" t="s">
        <v>932</v>
      </c>
      <c r="L83" s="15"/>
      <c r="M83" s="15" t="s">
        <v>933</v>
      </c>
      <c r="N83" s="15"/>
      <c r="O83" s="15" t="s">
        <v>938</v>
      </c>
      <c r="P83" s="15"/>
      <c r="Q83" s="15" t="s">
        <v>939</v>
      </c>
      <c r="R83" s="15"/>
      <c r="S83" s="15" t="s">
        <v>940</v>
      </c>
      <c r="T83" s="15">
        <v>0</v>
      </c>
      <c r="U83" s="15">
        <v>0</v>
      </c>
      <c r="V83" s="15">
        <v>0</v>
      </c>
      <c r="W83" s="15">
        <v>0</v>
      </c>
      <c r="X83" s="15" t="s">
        <v>937</v>
      </c>
      <c r="Y83" s="15"/>
      <c r="Z83" s="15"/>
      <c r="AA83" s="16" t="s">
        <v>170</v>
      </c>
      <c r="AB83" s="17" t="s">
        <v>171</v>
      </c>
      <c r="AC83" s="17" t="s">
        <v>58</v>
      </c>
      <c r="AD83" s="18">
        <v>35475597</v>
      </c>
      <c r="AE83" s="34">
        <v>0</v>
      </c>
      <c r="AF83" s="34">
        <v>0</v>
      </c>
      <c r="AG83" s="34">
        <v>0</v>
      </c>
      <c r="AH83" s="34">
        <v>0</v>
      </c>
      <c r="AI83" s="34">
        <v>0</v>
      </c>
      <c r="AJ83" s="18">
        <v>35475597</v>
      </c>
      <c r="AK83" s="34">
        <v>0</v>
      </c>
      <c r="AL83" s="34">
        <v>0</v>
      </c>
      <c r="AM83" s="34">
        <v>0</v>
      </c>
      <c r="AN83" s="34">
        <v>0</v>
      </c>
      <c r="AO83" s="34">
        <v>0</v>
      </c>
      <c r="AP83" s="34">
        <v>0</v>
      </c>
      <c r="AQ83" s="34">
        <v>0</v>
      </c>
      <c r="AR83" s="34">
        <v>0</v>
      </c>
      <c r="AS83" s="34">
        <v>0</v>
      </c>
      <c r="AT83" s="40">
        <f t="shared" si="40"/>
        <v>0</v>
      </c>
      <c r="AU83" s="18">
        <f t="shared" si="41"/>
        <v>35475597</v>
      </c>
      <c r="AV83" s="34">
        <f t="shared" si="42"/>
        <v>0</v>
      </c>
      <c r="AW83" s="34">
        <f t="shared" si="43"/>
        <v>0</v>
      </c>
      <c r="AX83" s="32">
        <f t="shared" si="47"/>
        <v>0</v>
      </c>
    </row>
    <row r="84" spans="1:50" ht="18.75" customHeight="1" x14ac:dyDescent="0.2">
      <c r="A84" s="35" t="s">
        <v>55</v>
      </c>
      <c r="B84" s="36" t="s">
        <v>56</v>
      </c>
      <c r="C84" s="36"/>
      <c r="D84" s="36" t="s">
        <v>40</v>
      </c>
      <c r="E84" s="36"/>
      <c r="F84" s="36"/>
      <c r="G84" s="36" t="s">
        <v>41</v>
      </c>
      <c r="H84" s="36"/>
      <c r="I84" s="36" t="s">
        <v>936</v>
      </c>
      <c r="J84" s="36"/>
      <c r="K84" s="36" t="s">
        <v>932</v>
      </c>
      <c r="L84" s="36"/>
      <c r="M84" s="36" t="s">
        <v>933</v>
      </c>
      <c r="N84" s="36"/>
      <c r="O84" s="36" t="s">
        <v>938</v>
      </c>
      <c r="P84" s="36"/>
      <c r="Q84" s="36" t="s">
        <v>939</v>
      </c>
      <c r="R84" s="36"/>
      <c r="S84" s="36" t="s">
        <v>940</v>
      </c>
      <c r="T84" s="36">
        <v>0</v>
      </c>
      <c r="U84" s="36">
        <v>0</v>
      </c>
      <c r="V84" s="36">
        <v>0</v>
      </c>
      <c r="W84" s="36">
        <v>0</v>
      </c>
      <c r="X84" s="36" t="s">
        <v>937</v>
      </c>
      <c r="Y84" s="36"/>
      <c r="Z84" s="36"/>
      <c r="AA84" s="37" t="s">
        <v>172</v>
      </c>
      <c r="AB84" s="38" t="s">
        <v>173</v>
      </c>
      <c r="AC84" s="38" t="s">
        <v>58</v>
      </c>
      <c r="AD84" s="39">
        <v>49855036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39">
        <v>49855036</v>
      </c>
      <c r="AK84" s="40">
        <v>0</v>
      </c>
      <c r="AL84" s="39">
        <v>9655287</v>
      </c>
      <c r="AM84" s="39">
        <v>28656506</v>
      </c>
      <c r="AN84" s="40">
        <v>0</v>
      </c>
      <c r="AO84" s="39">
        <v>9655287</v>
      </c>
      <c r="AP84" s="39">
        <v>28656506</v>
      </c>
      <c r="AQ84" s="40">
        <v>0</v>
      </c>
      <c r="AR84" s="40">
        <v>9655287</v>
      </c>
      <c r="AS84" s="40">
        <v>19310574</v>
      </c>
      <c r="AT84" s="39">
        <f t="shared" si="40"/>
        <v>19310574</v>
      </c>
      <c r="AU84" s="18">
        <f t="shared" si="41"/>
        <v>21198530</v>
      </c>
      <c r="AV84" s="34">
        <f t="shared" si="42"/>
        <v>0</v>
      </c>
      <c r="AW84" s="18">
        <f t="shared" si="43"/>
        <v>9345932</v>
      </c>
      <c r="AX84" s="32">
        <f t="shared" si="47"/>
        <v>0.5747966163338043</v>
      </c>
    </row>
    <row r="85" spans="1:50" ht="18.75" customHeight="1" x14ac:dyDescent="0.2">
      <c r="A85" s="14" t="s">
        <v>55</v>
      </c>
      <c r="B85" s="15" t="s">
        <v>56</v>
      </c>
      <c r="C85" s="15"/>
      <c r="D85" s="15" t="s">
        <v>40</v>
      </c>
      <c r="E85" s="15"/>
      <c r="F85" s="15"/>
      <c r="G85" s="15" t="s">
        <v>41</v>
      </c>
      <c r="H85" s="15"/>
      <c r="I85" s="15" t="s">
        <v>936</v>
      </c>
      <c r="J85" s="15"/>
      <c r="K85" s="15" t="s">
        <v>932</v>
      </c>
      <c r="L85" s="15"/>
      <c r="M85" s="15" t="s">
        <v>933</v>
      </c>
      <c r="N85" s="15"/>
      <c r="O85" s="15" t="s">
        <v>938</v>
      </c>
      <c r="P85" s="15"/>
      <c r="Q85" s="15" t="s">
        <v>942</v>
      </c>
      <c r="R85" s="15"/>
      <c r="S85" s="15" t="s">
        <v>940</v>
      </c>
      <c r="T85" s="15">
        <v>0</v>
      </c>
      <c r="U85" s="15">
        <v>0</v>
      </c>
      <c r="V85" s="15">
        <v>0</v>
      </c>
      <c r="W85" s="15">
        <v>0</v>
      </c>
      <c r="X85" s="15" t="s">
        <v>937</v>
      </c>
      <c r="Y85" s="15"/>
      <c r="Z85" s="15"/>
      <c r="AA85" s="16" t="s">
        <v>174</v>
      </c>
      <c r="AB85" s="17" t="s">
        <v>175</v>
      </c>
      <c r="AC85" s="17" t="s">
        <v>58</v>
      </c>
      <c r="AD85" s="18">
        <v>300000000</v>
      </c>
      <c r="AE85" s="34">
        <v>0</v>
      </c>
      <c r="AF85" s="34">
        <v>0</v>
      </c>
      <c r="AG85" s="34">
        <v>0</v>
      </c>
      <c r="AH85" s="34">
        <v>0</v>
      </c>
      <c r="AI85" s="34">
        <v>0</v>
      </c>
      <c r="AJ85" s="18">
        <v>300000000</v>
      </c>
      <c r="AK85" s="34">
        <v>0</v>
      </c>
      <c r="AL85" s="18">
        <v>31132158</v>
      </c>
      <c r="AM85" s="18">
        <v>80313698</v>
      </c>
      <c r="AN85" s="34">
        <v>0</v>
      </c>
      <c r="AO85" s="18">
        <v>31132158</v>
      </c>
      <c r="AP85" s="18">
        <v>80313698</v>
      </c>
      <c r="AQ85" s="34">
        <v>0</v>
      </c>
      <c r="AR85" s="34">
        <v>0</v>
      </c>
      <c r="AS85" s="34">
        <v>25741570</v>
      </c>
      <c r="AT85" s="30">
        <f t="shared" si="40"/>
        <v>25741570</v>
      </c>
      <c r="AU85" s="18">
        <f t="shared" si="41"/>
        <v>219686302</v>
      </c>
      <c r="AV85" s="34">
        <f t="shared" si="42"/>
        <v>0</v>
      </c>
      <c r="AW85" s="18">
        <f t="shared" si="43"/>
        <v>54572128</v>
      </c>
      <c r="AX85" s="32">
        <f t="shared" si="47"/>
        <v>0.26771232666666667</v>
      </c>
    </row>
    <row r="86" spans="1:50" s="25" customFormat="1" ht="18.75" customHeight="1" x14ac:dyDescent="0.2">
      <c r="A86" s="19" t="s">
        <v>55</v>
      </c>
      <c r="B86" s="19" t="s">
        <v>56</v>
      </c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26" t="s">
        <v>176</v>
      </c>
      <c r="AB86" s="21" t="s">
        <v>177</v>
      </c>
      <c r="AC86" s="22" t="s">
        <v>37</v>
      </c>
      <c r="AD86" s="22">
        <f>AD87</f>
        <v>23932782621</v>
      </c>
      <c r="AE86" s="23">
        <f t="shared" ref="AE86:AW86" si="48">AE87</f>
        <v>0</v>
      </c>
      <c r="AF86" s="23">
        <f t="shared" si="48"/>
        <v>0</v>
      </c>
      <c r="AG86" s="22">
        <f t="shared" si="48"/>
        <v>2364200000</v>
      </c>
      <c r="AH86" s="22">
        <f t="shared" si="48"/>
        <v>2394200000</v>
      </c>
      <c r="AI86" s="22">
        <f>AI87</f>
        <v>-30000000</v>
      </c>
      <c r="AJ86" s="22">
        <f t="shared" si="48"/>
        <v>23902782621</v>
      </c>
      <c r="AK86" s="22">
        <f t="shared" si="48"/>
        <v>566136</v>
      </c>
      <c r="AL86" s="22">
        <f t="shared" si="48"/>
        <v>5766175072.9699993</v>
      </c>
      <c r="AM86" s="22">
        <f t="shared" si="48"/>
        <v>18194308197.650002</v>
      </c>
      <c r="AN86" s="22">
        <f t="shared" si="48"/>
        <v>91650000</v>
      </c>
      <c r="AO86" s="22">
        <f t="shared" si="48"/>
        <v>1985382636.6900001</v>
      </c>
      <c r="AP86" s="22">
        <f t="shared" si="48"/>
        <v>11162299728.950001</v>
      </c>
      <c r="AQ86" s="108">
        <f t="shared" si="48"/>
        <v>1069140199.5700001</v>
      </c>
      <c r="AR86" s="22">
        <f t="shared" si="48"/>
        <v>1143294908.97</v>
      </c>
      <c r="AS86" s="22">
        <f t="shared" si="48"/>
        <v>2067029216.1500001</v>
      </c>
      <c r="AT86" s="22">
        <f t="shared" si="40"/>
        <v>3136169415.7200003</v>
      </c>
      <c r="AU86" s="22">
        <f t="shared" si="48"/>
        <v>5708474423.3500004</v>
      </c>
      <c r="AV86" s="22">
        <f t="shared" si="48"/>
        <v>7032008468.6999989</v>
      </c>
      <c r="AW86" s="22">
        <f t="shared" si="48"/>
        <v>8026130313.2300014</v>
      </c>
      <c r="AX86" s="24">
        <f t="shared" si="47"/>
        <v>0.46698745940747771</v>
      </c>
    </row>
    <row r="87" spans="1:50" s="25" customFormat="1" ht="18.75" customHeight="1" x14ac:dyDescent="0.2">
      <c r="A87" s="19" t="s">
        <v>55</v>
      </c>
      <c r="B87" s="19" t="s">
        <v>56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26" t="s">
        <v>178</v>
      </c>
      <c r="AB87" s="21" t="s">
        <v>179</v>
      </c>
      <c r="AC87" s="22" t="s">
        <v>37</v>
      </c>
      <c r="AD87" s="22">
        <f>AD88+AD92</f>
        <v>23932782621</v>
      </c>
      <c r="AE87" s="23">
        <f t="shared" ref="AE87:AW87" si="49">AE88+AE92</f>
        <v>0</v>
      </c>
      <c r="AF87" s="23">
        <f t="shared" si="49"/>
        <v>0</v>
      </c>
      <c r="AG87" s="22">
        <f t="shared" si="49"/>
        <v>2364200000</v>
      </c>
      <c r="AH87" s="22">
        <f t="shared" si="49"/>
        <v>2394200000</v>
      </c>
      <c r="AI87" s="22">
        <f>AI88+AI92</f>
        <v>-30000000</v>
      </c>
      <c r="AJ87" s="22">
        <f t="shared" si="49"/>
        <v>23902782621</v>
      </c>
      <c r="AK87" s="22">
        <f t="shared" si="49"/>
        <v>566136</v>
      </c>
      <c r="AL87" s="22">
        <f t="shared" si="49"/>
        <v>5766175072.9699993</v>
      </c>
      <c r="AM87" s="22">
        <f t="shared" si="49"/>
        <v>18194308197.650002</v>
      </c>
      <c r="AN87" s="22">
        <f t="shared" si="49"/>
        <v>91650000</v>
      </c>
      <c r="AO87" s="22">
        <f t="shared" si="49"/>
        <v>1985382636.6900001</v>
      </c>
      <c r="AP87" s="22">
        <f t="shared" si="49"/>
        <v>11162299728.950001</v>
      </c>
      <c r="AQ87" s="108">
        <f t="shared" si="49"/>
        <v>1069140199.5700001</v>
      </c>
      <c r="AR87" s="22">
        <f t="shared" si="49"/>
        <v>1143294908.97</v>
      </c>
      <c r="AS87" s="22">
        <f t="shared" si="49"/>
        <v>2067029216.1500001</v>
      </c>
      <c r="AT87" s="22">
        <f t="shared" si="40"/>
        <v>3136169415.7200003</v>
      </c>
      <c r="AU87" s="22">
        <f t="shared" si="49"/>
        <v>5708474423.3500004</v>
      </c>
      <c r="AV87" s="22">
        <f t="shared" si="49"/>
        <v>7032008468.6999989</v>
      </c>
      <c r="AW87" s="22">
        <f t="shared" si="49"/>
        <v>8026130313.2300014</v>
      </c>
      <c r="AX87" s="24">
        <f t="shared" si="47"/>
        <v>0.46698745940747771</v>
      </c>
    </row>
    <row r="88" spans="1:50" s="25" customFormat="1" ht="18.75" customHeight="1" x14ac:dyDescent="0.2">
      <c r="A88" s="19" t="s">
        <v>55</v>
      </c>
      <c r="B88" s="19" t="s">
        <v>56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26" t="s">
        <v>180</v>
      </c>
      <c r="AB88" s="21" t="s">
        <v>181</v>
      </c>
      <c r="AC88" s="22" t="s">
        <v>37</v>
      </c>
      <c r="AD88" s="22">
        <f>AD89+AD90+AD91</f>
        <v>918000000</v>
      </c>
      <c r="AE88" s="23">
        <f t="shared" ref="AE88:AW88" si="50">AE89+AE90+AE91</f>
        <v>0</v>
      </c>
      <c r="AF88" s="23">
        <f t="shared" si="50"/>
        <v>0</v>
      </c>
      <c r="AG88" s="22">
        <f t="shared" si="50"/>
        <v>300000000</v>
      </c>
      <c r="AH88" s="23">
        <f t="shared" si="50"/>
        <v>0</v>
      </c>
      <c r="AI88" s="22">
        <f t="shared" si="50"/>
        <v>300000000</v>
      </c>
      <c r="AJ88" s="22">
        <f t="shared" si="50"/>
        <v>1218000000</v>
      </c>
      <c r="AK88" s="23">
        <f t="shared" si="50"/>
        <v>0</v>
      </c>
      <c r="AL88" s="22">
        <f t="shared" si="50"/>
        <v>65003809</v>
      </c>
      <c r="AM88" s="22">
        <f t="shared" si="50"/>
        <v>223679769</v>
      </c>
      <c r="AN88" s="23">
        <f t="shared" si="50"/>
        <v>0</v>
      </c>
      <c r="AO88" s="22">
        <f t="shared" si="50"/>
        <v>209530</v>
      </c>
      <c r="AP88" s="22">
        <f t="shared" si="50"/>
        <v>158885490</v>
      </c>
      <c r="AQ88" s="23">
        <f t="shared" si="50"/>
        <v>22590251.57</v>
      </c>
      <c r="AR88" s="22">
        <f t="shared" si="50"/>
        <v>400000</v>
      </c>
      <c r="AS88" s="22">
        <f t="shared" si="50"/>
        <v>4427050</v>
      </c>
      <c r="AT88" s="22">
        <f t="shared" si="40"/>
        <v>27017301.57</v>
      </c>
      <c r="AU88" s="22">
        <f t="shared" si="50"/>
        <v>994320231</v>
      </c>
      <c r="AV88" s="23">
        <f t="shared" si="50"/>
        <v>64794279</v>
      </c>
      <c r="AW88" s="22">
        <f t="shared" si="50"/>
        <v>131868188.43000001</v>
      </c>
      <c r="AX88" s="24">
        <f t="shared" si="47"/>
        <v>0.13044785714285714</v>
      </c>
    </row>
    <row r="89" spans="1:50" ht="29.25" customHeight="1" x14ac:dyDescent="0.2">
      <c r="A89" s="35" t="s">
        <v>55</v>
      </c>
      <c r="B89" s="36" t="s">
        <v>56</v>
      </c>
      <c r="C89" s="36"/>
      <c r="D89" s="36" t="s">
        <v>40</v>
      </c>
      <c r="E89" s="36"/>
      <c r="F89" s="36"/>
      <c r="G89" s="36" t="s">
        <v>41</v>
      </c>
      <c r="H89" s="36"/>
      <c r="I89" s="36" t="s">
        <v>936</v>
      </c>
      <c r="J89" s="36"/>
      <c r="K89" s="36" t="s">
        <v>932</v>
      </c>
      <c r="L89" s="36"/>
      <c r="M89" s="36" t="s">
        <v>933</v>
      </c>
      <c r="N89" s="36"/>
      <c r="O89" s="36" t="s">
        <v>938</v>
      </c>
      <c r="P89" s="36"/>
      <c r="Q89" s="36" t="s">
        <v>942</v>
      </c>
      <c r="R89" s="36"/>
      <c r="S89" s="36" t="s">
        <v>940</v>
      </c>
      <c r="T89" s="36">
        <v>0</v>
      </c>
      <c r="U89" s="36">
        <v>0</v>
      </c>
      <c r="V89" s="36">
        <v>0</v>
      </c>
      <c r="W89" s="36">
        <v>0</v>
      </c>
      <c r="X89" s="36" t="s">
        <v>937</v>
      </c>
      <c r="Y89" s="36"/>
      <c r="Z89" s="36"/>
      <c r="AA89" s="37" t="s">
        <v>182</v>
      </c>
      <c r="AB89" s="38" t="s">
        <v>183</v>
      </c>
      <c r="AC89" s="38" t="s">
        <v>58</v>
      </c>
      <c r="AD89" s="39">
        <v>50000000</v>
      </c>
      <c r="AE89" s="40">
        <v>0</v>
      </c>
      <c r="AF89" s="40">
        <v>0</v>
      </c>
      <c r="AG89" s="40">
        <v>0</v>
      </c>
      <c r="AH89" s="40">
        <v>0</v>
      </c>
      <c r="AI89" s="40">
        <v>0</v>
      </c>
      <c r="AJ89" s="39">
        <v>50000000</v>
      </c>
      <c r="AK89" s="40">
        <v>0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  <c r="AQ89" s="40">
        <v>0</v>
      </c>
      <c r="AR89" s="40">
        <v>0</v>
      </c>
      <c r="AS89" s="40">
        <v>0</v>
      </c>
      <c r="AT89" s="31">
        <f t="shared" si="40"/>
        <v>0</v>
      </c>
      <c r="AU89" s="18">
        <f t="shared" ref="AU89:AU91" si="51">AJ89-AM89</f>
        <v>50000000</v>
      </c>
      <c r="AV89" s="34">
        <f t="shared" ref="AV89:AV91" si="52">AM89-AP89</f>
        <v>0</v>
      </c>
      <c r="AW89" s="34">
        <f t="shared" ref="AW89:AW91" si="53">AP89-AT89</f>
        <v>0</v>
      </c>
      <c r="AX89" s="32">
        <f t="shared" si="47"/>
        <v>0</v>
      </c>
    </row>
    <row r="90" spans="1:50" ht="32.25" customHeight="1" x14ac:dyDescent="0.2">
      <c r="A90" s="14" t="s">
        <v>55</v>
      </c>
      <c r="B90" s="15" t="s">
        <v>56</v>
      </c>
      <c r="C90" s="15"/>
      <c r="D90" s="15" t="s">
        <v>40</v>
      </c>
      <c r="E90" s="15"/>
      <c r="F90" s="15"/>
      <c r="G90" s="15" t="s">
        <v>41</v>
      </c>
      <c r="H90" s="15"/>
      <c r="I90" s="15" t="s">
        <v>936</v>
      </c>
      <c r="J90" s="15"/>
      <c r="K90" s="15" t="s">
        <v>932</v>
      </c>
      <c r="L90" s="15"/>
      <c r="M90" s="15" t="s">
        <v>933</v>
      </c>
      <c r="N90" s="15"/>
      <c r="O90" s="15" t="s">
        <v>938</v>
      </c>
      <c r="P90" s="15"/>
      <c r="Q90" s="15" t="s">
        <v>942</v>
      </c>
      <c r="R90" s="15"/>
      <c r="S90" s="15" t="s">
        <v>940</v>
      </c>
      <c r="T90" s="15">
        <v>0</v>
      </c>
      <c r="U90" s="15">
        <v>0</v>
      </c>
      <c r="V90" s="15">
        <v>0</v>
      </c>
      <c r="W90" s="15">
        <v>0</v>
      </c>
      <c r="X90" s="15" t="s">
        <v>937</v>
      </c>
      <c r="Y90" s="15"/>
      <c r="Z90" s="15"/>
      <c r="AA90" s="16" t="s">
        <v>184</v>
      </c>
      <c r="AB90" s="17" t="s">
        <v>185</v>
      </c>
      <c r="AC90" s="17" t="s">
        <v>58</v>
      </c>
      <c r="AD90" s="18">
        <v>758000000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18">
        <v>758000000</v>
      </c>
      <c r="AK90" s="34">
        <v>0</v>
      </c>
      <c r="AL90" s="18">
        <f>AM90-FEBRERO!P90</f>
        <v>65003809</v>
      </c>
      <c r="AM90" s="18">
        <v>223679769</v>
      </c>
      <c r="AN90" s="34">
        <v>0</v>
      </c>
      <c r="AO90" s="18">
        <v>209530</v>
      </c>
      <c r="AP90" s="18">
        <v>158885490</v>
      </c>
      <c r="AQ90" s="34">
        <v>22590251.57</v>
      </c>
      <c r="AR90" s="18">
        <v>400000</v>
      </c>
      <c r="AS90" s="18">
        <v>4427050</v>
      </c>
      <c r="AT90" s="39">
        <f t="shared" si="40"/>
        <v>27017301.57</v>
      </c>
      <c r="AU90" s="18">
        <f t="shared" si="51"/>
        <v>534320231</v>
      </c>
      <c r="AV90" s="18">
        <f t="shared" si="52"/>
        <v>64794279</v>
      </c>
      <c r="AW90" s="18">
        <f t="shared" si="53"/>
        <v>131868188.43000001</v>
      </c>
      <c r="AX90" s="32">
        <f t="shared" si="47"/>
        <v>0.20961146437994724</v>
      </c>
    </row>
    <row r="91" spans="1:50" ht="23.25" customHeight="1" x14ac:dyDescent="0.2">
      <c r="A91" s="14" t="s">
        <v>55</v>
      </c>
      <c r="B91" s="15" t="s">
        <v>56</v>
      </c>
      <c r="C91" s="15"/>
      <c r="D91" s="15" t="s">
        <v>40</v>
      </c>
      <c r="E91" s="15"/>
      <c r="F91" s="15"/>
      <c r="G91" s="15" t="s">
        <v>41</v>
      </c>
      <c r="H91" s="15"/>
      <c r="I91" s="15" t="s">
        <v>936</v>
      </c>
      <c r="J91" s="15"/>
      <c r="K91" s="15" t="s">
        <v>932</v>
      </c>
      <c r="L91" s="15"/>
      <c r="M91" s="15" t="s">
        <v>933</v>
      </c>
      <c r="N91" s="15"/>
      <c r="O91" s="15" t="s">
        <v>938</v>
      </c>
      <c r="P91" s="15"/>
      <c r="Q91" s="15" t="s">
        <v>942</v>
      </c>
      <c r="R91" s="15"/>
      <c r="S91" s="15" t="s">
        <v>940</v>
      </c>
      <c r="T91" s="15">
        <v>0</v>
      </c>
      <c r="U91" s="15">
        <v>0</v>
      </c>
      <c r="V91" s="15">
        <v>0</v>
      </c>
      <c r="W91" s="15">
        <v>0</v>
      </c>
      <c r="X91" s="15" t="s">
        <v>937</v>
      </c>
      <c r="Y91" s="15"/>
      <c r="Z91" s="15"/>
      <c r="AA91" s="16" t="s">
        <v>186</v>
      </c>
      <c r="AB91" s="17" t="s">
        <v>187</v>
      </c>
      <c r="AC91" s="17" t="s">
        <v>58</v>
      </c>
      <c r="AD91" s="18">
        <v>110000000</v>
      </c>
      <c r="AE91" s="34">
        <v>0</v>
      </c>
      <c r="AF91" s="34">
        <v>0</v>
      </c>
      <c r="AG91" s="18">
        <v>300000000</v>
      </c>
      <c r="AH91" s="34">
        <v>0</v>
      </c>
      <c r="AI91" s="18">
        <f>AE91-AF91+AG91-AH91</f>
        <v>300000000</v>
      </c>
      <c r="AJ91" s="18">
        <f>AD91+AI91</f>
        <v>410000000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1">
        <f t="shared" si="40"/>
        <v>0</v>
      </c>
      <c r="AU91" s="18">
        <f t="shared" si="51"/>
        <v>410000000</v>
      </c>
      <c r="AV91" s="34">
        <f t="shared" si="52"/>
        <v>0</v>
      </c>
      <c r="AW91" s="18">
        <f t="shared" si="53"/>
        <v>0</v>
      </c>
      <c r="AX91" s="32">
        <f t="shared" si="47"/>
        <v>0</v>
      </c>
    </row>
    <row r="92" spans="1:50" s="25" customFormat="1" ht="18.75" customHeight="1" x14ac:dyDescent="0.2">
      <c r="A92" s="19" t="s">
        <v>55</v>
      </c>
      <c r="B92" s="19" t="s">
        <v>56</v>
      </c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26" t="s">
        <v>188</v>
      </c>
      <c r="AB92" s="21" t="s">
        <v>189</v>
      </c>
      <c r="AC92" s="22" t="s">
        <v>56</v>
      </c>
      <c r="AD92" s="22">
        <f>SUM(AD93:AD98)</f>
        <v>23014782621</v>
      </c>
      <c r="AE92" s="23">
        <f t="shared" ref="AE92:AW92" si="54">SUM(AE93:AE98)</f>
        <v>0</v>
      </c>
      <c r="AF92" s="23">
        <f t="shared" si="54"/>
        <v>0</v>
      </c>
      <c r="AG92" s="22">
        <f t="shared" si="54"/>
        <v>2064200000</v>
      </c>
      <c r="AH92" s="22">
        <f>SUM(AH93:AH98)</f>
        <v>2394200000</v>
      </c>
      <c r="AI92" s="22">
        <f>SUM(AI93:AI98)</f>
        <v>-330000000</v>
      </c>
      <c r="AJ92" s="22">
        <f>SUM(AJ93:AJ98)</f>
        <v>22684782621</v>
      </c>
      <c r="AK92" s="23">
        <f t="shared" si="54"/>
        <v>566136</v>
      </c>
      <c r="AL92" s="22">
        <f t="shared" si="54"/>
        <v>5701171263.9699993</v>
      </c>
      <c r="AM92" s="22">
        <f t="shared" si="54"/>
        <v>17970628428.650002</v>
      </c>
      <c r="AN92" s="22">
        <f t="shared" si="54"/>
        <v>91650000</v>
      </c>
      <c r="AO92" s="22">
        <f t="shared" si="54"/>
        <v>1985173106.6900001</v>
      </c>
      <c r="AP92" s="22">
        <f t="shared" si="54"/>
        <v>11003414238.950001</v>
      </c>
      <c r="AQ92" s="23">
        <f t="shared" si="54"/>
        <v>1046549948</v>
      </c>
      <c r="AR92" s="22">
        <f t="shared" si="54"/>
        <v>1142894908.97</v>
      </c>
      <c r="AS92" s="22">
        <f t="shared" si="54"/>
        <v>2062602166.1500001</v>
      </c>
      <c r="AT92" s="22">
        <f>AQ92+AS92</f>
        <v>3109152114.1500001</v>
      </c>
      <c r="AU92" s="22">
        <f t="shared" si="54"/>
        <v>4714154192.3500004</v>
      </c>
      <c r="AV92" s="22">
        <f t="shared" si="54"/>
        <v>6967214189.6999989</v>
      </c>
      <c r="AW92" s="22">
        <f t="shared" si="54"/>
        <v>7894262124.8000011</v>
      </c>
      <c r="AX92" s="24">
        <f t="shared" si="47"/>
        <v>0.48505707208160781</v>
      </c>
    </row>
    <row r="93" spans="1:50" ht="18.75" customHeight="1" x14ac:dyDescent="0.2">
      <c r="A93" s="14" t="s">
        <v>55</v>
      </c>
      <c r="B93" s="15" t="s">
        <v>56</v>
      </c>
      <c r="C93" s="15"/>
      <c r="D93" s="15" t="s">
        <v>40</v>
      </c>
      <c r="E93" s="15"/>
      <c r="F93" s="15"/>
      <c r="G93" s="15" t="s">
        <v>41</v>
      </c>
      <c r="H93" s="15"/>
      <c r="I93" s="15" t="s">
        <v>936</v>
      </c>
      <c r="J93" s="15"/>
      <c r="K93" s="15" t="s">
        <v>932</v>
      </c>
      <c r="L93" s="15"/>
      <c r="M93" s="15" t="s">
        <v>933</v>
      </c>
      <c r="N93" s="15"/>
      <c r="O93" s="15" t="s">
        <v>938</v>
      </c>
      <c r="P93" s="15"/>
      <c r="Q93" s="15" t="s">
        <v>942</v>
      </c>
      <c r="R93" s="15"/>
      <c r="S93" s="15" t="s">
        <v>940</v>
      </c>
      <c r="T93" s="15">
        <v>0</v>
      </c>
      <c r="U93" s="15">
        <v>0</v>
      </c>
      <c r="V93" s="15">
        <v>0</v>
      </c>
      <c r="W93" s="15">
        <v>0</v>
      </c>
      <c r="X93" s="15" t="s">
        <v>937</v>
      </c>
      <c r="Y93" s="15"/>
      <c r="Z93" s="15"/>
      <c r="AA93" s="16" t="s">
        <v>190</v>
      </c>
      <c r="AB93" s="17" t="s">
        <v>191</v>
      </c>
      <c r="AC93" s="17" t="s">
        <v>58</v>
      </c>
      <c r="AD93" s="18">
        <v>200000000</v>
      </c>
      <c r="AE93" s="34">
        <v>0</v>
      </c>
      <c r="AF93" s="34">
        <v>0</v>
      </c>
      <c r="AG93" s="34">
        <v>0</v>
      </c>
      <c r="AH93" s="18">
        <f>90000000+20000000</f>
        <v>110000000</v>
      </c>
      <c r="AI93" s="18">
        <f>AE93-AF93+AG93-AH93</f>
        <v>-110000000</v>
      </c>
      <c r="AJ93" s="18">
        <f>AD93+AI93</f>
        <v>90000000</v>
      </c>
      <c r="AK93" s="34">
        <v>0</v>
      </c>
      <c r="AL93" s="18">
        <f>AM93-FEBRERO!P93</f>
        <v>0</v>
      </c>
      <c r="AM93" s="18">
        <v>77224700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1">
        <f t="shared" ref="AT93:AT113" si="55">AQ93+AS93</f>
        <v>0</v>
      </c>
      <c r="AU93" s="18">
        <f t="shared" ref="AU93:AU98" si="56">AJ93-AM93</f>
        <v>12775300</v>
      </c>
      <c r="AV93" s="34">
        <f t="shared" ref="AV93:AV98" si="57">AM93-AP93</f>
        <v>77224700</v>
      </c>
      <c r="AW93" s="18">
        <f t="shared" ref="AW93:AW98" si="58">AP93-AT93</f>
        <v>0</v>
      </c>
      <c r="AX93" s="32">
        <f t="shared" si="47"/>
        <v>0</v>
      </c>
    </row>
    <row r="94" spans="1:50" ht="27.75" customHeight="1" x14ac:dyDescent="0.2">
      <c r="A94" s="35" t="s">
        <v>55</v>
      </c>
      <c r="B94" s="36" t="s">
        <v>56</v>
      </c>
      <c r="C94" s="36"/>
      <c r="D94" s="36" t="s">
        <v>40</v>
      </c>
      <c r="E94" s="36"/>
      <c r="F94" s="36"/>
      <c r="G94" s="36" t="s">
        <v>41</v>
      </c>
      <c r="H94" s="36"/>
      <c r="I94" s="36" t="s">
        <v>936</v>
      </c>
      <c r="J94" s="36"/>
      <c r="K94" s="36" t="s">
        <v>932</v>
      </c>
      <c r="L94" s="36"/>
      <c r="M94" s="36" t="s">
        <v>933</v>
      </c>
      <c r="N94" s="36"/>
      <c r="O94" s="36" t="s">
        <v>938</v>
      </c>
      <c r="P94" s="36"/>
      <c r="Q94" s="36" t="s">
        <v>942</v>
      </c>
      <c r="R94" s="36"/>
      <c r="S94" s="36" t="s">
        <v>940</v>
      </c>
      <c r="T94" s="36">
        <v>0</v>
      </c>
      <c r="U94" s="36">
        <v>0</v>
      </c>
      <c r="V94" s="36">
        <v>0</v>
      </c>
      <c r="W94" s="36">
        <v>0</v>
      </c>
      <c r="X94" s="36" t="s">
        <v>937</v>
      </c>
      <c r="Y94" s="36"/>
      <c r="Z94" s="36"/>
      <c r="AA94" s="37" t="s">
        <v>192</v>
      </c>
      <c r="AB94" s="38" t="s">
        <v>193</v>
      </c>
      <c r="AC94" s="38" t="s">
        <v>58</v>
      </c>
      <c r="AD94" s="39">
        <v>1740000000</v>
      </c>
      <c r="AE94" s="40">
        <v>0</v>
      </c>
      <c r="AF94" s="40">
        <v>0</v>
      </c>
      <c r="AG94" s="40">
        <v>0</v>
      </c>
      <c r="AH94" s="39">
        <v>490000000</v>
      </c>
      <c r="AI94" s="18">
        <f>AE94-AF94+AG94-AH94</f>
        <v>-490000000</v>
      </c>
      <c r="AJ94" s="18">
        <f>AD94+AI94</f>
        <v>1250000000</v>
      </c>
      <c r="AK94" s="40">
        <v>0</v>
      </c>
      <c r="AL94" s="18">
        <f>AM94-FEBRERO!P94</f>
        <v>45827770</v>
      </c>
      <c r="AM94" s="39">
        <v>706045753</v>
      </c>
      <c r="AN94" s="40">
        <v>0</v>
      </c>
      <c r="AO94" s="18">
        <v>45827770</v>
      </c>
      <c r="AP94" s="39">
        <v>706045753</v>
      </c>
      <c r="AQ94" s="40">
        <v>0</v>
      </c>
      <c r="AR94" s="39">
        <v>120542770</v>
      </c>
      <c r="AS94" s="39">
        <v>252936053</v>
      </c>
      <c r="AT94" s="30">
        <f t="shared" si="55"/>
        <v>252936053</v>
      </c>
      <c r="AU94" s="18">
        <f t="shared" si="56"/>
        <v>543954247</v>
      </c>
      <c r="AV94" s="34">
        <f t="shared" si="57"/>
        <v>0</v>
      </c>
      <c r="AW94" s="18">
        <f t="shared" si="58"/>
        <v>453109700</v>
      </c>
      <c r="AX94" s="32">
        <f t="shared" si="47"/>
        <v>0.5648366024</v>
      </c>
    </row>
    <row r="95" spans="1:50" ht="27.75" customHeight="1" x14ac:dyDescent="0.2">
      <c r="A95" s="35" t="s">
        <v>55</v>
      </c>
      <c r="B95" s="36" t="s">
        <v>56</v>
      </c>
      <c r="C95" s="36"/>
      <c r="D95" s="36" t="s">
        <v>40</v>
      </c>
      <c r="E95" s="36"/>
      <c r="F95" s="36"/>
      <c r="G95" s="36" t="s">
        <v>41</v>
      </c>
      <c r="H95" s="36"/>
      <c r="I95" s="36" t="s">
        <v>936</v>
      </c>
      <c r="J95" s="36"/>
      <c r="K95" s="36" t="s">
        <v>932</v>
      </c>
      <c r="L95" s="36"/>
      <c r="M95" s="36" t="s">
        <v>933</v>
      </c>
      <c r="N95" s="36"/>
      <c r="O95" s="36" t="s">
        <v>938</v>
      </c>
      <c r="P95" s="36"/>
      <c r="Q95" s="36" t="s">
        <v>942</v>
      </c>
      <c r="R95" s="36"/>
      <c r="S95" s="36" t="s">
        <v>940</v>
      </c>
      <c r="T95" s="36">
        <v>0</v>
      </c>
      <c r="U95" s="36">
        <v>0</v>
      </c>
      <c r="V95" s="36">
        <v>0</v>
      </c>
      <c r="W95" s="36">
        <v>0</v>
      </c>
      <c r="X95" s="36" t="s">
        <v>937</v>
      </c>
      <c r="Y95" s="36"/>
      <c r="Z95" s="36"/>
      <c r="AA95" s="37" t="s">
        <v>194</v>
      </c>
      <c r="AB95" s="38" t="s">
        <v>195</v>
      </c>
      <c r="AC95" s="38" t="s">
        <v>58</v>
      </c>
      <c r="AD95" s="39">
        <v>3623000000</v>
      </c>
      <c r="AE95" s="40">
        <v>0</v>
      </c>
      <c r="AF95" s="40">
        <v>0</v>
      </c>
      <c r="AG95" s="40">
        <v>0</v>
      </c>
      <c r="AH95" s="39">
        <v>10000000</v>
      </c>
      <c r="AI95" s="18">
        <f>AE95-AF95+AG95-AH95</f>
        <v>-10000000</v>
      </c>
      <c r="AJ95" s="18">
        <f>AD95+AI95</f>
        <v>3613000000</v>
      </c>
      <c r="AK95" s="40">
        <v>539096</v>
      </c>
      <c r="AL95" s="18">
        <f>AM95-FEBRERO!P95</f>
        <v>304575587</v>
      </c>
      <c r="AM95" s="39">
        <v>3120430315</v>
      </c>
      <c r="AN95" s="40">
        <v>0</v>
      </c>
      <c r="AO95" s="18">
        <v>515875587</v>
      </c>
      <c r="AP95" s="39">
        <v>630604101</v>
      </c>
      <c r="AQ95" s="40">
        <v>875000</v>
      </c>
      <c r="AR95" s="40">
        <v>38701358</v>
      </c>
      <c r="AS95" s="40">
        <v>153429872</v>
      </c>
      <c r="AT95" s="30">
        <f t="shared" si="55"/>
        <v>154304872</v>
      </c>
      <c r="AU95" s="18">
        <f t="shared" si="56"/>
        <v>492569685</v>
      </c>
      <c r="AV95" s="34">
        <f t="shared" si="57"/>
        <v>2489826214</v>
      </c>
      <c r="AW95" s="34">
        <f t="shared" si="58"/>
        <v>476299229</v>
      </c>
      <c r="AX95" s="32">
        <f t="shared" si="47"/>
        <v>0.17453753141433712</v>
      </c>
    </row>
    <row r="96" spans="1:50" ht="25.5" customHeight="1" x14ac:dyDescent="0.2">
      <c r="A96" s="14" t="s">
        <v>55</v>
      </c>
      <c r="B96" s="15" t="s">
        <v>56</v>
      </c>
      <c r="C96" s="15"/>
      <c r="D96" s="15" t="s">
        <v>40</v>
      </c>
      <c r="E96" s="15"/>
      <c r="F96" s="15"/>
      <c r="G96" s="15" t="s">
        <v>41</v>
      </c>
      <c r="H96" s="15"/>
      <c r="I96" s="15" t="s">
        <v>936</v>
      </c>
      <c r="J96" s="15"/>
      <c r="K96" s="15" t="s">
        <v>932</v>
      </c>
      <c r="L96" s="15"/>
      <c r="M96" s="15" t="s">
        <v>933</v>
      </c>
      <c r="N96" s="15"/>
      <c r="O96" s="15" t="s">
        <v>938</v>
      </c>
      <c r="P96" s="15"/>
      <c r="Q96" s="15" t="s">
        <v>942</v>
      </c>
      <c r="R96" s="15"/>
      <c r="S96" s="15" t="s">
        <v>940</v>
      </c>
      <c r="T96" s="15">
        <v>0</v>
      </c>
      <c r="U96" s="15">
        <v>0</v>
      </c>
      <c r="V96" s="15">
        <v>0</v>
      </c>
      <c r="W96" s="15">
        <v>0</v>
      </c>
      <c r="X96" s="15" t="s">
        <v>937</v>
      </c>
      <c r="Y96" s="15"/>
      <c r="Z96" s="15"/>
      <c r="AA96" s="16" t="s">
        <v>196</v>
      </c>
      <c r="AB96" s="17" t="s">
        <v>197</v>
      </c>
      <c r="AC96" s="17" t="s">
        <v>58</v>
      </c>
      <c r="AD96" s="18">
        <v>17003782621</v>
      </c>
      <c r="AE96" s="34">
        <v>0</v>
      </c>
      <c r="AF96" s="34">
        <v>0</v>
      </c>
      <c r="AG96" s="18">
        <f>1580000000+150000000+300000000+34200000</f>
        <v>2064200000</v>
      </c>
      <c r="AH96" s="18">
        <f>1000000000+450000000+300000000+34200000</f>
        <v>1784200000</v>
      </c>
      <c r="AI96" s="18">
        <f>AE96-AF96+AG96-AH96</f>
        <v>280000000</v>
      </c>
      <c r="AJ96" s="18">
        <f>AD96+AI96</f>
        <v>17283782621</v>
      </c>
      <c r="AK96" s="110">
        <v>27040</v>
      </c>
      <c r="AL96" s="18">
        <f>AM96-FEBRERO!P96</f>
        <v>5340185939.4699993</v>
      </c>
      <c r="AM96" s="110">
        <v>13996292449.15</v>
      </c>
      <c r="AN96" s="18">
        <v>91650000</v>
      </c>
      <c r="AO96" s="18">
        <v>1363885669.1900001</v>
      </c>
      <c r="AP96" s="18">
        <v>9597127060.4500008</v>
      </c>
      <c r="AQ96" s="34">
        <v>1045674948</v>
      </c>
      <c r="AR96" s="18">
        <v>973433500.47000003</v>
      </c>
      <c r="AS96" s="18">
        <v>1638839298.6500001</v>
      </c>
      <c r="AT96" s="30">
        <f t="shared" si="55"/>
        <v>2684514246.6500001</v>
      </c>
      <c r="AU96" s="18">
        <f t="shared" si="56"/>
        <v>3287490171.8500004</v>
      </c>
      <c r="AV96" s="110">
        <f t="shared" si="57"/>
        <v>4399165388.6999989</v>
      </c>
      <c r="AW96" s="18">
        <f t="shared" si="58"/>
        <v>6912612813.8000011</v>
      </c>
      <c r="AX96" s="32">
        <f t="shared" si="47"/>
        <v>0.55526774843773941</v>
      </c>
    </row>
    <row r="97" spans="1:50" ht="18.75" customHeight="1" x14ac:dyDescent="0.2">
      <c r="A97" s="14" t="s">
        <v>55</v>
      </c>
      <c r="B97" s="15" t="s">
        <v>56</v>
      </c>
      <c r="C97" s="15"/>
      <c r="D97" s="15" t="s">
        <v>40</v>
      </c>
      <c r="E97" s="15"/>
      <c r="F97" s="15"/>
      <c r="G97" s="15" t="s">
        <v>41</v>
      </c>
      <c r="H97" s="15"/>
      <c r="I97" s="15" t="s">
        <v>936</v>
      </c>
      <c r="J97" s="15"/>
      <c r="K97" s="15" t="s">
        <v>932</v>
      </c>
      <c r="L97" s="15"/>
      <c r="M97" s="15" t="s">
        <v>933</v>
      </c>
      <c r="N97" s="15"/>
      <c r="O97" s="15" t="s">
        <v>938</v>
      </c>
      <c r="P97" s="15"/>
      <c r="Q97" s="15" t="s">
        <v>942</v>
      </c>
      <c r="R97" s="15"/>
      <c r="S97" s="15" t="s">
        <v>940</v>
      </c>
      <c r="T97" s="15">
        <v>0</v>
      </c>
      <c r="U97" s="15">
        <v>0</v>
      </c>
      <c r="V97" s="15">
        <v>0</v>
      </c>
      <c r="W97" s="15">
        <v>0</v>
      </c>
      <c r="X97" s="15" t="s">
        <v>937</v>
      </c>
      <c r="Y97" s="15"/>
      <c r="Z97" s="15"/>
      <c r="AA97" s="16" t="s">
        <v>198</v>
      </c>
      <c r="AB97" s="17" t="s">
        <v>199</v>
      </c>
      <c r="AC97" s="17" t="s">
        <v>58</v>
      </c>
      <c r="AD97" s="18">
        <v>348000000</v>
      </c>
      <c r="AE97" s="34">
        <v>0</v>
      </c>
      <c r="AF97" s="34">
        <v>0</v>
      </c>
      <c r="AG97" s="34">
        <v>0</v>
      </c>
      <c r="AH97" s="34">
        <v>0</v>
      </c>
      <c r="AI97" s="34">
        <v>0</v>
      </c>
      <c r="AJ97" s="18">
        <v>348000000</v>
      </c>
      <c r="AK97" s="34">
        <v>0</v>
      </c>
      <c r="AL97" s="18">
        <f>AM97-FEBRERO!P97</f>
        <v>0</v>
      </c>
      <c r="AM97" s="110">
        <v>50000000</v>
      </c>
      <c r="AN97" s="34">
        <v>0</v>
      </c>
      <c r="AO97" s="34">
        <v>50000000</v>
      </c>
      <c r="AP97" s="34">
        <v>50000000</v>
      </c>
      <c r="AQ97" s="34">
        <v>0</v>
      </c>
      <c r="AR97" s="34">
        <v>0</v>
      </c>
      <c r="AS97" s="34">
        <v>0</v>
      </c>
      <c r="AT97" s="31">
        <f t="shared" si="55"/>
        <v>0</v>
      </c>
      <c r="AU97" s="18">
        <f t="shared" si="56"/>
        <v>298000000</v>
      </c>
      <c r="AV97" s="110">
        <f t="shared" si="57"/>
        <v>0</v>
      </c>
      <c r="AW97" s="34">
        <f t="shared" si="58"/>
        <v>50000000</v>
      </c>
      <c r="AX97" s="32">
        <f t="shared" si="47"/>
        <v>0.14367816091954022</v>
      </c>
    </row>
    <row r="98" spans="1:50" ht="18.75" customHeight="1" x14ac:dyDescent="0.2">
      <c r="A98" s="14" t="s">
        <v>55</v>
      </c>
      <c r="B98" s="15" t="s">
        <v>56</v>
      </c>
      <c r="C98" s="15"/>
      <c r="D98" s="15" t="s">
        <v>40</v>
      </c>
      <c r="E98" s="15"/>
      <c r="F98" s="15"/>
      <c r="G98" s="15" t="s">
        <v>41</v>
      </c>
      <c r="H98" s="15"/>
      <c r="I98" s="15" t="s">
        <v>936</v>
      </c>
      <c r="J98" s="15"/>
      <c r="K98" s="15" t="s">
        <v>932</v>
      </c>
      <c r="L98" s="15"/>
      <c r="M98" s="15" t="s">
        <v>933</v>
      </c>
      <c r="N98" s="15"/>
      <c r="O98" s="15" t="s">
        <v>938</v>
      </c>
      <c r="P98" s="15"/>
      <c r="Q98" s="15" t="s">
        <v>942</v>
      </c>
      <c r="R98" s="15"/>
      <c r="S98" s="15" t="s">
        <v>940</v>
      </c>
      <c r="T98" s="15">
        <v>0</v>
      </c>
      <c r="U98" s="15">
        <v>0</v>
      </c>
      <c r="V98" s="15">
        <v>0</v>
      </c>
      <c r="W98" s="15">
        <v>0</v>
      </c>
      <c r="X98" s="15" t="s">
        <v>937</v>
      </c>
      <c r="Y98" s="15"/>
      <c r="Z98" s="15"/>
      <c r="AA98" s="16" t="s">
        <v>200</v>
      </c>
      <c r="AB98" s="17" t="s">
        <v>201</v>
      </c>
      <c r="AC98" s="17" t="s">
        <v>58</v>
      </c>
      <c r="AD98" s="18">
        <v>100000000</v>
      </c>
      <c r="AE98" s="34">
        <v>0</v>
      </c>
      <c r="AF98" s="34">
        <v>0</v>
      </c>
      <c r="AG98" s="34">
        <v>0</v>
      </c>
      <c r="AH98" s="34">
        <v>0</v>
      </c>
      <c r="AI98" s="34">
        <v>0</v>
      </c>
      <c r="AJ98" s="18">
        <v>100000000</v>
      </c>
      <c r="AK98" s="34">
        <v>0</v>
      </c>
      <c r="AL98" s="18">
        <f>AM98-FEBRERO!P98</f>
        <v>10581967.5</v>
      </c>
      <c r="AM98" s="110">
        <v>20635211.5</v>
      </c>
      <c r="AN98" s="34">
        <v>0</v>
      </c>
      <c r="AO98" s="18">
        <v>9584080.5</v>
      </c>
      <c r="AP98" s="34">
        <v>19637324.5</v>
      </c>
      <c r="AQ98" s="34">
        <v>0</v>
      </c>
      <c r="AR98" s="34">
        <v>10217280.5</v>
      </c>
      <c r="AS98" s="34">
        <v>17396942.5</v>
      </c>
      <c r="AT98" s="30">
        <f t="shared" si="55"/>
        <v>17396942.5</v>
      </c>
      <c r="AU98" s="18">
        <f t="shared" si="56"/>
        <v>79364788.5</v>
      </c>
      <c r="AV98" s="34">
        <f t="shared" si="57"/>
        <v>997887</v>
      </c>
      <c r="AW98" s="18">
        <f t="shared" si="58"/>
        <v>2240382</v>
      </c>
      <c r="AX98" s="32">
        <f t="shared" si="47"/>
        <v>0.196373245</v>
      </c>
    </row>
    <row r="99" spans="1:50" s="25" customFormat="1" ht="18.75" customHeight="1" x14ac:dyDescent="0.2">
      <c r="A99" s="19" t="s">
        <v>37</v>
      </c>
      <c r="B99" s="19" t="s">
        <v>37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26" t="s">
        <v>868</v>
      </c>
      <c r="AB99" s="21" t="s">
        <v>202</v>
      </c>
      <c r="AC99" s="22" t="s">
        <v>37</v>
      </c>
      <c r="AD99" s="22">
        <f t="shared" ref="AD99:AS99" si="59">AD100+AD120+AD135</f>
        <v>113142608950</v>
      </c>
      <c r="AE99" s="23">
        <f t="shared" si="59"/>
        <v>0</v>
      </c>
      <c r="AF99" s="23">
        <f t="shared" si="59"/>
        <v>0</v>
      </c>
      <c r="AG99" s="23">
        <f t="shared" si="59"/>
        <v>0</v>
      </c>
      <c r="AH99" s="23">
        <f t="shared" si="59"/>
        <v>0</v>
      </c>
      <c r="AI99" s="23">
        <f t="shared" si="59"/>
        <v>0</v>
      </c>
      <c r="AJ99" s="22">
        <f t="shared" si="59"/>
        <v>113142608950</v>
      </c>
      <c r="AK99" s="23">
        <f t="shared" si="59"/>
        <v>425300</v>
      </c>
      <c r="AL99" s="22">
        <f t="shared" si="59"/>
        <v>5000161911.2700005</v>
      </c>
      <c r="AM99" s="22">
        <f t="shared" si="59"/>
        <v>13514769231.41</v>
      </c>
      <c r="AN99" s="23">
        <f t="shared" si="59"/>
        <v>0</v>
      </c>
      <c r="AO99" s="22">
        <f t="shared" si="59"/>
        <v>5002965963.2700005</v>
      </c>
      <c r="AP99" s="22">
        <f t="shared" si="59"/>
        <v>13509939231.41</v>
      </c>
      <c r="AQ99" s="22">
        <f t="shared" si="59"/>
        <v>2113712677</v>
      </c>
      <c r="AR99" s="22">
        <f t="shared" si="59"/>
        <v>4945714278.2700005</v>
      </c>
      <c r="AS99" s="22">
        <f t="shared" si="59"/>
        <v>11347328359.41</v>
      </c>
      <c r="AT99" s="22">
        <f t="shared" si="55"/>
        <v>13461041036.41</v>
      </c>
      <c r="AU99" s="22">
        <f>AU100+AU120+AU135</f>
        <v>99627839718.589996</v>
      </c>
      <c r="AV99" s="22">
        <f>AV100+AV120+AV135</f>
        <v>4830000</v>
      </c>
      <c r="AW99" s="22">
        <f>AW100+AW120+AW135</f>
        <v>48898195</v>
      </c>
      <c r="AX99" s="24">
        <f t="shared" si="47"/>
        <v>0.11940629049291514</v>
      </c>
    </row>
    <row r="100" spans="1:50" s="25" customFormat="1" ht="18.75" customHeight="1" x14ac:dyDescent="0.2">
      <c r="A100" s="19" t="s">
        <v>55</v>
      </c>
      <c r="B100" s="19" t="s">
        <v>56</v>
      </c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26" t="s">
        <v>869</v>
      </c>
      <c r="AB100" s="21" t="s">
        <v>203</v>
      </c>
      <c r="AC100" s="22" t="s">
        <v>37</v>
      </c>
      <c r="AD100" s="22">
        <f t="shared" ref="AD100:AS100" si="60">AD101+AD114</f>
        <v>70789582622</v>
      </c>
      <c r="AE100" s="23">
        <f t="shared" si="60"/>
        <v>0</v>
      </c>
      <c r="AF100" s="23">
        <f t="shared" si="60"/>
        <v>0</v>
      </c>
      <c r="AG100" s="23">
        <f t="shared" si="60"/>
        <v>0</v>
      </c>
      <c r="AH100" s="23">
        <f t="shared" si="60"/>
        <v>0</v>
      </c>
      <c r="AI100" s="23">
        <f t="shared" si="60"/>
        <v>0</v>
      </c>
      <c r="AJ100" s="22">
        <f t="shared" si="60"/>
        <v>70789582622</v>
      </c>
      <c r="AK100" s="23">
        <f t="shared" si="60"/>
        <v>0</v>
      </c>
      <c r="AL100" s="22">
        <f t="shared" si="60"/>
        <v>2763888094.27</v>
      </c>
      <c r="AM100" s="22">
        <f t="shared" si="60"/>
        <v>6873791450.4099998</v>
      </c>
      <c r="AN100" s="23">
        <f t="shared" si="60"/>
        <v>0</v>
      </c>
      <c r="AO100" s="22">
        <f t="shared" si="60"/>
        <v>2763888094.27</v>
      </c>
      <c r="AP100" s="22">
        <f t="shared" si="60"/>
        <v>6873791450.4099998</v>
      </c>
      <c r="AQ100" s="23">
        <f t="shared" si="60"/>
        <v>7116320</v>
      </c>
      <c r="AR100" s="22">
        <f t="shared" si="60"/>
        <v>2749834259.27</v>
      </c>
      <c r="AS100" s="22">
        <f t="shared" si="60"/>
        <v>6859737615.4099998</v>
      </c>
      <c r="AT100" s="22">
        <f t="shared" si="55"/>
        <v>6866853935.4099998</v>
      </c>
      <c r="AU100" s="22">
        <f>AU101+AU114</f>
        <v>63915791171.589996</v>
      </c>
      <c r="AV100" s="23">
        <f>AV101+AV114</f>
        <v>0</v>
      </c>
      <c r="AW100" s="23">
        <f>AW101+AW114</f>
        <v>6937515</v>
      </c>
      <c r="AX100" s="24">
        <f t="shared" si="47"/>
        <v>9.7101737230383969E-2</v>
      </c>
    </row>
    <row r="101" spans="1:50" s="25" customFormat="1" ht="18.75" customHeight="1" x14ac:dyDescent="0.2">
      <c r="A101" s="19" t="s">
        <v>55</v>
      </c>
      <c r="B101" s="19" t="s">
        <v>56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26" t="s">
        <v>870</v>
      </c>
      <c r="AB101" s="21" t="s">
        <v>204</v>
      </c>
      <c r="AC101" s="22" t="s">
        <v>56</v>
      </c>
      <c r="AD101" s="22">
        <f>AD102</f>
        <v>34789582622</v>
      </c>
      <c r="AE101" s="23">
        <f t="shared" ref="AE101:AW101" si="61">AE102</f>
        <v>0</v>
      </c>
      <c r="AF101" s="23">
        <f t="shared" si="61"/>
        <v>0</v>
      </c>
      <c r="AG101" s="23">
        <f t="shared" si="61"/>
        <v>0</v>
      </c>
      <c r="AH101" s="23">
        <f t="shared" si="61"/>
        <v>0</v>
      </c>
      <c r="AI101" s="23">
        <f t="shared" si="61"/>
        <v>0</v>
      </c>
      <c r="AJ101" s="22">
        <f t="shared" si="61"/>
        <v>34789582622</v>
      </c>
      <c r="AK101" s="23">
        <f t="shared" si="61"/>
        <v>0</v>
      </c>
      <c r="AL101" s="22">
        <f t="shared" si="61"/>
        <v>2763888094.27</v>
      </c>
      <c r="AM101" s="22">
        <f t="shared" si="61"/>
        <v>6873791450.4099998</v>
      </c>
      <c r="AN101" s="23">
        <f t="shared" si="61"/>
        <v>0</v>
      </c>
      <c r="AO101" s="22">
        <f t="shared" si="61"/>
        <v>2763888094.27</v>
      </c>
      <c r="AP101" s="22">
        <f t="shared" si="61"/>
        <v>6873791450.4099998</v>
      </c>
      <c r="AQ101" s="23">
        <f t="shared" si="61"/>
        <v>7116320</v>
      </c>
      <c r="AR101" s="22">
        <f t="shared" si="61"/>
        <v>2749834259.27</v>
      </c>
      <c r="AS101" s="22">
        <f t="shared" si="61"/>
        <v>6859737615.4099998</v>
      </c>
      <c r="AT101" s="22">
        <f t="shared" si="55"/>
        <v>6866853935.4099998</v>
      </c>
      <c r="AU101" s="22">
        <f t="shared" si="61"/>
        <v>27915791171.59</v>
      </c>
      <c r="AV101" s="23">
        <f t="shared" si="61"/>
        <v>0</v>
      </c>
      <c r="AW101" s="23">
        <f t="shared" si="61"/>
        <v>6937515</v>
      </c>
      <c r="AX101" s="24">
        <f t="shared" si="47"/>
        <v>0.19758188895497694</v>
      </c>
    </row>
    <row r="102" spans="1:50" ht="28.5" customHeight="1" x14ac:dyDescent="0.2">
      <c r="A102" s="27" t="s">
        <v>55</v>
      </c>
      <c r="B102" s="27" t="s">
        <v>56</v>
      </c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101" t="s">
        <v>871</v>
      </c>
      <c r="AB102" s="38" t="s">
        <v>205</v>
      </c>
      <c r="AC102" s="30" t="s">
        <v>56</v>
      </c>
      <c r="AD102" s="30">
        <f t="shared" ref="AD102:AS102" si="62">SUM(AD103:AD113)</f>
        <v>34789582622</v>
      </c>
      <c r="AE102" s="31">
        <f t="shared" si="62"/>
        <v>0</v>
      </c>
      <c r="AF102" s="31">
        <f t="shared" si="62"/>
        <v>0</v>
      </c>
      <c r="AG102" s="31">
        <f t="shared" si="62"/>
        <v>0</v>
      </c>
      <c r="AH102" s="31">
        <f t="shared" si="62"/>
        <v>0</v>
      </c>
      <c r="AI102" s="31">
        <f t="shared" si="62"/>
        <v>0</v>
      </c>
      <c r="AJ102" s="30">
        <f>SUM(AJ103:AJ113)</f>
        <v>34789582622</v>
      </c>
      <c r="AK102" s="31">
        <f t="shared" si="62"/>
        <v>0</v>
      </c>
      <c r="AL102" s="30">
        <f t="shared" si="62"/>
        <v>2763888094.27</v>
      </c>
      <c r="AM102" s="30">
        <f t="shared" si="62"/>
        <v>6873791450.4099998</v>
      </c>
      <c r="AN102" s="31">
        <f t="shared" si="62"/>
        <v>0</v>
      </c>
      <c r="AO102" s="30">
        <f t="shared" si="62"/>
        <v>2763888094.27</v>
      </c>
      <c r="AP102" s="30">
        <f t="shared" si="62"/>
        <v>6873791450.4099998</v>
      </c>
      <c r="AQ102" s="31">
        <f t="shared" si="62"/>
        <v>7116320</v>
      </c>
      <c r="AR102" s="30">
        <f t="shared" si="62"/>
        <v>2749834259.27</v>
      </c>
      <c r="AS102" s="30">
        <f t="shared" si="62"/>
        <v>6859737615.4099998</v>
      </c>
      <c r="AT102" s="39">
        <f t="shared" si="55"/>
        <v>6866853935.4099998</v>
      </c>
      <c r="AU102" s="18">
        <f t="shared" ref="AU102:AU113" si="63">AJ102-AM102</f>
        <v>27915791171.59</v>
      </c>
      <c r="AV102" s="34">
        <f t="shared" ref="AV102:AV113" si="64">AM102-AP102</f>
        <v>0</v>
      </c>
      <c r="AW102" s="18">
        <f t="shared" ref="AW102:AW113" si="65">AP102-AT102</f>
        <v>6937515</v>
      </c>
      <c r="AX102" s="32">
        <f t="shared" si="47"/>
        <v>0.19758188895497694</v>
      </c>
    </row>
    <row r="103" spans="1:50" ht="18.75" customHeight="1" x14ac:dyDescent="0.2">
      <c r="A103" s="35" t="s">
        <v>55</v>
      </c>
      <c r="B103" s="36" t="s">
        <v>56</v>
      </c>
      <c r="C103" s="36"/>
      <c r="D103" s="36" t="s">
        <v>40</v>
      </c>
      <c r="E103" s="36"/>
      <c r="F103" s="36"/>
      <c r="G103" s="36" t="s">
        <v>41</v>
      </c>
      <c r="H103" s="36"/>
      <c r="I103" s="36" t="s">
        <v>936</v>
      </c>
      <c r="J103" s="36"/>
      <c r="K103" s="36" t="s">
        <v>932</v>
      </c>
      <c r="L103" s="36"/>
      <c r="M103" s="36" t="s">
        <v>933</v>
      </c>
      <c r="N103" s="36"/>
      <c r="O103" s="36" t="s">
        <v>938</v>
      </c>
      <c r="P103" s="36"/>
      <c r="Q103" s="36" t="s">
        <v>942</v>
      </c>
      <c r="R103" s="36"/>
      <c r="S103" s="36" t="s">
        <v>940</v>
      </c>
      <c r="T103" s="36">
        <v>0</v>
      </c>
      <c r="U103" s="36">
        <v>0</v>
      </c>
      <c r="V103" s="36">
        <v>0</v>
      </c>
      <c r="W103" s="36">
        <v>0</v>
      </c>
      <c r="X103" s="36" t="s">
        <v>937</v>
      </c>
      <c r="Y103" s="36"/>
      <c r="Z103" s="36"/>
      <c r="AA103" s="101" t="s">
        <v>872</v>
      </c>
      <c r="AB103" s="38" t="s">
        <v>206</v>
      </c>
      <c r="AC103" s="38" t="s">
        <v>58</v>
      </c>
      <c r="AD103" s="39">
        <v>2500000000</v>
      </c>
      <c r="AE103" s="40">
        <v>0</v>
      </c>
      <c r="AF103" s="40">
        <v>0</v>
      </c>
      <c r="AG103" s="40">
        <v>0</v>
      </c>
      <c r="AH103" s="40">
        <v>0</v>
      </c>
      <c r="AI103" s="40">
        <v>0</v>
      </c>
      <c r="AJ103" s="39">
        <v>2500000000</v>
      </c>
      <c r="AK103" s="40">
        <v>0</v>
      </c>
      <c r="AL103" s="39">
        <v>208333333</v>
      </c>
      <c r="AM103" s="39">
        <v>624999999</v>
      </c>
      <c r="AN103" s="40">
        <v>0</v>
      </c>
      <c r="AO103" s="39">
        <v>208333333</v>
      </c>
      <c r="AP103" s="39">
        <v>624999999</v>
      </c>
      <c r="AQ103" s="40">
        <v>0</v>
      </c>
      <c r="AR103" s="39">
        <v>208333333</v>
      </c>
      <c r="AS103" s="39">
        <v>624999999</v>
      </c>
      <c r="AT103" s="39">
        <f t="shared" si="55"/>
        <v>624999999</v>
      </c>
      <c r="AU103" s="18">
        <f t="shared" si="63"/>
        <v>1875000001</v>
      </c>
      <c r="AV103" s="34">
        <f t="shared" si="64"/>
        <v>0</v>
      </c>
      <c r="AW103" s="34">
        <f t="shared" si="65"/>
        <v>0</v>
      </c>
      <c r="AX103" s="32">
        <f t="shared" si="47"/>
        <v>0.24999999959999999</v>
      </c>
    </row>
    <row r="104" spans="1:50" ht="18.75" customHeight="1" x14ac:dyDescent="0.2">
      <c r="A104" s="14" t="s">
        <v>55</v>
      </c>
      <c r="B104" s="15" t="s">
        <v>56</v>
      </c>
      <c r="C104" s="15"/>
      <c r="D104" s="15" t="s">
        <v>40</v>
      </c>
      <c r="E104" s="15"/>
      <c r="F104" s="15"/>
      <c r="G104" s="15" t="s">
        <v>41</v>
      </c>
      <c r="H104" s="15"/>
      <c r="I104" s="15" t="s">
        <v>936</v>
      </c>
      <c r="J104" s="15"/>
      <c r="K104" s="15" t="s">
        <v>932</v>
      </c>
      <c r="L104" s="15"/>
      <c r="M104" s="15" t="s">
        <v>933</v>
      </c>
      <c r="N104" s="15"/>
      <c r="O104" s="15" t="s">
        <v>938</v>
      </c>
      <c r="P104" s="15"/>
      <c r="Q104" s="15" t="s">
        <v>942</v>
      </c>
      <c r="R104" s="15"/>
      <c r="S104" s="15" t="s">
        <v>940</v>
      </c>
      <c r="T104" s="15">
        <v>0</v>
      </c>
      <c r="U104" s="15">
        <v>0</v>
      </c>
      <c r="V104" s="15">
        <v>0</v>
      </c>
      <c r="W104" s="15">
        <v>0</v>
      </c>
      <c r="X104" s="15" t="s">
        <v>937</v>
      </c>
      <c r="Y104" s="15"/>
      <c r="Z104" s="15"/>
      <c r="AA104" s="41" t="s">
        <v>873</v>
      </c>
      <c r="AB104" s="17" t="s">
        <v>207</v>
      </c>
      <c r="AC104" s="17" t="s">
        <v>58</v>
      </c>
      <c r="AD104" s="18">
        <v>3557080000</v>
      </c>
      <c r="AE104" s="34">
        <v>0</v>
      </c>
      <c r="AF104" s="34">
        <v>0</v>
      </c>
      <c r="AG104" s="34">
        <v>0</v>
      </c>
      <c r="AH104" s="34">
        <v>0</v>
      </c>
      <c r="AI104" s="34">
        <v>0</v>
      </c>
      <c r="AJ104" s="18">
        <v>3557080000</v>
      </c>
      <c r="AK104" s="34">
        <v>0</v>
      </c>
      <c r="AL104" s="39">
        <v>296423333</v>
      </c>
      <c r="AM104" s="18">
        <v>889269999</v>
      </c>
      <c r="AN104" s="34">
        <v>0</v>
      </c>
      <c r="AO104" s="18">
        <v>296423333</v>
      </c>
      <c r="AP104" s="18">
        <v>889269999</v>
      </c>
      <c r="AQ104" s="34">
        <v>0</v>
      </c>
      <c r="AR104" s="18">
        <v>296423333</v>
      </c>
      <c r="AS104" s="18">
        <v>889269999</v>
      </c>
      <c r="AT104" s="39">
        <f t="shared" si="55"/>
        <v>889269999</v>
      </c>
      <c r="AU104" s="18">
        <f t="shared" si="63"/>
        <v>2667810001</v>
      </c>
      <c r="AV104" s="34">
        <f t="shared" si="64"/>
        <v>0</v>
      </c>
      <c r="AW104" s="34">
        <f t="shared" si="65"/>
        <v>0</v>
      </c>
      <c r="AX104" s="32">
        <f t="shared" si="47"/>
        <v>0.24999999971887055</v>
      </c>
    </row>
    <row r="105" spans="1:50" ht="18.75" customHeight="1" x14ac:dyDescent="0.2">
      <c r="A105" s="35" t="s">
        <v>55</v>
      </c>
      <c r="B105" s="36" t="s">
        <v>56</v>
      </c>
      <c r="C105" s="36"/>
      <c r="D105" s="36" t="s">
        <v>40</v>
      </c>
      <c r="E105" s="36"/>
      <c r="F105" s="36"/>
      <c r="G105" s="36" t="s">
        <v>41</v>
      </c>
      <c r="H105" s="36"/>
      <c r="I105" s="36" t="s">
        <v>936</v>
      </c>
      <c r="J105" s="36"/>
      <c r="K105" s="36" t="s">
        <v>932</v>
      </c>
      <c r="L105" s="36"/>
      <c r="M105" s="36" t="s">
        <v>933</v>
      </c>
      <c r="N105" s="36"/>
      <c r="O105" s="36" t="s">
        <v>938</v>
      </c>
      <c r="P105" s="36"/>
      <c r="Q105" s="36" t="s">
        <v>942</v>
      </c>
      <c r="R105" s="36"/>
      <c r="S105" s="36" t="s">
        <v>940</v>
      </c>
      <c r="T105" s="36">
        <v>0</v>
      </c>
      <c r="U105" s="36">
        <v>0</v>
      </c>
      <c r="V105" s="36">
        <v>0</v>
      </c>
      <c r="W105" s="36">
        <v>0</v>
      </c>
      <c r="X105" s="36" t="s">
        <v>937</v>
      </c>
      <c r="Y105" s="36"/>
      <c r="Z105" s="36"/>
      <c r="AA105" s="101" t="s">
        <v>874</v>
      </c>
      <c r="AB105" s="38" t="s">
        <v>208</v>
      </c>
      <c r="AC105" s="38" t="s">
        <v>58</v>
      </c>
      <c r="AD105" s="39">
        <v>2747397800</v>
      </c>
      <c r="AE105" s="40">
        <v>0</v>
      </c>
      <c r="AF105" s="40">
        <v>0</v>
      </c>
      <c r="AG105" s="40">
        <v>0</v>
      </c>
      <c r="AH105" s="40">
        <v>0</v>
      </c>
      <c r="AI105" s="40">
        <v>0</v>
      </c>
      <c r="AJ105" s="39">
        <v>2747397800</v>
      </c>
      <c r="AK105" s="40">
        <v>0</v>
      </c>
      <c r="AL105" s="39">
        <v>228949817</v>
      </c>
      <c r="AM105" s="39">
        <v>686849451</v>
      </c>
      <c r="AN105" s="40">
        <v>0</v>
      </c>
      <c r="AO105" s="39">
        <v>228949817</v>
      </c>
      <c r="AP105" s="39">
        <v>686849451</v>
      </c>
      <c r="AQ105" s="40">
        <v>0</v>
      </c>
      <c r="AR105" s="39">
        <v>228949817</v>
      </c>
      <c r="AS105" s="39">
        <v>686849451</v>
      </c>
      <c r="AT105" s="39">
        <f t="shared" si="55"/>
        <v>686849451</v>
      </c>
      <c r="AU105" s="18">
        <f t="shared" si="63"/>
        <v>2060548349</v>
      </c>
      <c r="AV105" s="34">
        <f t="shared" si="64"/>
        <v>0</v>
      </c>
      <c r="AW105" s="34">
        <f t="shared" si="65"/>
        <v>0</v>
      </c>
      <c r="AX105" s="32">
        <f t="shared" si="47"/>
        <v>0.25000000036398079</v>
      </c>
    </row>
    <row r="106" spans="1:50" ht="18.75" customHeight="1" x14ac:dyDescent="0.2">
      <c r="A106" s="14" t="s">
        <v>55</v>
      </c>
      <c r="B106" s="15" t="s">
        <v>56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41" t="s">
        <v>875</v>
      </c>
      <c r="AB106" s="17" t="s">
        <v>209</v>
      </c>
      <c r="AC106" s="17" t="s">
        <v>58</v>
      </c>
      <c r="AD106" s="18">
        <v>1627586535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18">
        <v>1627586535</v>
      </c>
      <c r="AK106" s="34">
        <v>0</v>
      </c>
      <c r="AL106" s="39">
        <v>61771842.159999996</v>
      </c>
      <c r="AM106" s="18">
        <v>111141349.14</v>
      </c>
      <c r="AN106" s="34">
        <v>0</v>
      </c>
      <c r="AO106" s="18">
        <v>61771842.159999996</v>
      </c>
      <c r="AP106" s="18">
        <v>111141349.14</v>
      </c>
      <c r="AQ106" s="34">
        <v>7116320</v>
      </c>
      <c r="AR106" s="18">
        <v>54655522.159999996</v>
      </c>
      <c r="AS106" s="18">
        <v>104025029.14</v>
      </c>
      <c r="AT106" s="39">
        <f t="shared" si="55"/>
        <v>111141349.14</v>
      </c>
      <c r="AU106" s="18">
        <f t="shared" si="63"/>
        <v>1516445185.8599999</v>
      </c>
      <c r="AV106" s="34">
        <f t="shared" si="64"/>
        <v>0</v>
      </c>
      <c r="AW106" s="34">
        <f t="shared" si="65"/>
        <v>0</v>
      </c>
      <c r="AX106" s="32">
        <f t="shared" si="47"/>
        <v>6.8285984646585932E-2</v>
      </c>
    </row>
    <row r="107" spans="1:50" ht="18.75" customHeight="1" x14ac:dyDescent="0.2">
      <c r="A107" s="14" t="s">
        <v>55</v>
      </c>
      <c r="B107" s="15" t="s">
        <v>56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41" t="s">
        <v>876</v>
      </c>
      <c r="AB107" s="17" t="s">
        <v>210</v>
      </c>
      <c r="AC107" s="17" t="s">
        <v>58</v>
      </c>
      <c r="AD107" s="18">
        <v>4565923897</v>
      </c>
      <c r="AE107" s="34">
        <v>0</v>
      </c>
      <c r="AF107" s="34">
        <v>0</v>
      </c>
      <c r="AG107" s="34">
        <v>0</v>
      </c>
      <c r="AH107" s="34">
        <v>0</v>
      </c>
      <c r="AI107" s="34">
        <v>0</v>
      </c>
      <c r="AJ107" s="18">
        <v>4565923897</v>
      </c>
      <c r="AK107" s="34">
        <v>0</v>
      </c>
      <c r="AL107" s="39">
        <v>762364781.11000001</v>
      </c>
      <c r="AM107" s="18">
        <v>1523352097.27</v>
      </c>
      <c r="AN107" s="34">
        <v>0</v>
      </c>
      <c r="AO107" s="18">
        <v>762364781.11000001</v>
      </c>
      <c r="AP107" s="18">
        <v>1523352097.27</v>
      </c>
      <c r="AQ107" s="34">
        <v>0</v>
      </c>
      <c r="AR107" s="18">
        <v>762364781.11000001</v>
      </c>
      <c r="AS107" s="18">
        <v>1523352097.27</v>
      </c>
      <c r="AT107" s="39">
        <f t="shared" si="55"/>
        <v>1523352097.27</v>
      </c>
      <c r="AU107" s="18">
        <f t="shared" si="63"/>
        <v>3042571799.73</v>
      </c>
      <c r="AV107" s="34">
        <f t="shared" si="64"/>
        <v>0</v>
      </c>
      <c r="AW107" s="34">
        <f t="shared" si="65"/>
        <v>0</v>
      </c>
      <c r="AX107" s="32">
        <f t="shared" si="47"/>
        <v>0.33363501705994381</v>
      </c>
    </row>
    <row r="108" spans="1:50" ht="18.75" customHeight="1" x14ac:dyDescent="0.2">
      <c r="A108" s="35" t="s">
        <v>55</v>
      </c>
      <c r="B108" s="36" t="s">
        <v>56</v>
      </c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101" t="s">
        <v>877</v>
      </c>
      <c r="AB108" s="38" t="s">
        <v>211</v>
      </c>
      <c r="AC108" s="38" t="s">
        <v>58</v>
      </c>
      <c r="AD108" s="39">
        <v>5174713749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  <c r="AJ108" s="39">
        <v>5174713749</v>
      </c>
      <c r="AK108" s="40">
        <v>0</v>
      </c>
      <c r="AL108" s="39">
        <v>800000000</v>
      </c>
      <c r="AM108" s="39">
        <v>1600000000</v>
      </c>
      <c r="AN108" s="40">
        <v>0</v>
      </c>
      <c r="AO108" s="39">
        <v>800000000</v>
      </c>
      <c r="AP108" s="39">
        <v>1600000000</v>
      </c>
      <c r="AQ108" s="40">
        <v>0</v>
      </c>
      <c r="AR108" s="39">
        <v>800000000</v>
      </c>
      <c r="AS108" s="39">
        <v>1600000000</v>
      </c>
      <c r="AT108" s="39">
        <f t="shared" si="55"/>
        <v>1600000000</v>
      </c>
      <c r="AU108" s="18">
        <f t="shared" si="63"/>
        <v>3574713749</v>
      </c>
      <c r="AV108" s="34">
        <f t="shared" si="64"/>
        <v>0</v>
      </c>
      <c r="AW108" s="34">
        <f t="shared" si="65"/>
        <v>0</v>
      </c>
      <c r="AX108" s="32">
        <f t="shared" si="47"/>
        <v>0.30919584688316254</v>
      </c>
    </row>
    <row r="109" spans="1:50" ht="18.75" customHeight="1" x14ac:dyDescent="0.2">
      <c r="A109" s="35" t="s">
        <v>55</v>
      </c>
      <c r="B109" s="36" t="s">
        <v>56</v>
      </c>
      <c r="C109" s="36"/>
      <c r="D109" s="36" t="s">
        <v>40</v>
      </c>
      <c r="E109" s="36"/>
      <c r="F109" s="36"/>
      <c r="G109" s="36" t="s">
        <v>41</v>
      </c>
      <c r="H109" s="36"/>
      <c r="I109" s="36" t="s">
        <v>936</v>
      </c>
      <c r="J109" s="36"/>
      <c r="K109" s="36" t="s">
        <v>932</v>
      </c>
      <c r="L109" s="36"/>
      <c r="M109" s="36" t="s">
        <v>933</v>
      </c>
      <c r="N109" s="36"/>
      <c r="O109" s="36" t="s">
        <v>943</v>
      </c>
      <c r="P109" s="36"/>
      <c r="Q109" s="36" t="s">
        <v>939</v>
      </c>
      <c r="R109" s="36"/>
      <c r="S109" s="36" t="s">
        <v>940</v>
      </c>
      <c r="T109" s="36">
        <v>0</v>
      </c>
      <c r="U109" s="36">
        <v>0</v>
      </c>
      <c r="V109" s="36">
        <v>0</v>
      </c>
      <c r="W109" s="36">
        <v>0</v>
      </c>
      <c r="X109" s="36" t="s">
        <v>937</v>
      </c>
      <c r="Y109" s="36"/>
      <c r="Z109" s="36"/>
      <c r="AA109" s="101" t="s">
        <v>878</v>
      </c>
      <c r="AB109" s="38" t="s">
        <v>212</v>
      </c>
      <c r="AC109" s="38" t="s">
        <v>58</v>
      </c>
      <c r="AD109" s="39">
        <v>286350464</v>
      </c>
      <c r="AE109" s="40">
        <v>0</v>
      </c>
      <c r="AF109" s="40">
        <v>0</v>
      </c>
      <c r="AG109" s="40">
        <v>0</v>
      </c>
      <c r="AH109" s="40">
        <v>0</v>
      </c>
      <c r="AI109" s="40">
        <v>0</v>
      </c>
      <c r="AJ109" s="39">
        <v>286350464</v>
      </c>
      <c r="AK109" s="40">
        <v>0</v>
      </c>
      <c r="AL109" s="112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f t="shared" si="55"/>
        <v>0</v>
      </c>
      <c r="AU109" s="18">
        <f t="shared" si="63"/>
        <v>286350464</v>
      </c>
      <c r="AV109" s="34">
        <f t="shared" si="64"/>
        <v>0</v>
      </c>
      <c r="AW109" s="34">
        <f t="shared" si="65"/>
        <v>0</v>
      </c>
      <c r="AX109" s="32">
        <f t="shared" si="47"/>
        <v>0</v>
      </c>
    </row>
    <row r="110" spans="1:50" ht="18.75" customHeight="1" x14ac:dyDescent="0.2">
      <c r="A110" s="14" t="s">
        <v>55</v>
      </c>
      <c r="B110" s="15" t="s">
        <v>56</v>
      </c>
      <c r="C110" s="15"/>
      <c r="D110" s="15" t="s">
        <v>40</v>
      </c>
      <c r="E110" s="15"/>
      <c r="F110" s="15"/>
      <c r="G110" s="15" t="s">
        <v>41</v>
      </c>
      <c r="H110" s="15"/>
      <c r="I110" s="15" t="s">
        <v>936</v>
      </c>
      <c r="J110" s="15"/>
      <c r="K110" s="15" t="s">
        <v>932</v>
      </c>
      <c r="L110" s="15"/>
      <c r="M110" s="15" t="s">
        <v>933</v>
      </c>
      <c r="N110" s="15"/>
      <c r="O110" s="15" t="s">
        <v>943</v>
      </c>
      <c r="P110" s="15"/>
      <c r="Q110" s="15" t="s">
        <v>939</v>
      </c>
      <c r="R110" s="15"/>
      <c r="S110" s="15" t="s">
        <v>940</v>
      </c>
      <c r="T110" s="15">
        <v>0</v>
      </c>
      <c r="U110" s="15">
        <v>0</v>
      </c>
      <c r="V110" s="15">
        <v>0</v>
      </c>
      <c r="W110" s="15">
        <v>0</v>
      </c>
      <c r="X110" s="15" t="s">
        <v>937</v>
      </c>
      <c r="Y110" s="15"/>
      <c r="Z110" s="15"/>
      <c r="AA110" s="41" t="s">
        <v>879</v>
      </c>
      <c r="AB110" s="17" t="s">
        <v>213</v>
      </c>
      <c r="AC110" s="17" t="s">
        <v>58</v>
      </c>
      <c r="AD110" s="18">
        <v>3748529000</v>
      </c>
      <c r="AE110" s="34">
        <v>0</v>
      </c>
      <c r="AF110" s="34">
        <v>0</v>
      </c>
      <c r="AG110" s="34">
        <v>0</v>
      </c>
      <c r="AH110" s="34">
        <v>0</v>
      </c>
      <c r="AI110" s="34">
        <v>0</v>
      </c>
      <c r="AJ110" s="18">
        <v>3748529000</v>
      </c>
      <c r="AK110" s="34">
        <v>0</v>
      </c>
      <c r="AL110" s="39">
        <v>312377417</v>
      </c>
      <c r="AM110" s="18">
        <v>937132251</v>
      </c>
      <c r="AN110" s="34">
        <v>0</v>
      </c>
      <c r="AO110" s="18">
        <v>312377417</v>
      </c>
      <c r="AP110" s="18">
        <v>937132251</v>
      </c>
      <c r="AQ110" s="34">
        <v>0</v>
      </c>
      <c r="AR110" s="18">
        <v>312377417</v>
      </c>
      <c r="AS110" s="18">
        <v>937132251</v>
      </c>
      <c r="AT110" s="39">
        <f t="shared" si="55"/>
        <v>937132251</v>
      </c>
      <c r="AU110" s="18">
        <f t="shared" si="63"/>
        <v>2811396749</v>
      </c>
      <c r="AV110" s="34">
        <f t="shared" si="64"/>
        <v>0</v>
      </c>
      <c r="AW110" s="34">
        <f t="shared" si="65"/>
        <v>0</v>
      </c>
      <c r="AX110" s="32">
        <f t="shared" si="47"/>
        <v>0.25000000026677133</v>
      </c>
    </row>
    <row r="111" spans="1:50" ht="18.75" customHeight="1" x14ac:dyDescent="0.2">
      <c r="A111" s="35" t="s">
        <v>55</v>
      </c>
      <c r="B111" s="36" t="s">
        <v>56</v>
      </c>
      <c r="C111" s="36"/>
      <c r="D111" s="36" t="s">
        <v>40</v>
      </c>
      <c r="E111" s="36"/>
      <c r="F111" s="36"/>
      <c r="G111" s="36" t="s">
        <v>41</v>
      </c>
      <c r="H111" s="36"/>
      <c r="I111" s="36" t="s">
        <v>936</v>
      </c>
      <c r="J111" s="36"/>
      <c r="K111" s="36" t="s">
        <v>932</v>
      </c>
      <c r="L111" s="36"/>
      <c r="M111" s="36" t="s">
        <v>933</v>
      </c>
      <c r="N111" s="36"/>
      <c r="O111" s="36" t="s">
        <v>943</v>
      </c>
      <c r="P111" s="36"/>
      <c r="Q111" s="36" t="s">
        <v>944</v>
      </c>
      <c r="R111" s="36"/>
      <c r="S111" s="36" t="s">
        <v>940</v>
      </c>
      <c r="T111" s="36">
        <v>0</v>
      </c>
      <c r="U111" s="36">
        <v>0</v>
      </c>
      <c r="V111" s="36">
        <v>0</v>
      </c>
      <c r="W111" s="36">
        <v>0</v>
      </c>
      <c r="X111" s="36" t="s">
        <v>937</v>
      </c>
      <c r="Y111" s="36"/>
      <c r="Z111" s="36"/>
      <c r="AA111" s="101" t="s">
        <v>880</v>
      </c>
      <c r="AB111" s="38" t="s">
        <v>214</v>
      </c>
      <c r="AC111" s="38" t="s">
        <v>58</v>
      </c>
      <c r="AD111" s="39">
        <v>80525000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39">
        <v>80525000</v>
      </c>
      <c r="AK111" s="40">
        <v>0</v>
      </c>
      <c r="AL111" s="40">
        <v>0</v>
      </c>
      <c r="AM111" s="39">
        <v>80525000</v>
      </c>
      <c r="AN111" s="40">
        <v>0</v>
      </c>
      <c r="AO111" s="40">
        <v>0</v>
      </c>
      <c r="AP111" s="39">
        <v>80525000</v>
      </c>
      <c r="AQ111" s="40">
        <v>0</v>
      </c>
      <c r="AR111" s="40">
        <v>0</v>
      </c>
      <c r="AS111" s="39">
        <v>80525000</v>
      </c>
      <c r="AT111" s="39">
        <f t="shared" si="55"/>
        <v>80525000</v>
      </c>
      <c r="AU111" s="34">
        <f t="shared" si="63"/>
        <v>0</v>
      </c>
      <c r="AV111" s="34">
        <f t="shared" si="64"/>
        <v>0</v>
      </c>
      <c r="AW111" s="34">
        <f t="shared" si="65"/>
        <v>0</v>
      </c>
      <c r="AX111" s="32">
        <f t="shared" si="47"/>
        <v>1</v>
      </c>
    </row>
    <row r="112" spans="1:50" ht="18.75" customHeight="1" x14ac:dyDescent="0.2">
      <c r="A112" s="14" t="s">
        <v>55</v>
      </c>
      <c r="B112" s="15" t="s">
        <v>56</v>
      </c>
      <c r="C112" s="15"/>
      <c r="D112" s="15" t="s">
        <v>40</v>
      </c>
      <c r="E112" s="15"/>
      <c r="F112" s="15"/>
      <c r="G112" s="15" t="s">
        <v>41</v>
      </c>
      <c r="H112" s="15"/>
      <c r="I112" s="15" t="s">
        <v>936</v>
      </c>
      <c r="J112" s="15"/>
      <c r="K112" s="15" t="s">
        <v>932</v>
      </c>
      <c r="L112" s="15"/>
      <c r="M112" s="15" t="s">
        <v>933</v>
      </c>
      <c r="N112" s="15"/>
      <c r="O112" s="15" t="s">
        <v>945</v>
      </c>
      <c r="P112" s="15"/>
      <c r="Q112" s="15" t="s">
        <v>944</v>
      </c>
      <c r="R112" s="15"/>
      <c r="S112" s="15" t="s">
        <v>940</v>
      </c>
      <c r="T112" s="15">
        <v>0</v>
      </c>
      <c r="U112" s="15">
        <v>0</v>
      </c>
      <c r="V112" s="15">
        <v>0</v>
      </c>
      <c r="W112" s="15">
        <v>0</v>
      </c>
      <c r="X112" s="15" t="s">
        <v>937</v>
      </c>
      <c r="Y112" s="15"/>
      <c r="Z112" s="15"/>
      <c r="AA112" s="41" t="s">
        <v>881</v>
      </c>
      <c r="AB112" s="17" t="s">
        <v>214</v>
      </c>
      <c r="AC112" s="17" t="s">
        <v>215</v>
      </c>
      <c r="AD112" s="18">
        <v>10351476177</v>
      </c>
      <c r="AE112" s="34">
        <v>0</v>
      </c>
      <c r="AF112" s="34">
        <v>0</v>
      </c>
      <c r="AG112" s="34">
        <v>0</v>
      </c>
      <c r="AH112" s="34">
        <v>0</v>
      </c>
      <c r="AI112" s="34">
        <v>0</v>
      </c>
      <c r="AJ112" s="18">
        <v>10351476177</v>
      </c>
      <c r="AK112" s="34">
        <v>0</v>
      </c>
      <c r="AL112" s="39">
        <v>85331531</v>
      </c>
      <c r="AM112" s="39">
        <v>412185264</v>
      </c>
      <c r="AN112" s="34">
        <v>0</v>
      </c>
      <c r="AO112" s="34">
        <v>85331531</v>
      </c>
      <c r="AP112" s="18">
        <v>412185264</v>
      </c>
      <c r="AQ112" s="34">
        <v>0</v>
      </c>
      <c r="AR112" s="34">
        <v>85331531</v>
      </c>
      <c r="AS112" s="18">
        <v>412185264</v>
      </c>
      <c r="AT112" s="39">
        <f t="shared" si="55"/>
        <v>412185264</v>
      </c>
      <c r="AU112" s="18">
        <f t="shared" si="63"/>
        <v>9939290913</v>
      </c>
      <c r="AV112" s="34">
        <f t="shared" si="64"/>
        <v>0</v>
      </c>
      <c r="AW112" s="34">
        <f t="shared" si="65"/>
        <v>0</v>
      </c>
      <c r="AX112" s="32">
        <f t="shared" si="47"/>
        <v>3.9818983974076724E-2</v>
      </c>
    </row>
    <row r="113" spans="1:50" ht="26.25" customHeight="1" x14ac:dyDescent="0.2">
      <c r="A113" s="14" t="s">
        <v>55</v>
      </c>
      <c r="B113" s="15" t="s">
        <v>56</v>
      </c>
      <c r="C113" s="15"/>
      <c r="D113" s="15" t="s">
        <v>40</v>
      </c>
      <c r="E113" s="15"/>
      <c r="F113" s="15"/>
      <c r="G113" s="15" t="s">
        <v>41</v>
      </c>
      <c r="H113" s="15"/>
      <c r="I113" s="15" t="s">
        <v>936</v>
      </c>
      <c r="J113" s="15"/>
      <c r="K113" s="15" t="s">
        <v>932</v>
      </c>
      <c r="L113" s="15"/>
      <c r="M113" s="15" t="s">
        <v>933</v>
      </c>
      <c r="N113" s="15"/>
      <c r="O113" s="15" t="s">
        <v>946</v>
      </c>
      <c r="P113" s="15"/>
      <c r="Q113" s="15" t="s">
        <v>944</v>
      </c>
      <c r="R113" s="15"/>
      <c r="S113" s="15" t="s">
        <v>940</v>
      </c>
      <c r="T113" s="15">
        <v>0</v>
      </c>
      <c r="U113" s="15">
        <v>0</v>
      </c>
      <c r="V113" s="15">
        <v>0</v>
      </c>
      <c r="W113" s="15">
        <v>0</v>
      </c>
      <c r="X113" s="15" t="s">
        <v>937</v>
      </c>
      <c r="Y113" s="15"/>
      <c r="Z113" s="15"/>
      <c r="AA113" s="41" t="s">
        <v>882</v>
      </c>
      <c r="AB113" s="17" t="s">
        <v>205</v>
      </c>
      <c r="AC113" s="17" t="s">
        <v>216</v>
      </c>
      <c r="AD113" s="18">
        <v>150000000</v>
      </c>
      <c r="AE113" s="34">
        <v>0</v>
      </c>
      <c r="AF113" s="34">
        <v>0</v>
      </c>
      <c r="AG113" s="34">
        <v>0</v>
      </c>
      <c r="AH113" s="34">
        <v>0</v>
      </c>
      <c r="AI113" s="34">
        <v>0</v>
      </c>
      <c r="AJ113" s="18">
        <v>150000000</v>
      </c>
      <c r="AK113" s="34">
        <v>0</v>
      </c>
      <c r="AL113" s="39">
        <v>8336040</v>
      </c>
      <c r="AM113" s="39">
        <v>8336040</v>
      </c>
      <c r="AN113" s="34">
        <v>0</v>
      </c>
      <c r="AO113" s="34">
        <v>8336040</v>
      </c>
      <c r="AP113" s="34">
        <v>8336040</v>
      </c>
      <c r="AQ113" s="34">
        <v>0</v>
      </c>
      <c r="AR113" s="34">
        <v>1398525</v>
      </c>
      <c r="AS113" s="18">
        <v>1398525</v>
      </c>
      <c r="AT113" s="39">
        <f t="shared" si="55"/>
        <v>1398525</v>
      </c>
      <c r="AU113" s="18">
        <f t="shared" si="63"/>
        <v>141663960</v>
      </c>
      <c r="AV113" s="34">
        <f t="shared" si="64"/>
        <v>0</v>
      </c>
      <c r="AW113" s="18">
        <f t="shared" si="65"/>
        <v>6937515</v>
      </c>
      <c r="AX113" s="32">
        <f t="shared" si="47"/>
        <v>5.5573600000000001E-2</v>
      </c>
    </row>
    <row r="114" spans="1:50" s="25" customFormat="1" ht="18.75" customHeight="1" x14ac:dyDescent="0.2">
      <c r="A114" s="19" t="s">
        <v>55</v>
      </c>
      <c r="B114" s="19" t="s">
        <v>56</v>
      </c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26" t="s">
        <v>883</v>
      </c>
      <c r="AB114" s="21" t="s">
        <v>217</v>
      </c>
      <c r="AC114" s="22" t="s">
        <v>37</v>
      </c>
      <c r="AD114" s="22">
        <f>AD115</f>
        <v>36000000000</v>
      </c>
      <c r="AE114" s="23">
        <f t="shared" ref="AE114:AW116" si="66">AE115</f>
        <v>0</v>
      </c>
      <c r="AF114" s="23">
        <f t="shared" si="66"/>
        <v>0</v>
      </c>
      <c r="AG114" s="23">
        <f t="shared" si="66"/>
        <v>0</v>
      </c>
      <c r="AH114" s="23">
        <f t="shared" si="66"/>
        <v>0</v>
      </c>
      <c r="AI114" s="23">
        <f t="shared" si="66"/>
        <v>0</v>
      </c>
      <c r="AJ114" s="22">
        <f t="shared" si="66"/>
        <v>36000000000</v>
      </c>
      <c r="AK114" s="23">
        <f t="shared" si="66"/>
        <v>0</v>
      </c>
      <c r="AL114" s="23">
        <f t="shared" si="66"/>
        <v>0</v>
      </c>
      <c r="AM114" s="23">
        <f t="shared" si="66"/>
        <v>0</v>
      </c>
      <c r="AN114" s="23">
        <f t="shared" si="66"/>
        <v>0</v>
      </c>
      <c r="AO114" s="23">
        <f t="shared" si="66"/>
        <v>0</v>
      </c>
      <c r="AP114" s="23">
        <f t="shared" si="66"/>
        <v>0</v>
      </c>
      <c r="AQ114" s="23">
        <f t="shared" si="66"/>
        <v>0</v>
      </c>
      <c r="AR114" s="23">
        <f t="shared" si="66"/>
        <v>0</v>
      </c>
      <c r="AS114" s="23">
        <f t="shared" si="66"/>
        <v>0</v>
      </c>
      <c r="AT114" s="23">
        <f>AQ114+AS114</f>
        <v>0</v>
      </c>
      <c r="AU114" s="22">
        <f t="shared" si="66"/>
        <v>36000000000</v>
      </c>
      <c r="AV114" s="23">
        <f t="shared" si="66"/>
        <v>0</v>
      </c>
      <c r="AW114" s="23">
        <f t="shared" si="66"/>
        <v>0</v>
      </c>
      <c r="AX114" s="24">
        <f t="shared" si="47"/>
        <v>0</v>
      </c>
    </row>
    <row r="115" spans="1:50" ht="18.75" customHeight="1" x14ac:dyDescent="0.2">
      <c r="A115" s="27" t="s">
        <v>55</v>
      </c>
      <c r="B115" s="27" t="s">
        <v>56</v>
      </c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8" t="s">
        <v>218</v>
      </c>
      <c r="AB115" s="29" t="s">
        <v>219</v>
      </c>
      <c r="AC115" s="30" t="s">
        <v>37</v>
      </c>
      <c r="AD115" s="30">
        <f>AD116</f>
        <v>36000000000</v>
      </c>
      <c r="AE115" s="31">
        <f t="shared" si="66"/>
        <v>0</v>
      </c>
      <c r="AF115" s="31">
        <f t="shared" si="66"/>
        <v>0</v>
      </c>
      <c r="AG115" s="31">
        <f t="shared" si="66"/>
        <v>0</v>
      </c>
      <c r="AH115" s="31">
        <f t="shared" si="66"/>
        <v>0</v>
      </c>
      <c r="AI115" s="31">
        <f t="shared" si="66"/>
        <v>0</v>
      </c>
      <c r="AJ115" s="30">
        <f t="shared" si="66"/>
        <v>36000000000</v>
      </c>
      <c r="AK115" s="31">
        <f t="shared" si="66"/>
        <v>0</v>
      </c>
      <c r="AL115" s="31">
        <f t="shared" si="66"/>
        <v>0</v>
      </c>
      <c r="AM115" s="31">
        <f t="shared" si="66"/>
        <v>0</v>
      </c>
      <c r="AN115" s="31">
        <f t="shared" si="66"/>
        <v>0</v>
      </c>
      <c r="AO115" s="31">
        <f t="shared" si="66"/>
        <v>0</v>
      </c>
      <c r="AP115" s="31">
        <f t="shared" si="66"/>
        <v>0</v>
      </c>
      <c r="AQ115" s="31">
        <f t="shared" si="66"/>
        <v>0</v>
      </c>
      <c r="AR115" s="31">
        <f t="shared" si="66"/>
        <v>0</v>
      </c>
      <c r="AS115" s="31">
        <f t="shared" si="66"/>
        <v>0</v>
      </c>
      <c r="AT115" s="31">
        <f t="shared" ref="AT115:AT119" si="67">AQ115+AS115</f>
        <v>0</v>
      </c>
      <c r="AU115" s="18">
        <f t="shared" ref="AU115:AU119" si="68">AJ115-AM115</f>
        <v>36000000000</v>
      </c>
      <c r="AV115" s="34">
        <f t="shared" ref="AV115:AV119" si="69">AM115-AP115</f>
        <v>0</v>
      </c>
      <c r="AW115" s="34">
        <f t="shared" ref="AW115:AW119" si="70">AP115-AT115</f>
        <v>0</v>
      </c>
      <c r="AX115" s="32">
        <f t="shared" si="47"/>
        <v>0</v>
      </c>
    </row>
    <row r="116" spans="1:50" ht="22.5" customHeight="1" x14ac:dyDescent="0.2">
      <c r="A116" s="27" t="s">
        <v>55</v>
      </c>
      <c r="B116" s="27" t="s">
        <v>56</v>
      </c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8" t="s">
        <v>220</v>
      </c>
      <c r="AB116" s="29" t="s">
        <v>221</v>
      </c>
      <c r="AC116" s="30" t="s">
        <v>37</v>
      </c>
      <c r="AD116" s="30">
        <f>AD117</f>
        <v>36000000000</v>
      </c>
      <c r="AE116" s="31">
        <f t="shared" si="66"/>
        <v>0</v>
      </c>
      <c r="AF116" s="31">
        <f t="shared" si="66"/>
        <v>0</v>
      </c>
      <c r="AG116" s="31">
        <f t="shared" si="66"/>
        <v>0</v>
      </c>
      <c r="AH116" s="31">
        <f t="shared" si="66"/>
        <v>0</v>
      </c>
      <c r="AI116" s="31">
        <f t="shared" si="66"/>
        <v>0</v>
      </c>
      <c r="AJ116" s="30">
        <f t="shared" si="66"/>
        <v>36000000000</v>
      </c>
      <c r="AK116" s="31">
        <f t="shared" si="66"/>
        <v>0</v>
      </c>
      <c r="AL116" s="31">
        <f t="shared" si="66"/>
        <v>0</v>
      </c>
      <c r="AM116" s="31">
        <f t="shared" si="66"/>
        <v>0</v>
      </c>
      <c r="AN116" s="31">
        <f t="shared" si="66"/>
        <v>0</v>
      </c>
      <c r="AO116" s="31">
        <f t="shared" si="66"/>
        <v>0</v>
      </c>
      <c r="AP116" s="31">
        <f t="shared" si="66"/>
        <v>0</v>
      </c>
      <c r="AQ116" s="31">
        <f t="shared" si="66"/>
        <v>0</v>
      </c>
      <c r="AR116" s="31">
        <f t="shared" si="66"/>
        <v>0</v>
      </c>
      <c r="AS116" s="31">
        <f t="shared" si="66"/>
        <v>0</v>
      </c>
      <c r="AT116" s="31">
        <f t="shared" si="67"/>
        <v>0</v>
      </c>
      <c r="AU116" s="18">
        <f t="shared" si="68"/>
        <v>36000000000</v>
      </c>
      <c r="AV116" s="34">
        <f t="shared" si="69"/>
        <v>0</v>
      </c>
      <c r="AW116" s="34">
        <f t="shared" si="70"/>
        <v>0</v>
      </c>
      <c r="AX116" s="32">
        <f t="shared" si="47"/>
        <v>0</v>
      </c>
    </row>
    <row r="117" spans="1:50" ht="27" customHeight="1" x14ac:dyDescent="0.2">
      <c r="A117" s="27" t="s">
        <v>55</v>
      </c>
      <c r="B117" s="27" t="s">
        <v>56</v>
      </c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8" t="s">
        <v>222</v>
      </c>
      <c r="AB117" s="29" t="s">
        <v>223</v>
      </c>
      <c r="AC117" s="30" t="s">
        <v>37</v>
      </c>
      <c r="AD117" s="30">
        <f>AD118+AD119</f>
        <v>36000000000</v>
      </c>
      <c r="AE117" s="31">
        <f t="shared" ref="AE117:AS117" si="71">AE118+AE119</f>
        <v>0</v>
      </c>
      <c r="AF117" s="31">
        <f t="shared" si="71"/>
        <v>0</v>
      </c>
      <c r="AG117" s="31">
        <f t="shared" si="71"/>
        <v>0</v>
      </c>
      <c r="AH117" s="31">
        <f t="shared" si="71"/>
        <v>0</v>
      </c>
      <c r="AI117" s="31">
        <f t="shared" si="71"/>
        <v>0</v>
      </c>
      <c r="AJ117" s="30">
        <f t="shared" si="71"/>
        <v>36000000000</v>
      </c>
      <c r="AK117" s="31">
        <f t="shared" si="71"/>
        <v>0</v>
      </c>
      <c r="AL117" s="31">
        <f t="shared" si="71"/>
        <v>0</v>
      </c>
      <c r="AM117" s="31">
        <f t="shared" si="71"/>
        <v>0</v>
      </c>
      <c r="AN117" s="31">
        <f t="shared" si="71"/>
        <v>0</v>
      </c>
      <c r="AO117" s="31">
        <f t="shared" si="71"/>
        <v>0</v>
      </c>
      <c r="AP117" s="31">
        <f t="shared" si="71"/>
        <v>0</v>
      </c>
      <c r="AQ117" s="31">
        <f t="shared" si="71"/>
        <v>0</v>
      </c>
      <c r="AR117" s="31">
        <f t="shared" si="71"/>
        <v>0</v>
      </c>
      <c r="AS117" s="31">
        <f t="shared" si="71"/>
        <v>0</v>
      </c>
      <c r="AT117" s="31">
        <f t="shared" si="67"/>
        <v>0</v>
      </c>
      <c r="AU117" s="18">
        <f t="shared" si="68"/>
        <v>36000000000</v>
      </c>
      <c r="AV117" s="34">
        <f t="shared" si="69"/>
        <v>0</v>
      </c>
      <c r="AW117" s="34">
        <f t="shared" si="70"/>
        <v>0</v>
      </c>
      <c r="AX117" s="32">
        <f t="shared" si="47"/>
        <v>0</v>
      </c>
    </row>
    <row r="118" spans="1:50" ht="18.75" customHeight="1" x14ac:dyDescent="0.2">
      <c r="A118" s="14" t="s">
        <v>55</v>
      </c>
      <c r="B118" s="15" t="s">
        <v>56</v>
      </c>
      <c r="C118" s="15"/>
      <c r="D118" s="15" t="s">
        <v>40</v>
      </c>
      <c r="E118" s="15"/>
      <c r="F118" s="15"/>
      <c r="G118" s="15" t="s">
        <v>41</v>
      </c>
      <c r="H118" s="15"/>
      <c r="I118" s="15" t="s">
        <v>936</v>
      </c>
      <c r="J118" s="15"/>
      <c r="K118" s="15" t="s">
        <v>932</v>
      </c>
      <c r="L118" s="15"/>
      <c r="M118" s="15" t="s">
        <v>933</v>
      </c>
      <c r="N118" s="15"/>
      <c r="O118" s="15" t="s">
        <v>943</v>
      </c>
      <c r="P118" s="15"/>
      <c r="Q118" s="15" t="s">
        <v>939</v>
      </c>
      <c r="R118" s="15"/>
      <c r="S118" s="15" t="s">
        <v>940</v>
      </c>
      <c r="T118" s="15">
        <v>0</v>
      </c>
      <c r="U118" s="15">
        <v>0</v>
      </c>
      <c r="V118" s="15">
        <v>0</v>
      </c>
      <c r="W118" s="15">
        <v>0</v>
      </c>
      <c r="X118" s="15" t="s">
        <v>937</v>
      </c>
      <c r="Y118" s="15"/>
      <c r="Z118" s="15"/>
      <c r="AA118" s="16" t="s">
        <v>224</v>
      </c>
      <c r="AB118" s="17" t="s">
        <v>225</v>
      </c>
      <c r="AC118" s="17" t="s">
        <v>226</v>
      </c>
      <c r="AD118" s="18">
        <v>35280000000</v>
      </c>
      <c r="AE118" s="34">
        <v>0</v>
      </c>
      <c r="AF118" s="34">
        <v>0</v>
      </c>
      <c r="AG118" s="34">
        <v>0</v>
      </c>
      <c r="AH118" s="34">
        <v>0</v>
      </c>
      <c r="AI118" s="34">
        <v>0</v>
      </c>
      <c r="AJ118" s="18">
        <v>35280000000</v>
      </c>
      <c r="AK118" s="34">
        <v>0</v>
      </c>
      <c r="AL118" s="34">
        <v>0</v>
      </c>
      <c r="AM118" s="34">
        <v>0</v>
      </c>
      <c r="AN118" s="34">
        <v>0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1">
        <f t="shared" si="67"/>
        <v>0</v>
      </c>
      <c r="AU118" s="18">
        <f t="shared" si="68"/>
        <v>35280000000</v>
      </c>
      <c r="AV118" s="34">
        <f t="shared" si="69"/>
        <v>0</v>
      </c>
      <c r="AW118" s="34">
        <f t="shared" si="70"/>
        <v>0</v>
      </c>
      <c r="AX118" s="32">
        <f t="shared" si="47"/>
        <v>0</v>
      </c>
    </row>
    <row r="119" spans="1:50" ht="18.75" customHeight="1" x14ac:dyDescent="0.2">
      <c r="A119" s="14" t="s">
        <v>55</v>
      </c>
      <c r="B119" s="15" t="s">
        <v>56</v>
      </c>
      <c r="C119" s="15"/>
      <c r="D119" s="15" t="s">
        <v>40</v>
      </c>
      <c r="E119" s="15"/>
      <c r="F119" s="15"/>
      <c r="G119" s="15" t="s">
        <v>41</v>
      </c>
      <c r="H119" s="15"/>
      <c r="I119" s="15" t="s">
        <v>936</v>
      </c>
      <c r="J119" s="15"/>
      <c r="K119" s="15" t="s">
        <v>932</v>
      </c>
      <c r="L119" s="15"/>
      <c r="M119" s="15" t="s">
        <v>933</v>
      </c>
      <c r="N119" s="15"/>
      <c r="O119" s="15" t="s">
        <v>943</v>
      </c>
      <c r="P119" s="15"/>
      <c r="Q119" s="15" t="s">
        <v>939</v>
      </c>
      <c r="R119" s="15"/>
      <c r="S119" s="15" t="s">
        <v>940</v>
      </c>
      <c r="T119" s="15">
        <v>0</v>
      </c>
      <c r="U119" s="15">
        <v>0</v>
      </c>
      <c r="V119" s="15">
        <v>0</v>
      </c>
      <c r="W119" s="15">
        <v>0</v>
      </c>
      <c r="X119" s="15" t="s">
        <v>937</v>
      </c>
      <c r="Y119" s="15"/>
      <c r="Z119" s="15"/>
      <c r="AA119" s="16" t="s">
        <v>227</v>
      </c>
      <c r="AB119" s="17" t="s">
        <v>228</v>
      </c>
      <c r="AC119" s="17" t="s">
        <v>226</v>
      </c>
      <c r="AD119" s="18">
        <v>720000000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18">
        <v>720000000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4">
        <v>0</v>
      </c>
      <c r="AQ119" s="34">
        <v>0</v>
      </c>
      <c r="AR119" s="34">
        <v>0</v>
      </c>
      <c r="AS119" s="34">
        <v>0</v>
      </c>
      <c r="AT119" s="31">
        <f t="shared" si="67"/>
        <v>0</v>
      </c>
      <c r="AU119" s="18">
        <f t="shared" si="68"/>
        <v>720000000</v>
      </c>
      <c r="AV119" s="34">
        <f t="shared" si="69"/>
        <v>0</v>
      </c>
      <c r="AW119" s="34">
        <f t="shared" si="70"/>
        <v>0</v>
      </c>
      <c r="AX119" s="32">
        <f t="shared" si="47"/>
        <v>0</v>
      </c>
    </row>
    <row r="120" spans="1:50" s="25" customFormat="1" ht="18.75" customHeight="1" x14ac:dyDescent="0.2">
      <c r="A120" s="19" t="s">
        <v>55</v>
      </c>
      <c r="B120" s="19" t="s">
        <v>56</v>
      </c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26" t="s">
        <v>884</v>
      </c>
      <c r="AB120" s="21" t="s">
        <v>229</v>
      </c>
      <c r="AC120" s="22" t="s">
        <v>56</v>
      </c>
      <c r="AD120" s="22">
        <f>AD121</f>
        <v>42253026328</v>
      </c>
      <c r="AE120" s="23">
        <f t="shared" ref="AE120:AW120" si="72">AE121</f>
        <v>0</v>
      </c>
      <c r="AF120" s="23">
        <f t="shared" si="72"/>
        <v>0</v>
      </c>
      <c r="AG120" s="23">
        <f t="shared" si="72"/>
        <v>0</v>
      </c>
      <c r="AH120" s="23">
        <f t="shared" si="72"/>
        <v>0</v>
      </c>
      <c r="AI120" s="23">
        <f t="shared" si="72"/>
        <v>0</v>
      </c>
      <c r="AJ120" s="22">
        <f t="shared" si="72"/>
        <v>42253026328</v>
      </c>
      <c r="AK120" s="23">
        <f t="shared" si="72"/>
        <v>0</v>
      </c>
      <c r="AL120" s="22">
        <f t="shared" si="72"/>
        <v>2227221353</v>
      </c>
      <c r="AM120" s="22">
        <f t="shared" si="72"/>
        <v>6613441265</v>
      </c>
      <c r="AN120" s="23">
        <f t="shared" si="72"/>
        <v>0</v>
      </c>
      <c r="AO120" s="22">
        <f t="shared" si="72"/>
        <v>2227221353</v>
      </c>
      <c r="AP120" s="22">
        <f t="shared" si="72"/>
        <v>6613441265</v>
      </c>
      <c r="AQ120" s="22">
        <f t="shared" si="72"/>
        <v>2106596357</v>
      </c>
      <c r="AR120" s="22">
        <f t="shared" si="72"/>
        <v>2184023503</v>
      </c>
      <c r="AS120" s="22">
        <f t="shared" si="72"/>
        <v>4464884228</v>
      </c>
      <c r="AT120" s="22">
        <f>AQ120+AS120</f>
        <v>6571480585</v>
      </c>
      <c r="AU120" s="22">
        <f t="shared" si="72"/>
        <v>35639585063</v>
      </c>
      <c r="AV120" s="23">
        <f t="shared" si="72"/>
        <v>0</v>
      </c>
      <c r="AW120" s="22">
        <f t="shared" si="72"/>
        <v>41960680</v>
      </c>
      <c r="AX120" s="24">
        <f t="shared" si="47"/>
        <v>0.15651994282401122</v>
      </c>
    </row>
    <row r="121" spans="1:50" ht="18.75" customHeight="1" x14ac:dyDescent="0.2">
      <c r="A121" s="27" t="s">
        <v>55</v>
      </c>
      <c r="B121" s="27" t="s">
        <v>56</v>
      </c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8" t="s">
        <v>885</v>
      </c>
      <c r="AB121" s="29" t="s">
        <v>230</v>
      </c>
      <c r="AC121" s="30" t="s">
        <v>56</v>
      </c>
      <c r="AD121" s="30">
        <f>AD122+AD127+AD130+AD132+AD133+AD134</f>
        <v>42253026328</v>
      </c>
      <c r="AE121" s="31">
        <f t="shared" ref="AE121:AS121" si="73">AE122+AE127+AE130+AE132+AE133+AE134</f>
        <v>0</v>
      </c>
      <c r="AF121" s="31">
        <f t="shared" si="73"/>
        <v>0</v>
      </c>
      <c r="AG121" s="31">
        <f t="shared" si="73"/>
        <v>0</v>
      </c>
      <c r="AH121" s="31">
        <f t="shared" si="73"/>
        <v>0</v>
      </c>
      <c r="AI121" s="31">
        <f t="shared" si="73"/>
        <v>0</v>
      </c>
      <c r="AJ121" s="30">
        <f t="shared" si="73"/>
        <v>42253026328</v>
      </c>
      <c r="AK121" s="31">
        <f t="shared" si="73"/>
        <v>0</v>
      </c>
      <c r="AL121" s="30">
        <f t="shared" si="73"/>
        <v>2227221353</v>
      </c>
      <c r="AM121" s="30">
        <f t="shared" si="73"/>
        <v>6613441265</v>
      </c>
      <c r="AN121" s="31">
        <f t="shared" si="73"/>
        <v>0</v>
      </c>
      <c r="AO121" s="30">
        <f t="shared" si="73"/>
        <v>2227221353</v>
      </c>
      <c r="AP121" s="30">
        <f t="shared" si="73"/>
        <v>6613441265</v>
      </c>
      <c r="AQ121" s="30">
        <f t="shared" si="73"/>
        <v>2106596357</v>
      </c>
      <c r="AR121" s="30">
        <f t="shared" si="73"/>
        <v>2184023503</v>
      </c>
      <c r="AS121" s="30">
        <f t="shared" si="73"/>
        <v>4464884228</v>
      </c>
      <c r="AT121" s="30">
        <f t="shared" ref="AT121:AT134" si="74">AQ121+AS121</f>
        <v>6571480585</v>
      </c>
      <c r="AU121" s="18">
        <f t="shared" ref="AU121:AU134" si="75">AJ121-AM121</f>
        <v>35639585063</v>
      </c>
      <c r="AV121" s="34">
        <f t="shared" ref="AV121:AV134" si="76">AM121-AP121</f>
        <v>0</v>
      </c>
      <c r="AW121" s="18">
        <f t="shared" ref="AW121:AW134" si="77">AP121-AT121</f>
        <v>41960680</v>
      </c>
      <c r="AX121" s="32">
        <f t="shared" si="47"/>
        <v>0.15651994282401122</v>
      </c>
    </row>
    <row r="122" spans="1:50" ht="18.75" customHeight="1" x14ac:dyDescent="0.2">
      <c r="A122" s="27" t="s">
        <v>55</v>
      </c>
      <c r="B122" s="27" t="s">
        <v>56</v>
      </c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8" t="s">
        <v>886</v>
      </c>
      <c r="AB122" s="29" t="s">
        <v>231</v>
      </c>
      <c r="AC122" s="30" t="s">
        <v>56</v>
      </c>
      <c r="AD122" s="30">
        <f>AD123</f>
        <v>40897026328</v>
      </c>
      <c r="AE122" s="31">
        <f t="shared" ref="AE122:AS122" si="78">AE123</f>
        <v>0</v>
      </c>
      <c r="AF122" s="31">
        <f t="shared" si="78"/>
        <v>0</v>
      </c>
      <c r="AG122" s="31">
        <f t="shared" si="78"/>
        <v>0</v>
      </c>
      <c r="AH122" s="31">
        <f t="shared" si="78"/>
        <v>0</v>
      </c>
      <c r="AI122" s="31">
        <f t="shared" si="78"/>
        <v>0</v>
      </c>
      <c r="AJ122" s="30">
        <f t="shared" si="78"/>
        <v>40897026328</v>
      </c>
      <c r="AK122" s="31">
        <f t="shared" si="78"/>
        <v>0</v>
      </c>
      <c r="AL122" s="30">
        <f t="shared" si="78"/>
        <v>2097120673</v>
      </c>
      <c r="AM122" s="30">
        <f t="shared" si="78"/>
        <v>6292495340</v>
      </c>
      <c r="AN122" s="31">
        <f t="shared" si="78"/>
        <v>0</v>
      </c>
      <c r="AO122" s="30">
        <f t="shared" si="78"/>
        <v>2097120673</v>
      </c>
      <c r="AP122" s="30">
        <f t="shared" si="78"/>
        <v>6292495340</v>
      </c>
      <c r="AQ122" s="30">
        <f t="shared" si="78"/>
        <v>2102053727</v>
      </c>
      <c r="AR122" s="113">
        <f t="shared" si="78"/>
        <v>2058465453</v>
      </c>
      <c r="AS122" s="113">
        <f t="shared" si="78"/>
        <v>4151786393</v>
      </c>
      <c r="AT122" s="30">
        <f t="shared" si="74"/>
        <v>6253840120</v>
      </c>
      <c r="AU122" s="18">
        <f t="shared" si="75"/>
        <v>34604530988</v>
      </c>
      <c r="AV122" s="34">
        <f t="shared" si="76"/>
        <v>0</v>
      </c>
      <c r="AW122" s="18">
        <f t="shared" si="77"/>
        <v>38655220</v>
      </c>
      <c r="AX122" s="32">
        <f t="shared" si="47"/>
        <v>0.15386192848187269</v>
      </c>
    </row>
    <row r="123" spans="1:50" ht="29.25" customHeight="1" x14ac:dyDescent="0.2">
      <c r="A123" s="27" t="s">
        <v>55</v>
      </c>
      <c r="B123" s="27" t="s">
        <v>56</v>
      </c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8" t="s">
        <v>887</v>
      </c>
      <c r="AB123" s="29" t="s">
        <v>232</v>
      </c>
      <c r="AC123" s="30" t="s">
        <v>37</v>
      </c>
      <c r="AD123" s="30">
        <f>AD124+AD125+AD126</f>
        <v>40897026328</v>
      </c>
      <c r="AE123" s="31">
        <f t="shared" ref="AE123:AS123" si="79">AE124+AE125+AE126</f>
        <v>0</v>
      </c>
      <c r="AF123" s="31">
        <f t="shared" si="79"/>
        <v>0</v>
      </c>
      <c r="AG123" s="31">
        <f t="shared" si="79"/>
        <v>0</v>
      </c>
      <c r="AH123" s="31">
        <f t="shared" si="79"/>
        <v>0</v>
      </c>
      <c r="AI123" s="31">
        <f t="shared" si="79"/>
        <v>0</v>
      </c>
      <c r="AJ123" s="30">
        <f t="shared" si="79"/>
        <v>40897026328</v>
      </c>
      <c r="AK123" s="31">
        <f t="shared" si="79"/>
        <v>0</v>
      </c>
      <c r="AL123" s="30">
        <f t="shared" si="79"/>
        <v>2097120673</v>
      </c>
      <c r="AM123" s="30">
        <f t="shared" si="79"/>
        <v>6292495340</v>
      </c>
      <c r="AN123" s="31">
        <f t="shared" si="79"/>
        <v>0</v>
      </c>
      <c r="AO123" s="30">
        <f t="shared" si="79"/>
        <v>2097120673</v>
      </c>
      <c r="AP123" s="30">
        <f t="shared" si="79"/>
        <v>6292495340</v>
      </c>
      <c r="AQ123" s="30">
        <f t="shared" si="79"/>
        <v>2102053727</v>
      </c>
      <c r="AR123" s="113">
        <f t="shared" si="79"/>
        <v>2058465453</v>
      </c>
      <c r="AS123" s="113">
        <f t="shared" si="79"/>
        <v>4151786393</v>
      </c>
      <c r="AT123" s="30">
        <f t="shared" si="74"/>
        <v>6253840120</v>
      </c>
      <c r="AU123" s="18">
        <f t="shared" si="75"/>
        <v>34604530988</v>
      </c>
      <c r="AV123" s="34">
        <f t="shared" si="76"/>
        <v>0</v>
      </c>
      <c r="AW123" s="18">
        <f t="shared" si="77"/>
        <v>38655220</v>
      </c>
      <c r="AX123" s="32">
        <f t="shared" si="47"/>
        <v>0.15386192848187269</v>
      </c>
    </row>
    <row r="124" spans="1:50" ht="18.75" customHeight="1" x14ac:dyDescent="0.2">
      <c r="A124" s="14" t="s">
        <v>55</v>
      </c>
      <c r="B124" s="15" t="s">
        <v>56</v>
      </c>
      <c r="C124" s="15"/>
      <c r="D124" s="15" t="s">
        <v>40</v>
      </c>
      <c r="E124" s="15"/>
      <c r="F124" s="15"/>
      <c r="G124" s="15" t="s">
        <v>41</v>
      </c>
      <c r="H124" s="15"/>
      <c r="I124" s="15" t="s">
        <v>936</v>
      </c>
      <c r="J124" s="15"/>
      <c r="K124" s="15" t="s">
        <v>932</v>
      </c>
      <c r="L124" s="15"/>
      <c r="M124" s="15" t="s">
        <v>933</v>
      </c>
      <c r="N124" s="15"/>
      <c r="O124" s="15" t="s">
        <v>938</v>
      </c>
      <c r="P124" s="15"/>
      <c r="Q124" s="15" t="s">
        <v>939</v>
      </c>
      <c r="R124" s="15"/>
      <c r="S124" s="15" t="s">
        <v>940</v>
      </c>
      <c r="T124" s="15">
        <v>0</v>
      </c>
      <c r="U124" s="15">
        <v>0</v>
      </c>
      <c r="V124" s="15">
        <v>0</v>
      </c>
      <c r="W124" s="15">
        <v>0</v>
      </c>
      <c r="X124" s="15" t="s">
        <v>937</v>
      </c>
      <c r="Y124" s="15"/>
      <c r="Z124" s="15"/>
      <c r="AA124" s="41" t="s">
        <v>888</v>
      </c>
      <c r="AB124" s="17" t="s">
        <v>233</v>
      </c>
      <c r="AC124" s="17" t="s">
        <v>58</v>
      </c>
      <c r="AD124" s="18">
        <v>28000000000</v>
      </c>
      <c r="AE124" s="34">
        <v>0</v>
      </c>
      <c r="AF124" s="34">
        <v>0</v>
      </c>
      <c r="AG124" s="34">
        <v>0</v>
      </c>
      <c r="AH124" s="34">
        <v>0</v>
      </c>
      <c r="AI124" s="34">
        <v>0</v>
      </c>
      <c r="AJ124" s="18">
        <v>28000000000</v>
      </c>
      <c r="AK124" s="34">
        <v>0</v>
      </c>
      <c r="AL124" s="34">
        <v>0</v>
      </c>
      <c r="AM124" s="34">
        <v>0</v>
      </c>
      <c r="AN124" s="34">
        <v>0</v>
      </c>
      <c r="AO124" s="34">
        <v>0</v>
      </c>
      <c r="AP124" s="34">
        <v>0</v>
      </c>
      <c r="AQ124" s="34">
        <v>0</v>
      </c>
      <c r="AR124" s="34">
        <v>0</v>
      </c>
      <c r="AS124" s="34">
        <v>0</v>
      </c>
      <c r="AT124" s="31">
        <f t="shared" si="74"/>
        <v>0</v>
      </c>
      <c r="AU124" s="18">
        <f t="shared" si="75"/>
        <v>28000000000</v>
      </c>
      <c r="AV124" s="34">
        <f t="shared" si="76"/>
        <v>0</v>
      </c>
      <c r="AW124" s="18">
        <f t="shared" si="77"/>
        <v>0</v>
      </c>
      <c r="AX124" s="32">
        <f t="shared" si="47"/>
        <v>0</v>
      </c>
    </row>
    <row r="125" spans="1:50" ht="28.5" customHeight="1" x14ac:dyDescent="0.2">
      <c r="A125" s="4" t="s">
        <v>55</v>
      </c>
      <c r="B125" s="4" t="s">
        <v>56</v>
      </c>
      <c r="C125" s="4"/>
      <c r="D125" s="4" t="s">
        <v>40</v>
      </c>
      <c r="E125" s="4"/>
      <c r="F125" s="4"/>
      <c r="G125" s="4" t="s">
        <v>41</v>
      </c>
      <c r="H125" s="4"/>
      <c r="I125" s="4" t="s">
        <v>936</v>
      </c>
      <c r="J125" s="4"/>
      <c r="K125" s="4" t="s">
        <v>932</v>
      </c>
      <c r="L125" s="4"/>
      <c r="M125" s="4" t="s">
        <v>933</v>
      </c>
      <c r="N125" s="4"/>
      <c r="O125" s="4" t="s">
        <v>938</v>
      </c>
      <c r="P125" s="4"/>
      <c r="Q125" s="4" t="s">
        <v>939</v>
      </c>
      <c r="R125" s="4"/>
      <c r="S125" s="4" t="s">
        <v>940</v>
      </c>
      <c r="T125" s="4">
        <v>0</v>
      </c>
      <c r="U125" s="4">
        <v>0</v>
      </c>
      <c r="V125" s="4">
        <v>0</v>
      </c>
      <c r="W125" s="4">
        <v>0</v>
      </c>
      <c r="X125" s="4" t="s">
        <v>937</v>
      </c>
      <c r="Y125" s="4"/>
      <c r="Z125" s="4"/>
      <c r="AA125" s="41" t="s">
        <v>889</v>
      </c>
      <c r="AB125" s="42" t="s">
        <v>234</v>
      </c>
      <c r="AC125" s="43" t="s">
        <v>235</v>
      </c>
      <c r="AD125" s="43">
        <v>10000000000</v>
      </c>
      <c r="AE125" s="44">
        <v>0</v>
      </c>
      <c r="AF125" s="44">
        <v>0</v>
      </c>
      <c r="AG125" s="44">
        <v>0</v>
      </c>
      <c r="AH125" s="44">
        <v>0</v>
      </c>
      <c r="AI125" s="44">
        <v>0</v>
      </c>
      <c r="AJ125" s="43">
        <v>10000000000</v>
      </c>
      <c r="AK125" s="44">
        <v>0</v>
      </c>
      <c r="AL125" s="43">
        <v>1940472173</v>
      </c>
      <c r="AM125" s="43">
        <v>5977139440</v>
      </c>
      <c r="AN125" s="44">
        <v>0</v>
      </c>
      <c r="AO125" s="43">
        <v>1940472173</v>
      </c>
      <c r="AP125" s="43">
        <v>5977139440</v>
      </c>
      <c r="AQ125" s="43">
        <v>1943346327</v>
      </c>
      <c r="AR125" s="114">
        <v>1940472173</v>
      </c>
      <c r="AS125" s="114">
        <v>4033793113</v>
      </c>
      <c r="AT125" s="30">
        <f t="shared" si="74"/>
        <v>5977139440</v>
      </c>
      <c r="AU125" s="18">
        <f t="shared" si="75"/>
        <v>4022860560</v>
      </c>
      <c r="AV125" s="34">
        <f t="shared" si="76"/>
        <v>0</v>
      </c>
      <c r="AW125" s="18">
        <f t="shared" si="77"/>
        <v>0</v>
      </c>
      <c r="AX125" s="32">
        <f t="shared" si="47"/>
        <v>0.597713944</v>
      </c>
    </row>
    <row r="126" spans="1:50" ht="27" customHeight="1" x14ac:dyDescent="0.2">
      <c r="A126" s="4" t="s">
        <v>55</v>
      </c>
      <c r="B126" s="4" t="s">
        <v>56</v>
      </c>
      <c r="C126" s="4"/>
      <c r="D126" s="4" t="s">
        <v>40</v>
      </c>
      <c r="E126" s="4"/>
      <c r="F126" s="4"/>
      <c r="G126" s="4" t="s">
        <v>41</v>
      </c>
      <c r="H126" s="4"/>
      <c r="I126" s="4" t="s">
        <v>936</v>
      </c>
      <c r="J126" s="4"/>
      <c r="K126" s="4" t="s">
        <v>932</v>
      </c>
      <c r="L126" s="4"/>
      <c r="M126" s="4" t="s">
        <v>933</v>
      </c>
      <c r="N126" s="4"/>
      <c r="O126" s="4" t="s">
        <v>938</v>
      </c>
      <c r="P126" s="4"/>
      <c r="Q126" s="4" t="s">
        <v>939</v>
      </c>
      <c r="R126" s="4"/>
      <c r="S126" s="4" t="s">
        <v>940</v>
      </c>
      <c r="T126" s="4">
        <v>0</v>
      </c>
      <c r="U126" s="4">
        <v>0</v>
      </c>
      <c r="V126" s="4">
        <v>0</v>
      </c>
      <c r="W126" s="4">
        <v>0</v>
      </c>
      <c r="X126" s="4" t="s">
        <v>937</v>
      </c>
      <c r="Y126" s="4"/>
      <c r="Z126" s="4"/>
      <c r="AA126" s="41" t="s">
        <v>890</v>
      </c>
      <c r="AB126" s="42" t="s">
        <v>236</v>
      </c>
      <c r="AC126" s="38" t="s">
        <v>237</v>
      </c>
      <c r="AD126" s="39">
        <v>2897026328</v>
      </c>
      <c r="AE126" s="40">
        <v>0</v>
      </c>
      <c r="AF126" s="40">
        <v>0</v>
      </c>
      <c r="AG126" s="40">
        <v>0</v>
      </c>
      <c r="AH126" s="40">
        <v>0</v>
      </c>
      <c r="AI126" s="40">
        <v>0</v>
      </c>
      <c r="AJ126" s="39">
        <v>2897026328</v>
      </c>
      <c r="AK126" s="40">
        <v>0</v>
      </c>
      <c r="AL126" s="39">
        <v>156648500</v>
      </c>
      <c r="AM126" s="39">
        <v>315355900</v>
      </c>
      <c r="AN126" s="40">
        <v>0</v>
      </c>
      <c r="AO126" s="39">
        <v>156648500</v>
      </c>
      <c r="AP126" s="39">
        <v>315355900</v>
      </c>
      <c r="AQ126" s="39">
        <v>158707400</v>
      </c>
      <c r="AR126" s="39">
        <v>117993280</v>
      </c>
      <c r="AS126" s="39">
        <v>117993280</v>
      </c>
      <c r="AT126" s="30">
        <f t="shared" si="74"/>
        <v>276700680</v>
      </c>
      <c r="AU126" s="18">
        <f t="shared" si="75"/>
        <v>2581670428</v>
      </c>
      <c r="AV126" s="34">
        <f t="shared" si="76"/>
        <v>0</v>
      </c>
      <c r="AW126" s="18">
        <f t="shared" si="77"/>
        <v>38655220</v>
      </c>
      <c r="AX126" s="32">
        <f t="shared" si="47"/>
        <v>0.10885503419560225</v>
      </c>
    </row>
    <row r="127" spans="1:50" ht="18.75" customHeight="1" x14ac:dyDescent="0.2">
      <c r="A127" s="27" t="s">
        <v>55</v>
      </c>
      <c r="B127" s="27" t="s">
        <v>56</v>
      </c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8" t="s">
        <v>891</v>
      </c>
      <c r="AB127" s="29" t="s">
        <v>238</v>
      </c>
      <c r="AC127" s="30" t="s">
        <v>37</v>
      </c>
      <c r="AD127" s="30">
        <f>AD128+AD129</f>
        <v>1000000000</v>
      </c>
      <c r="AE127" s="31">
        <f t="shared" ref="AE127:AS127" si="80">AE128+AE129</f>
        <v>0</v>
      </c>
      <c r="AF127" s="31">
        <f t="shared" si="80"/>
        <v>0</v>
      </c>
      <c r="AG127" s="31">
        <f t="shared" si="80"/>
        <v>0</v>
      </c>
      <c r="AH127" s="31">
        <f t="shared" si="80"/>
        <v>0</v>
      </c>
      <c r="AI127" s="31">
        <f t="shared" si="80"/>
        <v>0</v>
      </c>
      <c r="AJ127" s="30">
        <f t="shared" si="80"/>
        <v>1000000000</v>
      </c>
      <c r="AK127" s="31">
        <f t="shared" si="80"/>
        <v>0</v>
      </c>
      <c r="AL127" s="109">
        <f t="shared" si="80"/>
        <v>5597253</v>
      </c>
      <c r="AM127" s="109">
        <f t="shared" si="80"/>
        <v>151209253</v>
      </c>
      <c r="AN127" s="31">
        <f t="shared" si="80"/>
        <v>0</v>
      </c>
      <c r="AO127" s="109">
        <f t="shared" si="80"/>
        <v>5597253</v>
      </c>
      <c r="AP127" s="109">
        <f t="shared" si="80"/>
        <v>151209253</v>
      </c>
      <c r="AQ127" s="31">
        <f t="shared" si="80"/>
        <v>0</v>
      </c>
      <c r="AR127" s="109">
        <f t="shared" si="80"/>
        <v>5597253</v>
      </c>
      <c r="AS127" s="109">
        <f t="shared" si="80"/>
        <v>151209253</v>
      </c>
      <c r="AT127" s="30">
        <f t="shared" si="74"/>
        <v>151209253</v>
      </c>
      <c r="AU127" s="18">
        <f t="shared" si="75"/>
        <v>848790747</v>
      </c>
      <c r="AV127" s="34">
        <f t="shared" si="76"/>
        <v>0</v>
      </c>
      <c r="AW127" s="34">
        <f t="shared" si="77"/>
        <v>0</v>
      </c>
      <c r="AX127" s="32">
        <f t="shared" si="47"/>
        <v>0.15120925299999999</v>
      </c>
    </row>
    <row r="128" spans="1:50" ht="18.75" customHeight="1" x14ac:dyDescent="0.2">
      <c r="A128" s="4" t="s">
        <v>55</v>
      </c>
      <c r="B128" s="4" t="s">
        <v>56</v>
      </c>
      <c r="C128" s="4"/>
      <c r="D128" s="4" t="s">
        <v>40</v>
      </c>
      <c r="E128" s="4"/>
      <c r="F128" s="4"/>
      <c r="G128" s="4" t="s">
        <v>41</v>
      </c>
      <c r="H128" s="4"/>
      <c r="I128" s="4" t="s">
        <v>936</v>
      </c>
      <c r="J128" s="4"/>
      <c r="K128" s="4" t="s">
        <v>932</v>
      </c>
      <c r="L128" s="4"/>
      <c r="M128" s="4" t="s">
        <v>933</v>
      </c>
      <c r="N128" s="4"/>
      <c r="O128" s="4" t="s">
        <v>938</v>
      </c>
      <c r="P128" s="4"/>
      <c r="Q128" s="4" t="s">
        <v>939</v>
      </c>
      <c r="R128" s="4"/>
      <c r="S128" s="4" t="s">
        <v>940</v>
      </c>
      <c r="T128" s="4">
        <v>0</v>
      </c>
      <c r="U128" s="4">
        <v>0</v>
      </c>
      <c r="V128" s="4">
        <v>0</v>
      </c>
      <c r="W128" s="4">
        <v>0</v>
      </c>
      <c r="X128" s="4" t="s">
        <v>937</v>
      </c>
      <c r="Y128" s="4"/>
      <c r="Z128" s="4"/>
      <c r="AA128" s="41" t="s">
        <v>893</v>
      </c>
      <c r="AB128" s="42" t="s">
        <v>233</v>
      </c>
      <c r="AC128" s="43" t="s">
        <v>58</v>
      </c>
      <c r="AD128" s="43">
        <v>500000000</v>
      </c>
      <c r="AE128" s="44">
        <v>0</v>
      </c>
      <c r="AF128" s="44">
        <v>0</v>
      </c>
      <c r="AG128" s="44">
        <v>0</v>
      </c>
      <c r="AH128" s="44">
        <v>0</v>
      </c>
      <c r="AI128" s="44">
        <v>0</v>
      </c>
      <c r="AJ128" s="43">
        <v>500000000</v>
      </c>
      <c r="AK128" s="44">
        <v>0</v>
      </c>
      <c r="AL128" s="114">
        <v>0</v>
      </c>
      <c r="AM128" s="115">
        <v>0</v>
      </c>
      <c r="AN128" s="44">
        <v>0</v>
      </c>
      <c r="AO128" s="115">
        <v>0</v>
      </c>
      <c r="AP128" s="115">
        <v>0</v>
      </c>
      <c r="AQ128" s="44">
        <v>0</v>
      </c>
      <c r="AR128" s="44">
        <v>0</v>
      </c>
      <c r="AS128" s="44">
        <v>0</v>
      </c>
      <c r="AT128" s="31">
        <f t="shared" si="74"/>
        <v>0</v>
      </c>
      <c r="AU128" s="18">
        <f t="shared" si="75"/>
        <v>500000000</v>
      </c>
      <c r="AV128" s="34">
        <f t="shared" si="76"/>
        <v>0</v>
      </c>
      <c r="AW128" s="34">
        <f t="shared" si="77"/>
        <v>0</v>
      </c>
      <c r="AX128" s="32">
        <f t="shared" si="47"/>
        <v>0</v>
      </c>
    </row>
    <row r="129" spans="1:50" ht="18.75" customHeight="1" x14ac:dyDescent="0.2">
      <c r="A129" s="4" t="s">
        <v>55</v>
      </c>
      <c r="B129" s="4" t="s">
        <v>56</v>
      </c>
      <c r="C129" s="4"/>
      <c r="D129" s="4" t="s">
        <v>40</v>
      </c>
      <c r="E129" s="4"/>
      <c r="F129" s="4"/>
      <c r="G129" s="4" t="s">
        <v>41</v>
      </c>
      <c r="H129" s="4"/>
      <c r="I129" s="4" t="s">
        <v>936</v>
      </c>
      <c r="J129" s="4"/>
      <c r="K129" s="4" t="s">
        <v>932</v>
      </c>
      <c r="L129" s="4"/>
      <c r="M129" s="4" t="s">
        <v>933</v>
      </c>
      <c r="N129" s="4"/>
      <c r="O129" s="4" t="s">
        <v>938</v>
      </c>
      <c r="P129" s="4"/>
      <c r="Q129" s="4" t="s">
        <v>939</v>
      </c>
      <c r="R129" s="4"/>
      <c r="S129" s="4" t="s">
        <v>940</v>
      </c>
      <c r="T129" s="4">
        <v>0</v>
      </c>
      <c r="U129" s="4">
        <v>0</v>
      </c>
      <c r="V129" s="4">
        <v>0</v>
      </c>
      <c r="W129" s="4">
        <v>0</v>
      </c>
      <c r="X129" s="4" t="s">
        <v>937</v>
      </c>
      <c r="Y129" s="4"/>
      <c r="Z129" s="4"/>
      <c r="AA129" s="41" t="s">
        <v>892</v>
      </c>
      <c r="AB129" s="42" t="s">
        <v>239</v>
      </c>
      <c r="AC129" s="43" t="s">
        <v>240</v>
      </c>
      <c r="AD129" s="43">
        <v>500000000</v>
      </c>
      <c r="AE129" s="44">
        <v>0</v>
      </c>
      <c r="AF129" s="44">
        <v>0</v>
      </c>
      <c r="AG129" s="44">
        <v>0</v>
      </c>
      <c r="AH129" s="44">
        <v>0</v>
      </c>
      <c r="AI129" s="44">
        <v>0</v>
      </c>
      <c r="AJ129" s="43">
        <v>500000000</v>
      </c>
      <c r="AK129" s="44">
        <v>0</v>
      </c>
      <c r="AL129" s="114">
        <v>5597253</v>
      </c>
      <c r="AM129" s="114">
        <v>151209253</v>
      </c>
      <c r="AN129" s="44">
        <v>0</v>
      </c>
      <c r="AO129" s="114">
        <v>5597253</v>
      </c>
      <c r="AP129" s="114">
        <v>151209253</v>
      </c>
      <c r="AQ129" s="44">
        <v>0</v>
      </c>
      <c r="AR129" s="114">
        <v>5597253</v>
      </c>
      <c r="AS129" s="114">
        <v>151209253</v>
      </c>
      <c r="AT129" s="30">
        <f t="shared" si="74"/>
        <v>151209253</v>
      </c>
      <c r="AU129" s="18">
        <f t="shared" si="75"/>
        <v>348790747</v>
      </c>
      <c r="AV129" s="34">
        <f t="shared" si="76"/>
        <v>0</v>
      </c>
      <c r="AW129" s="34">
        <f t="shared" si="77"/>
        <v>0</v>
      </c>
      <c r="AX129" s="32">
        <f t="shared" si="47"/>
        <v>0.30241850599999998</v>
      </c>
    </row>
    <row r="130" spans="1:50" ht="18.75" customHeight="1" x14ac:dyDescent="0.2">
      <c r="A130" s="27" t="s">
        <v>55</v>
      </c>
      <c r="B130" s="27" t="s">
        <v>56</v>
      </c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8" t="s">
        <v>894</v>
      </c>
      <c r="AB130" s="29" t="s">
        <v>241</v>
      </c>
      <c r="AC130" s="30" t="s">
        <v>37</v>
      </c>
      <c r="AD130" s="30">
        <f>AD131</f>
        <v>80000000</v>
      </c>
      <c r="AE130" s="31">
        <f t="shared" ref="AE130:AS130" si="81">AE131</f>
        <v>0</v>
      </c>
      <c r="AF130" s="31">
        <f t="shared" si="81"/>
        <v>0</v>
      </c>
      <c r="AG130" s="31">
        <f t="shared" si="81"/>
        <v>0</v>
      </c>
      <c r="AH130" s="31">
        <f t="shared" si="81"/>
        <v>0</v>
      </c>
      <c r="AI130" s="31">
        <f t="shared" si="81"/>
        <v>0</v>
      </c>
      <c r="AJ130" s="30">
        <f t="shared" si="81"/>
        <v>80000000</v>
      </c>
      <c r="AK130" s="31">
        <f t="shared" si="81"/>
        <v>0</v>
      </c>
      <c r="AL130" s="109">
        <f t="shared" si="81"/>
        <v>13320660</v>
      </c>
      <c r="AM130" s="109">
        <f t="shared" si="81"/>
        <v>39808365</v>
      </c>
      <c r="AN130" s="31">
        <f t="shared" si="81"/>
        <v>0</v>
      </c>
      <c r="AO130" s="109">
        <f t="shared" si="81"/>
        <v>13320660</v>
      </c>
      <c r="AP130" s="109">
        <f t="shared" si="81"/>
        <v>39808365</v>
      </c>
      <c r="AQ130" s="30">
        <f t="shared" si="81"/>
        <v>4542630</v>
      </c>
      <c r="AR130" s="109">
        <f t="shared" si="81"/>
        <v>8778030</v>
      </c>
      <c r="AS130" s="109">
        <f t="shared" si="81"/>
        <v>35265735</v>
      </c>
      <c r="AT130" s="30">
        <f t="shared" si="74"/>
        <v>39808365</v>
      </c>
      <c r="AU130" s="18">
        <f t="shared" si="75"/>
        <v>40191635</v>
      </c>
      <c r="AV130" s="34">
        <f t="shared" si="76"/>
        <v>0</v>
      </c>
      <c r="AW130" s="34">
        <f t="shared" si="77"/>
        <v>0</v>
      </c>
      <c r="AX130" s="32">
        <f t="shared" si="47"/>
        <v>0.49760456250000001</v>
      </c>
    </row>
    <row r="131" spans="1:50" ht="18.75" customHeight="1" x14ac:dyDescent="0.2">
      <c r="A131" s="4" t="s">
        <v>55</v>
      </c>
      <c r="B131" s="4" t="s">
        <v>56</v>
      </c>
      <c r="C131" s="4"/>
      <c r="D131" s="4" t="s">
        <v>40</v>
      </c>
      <c r="E131" s="4"/>
      <c r="F131" s="4"/>
      <c r="G131" s="4" t="s">
        <v>41</v>
      </c>
      <c r="H131" s="4"/>
      <c r="I131" s="4" t="s">
        <v>936</v>
      </c>
      <c r="J131" s="4"/>
      <c r="K131" s="4" t="s">
        <v>932</v>
      </c>
      <c r="L131" s="4"/>
      <c r="M131" s="4" t="s">
        <v>933</v>
      </c>
      <c r="N131" s="4"/>
      <c r="O131" s="4" t="s">
        <v>938</v>
      </c>
      <c r="P131" s="4"/>
      <c r="Q131" s="4" t="s">
        <v>939</v>
      </c>
      <c r="R131" s="4"/>
      <c r="S131" s="4" t="s">
        <v>940</v>
      </c>
      <c r="T131" s="4">
        <v>0</v>
      </c>
      <c r="U131" s="4">
        <v>0</v>
      </c>
      <c r="V131" s="4">
        <v>0</v>
      </c>
      <c r="W131" s="4">
        <v>0</v>
      </c>
      <c r="X131" s="4" t="s">
        <v>937</v>
      </c>
      <c r="Y131" s="4"/>
      <c r="Z131" s="4"/>
      <c r="AA131" s="41" t="s">
        <v>895</v>
      </c>
      <c r="AB131" s="42" t="s">
        <v>242</v>
      </c>
      <c r="AC131" s="43" t="s">
        <v>58</v>
      </c>
      <c r="AD131" s="43">
        <v>80000000</v>
      </c>
      <c r="AE131" s="44">
        <v>0</v>
      </c>
      <c r="AF131" s="44">
        <v>0</v>
      </c>
      <c r="AG131" s="44">
        <v>0</v>
      </c>
      <c r="AH131" s="44">
        <v>0</v>
      </c>
      <c r="AI131" s="44">
        <v>0</v>
      </c>
      <c r="AJ131" s="43">
        <v>80000000</v>
      </c>
      <c r="AK131" s="44">
        <v>0</v>
      </c>
      <c r="AL131" s="114">
        <v>13320660</v>
      </c>
      <c r="AM131" s="114">
        <v>39808365</v>
      </c>
      <c r="AN131" s="44">
        <v>0</v>
      </c>
      <c r="AO131" s="114">
        <v>13320660</v>
      </c>
      <c r="AP131" s="114">
        <v>39808365</v>
      </c>
      <c r="AQ131" s="43">
        <v>4542630</v>
      </c>
      <c r="AR131" s="114">
        <v>8778030</v>
      </c>
      <c r="AS131" s="114">
        <v>35265735</v>
      </c>
      <c r="AT131" s="30">
        <f t="shared" si="74"/>
        <v>39808365</v>
      </c>
      <c r="AU131" s="18">
        <f t="shared" si="75"/>
        <v>40191635</v>
      </c>
      <c r="AV131" s="34">
        <f t="shared" si="76"/>
        <v>0</v>
      </c>
      <c r="AW131" s="34">
        <f t="shared" si="77"/>
        <v>0</v>
      </c>
      <c r="AX131" s="32">
        <f t="shared" si="47"/>
        <v>0.49760456250000001</v>
      </c>
    </row>
    <row r="132" spans="1:50" ht="18.75" customHeight="1" x14ac:dyDescent="0.2">
      <c r="A132" s="4" t="s">
        <v>55</v>
      </c>
      <c r="B132" s="4" t="s">
        <v>56</v>
      </c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1" t="s">
        <v>896</v>
      </c>
      <c r="AB132" s="42" t="s">
        <v>243</v>
      </c>
      <c r="AC132" s="43" t="s">
        <v>58</v>
      </c>
      <c r="AD132" s="44">
        <v>0</v>
      </c>
      <c r="AE132" s="44">
        <v>0</v>
      </c>
      <c r="AF132" s="44">
        <v>0</v>
      </c>
      <c r="AG132" s="44">
        <v>0</v>
      </c>
      <c r="AH132" s="44">
        <v>0</v>
      </c>
      <c r="AI132" s="44">
        <v>0</v>
      </c>
      <c r="AJ132" s="44">
        <v>0</v>
      </c>
      <c r="AK132" s="44">
        <v>0</v>
      </c>
      <c r="AL132" s="44">
        <v>0</v>
      </c>
      <c r="AM132" s="44">
        <v>0</v>
      </c>
      <c r="AN132" s="44">
        <v>0</v>
      </c>
      <c r="AO132" s="44">
        <v>0</v>
      </c>
      <c r="AP132" s="44">
        <v>0</v>
      </c>
      <c r="AQ132" s="44">
        <v>0</v>
      </c>
      <c r="AR132" s="44">
        <v>0</v>
      </c>
      <c r="AS132" s="44">
        <v>0</v>
      </c>
      <c r="AT132" s="31">
        <f t="shared" si="74"/>
        <v>0</v>
      </c>
      <c r="AU132" s="34">
        <f t="shared" si="75"/>
        <v>0</v>
      </c>
      <c r="AV132" s="34">
        <f t="shared" si="76"/>
        <v>0</v>
      </c>
      <c r="AW132" s="34">
        <f t="shared" si="77"/>
        <v>0</v>
      </c>
      <c r="AX132" s="32">
        <v>0</v>
      </c>
    </row>
    <row r="133" spans="1:50" ht="18.75" customHeight="1" x14ac:dyDescent="0.2">
      <c r="A133" s="4" t="s">
        <v>55</v>
      </c>
      <c r="B133" s="4" t="s">
        <v>56</v>
      </c>
      <c r="C133" s="4"/>
      <c r="D133" s="4" t="s">
        <v>40</v>
      </c>
      <c r="E133" s="4"/>
      <c r="F133" s="4"/>
      <c r="G133" s="4" t="s">
        <v>41</v>
      </c>
      <c r="H133" s="4"/>
      <c r="I133" s="4" t="s">
        <v>936</v>
      </c>
      <c r="J133" s="4"/>
      <c r="K133" s="4" t="s">
        <v>932</v>
      </c>
      <c r="L133" s="4"/>
      <c r="M133" s="4" t="s">
        <v>933</v>
      </c>
      <c r="N133" s="4"/>
      <c r="O133" s="4" t="s">
        <v>938</v>
      </c>
      <c r="P133" s="4"/>
      <c r="Q133" s="4" t="s">
        <v>939</v>
      </c>
      <c r="R133" s="4"/>
      <c r="S133" s="4" t="s">
        <v>940</v>
      </c>
      <c r="T133" s="4">
        <v>0</v>
      </c>
      <c r="U133" s="4">
        <v>0</v>
      </c>
      <c r="V133" s="4">
        <v>0</v>
      </c>
      <c r="W133" s="4">
        <v>0</v>
      </c>
      <c r="X133" s="4" t="s">
        <v>937</v>
      </c>
      <c r="Y133" s="4"/>
      <c r="Z133" s="4"/>
      <c r="AA133" s="41" t="s">
        <v>897</v>
      </c>
      <c r="AB133" s="42" t="s">
        <v>244</v>
      </c>
      <c r="AC133" s="43" t="s">
        <v>58</v>
      </c>
      <c r="AD133" s="43">
        <v>10000000</v>
      </c>
      <c r="AE133" s="44">
        <v>0</v>
      </c>
      <c r="AF133" s="44">
        <v>0</v>
      </c>
      <c r="AG133" s="44">
        <v>0</v>
      </c>
      <c r="AH133" s="44">
        <v>0</v>
      </c>
      <c r="AI133" s="44">
        <v>0</v>
      </c>
      <c r="AJ133" s="43">
        <v>10000000</v>
      </c>
      <c r="AK133" s="44">
        <v>0</v>
      </c>
      <c r="AL133" s="43">
        <v>0</v>
      </c>
      <c r="AM133" s="43">
        <v>4389015</v>
      </c>
      <c r="AN133" s="44">
        <v>0</v>
      </c>
      <c r="AO133" s="44">
        <v>0</v>
      </c>
      <c r="AP133" s="43">
        <v>4389015</v>
      </c>
      <c r="AQ133" s="44">
        <v>0</v>
      </c>
      <c r="AR133" s="44">
        <v>0</v>
      </c>
      <c r="AS133" s="43">
        <v>4389015</v>
      </c>
      <c r="AT133" s="30">
        <f t="shared" si="74"/>
        <v>4389015</v>
      </c>
      <c r="AU133" s="18">
        <f t="shared" si="75"/>
        <v>5610985</v>
      </c>
      <c r="AV133" s="34">
        <f t="shared" si="76"/>
        <v>0</v>
      </c>
      <c r="AW133" s="34">
        <f t="shared" si="77"/>
        <v>0</v>
      </c>
      <c r="AX133" s="32">
        <f t="shared" si="47"/>
        <v>0.4389015</v>
      </c>
    </row>
    <row r="134" spans="1:50" ht="18.75" customHeight="1" x14ac:dyDescent="0.2">
      <c r="A134" s="4" t="s">
        <v>55</v>
      </c>
      <c r="B134" s="4" t="s">
        <v>56</v>
      </c>
      <c r="C134" s="4"/>
      <c r="D134" s="4" t="s">
        <v>40</v>
      </c>
      <c r="E134" s="4"/>
      <c r="F134" s="4"/>
      <c r="G134" s="4" t="s">
        <v>41</v>
      </c>
      <c r="H134" s="4"/>
      <c r="I134" s="4" t="s">
        <v>936</v>
      </c>
      <c r="J134" s="4"/>
      <c r="K134" s="4" t="s">
        <v>932</v>
      </c>
      <c r="L134" s="4"/>
      <c r="M134" s="4" t="s">
        <v>933</v>
      </c>
      <c r="N134" s="4"/>
      <c r="O134" s="4" t="s">
        <v>938</v>
      </c>
      <c r="P134" s="4"/>
      <c r="Q134" s="4" t="s">
        <v>942</v>
      </c>
      <c r="R134" s="4"/>
      <c r="S134" s="4" t="s">
        <v>940</v>
      </c>
      <c r="T134" s="4">
        <v>0</v>
      </c>
      <c r="U134" s="4">
        <v>0</v>
      </c>
      <c r="V134" s="4">
        <v>0</v>
      </c>
      <c r="W134" s="4">
        <v>0</v>
      </c>
      <c r="X134" s="4" t="s">
        <v>937</v>
      </c>
      <c r="Y134" s="4"/>
      <c r="Z134" s="4"/>
      <c r="AA134" s="41" t="s">
        <v>898</v>
      </c>
      <c r="AB134" s="42" t="s">
        <v>245</v>
      </c>
      <c r="AC134" s="43" t="s">
        <v>58</v>
      </c>
      <c r="AD134" s="43">
        <v>266000000</v>
      </c>
      <c r="AE134" s="44">
        <v>0</v>
      </c>
      <c r="AF134" s="44">
        <v>0</v>
      </c>
      <c r="AG134" s="44">
        <v>0</v>
      </c>
      <c r="AH134" s="44">
        <v>0</v>
      </c>
      <c r="AI134" s="44">
        <v>0</v>
      </c>
      <c r="AJ134" s="43">
        <v>266000000</v>
      </c>
      <c r="AK134" s="44">
        <v>0</v>
      </c>
      <c r="AL134" s="43">
        <v>111182767</v>
      </c>
      <c r="AM134" s="43">
        <v>125539292</v>
      </c>
      <c r="AN134" s="44">
        <v>0</v>
      </c>
      <c r="AO134" s="43">
        <v>111182767</v>
      </c>
      <c r="AP134" s="43">
        <v>125539292</v>
      </c>
      <c r="AQ134" s="44">
        <v>0</v>
      </c>
      <c r="AR134" s="114">
        <v>111182767</v>
      </c>
      <c r="AS134" s="114">
        <v>122233832</v>
      </c>
      <c r="AT134" s="30">
        <f t="shared" si="74"/>
        <v>122233832</v>
      </c>
      <c r="AU134" s="18">
        <f t="shared" si="75"/>
        <v>140460708</v>
      </c>
      <c r="AV134" s="34">
        <f t="shared" si="76"/>
        <v>0</v>
      </c>
      <c r="AW134" s="18">
        <f t="shared" si="77"/>
        <v>3305460</v>
      </c>
      <c r="AX134" s="32">
        <f t="shared" si="47"/>
        <v>0.47195222556390976</v>
      </c>
    </row>
    <row r="135" spans="1:50" s="25" customFormat="1" ht="18.75" customHeight="1" x14ac:dyDescent="0.2">
      <c r="A135" s="19" t="s">
        <v>55</v>
      </c>
      <c r="B135" s="19" t="s">
        <v>56</v>
      </c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26" t="s">
        <v>899</v>
      </c>
      <c r="AB135" s="21" t="s">
        <v>246</v>
      </c>
      <c r="AC135" s="22" t="s">
        <v>37</v>
      </c>
      <c r="AD135" s="22">
        <f>AD136</f>
        <v>100000000</v>
      </c>
      <c r="AE135" s="23">
        <f t="shared" ref="AE135:AW135" si="82">AE136</f>
        <v>0</v>
      </c>
      <c r="AF135" s="23">
        <f t="shared" si="82"/>
        <v>0</v>
      </c>
      <c r="AG135" s="23">
        <f t="shared" si="82"/>
        <v>0</v>
      </c>
      <c r="AH135" s="23">
        <f t="shared" si="82"/>
        <v>0</v>
      </c>
      <c r="AI135" s="23">
        <f t="shared" si="82"/>
        <v>0</v>
      </c>
      <c r="AJ135" s="22">
        <f t="shared" si="82"/>
        <v>100000000</v>
      </c>
      <c r="AK135" s="23">
        <f t="shared" si="82"/>
        <v>425300</v>
      </c>
      <c r="AL135" s="22">
        <f t="shared" si="82"/>
        <v>9052464</v>
      </c>
      <c r="AM135" s="22">
        <f t="shared" si="82"/>
        <v>27536516</v>
      </c>
      <c r="AN135" s="23">
        <f t="shared" si="82"/>
        <v>0</v>
      </c>
      <c r="AO135" s="22">
        <f t="shared" si="82"/>
        <v>11856516</v>
      </c>
      <c r="AP135" s="22">
        <f t="shared" si="82"/>
        <v>22706516</v>
      </c>
      <c r="AQ135" s="23">
        <f t="shared" si="82"/>
        <v>0</v>
      </c>
      <c r="AR135" s="22">
        <f t="shared" si="82"/>
        <v>11856516</v>
      </c>
      <c r="AS135" s="22">
        <f t="shared" si="82"/>
        <v>22706516</v>
      </c>
      <c r="AT135" s="22">
        <f>AQ135+AS135</f>
        <v>22706516</v>
      </c>
      <c r="AU135" s="22">
        <f t="shared" si="82"/>
        <v>72463484</v>
      </c>
      <c r="AV135" s="22">
        <f t="shared" si="82"/>
        <v>4830000</v>
      </c>
      <c r="AW135" s="23">
        <f t="shared" si="82"/>
        <v>0</v>
      </c>
      <c r="AX135" s="24">
        <f t="shared" si="47"/>
        <v>0.22706515999999999</v>
      </c>
    </row>
    <row r="136" spans="1:50" ht="18.75" customHeight="1" x14ac:dyDescent="0.2">
      <c r="A136" s="27" t="s">
        <v>55</v>
      </c>
      <c r="B136" s="27" t="s">
        <v>56</v>
      </c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8" t="s">
        <v>900</v>
      </c>
      <c r="AB136" s="29" t="s">
        <v>247</v>
      </c>
      <c r="AC136" s="30" t="s">
        <v>37</v>
      </c>
      <c r="AD136" s="30">
        <f>AD137+AD138</f>
        <v>100000000</v>
      </c>
      <c r="AE136" s="31">
        <f t="shared" ref="AE136:AS136" si="83">AE137+AE138</f>
        <v>0</v>
      </c>
      <c r="AF136" s="31">
        <f t="shared" si="83"/>
        <v>0</v>
      </c>
      <c r="AG136" s="31">
        <f t="shared" si="83"/>
        <v>0</v>
      </c>
      <c r="AH136" s="31">
        <f t="shared" si="83"/>
        <v>0</v>
      </c>
      <c r="AI136" s="31">
        <f t="shared" si="83"/>
        <v>0</v>
      </c>
      <c r="AJ136" s="30">
        <f t="shared" si="83"/>
        <v>100000000</v>
      </c>
      <c r="AK136" s="31">
        <f t="shared" si="83"/>
        <v>425300</v>
      </c>
      <c r="AL136" s="30">
        <f t="shared" si="83"/>
        <v>9052464</v>
      </c>
      <c r="AM136" s="30">
        <f t="shared" si="83"/>
        <v>27536516</v>
      </c>
      <c r="AN136" s="31">
        <f t="shared" si="83"/>
        <v>0</v>
      </c>
      <c r="AO136" s="30">
        <f t="shared" si="83"/>
        <v>11856516</v>
      </c>
      <c r="AP136" s="30">
        <f t="shared" si="83"/>
        <v>22706516</v>
      </c>
      <c r="AQ136" s="31">
        <f t="shared" si="83"/>
        <v>0</v>
      </c>
      <c r="AR136" s="30">
        <f t="shared" si="83"/>
        <v>11856516</v>
      </c>
      <c r="AS136" s="30">
        <f t="shared" si="83"/>
        <v>22706516</v>
      </c>
      <c r="AT136" s="30">
        <f t="shared" ref="AT136:AT138" si="84">AQ136+AS136</f>
        <v>22706516</v>
      </c>
      <c r="AU136" s="18">
        <f t="shared" ref="AU136:AU138" si="85">AJ136-AM136</f>
        <v>72463484</v>
      </c>
      <c r="AV136" s="110">
        <f t="shared" ref="AV136:AV138" si="86">AM136-AP136</f>
        <v>4830000</v>
      </c>
      <c r="AW136" s="34">
        <f t="shared" ref="AW136:AW138" si="87">AP136-AT136</f>
        <v>0</v>
      </c>
      <c r="AX136" s="32">
        <f t="shared" si="47"/>
        <v>0.22706515999999999</v>
      </c>
    </row>
    <row r="137" spans="1:50" ht="18.75" customHeight="1" x14ac:dyDescent="0.2">
      <c r="A137" s="4" t="s">
        <v>55</v>
      </c>
      <c r="B137" s="4" t="s">
        <v>56</v>
      </c>
      <c r="C137" s="4"/>
      <c r="D137" s="4" t="s">
        <v>40</v>
      </c>
      <c r="E137" s="4"/>
      <c r="F137" s="4"/>
      <c r="G137" s="4" t="s">
        <v>41</v>
      </c>
      <c r="H137" s="4"/>
      <c r="I137" s="4" t="s">
        <v>936</v>
      </c>
      <c r="J137" s="4"/>
      <c r="K137" s="4" t="s">
        <v>932</v>
      </c>
      <c r="L137" s="4"/>
      <c r="M137" s="4" t="s">
        <v>933</v>
      </c>
      <c r="N137" s="4"/>
      <c r="O137" s="4" t="s">
        <v>938</v>
      </c>
      <c r="P137" s="4"/>
      <c r="Q137" s="4" t="s">
        <v>942</v>
      </c>
      <c r="R137" s="4"/>
      <c r="S137" s="4" t="s">
        <v>940</v>
      </c>
      <c r="T137" s="4">
        <v>0</v>
      </c>
      <c r="U137" s="4">
        <v>0</v>
      </c>
      <c r="V137" s="4">
        <v>0</v>
      </c>
      <c r="W137" s="4">
        <v>0</v>
      </c>
      <c r="X137" s="4" t="s">
        <v>937</v>
      </c>
      <c r="Y137" s="4"/>
      <c r="Z137" s="4"/>
      <c r="AA137" s="41" t="s">
        <v>901</v>
      </c>
      <c r="AB137" s="42" t="s">
        <v>248</v>
      </c>
      <c r="AC137" s="43" t="s">
        <v>58</v>
      </c>
      <c r="AD137" s="43">
        <v>70000000</v>
      </c>
      <c r="AE137" s="44">
        <v>0</v>
      </c>
      <c r="AF137" s="44">
        <v>0</v>
      </c>
      <c r="AG137" s="44">
        <v>0</v>
      </c>
      <c r="AH137" s="44">
        <v>0</v>
      </c>
      <c r="AI137" s="44">
        <v>0</v>
      </c>
      <c r="AJ137" s="43">
        <v>70000000</v>
      </c>
      <c r="AK137" s="44">
        <v>425300</v>
      </c>
      <c r="AL137" s="43">
        <v>9052464</v>
      </c>
      <c r="AM137" s="43">
        <v>27536516</v>
      </c>
      <c r="AN137" s="44">
        <v>0</v>
      </c>
      <c r="AO137" s="43">
        <v>11856516</v>
      </c>
      <c r="AP137" s="43">
        <v>22706516</v>
      </c>
      <c r="AQ137" s="44">
        <v>0</v>
      </c>
      <c r="AR137" s="43">
        <v>11856516</v>
      </c>
      <c r="AS137" s="43">
        <v>22706516</v>
      </c>
      <c r="AT137" s="30">
        <f t="shared" si="84"/>
        <v>22706516</v>
      </c>
      <c r="AU137" s="18">
        <f t="shared" si="85"/>
        <v>42463484</v>
      </c>
      <c r="AV137" s="110">
        <f t="shared" si="86"/>
        <v>4830000</v>
      </c>
      <c r="AW137" s="34">
        <f t="shared" si="87"/>
        <v>0</v>
      </c>
      <c r="AX137" s="32">
        <f t="shared" si="47"/>
        <v>0.32437880000000002</v>
      </c>
    </row>
    <row r="138" spans="1:50" ht="18.75" customHeight="1" x14ac:dyDescent="0.2">
      <c r="A138" s="4" t="s">
        <v>55</v>
      </c>
      <c r="B138" s="4" t="s">
        <v>56</v>
      </c>
      <c r="C138" s="4"/>
      <c r="D138" s="4" t="s">
        <v>40</v>
      </c>
      <c r="E138" s="4"/>
      <c r="F138" s="4"/>
      <c r="G138" s="4" t="s">
        <v>41</v>
      </c>
      <c r="H138" s="4"/>
      <c r="I138" s="4" t="s">
        <v>936</v>
      </c>
      <c r="J138" s="4"/>
      <c r="K138" s="4" t="s">
        <v>932</v>
      </c>
      <c r="L138" s="4"/>
      <c r="M138" s="4" t="s">
        <v>933</v>
      </c>
      <c r="N138" s="4"/>
      <c r="O138" s="4" t="s">
        <v>938</v>
      </c>
      <c r="P138" s="4"/>
      <c r="Q138" s="4" t="s">
        <v>942</v>
      </c>
      <c r="R138" s="4"/>
      <c r="S138" s="4" t="s">
        <v>940</v>
      </c>
      <c r="T138" s="4">
        <v>0</v>
      </c>
      <c r="U138" s="4">
        <v>0</v>
      </c>
      <c r="V138" s="4">
        <v>0</v>
      </c>
      <c r="W138" s="4">
        <v>0</v>
      </c>
      <c r="X138" s="4" t="s">
        <v>937</v>
      </c>
      <c r="Y138" s="4"/>
      <c r="Z138" s="4"/>
      <c r="AA138" s="41" t="s">
        <v>902</v>
      </c>
      <c r="AB138" s="42" t="s">
        <v>249</v>
      </c>
      <c r="AC138" s="43" t="s">
        <v>58</v>
      </c>
      <c r="AD138" s="43">
        <v>30000000</v>
      </c>
      <c r="AE138" s="44">
        <v>0</v>
      </c>
      <c r="AF138" s="44">
        <v>0</v>
      </c>
      <c r="AG138" s="44">
        <v>0</v>
      </c>
      <c r="AH138" s="44">
        <v>0</v>
      </c>
      <c r="AI138" s="44">
        <v>0</v>
      </c>
      <c r="AJ138" s="43">
        <v>30000000</v>
      </c>
      <c r="AK138" s="44">
        <v>0</v>
      </c>
      <c r="AL138" s="44">
        <v>0</v>
      </c>
      <c r="AM138" s="44">
        <v>0</v>
      </c>
      <c r="AN138" s="44">
        <v>0</v>
      </c>
      <c r="AO138" s="44">
        <v>0</v>
      </c>
      <c r="AP138" s="44">
        <v>0</v>
      </c>
      <c r="AQ138" s="44">
        <v>0</v>
      </c>
      <c r="AR138" s="44">
        <v>0</v>
      </c>
      <c r="AS138" s="44">
        <v>0</v>
      </c>
      <c r="AT138" s="31">
        <f t="shared" si="84"/>
        <v>0</v>
      </c>
      <c r="AU138" s="18">
        <f t="shared" si="85"/>
        <v>30000000</v>
      </c>
      <c r="AV138" s="34">
        <f t="shared" si="86"/>
        <v>0</v>
      </c>
      <c r="AW138" s="34">
        <f t="shared" si="87"/>
        <v>0</v>
      </c>
      <c r="AX138" s="32">
        <f t="shared" si="47"/>
        <v>0</v>
      </c>
    </row>
    <row r="139" spans="1:50" s="25" customFormat="1" ht="27.75" customHeight="1" x14ac:dyDescent="0.2">
      <c r="A139" s="19" t="s">
        <v>55</v>
      </c>
      <c r="B139" s="19" t="s">
        <v>56</v>
      </c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26" t="s">
        <v>903</v>
      </c>
      <c r="AB139" s="21" t="s">
        <v>250</v>
      </c>
      <c r="AC139" s="22" t="s">
        <v>37</v>
      </c>
      <c r="AD139" s="22">
        <f>AD140+AD144+AD149+AD142</f>
        <v>4677993416.5</v>
      </c>
      <c r="AE139" s="23">
        <f t="shared" ref="AE139:AK139" si="88">AE140+AE144+AE149+AE142</f>
        <v>0</v>
      </c>
      <c r="AF139" s="23">
        <f t="shared" si="88"/>
        <v>0</v>
      </c>
      <c r="AG139" s="22">
        <f>AG140+AG144+AG149+AG142+AG143</f>
        <v>30000000</v>
      </c>
      <c r="AH139" s="22">
        <f t="shared" ref="AH139:AJ139" si="89">AH140+AH144+AH149+AH142+AH143</f>
        <v>0</v>
      </c>
      <c r="AI139" s="22">
        <f t="shared" si="89"/>
        <v>30000000</v>
      </c>
      <c r="AJ139" s="22">
        <f t="shared" si="89"/>
        <v>4707993416.5</v>
      </c>
      <c r="AK139" s="23">
        <f t="shared" si="88"/>
        <v>0</v>
      </c>
      <c r="AL139" s="22">
        <f>AL140+AL144+AL149+AL142+AL143</f>
        <v>377232347</v>
      </c>
      <c r="AM139" s="22">
        <f t="shared" ref="AM139:AW139" si="90">AM140+AM144+AM149+AM142+AM143</f>
        <v>1145049613</v>
      </c>
      <c r="AN139" s="22">
        <f t="shared" si="90"/>
        <v>0</v>
      </c>
      <c r="AO139" s="22">
        <f t="shared" si="90"/>
        <v>373829008</v>
      </c>
      <c r="AP139" s="22">
        <f t="shared" si="90"/>
        <v>1140983374</v>
      </c>
      <c r="AQ139" s="22">
        <f t="shared" si="90"/>
        <v>0</v>
      </c>
      <c r="AR139" s="22">
        <f t="shared" si="90"/>
        <v>374028708</v>
      </c>
      <c r="AS139" s="22">
        <f t="shared" si="90"/>
        <v>1140933074</v>
      </c>
      <c r="AT139" s="22">
        <f t="shared" si="90"/>
        <v>1140933074</v>
      </c>
      <c r="AU139" s="22">
        <f t="shared" si="90"/>
        <v>3562943803.5</v>
      </c>
      <c r="AV139" s="22">
        <f t="shared" si="90"/>
        <v>4066239</v>
      </c>
      <c r="AW139" s="22">
        <f t="shared" si="90"/>
        <v>50300</v>
      </c>
      <c r="AX139" s="24">
        <f t="shared" si="47"/>
        <v>0.24235024840969846</v>
      </c>
    </row>
    <row r="140" spans="1:50" ht="18.75" customHeight="1" x14ac:dyDescent="0.2">
      <c r="A140" s="27" t="s">
        <v>55</v>
      </c>
      <c r="B140" s="27" t="s">
        <v>56</v>
      </c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8" t="s">
        <v>904</v>
      </c>
      <c r="AB140" s="29" t="s">
        <v>251</v>
      </c>
      <c r="AC140" s="30" t="s">
        <v>37</v>
      </c>
      <c r="AD140" s="30">
        <f>AD141</f>
        <v>50000000</v>
      </c>
      <c r="AE140" s="31">
        <f t="shared" ref="AE140:AW140" si="91">AE141</f>
        <v>0</v>
      </c>
      <c r="AF140" s="31">
        <f t="shared" si="91"/>
        <v>0</v>
      </c>
      <c r="AG140" s="31">
        <f t="shared" si="91"/>
        <v>0</v>
      </c>
      <c r="AH140" s="31">
        <f t="shared" si="91"/>
        <v>0</v>
      </c>
      <c r="AI140" s="31">
        <f t="shared" si="91"/>
        <v>0</v>
      </c>
      <c r="AJ140" s="30">
        <f>AJ141</f>
        <v>50000000</v>
      </c>
      <c r="AK140" s="31">
        <f t="shared" si="91"/>
        <v>0</v>
      </c>
      <c r="AL140" s="31">
        <f t="shared" si="91"/>
        <v>0</v>
      </c>
      <c r="AM140" s="31">
        <f t="shared" si="91"/>
        <v>0</v>
      </c>
      <c r="AN140" s="31">
        <f t="shared" si="91"/>
        <v>0</v>
      </c>
      <c r="AO140" s="31">
        <f t="shared" si="91"/>
        <v>0</v>
      </c>
      <c r="AP140" s="31">
        <f t="shared" si="91"/>
        <v>0</v>
      </c>
      <c r="AQ140" s="31">
        <f t="shared" si="91"/>
        <v>0</v>
      </c>
      <c r="AR140" s="31">
        <f t="shared" si="91"/>
        <v>0</v>
      </c>
      <c r="AS140" s="31">
        <f t="shared" si="91"/>
        <v>0</v>
      </c>
      <c r="AT140" s="40">
        <f t="shared" si="91"/>
        <v>0</v>
      </c>
      <c r="AU140" s="30">
        <f t="shared" si="91"/>
        <v>50000000</v>
      </c>
      <c r="AV140" s="31">
        <f t="shared" si="91"/>
        <v>0</v>
      </c>
      <c r="AW140" s="31">
        <f t="shared" si="91"/>
        <v>0</v>
      </c>
      <c r="AX140" s="32">
        <f t="shared" si="47"/>
        <v>0</v>
      </c>
    </row>
    <row r="141" spans="1:50" ht="18.75" customHeight="1" x14ac:dyDescent="0.2">
      <c r="A141" s="4" t="s">
        <v>55</v>
      </c>
      <c r="B141" s="4" t="s">
        <v>56</v>
      </c>
      <c r="C141" s="4"/>
      <c r="D141" s="4" t="s">
        <v>40</v>
      </c>
      <c r="E141" s="4"/>
      <c r="F141" s="4"/>
      <c r="G141" s="4" t="s">
        <v>41</v>
      </c>
      <c r="H141" s="4"/>
      <c r="I141" s="4" t="s">
        <v>936</v>
      </c>
      <c r="J141" s="4"/>
      <c r="K141" s="4" t="s">
        <v>932</v>
      </c>
      <c r="L141" s="4"/>
      <c r="M141" s="4" t="s">
        <v>933</v>
      </c>
      <c r="N141" s="4"/>
      <c r="O141" s="4" t="s">
        <v>938</v>
      </c>
      <c r="P141" s="4"/>
      <c r="Q141" s="4" t="s">
        <v>942</v>
      </c>
      <c r="R141" s="4"/>
      <c r="S141" s="4" t="s">
        <v>940</v>
      </c>
      <c r="T141" s="4">
        <v>0</v>
      </c>
      <c r="U141" s="4">
        <v>0</v>
      </c>
      <c r="V141" s="4">
        <v>0</v>
      </c>
      <c r="W141" s="4">
        <v>0</v>
      </c>
      <c r="X141" s="4" t="s">
        <v>937</v>
      </c>
      <c r="Y141" s="4"/>
      <c r="Z141" s="4"/>
      <c r="AA141" s="41" t="s">
        <v>905</v>
      </c>
      <c r="AB141" s="42" t="s">
        <v>252</v>
      </c>
      <c r="AC141" s="43" t="s">
        <v>58</v>
      </c>
      <c r="AD141" s="43">
        <v>50000000</v>
      </c>
      <c r="AE141" s="44">
        <v>0</v>
      </c>
      <c r="AF141" s="44">
        <v>0</v>
      </c>
      <c r="AG141" s="44">
        <v>0</v>
      </c>
      <c r="AH141" s="44">
        <v>0</v>
      </c>
      <c r="AI141" s="44">
        <v>0</v>
      </c>
      <c r="AJ141" s="43">
        <v>50000000</v>
      </c>
      <c r="AK141" s="44">
        <v>0</v>
      </c>
      <c r="AL141" s="44">
        <v>0</v>
      </c>
      <c r="AM141" s="44">
        <v>0</v>
      </c>
      <c r="AN141" s="44">
        <v>0</v>
      </c>
      <c r="AO141" s="44">
        <v>0</v>
      </c>
      <c r="AP141" s="44">
        <v>0</v>
      </c>
      <c r="AQ141" s="44">
        <v>0</v>
      </c>
      <c r="AR141" s="44">
        <v>0</v>
      </c>
      <c r="AS141" s="44">
        <v>0</v>
      </c>
      <c r="AT141" s="40">
        <f t="shared" ref="AT141:AT159" si="92">AQ141+AS141</f>
        <v>0</v>
      </c>
      <c r="AU141" s="18">
        <f t="shared" ref="AU141:AU151" si="93">AJ141-AM141</f>
        <v>50000000</v>
      </c>
      <c r="AV141" s="34">
        <f t="shared" ref="AV141:AV151" si="94">AM141-AP141</f>
        <v>0</v>
      </c>
      <c r="AW141" s="34">
        <f t="shared" ref="AW141:AW151" si="95">AP141-AT141</f>
        <v>0</v>
      </c>
      <c r="AX141" s="32">
        <f t="shared" si="47"/>
        <v>0</v>
      </c>
    </row>
    <row r="142" spans="1:50" ht="18.75" customHeight="1" x14ac:dyDescent="0.2">
      <c r="A142" s="4" t="s">
        <v>55</v>
      </c>
      <c r="B142" s="4" t="s">
        <v>56</v>
      </c>
      <c r="C142" s="4"/>
      <c r="D142" s="4" t="s">
        <v>40</v>
      </c>
      <c r="E142" s="4"/>
      <c r="F142" s="4"/>
      <c r="G142" s="4" t="s">
        <v>41</v>
      </c>
      <c r="H142" s="4"/>
      <c r="I142" s="4" t="s">
        <v>936</v>
      </c>
      <c r="J142" s="4"/>
      <c r="K142" s="4" t="s">
        <v>932</v>
      </c>
      <c r="L142" s="4"/>
      <c r="M142" s="4" t="s">
        <v>933</v>
      </c>
      <c r="N142" s="4"/>
      <c r="O142" s="4" t="s">
        <v>938</v>
      </c>
      <c r="P142" s="4"/>
      <c r="Q142" s="4" t="s">
        <v>942</v>
      </c>
      <c r="R142" s="4"/>
      <c r="S142" s="4" t="s">
        <v>940</v>
      </c>
      <c r="T142" s="4">
        <v>0</v>
      </c>
      <c r="U142" s="4">
        <v>0</v>
      </c>
      <c r="V142" s="4">
        <v>0</v>
      </c>
      <c r="W142" s="4">
        <v>0</v>
      </c>
      <c r="X142" s="4" t="s">
        <v>937</v>
      </c>
      <c r="Y142" s="4"/>
      <c r="Z142" s="4"/>
      <c r="AA142" s="41" t="s">
        <v>867</v>
      </c>
      <c r="AB142" s="42" t="s">
        <v>253</v>
      </c>
      <c r="AC142" s="43" t="s">
        <v>58</v>
      </c>
      <c r="AD142" s="43">
        <v>50000000</v>
      </c>
      <c r="AE142" s="44">
        <v>0</v>
      </c>
      <c r="AF142" s="44">
        <v>0</v>
      </c>
      <c r="AG142" s="44">
        <v>0</v>
      </c>
      <c r="AH142" s="44">
        <v>0</v>
      </c>
      <c r="AI142" s="44">
        <v>0</v>
      </c>
      <c r="AJ142" s="43">
        <v>50000000</v>
      </c>
      <c r="AK142" s="44">
        <v>0</v>
      </c>
      <c r="AL142" s="43">
        <v>0</v>
      </c>
      <c r="AM142" s="43">
        <v>662900</v>
      </c>
      <c r="AN142" s="116">
        <v>0</v>
      </c>
      <c r="AO142" s="44">
        <v>662890</v>
      </c>
      <c r="AP142" s="44">
        <v>662890</v>
      </c>
      <c r="AQ142" s="44">
        <v>0</v>
      </c>
      <c r="AR142" s="44">
        <v>612590</v>
      </c>
      <c r="AS142" s="44">
        <v>612590</v>
      </c>
      <c r="AT142" s="40">
        <f t="shared" si="92"/>
        <v>612590</v>
      </c>
      <c r="AU142" s="18">
        <f t="shared" si="93"/>
        <v>49337100</v>
      </c>
      <c r="AV142" s="110">
        <f t="shared" si="94"/>
        <v>10</v>
      </c>
      <c r="AW142" s="18">
        <f t="shared" si="95"/>
        <v>50300</v>
      </c>
      <c r="AX142" s="32">
        <f t="shared" si="47"/>
        <v>1.32578E-2</v>
      </c>
    </row>
    <row r="143" spans="1:50" ht="18.75" customHeight="1" x14ac:dyDescent="0.2">
      <c r="A143" s="4" t="s">
        <v>55</v>
      </c>
      <c r="B143" s="4" t="s">
        <v>56</v>
      </c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1" t="s">
        <v>866</v>
      </c>
      <c r="AB143" s="42" t="s">
        <v>254</v>
      </c>
      <c r="AC143" s="43" t="s">
        <v>58</v>
      </c>
      <c r="AD143" s="43">
        <v>0</v>
      </c>
      <c r="AE143" s="44">
        <v>0</v>
      </c>
      <c r="AF143" s="44">
        <v>0</v>
      </c>
      <c r="AG143" s="43">
        <v>10000000</v>
      </c>
      <c r="AH143" s="44">
        <v>0</v>
      </c>
      <c r="AI143" s="18">
        <f>AE143-AF143+AG143-AH143</f>
        <v>10000000</v>
      </c>
      <c r="AJ143" s="18">
        <f>AD143+AI143</f>
        <v>10000000</v>
      </c>
      <c r="AK143" s="44">
        <v>0</v>
      </c>
      <c r="AL143" s="43">
        <v>4066229</v>
      </c>
      <c r="AM143" s="43">
        <v>4066229</v>
      </c>
      <c r="AN143" s="44">
        <v>0</v>
      </c>
      <c r="AO143" s="44">
        <v>0</v>
      </c>
      <c r="AP143" s="44">
        <v>0</v>
      </c>
      <c r="AQ143" s="44">
        <v>0</v>
      </c>
      <c r="AR143" s="44">
        <v>0</v>
      </c>
      <c r="AS143" s="44">
        <v>0</v>
      </c>
      <c r="AT143" s="40">
        <f t="shared" si="92"/>
        <v>0</v>
      </c>
      <c r="AU143" s="18">
        <f t="shared" si="93"/>
        <v>5933771</v>
      </c>
      <c r="AV143" s="18">
        <f t="shared" si="94"/>
        <v>4066229</v>
      </c>
      <c r="AW143" s="34">
        <f t="shared" si="95"/>
        <v>0</v>
      </c>
      <c r="AX143" s="32">
        <v>0</v>
      </c>
    </row>
    <row r="144" spans="1:50" ht="18.75" customHeight="1" x14ac:dyDescent="0.2">
      <c r="A144" s="27" t="s">
        <v>55</v>
      </c>
      <c r="B144" s="27" t="s">
        <v>56</v>
      </c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8" t="s">
        <v>865</v>
      </c>
      <c r="AB144" s="29" t="s">
        <v>255</v>
      </c>
      <c r="AC144" s="30" t="s">
        <v>37</v>
      </c>
      <c r="AD144" s="30">
        <f>AD145+AD148</f>
        <v>4527993416.5</v>
      </c>
      <c r="AE144" s="31">
        <f t="shared" ref="AE144:AS144" si="96">AE145+AE148</f>
        <v>0</v>
      </c>
      <c r="AF144" s="31">
        <f t="shared" si="96"/>
        <v>0</v>
      </c>
      <c r="AG144" s="30">
        <f t="shared" si="96"/>
        <v>20000000</v>
      </c>
      <c r="AH144" s="31">
        <f t="shared" si="96"/>
        <v>0</v>
      </c>
      <c r="AI144" s="18">
        <f>AE144-AF144+AG144-AH144</f>
        <v>20000000</v>
      </c>
      <c r="AJ144" s="18">
        <f>AD144+AI144</f>
        <v>4547993416.5</v>
      </c>
      <c r="AK144" s="31">
        <f t="shared" si="96"/>
        <v>0</v>
      </c>
      <c r="AL144" s="30">
        <f t="shared" si="96"/>
        <v>373166118</v>
      </c>
      <c r="AM144" s="30">
        <f t="shared" si="96"/>
        <v>1140070484</v>
      </c>
      <c r="AN144" s="31">
        <f t="shared" si="96"/>
        <v>0</v>
      </c>
      <c r="AO144" s="30">
        <f t="shared" si="96"/>
        <v>373166118</v>
      </c>
      <c r="AP144" s="30">
        <f t="shared" si="96"/>
        <v>1140070484</v>
      </c>
      <c r="AQ144" s="31">
        <f t="shared" si="96"/>
        <v>0</v>
      </c>
      <c r="AR144" s="30">
        <f t="shared" si="96"/>
        <v>373166118</v>
      </c>
      <c r="AS144" s="30">
        <f t="shared" si="96"/>
        <v>1140070484</v>
      </c>
      <c r="AT144" s="39">
        <f t="shared" si="92"/>
        <v>1140070484</v>
      </c>
      <c r="AU144" s="18">
        <f t="shared" si="93"/>
        <v>3407922932.5</v>
      </c>
      <c r="AV144" s="34">
        <f t="shared" si="94"/>
        <v>0</v>
      </c>
      <c r="AW144" s="34">
        <f t="shared" si="95"/>
        <v>0</v>
      </c>
      <c r="AX144" s="32">
        <f t="shared" ref="AX144:AX179" si="97">AP144/AJ144</f>
        <v>0.2506754912757469</v>
      </c>
    </row>
    <row r="145" spans="1:50" ht="18.75" customHeight="1" x14ac:dyDescent="0.2">
      <c r="A145" s="27" t="s">
        <v>55</v>
      </c>
      <c r="B145" s="27" t="s">
        <v>56</v>
      </c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8" t="s">
        <v>864</v>
      </c>
      <c r="AB145" s="29" t="s">
        <v>256</v>
      </c>
      <c r="AC145" s="30" t="s">
        <v>37</v>
      </c>
      <c r="AD145" s="30">
        <f>AD146+AD147</f>
        <v>4477993416.5</v>
      </c>
      <c r="AE145" s="31">
        <f t="shared" ref="AE145:AS145" si="98">AE146+AE147</f>
        <v>0</v>
      </c>
      <c r="AF145" s="31">
        <f t="shared" si="98"/>
        <v>0</v>
      </c>
      <c r="AG145" s="31">
        <f t="shared" si="98"/>
        <v>0</v>
      </c>
      <c r="AH145" s="31">
        <f t="shared" si="98"/>
        <v>0</v>
      </c>
      <c r="AI145" s="31">
        <f t="shared" si="98"/>
        <v>0</v>
      </c>
      <c r="AJ145" s="30">
        <f t="shared" si="98"/>
        <v>4477993416.5</v>
      </c>
      <c r="AK145" s="31">
        <f t="shared" si="98"/>
        <v>0</v>
      </c>
      <c r="AL145" s="30">
        <f t="shared" si="98"/>
        <v>373166118</v>
      </c>
      <c r="AM145" s="30">
        <f t="shared" si="98"/>
        <v>1119498354</v>
      </c>
      <c r="AN145" s="31">
        <f t="shared" si="98"/>
        <v>0</v>
      </c>
      <c r="AO145" s="30">
        <f t="shared" si="98"/>
        <v>373166118</v>
      </c>
      <c r="AP145" s="30">
        <f t="shared" si="98"/>
        <v>1119498354</v>
      </c>
      <c r="AQ145" s="31">
        <f t="shared" si="98"/>
        <v>0</v>
      </c>
      <c r="AR145" s="30">
        <f t="shared" si="98"/>
        <v>373166118</v>
      </c>
      <c r="AS145" s="30">
        <f t="shared" si="98"/>
        <v>1119498354</v>
      </c>
      <c r="AT145" s="39">
        <f t="shared" si="92"/>
        <v>1119498354</v>
      </c>
      <c r="AU145" s="18">
        <f t="shared" si="93"/>
        <v>3358495062.5</v>
      </c>
      <c r="AV145" s="34">
        <f t="shared" si="94"/>
        <v>0</v>
      </c>
      <c r="AW145" s="34">
        <f t="shared" si="95"/>
        <v>0</v>
      </c>
      <c r="AX145" s="32">
        <f t="shared" si="97"/>
        <v>0.24999999997208572</v>
      </c>
    </row>
    <row r="146" spans="1:50" ht="18.75" customHeight="1" x14ac:dyDescent="0.2">
      <c r="A146" s="4" t="s">
        <v>55</v>
      </c>
      <c r="B146" s="4" t="s">
        <v>56</v>
      </c>
      <c r="C146" s="4"/>
      <c r="D146" s="4" t="s">
        <v>40</v>
      </c>
      <c r="E146" s="4"/>
      <c r="F146" s="4"/>
      <c r="G146" s="4" t="s">
        <v>41</v>
      </c>
      <c r="H146" s="4"/>
      <c r="I146" s="4" t="s">
        <v>936</v>
      </c>
      <c r="J146" s="4"/>
      <c r="K146" s="4" t="s">
        <v>932</v>
      </c>
      <c r="L146" s="4"/>
      <c r="M146" s="4" t="s">
        <v>933</v>
      </c>
      <c r="N146" s="4"/>
      <c r="O146" s="4" t="s">
        <v>938</v>
      </c>
      <c r="P146" s="4"/>
      <c r="Q146" s="4" t="s">
        <v>942</v>
      </c>
      <c r="R146" s="4"/>
      <c r="S146" s="4" t="s">
        <v>940</v>
      </c>
      <c r="T146" s="4">
        <v>0</v>
      </c>
      <c r="U146" s="4">
        <v>0</v>
      </c>
      <c r="V146" s="4">
        <v>0</v>
      </c>
      <c r="W146" s="4">
        <v>0</v>
      </c>
      <c r="X146" s="4" t="s">
        <v>937</v>
      </c>
      <c r="Y146" s="4"/>
      <c r="Z146" s="4"/>
      <c r="AA146" s="41" t="s">
        <v>863</v>
      </c>
      <c r="AB146" s="42" t="s">
        <v>233</v>
      </c>
      <c r="AC146" s="43" t="s">
        <v>58</v>
      </c>
      <c r="AD146" s="43">
        <v>3177230763</v>
      </c>
      <c r="AE146" s="44">
        <v>0</v>
      </c>
      <c r="AF146" s="44">
        <v>0</v>
      </c>
      <c r="AG146" s="44">
        <v>0</v>
      </c>
      <c r="AH146" s="44">
        <v>0</v>
      </c>
      <c r="AI146" s="44">
        <v>0</v>
      </c>
      <c r="AJ146" s="43">
        <v>3177230763</v>
      </c>
      <c r="AK146" s="44">
        <v>0</v>
      </c>
      <c r="AL146" s="43">
        <v>264769230</v>
      </c>
      <c r="AM146" s="43">
        <v>794307690</v>
      </c>
      <c r="AN146" s="44">
        <v>0</v>
      </c>
      <c r="AO146" s="43">
        <v>264769230</v>
      </c>
      <c r="AP146" s="43">
        <v>794307690</v>
      </c>
      <c r="AQ146" s="44">
        <v>0</v>
      </c>
      <c r="AR146" s="43">
        <v>264769230</v>
      </c>
      <c r="AS146" s="43">
        <v>794307690</v>
      </c>
      <c r="AT146" s="39">
        <f t="shared" si="92"/>
        <v>794307690</v>
      </c>
      <c r="AU146" s="18">
        <f t="shared" si="93"/>
        <v>2382923073</v>
      </c>
      <c r="AV146" s="34">
        <f t="shared" si="94"/>
        <v>0</v>
      </c>
      <c r="AW146" s="34">
        <f t="shared" si="95"/>
        <v>0</v>
      </c>
      <c r="AX146" s="32">
        <f t="shared" si="97"/>
        <v>0.24999999976394538</v>
      </c>
    </row>
    <row r="147" spans="1:50" ht="18.75" customHeight="1" x14ac:dyDescent="0.2">
      <c r="A147" s="4" t="s">
        <v>55</v>
      </c>
      <c r="B147" s="4" t="s">
        <v>56</v>
      </c>
      <c r="C147" s="4"/>
      <c r="D147" s="4" t="s">
        <v>40</v>
      </c>
      <c r="E147" s="4"/>
      <c r="F147" s="4"/>
      <c r="G147" s="4" t="s">
        <v>41</v>
      </c>
      <c r="H147" s="4"/>
      <c r="I147" s="4" t="s">
        <v>936</v>
      </c>
      <c r="J147" s="4"/>
      <c r="K147" s="4" t="s">
        <v>932</v>
      </c>
      <c r="L147" s="4"/>
      <c r="M147" s="4" t="s">
        <v>933</v>
      </c>
      <c r="N147" s="4"/>
      <c r="O147" s="4" t="s">
        <v>938</v>
      </c>
      <c r="P147" s="4"/>
      <c r="Q147" s="4" t="s">
        <v>942</v>
      </c>
      <c r="R147" s="4"/>
      <c r="S147" s="4" t="s">
        <v>940</v>
      </c>
      <c r="T147" s="4">
        <v>0</v>
      </c>
      <c r="U147" s="4">
        <v>0</v>
      </c>
      <c r="V147" s="4">
        <v>0</v>
      </c>
      <c r="W147" s="4">
        <v>0</v>
      </c>
      <c r="X147" s="4" t="s">
        <v>937</v>
      </c>
      <c r="Y147" s="4"/>
      <c r="Z147" s="4"/>
      <c r="AA147" s="41" t="s">
        <v>862</v>
      </c>
      <c r="AB147" s="42" t="s">
        <v>257</v>
      </c>
      <c r="AC147" s="43" t="s">
        <v>258</v>
      </c>
      <c r="AD147" s="43">
        <v>1300762653.5</v>
      </c>
      <c r="AE147" s="44">
        <v>0</v>
      </c>
      <c r="AF147" s="44">
        <v>0</v>
      </c>
      <c r="AG147" s="44">
        <v>0</v>
      </c>
      <c r="AH147" s="44">
        <v>0</v>
      </c>
      <c r="AI147" s="44">
        <v>0</v>
      </c>
      <c r="AJ147" s="43">
        <v>1300762653.5</v>
      </c>
      <c r="AK147" s="44">
        <v>0</v>
      </c>
      <c r="AL147" s="43">
        <v>108396888</v>
      </c>
      <c r="AM147" s="43">
        <v>325190664</v>
      </c>
      <c r="AN147" s="44">
        <v>0</v>
      </c>
      <c r="AO147" s="43">
        <v>108396888</v>
      </c>
      <c r="AP147" s="43">
        <v>325190664</v>
      </c>
      <c r="AQ147" s="44">
        <v>0</v>
      </c>
      <c r="AR147" s="43">
        <v>108396888</v>
      </c>
      <c r="AS147" s="43">
        <v>325190664</v>
      </c>
      <c r="AT147" s="39">
        <f t="shared" si="92"/>
        <v>325190664</v>
      </c>
      <c r="AU147" s="18">
        <f t="shared" si="93"/>
        <v>975571989.5</v>
      </c>
      <c r="AV147" s="34">
        <f t="shared" si="94"/>
        <v>0</v>
      </c>
      <c r="AW147" s="34">
        <f t="shared" si="95"/>
        <v>0</v>
      </c>
      <c r="AX147" s="32">
        <f t="shared" si="97"/>
        <v>0.25000000048048737</v>
      </c>
    </row>
    <row r="148" spans="1:50" ht="18.75" customHeight="1" x14ac:dyDescent="0.2">
      <c r="A148" s="4" t="s">
        <v>55</v>
      </c>
      <c r="B148" s="4" t="s">
        <v>56</v>
      </c>
      <c r="C148" s="4"/>
      <c r="D148" s="4" t="s">
        <v>40</v>
      </c>
      <c r="E148" s="4"/>
      <c r="F148" s="4"/>
      <c r="G148" s="4" t="s">
        <v>41</v>
      </c>
      <c r="H148" s="4"/>
      <c r="I148" s="4" t="s">
        <v>936</v>
      </c>
      <c r="J148" s="4"/>
      <c r="K148" s="4" t="s">
        <v>932</v>
      </c>
      <c r="L148" s="4"/>
      <c r="M148" s="4" t="s">
        <v>933</v>
      </c>
      <c r="N148" s="4"/>
      <c r="O148" s="4" t="s">
        <v>938</v>
      </c>
      <c r="P148" s="4"/>
      <c r="Q148" s="4" t="s">
        <v>942</v>
      </c>
      <c r="R148" s="4"/>
      <c r="S148" s="4" t="s">
        <v>940</v>
      </c>
      <c r="T148" s="4">
        <v>0</v>
      </c>
      <c r="U148" s="4">
        <v>0</v>
      </c>
      <c r="V148" s="4">
        <v>0</v>
      </c>
      <c r="W148" s="4">
        <v>0</v>
      </c>
      <c r="X148" s="4" t="s">
        <v>937</v>
      </c>
      <c r="Y148" s="4"/>
      <c r="Z148" s="4"/>
      <c r="AA148" s="41" t="s">
        <v>861</v>
      </c>
      <c r="AB148" s="42" t="s">
        <v>259</v>
      </c>
      <c r="AC148" s="43" t="s">
        <v>58</v>
      </c>
      <c r="AD148" s="43">
        <v>50000000</v>
      </c>
      <c r="AE148" s="44">
        <v>0</v>
      </c>
      <c r="AF148" s="44">
        <v>0</v>
      </c>
      <c r="AG148" s="43">
        <v>20000000</v>
      </c>
      <c r="AH148" s="44">
        <v>0</v>
      </c>
      <c r="AI148" s="18">
        <f>AE148-AF148+AG148-AH148</f>
        <v>20000000</v>
      </c>
      <c r="AJ148" s="18">
        <f>AD148+AI148</f>
        <v>70000000</v>
      </c>
      <c r="AK148" s="44">
        <v>0</v>
      </c>
      <c r="AL148" s="44">
        <v>0</v>
      </c>
      <c r="AM148" s="43">
        <v>20572130</v>
      </c>
      <c r="AN148" s="44">
        <v>0</v>
      </c>
      <c r="AO148" s="44">
        <v>0</v>
      </c>
      <c r="AP148" s="43">
        <v>20572130</v>
      </c>
      <c r="AQ148" s="44">
        <v>0</v>
      </c>
      <c r="AR148" s="43">
        <v>0</v>
      </c>
      <c r="AS148" s="43">
        <v>20572130</v>
      </c>
      <c r="AT148" s="39">
        <f t="shared" si="92"/>
        <v>20572130</v>
      </c>
      <c r="AU148" s="18">
        <f t="shared" si="93"/>
        <v>49427870</v>
      </c>
      <c r="AV148" s="34">
        <f t="shared" si="94"/>
        <v>0</v>
      </c>
      <c r="AW148" s="34">
        <f t="shared" si="95"/>
        <v>0</v>
      </c>
      <c r="AX148" s="32">
        <f t="shared" si="97"/>
        <v>0.29388757142857141</v>
      </c>
    </row>
    <row r="149" spans="1:50" ht="18.75" customHeight="1" x14ac:dyDescent="0.2">
      <c r="A149" s="27" t="s">
        <v>55</v>
      </c>
      <c r="B149" s="27" t="s">
        <v>56</v>
      </c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8" t="s">
        <v>860</v>
      </c>
      <c r="AB149" s="29" t="s">
        <v>260</v>
      </c>
      <c r="AC149" s="30" t="s">
        <v>37</v>
      </c>
      <c r="AD149" s="30">
        <f>AD150+AD152</f>
        <v>50000000</v>
      </c>
      <c r="AE149" s="31">
        <f t="shared" ref="AE149:AS149" si="99">AE150+AE152</f>
        <v>0</v>
      </c>
      <c r="AF149" s="31">
        <f t="shared" si="99"/>
        <v>0</v>
      </c>
      <c r="AG149" s="31">
        <f t="shared" si="99"/>
        <v>0</v>
      </c>
      <c r="AH149" s="31">
        <f t="shared" si="99"/>
        <v>0</v>
      </c>
      <c r="AI149" s="31">
        <f t="shared" si="99"/>
        <v>0</v>
      </c>
      <c r="AJ149" s="30">
        <f t="shared" si="99"/>
        <v>50000000</v>
      </c>
      <c r="AK149" s="31">
        <f t="shared" si="99"/>
        <v>0</v>
      </c>
      <c r="AL149" s="172">
        <f t="shared" si="99"/>
        <v>0</v>
      </c>
      <c r="AM149" s="109">
        <f t="shared" si="99"/>
        <v>250000</v>
      </c>
      <c r="AN149" s="31">
        <f t="shared" si="99"/>
        <v>0</v>
      </c>
      <c r="AO149" s="172">
        <f t="shared" si="99"/>
        <v>0</v>
      </c>
      <c r="AP149" s="109">
        <f t="shared" si="99"/>
        <v>250000</v>
      </c>
      <c r="AQ149" s="31">
        <f t="shared" si="99"/>
        <v>0</v>
      </c>
      <c r="AR149" s="30">
        <f t="shared" si="99"/>
        <v>250000</v>
      </c>
      <c r="AS149" s="30">
        <f t="shared" si="99"/>
        <v>250000</v>
      </c>
      <c r="AT149" s="39">
        <f t="shared" si="92"/>
        <v>250000</v>
      </c>
      <c r="AU149" s="18">
        <f t="shared" si="93"/>
        <v>49750000</v>
      </c>
      <c r="AV149" s="34">
        <f t="shared" si="94"/>
        <v>0</v>
      </c>
      <c r="AW149" s="18">
        <f t="shared" si="95"/>
        <v>0</v>
      </c>
      <c r="AX149" s="32">
        <f t="shared" si="97"/>
        <v>5.0000000000000001E-3</v>
      </c>
    </row>
    <row r="150" spans="1:50" ht="18.75" customHeight="1" x14ac:dyDescent="0.2">
      <c r="A150" s="27" t="s">
        <v>55</v>
      </c>
      <c r="B150" s="27" t="s">
        <v>56</v>
      </c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8" t="s">
        <v>859</v>
      </c>
      <c r="AB150" s="29" t="s">
        <v>261</v>
      </c>
      <c r="AC150" s="30" t="s">
        <v>37</v>
      </c>
      <c r="AD150" s="30">
        <f>AD151</f>
        <v>10000000</v>
      </c>
      <c r="AE150" s="31">
        <f t="shared" ref="AE150:AS150" si="100">AE151</f>
        <v>0</v>
      </c>
      <c r="AF150" s="31">
        <f t="shared" si="100"/>
        <v>0</v>
      </c>
      <c r="AG150" s="31">
        <f t="shared" si="100"/>
        <v>0</v>
      </c>
      <c r="AH150" s="31">
        <f t="shared" si="100"/>
        <v>0</v>
      </c>
      <c r="AI150" s="31">
        <f t="shared" si="100"/>
        <v>0</v>
      </c>
      <c r="AJ150" s="30">
        <f t="shared" si="100"/>
        <v>10000000</v>
      </c>
      <c r="AK150" s="31">
        <f t="shared" si="100"/>
        <v>0</v>
      </c>
      <c r="AL150" s="172">
        <f t="shared" si="100"/>
        <v>0</v>
      </c>
      <c r="AM150" s="109">
        <f t="shared" si="100"/>
        <v>250000</v>
      </c>
      <c r="AN150" s="31">
        <f t="shared" si="100"/>
        <v>0</v>
      </c>
      <c r="AO150" s="172">
        <f t="shared" si="100"/>
        <v>0</v>
      </c>
      <c r="AP150" s="109">
        <f t="shared" si="100"/>
        <v>250000</v>
      </c>
      <c r="AQ150" s="31">
        <f t="shared" si="100"/>
        <v>0</v>
      </c>
      <c r="AR150" s="30">
        <f t="shared" si="100"/>
        <v>250000</v>
      </c>
      <c r="AS150" s="30">
        <f t="shared" si="100"/>
        <v>250000</v>
      </c>
      <c r="AT150" s="39">
        <f t="shared" si="92"/>
        <v>250000</v>
      </c>
      <c r="AU150" s="18">
        <f t="shared" si="93"/>
        <v>9750000</v>
      </c>
      <c r="AV150" s="34">
        <f t="shared" si="94"/>
        <v>0</v>
      </c>
      <c r="AW150" s="18">
        <f t="shared" si="95"/>
        <v>0</v>
      </c>
      <c r="AX150" s="32">
        <f t="shared" si="97"/>
        <v>2.5000000000000001E-2</v>
      </c>
    </row>
    <row r="151" spans="1:50" ht="18.75" customHeight="1" x14ac:dyDescent="0.2">
      <c r="A151" s="4" t="s">
        <v>55</v>
      </c>
      <c r="B151" s="4" t="s">
        <v>56</v>
      </c>
      <c r="C151" s="4"/>
      <c r="D151" s="4" t="s">
        <v>40</v>
      </c>
      <c r="E151" s="4"/>
      <c r="F151" s="4"/>
      <c r="G151" s="4" t="s">
        <v>41</v>
      </c>
      <c r="H151" s="4"/>
      <c r="I151" s="4" t="s">
        <v>936</v>
      </c>
      <c r="J151" s="4"/>
      <c r="K151" s="4" t="s">
        <v>932</v>
      </c>
      <c r="L151" s="4"/>
      <c r="M151" s="4" t="s">
        <v>933</v>
      </c>
      <c r="N151" s="4"/>
      <c r="O151" s="4" t="s">
        <v>938</v>
      </c>
      <c r="P151" s="4"/>
      <c r="Q151" s="4" t="s">
        <v>942</v>
      </c>
      <c r="R151" s="4"/>
      <c r="S151" s="4" t="s">
        <v>940</v>
      </c>
      <c r="T151" s="4">
        <v>0</v>
      </c>
      <c r="U151" s="4">
        <v>0</v>
      </c>
      <c r="V151" s="4">
        <v>0</v>
      </c>
      <c r="W151" s="4">
        <v>0</v>
      </c>
      <c r="X151" s="4" t="s">
        <v>937</v>
      </c>
      <c r="Y151" s="4"/>
      <c r="Z151" s="4"/>
      <c r="AA151" s="41" t="s">
        <v>858</v>
      </c>
      <c r="AB151" s="42" t="s">
        <v>262</v>
      </c>
      <c r="AC151" s="43" t="s">
        <v>58</v>
      </c>
      <c r="AD151" s="43">
        <v>10000000</v>
      </c>
      <c r="AE151" s="44">
        <v>0</v>
      </c>
      <c r="AF151" s="44">
        <v>0</v>
      </c>
      <c r="AG151" s="44">
        <v>0</v>
      </c>
      <c r="AH151" s="44">
        <v>0</v>
      </c>
      <c r="AI151" s="44">
        <v>0</v>
      </c>
      <c r="AJ151" s="43">
        <v>10000000</v>
      </c>
      <c r="AK151" s="44">
        <v>0</v>
      </c>
      <c r="AL151" s="115">
        <v>0</v>
      </c>
      <c r="AM151" s="114">
        <v>250000</v>
      </c>
      <c r="AN151" s="44">
        <v>0</v>
      </c>
      <c r="AO151" s="115">
        <v>0</v>
      </c>
      <c r="AP151" s="114">
        <v>250000</v>
      </c>
      <c r="AQ151" s="44">
        <v>0</v>
      </c>
      <c r="AR151" s="43">
        <v>250000</v>
      </c>
      <c r="AS151" s="43">
        <v>250000</v>
      </c>
      <c r="AT151" s="39">
        <f t="shared" si="92"/>
        <v>250000</v>
      </c>
      <c r="AU151" s="18">
        <f t="shared" si="93"/>
        <v>9750000</v>
      </c>
      <c r="AV151" s="34">
        <f t="shared" si="94"/>
        <v>0</v>
      </c>
      <c r="AW151" s="18">
        <f t="shared" si="95"/>
        <v>0</v>
      </c>
      <c r="AX151" s="32">
        <f t="shared" si="97"/>
        <v>2.5000000000000001E-2</v>
      </c>
    </row>
    <row r="152" spans="1:50" ht="18.75" customHeight="1" x14ac:dyDescent="0.2">
      <c r="A152" s="4" t="s">
        <v>55</v>
      </c>
      <c r="B152" s="4" t="s">
        <v>56</v>
      </c>
      <c r="C152" s="4"/>
      <c r="D152" s="4" t="s">
        <v>40</v>
      </c>
      <c r="E152" s="4"/>
      <c r="F152" s="4"/>
      <c r="G152" s="4" t="s">
        <v>41</v>
      </c>
      <c r="H152" s="4"/>
      <c r="I152" s="4" t="s">
        <v>936</v>
      </c>
      <c r="J152" s="4"/>
      <c r="K152" s="4" t="s">
        <v>932</v>
      </c>
      <c r="L152" s="4"/>
      <c r="M152" s="4" t="s">
        <v>933</v>
      </c>
      <c r="N152" s="4"/>
      <c r="O152" s="4" t="s">
        <v>938</v>
      </c>
      <c r="P152" s="4"/>
      <c r="Q152" s="4" t="s">
        <v>942</v>
      </c>
      <c r="R152" s="4"/>
      <c r="S152" s="4" t="s">
        <v>940</v>
      </c>
      <c r="T152" s="4">
        <v>0</v>
      </c>
      <c r="U152" s="4">
        <v>0</v>
      </c>
      <c r="V152" s="4">
        <v>0</v>
      </c>
      <c r="W152" s="4">
        <v>0</v>
      </c>
      <c r="X152" s="4" t="s">
        <v>937</v>
      </c>
      <c r="Y152" s="4"/>
      <c r="Z152" s="4"/>
      <c r="AA152" s="41" t="s">
        <v>857</v>
      </c>
      <c r="AB152" s="42" t="s">
        <v>263</v>
      </c>
      <c r="AC152" s="43" t="s">
        <v>58</v>
      </c>
      <c r="AD152" s="43">
        <v>40000000</v>
      </c>
      <c r="AE152" s="44">
        <v>0</v>
      </c>
      <c r="AF152" s="44">
        <v>0</v>
      </c>
      <c r="AG152" s="44">
        <v>0</v>
      </c>
      <c r="AH152" s="44">
        <v>0</v>
      </c>
      <c r="AI152" s="44">
        <v>0</v>
      </c>
      <c r="AJ152" s="43">
        <v>40000000</v>
      </c>
      <c r="AK152" s="44">
        <v>0</v>
      </c>
      <c r="AL152" s="44">
        <v>0</v>
      </c>
      <c r="AM152" s="44">
        <v>0</v>
      </c>
      <c r="AN152" s="44">
        <v>0</v>
      </c>
      <c r="AO152" s="44">
        <v>0</v>
      </c>
      <c r="AP152" s="44">
        <v>0</v>
      </c>
      <c r="AQ152" s="44">
        <v>0</v>
      </c>
      <c r="AR152" s="44">
        <v>0</v>
      </c>
      <c r="AS152" s="44">
        <v>0</v>
      </c>
      <c r="AT152" s="40">
        <f t="shared" si="92"/>
        <v>0</v>
      </c>
      <c r="AU152" s="18">
        <f>AJ152-AM152</f>
        <v>40000000</v>
      </c>
      <c r="AV152" s="34">
        <f>AM152-AP152</f>
        <v>0</v>
      </c>
      <c r="AW152" s="18">
        <f>AP152-AT152</f>
        <v>0</v>
      </c>
      <c r="AX152" s="32">
        <f t="shared" si="97"/>
        <v>0</v>
      </c>
    </row>
    <row r="153" spans="1:50" s="25" customFormat="1" ht="18.75" customHeight="1" x14ac:dyDescent="0.2">
      <c r="A153" s="19" t="s">
        <v>49</v>
      </c>
      <c r="B153" s="19" t="s">
        <v>50</v>
      </c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26" t="s">
        <v>856</v>
      </c>
      <c r="AB153" s="21" t="s">
        <v>264</v>
      </c>
      <c r="AC153" s="22" t="s">
        <v>37</v>
      </c>
      <c r="AD153" s="22">
        <f>AD154</f>
        <v>58452467165</v>
      </c>
      <c r="AE153" s="23">
        <f t="shared" ref="AE153:AW153" si="101">AE154</f>
        <v>0</v>
      </c>
      <c r="AF153" s="23">
        <f t="shared" si="101"/>
        <v>0</v>
      </c>
      <c r="AG153" s="23">
        <f t="shared" si="101"/>
        <v>0</v>
      </c>
      <c r="AH153" s="23">
        <f t="shared" si="101"/>
        <v>0</v>
      </c>
      <c r="AI153" s="23">
        <f t="shared" si="101"/>
        <v>0</v>
      </c>
      <c r="AJ153" s="22">
        <f t="shared" si="101"/>
        <v>58452467165</v>
      </c>
      <c r="AK153" s="23">
        <f t="shared" si="101"/>
        <v>0</v>
      </c>
      <c r="AL153" s="22">
        <f t="shared" si="101"/>
        <v>4040143410.9899998</v>
      </c>
      <c r="AM153" s="22">
        <f t="shared" si="101"/>
        <v>9302757241.8199997</v>
      </c>
      <c r="AN153" s="23">
        <f t="shared" si="101"/>
        <v>0</v>
      </c>
      <c r="AO153" s="22">
        <f t="shared" si="101"/>
        <v>4088914726.9899998</v>
      </c>
      <c r="AP153" s="22">
        <f t="shared" si="101"/>
        <v>9302757241.8199997</v>
      </c>
      <c r="AQ153" s="23">
        <f t="shared" si="101"/>
        <v>3487377.58</v>
      </c>
      <c r="AR153" s="22">
        <f t="shared" si="101"/>
        <v>4047731767.4099998</v>
      </c>
      <c r="AS153" s="22">
        <f t="shared" si="101"/>
        <v>9250498548.2399998</v>
      </c>
      <c r="AT153" s="22">
        <f t="shared" si="92"/>
        <v>9253985925.8199997</v>
      </c>
      <c r="AU153" s="22">
        <f t="shared" si="101"/>
        <v>49149709923.18</v>
      </c>
      <c r="AV153" s="108">
        <f t="shared" si="101"/>
        <v>0</v>
      </c>
      <c r="AW153" s="22">
        <f t="shared" si="101"/>
        <v>48771316</v>
      </c>
      <c r="AX153" s="24">
        <f t="shared" si="97"/>
        <v>0.15915080565479156</v>
      </c>
    </row>
    <row r="154" spans="1:50" s="25" customFormat="1" ht="18.75" customHeight="1" x14ac:dyDescent="0.2">
      <c r="A154" s="19" t="s">
        <v>55</v>
      </c>
      <c r="B154" s="19" t="s">
        <v>56</v>
      </c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26" t="s">
        <v>855</v>
      </c>
      <c r="AB154" s="21" t="s">
        <v>265</v>
      </c>
      <c r="AC154" s="22" t="s">
        <v>37</v>
      </c>
      <c r="AD154" s="22">
        <f>AD155+AD165+AD170+AD160+AD169</f>
        <v>58452467165</v>
      </c>
      <c r="AE154" s="23">
        <f t="shared" ref="AE154:AW154" si="102">AE155+AE165+AE170+AE160+AE169</f>
        <v>0</v>
      </c>
      <c r="AF154" s="23">
        <f t="shared" si="102"/>
        <v>0</v>
      </c>
      <c r="AG154" s="23">
        <f t="shared" si="102"/>
        <v>0</v>
      </c>
      <c r="AH154" s="23">
        <f t="shared" si="102"/>
        <v>0</v>
      </c>
      <c r="AI154" s="23">
        <f t="shared" si="102"/>
        <v>0</v>
      </c>
      <c r="AJ154" s="22">
        <f t="shared" si="102"/>
        <v>58452467165</v>
      </c>
      <c r="AK154" s="23">
        <f t="shared" si="102"/>
        <v>0</v>
      </c>
      <c r="AL154" s="22">
        <f t="shared" si="102"/>
        <v>4040143410.9899998</v>
      </c>
      <c r="AM154" s="22">
        <f t="shared" si="102"/>
        <v>9302757241.8199997</v>
      </c>
      <c r="AN154" s="23">
        <f t="shared" si="102"/>
        <v>0</v>
      </c>
      <c r="AO154" s="22">
        <f t="shared" si="102"/>
        <v>4088914726.9899998</v>
      </c>
      <c r="AP154" s="22">
        <f t="shared" si="102"/>
        <v>9302757241.8199997</v>
      </c>
      <c r="AQ154" s="23">
        <f t="shared" si="102"/>
        <v>3487377.58</v>
      </c>
      <c r="AR154" s="22">
        <f t="shared" si="102"/>
        <v>4047731767.4099998</v>
      </c>
      <c r="AS154" s="22">
        <f t="shared" si="102"/>
        <v>9250498548.2399998</v>
      </c>
      <c r="AT154" s="22">
        <f t="shared" si="92"/>
        <v>9253985925.8199997</v>
      </c>
      <c r="AU154" s="22">
        <f t="shared" si="102"/>
        <v>49149709923.18</v>
      </c>
      <c r="AV154" s="108">
        <f t="shared" si="102"/>
        <v>0</v>
      </c>
      <c r="AW154" s="22">
        <f t="shared" si="102"/>
        <v>48771316</v>
      </c>
      <c r="AX154" s="24">
        <f t="shared" si="97"/>
        <v>0.15915080565479156</v>
      </c>
    </row>
    <row r="155" spans="1:50" s="25" customFormat="1" ht="18.75" customHeight="1" x14ac:dyDescent="0.2">
      <c r="A155" s="19" t="s">
        <v>37</v>
      </c>
      <c r="B155" s="19" t="s">
        <v>37</v>
      </c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26" t="s">
        <v>854</v>
      </c>
      <c r="AB155" s="21" t="s">
        <v>266</v>
      </c>
      <c r="AC155" s="22" t="s">
        <v>37</v>
      </c>
      <c r="AD155" s="22">
        <f>AD156</f>
        <v>28000000000.57</v>
      </c>
      <c r="AE155" s="23">
        <f t="shared" ref="AE155:AW158" si="103">AE156</f>
        <v>0</v>
      </c>
      <c r="AF155" s="23">
        <f t="shared" si="103"/>
        <v>0</v>
      </c>
      <c r="AG155" s="23">
        <f t="shared" si="103"/>
        <v>0</v>
      </c>
      <c r="AH155" s="23">
        <f t="shared" si="103"/>
        <v>0</v>
      </c>
      <c r="AI155" s="23">
        <f t="shared" si="103"/>
        <v>0</v>
      </c>
      <c r="AJ155" s="22">
        <f t="shared" si="103"/>
        <v>28000000000.57</v>
      </c>
      <c r="AK155" s="23">
        <f t="shared" si="103"/>
        <v>0</v>
      </c>
      <c r="AL155" s="22">
        <f t="shared" si="103"/>
        <v>2615081180.5700002</v>
      </c>
      <c r="AM155" s="22">
        <f t="shared" si="103"/>
        <v>6021338349.5699997</v>
      </c>
      <c r="AN155" s="23">
        <f t="shared" si="103"/>
        <v>0</v>
      </c>
      <c r="AO155" s="22">
        <f t="shared" si="103"/>
        <v>2615081180.5700002</v>
      </c>
      <c r="AP155" s="22">
        <f t="shared" si="103"/>
        <v>6021338349.5699997</v>
      </c>
      <c r="AQ155" s="23">
        <f t="shared" si="103"/>
        <v>0</v>
      </c>
      <c r="AR155" s="22">
        <f t="shared" si="103"/>
        <v>2615081180.5700002</v>
      </c>
      <c r="AS155" s="22">
        <f t="shared" si="103"/>
        <v>6021338349.5699997</v>
      </c>
      <c r="AT155" s="22">
        <f t="shared" si="92"/>
        <v>6021338349.5699997</v>
      </c>
      <c r="AU155" s="22">
        <f t="shared" si="103"/>
        <v>21978661651</v>
      </c>
      <c r="AV155" s="23">
        <f t="shared" si="103"/>
        <v>0</v>
      </c>
      <c r="AW155" s="23">
        <f t="shared" si="103"/>
        <v>0</v>
      </c>
      <c r="AX155" s="24">
        <f t="shared" si="97"/>
        <v>0.2150477981945508</v>
      </c>
    </row>
    <row r="156" spans="1:50" ht="18.75" customHeight="1" x14ac:dyDescent="0.2">
      <c r="A156" s="27" t="s">
        <v>37</v>
      </c>
      <c r="B156" s="27" t="s">
        <v>37</v>
      </c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8" t="s">
        <v>853</v>
      </c>
      <c r="AB156" s="29" t="s">
        <v>267</v>
      </c>
      <c r="AC156" s="30" t="s">
        <v>37</v>
      </c>
      <c r="AD156" s="30">
        <f>AD157</f>
        <v>28000000000.57</v>
      </c>
      <c r="AE156" s="31">
        <f t="shared" si="103"/>
        <v>0</v>
      </c>
      <c r="AF156" s="31">
        <f t="shared" si="103"/>
        <v>0</v>
      </c>
      <c r="AG156" s="31">
        <f t="shared" si="103"/>
        <v>0</v>
      </c>
      <c r="AH156" s="31">
        <f t="shared" si="103"/>
        <v>0</v>
      </c>
      <c r="AI156" s="31">
        <f t="shared" si="103"/>
        <v>0</v>
      </c>
      <c r="AJ156" s="30">
        <f t="shared" si="103"/>
        <v>28000000000.57</v>
      </c>
      <c r="AK156" s="31">
        <f t="shared" si="103"/>
        <v>0</v>
      </c>
      <c r="AL156" s="30">
        <f t="shared" si="103"/>
        <v>2615081180.5700002</v>
      </c>
      <c r="AM156" s="30">
        <f t="shared" si="103"/>
        <v>6021338349.5699997</v>
      </c>
      <c r="AN156" s="31">
        <f t="shared" si="103"/>
        <v>0</v>
      </c>
      <c r="AO156" s="30">
        <f t="shared" si="103"/>
        <v>2615081180.5700002</v>
      </c>
      <c r="AP156" s="30">
        <f t="shared" si="103"/>
        <v>6021338349.5699997</v>
      </c>
      <c r="AQ156" s="31">
        <f t="shared" si="103"/>
        <v>0</v>
      </c>
      <c r="AR156" s="30">
        <f t="shared" si="103"/>
        <v>2615081180.5700002</v>
      </c>
      <c r="AS156" s="30">
        <f t="shared" si="103"/>
        <v>6021338349.5699997</v>
      </c>
      <c r="AT156" s="30">
        <f t="shared" si="92"/>
        <v>6021338349.5699997</v>
      </c>
      <c r="AU156" s="18">
        <f t="shared" ref="AU156:AU159" si="104">AJ156-AM156</f>
        <v>21978661651</v>
      </c>
      <c r="AV156" s="34">
        <f t="shared" ref="AV156:AV159" si="105">AM156-AP156</f>
        <v>0</v>
      </c>
      <c r="AW156" s="34">
        <f t="shared" ref="AW156:AW159" si="106">AP156-AT156</f>
        <v>0</v>
      </c>
      <c r="AX156" s="32">
        <f t="shared" si="97"/>
        <v>0.2150477981945508</v>
      </c>
    </row>
    <row r="157" spans="1:50" ht="18.75" customHeight="1" x14ac:dyDescent="0.2">
      <c r="A157" s="27" t="s">
        <v>37</v>
      </c>
      <c r="B157" s="27" t="s">
        <v>37</v>
      </c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8" t="s">
        <v>852</v>
      </c>
      <c r="AB157" s="29" t="s">
        <v>268</v>
      </c>
      <c r="AC157" s="30" t="s">
        <v>37</v>
      </c>
      <c r="AD157" s="30">
        <f>AD158</f>
        <v>28000000000.57</v>
      </c>
      <c r="AE157" s="31">
        <f t="shared" si="103"/>
        <v>0</v>
      </c>
      <c r="AF157" s="31">
        <f t="shared" si="103"/>
        <v>0</v>
      </c>
      <c r="AG157" s="31">
        <f t="shared" si="103"/>
        <v>0</v>
      </c>
      <c r="AH157" s="31">
        <f t="shared" si="103"/>
        <v>0</v>
      </c>
      <c r="AI157" s="31">
        <f t="shared" si="103"/>
        <v>0</v>
      </c>
      <c r="AJ157" s="30">
        <f t="shared" si="103"/>
        <v>28000000000.57</v>
      </c>
      <c r="AK157" s="31">
        <f t="shared" si="103"/>
        <v>0</v>
      </c>
      <c r="AL157" s="30">
        <f t="shared" si="103"/>
        <v>2615081180.5700002</v>
      </c>
      <c r="AM157" s="30">
        <f t="shared" si="103"/>
        <v>6021338349.5699997</v>
      </c>
      <c r="AN157" s="31">
        <f t="shared" si="103"/>
        <v>0</v>
      </c>
      <c r="AO157" s="30">
        <f t="shared" si="103"/>
        <v>2615081180.5700002</v>
      </c>
      <c r="AP157" s="30">
        <f t="shared" si="103"/>
        <v>6021338349.5699997</v>
      </c>
      <c r="AQ157" s="31">
        <f t="shared" si="103"/>
        <v>0</v>
      </c>
      <c r="AR157" s="30">
        <f t="shared" si="103"/>
        <v>2615081180.5700002</v>
      </c>
      <c r="AS157" s="30">
        <f t="shared" si="103"/>
        <v>6021338349.5699997</v>
      </c>
      <c r="AT157" s="30">
        <f t="shared" si="92"/>
        <v>6021338349.5699997</v>
      </c>
      <c r="AU157" s="18">
        <f t="shared" si="104"/>
        <v>21978661651</v>
      </c>
      <c r="AV157" s="34">
        <f t="shared" si="105"/>
        <v>0</v>
      </c>
      <c r="AW157" s="34">
        <f t="shared" si="106"/>
        <v>0</v>
      </c>
      <c r="AX157" s="32">
        <f t="shared" si="97"/>
        <v>0.2150477981945508</v>
      </c>
    </row>
    <row r="158" spans="1:50" ht="18.75" customHeight="1" x14ac:dyDescent="0.2">
      <c r="A158" s="27" t="s">
        <v>37</v>
      </c>
      <c r="B158" s="27" t="s">
        <v>37</v>
      </c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8" t="s">
        <v>851</v>
      </c>
      <c r="AB158" s="29" t="s">
        <v>269</v>
      </c>
      <c r="AC158" s="30" t="s">
        <v>37</v>
      </c>
      <c r="AD158" s="30">
        <f>AD159</f>
        <v>28000000000.57</v>
      </c>
      <c r="AE158" s="31">
        <f t="shared" si="103"/>
        <v>0</v>
      </c>
      <c r="AF158" s="31">
        <f t="shared" si="103"/>
        <v>0</v>
      </c>
      <c r="AG158" s="31">
        <f t="shared" si="103"/>
        <v>0</v>
      </c>
      <c r="AH158" s="31">
        <f t="shared" si="103"/>
        <v>0</v>
      </c>
      <c r="AI158" s="31">
        <f t="shared" si="103"/>
        <v>0</v>
      </c>
      <c r="AJ158" s="30">
        <f t="shared" si="103"/>
        <v>28000000000.57</v>
      </c>
      <c r="AK158" s="31">
        <f t="shared" si="103"/>
        <v>0</v>
      </c>
      <c r="AL158" s="30">
        <f t="shared" si="103"/>
        <v>2615081180.5700002</v>
      </c>
      <c r="AM158" s="30">
        <f t="shared" si="103"/>
        <v>6021338349.5699997</v>
      </c>
      <c r="AN158" s="31">
        <f t="shared" si="103"/>
        <v>0</v>
      </c>
      <c r="AO158" s="30">
        <f t="shared" si="103"/>
        <v>2615081180.5700002</v>
      </c>
      <c r="AP158" s="30">
        <f t="shared" si="103"/>
        <v>6021338349.5699997</v>
      </c>
      <c r="AQ158" s="31">
        <f t="shared" si="103"/>
        <v>0</v>
      </c>
      <c r="AR158" s="30">
        <f t="shared" si="103"/>
        <v>2615081180.5700002</v>
      </c>
      <c r="AS158" s="30">
        <f t="shared" si="103"/>
        <v>6021338349.5699997</v>
      </c>
      <c r="AT158" s="30">
        <f t="shared" si="92"/>
        <v>6021338349.5699997</v>
      </c>
      <c r="AU158" s="18">
        <f t="shared" si="104"/>
        <v>21978661651</v>
      </c>
      <c r="AV158" s="34">
        <f t="shared" si="105"/>
        <v>0</v>
      </c>
      <c r="AW158" s="34">
        <f t="shared" si="106"/>
        <v>0</v>
      </c>
      <c r="AX158" s="32">
        <f t="shared" si="97"/>
        <v>0.2150477981945508</v>
      </c>
    </row>
    <row r="159" spans="1:50" ht="18.75" customHeight="1" x14ac:dyDescent="0.2">
      <c r="A159" s="4" t="s">
        <v>55</v>
      </c>
      <c r="B159" s="4" t="s">
        <v>56</v>
      </c>
      <c r="C159" s="4"/>
      <c r="D159" s="4" t="s">
        <v>947</v>
      </c>
      <c r="E159" s="4"/>
      <c r="F159" s="4"/>
      <c r="G159" s="4" t="s">
        <v>41</v>
      </c>
      <c r="H159" s="4"/>
      <c r="I159" s="4" t="s">
        <v>936</v>
      </c>
      <c r="J159" s="4"/>
      <c r="K159" s="4" t="s">
        <v>932</v>
      </c>
      <c r="L159" s="4"/>
      <c r="M159" s="4" t="s">
        <v>933</v>
      </c>
      <c r="N159" s="4"/>
      <c r="O159" s="4" t="s">
        <v>934</v>
      </c>
      <c r="P159" s="4"/>
      <c r="Q159" s="4" t="s">
        <v>935</v>
      </c>
      <c r="R159" s="4"/>
      <c r="S159" s="4" t="s">
        <v>940</v>
      </c>
      <c r="T159" s="4">
        <v>0</v>
      </c>
      <c r="U159" s="4">
        <v>0</v>
      </c>
      <c r="V159" s="4">
        <v>0</v>
      </c>
      <c r="W159" s="4"/>
      <c r="X159" s="4" t="s">
        <v>937</v>
      </c>
      <c r="Y159" s="4"/>
      <c r="Z159" s="4"/>
      <c r="AA159" s="41" t="s">
        <v>850</v>
      </c>
      <c r="AB159" s="42" t="s">
        <v>269</v>
      </c>
      <c r="AC159" s="43" t="s">
        <v>58</v>
      </c>
      <c r="AD159" s="43">
        <v>28000000000.57</v>
      </c>
      <c r="AE159" s="44">
        <v>0</v>
      </c>
      <c r="AF159" s="44">
        <v>0</v>
      </c>
      <c r="AG159" s="44">
        <v>0</v>
      </c>
      <c r="AH159" s="44">
        <v>0</v>
      </c>
      <c r="AI159" s="44">
        <v>0</v>
      </c>
      <c r="AJ159" s="43">
        <v>28000000000.57</v>
      </c>
      <c r="AK159" s="44">
        <v>0</v>
      </c>
      <c r="AL159" s="43">
        <v>2615081180.5700002</v>
      </c>
      <c r="AM159" s="43">
        <v>6021338349.5699997</v>
      </c>
      <c r="AN159" s="44">
        <v>0</v>
      </c>
      <c r="AO159" s="43">
        <v>2615081180.5700002</v>
      </c>
      <c r="AP159" s="43">
        <v>6021338349.5699997</v>
      </c>
      <c r="AQ159" s="44">
        <v>0</v>
      </c>
      <c r="AR159" s="43">
        <v>2615081180.5700002</v>
      </c>
      <c r="AS159" s="43">
        <v>6021338349.5699997</v>
      </c>
      <c r="AT159" s="30">
        <f t="shared" si="92"/>
        <v>6021338349.5699997</v>
      </c>
      <c r="AU159" s="18">
        <f t="shared" si="104"/>
        <v>21978661651</v>
      </c>
      <c r="AV159" s="34">
        <f t="shared" si="105"/>
        <v>0</v>
      </c>
      <c r="AW159" s="34">
        <f t="shared" si="106"/>
        <v>0</v>
      </c>
      <c r="AX159" s="32">
        <f t="shared" si="97"/>
        <v>0.2150477981945508</v>
      </c>
    </row>
    <row r="160" spans="1:50" s="25" customFormat="1" ht="18.75" customHeight="1" x14ac:dyDescent="0.2">
      <c r="A160" s="19" t="s">
        <v>37</v>
      </c>
      <c r="B160" s="19" t="s">
        <v>37</v>
      </c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26" t="s">
        <v>270</v>
      </c>
      <c r="AB160" s="21" t="s">
        <v>271</v>
      </c>
      <c r="AC160" s="22" t="s">
        <v>37</v>
      </c>
      <c r="AD160" s="22">
        <f>AD161</f>
        <v>21500000000</v>
      </c>
      <c r="AE160" s="23">
        <f t="shared" ref="AE160:AW163" si="107">AE161</f>
        <v>0</v>
      </c>
      <c r="AF160" s="23">
        <f t="shared" si="107"/>
        <v>0</v>
      </c>
      <c r="AG160" s="23">
        <f t="shared" si="107"/>
        <v>0</v>
      </c>
      <c r="AH160" s="23">
        <f t="shared" si="107"/>
        <v>0</v>
      </c>
      <c r="AI160" s="23">
        <f t="shared" si="107"/>
        <v>0</v>
      </c>
      <c r="AJ160" s="22">
        <f t="shared" si="107"/>
        <v>21500000000</v>
      </c>
      <c r="AK160" s="23">
        <f t="shared" si="107"/>
        <v>0</v>
      </c>
      <c r="AL160" s="22">
        <f t="shared" si="107"/>
        <v>1171942383.2</v>
      </c>
      <c r="AM160" s="22">
        <f t="shared" si="107"/>
        <v>2694978952.9899998</v>
      </c>
      <c r="AN160" s="23">
        <f t="shared" si="107"/>
        <v>0</v>
      </c>
      <c r="AO160" s="22">
        <f t="shared" si="107"/>
        <v>1171942383.2</v>
      </c>
      <c r="AP160" s="22">
        <f t="shared" si="107"/>
        <v>2694978952.9899998</v>
      </c>
      <c r="AQ160" s="23">
        <f t="shared" si="107"/>
        <v>0</v>
      </c>
      <c r="AR160" s="22">
        <f t="shared" si="107"/>
        <v>1171942383.2</v>
      </c>
      <c r="AS160" s="22">
        <f t="shared" si="107"/>
        <v>2694978952.9899998</v>
      </c>
      <c r="AT160" s="22"/>
      <c r="AU160" s="22">
        <f t="shared" si="107"/>
        <v>18805021047.010002</v>
      </c>
      <c r="AV160" s="23">
        <f t="shared" si="107"/>
        <v>0</v>
      </c>
      <c r="AW160" s="23">
        <f t="shared" si="107"/>
        <v>0</v>
      </c>
      <c r="AX160" s="24">
        <f t="shared" si="97"/>
        <v>0.12534785827860465</v>
      </c>
    </row>
    <row r="161" spans="1:50" ht="18.75" customHeight="1" x14ac:dyDescent="0.2">
      <c r="A161" s="27" t="s">
        <v>37</v>
      </c>
      <c r="B161" s="27" t="s">
        <v>37</v>
      </c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8" t="s">
        <v>849</v>
      </c>
      <c r="AB161" s="29" t="s">
        <v>272</v>
      </c>
      <c r="AC161" s="30" t="s">
        <v>56</v>
      </c>
      <c r="AD161" s="30">
        <f>AD162</f>
        <v>21500000000</v>
      </c>
      <c r="AE161" s="31">
        <f t="shared" si="107"/>
        <v>0</v>
      </c>
      <c r="AF161" s="31">
        <f t="shared" si="107"/>
        <v>0</v>
      </c>
      <c r="AG161" s="31">
        <f t="shared" si="107"/>
        <v>0</v>
      </c>
      <c r="AH161" s="31">
        <f t="shared" si="107"/>
        <v>0</v>
      </c>
      <c r="AI161" s="31">
        <f t="shared" si="107"/>
        <v>0</v>
      </c>
      <c r="AJ161" s="30">
        <f t="shared" si="107"/>
        <v>21500000000</v>
      </c>
      <c r="AK161" s="31">
        <f t="shared" si="107"/>
        <v>0</v>
      </c>
      <c r="AL161" s="30">
        <f t="shared" si="107"/>
        <v>1171942383.2</v>
      </c>
      <c r="AM161" s="30">
        <f t="shared" si="107"/>
        <v>2694978952.9899998</v>
      </c>
      <c r="AN161" s="31">
        <f t="shared" si="107"/>
        <v>0</v>
      </c>
      <c r="AO161" s="30">
        <f t="shared" si="107"/>
        <v>1171942383.2</v>
      </c>
      <c r="AP161" s="30">
        <f t="shared" si="107"/>
        <v>2694978952.9899998</v>
      </c>
      <c r="AQ161" s="31">
        <f t="shared" si="107"/>
        <v>0</v>
      </c>
      <c r="AR161" s="30">
        <f t="shared" si="107"/>
        <v>1171942383.2</v>
      </c>
      <c r="AS161" s="30">
        <f t="shared" si="107"/>
        <v>2694978952.9899998</v>
      </c>
      <c r="AT161" s="30">
        <f t="shared" ref="AT161:AT164" si="108">AQ161+AS161</f>
        <v>2694978952.9899998</v>
      </c>
      <c r="AU161" s="18">
        <f t="shared" ref="AU161:AU164" si="109">AJ161-AM161</f>
        <v>18805021047.010002</v>
      </c>
      <c r="AV161" s="34">
        <f t="shared" ref="AV161:AV164" si="110">AM161-AP161</f>
        <v>0</v>
      </c>
      <c r="AW161" s="34">
        <f t="shared" ref="AW161:AW164" si="111">AP161-AT161</f>
        <v>0</v>
      </c>
      <c r="AX161" s="32">
        <f t="shared" si="97"/>
        <v>0.12534785827860465</v>
      </c>
    </row>
    <row r="162" spans="1:50" ht="18.75" customHeight="1" x14ac:dyDescent="0.2">
      <c r="A162" s="27" t="s">
        <v>37</v>
      </c>
      <c r="B162" s="27" t="s">
        <v>37</v>
      </c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8" t="s">
        <v>848</v>
      </c>
      <c r="AB162" s="29" t="s">
        <v>268</v>
      </c>
      <c r="AC162" s="30" t="s">
        <v>37</v>
      </c>
      <c r="AD162" s="30">
        <f>AD163</f>
        <v>21500000000</v>
      </c>
      <c r="AE162" s="31">
        <f t="shared" si="107"/>
        <v>0</v>
      </c>
      <c r="AF162" s="31">
        <f t="shared" si="107"/>
        <v>0</v>
      </c>
      <c r="AG162" s="31">
        <f t="shared" si="107"/>
        <v>0</v>
      </c>
      <c r="AH162" s="31">
        <f t="shared" si="107"/>
        <v>0</v>
      </c>
      <c r="AI162" s="31">
        <f t="shared" si="107"/>
        <v>0</v>
      </c>
      <c r="AJ162" s="30">
        <f t="shared" si="107"/>
        <v>21500000000</v>
      </c>
      <c r="AK162" s="31">
        <f t="shared" si="107"/>
        <v>0</v>
      </c>
      <c r="AL162" s="30">
        <f t="shared" si="107"/>
        <v>1171942383.2</v>
      </c>
      <c r="AM162" s="30">
        <f t="shared" si="107"/>
        <v>2694978952.9899998</v>
      </c>
      <c r="AN162" s="31">
        <f t="shared" si="107"/>
        <v>0</v>
      </c>
      <c r="AO162" s="30">
        <f t="shared" si="107"/>
        <v>1171942383.2</v>
      </c>
      <c r="AP162" s="30">
        <f t="shared" si="107"/>
        <v>2694978952.9899998</v>
      </c>
      <c r="AQ162" s="31">
        <f t="shared" si="107"/>
        <v>0</v>
      </c>
      <c r="AR162" s="30">
        <f t="shared" si="107"/>
        <v>1171942383.2</v>
      </c>
      <c r="AS162" s="30">
        <f t="shared" si="107"/>
        <v>2694978952.9899998</v>
      </c>
      <c r="AT162" s="30">
        <f t="shared" si="108"/>
        <v>2694978952.9899998</v>
      </c>
      <c r="AU162" s="18">
        <f t="shared" si="109"/>
        <v>18805021047.010002</v>
      </c>
      <c r="AV162" s="34">
        <f t="shared" si="110"/>
        <v>0</v>
      </c>
      <c r="AW162" s="34">
        <f t="shared" si="111"/>
        <v>0</v>
      </c>
      <c r="AX162" s="32">
        <f t="shared" si="97"/>
        <v>0.12534785827860465</v>
      </c>
    </row>
    <row r="163" spans="1:50" ht="18.75" customHeight="1" x14ac:dyDescent="0.2">
      <c r="A163" s="27" t="s">
        <v>37</v>
      </c>
      <c r="B163" s="27" t="s">
        <v>37</v>
      </c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8" t="s">
        <v>847</v>
      </c>
      <c r="AB163" s="29" t="s">
        <v>269</v>
      </c>
      <c r="AC163" s="30" t="s">
        <v>37</v>
      </c>
      <c r="AD163" s="30">
        <f>AD164</f>
        <v>21500000000</v>
      </c>
      <c r="AE163" s="31">
        <f t="shared" si="107"/>
        <v>0</v>
      </c>
      <c r="AF163" s="31">
        <f t="shared" si="107"/>
        <v>0</v>
      </c>
      <c r="AG163" s="31">
        <f t="shared" si="107"/>
        <v>0</v>
      </c>
      <c r="AH163" s="31">
        <f t="shared" si="107"/>
        <v>0</v>
      </c>
      <c r="AI163" s="31">
        <f t="shared" si="107"/>
        <v>0</v>
      </c>
      <c r="AJ163" s="30">
        <f t="shared" si="107"/>
        <v>21500000000</v>
      </c>
      <c r="AK163" s="31">
        <f t="shared" si="107"/>
        <v>0</v>
      </c>
      <c r="AL163" s="30">
        <f t="shared" si="107"/>
        <v>1171942383.2</v>
      </c>
      <c r="AM163" s="30">
        <f t="shared" si="107"/>
        <v>2694978952.9899998</v>
      </c>
      <c r="AN163" s="31">
        <f t="shared" si="107"/>
        <v>0</v>
      </c>
      <c r="AO163" s="30">
        <f t="shared" si="107"/>
        <v>1171942383.2</v>
      </c>
      <c r="AP163" s="30">
        <f t="shared" si="107"/>
        <v>2694978952.9899998</v>
      </c>
      <c r="AQ163" s="31">
        <f t="shared" si="107"/>
        <v>0</v>
      </c>
      <c r="AR163" s="30">
        <f t="shared" si="107"/>
        <v>1171942383.2</v>
      </c>
      <c r="AS163" s="30">
        <f t="shared" si="107"/>
        <v>2694978952.9899998</v>
      </c>
      <c r="AT163" s="30">
        <f t="shared" si="108"/>
        <v>2694978952.9899998</v>
      </c>
      <c r="AU163" s="18">
        <f t="shared" si="109"/>
        <v>18805021047.010002</v>
      </c>
      <c r="AV163" s="34">
        <f t="shared" si="110"/>
        <v>0</v>
      </c>
      <c r="AW163" s="34">
        <f t="shared" si="111"/>
        <v>0</v>
      </c>
      <c r="AX163" s="32">
        <f t="shared" si="97"/>
        <v>0.12534785827860465</v>
      </c>
    </row>
    <row r="164" spans="1:50" ht="18.75" customHeight="1" x14ac:dyDescent="0.2">
      <c r="A164" s="4" t="s">
        <v>55</v>
      </c>
      <c r="B164" s="4" t="s">
        <v>56</v>
      </c>
      <c r="C164" s="4"/>
      <c r="D164" s="4" t="s">
        <v>947</v>
      </c>
      <c r="E164" s="4"/>
      <c r="F164" s="4"/>
      <c r="G164" s="4" t="s">
        <v>41</v>
      </c>
      <c r="H164" s="4"/>
      <c r="I164" s="4" t="s">
        <v>936</v>
      </c>
      <c r="J164" s="4"/>
      <c r="K164" s="4" t="s">
        <v>932</v>
      </c>
      <c r="L164" s="4"/>
      <c r="M164" s="4" t="s">
        <v>933</v>
      </c>
      <c r="N164" s="4"/>
      <c r="O164" s="4" t="s">
        <v>934</v>
      </c>
      <c r="P164" s="4"/>
      <c r="Q164" s="4" t="s">
        <v>935</v>
      </c>
      <c r="R164" s="4"/>
      <c r="S164" s="4" t="s">
        <v>940</v>
      </c>
      <c r="T164" s="4">
        <v>0</v>
      </c>
      <c r="U164" s="4">
        <v>0</v>
      </c>
      <c r="V164" s="4">
        <v>0</v>
      </c>
      <c r="W164" s="4"/>
      <c r="X164" s="4" t="s">
        <v>937</v>
      </c>
      <c r="Y164" s="4"/>
      <c r="Z164" s="4"/>
      <c r="AA164" s="41" t="s">
        <v>846</v>
      </c>
      <c r="AB164" s="42" t="s">
        <v>269</v>
      </c>
      <c r="AC164" s="43" t="s">
        <v>58</v>
      </c>
      <c r="AD164" s="43">
        <v>21500000000</v>
      </c>
      <c r="AE164" s="44">
        <v>0</v>
      </c>
      <c r="AF164" s="44">
        <v>0</v>
      </c>
      <c r="AG164" s="44">
        <v>0</v>
      </c>
      <c r="AH164" s="44">
        <v>0</v>
      </c>
      <c r="AI164" s="44">
        <v>0</v>
      </c>
      <c r="AJ164" s="43">
        <v>21500000000</v>
      </c>
      <c r="AK164" s="44">
        <v>0</v>
      </c>
      <c r="AL164" s="43">
        <v>1171942383.2</v>
      </c>
      <c r="AM164" s="43">
        <v>2694978952.9899998</v>
      </c>
      <c r="AN164" s="44">
        <v>0</v>
      </c>
      <c r="AO164" s="43">
        <v>1171942383.2</v>
      </c>
      <c r="AP164" s="43">
        <v>2694978952.9899998</v>
      </c>
      <c r="AQ164" s="44">
        <v>0</v>
      </c>
      <c r="AR164" s="43">
        <v>1171942383.2</v>
      </c>
      <c r="AS164" s="43">
        <v>2694978952.9899998</v>
      </c>
      <c r="AT164" s="30">
        <f t="shared" si="108"/>
        <v>2694978952.9899998</v>
      </c>
      <c r="AU164" s="18">
        <f t="shared" si="109"/>
        <v>18805021047.010002</v>
      </c>
      <c r="AV164" s="34">
        <f t="shared" si="110"/>
        <v>0</v>
      </c>
      <c r="AW164" s="34">
        <f t="shared" si="111"/>
        <v>0</v>
      </c>
      <c r="AX164" s="32">
        <f t="shared" si="97"/>
        <v>0.12534785827860465</v>
      </c>
    </row>
    <row r="165" spans="1:50" s="25" customFormat="1" ht="18.75" customHeight="1" x14ac:dyDescent="0.2">
      <c r="A165" s="19" t="s">
        <v>37</v>
      </c>
      <c r="B165" s="19" t="s">
        <v>37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26" t="s">
        <v>273</v>
      </c>
      <c r="AB165" s="21" t="s">
        <v>274</v>
      </c>
      <c r="AC165" s="22" t="s">
        <v>37</v>
      </c>
      <c r="AD165" s="22">
        <f>AD166</f>
        <v>200000000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2">
        <f>AJ166</f>
        <v>200000000</v>
      </c>
      <c r="AK165" s="23">
        <f t="shared" ref="AK165:AW167" si="112">AK166</f>
        <v>0</v>
      </c>
      <c r="AL165" s="23">
        <f t="shared" si="112"/>
        <v>0</v>
      </c>
      <c r="AM165" s="23">
        <f t="shared" si="112"/>
        <v>0</v>
      </c>
      <c r="AN165" s="23">
        <f t="shared" si="112"/>
        <v>0</v>
      </c>
      <c r="AO165" s="23">
        <f t="shared" si="112"/>
        <v>0</v>
      </c>
      <c r="AP165" s="23">
        <f t="shared" si="112"/>
        <v>0</v>
      </c>
      <c r="AQ165" s="23">
        <f t="shared" si="112"/>
        <v>0</v>
      </c>
      <c r="AR165" s="23">
        <f t="shared" si="112"/>
        <v>0</v>
      </c>
      <c r="AS165" s="23">
        <f t="shared" si="112"/>
        <v>0</v>
      </c>
      <c r="AT165" s="23">
        <f t="shared" si="112"/>
        <v>0</v>
      </c>
      <c r="AU165" s="22">
        <f t="shared" si="112"/>
        <v>200000000</v>
      </c>
      <c r="AV165" s="23">
        <f t="shared" si="112"/>
        <v>0</v>
      </c>
      <c r="AW165" s="23">
        <f t="shared" si="112"/>
        <v>0</v>
      </c>
      <c r="AX165" s="24">
        <f t="shared" si="97"/>
        <v>0</v>
      </c>
    </row>
    <row r="166" spans="1:50" ht="18.75" customHeight="1" x14ac:dyDescent="0.2">
      <c r="A166" s="27" t="s">
        <v>37</v>
      </c>
      <c r="B166" s="27" t="s">
        <v>37</v>
      </c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8" t="s">
        <v>843</v>
      </c>
      <c r="AB166" s="29" t="s">
        <v>267</v>
      </c>
      <c r="AC166" s="30" t="s">
        <v>37</v>
      </c>
      <c r="AD166" s="30">
        <f>AD167</f>
        <v>200000000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0">
        <f t="shared" ref="AJ166:AJ167" si="113">AJ167</f>
        <v>200000000</v>
      </c>
      <c r="AK166" s="31">
        <f t="shared" si="112"/>
        <v>0</v>
      </c>
      <c r="AL166" s="31">
        <f t="shared" si="112"/>
        <v>0</v>
      </c>
      <c r="AM166" s="31">
        <f t="shared" si="112"/>
        <v>0</v>
      </c>
      <c r="AN166" s="31">
        <f t="shared" si="112"/>
        <v>0</v>
      </c>
      <c r="AO166" s="31">
        <f t="shared" si="112"/>
        <v>0</v>
      </c>
      <c r="AP166" s="31">
        <f t="shared" si="112"/>
        <v>0</v>
      </c>
      <c r="AQ166" s="31">
        <f t="shared" si="112"/>
        <v>0</v>
      </c>
      <c r="AR166" s="31">
        <f t="shared" si="112"/>
        <v>0</v>
      </c>
      <c r="AS166" s="31">
        <f t="shared" si="112"/>
        <v>0</v>
      </c>
      <c r="AT166" s="31">
        <f t="shared" si="112"/>
        <v>0</v>
      </c>
      <c r="AU166" s="30">
        <f t="shared" si="112"/>
        <v>200000000</v>
      </c>
      <c r="AV166" s="31">
        <f t="shared" si="112"/>
        <v>0</v>
      </c>
      <c r="AW166" s="31">
        <f t="shared" si="112"/>
        <v>0</v>
      </c>
      <c r="AX166" s="32">
        <f t="shared" si="97"/>
        <v>0</v>
      </c>
    </row>
    <row r="167" spans="1:50" ht="18.75" customHeight="1" x14ac:dyDescent="0.2">
      <c r="A167" s="27" t="s">
        <v>37</v>
      </c>
      <c r="B167" s="27" t="s">
        <v>37</v>
      </c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8" t="s">
        <v>845</v>
      </c>
      <c r="AB167" s="29" t="s">
        <v>268</v>
      </c>
      <c r="AC167" s="30" t="s">
        <v>37</v>
      </c>
      <c r="AD167" s="30">
        <f>AD168</f>
        <v>200000000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0">
        <f t="shared" si="113"/>
        <v>200000000</v>
      </c>
      <c r="AK167" s="31">
        <f t="shared" si="112"/>
        <v>0</v>
      </c>
      <c r="AL167" s="31">
        <f t="shared" si="112"/>
        <v>0</v>
      </c>
      <c r="AM167" s="31">
        <f t="shared" si="112"/>
        <v>0</v>
      </c>
      <c r="AN167" s="31">
        <f t="shared" si="112"/>
        <v>0</v>
      </c>
      <c r="AO167" s="31">
        <f t="shared" si="112"/>
        <v>0</v>
      </c>
      <c r="AP167" s="31">
        <f t="shared" si="112"/>
        <v>0</v>
      </c>
      <c r="AQ167" s="31">
        <f t="shared" si="112"/>
        <v>0</v>
      </c>
      <c r="AR167" s="31">
        <f t="shared" si="112"/>
        <v>0</v>
      </c>
      <c r="AS167" s="31">
        <f t="shared" si="112"/>
        <v>0</v>
      </c>
      <c r="AT167" s="31">
        <f t="shared" si="112"/>
        <v>0</v>
      </c>
      <c r="AU167" s="30">
        <f t="shared" si="112"/>
        <v>200000000</v>
      </c>
      <c r="AV167" s="31">
        <f t="shared" si="112"/>
        <v>0</v>
      </c>
      <c r="AW167" s="31">
        <f t="shared" si="112"/>
        <v>0</v>
      </c>
      <c r="AX167" s="32">
        <f t="shared" si="97"/>
        <v>0</v>
      </c>
    </row>
    <row r="168" spans="1:50" ht="18.75" customHeight="1" x14ac:dyDescent="0.2">
      <c r="A168" s="4" t="s">
        <v>55</v>
      </c>
      <c r="B168" s="4" t="s">
        <v>56</v>
      </c>
      <c r="C168" s="4"/>
      <c r="D168" s="4" t="s">
        <v>947</v>
      </c>
      <c r="E168" s="4"/>
      <c r="F168" s="4"/>
      <c r="G168" s="4" t="s">
        <v>41</v>
      </c>
      <c r="H168" s="4"/>
      <c r="I168" s="4" t="s">
        <v>936</v>
      </c>
      <c r="J168" s="4"/>
      <c r="K168" s="4" t="s">
        <v>932</v>
      </c>
      <c r="L168" s="4"/>
      <c r="M168" s="4" t="s">
        <v>933</v>
      </c>
      <c r="N168" s="4"/>
      <c r="O168" s="4" t="s">
        <v>934</v>
      </c>
      <c r="P168" s="4"/>
      <c r="Q168" s="4" t="s">
        <v>935</v>
      </c>
      <c r="R168" s="4"/>
      <c r="S168" s="4" t="s">
        <v>940</v>
      </c>
      <c r="T168" s="4">
        <v>0</v>
      </c>
      <c r="U168" s="4">
        <v>0</v>
      </c>
      <c r="V168" s="4">
        <v>0</v>
      </c>
      <c r="W168" s="4"/>
      <c r="X168" s="4" t="s">
        <v>937</v>
      </c>
      <c r="Y168" s="4"/>
      <c r="Z168" s="4"/>
      <c r="AA168" s="41" t="s">
        <v>844</v>
      </c>
      <c r="AB168" s="42" t="s">
        <v>269</v>
      </c>
      <c r="AC168" s="43" t="s">
        <v>58</v>
      </c>
      <c r="AD168" s="43">
        <v>200000000</v>
      </c>
      <c r="AE168" s="44">
        <v>0</v>
      </c>
      <c r="AF168" s="44">
        <v>0</v>
      </c>
      <c r="AG168" s="44">
        <v>0</v>
      </c>
      <c r="AH168" s="44">
        <v>0</v>
      </c>
      <c r="AI168" s="44">
        <v>0</v>
      </c>
      <c r="AJ168" s="43">
        <v>200000000</v>
      </c>
      <c r="AK168" s="44">
        <v>0</v>
      </c>
      <c r="AL168" s="44">
        <v>0</v>
      </c>
      <c r="AM168" s="44">
        <v>0</v>
      </c>
      <c r="AN168" s="44">
        <v>0</v>
      </c>
      <c r="AO168" s="44">
        <v>0</v>
      </c>
      <c r="AP168" s="44">
        <v>0</v>
      </c>
      <c r="AQ168" s="44">
        <v>0</v>
      </c>
      <c r="AR168" s="44">
        <v>0</v>
      </c>
      <c r="AS168" s="44">
        <v>0</v>
      </c>
      <c r="AT168" s="31">
        <f t="shared" ref="AT168:AT177" si="114">AQ168+AS168</f>
        <v>0</v>
      </c>
      <c r="AU168" s="18">
        <f t="shared" ref="AU168:AU177" si="115">AJ168-AM168</f>
        <v>200000000</v>
      </c>
      <c r="AV168" s="34">
        <f t="shared" ref="AV168:AV177" si="116">AM168-AP168</f>
        <v>0</v>
      </c>
      <c r="AW168" s="34">
        <f t="shared" ref="AW168:AW177" si="117">AP168-AT168</f>
        <v>0</v>
      </c>
      <c r="AX168" s="32">
        <f t="shared" si="97"/>
        <v>0</v>
      </c>
    </row>
    <row r="169" spans="1:50" s="79" customFormat="1" ht="18.75" customHeight="1" x14ac:dyDescent="0.2">
      <c r="A169" s="117" t="s">
        <v>55</v>
      </c>
      <c r="B169" s="117" t="s">
        <v>56</v>
      </c>
      <c r="C169" s="117"/>
      <c r="D169" s="117" t="s">
        <v>947</v>
      </c>
      <c r="E169" s="117"/>
      <c r="F169" s="117"/>
      <c r="G169" s="117" t="s">
        <v>41</v>
      </c>
      <c r="H169" s="117"/>
      <c r="I169" s="117" t="s">
        <v>936</v>
      </c>
      <c r="J169" s="117"/>
      <c r="K169" s="117" t="s">
        <v>932</v>
      </c>
      <c r="L169" s="117"/>
      <c r="M169" s="117" t="s">
        <v>933</v>
      </c>
      <c r="N169" s="117"/>
      <c r="O169" s="117" t="s">
        <v>934</v>
      </c>
      <c r="P169" s="117"/>
      <c r="Q169" s="117" t="s">
        <v>935</v>
      </c>
      <c r="R169" s="117"/>
      <c r="S169" s="117" t="s">
        <v>940</v>
      </c>
      <c r="T169" s="117">
        <v>0</v>
      </c>
      <c r="U169" s="117">
        <v>0</v>
      </c>
      <c r="V169" s="117">
        <v>0</v>
      </c>
      <c r="W169" s="117"/>
      <c r="X169" s="117" t="s">
        <v>937</v>
      </c>
      <c r="Y169" s="117"/>
      <c r="Z169" s="117"/>
      <c r="AA169" s="81" t="s">
        <v>842</v>
      </c>
      <c r="AB169" s="82" t="s">
        <v>275</v>
      </c>
      <c r="AC169" s="83" t="s">
        <v>58</v>
      </c>
      <c r="AD169" s="83">
        <v>5000000000</v>
      </c>
      <c r="AE169" s="118">
        <v>0</v>
      </c>
      <c r="AF169" s="118">
        <v>0</v>
      </c>
      <c r="AG169" s="118">
        <v>0</v>
      </c>
      <c r="AH169" s="118">
        <v>0</v>
      </c>
      <c r="AI169" s="118">
        <v>0</v>
      </c>
      <c r="AJ169" s="83">
        <v>5000000000</v>
      </c>
      <c r="AK169" s="118">
        <v>0</v>
      </c>
      <c r="AL169" s="119">
        <v>39249189</v>
      </c>
      <c r="AM169" s="119">
        <v>88020505</v>
      </c>
      <c r="AN169" s="118">
        <v>0</v>
      </c>
      <c r="AO169" s="83">
        <v>88020505</v>
      </c>
      <c r="AP169" s="83">
        <v>88020505</v>
      </c>
      <c r="AQ169" s="118">
        <v>0</v>
      </c>
      <c r="AR169" s="83">
        <v>39249189</v>
      </c>
      <c r="AS169" s="83">
        <v>39249189</v>
      </c>
      <c r="AT169" s="83">
        <f t="shared" si="114"/>
        <v>39249189</v>
      </c>
      <c r="AU169" s="119">
        <f t="shared" si="115"/>
        <v>4911979495</v>
      </c>
      <c r="AV169" s="119">
        <f t="shared" si="116"/>
        <v>0</v>
      </c>
      <c r="AW169" s="83">
        <f t="shared" si="117"/>
        <v>48771316</v>
      </c>
      <c r="AX169" s="118">
        <f t="shared" si="97"/>
        <v>1.7604101E-2</v>
      </c>
    </row>
    <row r="170" spans="1:50" s="25" customFormat="1" ht="18.75" customHeight="1" x14ac:dyDescent="0.2">
      <c r="A170" s="19" t="s">
        <v>37</v>
      </c>
      <c r="B170" s="19" t="s">
        <v>37</v>
      </c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26" t="s">
        <v>841</v>
      </c>
      <c r="AB170" s="21" t="s">
        <v>276</v>
      </c>
      <c r="AC170" s="22" t="s">
        <v>37</v>
      </c>
      <c r="AD170" s="22">
        <f>AD171+AD176</f>
        <v>3752467164.4300003</v>
      </c>
      <c r="AE170" s="23">
        <f t="shared" ref="AE170:AS170" si="118">AE171+AE176</f>
        <v>0</v>
      </c>
      <c r="AF170" s="23">
        <f t="shared" si="118"/>
        <v>0</v>
      </c>
      <c r="AG170" s="23">
        <f t="shared" si="118"/>
        <v>0</v>
      </c>
      <c r="AH170" s="23">
        <f t="shared" si="118"/>
        <v>0</v>
      </c>
      <c r="AI170" s="23">
        <f t="shared" si="118"/>
        <v>0</v>
      </c>
      <c r="AJ170" s="22">
        <f t="shared" si="118"/>
        <v>3752467164.4300003</v>
      </c>
      <c r="AK170" s="23">
        <f t="shared" si="118"/>
        <v>0</v>
      </c>
      <c r="AL170" s="22">
        <f t="shared" si="118"/>
        <v>213870658.22</v>
      </c>
      <c r="AM170" s="22">
        <f t="shared" si="118"/>
        <v>498419434.25999999</v>
      </c>
      <c r="AN170" s="23">
        <f t="shared" si="118"/>
        <v>0</v>
      </c>
      <c r="AO170" s="22">
        <f t="shared" si="118"/>
        <v>213870658.22</v>
      </c>
      <c r="AP170" s="22">
        <f t="shared" si="118"/>
        <v>498419434.25999999</v>
      </c>
      <c r="AQ170" s="23">
        <f t="shared" si="118"/>
        <v>3487377.58</v>
      </c>
      <c r="AR170" s="22">
        <f t="shared" si="118"/>
        <v>221459014.63999999</v>
      </c>
      <c r="AS170" s="22">
        <f t="shared" si="118"/>
        <v>494932056.68000001</v>
      </c>
      <c r="AT170" s="121">
        <f t="shared" si="114"/>
        <v>498419434.25999999</v>
      </c>
      <c r="AU170" s="121">
        <f t="shared" si="115"/>
        <v>3254047730.1700001</v>
      </c>
      <c r="AV170" s="122">
        <f t="shared" si="116"/>
        <v>0</v>
      </c>
      <c r="AW170" s="121">
        <f t="shared" si="117"/>
        <v>0</v>
      </c>
      <c r="AX170" s="49">
        <f t="shared" si="97"/>
        <v>0.13282446252549951</v>
      </c>
    </row>
    <row r="171" spans="1:50" ht="18.75" customHeight="1" x14ac:dyDescent="0.2">
      <c r="A171" s="27" t="s">
        <v>37</v>
      </c>
      <c r="B171" s="27" t="s">
        <v>37</v>
      </c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8" t="s">
        <v>840</v>
      </c>
      <c r="AB171" s="29" t="s">
        <v>277</v>
      </c>
      <c r="AC171" s="30" t="s">
        <v>37</v>
      </c>
      <c r="AD171" s="30">
        <f>AD172+AD173+AD174+AD175</f>
        <v>3552467164.4300003</v>
      </c>
      <c r="AE171" s="31">
        <f t="shared" ref="AE171:AS171" si="119">AE172+AE173+AE174+AE175</f>
        <v>0</v>
      </c>
      <c r="AF171" s="31">
        <f t="shared" si="119"/>
        <v>0</v>
      </c>
      <c r="AG171" s="31">
        <f t="shared" si="119"/>
        <v>0</v>
      </c>
      <c r="AH171" s="31">
        <f t="shared" si="119"/>
        <v>0</v>
      </c>
      <c r="AI171" s="31">
        <f t="shared" si="119"/>
        <v>0</v>
      </c>
      <c r="AJ171" s="30">
        <f t="shared" si="119"/>
        <v>3552467164.4300003</v>
      </c>
      <c r="AK171" s="31">
        <f t="shared" si="119"/>
        <v>0</v>
      </c>
      <c r="AL171" s="30">
        <f t="shared" si="119"/>
        <v>213870658.22</v>
      </c>
      <c r="AM171" s="30">
        <f t="shared" si="119"/>
        <v>498419434.25999999</v>
      </c>
      <c r="AN171" s="31">
        <f t="shared" si="119"/>
        <v>0</v>
      </c>
      <c r="AO171" s="30">
        <f t="shared" si="119"/>
        <v>213870658.22</v>
      </c>
      <c r="AP171" s="30">
        <f t="shared" si="119"/>
        <v>498419434.25999999</v>
      </c>
      <c r="AQ171" s="31">
        <f t="shared" si="119"/>
        <v>3487377.58</v>
      </c>
      <c r="AR171" s="30">
        <f t="shared" si="119"/>
        <v>221459014.63999999</v>
      </c>
      <c r="AS171" s="30">
        <f t="shared" si="119"/>
        <v>494932056.68000001</v>
      </c>
      <c r="AT171" s="39">
        <f t="shared" si="114"/>
        <v>498419434.25999999</v>
      </c>
      <c r="AU171" s="18">
        <f t="shared" si="115"/>
        <v>3054047730.1700001</v>
      </c>
      <c r="AV171" s="34">
        <f t="shared" si="116"/>
        <v>0</v>
      </c>
      <c r="AW171" s="18">
        <f t="shared" si="117"/>
        <v>0</v>
      </c>
      <c r="AX171" s="123">
        <f t="shared" si="97"/>
        <v>0.14030233389644076</v>
      </c>
    </row>
    <row r="172" spans="1:50" ht="18.75" customHeight="1" x14ac:dyDescent="0.2">
      <c r="A172" s="4" t="s">
        <v>55</v>
      </c>
      <c r="B172" s="4" t="s">
        <v>56</v>
      </c>
      <c r="C172" s="4"/>
      <c r="D172" s="4" t="s">
        <v>947</v>
      </c>
      <c r="E172" s="4"/>
      <c r="F172" s="4"/>
      <c r="G172" s="4" t="s">
        <v>41</v>
      </c>
      <c r="H172" s="4"/>
      <c r="I172" s="4" t="s">
        <v>936</v>
      </c>
      <c r="J172" s="4"/>
      <c r="K172" s="4" t="s">
        <v>932</v>
      </c>
      <c r="L172" s="4"/>
      <c r="M172" s="4" t="s">
        <v>933</v>
      </c>
      <c r="N172" s="4"/>
      <c r="O172" s="4" t="s">
        <v>934</v>
      </c>
      <c r="P172" s="4"/>
      <c r="Q172" s="4" t="s">
        <v>935</v>
      </c>
      <c r="R172" s="4"/>
      <c r="S172" s="4" t="s">
        <v>940</v>
      </c>
      <c r="T172" s="4">
        <v>0</v>
      </c>
      <c r="U172" s="4">
        <v>0</v>
      </c>
      <c r="V172" s="4">
        <v>0</v>
      </c>
      <c r="W172" s="4"/>
      <c r="X172" s="4" t="s">
        <v>937</v>
      </c>
      <c r="Y172" s="4"/>
      <c r="Z172" s="4"/>
      <c r="AA172" s="41" t="s">
        <v>839</v>
      </c>
      <c r="AB172" s="42" t="s">
        <v>233</v>
      </c>
      <c r="AC172" s="43" t="s">
        <v>58</v>
      </c>
      <c r="AD172" s="43">
        <v>530000000</v>
      </c>
      <c r="AE172" s="44">
        <v>0</v>
      </c>
      <c r="AF172" s="44">
        <v>0</v>
      </c>
      <c r="AG172" s="44">
        <v>0</v>
      </c>
      <c r="AH172" s="44">
        <v>0</v>
      </c>
      <c r="AI172" s="44">
        <v>0</v>
      </c>
      <c r="AJ172" s="43">
        <v>530000000</v>
      </c>
      <c r="AK172" s="44">
        <v>0</v>
      </c>
      <c r="AL172" s="44">
        <v>0</v>
      </c>
      <c r="AM172" s="44">
        <v>0</v>
      </c>
      <c r="AN172" s="44">
        <v>0</v>
      </c>
      <c r="AO172" s="44">
        <v>0</v>
      </c>
      <c r="AP172" s="44">
        <v>0</v>
      </c>
      <c r="AQ172" s="44">
        <v>0</v>
      </c>
      <c r="AR172" s="44">
        <v>0</v>
      </c>
      <c r="AS172" s="44">
        <v>0</v>
      </c>
      <c r="AT172" s="40">
        <f t="shared" si="114"/>
        <v>0</v>
      </c>
      <c r="AU172" s="18">
        <f t="shared" si="115"/>
        <v>530000000</v>
      </c>
      <c r="AV172" s="34">
        <f t="shared" si="116"/>
        <v>0</v>
      </c>
      <c r="AW172" s="34">
        <f t="shared" si="117"/>
        <v>0</v>
      </c>
      <c r="AX172" s="123">
        <f t="shared" si="97"/>
        <v>0</v>
      </c>
    </row>
    <row r="173" spans="1:50" ht="18.75" customHeight="1" x14ac:dyDescent="0.2">
      <c r="A173" s="4" t="s">
        <v>55</v>
      </c>
      <c r="B173" s="4" t="s">
        <v>56</v>
      </c>
      <c r="C173" s="4"/>
      <c r="D173" s="4" t="s">
        <v>947</v>
      </c>
      <c r="E173" s="4"/>
      <c r="F173" s="4"/>
      <c r="G173" s="4" t="s">
        <v>41</v>
      </c>
      <c r="H173" s="4"/>
      <c r="I173" s="4" t="s">
        <v>936</v>
      </c>
      <c r="J173" s="4"/>
      <c r="K173" s="4" t="s">
        <v>932</v>
      </c>
      <c r="L173" s="4"/>
      <c r="M173" s="4" t="s">
        <v>933</v>
      </c>
      <c r="N173" s="4"/>
      <c r="O173" s="4" t="s">
        <v>934</v>
      </c>
      <c r="P173" s="4"/>
      <c r="Q173" s="4" t="s">
        <v>935</v>
      </c>
      <c r="R173" s="4"/>
      <c r="S173" s="4" t="s">
        <v>940</v>
      </c>
      <c r="T173" s="4">
        <v>0</v>
      </c>
      <c r="U173" s="4">
        <v>0</v>
      </c>
      <c r="V173" s="4">
        <v>0</v>
      </c>
      <c r="W173" s="4"/>
      <c r="X173" s="4" t="s">
        <v>937</v>
      </c>
      <c r="Y173" s="4"/>
      <c r="Z173" s="4"/>
      <c r="AA173" s="134" t="s">
        <v>838</v>
      </c>
      <c r="AB173" s="69" t="s">
        <v>278</v>
      </c>
      <c r="AC173" s="142" t="s">
        <v>253</v>
      </c>
      <c r="AD173" s="142">
        <v>600000000</v>
      </c>
      <c r="AE173" s="44">
        <v>0</v>
      </c>
      <c r="AF173" s="44">
        <v>0</v>
      </c>
      <c r="AG173" s="44">
        <v>0</v>
      </c>
      <c r="AH173" s="44">
        <v>0</v>
      </c>
      <c r="AI173" s="44">
        <v>0</v>
      </c>
      <c r="AJ173" s="43">
        <v>600000000</v>
      </c>
      <c r="AK173" s="44">
        <v>0</v>
      </c>
      <c r="AL173" s="44">
        <v>0</v>
      </c>
      <c r="AM173" s="44">
        <v>0</v>
      </c>
      <c r="AN173" s="44">
        <v>0</v>
      </c>
      <c r="AO173" s="44">
        <v>0</v>
      </c>
      <c r="AP173" s="44">
        <v>0</v>
      </c>
      <c r="AQ173" s="44">
        <v>0</v>
      </c>
      <c r="AR173" s="44">
        <v>0</v>
      </c>
      <c r="AS173" s="44">
        <v>0</v>
      </c>
      <c r="AT173" s="40">
        <f t="shared" si="114"/>
        <v>0</v>
      </c>
      <c r="AU173" s="18">
        <f t="shared" si="115"/>
        <v>600000000</v>
      </c>
      <c r="AV173" s="34">
        <f t="shared" si="116"/>
        <v>0</v>
      </c>
      <c r="AW173" s="34">
        <f t="shared" si="117"/>
        <v>0</v>
      </c>
      <c r="AX173" s="123">
        <f t="shared" si="97"/>
        <v>0</v>
      </c>
    </row>
    <row r="174" spans="1:50" ht="25.5" customHeight="1" x14ac:dyDescent="0.2">
      <c r="A174" s="4" t="s">
        <v>55</v>
      </c>
      <c r="B174" s="4" t="s">
        <v>56</v>
      </c>
      <c r="C174" s="4"/>
      <c r="D174" s="4" t="s">
        <v>947</v>
      </c>
      <c r="E174" s="4"/>
      <c r="F174" s="4"/>
      <c r="G174" s="4" t="s">
        <v>41</v>
      </c>
      <c r="H174" s="4"/>
      <c r="I174" s="4" t="s">
        <v>936</v>
      </c>
      <c r="J174" s="4"/>
      <c r="K174" s="4" t="s">
        <v>932</v>
      </c>
      <c r="L174" s="4"/>
      <c r="M174" s="4" t="s">
        <v>933</v>
      </c>
      <c r="N174" s="4"/>
      <c r="O174" s="4" t="s">
        <v>934</v>
      </c>
      <c r="P174" s="4"/>
      <c r="Q174" s="4" t="s">
        <v>935</v>
      </c>
      <c r="R174" s="4"/>
      <c r="S174" s="4" t="s">
        <v>940</v>
      </c>
      <c r="T174" s="4">
        <v>0</v>
      </c>
      <c r="U174" s="4">
        <v>0</v>
      </c>
      <c r="V174" s="4">
        <v>0</v>
      </c>
      <c r="W174" s="4"/>
      <c r="X174" s="4" t="s">
        <v>937</v>
      </c>
      <c r="Y174" s="4"/>
      <c r="Z174" s="4"/>
      <c r="AA174" s="134" t="s">
        <v>837</v>
      </c>
      <c r="AB174" s="69" t="s">
        <v>279</v>
      </c>
      <c r="AC174" s="142" t="s">
        <v>253</v>
      </c>
      <c r="AD174" s="142">
        <v>961836799</v>
      </c>
      <c r="AE174" s="44">
        <v>0</v>
      </c>
      <c r="AF174" s="44">
        <v>0</v>
      </c>
      <c r="AG174" s="44">
        <v>0</v>
      </c>
      <c r="AH174" s="44">
        <v>0</v>
      </c>
      <c r="AI174" s="44">
        <v>0</v>
      </c>
      <c r="AJ174" s="43">
        <v>961836799</v>
      </c>
      <c r="AK174" s="44">
        <v>0</v>
      </c>
      <c r="AL174" s="44">
        <v>178923563</v>
      </c>
      <c r="AM174" s="44">
        <v>178923563</v>
      </c>
      <c r="AN174" s="44">
        <v>0</v>
      </c>
      <c r="AO174" s="43">
        <v>178923563</v>
      </c>
      <c r="AP174" s="43">
        <v>178923563</v>
      </c>
      <c r="AQ174" s="44">
        <v>0</v>
      </c>
      <c r="AR174" s="43">
        <v>178923563</v>
      </c>
      <c r="AS174" s="44">
        <v>178923563</v>
      </c>
      <c r="AT174" s="40">
        <f t="shared" si="114"/>
        <v>178923563</v>
      </c>
      <c r="AU174" s="18">
        <f t="shared" si="115"/>
        <v>782913236</v>
      </c>
      <c r="AV174" s="34">
        <f t="shared" si="116"/>
        <v>0</v>
      </c>
      <c r="AW174" s="34">
        <f t="shared" si="117"/>
        <v>0</v>
      </c>
      <c r="AX174" s="123">
        <f t="shared" si="97"/>
        <v>0.18602278805096956</v>
      </c>
    </row>
    <row r="175" spans="1:50" ht="18.75" customHeight="1" x14ac:dyDescent="0.2">
      <c r="A175" s="4" t="s">
        <v>55</v>
      </c>
      <c r="B175" s="4" t="s">
        <v>56</v>
      </c>
      <c r="C175" s="4"/>
      <c r="D175" s="4" t="s">
        <v>947</v>
      </c>
      <c r="E175" s="4"/>
      <c r="F175" s="4"/>
      <c r="G175" s="4" t="s">
        <v>41</v>
      </c>
      <c r="H175" s="4"/>
      <c r="I175" s="4" t="s">
        <v>936</v>
      </c>
      <c r="J175" s="4"/>
      <c r="K175" s="4" t="s">
        <v>932</v>
      </c>
      <c r="L175" s="4"/>
      <c r="M175" s="4" t="s">
        <v>933</v>
      </c>
      <c r="N175" s="4"/>
      <c r="O175" s="4" t="s">
        <v>934</v>
      </c>
      <c r="P175" s="4"/>
      <c r="Q175" s="4" t="s">
        <v>935</v>
      </c>
      <c r="R175" s="4"/>
      <c r="S175" s="4" t="s">
        <v>940</v>
      </c>
      <c r="T175" s="4">
        <v>0</v>
      </c>
      <c r="U175" s="4">
        <v>0</v>
      </c>
      <c r="V175" s="4">
        <v>0</v>
      </c>
      <c r="W175" s="4"/>
      <c r="X175" s="4" t="s">
        <v>937</v>
      </c>
      <c r="Y175" s="4"/>
      <c r="Z175" s="4"/>
      <c r="AA175" s="134" t="s">
        <v>836</v>
      </c>
      <c r="AB175" s="69" t="s">
        <v>239</v>
      </c>
      <c r="AC175" s="142" t="s">
        <v>240</v>
      </c>
      <c r="AD175" s="142">
        <v>1460630365.4300001</v>
      </c>
      <c r="AE175" s="44">
        <v>0</v>
      </c>
      <c r="AF175" s="44">
        <v>0</v>
      </c>
      <c r="AG175" s="44">
        <v>0</v>
      </c>
      <c r="AH175" s="44">
        <v>0</v>
      </c>
      <c r="AI175" s="44">
        <v>0</v>
      </c>
      <c r="AJ175" s="43">
        <v>1460630365.4300001</v>
      </c>
      <c r="AK175" s="44">
        <v>0</v>
      </c>
      <c r="AL175" s="43">
        <v>34947095.219999999</v>
      </c>
      <c r="AM175" s="43">
        <v>319495871.25999999</v>
      </c>
      <c r="AN175" s="43">
        <v>0</v>
      </c>
      <c r="AO175" s="43">
        <v>34947095.219999999</v>
      </c>
      <c r="AP175" s="43">
        <v>319495871.25999999</v>
      </c>
      <c r="AQ175" s="44">
        <v>3487377.58</v>
      </c>
      <c r="AR175" s="43">
        <v>42535451.640000001</v>
      </c>
      <c r="AS175" s="43">
        <v>316008493.68000001</v>
      </c>
      <c r="AT175" s="39">
        <f t="shared" si="114"/>
        <v>319495871.25999999</v>
      </c>
      <c r="AU175" s="18">
        <f t="shared" si="115"/>
        <v>1141134494.1700001</v>
      </c>
      <c r="AV175" s="34">
        <f t="shared" si="116"/>
        <v>0</v>
      </c>
      <c r="AW175" s="18">
        <f t="shared" si="117"/>
        <v>0</v>
      </c>
      <c r="AX175" s="123">
        <f t="shared" si="97"/>
        <v>0.21873834669043218</v>
      </c>
    </row>
    <row r="176" spans="1:50" ht="18.75" customHeight="1" x14ac:dyDescent="0.2">
      <c r="A176" s="27" t="s">
        <v>37</v>
      </c>
      <c r="B176" s="27" t="s">
        <v>37</v>
      </c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186" t="s">
        <v>835</v>
      </c>
      <c r="AB176" s="68" t="s">
        <v>280</v>
      </c>
      <c r="AC176" s="187" t="s">
        <v>37</v>
      </c>
      <c r="AD176" s="187">
        <f>AD177</f>
        <v>200000000</v>
      </c>
      <c r="AE176" s="31">
        <f t="shared" ref="AE176:AS176" si="120">AE177</f>
        <v>0</v>
      </c>
      <c r="AF176" s="31">
        <f t="shared" si="120"/>
        <v>0</v>
      </c>
      <c r="AG176" s="31">
        <f t="shared" si="120"/>
        <v>0</v>
      </c>
      <c r="AH176" s="31">
        <f t="shared" si="120"/>
        <v>0</v>
      </c>
      <c r="AI176" s="31">
        <f t="shared" si="120"/>
        <v>0</v>
      </c>
      <c r="AJ176" s="30">
        <f t="shared" si="120"/>
        <v>200000000</v>
      </c>
      <c r="AK176" s="31">
        <f t="shared" si="120"/>
        <v>0</v>
      </c>
      <c r="AL176" s="31">
        <f t="shared" si="120"/>
        <v>0</v>
      </c>
      <c r="AM176" s="31">
        <f t="shared" si="120"/>
        <v>0</v>
      </c>
      <c r="AN176" s="31">
        <f t="shared" si="120"/>
        <v>0</v>
      </c>
      <c r="AO176" s="31">
        <f t="shared" si="120"/>
        <v>0</v>
      </c>
      <c r="AP176" s="31">
        <f t="shared" si="120"/>
        <v>0</v>
      </c>
      <c r="AQ176" s="31">
        <f t="shared" si="120"/>
        <v>0</v>
      </c>
      <c r="AR176" s="31">
        <f t="shared" si="120"/>
        <v>0</v>
      </c>
      <c r="AS176" s="31">
        <f t="shared" si="120"/>
        <v>0</v>
      </c>
      <c r="AT176" s="40">
        <f t="shared" si="114"/>
        <v>0</v>
      </c>
      <c r="AU176" s="18">
        <f t="shared" si="115"/>
        <v>200000000</v>
      </c>
      <c r="AV176" s="34">
        <f t="shared" si="116"/>
        <v>0</v>
      </c>
      <c r="AW176" s="34">
        <f t="shared" si="117"/>
        <v>0</v>
      </c>
      <c r="AX176" s="123">
        <f t="shared" si="97"/>
        <v>0</v>
      </c>
    </row>
    <row r="177" spans="1:50" ht="18.75" customHeight="1" x14ac:dyDescent="0.2">
      <c r="A177" s="4" t="s">
        <v>55</v>
      </c>
      <c r="B177" s="4" t="s">
        <v>56</v>
      </c>
      <c r="C177" s="4"/>
      <c r="D177" s="4" t="s">
        <v>947</v>
      </c>
      <c r="E177" s="4"/>
      <c r="F177" s="4"/>
      <c r="G177" s="4" t="s">
        <v>41</v>
      </c>
      <c r="H177" s="4"/>
      <c r="I177" s="4" t="s">
        <v>936</v>
      </c>
      <c r="J177" s="4"/>
      <c r="K177" s="4" t="s">
        <v>932</v>
      </c>
      <c r="L177" s="4"/>
      <c r="M177" s="4" t="s">
        <v>933</v>
      </c>
      <c r="N177" s="4"/>
      <c r="O177" s="4" t="s">
        <v>934</v>
      </c>
      <c r="P177" s="4"/>
      <c r="Q177" s="4" t="s">
        <v>935</v>
      </c>
      <c r="R177" s="4"/>
      <c r="S177" s="4" t="s">
        <v>940</v>
      </c>
      <c r="T177" s="4">
        <v>0</v>
      </c>
      <c r="U177" s="4">
        <v>0</v>
      </c>
      <c r="V177" s="4">
        <v>0</v>
      </c>
      <c r="W177" s="4"/>
      <c r="X177" s="4" t="s">
        <v>937</v>
      </c>
      <c r="Y177" s="4"/>
      <c r="Z177" s="4"/>
      <c r="AA177" s="134" t="s">
        <v>834</v>
      </c>
      <c r="AB177" s="69" t="s">
        <v>281</v>
      </c>
      <c r="AC177" s="142" t="s">
        <v>253</v>
      </c>
      <c r="AD177" s="142">
        <v>200000000</v>
      </c>
      <c r="AE177" s="44">
        <v>0</v>
      </c>
      <c r="AF177" s="44">
        <v>0</v>
      </c>
      <c r="AG177" s="44">
        <v>0</v>
      </c>
      <c r="AH177" s="44">
        <v>0</v>
      </c>
      <c r="AI177" s="44">
        <v>0</v>
      </c>
      <c r="AJ177" s="43">
        <v>200000000</v>
      </c>
      <c r="AK177" s="44">
        <v>0</v>
      </c>
      <c r="AL177" s="44">
        <v>0</v>
      </c>
      <c r="AM177" s="44">
        <v>0</v>
      </c>
      <c r="AN177" s="44">
        <v>0</v>
      </c>
      <c r="AO177" s="44">
        <v>0</v>
      </c>
      <c r="AP177" s="44">
        <v>0</v>
      </c>
      <c r="AQ177" s="44">
        <v>0</v>
      </c>
      <c r="AR177" s="44">
        <v>0</v>
      </c>
      <c r="AS177" s="44">
        <v>0</v>
      </c>
      <c r="AT177" s="40">
        <f t="shared" si="114"/>
        <v>0</v>
      </c>
      <c r="AU177" s="18">
        <f t="shared" si="115"/>
        <v>200000000</v>
      </c>
      <c r="AV177" s="34">
        <f t="shared" si="116"/>
        <v>0</v>
      </c>
      <c r="AW177" s="34">
        <f t="shared" si="117"/>
        <v>0</v>
      </c>
      <c r="AX177" s="123">
        <f t="shared" si="97"/>
        <v>0</v>
      </c>
    </row>
    <row r="178" spans="1:50" ht="18.75" customHeight="1" x14ac:dyDescent="0.2">
      <c r="AA178" s="16"/>
      <c r="AB178" s="17"/>
      <c r="AC178" s="17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34"/>
      <c r="AT178" s="39"/>
      <c r="AU178" s="18"/>
      <c r="AV178" s="34"/>
      <c r="AW178" s="34"/>
      <c r="AX178" s="123"/>
    </row>
    <row r="179" spans="1:50" s="124" customFormat="1" ht="18.75" customHeigh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7" t="s">
        <v>282</v>
      </c>
      <c r="AB179" s="128" t="s">
        <v>283</v>
      </c>
      <c r="AC179" s="128"/>
      <c r="AD179" s="129">
        <f t="shared" ref="AD179:AS179" si="121">AD220+AD462+AD584+AD638+AD850+AD873+AD908+AD923+AD939+AD952+AD965+AD976+AD1031+AD814</f>
        <v>778687617478</v>
      </c>
      <c r="AE179" s="130">
        <f t="shared" si="121"/>
        <v>30988412763</v>
      </c>
      <c r="AF179" s="130">
        <f t="shared" si="121"/>
        <v>0</v>
      </c>
      <c r="AG179" s="129">
        <f t="shared" si="121"/>
        <v>75854149388.350006</v>
      </c>
      <c r="AH179" s="129">
        <f t="shared" si="121"/>
        <v>75854149388.350006</v>
      </c>
      <c r="AI179" s="130">
        <f t="shared" si="121"/>
        <v>30988412763</v>
      </c>
      <c r="AJ179" s="129">
        <f t="shared" si="121"/>
        <v>809676030241</v>
      </c>
      <c r="AK179" s="130">
        <f t="shared" si="121"/>
        <v>0</v>
      </c>
      <c r="AL179" s="129">
        <f t="shared" si="121"/>
        <v>67851219729.790001</v>
      </c>
      <c r="AM179" s="129">
        <f t="shared" si="121"/>
        <v>447592897574.87</v>
      </c>
      <c r="AN179" s="129">
        <f t="shared" si="121"/>
        <v>342545147.06999999</v>
      </c>
      <c r="AO179" s="129">
        <f t="shared" si="121"/>
        <v>44402669035.120003</v>
      </c>
      <c r="AP179" s="129">
        <f t="shared" si="121"/>
        <v>210726661094.54999</v>
      </c>
      <c r="AQ179" s="129">
        <f t="shared" si="121"/>
        <v>3911634687</v>
      </c>
      <c r="AR179" s="129">
        <f t="shared" si="121"/>
        <v>30183761260.349998</v>
      </c>
      <c r="AS179" s="129">
        <f t="shared" si="121"/>
        <v>107362457674.48001</v>
      </c>
      <c r="AT179" s="131">
        <f>AQ179+AS179</f>
        <v>111274092361.48001</v>
      </c>
      <c r="AU179" s="129">
        <f>AU220+AU462+AU584+AU638+AU850+AU873+AU908+AU923+AU939+AU952+AU965+AU976+AU1031+AU814</f>
        <v>362083132666.13</v>
      </c>
      <c r="AV179" s="129">
        <f>AV220+AV462+AV584+AV638+AV850+AV873+AV908+AV923+AV939+AV952+AV965+AV976+AV1031+AV814</f>
        <v>236866236480.32001</v>
      </c>
      <c r="AW179" s="129">
        <f>AW220+AW462+AW584+AW638+AW850+AW873+AW908+AW923+AW939+AW952+AW965+AW976+AW1031+AW814</f>
        <v>99452568733.069992</v>
      </c>
      <c r="AX179" s="132">
        <f t="shared" si="97"/>
        <v>0.26026046619143117</v>
      </c>
    </row>
    <row r="180" spans="1:50" ht="18.75" customHeight="1" x14ac:dyDescent="0.2">
      <c r="AA180" s="16"/>
      <c r="AB180" s="17"/>
      <c r="AC180" s="17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</row>
    <row r="181" spans="1:50" s="25" customFormat="1" ht="18.75" customHeight="1" x14ac:dyDescent="0.2">
      <c r="A181" s="58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60"/>
      <c r="AB181" s="21" t="s">
        <v>284</v>
      </c>
      <c r="AC181" s="61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3"/>
    </row>
    <row r="182" spans="1:50" ht="18.75" customHeight="1" x14ac:dyDescent="0.2">
      <c r="A182" s="35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7"/>
      <c r="AB182" s="29" t="s">
        <v>285</v>
      </c>
      <c r="AC182" s="38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0"/>
      <c r="AU182" s="39"/>
      <c r="AV182" s="39"/>
      <c r="AW182" s="39"/>
      <c r="AX182" s="18"/>
    </row>
    <row r="183" spans="1:50" ht="18.75" customHeight="1" x14ac:dyDescent="0.2">
      <c r="A183" s="35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7"/>
      <c r="AB183" s="29" t="s">
        <v>286</v>
      </c>
      <c r="AC183" s="38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0"/>
      <c r="AU183" s="39"/>
      <c r="AV183" s="39"/>
      <c r="AW183" s="39"/>
      <c r="AX183" s="18"/>
    </row>
    <row r="184" spans="1:50" ht="18.75" customHeight="1" x14ac:dyDescent="0.2">
      <c r="A184" s="35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7"/>
      <c r="AB184" s="29" t="s">
        <v>179</v>
      </c>
      <c r="AC184" s="38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0"/>
      <c r="AU184" s="39"/>
      <c r="AV184" s="39"/>
      <c r="AW184" s="39"/>
      <c r="AX184" s="18"/>
    </row>
    <row r="185" spans="1:50" ht="18.75" customHeight="1" x14ac:dyDescent="0.2">
      <c r="A185" s="14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6"/>
      <c r="AB185" s="29" t="s">
        <v>181</v>
      </c>
      <c r="AC185" s="17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30"/>
      <c r="AU185" s="18"/>
      <c r="AV185" s="18"/>
      <c r="AW185" s="18"/>
      <c r="AX185" s="18"/>
    </row>
    <row r="186" spans="1:50" ht="18.75" customHeight="1" x14ac:dyDescent="0.2">
      <c r="A186" s="14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6"/>
      <c r="AB186" s="29" t="s">
        <v>287</v>
      </c>
      <c r="AC186" s="17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30"/>
      <c r="AU186" s="18"/>
      <c r="AV186" s="18"/>
      <c r="AW186" s="18"/>
      <c r="AX186" s="18"/>
    </row>
    <row r="187" spans="1:50" ht="25.5" x14ac:dyDescent="0.2">
      <c r="A187" s="35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28" t="s">
        <v>288</v>
      </c>
      <c r="AB187" s="29" t="s">
        <v>289</v>
      </c>
      <c r="AC187" s="38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0"/>
      <c r="AU187" s="39"/>
      <c r="AV187" s="39"/>
      <c r="AW187" s="39"/>
      <c r="AX187" s="18"/>
    </row>
    <row r="188" spans="1:50" ht="18.75" customHeight="1" x14ac:dyDescent="0.2">
      <c r="A188" s="14" t="s">
        <v>55</v>
      </c>
      <c r="B188" s="15" t="s">
        <v>56</v>
      </c>
      <c r="C188" s="15"/>
      <c r="D188" s="15"/>
      <c r="E188" s="15"/>
      <c r="F188" s="15"/>
      <c r="G188" s="15" t="s">
        <v>41</v>
      </c>
      <c r="H188" s="15"/>
      <c r="I188" s="15" t="s">
        <v>936</v>
      </c>
      <c r="J188" s="15"/>
      <c r="K188" s="15" t="s">
        <v>932</v>
      </c>
      <c r="L188" s="15"/>
      <c r="M188" s="15" t="s">
        <v>933</v>
      </c>
      <c r="N188" s="15"/>
      <c r="O188" s="15" t="s">
        <v>948</v>
      </c>
      <c r="P188" s="15"/>
      <c r="Q188" s="15" t="s">
        <v>942</v>
      </c>
      <c r="R188" s="15"/>
      <c r="S188" s="15" t="s">
        <v>940</v>
      </c>
      <c r="T188" s="15">
        <v>0</v>
      </c>
      <c r="U188" s="15">
        <v>0</v>
      </c>
      <c r="V188" s="15">
        <v>0</v>
      </c>
      <c r="W188" s="15"/>
      <c r="X188" s="15" t="s">
        <v>937</v>
      </c>
      <c r="Y188" s="15"/>
      <c r="Z188" s="15"/>
      <c r="AA188" s="16" t="s">
        <v>290</v>
      </c>
      <c r="AB188" s="17" t="s">
        <v>233</v>
      </c>
      <c r="AC188" s="17" t="s">
        <v>58</v>
      </c>
      <c r="AD188" s="18">
        <v>100000000</v>
      </c>
      <c r="AE188" s="34">
        <v>0</v>
      </c>
      <c r="AF188" s="34">
        <v>0</v>
      </c>
      <c r="AG188" s="34">
        <v>0</v>
      </c>
      <c r="AH188" s="34">
        <v>0</v>
      </c>
      <c r="AI188" s="34">
        <v>0</v>
      </c>
      <c r="AJ188" s="18">
        <v>100000000</v>
      </c>
      <c r="AK188" s="34">
        <v>0</v>
      </c>
      <c r="AL188" s="34">
        <v>0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40">
        <f t="shared" ref="AT188" si="122">AQ188+AS188</f>
        <v>0</v>
      </c>
      <c r="AU188" s="18">
        <f t="shared" ref="AU188" si="123">AJ188-AM188</f>
        <v>100000000</v>
      </c>
      <c r="AV188" s="34">
        <f t="shared" ref="AV188" si="124">AM188-AP188</f>
        <v>0</v>
      </c>
      <c r="AW188" s="34">
        <f t="shared" ref="AW188" si="125">AP188-AT188</f>
        <v>0</v>
      </c>
      <c r="AX188" s="123">
        <f t="shared" ref="AX188" si="126">AP188/AJ188</f>
        <v>0</v>
      </c>
    </row>
    <row r="189" spans="1:50" ht="18.75" customHeight="1" x14ac:dyDescent="0.2">
      <c r="A189" s="14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6"/>
      <c r="AB189" s="29" t="s">
        <v>291</v>
      </c>
      <c r="AC189" s="17"/>
      <c r="AD189" s="18"/>
      <c r="AE189" s="18"/>
      <c r="AF189" s="18"/>
      <c r="AG189" s="18"/>
      <c r="AH189" s="18"/>
      <c r="AI189" s="18"/>
      <c r="AJ189" s="18"/>
      <c r="AK189" s="18"/>
      <c r="AL189" s="18"/>
      <c r="AM189" s="34"/>
      <c r="AN189" s="34"/>
      <c r="AO189" s="34"/>
      <c r="AP189" s="34"/>
      <c r="AQ189" s="34"/>
      <c r="AR189" s="34"/>
      <c r="AS189" s="34"/>
      <c r="AT189" s="31"/>
      <c r="AU189" s="18"/>
      <c r="AV189" s="34"/>
      <c r="AW189" s="34"/>
      <c r="AX189" s="18"/>
    </row>
    <row r="190" spans="1:50" ht="18.75" customHeight="1" x14ac:dyDescent="0.2">
      <c r="A190" s="14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28" t="s">
        <v>288</v>
      </c>
      <c r="AB190" s="29" t="s">
        <v>292</v>
      </c>
      <c r="AC190" s="17"/>
      <c r="AD190" s="18"/>
      <c r="AE190" s="34"/>
      <c r="AF190" s="34"/>
      <c r="AG190" s="34"/>
      <c r="AH190" s="34"/>
      <c r="AI190" s="34"/>
      <c r="AJ190" s="18"/>
      <c r="AK190" s="18"/>
      <c r="AL190" s="18"/>
      <c r="AM190" s="34"/>
      <c r="AN190" s="34"/>
      <c r="AO190" s="34"/>
      <c r="AP190" s="34"/>
      <c r="AQ190" s="34"/>
      <c r="AR190" s="34"/>
      <c r="AS190" s="34"/>
      <c r="AT190" s="31"/>
      <c r="AU190" s="18"/>
      <c r="AV190" s="34"/>
      <c r="AW190" s="34"/>
      <c r="AX190" s="18"/>
    </row>
    <row r="191" spans="1:50" ht="18.75" customHeight="1" x14ac:dyDescent="0.2">
      <c r="A191" s="14" t="s">
        <v>55</v>
      </c>
      <c r="B191" s="15" t="s">
        <v>56</v>
      </c>
      <c r="C191" s="15"/>
      <c r="D191" s="15"/>
      <c r="E191" s="15"/>
      <c r="F191" s="15"/>
      <c r="G191" s="15" t="s">
        <v>41</v>
      </c>
      <c r="H191" s="15"/>
      <c r="I191" s="15" t="s">
        <v>936</v>
      </c>
      <c r="J191" s="15"/>
      <c r="K191" s="15" t="s">
        <v>932</v>
      </c>
      <c r="L191" s="15"/>
      <c r="M191" s="15" t="s">
        <v>933</v>
      </c>
      <c r="N191" s="15"/>
      <c r="O191" s="15" t="s">
        <v>948</v>
      </c>
      <c r="P191" s="15"/>
      <c r="Q191" s="15" t="s">
        <v>942</v>
      </c>
      <c r="R191" s="15"/>
      <c r="S191" s="15" t="s">
        <v>940</v>
      </c>
      <c r="T191" s="15">
        <v>0</v>
      </c>
      <c r="U191" s="15">
        <v>0</v>
      </c>
      <c r="V191" s="15">
        <v>0</v>
      </c>
      <c r="W191" s="15"/>
      <c r="X191" s="15" t="s">
        <v>937</v>
      </c>
      <c r="Y191" s="15"/>
      <c r="Z191" s="15"/>
      <c r="AA191" s="16" t="s">
        <v>293</v>
      </c>
      <c r="AB191" s="17" t="s">
        <v>233</v>
      </c>
      <c r="AC191" s="17" t="s">
        <v>58</v>
      </c>
      <c r="AD191" s="18">
        <v>500000000</v>
      </c>
      <c r="AE191" s="34">
        <v>0</v>
      </c>
      <c r="AF191" s="34">
        <v>0</v>
      </c>
      <c r="AG191" s="34">
        <v>0</v>
      </c>
      <c r="AH191" s="34">
        <v>0</v>
      </c>
      <c r="AI191" s="34">
        <v>0</v>
      </c>
      <c r="AJ191" s="18">
        <v>500000000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40">
        <f t="shared" ref="AT191" si="127">AQ191+AS191</f>
        <v>0</v>
      </c>
      <c r="AU191" s="18">
        <f t="shared" ref="AU191" si="128">AJ191-AM191</f>
        <v>500000000</v>
      </c>
      <c r="AV191" s="34">
        <f t="shared" ref="AV191" si="129">AM191-AP191</f>
        <v>0</v>
      </c>
      <c r="AW191" s="34">
        <f t="shared" ref="AW191" si="130">AP191-AT191</f>
        <v>0</v>
      </c>
      <c r="AX191" s="123">
        <f t="shared" ref="AX191" si="131">AP191/AJ191</f>
        <v>0</v>
      </c>
    </row>
    <row r="192" spans="1:50" ht="27" customHeight="1" x14ac:dyDescent="0.2">
      <c r="A192" s="14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28" t="s">
        <v>288</v>
      </c>
      <c r="AB192" s="29" t="s">
        <v>294</v>
      </c>
      <c r="AC192" s="17"/>
      <c r="AD192" s="18"/>
      <c r="AE192" s="34"/>
      <c r="AF192" s="34"/>
      <c r="AG192" s="34"/>
      <c r="AH192" s="34"/>
      <c r="AI192" s="34"/>
      <c r="AJ192" s="18"/>
      <c r="AK192" s="34"/>
      <c r="AL192" s="34"/>
      <c r="AM192" s="34"/>
      <c r="AN192" s="34"/>
      <c r="AO192" s="34"/>
      <c r="AP192" s="34"/>
      <c r="AQ192" s="34"/>
      <c r="AR192" s="34"/>
      <c r="AS192" s="34"/>
      <c r="AT192" s="31"/>
      <c r="AU192" s="18"/>
      <c r="AV192" s="34"/>
      <c r="AW192" s="34"/>
      <c r="AX192" s="18"/>
    </row>
    <row r="193" spans="1:50" ht="18.75" customHeight="1" x14ac:dyDescent="0.2">
      <c r="A193" s="14" t="s">
        <v>55</v>
      </c>
      <c r="B193" s="15" t="s">
        <v>56</v>
      </c>
      <c r="C193" s="15"/>
      <c r="D193" s="15"/>
      <c r="E193" s="15"/>
      <c r="F193" s="15"/>
      <c r="G193" s="15" t="s">
        <v>41</v>
      </c>
      <c r="H193" s="15"/>
      <c r="I193" s="15" t="s">
        <v>936</v>
      </c>
      <c r="J193" s="15"/>
      <c r="K193" s="15" t="s">
        <v>932</v>
      </c>
      <c r="L193" s="15"/>
      <c r="M193" s="15" t="s">
        <v>933</v>
      </c>
      <c r="N193" s="15"/>
      <c r="O193" s="15" t="s">
        <v>948</v>
      </c>
      <c r="P193" s="15"/>
      <c r="Q193" s="15" t="s">
        <v>942</v>
      </c>
      <c r="R193" s="15"/>
      <c r="S193" s="15" t="s">
        <v>940</v>
      </c>
      <c r="T193" s="15">
        <v>0</v>
      </c>
      <c r="U193" s="15">
        <v>0</v>
      </c>
      <c r="V193" s="15">
        <v>0</v>
      </c>
      <c r="W193" s="15"/>
      <c r="X193" s="15" t="s">
        <v>937</v>
      </c>
      <c r="Y193" s="15"/>
      <c r="Z193" s="15"/>
      <c r="AA193" s="16" t="s">
        <v>295</v>
      </c>
      <c r="AB193" s="17" t="s">
        <v>233</v>
      </c>
      <c r="AC193" s="17" t="s">
        <v>58</v>
      </c>
      <c r="AD193" s="18">
        <v>400000000</v>
      </c>
      <c r="AE193" s="34">
        <v>0</v>
      </c>
      <c r="AF193" s="34">
        <v>0</v>
      </c>
      <c r="AG193" s="34">
        <v>0</v>
      </c>
      <c r="AH193" s="34">
        <v>0</v>
      </c>
      <c r="AI193" s="34">
        <v>0</v>
      </c>
      <c r="AJ193" s="18">
        <v>400000000</v>
      </c>
      <c r="AK193" s="34">
        <v>0</v>
      </c>
      <c r="AL193" s="110">
        <f>AM193-FEBRERO!P193</f>
        <v>0</v>
      </c>
      <c r="AM193" s="110">
        <v>73076486</v>
      </c>
      <c r="AN193" s="34">
        <v>0</v>
      </c>
      <c r="AO193" s="110">
        <v>0</v>
      </c>
      <c r="AP193" s="110">
        <v>68918969</v>
      </c>
      <c r="AQ193" s="34">
        <v>0</v>
      </c>
      <c r="AR193" s="34">
        <v>0</v>
      </c>
      <c r="AS193" s="34">
        <v>0</v>
      </c>
      <c r="AT193" s="40">
        <f t="shared" ref="AT193" si="132">AQ193+AS193</f>
        <v>0</v>
      </c>
      <c r="AU193" s="18">
        <f t="shared" ref="AU193" si="133">AJ193-AM193</f>
        <v>326923514</v>
      </c>
      <c r="AV193" s="110">
        <f t="shared" ref="AV193" si="134">AM193-AP193</f>
        <v>4157517</v>
      </c>
      <c r="AW193" s="18">
        <f t="shared" ref="AW193" si="135">AP193-AT193</f>
        <v>68918969</v>
      </c>
      <c r="AX193" s="123">
        <f t="shared" ref="AX193" si="136">AP193/AJ193</f>
        <v>0.17229742249999999</v>
      </c>
    </row>
    <row r="194" spans="1:50" ht="18.75" customHeight="1" x14ac:dyDescent="0.2">
      <c r="A194" s="14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6"/>
      <c r="AB194" s="17"/>
      <c r="AC194" s="17"/>
      <c r="AD194" s="18"/>
      <c r="AE194" s="34"/>
      <c r="AF194" s="34"/>
      <c r="AG194" s="34"/>
      <c r="AH194" s="34"/>
      <c r="AI194" s="34"/>
      <c r="AJ194" s="18"/>
      <c r="AK194" s="34"/>
      <c r="AL194" s="34"/>
      <c r="AM194" s="34"/>
      <c r="AN194" s="34"/>
      <c r="AO194" s="34"/>
      <c r="AP194" s="34"/>
      <c r="AQ194" s="34"/>
      <c r="AR194" s="34"/>
      <c r="AS194" s="18"/>
      <c r="AT194" s="30"/>
      <c r="AU194" s="18"/>
      <c r="AV194" s="18"/>
      <c r="AW194" s="18"/>
      <c r="AX194" s="18"/>
    </row>
    <row r="195" spans="1:50" ht="18.75" customHeight="1" x14ac:dyDescent="0.2">
      <c r="A195" s="14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6"/>
      <c r="AB195" s="29" t="s">
        <v>189</v>
      </c>
      <c r="AC195" s="17"/>
      <c r="AD195" s="18"/>
      <c r="AE195" s="34"/>
      <c r="AF195" s="34"/>
      <c r="AG195" s="34"/>
      <c r="AH195" s="34"/>
      <c r="AI195" s="34"/>
      <c r="AJ195" s="18"/>
      <c r="AK195" s="34"/>
      <c r="AL195" s="34"/>
      <c r="AM195" s="34"/>
      <c r="AN195" s="34"/>
      <c r="AO195" s="34"/>
      <c r="AP195" s="34"/>
      <c r="AQ195" s="34"/>
      <c r="AR195" s="34"/>
      <c r="AS195" s="18"/>
      <c r="AT195" s="30"/>
      <c r="AU195" s="18"/>
      <c r="AV195" s="18"/>
      <c r="AW195" s="18"/>
      <c r="AX195" s="18"/>
    </row>
    <row r="196" spans="1:50" ht="18.75" customHeight="1" x14ac:dyDescent="0.2">
      <c r="A196" s="14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6"/>
      <c r="AB196" s="29" t="s">
        <v>191</v>
      </c>
      <c r="AC196" s="17"/>
      <c r="AD196" s="18"/>
      <c r="AE196" s="34"/>
      <c r="AF196" s="34"/>
      <c r="AG196" s="34"/>
      <c r="AH196" s="34"/>
      <c r="AI196" s="34"/>
      <c r="AJ196" s="18"/>
      <c r="AK196" s="34"/>
      <c r="AL196" s="34"/>
      <c r="AM196" s="34"/>
      <c r="AN196" s="34"/>
      <c r="AO196" s="34"/>
      <c r="AP196" s="34"/>
      <c r="AQ196" s="34"/>
      <c r="AR196" s="34"/>
      <c r="AS196" s="18"/>
      <c r="AT196" s="30"/>
      <c r="AU196" s="18"/>
      <c r="AV196" s="18"/>
      <c r="AW196" s="18"/>
      <c r="AX196" s="18"/>
    </row>
    <row r="197" spans="1:50" ht="18.75" customHeight="1" x14ac:dyDescent="0.2">
      <c r="A197" s="14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28" t="s">
        <v>288</v>
      </c>
      <c r="AB197" s="29" t="s">
        <v>296</v>
      </c>
      <c r="AC197" s="17"/>
      <c r="AD197" s="18"/>
      <c r="AE197" s="34"/>
      <c r="AF197" s="34"/>
      <c r="AG197" s="34"/>
      <c r="AH197" s="34"/>
      <c r="AI197" s="34"/>
      <c r="AJ197" s="18"/>
      <c r="AK197" s="34"/>
      <c r="AL197" s="34"/>
      <c r="AM197" s="34"/>
      <c r="AN197" s="34"/>
      <c r="AO197" s="34"/>
      <c r="AP197" s="34"/>
      <c r="AQ197" s="34"/>
      <c r="AR197" s="34"/>
      <c r="AS197" s="18"/>
      <c r="AT197" s="30"/>
      <c r="AU197" s="18"/>
      <c r="AV197" s="18"/>
      <c r="AW197" s="18"/>
      <c r="AX197" s="18"/>
    </row>
    <row r="198" spans="1:50" ht="18.75" customHeight="1" x14ac:dyDescent="0.2">
      <c r="A198" s="14" t="s">
        <v>55</v>
      </c>
      <c r="B198" s="15" t="s">
        <v>56</v>
      </c>
      <c r="C198" s="15"/>
      <c r="D198" s="15"/>
      <c r="E198" s="15"/>
      <c r="F198" s="15"/>
      <c r="G198" s="15" t="s">
        <v>41</v>
      </c>
      <c r="H198" s="15"/>
      <c r="I198" s="15" t="s">
        <v>936</v>
      </c>
      <c r="J198" s="15"/>
      <c r="K198" s="15" t="s">
        <v>932</v>
      </c>
      <c r="L198" s="15"/>
      <c r="M198" s="15" t="s">
        <v>933</v>
      </c>
      <c r="N198" s="15"/>
      <c r="O198" s="15" t="s">
        <v>948</v>
      </c>
      <c r="P198" s="15"/>
      <c r="Q198" s="15" t="s">
        <v>942</v>
      </c>
      <c r="R198" s="15"/>
      <c r="S198" s="15" t="s">
        <v>940</v>
      </c>
      <c r="T198" s="15">
        <v>0</v>
      </c>
      <c r="U198" s="15">
        <v>0</v>
      </c>
      <c r="V198" s="15">
        <v>0</v>
      </c>
      <c r="W198" s="15"/>
      <c r="X198" s="15" t="s">
        <v>937</v>
      </c>
      <c r="Y198" s="15"/>
      <c r="Z198" s="15"/>
      <c r="AA198" s="16" t="s">
        <v>297</v>
      </c>
      <c r="AB198" s="17" t="s">
        <v>233</v>
      </c>
      <c r="AC198" s="17" t="s">
        <v>58</v>
      </c>
      <c r="AD198" s="18">
        <v>200000000</v>
      </c>
      <c r="AE198" s="34">
        <v>0</v>
      </c>
      <c r="AF198" s="34">
        <v>0</v>
      </c>
      <c r="AG198" s="34">
        <v>0</v>
      </c>
      <c r="AH198" s="34">
        <v>0</v>
      </c>
      <c r="AI198" s="34">
        <v>0</v>
      </c>
      <c r="AJ198" s="18">
        <v>200000000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4">
        <v>0</v>
      </c>
      <c r="AQ198" s="34">
        <v>0</v>
      </c>
      <c r="AR198" s="34">
        <v>0</v>
      </c>
      <c r="AS198" s="34">
        <v>0</v>
      </c>
      <c r="AT198" s="40">
        <f t="shared" ref="AT198" si="137">AQ198+AS198</f>
        <v>0</v>
      </c>
      <c r="AU198" s="18">
        <f t="shared" ref="AU198" si="138">AJ198-AM198</f>
        <v>200000000</v>
      </c>
      <c r="AV198" s="34">
        <f t="shared" ref="AV198" si="139">AM198-AP198</f>
        <v>0</v>
      </c>
      <c r="AW198" s="34">
        <f t="shared" ref="AW198" si="140">AP198-AT198</f>
        <v>0</v>
      </c>
      <c r="AX198" s="123">
        <f t="shared" ref="AX198" si="141">AP198/AJ198</f>
        <v>0</v>
      </c>
    </row>
    <row r="199" spans="1:50" ht="24" customHeight="1" x14ac:dyDescent="0.2">
      <c r="A199" s="14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6"/>
      <c r="AB199" s="29" t="s">
        <v>298</v>
      </c>
      <c r="AC199" s="17"/>
      <c r="AD199" s="18"/>
      <c r="AE199" s="34"/>
      <c r="AF199" s="34"/>
      <c r="AG199" s="34"/>
      <c r="AH199" s="34"/>
      <c r="AI199" s="34"/>
      <c r="AJ199" s="18"/>
      <c r="AK199" s="18"/>
      <c r="AL199" s="18"/>
      <c r="AM199" s="18"/>
      <c r="AN199" s="18"/>
      <c r="AO199" s="18"/>
      <c r="AP199" s="18"/>
      <c r="AQ199" s="18"/>
      <c r="AR199" s="18"/>
      <c r="AS199" s="34"/>
      <c r="AT199" s="31"/>
      <c r="AU199" s="18"/>
      <c r="AV199" s="18"/>
      <c r="AW199" s="18"/>
      <c r="AX199" s="18"/>
    </row>
    <row r="200" spans="1:50" ht="18.75" customHeight="1" x14ac:dyDescent="0.2">
      <c r="A200" s="14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28" t="s">
        <v>288</v>
      </c>
      <c r="AB200" s="29" t="s">
        <v>299</v>
      </c>
      <c r="AC200" s="17"/>
      <c r="AD200" s="18"/>
      <c r="AE200" s="34"/>
      <c r="AF200" s="34"/>
      <c r="AG200" s="34"/>
      <c r="AH200" s="34"/>
      <c r="AI200" s="34"/>
      <c r="AJ200" s="18"/>
      <c r="AK200" s="18"/>
      <c r="AL200" s="18"/>
      <c r="AM200" s="18"/>
      <c r="AN200" s="18"/>
      <c r="AO200" s="18"/>
      <c r="AP200" s="18"/>
      <c r="AQ200" s="18"/>
      <c r="AR200" s="18"/>
      <c r="AS200" s="34"/>
      <c r="AT200" s="31"/>
      <c r="AU200" s="18"/>
      <c r="AV200" s="18"/>
      <c r="AW200" s="18"/>
      <c r="AX200" s="18"/>
    </row>
    <row r="201" spans="1:50" ht="18.75" customHeight="1" x14ac:dyDescent="0.2">
      <c r="A201" s="14" t="s">
        <v>55</v>
      </c>
      <c r="B201" s="15" t="s">
        <v>56</v>
      </c>
      <c r="C201" s="15"/>
      <c r="D201" s="15"/>
      <c r="E201" s="15"/>
      <c r="F201" s="15"/>
      <c r="G201" s="15" t="s">
        <v>41</v>
      </c>
      <c r="H201" s="15"/>
      <c r="I201" s="15" t="s">
        <v>936</v>
      </c>
      <c r="J201" s="15"/>
      <c r="K201" s="15" t="s">
        <v>932</v>
      </c>
      <c r="L201" s="15"/>
      <c r="M201" s="15" t="s">
        <v>933</v>
      </c>
      <c r="N201" s="15"/>
      <c r="O201" s="15" t="s">
        <v>948</v>
      </c>
      <c r="P201" s="15"/>
      <c r="Q201" s="15" t="s">
        <v>942</v>
      </c>
      <c r="R201" s="15"/>
      <c r="S201" s="15" t="s">
        <v>940</v>
      </c>
      <c r="T201" s="15">
        <v>0</v>
      </c>
      <c r="U201" s="15">
        <v>0</v>
      </c>
      <c r="V201" s="15">
        <v>0</v>
      </c>
      <c r="W201" s="15"/>
      <c r="X201" s="15" t="s">
        <v>937</v>
      </c>
      <c r="Y201" s="15"/>
      <c r="Z201" s="15"/>
      <c r="AA201" s="16" t="s">
        <v>300</v>
      </c>
      <c r="AB201" s="17" t="s">
        <v>233</v>
      </c>
      <c r="AC201" s="17" t="s">
        <v>58</v>
      </c>
      <c r="AD201" s="18">
        <v>250000000</v>
      </c>
      <c r="AE201" s="34">
        <v>0</v>
      </c>
      <c r="AF201" s="34">
        <v>0</v>
      </c>
      <c r="AG201" s="34">
        <v>0</v>
      </c>
      <c r="AH201" s="34">
        <v>0</v>
      </c>
      <c r="AI201" s="34">
        <v>0</v>
      </c>
      <c r="AJ201" s="18">
        <v>250000000</v>
      </c>
      <c r="AK201" s="34">
        <v>0</v>
      </c>
      <c r="AL201" s="18">
        <f>AM201-FEBRERO!P201</f>
        <v>0</v>
      </c>
      <c r="AM201" s="18">
        <v>224500000</v>
      </c>
      <c r="AN201" s="18">
        <v>0</v>
      </c>
      <c r="AO201" s="18">
        <v>9000000</v>
      </c>
      <c r="AP201" s="18">
        <v>184500000</v>
      </c>
      <c r="AQ201" s="18">
        <v>34200000</v>
      </c>
      <c r="AR201" s="18">
        <v>27433331</v>
      </c>
      <c r="AS201" s="18">
        <v>27433331</v>
      </c>
      <c r="AT201" s="39">
        <f t="shared" ref="AT201:AT213" si="142">AQ201+AS201</f>
        <v>61633331</v>
      </c>
      <c r="AU201" s="18">
        <f t="shared" ref="AU201" si="143">AJ201-AM201</f>
        <v>25500000</v>
      </c>
      <c r="AV201" s="110">
        <f t="shared" ref="AV201" si="144">AM201-AP201</f>
        <v>40000000</v>
      </c>
      <c r="AW201" s="110">
        <f t="shared" ref="AW201" si="145">AP201-AT201</f>
        <v>122866669</v>
      </c>
      <c r="AX201" s="123">
        <f t="shared" ref="AX201" si="146">AP201/AJ201</f>
        <v>0.73799999999999999</v>
      </c>
    </row>
    <row r="202" spans="1:50" ht="18.75" customHeight="1" x14ac:dyDescent="0.2">
      <c r="A202" s="14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28" t="s">
        <v>288</v>
      </c>
      <c r="AB202" s="29" t="s">
        <v>292</v>
      </c>
      <c r="AC202" s="17"/>
      <c r="AD202" s="18"/>
      <c r="AE202" s="34"/>
      <c r="AF202" s="34"/>
      <c r="AG202" s="34"/>
      <c r="AH202" s="34"/>
      <c r="AI202" s="34"/>
      <c r="AJ202" s="18"/>
      <c r="AK202" s="34"/>
      <c r="AL202" s="18"/>
      <c r="AM202" s="18"/>
      <c r="AN202" s="18"/>
      <c r="AO202" s="18"/>
      <c r="AP202" s="18"/>
      <c r="AQ202" s="18"/>
      <c r="AR202" s="18"/>
      <c r="AS202" s="34"/>
      <c r="AT202" s="31"/>
      <c r="AU202" s="18"/>
      <c r="AV202" s="18"/>
      <c r="AW202" s="18"/>
      <c r="AX202" s="18"/>
    </row>
    <row r="203" spans="1:50" ht="18.75" customHeight="1" x14ac:dyDescent="0.2">
      <c r="A203" s="35" t="s">
        <v>55</v>
      </c>
      <c r="B203" s="36" t="s">
        <v>56</v>
      </c>
      <c r="C203" s="36"/>
      <c r="D203" s="36"/>
      <c r="E203" s="36"/>
      <c r="F203" s="36"/>
      <c r="G203" s="36" t="s">
        <v>41</v>
      </c>
      <c r="H203" s="36"/>
      <c r="I203" s="36" t="s">
        <v>936</v>
      </c>
      <c r="J203" s="36"/>
      <c r="K203" s="36" t="s">
        <v>932</v>
      </c>
      <c r="L203" s="36"/>
      <c r="M203" s="36" t="s">
        <v>933</v>
      </c>
      <c r="N203" s="36"/>
      <c r="O203" s="36" t="s">
        <v>948</v>
      </c>
      <c r="P203" s="36"/>
      <c r="Q203" s="36" t="s">
        <v>942</v>
      </c>
      <c r="R203" s="36"/>
      <c r="S203" s="36" t="s">
        <v>940</v>
      </c>
      <c r="T203" s="36">
        <v>0</v>
      </c>
      <c r="U203" s="36">
        <v>0</v>
      </c>
      <c r="V203" s="36">
        <v>0</v>
      </c>
      <c r="W203" s="36"/>
      <c r="X203" s="36" t="s">
        <v>937</v>
      </c>
      <c r="Y203" s="36"/>
      <c r="Z203" s="36"/>
      <c r="AA203" s="37" t="s">
        <v>301</v>
      </c>
      <c r="AB203" s="38" t="s">
        <v>233</v>
      </c>
      <c r="AC203" s="38" t="s">
        <v>58</v>
      </c>
      <c r="AD203" s="39">
        <v>200000000</v>
      </c>
      <c r="AE203" s="40">
        <v>0</v>
      </c>
      <c r="AF203" s="40">
        <v>0</v>
      </c>
      <c r="AG203" s="40">
        <v>0</v>
      </c>
      <c r="AH203" s="40">
        <v>0</v>
      </c>
      <c r="AI203" s="40">
        <v>0</v>
      </c>
      <c r="AJ203" s="39">
        <v>200000000</v>
      </c>
      <c r="AK203" s="40">
        <v>0</v>
      </c>
      <c r="AL203" s="39">
        <v>0</v>
      </c>
      <c r="AM203" s="40">
        <v>0</v>
      </c>
      <c r="AN203" s="40">
        <v>0</v>
      </c>
      <c r="AO203" s="40">
        <v>0</v>
      </c>
      <c r="AP203" s="40">
        <v>0</v>
      </c>
      <c r="AQ203" s="40">
        <v>0</v>
      </c>
      <c r="AR203" s="40">
        <v>0</v>
      </c>
      <c r="AS203" s="40">
        <v>0</v>
      </c>
      <c r="AT203" s="40">
        <f t="shared" ref="AT203" si="147">AQ203+AS203</f>
        <v>0</v>
      </c>
      <c r="AU203" s="18">
        <f t="shared" ref="AU203" si="148">AJ203-AM203</f>
        <v>200000000</v>
      </c>
      <c r="AV203" s="34">
        <f t="shared" ref="AV203" si="149">AM203-AP203</f>
        <v>0</v>
      </c>
      <c r="AW203" s="34">
        <f t="shared" ref="AW203" si="150">AP203-AT203</f>
        <v>0</v>
      </c>
      <c r="AX203" s="123">
        <f t="shared" ref="AX203" si="151">AP203/AJ203</f>
        <v>0</v>
      </c>
    </row>
    <row r="204" spans="1:50" ht="24.75" customHeight="1" x14ac:dyDescent="0.2">
      <c r="A204" s="14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28" t="s">
        <v>288</v>
      </c>
      <c r="AB204" s="29" t="s">
        <v>302</v>
      </c>
      <c r="AC204" s="17"/>
      <c r="AD204" s="18"/>
      <c r="AE204" s="34"/>
      <c r="AF204" s="34"/>
      <c r="AG204" s="34"/>
      <c r="AH204" s="34"/>
      <c r="AI204" s="34"/>
      <c r="AJ204" s="18"/>
      <c r="AK204" s="18"/>
      <c r="AL204" s="18"/>
      <c r="AM204" s="34"/>
      <c r="AN204" s="34"/>
      <c r="AO204" s="34"/>
      <c r="AP204" s="34"/>
      <c r="AQ204" s="34"/>
      <c r="AR204" s="34"/>
      <c r="AS204" s="34"/>
      <c r="AT204" s="31"/>
      <c r="AU204" s="18"/>
      <c r="AV204" s="34"/>
      <c r="AW204" s="34"/>
      <c r="AX204" s="18"/>
    </row>
    <row r="205" spans="1:50" ht="18.75" customHeight="1" x14ac:dyDescent="0.2">
      <c r="A205" s="14" t="s">
        <v>55</v>
      </c>
      <c r="B205" s="15" t="s">
        <v>56</v>
      </c>
      <c r="C205" s="15"/>
      <c r="D205" s="15"/>
      <c r="E205" s="15"/>
      <c r="F205" s="15"/>
      <c r="G205" s="15" t="s">
        <v>41</v>
      </c>
      <c r="H205" s="15"/>
      <c r="I205" s="15" t="s">
        <v>936</v>
      </c>
      <c r="J205" s="15"/>
      <c r="K205" s="15" t="s">
        <v>932</v>
      </c>
      <c r="L205" s="15"/>
      <c r="M205" s="15" t="s">
        <v>933</v>
      </c>
      <c r="N205" s="15"/>
      <c r="O205" s="15" t="s">
        <v>948</v>
      </c>
      <c r="P205" s="15"/>
      <c r="Q205" s="15" t="s">
        <v>942</v>
      </c>
      <c r="R205" s="15"/>
      <c r="S205" s="15" t="s">
        <v>940</v>
      </c>
      <c r="T205" s="15">
        <v>0</v>
      </c>
      <c r="U205" s="15">
        <v>0</v>
      </c>
      <c r="V205" s="15">
        <v>0</v>
      </c>
      <c r="W205" s="15"/>
      <c r="X205" s="15" t="s">
        <v>937</v>
      </c>
      <c r="Y205" s="15"/>
      <c r="Z205" s="15"/>
      <c r="AA205" s="16" t="s">
        <v>303</v>
      </c>
      <c r="AB205" s="17" t="s">
        <v>233</v>
      </c>
      <c r="AC205" s="17" t="s">
        <v>58</v>
      </c>
      <c r="AD205" s="18">
        <v>850000000</v>
      </c>
      <c r="AE205" s="34">
        <v>0</v>
      </c>
      <c r="AF205" s="34">
        <v>0</v>
      </c>
      <c r="AG205" s="34">
        <v>0</v>
      </c>
      <c r="AH205" s="34">
        <v>0</v>
      </c>
      <c r="AI205" s="34">
        <v>0</v>
      </c>
      <c r="AJ205" s="18">
        <v>850000000</v>
      </c>
      <c r="AK205" s="18">
        <v>0</v>
      </c>
      <c r="AL205" s="18">
        <f>AM205-FEBRERO!P205</f>
        <v>60000000</v>
      </c>
      <c r="AM205" s="110">
        <v>635607711</v>
      </c>
      <c r="AN205" s="110">
        <v>0</v>
      </c>
      <c r="AO205" s="110">
        <v>201179430</v>
      </c>
      <c r="AP205" s="110">
        <v>634679430</v>
      </c>
      <c r="AQ205" s="34">
        <v>69450000</v>
      </c>
      <c r="AR205" s="34">
        <v>29143334</v>
      </c>
      <c r="AS205" s="34">
        <v>29143334</v>
      </c>
      <c r="AT205" s="40">
        <f t="shared" ref="AT205" si="152">AQ205+AS205</f>
        <v>98593334</v>
      </c>
      <c r="AU205" s="18">
        <f t="shared" ref="AU205" si="153">AJ205-AM205</f>
        <v>214392289</v>
      </c>
      <c r="AV205" s="110">
        <f t="shared" ref="AV205" si="154">AM205-AP205</f>
        <v>928281</v>
      </c>
      <c r="AW205" s="110">
        <f t="shared" ref="AW205" si="155">AP205-AT205</f>
        <v>536086096</v>
      </c>
      <c r="AX205" s="123">
        <f t="shared" ref="AX205" si="156">AP205/AJ205</f>
        <v>0.74668168235294119</v>
      </c>
    </row>
    <row r="206" spans="1:50" ht="18.75" customHeight="1" x14ac:dyDescent="0.2">
      <c r="A206" s="35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28" t="s">
        <v>288</v>
      </c>
      <c r="AB206" s="29" t="s">
        <v>304</v>
      </c>
      <c r="AC206" s="38"/>
      <c r="AD206" s="39"/>
      <c r="AE206" s="40"/>
      <c r="AF206" s="40"/>
      <c r="AG206" s="40"/>
      <c r="AH206" s="40"/>
      <c r="AI206" s="40"/>
      <c r="AJ206" s="39"/>
      <c r="AK206" s="39"/>
      <c r="AL206" s="39"/>
      <c r="AM206" s="40"/>
      <c r="AN206" s="40"/>
      <c r="AO206" s="40"/>
      <c r="AP206" s="40"/>
      <c r="AQ206" s="40"/>
      <c r="AR206" s="40"/>
      <c r="AS206" s="40"/>
      <c r="AT206" s="31"/>
      <c r="AU206" s="39"/>
      <c r="AV206" s="40"/>
      <c r="AW206" s="40"/>
      <c r="AX206" s="18"/>
    </row>
    <row r="207" spans="1:50" ht="18.75" customHeight="1" x14ac:dyDescent="0.2">
      <c r="A207" s="14" t="s">
        <v>55</v>
      </c>
      <c r="B207" s="15" t="s">
        <v>56</v>
      </c>
      <c r="C207" s="15"/>
      <c r="D207" s="15"/>
      <c r="E207" s="15"/>
      <c r="F207" s="15"/>
      <c r="G207" s="15" t="s">
        <v>41</v>
      </c>
      <c r="H207" s="15"/>
      <c r="I207" s="15" t="s">
        <v>936</v>
      </c>
      <c r="J207" s="15"/>
      <c r="K207" s="15" t="s">
        <v>932</v>
      </c>
      <c r="L207" s="15"/>
      <c r="M207" s="15" t="s">
        <v>933</v>
      </c>
      <c r="N207" s="15"/>
      <c r="O207" s="15" t="s">
        <v>948</v>
      </c>
      <c r="P207" s="15"/>
      <c r="Q207" s="15" t="s">
        <v>942</v>
      </c>
      <c r="R207" s="15"/>
      <c r="S207" s="15" t="s">
        <v>940</v>
      </c>
      <c r="T207" s="15">
        <v>0</v>
      </c>
      <c r="U207" s="15">
        <v>0</v>
      </c>
      <c r="V207" s="15">
        <v>0</v>
      </c>
      <c r="W207" s="15"/>
      <c r="X207" s="15" t="s">
        <v>937</v>
      </c>
      <c r="Y207" s="15"/>
      <c r="Z207" s="15"/>
      <c r="AA207" s="16" t="s">
        <v>305</v>
      </c>
      <c r="AB207" s="17" t="s">
        <v>233</v>
      </c>
      <c r="AC207" s="17" t="s">
        <v>58</v>
      </c>
      <c r="AD207" s="18">
        <v>100000000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18">
        <v>100000000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40">
        <f t="shared" ref="AT207:AT209" si="157">AQ207+AS207</f>
        <v>0</v>
      </c>
      <c r="AU207" s="18">
        <f t="shared" ref="AU207" si="158">AJ207-AM207</f>
        <v>100000000</v>
      </c>
      <c r="AV207" s="34">
        <f t="shared" ref="AV207" si="159">AM207-AP207</f>
        <v>0</v>
      </c>
      <c r="AW207" s="34">
        <f t="shared" ref="AW207" si="160">AP207-AT207</f>
        <v>0</v>
      </c>
      <c r="AX207" s="123">
        <f t="shared" ref="AX207" si="161">AP207/AJ207</f>
        <v>0</v>
      </c>
    </row>
    <row r="208" spans="1:50" ht="40.5" customHeight="1" x14ac:dyDescent="0.2">
      <c r="A208" s="14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41" t="s">
        <v>288</v>
      </c>
      <c r="AB208" s="74" t="s">
        <v>958</v>
      </c>
      <c r="AC208" s="17"/>
      <c r="AD208" s="18"/>
      <c r="AE208" s="34"/>
      <c r="AF208" s="34"/>
      <c r="AG208" s="34"/>
      <c r="AH208" s="34"/>
      <c r="AI208" s="34"/>
      <c r="AJ208" s="18"/>
      <c r="AK208" s="34"/>
      <c r="AL208" s="34"/>
      <c r="AM208" s="34"/>
      <c r="AN208" s="34"/>
      <c r="AO208" s="34"/>
      <c r="AP208" s="34"/>
      <c r="AQ208" s="34"/>
      <c r="AR208" s="34"/>
      <c r="AS208" s="34"/>
      <c r="AT208" s="40"/>
      <c r="AU208" s="18"/>
      <c r="AV208" s="34"/>
      <c r="AW208" s="34"/>
      <c r="AX208" s="123"/>
    </row>
    <row r="209" spans="1:50" ht="30" customHeight="1" thickBot="1" x14ac:dyDescent="0.25">
      <c r="A209" s="14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85" t="s">
        <v>765</v>
      </c>
      <c r="AB209" s="69" t="s">
        <v>233</v>
      </c>
      <c r="AC209" s="17"/>
      <c r="AD209" s="18">
        <v>0</v>
      </c>
      <c r="AE209" s="34">
        <v>0</v>
      </c>
      <c r="AF209" s="34">
        <v>0</v>
      </c>
      <c r="AG209" s="18">
        <v>200000000</v>
      </c>
      <c r="AH209" s="34">
        <v>0</v>
      </c>
      <c r="AI209" s="18">
        <f>AE209-AF209+AG209-AH209</f>
        <v>200000000</v>
      </c>
      <c r="AJ209" s="18">
        <f>AD209+AI209</f>
        <v>200000000</v>
      </c>
      <c r="AK209" s="34">
        <v>0</v>
      </c>
      <c r="AL209" s="34">
        <v>0</v>
      </c>
      <c r="AM209" s="34">
        <v>0</v>
      </c>
      <c r="AN209" s="34">
        <v>0</v>
      </c>
      <c r="AO209" s="34">
        <v>0</v>
      </c>
      <c r="AP209" s="34">
        <v>0</v>
      </c>
      <c r="AQ209" s="34">
        <v>0</v>
      </c>
      <c r="AR209" s="34">
        <v>0</v>
      </c>
      <c r="AS209" s="34">
        <v>0</v>
      </c>
      <c r="AT209" s="40">
        <f t="shared" si="157"/>
        <v>0</v>
      </c>
      <c r="AU209" s="18">
        <f t="shared" ref="AU209" si="162">AJ209-AM209</f>
        <v>200000000</v>
      </c>
      <c r="AV209" s="34">
        <f t="shared" ref="AV209" si="163">AM209-AP209</f>
        <v>0</v>
      </c>
      <c r="AW209" s="34">
        <f t="shared" ref="AW209" si="164">AP209-AT209</f>
        <v>0</v>
      </c>
      <c r="AX209" s="123">
        <f t="shared" ref="AX209" si="165">AP209/AJ209</f>
        <v>0</v>
      </c>
    </row>
    <row r="210" spans="1:50" ht="18.75" customHeight="1" x14ac:dyDescent="0.2">
      <c r="A210" s="35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28" t="s">
        <v>288</v>
      </c>
      <c r="AB210" s="29" t="s">
        <v>306</v>
      </c>
      <c r="AC210" s="38"/>
      <c r="AD210" s="39"/>
      <c r="AE210" s="40"/>
      <c r="AF210" s="40"/>
      <c r="AG210" s="40"/>
      <c r="AH210" s="40"/>
      <c r="AI210" s="40"/>
      <c r="AJ210" s="39"/>
      <c r="AK210" s="40"/>
      <c r="AL210" s="40"/>
      <c r="AM210" s="40"/>
      <c r="AN210" s="40"/>
      <c r="AO210" s="40"/>
      <c r="AP210" s="40"/>
      <c r="AQ210" s="40"/>
      <c r="AR210" s="40"/>
      <c r="AS210" s="39"/>
      <c r="AT210" s="30"/>
      <c r="AU210" s="39"/>
      <c r="AV210" s="39"/>
      <c r="AW210" s="40"/>
      <c r="AX210" s="18"/>
    </row>
    <row r="211" spans="1:50" ht="18.75" customHeight="1" x14ac:dyDescent="0.2">
      <c r="A211" s="14" t="s">
        <v>55</v>
      </c>
      <c r="B211" s="15" t="s">
        <v>56</v>
      </c>
      <c r="C211" s="15"/>
      <c r="D211" s="15"/>
      <c r="E211" s="15"/>
      <c r="F211" s="15"/>
      <c r="G211" s="15" t="s">
        <v>41</v>
      </c>
      <c r="H211" s="15"/>
      <c r="I211" s="15" t="s">
        <v>936</v>
      </c>
      <c r="J211" s="15"/>
      <c r="K211" s="15" t="s">
        <v>932</v>
      </c>
      <c r="L211" s="15"/>
      <c r="M211" s="15" t="s">
        <v>933</v>
      </c>
      <c r="N211" s="15"/>
      <c r="O211" s="15" t="s">
        <v>948</v>
      </c>
      <c r="P211" s="15"/>
      <c r="Q211" s="15" t="s">
        <v>942</v>
      </c>
      <c r="R211" s="15"/>
      <c r="S211" s="15" t="s">
        <v>940</v>
      </c>
      <c r="T211" s="15">
        <v>0</v>
      </c>
      <c r="U211" s="15">
        <v>0</v>
      </c>
      <c r="V211" s="15">
        <v>0</v>
      </c>
      <c r="W211" s="15"/>
      <c r="X211" s="15" t="s">
        <v>937</v>
      </c>
      <c r="Y211" s="15"/>
      <c r="Z211" s="15"/>
      <c r="AA211" s="16" t="s">
        <v>307</v>
      </c>
      <c r="AB211" s="17" t="s">
        <v>233</v>
      </c>
      <c r="AC211" s="17" t="s">
        <v>58</v>
      </c>
      <c r="AD211" s="18">
        <v>50000000</v>
      </c>
      <c r="AE211" s="34">
        <v>0</v>
      </c>
      <c r="AF211" s="34">
        <v>0</v>
      </c>
      <c r="AG211" s="34">
        <v>0</v>
      </c>
      <c r="AH211" s="34">
        <v>0</v>
      </c>
      <c r="AI211" s="34">
        <v>0</v>
      </c>
      <c r="AJ211" s="18">
        <v>50000000</v>
      </c>
      <c r="AK211" s="34">
        <v>0</v>
      </c>
      <c r="AL211" s="34">
        <v>0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40">
        <f t="shared" si="142"/>
        <v>0</v>
      </c>
      <c r="AU211" s="18">
        <f t="shared" ref="AU211" si="166">AJ211-AM211</f>
        <v>50000000</v>
      </c>
      <c r="AV211" s="34">
        <f t="shared" ref="AV211" si="167">AM211-AP211</f>
        <v>0</v>
      </c>
      <c r="AW211" s="34">
        <f t="shared" ref="AW211" si="168">AP211-AT211</f>
        <v>0</v>
      </c>
      <c r="AX211" s="123">
        <f t="shared" ref="AX211" si="169">AP211/AJ211</f>
        <v>0</v>
      </c>
    </row>
    <row r="212" spans="1:50" ht="18.75" customHeight="1" x14ac:dyDescent="0.2">
      <c r="A212" s="14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28" t="s">
        <v>288</v>
      </c>
      <c r="AB212" s="29" t="s">
        <v>308</v>
      </c>
      <c r="AC212" s="17"/>
      <c r="AD212" s="18"/>
      <c r="AE212" s="34"/>
      <c r="AF212" s="34"/>
      <c r="AG212" s="34"/>
      <c r="AH212" s="34"/>
      <c r="AI212" s="34"/>
      <c r="AJ212" s="18"/>
      <c r="AK212" s="34"/>
      <c r="AL212" s="34"/>
      <c r="AM212" s="34"/>
      <c r="AN212" s="34"/>
      <c r="AO212" s="34"/>
      <c r="AP212" s="34"/>
      <c r="AQ212" s="34"/>
      <c r="AR212" s="34"/>
      <c r="AS212" s="34"/>
      <c r="AT212" s="31"/>
      <c r="AU212" s="18"/>
      <c r="AV212" s="18"/>
      <c r="AW212" s="34"/>
      <c r="AX212" s="18"/>
    </row>
    <row r="213" spans="1:50" ht="18.75" customHeight="1" x14ac:dyDescent="0.2">
      <c r="A213" s="35" t="s">
        <v>55</v>
      </c>
      <c r="B213" s="36" t="s">
        <v>56</v>
      </c>
      <c r="C213" s="36"/>
      <c r="D213" s="36"/>
      <c r="E213" s="36"/>
      <c r="F213" s="36"/>
      <c r="G213" s="36" t="s">
        <v>41</v>
      </c>
      <c r="H213" s="36"/>
      <c r="I213" s="36" t="s">
        <v>936</v>
      </c>
      <c r="J213" s="36"/>
      <c r="K213" s="36" t="s">
        <v>932</v>
      </c>
      <c r="L213" s="36"/>
      <c r="M213" s="36" t="s">
        <v>933</v>
      </c>
      <c r="N213" s="36"/>
      <c r="O213" s="36" t="s">
        <v>948</v>
      </c>
      <c r="P213" s="36"/>
      <c r="Q213" s="36" t="s">
        <v>942</v>
      </c>
      <c r="R213" s="36"/>
      <c r="S213" s="36" t="s">
        <v>940</v>
      </c>
      <c r="T213" s="36">
        <v>0</v>
      </c>
      <c r="U213" s="36">
        <v>0</v>
      </c>
      <c r="V213" s="36">
        <v>0</v>
      </c>
      <c r="W213" s="36"/>
      <c r="X213" s="36" t="s">
        <v>937</v>
      </c>
      <c r="Y213" s="36"/>
      <c r="Z213" s="36"/>
      <c r="AA213" s="37" t="s">
        <v>309</v>
      </c>
      <c r="AB213" s="38" t="s">
        <v>233</v>
      </c>
      <c r="AC213" s="38" t="s">
        <v>58</v>
      </c>
      <c r="AD213" s="39">
        <v>50000000</v>
      </c>
      <c r="AE213" s="40">
        <v>0</v>
      </c>
      <c r="AF213" s="40">
        <v>0</v>
      </c>
      <c r="AG213" s="40">
        <v>0</v>
      </c>
      <c r="AH213" s="40">
        <v>0</v>
      </c>
      <c r="AI213" s="40">
        <v>0</v>
      </c>
      <c r="AJ213" s="39">
        <v>50000000</v>
      </c>
      <c r="AK213" s="40">
        <v>0</v>
      </c>
      <c r="AL213" s="40">
        <v>0</v>
      </c>
      <c r="AM213" s="40">
        <v>0</v>
      </c>
      <c r="AN213" s="40">
        <v>0</v>
      </c>
      <c r="AO213" s="40">
        <v>0</v>
      </c>
      <c r="AP213" s="40">
        <v>0</v>
      </c>
      <c r="AQ213" s="40">
        <v>0</v>
      </c>
      <c r="AR213" s="40">
        <v>0</v>
      </c>
      <c r="AS213" s="40">
        <v>0</v>
      </c>
      <c r="AT213" s="40">
        <f t="shared" si="142"/>
        <v>0</v>
      </c>
      <c r="AU213" s="18">
        <f t="shared" ref="AU213" si="170">AJ213-AM213</f>
        <v>50000000</v>
      </c>
      <c r="AV213" s="34">
        <f t="shared" ref="AV213" si="171">AM213-AP213</f>
        <v>0</v>
      </c>
      <c r="AW213" s="34">
        <f t="shared" ref="AW213" si="172">AP213-AT213</f>
        <v>0</v>
      </c>
      <c r="AX213" s="123">
        <f t="shared" ref="AX213" si="173">AP213/AJ213</f>
        <v>0</v>
      </c>
    </row>
    <row r="214" spans="1:50" ht="18.75" customHeight="1" x14ac:dyDescent="0.2">
      <c r="A214" s="14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28" t="s">
        <v>288</v>
      </c>
      <c r="AB214" s="29" t="s">
        <v>310</v>
      </c>
      <c r="AC214" s="17"/>
      <c r="AD214" s="18"/>
      <c r="AE214" s="34"/>
      <c r="AF214" s="34"/>
      <c r="AG214" s="34"/>
      <c r="AH214" s="34"/>
      <c r="AI214" s="34"/>
      <c r="AJ214" s="18"/>
      <c r="AK214" s="18"/>
      <c r="AL214" s="18"/>
      <c r="AM214" s="18"/>
      <c r="AN214" s="18"/>
      <c r="AO214" s="18"/>
      <c r="AP214" s="18"/>
      <c r="AQ214" s="18"/>
      <c r="AR214" s="18"/>
      <c r="AS214" s="34"/>
      <c r="AT214" s="31"/>
      <c r="AU214" s="18"/>
      <c r="AV214" s="18"/>
      <c r="AW214" s="18"/>
      <c r="AX214" s="18"/>
    </row>
    <row r="215" spans="1:50" ht="18.75" customHeight="1" x14ac:dyDescent="0.2">
      <c r="A215" s="14" t="s">
        <v>55</v>
      </c>
      <c r="B215" s="15" t="s">
        <v>56</v>
      </c>
      <c r="C215" s="15"/>
      <c r="D215" s="15"/>
      <c r="E215" s="15"/>
      <c r="F215" s="15"/>
      <c r="G215" s="15" t="s">
        <v>41</v>
      </c>
      <c r="H215" s="15"/>
      <c r="I215" s="15" t="s">
        <v>936</v>
      </c>
      <c r="J215" s="15"/>
      <c r="K215" s="15" t="s">
        <v>932</v>
      </c>
      <c r="L215" s="15"/>
      <c r="M215" s="15" t="s">
        <v>933</v>
      </c>
      <c r="N215" s="15"/>
      <c r="O215" s="15" t="s">
        <v>948</v>
      </c>
      <c r="P215" s="15"/>
      <c r="Q215" s="15" t="s">
        <v>942</v>
      </c>
      <c r="R215" s="15"/>
      <c r="S215" s="15" t="s">
        <v>940</v>
      </c>
      <c r="T215" s="15">
        <v>0</v>
      </c>
      <c r="U215" s="15">
        <v>0</v>
      </c>
      <c r="V215" s="15">
        <v>0</v>
      </c>
      <c r="W215" s="15"/>
      <c r="X215" s="15" t="s">
        <v>937</v>
      </c>
      <c r="Y215" s="15"/>
      <c r="Z215" s="15"/>
      <c r="AA215" s="16" t="s">
        <v>311</v>
      </c>
      <c r="AB215" s="17" t="s">
        <v>233</v>
      </c>
      <c r="AC215" s="17" t="s">
        <v>58</v>
      </c>
      <c r="AD215" s="18">
        <v>1400000000</v>
      </c>
      <c r="AE215" s="34">
        <v>0</v>
      </c>
      <c r="AF215" s="34">
        <v>0</v>
      </c>
      <c r="AG215" s="34">
        <v>0</v>
      </c>
      <c r="AH215" s="34">
        <v>0</v>
      </c>
      <c r="AI215" s="34">
        <v>0</v>
      </c>
      <c r="AJ215" s="18">
        <v>1400000000</v>
      </c>
      <c r="AK215" s="34">
        <v>0</v>
      </c>
      <c r="AL215" s="18">
        <f>AM215-FEBRERO!P213</f>
        <v>0</v>
      </c>
      <c r="AM215" s="18">
        <v>1141145081</v>
      </c>
      <c r="AN215" s="34">
        <v>0</v>
      </c>
      <c r="AO215" s="34">
        <v>0</v>
      </c>
      <c r="AP215" s="18">
        <v>425500000</v>
      </c>
      <c r="AQ215" s="18">
        <v>58900000</v>
      </c>
      <c r="AR215" s="18">
        <v>15266666</v>
      </c>
      <c r="AS215" s="18">
        <v>19449999</v>
      </c>
      <c r="AT215" s="111">
        <f t="shared" ref="AT215" si="174">AQ215+AS215</f>
        <v>78349999</v>
      </c>
      <c r="AU215" s="18">
        <f t="shared" ref="AU215" si="175">AJ215-AM215</f>
        <v>258854919</v>
      </c>
      <c r="AV215" s="110">
        <f t="shared" ref="AV215" si="176">AM215-AP215</f>
        <v>715645081</v>
      </c>
      <c r="AW215" s="18">
        <f t="shared" ref="AW215" si="177">AP215-AT215</f>
        <v>347150001</v>
      </c>
      <c r="AX215" s="123">
        <f t="shared" ref="AX215" si="178">AP215/AJ215</f>
        <v>0.30392857142857144</v>
      </c>
    </row>
    <row r="216" spans="1:50" ht="18.75" customHeight="1" x14ac:dyDescent="0.2">
      <c r="A216" s="35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7"/>
      <c r="AB216" s="29" t="s">
        <v>199</v>
      </c>
      <c r="AC216" s="38"/>
      <c r="AD216" s="39"/>
      <c r="AE216" s="40"/>
      <c r="AF216" s="40"/>
      <c r="AG216" s="40"/>
      <c r="AH216" s="40"/>
      <c r="AI216" s="40"/>
      <c r="AJ216" s="39"/>
      <c r="AK216" s="40"/>
      <c r="AL216" s="39"/>
      <c r="AM216" s="39"/>
      <c r="AN216" s="39"/>
      <c r="AO216" s="39"/>
      <c r="AP216" s="39"/>
      <c r="AQ216" s="40"/>
      <c r="AR216" s="40"/>
      <c r="AS216" s="40"/>
      <c r="AT216" s="31"/>
      <c r="AU216" s="39"/>
      <c r="AV216" s="39"/>
      <c r="AW216" s="39"/>
      <c r="AX216" s="18"/>
    </row>
    <row r="217" spans="1:50" ht="26.25" customHeight="1" x14ac:dyDescent="0.2">
      <c r="A217" s="14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28" t="s">
        <v>288</v>
      </c>
      <c r="AB217" s="29" t="s">
        <v>312</v>
      </c>
      <c r="AC217" s="17"/>
      <c r="AD217" s="18"/>
      <c r="AE217" s="34"/>
      <c r="AF217" s="34"/>
      <c r="AG217" s="34"/>
      <c r="AH217" s="34"/>
      <c r="AI217" s="34"/>
      <c r="AJ217" s="18"/>
      <c r="AK217" s="34"/>
      <c r="AL217" s="18"/>
      <c r="AM217" s="18"/>
      <c r="AN217" s="18"/>
      <c r="AO217" s="18"/>
      <c r="AP217" s="18"/>
      <c r="AQ217" s="34"/>
      <c r="AR217" s="34"/>
      <c r="AS217" s="34"/>
      <c r="AT217" s="31"/>
      <c r="AU217" s="18"/>
      <c r="AV217" s="18"/>
      <c r="AW217" s="18"/>
      <c r="AX217" s="18"/>
    </row>
    <row r="218" spans="1:50" ht="18.75" customHeight="1" x14ac:dyDescent="0.2">
      <c r="A218" s="14" t="s">
        <v>55</v>
      </c>
      <c r="B218" s="15" t="s">
        <v>56</v>
      </c>
      <c r="C218" s="15"/>
      <c r="D218" s="15"/>
      <c r="E218" s="15"/>
      <c r="F218" s="15"/>
      <c r="G218" s="15" t="s">
        <v>41</v>
      </c>
      <c r="H218" s="15"/>
      <c r="I218" s="15" t="s">
        <v>936</v>
      </c>
      <c r="J218" s="15"/>
      <c r="K218" s="15" t="s">
        <v>932</v>
      </c>
      <c r="L218" s="15"/>
      <c r="M218" s="15" t="s">
        <v>933</v>
      </c>
      <c r="N218" s="15"/>
      <c r="O218" s="15" t="s">
        <v>948</v>
      </c>
      <c r="P218" s="15"/>
      <c r="Q218" s="15" t="s">
        <v>942</v>
      </c>
      <c r="R218" s="15"/>
      <c r="S218" s="15" t="s">
        <v>940</v>
      </c>
      <c r="T218" s="15">
        <v>0</v>
      </c>
      <c r="U218" s="15">
        <v>0</v>
      </c>
      <c r="V218" s="15">
        <v>0</v>
      </c>
      <c r="W218" s="15"/>
      <c r="X218" s="15" t="s">
        <v>937</v>
      </c>
      <c r="Y218" s="15"/>
      <c r="Z218" s="15"/>
      <c r="AA218" s="16" t="s">
        <v>313</v>
      </c>
      <c r="AB218" s="17" t="s">
        <v>233</v>
      </c>
      <c r="AC218" s="17" t="s">
        <v>58</v>
      </c>
      <c r="AD218" s="18">
        <v>400000000</v>
      </c>
      <c r="AE218" s="34">
        <v>0</v>
      </c>
      <c r="AF218" s="34">
        <v>0</v>
      </c>
      <c r="AG218" s="34">
        <v>0</v>
      </c>
      <c r="AH218" s="34">
        <v>0</v>
      </c>
      <c r="AI218" s="34">
        <v>0</v>
      </c>
      <c r="AJ218" s="18">
        <v>400000000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40">
        <f t="shared" ref="AT218" si="179">AQ218+AS218</f>
        <v>0</v>
      </c>
      <c r="AU218" s="18">
        <f t="shared" ref="AU218" si="180">AJ218-AM218</f>
        <v>400000000</v>
      </c>
      <c r="AV218" s="34">
        <f t="shared" ref="AV218" si="181">AM218-AP218</f>
        <v>0</v>
      </c>
      <c r="AW218" s="34">
        <f t="shared" ref="AW218" si="182">AP218-AT218</f>
        <v>0</v>
      </c>
      <c r="AX218" s="123">
        <f t="shared" ref="AX218" si="183">AP218/AJ218</f>
        <v>0</v>
      </c>
    </row>
    <row r="219" spans="1:50" ht="18.75" customHeight="1" x14ac:dyDescent="0.2">
      <c r="A219" s="14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6"/>
      <c r="AB219" s="17"/>
      <c r="AC219" s="17"/>
      <c r="AD219" s="18"/>
      <c r="AE219" s="34"/>
      <c r="AF219" s="34"/>
      <c r="AG219" s="34"/>
      <c r="AH219" s="34"/>
      <c r="AI219" s="34"/>
      <c r="AJ219" s="18"/>
      <c r="AK219" s="18"/>
      <c r="AL219" s="18"/>
      <c r="AM219" s="18"/>
      <c r="AN219" s="18"/>
      <c r="AO219" s="18"/>
      <c r="AP219" s="18"/>
      <c r="AQ219" s="34"/>
      <c r="AR219" s="34"/>
      <c r="AS219" s="34"/>
      <c r="AT219" s="31"/>
      <c r="AU219" s="18"/>
      <c r="AV219" s="18"/>
      <c r="AW219" s="18"/>
      <c r="AX219" s="18"/>
    </row>
    <row r="220" spans="1:50" s="25" customFormat="1" ht="18.75" customHeight="1" x14ac:dyDescent="0.2">
      <c r="A220" s="64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5"/>
      <c r="Z220" s="65"/>
      <c r="AA220" s="66"/>
      <c r="AB220" s="47" t="s">
        <v>314</v>
      </c>
      <c r="AC220" s="22" t="s">
        <v>315</v>
      </c>
      <c r="AD220" s="22">
        <f>SUM(AD187:AD218)</f>
        <v>4500000000</v>
      </c>
      <c r="AE220" s="23">
        <f t="shared" ref="AE220:AW220" si="184">SUM(AE187:AE218)</f>
        <v>0</v>
      </c>
      <c r="AF220" s="23">
        <f t="shared" si="184"/>
        <v>0</v>
      </c>
      <c r="AG220" s="22">
        <f t="shared" si="184"/>
        <v>200000000</v>
      </c>
      <c r="AH220" s="22">
        <f t="shared" si="184"/>
        <v>0</v>
      </c>
      <c r="AI220" s="22">
        <f t="shared" si="184"/>
        <v>200000000</v>
      </c>
      <c r="AJ220" s="22">
        <f t="shared" si="184"/>
        <v>4700000000</v>
      </c>
      <c r="AK220" s="23">
        <f t="shared" si="184"/>
        <v>0</v>
      </c>
      <c r="AL220" s="22">
        <f t="shared" si="184"/>
        <v>60000000</v>
      </c>
      <c r="AM220" s="22">
        <f t="shared" si="184"/>
        <v>2074329278</v>
      </c>
      <c r="AN220" s="22">
        <f t="shared" si="184"/>
        <v>0</v>
      </c>
      <c r="AO220" s="22">
        <f t="shared" si="184"/>
        <v>210179430</v>
      </c>
      <c r="AP220" s="22">
        <f t="shared" si="184"/>
        <v>1313598399</v>
      </c>
      <c r="AQ220" s="22">
        <f t="shared" si="184"/>
        <v>162550000</v>
      </c>
      <c r="AR220" s="108">
        <f t="shared" si="184"/>
        <v>71843331</v>
      </c>
      <c r="AS220" s="108">
        <f t="shared" si="184"/>
        <v>76026664</v>
      </c>
      <c r="AT220" s="108">
        <f>AQ220+AS220</f>
        <v>238576664</v>
      </c>
      <c r="AU220" s="108">
        <f t="shared" si="184"/>
        <v>2625670722</v>
      </c>
      <c r="AV220" s="22">
        <f t="shared" si="184"/>
        <v>760730879</v>
      </c>
      <c r="AW220" s="22">
        <f t="shared" si="184"/>
        <v>1075021735</v>
      </c>
      <c r="AX220" s="24">
        <f t="shared" ref="AX220" si="185">AP220/AJ220</f>
        <v>0.27948902106382978</v>
      </c>
    </row>
    <row r="221" spans="1:50" ht="18.75" customHeight="1" x14ac:dyDescent="0.2">
      <c r="A221" s="14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6"/>
      <c r="AB221" s="17"/>
      <c r="AC221" s="17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</row>
    <row r="222" spans="1:50" s="25" customFormat="1" ht="18.75" customHeight="1" x14ac:dyDescent="0.2">
      <c r="A222" s="64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5"/>
      <c r="Z222" s="65"/>
      <c r="AA222" s="66"/>
      <c r="AB222" s="21" t="s">
        <v>316</v>
      </c>
      <c r="AC222" s="67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3"/>
      <c r="AO222" s="63"/>
      <c r="AP222" s="63"/>
      <c r="AQ222" s="63"/>
      <c r="AR222" s="63"/>
      <c r="AS222" s="63"/>
      <c r="AT222" s="63"/>
      <c r="AU222" s="63"/>
      <c r="AV222" s="63"/>
      <c r="AW222" s="63"/>
      <c r="AX222" s="63"/>
    </row>
    <row r="223" spans="1:50" ht="18.75" customHeight="1" x14ac:dyDescent="0.2">
      <c r="A223" s="14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6"/>
      <c r="AB223" s="29" t="s">
        <v>317</v>
      </c>
      <c r="AC223" s="17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30"/>
      <c r="AU223" s="18"/>
      <c r="AV223" s="18"/>
      <c r="AW223" s="18"/>
      <c r="AX223" s="18"/>
    </row>
    <row r="224" spans="1:50" ht="18.75" customHeight="1" x14ac:dyDescent="0.2">
      <c r="A224" s="14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6"/>
      <c r="AB224" s="29" t="s">
        <v>318</v>
      </c>
      <c r="AC224" s="17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30"/>
      <c r="AU224" s="18"/>
      <c r="AV224" s="18"/>
      <c r="AW224" s="18"/>
      <c r="AX224" s="18"/>
    </row>
    <row r="225" spans="1:50" ht="25.5" x14ac:dyDescent="0.2">
      <c r="A225" s="35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7"/>
      <c r="AB225" s="29" t="s">
        <v>319</v>
      </c>
      <c r="AC225" s="38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0"/>
      <c r="AU225" s="39"/>
      <c r="AV225" s="39"/>
      <c r="AW225" s="39"/>
      <c r="AX225" s="18"/>
    </row>
    <row r="226" spans="1:50" ht="18.75" customHeight="1" x14ac:dyDescent="0.2">
      <c r="A226" s="35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7"/>
      <c r="AB226" s="29" t="s">
        <v>320</v>
      </c>
      <c r="AC226" s="38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0"/>
      <c r="AU226" s="39"/>
      <c r="AV226" s="39"/>
      <c r="AW226" s="39"/>
      <c r="AX226" s="18"/>
    </row>
    <row r="227" spans="1:50" ht="18.75" customHeight="1" x14ac:dyDescent="0.2">
      <c r="A227" s="14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6"/>
      <c r="AB227" s="29" t="s">
        <v>46</v>
      </c>
      <c r="AC227" s="17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30"/>
      <c r="AU227" s="18"/>
      <c r="AV227" s="18"/>
      <c r="AW227" s="18"/>
      <c r="AX227" s="18"/>
    </row>
    <row r="228" spans="1:50" ht="18.75" customHeight="1" x14ac:dyDescent="0.2">
      <c r="A228" s="14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6"/>
      <c r="AB228" s="29" t="s">
        <v>48</v>
      </c>
      <c r="AC228" s="17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30"/>
      <c r="AU228" s="18"/>
      <c r="AV228" s="18"/>
      <c r="AW228" s="18"/>
      <c r="AX228" s="18"/>
    </row>
    <row r="229" spans="1:50" ht="18.75" customHeight="1" x14ac:dyDescent="0.2">
      <c r="A229" s="14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6"/>
      <c r="AB229" s="29" t="s">
        <v>52</v>
      </c>
      <c r="AC229" s="17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30"/>
      <c r="AU229" s="18"/>
      <c r="AV229" s="18"/>
      <c r="AW229" s="18"/>
      <c r="AX229" s="18"/>
    </row>
    <row r="230" spans="1:50" ht="18.75" customHeight="1" x14ac:dyDescent="0.2">
      <c r="AA230" s="28" t="s">
        <v>288</v>
      </c>
      <c r="AB230" s="29" t="s">
        <v>54</v>
      </c>
      <c r="AC230" s="17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30"/>
      <c r="AU230" s="18"/>
      <c r="AV230" s="18"/>
      <c r="AW230" s="18"/>
      <c r="AX230" s="18"/>
    </row>
    <row r="231" spans="1:50" ht="18.75" customHeight="1" x14ac:dyDescent="0.2">
      <c r="A231" s="4" t="s">
        <v>55</v>
      </c>
      <c r="B231" s="4" t="s">
        <v>56</v>
      </c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1" t="s">
        <v>321</v>
      </c>
      <c r="AB231" s="42" t="s">
        <v>322</v>
      </c>
      <c r="AC231" s="38" t="s">
        <v>58</v>
      </c>
      <c r="AD231" s="39">
        <v>1139356981</v>
      </c>
      <c r="AE231" s="40">
        <v>0</v>
      </c>
      <c r="AF231" s="40">
        <v>0</v>
      </c>
      <c r="AG231" s="40">
        <v>0</v>
      </c>
      <c r="AH231" s="40">
        <v>0</v>
      </c>
      <c r="AI231" s="18">
        <f>AE231-AF231+AG231-AH327</f>
        <v>0</v>
      </c>
      <c r="AJ231" s="18">
        <f>AD231+AI231</f>
        <v>1139356981</v>
      </c>
      <c r="AK231" s="40">
        <v>0</v>
      </c>
      <c r="AL231" s="39">
        <v>877803</v>
      </c>
      <c r="AM231" s="39">
        <v>1556705</v>
      </c>
      <c r="AN231" s="40">
        <v>0</v>
      </c>
      <c r="AO231" s="39">
        <v>399901</v>
      </c>
      <c r="AP231" s="39">
        <v>678902</v>
      </c>
      <c r="AQ231" s="40">
        <v>0</v>
      </c>
      <c r="AR231" s="40">
        <v>399901</v>
      </c>
      <c r="AS231" s="39">
        <v>678902</v>
      </c>
      <c r="AT231" s="39">
        <f t="shared" ref="AT231:AT232" si="186">AQ231+AS231</f>
        <v>678902</v>
      </c>
      <c r="AU231" s="18">
        <f t="shared" ref="AU231:AU232" si="187">AJ231-AM231</f>
        <v>1137800276</v>
      </c>
      <c r="AV231" s="110">
        <f t="shared" ref="AV231:AV232" si="188">AM231-AP231</f>
        <v>877803</v>
      </c>
      <c r="AW231" s="34">
        <f t="shared" ref="AW231:AW232" si="189">AP231-AT231</f>
        <v>0</v>
      </c>
      <c r="AX231" s="123">
        <f t="shared" ref="AX231:AX232" si="190">AP231/AJ231</f>
        <v>5.9586416840500314E-4</v>
      </c>
    </row>
    <row r="232" spans="1:50" ht="18.75" customHeight="1" x14ac:dyDescent="0.2">
      <c r="A232" s="4" t="s">
        <v>55</v>
      </c>
      <c r="B232" s="4" t="s">
        <v>56</v>
      </c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1" t="s">
        <v>323</v>
      </c>
      <c r="AB232" s="42" t="s">
        <v>324</v>
      </c>
      <c r="AC232" s="43" t="s">
        <v>61</v>
      </c>
      <c r="AD232" s="43">
        <v>9000660718</v>
      </c>
      <c r="AE232" s="44">
        <v>0</v>
      </c>
      <c r="AF232" s="44">
        <v>0</v>
      </c>
      <c r="AG232" s="44">
        <v>0</v>
      </c>
      <c r="AH232" s="33">
        <v>0</v>
      </c>
      <c r="AI232" s="18">
        <v>0</v>
      </c>
      <c r="AJ232" s="18">
        <f>AD232+AI232</f>
        <v>9000660718</v>
      </c>
      <c r="AK232" s="44">
        <v>0</v>
      </c>
      <c r="AL232" s="43">
        <f>AM232-FEBRERO!P230</f>
        <v>704495334</v>
      </c>
      <c r="AM232" s="43">
        <v>2015413243</v>
      </c>
      <c r="AN232" s="44">
        <v>0</v>
      </c>
      <c r="AO232" s="43">
        <v>704495334</v>
      </c>
      <c r="AP232" s="43">
        <v>2014394889</v>
      </c>
      <c r="AQ232" s="44">
        <v>0</v>
      </c>
      <c r="AR232" s="43">
        <v>12436553</v>
      </c>
      <c r="AS232" s="43">
        <v>1322336108</v>
      </c>
      <c r="AT232" s="39">
        <f t="shared" si="186"/>
        <v>1322336108</v>
      </c>
      <c r="AU232" s="18">
        <f t="shared" si="187"/>
        <v>6985247475</v>
      </c>
      <c r="AV232" s="110">
        <f t="shared" si="188"/>
        <v>1018354</v>
      </c>
      <c r="AW232" s="18">
        <f t="shared" si="189"/>
        <v>692058781</v>
      </c>
      <c r="AX232" s="123">
        <f t="shared" si="190"/>
        <v>0.22380522409554957</v>
      </c>
    </row>
    <row r="234" spans="1:50" ht="18.75" customHeight="1" x14ac:dyDescent="0.2">
      <c r="AA234" s="28" t="s">
        <v>288</v>
      </c>
      <c r="AB234" s="29" t="s">
        <v>71</v>
      </c>
      <c r="AC234" s="17"/>
      <c r="AD234" s="18"/>
      <c r="AE234" s="34"/>
      <c r="AF234" s="34"/>
      <c r="AG234" s="34"/>
      <c r="AH234" s="34"/>
      <c r="AI234" s="34"/>
      <c r="AJ234" s="18"/>
      <c r="AK234" s="34"/>
      <c r="AL234" s="18"/>
      <c r="AM234" s="18"/>
      <c r="AN234" s="34"/>
      <c r="AO234" s="18"/>
      <c r="AP234" s="18"/>
      <c r="AQ234" s="34"/>
      <c r="AR234" s="18"/>
      <c r="AS234" s="18"/>
      <c r="AT234" s="30"/>
      <c r="AU234" s="18"/>
      <c r="AV234" s="18"/>
      <c r="AW234" s="34"/>
      <c r="AX234" s="18"/>
    </row>
    <row r="235" spans="1:50" ht="18.75" customHeight="1" x14ac:dyDescent="0.2">
      <c r="A235" s="4" t="s">
        <v>325</v>
      </c>
      <c r="B235" s="4" t="s">
        <v>326</v>
      </c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1" t="s">
        <v>327</v>
      </c>
      <c r="AB235" s="42" t="s">
        <v>328</v>
      </c>
      <c r="AC235" s="43" t="s">
        <v>61</v>
      </c>
      <c r="AD235" s="43">
        <v>391454539</v>
      </c>
      <c r="AE235" s="44">
        <v>0</v>
      </c>
      <c r="AF235" s="44">
        <v>0</v>
      </c>
      <c r="AG235" s="44">
        <v>0</v>
      </c>
      <c r="AH235" s="44">
        <v>0</v>
      </c>
      <c r="AI235" s="18">
        <f>AE235-AF235+AG235-AH331</f>
        <v>0</v>
      </c>
      <c r="AJ235" s="18">
        <f>AD235+AI235</f>
        <v>391454539</v>
      </c>
      <c r="AK235" s="44">
        <v>0</v>
      </c>
      <c r="AL235" s="43">
        <v>1973565</v>
      </c>
      <c r="AM235" s="43">
        <v>7018693</v>
      </c>
      <c r="AN235" s="44">
        <v>0</v>
      </c>
      <c r="AO235" s="43">
        <v>1973565</v>
      </c>
      <c r="AP235" s="43">
        <v>7018693</v>
      </c>
      <c r="AQ235" s="44">
        <v>0</v>
      </c>
      <c r="AR235" s="43">
        <v>0</v>
      </c>
      <c r="AS235" s="43">
        <v>5045128</v>
      </c>
      <c r="AT235" s="39">
        <f t="shared" ref="AT235" si="191">AQ235+AS235</f>
        <v>5045128</v>
      </c>
      <c r="AU235" s="18">
        <f t="shared" ref="AU235" si="192">AJ235-AM235</f>
        <v>384435846</v>
      </c>
      <c r="AV235" s="34">
        <f t="shared" ref="AV235" si="193">AM235-AP235</f>
        <v>0</v>
      </c>
      <c r="AW235" s="18">
        <f t="shared" ref="AW235" si="194">AP235-AT235</f>
        <v>1973565</v>
      </c>
      <c r="AX235" s="123">
        <f t="shared" ref="AX235" si="195">AP235/AJ235</f>
        <v>1.7929778047611297E-2</v>
      </c>
    </row>
    <row r="236" spans="1:50" ht="18.75" customHeight="1" x14ac:dyDescent="0.2">
      <c r="AA236" s="28" t="s">
        <v>288</v>
      </c>
      <c r="AB236" s="29" t="s">
        <v>76</v>
      </c>
      <c r="AC236" s="17"/>
      <c r="AD236" s="18"/>
      <c r="AE236" s="18"/>
      <c r="AF236" s="18"/>
      <c r="AG236" s="18"/>
      <c r="AH236" s="18"/>
      <c r="AI236" s="18"/>
      <c r="AJ236" s="18"/>
      <c r="AK236" s="34"/>
      <c r="AL236" s="18"/>
      <c r="AM236" s="18"/>
      <c r="AN236" s="34"/>
      <c r="AO236" s="18"/>
      <c r="AP236" s="18"/>
      <c r="AQ236" s="34"/>
      <c r="AR236" s="18"/>
      <c r="AS236" s="18"/>
      <c r="AT236" s="30"/>
      <c r="AU236" s="18"/>
      <c r="AV236" s="18"/>
      <c r="AW236" s="18"/>
      <c r="AX236" s="18"/>
    </row>
    <row r="237" spans="1:50" ht="18.75" customHeight="1" x14ac:dyDescent="0.2">
      <c r="A237" s="4" t="s">
        <v>325</v>
      </c>
      <c r="B237" s="4" t="s">
        <v>326</v>
      </c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1" t="s">
        <v>329</v>
      </c>
      <c r="AB237" s="42" t="s">
        <v>328</v>
      </c>
      <c r="AC237" s="43" t="s">
        <v>61</v>
      </c>
      <c r="AD237" s="43">
        <v>277293782</v>
      </c>
      <c r="AE237" s="44">
        <v>0</v>
      </c>
      <c r="AF237" s="44">
        <v>0</v>
      </c>
      <c r="AG237" s="44">
        <v>0</v>
      </c>
      <c r="AH237" s="44">
        <v>0</v>
      </c>
      <c r="AI237" s="44">
        <v>0</v>
      </c>
      <c r="AJ237" s="43">
        <v>277293782</v>
      </c>
      <c r="AK237" s="44">
        <v>0</v>
      </c>
      <c r="AL237" s="43">
        <v>5993567</v>
      </c>
      <c r="AM237" s="43">
        <v>35660371</v>
      </c>
      <c r="AN237" s="44">
        <v>0</v>
      </c>
      <c r="AO237" s="43">
        <v>5993567</v>
      </c>
      <c r="AP237" s="43">
        <v>35660371</v>
      </c>
      <c r="AQ237" s="44">
        <v>0</v>
      </c>
      <c r="AR237" s="43">
        <v>0</v>
      </c>
      <c r="AS237" s="43">
        <v>29666804</v>
      </c>
      <c r="AT237" s="39">
        <f t="shared" ref="AT237" si="196">AQ237+AS237</f>
        <v>29666804</v>
      </c>
      <c r="AU237" s="18">
        <f t="shared" ref="AU237" si="197">AJ237-AM237</f>
        <v>241633411</v>
      </c>
      <c r="AV237" s="34">
        <f t="shared" ref="AV237" si="198">AM237-AP237</f>
        <v>0</v>
      </c>
      <c r="AW237" s="18">
        <f t="shared" ref="AW237" si="199">AP237-AT237</f>
        <v>5993567</v>
      </c>
      <c r="AX237" s="123">
        <f t="shared" ref="AX237" si="200">AP237/AJ237</f>
        <v>0.12860140873984691</v>
      </c>
    </row>
    <row r="238" spans="1:50" ht="18.75" customHeight="1" x14ac:dyDescent="0.2">
      <c r="AA238" s="16"/>
      <c r="AB238" s="29" t="s">
        <v>81</v>
      </c>
      <c r="AC238" s="17"/>
      <c r="AD238" s="18"/>
      <c r="AE238" s="34"/>
      <c r="AF238" s="34"/>
      <c r="AG238" s="34"/>
      <c r="AH238" s="34"/>
      <c r="AI238" s="34"/>
      <c r="AJ238" s="18"/>
      <c r="AK238" s="34"/>
      <c r="AL238" s="18"/>
      <c r="AM238" s="18"/>
      <c r="AN238" s="34"/>
      <c r="AO238" s="18"/>
      <c r="AP238" s="18"/>
      <c r="AQ238" s="34"/>
      <c r="AR238" s="18"/>
      <c r="AS238" s="18"/>
      <c r="AT238" s="30"/>
      <c r="AU238" s="18"/>
      <c r="AV238" s="18"/>
      <c r="AW238" s="18"/>
      <c r="AX238" s="18"/>
    </row>
    <row r="239" spans="1:50" ht="18.75" customHeight="1" x14ac:dyDescent="0.2">
      <c r="AA239" s="28" t="s">
        <v>288</v>
      </c>
      <c r="AB239" s="29" t="s">
        <v>83</v>
      </c>
      <c r="AC239" s="17"/>
      <c r="AD239" s="18"/>
      <c r="AE239" s="34"/>
      <c r="AF239" s="34"/>
      <c r="AG239" s="34"/>
      <c r="AH239" s="34"/>
      <c r="AI239" s="34"/>
      <c r="AJ239" s="18"/>
      <c r="AK239" s="34"/>
      <c r="AL239" s="18"/>
      <c r="AM239" s="18"/>
      <c r="AN239" s="34"/>
      <c r="AO239" s="18"/>
      <c r="AP239" s="18"/>
      <c r="AQ239" s="34"/>
      <c r="AR239" s="18"/>
      <c r="AS239" s="18"/>
      <c r="AT239" s="30"/>
      <c r="AU239" s="18"/>
      <c r="AV239" s="18"/>
      <c r="AW239" s="18"/>
      <c r="AX239" s="18"/>
    </row>
    <row r="240" spans="1:50" ht="18.75" customHeight="1" x14ac:dyDescent="0.2">
      <c r="A240" s="4" t="s">
        <v>325</v>
      </c>
      <c r="B240" s="4" t="s">
        <v>326</v>
      </c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1" t="s">
        <v>330</v>
      </c>
      <c r="AB240" s="42" t="s">
        <v>328</v>
      </c>
      <c r="AC240" s="43" t="s">
        <v>61</v>
      </c>
      <c r="AD240" s="43">
        <v>863231353</v>
      </c>
      <c r="AE240" s="44">
        <v>0</v>
      </c>
      <c r="AF240" s="44">
        <v>0</v>
      </c>
      <c r="AG240" s="44">
        <v>0</v>
      </c>
      <c r="AH240" s="44">
        <v>0</v>
      </c>
      <c r="AI240" s="44">
        <v>0</v>
      </c>
      <c r="AJ240" s="43">
        <v>863231353</v>
      </c>
      <c r="AK240" s="44">
        <v>0</v>
      </c>
      <c r="AL240" s="43">
        <v>1358338</v>
      </c>
      <c r="AM240" s="43">
        <v>2973096</v>
      </c>
      <c r="AN240" s="44">
        <v>0</v>
      </c>
      <c r="AO240" s="43">
        <v>1358338</v>
      </c>
      <c r="AP240" s="43">
        <v>2973096</v>
      </c>
      <c r="AQ240" s="44">
        <v>0</v>
      </c>
      <c r="AR240" s="43">
        <v>0</v>
      </c>
      <c r="AS240" s="43">
        <v>1614758</v>
      </c>
      <c r="AT240" s="39">
        <f t="shared" ref="AT240" si="201">AQ240+AS240</f>
        <v>1614758</v>
      </c>
      <c r="AU240" s="18">
        <f t="shared" ref="AU240" si="202">AJ240-AM240</f>
        <v>860258257</v>
      </c>
      <c r="AV240" s="34">
        <f t="shared" ref="AV240" si="203">AM240-AP240</f>
        <v>0</v>
      </c>
      <c r="AW240" s="18">
        <f t="shared" ref="AW240" si="204">AP240-AT240</f>
        <v>1358338</v>
      </c>
      <c r="AX240" s="123">
        <f t="shared" ref="AX240" si="205">AP240/AJ240</f>
        <v>3.4441473767925111E-3</v>
      </c>
    </row>
    <row r="241" spans="1:50" ht="18.75" customHeight="1" x14ac:dyDescent="0.2">
      <c r="AA241" s="28" t="s">
        <v>288</v>
      </c>
      <c r="AB241" s="29" t="s">
        <v>88</v>
      </c>
      <c r="AC241" s="17"/>
      <c r="AD241" s="18"/>
      <c r="AE241" s="34"/>
      <c r="AF241" s="34"/>
      <c r="AG241" s="34"/>
      <c r="AH241" s="34"/>
      <c r="AI241" s="34"/>
      <c r="AJ241" s="18"/>
      <c r="AK241" s="18"/>
      <c r="AL241" s="18"/>
      <c r="AM241" s="18"/>
      <c r="AN241" s="18"/>
      <c r="AO241" s="18"/>
      <c r="AP241" s="18"/>
      <c r="AQ241" s="34"/>
      <c r="AR241" s="18"/>
      <c r="AS241" s="18"/>
      <c r="AT241" s="30"/>
      <c r="AU241" s="18"/>
      <c r="AV241" s="18"/>
      <c r="AW241" s="18"/>
      <c r="AX241" s="18"/>
    </row>
    <row r="242" spans="1:50" ht="18.75" customHeight="1" x14ac:dyDescent="0.2">
      <c r="A242" s="4" t="s">
        <v>325</v>
      </c>
      <c r="B242" s="4" t="s">
        <v>326</v>
      </c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1" t="s">
        <v>331</v>
      </c>
      <c r="AB242" s="42" t="s">
        <v>328</v>
      </c>
      <c r="AC242" s="43" t="s">
        <v>61</v>
      </c>
      <c r="AD242" s="43">
        <v>240951939</v>
      </c>
      <c r="AE242" s="44">
        <v>0</v>
      </c>
      <c r="AF242" s="44">
        <v>0</v>
      </c>
      <c r="AG242" s="44">
        <v>0</v>
      </c>
      <c r="AH242" s="44">
        <v>0</v>
      </c>
      <c r="AI242" s="44">
        <v>0</v>
      </c>
      <c r="AJ242" s="43">
        <v>240951939</v>
      </c>
      <c r="AK242" s="44">
        <v>0</v>
      </c>
      <c r="AL242" s="43">
        <v>3333551</v>
      </c>
      <c r="AM242" s="43">
        <v>14330082</v>
      </c>
      <c r="AN242" s="43">
        <v>0</v>
      </c>
      <c r="AO242" s="43">
        <v>3333551</v>
      </c>
      <c r="AP242" s="43">
        <v>14330082</v>
      </c>
      <c r="AQ242" s="44">
        <v>0</v>
      </c>
      <c r="AR242" s="43">
        <v>0</v>
      </c>
      <c r="AS242" s="43">
        <v>10996531</v>
      </c>
      <c r="AT242" s="39">
        <f t="shared" ref="AT242" si="206">AQ242+AS242</f>
        <v>10996531</v>
      </c>
      <c r="AU242" s="18">
        <f t="shared" ref="AU242" si="207">AJ242-AM242</f>
        <v>226621857</v>
      </c>
      <c r="AV242" s="34">
        <f t="shared" ref="AV242" si="208">AM242-AP242</f>
        <v>0</v>
      </c>
      <c r="AW242" s="18">
        <f t="shared" ref="AW242" si="209">AP242-AT242</f>
        <v>3333551</v>
      </c>
      <c r="AX242" s="123">
        <f t="shared" ref="AX242" si="210">AP242/AJ242</f>
        <v>5.9472781416380301E-2</v>
      </c>
    </row>
    <row r="243" spans="1:50" ht="18.75" customHeight="1" x14ac:dyDescent="0.2">
      <c r="AA243" s="16"/>
      <c r="AB243" s="29" t="s">
        <v>103</v>
      </c>
      <c r="AC243" s="17"/>
      <c r="AD243" s="18"/>
      <c r="AE243" s="34"/>
      <c r="AF243" s="34"/>
      <c r="AG243" s="34"/>
      <c r="AH243" s="34"/>
      <c r="AI243" s="34"/>
      <c r="AJ243" s="18"/>
      <c r="AK243" s="34"/>
      <c r="AL243" s="18"/>
      <c r="AM243" s="18"/>
      <c r="AN243" s="18"/>
      <c r="AO243" s="18"/>
      <c r="AP243" s="18"/>
      <c r="AQ243" s="18"/>
      <c r="AR243" s="18"/>
      <c r="AS243" s="18"/>
      <c r="AT243" s="30"/>
      <c r="AU243" s="18"/>
      <c r="AV243" s="18"/>
      <c r="AW243" s="34"/>
      <c r="AX243" s="18"/>
    </row>
    <row r="244" spans="1:50" ht="18.75" customHeight="1" x14ac:dyDescent="0.2">
      <c r="AA244" s="28" t="s">
        <v>288</v>
      </c>
      <c r="AB244" s="29" t="s">
        <v>105</v>
      </c>
      <c r="AC244" s="17"/>
      <c r="AD244" s="18"/>
      <c r="AE244" s="34"/>
      <c r="AF244" s="34"/>
      <c r="AG244" s="34"/>
      <c r="AH244" s="34"/>
      <c r="AI244" s="34"/>
      <c r="AJ244" s="18"/>
      <c r="AK244" s="34"/>
      <c r="AL244" s="18"/>
      <c r="AM244" s="18"/>
      <c r="AN244" s="18"/>
      <c r="AO244" s="18"/>
      <c r="AP244" s="18"/>
      <c r="AQ244" s="18"/>
      <c r="AR244" s="18"/>
      <c r="AS244" s="18"/>
      <c r="AT244" s="30"/>
      <c r="AU244" s="18"/>
      <c r="AV244" s="18"/>
      <c r="AW244" s="34"/>
      <c r="AX244" s="18"/>
    </row>
    <row r="245" spans="1:50" ht="18.75" customHeight="1" x14ac:dyDescent="0.2">
      <c r="A245" s="4" t="s">
        <v>325</v>
      </c>
      <c r="B245" s="4" t="s">
        <v>326</v>
      </c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1" t="s">
        <v>332</v>
      </c>
      <c r="AB245" s="42" t="s">
        <v>328</v>
      </c>
      <c r="AC245" s="43" t="s">
        <v>61</v>
      </c>
      <c r="AD245" s="43">
        <v>1112875275</v>
      </c>
      <c r="AE245" s="44">
        <v>0</v>
      </c>
      <c r="AF245" s="44">
        <v>0</v>
      </c>
      <c r="AG245" s="44">
        <v>0</v>
      </c>
      <c r="AH245" s="44">
        <v>0</v>
      </c>
      <c r="AI245" s="44">
        <v>0</v>
      </c>
      <c r="AJ245" s="43">
        <v>1112875275</v>
      </c>
      <c r="AK245" s="44">
        <v>0</v>
      </c>
      <c r="AL245" s="43">
        <f>AM245-FEBRERO!P242</f>
        <v>87217200</v>
      </c>
      <c r="AM245" s="43">
        <v>258781900</v>
      </c>
      <c r="AN245" s="44">
        <v>0</v>
      </c>
      <c r="AO245" s="43">
        <v>84429800</v>
      </c>
      <c r="AP245" s="43">
        <v>255520700</v>
      </c>
      <c r="AQ245" s="110">
        <v>83633400</v>
      </c>
      <c r="AR245" s="110">
        <v>84402600</v>
      </c>
      <c r="AS245" s="110">
        <v>171090900</v>
      </c>
      <c r="AT245" s="39">
        <f t="shared" ref="AT245" si="211">AQ245+AS245</f>
        <v>254724300</v>
      </c>
      <c r="AU245" s="18">
        <f t="shared" ref="AU245" si="212">AJ245-AM245</f>
        <v>854093375</v>
      </c>
      <c r="AV245" s="110">
        <f t="shared" ref="AV245" si="213">AM245-AP245</f>
        <v>3261200</v>
      </c>
      <c r="AW245" s="34">
        <f t="shared" ref="AW245" si="214">AP245-AT245</f>
        <v>796400</v>
      </c>
      <c r="AX245" s="123">
        <f t="shared" ref="AX245" si="215">AP245/AJ245</f>
        <v>0.22960407670122782</v>
      </c>
    </row>
    <row r="246" spans="1:50" ht="18.75" customHeight="1" x14ac:dyDescent="0.2">
      <c r="AA246" s="28" t="s">
        <v>288</v>
      </c>
      <c r="AB246" s="29" t="s">
        <v>333</v>
      </c>
      <c r="AC246" s="17"/>
      <c r="AD246" s="18"/>
      <c r="AE246" s="34"/>
      <c r="AF246" s="34"/>
      <c r="AG246" s="34"/>
      <c r="AH246" s="34"/>
      <c r="AI246" s="34"/>
      <c r="AJ246" s="18"/>
      <c r="AK246" s="34"/>
      <c r="AL246" s="18"/>
      <c r="AM246" s="18"/>
      <c r="AN246" s="34"/>
      <c r="AO246" s="18"/>
      <c r="AP246" s="18"/>
      <c r="AQ246" s="110"/>
      <c r="AR246" s="110"/>
      <c r="AS246" s="110"/>
      <c r="AT246" s="40"/>
      <c r="AU246" s="18"/>
      <c r="AV246" s="110"/>
      <c r="AW246" s="34"/>
      <c r="AX246" s="18"/>
    </row>
    <row r="247" spans="1:50" ht="18.75" customHeight="1" x14ac:dyDescent="0.2">
      <c r="A247" s="4" t="s">
        <v>325</v>
      </c>
      <c r="B247" s="4" t="s">
        <v>326</v>
      </c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1" t="s">
        <v>334</v>
      </c>
      <c r="AB247" s="42" t="s">
        <v>328</v>
      </c>
      <c r="AC247" s="43" t="s">
        <v>61</v>
      </c>
      <c r="AD247" s="43">
        <v>785176343</v>
      </c>
      <c r="AE247" s="44">
        <v>0</v>
      </c>
      <c r="AF247" s="44">
        <v>0</v>
      </c>
      <c r="AG247" s="44">
        <v>0</v>
      </c>
      <c r="AH247" s="44">
        <v>0</v>
      </c>
      <c r="AI247" s="44">
        <v>0</v>
      </c>
      <c r="AJ247" s="43">
        <v>785176343</v>
      </c>
      <c r="AK247" s="44">
        <v>0</v>
      </c>
      <c r="AL247" s="43">
        <v>62261500</v>
      </c>
      <c r="AM247" s="43">
        <v>184079500</v>
      </c>
      <c r="AN247" s="44">
        <v>0</v>
      </c>
      <c r="AO247" s="43">
        <v>60083800</v>
      </c>
      <c r="AP247" s="43">
        <v>181531600</v>
      </c>
      <c r="AQ247" s="110">
        <v>59461600</v>
      </c>
      <c r="AR247" s="110">
        <v>60006800</v>
      </c>
      <c r="AS247" s="110">
        <v>121447800</v>
      </c>
      <c r="AT247" s="39">
        <f t="shared" ref="AT247" si="216">AQ247+AS247</f>
        <v>180909400</v>
      </c>
      <c r="AU247" s="18">
        <f t="shared" ref="AU247" si="217">AJ247-AM247</f>
        <v>601096843</v>
      </c>
      <c r="AV247" s="110">
        <f t="shared" ref="AV247" si="218">AM247-AP247</f>
        <v>2547900</v>
      </c>
      <c r="AW247" s="34">
        <f t="shared" ref="AW247" si="219">AP247-AT247</f>
        <v>622200</v>
      </c>
      <c r="AX247" s="123">
        <f t="shared" ref="AX247" si="220">AP247/AJ247</f>
        <v>0.23119850925004246</v>
      </c>
    </row>
    <row r="248" spans="1:50" ht="18.75" customHeight="1" x14ac:dyDescent="0.2">
      <c r="AA248" s="28" t="s">
        <v>288</v>
      </c>
      <c r="AB248" s="29" t="s">
        <v>115</v>
      </c>
      <c r="AC248" s="17"/>
      <c r="AD248" s="18"/>
      <c r="AE248" s="34"/>
      <c r="AF248" s="34"/>
      <c r="AG248" s="34"/>
      <c r="AH248" s="34"/>
      <c r="AI248" s="34"/>
      <c r="AJ248" s="18"/>
      <c r="AK248" s="34"/>
      <c r="AL248" s="18"/>
      <c r="AM248" s="18"/>
      <c r="AN248" s="34"/>
      <c r="AO248" s="18"/>
      <c r="AP248" s="18"/>
      <c r="AQ248" s="110"/>
      <c r="AR248" s="110"/>
      <c r="AS248" s="110"/>
      <c r="AT248" s="30"/>
      <c r="AU248" s="18"/>
      <c r="AV248" s="18"/>
      <c r="AW248" s="18"/>
      <c r="AX248" s="18"/>
    </row>
    <row r="249" spans="1:50" ht="18.75" customHeight="1" x14ac:dyDescent="0.2">
      <c r="A249" s="4" t="s">
        <v>325</v>
      </c>
      <c r="B249" s="4" t="s">
        <v>326</v>
      </c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1" t="s">
        <v>335</v>
      </c>
      <c r="AB249" s="42" t="s">
        <v>328</v>
      </c>
      <c r="AC249" s="43" t="s">
        <v>61</v>
      </c>
      <c r="AD249" s="43">
        <v>1074031411</v>
      </c>
      <c r="AE249" s="44">
        <v>0</v>
      </c>
      <c r="AF249" s="44">
        <v>0</v>
      </c>
      <c r="AG249" s="44">
        <v>0</v>
      </c>
      <c r="AH249" s="44">
        <v>0</v>
      </c>
      <c r="AI249" s="44">
        <v>0</v>
      </c>
      <c r="AJ249" s="43">
        <v>1074031411</v>
      </c>
      <c r="AK249" s="44">
        <v>0</v>
      </c>
      <c r="AL249" s="43">
        <v>23766039.260000002</v>
      </c>
      <c r="AM249" s="43">
        <v>648886512.25999999</v>
      </c>
      <c r="AN249" s="44">
        <v>0</v>
      </c>
      <c r="AO249" s="43">
        <v>23766039.260000002</v>
      </c>
      <c r="AP249" s="43">
        <v>648886512.25999999</v>
      </c>
      <c r="AQ249" s="114">
        <v>6346126</v>
      </c>
      <c r="AR249" s="114">
        <v>23963713.260000002</v>
      </c>
      <c r="AS249" s="114">
        <v>642540386.25999999</v>
      </c>
      <c r="AT249" s="39">
        <f t="shared" ref="AT249" si="221">AQ249+AS249</f>
        <v>648886512.25999999</v>
      </c>
      <c r="AU249" s="18">
        <f t="shared" ref="AU249" si="222">AJ249-AM249</f>
        <v>425144898.74000001</v>
      </c>
      <c r="AV249" s="34">
        <f t="shared" ref="AV249" si="223">AM249-AP249</f>
        <v>0</v>
      </c>
      <c r="AW249" s="18">
        <f t="shared" ref="AW249" si="224">AP249-AT249</f>
        <v>0</v>
      </c>
      <c r="AX249" s="123">
        <f t="shared" ref="AX249" si="225">AP249/AJ249</f>
        <v>0.60415971601411567</v>
      </c>
    </row>
    <row r="250" spans="1:50" ht="18.75" customHeight="1" x14ac:dyDescent="0.2">
      <c r="AA250" s="28" t="s">
        <v>288</v>
      </c>
      <c r="AB250" s="29" t="s">
        <v>119</v>
      </c>
      <c r="AC250" s="17"/>
      <c r="AD250" s="18"/>
      <c r="AE250" s="34"/>
      <c r="AF250" s="34"/>
      <c r="AG250" s="34"/>
      <c r="AH250" s="34"/>
      <c r="AI250" s="34"/>
      <c r="AJ250" s="18"/>
      <c r="AK250" s="18"/>
      <c r="AL250" s="18"/>
      <c r="AM250" s="18"/>
      <c r="AN250" s="34"/>
      <c r="AO250" s="18"/>
      <c r="AP250" s="18"/>
      <c r="AQ250" s="110"/>
      <c r="AR250" s="110"/>
      <c r="AS250" s="110"/>
      <c r="AT250" s="30"/>
      <c r="AU250" s="18"/>
      <c r="AV250" s="18"/>
      <c r="AW250" s="18"/>
      <c r="AX250" s="18"/>
    </row>
    <row r="251" spans="1:50" ht="18.75" customHeight="1" x14ac:dyDescent="0.2">
      <c r="A251" s="4" t="s">
        <v>325</v>
      </c>
      <c r="B251" s="4" t="s">
        <v>326</v>
      </c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1" t="s">
        <v>336</v>
      </c>
      <c r="AB251" s="42" t="s">
        <v>328</v>
      </c>
      <c r="AC251" s="43" t="s">
        <v>61</v>
      </c>
      <c r="AD251" s="43">
        <v>438243332</v>
      </c>
      <c r="AE251" s="44">
        <v>0</v>
      </c>
      <c r="AF251" s="44">
        <v>0</v>
      </c>
      <c r="AG251" s="44">
        <v>0</v>
      </c>
      <c r="AH251" s="44">
        <v>0</v>
      </c>
      <c r="AI251" s="44">
        <v>0</v>
      </c>
      <c r="AJ251" s="43">
        <v>438243332</v>
      </c>
      <c r="AK251" s="44">
        <v>0</v>
      </c>
      <c r="AL251" s="43">
        <v>28116100</v>
      </c>
      <c r="AM251" s="43">
        <v>86124200</v>
      </c>
      <c r="AN251" s="44">
        <v>0</v>
      </c>
      <c r="AO251" s="43">
        <v>28116100</v>
      </c>
      <c r="AP251" s="43">
        <v>86124200</v>
      </c>
      <c r="AQ251" s="110">
        <v>28116100</v>
      </c>
      <c r="AR251" s="110">
        <v>28483100</v>
      </c>
      <c r="AS251" s="110">
        <v>58008100</v>
      </c>
      <c r="AT251" s="39">
        <f t="shared" ref="AT251:AT265" si="226">AQ251+AS251</f>
        <v>86124200</v>
      </c>
      <c r="AU251" s="18">
        <f t="shared" ref="AU251" si="227">AJ251-AM251</f>
        <v>352119132</v>
      </c>
      <c r="AV251" s="34">
        <f t="shared" ref="AV251" si="228">AM251-AP251</f>
        <v>0</v>
      </c>
      <c r="AW251" s="34">
        <f t="shared" ref="AW251" si="229">AP251-AT251</f>
        <v>0</v>
      </c>
      <c r="AX251" s="123">
        <f t="shared" ref="AX251" si="230">AP251/AJ251</f>
        <v>0.19652141564129949</v>
      </c>
    </row>
    <row r="252" spans="1:50" ht="18.75" customHeight="1" x14ac:dyDescent="0.2">
      <c r="AA252" s="28" t="s">
        <v>288</v>
      </c>
      <c r="AB252" s="29" t="s">
        <v>124</v>
      </c>
      <c r="AC252" s="17"/>
      <c r="AD252" s="18"/>
      <c r="AE252" s="34"/>
      <c r="AF252" s="34"/>
      <c r="AG252" s="34"/>
      <c r="AH252" s="34"/>
      <c r="AI252" s="34"/>
      <c r="AJ252" s="18"/>
      <c r="AK252" s="34"/>
      <c r="AL252" s="18"/>
      <c r="AM252" s="18"/>
      <c r="AN252" s="34"/>
      <c r="AO252" s="18"/>
      <c r="AP252" s="18"/>
      <c r="AQ252" s="34"/>
      <c r="AR252" s="34"/>
      <c r="AS252" s="34"/>
      <c r="AT252" s="40">
        <f t="shared" si="226"/>
        <v>0</v>
      </c>
      <c r="AU252" s="18"/>
      <c r="AV252" s="18"/>
      <c r="AW252" s="34"/>
      <c r="AX252" s="18"/>
    </row>
    <row r="253" spans="1:50" ht="18.75" customHeight="1" x14ac:dyDescent="0.2">
      <c r="A253" s="4" t="s">
        <v>325</v>
      </c>
      <c r="B253" s="4" t="s">
        <v>326</v>
      </c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1" t="s">
        <v>337</v>
      </c>
      <c r="AB253" s="42" t="s">
        <v>328</v>
      </c>
      <c r="AC253" s="43" t="s">
        <v>61</v>
      </c>
      <c r="AD253" s="43">
        <v>46632075</v>
      </c>
      <c r="AE253" s="44">
        <v>0</v>
      </c>
      <c r="AF253" s="44">
        <v>0</v>
      </c>
      <c r="AG253" s="44">
        <v>0</v>
      </c>
      <c r="AH253" s="44">
        <v>0</v>
      </c>
      <c r="AI253" s="44">
        <v>0</v>
      </c>
      <c r="AJ253" s="43">
        <v>46632075</v>
      </c>
      <c r="AK253" s="44">
        <v>0</v>
      </c>
      <c r="AL253" s="43">
        <v>3626700</v>
      </c>
      <c r="AM253" s="43">
        <v>10615800</v>
      </c>
      <c r="AN253" s="44">
        <v>0</v>
      </c>
      <c r="AO253" s="43">
        <v>3626700</v>
      </c>
      <c r="AP253" s="43">
        <v>10615800</v>
      </c>
      <c r="AQ253" s="110">
        <v>3626700</v>
      </c>
      <c r="AR253" s="110">
        <v>3695200</v>
      </c>
      <c r="AS253" s="110">
        <v>6989100</v>
      </c>
      <c r="AT253" s="39">
        <f t="shared" si="226"/>
        <v>10615800</v>
      </c>
      <c r="AU253" s="18">
        <f t="shared" ref="AU253" si="231">AJ253-AM253</f>
        <v>36016275</v>
      </c>
      <c r="AV253" s="34">
        <f t="shared" ref="AV253" si="232">AM253-AP253</f>
        <v>0</v>
      </c>
      <c r="AW253" s="34">
        <f t="shared" ref="AW253" si="233">AP253-AT253</f>
        <v>0</v>
      </c>
      <c r="AX253" s="123">
        <f t="shared" ref="AX253" si="234">AP253/AJ253</f>
        <v>0.22765017426310111</v>
      </c>
    </row>
    <row r="254" spans="1:50" ht="18.75" customHeight="1" x14ac:dyDescent="0.2">
      <c r="AA254" s="28" t="s">
        <v>288</v>
      </c>
      <c r="AB254" s="29" t="s">
        <v>129</v>
      </c>
      <c r="AC254" s="17"/>
      <c r="AD254" s="18"/>
      <c r="AE254" s="34"/>
      <c r="AF254" s="34"/>
      <c r="AG254" s="34"/>
      <c r="AH254" s="34"/>
      <c r="AI254" s="34"/>
      <c r="AJ254" s="18"/>
      <c r="AK254" s="34"/>
      <c r="AL254" s="18"/>
      <c r="AM254" s="18"/>
      <c r="AN254" s="34"/>
      <c r="AO254" s="18"/>
      <c r="AP254" s="18"/>
      <c r="AQ254" s="110"/>
      <c r="AR254" s="110"/>
      <c r="AS254" s="110"/>
      <c r="AT254" s="40">
        <f t="shared" si="226"/>
        <v>0</v>
      </c>
      <c r="AU254" s="18"/>
      <c r="AV254" s="18"/>
      <c r="AW254" s="34"/>
      <c r="AX254" s="18"/>
    </row>
    <row r="255" spans="1:50" ht="18.75" customHeight="1" x14ac:dyDescent="0.2">
      <c r="A255" s="4" t="s">
        <v>325</v>
      </c>
      <c r="B255" s="4" t="s">
        <v>326</v>
      </c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1" t="s">
        <v>338</v>
      </c>
      <c r="AB255" s="42" t="s">
        <v>328</v>
      </c>
      <c r="AC255" s="43" t="s">
        <v>61</v>
      </c>
      <c r="AD255" s="43">
        <v>328682499</v>
      </c>
      <c r="AE255" s="44">
        <v>0</v>
      </c>
      <c r="AF255" s="44">
        <v>0</v>
      </c>
      <c r="AG255" s="44">
        <v>0</v>
      </c>
      <c r="AH255" s="44">
        <v>0</v>
      </c>
      <c r="AI255" s="44">
        <v>0</v>
      </c>
      <c r="AJ255" s="43">
        <v>328682499</v>
      </c>
      <c r="AK255" s="44">
        <v>0</v>
      </c>
      <c r="AL255" s="43">
        <v>21089200</v>
      </c>
      <c r="AM255" s="43">
        <v>64598900</v>
      </c>
      <c r="AN255" s="44">
        <v>0</v>
      </c>
      <c r="AO255" s="43">
        <v>21089200</v>
      </c>
      <c r="AP255" s="43">
        <v>64598900</v>
      </c>
      <c r="AQ255" s="110">
        <v>21089200</v>
      </c>
      <c r="AR255" s="110">
        <v>21364400</v>
      </c>
      <c r="AS255" s="110">
        <v>43509700</v>
      </c>
      <c r="AT255" s="39">
        <f t="shared" si="226"/>
        <v>64598900</v>
      </c>
      <c r="AU255" s="18">
        <f t="shared" ref="AU255" si="235">AJ255-AM255</f>
        <v>264083599</v>
      </c>
      <c r="AV255" s="34">
        <f t="shared" ref="AV255" si="236">AM255-AP255</f>
        <v>0</v>
      </c>
      <c r="AW255" s="34">
        <f t="shared" ref="AW255" si="237">AP255-AT255</f>
        <v>0</v>
      </c>
      <c r="AX255" s="123">
        <f t="shared" ref="AX255" si="238">AP255/AJ255</f>
        <v>0.19653890972759094</v>
      </c>
    </row>
    <row r="256" spans="1:50" ht="18.75" customHeight="1" x14ac:dyDescent="0.2">
      <c r="AA256" s="28" t="s">
        <v>288</v>
      </c>
      <c r="AB256" s="29" t="s">
        <v>133</v>
      </c>
      <c r="AC256" s="17"/>
      <c r="AD256" s="18"/>
      <c r="AE256" s="34"/>
      <c r="AF256" s="34"/>
      <c r="AG256" s="34"/>
      <c r="AH256" s="34"/>
      <c r="AI256" s="34"/>
      <c r="AJ256" s="18"/>
      <c r="AK256" s="34"/>
      <c r="AL256" s="18"/>
      <c r="AM256" s="18"/>
      <c r="AN256" s="34"/>
      <c r="AO256" s="18"/>
      <c r="AP256" s="18"/>
      <c r="AQ256" s="110"/>
      <c r="AR256" s="110"/>
      <c r="AS256" s="110"/>
      <c r="AT256" s="40">
        <f t="shared" si="226"/>
        <v>0</v>
      </c>
      <c r="AU256" s="18"/>
      <c r="AV256" s="18"/>
      <c r="AW256" s="34"/>
      <c r="AX256" s="18"/>
    </row>
    <row r="257" spans="1:50" ht="18.75" customHeight="1" x14ac:dyDescent="0.2">
      <c r="A257" s="4" t="s">
        <v>325</v>
      </c>
      <c r="B257" s="4" t="s">
        <v>326</v>
      </c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1" t="s">
        <v>339</v>
      </c>
      <c r="AB257" s="42" t="s">
        <v>328</v>
      </c>
      <c r="AC257" s="43" t="s">
        <v>61</v>
      </c>
      <c r="AD257" s="43">
        <v>54780417</v>
      </c>
      <c r="AE257" s="44">
        <v>0</v>
      </c>
      <c r="AF257" s="44">
        <v>0</v>
      </c>
      <c r="AG257" s="44">
        <v>0</v>
      </c>
      <c r="AH257" s="44">
        <v>0</v>
      </c>
      <c r="AI257" s="44">
        <v>0</v>
      </c>
      <c r="AJ257" s="43">
        <v>54780417</v>
      </c>
      <c r="AK257" s="44">
        <v>0</v>
      </c>
      <c r="AL257" s="43">
        <v>3526800</v>
      </c>
      <c r="AM257" s="43">
        <v>10806400</v>
      </c>
      <c r="AN257" s="44">
        <v>0</v>
      </c>
      <c r="AO257" s="43">
        <v>3526800</v>
      </c>
      <c r="AP257" s="43">
        <v>10806400</v>
      </c>
      <c r="AQ257" s="110">
        <v>3526800</v>
      </c>
      <c r="AR257" s="110">
        <v>3572800</v>
      </c>
      <c r="AS257" s="110">
        <v>7279600</v>
      </c>
      <c r="AT257" s="39">
        <f t="shared" si="226"/>
        <v>10806400</v>
      </c>
      <c r="AU257" s="18">
        <f t="shared" ref="AU257" si="239">AJ257-AM257</f>
        <v>43974017</v>
      </c>
      <c r="AV257" s="34">
        <f t="shared" ref="AV257" si="240">AM257-AP257</f>
        <v>0</v>
      </c>
      <c r="AW257" s="34">
        <f t="shared" ref="AW257" si="241">AP257-AT257</f>
        <v>0</v>
      </c>
      <c r="AX257" s="123">
        <f t="shared" ref="AX257" si="242">AP257/AJ257</f>
        <v>0.1972675746517227</v>
      </c>
    </row>
    <row r="258" spans="1:50" ht="18.75" customHeight="1" x14ac:dyDescent="0.2">
      <c r="AA258" s="28" t="s">
        <v>288</v>
      </c>
      <c r="AB258" s="29" t="s">
        <v>138</v>
      </c>
      <c r="AC258" s="17"/>
      <c r="AD258" s="18"/>
      <c r="AE258" s="34"/>
      <c r="AF258" s="34"/>
      <c r="AG258" s="34"/>
      <c r="AH258" s="34"/>
      <c r="AI258" s="34"/>
      <c r="AJ258" s="18"/>
      <c r="AK258" s="34"/>
      <c r="AL258" s="18"/>
      <c r="AM258" s="18"/>
      <c r="AN258" s="34"/>
      <c r="AO258" s="18"/>
      <c r="AP258" s="18"/>
      <c r="AQ258" s="110"/>
      <c r="AR258" s="110"/>
      <c r="AS258" s="110"/>
      <c r="AT258" s="40">
        <f t="shared" si="226"/>
        <v>0</v>
      </c>
      <c r="AU258" s="18"/>
      <c r="AV258" s="18"/>
      <c r="AW258" s="34"/>
      <c r="AX258" s="18"/>
    </row>
    <row r="259" spans="1:50" ht="18.75" customHeight="1" x14ac:dyDescent="0.2">
      <c r="A259" s="4" t="s">
        <v>325</v>
      </c>
      <c r="B259" s="4" t="s">
        <v>326</v>
      </c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1" t="s">
        <v>340</v>
      </c>
      <c r="AB259" s="42" t="s">
        <v>328</v>
      </c>
      <c r="AC259" s="43" t="s">
        <v>61</v>
      </c>
      <c r="AD259" s="43">
        <v>54780417</v>
      </c>
      <c r="AE259" s="44">
        <v>0</v>
      </c>
      <c r="AF259" s="44">
        <v>0</v>
      </c>
      <c r="AG259" s="44">
        <v>0</v>
      </c>
      <c r="AH259" s="44">
        <v>0</v>
      </c>
      <c r="AI259" s="44">
        <v>0</v>
      </c>
      <c r="AJ259" s="43">
        <v>54780417</v>
      </c>
      <c r="AK259" s="44">
        <v>0</v>
      </c>
      <c r="AL259" s="43">
        <v>3526800</v>
      </c>
      <c r="AM259" s="43">
        <v>10806400</v>
      </c>
      <c r="AN259" s="44">
        <v>0</v>
      </c>
      <c r="AO259" s="43">
        <v>3526800</v>
      </c>
      <c r="AP259" s="43">
        <v>10806400</v>
      </c>
      <c r="AQ259" s="110">
        <v>3526800</v>
      </c>
      <c r="AR259" s="110">
        <v>3572800</v>
      </c>
      <c r="AS259" s="110">
        <v>7279600</v>
      </c>
      <c r="AT259" s="39">
        <f t="shared" si="226"/>
        <v>10806400</v>
      </c>
      <c r="AU259" s="18">
        <f t="shared" ref="AU259" si="243">AJ259-AM259</f>
        <v>43974017</v>
      </c>
      <c r="AV259" s="34">
        <f t="shared" ref="AV259" si="244">AM259-AP259</f>
        <v>0</v>
      </c>
      <c r="AW259" s="34">
        <f t="shared" ref="AW259" si="245">AP259-AT259</f>
        <v>0</v>
      </c>
      <c r="AX259" s="123">
        <f t="shared" ref="AX259" si="246">AP259/AJ259</f>
        <v>0.1972675746517227</v>
      </c>
    </row>
    <row r="260" spans="1:50" ht="25.5" x14ac:dyDescent="0.2">
      <c r="AA260" s="28" t="s">
        <v>288</v>
      </c>
      <c r="AB260" s="29" t="s">
        <v>145</v>
      </c>
      <c r="AC260" s="17"/>
      <c r="AD260" s="18"/>
      <c r="AE260" s="34"/>
      <c r="AF260" s="34"/>
      <c r="AG260" s="34"/>
      <c r="AH260" s="34"/>
      <c r="AI260" s="34"/>
      <c r="AJ260" s="18"/>
      <c r="AK260" s="34"/>
      <c r="AL260" s="18"/>
      <c r="AM260" s="18"/>
      <c r="AN260" s="34"/>
      <c r="AO260" s="18"/>
      <c r="AP260" s="18"/>
      <c r="AQ260" s="34"/>
      <c r="AR260" s="34"/>
      <c r="AS260" s="34"/>
      <c r="AT260" s="40">
        <f t="shared" si="226"/>
        <v>0</v>
      </c>
      <c r="AU260" s="18"/>
      <c r="AV260" s="18"/>
      <c r="AW260" s="18"/>
      <c r="AX260" s="18"/>
    </row>
    <row r="261" spans="1:50" ht="18.75" customHeight="1" x14ac:dyDescent="0.2">
      <c r="A261" s="4" t="s">
        <v>325</v>
      </c>
      <c r="B261" s="4" t="s">
        <v>326</v>
      </c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1" t="s">
        <v>341</v>
      </c>
      <c r="AB261" s="42" t="s">
        <v>328</v>
      </c>
      <c r="AC261" s="43" t="s">
        <v>61</v>
      </c>
      <c r="AD261" s="43">
        <v>109560833</v>
      </c>
      <c r="AE261" s="44">
        <v>0</v>
      </c>
      <c r="AF261" s="44">
        <v>0</v>
      </c>
      <c r="AG261" s="44">
        <v>0</v>
      </c>
      <c r="AH261" s="44">
        <v>0</v>
      </c>
      <c r="AI261" s="44">
        <v>0</v>
      </c>
      <c r="AJ261" s="43">
        <v>109560833</v>
      </c>
      <c r="AK261" s="44">
        <v>0</v>
      </c>
      <c r="AL261" s="43">
        <v>7041600</v>
      </c>
      <c r="AM261" s="43">
        <v>21570700</v>
      </c>
      <c r="AN261" s="44">
        <v>0</v>
      </c>
      <c r="AO261" s="43">
        <v>7041600</v>
      </c>
      <c r="AP261" s="43">
        <v>21570700</v>
      </c>
      <c r="AQ261" s="34">
        <v>7041600</v>
      </c>
      <c r="AR261" s="110">
        <v>7133400</v>
      </c>
      <c r="AS261" s="110">
        <v>14529100</v>
      </c>
      <c r="AT261" s="39">
        <f t="shared" si="226"/>
        <v>21570700</v>
      </c>
      <c r="AU261" s="18">
        <f t="shared" ref="AU261" si="247">AJ261-AM261</f>
        <v>87990133</v>
      </c>
      <c r="AV261" s="34">
        <f t="shared" ref="AV261" si="248">AM261-AP261</f>
        <v>0</v>
      </c>
      <c r="AW261" s="34">
        <f t="shared" ref="AW261" si="249">AP261-AT261</f>
        <v>0</v>
      </c>
      <c r="AX261" s="123">
        <f t="shared" ref="AX261" si="250">AP261/AJ261</f>
        <v>0.19688331504379855</v>
      </c>
    </row>
    <row r="262" spans="1:50" ht="18.75" customHeight="1" x14ac:dyDescent="0.2">
      <c r="AA262" s="16"/>
      <c r="AB262" s="29" t="s">
        <v>149</v>
      </c>
      <c r="AC262" s="17"/>
      <c r="AD262" s="18"/>
      <c r="AE262" s="34"/>
      <c r="AF262" s="34"/>
      <c r="AG262" s="34"/>
      <c r="AH262" s="34"/>
      <c r="AI262" s="34"/>
      <c r="AJ262" s="18"/>
      <c r="AK262" s="34"/>
      <c r="AL262" s="18"/>
      <c r="AM262" s="18"/>
      <c r="AN262" s="34"/>
      <c r="AO262" s="18"/>
      <c r="AP262" s="18"/>
      <c r="AQ262" s="34"/>
      <c r="AR262" s="34"/>
      <c r="AS262" s="34"/>
      <c r="AT262" s="40"/>
      <c r="AU262" s="18"/>
      <c r="AV262" s="18"/>
      <c r="AW262" s="34"/>
      <c r="AX262" s="18"/>
    </row>
    <row r="263" spans="1:50" ht="18.75" customHeight="1" x14ac:dyDescent="0.2">
      <c r="AA263" s="16"/>
      <c r="AB263" s="29" t="s">
        <v>81</v>
      </c>
      <c r="AC263" s="17"/>
      <c r="AD263" s="18"/>
      <c r="AE263" s="34"/>
      <c r="AF263" s="34"/>
      <c r="AG263" s="34"/>
      <c r="AH263" s="34"/>
      <c r="AI263" s="34"/>
      <c r="AJ263" s="18"/>
      <c r="AK263" s="34"/>
      <c r="AL263" s="18"/>
      <c r="AM263" s="18"/>
      <c r="AN263" s="34"/>
      <c r="AO263" s="18"/>
      <c r="AP263" s="18"/>
      <c r="AQ263" s="34"/>
      <c r="AR263" s="34"/>
      <c r="AS263" s="34"/>
      <c r="AT263" s="40"/>
      <c r="AU263" s="18"/>
      <c r="AV263" s="18"/>
      <c r="AW263" s="34"/>
      <c r="AX263" s="18"/>
    </row>
    <row r="264" spans="1:50" ht="18.75" customHeight="1" x14ac:dyDescent="0.2">
      <c r="AA264" s="28" t="s">
        <v>288</v>
      </c>
      <c r="AB264" s="29" t="s">
        <v>152</v>
      </c>
      <c r="AC264" s="17"/>
      <c r="AD264" s="18"/>
      <c r="AE264" s="34"/>
      <c r="AF264" s="34"/>
      <c r="AG264" s="34"/>
      <c r="AH264" s="34"/>
      <c r="AI264" s="34"/>
      <c r="AJ264" s="18"/>
      <c r="AK264" s="34"/>
      <c r="AL264" s="18"/>
      <c r="AM264" s="18"/>
      <c r="AN264" s="34"/>
      <c r="AO264" s="18"/>
      <c r="AP264" s="18"/>
      <c r="AQ264" s="34"/>
      <c r="AR264" s="34"/>
      <c r="AS264" s="34"/>
      <c r="AT264" s="40"/>
      <c r="AU264" s="18"/>
      <c r="AV264" s="18"/>
      <c r="AW264" s="34"/>
      <c r="AX264" s="18"/>
    </row>
    <row r="265" spans="1:50" ht="18.75" customHeight="1" x14ac:dyDescent="0.2">
      <c r="A265" s="4" t="s">
        <v>325</v>
      </c>
      <c r="B265" s="4" t="s">
        <v>326</v>
      </c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1" t="s">
        <v>342</v>
      </c>
      <c r="AB265" s="42" t="s">
        <v>328</v>
      </c>
      <c r="AC265" s="43" t="s">
        <v>61</v>
      </c>
      <c r="AD265" s="43">
        <v>229777776</v>
      </c>
      <c r="AE265" s="44">
        <v>0</v>
      </c>
      <c r="AF265" s="44">
        <v>0</v>
      </c>
      <c r="AG265" s="44">
        <v>0</v>
      </c>
      <c r="AH265" s="44">
        <v>0</v>
      </c>
      <c r="AI265" s="44">
        <v>0</v>
      </c>
      <c r="AJ265" s="43">
        <v>229777776</v>
      </c>
      <c r="AK265" s="44">
        <v>0</v>
      </c>
      <c r="AL265" s="43">
        <v>4768389</v>
      </c>
      <c r="AM265" s="43">
        <v>22759272</v>
      </c>
      <c r="AN265" s="44">
        <v>0</v>
      </c>
      <c r="AO265" s="43">
        <v>4768389</v>
      </c>
      <c r="AP265" s="43">
        <v>22759272</v>
      </c>
      <c r="AQ265" s="34">
        <v>0</v>
      </c>
      <c r="AR265" s="133">
        <v>0</v>
      </c>
      <c r="AS265" s="110">
        <v>17990883</v>
      </c>
      <c r="AT265" s="39">
        <f t="shared" si="226"/>
        <v>17990883</v>
      </c>
      <c r="AU265" s="18">
        <f t="shared" ref="AU265" si="251">AJ265-AM265</f>
        <v>207018504</v>
      </c>
      <c r="AV265" s="34">
        <f t="shared" ref="AV265" si="252">AM265-AP265</f>
        <v>0</v>
      </c>
      <c r="AW265" s="18">
        <f t="shared" ref="AW265" si="253">AP265-AT265</f>
        <v>4768389</v>
      </c>
      <c r="AX265" s="123">
        <f t="shared" ref="AX265" si="254">AP265/AJ265</f>
        <v>9.9049056859180321E-2</v>
      </c>
    </row>
    <row r="266" spans="1:50" ht="18.75" customHeight="1" x14ac:dyDescent="0.2">
      <c r="AA266" s="28" t="s">
        <v>288</v>
      </c>
      <c r="AB266" s="29" t="s">
        <v>343</v>
      </c>
      <c r="AC266" s="17"/>
      <c r="AD266" s="18"/>
      <c r="AE266" s="34"/>
      <c r="AF266" s="34"/>
      <c r="AG266" s="34"/>
      <c r="AH266" s="34"/>
      <c r="AI266" s="34"/>
      <c r="AJ266" s="18"/>
      <c r="AK266" s="34"/>
      <c r="AL266" s="18"/>
      <c r="AM266" s="18"/>
      <c r="AN266" s="34"/>
      <c r="AO266" s="18"/>
      <c r="AP266" s="18"/>
      <c r="AQ266" s="34"/>
      <c r="AR266" s="34"/>
      <c r="AS266" s="34"/>
      <c r="AT266" s="40"/>
      <c r="AU266" s="18"/>
      <c r="AV266" s="18"/>
      <c r="AW266" s="18"/>
      <c r="AX266" s="18"/>
    </row>
    <row r="267" spans="1:50" ht="18.75" customHeight="1" x14ac:dyDescent="0.2">
      <c r="A267" s="4" t="s">
        <v>325</v>
      </c>
      <c r="B267" s="4" t="s">
        <v>326</v>
      </c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1" t="s">
        <v>344</v>
      </c>
      <c r="AB267" s="42" t="s">
        <v>328</v>
      </c>
      <c r="AC267" s="43" t="s">
        <v>61</v>
      </c>
      <c r="AD267" s="43">
        <v>10000000</v>
      </c>
      <c r="AE267" s="44">
        <v>0</v>
      </c>
      <c r="AF267" s="44">
        <v>0</v>
      </c>
      <c r="AG267" s="44">
        <v>0</v>
      </c>
      <c r="AH267" s="44">
        <v>0</v>
      </c>
      <c r="AI267" s="44">
        <v>0</v>
      </c>
      <c r="AJ267" s="43">
        <v>10000000</v>
      </c>
      <c r="AK267" s="44">
        <v>0</v>
      </c>
      <c r="AL267" s="44">
        <v>0</v>
      </c>
      <c r="AM267" s="44">
        <v>0</v>
      </c>
      <c r="AN267" s="44">
        <v>0</v>
      </c>
      <c r="AO267" s="44">
        <v>0</v>
      </c>
      <c r="AP267" s="44">
        <v>0</v>
      </c>
      <c r="AQ267" s="34">
        <v>0</v>
      </c>
      <c r="AR267" s="34">
        <v>0</v>
      </c>
      <c r="AS267" s="34">
        <v>0</v>
      </c>
      <c r="AT267" s="40">
        <f t="shared" ref="AT267" si="255">AQ267+AS267</f>
        <v>0</v>
      </c>
      <c r="AU267" s="18">
        <f t="shared" ref="AU267" si="256">AJ267-AM267</f>
        <v>10000000</v>
      </c>
      <c r="AV267" s="34">
        <f t="shared" ref="AV267" si="257">AM267-AP267</f>
        <v>0</v>
      </c>
      <c r="AW267" s="18">
        <f t="shared" ref="AW267" si="258">AP267-AT267</f>
        <v>0</v>
      </c>
      <c r="AX267" s="123">
        <f t="shared" ref="AX267" si="259">AP267/AJ267</f>
        <v>0</v>
      </c>
    </row>
    <row r="268" spans="1:50" ht="18.75" customHeight="1" x14ac:dyDescent="0.2">
      <c r="AA268" s="28" t="s">
        <v>288</v>
      </c>
      <c r="AB268" s="29" t="s">
        <v>162</v>
      </c>
      <c r="AC268" s="17"/>
      <c r="AD268" s="18"/>
      <c r="AE268" s="34"/>
      <c r="AF268" s="34"/>
      <c r="AG268" s="34"/>
      <c r="AH268" s="34"/>
      <c r="AI268" s="34"/>
      <c r="AJ268" s="18"/>
      <c r="AK268" s="34"/>
      <c r="AL268" s="18"/>
      <c r="AM268" s="18"/>
      <c r="AN268" s="34"/>
      <c r="AO268" s="18"/>
      <c r="AP268" s="18"/>
      <c r="AQ268" s="34"/>
      <c r="AR268" s="34"/>
      <c r="AS268" s="34"/>
      <c r="AT268" s="40"/>
      <c r="AU268" s="18"/>
      <c r="AV268" s="18"/>
      <c r="AW268" s="18"/>
      <c r="AX268" s="18"/>
    </row>
    <row r="269" spans="1:50" ht="18.75" customHeight="1" x14ac:dyDescent="0.2">
      <c r="A269" s="4" t="s">
        <v>325</v>
      </c>
      <c r="B269" s="4" t="s">
        <v>326</v>
      </c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1" t="s">
        <v>345</v>
      </c>
      <c r="AB269" s="42" t="s">
        <v>328</v>
      </c>
      <c r="AC269" s="43" t="s">
        <v>61</v>
      </c>
      <c r="AD269" s="43">
        <v>31208419</v>
      </c>
      <c r="AE269" s="44">
        <v>0</v>
      </c>
      <c r="AF269" s="44">
        <v>0</v>
      </c>
      <c r="AG269" s="44">
        <v>0</v>
      </c>
      <c r="AH269" s="44">
        <v>0</v>
      </c>
      <c r="AI269" s="44">
        <v>0</v>
      </c>
      <c r="AJ269" s="43">
        <v>31208419</v>
      </c>
      <c r="AK269" s="44">
        <v>0</v>
      </c>
      <c r="AL269" s="43">
        <v>424329</v>
      </c>
      <c r="AM269" s="43">
        <v>1818799</v>
      </c>
      <c r="AN269" s="44">
        <v>0</v>
      </c>
      <c r="AO269" s="43">
        <v>424329</v>
      </c>
      <c r="AP269" s="43">
        <v>1818799</v>
      </c>
      <c r="AQ269" s="34">
        <v>0</v>
      </c>
      <c r="AR269" s="133">
        <v>0</v>
      </c>
      <c r="AS269" s="110">
        <v>1394470</v>
      </c>
      <c r="AT269" s="39">
        <f t="shared" ref="AT269" si="260">AQ269+AS269</f>
        <v>1394470</v>
      </c>
      <c r="AU269" s="18">
        <f t="shared" ref="AU269" si="261">AJ269-AM269</f>
        <v>29389620</v>
      </c>
      <c r="AV269" s="34">
        <f t="shared" ref="AV269" si="262">AM269-AP269</f>
        <v>0</v>
      </c>
      <c r="AW269" s="18">
        <f t="shared" ref="AW269" si="263">AP269-AT269</f>
        <v>424329</v>
      </c>
      <c r="AX269" s="123">
        <f t="shared" ref="AX269" si="264">AP269/AJ269</f>
        <v>5.8279113722486231E-2</v>
      </c>
    </row>
    <row r="270" spans="1:50" ht="18.75" customHeight="1" x14ac:dyDescent="0.2">
      <c r="AA270" s="28" t="s">
        <v>288</v>
      </c>
      <c r="AB270" s="29" t="s">
        <v>346</v>
      </c>
      <c r="AC270" s="17"/>
      <c r="AD270" s="18"/>
      <c r="AE270" s="34"/>
      <c r="AF270" s="34"/>
      <c r="AG270" s="34"/>
      <c r="AH270" s="34"/>
      <c r="AI270" s="34"/>
      <c r="AJ270" s="18"/>
      <c r="AK270" s="34"/>
      <c r="AL270" s="18"/>
      <c r="AM270" s="18"/>
      <c r="AN270" s="34"/>
      <c r="AO270" s="18"/>
      <c r="AP270" s="18"/>
      <c r="AQ270" s="34"/>
      <c r="AR270" s="133"/>
      <c r="AS270" s="110"/>
      <c r="AT270" s="40"/>
      <c r="AU270" s="18"/>
      <c r="AV270" s="18"/>
      <c r="AW270" s="18"/>
      <c r="AX270" s="18"/>
    </row>
    <row r="271" spans="1:50" ht="18.75" customHeight="1" x14ac:dyDescent="0.2">
      <c r="A271" s="4" t="s">
        <v>325</v>
      </c>
      <c r="B271" s="4" t="s">
        <v>326</v>
      </c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1" t="s">
        <v>347</v>
      </c>
      <c r="AB271" s="42" t="s">
        <v>328</v>
      </c>
      <c r="AC271" s="43" t="s">
        <v>61</v>
      </c>
      <c r="AD271" s="43">
        <v>1108512330</v>
      </c>
      <c r="AE271" s="44">
        <v>0</v>
      </c>
      <c r="AF271" s="44">
        <v>0</v>
      </c>
      <c r="AG271" s="44">
        <v>0</v>
      </c>
      <c r="AH271" s="44">
        <v>0</v>
      </c>
      <c r="AI271" s="44">
        <v>0</v>
      </c>
      <c r="AJ271" s="43">
        <v>1108512330</v>
      </c>
      <c r="AK271" s="44">
        <v>0</v>
      </c>
      <c r="AL271" s="43">
        <v>75111122</v>
      </c>
      <c r="AM271" s="43">
        <v>216692156</v>
      </c>
      <c r="AN271" s="44">
        <v>0</v>
      </c>
      <c r="AO271" s="43">
        <v>75111122</v>
      </c>
      <c r="AP271" s="43">
        <v>216256160</v>
      </c>
      <c r="AQ271" s="34">
        <v>0</v>
      </c>
      <c r="AR271" s="133">
        <v>0</v>
      </c>
      <c r="AS271" s="110">
        <v>141145038</v>
      </c>
      <c r="AT271" s="39">
        <f t="shared" ref="AT271" si="265">AQ271+AS271</f>
        <v>141145038</v>
      </c>
      <c r="AU271" s="18">
        <f t="shared" ref="AU271" si="266">AJ271-AM271</f>
        <v>891820174</v>
      </c>
      <c r="AV271" s="110">
        <f t="shared" ref="AV271" si="267">AM271-AP271</f>
        <v>435996</v>
      </c>
      <c r="AW271" s="18">
        <f t="shared" ref="AW271" si="268">AP271-AT271</f>
        <v>75111122</v>
      </c>
      <c r="AX271" s="123">
        <f t="shared" ref="AX271" si="269">AP271/AJ271</f>
        <v>0.19508683317938377</v>
      </c>
    </row>
    <row r="272" spans="1:50" ht="18.75" customHeight="1" x14ac:dyDescent="0.2">
      <c r="AA272" s="16"/>
      <c r="AB272" s="29" t="s">
        <v>348</v>
      </c>
      <c r="AC272" s="17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34"/>
      <c r="AO272" s="18"/>
      <c r="AP272" s="18"/>
      <c r="AQ272" s="18"/>
      <c r="AR272" s="18"/>
      <c r="AS272" s="18"/>
      <c r="AT272" s="30"/>
      <c r="AU272" s="18"/>
      <c r="AV272" s="18"/>
      <c r="AW272" s="18"/>
      <c r="AX272" s="18"/>
    </row>
    <row r="273" spans="1:50" ht="18.75" customHeight="1" x14ac:dyDescent="0.2">
      <c r="AA273" s="16"/>
      <c r="AB273" s="29" t="s">
        <v>318</v>
      </c>
      <c r="AC273" s="17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34"/>
      <c r="AO273" s="18"/>
      <c r="AP273" s="18"/>
      <c r="AQ273" s="18"/>
      <c r="AR273" s="18"/>
      <c r="AS273" s="18"/>
      <c r="AT273" s="30"/>
      <c r="AU273" s="18"/>
      <c r="AV273" s="18"/>
      <c r="AW273" s="18"/>
      <c r="AX273" s="18"/>
    </row>
    <row r="274" spans="1:50" ht="25.5" x14ac:dyDescent="0.2">
      <c r="AA274" s="16"/>
      <c r="AB274" s="29" t="s">
        <v>319</v>
      </c>
      <c r="AC274" s="17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34"/>
      <c r="AO274" s="18"/>
      <c r="AP274" s="18"/>
      <c r="AQ274" s="18"/>
      <c r="AR274" s="18"/>
      <c r="AS274" s="18"/>
      <c r="AT274" s="30"/>
      <c r="AU274" s="18"/>
      <c r="AV274" s="18"/>
      <c r="AW274" s="18"/>
      <c r="AX274" s="18"/>
    </row>
    <row r="275" spans="1:50" ht="18.75" customHeight="1" x14ac:dyDescent="0.2">
      <c r="AA275" s="16"/>
      <c r="AB275" s="29" t="s">
        <v>320</v>
      </c>
      <c r="AC275" s="17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34"/>
      <c r="AO275" s="18"/>
      <c r="AP275" s="18"/>
      <c r="AQ275" s="18"/>
      <c r="AR275" s="18"/>
      <c r="AS275" s="18"/>
      <c r="AT275" s="30"/>
      <c r="AU275" s="18"/>
      <c r="AV275" s="18"/>
      <c r="AW275" s="18"/>
      <c r="AX275" s="18"/>
    </row>
    <row r="276" spans="1:50" ht="18.75" customHeight="1" x14ac:dyDescent="0.2">
      <c r="AA276" s="16"/>
      <c r="AB276" s="29" t="s">
        <v>46</v>
      </c>
      <c r="AC276" s="17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34"/>
      <c r="AO276" s="18"/>
      <c r="AP276" s="18"/>
      <c r="AQ276" s="18"/>
      <c r="AR276" s="18"/>
      <c r="AS276" s="18"/>
      <c r="AT276" s="30"/>
      <c r="AU276" s="18"/>
      <c r="AV276" s="18"/>
      <c r="AW276" s="18"/>
      <c r="AX276" s="18"/>
    </row>
    <row r="277" spans="1:50" ht="18.75" customHeight="1" x14ac:dyDescent="0.2">
      <c r="AA277" s="16"/>
      <c r="AB277" s="29" t="s">
        <v>48</v>
      </c>
      <c r="AC277" s="17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34"/>
      <c r="AO277" s="18"/>
      <c r="AP277" s="18"/>
      <c r="AQ277" s="18"/>
      <c r="AR277" s="18"/>
      <c r="AS277" s="18"/>
      <c r="AT277" s="30"/>
      <c r="AU277" s="18"/>
      <c r="AV277" s="18"/>
      <c r="AW277" s="18"/>
      <c r="AX277" s="18"/>
    </row>
    <row r="278" spans="1:50" ht="18.75" customHeight="1" x14ac:dyDescent="0.2">
      <c r="AA278" s="16"/>
      <c r="AB278" s="29" t="s">
        <v>52</v>
      </c>
      <c r="AC278" s="17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34"/>
      <c r="AO278" s="18"/>
      <c r="AP278" s="18"/>
      <c r="AQ278" s="18"/>
      <c r="AR278" s="18"/>
      <c r="AS278" s="18"/>
      <c r="AT278" s="30"/>
      <c r="AU278" s="18"/>
      <c r="AV278" s="18"/>
      <c r="AW278" s="18"/>
      <c r="AX278" s="18"/>
    </row>
    <row r="279" spans="1:50" ht="18.75" customHeight="1" x14ac:dyDescent="0.2">
      <c r="AA279" s="28" t="s">
        <v>288</v>
      </c>
      <c r="AB279" s="29" t="s">
        <v>54</v>
      </c>
      <c r="AC279" s="17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34"/>
      <c r="AO279" s="18"/>
      <c r="AP279" s="18"/>
      <c r="AQ279" s="18"/>
      <c r="AR279" s="18"/>
      <c r="AS279" s="18"/>
      <c r="AT279" s="30"/>
      <c r="AU279" s="18"/>
      <c r="AV279" s="18"/>
      <c r="AW279" s="18"/>
      <c r="AX279" s="18"/>
    </row>
    <row r="280" spans="1:50" ht="18.75" customHeight="1" x14ac:dyDescent="0.2">
      <c r="A280" s="4" t="s">
        <v>55</v>
      </c>
      <c r="B280" s="4" t="s">
        <v>56</v>
      </c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1" t="s">
        <v>323</v>
      </c>
      <c r="AB280" s="42" t="s">
        <v>324</v>
      </c>
      <c r="AC280" s="43" t="s">
        <v>61</v>
      </c>
      <c r="AD280" s="43">
        <v>111646949658</v>
      </c>
      <c r="AE280" s="44">
        <v>0</v>
      </c>
      <c r="AF280" s="44">
        <v>0</v>
      </c>
      <c r="AG280" s="43"/>
      <c r="AH280" s="43">
        <v>316940531.69999999</v>
      </c>
      <c r="AI280" s="18">
        <f>AE280-AF280+AG280-AH280</f>
        <v>-316940531.69999999</v>
      </c>
      <c r="AJ280" s="18">
        <f>AD280+AI280</f>
        <v>111330009126.3</v>
      </c>
      <c r="AK280" s="44">
        <v>0</v>
      </c>
      <c r="AL280" s="43">
        <f>AM280-FEBRERO!P277</f>
        <v>8934188671</v>
      </c>
      <c r="AM280" s="43">
        <v>23577212357</v>
      </c>
      <c r="AN280" s="44">
        <v>0</v>
      </c>
      <c r="AO280" s="43">
        <v>8934749803</v>
      </c>
      <c r="AP280" s="43">
        <v>23577212357</v>
      </c>
      <c r="AQ280" s="43">
        <v>561132</v>
      </c>
      <c r="AR280" s="43">
        <v>9860199</v>
      </c>
      <c r="AS280" s="43">
        <v>14651761621</v>
      </c>
      <c r="AT280" s="39">
        <f t="shared" ref="AT280" si="270">AQ280+AS280</f>
        <v>14652322753</v>
      </c>
      <c r="AU280" s="18">
        <f t="shared" ref="AU280" si="271">AJ280-AM280</f>
        <v>87752796769.300003</v>
      </c>
      <c r="AV280" s="110">
        <f t="shared" ref="AV280" si="272">AM280-AP280</f>
        <v>0</v>
      </c>
      <c r="AW280" s="18">
        <f t="shared" ref="AW280" si="273">AP280-AT280</f>
        <v>8924889604</v>
      </c>
      <c r="AX280" s="123">
        <f t="shared" ref="AX280" si="274">AP280/AJ280</f>
        <v>0.21177769176550121</v>
      </c>
    </row>
    <row r="281" spans="1:50" ht="18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173" t="s">
        <v>962</v>
      </c>
      <c r="AB281" s="42" t="s">
        <v>963</v>
      </c>
      <c r="AC281" s="43"/>
      <c r="AD281" s="43">
        <v>0</v>
      </c>
      <c r="AE281" s="44">
        <v>0</v>
      </c>
      <c r="AF281" s="44">
        <v>0</v>
      </c>
      <c r="AG281" s="43">
        <v>280746171.69999999</v>
      </c>
      <c r="AH281" s="43">
        <v>0</v>
      </c>
      <c r="AI281" s="18">
        <f>AE281-AF281+AG281-AH329</f>
        <v>280746171.69999999</v>
      </c>
      <c r="AJ281" s="18">
        <f>AD281+AI281</f>
        <v>280746171.69999999</v>
      </c>
      <c r="AK281" s="44">
        <v>0</v>
      </c>
      <c r="AL281" s="43">
        <v>0</v>
      </c>
      <c r="AM281" s="43">
        <v>0</v>
      </c>
      <c r="AN281" s="44">
        <v>0</v>
      </c>
      <c r="AO281" s="44">
        <v>0</v>
      </c>
      <c r="AP281" s="44">
        <v>0</v>
      </c>
      <c r="AQ281" s="44">
        <v>0</v>
      </c>
      <c r="AR281" s="44">
        <v>0</v>
      </c>
      <c r="AS281" s="43">
        <v>0</v>
      </c>
      <c r="AT281" s="39">
        <f t="shared" ref="AT281" si="275">AQ281+AS281</f>
        <v>0</v>
      </c>
      <c r="AU281" s="18">
        <f t="shared" ref="AU281" si="276">AJ281-AM281</f>
        <v>280746171.69999999</v>
      </c>
      <c r="AV281" s="110">
        <f t="shared" ref="AV281" si="277">AM281-AP281</f>
        <v>0</v>
      </c>
      <c r="AW281" s="34">
        <f t="shared" ref="AW281" si="278">AP281-AT281</f>
        <v>0</v>
      </c>
      <c r="AX281" s="123">
        <f t="shared" ref="AX281" si="279">AP281/AJ281</f>
        <v>0</v>
      </c>
    </row>
    <row r="282" spans="1:50" ht="18.75" customHeight="1" x14ac:dyDescent="0.2">
      <c r="AA282" s="28" t="s">
        <v>288</v>
      </c>
      <c r="AB282" s="29" t="s">
        <v>63</v>
      </c>
      <c r="AC282" s="17"/>
      <c r="AD282" s="18"/>
      <c r="AE282" s="34"/>
      <c r="AF282" s="34"/>
      <c r="AG282" s="34"/>
      <c r="AH282" s="34"/>
      <c r="AI282" s="34"/>
      <c r="AJ282" s="18"/>
      <c r="AK282" s="34"/>
      <c r="AL282" s="18"/>
      <c r="AM282" s="18"/>
      <c r="AN282" s="34"/>
      <c r="AO282" s="18"/>
      <c r="AP282" s="18"/>
      <c r="AQ282" s="18"/>
      <c r="AR282" s="34"/>
      <c r="AS282" s="18"/>
      <c r="AT282" s="30"/>
      <c r="AU282" s="18"/>
      <c r="AV282" s="18"/>
      <c r="AW282" s="34"/>
      <c r="AX282" s="18"/>
    </row>
    <row r="283" spans="1:50" ht="18.75" customHeight="1" x14ac:dyDescent="0.2">
      <c r="A283" s="4" t="s">
        <v>325</v>
      </c>
      <c r="B283" s="4" t="s">
        <v>326</v>
      </c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1" t="s">
        <v>349</v>
      </c>
      <c r="AB283" s="42" t="s">
        <v>328</v>
      </c>
      <c r="AC283" s="43" t="s">
        <v>61</v>
      </c>
      <c r="AD283" s="43">
        <v>1252925726</v>
      </c>
      <c r="AE283" s="44">
        <v>0</v>
      </c>
      <c r="AF283" s="44">
        <v>0</v>
      </c>
      <c r="AG283" s="44">
        <v>0</v>
      </c>
      <c r="AH283" s="44">
        <v>0</v>
      </c>
      <c r="AI283" s="44">
        <v>0</v>
      </c>
      <c r="AJ283" s="43">
        <v>1252925726</v>
      </c>
      <c r="AK283" s="44">
        <v>0</v>
      </c>
      <c r="AL283" s="43">
        <v>145810564</v>
      </c>
      <c r="AM283" s="43">
        <v>151830503</v>
      </c>
      <c r="AN283" s="44">
        <v>0</v>
      </c>
      <c r="AO283" s="43">
        <v>145810564</v>
      </c>
      <c r="AP283" s="43">
        <v>151830503</v>
      </c>
      <c r="AQ283" s="44">
        <v>0</v>
      </c>
      <c r="AR283" s="44">
        <v>0</v>
      </c>
      <c r="AS283" s="43">
        <v>6019939</v>
      </c>
      <c r="AT283" s="39">
        <f t="shared" ref="AT283" si="280">AQ283+AS283</f>
        <v>6019939</v>
      </c>
      <c r="AU283" s="18">
        <f t="shared" ref="AU283" si="281">AJ283-AM283</f>
        <v>1101095223</v>
      </c>
      <c r="AV283" s="34">
        <f t="shared" ref="AV283" si="282">AM283-AP283</f>
        <v>0</v>
      </c>
      <c r="AW283" s="18">
        <f t="shared" ref="AW283" si="283">AP283-AT283</f>
        <v>145810564</v>
      </c>
      <c r="AX283" s="123">
        <f t="shared" ref="AX283" si="284">AP283/AJ283</f>
        <v>0.12118076901870559</v>
      </c>
    </row>
    <row r="284" spans="1:50" ht="18.75" customHeight="1" x14ac:dyDescent="0.2">
      <c r="AA284" s="28" t="s">
        <v>288</v>
      </c>
      <c r="AB284" s="29" t="s">
        <v>67</v>
      </c>
      <c r="AC284" s="17"/>
      <c r="AD284" s="18"/>
      <c r="AE284" s="34"/>
      <c r="AF284" s="34"/>
      <c r="AG284" s="34"/>
      <c r="AH284" s="34"/>
      <c r="AI284" s="34"/>
      <c r="AJ284" s="18"/>
      <c r="AK284" s="34"/>
      <c r="AL284" s="18"/>
      <c r="AM284" s="18"/>
      <c r="AN284" s="34"/>
      <c r="AO284" s="18"/>
      <c r="AP284" s="18"/>
      <c r="AQ284" s="34"/>
      <c r="AR284" s="34"/>
      <c r="AS284" s="18"/>
      <c r="AT284" s="39"/>
      <c r="AU284" s="18"/>
      <c r="AV284" s="18"/>
      <c r="AW284" s="18"/>
      <c r="AX284" s="18"/>
    </row>
    <row r="285" spans="1:50" ht="18.75" customHeight="1" x14ac:dyDescent="0.2">
      <c r="A285" s="4" t="s">
        <v>325</v>
      </c>
      <c r="B285" s="4" t="s">
        <v>326</v>
      </c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1" t="s">
        <v>350</v>
      </c>
      <c r="AB285" s="42" t="s">
        <v>328</v>
      </c>
      <c r="AC285" s="43" t="s">
        <v>61</v>
      </c>
      <c r="AD285" s="43">
        <v>29846525</v>
      </c>
      <c r="AE285" s="44">
        <v>0</v>
      </c>
      <c r="AF285" s="44">
        <v>0</v>
      </c>
      <c r="AG285" s="44">
        <v>0</v>
      </c>
      <c r="AH285" s="44">
        <v>0</v>
      </c>
      <c r="AI285" s="44">
        <v>0</v>
      </c>
      <c r="AJ285" s="43">
        <v>29846525</v>
      </c>
      <c r="AK285" s="44">
        <v>0</v>
      </c>
      <c r="AL285" s="43">
        <v>2337666</v>
      </c>
      <c r="AM285" s="43">
        <v>6193371</v>
      </c>
      <c r="AN285" s="44">
        <v>0</v>
      </c>
      <c r="AO285" s="43">
        <v>2337666</v>
      </c>
      <c r="AP285" s="43">
        <v>6193371</v>
      </c>
      <c r="AQ285" s="44">
        <v>0</v>
      </c>
      <c r="AR285" s="44">
        <v>0</v>
      </c>
      <c r="AS285" s="43">
        <v>3855705</v>
      </c>
      <c r="AT285" s="39">
        <f t="shared" ref="AT285" si="285">AQ285+AS285</f>
        <v>3855705</v>
      </c>
      <c r="AU285" s="18">
        <f t="shared" ref="AU285" si="286">AJ285-AM285</f>
        <v>23653154</v>
      </c>
      <c r="AV285" s="34">
        <f t="shared" ref="AV285" si="287">AM285-AP285</f>
        <v>0</v>
      </c>
      <c r="AW285" s="18">
        <f t="shared" ref="AW285" si="288">AP285-AT285</f>
        <v>2337666</v>
      </c>
      <c r="AX285" s="123">
        <f t="shared" ref="AX285" si="289">AP285/AJ285</f>
        <v>0.20750727262218968</v>
      </c>
    </row>
    <row r="286" spans="1:50" ht="18.75" customHeight="1" x14ac:dyDescent="0.2">
      <c r="AA286" s="28" t="s">
        <v>288</v>
      </c>
      <c r="AB286" s="29" t="s">
        <v>69</v>
      </c>
      <c r="AC286" s="17"/>
      <c r="AD286" s="18"/>
      <c r="AE286" s="34"/>
      <c r="AF286" s="34"/>
      <c r="AG286" s="34"/>
      <c r="AH286" s="34"/>
      <c r="AI286" s="34"/>
      <c r="AJ286" s="18"/>
      <c r="AK286" s="34"/>
      <c r="AL286" s="18"/>
      <c r="AM286" s="18"/>
      <c r="AN286" s="34"/>
      <c r="AO286" s="18"/>
      <c r="AP286" s="18"/>
      <c r="AQ286" s="34"/>
      <c r="AR286" s="18"/>
      <c r="AS286" s="18"/>
      <c r="AT286" s="39"/>
      <c r="AU286" s="18"/>
      <c r="AV286" s="18"/>
      <c r="AW286" s="34"/>
      <c r="AX286" s="18"/>
    </row>
    <row r="287" spans="1:50" ht="18.75" customHeight="1" x14ac:dyDescent="0.2">
      <c r="A287" s="4" t="s">
        <v>325</v>
      </c>
      <c r="B287" s="4" t="s">
        <v>326</v>
      </c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1" t="s">
        <v>351</v>
      </c>
      <c r="AB287" s="42" t="s">
        <v>328</v>
      </c>
      <c r="AC287" s="43" t="s">
        <v>61</v>
      </c>
      <c r="AD287" s="43">
        <v>8723052</v>
      </c>
      <c r="AE287" s="44">
        <v>0</v>
      </c>
      <c r="AF287" s="44">
        <v>0</v>
      </c>
      <c r="AG287" s="43">
        <v>36194360</v>
      </c>
      <c r="AH287" s="44">
        <v>0</v>
      </c>
      <c r="AI287" s="18">
        <f>AE287-AF287+AG287-AH335</f>
        <v>36194360</v>
      </c>
      <c r="AJ287" s="18">
        <f>AD287+AI287</f>
        <v>44917412</v>
      </c>
      <c r="AK287" s="44">
        <v>0</v>
      </c>
      <c r="AL287" s="43">
        <v>3658469</v>
      </c>
      <c r="AM287" s="43">
        <v>9690851</v>
      </c>
      <c r="AN287" s="44">
        <v>0</v>
      </c>
      <c r="AO287" s="43">
        <v>3658469</v>
      </c>
      <c r="AP287" s="43">
        <v>9690851</v>
      </c>
      <c r="AQ287" s="44">
        <v>0</v>
      </c>
      <c r="AR287" s="43">
        <v>0</v>
      </c>
      <c r="AS287" s="43">
        <v>6032382</v>
      </c>
      <c r="AT287" s="39">
        <f t="shared" ref="AT287" si="290">AQ287+AS287</f>
        <v>6032382</v>
      </c>
      <c r="AU287" s="18">
        <f t="shared" ref="AU287" si="291">AJ287-AM287</f>
        <v>35226561</v>
      </c>
      <c r="AV287" s="34">
        <f t="shared" ref="AV287" si="292">AM287-AP287</f>
        <v>0</v>
      </c>
      <c r="AW287" s="18">
        <f t="shared" ref="AW287" si="293">AP287-AT287</f>
        <v>3658469</v>
      </c>
      <c r="AX287" s="123">
        <f t="shared" ref="AX287" si="294">AP287/AJ287</f>
        <v>0.21574820472737832</v>
      </c>
    </row>
    <row r="288" spans="1:50" ht="18.75" customHeight="1" x14ac:dyDescent="0.2">
      <c r="AA288" s="28" t="s">
        <v>288</v>
      </c>
      <c r="AB288" s="29" t="s">
        <v>71</v>
      </c>
      <c r="AC288" s="17"/>
      <c r="AD288" s="18"/>
      <c r="AE288" s="34"/>
      <c r="AF288" s="34"/>
      <c r="AG288" s="34"/>
      <c r="AH288" s="34"/>
      <c r="AI288" s="34"/>
      <c r="AJ288" s="18"/>
      <c r="AK288" s="34"/>
      <c r="AL288" s="18"/>
      <c r="AM288" s="18"/>
      <c r="AN288" s="34"/>
      <c r="AO288" s="18"/>
      <c r="AP288" s="18"/>
      <c r="AQ288" s="34"/>
      <c r="AR288" s="18"/>
      <c r="AS288" s="18"/>
      <c r="AT288" s="39"/>
      <c r="AU288" s="18"/>
      <c r="AV288" s="18"/>
      <c r="AW288" s="18"/>
      <c r="AX288" s="18"/>
    </row>
    <row r="289" spans="1:50" ht="18.75" customHeight="1" x14ac:dyDescent="0.2">
      <c r="A289" s="4" t="s">
        <v>325</v>
      </c>
      <c r="B289" s="4" t="s">
        <v>326</v>
      </c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1" t="s">
        <v>327</v>
      </c>
      <c r="AB289" s="42" t="s">
        <v>328</v>
      </c>
      <c r="AC289" s="43" t="s">
        <v>61</v>
      </c>
      <c r="AD289" s="43">
        <v>5466979223</v>
      </c>
      <c r="AE289" s="44">
        <v>0</v>
      </c>
      <c r="AF289" s="44">
        <v>0</v>
      </c>
      <c r="AG289" s="44">
        <v>0</v>
      </c>
      <c r="AH289" s="44">
        <v>0</v>
      </c>
      <c r="AI289" s="44">
        <v>0</v>
      </c>
      <c r="AJ289" s="43">
        <v>5466979223</v>
      </c>
      <c r="AK289" s="44">
        <v>0</v>
      </c>
      <c r="AL289" s="43">
        <v>19625425</v>
      </c>
      <c r="AM289" s="43">
        <v>76396370</v>
      </c>
      <c r="AN289" s="44">
        <v>0</v>
      </c>
      <c r="AO289" s="43">
        <v>19625425</v>
      </c>
      <c r="AP289" s="43">
        <v>76396370</v>
      </c>
      <c r="AQ289" s="44">
        <v>0</v>
      </c>
      <c r="AR289" s="44">
        <v>0</v>
      </c>
      <c r="AS289" s="43">
        <v>56770945</v>
      </c>
      <c r="AT289" s="39">
        <f t="shared" ref="AT289" si="295">AQ289+AS289</f>
        <v>56770945</v>
      </c>
      <c r="AU289" s="18">
        <f t="shared" ref="AU289" si="296">AJ289-AM289</f>
        <v>5390582853</v>
      </c>
      <c r="AV289" s="34">
        <f t="shared" ref="AV289" si="297">AM289-AP289</f>
        <v>0</v>
      </c>
      <c r="AW289" s="18">
        <f t="shared" ref="AW289" si="298">AP289-AT289</f>
        <v>19625425</v>
      </c>
      <c r="AX289" s="123">
        <f t="shared" ref="AX289" si="299">AP289/AJ289</f>
        <v>1.3974146760718354E-2</v>
      </c>
    </row>
    <row r="290" spans="1:50" ht="18.75" customHeight="1" x14ac:dyDescent="0.2">
      <c r="AA290" s="28" t="s">
        <v>288</v>
      </c>
      <c r="AB290" s="29" t="s">
        <v>76</v>
      </c>
      <c r="AC290" s="17"/>
      <c r="AD290" s="18"/>
      <c r="AE290" s="34"/>
      <c r="AF290" s="34"/>
      <c r="AG290" s="34"/>
      <c r="AH290" s="34"/>
      <c r="AI290" s="34"/>
      <c r="AJ290" s="18"/>
      <c r="AK290" s="34"/>
      <c r="AL290" s="18"/>
      <c r="AM290" s="18"/>
      <c r="AN290" s="34"/>
      <c r="AO290" s="18"/>
      <c r="AP290" s="18"/>
      <c r="AQ290" s="18"/>
      <c r="AR290" s="34"/>
      <c r="AS290" s="18"/>
      <c r="AT290" s="39"/>
      <c r="AU290" s="18"/>
      <c r="AV290" s="18"/>
      <c r="AW290" s="18"/>
      <c r="AX290" s="18"/>
    </row>
    <row r="291" spans="1:50" ht="18.75" customHeight="1" x14ac:dyDescent="0.2">
      <c r="A291" s="4" t="s">
        <v>325</v>
      </c>
      <c r="B291" s="4" t="s">
        <v>326</v>
      </c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1" t="s">
        <v>329</v>
      </c>
      <c r="AB291" s="42" t="s">
        <v>328</v>
      </c>
      <c r="AC291" s="43" t="s">
        <v>61</v>
      </c>
      <c r="AD291" s="43">
        <v>3964855703</v>
      </c>
      <c r="AE291" s="44">
        <v>0</v>
      </c>
      <c r="AF291" s="44">
        <v>0</v>
      </c>
      <c r="AG291" s="44">
        <v>0</v>
      </c>
      <c r="AH291" s="44">
        <v>0</v>
      </c>
      <c r="AI291" s="44">
        <v>0</v>
      </c>
      <c r="AJ291" s="43">
        <v>3964855703</v>
      </c>
      <c r="AK291" s="44">
        <v>0</v>
      </c>
      <c r="AL291" s="43">
        <f>AM291-FEBRERO!P287</f>
        <v>213115760</v>
      </c>
      <c r="AM291" s="43">
        <v>1339547262</v>
      </c>
      <c r="AN291" s="44">
        <v>0</v>
      </c>
      <c r="AO291" s="43">
        <v>213115760</v>
      </c>
      <c r="AP291" s="43">
        <v>1339547262</v>
      </c>
      <c r="AQ291" s="44">
        <v>0</v>
      </c>
      <c r="AR291" s="44">
        <v>0</v>
      </c>
      <c r="AS291" s="43">
        <v>1126431502</v>
      </c>
      <c r="AT291" s="39">
        <f t="shared" ref="AT291" si="300">AQ291+AS291</f>
        <v>1126431502</v>
      </c>
      <c r="AU291" s="18">
        <f t="shared" ref="AU291" si="301">AJ291-AM291</f>
        <v>2625308441</v>
      </c>
      <c r="AV291" s="34">
        <f t="shared" ref="AV291" si="302">AM291-AP291</f>
        <v>0</v>
      </c>
      <c r="AW291" s="18">
        <f t="shared" ref="AW291" si="303">AP291-AT291</f>
        <v>213115760</v>
      </c>
      <c r="AX291" s="123">
        <f t="shared" ref="AX291" si="304">AP291/AJ291</f>
        <v>0.33785523669535672</v>
      </c>
    </row>
    <row r="292" spans="1:50" ht="18.75" customHeight="1" x14ac:dyDescent="0.2">
      <c r="AA292" s="16"/>
      <c r="AB292" s="29" t="s">
        <v>81</v>
      </c>
      <c r="AC292" s="17"/>
      <c r="AD292" s="18"/>
      <c r="AE292" s="34"/>
      <c r="AF292" s="34"/>
      <c r="AG292" s="34"/>
      <c r="AH292" s="34"/>
      <c r="AI292" s="34"/>
      <c r="AJ292" s="18"/>
      <c r="AK292" s="34"/>
      <c r="AL292" s="18"/>
      <c r="AM292" s="18"/>
      <c r="AN292" s="34"/>
      <c r="AO292" s="18"/>
      <c r="AP292" s="18"/>
      <c r="AQ292" s="34"/>
      <c r="AR292" s="34"/>
      <c r="AS292" s="18"/>
      <c r="AT292" s="30"/>
      <c r="AU292" s="18"/>
      <c r="AV292" s="18"/>
      <c r="AW292" s="34"/>
      <c r="AX292" s="18"/>
    </row>
    <row r="293" spans="1:50" ht="18.75" customHeight="1" x14ac:dyDescent="0.2">
      <c r="AA293" s="28" t="s">
        <v>288</v>
      </c>
      <c r="AB293" s="29" t="s">
        <v>83</v>
      </c>
      <c r="AC293" s="17"/>
      <c r="AD293" s="18"/>
      <c r="AE293" s="34"/>
      <c r="AF293" s="34"/>
      <c r="AG293" s="34"/>
      <c r="AH293" s="34"/>
      <c r="AI293" s="34"/>
      <c r="AJ293" s="18"/>
      <c r="AK293" s="34"/>
      <c r="AL293" s="18"/>
      <c r="AM293" s="18"/>
      <c r="AN293" s="34"/>
      <c r="AO293" s="18"/>
      <c r="AP293" s="18"/>
      <c r="AQ293" s="34"/>
      <c r="AR293" s="34"/>
      <c r="AS293" s="18"/>
      <c r="AT293" s="30"/>
      <c r="AU293" s="18"/>
      <c r="AV293" s="18"/>
      <c r="AW293" s="34"/>
      <c r="AX293" s="18"/>
    </row>
    <row r="294" spans="1:50" ht="18.75" customHeight="1" x14ac:dyDescent="0.2">
      <c r="A294" s="4" t="s">
        <v>325</v>
      </c>
      <c r="B294" s="4" t="s">
        <v>326</v>
      </c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1" t="s">
        <v>330</v>
      </c>
      <c r="AB294" s="42" t="s">
        <v>328</v>
      </c>
      <c r="AC294" s="43" t="s">
        <v>61</v>
      </c>
      <c r="AD294" s="43">
        <v>11363953497</v>
      </c>
      <c r="AE294" s="44">
        <v>0</v>
      </c>
      <c r="AF294" s="44">
        <v>0</v>
      </c>
      <c r="AG294" s="44">
        <v>0</v>
      </c>
      <c r="AH294" s="44">
        <v>0</v>
      </c>
      <c r="AI294" s="44">
        <v>0</v>
      </c>
      <c r="AJ294" s="43">
        <v>11363953497</v>
      </c>
      <c r="AK294" s="44">
        <v>0</v>
      </c>
      <c r="AL294" s="43">
        <v>14990772</v>
      </c>
      <c r="AM294" s="43">
        <v>31824199</v>
      </c>
      <c r="AN294" s="44">
        <v>0</v>
      </c>
      <c r="AO294" s="43">
        <v>14990772</v>
      </c>
      <c r="AP294" s="43">
        <v>31824199</v>
      </c>
      <c r="AQ294" s="44">
        <v>0</v>
      </c>
      <c r="AR294" s="44">
        <v>0</v>
      </c>
      <c r="AS294" s="43">
        <v>16833427</v>
      </c>
      <c r="AT294" s="39">
        <f t="shared" ref="AT294" si="305">AQ294+AS294</f>
        <v>16833427</v>
      </c>
      <c r="AU294" s="18">
        <f t="shared" ref="AU294" si="306">AJ294-AM294</f>
        <v>11332129298</v>
      </c>
      <c r="AV294" s="34">
        <f t="shared" ref="AV294" si="307">AM294-AP294</f>
        <v>0</v>
      </c>
      <c r="AW294" s="18">
        <f t="shared" ref="AW294" si="308">AP294-AT294</f>
        <v>14990772</v>
      </c>
      <c r="AX294" s="123">
        <f t="shared" ref="AX294" si="309">AP294/AJ294</f>
        <v>2.8004513577428274E-3</v>
      </c>
    </row>
    <row r="295" spans="1:50" ht="18.75" customHeight="1" x14ac:dyDescent="0.2">
      <c r="AA295" s="28" t="s">
        <v>288</v>
      </c>
      <c r="AB295" s="29" t="s">
        <v>88</v>
      </c>
      <c r="AC295" s="17"/>
      <c r="AD295" s="18"/>
      <c r="AE295" s="34"/>
      <c r="AF295" s="34"/>
      <c r="AG295" s="34"/>
      <c r="AH295" s="34"/>
      <c r="AI295" s="34"/>
      <c r="AJ295" s="18"/>
      <c r="AK295" s="34"/>
      <c r="AL295" s="18"/>
      <c r="AM295" s="18"/>
      <c r="AN295" s="34"/>
      <c r="AO295" s="18"/>
      <c r="AP295" s="18"/>
      <c r="AQ295" s="34"/>
      <c r="AR295" s="18"/>
      <c r="AS295" s="18"/>
      <c r="AT295" s="30"/>
      <c r="AU295" s="18"/>
      <c r="AV295" s="18"/>
      <c r="AW295" s="18"/>
      <c r="AX295" s="18"/>
    </row>
    <row r="296" spans="1:50" ht="18.75" customHeight="1" x14ac:dyDescent="0.2">
      <c r="A296" s="4" t="s">
        <v>325</v>
      </c>
      <c r="B296" s="4" t="s">
        <v>326</v>
      </c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1" t="s">
        <v>331</v>
      </c>
      <c r="AB296" s="42" t="s">
        <v>328</v>
      </c>
      <c r="AC296" s="43" t="s">
        <v>61</v>
      </c>
      <c r="AD296" s="43">
        <v>5983405720</v>
      </c>
      <c r="AE296" s="44">
        <v>0</v>
      </c>
      <c r="AF296" s="44">
        <v>0</v>
      </c>
      <c r="AG296" s="44">
        <v>0</v>
      </c>
      <c r="AH296" s="44">
        <v>0</v>
      </c>
      <c r="AI296" s="44">
        <v>0</v>
      </c>
      <c r="AJ296" s="43">
        <v>5983405720</v>
      </c>
      <c r="AK296" s="44">
        <v>0</v>
      </c>
      <c r="AL296" s="43">
        <v>1896561</v>
      </c>
      <c r="AM296" s="43">
        <v>3961950</v>
      </c>
      <c r="AN296" s="44">
        <v>0</v>
      </c>
      <c r="AO296" s="43">
        <v>1896561</v>
      </c>
      <c r="AP296" s="43">
        <v>3961950</v>
      </c>
      <c r="AQ296" s="44">
        <v>0</v>
      </c>
      <c r="AR296" s="44">
        <v>0</v>
      </c>
      <c r="AS296" s="43">
        <v>2065389</v>
      </c>
      <c r="AT296" s="39">
        <f t="shared" ref="AT296" si="310">AQ296+AS296</f>
        <v>2065389</v>
      </c>
      <c r="AU296" s="18">
        <f t="shared" ref="AU296" si="311">AJ296-AM296</f>
        <v>5979443770</v>
      </c>
      <c r="AV296" s="34">
        <f t="shared" ref="AV296" si="312">AM296-AP296</f>
        <v>0</v>
      </c>
      <c r="AW296" s="18">
        <f t="shared" ref="AW296" si="313">AP296-AT296</f>
        <v>1896561</v>
      </c>
      <c r="AX296" s="123">
        <f t="shared" ref="AX296" si="314">AP296/AJ296</f>
        <v>6.6215633460336369E-4</v>
      </c>
    </row>
    <row r="297" spans="1:50" ht="18.75" customHeight="1" x14ac:dyDescent="0.2">
      <c r="AA297" s="16"/>
      <c r="AB297" s="29" t="s">
        <v>103</v>
      </c>
      <c r="AC297" s="17"/>
      <c r="AD297" s="18"/>
      <c r="AE297" s="34"/>
      <c r="AF297" s="34"/>
      <c r="AG297" s="34"/>
      <c r="AH297" s="34"/>
      <c r="AI297" s="34"/>
      <c r="AJ297" s="18"/>
      <c r="AK297" s="34"/>
      <c r="AL297" s="18"/>
      <c r="AM297" s="18"/>
      <c r="AN297" s="34"/>
      <c r="AO297" s="18"/>
      <c r="AP297" s="18"/>
      <c r="AQ297" s="18"/>
      <c r="AR297" s="18"/>
      <c r="AS297" s="18"/>
      <c r="AT297" s="30"/>
      <c r="AU297" s="18"/>
      <c r="AV297" s="18"/>
      <c r="AW297" s="18"/>
      <c r="AX297" s="18"/>
    </row>
    <row r="298" spans="1:50" ht="18.75" customHeight="1" x14ac:dyDescent="0.2">
      <c r="AA298" s="28" t="s">
        <v>288</v>
      </c>
      <c r="AB298" s="29" t="s">
        <v>352</v>
      </c>
      <c r="AC298" s="17"/>
      <c r="AD298" s="18"/>
      <c r="AE298" s="34"/>
      <c r="AF298" s="34"/>
      <c r="AG298" s="34"/>
      <c r="AH298" s="34"/>
      <c r="AI298" s="34"/>
      <c r="AJ298" s="18"/>
      <c r="AK298" s="34"/>
      <c r="AL298" s="18"/>
      <c r="AM298" s="18"/>
      <c r="AN298" s="34"/>
      <c r="AO298" s="18"/>
      <c r="AP298" s="18"/>
      <c r="AQ298" s="18"/>
      <c r="AR298" s="18"/>
      <c r="AS298" s="18"/>
      <c r="AT298" s="30"/>
      <c r="AU298" s="18"/>
      <c r="AV298" s="18"/>
      <c r="AW298" s="18"/>
      <c r="AX298" s="18"/>
    </row>
    <row r="299" spans="1:50" ht="18.75" customHeight="1" x14ac:dyDescent="0.2">
      <c r="A299" s="4" t="s">
        <v>325</v>
      </c>
      <c r="B299" s="4" t="s">
        <v>326</v>
      </c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1" t="s">
        <v>332</v>
      </c>
      <c r="AB299" s="42" t="s">
        <v>328</v>
      </c>
      <c r="AC299" s="43" t="s">
        <v>61</v>
      </c>
      <c r="AD299" s="43">
        <v>13134738179</v>
      </c>
      <c r="AE299" s="44">
        <v>0</v>
      </c>
      <c r="AF299" s="44">
        <v>0</v>
      </c>
      <c r="AG299" s="44">
        <v>0</v>
      </c>
      <c r="AH299" s="44">
        <v>0</v>
      </c>
      <c r="AI299" s="44">
        <v>0</v>
      </c>
      <c r="AJ299" s="43">
        <v>13134738179</v>
      </c>
      <c r="AK299" s="44">
        <v>0</v>
      </c>
      <c r="AL299" s="43">
        <f>AM299-FEBRERO!P295</f>
        <v>803739484.47000003</v>
      </c>
      <c r="AM299" s="43">
        <v>2489974355.6700001</v>
      </c>
      <c r="AN299" s="44">
        <v>0</v>
      </c>
      <c r="AO299" s="43">
        <v>803739484.47000003</v>
      </c>
      <c r="AP299" s="43">
        <v>2489974355.6700001</v>
      </c>
      <c r="AQ299" s="44">
        <v>0</v>
      </c>
      <c r="AR299" s="43">
        <v>0</v>
      </c>
      <c r="AS299" s="43">
        <v>1686234871.2</v>
      </c>
      <c r="AT299" s="39">
        <f t="shared" ref="AT299" si="315">AQ299+AS299</f>
        <v>1686234871.2</v>
      </c>
      <c r="AU299" s="18">
        <f t="shared" ref="AU299" si="316">AJ299-AM299</f>
        <v>10644763823.33</v>
      </c>
      <c r="AV299" s="34">
        <f t="shared" ref="AV299" si="317">AM299-AP299</f>
        <v>0</v>
      </c>
      <c r="AW299" s="18">
        <f t="shared" ref="AW299" si="318">AP299-AT299</f>
        <v>803739484.47000003</v>
      </c>
      <c r="AX299" s="123">
        <f t="shared" ref="AX299" si="319">AP299/AJ299</f>
        <v>0.18957167792282342</v>
      </c>
    </row>
    <row r="300" spans="1:50" ht="18.75" customHeight="1" x14ac:dyDescent="0.2">
      <c r="AA300" s="28" t="s">
        <v>288</v>
      </c>
      <c r="AB300" s="29" t="s">
        <v>353</v>
      </c>
      <c r="AC300" s="17"/>
      <c r="AD300" s="18"/>
      <c r="AE300" s="34"/>
      <c r="AF300" s="34"/>
      <c r="AG300" s="34"/>
      <c r="AH300" s="34"/>
      <c r="AI300" s="34"/>
      <c r="AJ300" s="18"/>
      <c r="AK300" s="34"/>
      <c r="AL300" s="18"/>
      <c r="AM300" s="18"/>
      <c r="AN300" s="34"/>
      <c r="AO300" s="18"/>
      <c r="AP300" s="18"/>
      <c r="AQ300" s="34"/>
      <c r="AR300" s="18"/>
      <c r="AS300" s="18"/>
      <c r="AT300" s="30"/>
      <c r="AU300" s="18"/>
      <c r="AV300" s="18"/>
      <c r="AW300" s="18"/>
      <c r="AX300" s="18"/>
    </row>
    <row r="301" spans="1:50" ht="18.75" customHeight="1" x14ac:dyDescent="0.2">
      <c r="A301" s="4" t="s">
        <v>325</v>
      </c>
      <c r="B301" s="4" t="s">
        <v>326</v>
      </c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1" t="s">
        <v>334</v>
      </c>
      <c r="AB301" s="42" t="s">
        <v>328</v>
      </c>
      <c r="AC301" s="43" t="s">
        <v>61</v>
      </c>
      <c r="AD301" s="43">
        <v>9662336131</v>
      </c>
      <c r="AE301" s="44">
        <v>0</v>
      </c>
      <c r="AF301" s="44">
        <v>0</v>
      </c>
      <c r="AG301" s="44">
        <v>0</v>
      </c>
      <c r="AH301" s="44">
        <v>0</v>
      </c>
      <c r="AI301" s="44">
        <v>0</v>
      </c>
      <c r="AJ301" s="43">
        <v>9662336131</v>
      </c>
      <c r="AK301" s="44">
        <v>0</v>
      </c>
      <c r="AL301" s="43">
        <f>AM301-FEBRERO!P297</f>
        <v>853969232.52999997</v>
      </c>
      <c r="AM301" s="43">
        <v>2443910342.3299999</v>
      </c>
      <c r="AN301" s="44">
        <v>0</v>
      </c>
      <c r="AO301" s="43">
        <v>853969232.52999997</v>
      </c>
      <c r="AP301" s="43">
        <v>2443910342.3299999</v>
      </c>
      <c r="AQ301" s="44">
        <v>0</v>
      </c>
      <c r="AR301" s="43">
        <v>0</v>
      </c>
      <c r="AS301" s="43">
        <v>1589941109.8</v>
      </c>
      <c r="AT301" s="39">
        <f t="shared" ref="AT301" si="320">AQ301+AS301</f>
        <v>1589941109.8</v>
      </c>
      <c r="AU301" s="18">
        <f t="shared" ref="AU301" si="321">AJ301-AM301</f>
        <v>7218425788.6700001</v>
      </c>
      <c r="AV301" s="34">
        <f t="shared" ref="AV301" si="322">AM301-AP301</f>
        <v>0</v>
      </c>
      <c r="AW301" s="18">
        <f t="shared" ref="AW301" si="323">AP301-AT301</f>
        <v>853969232.52999997</v>
      </c>
      <c r="AX301" s="123">
        <f t="shared" ref="AX301" si="324">AP301/AJ301</f>
        <v>0.25293162121416163</v>
      </c>
    </row>
    <row r="302" spans="1:50" ht="18.75" customHeight="1" x14ac:dyDescent="0.2">
      <c r="AA302" s="28" t="s">
        <v>288</v>
      </c>
      <c r="AB302" s="29" t="s">
        <v>354</v>
      </c>
      <c r="AC302" s="17"/>
      <c r="AD302" s="18"/>
      <c r="AE302" s="34"/>
      <c r="AF302" s="34"/>
      <c r="AG302" s="34"/>
      <c r="AH302" s="34"/>
      <c r="AI302" s="34"/>
      <c r="AJ302" s="18"/>
      <c r="AK302" s="34"/>
      <c r="AL302" s="18"/>
      <c r="AM302" s="18"/>
      <c r="AN302" s="34"/>
      <c r="AO302" s="18"/>
      <c r="AP302" s="18"/>
      <c r="AQ302" s="34"/>
      <c r="AR302" s="18"/>
      <c r="AS302" s="18"/>
      <c r="AT302" s="30"/>
      <c r="AU302" s="18"/>
      <c r="AV302" s="18"/>
      <c r="AW302" s="18"/>
      <c r="AX302" s="18"/>
    </row>
    <row r="303" spans="1:50" ht="18.75" customHeight="1" x14ac:dyDescent="0.2">
      <c r="A303" s="4" t="s">
        <v>325</v>
      </c>
      <c r="B303" s="4" t="s">
        <v>326</v>
      </c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1" t="s">
        <v>335</v>
      </c>
      <c r="AB303" s="42" t="s">
        <v>328</v>
      </c>
      <c r="AC303" s="43" t="s">
        <v>61</v>
      </c>
      <c r="AD303" s="43">
        <v>8037478566</v>
      </c>
      <c r="AE303" s="44">
        <v>0</v>
      </c>
      <c r="AF303" s="44">
        <v>0</v>
      </c>
      <c r="AG303" s="44">
        <v>0</v>
      </c>
      <c r="AH303" s="44">
        <v>0</v>
      </c>
      <c r="AI303" s="44">
        <v>0</v>
      </c>
      <c r="AJ303" s="43">
        <v>8037478566</v>
      </c>
      <c r="AK303" s="44">
        <v>0</v>
      </c>
      <c r="AL303" s="43">
        <f>AM303-FEBRERO!P299</f>
        <v>840409401</v>
      </c>
      <c r="AM303" s="43">
        <v>2500903960</v>
      </c>
      <c r="AN303" s="44">
        <v>0</v>
      </c>
      <c r="AO303" s="43">
        <v>840409401</v>
      </c>
      <c r="AP303" s="43">
        <v>2500903960</v>
      </c>
      <c r="AQ303" s="44">
        <v>0</v>
      </c>
      <c r="AR303" s="43">
        <v>0</v>
      </c>
      <c r="AS303" s="43">
        <v>1660494559</v>
      </c>
      <c r="AT303" s="39">
        <f t="shared" ref="AT303" si="325">AQ303+AS303</f>
        <v>1660494559</v>
      </c>
      <c r="AU303" s="18">
        <f t="shared" ref="AU303" si="326">AJ303-AM303</f>
        <v>5536574606</v>
      </c>
      <c r="AV303" s="34">
        <f t="shared" ref="AV303" si="327">AM303-AP303</f>
        <v>0</v>
      </c>
      <c r="AW303" s="18">
        <f t="shared" ref="AW303" si="328">AP303-AT303</f>
        <v>840409401</v>
      </c>
      <c r="AX303" s="123">
        <f t="shared" ref="AX303" si="329">AP303/AJ303</f>
        <v>0.31115528824913818</v>
      </c>
    </row>
    <row r="304" spans="1:50" ht="18.75" customHeight="1" x14ac:dyDescent="0.2">
      <c r="AA304" s="28" t="s">
        <v>288</v>
      </c>
      <c r="AB304" s="29" t="s">
        <v>119</v>
      </c>
      <c r="AC304" s="17"/>
      <c r="AD304" s="18"/>
      <c r="AE304" s="34"/>
      <c r="AF304" s="34"/>
      <c r="AG304" s="34"/>
      <c r="AH304" s="34"/>
      <c r="AI304" s="34"/>
      <c r="AJ304" s="18"/>
      <c r="AK304" s="34"/>
      <c r="AL304" s="18"/>
      <c r="AM304" s="18"/>
      <c r="AN304" s="34"/>
      <c r="AO304" s="18"/>
      <c r="AP304" s="18"/>
      <c r="AQ304" s="110"/>
      <c r="AR304" s="110"/>
      <c r="AS304" s="110"/>
      <c r="AT304" s="30"/>
      <c r="AU304" s="18"/>
      <c r="AV304" s="18"/>
      <c r="AW304" s="133"/>
      <c r="AX304" s="18"/>
    </row>
    <row r="305" spans="1:50" ht="18.75" customHeight="1" x14ac:dyDescent="0.2">
      <c r="A305" s="4" t="s">
        <v>325</v>
      </c>
      <c r="B305" s="4" t="s">
        <v>326</v>
      </c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1" t="s">
        <v>336</v>
      </c>
      <c r="AB305" s="42" t="s">
        <v>328</v>
      </c>
      <c r="AC305" s="43" t="s">
        <v>61</v>
      </c>
      <c r="AD305" s="43">
        <v>5595577790</v>
      </c>
      <c r="AE305" s="44">
        <v>0</v>
      </c>
      <c r="AF305" s="44">
        <v>0</v>
      </c>
      <c r="AG305" s="44">
        <v>0</v>
      </c>
      <c r="AH305" s="44">
        <v>0</v>
      </c>
      <c r="AI305" s="44">
        <v>0</v>
      </c>
      <c r="AJ305" s="43">
        <v>5595577790</v>
      </c>
      <c r="AK305" s="44">
        <v>0</v>
      </c>
      <c r="AL305" s="43">
        <f>AM305-FEBRERO!P301</f>
        <v>399294400</v>
      </c>
      <c r="AM305" s="43">
        <v>1186683400</v>
      </c>
      <c r="AN305" s="44">
        <v>0</v>
      </c>
      <c r="AO305" s="43">
        <v>399294400</v>
      </c>
      <c r="AP305" s="43">
        <v>1186683400</v>
      </c>
      <c r="AQ305" s="114">
        <v>399294400</v>
      </c>
      <c r="AR305" s="114">
        <v>389090000</v>
      </c>
      <c r="AS305" s="114">
        <v>787389000</v>
      </c>
      <c r="AT305" s="39">
        <f t="shared" ref="AT305" si="330">AQ305+AS305</f>
        <v>1186683400</v>
      </c>
      <c r="AU305" s="18">
        <f t="shared" ref="AU305" si="331">AJ305-AM305</f>
        <v>4408894390</v>
      </c>
      <c r="AV305" s="34">
        <f t="shared" ref="AV305" si="332">AM305-AP305</f>
        <v>0</v>
      </c>
      <c r="AW305" s="133">
        <f t="shared" ref="AW305" si="333">AP305-AT305</f>
        <v>0</v>
      </c>
      <c r="AX305" s="123">
        <f t="shared" ref="AX305" si="334">AP305/AJ305</f>
        <v>0.21207522163676326</v>
      </c>
    </row>
    <row r="306" spans="1:50" ht="18.75" customHeight="1" x14ac:dyDescent="0.2">
      <c r="AA306" s="28"/>
      <c r="AB306" s="29" t="s">
        <v>124</v>
      </c>
      <c r="AC306" s="17"/>
      <c r="AD306" s="18"/>
      <c r="AE306" s="34"/>
      <c r="AF306" s="34"/>
      <c r="AG306" s="34"/>
      <c r="AH306" s="34"/>
      <c r="AI306" s="34"/>
      <c r="AJ306" s="18"/>
      <c r="AK306" s="34"/>
      <c r="AL306" s="18"/>
      <c r="AM306" s="18"/>
      <c r="AN306" s="34"/>
      <c r="AO306" s="18"/>
      <c r="AP306" s="18"/>
      <c r="AQ306" s="110"/>
      <c r="AR306" s="110"/>
      <c r="AS306" s="110"/>
      <c r="AT306" s="31"/>
      <c r="AU306" s="18"/>
      <c r="AV306" s="18"/>
      <c r="AW306" s="18"/>
      <c r="AX306" s="18"/>
    </row>
    <row r="307" spans="1:50" ht="18.75" customHeight="1" x14ac:dyDescent="0.2">
      <c r="AA307" s="28" t="s">
        <v>288</v>
      </c>
      <c r="AB307" s="29" t="s">
        <v>129</v>
      </c>
      <c r="AC307" s="17"/>
      <c r="AD307" s="18"/>
      <c r="AE307" s="34"/>
      <c r="AF307" s="34"/>
      <c r="AG307" s="34"/>
      <c r="AH307" s="34"/>
      <c r="AI307" s="34"/>
      <c r="AJ307" s="18"/>
      <c r="AK307" s="34"/>
      <c r="AL307" s="18"/>
      <c r="AM307" s="18"/>
      <c r="AN307" s="34"/>
      <c r="AO307" s="18"/>
      <c r="AP307" s="18"/>
      <c r="AQ307" s="110"/>
      <c r="AR307" s="110"/>
      <c r="AS307" s="110"/>
      <c r="AT307" s="31"/>
      <c r="AU307" s="18"/>
      <c r="AV307" s="18"/>
      <c r="AW307" s="18"/>
      <c r="AX307" s="18"/>
    </row>
    <row r="308" spans="1:50" ht="18.75" customHeight="1" x14ac:dyDescent="0.2">
      <c r="A308" s="4" t="s">
        <v>325</v>
      </c>
      <c r="B308" s="4" t="s">
        <v>326</v>
      </c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1" t="s">
        <v>338</v>
      </c>
      <c r="AB308" s="42" t="s">
        <v>328</v>
      </c>
      <c r="AC308" s="43" t="s">
        <v>61</v>
      </c>
      <c r="AD308" s="43">
        <v>4197626620</v>
      </c>
      <c r="AE308" s="44">
        <v>0</v>
      </c>
      <c r="AF308" s="44">
        <v>0</v>
      </c>
      <c r="AG308" s="44">
        <v>0</v>
      </c>
      <c r="AH308" s="44">
        <v>0</v>
      </c>
      <c r="AI308" s="44">
        <v>0</v>
      </c>
      <c r="AJ308" s="43">
        <v>4197626620</v>
      </c>
      <c r="AK308" s="44">
        <v>0</v>
      </c>
      <c r="AL308" s="43">
        <v>299525400</v>
      </c>
      <c r="AM308" s="43">
        <v>890146900</v>
      </c>
      <c r="AN308" s="44">
        <v>0</v>
      </c>
      <c r="AO308" s="43">
        <v>299525400</v>
      </c>
      <c r="AP308" s="43">
        <v>890146900</v>
      </c>
      <c r="AQ308" s="114">
        <v>299525400</v>
      </c>
      <c r="AR308" s="114">
        <v>291875300</v>
      </c>
      <c r="AS308" s="114">
        <v>590621500</v>
      </c>
      <c r="AT308" s="39">
        <f t="shared" ref="AT308" si="335">AQ308+AS308</f>
        <v>890146900</v>
      </c>
      <c r="AU308" s="18">
        <f t="shared" ref="AU308" si="336">AJ308-AM308</f>
        <v>3307479720</v>
      </c>
      <c r="AV308" s="34">
        <f t="shared" ref="AV308" si="337">AM308-AP308</f>
        <v>0</v>
      </c>
      <c r="AW308" s="34">
        <f t="shared" ref="AW308" si="338">AP308-AT308</f>
        <v>0</v>
      </c>
      <c r="AX308" s="123">
        <f t="shared" ref="AX308" si="339">AP308/AJ308</f>
        <v>0.21205957093916086</v>
      </c>
    </row>
    <row r="309" spans="1:50" ht="18.75" customHeight="1" x14ac:dyDescent="0.2">
      <c r="AA309" s="28" t="s">
        <v>288</v>
      </c>
      <c r="AB309" s="29" t="s">
        <v>133</v>
      </c>
      <c r="AC309" s="17"/>
      <c r="AD309" s="18"/>
      <c r="AE309" s="34"/>
      <c r="AF309" s="34"/>
      <c r="AG309" s="34"/>
      <c r="AH309" s="34"/>
      <c r="AI309" s="34"/>
      <c r="AJ309" s="18"/>
      <c r="AK309" s="34"/>
      <c r="AL309" s="18"/>
      <c r="AM309" s="18"/>
      <c r="AN309" s="34"/>
      <c r="AO309" s="18"/>
      <c r="AP309" s="18"/>
      <c r="AQ309" s="110"/>
      <c r="AR309" s="110"/>
      <c r="AS309" s="110"/>
      <c r="AT309" s="31"/>
      <c r="AU309" s="18"/>
      <c r="AV309" s="18"/>
      <c r="AW309" s="34"/>
      <c r="AX309" s="18"/>
    </row>
    <row r="310" spans="1:50" ht="18.75" customHeight="1" x14ac:dyDescent="0.2">
      <c r="A310" s="4" t="s">
        <v>325</v>
      </c>
      <c r="B310" s="4" t="s">
        <v>326</v>
      </c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1" t="s">
        <v>339</v>
      </c>
      <c r="AB310" s="42" t="s">
        <v>328</v>
      </c>
      <c r="AC310" s="43" t="s">
        <v>61</v>
      </c>
      <c r="AD310" s="43">
        <v>701459880</v>
      </c>
      <c r="AE310" s="44">
        <v>0</v>
      </c>
      <c r="AF310" s="44">
        <v>0</v>
      </c>
      <c r="AG310" s="44">
        <v>0</v>
      </c>
      <c r="AH310" s="44">
        <v>0</v>
      </c>
      <c r="AI310" s="44">
        <v>0</v>
      </c>
      <c r="AJ310" s="43">
        <v>701459880</v>
      </c>
      <c r="AK310" s="44">
        <v>0</v>
      </c>
      <c r="AL310" s="43">
        <v>50052100</v>
      </c>
      <c r="AM310" s="43">
        <v>148846100</v>
      </c>
      <c r="AN310" s="44">
        <v>0</v>
      </c>
      <c r="AO310" s="43">
        <v>50052100</v>
      </c>
      <c r="AP310" s="43">
        <v>148846100</v>
      </c>
      <c r="AQ310" s="114">
        <v>50052100</v>
      </c>
      <c r="AR310" s="114">
        <v>48780700</v>
      </c>
      <c r="AS310" s="114">
        <v>98794000</v>
      </c>
      <c r="AT310" s="39">
        <f t="shared" ref="AT310" si="340">AQ310+AS310</f>
        <v>148846100</v>
      </c>
      <c r="AU310" s="18">
        <f t="shared" ref="AU310" si="341">AJ310-AM310</f>
        <v>552613780</v>
      </c>
      <c r="AV310" s="34">
        <f t="shared" ref="AV310" si="342">AM310-AP310</f>
        <v>0</v>
      </c>
      <c r="AW310" s="34">
        <f t="shared" ref="AW310" si="343">AP310-AT310</f>
        <v>0</v>
      </c>
      <c r="AX310" s="123">
        <f t="shared" ref="AX310" si="344">AP310/AJ310</f>
        <v>0.21219474448061093</v>
      </c>
    </row>
    <row r="311" spans="1:50" ht="18.75" customHeight="1" x14ac:dyDescent="0.2">
      <c r="AA311" s="28" t="s">
        <v>288</v>
      </c>
      <c r="AB311" s="29" t="s">
        <v>138</v>
      </c>
      <c r="AC311" s="17"/>
      <c r="AD311" s="18"/>
      <c r="AE311" s="34"/>
      <c r="AF311" s="34"/>
      <c r="AG311" s="34"/>
      <c r="AH311" s="34"/>
      <c r="AI311" s="34"/>
      <c r="AJ311" s="18"/>
      <c r="AK311" s="34"/>
      <c r="AL311" s="18"/>
      <c r="AM311" s="18"/>
      <c r="AN311" s="34"/>
      <c r="AO311" s="18"/>
      <c r="AP311" s="18"/>
      <c r="AQ311" s="110"/>
      <c r="AR311" s="110"/>
      <c r="AS311" s="110"/>
      <c r="AT311" s="31"/>
      <c r="AU311" s="18"/>
      <c r="AV311" s="18"/>
      <c r="AW311" s="34"/>
      <c r="AX311" s="18"/>
    </row>
    <row r="312" spans="1:50" ht="18.75" customHeight="1" x14ac:dyDescent="0.2">
      <c r="A312" s="4" t="s">
        <v>325</v>
      </c>
      <c r="B312" s="4" t="s">
        <v>326</v>
      </c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1" t="s">
        <v>340</v>
      </c>
      <c r="AB312" s="42" t="s">
        <v>328</v>
      </c>
      <c r="AC312" s="43" t="s">
        <v>61</v>
      </c>
      <c r="AD312" s="43">
        <v>701459880</v>
      </c>
      <c r="AE312" s="44">
        <v>0</v>
      </c>
      <c r="AF312" s="44">
        <v>0</v>
      </c>
      <c r="AG312" s="44">
        <v>0</v>
      </c>
      <c r="AH312" s="44">
        <v>0</v>
      </c>
      <c r="AI312" s="44">
        <v>0</v>
      </c>
      <c r="AJ312" s="43">
        <v>701459880</v>
      </c>
      <c r="AK312" s="44">
        <v>0</v>
      </c>
      <c r="AL312" s="43">
        <v>50052100</v>
      </c>
      <c r="AM312" s="43">
        <v>148846100</v>
      </c>
      <c r="AN312" s="44">
        <v>0</v>
      </c>
      <c r="AO312" s="43">
        <v>50052100</v>
      </c>
      <c r="AP312" s="43">
        <v>148846100</v>
      </c>
      <c r="AQ312" s="114">
        <v>50052100</v>
      </c>
      <c r="AR312" s="114">
        <v>48780700</v>
      </c>
      <c r="AS312" s="114">
        <v>98794000</v>
      </c>
      <c r="AT312" s="39">
        <f t="shared" ref="AT312:AT350" si="345">AQ312+AS312</f>
        <v>148846100</v>
      </c>
      <c r="AU312" s="18">
        <f t="shared" ref="AU312" si="346">AJ312-AM312</f>
        <v>552613780</v>
      </c>
      <c r="AV312" s="34">
        <f t="shared" ref="AV312" si="347">AM312-AP312</f>
        <v>0</v>
      </c>
      <c r="AW312" s="34">
        <f t="shared" ref="AW312" si="348">AP312-AT312</f>
        <v>0</v>
      </c>
      <c r="AX312" s="123">
        <f t="shared" ref="AX312" si="349">AP312/AJ312</f>
        <v>0.21219474448061093</v>
      </c>
    </row>
    <row r="313" spans="1:50" ht="25.5" x14ac:dyDescent="0.2">
      <c r="AA313" s="28" t="s">
        <v>288</v>
      </c>
      <c r="AB313" s="29" t="s">
        <v>145</v>
      </c>
      <c r="AC313" s="17"/>
      <c r="AD313" s="18"/>
      <c r="AE313" s="34"/>
      <c r="AF313" s="34"/>
      <c r="AG313" s="34"/>
      <c r="AH313" s="34"/>
      <c r="AI313" s="34"/>
      <c r="AJ313" s="18"/>
      <c r="AK313" s="34"/>
      <c r="AL313" s="18"/>
      <c r="AM313" s="18"/>
      <c r="AN313" s="34"/>
      <c r="AO313" s="18"/>
      <c r="AP313" s="18"/>
      <c r="AQ313" s="110"/>
      <c r="AR313" s="110"/>
      <c r="AS313" s="110"/>
      <c r="AT313" s="31"/>
      <c r="AU313" s="18"/>
      <c r="AV313" s="18"/>
      <c r="AW313" s="34"/>
      <c r="AX313" s="18"/>
    </row>
    <row r="314" spans="1:50" ht="18.75" customHeight="1" x14ac:dyDescent="0.2">
      <c r="A314" s="4" t="s">
        <v>325</v>
      </c>
      <c r="B314" s="4" t="s">
        <v>326</v>
      </c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1" t="s">
        <v>341</v>
      </c>
      <c r="AB314" s="42" t="s">
        <v>328</v>
      </c>
      <c r="AC314" s="43" t="s">
        <v>61</v>
      </c>
      <c r="AD314" s="43">
        <v>1400409285</v>
      </c>
      <c r="AE314" s="44">
        <v>0</v>
      </c>
      <c r="AF314" s="44">
        <v>0</v>
      </c>
      <c r="AG314" s="44">
        <v>0</v>
      </c>
      <c r="AH314" s="44">
        <v>0</v>
      </c>
      <c r="AI314" s="44">
        <v>0</v>
      </c>
      <c r="AJ314" s="43">
        <v>1400409285</v>
      </c>
      <c r="AK314" s="44">
        <v>0</v>
      </c>
      <c r="AL314" s="43">
        <v>99914700</v>
      </c>
      <c r="AM314" s="43">
        <v>297050200</v>
      </c>
      <c r="AN314" s="44">
        <v>0</v>
      </c>
      <c r="AO314" s="43">
        <v>99914700</v>
      </c>
      <c r="AP314" s="43">
        <v>297050200</v>
      </c>
      <c r="AQ314" s="114">
        <v>99914700</v>
      </c>
      <c r="AR314" s="114">
        <v>97368100</v>
      </c>
      <c r="AS314" s="114">
        <v>197135500</v>
      </c>
      <c r="AT314" s="39">
        <f t="shared" si="345"/>
        <v>297050200</v>
      </c>
      <c r="AU314" s="18">
        <f t="shared" ref="AU314" si="350">AJ314-AM314</f>
        <v>1103359085</v>
      </c>
      <c r="AV314" s="34">
        <f t="shared" ref="AV314" si="351">AM314-AP314</f>
        <v>0</v>
      </c>
      <c r="AW314" s="34">
        <f t="shared" ref="AW314" si="352">AP314-AT314</f>
        <v>0</v>
      </c>
      <c r="AX314" s="123">
        <f t="shared" ref="AX314" si="353">AP314/AJ314</f>
        <v>0.21211670272523223</v>
      </c>
    </row>
    <row r="315" spans="1:50" ht="28.5" customHeight="1" x14ac:dyDescent="0.2">
      <c r="AA315" s="16"/>
      <c r="AB315" s="29" t="s">
        <v>149</v>
      </c>
      <c r="AC315" s="17"/>
      <c r="AD315" s="18"/>
      <c r="AE315" s="34"/>
      <c r="AF315" s="34"/>
      <c r="AG315" s="34"/>
      <c r="AH315" s="34"/>
      <c r="AI315" s="34"/>
      <c r="AJ315" s="18"/>
      <c r="AK315" s="34"/>
      <c r="AL315" s="18"/>
      <c r="AM315" s="18"/>
      <c r="AN315" s="34"/>
      <c r="AO315" s="18"/>
      <c r="AP315" s="18"/>
      <c r="AQ315" s="34"/>
      <c r="AR315" s="34"/>
      <c r="AS315" s="34"/>
      <c r="AT315" s="31"/>
      <c r="AU315" s="18"/>
      <c r="AV315" s="18"/>
      <c r="AW315" s="18"/>
      <c r="AX315" s="18"/>
    </row>
    <row r="316" spans="1:50" ht="18.75" customHeight="1" x14ac:dyDescent="0.2">
      <c r="AA316" s="16"/>
      <c r="AB316" s="29" t="s">
        <v>81</v>
      </c>
      <c r="AC316" s="17"/>
      <c r="AD316" s="18"/>
      <c r="AE316" s="34"/>
      <c r="AF316" s="34"/>
      <c r="AG316" s="34"/>
      <c r="AH316" s="34"/>
      <c r="AI316" s="34"/>
      <c r="AJ316" s="18"/>
      <c r="AK316" s="34"/>
      <c r="AL316" s="18"/>
      <c r="AM316" s="18"/>
      <c r="AN316" s="34"/>
      <c r="AO316" s="18"/>
      <c r="AP316" s="18"/>
      <c r="AQ316" s="34"/>
      <c r="AR316" s="34"/>
      <c r="AS316" s="34"/>
      <c r="AT316" s="31"/>
      <c r="AU316" s="18"/>
      <c r="AV316" s="18"/>
      <c r="AW316" s="18"/>
      <c r="AX316" s="18"/>
    </row>
    <row r="317" spans="1:50" ht="18.75" customHeight="1" x14ac:dyDescent="0.2">
      <c r="AA317" s="28" t="s">
        <v>288</v>
      </c>
      <c r="AB317" s="29" t="s">
        <v>152</v>
      </c>
      <c r="AC317" s="17"/>
      <c r="AD317" s="18"/>
      <c r="AE317" s="34"/>
      <c r="AF317" s="34"/>
      <c r="AG317" s="34"/>
      <c r="AH317" s="34"/>
      <c r="AI317" s="34"/>
      <c r="AJ317" s="18"/>
      <c r="AK317" s="34"/>
      <c r="AL317" s="18"/>
      <c r="AM317" s="18"/>
      <c r="AN317" s="34"/>
      <c r="AO317" s="18"/>
      <c r="AP317" s="18"/>
      <c r="AQ317" s="34"/>
      <c r="AR317" s="34"/>
      <c r="AS317" s="34"/>
      <c r="AT317" s="31"/>
      <c r="AU317" s="18"/>
      <c r="AV317" s="18"/>
      <c r="AW317" s="18"/>
      <c r="AX317" s="18"/>
    </row>
    <row r="318" spans="1:50" ht="18.75" customHeight="1" x14ac:dyDescent="0.2">
      <c r="A318" s="4" t="s">
        <v>325</v>
      </c>
      <c r="B318" s="4" t="s">
        <v>326</v>
      </c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1" t="s">
        <v>342</v>
      </c>
      <c r="AB318" s="42" t="s">
        <v>328</v>
      </c>
      <c r="AC318" s="43" t="s">
        <v>61</v>
      </c>
      <c r="AD318" s="43">
        <v>10068147601</v>
      </c>
      <c r="AE318" s="44">
        <v>0</v>
      </c>
      <c r="AF318" s="44">
        <v>0</v>
      </c>
      <c r="AG318" s="44">
        <v>0</v>
      </c>
      <c r="AH318" s="44">
        <v>0</v>
      </c>
      <c r="AI318" s="44">
        <v>0</v>
      </c>
      <c r="AJ318" s="43">
        <v>10068147601</v>
      </c>
      <c r="AK318" s="44">
        <v>0</v>
      </c>
      <c r="AL318" s="43">
        <v>10500144</v>
      </c>
      <c r="AM318" s="43">
        <v>3382390559</v>
      </c>
      <c r="AN318" s="44">
        <v>0</v>
      </c>
      <c r="AO318" s="43">
        <v>10500144</v>
      </c>
      <c r="AP318" s="43">
        <v>3382390559</v>
      </c>
      <c r="AQ318" s="44">
        <v>0</v>
      </c>
      <c r="AR318" s="114">
        <v>0</v>
      </c>
      <c r="AS318" s="114">
        <v>3371890415</v>
      </c>
      <c r="AT318" s="39">
        <f t="shared" ref="AT318" si="354">AQ318+AS318</f>
        <v>3371890415</v>
      </c>
      <c r="AU318" s="18">
        <f t="shared" ref="AU318" si="355">AJ318-AM318</f>
        <v>6685757042</v>
      </c>
      <c r="AV318" s="34">
        <f t="shared" ref="AV318" si="356">AM318-AP318</f>
        <v>0</v>
      </c>
      <c r="AW318" s="18">
        <f t="shared" ref="AW318" si="357">AP318-AT318</f>
        <v>10500144</v>
      </c>
      <c r="AX318" s="123">
        <f t="shared" ref="AX318" si="358">AP318/AJ318</f>
        <v>0.33594963969976466</v>
      </c>
    </row>
    <row r="319" spans="1:50" ht="18.75" customHeight="1" x14ac:dyDescent="0.2">
      <c r="AA319" s="28" t="s">
        <v>288</v>
      </c>
      <c r="AB319" s="29" t="s">
        <v>343</v>
      </c>
      <c r="AC319" s="17"/>
      <c r="AD319" s="18"/>
      <c r="AE319" s="34"/>
      <c r="AF319" s="34"/>
      <c r="AG319" s="34"/>
      <c r="AH319" s="34"/>
      <c r="AI319" s="34"/>
      <c r="AJ319" s="18"/>
      <c r="AK319" s="34"/>
      <c r="AL319" s="18"/>
      <c r="AM319" s="18"/>
      <c r="AN319" s="34"/>
      <c r="AO319" s="18"/>
      <c r="AP319" s="18"/>
      <c r="AQ319" s="34"/>
      <c r="AR319" s="34"/>
      <c r="AS319" s="34"/>
      <c r="AT319" s="31"/>
      <c r="AU319" s="18"/>
      <c r="AV319" s="18"/>
      <c r="AW319" s="34"/>
      <c r="AX319" s="18"/>
    </row>
    <row r="320" spans="1:50" ht="18.75" customHeight="1" x14ac:dyDescent="0.2">
      <c r="A320" s="4" t="s">
        <v>325</v>
      </c>
      <c r="B320" s="4" t="s">
        <v>326</v>
      </c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1" t="s">
        <v>344</v>
      </c>
      <c r="AB320" s="42" t="s">
        <v>328</v>
      </c>
      <c r="AC320" s="43" t="s">
        <v>61</v>
      </c>
      <c r="AD320" s="43">
        <v>10000000</v>
      </c>
      <c r="AE320" s="44">
        <v>0</v>
      </c>
      <c r="AF320" s="44">
        <v>0</v>
      </c>
      <c r="AG320" s="44">
        <v>0</v>
      </c>
      <c r="AH320" s="44">
        <v>0</v>
      </c>
      <c r="AI320" s="44">
        <v>0</v>
      </c>
      <c r="AJ320" s="43">
        <v>10000000</v>
      </c>
      <c r="AK320" s="44">
        <v>0</v>
      </c>
      <c r="AL320" s="43">
        <v>0</v>
      </c>
      <c r="AM320" s="44">
        <v>0</v>
      </c>
      <c r="AN320" s="44">
        <v>0</v>
      </c>
      <c r="AO320" s="44">
        <v>0</v>
      </c>
      <c r="AP320" s="44">
        <v>0</v>
      </c>
      <c r="AQ320" s="44">
        <v>0</v>
      </c>
      <c r="AR320" s="44">
        <v>0</v>
      </c>
      <c r="AS320" s="44">
        <v>0</v>
      </c>
      <c r="AT320" s="40">
        <f t="shared" si="345"/>
        <v>0</v>
      </c>
      <c r="AU320" s="18">
        <f t="shared" ref="AU320" si="359">AJ320-AM320</f>
        <v>10000000</v>
      </c>
      <c r="AV320" s="34">
        <f t="shared" ref="AV320" si="360">AM320-AP320</f>
        <v>0</v>
      </c>
      <c r="AW320" s="34">
        <f t="shared" ref="AW320" si="361">AP320-AT320</f>
        <v>0</v>
      </c>
      <c r="AX320" s="123">
        <f t="shared" ref="AX320" si="362">AP320/AJ320</f>
        <v>0</v>
      </c>
    </row>
    <row r="321" spans="1:50" ht="18.75" customHeight="1" x14ac:dyDescent="0.2">
      <c r="AA321" s="16"/>
      <c r="AB321" s="29" t="s">
        <v>355</v>
      </c>
      <c r="AC321" s="17"/>
      <c r="AD321" s="18"/>
      <c r="AE321" s="34"/>
      <c r="AF321" s="34"/>
      <c r="AG321" s="34"/>
      <c r="AH321" s="34"/>
      <c r="AI321" s="34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30"/>
      <c r="AU321" s="18"/>
      <c r="AV321" s="18"/>
      <c r="AW321" s="18"/>
      <c r="AX321" s="18"/>
    </row>
    <row r="322" spans="1:50" ht="18.75" customHeight="1" x14ac:dyDescent="0.2">
      <c r="AA322" s="16"/>
      <c r="AB322" s="29" t="s">
        <v>320</v>
      </c>
      <c r="AC322" s="17"/>
      <c r="AD322" s="18"/>
      <c r="AE322" s="34"/>
      <c r="AF322" s="34"/>
      <c r="AG322" s="34"/>
      <c r="AH322" s="34"/>
      <c r="AI322" s="34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30"/>
      <c r="AU322" s="18"/>
      <c r="AV322" s="18"/>
      <c r="AW322" s="18"/>
      <c r="AX322" s="18"/>
    </row>
    <row r="323" spans="1:50" ht="18.75" customHeight="1" x14ac:dyDescent="0.2">
      <c r="AA323" s="16"/>
      <c r="AB323" s="29" t="s">
        <v>46</v>
      </c>
      <c r="AC323" s="17"/>
      <c r="AD323" s="18"/>
      <c r="AE323" s="34"/>
      <c r="AF323" s="34"/>
      <c r="AG323" s="34"/>
      <c r="AH323" s="34"/>
      <c r="AI323" s="34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30"/>
      <c r="AU323" s="18"/>
      <c r="AV323" s="18"/>
      <c r="AW323" s="18"/>
      <c r="AX323" s="18"/>
    </row>
    <row r="324" spans="1:50" ht="18.75" customHeight="1" x14ac:dyDescent="0.2">
      <c r="AA324" s="16"/>
      <c r="AB324" s="17"/>
      <c r="AC324" s="17"/>
      <c r="AD324" s="18"/>
      <c r="AE324" s="34"/>
      <c r="AF324" s="34"/>
      <c r="AG324" s="34"/>
      <c r="AH324" s="34"/>
      <c r="AI324" s="34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30"/>
      <c r="AU324" s="18"/>
      <c r="AV324" s="18"/>
      <c r="AW324" s="18"/>
      <c r="AX324" s="18"/>
    </row>
    <row r="325" spans="1:50" ht="18.75" customHeight="1" x14ac:dyDescent="0.2">
      <c r="AA325" s="16"/>
      <c r="AB325" s="29" t="s">
        <v>48</v>
      </c>
      <c r="AC325" s="17"/>
      <c r="AD325" s="18"/>
      <c r="AE325" s="34"/>
      <c r="AF325" s="34"/>
      <c r="AG325" s="34"/>
      <c r="AH325" s="34"/>
      <c r="AI325" s="34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30"/>
      <c r="AU325" s="18"/>
      <c r="AV325" s="18"/>
      <c r="AW325" s="18"/>
      <c r="AX325" s="18"/>
    </row>
    <row r="326" spans="1:50" ht="18.75" customHeight="1" x14ac:dyDescent="0.2">
      <c r="AA326" s="16"/>
      <c r="AB326" s="29" t="s">
        <v>52</v>
      </c>
      <c r="AC326" s="17"/>
      <c r="AD326" s="18"/>
      <c r="AE326" s="34"/>
      <c r="AF326" s="34"/>
      <c r="AG326" s="34"/>
      <c r="AH326" s="34"/>
      <c r="AI326" s="34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30"/>
      <c r="AU326" s="18"/>
      <c r="AV326" s="18"/>
      <c r="AW326" s="18"/>
      <c r="AX326" s="18"/>
    </row>
    <row r="327" spans="1:50" ht="18.75" customHeight="1" x14ac:dyDescent="0.2">
      <c r="AA327" s="28" t="s">
        <v>288</v>
      </c>
      <c r="AB327" s="29" t="s">
        <v>54</v>
      </c>
      <c r="AC327" s="17"/>
      <c r="AD327" s="18"/>
      <c r="AE327" s="34"/>
      <c r="AF327" s="34"/>
      <c r="AG327" s="34"/>
      <c r="AH327" s="34"/>
      <c r="AI327" s="34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30"/>
      <c r="AU327" s="18"/>
      <c r="AV327" s="18"/>
      <c r="AW327" s="18"/>
      <c r="AX327" s="18"/>
    </row>
    <row r="328" spans="1:50" ht="18.75" customHeight="1" x14ac:dyDescent="0.2">
      <c r="A328" s="4" t="s">
        <v>55</v>
      </c>
      <c r="B328" s="4" t="s">
        <v>56</v>
      </c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1" t="s">
        <v>323</v>
      </c>
      <c r="AB328" s="42" t="s">
        <v>324</v>
      </c>
      <c r="AC328" s="43" t="s">
        <v>61</v>
      </c>
      <c r="AD328" s="43">
        <v>10521612007</v>
      </c>
      <c r="AE328" s="44">
        <v>0</v>
      </c>
      <c r="AF328" s="44">
        <v>0</v>
      </c>
      <c r="AG328" s="44">
        <v>0</v>
      </c>
      <c r="AI328" s="44">
        <v>0</v>
      </c>
      <c r="AJ328" s="43">
        <v>10521612007</v>
      </c>
      <c r="AK328" s="44">
        <v>0</v>
      </c>
      <c r="AL328" s="43">
        <f>AM328-FEBRERO!P324</f>
        <v>828548613</v>
      </c>
      <c r="AM328" s="43">
        <v>2385900949</v>
      </c>
      <c r="AN328" s="44">
        <v>0</v>
      </c>
      <c r="AO328" s="43">
        <v>828548613</v>
      </c>
      <c r="AP328" s="43">
        <v>2385900949</v>
      </c>
      <c r="AQ328" s="44">
        <v>0</v>
      </c>
      <c r="AR328" s="44">
        <v>0</v>
      </c>
      <c r="AS328" s="43">
        <v>1557352336</v>
      </c>
      <c r="AT328" s="39">
        <f t="shared" ref="AT328" si="363">AQ328+AS328</f>
        <v>1557352336</v>
      </c>
      <c r="AU328" s="18">
        <f t="shared" ref="AU328" si="364">AJ328-AM328</f>
        <v>8135711058</v>
      </c>
      <c r="AV328" s="34">
        <f t="shared" ref="AV328" si="365">AM328-AP328</f>
        <v>0</v>
      </c>
      <c r="AW328" s="18">
        <f t="shared" ref="AW328" si="366">AP328-AT328</f>
        <v>828548613</v>
      </c>
      <c r="AX328" s="123">
        <f t="shared" ref="AX328" si="367">AP328/AJ328</f>
        <v>0.22676192083614816</v>
      </c>
    </row>
    <row r="329" spans="1:50" x14ac:dyDescent="0.2">
      <c r="AA329" s="28" t="s">
        <v>288</v>
      </c>
      <c r="AB329" s="29" t="s">
        <v>63</v>
      </c>
      <c r="AC329" s="17"/>
      <c r="AD329" s="18"/>
      <c r="AE329" s="34"/>
      <c r="AF329" s="34"/>
      <c r="AG329" s="34"/>
      <c r="AH329" s="34"/>
      <c r="AI329" s="34"/>
      <c r="AJ329" s="18"/>
      <c r="AK329" s="34"/>
      <c r="AL329" s="18"/>
      <c r="AM329" s="18"/>
      <c r="AN329" s="34"/>
      <c r="AO329" s="18"/>
      <c r="AP329" s="18"/>
      <c r="AQ329" s="34"/>
      <c r="AR329" s="34"/>
      <c r="AS329" s="18"/>
      <c r="AT329" s="30"/>
      <c r="AU329" s="18"/>
      <c r="AV329" s="18"/>
      <c r="AW329" s="18"/>
      <c r="AX329" s="18"/>
    </row>
    <row r="330" spans="1:50" ht="18.75" customHeight="1" x14ac:dyDescent="0.2">
      <c r="A330" s="4" t="s">
        <v>325</v>
      </c>
      <c r="B330" s="4" t="s">
        <v>326</v>
      </c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1" t="s">
        <v>349</v>
      </c>
      <c r="AB330" s="42" t="s">
        <v>328</v>
      </c>
      <c r="AC330" s="43" t="s">
        <v>61</v>
      </c>
      <c r="AD330" s="43">
        <v>112494898</v>
      </c>
      <c r="AE330" s="44">
        <v>0</v>
      </c>
      <c r="AF330" s="44">
        <v>0</v>
      </c>
      <c r="AG330" s="44">
        <v>0</v>
      </c>
      <c r="AH330" s="44">
        <v>0</v>
      </c>
      <c r="AI330" s="44">
        <v>0</v>
      </c>
      <c r="AJ330" s="43">
        <v>112494898</v>
      </c>
      <c r="AK330" s="44">
        <v>0</v>
      </c>
      <c r="AL330" s="43">
        <v>17012016</v>
      </c>
      <c r="AM330" s="43">
        <v>20628726</v>
      </c>
      <c r="AN330" s="44">
        <v>0</v>
      </c>
      <c r="AO330" s="43">
        <v>17012016</v>
      </c>
      <c r="AP330" s="43">
        <v>20628726</v>
      </c>
      <c r="AQ330" s="44">
        <v>0</v>
      </c>
      <c r="AR330" s="44">
        <v>0</v>
      </c>
      <c r="AS330" s="43">
        <v>3616710</v>
      </c>
      <c r="AT330" s="39">
        <f t="shared" si="345"/>
        <v>3616710</v>
      </c>
      <c r="AU330" s="18">
        <f t="shared" ref="AU330" si="368">AJ330-AM330</f>
        <v>91866172</v>
      </c>
      <c r="AV330" s="34">
        <f t="shared" ref="AV330" si="369">AM330-AP330</f>
        <v>0</v>
      </c>
      <c r="AW330" s="18">
        <f t="shared" ref="AW330" si="370">AP330-AT330</f>
        <v>17012016</v>
      </c>
      <c r="AX330" s="123">
        <f t="shared" ref="AX330" si="371">AP330/AJ330</f>
        <v>0.18337476958288365</v>
      </c>
    </row>
    <row r="331" spans="1:50" ht="18.75" customHeight="1" x14ac:dyDescent="0.2">
      <c r="AA331" s="28" t="s">
        <v>288</v>
      </c>
      <c r="AB331" s="29" t="s">
        <v>71</v>
      </c>
      <c r="AC331" s="17"/>
      <c r="AD331" s="18"/>
      <c r="AE331" s="34"/>
      <c r="AF331" s="34"/>
      <c r="AG331" s="34"/>
      <c r="AH331" s="34"/>
      <c r="AI331" s="34"/>
      <c r="AJ331" s="18"/>
      <c r="AK331" s="34"/>
      <c r="AL331" s="18"/>
      <c r="AM331" s="18"/>
      <c r="AN331" s="34"/>
      <c r="AO331" s="18"/>
      <c r="AP331" s="18"/>
      <c r="AQ331" s="34"/>
      <c r="AR331" s="34"/>
      <c r="AS331" s="18"/>
      <c r="AT331" s="30"/>
      <c r="AU331" s="18"/>
      <c r="AV331" s="18"/>
      <c r="AW331" s="18"/>
      <c r="AX331" s="18"/>
    </row>
    <row r="332" spans="1:50" ht="18.75" customHeight="1" x14ac:dyDescent="0.2">
      <c r="A332" s="4" t="s">
        <v>325</v>
      </c>
      <c r="B332" s="4" t="s">
        <v>326</v>
      </c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1" t="s">
        <v>327</v>
      </c>
      <c r="AB332" s="42" t="s">
        <v>328</v>
      </c>
      <c r="AC332" s="43" t="s">
        <v>61</v>
      </c>
      <c r="AD332" s="43">
        <v>532969656</v>
      </c>
      <c r="AE332" s="44">
        <v>0</v>
      </c>
      <c r="AF332" s="44">
        <v>0</v>
      </c>
      <c r="AG332" s="44">
        <v>0</v>
      </c>
      <c r="AH332" s="44">
        <v>0</v>
      </c>
      <c r="AI332" s="44">
        <v>0</v>
      </c>
      <c r="AJ332" s="43">
        <v>532969656</v>
      </c>
      <c r="AK332" s="44">
        <v>0</v>
      </c>
      <c r="AL332" s="44">
        <v>0</v>
      </c>
      <c r="AM332" s="43">
        <v>4443196</v>
      </c>
      <c r="AN332" s="44">
        <v>0</v>
      </c>
      <c r="AO332" s="43">
        <v>0</v>
      </c>
      <c r="AP332" s="43">
        <v>4443196</v>
      </c>
      <c r="AQ332" s="44">
        <v>0</v>
      </c>
      <c r="AR332" s="44">
        <v>0</v>
      </c>
      <c r="AS332" s="43">
        <v>4443196</v>
      </c>
      <c r="AT332" s="39">
        <f t="shared" si="345"/>
        <v>4443196</v>
      </c>
      <c r="AU332" s="18">
        <f t="shared" ref="AU332" si="372">AJ332-AM332</f>
        <v>528526460</v>
      </c>
      <c r="AV332" s="34">
        <f t="shared" ref="AV332" si="373">AM332-AP332</f>
        <v>0</v>
      </c>
      <c r="AW332" s="18">
        <f t="shared" ref="AW332" si="374">AP332-AT332</f>
        <v>0</v>
      </c>
      <c r="AX332" s="123">
        <f t="shared" ref="AX332" si="375">AP332/AJ332</f>
        <v>8.3366772385255646E-3</v>
      </c>
    </row>
    <row r="333" spans="1:50" ht="18.75" customHeight="1" x14ac:dyDescent="0.2">
      <c r="AA333" s="28" t="s">
        <v>288</v>
      </c>
      <c r="AB333" s="29" t="s">
        <v>76</v>
      </c>
      <c r="AC333" s="17"/>
      <c r="AD333" s="18"/>
      <c r="AE333" s="34"/>
      <c r="AF333" s="34"/>
      <c r="AG333" s="34"/>
      <c r="AH333" s="34"/>
      <c r="AI333" s="34"/>
      <c r="AJ333" s="18"/>
      <c r="AK333" s="34"/>
      <c r="AL333" s="18"/>
      <c r="AM333" s="18"/>
      <c r="AN333" s="34"/>
      <c r="AO333" s="18"/>
      <c r="AP333" s="18"/>
      <c r="AQ333" s="34"/>
      <c r="AR333" s="18"/>
      <c r="AS333" s="18"/>
      <c r="AT333" s="30"/>
      <c r="AU333" s="18"/>
      <c r="AV333" s="18"/>
      <c r="AW333" s="18"/>
      <c r="AX333" s="18"/>
    </row>
    <row r="334" spans="1:50" ht="18.75" customHeight="1" x14ac:dyDescent="0.2">
      <c r="A334" s="4" t="s">
        <v>325</v>
      </c>
      <c r="B334" s="4" t="s">
        <v>326</v>
      </c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1" t="s">
        <v>329</v>
      </c>
      <c r="AB334" s="42" t="s">
        <v>328</v>
      </c>
      <c r="AC334" s="43" t="s">
        <v>61</v>
      </c>
      <c r="AD334" s="43">
        <v>318686698</v>
      </c>
      <c r="AE334" s="44">
        <v>0</v>
      </c>
      <c r="AF334" s="44">
        <v>0</v>
      </c>
      <c r="AG334" s="44">
        <v>0</v>
      </c>
      <c r="AH334" s="44">
        <v>0</v>
      </c>
      <c r="AI334" s="44">
        <v>0</v>
      </c>
      <c r="AJ334" s="43">
        <v>318686698</v>
      </c>
      <c r="AK334" s="44">
        <v>0</v>
      </c>
      <c r="AL334" s="43">
        <v>12256060</v>
      </c>
      <c r="AM334" s="43">
        <v>95274722</v>
      </c>
      <c r="AN334" s="44">
        <v>0</v>
      </c>
      <c r="AO334" s="43">
        <v>12256060</v>
      </c>
      <c r="AP334" s="43">
        <v>95274722</v>
      </c>
      <c r="AQ334" s="44">
        <v>0</v>
      </c>
      <c r="AR334" s="44">
        <v>0</v>
      </c>
      <c r="AS334" s="43">
        <v>83018662</v>
      </c>
      <c r="AT334" s="39">
        <f t="shared" si="345"/>
        <v>83018662</v>
      </c>
      <c r="AU334" s="18">
        <f t="shared" ref="AU334" si="376">AJ334-AM334</f>
        <v>223411976</v>
      </c>
      <c r="AV334" s="34">
        <f t="shared" ref="AV334" si="377">AM334-AP334</f>
        <v>0</v>
      </c>
      <c r="AW334" s="18">
        <f t="shared" ref="AW334" si="378">AP334-AT334</f>
        <v>12256060</v>
      </c>
      <c r="AX334" s="123">
        <f t="shared" ref="AX334" si="379">AP334/AJ334</f>
        <v>0.2989604605335614</v>
      </c>
    </row>
    <row r="335" spans="1:50" ht="18.75" customHeight="1" x14ac:dyDescent="0.2">
      <c r="AA335" s="16"/>
      <c r="AB335" s="17"/>
      <c r="AC335" s="17"/>
      <c r="AD335" s="18"/>
      <c r="AE335" s="34"/>
      <c r="AF335" s="34"/>
      <c r="AG335" s="34"/>
      <c r="AH335" s="34"/>
      <c r="AI335" s="34"/>
      <c r="AJ335" s="18"/>
      <c r="AK335" s="18"/>
      <c r="AL335" s="18"/>
      <c r="AM335" s="18"/>
      <c r="AN335" s="34"/>
      <c r="AO335" s="18"/>
      <c r="AP335" s="18"/>
      <c r="AQ335" s="18"/>
      <c r="AR335" s="34"/>
      <c r="AS335" s="18"/>
      <c r="AT335" s="30"/>
      <c r="AU335" s="18"/>
      <c r="AV335" s="18"/>
      <c r="AW335" s="18"/>
      <c r="AX335" s="18"/>
    </row>
    <row r="336" spans="1:50" ht="18.75" customHeight="1" x14ac:dyDescent="0.2">
      <c r="AA336" s="16"/>
      <c r="AB336" s="29" t="s">
        <v>81</v>
      </c>
      <c r="AC336" s="17"/>
      <c r="AD336" s="18"/>
      <c r="AE336" s="34"/>
      <c r="AF336" s="34"/>
      <c r="AG336" s="34"/>
      <c r="AH336" s="34"/>
      <c r="AI336" s="34"/>
      <c r="AJ336" s="18"/>
      <c r="AK336" s="18"/>
      <c r="AL336" s="18"/>
      <c r="AM336" s="18"/>
      <c r="AN336" s="34"/>
      <c r="AO336" s="18"/>
      <c r="AP336" s="18"/>
      <c r="AQ336" s="18"/>
      <c r="AR336" s="34"/>
      <c r="AS336" s="18"/>
      <c r="AT336" s="30"/>
      <c r="AU336" s="18"/>
      <c r="AV336" s="18"/>
      <c r="AW336" s="18"/>
      <c r="AX336" s="18"/>
    </row>
    <row r="337" spans="1:50" ht="18.75" customHeight="1" x14ac:dyDescent="0.2">
      <c r="AA337" s="28" t="s">
        <v>288</v>
      </c>
      <c r="AB337" s="29" t="s">
        <v>83</v>
      </c>
      <c r="AC337" s="17"/>
      <c r="AD337" s="18"/>
      <c r="AE337" s="34"/>
      <c r="AF337" s="34"/>
      <c r="AG337" s="34"/>
      <c r="AH337" s="34"/>
      <c r="AI337" s="34"/>
      <c r="AJ337" s="18"/>
      <c r="AK337" s="18"/>
      <c r="AL337" s="18"/>
      <c r="AM337" s="18"/>
      <c r="AN337" s="34"/>
      <c r="AO337" s="18"/>
      <c r="AP337" s="18"/>
      <c r="AQ337" s="18"/>
      <c r="AR337" s="34"/>
      <c r="AS337" s="18"/>
      <c r="AT337" s="30"/>
      <c r="AU337" s="18"/>
      <c r="AV337" s="18"/>
      <c r="AW337" s="18"/>
      <c r="AX337" s="18"/>
    </row>
    <row r="338" spans="1:50" ht="18.75" customHeight="1" x14ac:dyDescent="0.2">
      <c r="A338" s="4" t="s">
        <v>325</v>
      </c>
      <c r="B338" s="4" t="s">
        <v>326</v>
      </c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1" t="s">
        <v>330</v>
      </c>
      <c r="AB338" s="42" t="s">
        <v>328</v>
      </c>
      <c r="AC338" s="43" t="s">
        <v>61</v>
      </c>
      <c r="AD338" s="43">
        <v>1177756920</v>
      </c>
      <c r="AE338" s="44">
        <v>0</v>
      </c>
      <c r="AF338" s="44">
        <v>0</v>
      </c>
      <c r="AG338" s="44">
        <v>0</v>
      </c>
      <c r="AH338" s="44">
        <v>0</v>
      </c>
      <c r="AI338" s="44">
        <v>0</v>
      </c>
      <c r="AJ338" s="43">
        <v>1177756920</v>
      </c>
      <c r="AK338" s="44">
        <v>0</v>
      </c>
      <c r="AL338" s="44">
        <v>0</v>
      </c>
      <c r="AM338" s="43">
        <v>1738085</v>
      </c>
      <c r="AN338" s="44">
        <v>0</v>
      </c>
      <c r="AO338" s="44">
        <v>0</v>
      </c>
      <c r="AP338" s="110">
        <v>1738085</v>
      </c>
      <c r="AQ338" s="34">
        <v>0</v>
      </c>
      <c r="AR338" s="133">
        <v>0</v>
      </c>
      <c r="AS338" s="110">
        <v>1738085</v>
      </c>
      <c r="AT338" s="39">
        <f t="shared" ref="AT338" si="380">AQ338+AS338</f>
        <v>1738085</v>
      </c>
      <c r="AU338" s="18">
        <f t="shared" ref="AU338" si="381">AJ338-AM338</f>
        <v>1176018835</v>
      </c>
      <c r="AV338" s="34">
        <f t="shared" ref="AV338" si="382">AM338-AP338</f>
        <v>0</v>
      </c>
      <c r="AW338" s="34">
        <f t="shared" ref="AW338" si="383">AP338-AT338</f>
        <v>0</v>
      </c>
      <c r="AX338" s="123">
        <f t="shared" ref="AX338" si="384">AP338/AJ338</f>
        <v>1.4757586820207348E-3</v>
      </c>
    </row>
    <row r="339" spans="1:50" ht="18.75" customHeight="1" x14ac:dyDescent="0.2">
      <c r="AA339" s="28" t="s">
        <v>288</v>
      </c>
      <c r="AB339" s="29" t="s">
        <v>88</v>
      </c>
      <c r="AC339" s="17"/>
      <c r="AD339" s="18"/>
      <c r="AE339" s="34"/>
      <c r="AF339" s="34"/>
      <c r="AG339" s="34"/>
      <c r="AH339" s="34"/>
      <c r="AI339" s="34"/>
      <c r="AJ339" s="18"/>
      <c r="AK339" s="34"/>
      <c r="AL339" s="34"/>
      <c r="AM339" s="18"/>
      <c r="AN339" s="34"/>
      <c r="AO339" s="34"/>
      <c r="AP339" s="18"/>
      <c r="AQ339" s="18"/>
      <c r="AR339" s="34"/>
      <c r="AS339" s="18"/>
      <c r="AT339" s="30"/>
      <c r="AU339" s="18"/>
      <c r="AV339" s="18"/>
      <c r="AW339" s="34"/>
      <c r="AX339" s="18"/>
    </row>
    <row r="340" spans="1:50" ht="18.75" customHeight="1" x14ac:dyDescent="0.2">
      <c r="A340" s="4" t="s">
        <v>325</v>
      </c>
      <c r="B340" s="4" t="s">
        <v>326</v>
      </c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1" t="s">
        <v>331</v>
      </c>
      <c r="AB340" s="42" t="s">
        <v>328</v>
      </c>
      <c r="AC340" s="43" t="s">
        <v>61</v>
      </c>
      <c r="AD340" s="43">
        <v>565323320</v>
      </c>
      <c r="AE340" s="44">
        <v>0</v>
      </c>
      <c r="AF340" s="44">
        <v>0</v>
      </c>
      <c r="AG340" s="44">
        <v>0</v>
      </c>
      <c r="AH340" s="44">
        <v>0</v>
      </c>
      <c r="AI340" s="44">
        <v>0</v>
      </c>
      <c r="AJ340" s="43">
        <v>565323320</v>
      </c>
      <c r="AK340" s="44">
        <v>0</v>
      </c>
      <c r="AL340" s="44">
        <v>0</v>
      </c>
      <c r="AM340" s="43">
        <v>1527575</v>
      </c>
      <c r="AN340" s="44">
        <v>0</v>
      </c>
      <c r="AO340" s="44">
        <v>0</v>
      </c>
      <c r="AP340" s="43">
        <v>1527575</v>
      </c>
      <c r="AQ340" s="44">
        <v>0</v>
      </c>
      <c r="AR340" s="44">
        <v>0</v>
      </c>
      <c r="AS340" s="43">
        <v>1527575</v>
      </c>
      <c r="AT340" s="39">
        <f t="shared" si="345"/>
        <v>1527575</v>
      </c>
      <c r="AU340" s="18">
        <f t="shared" ref="AU340" si="385">AJ340-AM340</f>
        <v>563795745</v>
      </c>
      <c r="AV340" s="34">
        <f t="shared" ref="AV340" si="386">AM340-AP340</f>
        <v>0</v>
      </c>
      <c r="AW340" s="34">
        <f t="shared" ref="AW340" si="387">AP340-AT340</f>
        <v>0</v>
      </c>
      <c r="AX340" s="123">
        <f t="shared" ref="AX340" si="388">AP340/AJ340</f>
        <v>2.7021262805857716E-3</v>
      </c>
    </row>
    <row r="341" spans="1:50" ht="18.75" customHeight="1" x14ac:dyDescent="0.2">
      <c r="AA341" s="16"/>
      <c r="AB341" s="17"/>
      <c r="AC341" s="17"/>
      <c r="AD341" s="18"/>
      <c r="AE341" s="34"/>
      <c r="AF341" s="34"/>
      <c r="AG341" s="34"/>
      <c r="AH341" s="34"/>
      <c r="AI341" s="34"/>
      <c r="AJ341" s="18"/>
      <c r="AK341" s="34"/>
      <c r="AL341" s="18"/>
      <c r="AM341" s="18"/>
      <c r="AN341" s="18"/>
      <c r="AO341" s="18"/>
      <c r="AP341" s="18"/>
      <c r="AQ341" s="34"/>
      <c r="AR341" s="18"/>
      <c r="AS341" s="18"/>
      <c r="AT341" s="30"/>
      <c r="AU341" s="18"/>
      <c r="AV341" s="18"/>
      <c r="AW341" s="18"/>
      <c r="AX341" s="18"/>
    </row>
    <row r="342" spans="1:50" ht="18.75" customHeight="1" x14ac:dyDescent="0.2">
      <c r="AA342" s="16"/>
      <c r="AB342" s="29" t="s">
        <v>103</v>
      </c>
      <c r="AC342" s="17"/>
      <c r="AD342" s="18"/>
      <c r="AE342" s="34"/>
      <c r="AF342" s="34"/>
      <c r="AG342" s="34"/>
      <c r="AH342" s="34"/>
      <c r="AI342" s="34"/>
      <c r="AJ342" s="18"/>
      <c r="AK342" s="34"/>
      <c r="AL342" s="18"/>
      <c r="AM342" s="18"/>
      <c r="AN342" s="18"/>
      <c r="AO342" s="18"/>
      <c r="AP342" s="18"/>
      <c r="AQ342" s="34"/>
      <c r="AR342" s="18"/>
      <c r="AS342" s="18"/>
      <c r="AT342" s="30"/>
      <c r="AU342" s="18"/>
      <c r="AV342" s="18"/>
      <c r="AW342" s="18"/>
      <c r="AX342" s="18"/>
    </row>
    <row r="343" spans="1:50" ht="24.75" customHeight="1" x14ac:dyDescent="0.2">
      <c r="AA343" s="28" t="s">
        <v>288</v>
      </c>
      <c r="AB343" s="29" t="s">
        <v>352</v>
      </c>
      <c r="AC343" s="17"/>
      <c r="AD343" s="18"/>
      <c r="AE343" s="34"/>
      <c r="AF343" s="34"/>
      <c r="AG343" s="34"/>
      <c r="AH343" s="34"/>
      <c r="AI343" s="34"/>
      <c r="AJ343" s="18"/>
      <c r="AK343" s="34"/>
      <c r="AL343" s="18"/>
      <c r="AM343" s="18"/>
      <c r="AN343" s="18"/>
      <c r="AO343" s="18"/>
      <c r="AP343" s="18"/>
      <c r="AQ343" s="34"/>
      <c r="AR343" s="18"/>
      <c r="AS343" s="18"/>
      <c r="AT343" s="39"/>
      <c r="AU343" s="18"/>
      <c r="AV343" s="18"/>
      <c r="AW343" s="18"/>
      <c r="AX343" s="18"/>
    </row>
    <row r="344" spans="1:50" ht="18.75" customHeight="1" x14ac:dyDescent="0.2">
      <c r="A344" s="4" t="s">
        <v>325</v>
      </c>
      <c r="B344" s="4" t="s">
        <v>326</v>
      </c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1" t="s">
        <v>332</v>
      </c>
      <c r="AB344" s="42" t="s">
        <v>328</v>
      </c>
      <c r="AC344" s="43" t="s">
        <v>61</v>
      </c>
      <c r="AD344" s="43">
        <v>1248245788</v>
      </c>
      <c r="AE344" s="44">
        <v>0</v>
      </c>
      <c r="AF344" s="44">
        <v>0</v>
      </c>
      <c r="AG344" s="44">
        <v>0</v>
      </c>
      <c r="AH344" s="44">
        <v>0</v>
      </c>
      <c r="AI344" s="44">
        <v>0</v>
      </c>
      <c r="AJ344" s="43">
        <v>1248245788</v>
      </c>
      <c r="AK344" s="44">
        <v>0</v>
      </c>
      <c r="AL344" s="43">
        <v>74093471.409999996</v>
      </c>
      <c r="AM344" s="43">
        <v>236124169.63</v>
      </c>
      <c r="AN344" s="44">
        <v>0</v>
      </c>
      <c r="AO344" s="43">
        <v>74093471.409999996</v>
      </c>
      <c r="AP344" s="43">
        <v>236124169.63</v>
      </c>
      <c r="AQ344" s="44">
        <v>0</v>
      </c>
      <c r="AR344" s="43">
        <v>0</v>
      </c>
      <c r="AS344" s="43">
        <v>162030698.22</v>
      </c>
      <c r="AT344" s="39">
        <f t="shared" ref="AT344" si="389">AQ344+AS344</f>
        <v>162030698.22</v>
      </c>
      <c r="AU344" s="18">
        <f t="shared" ref="AU344" si="390">AJ344-AM344</f>
        <v>1012121618.37</v>
      </c>
      <c r="AV344" s="34">
        <f t="shared" ref="AV344" si="391">AM344-AP344</f>
        <v>0</v>
      </c>
      <c r="AW344" s="18">
        <f t="shared" ref="AW344" si="392">AP344-AT344</f>
        <v>74093471.409999996</v>
      </c>
      <c r="AX344" s="123">
        <f t="shared" ref="AX344" si="393">AP344/AJ344</f>
        <v>0.18916480383909776</v>
      </c>
    </row>
    <row r="345" spans="1:50" ht="18.75" customHeight="1" x14ac:dyDescent="0.2">
      <c r="AA345" s="28" t="s">
        <v>288</v>
      </c>
      <c r="AB345" s="29" t="s">
        <v>353</v>
      </c>
      <c r="AC345" s="17"/>
      <c r="AD345" s="18"/>
      <c r="AE345" s="34"/>
      <c r="AF345" s="34"/>
      <c r="AG345" s="34"/>
      <c r="AH345" s="34"/>
      <c r="AI345" s="34"/>
      <c r="AJ345" s="18"/>
      <c r="AK345" s="34"/>
      <c r="AL345" s="18"/>
      <c r="AM345" s="18"/>
      <c r="AN345" s="34"/>
      <c r="AO345" s="18"/>
      <c r="AP345" s="18"/>
      <c r="AQ345" s="18"/>
      <c r="AR345" s="18"/>
      <c r="AS345" s="18"/>
      <c r="AT345" s="39"/>
      <c r="AU345" s="18"/>
      <c r="AV345" s="18"/>
      <c r="AW345" s="18"/>
      <c r="AX345" s="18"/>
    </row>
    <row r="346" spans="1:50" ht="18.75" customHeight="1" x14ac:dyDescent="0.2">
      <c r="A346" s="4" t="s">
        <v>325</v>
      </c>
      <c r="B346" s="4" t="s">
        <v>326</v>
      </c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1" t="s">
        <v>334</v>
      </c>
      <c r="AB346" s="42" t="s">
        <v>328</v>
      </c>
      <c r="AC346" s="43" t="s">
        <v>61</v>
      </c>
      <c r="AD346" s="43">
        <v>918279775</v>
      </c>
      <c r="AE346" s="44">
        <v>0</v>
      </c>
      <c r="AF346" s="44">
        <v>0</v>
      </c>
      <c r="AG346" s="44">
        <v>0</v>
      </c>
      <c r="AH346" s="44">
        <v>0</v>
      </c>
      <c r="AI346" s="44">
        <v>0</v>
      </c>
      <c r="AJ346" s="43">
        <v>918279775</v>
      </c>
      <c r="AK346" s="44">
        <v>0</v>
      </c>
      <c r="AL346" s="43">
        <v>78724086.590000004</v>
      </c>
      <c r="AM346" s="43">
        <v>231632076.37</v>
      </c>
      <c r="AN346" s="44">
        <v>0</v>
      </c>
      <c r="AO346" s="43">
        <v>78724086.590000004</v>
      </c>
      <c r="AP346" s="43">
        <v>231632076.37</v>
      </c>
      <c r="AQ346" s="44">
        <v>0</v>
      </c>
      <c r="AR346" s="43">
        <v>0</v>
      </c>
      <c r="AS346" s="43">
        <v>152907989.78</v>
      </c>
      <c r="AT346" s="39">
        <f t="shared" si="345"/>
        <v>152907989.78</v>
      </c>
      <c r="AU346" s="18">
        <f t="shared" ref="AU346" si="394">AJ346-AM346</f>
        <v>686647698.63</v>
      </c>
      <c r="AV346" s="34">
        <f t="shared" ref="AV346" si="395">AM346-AP346</f>
        <v>0</v>
      </c>
      <c r="AW346" s="18">
        <f t="shared" ref="AW346" si="396">AP346-AT346</f>
        <v>78724086.590000004</v>
      </c>
      <c r="AX346" s="123">
        <f t="shared" ref="AX346" si="397">AP346/AJ346</f>
        <v>0.25224564743353955</v>
      </c>
    </row>
    <row r="347" spans="1:50" ht="18.75" customHeight="1" x14ac:dyDescent="0.2">
      <c r="AA347" s="28" t="s">
        <v>288</v>
      </c>
      <c r="AB347" s="29" t="s">
        <v>354</v>
      </c>
      <c r="AC347" s="17"/>
      <c r="AD347" s="18"/>
      <c r="AE347" s="34"/>
      <c r="AF347" s="34"/>
      <c r="AG347" s="34"/>
      <c r="AH347" s="34"/>
      <c r="AI347" s="34"/>
      <c r="AJ347" s="18"/>
      <c r="AK347" s="18"/>
      <c r="AL347" s="18"/>
      <c r="AM347" s="18"/>
      <c r="AN347" s="34"/>
      <c r="AO347" s="18"/>
      <c r="AP347" s="18"/>
      <c r="AQ347" s="34"/>
      <c r="AR347" s="18"/>
      <c r="AS347" s="18"/>
      <c r="AT347" s="39"/>
      <c r="AU347" s="18"/>
      <c r="AV347" s="18"/>
      <c r="AW347" s="18"/>
      <c r="AX347" s="18"/>
    </row>
    <row r="348" spans="1:50" ht="18.75" customHeight="1" x14ac:dyDescent="0.2">
      <c r="A348" s="4" t="s">
        <v>325</v>
      </c>
      <c r="B348" s="4" t="s">
        <v>326</v>
      </c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1" t="s">
        <v>335</v>
      </c>
      <c r="AB348" s="42" t="s">
        <v>328</v>
      </c>
      <c r="AC348" s="43" t="s">
        <v>61</v>
      </c>
      <c r="AD348" s="43">
        <v>956127578</v>
      </c>
      <c r="AE348" s="44">
        <v>0</v>
      </c>
      <c r="AF348" s="44">
        <v>0</v>
      </c>
      <c r="AG348" s="44">
        <v>0</v>
      </c>
      <c r="AH348" s="44">
        <v>0</v>
      </c>
      <c r="AI348" s="44">
        <v>0</v>
      </c>
      <c r="AJ348" s="43">
        <v>956127578</v>
      </c>
      <c r="AK348" s="44">
        <v>0</v>
      </c>
      <c r="AL348" s="43">
        <v>77176948</v>
      </c>
      <c r="AM348" s="43">
        <v>237123213</v>
      </c>
      <c r="AN348" s="44">
        <v>0</v>
      </c>
      <c r="AO348" s="43">
        <v>77176948</v>
      </c>
      <c r="AP348" s="43">
        <v>237123213</v>
      </c>
      <c r="AQ348" s="44">
        <v>0</v>
      </c>
      <c r="AR348" s="43">
        <v>0</v>
      </c>
      <c r="AS348" s="43">
        <v>159946265</v>
      </c>
      <c r="AT348" s="39">
        <f t="shared" si="345"/>
        <v>159946265</v>
      </c>
      <c r="AU348" s="18">
        <f t="shared" ref="AU348" si="398">AJ348-AM348</f>
        <v>719004365</v>
      </c>
      <c r="AV348" s="34">
        <f t="shared" ref="AV348" si="399">AM348-AP348</f>
        <v>0</v>
      </c>
      <c r="AW348" s="18">
        <f t="shared" ref="AW348" si="400">AP348-AT348</f>
        <v>77176948</v>
      </c>
      <c r="AX348" s="123">
        <f t="shared" ref="AX348" si="401">AP348/AJ348</f>
        <v>0.24800373763510458</v>
      </c>
    </row>
    <row r="349" spans="1:50" ht="18.75" customHeight="1" x14ac:dyDescent="0.2">
      <c r="AA349" s="28" t="s">
        <v>288</v>
      </c>
      <c r="AB349" s="29" t="s">
        <v>119</v>
      </c>
      <c r="AC349" s="17"/>
      <c r="AD349" s="18"/>
      <c r="AE349" s="34"/>
      <c r="AF349" s="34"/>
      <c r="AG349" s="34"/>
      <c r="AH349" s="34"/>
      <c r="AI349" s="34"/>
      <c r="AJ349" s="18"/>
      <c r="AK349" s="34"/>
      <c r="AL349" s="18"/>
      <c r="AM349" s="18"/>
      <c r="AN349" s="34"/>
      <c r="AO349" s="18"/>
      <c r="AP349" s="18"/>
      <c r="AQ349" s="18"/>
      <c r="AR349" s="18"/>
      <c r="AS349" s="18"/>
      <c r="AT349" s="39"/>
      <c r="AU349" s="18"/>
      <c r="AV349" s="18"/>
      <c r="AW349" s="34"/>
      <c r="AX349" s="18"/>
    </row>
    <row r="350" spans="1:50" ht="18.75" customHeight="1" x14ac:dyDescent="0.2">
      <c r="A350" s="4" t="s">
        <v>325</v>
      </c>
      <c r="B350" s="4" t="s">
        <v>326</v>
      </c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1" t="s">
        <v>336</v>
      </c>
      <c r="AB350" s="42" t="s">
        <v>328</v>
      </c>
      <c r="AC350" s="43" t="s">
        <v>61</v>
      </c>
      <c r="AD350" s="43">
        <v>527278620</v>
      </c>
      <c r="AE350" s="44">
        <v>0</v>
      </c>
      <c r="AF350" s="44">
        <v>0</v>
      </c>
      <c r="AG350" s="44">
        <v>0</v>
      </c>
      <c r="AH350" s="44">
        <v>0</v>
      </c>
      <c r="AI350" s="44">
        <v>0</v>
      </c>
      <c r="AJ350" s="43">
        <v>527278620</v>
      </c>
      <c r="AK350" s="44">
        <v>0</v>
      </c>
      <c r="AL350" s="43">
        <v>36340700</v>
      </c>
      <c r="AM350" s="43">
        <v>110114900</v>
      </c>
      <c r="AN350" s="44">
        <v>0</v>
      </c>
      <c r="AO350" s="43">
        <v>36340700</v>
      </c>
      <c r="AP350" s="43">
        <v>110114900</v>
      </c>
      <c r="AQ350" s="114">
        <v>36340700</v>
      </c>
      <c r="AR350" s="114">
        <v>35763100</v>
      </c>
      <c r="AS350" s="114">
        <v>73774200</v>
      </c>
      <c r="AT350" s="39">
        <f t="shared" si="345"/>
        <v>110114900</v>
      </c>
      <c r="AU350" s="18">
        <f t="shared" ref="AU350" si="402">AJ350-AM350</f>
        <v>417163720</v>
      </c>
      <c r="AV350" s="34">
        <f t="shared" ref="AV350" si="403">AM350-AP350</f>
        <v>0</v>
      </c>
      <c r="AW350" s="34">
        <f t="shared" ref="AW350" si="404">AP350-AT350</f>
        <v>0</v>
      </c>
      <c r="AX350" s="123">
        <f t="shared" ref="AX350" si="405">AP350/AJ350</f>
        <v>0.20883626952293269</v>
      </c>
    </row>
    <row r="351" spans="1:50" ht="18.75" customHeight="1" x14ac:dyDescent="0.2">
      <c r="AA351" s="28" t="s">
        <v>288</v>
      </c>
      <c r="AB351" s="29" t="s">
        <v>124</v>
      </c>
      <c r="AC351" s="17"/>
      <c r="AD351" s="18"/>
      <c r="AE351" s="34"/>
      <c r="AF351" s="34"/>
      <c r="AG351" s="34"/>
      <c r="AH351" s="34"/>
      <c r="AI351" s="34"/>
      <c r="AJ351" s="18"/>
      <c r="AK351" s="34"/>
      <c r="AL351" s="18"/>
      <c r="AM351" s="18"/>
      <c r="AN351" s="34"/>
      <c r="AO351" s="18"/>
      <c r="AP351" s="18"/>
      <c r="AQ351" s="34"/>
      <c r="AR351" s="34"/>
      <c r="AS351" s="34"/>
      <c r="AT351" s="40"/>
      <c r="AU351" s="18"/>
      <c r="AV351" s="18"/>
      <c r="AW351" s="18"/>
      <c r="AX351" s="18"/>
    </row>
    <row r="352" spans="1:50" ht="18.75" customHeight="1" x14ac:dyDescent="0.2">
      <c r="AA352" s="28" t="s">
        <v>288</v>
      </c>
      <c r="AB352" s="29" t="s">
        <v>129</v>
      </c>
      <c r="AC352" s="17"/>
      <c r="AD352" s="18"/>
      <c r="AE352" s="34"/>
      <c r="AF352" s="34"/>
      <c r="AG352" s="34"/>
      <c r="AH352" s="34"/>
      <c r="AI352" s="34"/>
      <c r="AJ352" s="18"/>
      <c r="AK352" s="34"/>
      <c r="AL352" s="18"/>
      <c r="AM352" s="18"/>
      <c r="AN352" s="34"/>
      <c r="AO352" s="18"/>
      <c r="AP352" s="18"/>
      <c r="AQ352" s="34"/>
      <c r="AR352" s="34"/>
      <c r="AS352" s="34"/>
      <c r="AT352" s="40"/>
      <c r="AU352" s="18"/>
      <c r="AV352" s="18"/>
      <c r="AW352" s="18"/>
      <c r="AX352" s="18"/>
    </row>
    <row r="353" spans="1:50" ht="18.75" customHeight="1" x14ac:dyDescent="0.2">
      <c r="A353" s="4" t="s">
        <v>325</v>
      </c>
      <c r="B353" s="4" t="s">
        <v>326</v>
      </c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1" t="s">
        <v>338</v>
      </c>
      <c r="AB353" s="42" t="s">
        <v>328</v>
      </c>
      <c r="AC353" s="43" t="s">
        <v>61</v>
      </c>
      <c r="AD353" s="43">
        <v>395516000</v>
      </c>
      <c r="AE353" s="44">
        <v>0</v>
      </c>
      <c r="AF353" s="44">
        <v>0</v>
      </c>
      <c r="AG353" s="44">
        <v>0</v>
      </c>
      <c r="AH353" s="44">
        <v>0</v>
      </c>
      <c r="AI353" s="44">
        <v>0</v>
      </c>
      <c r="AJ353" s="43">
        <v>395516000</v>
      </c>
      <c r="AK353" s="44">
        <v>0</v>
      </c>
      <c r="AL353" s="43">
        <v>27254700</v>
      </c>
      <c r="AM353" s="43">
        <v>82589700</v>
      </c>
      <c r="AN353" s="44">
        <v>0</v>
      </c>
      <c r="AO353" s="43">
        <v>27254700</v>
      </c>
      <c r="AP353" s="43">
        <v>82589700</v>
      </c>
      <c r="AQ353" s="114">
        <v>27254700</v>
      </c>
      <c r="AR353" s="114">
        <v>26821300</v>
      </c>
      <c r="AS353" s="114">
        <v>55335000</v>
      </c>
      <c r="AT353" s="39">
        <f t="shared" ref="AT353" si="406">AQ353+AS353</f>
        <v>82589700</v>
      </c>
      <c r="AU353" s="18">
        <f t="shared" ref="AU353" si="407">AJ353-AM353</f>
        <v>312926300</v>
      </c>
      <c r="AV353" s="34">
        <f t="shared" ref="AV353" si="408">AM353-AP353</f>
        <v>0</v>
      </c>
      <c r="AW353" s="34">
        <f t="shared" ref="AW353" si="409">AP353-AT353</f>
        <v>0</v>
      </c>
      <c r="AX353" s="123">
        <f t="shared" ref="AX353" si="410">AP353/AJ353</f>
        <v>0.20881506689994841</v>
      </c>
    </row>
    <row r="354" spans="1:50" ht="18.75" customHeight="1" x14ac:dyDescent="0.2">
      <c r="AA354" s="28" t="s">
        <v>288</v>
      </c>
      <c r="AB354" s="29" t="s">
        <v>133</v>
      </c>
      <c r="AC354" s="17"/>
      <c r="AD354" s="18"/>
      <c r="AE354" s="34"/>
      <c r="AF354" s="34"/>
      <c r="AG354" s="34"/>
      <c r="AH354" s="34"/>
      <c r="AI354" s="34"/>
      <c r="AJ354" s="18"/>
      <c r="AK354" s="34"/>
      <c r="AL354" s="18"/>
      <c r="AM354" s="18"/>
      <c r="AN354" s="34"/>
      <c r="AO354" s="18"/>
      <c r="AP354" s="18"/>
      <c r="AQ354" s="34"/>
      <c r="AR354" s="34"/>
      <c r="AS354" s="34"/>
      <c r="AT354" s="40"/>
      <c r="AU354" s="18"/>
      <c r="AV354" s="18"/>
      <c r="AW354" s="34"/>
      <c r="AX354" s="18"/>
    </row>
    <row r="355" spans="1:50" ht="18.75" customHeight="1" x14ac:dyDescent="0.2">
      <c r="A355" s="4" t="s">
        <v>325</v>
      </c>
      <c r="B355" s="4" t="s">
        <v>326</v>
      </c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1" t="s">
        <v>339</v>
      </c>
      <c r="AB355" s="42" t="s">
        <v>328</v>
      </c>
      <c r="AC355" s="43" t="s">
        <v>61</v>
      </c>
      <c r="AD355" s="43">
        <v>66047960</v>
      </c>
      <c r="AE355" s="44">
        <v>0</v>
      </c>
      <c r="AF355" s="44">
        <v>0</v>
      </c>
      <c r="AG355" s="44">
        <v>0</v>
      </c>
      <c r="AH355" s="44">
        <v>0</v>
      </c>
      <c r="AI355" s="44">
        <v>0</v>
      </c>
      <c r="AJ355" s="43">
        <v>66047960</v>
      </c>
      <c r="AK355" s="44">
        <v>0</v>
      </c>
      <c r="AL355" s="43">
        <v>4548500</v>
      </c>
      <c r="AM355" s="43">
        <v>13788000</v>
      </c>
      <c r="AN355" s="44">
        <v>0</v>
      </c>
      <c r="AO355" s="43">
        <v>4548500</v>
      </c>
      <c r="AP355" s="43">
        <v>13788000</v>
      </c>
      <c r="AQ355" s="114">
        <v>4548500</v>
      </c>
      <c r="AR355" s="114">
        <v>4475900</v>
      </c>
      <c r="AS355" s="114">
        <v>9239500</v>
      </c>
      <c r="AT355" s="39">
        <f t="shared" ref="AT355" si="411">AQ355+AS355</f>
        <v>13788000</v>
      </c>
      <c r="AU355" s="18">
        <f t="shared" ref="AU355" si="412">AJ355-AM355</f>
        <v>52259960</v>
      </c>
      <c r="AV355" s="34">
        <f t="shared" ref="AV355" si="413">AM355-AP355</f>
        <v>0</v>
      </c>
      <c r="AW355" s="34">
        <f t="shared" ref="AW355" si="414">AP355-AT355</f>
        <v>0</v>
      </c>
      <c r="AX355" s="123">
        <f t="shared" ref="AX355" si="415">AP355/AJ355</f>
        <v>0.2087573938695457</v>
      </c>
    </row>
    <row r="356" spans="1:50" ht="18.75" customHeight="1" x14ac:dyDescent="0.2">
      <c r="AA356" s="28" t="s">
        <v>288</v>
      </c>
      <c r="AB356" s="29" t="s">
        <v>138</v>
      </c>
      <c r="AC356" s="17"/>
      <c r="AD356" s="18"/>
      <c r="AE356" s="34"/>
      <c r="AF356" s="34"/>
      <c r="AG356" s="34"/>
      <c r="AH356" s="34"/>
      <c r="AI356" s="34"/>
      <c r="AJ356" s="18"/>
      <c r="AK356" s="34"/>
      <c r="AL356" s="18"/>
      <c r="AM356" s="18"/>
      <c r="AN356" s="34"/>
      <c r="AO356" s="18"/>
      <c r="AP356" s="18"/>
      <c r="AQ356" s="110"/>
      <c r="AR356" s="110"/>
      <c r="AS356" s="110"/>
      <c r="AT356" s="40"/>
      <c r="AU356" s="18"/>
      <c r="AV356" s="18"/>
      <c r="AW356" s="34"/>
      <c r="AX356" s="18"/>
    </row>
    <row r="357" spans="1:50" ht="18.75" customHeight="1" x14ac:dyDescent="0.2">
      <c r="A357" s="4" t="s">
        <v>325</v>
      </c>
      <c r="B357" s="4" t="s">
        <v>326</v>
      </c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1" t="s">
        <v>340</v>
      </c>
      <c r="AB357" s="42" t="s">
        <v>328</v>
      </c>
      <c r="AC357" s="43" t="s">
        <v>61</v>
      </c>
      <c r="AD357" s="43">
        <v>66047960</v>
      </c>
      <c r="AE357" s="44">
        <v>0</v>
      </c>
      <c r="AF357" s="44">
        <v>0</v>
      </c>
      <c r="AG357" s="44">
        <v>0</v>
      </c>
      <c r="AH357" s="44">
        <v>0</v>
      </c>
      <c r="AI357" s="44">
        <v>0</v>
      </c>
      <c r="AJ357" s="43">
        <v>66047960</v>
      </c>
      <c r="AK357" s="44">
        <v>0</v>
      </c>
      <c r="AL357" s="43">
        <v>4548500</v>
      </c>
      <c r="AM357" s="43">
        <v>13788000</v>
      </c>
      <c r="AN357" s="44">
        <v>0</v>
      </c>
      <c r="AO357" s="43">
        <v>4548500</v>
      </c>
      <c r="AP357" s="43">
        <v>13788000</v>
      </c>
      <c r="AQ357" s="114">
        <v>4548500</v>
      </c>
      <c r="AR357" s="114">
        <v>4475900</v>
      </c>
      <c r="AS357" s="114">
        <v>9239500</v>
      </c>
      <c r="AT357" s="39">
        <f t="shared" ref="AT357" si="416">AQ357+AS357</f>
        <v>13788000</v>
      </c>
      <c r="AU357" s="18">
        <f t="shared" ref="AU357" si="417">AJ357-AM357</f>
        <v>52259960</v>
      </c>
      <c r="AV357" s="34">
        <f t="shared" ref="AV357" si="418">AM357-AP357</f>
        <v>0</v>
      </c>
      <c r="AW357" s="34">
        <f t="shared" ref="AW357" si="419">AP357-AT357</f>
        <v>0</v>
      </c>
      <c r="AX357" s="123">
        <f t="shared" ref="AX357" si="420">AP357/AJ357</f>
        <v>0.2087573938695457</v>
      </c>
    </row>
    <row r="358" spans="1:50" ht="25.5" x14ac:dyDescent="0.2">
      <c r="AA358" s="28" t="s">
        <v>288</v>
      </c>
      <c r="AB358" s="29" t="s">
        <v>145</v>
      </c>
      <c r="AC358" s="17"/>
      <c r="AD358" s="18"/>
      <c r="AE358" s="34"/>
      <c r="AF358" s="34"/>
      <c r="AG358" s="34"/>
      <c r="AH358" s="34"/>
      <c r="AI358" s="34"/>
      <c r="AJ358" s="18"/>
      <c r="AK358" s="34"/>
      <c r="AL358" s="18"/>
      <c r="AM358" s="18"/>
      <c r="AN358" s="34"/>
      <c r="AO358" s="18"/>
      <c r="AP358" s="18"/>
      <c r="AQ358" s="110"/>
      <c r="AR358" s="110"/>
      <c r="AS358" s="110"/>
      <c r="AT358" s="40"/>
      <c r="AU358" s="18"/>
      <c r="AV358" s="18"/>
      <c r="AW358" s="34"/>
      <c r="AX358" s="18"/>
    </row>
    <row r="359" spans="1:50" ht="18.75" customHeight="1" x14ac:dyDescent="0.2">
      <c r="A359" s="4" t="s">
        <v>325</v>
      </c>
      <c r="B359" s="4" t="s">
        <v>326</v>
      </c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1" t="s">
        <v>341</v>
      </c>
      <c r="AB359" s="42" t="s">
        <v>328</v>
      </c>
      <c r="AC359" s="43" t="s">
        <v>61</v>
      </c>
      <c r="AD359" s="43">
        <v>131938455</v>
      </c>
      <c r="AE359" s="44">
        <v>0</v>
      </c>
      <c r="AF359" s="44">
        <v>0</v>
      </c>
      <c r="AG359" s="44">
        <v>0</v>
      </c>
      <c r="AH359" s="44">
        <v>0</v>
      </c>
      <c r="AI359" s="44">
        <v>0</v>
      </c>
      <c r="AJ359" s="43">
        <v>131938455</v>
      </c>
      <c r="AK359" s="44">
        <v>0</v>
      </c>
      <c r="AL359" s="43">
        <v>9092000</v>
      </c>
      <c r="AM359" s="43">
        <v>27552800</v>
      </c>
      <c r="AN359" s="44">
        <v>0</v>
      </c>
      <c r="AO359" s="43">
        <v>9092000</v>
      </c>
      <c r="AP359" s="43">
        <v>27552800</v>
      </c>
      <c r="AQ359" s="114">
        <v>9092000</v>
      </c>
      <c r="AR359" s="114">
        <v>8947300</v>
      </c>
      <c r="AS359" s="114">
        <v>18460800</v>
      </c>
      <c r="AT359" s="39">
        <f t="shared" ref="AT359" si="421">AQ359+AS359</f>
        <v>27552800</v>
      </c>
      <c r="AU359" s="18">
        <f t="shared" ref="AU359" si="422">AJ359-AM359</f>
        <v>104385655</v>
      </c>
      <c r="AV359" s="34">
        <f t="shared" ref="AV359" si="423">AM359-AP359</f>
        <v>0</v>
      </c>
      <c r="AW359" s="34">
        <f t="shared" ref="AW359" si="424">AP359-AT359</f>
        <v>0</v>
      </c>
      <c r="AX359" s="123">
        <f t="shared" ref="AX359" si="425">AP359/AJ359</f>
        <v>0.20883070064751025</v>
      </c>
    </row>
    <row r="360" spans="1:50" ht="18.75" customHeight="1" x14ac:dyDescent="0.2">
      <c r="AA360" s="16"/>
      <c r="AB360" s="17"/>
      <c r="AC360" s="17"/>
      <c r="AD360" s="18"/>
      <c r="AE360" s="34"/>
      <c r="AF360" s="34"/>
      <c r="AG360" s="34"/>
      <c r="AH360" s="34"/>
      <c r="AI360" s="34"/>
      <c r="AJ360" s="18"/>
      <c r="AK360" s="34"/>
      <c r="AL360" s="18"/>
      <c r="AM360" s="18"/>
      <c r="AN360" s="34"/>
      <c r="AO360" s="18"/>
      <c r="AP360" s="18"/>
      <c r="AQ360" s="34"/>
      <c r="AR360" s="34"/>
      <c r="AS360" s="34"/>
      <c r="AT360" s="40"/>
      <c r="AU360" s="18"/>
      <c r="AV360" s="18"/>
      <c r="AW360" s="18"/>
      <c r="AX360" s="18"/>
    </row>
    <row r="361" spans="1:50" ht="18.75" customHeight="1" x14ac:dyDescent="0.2">
      <c r="AA361" s="16"/>
      <c r="AB361" s="29" t="s">
        <v>149</v>
      </c>
      <c r="AC361" s="17"/>
      <c r="AD361" s="18"/>
      <c r="AE361" s="34"/>
      <c r="AF361" s="34"/>
      <c r="AG361" s="34"/>
      <c r="AH361" s="34"/>
      <c r="AI361" s="34"/>
      <c r="AJ361" s="18"/>
      <c r="AK361" s="34"/>
      <c r="AL361" s="18"/>
      <c r="AM361" s="18"/>
      <c r="AN361" s="34"/>
      <c r="AO361" s="18"/>
      <c r="AP361" s="18"/>
      <c r="AQ361" s="34"/>
      <c r="AR361" s="34"/>
      <c r="AS361" s="34"/>
      <c r="AT361" s="40"/>
      <c r="AU361" s="18"/>
      <c r="AV361" s="18"/>
      <c r="AW361" s="18"/>
      <c r="AX361" s="18"/>
    </row>
    <row r="362" spans="1:50" ht="18.75" customHeight="1" x14ac:dyDescent="0.2">
      <c r="AA362" s="16"/>
      <c r="AB362" s="29" t="s">
        <v>81</v>
      </c>
      <c r="AC362" s="17"/>
      <c r="AD362" s="18"/>
      <c r="AE362" s="34"/>
      <c r="AF362" s="34"/>
      <c r="AG362" s="34"/>
      <c r="AH362" s="34"/>
      <c r="AI362" s="34"/>
      <c r="AJ362" s="18"/>
      <c r="AK362" s="34"/>
      <c r="AL362" s="18"/>
      <c r="AM362" s="18"/>
      <c r="AN362" s="34"/>
      <c r="AO362" s="18"/>
      <c r="AP362" s="18"/>
      <c r="AQ362" s="34"/>
      <c r="AR362" s="34"/>
      <c r="AS362" s="34"/>
      <c r="AT362" s="40"/>
      <c r="AU362" s="18"/>
      <c r="AV362" s="18"/>
      <c r="AW362" s="18"/>
      <c r="AX362" s="18"/>
    </row>
    <row r="363" spans="1:50" ht="18.75" customHeight="1" x14ac:dyDescent="0.2">
      <c r="AA363" s="28" t="s">
        <v>288</v>
      </c>
      <c r="AB363" s="29" t="s">
        <v>152</v>
      </c>
      <c r="AC363" s="17"/>
      <c r="AD363" s="18"/>
      <c r="AE363" s="34"/>
      <c r="AF363" s="34"/>
      <c r="AG363" s="34"/>
      <c r="AH363" s="34"/>
      <c r="AI363" s="34"/>
      <c r="AJ363" s="18"/>
      <c r="AK363" s="34"/>
      <c r="AL363" s="18"/>
      <c r="AM363" s="18"/>
      <c r="AN363" s="34"/>
      <c r="AO363" s="18"/>
      <c r="AP363" s="18"/>
      <c r="AQ363" s="34"/>
      <c r="AR363" s="34"/>
      <c r="AS363" s="34"/>
      <c r="AT363" s="40"/>
      <c r="AU363" s="18"/>
      <c r="AV363" s="18"/>
      <c r="AW363" s="18"/>
      <c r="AX363" s="18"/>
    </row>
    <row r="364" spans="1:50" ht="18.75" customHeight="1" x14ac:dyDescent="0.2">
      <c r="A364" s="4" t="s">
        <v>325</v>
      </c>
      <c r="B364" s="4" t="s">
        <v>326</v>
      </c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1" t="s">
        <v>342</v>
      </c>
      <c r="AB364" s="42" t="s">
        <v>328</v>
      </c>
      <c r="AC364" s="43" t="s">
        <v>61</v>
      </c>
      <c r="AD364" s="43">
        <v>1121217736</v>
      </c>
      <c r="AE364" s="44">
        <v>0</v>
      </c>
      <c r="AF364" s="44">
        <v>0</v>
      </c>
      <c r="AG364" s="44">
        <v>0</v>
      </c>
      <c r="AH364" s="44">
        <v>0</v>
      </c>
      <c r="AI364" s="44">
        <v>0</v>
      </c>
      <c r="AJ364" s="43">
        <v>1121217736</v>
      </c>
      <c r="AK364" s="44">
        <v>0</v>
      </c>
      <c r="AL364" s="44">
        <v>0</v>
      </c>
      <c r="AM364" s="43">
        <v>257784453</v>
      </c>
      <c r="AN364" s="44">
        <v>0</v>
      </c>
      <c r="AO364" s="44">
        <v>0</v>
      </c>
      <c r="AP364" s="43">
        <v>257784453</v>
      </c>
      <c r="AQ364" s="44">
        <v>0</v>
      </c>
      <c r="AR364" s="114">
        <v>0</v>
      </c>
      <c r="AS364" s="114">
        <v>257784453</v>
      </c>
      <c r="AT364" s="39">
        <f t="shared" ref="AT364" si="426">AQ364+AS364</f>
        <v>257784453</v>
      </c>
      <c r="AU364" s="18">
        <f t="shared" ref="AU364" si="427">AJ364-AM364</f>
        <v>863433283</v>
      </c>
      <c r="AV364" s="34">
        <f t="shared" ref="AV364" si="428">AM364-AP364</f>
        <v>0</v>
      </c>
      <c r="AW364" s="34">
        <f t="shared" ref="AW364" si="429">AP364-AT364</f>
        <v>0</v>
      </c>
      <c r="AX364" s="123">
        <f t="shared" ref="AX364" si="430">AP364/AJ364</f>
        <v>0.22991471212331946</v>
      </c>
    </row>
    <row r="365" spans="1:50" ht="18.75" customHeight="1" x14ac:dyDescent="0.2">
      <c r="AA365" s="28" t="s">
        <v>288</v>
      </c>
      <c r="AB365" s="29" t="s">
        <v>343</v>
      </c>
      <c r="AC365" s="17"/>
      <c r="AD365" s="18"/>
      <c r="AE365" s="34"/>
      <c r="AF365" s="34"/>
      <c r="AG365" s="34"/>
      <c r="AH365" s="34"/>
      <c r="AI365" s="34"/>
      <c r="AJ365" s="18"/>
      <c r="AK365" s="34"/>
      <c r="AL365" s="18"/>
      <c r="AM365" s="18"/>
      <c r="AN365" s="34"/>
      <c r="AO365" s="18"/>
      <c r="AP365" s="18"/>
      <c r="AQ365" s="18"/>
      <c r="AR365" s="18"/>
      <c r="AS365" s="18"/>
      <c r="AT365" s="39"/>
      <c r="AU365" s="18"/>
      <c r="AV365" s="18"/>
      <c r="AW365" s="34"/>
      <c r="AX365" s="18"/>
    </row>
    <row r="366" spans="1:50" ht="18.75" customHeight="1" x14ac:dyDescent="0.2">
      <c r="A366" s="4" t="s">
        <v>325</v>
      </c>
      <c r="B366" s="4" t="s">
        <v>326</v>
      </c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1" t="s">
        <v>344</v>
      </c>
      <c r="AB366" s="42" t="s">
        <v>328</v>
      </c>
      <c r="AC366" s="43" t="s">
        <v>61</v>
      </c>
      <c r="AD366" s="43">
        <v>10000000</v>
      </c>
      <c r="AE366" s="44">
        <v>0</v>
      </c>
      <c r="AF366" s="44">
        <v>0</v>
      </c>
      <c r="AG366" s="44">
        <v>0</v>
      </c>
      <c r="AH366" s="44">
        <v>0</v>
      </c>
      <c r="AI366" s="44">
        <v>0</v>
      </c>
      <c r="AJ366" s="43">
        <v>10000000</v>
      </c>
      <c r="AK366" s="44">
        <v>0</v>
      </c>
      <c r="AL366" s="44">
        <v>0</v>
      </c>
      <c r="AM366" s="44">
        <v>0</v>
      </c>
      <c r="AN366" s="44">
        <v>0</v>
      </c>
      <c r="AO366" s="44">
        <v>0</v>
      </c>
      <c r="AP366" s="44">
        <v>0</v>
      </c>
      <c r="AQ366" s="44">
        <v>0</v>
      </c>
      <c r="AR366" s="44">
        <v>0</v>
      </c>
      <c r="AS366" s="44">
        <v>0</v>
      </c>
      <c r="AT366" s="40">
        <f t="shared" ref="AT366:AT391" si="431">AQ366+AS366</f>
        <v>0</v>
      </c>
      <c r="AU366" s="18">
        <f t="shared" ref="AU366" si="432">AJ366-AM366</f>
        <v>10000000</v>
      </c>
      <c r="AV366" s="34">
        <f t="shared" ref="AV366" si="433">AM366-AP366</f>
        <v>0</v>
      </c>
      <c r="AW366" s="34">
        <f t="shared" ref="AW366" si="434">AP366-AT366</f>
        <v>0</v>
      </c>
      <c r="AX366" s="123">
        <f t="shared" ref="AX366" si="435">AP366/AJ366</f>
        <v>0</v>
      </c>
    </row>
    <row r="367" spans="1:50" ht="18.75" customHeight="1" x14ac:dyDescent="0.2">
      <c r="AA367" s="28" t="s">
        <v>288</v>
      </c>
      <c r="AB367" s="29" t="s">
        <v>162</v>
      </c>
      <c r="AC367" s="17"/>
      <c r="AD367" s="18"/>
      <c r="AE367" s="34"/>
      <c r="AF367" s="34"/>
      <c r="AG367" s="34"/>
      <c r="AH367" s="34"/>
      <c r="AI367" s="34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30"/>
      <c r="AU367" s="18"/>
      <c r="AV367" s="18"/>
      <c r="AW367" s="18"/>
      <c r="AX367" s="18"/>
    </row>
    <row r="368" spans="1:50" ht="18.75" customHeight="1" x14ac:dyDescent="0.2">
      <c r="AA368" s="16"/>
      <c r="AB368" s="17"/>
      <c r="AC368" s="17"/>
      <c r="AD368" s="18"/>
      <c r="AE368" s="34"/>
      <c r="AF368" s="34"/>
      <c r="AG368" s="34"/>
      <c r="AH368" s="34"/>
      <c r="AI368" s="34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30"/>
      <c r="AU368" s="18"/>
      <c r="AV368" s="18"/>
      <c r="AW368" s="18"/>
      <c r="AX368" s="18"/>
    </row>
    <row r="369" spans="1:50" ht="18.75" customHeight="1" x14ac:dyDescent="0.2">
      <c r="AA369" s="16"/>
      <c r="AB369" s="29" t="s">
        <v>356</v>
      </c>
      <c r="AC369" s="17"/>
      <c r="AD369" s="18"/>
      <c r="AE369" s="34"/>
      <c r="AF369" s="34"/>
      <c r="AG369" s="34"/>
      <c r="AH369" s="34"/>
      <c r="AI369" s="34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30"/>
      <c r="AU369" s="18"/>
      <c r="AV369" s="18"/>
      <c r="AW369" s="18"/>
      <c r="AX369" s="18"/>
    </row>
    <row r="370" spans="1:50" ht="18.75" customHeight="1" x14ac:dyDescent="0.2">
      <c r="AA370" s="16"/>
      <c r="AB370" s="29" t="s">
        <v>286</v>
      </c>
      <c r="AC370" s="17"/>
      <c r="AD370" s="18"/>
      <c r="AE370" s="34"/>
      <c r="AF370" s="34"/>
      <c r="AG370" s="34"/>
      <c r="AH370" s="34"/>
      <c r="AI370" s="34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30"/>
      <c r="AU370" s="18"/>
      <c r="AV370" s="18"/>
      <c r="AW370" s="18"/>
      <c r="AX370" s="18"/>
    </row>
    <row r="371" spans="1:50" ht="18.75" customHeight="1" x14ac:dyDescent="0.2">
      <c r="AA371" s="16"/>
      <c r="AB371" s="29" t="s">
        <v>179</v>
      </c>
      <c r="AC371" s="17"/>
      <c r="AD371" s="18"/>
      <c r="AE371" s="34"/>
      <c r="AF371" s="34"/>
      <c r="AG371" s="34"/>
      <c r="AH371" s="34"/>
      <c r="AI371" s="34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30"/>
      <c r="AU371" s="18"/>
      <c r="AV371" s="18"/>
      <c r="AW371" s="18"/>
      <c r="AX371" s="18"/>
    </row>
    <row r="372" spans="1:50" ht="18.75" customHeight="1" x14ac:dyDescent="0.2">
      <c r="AA372" s="16"/>
      <c r="AB372" s="29" t="s">
        <v>181</v>
      </c>
      <c r="AC372" s="17"/>
      <c r="AD372" s="18"/>
      <c r="AE372" s="34"/>
      <c r="AF372" s="34"/>
      <c r="AG372" s="34"/>
      <c r="AH372" s="34"/>
      <c r="AI372" s="34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30"/>
      <c r="AU372" s="18"/>
      <c r="AV372" s="18"/>
      <c r="AW372" s="18"/>
      <c r="AX372" s="18"/>
    </row>
    <row r="373" spans="1:50" ht="25.5" x14ac:dyDescent="0.2">
      <c r="AA373" s="16"/>
      <c r="AB373" s="29" t="s">
        <v>183</v>
      </c>
      <c r="AC373" s="17"/>
      <c r="AD373" s="18"/>
      <c r="AE373" s="34"/>
      <c r="AF373" s="34"/>
      <c r="AG373" s="34"/>
      <c r="AH373" s="34"/>
      <c r="AI373" s="34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30"/>
      <c r="AU373" s="18"/>
      <c r="AV373" s="18"/>
      <c r="AW373" s="18"/>
      <c r="AX373" s="18"/>
    </row>
    <row r="374" spans="1:50" ht="18.75" customHeight="1" x14ac:dyDescent="0.2">
      <c r="AA374" s="28" t="s">
        <v>288</v>
      </c>
      <c r="AB374" s="29" t="s">
        <v>320</v>
      </c>
      <c r="AC374" s="17"/>
      <c r="AD374" s="18"/>
      <c r="AE374" s="34"/>
      <c r="AF374" s="34"/>
      <c r="AG374" s="34"/>
      <c r="AH374" s="34"/>
      <c r="AI374" s="34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30"/>
      <c r="AU374" s="18"/>
      <c r="AV374" s="18"/>
      <c r="AW374" s="18"/>
      <c r="AX374" s="18"/>
    </row>
    <row r="375" spans="1:50" ht="18.75" customHeight="1" x14ac:dyDescent="0.2">
      <c r="A375" s="4" t="s">
        <v>55</v>
      </c>
      <c r="B375" s="4" t="s">
        <v>56</v>
      </c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1" t="s">
        <v>357</v>
      </c>
      <c r="AB375" s="42" t="s">
        <v>328</v>
      </c>
      <c r="AC375" s="43" t="s">
        <v>61</v>
      </c>
      <c r="AD375" s="43">
        <v>33040051</v>
      </c>
      <c r="AE375" s="44">
        <v>0</v>
      </c>
      <c r="AF375" s="44">
        <v>0</v>
      </c>
      <c r="AG375" s="44">
        <v>0</v>
      </c>
      <c r="AH375" s="44">
        <v>0</v>
      </c>
      <c r="AI375" s="44">
        <v>0</v>
      </c>
      <c r="AJ375" s="43">
        <v>33040051</v>
      </c>
      <c r="AK375" s="44">
        <v>0</v>
      </c>
      <c r="AL375" s="44">
        <v>0</v>
      </c>
      <c r="AM375" s="44">
        <v>0</v>
      </c>
      <c r="AN375" s="44">
        <v>0</v>
      </c>
      <c r="AO375" s="44">
        <v>0</v>
      </c>
      <c r="AP375" s="44">
        <v>0</v>
      </c>
      <c r="AQ375" s="44">
        <v>0</v>
      </c>
      <c r="AR375" s="44">
        <v>0</v>
      </c>
      <c r="AS375" s="44">
        <v>0</v>
      </c>
      <c r="AT375" s="40">
        <f t="shared" ref="AT375" si="436">AQ375+AS375</f>
        <v>0</v>
      </c>
      <c r="AU375" s="18">
        <f t="shared" ref="AU375" si="437">AJ375-AM375</f>
        <v>33040051</v>
      </c>
      <c r="AV375" s="34">
        <f t="shared" ref="AV375" si="438">AM375-AP375</f>
        <v>0</v>
      </c>
      <c r="AW375" s="34">
        <f t="shared" ref="AW375" si="439">AP375-AT375</f>
        <v>0</v>
      </c>
      <c r="AX375" s="123">
        <f t="shared" ref="AX375" si="440">AP375/AJ375</f>
        <v>0</v>
      </c>
    </row>
    <row r="376" spans="1:50" ht="18.75" customHeight="1" x14ac:dyDescent="0.2">
      <c r="AA376" s="16"/>
      <c r="AB376" s="17"/>
      <c r="AC376" s="17"/>
      <c r="AD376" s="18"/>
      <c r="AE376" s="34"/>
      <c r="AF376" s="34"/>
      <c r="AG376" s="34"/>
      <c r="AH376" s="34"/>
      <c r="AI376" s="34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31"/>
      <c r="AU376" s="18"/>
      <c r="AV376" s="18"/>
      <c r="AW376" s="34"/>
      <c r="AX376" s="18"/>
    </row>
    <row r="377" spans="1:50" ht="18.75" customHeight="1" x14ac:dyDescent="0.2">
      <c r="AA377" s="16"/>
      <c r="AB377" s="29" t="s">
        <v>187</v>
      </c>
      <c r="AC377" s="17"/>
      <c r="AD377" s="18"/>
      <c r="AE377" s="34"/>
      <c r="AF377" s="34"/>
      <c r="AG377" s="34"/>
      <c r="AH377" s="34"/>
      <c r="AI377" s="34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31"/>
      <c r="AU377" s="18"/>
      <c r="AV377" s="18"/>
      <c r="AW377" s="34"/>
      <c r="AX377" s="18"/>
    </row>
    <row r="378" spans="1:50" ht="25.5" x14ac:dyDescent="0.2">
      <c r="AA378" s="28" t="s">
        <v>288</v>
      </c>
      <c r="AB378" s="68" t="s">
        <v>358</v>
      </c>
      <c r="AC378" s="17"/>
      <c r="AD378" s="18"/>
      <c r="AE378" s="34"/>
      <c r="AF378" s="34"/>
      <c r="AG378" s="34"/>
      <c r="AH378" s="34"/>
      <c r="AI378" s="34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31"/>
      <c r="AU378" s="18"/>
      <c r="AV378" s="18"/>
      <c r="AW378" s="34"/>
      <c r="AX378" s="18"/>
    </row>
    <row r="379" spans="1:50" ht="18.75" customHeight="1" x14ac:dyDescent="0.2">
      <c r="A379" s="4" t="s">
        <v>55</v>
      </c>
      <c r="B379" s="4" t="s">
        <v>56</v>
      </c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134" t="s">
        <v>359</v>
      </c>
      <c r="AB379" s="69" t="s">
        <v>360</v>
      </c>
      <c r="AC379" s="43" t="s">
        <v>361</v>
      </c>
      <c r="AD379" s="43">
        <v>800000000</v>
      </c>
      <c r="AE379" s="44">
        <v>0</v>
      </c>
      <c r="AF379" s="44">
        <v>0</v>
      </c>
      <c r="AG379" s="44">
        <v>0</v>
      </c>
      <c r="AH379" s="44">
        <v>0</v>
      </c>
      <c r="AI379" s="44">
        <v>0</v>
      </c>
      <c r="AJ379" s="43">
        <v>800000000</v>
      </c>
      <c r="AK379" s="44">
        <v>0</v>
      </c>
      <c r="AL379" s="44">
        <v>0</v>
      </c>
      <c r="AM379" s="43">
        <v>800000000</v>
      </c>
      <c r="AN379" s="44">
        <v>0</v>
      </c>
      <c r="AO379" s="44">
        <v>0</v>
      </c>
      <c r="AP379" s="44">
        <v>0</v>
      </c>
      <c r="AQ379" s="44">
        <v>0</v>
      </c>
      <c r="AR379" s="44">
        <v>0</v>
      </c>
      <c r="AS379" s="44">
        <v>0</v>
      </c>
      <c r="AT379" s="40">
        <f t="shared" ref="AT379:AT380" si="441">AQ379+AS379</f>
        <v>0</v>
      </c>
      <c r="AU379" s="34">
        <f t="shared" ref="AU379:AU380" si="442">AJ379-AM379</f>
        <v>0</v>
      </c>
      <c r="AV379" s="110">
        <f t="shared" ref="AV379:AV380" si="443">AM379-AP379</f>
        <v>800000000</v>
      </c>
      <c r="AW379" s="34">
        <f t="shared" ref="AW379:AW380" si="444">AP379-AT379</f>
        <v>0</v>
      </c>
      <c r="AX379" s="123">
        <f t="shared" ref="AX379:AX380" si="445">AP379/AJ379</f>
        <v>0</v>
      </c>
    </row>
    <row r="380" spans="1:50" ht="18.75" customHeight="1" x14ac:dyDescent="0.2">
      <c r="AA380" s="41" t="s">
        <v>908</v>
      </c>
      <c r="AB380" s="69" t="s">
        <v>233</v>
      </c>
      <c r="AC380" s="17"/>
      <c r="AD380" s="34">
        <v>0</v>
      </c>
      <c r="AE380" s="34">
        <v>0</v>
      </c>
      <c r="AF380" s="34">
        <v>0</v>
      </c>
      <c r="AG380" s="18">
        <v>2000000000</v>
      </c>
      <c r="AH380" s="34"/>
      <c r="AI380" s="18">
        <f>AE380-AF380+AG380-AH380</f>
        <v>2000000000</v>
      </c>
      <c r="AJ380" s="18">
        <f>AD380+AI380</f>
        <v>2000000000</v>
      </c>
      <c r="AK380" s="34">
        <v>0</v>
      </c>
      <c r="AL380" s="34">
        <v>0</v>
      </c>
      <c r="AM380" s="18">
        <v>1998959930.71</v>
      </c>
      <c r="AN380" s="34">
        <v>0</v>
      </c>
      <c r="AO380" s="34">
        <v>0</v>
      </c>
      <c r="AP380" s="34">
        <v>0</v>
      </c>
      <c r="AQ380" s="34">
        <v>0</v>
      </c>
      <c r="AR380" s="34">
        <v>0</v>
      </c>
      <c r="AS380" s="34">
        <v>0</v>
      </c>
      <c r="AT380" s="40">
        <f t="shared" si="441"/>
        <v>0</v>
      </c>
      <c r="AU380" s="18">
        <f t="shared" si="442"/>
        <v>1040069.2899999619</v>
      </c>
      <c r="AV380" s="110">
        <f t="shared" si="443"/>
        <v>1998959930.71</v>
      </c>
      <c r="AW380" s="34">
        <f t="shared" si="444"/>
        <v>0</v>
      </c>
      <c r="AX380" s="123">
        <f t="shared" si="445"/>
        <v>0</v>
      </c>
    </row>
    <row r="381" spans="1:50" ht="18.75" customHeight="1" x14ac:dyDescent="0.2">
      <c r="AA381" s="16"/>
      <c r="AB381" s="68" t="s">
        <v>189</v>
      </c>
      <c r="AC381" s="17"/>
      <c r="AD381" s="18"/>
      <c r="AE381" s="34"/>
      <c r="AF381" s="34"/>
      <c r="AG381" s="34"/>
      <c r="AH381" s="34"/>
      <c r="AI381" s="34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31"/>
      <c r="AU381" s="18"/>
      <c r="AV381" s="18"/>
      <c r="AW381" s="34"/>
      <c r="AX381" s="18"/>
    </row>
    <row r="382" spans="1:50" ht="18.75" customHeight="1" x14ac:dyDescent="0.2">
      <c r="AA382" s="16"/>
      <c r="AB382" s="68" t="s">
        <v>191</v>
      </c>
      <c r="AC382" s="17"/>
      <c r="AD382" s="18"/>
      <c r="AE382" s="34"/>
      <c r="AF382" s="34"/>
      <c r="AG382" s="34"/>
      <c r="AH382" s="34"/>
      <c r="AI382" s="34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31"/>
      <c r="AU382" s="18"/>
      <c r="AV382" s="18"/>
      <c r="AW382" s="34"/>
      <c r="AX382" s="18"/>
    </row>
    <row r="383" spans="1:50" ht="18.75" customHeight="1" x14ac:dyDescent="0.2">
      <c r="AA383" s="28" t="s">
        <v>288</v>
      </c>
      <c r="AB383" s="68" t="s">
        <v>362</v>
      </c>
      <c r="AC383" s="17"/>
      <c r="AD383" s="18"/>
      <c r="AE383" s="34"/>
      <c r="AF383" s="34"/>
      <c r="AG383" s="34"/>
      <c r="AH383" s="34"/>
      <c r="AI383" s="34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31"/>
      <c r="AU383" s="18"/>
      <c r="AV383" s="18"/>
      <c r="AW383" s="34"/>
      <c r="AX383" s="18"/>
    </row>
    <row r="384" spans="1:50" ht="18.75" customHeight="1" x14ac:dyDescent="0.2">
      <c r="A384" s="4" t="s">
        <v>55</v>
      </c>
      <c r="B384" s="4" t="s">
        <v>56</v>
      </c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1" t="s">
        <v>363</v>
      </c>
      <c r="AB384" s="69" t="s">
        <v>233</v>
      </c>
      <c r="AC384" s="43" t="s">
        <v>58</v>
      </c>
      <c r="AD384" s="43">
        <v>295200000</v>
      </c>
      <c r="AE384" s="44">
        <v>0</v>
      </c>
      <c r="AF384" s="44">
        <v>0</v>
      </c>
      <c r="AG384" s="44">
        <v>0</v>
      </c>
      <c r="AH384" s="44">
        <v>0</v>
      </c>
      <c r="AI384" s="44">
        <v>0</v>
      </c>
      <c r="AJ384" s="43">
        <v>295200000</v>
      </c>
      <c r="AK384" s="44">
        <v>0</v>
      </c>
      <c r="AL384" s="44">
        <v>0</v>
      </c>
      <c r="AM384" s="44">
        <v>0</v>
      </c>
      <c r="AN384" s="44">
        <v>0</v>
      </c>
      <c r="AO384" s="44">
        <v>0</v>
      </c>
      <c r="AP384" s="44">
        <v>0</v>
      </c>
      <c r="AQ384" s="44">
        <v>0</v>
      </c>
      <c r="AR384" s="44">
        <v>0</v>
      </c>
      <c r="AS384" s="44">
        <v>0</v>
      </c>
      <c r="AT384" s="40">
        <f t="shared" ref="AT384:AT385" si="446">AQ384+AS384</f>
        <v>0</v>
      </c>
      <c r="AU384" s="18">
        <f t="shared" ref="AU384:AU385" si="447">AJ384-AM384</f>
        <v>295200000</v>
      </c>
      <c r="AV384" s="34">
        <f t="shared" ref="AV384:AV385" si="448">AM384-AP384</f>
        <v>0</v>
      </c>
      <c r="AW384" s="34">
        <f t="shared" ref="AW384:AW385" si="449">AP384-AT384</f>
        <v>0</v>
      </c>
      <c r="AX384" s="123">
        <f t="shared" ref="AX384:AX385" si="450">AP384/AJ384</f>
        <v>0</v>
      </c>
    </row>
    <row r="385" spans="1:50" ht="18.75" customHeight="1" x14ac:dyDescent="0.2">
      <c r="A385" s="4" t="s">
        <v>55</v>
      </c>
      <c r="B385" s="4" t="s">
        <v>56</v>
      </c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1" t="s">
        <v>364</v>
      </c>
      <c r="AB385" s="69" t="s">
        <v>360</v>
      </c>
      <c r="AC385" s="43" t="s">
        <v>361</v>
      </c>
      <c r="AD385" s="43">
        <v>1948457402</v>
      </c>
      <c r="AE385" s="44">
        <v>0</v>
      </c>
      <c r="AF385" s="44">
        <v>0</v>
      </c>
      <c r="AG385" s="44">
        <v>0</v>
      </c>
      <c r="AH385" s="44">
        <v>0</v>
      </c>
      <c r="AI385" s="44">
        <v>0</v>
      </c>
      <c r="AJ385" s="43">
        <v>1948457402</v>
      </c>
      <c r="AK385" s="44">
        <v>0</v>
      </c>
      <c r="AL385" s="44">
        <v>0</v>
      </c>
      <c r="AM385" s="44">
        <v>0</v>
      </c>
      <c r="AN385" s="44">
        <v>0</v>
      </c>
      <c r="AO385" s="44">
        <v>0</v>
      </c>
      <c r="AP385" s="44">
        <v>0</v>
      </c>
      <c r="AQ385" s="44">
        <v>0</v>
      </c>
      <c r="AR385" s="44">
        <v>0</v>
      </c>
      <c r="AS385" s="44">
        <v>0</v>
      </c>
      <c r="AT385" s="40">
        <f t="shared" si="446"/>
        <v>0</v>
      </c>
      <c r="AU385" s="18">
        <f t="shared" si="447"/>
        <v>1948457402</v>
      </c>
      <c r="AV385" s="34">
        <f t="shared" si="448"/>
        <v>0</v>
      </c>
      <c r="AW385" s="34">
        <f t="shared" si="449"/>
        <v>0</v>
      </c>
      <c r="AX385" s="123">
        <f t="shared" si="450"/>
        <v>0</v>
      </c>
    </row>
    <row r="386" spans="1:50" ht="18.75" customHeight="1" x14ac:dyDescent="0.2">
      <c r="AA386" s="28" t="s">
        <v>288</v>
      </c>
      <c r="AB386" s="68" t="s">
        <v>365</v>
      </c>
      <c r="AC386" s="17"/>
      <c r="AD386" s="18"/>
      <c r="AE386" s="34"/>
      <c r="AF386" s="34"/>
      <c r="AG386" s="34"/>
      <c r="AH386" s="34"/>
      <c r="AI386" s="34"/>
      <c r="AJ386" s="18"/>
      <c r="AK386" s="34"/>
      <c r="AL386" s="34"/>
      <c r="AM386" s="34"/>
      <c r="AN386" s="34"/>
      <c r="AO386" s="34"/>
      <c r="AP386" s="34"/>
      <c r="AQ386" s="34"/>
      <c r="AR386" s="34"/>
      <c r="AS386" s="34"/>
      <c r="AT386" s="40"/>
      <c r="AU386" s="18"/>
      <c r="AV386" s="18"/>
      <c r="AW386" s="18"/>
      <c r="AX386" s="18"/>
    </row>
    <row r="387" spans="1:50" ht="18.75" customHeight="1" x14ac:dyDescent="0.2">
      <c r="A387" s="4" t="s">
        <v>55</v>
      </c>
      <c r="B387" s="4" t="s">
        <v>56</v>
      </c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1" t="s">
        <v>366</v>
      </c>
      <c r="AB387" s="69" t="s">
        <v>367</v>
      </c>
      <c r="AC387" s="43" t="s">
        <v>368</v>
      </c>
      <c r="AD387" s="43">
        <v>229393430</v>
      </c>
      <c r="AE387" s="44">
        <v>0</v>
      </c>
      <c r="AF387" s="44">
        <v>0</v>
      </c>
      <c r="AG387" s="44">
        <v>0</v>
      </c>
      <c r="AH387" s="44">
        <v>0</v>
      </c>
      <c r="AI387" s="44">
        <v>0</v>
      </c>
      <c r="AJ387" s="43">
        <v>229393430</v>
      </c>
      <c r="AK387" s="44">
        <v>0</v>
      </c>
      <c r="AL387" s="44">
        <v>0</v>
      </c>
      <c r="AM387" s="44">
        <v>0</v>
      </c>
      <c r="AN387" s="44">
        <v>0</v>
      </c>
      <c r="AO387" s="44">
        <v>0</v>
      </c>
      <c r="AP387" s="44">
        <v>0</v>
      </c>
      <c r="AQ387" s="44">
        <v>0</v>
      </c>
      <c r="AR387" s="44">
        <v>0</v>
      </c>
      <c r="AS387" s="44">
        <v>0</v>
      </c>
      <c r="AT387" s="40">
        <f t="shared" si="431"/>
        <v>0</v>
      </c>
      <c r="AU387" s="18">
        <f t="shared" ref="AU387" si="451">AJ387-AM387</f>
        <v>229393430</v>
      </c>
      <c r="AV387" s="34">
        <f t="shared" ref="AV387" si="452">AM387-AP387</f>
        <v>0</v>
      </c>
      <c r="AW387" s="34">
        <f t="shared" ref="AW387" si="453">AP387-AT387</f>
        <v>0</v>
      </c>
      <c r="AX387" s="123">
        <f t="shared" ref="AX387" si="454">AP387/AJ387</f>
        <v>0</v>
      </c>
    </row>
    <row r="388" spans="1:50" ht="18.75" customHeight="1" x14ac:dyDescent="0.2">
      <c r="AA388" s="28" t="s">
        <v>288</v>
      </c>
      <c r="AB388" s="68" t="s">
        <v>369</v>
      </c>
      <c r="AC388" s="17"/>
      <c r="AD388" s="18"/>
      <c r="AE388" s="34"/>
      <c r="AF388" s="34"/>
      <c r="AG388" s="34"/>
      <c r="AH388" s="34"/>
      <c r="AI388" s="34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40"/>
      <c r="AU388" s="18"/>
      <c r="AV388" s="18"/>
      <c r="AW388" s="18"/>
      <c r="AX388" s="18"/>
    </row>
    <row r="389" spans="1:50" ht="18.75" customHeight="1" x14ac:dyDescent="0.2">
      <c r="A389" s="4" t="s">
        <v>55</v>
      </c>
      <c r="B389" s="4" t="s">
        <v>56</v>
      </c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1" t="s">
        <v>370</v>
      </c>
      <c r="AB389" s="69" t="s">
        <v>233</v>
      </c>
      <c r="AC389" s="43" t="s">
        <v>58</v>
      </c>
      <c r="AD389" s="43">
        <v>209880000</v>
      </c>
      <c r="AE389" s="44">
        <v>0</v>
      </c>
      <c r="AF389" s="44">
        <v>0</v>
      </c>
      <c r="AG389" s="44">
        <v>0</v>
      </c>
      <c r="AH389" s="44">
        <v>0</v>
      </c>
      <c r="AI389" s="44">
        <v>0</v>
      </c>
      <c r="AJ389" s="43">
        <v>209880000</v>
      </c>
      <c r="AK389" s="44">
        <v>0</v>
      </c>
      <c r="AL389" s="44">
        <v>0</v>
      </c>
      <c r="AM389" s="43">
        <v>96000000</v>
      </c>
      <c r="AN389" s="44">
        <v>0</v>
      </c>
      <c r="AO389" s="44">
        <v>0</v>
      </c>
      <c r="AP389" s="43">
        <v>96000000</v>
      </c>
      <c r="AQ389" s="43">
        <v>12000000</v>
      </c>
      <c r="AR389" s="43">
        <v>11133331</v>
      </c>
      <c r="AS389" s="43">
        <v>11133331</v>
      </c>
      <c r="AT389" s="39">
        <f t="shared" si="431"/>
        <v>23133331</v>
      </c>
      <c r="AU389" s="18">
        <f t="shared" ref="AU389" si="455">AJ389-AM389</f>
        <v>113880000</v>
      </c>
      <c r="AV389" s="34">
        <f t="shared" ref="AV389" si="456">AM389-AP389</f>
        <v>0</v>
      </c>
      <c r="AW389" s="18">
        <f t="shared" ref="AW389" si="457">AP389-AT389</f>
        <v>72866669</v>
      </c>
      <c r="AX389" s="123">
        <f t="shared" ref="AX389" si="458">AP389/AJ389</f>
        <v>0.45740423098913663</v>
      </c>
    </row>
    <row r="390" spans="1:50" ht="18.75" customHeight="1" x14ac:dyDescent="0.2">
      <c r="AA390" s="28" t="s">
        <v>288</v>
      </c>
      <c r="AB390" s="68" t="s">
        <v>371</v>
      </c>
      <c r="AC390" s="17"/>
      <c r="AD390" s="18"/>
      <c r="AE390" s="34"/>
      <c r="AF390" s="34"/>
      <c r="AG390" s="34"/>
      <c r="AH390" s="34"/>
      <c r="AI390" s="34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40"/>
      <c r="AU390" s="18"/>
      <c r="AV390" s="18"/>
      <c r="AW390" s="18"/>
      <c r="AX390" s="18"/>
    </row>
    <row r="391" spans="1:50" ht="18.75" customHeight="1" x14ac:dyDescent="0.2">
      <c r="A391" s="4" t="s">
        <v>55</v>
      </c>
      <c r="B391" s="4" t="s">
        <v>56</v>
      </c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1" t="s">
        <v>372</v>
      </c>
      <c r="AB391" s="69" t="s">
        <v>233</v>
      </c>
      <c r="AC391" s="43" t="s">
        <v>58</v>
      </c>
      <c r="AD391" s="43">
        <v>290120000</v>
      </c>
      <c r="AE391" s="44">
        <v>0</v>
      </c>
      <c r="AF391" s="44">
        <v>0</v>
      </c>
      <c r="AG391" s="44">
        <v>0</v>
      </c>
      <c r="AH391" s="44">
        <v>0</v>
      </c>
      <c r="AI391" s="44">
        <v>0</v>
      </c>
      <c r="AJ391" s="43">
        <v>290120000</v>
      </c>
      <c r="AK391" s="44">
        <v>0</v>
      </c>
      <c r="AL391" s="44">
        <v>0</v>
      </c>
      <c r="AM391" s="44">
        <v>0</v>
      </c>
      <c r="AN391" s="44">
        <v>0</v>
      </c>
      <c r="AO391" s="44">
        <v>0</v>
      </c>
      <c r="AP391" s="44">
        <v>0</v>
      </c>
      <c r="AQ391" s="44">
        <v>0</v>
      </c>
      <c r="AR391" s="44">
        <v>0</v>
      </c>
      <c r="AS391" s="44">
        <v>0</v>
      </c>
      <c r="AT391" s="40">
        <f t="shared" si="431"/>
        <v>0</v>
      </c>
      <c r="AU391" s="18">
        <f t="shared" ref="AU391" si="459">AJ391-AM391</f>
        <v>290120000</v>
      </c>
      <c r="AV391" s="34">
        <f t="shared" ref="AV391" si="460">AM391-AP391</f>
        <v>0</v>
      </c>
      <c r="AW391" s="34">
        <f t="shared" ref="AW391" si="461">AP391-AT391</f>
        <v>0</v>
      </c>
      <c r="AX391" s="123">
        <f t="shared" ref="AX391" si="462">AP391/AJ391</f>
        <v>0</v>
      </c>
    </row>
    <row r="392" spans="1:50" ht="18.75" customHeight="1" x14ac:dyDescent="0.2">
      <c r="AA392" s="16"/>
      <c r="AB392" s="70"/>
      <c r="AC392" s="17"/>
      <c r="AD392" s="18"/>
      <c r="AE392" s="34"/>
      <c r="AF392" s="34"/>
      <c r="AG392" s="34"/>
      <c r="AH392" s="34"/>
      <c r="AI392" s="34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40"/>
      <c r="AU392" s="18"/>
      <c r="AV392" s="18"/>
      <c r="AW392" s="18"/>
      <c r="AX392" s="18"/>
    </row>
    <row r="393" spans="1:50" ht="38.25" x14ac:dyDescent="0.2">
      <c r="AA393" s="16"/>
      <c r="AB393" s="68" t="s">
        <v>373</v>
      </c>
      <c r="AC393" s="17"/>
      <c r="AD393" s="18"/>
      <c r="AE393" s="34"/>
      <c r="AF393" s="34"/>
      <c r="AG393" s="34"/>
      <c r="AH393" s="34"/>
      <c r="AI393" s="34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40"/>
      <c r="AU393" s="18"/>
      <c r="AV393" s="18"/>
      <c r="AW393" s="18"/>
      <c r="AX393" s="18"/>
    </row>
    <row r="394" spans="1:50" ht="25.5" x14ac:dyDescent="0.2">
      <c r="AA394" s="28"/>
      <c r="AB394" s="68" t="s">
        <v>374</v>
      </c>
      <c r="AC394" s="17"/>
      <c r="AD394" s="18"/>
      <c r="AE394" s="34"/>
      <c r="AF394" s="34"/>
      <c r="AG394" s="34"/>
      <c r="AH394" s="34"/>
      <c r="AI394" s="34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40"/>
      <c r="AU394" s="18"/>
      <c r="AV394" s="18"/>
      <c r="AW394" s="18"/>
      <c r="AX394" s="18"/>
    </row>
    <row r="395" spans="1:50" ht="25.5" x14ac:dyDescent="0.2">
      <c r="AA395" s="28" t="s">
        <v>288</v>
      </c>
      <c r="AB395" s="68" t="s">
        <v>375</v>
      </c>
      <c r="AC395" s="17"/>
      <c r="AD395" s="18"/>
      <c r="AE395" s="34"/>
      <c r="AF395" s="34"/>
      <c r="AG395" s="34"/>
      <c r="AH395" s="34"/>
      <c r="AI395" s="34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40"/>
      <c r="AU395" s="18"/>
      <c r="AV395" s="18"/>
      <c r="AW395" s="18"/>
      <c r="AX395" s="18"/>
    </row>
    <row r="396" spans="1:50" x14ac:dyDescent="0.2">
      <c r="A396" s="4" t="s">
        <v>55</v>
      </c>
      <c r="B396" s="4" t="s">
        <v>56</v>
      </c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1" t="s">
        <v>376</v>
      </c>
      <c r="AB396" s="69" t="s">
        <v>233</v>
      </c>
      <c r="AC396" s="43" t="s">
        <v>58</v>
      </c>
      <c r="AD396" s="43">
        <v>3416292195</v>
      </c>
      <c r="AE396" s="44">
        <v>0</v>
      </c>
      <c r="AF396" s="44">
        <v>0</v>
      </c>
      <c r="AG396" s="44">
        <v>0</v>
      </c>
      <c r="AH396" s="44">
        <v>0</v>
      </c>
      <c r="AI396" s="44">
        <v>0</v>
      </c>
      <c r="AJ396" s="43">
        <v>3416292195</v>
      </c>
      <c r="AK396" s="44">
        <v>0</v>
      </c>
      <c r="AL396" s="44">
        <v>0</v>
      </c>
      <c r="AM396" s="43">
        <v>3416292195</v>
      </c>
      <c r="AN396" s="44">
        <v>0</v>
      </c>
      <c r="AO396" s="44">
        <v>0</v>
      </c>
      <c r="AP396" s="43">
        <v>3321331218</v>
      </c>
      <c r="AQ396" s="44">
        <v>0</v>
      </c>
      <c r="AR396" s="44">
        <v>0</v>
      </c>
      <c r="AS396" s="44">
        <v>0</v>
      </c>
      <c r="AT396" s="40">
        <f t="shared" ref="AT396" si="463">AQ396+AS396</f>
        <v>0</v>
      </c>
      <c r="AU396" s="34">
        <f t="shared" ref="AU396" si="464">AJ396-AM396</f>
        <v>0</v>
      </c>
      <c r="AV396" s="110">
        <f t="shared" ref="AV396" si="465">AM396-AP396</f>
        <v>94960977</v>
      </c>
      <c r="AW396" s="18">
        <f t="shared" ref="AW396" si="466">AP396-AT396</f>
        <v>3321331218</v>
      </c>
      <c r="AX396" s="123">
        <f t="shared" ref="AX396" si="467">AP396/AJ396</f>
        <v>0.97220349677964246</v>
      </c>
    </row>
    <row r="397" spans="1:50" ht="18.75" customHeight="1" x14ac:dyDescent="0.2">
      <c r="AA397" s="28" t="s">
        <v>288</v>
      </c>
      <c r="AB397" s="29" t="s">
        <v>320</v>
      </c>
      <c r="AC397" s="17"/>
      <c r="AD397" s="18"/>
      <c r="AE397" s="34"/>
      <c r="AF397" s="34"/>
      <c r="AG397" s="34"/>
      <c r="AH397" s="34"/>
      <c r="AI397" s="34"/>
      <c r="AJ397" s="18"/>
      <c r="AK397" s="34"/>
      <c r="AL397" s="34"/>
      <c r="AM397" s="18"/>
      <c r="AN397" s="34"/>
      <c r="AO397" s="34"/>
      <c r="AP397" s="18"/>
      <c r="AQ397" s="34"/>
      <c r="AR397" s="34"/>
      <c r="AS397" s="34"/>
      <c r="AT397" s="40"/>
      <c r="AU397" s="18"/>
      <c r="AV397" s="18"/>
      <c r="AW397" s="18"/>
      <c r="AX397" s="18"/>
    </row>
    <row r="398" spans="1:50" ht="18.75" customHeight="1" x14ac:dyDescent="0.2">
      <c r="A398" s="4" t="s">
        <v>55</v>
      </c>
      <c r="B398" s="4" t="s">
        <v>56</v>
      </c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1" t="s">
        <v>377</v>
      </c>
      <c r="AB398" s="42" t="s">
        <v>328</v>
      </c>
      <c r="AC398" s="43" t="s">
        <v>61</v>
      </c>
      <c r="AD398" s="43">
        <v>10632000</v>
      </c>
      <c r="AE398" s="44">
        <v>0</v>
      </c>
      <c r="AF398" s="44">
        <v>0</v>
      </c>
      <c r="AG398" s="44">
        <v>0</v>
      </c>
      <c r="AH398" s="44">
        <v>0</v>
      </c>
      <c r="AI398" s="44">
        <v>0</v>
      </c>
      <c r="AJ398" s="43">
        <v>10632000</v>
      </c>
      <c r="AK398" s="44">
        <v>0</v>
      </c>
      <c r="AL398" s="44">
        <v>0</v>
      </c>
      <c r="AM398" s="43">
        <v>0</v>
      </c>
      <c r="AN398" s="44">
        <v>0</v>
      </c>
      <c r="AO398" s="44">
        <v>0</v>
      </c>
      <c r="AP398" s="43">
        <v>0</v>
      </c>
      <c r="AQ398" s="44">
        <v>0</v>
      </c>
      <c r="AR398" s="44">
        <v>0</v>
      </c>
      <c r="AS398" s="44">
        <v>0</v>
      </c>
      <c r="AT398" s="40">
        <f t="shared" ref="AT398:AT400" si="468">AQ398+AS398</f>
        <v>0</v>
      </c>
      <c r="AU398" s="18">
        <f t="shared" ref="AU398:AU400" si="469">AJ398-AM398</f>
        <v>10632000</v>
      </c>
      <c r="AV398" s="34">
        <f t="shared" ref="AV398:AV400" si="470">AM398-AP398</f>
        <v>0</v>
      </c>
      <c r="AW398" s="34">
        <f t="shared" ref="AW398:AW400" si="471">AP398-AT398</f>
        <v>0</v>
      </c>
      <c r="AX398" s="123">
        <f t="shared" ref="AX398:AX400" si="472">AP398/AJ398</f>
        <v>0</v>
      </c>
    </row>
    <row r="399" spans="1:50" ht="18.75" customHeight="1" x14ac:dyDescent="0.2">
      <c r="A399" s="4" t="s">
        <v>55</v>
      </c>
      <c r="B399" s="4" t="s">
        <v>56</v>
      </c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1" t="s">
        <v>378</v>
      </c>
      <c r="AB399" s="42" t="s">
        <v>379</v>
      </c>
      <c r="AC399" s="43" t="s">
        <v>380</v>
      </c>
      <c r="AD399" s="43">
        <v>2835585455</v>
      </c>
      <c r="AE399" s="44">
        <v>0</v>
      </c>
      <c r="AF399" s="44">
        <v>0</v>
      </c>
      <c r="AG399" s="44">
        <v>0</v>
      </c>
      <c r="AH399" s="44">
        <v>0</v>
      </c>
      <c r="AI399" s="44">
        <v>0</v>
      </c>
      <c r="AJ399" s="43">
        <v>2835585455</v>
      </c>
      <c r="AK399" s="44">
        <v>0</v>
      </c>
      <c r="AL399" s="43">
        <v>159954221</v>
      </c>
      <c r="AM399" s="43">
        <v>447178251</v>
      </c>
      <c r="AN399" s="44">
        <v>0</v>
      </c>
      <c r="AO399" s="43">
        <v>159954221</v>
      </c>
      <c r="AP399" s="43">
        <v>447178251</v>
      </c>
      <c r="AQ399" s="114">
        <v>0</v>
      </c>
      <c r="AR399" s="43">
        <v>313809933</v>
      </c>
      <c r="AS399" s="43">
        <v>447178251</v>
      </c>
      <c r="AT399" s="39">
        <f t="shared" si="468"/>
        <v>447178251</v>
      </c>
      <c r="AU399" s="18">
        <f t="shared" si="469"/>
        <v>2388407204</v>
      </c>
      <c r="AV399" s="34">
        <f t="shared" si="470"/>
        <v>0</v>
      </c>
      <c r="AW399" s="18">
        <f t="shared" si="471"/>
        <v>0</v>
      </c>
      <c r="AX399" s="123">
        <f t="shared" si="472"/>
        <v>0.15770226575661428</v>
      </c>
    </row>
    <row r="400" spans="1:50" ht="18.75" customHeight="1" x14ac:dyDescent="0.2">
      <c r="A400" s="4" t="s">
        <v>55</v>
      </c>
      <c r="B400" s="4" t="s">
        <v>56</v>
      </c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1" t="s">
        <v>381</v>
      </c>
      <c r="AB400" s="42" t="s">
        <v>382</v>
      </c>
      <c r="AC400" s="43" t="s">
        <v>383</v>
      </c>
      <c r="AD400" s="43">
        <v>1274304912</v>
      </c>
      <c r="AE400" s="44">
        <v>0</v>
      </c>
      <c r="AF400" s="44">
        <v>0</v>
      </c>
      <c r="AG400" s="44">
        <v>0</v>
      </c>
      <c r="AH400" s="44">
        <v>0</v>
      </c>
      <c r="AI400" s="44">
        <v>0</v>
      </c>
      <c r="AJ400" s="43">
        <v>1274304912</v>
      </c>
      <c r="AK400" s="44">
        <v>0</v>
      </c>
      <c r="AL400" s="44">
        <v>0</v>
      </c>
      <c r="AM400" s="44">
        <v>0</v>
      </c>
      <c r="AN400" s="44">
        <v>0</v>
      </c>
      <c r="AO400" s="43">
        <v>0</v>
      </c>
      <c r="AP400" s="44">
        <v>0</v>
      </c>
      <c r="AQ400" s="44">
        <v>0</v>
      </c>
      <c r="AR400" s="44">
        <v>0</v>
      </c>
      <c r="AS400" s="44">
        <v>0</v>
      </c>
      <c r="AT400" s="40">
        <f t="shared" si="468"/>
        <v>0</v>
      </c>
      <c r="AU400" s="18">
        <f t="shared" si="469"/>
        <v>1274304912</v>
      </c>
      <c r="AV400" s="34">
        <f t="shared" si="470"/>
        <v>0</v>
      </c>
      <c r="AW400" s="34">
        <f t="shared" si="471"/>
        <v>0</v>
      </c>
      <c r="AX400" s="123">
        <f t="shared" si="472"/>
        <v>0</v>
      </c>
    </row>
    <row r="401" spans="1:50" ht="38.25" x14ac:dyDescent="0.2">
      <c r="AA401" s="28" t="s">
        <v>288</v>
      </c>
      <c r="AB401" s="29" t="s">
        <v>384</v>
      </c>
      <c r="AC401" s="17"/>
      <c r="AD401" s="18"/>
      <c r="AE401" s="34"/>
      <c r="AF401" s="34"/>
      <c r="AG401" s="34"/>
      <c r="AH401" s="34"/>
      <c r="AI401" s="34"/>
      <c r="AJ401" s="18"/>
      <c r="AK401" s="18"/>
      <c r="AL401" s="18"/>
      <c r="AM401" s="18"/>
      <c r="AN401" s="34"/>
      <c r="AO401" s="18"/>
      <c r="AP401" s="18"/>
      <c r="AQ401" s="18"/>
      <c r="AR401" s="18"/>
      <c r="AS401" s="18"/>
      <c r="AT401" s="39"/>
      <c r="AU401" s="18"/>
      <c r="AV401" s="18"/>
      <c r="AW401" s="18"/>
      <c r="AX401" s="18"/>
    </row>
    <row r="402" spans="1:50" ht="18.75" customHeight="1" x14ac:dyDescent="0.2">
      <c r="A402" s="4" t="s">
        <v>55</v>
      </c>
      <c r="B402" s="4" t="s">
        <v>56</v>
      </c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1" t="s">
        <v>385</v>
      </c>
      <c r="AB402" s="42" t="s">
        <v>233</v>
      </c>
      <c r="AC402" s="43" t="s">
        <v>58</v>
      </c>
      <c r="AD402" s="43">
        <v>9793380820</v>
      </c>
      <c r="AE402" s="44">
        <v>0</v>
      </c>
      <c r="AF402" s="44">
        <v>0</v>
      </c>
      <c r="AG402" s="44">
        <v>0</v>
      </c>
      <c r="AH402" s="44">
        <v>0</v>
      </c>
      <c r="AI402" s="44">
        <v>0</v>
      </c>
      <c r="AJ402" s="43">
        <v>9793380820</v>
      </c>
      <c r="AK402" s="43">
        <v>0</v>
      </c>
      <c r="AL402" s="43">
        <v>32000000</v>
      </c>
      <c r="AM402" s="43">
        <v>9562080073</v>
      </c>
      <c r="AN402" s="44">
        <v>0</v>
      </c>
      <c r="AO402" s="43">
        <v>32000000</v>
      </c>
      <c r="AP402" s="43">
        <v>9521050100</v>
      </c>
      <c r="AQ402" s="44">
        <v>15800000</v>
      </c>
      <c r="AR402" s="114">
        <v>12716667</v>
      </c>
      <c r="AS402" s="114">
        <v>14666667</v>
      </c>
      <c r="AT402" s="39">
        <f t="shared" ref="AT402:AT406" si="473">AQ402+AS402</f>
        <v>30466667</v>
      </c>
      <c r="AU402" s="18">
        <f t="shared" ref="AU402:AU406" si="474">AJ402-AM402</f>
        <v>231300747</v>
      </c>
      <c r="AV402" s="110">
        <f t="shared" ref="AV402:AV406" si="475">AM402-AP402</f>
        <v>41029973</v>
      </c>
      <c r="AW402" s="110">
        <f t="shared" ref="AW402:AW406" si="476">AP402-AT402</f>
        <v>9490583433</v>
      </c>
      <c r="AX402" s="123">
        <f t="shared" ref="AX402:AX406" si="477">AP402/AJ402</f>
        <v>0.97219236900868311</v>
      </c>
    </row>
    <row r="403" spans="1:50" ht="18.75" customHeight="1" x14ac:dyDescent="0.2">
      <c r="A403" s="4" t="s">
        <v>55</v>
      </c>
      <c r="B403" s="4" t="s">
        <v>56</v>
      </c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1" t="s">
        <v>386</v>
      </c>
      <c r="AB403" s="42" t="s">
        <v>382</v>
      </c>
      <c r="AC403" s="43" t="s">
        <v>383</v>
      </c>
      <c r="AD403" s="43">
        <v>8000000000</v>
      </c>
      <c r="AE403" s="44">
        <v>0</v>
      </c>
      <c r="AF403" s="44">
        <v>0</v>
      </c>
      <c r="AG403" s="44">
        <v>0</v>
      </c>
      <c r="AH403" s="44">
        <v>0</v>
      </c>
      <c r="AI403" s="44">
        <v>0</v>
      </c>
      <c r="AJ403" s="43">
        <v>8000000000</v>
      </c>
      <c r="AK403" s="44">
        <v>0</v>
      </c>
      <c r="AL403" s="44">
        <v>0</v>
      </c>
      <c r="AM403" s="43">
        <v>8000000000</v>
      </c>
      <c r="AN403" s="44">
        <v>0</v>
      </c>
      <c r="AO403" s="44">
        <v>0</v>
      </c>
      <c r="AP403" s="43">
        <v>8000000000</v>
      </c>
      <c r="AQ403" s="44">
        <v>0</v>
      </c>
      <c r="AR403" s="44">
        <v>0</v>
      </c>
      <c r="AS403" s="44">
        <v>0</v>
      </c>
      <c r="AT403" s="40">
        <f t="shared" si="473"/>
        <v>0</v>
      </c>
      <c r="AU403" s="34">
        <f t="shared" si="474"/>
        <v>0</v>
      </c>
      <c r="AV403" s="34">
        <f t="shared" si="475"/>
        <v>0</v>
      </c>
      <c r="AW403" s="18">
        <f t="shared" si="476"/>
        <v>8000000000</v>
      </c>
      <c r="AX403" s="123">
        <f t="shared" si="477"/>
        <v>1</v>
      </c>
    </row>
    <row r="404" spans="1:50" ht="18.75" customHeight="1" x14ac:dyDescent="0.2">
      <c r="A404" s="4" t="s">
        <v>55</v>
      </c>
      <c r="B404" s="4" t="s">
        <v>56</v>
      </c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1" t="s">
        <v>387</v>
      </c>
      <c r="AB404" s="42" t="s">
        <v>388</v>
      </c>
      <c r="AC404" s="43" t="s">
        <v>389</v>
      </c>
      <c r="AD404" s="43">
        <v>951016677</v>
      </c>
      <c r="AE404" s="44">
        <v>0</v>
      </c>
      <c r="AF404" s="44">
        <v>0</v>
      </c>
      <c r="AG404" s="44">
        <v>0</v>
      </c>
      <c r="AH404" s="44">
        <v>0</v>
      </c>
      <c r="AI404" s="44">
        <v>0</v>
      </c>
      <c r="AJ404" s="43">
        <v>951016677</v>
      </c>
      <c r="AK404" s="44">
        <v>0</v>
      </c>
      <c r="AL404" s="44">
        <v>0</v>
      </c>
      <c r="AM404" s="43">
        <v>951016677</v>
      </c>
      <c r="AN404" s="44">
        <v>0</v>
      </c>
      <c r="AO404" s="44">
        <v>0</v>
      </c>
      <c r="AP404" s="43">
        <v>951016677</v>
      </c>
      <c r="AQ404" s="44">
        <v>0</v>
      </c>
      <c r="AR404" s="44">
        <v>0</v>
      </c>
      <c r="AS404" s="44">
        <v>0</v>
      </c>
      <c r="AT404" s="40">
        <f t="shared" si="473"/>
        <v>0</v>
      </c>
      <c r="AU404" s="34">
        <f t="shared" si="474"/>
        <v>0</v>
      </c>
      <c r="AV404" s="34">
        <f t="shared" si="475"/>
        <v>0</v>
      </c>
      <c r="AW404" s="18">
        <f t="shared" si="476"/>
        <v>951016677</v>
      </c>
      <c r="AX404" s="123">
        <f t="shared" si="477"/>
        <v>1</v>
      </c>
    </row>
    <row r="405" spans="1:50" ht="18.75" customHeight="1" x14ac:dyDescent="0.2">
      <c r="A405" s="4" t="s">
        <v>55</v>
      </c>
      <c r="B405" s="4" t="s">
        <v>56</v>
      </c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1" t="s">
        <v>390</v>
      </c>
      <c r="AB405" s="42" t="s">
        <v>391</v>
      </c>
      <c r="AC405" s="43" t="s">
        <v>392</v>
      </c>
      <c r="AD405" s="43">
        <v>2011708314</v>
      </c>
      <c r="AE405" s="44">
        <v>0</v>
      </c>
      <c r="AF405" s="44">
        <v>0</v>
      </c>
      <c r="AG405" s="44">
        <v>0</v>
      </c>
      <c r="AH405" s="44">
        <v>0</v>
      </c>
      <c r="AI405" s="44">
        <v>0</v>
      </c>
      <c r="AJ405" s="43">
        <v>2011708314</v>
      </c>
      <c r="AK405" s="44">
        <v>0</v>
      </c>
      <c r="AL405" s="44">
        <v>0</v>
      </c>
      <c r="AM405" s="43">
        <v>2011708314</v>
      </c>
      <c r="AN405" s="44">
        <v>0</v>
      </c>
      <c r="AO405" s="44">
        <v>0</v>
      </c>
      <c r="AP405" s="43">
        <v>2011708314</v>
      </c>
      <c r="AQ405" s="44">
        <v>0</v>
      </c>
      <c r="AR405" s="44">
        <v>0</v>
      </c>
      <c r="AS405" s="44">
        <v>0</v>
      </c>
      <c r="AT405" s="40">
        <f t="shared" si="473"/>
        <v>0</v>
      </c>
      <c r="AU405" s="34">
        <f t="shared" si="474"/>
        <v>0</v>
      </c>
      <c r="AV405" s="34">
        <f t="shared" si="475"/>
        <v>0</v>
      </c>
      <c r="AW405" s="18">
        <f t="shared" si="476"/>
        <v>2011708314</v>
      </c>
      <c r="AX405" s="123">
        <f t="shared" si="477"/>
        <v>1</v>
      </c>
    </row>
    <row r="406" spans="1:50" ht="18.75" customHeight="1" x14ac:dyDescent="0.2">
      <c r="A406" s="4" t="s">
        <v>55</v>
      </c>
      <c r="B406" s="4" t="s">
        <v>56</v>
      </c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1" t="s">
        <v>393</v>
      </c>
      <c r="AB406" s="42" t="s">
        <v>394</v>
      </c>
      <c r="AC406" s="43" t="s">
        <v>368</v>
      </c>
      <c r="AD406" s="43">
        <v>64817304.240000002</v>
      </c>
      <c r="AE406" s="44">
        <v>0</v>
      </c>
      <c r="AF406" s="44">
        <v>0</v>
      </c>
      <c r="AG406" s="44">
        <v>0</v>
      </c>
      <c r="AH406" s="44">
        <v>0</v>
      </c>
      <c r="AI406" s="44">
        <v>0</v>
      </c>
      <c r="AJ406" s="43">
        <v>64817304.240000002</v>
      </c>
      <c r="AK406" s="44">
        <v>0</v>
      </c>
      <c r="AL406" s="44">
        <v>0</v>
      </c>
      <c r="AM406" s="43">
        <v>64817304</v>
      </c>
      <c r="AN406" s="44">
        <v>0</v>
      </c>
      <c r="AO406" s="44">
        <v>0</v>
      </c>
      <c r="AP406" s="43">
        <v>64817304</v>
      </c>
      <c r="AQ406" s="44">
        <v>0</v>
      </c>
      <c r="AR406" s="44">
        <v>0</v>
      </c>
      <c r="AS406" s="44">
        <v>0</v>
      </c>
      <c r="AT406" s="40">
        <f t="shared" si="473"/>
        <v>0</v>
      </c>
      <c r="AU406" s="18">
        <f t="shared" si="474"/>
        <v>0.24000000208616257</v>
      </c>
      <c r="AV406" s="34">
        <f t="shared" si="475"/>
        <v>0</v>
      </c>
      <c r="AW406" s="18">
        <f t="shared" si="476"/>
        <v>64817304</v>
      </c>
      <c r="AX406" s="123">
        <f t="shared" si="477"/>
        <v>0.99999999629728509</v>
      </c>
    </row>
    <row r="407" spans="1:50" ht="18.75" customHeight="1" x14ac:dyDescent="0.2">
      <c r="AA407" s="16"/>
      <c r="AB407" s="17"/>
      <c r="AC407" s="17"/>
      <c r="AD407" s="18"/>
      <c r="AE407" s="34"/>
      <c r="AF407" s="34"/>
      <c r="AG407" s="34"/>
      <c r="AH407" s="34"/>
      <c r="AI407" s="34"/>
      <c r="AJ407" s="18"/>
      <c r="AK407" s="18"/>
      <c r="AL407" s="18"/>
      <c r="AM407" s="18"/>
      <c r="AN407" s="34"/>
      <c r="AO407" s="34"/>
      <c r="AP407" s="18"/>
      <c r="AQ407" s="18"/>
      <c r="AR407" s="18"/>
      <c r="AS407" s="18"/>
      <c r="AT407" s="40"/>
      <c r="AU407" s="18"/>
      <c r="AV407" s="18"/>
      <c r="AW407" s="18"/>
      <c r="AX407" s="18"/>
    </row>
    <row r="408" spans="1:50" ht="25.5" x14ac:dyDescent="0.2">
      <c r="AA408" s="16"/>
      <c r="AB408" s="29" t="s">
        <v>195</v>
      </c>
      <c r="AC408" s="17"/>
      <c r="AD408" s="18"/>
      <c r="AE408" s="34"/>
      <c r="AF408" s="34"/>
      <c r="AG408" s="34"/>
      <c r="AH408" s="34"/>
      <c r="AI408" s="34"/>
      <c r="AJ408" s="18"/>
      <c r="AK408" s="18"/>
      <c r="AL408" s="18"/>
      <c r="AM408" s="18"/>
      <c r="AN408" s="34"/>
      <c r="AO408" s="34"/>
      <c r="AP408" s="18"/>
      <c r="AQ408" s="18"/>
      <c r="AR408" s="18"/>
      <c r="AS408" s="18"/>
      <c r="AT408" s="40"/>
      <c r="AU408" s="18"/>
      <c r="AV408" s="18"/>
      <c r="AW408" s="18"/>
      <c r="AX408" s="18"/>
    </row>
    <row r="409" spans="1:50" ht="18.75" customHeight="1" x14ac:dyDescent="0.2">
      <c r="AA409" s="28" t="s">
        <v>288</v>
      </c>
      <c r="AB409" s="29" t="s">
        <v>320</v>
      </c>
      <c r="AC409" s="17"/>
      <c r="AD409" s="18"/>
      <c r="AE409" s="34"/>
      <c r="AF409" s="34"/>
      <c r="AG409" s="34"/>
      <c r="AH409" s="34"/>
      <c r="AI409" s="34"/>
      <c r="AJ409" s="18"/>
      <c r="AK409" s="18"/>
      <c r="AL409" s="18"/>
      <c r="AM409" s="18"/>
      <c r="AN409" s="34"/>
      <c r="AO409" s="34"/>
      <c r="AP409" s="18"/>
      <c r="AQ409" s="18"/>
      <c r="AR409" s="18"/>
      <c r="AS409" s="18"/>
      <c r="AT409" s="40"/>
      <c r="AU409" s="18"/>
      <c r="AV409" s="18"/>
      <c r="AW409" s="18"/>
      <c r="AX409" s="18"/>
    </row>
    <row r="410" spans="1:50" ht="18.75" customHeight="1" x14ac:dyDescent="0.2">
      <c r="A410" s="4" t="s">
        <v>55</v>
      </c>
      <c r="B410" s="4" t="s">
        <v>56</v>
      </c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1" t="s">
        <v>395</v>
      </c>
      <c r="AB410" s="42" t="s">
        <v>233</v>
      </c>
      <c r="AC410" s="43" t="s">
        <v>58</v>
      </c>
      <c r="AD410" s="43">
        <v>77302510</v>
      </c>
      <c r="AE410" s="44">
        <v>0</v>
      </c>
      <c r="AF410" s="44">
        <v>0</v>
      </c>
      <c r="AG410" s="44">
        <v>0</v>
      </c>
      <c r="AH410" s="44">
        <v>0</v>
      </c>
      <c r="AI410" s="44">
        <v>0</v>
      </c>
      <c r="AJ410" s="43">
        <v>77302510</v>
      </c>
      <c r="AK410" s="44">
        <v>0</v>
      </c>
      <c r="AL410" s="44">
        <v>0</v>
      </c>
      <c r="AM410" s="43">
        <v>76566312</v>
      </c>
      <c r="AN410" s="44">
        <v>0</v>
      </c>
      <c r="AO410" s="44">
        <v>0</v>
      </c>
      <c r="AP410" s="43">
        <v>76566312</v>
      </c>
      <c r="AQ410" s="43">
        <v>1538354</v>
      </c>
      <c r="AR410" s="43">
        <v>1192512</v>
      </c>
      <c r="AS410" s="43">
        <v>1192512</v>
      </c>
      <c r="AT410" s="40">
        <f t="shared" ref="AT410" si="478">AQ410+AS410</f>
        <v>2730866</v>
      </c>
      <c r="AU410" s="18">
        <f t="shared" ref="AU410" si="479">AJ410-AM410</f>
        <v>736198</v>
      </c>
      <c r="AV410" s="34">
        <f t="shared" ref="AV410" si="480">AM410-AP410</f>
        <v>0</v>
      </c>
      <c r="AW410" s="18">
        <f t="shared" ref="AW410" si="481">AP410-AT410</f>
        <v>73835446</v>
      </c>
      <c r="AX410" s="123">
        <f t="shared" ref="AX410" si="482">AP410/AJ410</f>
        <v>0.99047640238331203</v>
      </c>
    </row>
    <row r="411" spans="1:50" ht="18.75" customHeight="1" x14ac:dyDescent="0.2">
      <c r="AA411" s="16"/>
      <c r="AB411" s="17"/>
      <c r="AC411" s="17"/>
      <c r="AD411" s="18"/>
      <c r="AE411" s="34"/>
      <c r="AF411" s="34"/>
      <c r="AG411" s="34"/>
      <c r="AH411" s="34"/>
      <c r="AI411" s="34"/>
      <c r="AJ411" s="18"/>
      <c r="AK411" s="18"/>
      <c r="AL411" s="18"/>
      <c r="AM411" s="18"/>
      <c r="AN411" s="18"/>
      <c r="AO411" s="18"/>
      <c r="AP411" s="18"/>
      <c r="AQ411" s="34"/>
      <c r="AR411" s="34"/>
      <c r="AS411" s="34"/>
      <c r="AT411" s="40"/>
      <c r="AU411" s="18"/>
      <c r="AV411" s="18"/>
      <c r="AW411" s="18"/>
      <c r="AX411" s="18"/>
    </row>
    <row r="412" spans="1:50" ht="25.5" x14ac:dyDescent="0.2">
      <c r="AA412" s="16"/>
      <c r="AB412" s="29" t="s">
        <v>197</v>
      </c>
      <c r="AC412" s="17"/>
      <c r="AD412" s="18"/>
      <c r="AE412" s="34"/>
      <c r="AF412" s="34"/>
      <c r="AG412" s="34"/>
      <c r="AH412" s="34"/>
      <c r="AI412" s="34"/>
      <c r="AJ412" s="18"/>
      <c r="AK412" s="18"/>
      <c r="AL412" s="18"/>
      <c r="AM412" s="18"/>
      <c r="AN412" s="18"/>
      <c r="AO412" s="18"/>
      <c r="AP412" s="18"/>
      <c r="AQ412" s="34"/>
      <c r="AR412" s="34"/>
      <c r="AS412" s="34"/>
      <c r="AT412" s="40"/>
      <c r="AU412" s="18"/>
      <c r="AV412" s="18"/>
      <c r="AW412" s="18"/>
      <c r="AX412" s="18"/>
    </row>
    <row r="413" spans="1:50" ht="25.5" x14ac:dyDescent="0.2">
      <c r="AA413" s="28" t="s">
        <v>288</v>
      </c>
      <c r="AB413" s="29" t="s">
        <v>396</v>
      </c>
      <c r="AC413" s="17"/>
      <c r="AD413" s="18"/>
      <c r="AE413" s="34"/>
      <c r="AF413" s="34"/>
      <c r="AG413" s="34"/>
      <c r="AH413" s="34"/>
      <c r="AI413" s="34"/>
      <c r="AJ413" s="18"/>
      <c r="AK413" s="18"/>
      <c r="AL413" s="18"/>
      <c r="AM413" s="18"/>
      <c r="AN413" s="18"/>
      <c r="AO413" s="18"/>
      <c r="AP413" s="18"/>
      <c r="AQ413" s="34"/>
      <c r="AR413" s="34"/>
      <c r="AS413" s="34"/>
      <c r="AT413" s="40"/>
      <c r="AU413" s="18"/>
      <c r="AV413" s="18"/>
      <c r="AW413" s="18"/>
      <c r="AX413" s="18"/>
    </row>
    <row r="414" spans="1:50" ht="18.75" customHeight="1" x14ac:dyDescent="0.2">
      <c r="A414" s="4" t="s">
        <v>55</v>
      </c>
      <c r="B414" s="4" t="s">
        <v>56</v>
      </c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1" t="s">
        <v>397</v>
      </c>
      <c r="AB414" s="42" t="s">
        <v>328</v>
      </c>
      <c r="AC414" s="43" t="s">
        <v>61</v>
      </c>
      <c r="AD414" s="43">
        <v>838526678</v>
      </c>
      <c r="AE414" s="44">
        <v>0</v>
      </c>
      <c r="AF414" s="44">
        <v>0</v>
      </c>
      <c r="AG414" s="43">
        <v>27102938</v>
      </c>
      <c r="AH414" s="44">
        <v>0</v>
      </c>
      <c r="AI414" s="18">
        <f>AE414-AF414+AG414-AH414</f>
        <v>27102938</v>
      </c>
      <c r="AJ414" s="18">
        <f>AD414+AI414</f>
        <v>865629616</v>
      </c>
      <c r="AK414" s="44">
        <v>0</v>
      </c>
      <c r="AL414" s="44">
        <v>0</v>
      </c>
      <c r="AM414" s="44">
        <v>0</v>
      </c>
      <c r="AN414" s="44">
        <v>0</v>
      </c>
      <c r="AO414" s="44">
        <v>0</v>
      </c>
      <c r="AP414" s="43">
        <v>0</v>
      </c>
      <c r="AQ414" s="44">
        <v>0</v>
      </c>
      <c r="AR414" s="44">
        <v>0</v>
      </c>
      <c r="AS414" s="44">
        <v>0</v>
      </c>
      <c r="AT414" s="40">
        <f t="shared" ref="AT414" si="483">AQ414+AS414</f>
        <v>0</v>
      </c>
      <c r="AU414" s="18">
        <f t="shared" ref="AU414" si="484">AJ414-AM414</f>
        <v>865629616</v>
      </c>
      <c r="AV414" s="34">
        <f t="shared" ref="AV414" si="485">AM414-AP414</f>
        <v>0</v>
      </c>
      <c r="AW414" s="34">
        <f t="shared" ref="AW414" si="486">AP414-AT414</f>
        <v>0</v>
      </c>
      <c r="AX414" s="123">
        <f t="shared" ref="AX414" si="487">AP414/AJ414</f>
        <v>0</v>
      </c>
    </row>
    <row r="415" spans="1:50" ht="18.75" customHeight="1" x14ac:dyDescent="0.2">
      <c r="AA415" s="28" t="s">
        <v>288</v>
      </c>
      <c r="AB415" s="29" t="s">
        <v>320</v>
      </c>
      <c r="AC415" s="17"/>
      <c r="AD415" s="18"/>
      <c r="AE415" s="34"/>
      <c r="AF415" s="34"/>
      <c r="AG415" s="34"/>
      <c r="AH415" s="34"/>
      <c r="AI415" s="34"/>
      <c r="AJ415" s="18"/>
      <c r="AK415" s="18"/>
      <c r="AL415" s="18"/>
      <c r="AM415" s="18"/>
      <c r="AN415" s="34"/>
      <c r="AO415" s="18"/>
      <c r="AP415" s="18"/>
      <c r="AQ415" s="34"/>
      <c r="AR415" s="34"/>
      <c r="AS415" s="34"/>
      <c r="AT415" s="40"/>
      <c r="AU415" s="18"/>
      <c r="AV415" s="18"/>
      <c r="AW415" s="18"/>
      <c r="AX415" s="18"/>
    </row>
    <row r="416" spans="1:50" ht="18.75" customHeight="1" x14ac:dyDescent="0.2">
      <c r="A416" s="4" t="s">
        <v>55</v>
      </c>
      <c r="B416" s="4" t="s">
        <v>56</v>
      </c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1" t="s">
        <v>398</v>
      </c>
      <c r="AB416" s="42" t="s">
        <v>233</v>
      </c>
      <c r="AC416" s="43" t="s">
        <v>58</v>
      </c>
      <c r="AD416" s="43">
        <v>9048558947</v>
      </c>
      <c r="AE416" s="44">
        <v>0</v>
      </c>
      <c r="AF416" s="44">
        <v>0</v>
      </c>
      <c r="AG416" s="44">
        <v>0</v>
      </c>
      <c r="AH416" s="44">
        <v>0</v>
      </c>
      <c r="AI416" s="18">
        <f t="shared" ref="AI416:AI417" si="488">AE416-AF416+AG416-AH416</f>
        <v>0</v>
      </c>
      <c r="AJ416" s="18">
        <f t="shared" ref="AJ416:AJ417" si="489">AD416+AI416</f>
        <v>9048558947</v>
      </c>
      <c r="AK416" s="44">
        <v>0</v>
      </c>
      <c r="AL416" s="44">
        <v>0</v>
      </c>
      <c r="AM416" s="43">
        <v>8022557478.8199997</v>
      </c>
      <c r="AN416" s="44">
        <v>0</v>
      </c>
      <c r="AO416" s="44">
        <v>0</v>
      </c>
      <c r="AP416" s="43">
        <v>7771880654.8199997</v>
      </c>
      <c r="AQ416" s="44">
        <v>0</v>
      </c>
      <c r="AR416" s="44">
        <v>0</v>
      </c>
      <c r="AS416" s="44">
        <v>0</v>
      </c>
      <c r="AT416" s="40">
        <f t="shared" ref="AT416:AT417" si="490">AQ416+AS416</f>
        <v>0</v>
      </c>
      <c r="AU416" s="18">
        <f t="shared" ref="AU416:AU417" si="491">AJ416-AM416</f>
        <v>1026001468.1800003</v>
      </c>
      <c r="AV416" s="110">
        <f t="shared" ref="AV416:AV417" si="492">AM416-AP416</f>
        <v>250676824</v>
      </c>
      <c r="AW416" s="18">
        <f t="shared" ref="AW416:AW417" si="493">AP416-AT416</f>
        <v>7771880654.8199997</v>
      </c>
      <c r="AX416" s="123">
        <f t="shared" ref="AX416:AX417" si="494">AP416/AJ416</f>
        <v>0.85890810905273751</v>
      </c>
    </row>
    <row r="417" spans="1:50" ht="18.75" customHeight="1" x14ac:dyDescent="0.2">
      <c r="A417" s="4" t="s">
        <v>55</v>
      </c>
      <c r="B417" s="4" t="s">
        <v>56</v>
      </c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1" t="s">
        <v>399</v>
      </c>
      <c r="AB417" s="42" t="s">
        <v>382</v>
      </c>
      <c r="AC417" s="43" t="s">
        <v>383</v>
      </c>
      <c r="AD417" s="43">
        <v>1274304910</v>
      </c>
      <c r="AE417" s="44">
        <v>0</v>
      </c>
      <c r="AF417" s="44">
        <v>0</v>
      </c>
      <c r="AG417" s="44">
        <v>0</v>
      </c>
      <c r="AH417" s="44">
        <v>0</v>
      </c>
      <c r="AI417" s="18">
        <f t="shared" si="488"/>
        <v>0</v>
      </c>
      <c r="AJ417" s="18">
        <f t="shared" si="489"/>
        <v>1274304910</v>
      </c>
      <c r="AK417" s="44">
        <v>0</v>
      </c>
      <c r="AL417" s="44">
        <v>0</v>
      </c>
      <c r="AM417" s="43">
        <v>1274304910</v>
      </c>
      <c r="AN417" s="44">
        <v>0</v>
      </c>
      <c r="AO417" s="44">
        <v>0</v>
      </c>
      <c r="AP417" s="43">
        <v>1274304910</v>
      </c>
      <c r="AQ417" s="44">
        <v>0</v>
      </c>
      <c r="AR417" s="44">
        <v>0</v>
      </c>
      <c r="AS417" s="44">
        <v>0</v>
      </c>
      <c r="AT417" s="40">
        <f t="shared" si="490"/>
        <v>0</v>
      </c>
      <c r="AU417" s="34">
        <f t="shared" si="491"/>
        <v>0</v>
      </c>
      <c r="AV417" s="34">
        <f t="shared" si="492"/>
        <v>0</v>
      </c>
      <c r="AW417" s="18">
        <f t="shared" si="493"/>
        <v>1274304910</v>
      </c>
      <c r="AX417" s="123">
        <f t="shared" si="494"/>
        <v>1</v>
      </c>
    </row>
    <row r="418" spans="1:50" ht="18.75" customHeight="1" x14ac:dyDescent="0.2">
      <c r="AA418" s="28" t="s">
        <v>288</v>
      </c>
      <c r="AB418" s="29" t="s">
        <v>400</v>
      </c>
      <c r="AC418" s="17"/>
      <c r="AD418" s="18"/>
      <c r="AE418" s="34"/>
      <c r="AF418" s="34"/>
      <c r="AG418" s="34"/>
      <c r="AH418" s="34"/>
      <c r="AI418" s="34"/>
      <c r="AJ418" s="18"/>
      <c r="AK418" s="18"/>
      <c r="AL418" s="18"/>
      <c r="AM418" s="18"/>
      <c r="AN418" s="34"/>
      <c r="AO418" s="18"/>
      <c r="AP418" s="18"/>
      <c r="AQ418" s="34"/>
      <c r="AR418" s="34"/>
      <c r="AS418" s="34"/>
      <c r="AT418" s="40"/>
      <c r="AU418" s="18"/>
      <c r="AV418" s="18"/>
      <c r="AW418" s="18"/>
      <c r="AX418" s="18"/>
    </row>
    <row r="419" spans="1:50" ht="18.75" customHeight="1" x14ac:dyDescent="0.2">
      <c r="A419" s="4" t="s">
        <v>55</v>
      </c>
      <c r="B419" s="4" t="s">
        <v>56</v>
      </c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1" t="s">
        <v>401</v>
      </c>
      <c r="AB419" s="42" t="s">
        <v>233</v>
      </c>
      <c r="AC419" s="43" t="s">
        <v>58</v>
      </c>
      <c r="AD419" s="43">
        <v>1000000000</v>
      </c>
      <c r="AE419" s="44">
        <v>0</v>
      </c>
      <c r="AF419" s="44">
        <v>0</v>
      </c>
      <c r="AG419" s="44">
        <v>0</v>
      </c>
      <c r="AH419" s="44">
        <v>0</v>
      </c>
      <c r="AI419" s="44">
        <v>0</v>
      </c>
      <c r="AJ419" s="43">
        <v>1000000000</v>
      </c>
      <c r="AK419" s="43">
        <v>0</v>
      </c>
      <c r="AL419" s="43">
        <f>AM419-FEBRERO!P415</f>
        <v>50400000</v>
      </c>
      <c r="AM419" s="43">
        <v>722400000</v>
      </c>
      <c r="AN419" s="43">
        <v>24000000</v>
      </c>
      <c r="AO419" s="43">
        <v>14400000</v>
      </c>
      <c r="AP419" s="43">
        <v>680400000</v>
      </c>
      <c r="AQ419" s="114">
        <v>97876667</v>
      </c>
      <c r="AR419" s="114">
        <v>75873332</v>
      </c>
      <c r="AS419" s="114">
        <v>89856666</v>
      </c>
      <c r="AT419" s="39">
        <f t="shared" ref="AT419:AT448" si="495">AQ419+AS419</f>
        <v>187733333</v>
      </c>
      <c r="AU419" s="110">
        <f t="shared" ref="AU419" si="496">AJ419-AM419</f>
        <v>277600000</v>
      </c>
      <c r="AV419" s="110">
        <f t="shared" ref="AV419" si="497">AM419-AP419</f>
        <v>42000000</v>
      </c>
      <c r="AW419" s="18">
        <f t="shared" ref="AW419" si="498">AP419-AT419</f>
        <v>492666667</v>
      </c>
      <c r="AX419" s="123">
        <f t="shared" ref="AX419" si="499">AP419/AJ419</f>
        <v>0.6804</v>
      </c>
    </row>
    <row r="420" spans="1:50" ht="18.75" customHeight="1" x14ac:dyDescent="0.2">
      <c r="AA420" s="16"/>
      <c r="AB420" s="17"/>
      <c r="AC420" s="17"/>
      <c r="AD420" s="18"/>
      <c r="AE420" s="34"/>
      <c r="AF420" s="34"/>
      <c r="AG420" s="34"/>
      <c r="AH420" s="34"/>
      <c r="AI420" s="34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30"/>
      <c r="AU420" s="18"/>
      <c r="AV420" s="18"/>
      <c r="AW420" s="18"/>
      <c r="AX420" s="18"/>
    </row>
    <row r="421" spans="1:50" ht="26.25" customHeight="1" x14ac:dyDescent="0.2">
      <c r="AA421" s="164" t="s">
        <v>288</v>
      </c>
      <c r="AB421" s="165" t="s">
        <v>964</v>
      </c>
      <c r="AC421" s="161"/>
      <c r="AD421" s="18"/>
      <c r="AE421" s="34"/>
      <c r="AF421" s="34"/>
      <c r="AG421" s="34"/>
      <c r="AH421" s="34"/>
      <c r="AI421" s="34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30"/>
      <c r="AU421" s="18"/>
      <c r="AV421" s="18"/>
      <c r="AW421" s="18"/>
      <c r="AX421" s="18"/>
    </row>
    <row r="422" spans="1:50" ht="18.75" customHeight="1" x14ac:dyDescent="0.2">
      <c r="AA422" s="166" t="s">
        <v>965</v>
      </c>
      <c r="AB422" s="167" t="s">
        <v>966</v>
      </c>
      <c r="AC422" s="161"/>
      <c r="AD422" s="18">
        <v>0</v>
      </c>
      <c r="AE422" s="34">
        <v>0</v>
      </c>
      <c r="AF422" s="34">
        <v>0</v>
      </c>
      <c r="AG422" s="18">
        <v>155990000</v>
      </c>
      <c r="AH422" s="34">
        <v>0</v>
      </c>
      <c r="AI422" s="18">
        <f>AE422-AF422+AG422-AH422</f>
        <v>155990000</v>
      </c>
      <c r="AJ422" s="18">
        <f>AD422+AI422</f>
        <v>155990000</v>
      </c>
      <c r="AK422" s="34">
        <v>0</v>
      </c>
      <c r="AL422" s="34">
        <v>0</v>
      </c>
      <c r="AM422" s="34">
        <v>0</v>
      </c>
      <c r="AN422" s="34">
        <v>0</v>
      </c>
      <c r="AO422" s="34">
        <v>0</v>
      </c>
      <c r="AP422" s="34">
        <v>0</v>
      </c>
      <c r="AQ422" s="34">
        <v>0</v>
      </c>
      <c r="AR422" s="34">
        <v>0</v>
      </c>
      <c r="AS422" s="18">
        <v>0</v>
      </c>
      <c r="AT422" s="39">
        <f t="shared" ref="AT422" si="500">AQ422+AS422</f>
        <v>0</v>
      </c>
      <c r="AU422" s="110">
        <f t="shared" ref="AU422" si="501">AJ422-AM422</f>
        <v>155990000</v>
      </c>
      <c r="AV422" s="110">
        <f t="shared" ref="AV422" si="502">AM422-AP422</f>
        <v>0</v>
      </c>
      <c r="AW422" s="18">
        <f t="shared" ref="AW422" si="503">AP422-AT422</f>
        <v>0</v>
      </c>
      <c r="AX422" s="123">
        <f t="shared" ref="AX422" si="504">AP422/AJ422</f>
        <v>0</v>
      </c>
    </row>
    <row r="423" spans="1:50" ht="18.75" customHeight="1" x14ac:dyDescent="0.2">
      <c r="AA423" s="162"/>
      <c r="AB423" s="163" t="s">
        <v>199</v>
      </c>
      <c r="AC423" s="17"/>
      <c r="AD423" s="18"/>
      <c r="AE423" s="34"/>
      <c r="AF423" s="34"/>
      <c r="AG423" s="34"/>
      <c r="AH423" s="34"/>
      <c r="AI423" s="34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30"/>
      <c r="AU423" s="18"/>
      <c r="AV423" s="18"/>
      <c r="AW423" s="18"/>
      <c r="AX423" s="18"/>
    </row>
    <row r="424" spans="1:50" ht="25.5" x14ac:dyDescent="0.2">
      <c r="AA424" s="28" t="s">
        <v>288</v>
      </c>
      <c r="AB424" s="29" t="s">
        <v>402</v>
      </c>
      <c r="AC424" s="17"/>
      <c r="AD424" s="18"/>
      <c r="AE424" s="34"/>
      <c r="AF424" s="34"/>
      <c r="AG424" s="34"/>
      <c r="AH424" s="34"/>
      <c r="AI424" s="34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30"/>
      <c r="AU424" s="18"/>
      <c r="AV424" s="18"/>
      <c r="AW424" s="18"/>
      <c r="AX424" s="18"/>
    </row>
    <row r="425" spans="1:50" ht="18.75" customHeight="1" x14ac:dyDescent="0.2">
      <c r="A425" s="4" t="s">
        <v>55</v>
      </c>
      <c r="B425" s="4" t="s">
        <v>56</v>
      </c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1" t="s">
        <v>403</v>
      </c>
      <c r="AB425" s="42" t="s">
        <v>233</v>
      </c>
      <c r="AC425" s="43" t="s">
        <v>58</v>
      </c>
      <c r="AD425" s="43">
        <v>206000002.94</v>
      </c>
      <c r="AE425" s="44">
        <v>0</v>
      </c>
      <c r="AF425" s="44">
        <v>0</v>
      </c>
      <c r="AG425" s="44">
        <v>0</v>
      </c>
      <c r="AH425" s="44">
        <v>0</v>
      </c>
      <c r="AI425" s="44">
        <v>0</v>
      </c>
      <c r="AJ425" s="43">
        <v>206000002.94</v>
      </c>
      <c r="AK425" s="44">
        <v>0</v>
      </c>
      <c r="AL425" s="114">
        <f>AM425-FEBRERO!P419</f>
        <v>14870400</v>
      </c>
      <c r="AM425" s="114">
        <v>27974400</v>
      </c>
      <c r="AN425" s="44">
        <v>0</v>
      </c>
      <c r="AO425" s="114">
        <v>14870400</v>
      </c>
      <c r="AP425" s="114">
        <v>27974400</v>
      </c>
      <c r="AQ425" s="114">
        <v>0</v>
      </c>
      <c r="AR425" s="44">
        <v>27974400</v>
      </c>
      <c r="AS425" s="44">
        <v>27974400</v>
      </c>
      <c r="AT425" s="39">
        <f t="shared" ref="AT425" si="505">AQ425+AS425</f>
        <v>27974400</v>
      </c>
      <c r="AU425" s="18">
        <f t="shared" ref="AU425" si="506">AJ425-AM425</f>
        <v>178025602.94</v>
      </c>
      <c r="AV425" s="34">
        <f t="shared" ref="AV425" si="507">AM425-AP425</f>
        <v>0</v>
      </c>
      <c r="AW425" s="133">
        <f t="shared" ref="AW425" si="508">AP425-AT425</f>
        <v>0</v>
      </c>
      <c r="AX425" s="123">
        <f t="shared" ref="AX425" si="509">AP425/AJ425</f>
        <v>0.13579805631433842</v>
      </c>
    </row>
    <row r="426" spans="1:50" ht="18.75" customHeight="1" x14ac:dyDescent="0.2">
      <c r="AA426" s="28" t="s">
        <v>288</v>
      </c>
      <c r="AB426" s="29" t="s">
        <v>404</v>
      </c>
      <c r="AC426" s="17"/>
      <c r="AD426" s="18"/>
      <c r="AE426" s="34"/>
      <c r="AF426" s="34"/>
      <c r="AG426" s="34"/>
      <c r="AH426" s="34"/>
      <c r="AI426" s="34"/>
      <c r="AJ426" s="18"/>
      <c r="AK426" s="34"/>
      <c r="AL426" s="34"/>
      <c r="AM426" s="34"/>
      <c r="AN426" s="34"/>
      <c r="AO426" s="34"/>
      <c r="AP426" s="34"/>
      <c r="AQ426" s="34"/>
      <c r="AR426" s="34"/>
      <c r="AS426" s="34"/>
      <c r="AT426" s="31"/>
      <c r="AU426" s="18"/>
      <c r="AV426" s="34"/>
      <c r="AW426" s="133"/>
      <c r="AX426" s="18"/>
    </row>
    <row r="427" spans="1:50" ht="18.75" customHeight="1" x14ac:dyDescent="0.2">
      <c r="A427" s="4" t="s">
        <v>55</v>
      </c>
      <c r="B427" s="4" t="s">
        <v>56</v>
      </c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1" t="s">
        <v>405</v>
      </c>
      <c r="AB427" s="42" t="s">
        <v>233</v>
      </c>
      <c r="AC427" s="43" t="s">
        <v>58</v>
      </c>
      <c r="AD427" s="43">
        <v>50000000</v>
      </c>
      <c r="AE427" s="44">
        <v>0</v>
      </c>
      <c r="AF427" s="44">
        <v>0</v>
      </c>
      <c r="AG427" s="44">
        <v>0</v>
      </c>
      <c r="AH427" s="44">
        <v>0</v>
      </c>
      <c r="AI427" s="44">
        <v>0</v>
      </c>
      <c r="AJ427" s="43">
        <v>50000000</v>
      </c>
      <c r="AK427" s="44">
        <v>0</v>
      </c>
      <c r="AL427" s="44">
        <v>0</v>
      </c>
      <c r="AM427" s="44">
        <v>0</v>
      </c>
      <c r="AN427" s="44">
        <v>0</v>
      </c>
      <c r="AO427" s="44">
        <v>0</v>
      </c>
      <c r="AP427" s="44">
        <v>0</v>
      </c>
      <c r="AQ427" s="44">
        <v>0</v>
      </c>
      <c r="AR427" s="44">
        <v>0</v>
      </c>
      <c r="AS427" s="44">
        <v>0</v>
      </c>
      <c r="AT427" s="40">
        <f t="shared" si="495"/>
        <v>0</v>
      </c>
      <c r="AU427" s="18">
        <f t="shared" ref="AU427" si="510">AJ427-AM427</f>
        <v>50000000</v>
      </c>
      <c r="AV427" s="34">
        <f t="shared" ref="AV427" si="511">AM427-AP427</f>
        <v>0</v>
      </c>
      <c r="AW427" s="133">
        <f t="shared" ref="AW427" si="512">AP427-AT427</f>
        <v>0</v>
      </c>
      <c r="AX427" s="123">
        <f t="shared" ref="AX427" si="513">AP427/AJ427</f>
        <v>0</v>
      </c>
    </row>
    <row r="428" spans="1:50" ht="18.75" customHeight="1" x14ac:dyDescent="0.2">
      <c r="AA428" s="28" t="s">
        <v>288</v>
      </c>
      <c r="AB428" s="29" t="s">
        <v>362</v>
      </c>
      <c r="AC428" s="17"/>
      <c r="AD428" s="18"/>
      <c r="AE428" s="34"/>
      <c r="AF428" s="34"/>
      <c r="AG428" s="34"/>
      <c r="AH428" s="34"/>
      <c r="AI428" s="34"/>
      <c r="AJ428" s="18"/>
      <c r="AK428" s="34"/>
      <c r="AL428" s="34"/>
      <c r="AM428" s="34"/>
      <c r="AN428" s="34"/>
      <c r="AO428" s="34"/>
      <c r="AP428" s="34"/>
      <c r="AQ428" s="34"/>
      <c r="AR428" s="34"/>
      <c r="AS428" s="34"/>
      <c r="AT428" s="31"/>
      <c r="AU428" s="18"/>
      <c r="AV428" s="34"/>
      <c r="AW428" s="133"/>
      <c r="AX428" s="18"/>
    </row>
    <row r="429" spans="1:50" ht="18.75" customHeight="1" x14ac:dyDescent="0.2">
      <c r="A429" s="4" t="s">
        <v>55</v>
      </c>
      <c r="B429" s="4" t="s">
        <v>56</v>
      </c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1" t="s">
        <v>406</v>
      </c>
      <c r="AB429" s="69" t="s">
        <v>379</v>
      </c>
      <c r="AC429" s="43" t="s">
        <v>380</v>
      </c>
      <c r="AD429" s="43">
        <v>155990000</v>
      </c>
      <c r="AE429" s="44">
        <v>0</v>
      </c>
      <c r="AF429" s="44">
        <v>0</v>
      </c>
      <c r="AG429" s="44">
        <v>0</v>
      </c>
      <c r="AH429" s="43">
        <v>155990000</v>
      </c>
      <c r="AI429" s="18">
        <f>AE429-AF429+AG429-AH429</f>
        <v>-155990000</v>
      </c>
      <c r="AJ429" s="18">
        <f>AD429+AI429</f>
        <v>0</v>
      </c>
      <c r="AK429" s="44">
        <v>0</v>
      </c>
      <c r="AL429" s="44">
        <v>0</v>
      </c>
      <c r="AM429" s="44">
        <v>0</v>
      </c>
      <c r="AN429" s="44">
        <v>0</v>
      </c>
      <c r="AO429" s="44">
        <v>0</v>
      </c>
      <c r="AP429" s="44">
        <v>0</v>
      </c>
      <c r="AQ429" s="44">
        <v>0</v>
      </c>
      <c r="AR429" s="44">
        <v>0</v>
      </c>
      <c r="AS429" s="44">
        <v>0</v>
      </c>
      <c r="AT429" s="40">
        <f t="shared" si="495"/>
        <v>0</v>
      </c>
      <c r="AU429" s="18">
        <f t="shared" ref="AU429" si="514">AJ429-AM429</f>
        <v>0</v>
      </c>
      <c r="AV429" s="34">
        <f t="shared" ref="AV429" si="515">AM429-AP429</f>
        <v>0</v>
      </c>
      <c r="AW429" s="133">
        <f t="shared" ref="AW429" si="516">AP429-AT429</f>
        <v>0</v>
      </c>
      <c r="AX429" s="123" t="e">
        <f t="shared" ref="AX429" si="517">AP429/AJ429</f>
        <v>#DIV/0!</v>
      </c>
    </row>
    <row r="430" spans="1:50" ht="25.5" x14ac:dyDescent="0.2">
      <c r="AA430" s="28" t="s">
        <v>288</v>
      </c>
      <c r="AB430" s="29" t="s">
        <v>407</v>
      </c>
      <c r="AC430" s="17"/>
      <c r="AD430" s="18"/>
      <c r="AE430" s="34"/>
      <c r="AF430" s="34"/>
      <c r="AG430" s="34"/>
      <c r="AH430" s="34"/>
      <c r="AI430" s="34"/>
      <c r="AJ430" s="18"/>
      <c r="AK430" s="34"/>
      <c r="AL430" s="34"/>
      <c r="AM430" s="34"/>
      <c r="AN430" s="34"/>
      <c r="AO430" s="34"/>
      <c r="AP430" s="34"/>
      <c r="AQ430" s="34"/>
      <c r="AR430" s="34"/>
      <c r="AS430" s="34"/>
      <c r="AT430" s="31"/>
      <c r="AU430" s="18"/>
      <c r="AV430" s="34"/>
      <c r="AW430" s="133"/>
      <c r="AX430" s="18"/>
    </row>
    <row r="431" spans="1:50" ht="18.75" customHeight="1" x14ac:dyDescent="0.2">
      <c r="A431" s="4" t="s">
        <v>55</v>
      </c>
      <c r="B431" s="4" t="s">
        <v>56</v>
      </c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1" t="s">
        <v>408</v>
      </c>
      <c r="AB431" s="42" t="s">
        <v>233</v>
      </c>
      <c r="AC431" s="43" t="s">
        <v>58</v>
      </c>
      <c r="AD431" s="43">
        <v>126488672</v>
      </c>
      <c r="AE431" s="44">
        <v>0</v>
      </c>
      <c r="AF431" s="44">
        <v>0</v>
      </c>
      <c r="AG431" s="44">
        <v>0</v>
      </c>
      <c r="AH431" s="44">
        <v>0</v>
      </c>
      <c r="AI431" s="44">
        <v>0</v>
      </c>
      <c r="AJ431" s="43">
        <v>126488672</v>
      </c>
      <c r="AK431" s="44">
        <v>0</v>
      </c>
      <c r="AL431" s="44">
        <v>0</v>
      </c>
      <c r="AM431" s="44">
        <v>0</v>
      </c>
      <c r="AN431" s="44">
        <v>0</v>
      </c>
      <c r="AO431" s="44">
        <v>0</v>
      </c>
      <c r="AP431" s="44">
        <v>0</v>
      </c>
      <c r="AQ431" s="44">
        <v>0</v>
      </c>
      <c r="AR431" s="44">
        <v>0</v>
      </c>
      <c r="AS431" s="44">
        <v>0</v>
      </c>
      <c r="AT431" s="40">
        <f t="shared" ref="AT431:AT432" si="518">AQ431+AS431</f>
        <v>0</v>
      </c>
      <c r="AU431" s="18">
        <f t="shared" ref="AU431:AU432" si="519">AJ431-AM431</f>
        <v>126488672</v>
      </c>
      <c r="AV431" s="34">
        <f t="shared" ref="AV431:AV432" si="520">AM431-AP431</f>
        <v>0</v>
      </c>
      <c r="AW431" s="133">
        <f t="shared" ref="AW431:AW432" si="521">AP431-AT431</f>
        <v>0</v>
      </c>
      <c r="AX431" s="123">
        <f t="shared" ref="AX431:AX432" si="522">AP431/AJ431</f>
        <v>0</v>
      </c>
    </row>
    <row r="432" spans="1:50" ht="18.75" customHeight="1" x14ac:dyDescent="0.2">
      <c r="A432" s="4" t="s">
        <v>55</v>
      </c>
      <c r="B432" s="4" t="s">
        <v>56</v>
      </c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1" t="s">
        <v>409</v>
      </c>
      <c r="AB432" s="42" t="s">
        <v>379</v>
      </c>
      <c r="AC432" s="43" t="s">
        <v>380</v>
      </c>
      <c r="AD432" s="43">
        <v>373511328</v>
      </c>
      <c r="AE432" s="44">
        <v>0</v>
      </c>
      <c r="AF432" s="44">
        <v>0</v>
      </c>
      <c r="AG432" s="44">
        <v>0</v>
      </c>
      <c r="AH432" s="44">
        <v>0</v>
      </c>
      <c r="AI432" s="44">
        <v>0</v>
      </c>
      <c r="AJ432" s="43">
        <v>373511328</v>
      </c>
      <c r="AK432" s="44">
        <v>0</v>
      </c>
      <c r="AL432" s="44">
        <v>0</v>
      </c>
      <c r="AM432" s="44">
        <v>0</v>
      </c>
      <c r="AN432" s="44">
        <v>0</v>
      </c>
      <c r="AO432" s="44">
        <v>0</v>
      </c>
      <c r="AP432" s="44">
        <v>0</v>
      </c>
      <c r="AQ432" s="44">
        <v>0</v>
      </c>
      <c r="AR432" s="44">
        <v>0</v>
      </c>
      <c r="AS432" s="44">
        <v>0</v>
      </c>
      <c r="AT432" s="40">
        <f t="shared" si="518"/>
        <v>0</v>
      </c>
      <c r="AU432" s="18">
        <f t="shared" si="519"/>
        <v>373511328</v>
      </c>
      <c r="AV432" s="34">
        <f t="shared" si="520"/>
        <v>0</v>
      </c>
      <c r="AW432" s="133">
        <f t="shared" si="521"/>
        <v>0</v>
      </c>
      <c r="AX432" s="123">
        <f t="shared" si="522"/>
        <v>0</v>
      </c>
    </row>
    <row r="433" spans="1:50" ht="25.5" x14ac:dyDescent="0.2">
      <c r="AA433" s="28" t="s">
        <v>288</v>
      </c>
      <c r="AB433" s="29" t="s">
        <v>410</v>
      </c>
      <c r="AC433" s="17"/>
      <c r="AD433" s="18"/>
      <c r="AE433" s="34"/>
      <c r="AF433" s="34"/>
      <c r="AG433" s="34"/>
      <c r="AH433" s="34"/>
      <c r="AI433" s="34"/>
      <c r="AJ433" s="18"/>
      <c r="AK433" s="34"/>
      <c r="AL433" s="34"/>
      <c r="AM433" s="34"/>
      <c r="AN433" s="34"/>
      <c r="AO433" s="34"/>
      <c r="AP433" s="34"/>
      <c r="AQ433" s="34"/>
      <c r="AR433" s="34"/>
      <c r="AS433" s="34"/>
      <c r="AT433" s="31"/>
      <c r="AU433" s="18"/>
      <c r="AV433" s="34"/>
      <c r="AW433" s="18"/>
      <c r="AX433" s="18"/>
    </row>
    <row r="434" spans="1:50" ht="18.75" customHeight="1" x14ac:dyDescent="0.2">
      <c r="A434" s="4" t="s">
        <v>55</v>
      </c>
      <c r="B434" s="4" t="s">
        <v>56</v>
      </c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1" t="s">
        <v>411</v>
      </c>
      <c r="AB434" s="42" t="s">
        <v>412</v>
      </c>
      <c r="AC434" s="43" t="s">
        <v>380</v>
      </c>
      <c r="AD434" s="43">
        <v>6161937303</v>
      </c>
      <c r="AE434" s="44">
        <v>0</v>
      </c>
      <c r="AF434" s="44">
        <v>0</v>
      </c>
      <c r="AG434" s="44">
        <v>0</v>
      </c>
      <c r="AH434" s="44">
        <v>0</v>
      </c>
      <c r="AI434" s="44">
        <v>0</v>
      </c>
      <c r="AJ434" s="43">
        <v>6161937303</v>
      </c>
      <c r="AK434" s="44">
        <v>0</v>
      </c>
      <c r="AL434" s="43">
        <v>4844629745</v>
      </c>
      <c r="AM434" s="43">
        <v>4844629745</v>
      </c>
      <c r="AN434" s="43">
        <v>0</v>
      </c>
      <c r="AO434" s="44">
        <v>0</v>
      </c>
      <c r="AP434" s="44">
        <v>0</v>
      </c>
      <c r="AQ434" s="44">
        <v>0</v>
      </c>
      <c r="AR434" s="44">
        <v>0</v>
      </c>
      <c r="AS434" s="43">
        <v>0</v>
      </c>
      <c r="AT434" s="40">
        <f t="shared" ref="AT434" si="523">AQ434+AS434</f>
        <v>0</v>
      </c>
      <c r="AU434" s="18">
        <f t="shared" ref="AU434" si="524">AJ434-AM434</f>
        <v>1317307558</v>
      </c>
      <c r="AV434" s="18">
        <f t="shared" ref="AV434" si="525">AM434-AP434</f>
        <v>4844629745</v>
      </c>
      <c r="AW434" s="34">
        <f t="shared" ref="AW434" si="526">AP434-AT434</f>
        <v>0</v>
      </c>
      <c r="AX434" s="123">
        <f t="shared" ref="AX434" si="527">AP434/AJ434</f>
        <v>0</v>
      </c>
    </row>
    <row r="435" spans="1:50" ht="18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1" t="s">
        <v>977</v>
      </c>
      <c r="AB435" s="42" t="s">
        <v>978</v>
      </c>
      <c r="AC435" s="43"/>
      <c r="AD435" s="43"/>
      <c r="AE435" s="43">
        <v>2137085601</v>
      </c>
      <c r="AF435" s="44">
        <v>0</v>
      </c>
      <c r="AG435" s="44">
        <v>0</v>
      </c>
      <c r="AH435" s="44">
        <v>0</v>
      </c>
      <c r="AI435" s="18">
        <f>AE435-AF435+AG435-AH435</f>
        <v>2137085601</v>
      </c>
      <c r="AJ435" s="18">
        <f>AD435+AI435</f>
        <v>2137085601</v>
      </c>
      <c r="AK435" s="44">
        <v>0</v>
      </c>
      <c r="AL435" s="43">
        <v>492131285.14999998</v>
      </c>
      <c r="AM435" s="43">
        <v>492131285.14999998</v>
      </c>
      <c r="AN435" s="43">
        <v>186142049.96000001</v>
      </c>
      <c r="AO435" s="44">
        <v>0</v>
      </c>
      <c r="AP435" s="44">
        <v>0</v>
      </c>
      <c r="AQ435" s="44">
        <v>0</v>
      </c>
      <c r="AR435" s="44">
        <v>0</v>
      </c>
      <c r="AS435" s="43">
        <v>0</v>
      </c>
      <c r="AT435" s="40">
        <f t="shared" ref="AT435" si="528">AQ435+AS435</f>
        <v>0</v>
      </c>
      <c r="AU435" s="18">
        <f t="shared" ref="AU435" si="529">AJ435-AM435</f>
        <v>1644954315.8499999</v>
      </c>
      <c r="AV435" s="18">
        <f t="shared" ref="AV435" si="530">AM435-AP435</f>
        <v>492131285.14999998</v>
      </c>
      <c r="AW435" s="34">
        <f t="shared" ref="AW435" si="531">AP435-AT435</f>
        <v>0</v>
      </c>
      <c r="AX435" s="123">
        <f t="shared" ref="AX435" si="532">AP435/AJ435</f>
        <v>0</v>
      </c>
    </row>
    <row r="436" spans="1:50" ht="18.75" customHeight="1" x14ac:dyDescent="0.2">
      <c r="AA436" s="28" t="s">
        <v>288</v>
      </c>
      <c r="AB436" s="29" t="s">
        <v>320</v>
      </c>
      <c r="AC436" s="17"/>
      <c r="AD436" s="18"/>
      <c r="AE436" s="34"/>
      <c r="AF436" s="34"/>
      <c r="AG436" s="34"/>
      <c r="AH436" s="34"/>
      <c r="AI436" s="34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31"/>
      <c r="AU436" s="18"/>
      <c r="AV436" s="34"/>
      <c r="AW436" s="18"/>
      <c r="AX436" s="18"/>
    </row>
    <row r="437" spans="1:50" ht="18.75" customHeight="1" x14ac:dyDescent="0.2">
      <c r="A437" s="4" t="s">
        <v>37</v>
      </c>
      <c r="B437" s="4" t="s">
        <v>37</v>
      </c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1" t="s">
        <v>413</v>
      </c>
      <c r="AB437" s="42" t="s">
        <v>233</v>
      </c>
      <c r="AC437" s="43" t="s">
        <v>58</v>
      </c>
      <c r="AD437" s="43">
        <v>1212000000</v>
      </c>
      <c r="AE437" s="44">
        <v>0</v>
      </c>
      <c r="AF437" s="44">
        <v>0</v>
      </c>
      <c r="AG437" s="44">
        <v>0</v>
      </c>
      <c r="AH437" s="44">
        <v>0</v>
      </c>
      <c r="AI437" s="44">
        <v>0</v>
      </c>
      <c r="AJ437" s="43">
        <v>1212000000</v>
      </c>
      <c r="AK437" s="44">
        <v>0</v>
      </c>
      <c r="AL437" s="44">
        <v>0</v>
      </c>
      <c r="AM437" s="43">
        <v>1161315332</v>
      </c>
      <c r="AN437" s="44">
        <v>0</v>
      </c>
      <c r="AO437" s="44">
        <v>0</v>
      </c>
      <c r="AP437" s="43">
        <v>1161315332</v>
      </c>
      <c r="AQ437" s="44">
        <v>0</v>
      </c>
      <c r="AR437" s="44">
        <v>0</v>
      </c>
      <c r="AS437" s="44">
        <v>0</v>
      </c>
      <c r="AT437" s="40">
        <f t="shared" ref="AT437:AT438" si="533">AQ437+AS437</f>
        <v>0</v>
      </c>
      <c r="AU437" s="18">
        <f t="shared" ref="AU437:AU438" si="534">AJ437-AM437</f>
        <v>50684668</v>
      </c>
      <c r="AV437" s="34">
        <f t="shared" ref="AV437:AV438" si="535">AM437-AP437</f>
        <v>0</v>
      </c>
      <c r="AW437" s="18">
        <f t="shared" ref="AW437:AW438" si="536">AP437-AT437</f>
        <v>1161315332</v>
      </c>
      <c r="AX437" s="123">
        <f t="shared" ref="AX437:AX438" si="537">AP437/AJ437</f>
        <v>0.95818096699669963</v>
      </c>
    </row>
    <row r="438" spans="1:50" ht="18.75" customHeight="1" x14ac:dyDescent="0.2">
      <c r="A438" s="4" t="s">
        <v>55</v>
      </c>
      <c r="B438" s="4" t="s">
        <v>56</v>
      </c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1" t="s">
        <v>414</v>
      </c>
      <c r="AB438" s="42" t="s">
        <v>328</v>
      </c>
      <c r="AC438" s="43" t="s">
        <v>61</v>
      </c>
      <c r="AD438" s="43">
        <v>13807166550</v>
      </c>
      <c r="AE438" s="44">
        <v>0</v>
      </c>
      <c r="AF438" s="44">
        <v>0</v>
      </c>
      <c r="AG438" s="44">
        <v>0</v>
      </c>
      <c r="AH438" s="43">
        <v>23257108</v>
      </c>
      <c r="AI438" s="18">
        <f>AE438-AF438+AG438-AH438</f>
        <v>-23257108</v>
      </c>
      <c r="AJ438" s="18">
        <f>AD438+AI438</f>
        <v>13783909442</v>
      </c>
      <c r="AK438" s="44">
        <v>0</v>
      </c>
      <c r="AL438" s="44">
        <v>0</v>
      </c>
      <c r="AM438" s="43">
        <v>12807972817</v>
      </c>
      <c r="AN438" s="44">
        <v>0</v>
      </c>
      <c r="AO438" s="44">
        <v>0</v>
      </c>
      <c r="AP438" s="43">
        <v>12807972817</v>
      </c>
      <c r="AQ438" s="44">
        <v>0</v>
      </c>
      <c r="AR438" s="44">
        <v>0</v>
      </c>
      <c r="AS438" s="44">
        <v>0</v>
      </c>
      <c r="AT438" s="40">
        <f t="shared" si="533"/>
        <v>0</v>
      </c>
      <c r="AU438" s="18">
        <f t="shared" si="534"/>
        <v>975936625</v>
      </c>
      <c r="AV438" s="34">
        <f t="shared" si="535"/>
        <v>0</v>
      </c>
      <c r="AW438" s="18">
        <f t="shared" si="536"/>
        <v>12807972817</v>
      </c>
      <c r="AX438" s="123">
        <f t="shared" si="537"/>
        <v>0.92919740012029606</v>
      </c>
    </row>
    <row r="439" spans="1:50" ht="38.25" x14ac:dyDescent="0.2">
      <c r="AA439" s="28" t="s">
        <v>288</v>
      </c>
      <c r="AB439" s="29" t="s">
        <v>415</v>
      </c>
      <c r="AC439" s="17"/>
      <c r="AD439" s="18"/>
      <c r="AE439" s="34"/>
      <c r="AF439" s="34"/>
      <c r="AG439" s="34"/>
      <c r="AH439" s="34"/>
      <c r="AI439" s="34"/>
      <c r="AJ439" s="18"/>
      <c r="AK439" s="34"/>
      <c r="AL439" s="34"/>
      <c r="AM439" s="18"/>
      <c r="AN439" s="18"/>
      <c r="AO439" s="18"/>
      <c r="AP439" s="18"/>
      <c r="AQ439" s="34"/>
      <c r="AR439" s="34"/>
      <c r="AS439" s="34"/>
      <c r="AT439" s="40"/>
      <c r="AU439" s="18"/>
      <c r="AV439" s="34"/>
      <c r="AW439" s="18"/>
      <c r="AX439" s="18"/>
    </row>
    <row r="440" spans="1:50" ht="18.75" customHeight="1" x14ac:dyDescent="0.2">
      <c r="A440" s="4" t="s">
        <v>55</v>
      </c>
      <c r="B440" s="4" t="s">
        <v>56</v>
      </c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1" t="s">
        <v>416</v>
      </c>
      <c r="AB440" s="42" t="s">
        <v>379</v>
      </c>
      <c r="AC440" s="43" t="s">
        <v>380</v>
      </c>
      <c r="AD440" s="43">
        <v>50000000</v>
      </c>
      <c r="AE440" s="44">
        <v>0</v>
      </c>
      <c r="AF440" s="44">
        <v>0</v>
      </c>
      <c r="AG440" s="44">
        <v>0</v>
      </c>
      <c r="AH440" s="44">
        <v>0</v>
      </c>
      <c r="AI440" s="44">
        <v>0</v>
      </c>
      <c r="AJ440" s="43">
        <v>50000000</v>
      </c>
      <c r="AK440" s="44">
        <v>0</v>
      </c>
      <c r="AL440" s="44">
        <v>0</v>
      </c>
      <c r="AM440" s="44">
        <v>0</v>
      </c>
      <c r="AN440" s="44">
        <v>0</v>
      </c>
      <c r="AO440" s="44">
        <v>0</v>
      </c>
      <c r="AP440" s="44">
        <v>0</v>
      </c>
      <c r="AQ440" s="44">
        <v>0</v>
      </c>
      <c r="AR440" s="44">
        <v>0</v>
      </c>
      <c r="AS440" s="44">
        <v>0</v>
      </c>
      <c r="AT440" s="40">
        <f t="shared" ref="AT440" si="538">AQ440+AS440</f>
        <v>0</v>
      </c>
      <c r="AU440" s="18">
        <f t="shared" ref="AU440" si="539">AJ440-AM440</f>
        <v>50000000</v>
      </c>
      <c r="AV440" s="34">
        <f t="shared" ref="AV440" si="540">AM440-AP440</f>
        <v>0</v>
      </c>
      <c r="AW440" s="34">
        <f t="shared" ref="AW440" si="541">AP440-AT440</f>
        <v>0</v>
      </c>
      <c r="AX440" s="123">
        <f t="shared" ref="AX440" si="542">AP440/AJ440</f>
        <v>0</v>
      </c>
    </row>
    <row r="441" spans="1:50" ht="25.5" x14ac:dyDescent="0.2">
      <c r="AA441" s="28" t="s">
        <v>288</v>
      </c>
      <c r="AB441" s="29" t="s">
        <v>418</v>
      </c>
      <c r="AC441" s="17"/>
      <c r="AD441" s="18"/>
      <c r="AE441" s="34"/>
      <c r="AF441" s="34"/>
      <c r="AG441" s="34"/>
      <c r="AH441" s="34"/>
      <c r="AI441" s="34"/>
      <c r="AJ441" s="18"/>
      <c r="AK441" s="34"/>
      <c r="AL441" s="34"/>
      <c r="AM441" s="34"/>
      <c r="AN441" s="34"/>
      <c r="AO441" s="34"/>
      <c r="AP441" s="34"/>
      <c r="AQ441" s="34"/>
      <c r="AR441" s="34"/>
      <c r="AS441" s="34"/>
      <c r="AT441" s="40"/>
      <c r="AU441" s="18"/>
      <c r="AV441" s="34"/>
      <c r="AW441" s="34"/>
      <c r="AX441" s="18"/>
    </row>
    <row r="442" spans="1:50" x14ac:dyDescent="0.2">
      <c r="A442" s="4" t="s">
        <v>55</v>
      </c>
      <c r="B442" s="4" t="s">
        <v>56</v>
      </c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1" t="s">
        <v>419</v>
      </c>
      <c r="AB442" s="42" t="s">
        <v>233</v>
      </c>
      <c r="AC442" s="43" t="s">
        <v>58</v>
      </c>
      <c r="AD442" s="43">
        <v>200000000</v>
      </c>
      <c r="AE442" s="44">
        <v>0</v>
      </c>
      <c r="AF442" s="44">
        <v>0</v>
      </c>
      <c r="AG442" s="44">
        <v>0</v>
      </c>
      <c r="AH442" s="44">
        <v>0</v>
      </c>
      <c r="AI442" s="44">
        <v>0</v>
      </c>
      <c r="AJ442" s="43">
        <v>200000000</v>
      </c>
      <c r="AK442" s="44">
        <v>0</v>
      </c>
      <c r="AL442" s="44">
        <v>0</v>
      </c>
      <c r="AM442" s="44">
        <v>0</v>
      </c>
      <c r="AN442" s="44">
        <v>0</v>
      </c>
      <c r="AO442" s="44">
        <v>0</v>
      </c>
      <c r="AP442" s="44">
        <v>0</v>
      </c>
      <c r="AQ442" s="44">
        <v>0</v>
      </c>
      <c r="AR442" s="44">
        <v>0</v>
      </c>
      <c r="AS442" s="44">
        <v>0</v>
      </c>
      <c r="AT442" s="40">
        <f t="shared" si="495"/>
        <v>0</v>
      </c>
      <c r="AU442" s="18">
        <f t="shared" ref="AU442" si="543">AJ442-AM442</f>
        <v>200000000</v>
      </c>
      <c r="AV442" s="34">
        <f t="shared" ref="AV442" si="544">AM442-AP442</f>
        <v>0</v>
      </c>
      <c r="AW442" s="34">
        <f t="shared" ref="AW442" si="545">AP442-AT442</f>
        <v>0</v>
      </c>
      <c r="AX442" s="123">
        <f t="shared" ref="AX442" si="546">AP442/AJ442</f>
        <v>0</v>
      </c>
    </row>
    <row r="443" spans="1:50" ht="51" x14ac:dyDescent="0.2">
      <c r="AA443" s="28" t="s">
        <v>288</v>
      </c>
      <c r="AB443" s="29" t="s">
        <v>420</v>
      </c>
      <c r="AC443" s="17"/>
      <c r="AD443" s="18"/>
      <c r="AE443" s="34"/>
      <c r="AF443" s="34"/>
      <c r="AG443" s="34"/>
      <c r="AH443" s="34"/>
      <c r="AI443" s="34"/>
      <c r="AJ443" s="18"/>
      <c r="AK443" s="34"/>
      <c r="AL443" s="18"/>
      <c r="AM443" s="18"/>
      <c r="AN443" s="18"/>
      <c r="AO443" s="18"/>
      <c r="AP443" s="18"/>
      <c r="AQ443" s="18"/>
      <c r="AR443" s="18"/>
      <c r="AS443" s="18"/>
      <c r="AT443" s="40"/>
      <c r="AU443" s="18"/>
      <c r="AV443" s="18"/>
      <c r="AW443" s="18"/>
      <c r="AX443" s="18"/>
    </row>
    <row r="444" spans="1:50" x14ac:dyDescent="0.2">
      <c r="A444" s="4" t="s">
        <v>55</v>
      </c>
      <c r="B444" s="4" t="s">
        <v>56</v>
      </c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1" t="s">
        <v>421</v>
      </c>
      <c r="AB444" s="42" t="s">
        <v>328</v>
      </c>
      <c r="AC444" s="43" t="s">
        <v>61</v>
      </c>
      <c r="AD444" s="43">
        <v>501573828</v>
      </c>
      <c r="AE444" s="44">
        <v>0</v>
      </c>
      <c r="AF444" s="44">
        <v>0</v>
      </c>
      <c r="AG444" s="43">
        <v>280746171.69999999</v>
      </c>
      <c r="AH444" s="43">
        <v>3845830</v>
      </c>
      <c r="AI444" s="18">
        <f>AE444-AF444+AG444-AH444</f>
        <v>276900341.69999999</v>
      </c>
      <c r="AJ444" s="18">
        <f>AD444+AI444</f>
        <v>778474169.70000005</v>
      </c>
      <c r="AK444" s="44">
        <v>0</v>
      </c>
      <c r="AL444" s="44">
        <v>0</v>
      </c>
      <c r="AM444" s="43">
        <v>492800000</v>
      </c>
      <c r="AN444" s="44">
        <v>0</v>
      </c>
      <c r="AO444" s="43">
        <v>0</v>
      </c>
      <c r="AP444" s="43">
        <v>492800000</v>
      </c>
      <c r="AQ444" s="114">
        <v>92773333</v>
      </c>
      <c r="AR444" s="114">
        <v>30333334</v>
      </c>
      <c r="AS444" s="114">
        <v>33786666</v>
      </c>
      <c r="AT444" s="39">
        <f t="shared" si="495"/>
        <v>126559999</v>
      </c>
      <c r="AU444" s="18">
        <f t="shared" ref="AU444:AU445" si="547">AJ444-AM444</f>
        <v>285674169.70000005</v>
      </c>
      <c r="AV444" s="34">
        <f t="shared" ref="AV444:AV445" si="548">AM444-AP444</f>
        <v>0</v>
      </c>
      <c r="AW444" s="18">
        <f t="shared" ref="AW444:AW445" si="549">AP444-AT444</f>
        <v>366240001</v>
      </c>
      <c r="AX444" s="123">
        <f t="shared" ref="AX444:AX445" si="550">AP444/AJ444</f>
        <v>0.6330332067278609</v>
      </c>
    </row>
    <row r="445" spans="1:50" ht="25.5" x14ac:dyDescent="0.2">
      <c r="A445" s="4" t="s">
        <v>55</v>
      </c>
      <c r="B445" s="4" t="s">
        <v>56</v>
      </c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1" t="s">
        <v>422</v>
      </c>
      <c r="AB445" s="42" t="s">
        <v>423</v>
      </c>
      <c r="AC445" s="43" t="s">
        <v>424</v>
      </c>
      <c r="AD445" s="43">
        <v>370346171.69999999</v>
      </c>
      <c r="AE445" s="44">
        <v>0</v>
      </c>
      <c r="AF445" s="44">
        <v>0</v>
      </c>
      <c r="AG445" s="44">
        <v>0</v>
      </c>
      <c r="AH445" s="43">
        <v>280746171.69999999</v>
      </c>
      <c r="AI445" s="18">
        <f>AE445-AF445+AG445-AH445</f>
        <v>-280746171.69999999</v>
      </c>
      <c r="AJ445" s="18">
        <f>AD445+AI445</f>
        <v>89600000</v>
      </c>
      <c r="AK445" s="44">
        <v>0</v>
      </c>
      <c r="AL445" s="44">
        <v>0</v>
      </c>
      <c r="AM445" s="43">
        <v>89600000</v>
      </c>
      <c r="AN445" s="44">
        <v>0</v>
      </c>
      <c r="AO445" s="43">
        <v>0</v>
      </c>
      <c r="AP445" s="43">
        <v>89600000</v>
      </c>
      <c r="AQ445" s="44">
        <v>19320001</v>
      </c>
      <c r="AR445" s="44">
        <v>2146667</v>
      </c>
      <c r="AS445" s="44">
        <v>2146667</v>
      </c>
      <c r="AT445" s="39">
        <f t="shared" si="495"/>
        <v>21466668</v>
      </c>
      <c r="AU445" s="18">
        <f t="shared" si="547"/>
        <v>0</v>
      </c>
      <c r="AV445" s="34">
        <f t="shared" si="548"/>
        <v>0</v>
      </c>
      <c r="AW445" s="18">
        <f t="shared" si="549"/>
        <v>68133332</v>
      </c>
      <c r="AX445" s="123">
        <f t="shared" si="550"/>
        <v>1</v>
      </c>
    </row>
    <row r="446" spans="1:50" ht="18.75" customHeight="1" x14ac:dyDescent="0.2">
      <c r="AA446" s="28" t="s">
        <v>288</v>
      </c>
      <c r="AB446" s="29" t="s">
        <v>400</v>
      </c>
      <c r="AC446" s="17"/>
      <c r="AD446" s="18"/>
      <c r="AE446" s="34"/>
      <c r="AF446" s="34"/>
      <c r="AG446" s="34"/>
      <c r="AH446" s="34"/>
      <c r="AI446" s="34"/>
      <c r="AJ446" s="18"/>
      <c r="AK446" s="34"/>
      <c r="AL446" s="18"/>
      <c r="AM446" s="18"/>
      <c r="AN446" s="34"/>
      <c r="AO446" s="18"/>
      <c r="AP446" s="18"/>
      <c r="AQ446" s="34"/>
      <c r="AR446" s="34"/>
      <c r="AS446" s="34"/>
      <c r="AT446" s="40"/>
      <c r="AU446" s="18"/>
      <c r="AV446" s="18"/>
      <c r="AW446" s="18"/>
      <c r="AX446" s="18"/>
    </row>
    <row r="447" spans="1:50" ht="18.75" customHeight="1" x14ac:dyDescent="0.2">
      <c r="A447" s="4" t="s">
        <v>55</v>
      </c>
      <c r="B447" s="4" t="s">
        <v>56</v>
      </c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1" t="s">
        <v>425</v>
      </c>
      <c r="AB447" s="42" t="s">
        <v>233</v>
      </c>
      <c r="AC447" s="43" t="s">
        <v>58</v>
      </c>
      <c r="AD447" s="43">
        <v>318078211</v>
      </c>
      <c r="AE447" s="44">
        <v>0</v>
      </c>
      <c r="AF447" s="44">
        <v>0</v>
      </c>
      <c r="AG447" s="44">
        <v>0</v>
      </c>
      <c r="AH447" s="44">
        <v>0</v>
      </c>
      <c r="AI447" s="44">
        <v>0</v>
      </c>
      <c r="AJ447" s="43">
        <v>318078211</v>
      </c>
      <c r="AK447" s="44">
        <v>0</v>
      </c>
      <c r="AL447" s="44">
        <v>0</v>
      </c>
      <c r="AM447" s="43">
        <v>217200000</v>
      </c>
      <c r="AN447" s="44">
        <v>0</v>
      </c>
      <c r="AO447" s="44">
        <v>0</v>
      </c>
      <c r="AP447" s="43">
        <v>217200000</v>
      </c>
      <c r="AQ447" s="44">
        <v>27150000</v>
      </c>
      <c r="AR447" s="114">
        <v>27150000</v>
      </c>
      <c r="AS447" s="114">
        <v>30256667</v>
      </c>
      <c r="AT447" s="39">
        <f t="shared" si="495"/>
        <v>57406667</v>
      </c>
      <c r="AU447" s="18">
        <f t="shared" ref="AU447:AU448" si="551">AJ447-AM447</f>
        <v>100878211</v>
      </c>
      <c r="AV447" s="34">
        <f t="shared" ref="AV447:AV448" si="552">AM447-AP447</f>
        <v>0</v>
      </c>
      <c r="AW447" s="18">
        <f t="shared" ref="AW447:AW448" si="553">AP447-AT447</f>
        <v>159793333</v>
      </c>
      <c r="AX447" s="123">
        <f t="shared" ref="AX447:AX448" si="554">AP447/AJ447</f>
        <v>0.68285092310205431</v>
      </c>
    </row>
    <row r="448" spans="1:50" ht="18.75" customHeight="1" x14ac:dyDescent="0.2">
      <c r="A448" s="4" t="s">
        <v>55</v>
      </c>
      <c r="B448" s="4" t="s">
        <v>56</v>
      </c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1" t="s">
        <v>426</v>
      </c>
      <c r="AB448" s="42" t="s">
        <v>427</v>
      </c>
      <c r="AC448" s="43" t="s">
        <v>428</v>
      </c>
      <c r="AD448" s="43">
        <v>12674978.119999999</v>
      </c>
      <c r="AE448" s="44">
        <v>0</v>
      </c>
      <c r="AF448" s="44">
        <v>0</v>
      </c>
      <c r="AG448" s="44">
        <v>0</v>
      </c>
      <c r="AH448" s="44">
        <v>0</v>
      </c>
      <c r="AI448" s="44">
        <v>0</v>
      </c>
      <c r="AJ448" s="43">
        <v>12674978.119999999</v>
      </c>
      <c r="AK448" s="44">
        <v>0</v>
      </c>
      <c r="AL448" s="44">
        <v>0</v>
      </c>
      <c r="AM448" s="44">
        <v>0</v>
      </c>
      <c r="AN448" s="44">
        <v>0</v>
      </c>
      <c r="AO448" s="44">
        <v>0</v>
      </c>
      <c r="AP448" s="44">
        <v>0</v>
      </c>
      <c r="AQ448" s="44">
        <v>0</v>
      </c>
      <c r="AR448" s="44">
        <v>0</v>
      </c>
      <c r="AS448" s="44">
        <v>0</v>
      </c>
      <c r="AT448" s="40">
        <f t="shared" si="495"/>
        <v>0</v>
      </c>
      <c r="AU448" s="18">
        <f t="shared" si="551"/>
        <v>12674978.119999999</v>
      </c>
      <c r="AV448" s="34">
        <f t="shared" si="552"/>
        <v>0</v>
      </c>
      <c r="AW448" s="34">
        <f t="shared" si="553"/>
        <v>0</v>
      </c>
      <c r="AX448" s="123">
        <f t="shared" si="554"/>
        <v>0</v>
      </c>
    </row>
    <row r="449" spans="1:50" ht="18.75" customHeight="1" x14ac:dyDescent="0.2">
      <c r="AA449" s="16"/>
      <c r="AB449" s="17"/>
      <c r="AC449" s="17"/>
      <c r="AD449" s="18"/>
      <c r="AE449" s="34"/>
      <c r="AF449" s="34"/>
      <c r="AG449" s="34"/>
      <c r="AH449" s="34"/>
      <c r="AI449" s="34"/>
      <c r="AJ449" s="18"/>
      <c r="AK449" s="34"/>
      <c r="AL449" s="18"/>
      <c r="AM449" s="18"/>
      <c r="AN449" s="18"/>
      <c r="AO449" s="18"/>
      <c r="AP449" s="18"/>
      <c r="AQ449" s="18"/>
      <c r="AR449" s="18"/>
      <c r="AS449" s="18"/>
      <c r="AT449" s="40"/>
      <c r="AU449" s="18"/>
      <c r="AV449" s="18"/>
      <c r="AW449" s="18"/>
      <c r="AX449" s="18"/>
    </row>
    <row r="450" spans="1:50" ht="18.75" customHeight="1" x14ac:dyDescent="0.2">
      <c r="AA450" s="16"/>
      <c r="AB450" s="29" t="s">
        <v>429</v>
      </c>
      <c r="AC450" s="17"/>
      <c r="AD450" s="18"/>
      <c r="AE450" s="34"/>
      <c r="AF450" s="34"/>
      <c r="AG450" s="34"/>
      <c r="AH450" s="34"/>
      <c r="AI450" s="34"/>
      <c r="AJ450" s="18"/>
      <c r="AK450" s="34"/>
      <c r="AL450" s="18"/>
      <c r="AM450" s="18"/>
      <c r="AN450" s="18"/>
      <c r="AO450" s="18"/>
      <c r="AP450" s="18"/>
      <c r="AQ450" s="18"/>
      <c r="AR450" s="18"/>
      <c r="AS450" s="18"/>
      <c r="AT450" s="40"/>
      <c r="AU450" s="18"/>
      <c r="AV450" s="18"/>
      <c r="AW450" s="18"/>
      <c r="AX450" s="18"/>
    </row>
    <row r="451" spans="1:50" ht="18.75" customHeight="1" x14ac:dyDescent="0.2">
      <c r="AA451" s="16"/>
      <c r="AB451" s="29" t="s">
        <v>286</v>
      </c>
      <c r="AC451" s="17"/>
      <c r="AD451" s="18"/>
      <c r="AE451" s="34"/>
      <c r="AF451" s="34"/>
      <c r="AG451" s="34"/>
      <c r="AH451" s="34"/>
      <c r="AI451" s="34"/>
      <c r="AJ451" s="18"/>
      <c r="AK451" s="34"/>
      <c r="AL451" s="18"/>
      <c r="AM451" s="18"/>
      <c r="AN451" s="18"/>
      <c r="AO451" s="18"/>
      <c r="AP451" s="18"/>
      <c r="AQ451" s="18"/>
      <c r="AR451" s="18"/>
      <c r="AS451" s="18"/>
      <c r="AT451" s="40"/>
      <c r="AU451" s="18"/>
      <c r="AV451" s="18"/>
      <c r="AW451" s="18"/>
      <c r="AX451" s="18"/>
    </row>
    <row r="452" spans="1:50" ht="18.75" customHeight="1" x14ac:dyDescent="0.2">
      <c r="AA452" s="16"/>
      <c r="AB452" s="29" t="s">
        <v>179</v>
      </c>
      <c r="AC452" s="17"/>
      <c r="AD452" s="18"/>
      <c r="AE452" s="34"/>
      <c r="AF452" s="34"/>
      <c r="AG452" s="34"/>
      <c r="AH452" s="34"/>
      <c r="AI452" s="34"/>
      <c r="AJ452" s="18"/>
      <c r="AK452" s="34"/>
      <c r="AL452" s="18"/>
      <c r="AM452" s="18"/>
      <c r="AN452" s="18"/>
      <c r="AO452" s="18"/>
      <c r="AP452" s="18"/>
      <c r="AQ452" s="18"/>
      <c r="AR452" s="18"/>
      <c r="AS452" s="18"/>
      <c r="AT452" s="40"/>
      <c r="AU452" s="18"/>
      <c r="AV452" s="18"/>
      <c r="AW452" s="18"/>
      <c r="AX452" s="18"/>
    </row>
    <row r="453" spans="1:50" ht="18.75" customHeight="1" x14ac:dyDescent="0.2">
      <c r="AA453" s="16"/>
      <c r="AB453" s="29" t="s">
        <v>189</v>
      </c>
      <c r="AC453" s="17"/>
      <c r="AD453" s="18"/>
      <c r="AE453" s="34"/>
      <c r="AF453" s="34"/>
      <c r="AG453" s="34"/>
      <c r="AH453" s="34"/>
      <c r="AI453" s="34"/>
      <c r="AJ453" s="18"/>
      <c r="AK453" s="34"/>
      <c r="AL453" s="18"/>
      <c r="AM453" s="18"/>
      <c r="AN453" s="18"/>
      <c r="AO453" s="18"/>
      <c r="AP453" s="18"/>
      <c r="AQ453" s="18"/>
      <c r="AR453" s="18"/>
      <c r="AS453" s="18"/>
      <c r="AT453" s="40"/>
      <c r="AU453" s="18"/>
      <c r="AV453" s="18"/>
      <c r="AW453" s="18"/>
      <c r="AX453" s="18"/>
    </row>
    <row r="454" spans="1:50" ht="18.75" customHeight="1" x14ac:dyDescent="0.2">
      <c r="AA454" s="16"/>
      <c r="AB454" s="29" t="s">
        <v>199</v>
      </c>
      <c r="AC454" s="17"/>
      <c r="AD454" s="18"/>
      <c r="AE454" s="34"/>
      <c r="AF454" s="34"/>
      <c r="AG454" s="34"/>
      <c r="AH454" s="34"/>
      <c r="AI454" s="34"/>
      <c r="AJ454" s="18"/>
      <c r="AK454" s="34"/>
      <c r="AL454" s="18"/>
      <c r="AM454" s="18"/>
      <c r="AN454" s="18"/>
      <c r="AO454" s="18"/>
      <c r="AP454" s="18"/>
      <c r="AQ454" s="18"/>
      <c r="AR454" s="18"/>
      <c r="AS454" s="18"/>
      <c r="AT454" s="40"/>
      <c r="AU454" s="18"/>
      <c r="AV454" s="18"/>
      <c r="AW454" s="18"/>
      <c r="AX454" s="18"/>
    </row>
    <row r="455" spans="1:50" ht="25.5" x14ac:dyDescent="0.2">
      <c r="AA455" s="28" t="s">
        <v>288</v>
      </c>
      <c r="AB455" s="29" t="s">
        <v>418</v>
      </c>
      <c r="AC455" s="17"/>
      <c r="AD455" s="18"/>
      <c r="AE455" s="34"/>
      <c r="AF455" s="34"/>
      <c r="AG455" s="34"/>
      <c r="AH455" s="34"/>
      <c r="AI455" s="34"/>
      <c r="AJ455" s="18"/>
      <c r="AK455" s="34"/>
      <c r="AL455" s="18"/>
      <c r="AM455" s="18"/>
      <c r="AN455" s="18"/>
      <c r="AO455" s="18"/>
      <c r="AP455" s="18"/>
      <c r="AQ455" s="18"/>
      <c r="AR455" s="18"/>
      <c r="AS455" s="18"/>
      <c r="AT455" s="40"/>
      <c r="AU455" s="18"/>
      <c r="AV455" s="18"/>
      <c r="AW455" s="18"/>
      <c r="AX455" s="18"/>
    </row>
    <row r="456" spans="1:50" ht="18.75" customHeight="1" x14ac:dyDescent="0.2">
      <c r="A456" s="4" t="s">
        <v>55</v>
      </c>
      <c r="B456" s="4" t="s">
        <v>56</v>
      </c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1" t="s">
        <v>419</v>
      </c>
      <c r="AB456" s="42" t="s">
        <v>233</v>
      </c>
      <c r="AC456" s="43" t="s">
        <v>58</v>
      </c>
      <c r="AD456" s="43">
        <v>2364833525</v>
      </c>
      <c r="AE456" s="44">
        <v>0</v>
      </c>
      <c r="AF456" s="44">
        <v>0</v>
      </c>
      <c r="AG456" s="44">
        <v>0</v>
      </c>
      <c r="AH456" s="18">
        <v>1500000000</v>
      </c>
      <c r="AI456" s="18">
        <f>AE456-AF456+AG456-AH456</f>
        <v>-1500000000</v>
      </c>
      <c r="AJ456" s="18">
        <f>AD456+AI456</f>
        <v>864833525</v>
      </c>
      <c r="AK456" s="44">
        <v>0</v>
      </c>
      <c r="AL456" s="43">
        <f>AM456-FEBRERO!P450</f>
        <v>-358822174</v>
      </c>
      <c r="AM456" s="43">
        <v>798113570</v>
      </c>
      <c r="AN456" s="44">
        <v>0</v>
      </c>
      <c r="AO456" s="43">
        <f>AP456-FEBRERO!P450</f>
        <v>-358822174</v>
      </c>
      <c r="AP456" s="43">
        <v>798113570</v>
      </c>
      <c r="AQ456" s="44">
        <v>0</v>
      </c>
      <c r="AR456" s="44">
        <v>0</v>
      </c>
      <c r="AS456" s="44">
        <v>0</v>
      </c>
      <c r="AT456" s="40">
        <f t="shared" ref="AT456:AT458" si="555">AQ456+AS456</f>
        <v>0</v>
      </c>
      <c r="AU456" s="18">
        <f t="shared" ref="AU456:AU458" si="556">AJ456-AM456</f>
        <v>66719955</v>
      </c>
      <c r="AV456" s="34">
        <f t="shared" ref="AV456:AV458" si="557">AM456-AP456</f>
        <v>0</v>
      </c>
      <c r="AW456" s="18">
        <f t="shared" ref="AW456:AW458" si="558">AP456-AT456</f>
        <v>798113570</v>
      </c>
      <c r="AX456" s="123">
        <f t="shared" ref="AX456:AX462" si="559">AP456/AJ456</f>
        <v>0.92285225645016478</v>
      </c>
    </row>
    <row r="457" spans="1:50" ht="18.75" customHeight="1" x14ac:dyDescent="0.2">
      <c r="A457" s="4" t="s">
        <v>55</v>
      </c>
      <c r="B457" s="4" t="s">
        <v>56</v>
      </c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1" t="s">
        <v>430</v>
      </c>
      <c r="AB457" s="42" t="s">
        <v>431</v>
      </c>
      <c r="AC457" s="43" t="s">
        <v>432</v>
      </c>
      <c r="AD457" s="43">
        <v>1269842288</v>
      </c>
      <c r="AE457" s="44">
        <v>0</v>
      </c>
      <c r="AF457" s="44">
        <v>0</v>
      </c>
      <c r="AG457" s="44">
        <v>0</v>
      </c>
      <c r="AH457" s="44">
        <v>0</v>
      </c>
      <c r="AI457" s="44">
        <v>0</v>
      </c>
      <c r="AJ457" s="43">
        <v>1269842288</v>
      </c>
      <c r="AK457" s="44">
        <v>0</v>
      </c>
      <c r="AL457" s="44">
        <v>0</v>
      </c>
      <c r="AM457" s="43">
        <v>1269842288</v>
      </c>
      <c r="AN457" s="44">
        <v>0</v>
      </c>
      <c r="AO457" s="44">
        <v>0</v>
      </c>
      <c r="AP457" s="43">
        <v>1269842288</v>
      </c>
      <c r="AQ457" s="43">
        <v>25858638</v>
      </c>
      <c r="AR457" s="44">
        <v>0</v>
      </c>
      <c r="AS457" s="44">
        <v>0</v>
      </c>
      <c r="AT457" s="39">
        <f t="shared" si="555"/>
        <v>25858638</v>
      </c>
      <c r="AU457" s="34">
        <f t="shared" si="556"/>
        <v>0</v>
      </c>
      <c r="AV457" s="34">
        <f t="shared" si="557"/>
        <v>0</v>
      </c>
      <c r="AW457" s="18">
        <f t="shared" si="558"/>
        <v>1243983650</v>
      </c>
      <c r="AX457" s="123">
        <f t="shared" si="559"/>
        <v>1</v>
      </c>
    </row>
    <row r="458" spans="1:50" ht="18.75" customHeight="1" x14ac:dyDescent="0.2">
      <c r="A458" s="4" t="s">
        <v>55</v>
      </c>
      <c r="B458" s="4" t="s">
        <v>56</v>
      </c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1" t="s">
        <v>433</v>
      </c>
      <c r="AB458" s="42" t="s">
        <v>434</v>
      </c>
      <c r="AC458" s="43" t="s">
        <v>428</v>
      </c>
      <c r="AD458" s="43">
        <v>1185147617</v>
      </c>
      <c r="AE458" s="44">
        <v>0</v>
      </c>
      <c r="AF458" s="44">
        <v>0</v>
      </c>
      <c r="AG458" s="44">
        <v>0</v>
      </c>
      <c r="AH458" s="44">
        <v>0</v>
      </c>
      <c r="AI458" s="44">
        <v>0</v>
      </c>
      <c r="AJ458" s="43">
        <v>1185147617</v>
      </c>
      <c r="AK458" s="44">
        <v>0</v>
      </c>
      <c r="AL458" s="43">
        <f>AM458-FEBRERO!P452</f>
        <v>358822174</v>
      </c>
      <c r="AM458" s="43">
        <v>358822174</v>
      </c>
      <c r="AN458" s="44">
        <v>0</v>
      </c>
      <c r="AO458" s="43">
        <v>358822174</v>
      </c>
      <c r="AP458" s="43">
        <v>358822174</v>
      </c>
      <c r="AQ458" s="44">
        <v>0</v>
      </c>
      <c r="AR458" s="44">
        <v>0</v>
      </c>
      <c r="AS458" s="44">
        <v>0</v>
      </c>
      <c r="AT458" s="40">
        <f t="shared" si="555"/>
        <v>0</v>
      </c>
      <c r="AU458" s="18">
        <f t="shared" si="556"/>
        <v>826325443</v>
      </c>
      <c r="AV458" s="34">
        <f t="shared" si="557"/>
        <v>0</v>
      </c>
      <c r="AW458" s="18">
        <f t="shared" si="558"/>
        <v>358822174</v>
      </c>
      <c r="AX458" s="123">
        <f t="shared" si="559"/>
        <v>0.3027658064303394</v>
      </c>
    </row>
    <row r="459" spans="1:50" ht="25.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73" t="s">
        <v>288</v>
      </c>
      <c r="AB459" s="74" t="s">
        <v>959</v>
      </c>
      <c r="AC459" s="43"/>
      <c r="AD459" s="43"/>
      <c r="AE459" s="44"/>
      <c r="AF459" s="44"/>
      <c r="AG459" s="44"/>
      <c r="AH459" s="44"/>
      <c r="AI459" s="44"/>
      <c r="AJ459" s="43"/>
      <c r="AK459" s="44"/>
      <c r="AL459" s="44"/>
      <c r="AM459" s="44"/>
      <c r="AN459" s="44"/>
      <c r="AO459" s="44"/>
      <c r="AP459" s="44"/>
      <c r="AQ459" s="44"/>
      <c r="AR459" s="44"/>
      <c r="AS459" s="44"/>
      <c r="AT459" s="40"/>
      <c r="AU459" s="18"/>
      <c r="AV459" s="34"/>
      <c r="AW459" s="34"/>
      <c r="AX459" s="123"/>
    </row>
    <row r="460" spans="1:50" ht="18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160" t="s">
        <v>960</v>
      </c>
      <c r="AB460" s="42" t="s">
        <v>961</v>
      </c>
      <c r="AC460" s="43"/>
      <c r="AD460" s="43">
        <v>0</v>
      </c>
      <c r="AE460" s="44">
        <v>0</v>
      </c>
      <c r="AF460" s="44">
        <v>0</v>
      </c>
      <c r="AG460" s="43">
        <v>1500000000</v>
      </c>
      <c r="AH460" s="44"/>
      <c r="AI460" s="18">
        <f>AE460-AF460+AG460-AH460</f>
        <v>1500000000</v>
      </c>
      <c r="AJ460" s="18">
        <f>AD460+AI460</f>
        <v>1500000000</v>
      </c>
      <c r="AK460" s="44">
        <v>0</v>
      </c>
      <c r="AL460" s="44">
        <v>0</v>
      </c>
      <c r="AM460" s="44">
        <v>0</v>
      </c>
      <c r="AN460" s="44">
        <v>0</v>
      </c>
      <c r="AO460" s="44">
        <v>0</v>
      </c>
      <c r="AP460" s="44">
        <v>0</v>
      </c>
      <c r="AQ460" s="44">
        <v>0</v>
      </c>
      <c r="AR460" s="44">
        <v>0</v>
      </c>
      <c r="AS460" s="44">
        <v>0</v>
      </c>
      <c r="AT460" s="40">
        <f t="shared" ref="AT460" si="560">AQ460+AS460</f>
        <v>0</v>
      </c>
      <c r="AU460" s="18">
        <f t="shared" ref="AU460" si="561">AJ460-AM460</f>
        <v>1500000000</v>
      </c>
      <c r="AV460" s="34">
        <f t="shared" ref="AV460" si="562">AM460-AP460</f>
        <v>0</v>
      </c>
      <c r="AW460" s="18">
        <f t="shared" ref="AW460" si="563">AP460-AT460</f>
        <v>0</v>
      </c>
      <c r="AX460" s="123">
        <f t="shared" ref="AX460" si="564">AP460/AJ460</f>
        <v>0</v>
      </c>
    </row>
    <row r="461" spans="1:50" ht="18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159"/>
      <c r="AB461" s="42"/>
      <c r="AC461" s="43"/>
      <c r="AD461" s="43"/>
      <c r="AE461" s="44"/>
      <c r="AF461" s="44"/>
      <c r="AG461" s="43"/>
      <c r="AH461" s="44"/>
      <c r="AI461" s="18"/>
      <c r="AJ461" s="18"/>
      <c r="AK461" s="44"/>
      <c r="AL461" s="44"/>
      <c r="AM461" s="44"/>
      <c r="AN461" s="44"/>
      <c r="AO461" s="44"/>
      <c r="AP461" s="44"/>
      <c r="AQ461" s="44"/>
      <c r="AR461" s="44"/>
      <c r="AS461" s="44"/>
      <c r="AT461" s="40"/>
      <c r="AU461" s="18"/>
      <c r="AV461" s="34"/>
      <c r="AW461" s="34"/>
      <c r="AX461" s="123"/>
    </row>
    <row r="462" spans="1:50" s="50" customFormat="1" ht="18.75" customHeight="1" x14ac:dyDescent="0.2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6"/>
      <c r="AB462" s="47" t="s">
        <v>435</v>
      </c>
      <c r="AC462" s="48"/>
      <c r="AD462" s="48">
        <f t="shared" ref="AD462:AW462" si="565">SUM(AD228:AD460)</f>
        <v>301961738926</v>
      </c>
      <c r="AE462" s="48">
        <f t="shared" si="565"/>
        <v>2137085601</v>
      </c>
      <c r="AF462" s="48">
        <f t="shared" si="565"/>
        <v>0</v>
      </c>
      <c r="AG462" s="48">
        <f t="shared" si="565"/>
        <v>4280779641.3999996</v>
      </c>
      <c r="AH462" s="48">
        <f t="shared" si="565"/>
        <v>2280779641.4000001</v>
      </c>
      <c r="AI462" s="48">
        <f t="shared" si="565"/>
        <v>4137085601</v>
      </c>
      <c r="AJ462" s="48">
        <f t="shared" si="565"/>
        <v>306098824527</v>
      </c>
      <c r="AK462" s="49">
        <f t="shared" si="565"/>
        <v>0</v>
      </c>
      <c r="AL462" s="48">
        <f>SUM(AL228:AL460)</f>
        <v>20545170033.410004</v>
      </c>
      <c r="AM462" s="48">
        <f t="shared" si="565"/>
        <v>106024195130.94</v>
      </c>
      <c r="AN462" s="48">
        <f t="shared" si="565"/>
        <v>210142049.96000001</v>
      </c>
      <c r="AO462" s="48">
        <f t="shared" si="565"/>
        <v>15167527133.26</v>
      </c>
      <c r="AP462" s="48">
        <f t="shared" si="565"/>
        <v>97451665143.080017</v>
      </c>
      <c r="AQ462" s="48">
        <f t="shared" si="565"/>
        <v>1489869551</v>
      </c>
      <c r="AR462" s="48">
        <f t="shared" si="565"/>
        <v>1717599942.26</v>
      </c>
      <c r="AS462" s="48">
        <f t="shared" si="565"/>
        <v>31763215570.260002</v>
      </c>
      <c r="AT462" s="48">
        <f t="shared" si="565"/>
        <v>33253085121.260002</v>
      </c>
      <c r="AU462" s="48">
        <f t="shared" si="565"/>
        <v>200074629396.06003</v>
      </c>
      <c r="AV462" s="48">
        <f t="shared" si="565"/>
        <v>8572529987.8599997</v>
      </c>
      <c r="AW462" s="48">
        <f t="shared" si="565"/>
        <v>64198580021.82</v>
      </c>
      <c r="AX462" s="24">
        <f t="shared" si="559"/>
        <v>0.31836667551294079</v>
      </c>
    </row>
    <row r="463" spans="1:50" ht="18.75" customHeight="1" x14ac:dyDescent="0.2">
      <c r="AA463" s="16"/>
      <c r="AB463" s="17"/>
      <c r="AC463" s="17"/>
      <c r="AD463" s="18"/>
      <c r="AE463" s="34"/>
      <c r="AF463" s="34"/>
      <c r="AG463" s="34"/>
      <c r="AH463" s="34"/>
      <c r="AI463" s="34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</row>
    <row r="464" spans="1:50" s="25" customFormat="1" ht="18.75" customHeight="1" x14ac:dyDescent="0.2"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66"/>
      <c r="AB464" s="21" t="s">
        <v>436</v>
      </c>
      <c r="AC464" s="67"/>
      <c r="AD464" s="63"/>
      <c r="AE464" s="72"/>
      <c r="AF464" s="72"/>
      <c r="AG464" s="72"/>
      <c r="AH464" s="72"/>
      <c r="AI464" s="72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</row>
    <row r="465" spans="1:50" ht="18.75" customHeight="1" x14ac:dyDescent="0.2">
      <c r="AA465" s="16"/>
      <c r="AB465" s="29" t="s">
        <v>38</v>
      </c>
      <c r="AC465" s="17"/>
      <c r="AD465" s="18"/>
      <c r="AE465" s="34"/>
      <c r="AF465" s="34"/>
      <c r="AG465" s="34"/>
      <c r="AH465" s="34"/>
      <c r="AI465" s="34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</row>
    <row r="466" spans="1:50" ht="18.75" customHeight="1" x14ac:dyDescent="0.2">
      <c r="AA466" s="16"/>
      <c r="AB466" s="29" t="s">
        <v>285</v>
      </c>
      <c r="AC466" s="17"/>
      <c r="AD466" s="18"/>
      <c r="AE466" s="34"/>
      <c r="AF466" s="34"/>
      <c r="AG466" s="34"/>
      <c r="AH466" s="34"/>
      <c r="AI466" s="34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</row>
    <row r="467" spans="1:50" ht="18.75" customHeight="1" x14ac:dyDescent="0.2">
      <c r="AA467" s="16"/>
      <c r="AB467" s="29" t="s">
        <v>286</v>
      </c>
      <c r="AC467" s="17"/>
      <c r="AD467" s="18"/>
      <c r="AE467" s="34"/>
      <c r="AF467" s="34"/>
      <c r="AG467" s="34"/>
      <c r="AH467" s="34"/>
      <c r="AI467" s="34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</row>
    <row r="468" spans="1:50" ht="18.75" customHeight="1" x14ac:dyDescent="0.2">
      <c r="AA468" s="16"/>
      <c r="AB468" s="29" t="s">
        <v>179</v>
      </c>
      <c r="AC468" s="17"/>
      <c r="AD468" s="18"/>
      <c r="AE468" s="34"/>
      <c r="AF468" s="34"/>
      <c r="AG468" s="34"/>
      <c r="AH468" s="34"/>
      <c r="AI468" s="34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</row>
    <row r="469" spans="1:50" ht="18.75" customHeight="1" x14ac:dyDescent="0.2">
      <c r="AA469" s="16"/>
      <c r="AB469" s="29" t="s">
        <v>181</v>
      </c>
      <c r="AC469" s="17"/>
      <c r="AD469" s="18"/>
      <c r="AE469" s="34"/>
      <c r="AF469" s="34"/>
      <c r="AG469" s="34"/>
      <c r="AH469" s="34"/>
      <c r="AI469" s="34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</row>
    <row r="470" spans="1:50" ht="25.5" x14ac:dyDescent="0.2">
      <c r="AA470" s="16"/>
      <c r="AB470" s="29" t="s">
        <v>437</v>
      </c>
      <c r="AC470" s="17"/>
      <c r="AD470" s="18"/>
      <c r="AE470" s="34"/>
      <c r="AF470" s="34"/>
      <c r="AG470" s="34"/>
      <c r="AH470" s="34"/>
      <c r="AI470" s="34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</row>
    <row r="471" spans="1:50" ht="18.75" customHeight="1" x14ac:dyDescent="0.2">
      <c r="A471" s="4" t="s">
        <v>55</v>
      </c>
      <c r="B471" s="4" t="s">
        <v>56</v>
      </c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1" t="s">
        <v>438</v>
      </c>
      <c r="AB471" s="42" t="s">
        <v>439</v>
      </c>
      <c r="AC471" s="43" t="s">
        <v>428</v>
      </c>
      <c r="AD471" s="43">
        <v>43946996</v>
      </c>
      <c r="AE471" s="44">
        <v>0</v>
      </c>
      <c r="AF471" s="44">
        <v>0</v>
      </c>
      <c r="AG471" s="44">
        <v>0</v>
      </c>
      <c r="AH471" s="44">
        <v>0</v>
      </c>
      <c r="AI471" s="44">
        <v>0</v>
      </c>
      <c r="AJ471" s="43">
        <v>43946996</v>
      </c>
      <c r="AK471" s="43">
        <v>0</v>
      </c>
      <c r="AL471" s="43">
        <v>6623200</v>
      </c>
      <c r="AM471" s="43">
        <v>6623200</v>
      </c>
      <c r="AN471" s="44">
        <v>0</v>
      </c>
      <c r="AO471" s="44">
        <v>0</v>
      </c>
      <c r="AP471" s="44">
        <v>0</v>
      </c>
      <c r="AQ471" s="44">
        <v>0</v>
      </c>
      <c r="AR471" s="44">
        <v>0</v>
      </c>
      <c r="AS471" s="44">
        <v>0</v>
      </c>
      <c r="AT471" s="40">
        <f t="shared" ref="AT471" si="566">AQ471+AS471</f>
        <v>0</v>
      </c>
      <c r="AU471" s="18">
        <f>AJ471-AM471</f>
        <v>37323796</v>
      </c>
      <c r="AV471" s="18">
        <f t="shared" ref="AV471" si="567">AM471-AP471</f>
        <v>6623200</v>
      </c>
      <c r="AW471" s="34">
        <f t="shared" ref="AW471" si="568">AP471-AT471</f>
        <v>0</v>
      </c>
      <c r="AX471" s="123">
        <f t="shared" ref="AX471" si="569">AP471/AJ471</f>
        <v>0</v>
      </c>
    </row>
    <row r="472" spans="1:50" ht="43.5" customHeight="1" x14ac:dyDescent="0.2">
      <c r="AA472" s="28" t="s">
        <v>288</v>
      </c>
      <c r="AB472" s="29" t="s">
        <v>440</v>
      </c>
      <c r="AC472" s="17"/>
      <c r="AD472" s="18"/>
      <c r="AE472" s="34"/>
      <c r="AF472" s="34"/>
      <c r="AG472" s="34"/>
      <c r="AH472" s="34"/>
      <c r="AI472" s="34"/>
      <c r="AJ472" s="18"/>
      <c r="AK472" s="34"/>
      <c r="AL472" s="34"/>
      <c r="AM472" s="34"/>
      <c r="AN472" s="34"/>
      <c r="AO472" s="34"/>
      <c r="AP472" s="34"/>
      <c r="AQ472" s="34"/>
      <c r="AR472" s="34"/>
      <c r="AS472" s="34"/>
      <c r="AT472" s="40"/>
      <c r="AU472" s="18"/>
      <c r="AV472" s="18"/>
      <c r="AW472" s="18"/>
      <c r="AX472" s="18"/>
    </row>
    <row r="473" spans="1:50" ht="18.75" customHeight="1" x14ac:dyDescent="0.2">
      <c r="A473" s="4" t="s">
        <v>55</v>
      </c>
      <c r="B473" s="4" t="s">
        <v>56</v>
      </c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1" t="s">
        <v>441</v>
      </c>
      <c r="AB473" s="42" t="s">
        <v>439</v>
      </c>
      <c r="AC473" s="43" t="s">
        <v>428</v>
      </c>
      <c r="AD473" s="43">
        <v>3500000</v>
      </c>
      <c r="AE473" s="44">
        <v>0</v>
      </c>
      <c r="AF473" s="44">
        <v>0</v>
      </c>
      <c r="AG473" s="44">
        <v>0</v>
      </c>
      <c r="AH473" s="44">
        <v>0</v>
      </c>
      <c r="AI473" s="44">
        <v>0</v>
      </c>
      <c r="AJ473" s="43">
        <v>3500000</v>
      </c>
      <c r="AK473" s="44">
        <v>0</v>
      </c>
      <c r="AL473" s="44">
        <v>0</v>
      </c>
      <c r="AM473" s="44">
        <v>0</v>
      </c>
      <c r="AN473" s="44">
        <v>0</v>
      </c>
      <c r="AO473" s="44">
        <v>0</v>
      </c>
      <c r="AP473" s="44">
        <v>0</v>
      </c>
      <c r="AQ473" s="44">
        <v>0</v>
      </c>
      <c r="AR473" s="44">
        <v>0</v>
      </c>
      <c r="AS473" s="44">
        <v>0</v>
      </c>
      <c r="AT473" s="40">
        <f>AQ473+AS473</f>
        <v>0</v>
      </c>
      <c r="AU473" s="18">
        <f t="shared" ref="AU473" si="570">AJ473-AM473</f>
        <v>3500000</v>
      </c>
      <c r="AV473" s="34">
        <f t="shared" ref="AV473" si="571">AM473-AP473</f>
        <v>0</v>
      </c>
      <c r="AW473" s="34">
        <f t="shared" ref="AW473" si="572">AP473-AT473</f>
        <v>0</v>
      </c>
      <c r="AX473" s="123">
        <f t="shared" ref="AX473" si="573">AP473/AJ473</f>
        <v>0</v>
      </c>
    </row>
    <row r="474" spans="1:50" ht="18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73" t="s">
        <v>288</v>
      </c>
      <c r="AB474" s="74" t="s">
        <v>291</v>
      </c>
      <c r="AC474" s="43"/>
      <c r="AD474" s="43"/>
      <c r="AE474" s="44"/>
      <c r="AF474" s="44"/>
      <c r="AG474" s="44"/>
      <c r="AH474" s="44"/>
      <c r="AI474" s="44"/>
      <c r="AJ474" s="43"/>
      <c r="AK474" s="43"/>
      <c r="AL474" s="43"/>
      <c r="AM474" s="43"/>
      <c r="AN474" s="43"/>
      <c r="AO474" s="43"/>
      <c r="AP474" s="43"/>
      <c r="AQ474" s="44"/>
      <c r="AR474" s="44"/>
      <c r="AS474" s="44"/>
      <c r="AT474" s="40"/>
      <c r="AU474" s="43"/>
      <c r="AV474" s="44"/>
      <c r="AW474" s="44"/>
      <c r="AX474" s="43"/>
    </row>
    <row r="475" spans="1:50" ht="18.75" customHeight="1" x14ac:dyDescent="0.2">
      <c r="A475" s="4" t="s">
        <v>55</v>
      </c>
      <c r="B475" s="4" t="s">
        <v>56</v>
      </c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1" t="s">
        <v>442</v>
      </c>
      <c r="AB475" s="42" t="s">
        <v>439</v>
      </c>
      <c r="AC475" s="43" t="s">
        <v>428</v>
      </c>
      <c r="AD475" s="43">
        <v>105900000</v>
      </c>
      <c r="AE475" s="44">
        <v>0</v>
      </c>
      <c r="AF475" s="44">
        <v>0</v>
      </c>
      <c r="AG475" s="44">
        <v>0</v>
      </c>
      <c r="AH475" s="44">
        <v>0</v>
      </c>
      <c r="AI475" s="44">
        <v>0</v>
      </c>
      <c r="AJ475" s="43">
        <v>105900000</v>
      </c>
      <c r="AK475" s="44">
        <v>0</v>
      </c>
      <c r="AL475" s="44">
        <v>0</v>
      </c>
      <c r="AM475" s="44">
        <v>0</v>
      </c>
      <c r="AN475" s="43">
        <v>0</v>
      </c>
      <c r="AO475" s="43">
        <v>0</v>
      </c>
      <c r="AP475" s="43">
        <v>0</v>
      </c>
      <c r="AQ475" s="44">
        <v>0</v>
      </c>
      <c r="AR475" s="44">
        <v>0</v>
      </c>
      <c r="AS475" s="44">
        <v>0</v>
      </c>
      <c r="AT475" s="40">
        <f>AQ475+AS475</f>
        <v>0</v>
      </c>
      <c r="AU475" s="18">
        <f t="shared" ref="AU475" si="574">AJ475-AM475</f>
        <v>105900000</v>
      </c>
      <c r="AV475" s="34">
        <f t="shared" ref="AV475" si="575">AM475-AP475</f>
        <v>0</v>
      </c>
      <c r="AW475" s="34">
        <f t="shared" ref="AW475" si="576">AP475-AT475</f>
        <v>0</v>
      </c>
      <c r="AX475" s="123">
        <f t="shared" ref="AX475" si="577">AP475/AJ475</f>
        <v>0</v>
      </c>
    </row>
    <row r="476" spans="1:50" ht="18.75" customHeight="1" x14ac:dyDescent="0.2">
      <c r="AA476" s="16"/>
      <c r="AB476" s="29" t="s">
        <v>189</v>
      </c>
      <c r="AC476" s="17"/>
      <c r="AD476" s="18"/>
      <c r="AE476" s="34"/>
      <c r="AF476" s="34"/>
      <c r="AG476" s="34"/>
      <c r="AH476" s="34"/>
      <c r="AI476" s="34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39"/>
      <c r="AU476" s="18"/>
      <c r="AV476" s="34"/>
      <c r="AW476" s="18"/>
      <c r="AX476" s="18"/>
    </row>
    <row r="477" spans="1:50" ht="18.75" customHeight="1" x14ac:dyDescent="0.2">
      <c r="AA477" s="16"/>
      <c r="AB477" s="29" t="s">
        <v>191</v>
      </c>
      <c r="AC477" s="17"/>
      <c r="AD477" s="18"/>
      <c r="AE477" s="34"/>
      <c r="AF477" s="34"/>
      <c r="AG477" s="34"/>
      <c r="AH477" s="34"/>
      <c r="AI477" s="34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39"/>
      <c r="AU477" s="18"/>
      <c r="AV477" s="34"/>
      <c r="AW477" s="18"/>
      <c r="AX477" s="18"/>
    </row>
    <row r="478" spans="1:50" ht="18.75" customHeight="1" x14ac:dyDescent="0.2">
      <c r="AA478" s="28" t="s">
        <v>288</v>
      </c>
      <c r="AB478" s="29" t="s">
        <v>443</v>
      </c>
      <c r="AC478" s="17"/>
      <c r="AD478" s="18"/>
      <c r="AE478" s="34"/>
      <c r="AF478" s="34"/>
      <c r="AG478" s="34"/>
      <c r="AH478" s="34"/>
      <c r="AI478" s="34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39"/>
      <c r="AU478" s="18"/>
      <c r="AV478" s="34"/>
      <c r="AW478" s="18"/>
      <c r="AX478" s="18"/>
    </row>
    <row r="479" spans="1:50" ht="18.75" customHeight="1" x14ac:dyDescent="0.2">
      <c r="A479" s="4" t="s">
        <v>55</v>
      </c>
      <c r="B479" s="4" t="s">
        <v>56</v>
      </c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1" t="s">
        <v>444</v>
      </c>
      <c r="AB479" s="42" t="s">
        <v>233</v>
      </c>
      <c r="AC479" s="43" t="s">
        <v>58</v>
      </c>
      <c r="AD479" s="43">
        <v>530557116</v>
      </c>
      <c r="AE479" s="44">
        <v>0</v>
      </c>
      <c r="AF479" s="44">
        <v>0</v>
      </c>
      <c r="AG479" s="44">
        <v>0</v>
      </c>
      <c r="AH479" s="44">
        <v>0</v>
      </c>
      <c r="AI479" s="44">
        <v>0</v>
      </c>
      <c r="AJ479" s="43">
        <v>530557116</v>
      </c>
      <c r="AK479" s="44">
        <v>0</v>
      </c>
      <c r="AL479" s="44">
        <v>0</v>
      </c>
      <c r="AM479" s="44">
        <v>0</v>
      </c>
      <c r="AN479" s="44">
        <v>0</v>
      </c>
      <c r="AO479" s="44">
        <v>0</v>
      </c>
      <c r="AP479" s="44">
        <v>0</v>
      </c>
      <c r="AQ479" s="44">
        <v>0</v>
      </c>
      <c r="AR479" s="44">
        <v>0</v>
      </c>
      <c r="AS479" s="44">
        <v>0</v>
      </c>
      <c r="AT479" s="40">
        <f>AQ479+AS479</f>
        <v>0</v>
      </c>
      <c r="AU479" s="18">
        <f t="shared" ref="AU479" si="578">AJ479-AM479</f>
        <v>530557116</v>
      </c>
      <c r="AV479" s="34">
        <f t="shared" ref="AV479" si="579">AM479-AP479</f>
        <v>0</v>
      </c>
      <c r="AW479" s="34">
        <f t="shared" ref="AW479" si="580">AP479-AT479</f>
        <v>0</v>
      </c>
      <c r="AX479" s="123">
        <f t="shared" ref="AX479" si="581">AP479/AJ479</f>
        <v>0</v>
      </c>
    </row>
    <row r="480" spans="1:50" ht="18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73" t="s">
        <v>288</v>
      </c>
      <c r="AB480" s="74" t="s">
        <v>362</v>
      </c>
      <c r="AC480" s="43"/>
      <c r="AD480" s="43"/>
      <c r="AE480" s="44"/>
      <c r="AF480" s="44"/>
      <c r="AG480" s="44"/>
      <c r="AH480" s="44"/>
      <c r="AI480" s="44"/>
      <c r="AJ480" s="43"/>
      <c r="AK480" s="44"/>
      <c r="AL480" s="44"/>
      <c r="AM480" s="44"/>
      <c r="AN480" s="44"/>
      <c r="AO480" s="44"/>
      <c r="AP480" s="44"/>
      <c r="AQ480" s="44"/>
      <c r="AR480" s="44"/>
      <c r="AS480" s="44"/>
      <c r="AT480" s="40"/>
      <c r="AU480" s="18"/>
      <c r="AV480" s="34"/>
      <c r="AW480" s="34"/>
      <c r="AX480" s="123"/>
    </row>
    <row r="481" spans="1:50" ht="18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1" t="s">
        <v>975</v>
      </c>
      <c r="AB481" s="42" t="s">
        <v>453</v>
      </c>
      <c r="AC481" s="43"/>
      <c r="AD481" s="43">
        <v>0</v>
      </c>
      <c r="AE481" s="44">
        <v>0</v>
      </c>
      <c r="AF481" s="44">
        <v>0</v>
      </c>
      <c r="AG481" s="43">
        <v>11046667966</v>
      </c>
      <c r="AH481" s="44"/>
      <c r="AI481" s="43">
        <f>AE481-AF481+AG481-AH481</f>
        <v>11046667966</v>
      </c>
      <c r="AJ481" s="43">
        <f>AD481+AI481</f>
        <v>11046667966</v>
      </c>
      <c r="AK481" s="43">
        <v>0</v>
      </c>
      <c r="AL481" s="43">
        <v>11035245074</v>
      </c>
      <c r="AM481" s="43">
        <v>11035245074</v>
      </c>
      <c r="AN481" s="44">
        <v>0</v>
      </c>
      <c r="AO481" s="44">
        <v>0</v>
      </c>
      <c r="AP481" s="44">
        <v>0</v>
      </c>
      <c r="AQ481" s="44">
        <v>0</v>
      </c>
      <c r="AR481" s="44">
        <v>0</v>
      </c>
      <c r="AS481" s="44">
        <v>0</v>
      </c>
      <c r="AT481" s="40">
        <f>AQ481+AS481</f>
        <v>0</v>
      </c>
      <c r="AU481" s="18">
        <f t="shared" ref="AU481" si="582">AJ481-AM481</f>
        <v>11422892</v>
      </c>
      <c r="AV481" s="18">
        <f t="shared" ref="AV481" si="583">AM481-AP481</f>
        <v>11035245074</v>
      </c>
      <c r="AW481" s="34">
        <f t="shared" ref="AW481" si="584">AP481-AT481</f>
        <v>0</v>
      </c>
      <c r="AX481" s="123">
        <f t="shared" ref="AX481" si="585">AP481/AJ481</f>
        <v>0</v>
      </c>
    </row>
    <row r="482" spans="1:50" ht="18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73" t="s">
        <v>288</v>
      </c>
      <c r="AB482" s="74" t="s">
        <v>296</v>
      </c>
      <c r="AC482" s="43"/>
      <c r="AD482" s="43"/>
      <c r="AE482" s="44"/>
      <c r="AF482" s="44"/>
      <c r="AG482" s="44"/>
      <c r="AH482" s="44"/>
      <c r="AI482" s="44"/>
      <c r="AJ482" s="43"/>
      <c r="AK482" s="44"/>
      <c r="AL482" s="44"/>
      <c r="AM482" s="44"/>
      <c r="AN482" s="44"/>
      <c r="AO482" s="44"/>
      <c r="AP482" s="44"/>
      <c r="AQ482" s="44"/>
      <c r="AR482" s="44"/>
      <c r="AS482" s="44"/>
      <c r="AT482" s="40"/>
      <c r="AU482" s="18"/>
      <c r="AV482" s="34"/>
      <c r="AW482" s="34"/>
      <c r="AX482" s="123"/>
    </row>
    <row r="483" spans="1:50" ht="18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1" t="s">
        <v>973</v>
      </c>
      <c r="AB483" s="42" t="s">
        <v>453</v>
      </c>
      <c r="AC483" s="43"/>
      <c r="AD483" s="43">
        <v>0</v>
      </c>
      <c r="AE483" s="43">
        <v>11046667966</v>
      </c>
      <c r="AF483" s="44">
        <v>0</v>
      </c>
      <c r="AG483" s="44">
        <v>0</v>
      </c>
      <c r="AH483" s="43">
        <v>11046667966</v>
      </c>
      <c r="AI483" s="43">
        <f>AE483-AF483+AG483-AH483</f>
        <v>0</v>
      </c>
      <c r="AJ483" s="43">
        <f>AD483+AI483</f>
        <v>0</v>
      </c>
      <c r="AK483" s="44">
        <v>0</v>
      </c>
      <c r="AL483" s="44">
        <v>0</v>
      </c>
      <c r="AM483" s="44">
        <v>0</v>
      </c>
      <c r="AN483" s="44">
        <v>0</v>
      </c>
      <c r="AO483" s="44">
        <v>0</v>
      </c>
      <c r="AP483" s="44">
        <v>0</v>
      </c>
      <c r="AQ483" s="44">
        <v>0</v>
      </c>
      <c r="AR483" s="44">
        <v>0</v>
      </c>
      <c r="AS483" s="44">
        <v>0</v>
      </c>
      <c r="AT483" s="40">
        <f>AQ483+AS483</f>
        <v>0</v>
      </c>
      <c r="AU483" s="18">
        <f t="shared" ref="AU483" si="586">AJ483-AM483</f>
        <v>0</v>
      </c>
      <c r="AV483" s="18">
        <f t="shared" ref="AV483" si="587">AM483-AP483</f>
        <v>0</v>
      </c>
      <c r="AW483" s="34">
        <f t="shared" ref="AW483" si="588">AP483-AT483</f>
        <v>0</v>
      </c>
      <c r="AX483" s="123">
        <v>0</v>
      </c>
    </row>
    <row r="484" spans="1:50" ht="18.75" customHeight="1" x14ac:dyDescent="0.2">
      <c r="AA484" s="28" t="s">
        <v>288</v>
      </c>
      <c r="AB484" s="29" t="s">
        <v>445</v>
      </c>
      <c r="AC484" s="17"/>
      <c r="AD484" s="18"/>
      <c r="AE484" s="18"/>
      <c r="AF484" s="18"/>
      <c r="AG484" s="18"/>
      <c r="AH484" s="18"/>
      <c r="AI484" s="18"/>
      <c r="AJ484" s="18"/>
      <c r="AK484" s="34"/>
      <c r="AL484" s="34"/>
      <c r="AM484" s="34"/>
      <c r="AN484" s="34"/>
      <c r="AO484" s="34"/>
      <c r="AP484" s="34"/>
      <c r="AQ484" s="34"/>
      <c r="AR484" s="34"/>
      <c r="AS484" s="34"/>
      <c r="AT484" s="40"/>
      <c r="AU484" s="18"/>
      <c r="AV484" s="34"/>
      <c r="AW484" s="18"/>
      <c r="AX484" s="18"/>
    </row>
    <row r="485" spans="1:50" ht="18.75" customHeight="1" x14ac:dyDescent="0.2">
      <c r="A485" s="4" t="s">
        <v>55</v>
      </c>
      <c r="B485" s="4" t="s">
        <v>56</v>
      </c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1" t="s">
        <v>446</v>
      </c>
      <c r="AB485" s="42" t="s">
        <v>233</v>
      </c>
      <c r="AC485" s="43" t="s">
        <v>58</v>
      </c>
      <c r="AD485" s="43">
        <v>1315360000</v>
      </c>
      <c r="AE485" s="44">
        <v>0</v>
      </c>
      <c r="AF485" s="44">
        <v>0</v>
      </c>
      <c r="AG485" s="43">
        <v>24165016</v>
      </c>
      <c r="AH485" s="75">
        <v>0</v>
      </c>
      <c r="AI485" s="43">
        <f>AE485-AF485+AG485-AH485</f>
        <v>24165016</v>
      </c>
      <c r="AJ485" s="43">
        <f>AD485+AI485</f>
        <v>1339525016</v>
      </c>
      <c r="AK485" s="44">
        <v>0</v>
      </c>
      <c r="AL485" s="114">
        <v>0</v>
      </c>
      <c r="AM485" s="114">
        <v>5134940.1100000003</v>
      </c>
      <c r="AN485" s="44">
        <v>0</v>
      </c>
      <c r="AO485" s="114">
        <v>0</v>
      </c>
      <c r="AP485" s="114">
        <v>5134940.1100000003</v>
      </c>
      <c r="AQ485" s="44">
        <v>0</v>
      </c>
      <c r="AR485" s="114">
        <v>0</v>
      </c>
      <c r="AS485" s="114">
        <v>5134940.1100000003</v>
      </c>
      <c r="AT485" s="111">
        <f>AQ485+AS485</f>
        <v>5134940.1100000003</v>
      </c>
      <c r="AU485" s="18">
        <f>AJ485-AM485</f>
        <v>1334390075.8900001</v>
      </c>
      <c r="AV485" s="34">
        <f t="shared" ref="AV485" si="589">AM485-AP485</f>
        <v>0</v>
      </c>
      <c r="AW485" s="34">
        <f t="shared" ref="AW485" si="590">AP485-AT485</f>
        <v>0</v>
      </c>
      <c r="AX485" s="123">
        <f t="shared" ref="AX485" si="591">AP485/AJ485</f>
        <v>3.8334036682148836E-3</v>
      </c>
    </row>
    <row r="486" spans="1:50" ht="18.75" customHeight="1" x14ac:dyDescent="0.2">
      <c r="AA486" s="28" t="s">
        <v>288</v>
      </c>
      <c r="AB486" s="29" t="s">
        <v>447</v>
      </c>
      <c r="AC486" s="17"/>
      <c r="AD486" s="18"/>
      <c r="AE486" s="34"/>
      <c r="AF486" s="34"/>
      <c r="AG486" s="18"/>
      <c r="AH486" s="76"/>
      <c r="AI486" s="18"/>
      <c r="AJ486" s="18"/>
      <c r="AK486" s="34"/>
      <c r="AL486" s="34"/>
      <c r="AM486" s="34"/>
      <c r="AN486" s="34"/>
      <c r="AO486" s="34"/>
      <c r="AP486" s="34"/>
      <c r="AQ486" s="34"/>
      <c r="AR486" s="34"/>
      <c r="AS486" s="34"/>
      <c r="AT486" s="40"/>
      <c r="AU486" s="18"/>
      <c r="AV486" s="34"/>
      <c r="AW486" s="34"/>
      <c r="AX486" s="18"/>
    </row>
    <row r="487" spans="1:50" ht="18.75" customHeight="1" x14ac:dyDescent="0.2">
      <c r="A487" s="4" t="s">
        <v>55</v>
      </c>
      <c r="B487" s="4" t="s">
        <v>56</v>
      </c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1" t="s">
        <v>448</v>
      </c>
      <c r="AB487" s="42" t="s">
        <v>449</v>
      </c>
      <c r="AC487" s="43" t="s">
        <v>428</v>
      </c>
      <c r="AD487" s="43">
        <v>1568183063</v>
      </c>
      <c r="AE487" s="44">
        <v>0</v>
      </c>
      <c r="AF487" s="44">
        <v>0</v>
      </c>
      <c r="AG487" s="75">
        <v>0</v>
      </c>
      <c r="AH487" s="43">
        <v>1200000000</v>
      </c>
      <c r="AI487" s="43">
        <f>AE487-AF487+AG487-AH487</f>
        <v>-1200000000</v>
      </c>
      <c r="AJ487" s="43">
        <f>AD487+AI487</f>
        <v>368183063</v>
      </c>
      <c r="AK487" s="44">
        <v>0</v>
      </c>
      <c r="AL487" s="44">
        <v>0</v>
      </c>
      <c r="AM487" s="44">
        <v>0</v>
      </c>
      <c r="AN487" s="44">
        <v>0</v>
      </c>
      <c r="AO487" s="44">
        <v>0</v>
      </c>
      <c r="AP487" s="44">
        <v>0</v>
      </c>
      <c r="AQ487" s="44">
        <v>0</v>
      </c>
      <c r="AR487" s="44">
        <v>0</v>
      </c>
      <c r="AS487" s="44">
        <v>0</v>
      </c>
      <c r="AT487" s="40">
        <f t="shared" ref="AT487:AT547" si="592">AQ487+AS487</f>
        <v>0</v>
      </c>
      <c r="AU487" s="18">
        <f t="shared" ref="AU487:AU489" si="593">AJ487-AM487</f>
        <v>368183063</v>
      </c>
      <c r="AV487" s="34">
        <f t="shared" ref="AV487:AV489" si="594">AM487-AP487</f>
        <v>0</v>
      </c>
      <c r="AW487" s="34">
        <f t="shared" ref="AW487:AW489" si="595">AP487-AT487</f>
        <v>0</v>
      </c>
      <c r="AX487" s="123">
        <f t="shared" ref="AX487:AX489" si="596">AP487/AJ487</f>
        <v>0</v>
      </c>
    </row>
    <row r="488" spans="1:50" ht="18.75" customHeight="1" x14ac:dyDescent="0.2">
      <c r="A488" s="4" t="s">
        <v>55</v>
      </c>
      <c r="B488" s="4" t="s">
        <v>56</v>
      </c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1" t="s">
        <v>450</v>
      </c>
      <c r="AB488" s="42" t="s">
        <v>451</v>
      </c>
      <c r="AC488" s="43" t="s">
        <v>428</v>
      </c>
      <c r="AD488" s="43">
        <v>54121641</v>
      </c>
      <c r="AE488" s="44">
        <v>0</v>
      </c>
      <c r="AF488" s="44">
        <v>0</v>
      </c>
      <c r="AG488" s="75">
        <v>0</v>
      </c>
      <c r="AH488" s="75">
        <v>0</v>
      </c>
      <c r="AI488" s="44">
        <v>0</v>
      </c>
      <c r="AJ488" s="43">
        <v>54121641</v>
      </c>
      <c r="AK488" s="44">
        <v>0</v>
      </c>
      <c r="AL488" s="44">
        <v>0</v>
      </c>
      <c r="AM488" s="44">
        <v>0</v>
      </c>
      <c r="AN488" s="44">
        <v>0</v>
      </c>
      <c r="AO488" s="44">
        <v>0</v>
      </c>
      <c r="AP488" s="44">
        <v>0</v>
      </c>
      <c r="AQ488" s="44">
        <v>0</v>
      </c>
      <c r="AR488" s="44">
        <v>0</v>
      </c>
      <c r="AS488" s="44">
        <v>0</v>
      </c>
      <c r="AT488" s="40">
        <f t="shared" si="592"/>
        <v>0</v>
      </c>
      <c r="AU488" s="18">
        <f t="shared" si="593"/>
        <v>54121641</v>
      </c>
      <c r="AV488" s="34">
        <f t="shared" si="594"/>
        <v>0</v>
      </c>
      <c r="AW488" s="34">
        <f t="shared" si="595"/>
        <v>0</v>
      </c>
      <c r="AX488" s="123">
        <f t="shared" si="596"/>
        <v>0</v>
      </c>
    </row>
    <row r="489" spans="1:50" ht="18.75" customHeight="1" x14ac:dyDescent="0.2">
      <c r="A489" s="4" t="s">
        <v>55</v>
      </c>
      <c r="B489" s="4" t="s">
        <v>56</v>
      </c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1" t="s">
        <v>452</v>
      </c>
      <c r="AB489" s="42" t="s">
        <v>453</v>
      </c>
      <c r="AC489" s="43" t="s">
        <v>454</v>
      </c>
      <c r="AD489" s="43">
        <v>13500000000</v>
      </c>
      <c r="AE489" s="44">
        <v>0</v>
      </c>
      <c r="AF489" s="44">
        <v>0</v>
      </c>
      <c r="AG489" s="75">
        <v>0</v>
      </c>
      <c r="AH489" s="43">
        <v>10658999538</v>
      </c>
      <c r="AI489" s="43">
        <f>AE489-AF489+AG489-AH489</f>
        <v>-10658999538</v>
      </c>
      <c r="AJ489" s="43">
        <f>AD489+AI489</f>
        <v>2841000462</v>
      </c>
      <c r="AK489" s="44">
        <v>0</v>
      </c>
      <c r="AL489" s="44">
        <v>0</v>
      </c>
      <c r="AM489" s="44">
        <v>0</v>
      </c>
      <c r="AN489" s="44">
        <v>0</v>
      </c>
      <c r="AO489" s="44">
        <v>0</v>
      </c>
      <c r="AP489" s="44">
        <v>0</v>
      </c>
      <c r="AQ489" s="44">
        <v>0</v>
      </c>
      <c r="AR489" s="44">
        <v>0</v>
      </c>
      <c r="AS489" s="44">
        <v>0</v>
      </c>
      <c r="AT489" s="40">
        <f t="shared" si="592"/>
        <v>0</v>
      </c>
      <c r="AU489" s="18">
        <f t="shared" si="593"/>
        <v>2841000462</v>
      </c>
      <c r="AV489" s="34">
        <f t="shared" si="594"/>
        <v>0</v>
      </c>
      <c r="AW489" s="34">
        <f t="shared" si="595"/>
        <v>0</v>
      </c>
      <c r="AX489" s="123">
        <f t="shared" si="596"/>
        <v>0</v>
      </c>
    </row>
    <row r="490" spans="1:50" ht="18.75" customHeight="1" x14ac:dyDescent="0.2">
      <c r="AA490" s="28" t="s">
        <v>288</v>
      </c>
      <c r="AB490" s="29" t="s">
        <v>455</v>
      </c>
      <c r="AC490" s="17"/>
      <c r="AD490" s="18"/>
      <c r="AE490" s="34"/>
      <c r="AF490" s="34"/>
      <c r="AG490" s="76"/>
      <c r="AH490" s="18"/>
      <c r="AI490" s="18"/>
      <c r="AJ490" s="18"/>
      <c r="AK490" s="34"/>
      <c r="AL490" s="34"/>
      <c r="AM490" s="34"/>
      <c r="AN490" s="34"/>
      <c r="AO490" s="34"/>
      <c r="AP490" s="34"/>
      <c r="AQ490" s="34"/>
      <c r="AR490" s="34"/>
      <c r="AS490" s="34"/>
      <c r="AT490" s="40"/>
      <c r="AU490" s="18"/>
      <c r="AV490" s="34"/>
      <c r="AW490" s="34"/>
      <c r="AX490" s="18"/>
    </row>
    <row r="491" spans="1:50" ht="18.75" customHeight="1" x14ac:dyDescent="0.2">
      <c r="A491" s="4" t="s">
        <v>55</v>
      </c>
      <c r="B491" s="4" t="s">
        <v>56</v>
      </c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1" t="s">
        <v>456</v>
      </c>
      <c r="AB491" s="42" t="s">
        <v>233</v>
      </c>
      <c r="AC491" s="43" t="s">
        <v>58</v>
      </c>
      <c r="AD491" s="43">
        <v>1983597115.25</v>
      </c>
      <c r="AE491" s="44">
        <v>0</v>
      </c>
      <c r="AF491" s="44">
        <v>0</v>
      </c>
      <c r="AG491" s="43">
        <v>15401381</v>
      </c>
      <c r="AH491" s="44">
        <v>0</v>
      </c>
      <c r="AI491" s="43">
        <f>AE491-AF491+AG491-AH491</f>
        <v>15401381</v>
      </c>
      <c r="AJ491" s="43">
        <f>AD491+AI491</f>
        <v>1998998496.25</v>
      </c>
      <c r="AK491" s="44">
        <v>0</v>
      </c>
      <c r="AL491" s="44">
        <v>0</v>
      </c>
      <c r="AM491" s="44">
        <v>0</v>
      </c>
      <c r="AN491" s="44">
        <v>0</v>
      </c>
      <c r="AO491" s="44">
        <v>0</v>
      </c>
      <c r="AP491" s="44">
        <v>0</v>
      </c>
      <c r="AQ491" s="44">
        <v>0</v>
      </c>
      <c r="AR491" s="44">
        <v>0</v>
      </c>
      <c r="AS491" s="44">
        <v>0</v>
      </c>
      <c r="AT491" s="40">
        <f t="shared" si="592"/>
        <v>0</v>
      </c>
      <c r="AU491" s="18">
        <f t="shared" ref="AU491:AU492" si="597">AJ491-AM491</f>
        <v>1998998496.25</v>
      </c>
      <c r="AV491" s="34">
        <f t="shared" ref="AV491:AV492" si="598">AM491-AP491</f>
        <v>0</v>
      </c>
      <c r="AW491" s="34">
        <f t="shared" ref="AW491:AW492" si="599">AP491-AT491</f>
        <v>0</v>
      </c>
      <c r="AX491" s="123">
        <f t="shared" ref="AX491:AX492" si="600">AP491/AJ491</f>
        <v>0</v>
      </c>
    </row>
    <row r="492" spans="1:50" ht="18.75" customHeight="1" x14ac:dyDescent="0.2">
      <c r="A492" s="4" t="s">
        <v>55</v>
      </c>
      <c r="B492" s="4" t="s">
        <v>56</v>
      </c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1" t="s">
        <v>457</v>
      </c>
      <c r="AB492" s="42" t="s">
        <v>458</v>
      </c>
      <c r="AC492" s="43" t="s">
        <v>454</v>
      </c>
      <c r="AD492" s="43">
        <v>0</v>
      </c>
      <c r="AE492" s="44">
        <v>0</v>
      </c>
      <c r="AF492" s="44">
        <v>0</v>
      </c>
      <c r="AG492" s="43">
        <v>20296364215</v>
      </c>
      <c r="AH492" s="44">
        <v>0</v>
      </c>
      <c r="AI492" s="43">
        <f>AE492-AF492+AG492-AH492</f>
        <v>20296364215</v>
      </c>
      <c r="AJ492" s="43">
        <f>AD492+AI492</f>
        <v>20296364215</v>
      </c>
      <c r="AK492" s="44">
        <v>0</v>
      </c>
      <c r="AL492" s="44">
        <v>0</v>
      </c>
      <c r="AM492" s="43">
        <v>20296361142</v>
      </c>
      <c r="AN492" s="44">
        <v>0</v>
      </c>
      <c r="AO492" s="44">
        <v>0</v>
      </c>
      <c r="AP492" s="44">
        <v>0</v>
      </c>
      <c r="AQ492" s="44">
        <v>0</v>
      </c>
      <c r="AR492" s="44">
        <v>0</v>
      </c>
      <c r="AS492" s="44">
        <v>0</v>
      </c>
      <c r="AT492" s="40">
        <f t="shared" si="592"/>
        <v>0</v>
      </c>
      <c r="AU492" s="18">
        <f t="shared" si="597"/>
        <v>3073</v>
      </c>
      <c r="AV492" s="110">
        <f t="shared" si="598"/>
        <v>20296361142</v>
      </c>
      <c r="AW492" s="34">
        <f t="shared" si="599"/>
        <v>0</v>
      </c>
      <c r="AX492" s="123">
        <f t="shared" si="600"/>
        <v>0</v>
      </c>
    </row>
    <row r="493" spans="1:50" ht="18.75" customHeight="1" x14ac:dyDescent="0.2">
      <c r="AA493" s="28" t="s">
        <v>288</v>
      </c>
      <c r="AB493" s="29" t="s">
        <v>459</v>
      </c>
      <c r="AC493" s="17"/>
      <c r="AD493" s="18"/>
      <c r="AE493" s="34"/>
      <c r="AF493" s="34"/>
      <c r="AG493" s="18"/>
      <c r="AH493" s="34"/>
      <c r="AI493" s="18"/>
      <c r="AJ493" s="18"/>
      <c r="AK493" s="34"/>
      <c r="AL493" s="34"/>
      <c r="AM493" s="18"/>
      <c r="AN493" s="34"/>
      <c r="AO493" s="34"/>
      <c r="AP493" s="18"/>
      <c r="AQ493" s="34"/>
      <c r="AR493" s="34"/>
      <c r="AS493" s="34"/>
      <c r="AT493" s="40"/>
      <c r="AU493" s="18"/>
      <c r="AV493" s="18"/>
      <c r="AW493" s="18"/>
      <c r="AX493" s="18"/>
    </row>
    <row r="494" spans="1:50" ht="18.75" customHeight="1" x14ac:dyDescent="0.2">
      <c r="A494" s="4" t="s">
        <v>55</v>
      </c>
      <c r="B494" s="4" t="s">
        <v>56</v>
      </c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1" t="s">
        <v>460</v>
      </c>
      <c r="AB494" s="42" t="s">
        <v>233</v>
      </c>
      <c r="AC494" s="43" t="s">
        <v>58</v>
      </c>
      <c r="AD494" s="43">
        <v>867728401</v>
      </c>
      <c r="AE494" s="44">
        <v>0</v>
      </c>
      <c r="AF494" s="44">
        <v>0</v>
      </c>
      <c r="AG494" s="44">
        <v>0</v>
      </c>
      <c r="AH494" s="44">
        <v>0</v>
      </c>
      <c r="AI494" s="44">
        <v>0</v>
      </c>
      <c r="AJ494" s="43">
        <v>867728401</v>
      </c>
      <c r="AK494" s="44">
        <v>0</v>
      </c>
      <c r="AL494" s="44">
        <v>0</v>
      </c>
      <c r="AM494" s="43">
        <v>829015863.20000005</v>
      </c>
      <c r="AN494" s="44">
        <v>0</v>
      </c>
      <c r="AO494" s="44">
        <v>0</v>
      </c>
      <c r="AP494" s="43">
        <v>829015863.20000005</v>
      </c>
      <c r="AQ494" s="44">
        <v>0</v>
      </c>
      <c r="AR494" s="44">
        <v>0</v>
      </c>
      <c r="AS494" s="44">
        <v>0</v>
      </c>
      <c r="AT494" s="40">
        <f t="shared" si="592"/>
        <v>0</v>
      </c>
      <c r="AU494" s="18">
        <f t="shared" ref="AU494:AU495" si="601">AJ494-AM494</f>
        <v>38712537.799999952</v>
      </c>
      <c r="AV494" s="34">
        <f t="shared" ref="AV494:AV495" si="602">AM494-AP494</f>
        <v>0</v>
      </c>
      <c r="AW494" s="18">
        <f t="shared" ref="AW494:AW495" si="603">AP494-AT494</f>
        <v>829015863.20000005</v>
      </c>
      <c r="AX494" s="123">
        <f t="shared" ref="AX494:AX495" si="604">AP494/AJ494</f>
        <v>0.95538634236774289</v>
      </c>
    </row>
    <row r="495" spans="1:50" ht="18.75" customHeight="1" x14ac:dyDescent="0.2">
      <c r="A495" s="4" t="s">
        <v>55</v>
      </c>
      <c r="B495" s="4" t="s">
        <v>56</v>
      </c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1" t="s">
        <v>461</v>
      </c>
      <c r="AB495" s="42" t="s">
        <v>462</v>
      </c>
      <c r="AC495" s="43" t="s">
        <v>428</v>
      </c>
      <c r="AD495" s="43">
        <v>208691582</v>
      </c>
      <c r="AE495" s="44">
        <v>0</v>
      </c>
      <c r="AF495" s="44">
        <v>0</v>
      </c>
      <c r="AG495" s="44">
        <v>0</v>
      </c>
      <c r="AH495" s="44">
        <v>0</v>
      </c>
      <c r="AI495" s="44">
        <v>0</v>
      </c>
      <c r="AJ495" s="43">
        <v>208691582</v>
      </c>
      <c r="AK495" s="44">
        <v>0</v>
      </c>
      <c r="AL495" s="44">
        <v>0</v>
      </c>
      <c r="AM495" s="44">
        <v>0</v>
      </c>
      <c r="AN495" s="44">
        <v>0</v>
      </c>
      <c r="AO495" s="44">
        <v>0</v>
      </c>
      <c r="AP495" s="44">
        <v>0</v>
      </c>
      <c r="AQ495" s="44">
        <v>0</v>
      </c>
      <c r="AR495" s="44">
        <v>0</v>
      </c>
      <c r="AS495" s="44">
        <v>0</v>
      </c>
      <c r="AT495" s="40">
        <f t="shared" si="592"/>
        <v>0</v>
      </c>
      <c r="AU495" s="18">
        <f t="shared" si="601"/>
        <v>208691582</v>
      </c>
      <c r="AV495" s="34">
        <f t="shared" si="602"/>
        <v>0</v>
      </c>
      <c r="AW495" s="34">
        <f t="shared" si="603"/>
        <v>0</v>
      </c>
      <c r="AX495" s="123">
        <f t="shared" si="604"/>
        <v>0</v>
      </c>
    </row>
    <row r="496" spans="1:50" ht="18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73" t="s">
        <v>288</v>
      </c>
      <c r="AB496" s="74" t="s">
        <v>463</v>
      </c>
      <c r="AC496" s="43"/>
      <c r="AD496" s="43"/>
      <c r="AE496" s="44"/>
      <c r="AF496" s="44"/>
      <c r="AG496" s="43"/>
      <c r="AH496" s="44"/>
      <c r="AI496" s="43"/>
      <c r="AJ496" s="43"/>
      <c r="AK496" s="44"/>
      <c r="AL496" s="44"/>
      <c r="AM496" s="44"/>
      <c r="AN496" s="44"/>
      <c r="AO496" s="44"/>
      <c r="AP496" s="44"/>
      <c r="AQ496" s="44"/>
      <c r="AR496" s="44"/>
      <c r="AS496" s="44"/>
      <c r="AT496" s="40"/>
      <c r="AU496" s="43"/>
      <c r="AV496" s="44"/>
      <c r="AW496" s="44"/>
      <c r="AX496" s="43"/>
    </row>
    <row r="497" spans="1:50" ht="18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134" t="s">
        <v>464</v>
      </c>
      <c r="AB497" s="17" t="s">
        <v>458</v>
      </c>
      <c r="AC497" s="43"/>
      <c r="AD497" s="44">
        <v>0</v>
      </c>
      <c r="AE497" s="44">
        <v>0</v>
      </c>
      <c r="AF497" s="44">
        <v>0</v>
      </c>
      <c r="AG497" s="43">
        <v>1555449996</v>
      </c>
      <c r="AH497" s="44">
        <v>0</v>
      </c>
      <c r="AI497" s="43">
        <f>AE497-AF497+AG497-AH497</f>
        <v>1555449996</v>
      </c>
      <c r="AJ497" s="43">
        <f>AD497+AI497</f>
        <v>1555449996</v>
      </c>
      <c r="AK497" s="44">
        <v>0</v>
      </c>
      <c r="AL497" s="44">
        <v>0</v>
      </c>
      <c r="AM497" s="44">
        <v>0</v>
      </c>
      <c r="AN497" s="44">
        <v>0</v>
      </c>
      <c r="AO497" s="44">
        <v>0</v>
      </c>
      <c r="AP497" s="44">
        <v>0</v>
      </c>
      <c r="AQ497" s="44">
        <v>0</v>
      </c>
      <c r="AR497" s="44">
        <v>0</v>
      </c>
      <c r="AS497" s="44">
        <v>0</v>
      </c>
      <c r="AT497" s="40">
        <f>AQ497+AS497</f>
        <v>0</v>
      </c>
      <c r="AU497" s="18">
        <f t="shared" ref="AU497" si="605">AJ497-AM497</f>
        <v>1555449996</v>
      </c>
      <c r="AV497" s="34">
        <f t="shared" ref="AV497" si="606">AM497-AP497</f>
        <v>0</v>
      </c>
      <c r="AW497" s="34">
        <f t="shared" ref="AW497" si="607">AP497-AT497</f>
        <v>0</v>
      </c>
      <c r="AX497" s="123">
        <f t="shared" ref="AX497" si="608">AP497/AJ497</f>
        <v>0</v>
      </c>
    </row>
    <row r="498" spans="1:50" ht="18.75" customHeight="1" x14ac:dyDescent="0.2">
      <c r="AA498" s="28" t="s">
        <v>288</v>
      </c>
      <c r="AB498" s="29" t="s">
        <v>465</v>
      </c>
      <c r="AC498" s="17"/>
      <c r="AD498" s="18"/>
      <c r="AE498" s="34"/>
      <c r="AF498" s="34"/>
      <c r="AG498" s="18"/>
      <c r="AH498" s="34"/>
      <c r="AI498" s="18"/>
      <c r="AJ498" s="18"/>
      <c r="AK498" s="34"/>
      <c r="AL498" s="34"/>
      <c r="AM498" s="34"/>
      <c r="AN498" s="34"/>
      <c r="AO498" s="34"/>
      <c r="AP498" s="34"/>
      <c r="AQ498" s="34"/>
      <c r="AR498" s="34"/>
      <c r="AS498" s="34"/>
      <c r="AT498" s="40"/>
      <c r="AU498" s="18"/>
      <c r="AV498" s="34"/>
      <c r="AW498" s="34"/>
      <c r="AX498" s="18"/>
    </row>
    <row r="499" spans="1:50" ht="18.75" customHeight="1" x14ac:dyDescent="0.2">
      <c r="A499" s="4" t="s">
        <v>55</v>
      </c>
      <c r="B499" s="4" t="s">
        <v>56</v>
      </c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1" t="s">
        <v>466</v>
      </c>
      <c r="AB499" s="42" t="s">
        <v>233</v>
      </c>
      <c r="AC499" s="43" t="s">
        <v>58</v>
      </c>
      <c r="AD499" s="44">
        <v>0</v>
      </c>
      <c r="AE499" s="44">
        <v>0</v>
      </c>
      <c r="AF499" s="44">
        <v>0</v>
      </c>
      <c r="AG499" s="43">
        <v>95000000</v>
      </c>
      <c r="AH499" s="44">
        <v>0</v>
      </c>
      <c r="AI499" s="43">
        <f>AE499-AF499+AG499-AH499</f>
        <v>95000000</v>
      </c>
      <c r="AJ499" s="43">
        <f>AD499+AI499</f>
        <v>95000000</v>
      </c>
      <c r="AK499" s="44">
        <v>0</v>
      </c>
      <c r="AL499" s="114">
        <v>0</v>
      </c>
      <c r="AM499" s="114">
        <v>94976390.849999994</v>
      </c>
      <c r="AN499" s="44">
        <v>0</v>
      </c>
      <c r="AO499" s="114">
        <v>0</v>
      </c>
      <c r="AP499" s="114">
        <v>94976390.849999994</v>
      </c>
      <c r="AQ499" s="44">
        <v>0</v>
      </c>
      <c r="AR499" s="44">
        <v>0</v>
      </c>
      <c r="AS499" s="44">
        <v>0</v>
      </c>
      <c r="AT499" s="40">
        <f>AQ499+AS499</f>
        <v>0</v>
      </c>
      <c r="AU499" s="18">
        <f t="shared" ref="AU499" si="609">AJ499-AM499</f>
        <v>23609.15000000596</v>
      </c>
      <c r="AV499" s="34">
        <f t="shared" ref="AV499" si="610">AM499-AP499</f>
        <v>0</v>
      </c>
      <c r="AW499" s="110">
        <f t="shared" ref="AW499" si="611">AP499-AT499</f>
        <v>94976390.849999994</v>
      </c>
      <c r="AX499" s="123">
        <f t="shared" ref="AX499" si="612">AP499/AJ499</f>
        <v>0.99975148263157887</v>
      </c>
    </row>
    <row r="500" spans="1:50" ht="18.75" customHeight="1" x14ac:dyDescent="0.2">
      <c r="AA500" s="16"/>
      <c r="AB500" s="29" t="s">
        <v>467</v>
      </c>
      <c r="AC500" s="17"/>
      <c r="AD500" s="34"/>
      <c r="AE500" s="34"/>
      <c r="AF500" s="34"/>
      <c r="AG500" s="18"/>
      <c r="AH500" s="34"/>
      <c r="AI500" s="18"/>
      <c r="AJ500" s="18"/>
      <c r="AK500" s="34"/>
      <c r="AL500" s="34"/>
      <c r="AM500" s="34"/>
      <c r="AN500" s="34"/>
      <c r="AO500" s="34"/>
      <c r="AP500" s="34"/>
      <c r="AQ500" s="34"/>
      <c r="AR500" s="34"/>
      <c r="AS500" s="34"/>
      <c r="AT500" s="40"/>
      <c r="AU500" s="18"/>
      <c r="AV500" s="34"/>
      <c r="AW500" s="34"/>
      <c r="AX500" s="18"/>
    </row>
    <row r="501" spans="1:50" ht="18.75" customHeight="1" x14ac:dyDescent="0.2">
      <c r="A501" s="4" t="s">
        <v>55</v>
      </c>
      <c r="B501" s="4" t="s">
        <v>56</v>
      </c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1" t="s">
        <v>468</v>
      </c>
      <c r="AB501" s="42" t="s">
        <v>458</v>
      </c>
      <c r="AC501" s="43" t="s">
        <v>454</v>
      </c>
      <c r="AD501" s="44">
        <v>0</v>
      </c>
      <c r="AE501" s="44">
        <v>0</v>
      </c>
      <c r="AF501" s="44">
        <v>0</v>
      </c>
      <c r="AG501" s="43">
        <v>1331864802</v>
      </c>
      <c r="AH501" s="44">
        <v>0</v>
      </c>
      <c r="AI501" s="43">
        <f>AE501-AF501+AG501-AH501</f>
        <v>1331864802</v>
      </c>
      <c r="AJ501" s="43">
        <f>AD501+AI501</f>
        <v>1331864802</v>
      </c>
      <c r="AK501" s="43">
        <v>0</v>
      </c>
      <c r="AL501" s="43">
        <v>1234550713.8599999</v>
      </c>
      <c r="AM501" s="43">
        <v>1234550713.8599999</v>
      </c>
      <c r="AN501" s="43">
        <v>0</v>
      </c>
      <c r="AO501" s="43">
        <v>0</v>
      </c>
      <c r="AP501" s="43">
        <v>0</v>
      </c>
      <c r="AQ501" s="43">
        <v>0</v>
      </c>
      <c r="AR501" s="43">
        <v>0</v>
      </c>
      <c r="AS501" s="43">
        <v>0</v>
      </c>
      <c r="AT501" s="40">
        <f>AQ501+AS501</f>
        <v>0</v>
      </c>
      <c r="AU501" s="18">
        <f t="shared" ref="AU501" si="613">AJ501-AM501</f>
        <v>97314088.140000105</v>
      </c>
      <c r="AV501" s="18">
        <f t="shared" ref="AV501" si="614">AM501-AP501</f>
        <v>1234550713.8599999</v>
      </c>
      <c r="AW501" s="34">
        <f t="shared" ref="AW501" si="615">AP501-AT501</f>
        <v>0</v>
      </c>
      <c r="AX501" s="123">
        <f t="shared" ref="AX501" si="616">AP501/AJ501</f>
        <v>0</v>
      </c>
    </row>
    <row r="502" spans="1:50" ht="18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170" t="s">
        <v>288</v>
      </c>
      <c r="AB502" s="170" t="s">
        <v>970</v>
      </c>
      <c r="AC502" s="168"/>
      <c r="AD502" s="44"/>
      <c r="AE502" s="44"/>
      <c r="AF502" s="44"/>
      <c r="AG502" s="43"/>
      <c r="AH502" s="44"/>
      <c r="AI502" s="43"/>
      <c r="AJ502" s="43"/>
      <c r="AK502" s="44"/>
      <c r="AL502" s="44"/>
      <c r="AM502" s="44"/>
      <c r="AN502" s="44"/>
      <c r="AO502" s="44"/>
      <c r="AP502" s="44"/>
      <c r="AQ502" s="44"/>
      <c r="AR502" s="44"/>
      <c r="AS502" s="44"/>
      <c r="AT502" s="40"/>
      <c r="AU502" s="18"/>
      <c r="AV502" s="34"/>
      <c r="AW502" s="34"/>
      <c r="AX502" s="123"/>
    </row>
    <row r="503" spans="1:50" ht="18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166" t="s">
        <v>969</v>
      </c>
      <c r="AB503" s="166" t="s">
        <v>233</v>
      </c>
      <c r="AC503" s="168"/>
      <c r="AD503" s="44">
        <v>0</v>
      </c>
      <c r="AE503" s="44">
        <v>0</v>
      </c>
      <c r="AF503" s="44">
        <v>0</v>
      </c>
      <c r="AG503" s="43">
        <v>138279379</v>
      </c>
      <c r="AH503" s="44"/>
      <c r="AI503" s="43">
        <f>AE503-AF503+AG503-AH503</f>
        <v>138279379</v>
      </c>
      <c r="AJ503" s="43">
        <f>AD503+AI503</f>
        <v>138279379</v>
      </c>
      <c r="AK503" s="44">
        <v>0</v>
      </c>
      <c r="AL503" s="44">
        <v>0</v>
      </c>
      <c r="AM503" s="44">
        <v>0</v>
      </c>
      <c r="AN503" s="44">
        <v>0</v>
      </c>
      <c r="AO503" s="44">
        <v>0</v>
      </c>
      <c r="AP503" s="44">
        <v>0</v>
      </c>
      <c r="AQ503" s="44">
        <v>0</v>
      </c>
      <c r="AR503" s="44">
        <v>0</v>
      </c>
      <c r="AS503" s="44">
        <v>0</v>
      </c>
      <c r="AT503" s="40">
        <f>AQ503+AS503</f>
        <v>0</v>
      </c>
      <c r="AU503" s="18">
        <f t="shared" ref="AU503" si="617">AJ503-AM503</f>
        <v>138279379</v>
      </c>
      <c r="AV503" s="18">
        <f t="shared" ref="AV503" si="618">AM503-AP503</f>
        <v>0</v>
      </c>
      <c r="AW503" s="34">
        <f t="shared" ref="AW503" si="619">AP503-AT503</f>
        <v>0</v>
      </c>
      <c r="AX503" s="123">
        <f t="shared" ref="AX503" si="620">AP503/AJ503</f>
        <v>0</v>
      </c>
    </row>
    <row r="504" spans="1:50" ht="18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171" t="s">
        <v>288</v>
      </c>
      <c r="AB504" s="171" t="s">
        <v>971</v>
      </c>
      <c r="AC504" s="168"/>
      <c r="AD504" s="44"/>
      <c r="AE504" s="44"/>
      <c r="AF504" s="44"/>
      <c r="AG504" s="43"/>
      <c r="AH504" s="44"/>
      <c r="AI504" s="43"/>
      <c r="AJ504" s="43"/>
      <c r="AK504" s="44"/>
      <c r="AL504" s="44"/>
      <c r="AM504" s="44"/>
      <c r="AN504" s="44"/>
      <c r="AO504" s="44"/>
      <c r="AP504" s="44"/>
      <c r="AQ504" s="44"/>
      <c r="AR504" s="44"/>
      <c r="AS504" s="44"/>
      <c r="AT504" s="40"/>
      <c r="AU504" s="18"/>
      <c r="AV504" s="34"/>
      <c r="AW504" s="34"/>
      <c r="AX504" s="123"/>
    </row>
    <row r="505" spans="1:50" ht="18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166" t="s">
        <v>968</v>
      </c>
      <c r="AB505" s="166" t="s">
        <v>233</v>
      </c>
      <c r="AC505" s="168"/>
      <c r="AD505" s="44">
        <v>0</v>
      </c>
      <c r="AE505" s="44">
        <v>0</v>
      </c>
      <c r="AF505" s="44">
        <v>0</v>
      </c>
      <c r="AG505" s="43">
        <v>610000000</v>
      </c>
      <c r="AH505" s="44"/>
      <c r="AI505" s="43">
        <f>AE505-AF505+AG505-AH505</f>
        <v>610000000</v>
      </c>
      <c r="AJ505" s="43">
        <f>AD505+AI505</f>
        <v>610000000</v>
      </c>
      <c r="AK505" s="44">
        <v>0</v>
      </c>
      <c r="AL505" s="44">
        <v>0</v>
      </c>
      <c r="AM505" s="44">
        <v>0</v>
      </c>
      <c r="AN505" s="44">
        <v>0</v>
      </c>
      <c r="AO505" s="44">
        <v>0</v>
      </c>
      <c r="AP505" s="44">
        <v>0</v>
      </c>
      <c r="AQ505" s="44">
        <v>0</v>
      </c>
      <c r="AR505" s="44">
        <v>0</v>
      </c>
      <c r="AS505" s="44">
        <v>0</v>
      </c>
      <c r="AT505" s="40">
        <f>AQ505+AS505</f>
        <v>0</v>
      </c>
      <c r="AU505" s="18">
        <f t="shared" ref="AU505" si="621">AJ505-AM505</f>
        <v>610000000</v>
      </c>
      <c r="AV505" s="34">
        <f t="shared" ref="AV505" si="622">AM505-AP505</f>
        <v>0</v>
      </c>
      <c r="AW505" s="34">
        <f t="shared" ref="AW505" si="623">AP505-AT505</f>
        <v>0</v>
      </c>
      <c r="AX505" s="123">
        <f t="shared" ref="AX505" si="624">AP505/AJ505</f>
        <v>0</v>
      </c>
    </row>
    <row r="506" spans="1:50" ht="18.75" customHeight="1" x14ac:dyDescent="0.2">
      <c r="AA506" s="169" t="s">
        <v>288</v>
      </c>
      <c r="AB506" s="163" t="s">
        <v>469</v>
      </c>
      <c r="AC506" s="17"/>
      <c r="AD506" s="18"/>
      <c r="AE506" s="18"/>
      <c r="AF506" s="18"/>
      <c r="AG506" s="18"/>
      <c r="AH506" s="34"/>
      <c r="AI506" s="18"/>
      <c r="AJ506" s="18"/>
      <c r="AK506" s="34"/>
      <c r="AL506" s="34"/>
      <c r="AM506" s="34"/>
      <c r="AN506" s="34"/>
      <c r="AO506" s="34"/>
      <c r="AP506" s="34"/>
      <c r="AQ506" s="34"/>
      <c r="AR506" s="34"/>
      <c r="AS506" s="34"/>
      <c r="AT506" s="40"/>
      <c r="AU506" s="18"/>
      <c r="AV506" s="34"/>
      <c r="AW506" s="18"/>
      <c r="AX506" s="18"/>
    </row>
    <row r="507" spans="1:50" ht="18.75" customHeight="1" x14ac:dyDescent="0.2">
      <c r="A507" s="4" t="s">
        <v>55</v>
      </c>
      <c r="B507" s="4" t="s">
        <v>56</v>
      </c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1" t="s">
        <v>470</v>
      </c>
      <c r="AB507" s="42" t="s">
        <v>233</v>
      </c>
      <c r="AC507" s="43" t="s">
        <v>58</v>
      </c>
      <c r="AD507" s="43">
        <v>128000000</v>
      </c>
      <c r="AE507" s="44">
        <v>0</v>
      </c>
      <c r="AF507" s="44">
        <v>0</v>
      </c>
      <c r="AG507" s="44">
        <v>0</v>
      </c>
      <c r="AH507" s="44">
        <v>0</v>
      </c>
      <c r="AI507" s="44">
        <v>0</v>
      </c>
      <c r="AJ507" s="43">
        <v>128000000</v>
      </c>
      <c r="AK507" s="44">
        <v>0</v>
      </c>
      <c r="AL507" s="44">
        <v>0</v>
      </c>
      <c r="AM507" s="44">
        <v>0</v>
      </c>
      <c r="AN507" s="44">
        <v>0</v>
      </c>
      <c r="AO507" s="44">
        <v>0</v>
      </c>
      <c r="AP507" s="44">
        <v>0</v>
      </c>
      <c r="AQ507" s="44">
        <v>0</v>
      </c>
      <c r="AR507" s="44">
        <v>0</v>
      </c>
      <c r="AS507" s="44">
        <v>0</v>
      </c>
      <c r="AT507" s="40">
        <f>AQ507+AS507</f>
        <v>0</v>
      </c>
      <c r="AU507" s="18">
        <f t="shared" ref="AU507" si="625">AJ507-AM507</f>
        <v>128000000</v>
      </c>
      <c r="AV507" s="34">
        <f t="shared" ref="AV507" si="626">AM507-AP507</f>
        <v>0</v>
      </c>
      <c r="AW507" s="34">
        <f t="shared" ref="AW507" si="627">AP507-AT507</f>
        <v>0</v>
      </c>
      <c r="AX507" s="123">
        <f t="shared" ref="AX507" si="628">AP507/AJ507</f>
        <v>0</v>
      </c>
    </row>
    <row r="508" spans="1:50" ht="18.75" customHeight="1" x14ac:dyDescent="0.2">
      <c r="AA508" s="28" t="s">
        <v>288</v>
      </c>
      <c r="AB508" s="29" t="s">
        <v>471</v>
      </c>
      <c r="AC508" s="17"/>
      <c r="AD508" s="18"/>
      <c r="AE508" s="34"/>
      <c r="AF508" s="34"/>
      <c r="AG508" s="34"/>
      <c r="AH508" s="18"/>
      <c r="AI508" s="18"/>
      <c r="AJ508" s="18"/>
      <c r="AK508" s="34"/>
      <c r="AL508" s="34"/>
      <c r="AM508" s="34"/>
      <c r="AN508" s="34"/>
      <c r="AO508" s="34"/>
      <c r="AP508" s="34"/>
      <c r="AQ508" s="34"/>
      <c r="AR508" s="34"/>
      <c r="AS508" s="34"/>
      <c r="AT508" s="40"/>
      <c r="AU508" s="18"/>
      <c r="AV508" s="34"/>
      <c r="AW508" s="34"/>
      <c r="AX508" s="18"/>
    </row>
    <row r="509" spans="1:50" ht="18.75" customHeight="1" x14ac:dyDescent="0.2">
      <c r="A509" s="4" t="s">
        <v>55</v>
      </c>
      <c r="B509" s="4" t="s">
        <v>56</v>
      </c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1" t="s">
        <v>472</v>
      </c>
      <c r="AB509" s="42" t="s">
        <v>453</v>
      </c>
      <c r="AC509" s="43" t="s">
        <v>454</v>
      </c>
      <c r="AD509" s="43">
        <v>16500000000</v>
      </c>
      <c r="AE509" s="44">
        <v>0</v>
      </c>
      <c r="AF509" s="44">
        <v>0</v>
      </c>
      <c r="AG509" s="44">
        <v>0</v>
      </c>
      <c r="AH509" s="43">
        <v>16500000000</v>
      </c>
      <c r="AI509" s="43">
        <f>AE509-AF509+AG509-AH509</f>
        <v>-16500000000</v>
      </c>
      <c r="AJ509" s="44">
        <f>AD509+AI509</f>
        <v>0</v>
      </c>
      <c r="AK509" s="44">
        <v>0</v>
      </c>
      <c r="AL509" s="44">
        <v>0</v>
      </c>
      <c r="AM509" s="44">
        <v>0</v>
      </c>
      <c r="AN509" s="44">
        <v>0</v>
      </c>
      <c r="AO509" s="44">
        <v>0</v>
      </c>
      <c r="AP509" s="44">
        <v>0</v>
      </c>
      <c r="AQ509" s="44">
        <v>0</v>
      </c>
      <c r="AR509" s="44">
        <v>0</v>
      </c>
      <c r="AS509" s="44">
        <v>0</v>
      </c>
      <c r="AT509" s="40">
        <f>AQ509+AS509</f>
        <v>0</v>
      </c>
      <c r="AU509" s="34">
        <f t="shared" ref="AU509" si="629">AJ509-AM509</f>
        <v>0</v>
      </c>
      <c r="AV509" s="34">
        <f t="shared" ref="AV509" si="630">AM509-AP509</f>
        <v>0</v>
      </c>
      <c r="AW509" s="34">
        <f t="shared" ref="AW509" si="631">AP509-AT509</f>
        <v>0</v>
      </c>
      <c r="AX509" s="123">
        <v>0</v>
      </c>
    </row>
    <row r="510" spans="1:50" ht="25.5" x14ac:dyDescent="0.2">
      <c r="AA510" s="28" t="s">
        <v>288</v>
      </c>
      <c r="AB510" s="29" t="s">
        <v>473</v>
      </c>
      <c r="AC510" s="17"/>
      <c r="AD510" s="18"/>
      <c r="AE510" s="18"/>
      <c r="AF510" s="18"/>
      <c r="AG510" s="18"/>
      <c r="AH510" s="18"/>
      <c r="AI510" s="18"/>
      <c r="AJ510" s="18"/>
      <c r="AK510" s="34"/>
      <c r="AL510" s="34"/>
      <c r="AM510" s="34"/>
      <c r="AN510" s="34"/>
      <c r="AO510" s="34"/>
      <c r="AP510" s="34"/>
      <c r="AQ510" s="18"/>
      <c r="AR510" s="18"/>
      <c r="AS510" s="18"/>
      <c r="AT510" s="40"/>
      <c r="AU510" s="18"/>
      <c r="AV510" s="34"/>
      <c r="AW510" s="34"/>
      <c r="AX510" s="18"/>
    </row>
    <row r="511" spans="1:50" ht="18.75" customHeight="1" x14ac:dyDescent="0.2">
      <c r="A511" s="4" t="s">
        <v>55</v>
      </c>
      <c r="B511" s="4" t="s">
        <v>56</v>
      </c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1" t="s">
        <v>474</v>
      </c>
      <c r="AB511" s="42" t="s">
        <v>233</v>
      </c>
      <c r="AC511" s="43" t="s">
        <v>58</v>
      </c>
      <c r="AD511" s="44">
        <v>0</v>
      </c>
      <c r="AE511" s="44">
        <v>0</v>
      </c>
      <c r="AF511" s="44">
        <v>0</v>
      </c>
      <c r="AG511" s="43">
        <v>22204778</v>
      </c>
      <c r="AH511" s="44">
        <v>0</v>
      </c>
      <c r="AI511" s="43">
        <f>AE511-AF511+AG511-AH511</f>
        <v>22204778</v>
      </c>
      <c r="AJ511" s="43">
        <f>AD511+AI511</f>
        <v>22204778</v>
      </c>
      <c r="AK511" s="44">
        <v>0</v>
      </c>
      <c r="AL511" s="44">
        <v>0</v>
      </c>
      <c r="AM511" s="44">
        <v>0</v>
      </c>
      <c r="AN511" s="44">
        <v>0</v>
      </c>
      <c r="AO511" s="44">
        <v>0</v>
      </c>
      <c r="AP511" s="44">
        <v>0</v>
      </c>
      <c r="AQ511" s="44">
        <v>0</v>
      </c>
      <c r="AR511" s="44">
        <v>0</v>
      </c>
      <c r="AS511" s="44">
        <v>0</v>
      </c>
      <c r="AT511" s="40">
        <f>AQ511+AS511</f>
        <v>0</v>
      </c>
      <c r="AU511" s="18">
        <f t="shared" ref="AU511" si="632">AJ511-AM511</f>
        <v>22204778</v>
      </c>
      <c r="AV511" s="34">
        <f t="shared" ref="AV511" si="633">AM511-AP511</f>
        <v>0</v>
      </c>
      <c r="AW511" s="34">
        <f t="shared" ref="AW511" si="634">AP511-AT511</f>
        <v>0</v>
      </c>
      <c r="AX511" s="123">
        <f t="shared" ref="AX511" si="635">AP511/AJ511</f>
        <v>0</v>
      </c>
    </row>
    <row r="512" spans="1:50" x14ac:dyDescent="0.2">
      <c r="AA512" s="16"/>
      <c r="AB512" s="29" t="s">
        <v>475</v>
      </c>
      <c r="AC512" s="17"/>
      <c r="AD512" s="34"/>
      <c r="AE512" s="34"/>
      <c r="AF512" s="34"/>
      <c r="AG512" s="18"/>
      <c r="AH512" s="34"/>
      <c r="AI512" s="18"/>
      <c r="AJ512" s="18"/>
      <c r="AK512" s="34"/>
      <c r="AL512" s="34"/>
      <c r="AM512" s="34"/>
      <c r="AN512" s="34"/>
      <c r="AO512" s="34"/>
      <c r="AP512" s="34"/>
      <c r="AQ512" s="34"/>
      <c r="AR512" s="34"/>
      <c r="AS512" s="34"/>
      <c r="AT512" s="40"/>
      <c r="AU512" s="18"/>
      <c r="AV512" s="34"/>
      <c r="AW512" s="18"/>
      <c r="AX512" s="18"/>
    </row>
    <row r="513" spans="1:50" x14ac:dyDescent="0.2">
      <c r="A513" s="4" t="s">
        <v>55</v>
      </c>
      <c r="B513" s="4" t="s">
        <v>56</v>
      </c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1" t="s">
        <v>476</v>
      </c>
      <c r="AB513" s="42" t="s">
        <v>458</v>
      </c>
      <c r="AC513" s="43" t="s">
        <v>454</v>
      </c>
      <c r="AD513" s="44">
        <v>0</v>
      </c>
      <c r="AE513" s="44">
        <v>0</v>
      </c>
      <c r="AF513" s="44">
        <v>0</v>
      </c>
      <c r="AG513" s="43">
        <v>3975320525</v>
      </c>
      <c r="AH513" s="44">
        <v>0</v>
      </c>
      <c r="AI513" s="43">
        <f>AE513-AF513+AG513-AH513</f>
        <v>3975320525</v>
      </c>
      <c r="AJ513" s="43">
        <f>AD513+AI513</f>
        <v>3975320525</v>
      </c>
      <c r="AK513" s="115">
        <v>0</v>
      </c>
      <c r="AL513" s="114">
        <v>0</v>
      </c>
      <c r="AM513" s="114">
        <v>3726948730</v>
      </c>
      <c r="AN513" s="44">
        <v>0</v>
      </c>
      <c r="AO513" s="44">
        <v>0</v>
      </c>
      <c r="AP513" s="44">
        <v>0</v>
      </c>
      <c r="AQ513" s="44">
        <v>0</v>
      </c>
      <c r="AR513" s="44">
        <v>0</v>
      </c>
      <c r="AS513" s="44">
        <v>0</v>
      </c>
      <c r="AT513" s="40">
        <f>AQ513+AS513</f>
        <v>0</v>
      </c>
      <c r="AU513" s="18">
        <f t="shared" ref="AU513" si="636">AJ513-AM513</f>
        <v>248371795</v>
      </c>
      <c r="AV513" s="110">
        <f t="shared" ref="AV513" si="637">AM513-AP513</f>
        <v>3726948730</v>
      </c>
      <c r="AW513" s="34">
        <f t="shared" ref="AW513" si="638">AP513-AT513</f>
        <v>0</v>
      </c>
      <c r="AX513" s="123">
        <f t="shared" ref="AX513" si="639">AP513/AJ513</f>
        <v>0</v>
      </c>
    </row>
    <row r="514" spans="1:50" ht="25.5" x14ac:dyDescent="0.2">
      <c r="AA514" s="28" t="s">
        <v>288</v>
      </c>
      <c r="AB514" s="29" t="s">
        <v>477</v>
      </c>
      <c r="AC514" s="17"/>
      <c r="AD514" s="18"/>
      <c r="AE514" s="18"/>
      <c r="AF514" s="18"/>
      <c r="AG514" s="18"/>
      <c r="AH514" s="18"/>
      <c r="AI514" s="18"/>
      <c r="AJ514" s="18"/>
      <c r="AK514" s="34"/>
      <c r="AL514" s="18"/>
      <c r="AM514" s="18"/>
      <c r="AN514" s="18"/>
      <c r="AO514" s="18"/>
      <c r="AP514" s="18"/>
      <c r="AQ514" s="34"/>
      <c r="AR514" s="34"/>
      <c r="AS514" s="34"/>
      <c r="AT514" s="40"/>
      <c r="AU514" s="18"/>
      <c r="AV514" s="18"/>
      <c r="AW514" s="18"/>
      <c r="AX514" s="18"/>
    </row>
    <row r="515" spans="1:50" x14ac:dyDescent="0.2">
      <c r="A515" s="4" t="s">
        <v>55</v>
      </c>
      <c r="B515" s="4" t="s">
        <v>56</v>
      </c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1" t="s">
        <v>478</v>
      </c>
      <c r="AB515" s="42" t="s">
        <v>233</v>
      </c>
      <c r="AC515" s="43" t="s">
        <v>58</v>
      </c>
      <c r="AD515" s="43">
        <v>389814494</v>
      </c>
      <c r="AE515" s="44">
        <v>0</v>
      </c>
      <c r="AF515" s="44">
        <v>0</v>
      </c>
      <c r="AG515" s="44">
        <v>0</v>
      </c>
      <c r="AH515" s="44">
        <v>0</v>
      </c>
      <c r="AI515" s="44">
        <v>0</v>
      </c>
      <c r="AJ515" s="43">
        <v>389814494</v>
      </c>
      <c r="AK515" s="44">
        <v>0</v>
      </c>
      <c r="AL515" s="44">
        <v>0</v>
      </c>
      <c r="AM515" s="43">
        <v>355292091</v>
      </c>
      <c r="AN515" s="44">
        <v>0</v>
      </c>
      <c r="AO515" s="43">
        <v>0</v>
      </c>
      <c r="AP515" s="43">
        <v>355292091</v>
      </c>
      <c r="AQ515" s="44">
        <v>0</v>
      </c>
      <c r="AR515" s="44">
        <v>0</v>
      </c>
      <c r="AS515" s="44">
        <v>0</v>
      </c>
      <c r="AT515" s="40">
        <f>AQ515+AS515</f>
        <v>0</v>
      </c>
      <c r="AU515" s="18">
        <f t="shared" ref="AU515:AU516" si="640">AJ515-AM515</f>
        <v>34522403</v>
      </c>
      <c r="AV515" s="34">
        <f t="shared" ref="AV515:AV516" si="641">AM515-AP515</f>
        <v>0</v>
      </c>
      <c r="AW515" s="18">
        <f t="shared" ref="AW515:AW516" si="642">AP515-AT515</f>
        <v>355292091</v>
      </c>
      <c r="AX515" s="123">
        <f t="shared" ref="AX515:AX516" si="643">AP515/AJ515</f>
        <v>0.91143889329061223</v>
      </c>
    </row>
    <row r="516" spans="1:50" ht="25.5" x14ac:dyDescent="0.2">
      <c r="A516" s="4" t="s">
        <v>55</v>
      </c>
      <c r="B516" s="4" t="s">
        <v>56</v>
      </c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1" t="s">
        <v>479</v>
      </c>
      <c r="AB516" s="42" t="s">
        <v>480</v>
      </c>
      <c r="AC516" s="43" t="s">
        <v>368</v>
      </c>
      <c r="AD516" s="43">
        <v>88687399.159999996</v>
      </c>
      <c r="AE516" s="44">
        <v>0</v>
      </c>
      <c r="AF516" s="44">
        <v>0</v>
      </c>
      <c r="AG516" s="44">
        <v>0</v>
      </c>
      <c r="AH516" s="44">
        <v>0</v>
      </c>
      <c r="AI516" s="44">
        <v>0</v>
      </c>
      <c r="AJ516" s="43">
        <v>88687399.159999996</v>
      </c>
      <c r="AK516" s="44">
        <v>0</v>
      </c>
      <c r="AL516" s="44">
        <v>0</v>
      </c>
      <c r="AM516" s="43">
        <v>56565934</v>
      </c>
      <c r="AN516" s="44">
        <v>0</v>
      </c>
      <c r="AO516" s="43">
        <v>0</v>
      </c>
      <c r="AP516" s="43">
        <v>56565934</v>
      </c>
      <c r="AQ516" s="44">
        <v>30903467</v>
      </c>
      <c r="AR516" s="44">
        <v>0</v>
      </c>
      <c r="AS516" s="44">
        <v>0</v>
      </c>
      <c r="AT516" s="40">
        <f>AQ516+AS516</f>
        <v>30903467</v>
      </c>
      <c r="AU516" s="18">
        <f t="shared" si="640"/>
        <v>32121465.159999996</v>
      </c>
      <c r="AV516" s="34">
        <f t="shared" si="641"/>
        <v>0</v>
      </c>
      <c r="AW516" s="18">
        <f t="shared" si="642"/>
        <v>25662467</v>
      </c>
      <c r="AX516" s="123">
        <f t="shared" si="643"/>
        <v>0.63781252506852748</v>
      </c>
    </row>
    <row r="517" spans="1:50" ht="25.5" x14ac:dyDescent="0.2">
      <c r="AA517" s="28" t="s">
        <v>288</v>
      </c>
      <c r="AB517" s="29" t="s">
        <v>481</v>
      </c>
      <c r="AC517" s="17"/>
      <c r="AD517" s="18"/>
      <c r="AE517" s="18"/>
      <c r="AF517" s="18"/>
      <c r="AG517" s="18"/>
      <c r="AH517" s="18"/>
      <c r="AI517" s="18"/>
      <c r="AJ517" s="18"/>
      <c r="AK517" s="34"/>
      <c r="AL517" s="34"/>
      <c r="AM517" s="18"/>
      <c r="AN517" s="34"/>
      <c r="AO517" s="18"/>
      <c r="AP517" s="18"/>
      <c r="AQ517" s="34"/>
      <c r="AR517" s="34"/>
      <c r="AS517" s="34"/>
      <c r="AT517" s="40"/>
      <c r="AU517" s="18"/>
      <c r="AV517" s="18"/>
      <c r="AW517" s="18"/>
      <c r="AX517" s="18"/>
    </row>
    <row r="518" spans="1:50" x14ac:dyDescent="0.2">
      <c r="A518" s="4" t="s">
        <v>55</v>
      </c>
      <c r="B518" s="4" t="s">
        <v>56</v>
      </c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1" t="s">
        <v>482</v>
      </c>
      <c r="AB518" s="42" t="s">
        <v>233</v>
      </c>
      <c r="AC518" s="43" t="s">
        <v>58</v>
      </c>
      <c r="AD518" s="43">
        <v>732098782</v>
      </c>
      <c r="AE518" s="44">
        <v>0</v>
      </c>
      <c r="AF518" s="44">
        <v>0</v>
      </c>
      <c r="AG518" s="44">
        <v>0</v>
      </c>
      <c r="AH518" s="44">
        <v>0</v>
      </c>
      <c r="AI518" s="44">
        <v>0</v>
      </c>
      <c r="AJ518" s="43">
        <v>732098782</v>
      </c>
      <c r="AK518" s="44">
        <v>0</v>
      </c>
      <c r="AL518" s="44">
        <f>AM518-[1]ENERO!O501</f>
        <v>0</v>
      </c>
      <c r="AM518" s="43">
        <v>658085546</v>
      </c>
      <c r="AN518" s="44">
        <v>0</v>
      </c>
      <c r="AO518" s="43">
        <v>0</v>
      </c>
      <c r="AP518" s="43">
        <v>658085546</v>
      </c>
      <c r="AQ518" s="44">
        <v>0</v>
      </c>
      <c r="AR518" s="44">
        <v>0</v>
      </c>
      <c r="AS518" s="44">
        <v>0</v>
      </c>
      <c r="AT518" s="40">
        <f>AQ518+AS518</f>
        <v>0</v>
      </c>
      <c r="AU518" s="18">
        <f t="shared" ref="AU518" si="644">AJ518-AM518</f>
        <v>74013236</v>
      </c>
      <c r="AV518" s="34">
        <f t="shared" ref="AV518" si="645">AM518-AP518</f>
        <v>0</v>
      </c>
      <c r="AW518" s="18">
        <f t="shared" ref="AW518" si="646">AP518-AT518</f>
        <v>658085546</v>
      </c>
      <c r="AX518" s="123">
        <f t="shared" ref="AX518" si="647">AP518/AJ518</f>
        <v>0.89890266474995995</v>
      </c>
    </row>
    <row r="519" spans="1:50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1" t="s">
        <v>979</v>
      </c>
      <c r="AB519" s="42" t="s">
        <v>453</v>
      </c>
      <c r="AC519" s="43"/>
      <c r="AD519" s="43">
        <v>0</v>
      </c>
      <c r="AE519" s="43">
        <v>17804659196</v>
      </c>
      <c r="AF519" s="44">
        <v>0</v>
      </c>
      <c r="AG519" s="44">
        <v>0</v>
      </c>
      <c r="AH519" s="44">
        <v>0</v>
      </c>
      <c r="AI519" s="43">
        <f>AE519-AF519+AG519-AH519</f>
        <v>17804659196</v>
      </c>
      <c r="AJ519" s="43">
        <f>AD519+AI519</f>
        <v>17804659196</v>
      </c>
      <c r="AK519" s="44">
        <v>0</v>
      </c>
      <c r="AL519" s="43">
        <v>17240869934</v>
      </c>
      <c r="AM519" s="43">
        <v>17240869934</v>
      </c>
      <c r="AN519" s="44">
        <v>0</v>
      </c>
      <c r="AO519" s="43">
        <v>0</v>
      </c>
      <c r="AP519" s="43">
        <v>0</v>
      </c>
      <c r="AQ519" s="43">
        <v>0</v>
      </c>
      <c r="AR519" s="43">
        <v>0</v>
      </c>
      <c r="AS519" s="43">
        <v>0</v>
      </c>
      <c r="AT519" s="39">
        <f>AQ519+AS519</f>
        <v>0</v>
      </c>
      <c r="AU519" s="18">
        <f t="shared" ref="AU519" si="648">AJ519-AM519</f>
        <v>563789262</v>
      </c>
      <c r="AV519" s="18">
        <f t="shared" ref="AV519" si="649">AM519-AP519</f>
        <v>17240869934</v>
      </c>
      <c r="AW519" s="18">
        <f t="shared" ref="AW519" si="650">AP519-AT519</f>
        <v>0</v>
      </c>
      <c r="AX519" s="39">
        <f t="shared" ref="AX519" si="651">AP519/AJ519</f>
        <v>0</v>
      </c>
    </row>
    <row r="520" spans="1:50" x14ac:dyDescent="0.2">
      <c r="AA520" s="28" t="s">
        <v>288</v>
      </c>
      <c r="AB520" s="29" t="s">
        <v>483</v>
      </c>
      <c r="AC520" s="17"/>
      <c r="AD520" s="18"/>
      <c r="AE520" s="34"/>
      <c r="AF520" s="34"/>
      <c r="AG520" s="18"/>
      <c r="AH520" s="34"/>
      <c r="AI520" s="18"/>
      <c r="AJ520" s="18"/>
      <c r="AK520" s="34"/>
      <c r="AL520" s="18"/>
      <c r="AM520" s="18"/>
      <c r="AN520" s="34"/>
      <c r="AO520" s="18"/>
      <c r="AP520" s="18"/>
      <c r="AQ520" s="18"/>
      <c r="AR520" s="18"/>
      <c r="AS520" s="18"/>
      <c r="AT520" s="40"/>
      <c r="AU520" s="18"/>
      <c r="AV520" s="34"/>
      <c r="AW520" s="18"/>
      <c r="AX520" s="18"/>
    </row>
    <row r="521" spans="1:50" x14ac:dyDescent="0.2">
      <c r="A521" s="4" t="s">
        <v>55</v>
      </c>
      <c r="B521" s="4" t="s">
        <v>56</v>
      </c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1" t="s">
        <v>484</v>
      </c>
      <c r="AB521" s="42" t="s">
        <v>233</v>
      </c>
      <c r="AC521" s="43" t="s">
        <v>58</v>
      </c>
      <c r="AD521" s="44">
        <v>0</v>
      </c>
      <c r="AE521" s="44">
        <v>0</v>
      </c>
      <c r="AF521" s="44">
        <v>0</v>
      </c>
      <c r="AG521" s="43">
        <v>60325921.149999999</v>
      </c>
      <c r="AH521" s="44">
        <v>0</v>
      </c>
      <c r="AI521" s="43">
        <f>AE521-AF521+AG521-AH521</f>
        <v>60325921.149999999</v>
      </c>
      <c r="AJ521" s="43">
        <f>AD521+AI521</f>
        <v>60325921.149999999</v>
      </c>
      <c r="AK521" s="44">
        <v>0</v>
      </c>
      <c r="AL521" s="43">
        <v>48342740.119999997</v>
      </c>
      <c r="AM521" s="43">
        <v>48342740.119999997</v>
      </c>
      <c r="AN521" s="44">
        <v>0</v>
      </c>
      <c r="AO521" s="43">
        <v>48342740.119999997</v>
      </c>
      <c r="AP521" s="43">
        <v>48342740.119999997</v>
      </c>
      <c r="AQ521" s="43">
        <v>0</v>
      </c>
      <c r="AR521" s="43">
        <v>0</v>
      </c>
      <c r="AS521" s="43">
        <v>0</v>
      </c>
      <c r="AT521" s="40">
        <f>AQ521+AS521</f>
        <v>0</v>
      </c>
      <c r="AU521" s="18">
        <f t="shared" ref="AU521" si="652">AJ521-AM521</f>
        <v>11983181.030000001</v>
      </c>
      <c r="AV521" s="34">
        <f t="shared" ref="AV521" si="653">AM521-AP521</f>
        <v>0</v>
      </c>
      <c r="AW521" s="34">
        <f t="shared" ref="AW521" si="654">AP521-AT521</f>
        <v>48342740.119999997</v>
      </c>
      <c r="AX521" s="123">
        <f t="shared" ref="AX521" si="655">AP521/AJ521</f>
        <v>0.80135933606046561</v>
      </c>
    </row>
    <row r="522" spans="1:50" x14ac:dyDescent="0.2">
      <c r="AA522" s="28" t="s">
        <v>288</v>
      </c>
      <c r="AB522" s="29" t="s">
        <v>485</v>
      </c>
      <c r="AC522" s="17"/>
      <c r="AD522" s="18"/>
      <c r="AE522" s="34"/>
      <c r="AF522" s="34"/>
      <c r="AG522" s="18"/>
      <c r="AH522" s="34"/>
      <c r="AI522" s="18"/>
      <c r="AJ522" s="18"/>
      <c r="AK522" s="34"/>
      <c r="AL522" s="18"/>
      <c r="AM522" s="18"/>
      <c r="AN522" s="34"/>
      <c r="AO522" s="18"/>
      <c r="AP522" s="18"/>
      <c r="AQ522" s="18"/>
      <c r="AR522" s="18"/>
      <c r="AS522" s="18"/>
      <c r="AT522" s="40"/>
      <c r="AU522" s="18"/>
      <c r="AV522" s="34"/>
      <c r="AW522" s="34"/>
      <c r="AX522" s="18"/>
    </row>
    <row r="523" spans="1:50" x14ac:dyDescent="0.2">
      <c r="A523" s="4" t="s">
        <v>55</v>
      </c>
      <c r="B523" s="4" t="s">
        <v>56</v>
      </c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1" t="s">
        <v>972</v>
      </c>
      <c r="AB523" s="42" t="s">
        <v>233</v>
      </c>
      <c r="AC523" s="43" t="s">
        <v>58</v>
      </c>
      <c r="AD523" s="43">
        <v>530557116</v>
      </c>
      <c r="AE523" s="44">
        <v>0</v>
      </c>
      <c r="AF523" s="44">
        <v>0</v>
      </c>
      <c r="AG523" s="44">
        <v>0</v>
      </c>
      <c r="AH523" s="44">
        <v>0</v>
      </c>
      <c r="AI523" s="44">
        <v>0</v>
      </c>
      <c r="AJ523" s="43">
        <v>530557116</v>
      </c>
      <c r="AK523" s="44">
        <v>0</v>
      </c>
      <c r="AL523" s="44">
        <v>0</v>
      </c>
      <c r="AM523" s="44">
        <v>0</v>
      </c>
      <c r="AN523" s="44">
        <v>0</v>
      </c>
      <c r="AO523" s="43">
        <v>0</v>
      </c>
      <c r="AP523" s="43">
        <v>0</v>
      </c>
      <c r="AQ523" s="43">
        <v>0</v>
      </c>
      <c r="AR523" s="43">
        <v>0</v>
      </c>
      <c r="AS523" s="43">
        <v>0</v>
      </c>
      <c r="AT523" s="40">
        <f>AQ523+AS523</f>
        <v>0</v>
      </c>
      <c r="AU523" s="18">
        <f t="shared" ref="AU523" si="656">AJ523-AM523</f>
        <v>530557116</v>
      </c>
      <c r="AV523" s="34">
        <f t="shared" ref="AV523" si="657">AM523-AP523</f>
        <v>0</v>
      </c>
      <c r="AW523" s="34">
        <f t="shared" ref="AW523" si="658">AP523-AT523</f>
        <v>0</v>
      </c>
      <c r="AX523" s="123">
        <f t="shared" ref="AX523" si="659">AP523/AJ523</f>
        <v>0</v>
      </c>
    </row>
    <row r="524" spans="1:50" ht="38.25" x14ac:dyDescent="0.2">
      <c r="AA524" s="16"/>
      <c r="AB524" s="29" t="s">
        <v>193</v>
      </c>
      <c r="AC524" s="17"/>
      <c r="AD524" s="18"/>
      <c r="AE524" s="34"/>
      <c r="AF524" s="34"/>
      <c r="AG524" s="18"/>
      <c r="AH524" s="18"/>
      <c r="AI524" s="18"/>
      <c r="AJ524" s="18"/>
      <c r="AK524" s="34"/>
      <c r="AL524" s="34"/>
      <c r="AM524" s="34"/>
      <c r="AN524" s="34"/>
      <c r="AO524" s="34"/>
      <c r="AP524" s="34"/>
      <c r="AQ524" s="34"/>
      <c r="AR524" s="34"/>
      <c r="AS524" s="34"/>
      <c r="AT524" s="40"/>
      <c r="AU524" s="18"/>
      <c r="AV524" s="34"/>
      <c r="AW524" s="18"/>
      <c r="AX524" s="18"/>
    </row>
    <row r="525" spans="1:50" ht="18.75" customHeight="1" x14ac:dyDescent="0.2">
      <c r="AA525" s="28" t="s">
        <v>288</v>
      </c>
      <c r="AB525" s="29" t="s">
        <v>487</v>
      </c>
      <c r="AC525" s="17"/>
      <c r="AD525" s="18"/>
      <c r="AE525" s="34"/>
      <c r="AF525" s="34"/>
      <c r="AG525" s="18"/>
      <c r="AH525" s="18"/>
      <c r="AI525" s="18"/>
      <c r="AJ525" s="18"/>
      <c r="AK525" s="34"/>
      <c r="AL525" s="34"/>
      <c r="AM525" s="34"/>
      <c r="AN525" s="34"/>
      <c r="AO525" s="34"/>
      <c r="AP525" s="34"/>
      <c r="AQ525" s="34"/>
      <c r="AR525" s="34"/>
      <c r="AS525" s="34"/>
      <c r="AT525" s="40"/>
      <c r="AU525" s="18"/>
      <c r="AV525" s="34"/>
      <c r="AW525" s="18"/>
      <c r="AX525" s="18"/>
    </row>
    <row r="526" spans="1:50" ht="18.75" customHeight="1" x14ac:dyDescent="0.2">
      <c r="A526" s="4" t="s">
        <v>55</v>
      </c>
      <c r="B526" s="4" t="s">
        <v>56</v>
      </c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1" t="s">
        <v>488</v>
      </c>
      <c r="AB526" s="42" t="s">
        <v>439</v>
      </c>
      <c r="AC526" s="43" t="s">
        <v>428</v>
      </c>
      <c r="AD526" s="43">
        <v>14800000000</v>
      </c>
      <c r="AE526" s="44">
        <v>0</v>
      </c>
      <c r="AF526" s="44">
        <v>0</v>
      </c>
      <c r="AG526" s="44">
        <v>0</v>
      </c>
      <c r="AH526" s="43">
        <v>265538240</v>
      </c>
      <c r="AI526" s="43">
        <f>AE526-AF526+AG526-AH526</f>
        <v>-265538240</v>
      </c>
      <c r="AJ526" s="43">
        <f>AD526+AI526</f>
        <v>14534461760</v>
      </c>
      <c r="AK526" s="44">
        <v>0</v>
      </c>
      <c r="AL526" s="114">
        <f>AM526-FEBRERO!P508</f>
        <v>828258074</v>
      </c>
      <c r="AM526" s="114">
        <v>2591778285</v>
      </c>
      <c r="AN526" s="44">
        <v>0</v>
      </c>
      <c r="AO526" s="114">
        <v>828258074</v>
      </c>
      <c r="AP526" s="114">
        <v>2591778285</v>
      </c>
      <c r="AQ526" s="44">
        <v>0</v>
      </c>
      <c r="AR526" s="114">
        <v>828258074</v>
      </c>
      <c r="AS526" s="114">
        <v>2591778285</v>
      </c>
      <c r="AT526" s="111">
        <f t="shared" si="592"/>
        <v>2591778285</v>
      </c>
      <c r="AU526" s="18">
        <f t="shared" ref="AU526:AU527" si="660">AJ526-AM526</f>
        <v>11942683475</v>
      </c>
      <c r="AV526" s="34">
        <f t="shared" ref="AV526:AV527" si="661">AM526-AP526</f>
        <v>0</v>
      </c>
      <c r="AW526" s="34">
        <f t="shared" ref="AW526:AW527" si="662">AP526-AT526</f>
        <v>0</v>
      </c>
      <c r="AX526" s="123">
        <f t="shared" ref="AX526:AX527" si="663">AP526/AJ526</f>
        <v>0.17831952278637389</v>
      </c>
    </row>
    <row r="527" spans="1:50" ht="18.75" customHeight="1" x14ac:dyDescent="0.2">
      <c r="A527" s="4" t="s">
        <v>55</v>
      </c>
      <c r="B527" s="4" t="s">
        <v>56</v>
      </c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1" t="s">
        <v>489</v>
      </c>
      <c r="AB527" s="42" t="s">
        <v>490</v>
      </c>
      <c r="AC527" s="43" t="s">
        <v>368</v>
      </c>
      <c r="AD527" s="43">
        <v>28000000.199999999</v>
      </c>
      <c r="AE527" s="44">
        <v>0</v>
      </c>
      <c r="AF527" s="44">
        <v>0</v>
      </c>
      <c r="AG527" s="44">
        <v>0</v>
      </c>
      <c r="AH527" s="44">
        <v>0</v>
      </c>
      <c r="AI527" s="44">
        <v>0</v>
      </c>
      <c r="AJ527" s="43">
        <v>28000000.199999999</v>
      </c>
      <c r="AK527" s="44">
        <v>0</v>
      </c>
      <c r="AL527" s="114">
        <f>AM527-FEBRERO!P509</f>
        <v>2041646</v>
      </c>
      <c r="AM527" s="114">
        <v>5623252</v>
      </c>
      <c r="AN527" s="44">
        <v>0</v>
      </c>
      <c r="AO527" s="114">
        <v>2041646</v>
      </c>
      <c r="AP527" s="114">
        <v>5623252</v>
      </c>
      <c r="AQ527" s="44">
        <v>0</v>
      </c>
      <c r="AR527" s="114">
        <v>0</v>
      </c>
      <c r="AS527" s="114">
        <v>3581606</v>
      </c>
      <c r="AT527" s="111">
        <f t="shared" si="592"/>
        <v>3581606</v>
      </c>
      <c r="AU527" s="18">
        <f t="shared" si="660"/>
        <v>22376748.199999999</v>
      </c>
      <c r="AV527" s="34">
        <f t="shared" si="661"/>
        <v>0</v>
      </c>
      <c r="AW527" s="18">
        <f t="shared" si="662"/>
        <v>2041646</v>
      </c>
      <c r="AX527" s="123">
        <f t="shared" si="663"/>
        <v>0.20083042713692553</v>
      </c>
    </row>
    <row r="528" spans="1:50" ht="25.5" x14ac:dyDescent="0.2">
      <c r="AA528" s="16"/>
      <c r="AB528" s="29" t="s">
        <v>195</v>
      </c>
      <c r="AC528" s="17"/>
      <c r="AD528" s="18"/>
      <c r="AE528" s="34"/>
      <c r="AF528" s="34"/>
      <c r="AG528" s="34"/>
      <c r="AH528" s="34"/>
      <c r="AI528" s="34"/>
      <c r="AJ528" s="18"/>
      <c r="AK528" s="34"/>
      <c r="AL528" s="18"/>
      <c r="AM528" s="18"/>
      <c r="AN528" s="34"/>
      <c r="AO528" s="18"/>
      <c r="AP528" s="18"/>
      <c r="AQ528" s="18"/>
      <c r="AR528" s="18"/>
      <c r="AS528" s="18"/>
      <c r="AT528" s="30"/>
      <c r="AU528" s="18"/>
      <c r="AV528" s="18"/>
      <c r="AW528" s="18"/>
      <c r="AX528" s="18"/>
    </row>
    <row r="529" spans="1:50" ht="18.75" customHeight="1" x14ac:dyDescent="0.2">
      <c r="AA529" s="28" t="s">
        <v>288</v>
      </c>
      <c r="AB529" s="29" t="s">
        <v>487</v>
      </c>
      <c r="AC529" s="17"/>
      <c r="AD529" s="18"/>
      <c r="AE529" s="34"/>
      <c r="AF529" s="34"/>
      <c r="AG529" s="34"/>
      <c r="AH529" s="34"/>
      <c r="AI529" s="34"/>
      <c r="AJ529" s="18"/>
      <c r="AK529" s="34"/>
      <c r="AL529" s="18"/>
      <c r="AM529" s="18"/>
      <c r="AN529" s="34"/>
      <c r="AO529" s="18"/>
      <c r="AP529" s="18"/>
      <c r="AQ529" s="18"/>
      <c r="AR529" s="18"/>
      <c r="AS529" s="18"/>
      <c r="AT529" s="30"/>
      <c r="AU529" s="18"/>
      <c r="AV529" s="18"/>
      <c r="AW529" s="18"/>
      <c r="AX529" s="18"/>
    </row>
    <row r="530" spans="1:50" ht="18.75" customHeight="1" x14ac:dyDescent="0.2">
      <c r="A530" s="4" t="s">
        <v>55</v>
      </c>
      <c r="B530" s="4" t="s">
        <v>56</v>
      </c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1" t="s">
        <v>491</v>
      </c>
      <c r="AB530" s="42" t="s">
        <v>490</v>
      </c>
      <c r="AC530" s="43" t="s">
        <v>368</v>
      </c>
      <c r="AD530" s="43">
        <v>192000000</v>
      </c>
      <c r="AE530" s="44">
        <v>0</v>
      </c>
      <c r="AF530" s="44">
        <v>0</v>
      </c>
      <c r="AG530" s="44">
        <v>0</v>
      </c>
      <c r="AH530" s="44">
        <v>0</v>
      </c>
      <c r="AI530" s="44">
        <v>0</v>
      </c>
      <c r="AJ530" s="43">
        <v>192000000</v>
      </c>
      <c r="AK530" s="44">
        <v>0</v>
      </c>
      <c r="AL530" s="44">
        <v>0</v>
      </c>
      <c r="AM530" s="43">
        <v>166971871</v>
      </c>
      <c r="AN530" s="44">
        <v>0</v>
      </c>
      <c r="AO530" s="43">
        <v>0</v>
      </c>
      <c r="AP530" s="43">
        <v>166971871</v>
      </c>
      <c r="AQ530" s="44">
        <v>0</v>
      </c>
      <c r="AR530" s="44">
        <v>0</v>
      </c>
      <c r="AS530" s="44">
        <v>0</v>
      </c>
      <c r="AT530" s="40">
        <f>AQ530+AS530</f>
        <v>0</v>
      </c>
      <c r="AU530" s="18">
        <f t="shared" ref="AU530" si="664">AJ530-AM530</f>
        <v>25028129</v>
      </c>
      <c r="AV530" s="34">
        <f t="shared" ref="AV530" si="665">AM530-AP530</f>
        <v>0</v>
      </c>
      <c r="AW530" s="18">
        <f t="shared" ref="AW530" si="666">AP530-AT530</f>
        <v>166971871</v>
      </c>
      <c r="AX530" s="123">
        <f t="shared" ref="AX530" si="667">AP530/AJ530</f>
        <v>0.86964516145833337</v>
      </c>
    </row>
    <row r="531" spans="1:50" ht="25.5" x14ac:dyDescent="0.2">
      <c r="AA531" s="16"/>
      <c r="AB531" s="29" t="s">
        <v>197</v>
      </c>
      <c r="AC531" s="17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34"/>
      <c r="AO531" s="18"/>
      <c r="AP531" s="18"/>
      <c r="AQ531" s="34"/>
      <c r="AR531" s="34"/>
      <c r="AS531" s="34"/>
      <c r="AT531" s="40"/>
      <c r="AU531" s="18"/>
      <c r="AV531" s="18"/>
      <c r="AW531" s="18"/>
      <c r="AX531" s="18"/>
    </row>
    <row r="532" spans="1:50" ht="18.75" customHeight="1" x14ac:dyDescent="0.2">
      <c r="AA532" s="16"/>
      <c r="AB532" s="29" t="s">
        <v>492</v>
      </c>
      <c r="AC532" s="17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34"/>
      <c r="AO532" s="18"/>
      <c r="AP532" s="18"/>
      <c r="AQ532" s="34"/>
      <c r="AR532" s="34"/>
      <c r="AS532" s="34"/>
      <c r="AT532" s="40"/>
      <c r="AU532" s="18"/>
      <c r="AV532" s="18"/>
      <c r="AW532" s="18"/>
      <c r="AX532" s="18"/>
    </row>
    <row r="533" spans="1:50" ht="18.75" customHeight="1" x14ac:dyDescent="0.2">
      <c r="A533" s="4" t="s">
        <v>55</v>
      </c>
      <c r="B533" s="4" t="s">
        <v>56</v>
      </c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1" t="s">
        <v>493</v>
      </c>
      <c r="AB533" s="42" t="s">
        <v>233</v>
      </c>
      <c r="AC533" s="43" t="s">
        <v>58</v>
      </c>
      <c r="AD533" s="44">
        <v>0</v>
      </c>
      <c r="AE533" s="44">
        <v>0</v>
      </c>
      <c r="AF533" s="44">
        <v>0</v>
      </c>
      <c r="AG533" s="43">
        <v>503000000</v>
      </c>
      <c r="AH533" s="44">
        <v>0</v>
      </c>
      <c r="AI533" s="43">
        <f>AE533-AF533+AG533-AH533</f>
        <v>503000000</v>
      </c>
      <c r="AJ533" s="43">
        <f>AD533+AI533</f>
        <v>503000000</v>
      </c>
      <c r="AK533" s="43">
        <v>0</v>
      </c>
      <c r="AL533" s="43">
        <v>481911706</v>
      </c>
      <c r="AM533" s="43">
        <v>481911706</v>
      </c>
      <c r="AN533" s="44">
        <v>0</v>
      </c>
      <c r="AO533" s="43">
        <v>0</v>
      </c>
      <c r="AP533" s="43">
        <v>0</v>
      </c>
      <c r="AQ533" s="43">
        <v>0</v>
      </c>
      <c r="AR533" s="43">
        <v>0</v>
      </c>
      <c r="AS533" s="43">
        <v>0</v>
      </c>
      <c r="AT533" s="40">
        <f>AQ533+AS533</f>
        <v>0</v>
      </c>
      <c r="AU533" s="18">
        <f t="shared" ref="AU533" si="668">AJ533-AM533</f>
        <v>21088294</v>
      </c>
      <c r="AV533" s="18">
        <f t="shared" ref="AV533" si="669">AM533-AP533</f>
        <v>481911706</v>
      </c>
      <c r="AW533" s="34">
        <f t="shared" ref="AW533" si="670">AP533-AT533</f>
        <v>0</v>
      </c>
      <c r="AX533" s="123">
        <f t="shared" ref="AX533" si="671">AP533/AJ533</f>
        <v>0</v>
      </c>
    </row>
    <row r="534" spans="1:50" ht="18.75" customHeight="1" x14ac:dyDescent="0.2">
      <c r="AA534" s="28" t="s">
        <v>288</v>
      </c>
      <c r="AB534" s="29" t="s">
        <v>494</v>
      </c>
      <c r="AC534" s="17"/>
      <c r="AD534" s="18"/>
      <c r="AE534" s="34"/>
      <c r="AF534" s="34"/>
      <c r="AG534" s="18"/>
      <c r="AH534" s="34"/>
      <c r="AI534" s="18"/>
      <c r="AJ534" s="18"/>
      <c r="AK534" s="18"/>
      <c r="AL534" s="18"/>
      <c r="AM534" s="18"/>
      <c r="AN534" s="34"/>
      <c r="AO534" s="18"/>
      <c r="AP534" s="18"/>
      <c r="AQ534" s="34"/>
      <c r="AR534" s="34"/>
      <c r="AS534" s="34"/>
      <c r="AT534" s="40"/>
      <c r="AU534" s="18"/>
      <c r="AV534" s="18"/>
      <c r="AW534" s="18"/>
      <c r="AX534" s="18"/>
    </row>
    <row r="535" spans="1:50" ht="18.75" customHeight="1" x14ac:dyDescent="0.2">
      <c r="A535" s="4" t="s">
        <v>55</v>
      </c>
      <c r="B535" s="4" t="s">
        <v>56</v>
      </c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1" t="s">
        <v>495</v>
      </c>
      <c r="AB535" s="42" t="s">
        <v>233</v>
      </c>
      <c r="AC535" s="43" t="s">
        <v>58</v>
      </c>
      <c r="AD535" s="43">
        <v>100000000</v>
      </c>
      <c r="AE535" s="44">
        <v>0</v>
      </c>
      <c r="AF535" s="44">
        <v>0</v>
      </c>
      <c r="AG535" s="44">
        <v>0</v>
      </c>
      <c r="AH535" s="44">
        <v>0</v>
      </c>
      <c r="AI535" s="44">
        <f>AE535-AF535+AG535-AH535</f>
        <v>0</v>
      </c>
      <c r="AJ535" s="43">
        <f>AD535+AI535</f>
        <v>100000000</v>
      </c>
      <c r="AK535" s="44">
        <v>0</v>
      </c>
      <c r="AL535" s="43">
        <f>AM535-FEBRERO!P517</f>
        <v>23130522</v>
      </c>
      <c r="AM535" s="43">
        <v>69408297</v>
      </c>
      <c r="AN535" s="44">
        <v>0</v>
      </c>
      <c r="AO535" s="43">
        <v>23130522</v>
      </c>
      <c r="AP535" s="43">
        <v>69408297</v>
      </c>
      <c r="AQ535" s="44">
        <v>0</v>
      </c>
      <c r="AR535" s="44">
        <v>0</v>
      </c>
      <c r="AS535" s="44">
        <v>0</v>
      </c>
      <c r="AT535" s="40">
        <f>AQ535+AS535</f>
        <v>0</v>
      </c>
      <c r="AU535" s="18">
        <f t="shared" ref="AU535" si="672">AJ535-AM535</f>
        <v>30591703</v>
      </c>
      <c r="AV535" s="34">
        <f t="shared" ref="AV535" si="673">AM535-AP535</f>
        <v>0</v>
      </c>
      <c r="AW535" s="18">
        <f t="shared" ref="AW535" si="674">AP535-AT535</f>
        <v>69408297</v>
      </c>
      <c r="AX535" s="123">
        <f t="shared" ref="AX535" si="675">AP535/AJ535</f>
        <v>0.69408296999999997</v>
      </c>
    </row>
    <row r="536" spans="1:50" ht="18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1" t="s">
        <v>976</v>
      </c>
      <c r="AB536" s="42" t="s">
        <v>449</v>
      </c>
      <c r="AC536" s="43"/>
      <c r="AD536" s="43">
        <v>0</v>
      </c>
      <c r="AE536" s="44">
        <v>0</v>
      </c>
      <c r="AF536" s="44">
        <v>0</v>
      </c>
      <c r="AG536" s="43">
        <v>1200000000</v>
      </c>
      <c r="AH536" s="44"/>
      <c r="AI536" s="43">
        <f>AE536-AF536+AG536-AH536</f>
        <v>1200000000</v>
      </c>
      <c r="AJ536" s="43">
        <f>AD536+AI536</f>
        <v>1200000000</v>
      </c>
      <c r="AK536" s="44">
        <v>0</v>
      </c>
      <c r="AL536" s="43">
        <v>1114130436</v>
      </c>
      <c r="AM536" s="43">
        <v>1114130436</v>
      </c>
      <c r="AN536" s="43">
        <v>0</v>
      </c>
      <c r="AO536" s="43">
        <v>0</v>
      </c>
      <c r="AP536" s="43">
        <v>0</v>
      </c>
      <c r="AQ536" s="44">
        <v>0</v>
      </c>
      <c r="AR536" s="44">
        <v>0</v>
      </c>
      <c r="AS536" s="44">
        <v>0</v>
      </c>
      <c r="AT536" s="40">
        <f>AQ536+AS536</f>
        <v>0</v>
      </c>
      <c r="AU536" s="18">
        <f t="shared" ref="AU536" si="676">AJ536-AM536</f>
        <v>85869564</v>
      </c>
      <c r="AV536" s="18">
        <f t="shared" ref="AV536" si="677">AM536-AP536</f>
        <v>1114130436</v>
      </c>
      <c r="AW536" s="18">
        <f t="shared" ref="AW536" si="678">AP536-AT536</f>
        <v>0</v>
      </c>
      <c r="AX536" s="123">
        <f t="shared" ref="AX536" si="679">AP536/AJ536</f>
        <v>0</v>
      </c>
    </row>
    <row r="537" spans="1:50" ht="18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1" t="s">
        <v>288</v>
      </c>
      <c r="AB537" s="74" t="s">
        <v>463</v>
      </c>
      <c r="AC537" s="43"/>
      <c r="AD537" s="43"/>
      <c r="AE537" s="44"/>
      <c r="AF537" s="44"/>
      <c r="AG537" s="43"/>
      <c r="AH537" s="44"/>
      <c r="AI537" s="43"/>
      <c r="AJ537" s="43"/>
      <c r="AK537" s="44"/>
      <c r="AL537" s="44"/>
      <c r="AM537" s="43"/>
      <c r="AN537" s="43"/>
      <c r="AO537" s="43"/>
      <c r="AP537" s="43"/>
      <c r="AQ537" s="44"/>
      <c r="AR537" s="44"/>
      <c r="AS537" s="44"/>
      <c r="AT537" s="40"/>
      <c r="AU537" s="43"/>
      <c r="AV537" s="43"/>
      <c r="AW537" s="43"/>
      <c r="AX537" s="32"/>
    </row>
    <row r="538" spans="1:50" ht="18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139" t="s">
        <v>909</v>
      </c>
      <c r="AB538" s="42" t="s">
        <v>233</v>
      </c>
      <c r="AC538" s="43"/>
      <c r="AD538" s="44">
        <v>0</v>
      </c>
      <c r="AE538" s="44">
        <v>0</v>
      </c>
      <c r="AF538" s="44">
        <v>0</v>
      </c>
      <c r="AG538" s="43">
        <v>1556000000</v>
      </c>
      <c r="AH538" s="44">
        <v>0</v>
      </c>
      <c r="AI538" s="43">
        <f>AE538-AF538+AG538-AH538</f>
        <v>1556000000</v>
      </c>
      <c r="AJ538" s="43">
        <f>AD538+AI538</f>
        <v>1556000000</v>
      </c>
      <c r="AK538" s="44">
        <v>0</v>
      </c>
      <c r="AL538" s="43">
        <f>AM538-FEBRERO!P519</f>
        <v>1555449996</v>
      </c>
      <c r="AM538" s="43">
        <v>1555449996</v>
      </c>
      <c r="AN538" s="43">
        <v>0</v>
      </c>
      <c r="AO538" s="43">
        <v>1555449996</v>
      </c>
      <c r="AP538" s="43">
        <v>1555449996</v>
      </c>
      <c r="AQ538" s="44">
        <v>0</v>
      </c>
      <c r="AR538" s="43">
        <v>1555449996</v>
      </c>
      <c r="AS538" s="43">
        <v>1555449996</v>
      </c>
      <c r="AT538" s="39">
        <f>AQ538+AS538</f>
        <v>1555449996</v>
      </c>
      <c r="AU538" s="18">
        <f t="shared" ref="AU538" si="680">AJ538-AM538</f>
        <v>550004</v>
      </c>
      <c r="AV538" s="34">
        <f t="shared" ref="AV538" si="681">AM538-AP538</f>
        <v>0</v>
      </c>
      <c r="AW538" s="34">
        <f t="shared" ref="AW538" si="682">AP538-AT538</f>
        <v>0</v>
      </c>
      <c r="AX538" s="123">
        <f t="shared" ref="AX538" si="683">AP538/AJ538</f>
        <v>0.99964652699228795</v>
      </c>
    </row>
    <row r="539" spans="1:50" ht="18.75" customHeight="1" x14ac:dyDescent="0.2">
      <c r="AA539" s="28" t="s">
        <v>288</v>
      </c>
      <c r="AB539" s="29" t="s">
        <v>496</v>
      </c>
      <c r="AC539" s="17"/>
      <c r="AD539" s="34"/>
      <c r="AE539" s="34"/>
      <c r="AF539" s="34"/>
      <c r="AG539" s="18"/>
      <c r="AH539" s="34"/>
      <c r="AI539" s="18"/>
      <c r="AJ539" s="18"/>
      <c r="AK539" s="18"/>
      <c r="AL539" s="18"/>
      <c r="AM539" s="18"/>
      <c r="AN539" s="18"/>
      <c r="AO539" s="18"/>
      <c r="AP539" s="18"/>
      <c r="AQ539" s="34"/>
      <c r="AR539" s="34"/>
      <c r="AS539" s="34"/>
      <c r="AT539" s="40">
        <f t="shared" si="592"/>
        <v>0</v>
      </c>
      <c r="AU539" s="18"/>
      <c r="AV539" s="18"/>
      <c r="AW539" s="18"/>
      <c r="AX539" s="18"/>
    </row>
    <row r="540" spans="1:50" ht="18.75" customHeight="1" x14ac:dyDescent="0.2">
      <c r="A540" s="4" t="s">
        <v>55</v>
      </c>
      <c r="B540" s="4" t="s">
        <v>56</v>
      </c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1" t="s">
        <v>497</v>
      </c>
      <c r="AB540" s="42" t="s">
        <v>233</v>
      </c>
      <c r="AC540" s="43" t="s">
        <v>58</v>
      </c>
      <c r="AD540" s="44">
        <v>0</v>
      </c>
      <c r="AE540" s="44">
        <v>0</v>
      </c>
      <c r="AF540" s="44">
        <v>0</v>
      </c>
      <c r="AG540" s="43">
        <f>91680424+36720621</f>
        <v>128401045</v>
      </c>
      <c r="AH540" s="44">
        <v>0</v>
      </c>
      <c r="AI540" s="43">
        <f>AE540-AF540+AG540-AH540</f>
        <v>128401045</v>
      </c>
      <c r="AJ540" s="43">
        <f>AD540+AI540</f>
        <v>128401045</v>
      </c>
      <c r="AK540" s="44">
        <v>0</v>
      </c>
      <c r="AL540" s="114">
        <v>0</v>
      </c>
      <c r="AM540" s="114">
        <v>80261243</v>
      </c>
      <c r="AN540" s="44">
        <v>0</v>
      </c>
      <c r="AO540" s="44">
        <v>0</v>
      </c>
      <c r="AP540" s="114">
        <v>80261243</v>
      </c>
      <c r="AQ540" s="44">
        <v>0</v>
      </c>
      <c r="AR540" s="114">
        <v>0</v>
      </c>
      <c r="AS540" s="114">
        <v>80261243</v>
      </c>
      <c r="AT540" s="39">
        <f>AQ540+AS540</f>
        <v>80261243</v>
      </c>
      <c r="AU540" s="18">
        <f t="shared" ref="AU540" si="684">AJ540-AM540</f>
        <v>48139802</v>
      </c>
      <c r="AV540" s="34">
        <f t="shared" ref="AV540" si="685">AM540-AP540</f>
        <v>0</v>
      </c>
      <c r="AW540" s="34">
        <f t="shared" ref="AW540" si="686">AP540-AT540</f>
        <v>0</v>
      </c>
      <c r="AX540" s="123">
        <f t="shared" ref="AX540" si="687">AP540/AJ540</f>
        <v>0.62508247499076042</v>
      </c>
    </row>
    <row r="541" spans="1:50" ht="18.75" customHeight="1" x14ac:dyDescent="0.2">
      <c r="AA541" s="28" t="s">
        <v>288</v>
      </c>
      <c r="AB541" s="29" t="s">
        <v>498</v>
      </c>
      <c r="AC541" s="17"/>
      <c r="AD541" s="18"/>
      <c r="AE541" s="34"/>
      <c r="AF541" s="34"/>
      <c r="AG541" s="18"/>
      <c r="AH541" s="18"/>
      <c r="AI541" s="18"/>
      <c r="AJ541" s="18"/>
      <c r="AK541" s="34"/>
      <c r="AL541" s="34"/>
      <c r="AM541" s="34"/>
      <c r="AN541" s="34"/>
      <c r="AO541" s="34"/>
      <c r="AP541" s="34"/>
      <c r="AQ541" s="34"/>
      <c r="AR541" s="34"/>
      <c r="AS541" s="34"/>
      <c r="AT541" s="40">
        <f t="shared" si="592"/>
        <v>0</v>
      </c>
      <c r="AU541" s="18"/>
      <c r="AV541" s="18"/>
      <c r="AW541" s="18"/>
      <c r="AX541" s="18"/>
    </row>
    <row r="542" spans="1:50" ht="18.75" customHeight="1" x14ac:dyDescent="0.2">
      <c r="A542" s="4" t="s">
        <v>55</v>
      </c>
      <c r="B542" s="4" t="s">
        <v>56</v>
      </c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1" t="s">
        <v>499</v>
      </c>
      <c r="AB542" s="42" t="s">
        <v>233</v>
      </c>
      <c r="AC542" s="43" t="s">
        <v>58</v>
      </c>
      <c r="AD542" s="43">
        <v>5000000000</v>
      </c>
      <c r="AE542" s="44">
        <v>0</v>
      </c>
      <c r="AF542" s="44">
        <v>0</v>
      </c>
      <c r="AG542" s="44">
        <v>0</v>
      </c>
      <c r="AH542" s="43">
        <f>2332895811.15+800401381</f>
        <v>3133297192.1500001</v>
      </c>
      <c r="AI542" s="43">
        <f>AE542-AF542+AG542-AH542</f>
        <v>-3133297192.1500001</v>
      </c>
      <c r="AJ542" s="43">
        <f>AD542+AI542</f>
        <v>1866702807.8499999</v>
      </c>
      <c r="AK542" s="44">
        <v>0</v>
      </c>
      <c r="AL542" s="114">
        <f>AM542-FEBRERO!P523</f>
        <v>265006611</v>
      </c>
      <c r="AM542" s="114">
        <v>1699707537</v>
      </c>
      <c r="AN542" s="44">
        <v>0</v>
      </c>
      <c r="AO542" s="44">
        <v>0</v>
      </c>
      <c r="AP542" s="44">
        <v>1434700926</v>
      </c>
      <c r="AQ542" s="44">
        <v>0</v>
      </c>
      <c r="AR542" s="44">
        <v>0</v>
      </c>
      <c r="AS542" s="44">
        <v>0</v>
      </c>
      <c r="AT542" s="40">
        <f>AQ542+AS542</f>
        <v>0</v>
      </c>
      <c r="AU542" s="18">
        <f t="shared" ref="AU542" si="688">AJ542-AM542</f>
        <v>166995270.8499999</v>
      </c>
      <c r="AV542" s="18">
        <f t="shared" ref="AV542" si="689">AM542-AP542</f>
        <v>265006611</v>
      </c>
      <c r="AW542" s="18">
        <f t="shared" ref="AW542" si="690">AP542-AT542</f>
        <v>1434700926</v>
      </c>
      <c r="AX542" s="123">
        <f t="shared" ref="AX542" si="691">AP542/AJ542</f>
        <v>0.76857490113942462</v>
      </c>
    </row>
    <row r="543" spans="1:50" ht="18.75" customHeight="1" x14ac:dyDescent="0.2">
      <c r="AA543" s="28" t="s">
        <v>288</v>
      </c>
      <c r="AB543" s="29" t="s">
        <v>483</v>
      </c>
      <c r="AC543" s="17"/>
      <c r="AD543" s="18"/>
      <c r="AE543" s="34"/>
      <c r="AF543" s="34"/>
      <c r="AG543" s="18"/>
      <c r="AH543" s="18"/>
      <c r="AI543" s="18"/>
      <c r="AJ543" s="18"/>
      <c r="AK543" s="34"/>
      <c r="AL543" s="34"/>
      <c r="AM543" s="34"/>
      <c r="AN543" s="34"/>
      <c r="AO543" s="34"/>
      <c r="AP543" s="34"/>
      <c r="AQ543" s="34"/>
      <c r="AR543" s="34"/>
      <c r="AS543" s="34"/>
      <c r="AT543" s="40"/>
      <c r="AU543" s="18"/>
      <c r="AV543" s="18"/>
      <c r="AW543" s="18"/>
      <c r="AX543" s="18"/>
    </row>
    <row r="544" spans="1:50" ht="18.75" customHeight="1" x14ac:dyDescent="0.2">
      <c r="A544" s="4" t="s">
        <v>55</v>
      </c>
      <c r="B544" s="4" t="s">
        <v>56</v>
      </c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1" t="s">
        <v>500</v>
      </c>
      <c r="AB544" s="42" t="s">
        <v>233</v>
      </c>
      <c r="AC544" s="43" t="s">
        <v>58</v>
      </c>
      <c r="AD544" s="44">
        <v>0</v>
      </c>
      <c r="AE544" s="44">
        <v>0</v>
      </c>
      <c r="AF544" s="44">
        <v>0</v>
      </c>
      <c r="AG544" s="43">
        <v>36519672</v>
      </c>
      <c r="AH544" s="44">
        <v>0</v>
      </c>
      <c r="AI544" s="43">
        <f>AE544-AF544+AG544-AH544</f>
        <v>36519672</v>
      </c>
      <c r="AJ544" s="43">
        <f>AD544+AI544</f>
        <v>36519672</v>
      </c>
      <c r="AK544" s="43">
        <v>0</v>
      </c>
      <c r="AL544" s="43">
        <v>36519672</v>
      </c>
      <c r="AM544" s="43">
        <v>36519672</v>
      </c>
      <c r="AN544" s="43">
        <v>0</v>
      </c>
      <c r="AO544" s="43">
        <v>36519672</v>
      </c>
      <c r="AP544" s="43">
        <v>36519672</v>
      </c>
      <c r="AQ544" s="43">
        <v>0</v>
      </c>
      <c r="AR544" s="43">
        <v>0</v>
      </c>
      <c r="AS544" s="43">
        <v>0</v>
      </c>
      <c r="AT544" s="40">
        <f>AQ544+AS544</f>
        <v>0</v>
      </c>
      <c r="AU544" s="18">
        <f t="shared" ref="AU544" si="692">AJ544-AM544</f>
        <v>0</v>
      </c>
      <c r="AV544" s="34">
        <f t="shared" ref="AV544" si="693">AM544-AP544</f>
        <v>0</v>
      </c>
      <c r="AW544" s="18">
        <f t="shared" ref="AW544" si="694">AP544-AT544</f>
        <v>36519672</v>
      </c>
      <c r="AX544" s="123">
        <f t="shared" ref="AX544" si="695">AP544/AJ544</f>
        <v>1</v>
      </c>
    </row>
    <row r="545" spans="1:50" ht="18.75" customHeight="1" x14ac:dyDescent="0.2">
      <c r="AA545" s="28" t="s">
        <v>288</v>
      </c>
      <c r="AB545" s="29" t="s">
        <v>487</v>
      </c>
      <c r="AC545" s="17"/>
      <c r="AD545" s="18"/>
      <c r="AE545" s="34"/>
      <c r="AF545" s="34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39"/>
      <c r="AU545" s="18"/>
      <c r="AV545" s="18"/>
      <c r="AW545" s="18"/>
      <c r="AX545" s="18"/>
    </row>
    <row r="546" spans="1:50" ht="18.75" customHeight="1" x14ac:dyDescent="0.2">
      <c r="A546" s="4" t="s">
        <v>55</v>
      </c>
      <c r="B546" s="4" t="s">
        <v>56</v>
      </c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1" t="s">
        <v>501</v>
      </c>
      <c r="AB546" s="42" t="s">
        <v>439</v>
      </c>
      <c r="AC546" s="43" t="s">
        <v>428</v>
      </c>
      <c r="AD546" s="43">
        <v>4549743506</v>
      </c>
      <c r="AE546" s="44">
        <v>0</v>
      </c>
      <c r="AF546" s="44">
        <v>0</v>
      </c>
      <c r="AG546" s="43">
        <v>265538240</v>
      </c>
      <c r="AH546" s="44">
        <v>0</v>
      </c>
      <c r="AI546" s="43">
        <f>AE546-AF546+AG546-AH546</f>
        <v>265538240</v>
      </c>
      <c r="AJ546" s="43">
        <f>AD546+AI546</f>
        <v>4815281746</v>
      </c>
      <c r="AK546" s="44">
        <v>0</v>
      </c>
      <c r="AL546" s="43">
        <f>AM546-FEBRERO!P527</f>
        <v>2126400775.5</v>
      </c>
      <c r="AM546" s="43">
        <v>3530764962.1300001</v>
      </c>
      <c r="AN546" s="43">
        <v>0</v>
      </c>
      <c r="AO546" s="43">
        <v>17245314</v>
      </c>
      <c r="AP546" s="43">
        <v>914341843.63</v>
      </c>
      <c r="AQ546" s="44">
        <v>0</v>
      </c>
      <c r="AR546" s="44">
        <v>0</v>
      </c>
      <c r="AS546" s="44">
        <v>0</v>
      </c>
      <c r="AT546" s="40">
        <f t="shared" si="592"/>
        <v>0</v>
      </c>
      <c r="AU546" s="18">
        <f t="shared" ref="AU546:AU547" si="696">AJ546-AM546</f>
        <v>1284516783.8699999</v>
      </c>
      <c r="AV546" s="110">
        <f t="shared" ref="AV546:AV547" si="697">AM546-AP546</f>
        <v>2616423118.5</v>
      </c>
      <c r="AW546" s="18">
        <f t="shared" ref="AW546:AW547" si="698">AP546-AT546</f>
        <v>914341843.63</v>
      </c>
      <c r="AX546" s="123">
        <f t="shared" ref="AX546:AX547" si="699">AP546/AJ546</f>
        <v>0.18988335301242412</v>
      </c>
    </row>
    <row r="547" spans="1:50" ht="18.75" customHeight="1" x14ac:dyDescent="0.2">
      <c r="A547" s="4" t="s">
        <v>55</v>
      </c>
      <c r="B547" s="4" t="s">
        <v>56</v>
      </c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1" t="s">
        <v>502</v>
      </c>
      <c r="AB547" s="42" t="s">
        <v>490</v>
      </c>
      <c r="AC547" s="43" t="s">
        <v>368</v>
      </c>
      <c r="AD547" s="43">
        <v>104829219</v>
      </c>
      <c r="AE547" s="44">
        <v>0</v>
      </c>
      <c r="AF547" s="44">
        <v>0</v>
      </c>
      <c r="AG547" s="44">
        <v>0</v>
      </c>
      <c r="AH547" s="44">
        <v>0</v>
      </c>
      <c r="AI547" s="44">
        <v>0</v>
      </c>
      <c r="AJ547" s="43">
        <v>104829219</v>
      </c>
      <c r="AK547" s="44">
        <v>0</v>
      </c>
      <c r="AL547" s="43">
        <f>AM547-FEBRERO!P528</f>
        <v>6599926.4000000004</v>
      </c>
      <c r="AM547" s="43">
        <v>20363063.18</v>
      </c>
      <c r="AN547" s="43">
        <v>0</v>
      </c>
      <c r="AO547" s="43">
        <v>6599926.4000000004</v>
      </c>
      <c r="AP547" s="43">
        <v>20363063.18</v>
      </c>
      <c r="AQ547" s="44">
        <v>0</v>
      </c>
      <c r="AR547" s="43">
        <v>6599926.4000000004</v>
      </c>
      <c r="AS547" s="43">
        <v>20363063.18</v>
      </c>
      <c r="AT547" s="39">
        <f t="shared" si="592"/>
        <v>20363063.18</v>
      </c>
      <c r="AU547" s="18">
        <f t="shared" si="696"/>
        <v>84466155.819999993</v>
      </c>
      <c r="AV547" s="34">
        <f t="shared" si="697"/>
        <v>0</v>
      </c>
      <c r="AW547" s="34">
        <f t="shared" si="698"/>
        <v>0</v>
      </c>
      <c r="AX547" s="123">
        <f t="shared" si="699"/>
        <v>0.19424987970195601</v>
      </c>
    </row>
    <row r="548" spans="1:50" ht="18.75" customHeight="1" x14ac:dyDescent="0.2">
      <c r="AA548" s="28" t="s">
        <v>288</v>
      </c>
      <c r="AB548" s="29" t="s">
        <v>400</v>
      </c>
      <c r="AC548" s="17"/>
      <c r="AD548" s="18"/>
      <c r="AE548" s="34"/>
      <c r="AF548" s="34"/>
      <c r="AG548" s="18"/>
      <c r="AH548" s="18"/>
      <c r="AI548" s="18"/>
      <c r="AJ548" s="18"/>
      <c r="AK548" s="34"/>
      <c r="AL548" s="18"/>
      <c r="AM548" s="18"/>
      <c r="AN548" s="18"/>
      <c r="AO548" s="18"/>
      <c r="AP548" s="18"/>
      <c r="AQ548" s="18"/>
      <c r="AR548" s="18"/>
      <c r="AS548" s="18"/>
      <c r="AT548" s="39"/>
      <c r="AU548" s="18"/>
      <c r="AV548" s="18"/>
      <c r="AW548" s="18"/>
      <c r="AX548" s="18"/>
    </row>
    <row r="549" spans="1:50" ht="18.75" customHeight="1" x14ac:dyDescent="0.2">
      <c r="A549" s="4" t="s">
        <v>55</v>
      </c>
      <c r="B549" s="4" t="s">
        <v>56</v>
      </c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1" t="s">
        <v>401</v>
      </c>
      <c r="AB549" s="42" t="s">
        <v>233</v>
      </c>
      <c r="AC549" s="43" t="s">
        <v>58</v>
      </c>
      <c r="AD549" s="43">
        <v>2673811725</v>
      </c>
      <c r="AE549" s="44">
        <v>0</v>
      </c>
      <c r="AF549" s="44">
        <v>0</v>
      </c>
      <c r="AG549" s="43">
        <v>1500000000</v>
      </c>
      <c r="AH549" s="44">
        <v>0</v>
      </c>
      <c r="AI549" s="43">
        <f>AE549-AF549+AG549-AH549</f>
        <v>1500000000</v>
      </c>
      <c r="AJ549" s="43">
        <f>AD549+AI549</f>
        <v>4173811725</v>
      </c>
      <c r="AK549" s="44">
        <v>0</v>
      </c>
      <c r="AL549" s="43">
        <v>306500000</v>
      </c>
      <c r="AM549" s="43">
        <v>3776200000</v>
      </c>
      <c r="AN549" s="43">
        <v>24500000</v>
      </c>
      <c r="AO549" s="43">
        <v>471350000</v>
      </c>
      <c r="AP549" s="43">
        <v>3734950000</v>
      </c>
      <c r="AQ549" s="114">
        <v>505498332</v>
      </c>
      <c r="AR549" s="114">
        <v>315416666</v>
      </c>
      <c r="AS549" s="114">
        <v>415689999</v>
      </c>
      <c r="AT549" s="111">
        <f t="shared" ref="AT549:AT558" si="700">AQ549+AS549</f>
        <v>921188331</v>
      </c>
      <c r="AU549" s="18">
        <f t="shared" ref="AU549:AU550" si="701">AJ549-AM549</f>
        <v>397611725</v>
      </c>
      <c r="AV549" s="110">
        <f t="shared" ref="AV549:AV550" si="702">AM549-AP549</f>
        <v>41250000</v>
      </c>
      <c r="AW549" s="18">
        <f t="shared" ref="AW549:AW550" si="703">AP549-AT549</f>
        <v>2813761669</v>
      </c>
      <c r="AX549" s="123">
        <f t="shared" ref="AX549:AX550" si="704">AP549/AJ549</f>
        <v>0.89485349270276437</v>
      </c>
    </row>
    <row r="550" spans="1:50" ht="18.75" customHeight="1" x14ac:dyDescent="0.2">
      <c r="A550" s="4" t="s">
        <v>55</v>
      </c>
      <c r="B550" s="4" t="s">
        <v>56</v>
      </c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1" t="s">
        <v>503</v>
      </c>
      <c r="AB550" s="42" t="s">
        <v>439</v>
      </c>
      <c r="AC550" s="43" t="s">
        <v>428</v>
      </c>
      <c r="AD550" s="43">
        <v>1237500000</v>
      </c>
      <c r="AE550" s="44">
        <v>0</v>
      </c>
      <c r="AF550" s="44">
        <v>0</v>
      </c>
      <c r="AG550" s="44">
        <v>0</v>
      </c>
      <c r="AH550" s="44">
        <v>0</v>
      </c>
      <c r="AI550" s="44">
        <v>0</v>
      </c>
      <c r="AJ550" s="43">
        <v>1237500000</v>
      </c>
      <c r="AK550" s="44">
        <v>0</v>
      </c>
      <c r="AL550" s="43">
        <v>31500000</v>
      </c>
      <c r="AM550" s="43">
        <v>1020200000</v>
      </c>
      <c r="AN550" s="43">
        <v>0</v>
      </c>
      <c r="AO550" s="43">
        <v>65800000</v>
      </c>
      <c r="AP550" s="43">
        <v>1004200000</v>
      </c>
      <c r="AQ550" s="114">
        <v>130446666</v>
      </c>
      <c r="AR550" s="114">
        <v>99450000</v>
      </c>
      <c r="AS550" s="114">
        <v>136206668</v>
      </c>
      <c r="AT550" s="111">
        <f t="shared" si="700"/>
        <v>266653334</v>
      </c>
      <c r="AU550" s="18">
        <f t="shared" si="701"/>
        <v>217300000</v>
      </c>
      <c r="AV550" s="110">
        <f t="shared" si="702"/>
        <v>16000000</v>
      </c>
      <c r="AW550" s="18">
        <f t="shared" si="703"/>
        <v>737546666</v>
      </c>
      <c r="AX550" s="123">
        <f t="shared" si="704"/>
        <v>0.81147474747474746</v>
      </c>
    </row>
    <row r="551" spans="1:50" ht="18.75" customHeight="1" x14ac:dyDescent="0.2">
      <c r="AA551" s="16"/>
      <c r="AB551" s="29" t="s">
        <v>199</v>
      </c>
      <c r="AC551" s="17"/>
      <c r="AD551" s="18"/>
      <c r="AE551" s="34"/>
      <c r="AF551" s="34"/>
      <c r="AG551" s="34"/>
      <c r="AH551" s="34"/>
      <c r="AI551" s="34"/>
      <c r="AJ551" s="18"/>
      <c r="AK551" s="18"/>
      <c r="AL551" s="18"/>
      <c r="AM551" s="18"/>
      <c r="AN551" s="18"/>
      <c r="AO551" s="18"/>
      <c r="AP551" s="18"/>
      <c r="AQ551" s="34"/>
      <c r="AR551" s="34"/>
      <c r="AS551" s="34"/>
      <c r="AT551" s="40"/>
      <c r="AU551" s="18"/>
      <c r="AV551" s="18"/>
      <c r="AW551" s="18"/>
      <c r="AX551" s="18"/>
    </row>
    <row r="552" spans="1:50" ht="18.75" customHeight="1" x14ac:dyDescent="0.2">
      <c r="AA552" s="28" t="s">
        <v>288</v>
      </c>
      <c r="AB552" s="29" t="s">
        <v>504</v>
      </c>
      <c r="AC552" s="17"/>
      <c r="AD552" s="18"/>
      <c r="AE552" s="34"/>
      <c r="AF552" s="34"/>
      <c r="AG552" s="34"/>
      <c r="AH552" s="34"/>
      <c r="AI552" s="34"/>
      <c r="AJ552" s="18"/>
      <c r="AK552" s="18"/>
      <c r="AL552" s="18"/>
      <c r="AM552" s="18"/>
      <c r="AN552" s="18"/>
      <c r="AO552" s="18"/>
      <c r="AP552" s="18"/>
      <c r="AQ552" s="34"/>
      <c r="AR552" s="34"/>
      <c r="AS552" s="34"/>
      <c r="AT552" s="40"/>
      <c r="AU552" s="18"/>
      <c r="AV552" s="18"/>
      <c r="AW552" s="18"/>
      <c r="AX552" s="18"/>
    </row>
    <row r="553" spans="1:50" ht="18.75" customHeight="1" x14ac:dyDescent="0.2">
      <c r="A553" s="4" t="s">
        <v>55</v>
      </c>
      <c r="B553" s="4" t="s">
        <v>56</v>
      </c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1" t="s">
        <v>505</v>
      </c>
      <c r="AB553" s="42" t="s">
        <v>439</v>
      </c>
      <c r="AC553" s="43" t="s">
        <v>428</v>
      </c>
      <c r="AD553" s="43">
        <v>1896134100.8599999</v>
      </c>
      <c r="AE553" s="44">
        <v>0</v>
      </c>
      <c r="AF553" s="44">
        <v>0</v>
      </c>
      <c r="AG553" s="44">
        <v>0</v>
      </c>
      <c r="AH553" s="44">
        <v>0</v>
      </c>
      <c r="AI553" s="44">
        <v>0</v>
      </c>
      <c r="AJ553" s="43">
        <v>1896134100.8599999</v>
      </c>
      <c r="AK553" s="44">
        <v>0</v>
      </c>
      <c r="AL553" s="114">
        <v>244195103</v>
      </c>
      <c r="AM553" s="114">
        <v>1876213086</v>
      </c>
      <c r="AN553" s="44">
        <v>0</v>
      </c>
      <c r="AO553" s="44">
        <v>0</v>
      </c>
      <c r="AP553" s="44">
        <v>0</v>
      </c>
      <c r="AQ553" s="44">
        <v>0</v>
      </c>
      <c r="AR553" s="44">
        <v>0</v>
      </c>
      <c r="AS553" s="44">
        <v>0</v>
      </c>
      <c r="AT553" s="40">
        <f>AQ553+AS553</f>
        <v>0</v>
      </c>
      <c r="AU553" s="18">
        <f t="shared" ref="AU553" si="705">AJ553-AM553</f>
        <v>19921014.859999895</v>
      </c>
      <c r="AV553" s="110">
        <f t="shared" ref="AV553" si="706">AM553-AP553</f>
        <v>1876213086</v>
      </c>
      <c r="AW553" s="34">
        <f t="shared" ref="AW553" si="707">AP553-AT553</f>
        <v>0</v>
      </c>
      <c r="AX553" s="123">
        <f t="shared" ref="AX553" si="708">AP553/AJ553</f>
        <v>0</v>
      </c>
    </row>
    <row r="554" spans="1:50" ht="18.75" customHeight="1" x14ac:dyDescent="0.2">
      <c r="AA554" s="28" t="s">
        <v>288</v>
      </c>
      <c r="AB554" s="29" t="s">
        <v>506</v>
      </c>
      <c r="AC554" s="17"/>
      <c r="AD554" s="18"/>
      <c r="AE554" s="34"/>
      <c r="AF554" s="34"/>
      <c r="AG554" s="34"/>
      <c r="AH554" s="34"/>
      <c r="AI554" s="34"/>
      <c r="AJ554" s="18"/>
      <c r="AK554" s="34"/>
      <c r="AL554" s="110"/>
      <c r="AM554" s="110"/>
      <c r="AN554" s="34"/>
      <c r="AO554" s="34"/>
      <c r="AP554" s="34"/>
      <c r="AQ554" s="34"/>
      <c r="AR554" s="34"/>
      <c r="AS554" s="34"/>
      <c r="AT554" s="40"/>
      <c r="AU554" s="18"/>
      <c r="AV554" s="34"/>
      <c r="AW554" s="18"/>
      <c r="AX554" s="18"/>
    </row>
    <row r="555" spans="1:50" ht="18.75" customHeight="1" x14ac:dyDescent="0.2">
      <c r="A555" s="4" t="s">
        <v>55</v>
      </c>
      <c r="B555" s="4" t="s">
        <v>56</v>
      </c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1" t="s">
        <v>507</v>
      </c>
      <c r="AB555" s="42" t="s">
        <v>439</v>
      </c>
      <c r="AC555" s="43" t="s">
        <v>428</v>
      </c>
      <c r="AD555" s="43">
        <v>6191009183.8000002</v>
      </c>
      <c r="AE555" s="44">
        <v>0</v>
      </c>
      <c r="AF555" s="44">
        <v>0</v>
      </c>
      <c r="AG555" s="44">
        <v>0</v>
      </c>
      <c r="AH555" s="43">
        <f>4680084481.8+76000000</f>
        <v>4756084481.8000002</v>
      </c>
      <c r="AI555" s="43">
        <f>AE555-AF555+AG555-AH555</f>
        <v>-4756084481.8000002</v>
      </c>
      <c r="AJ555" s="43">
        <f>AD555+AI555</f>
        <v>1434924702</v>
      </c>
      <c r="AK555" s="44">
        <v>0</v>
      </c>
      <c r="AL555" s="114">
        <v>0</v>
      </c>
      <c r="AM555" s="114">
        <v>527557672.80000001</v>
      </c>
      <c r="AN555" s="44">
        <v>0</v>
      </c>
      <c r="AO555" s="44">
        <v>0</v>
      </c>
      <c r="AP555" s="114">
        <v>527557672.80000001</v>
      </c>
      <c r="AQ555" s="44">
        <v>0</v>
      </c>
      <c r="AR555" s="44">
        <v>0</v>
      </c>
      <c r="AS555" s="44">
        <v>0</v>
      </c>
      <c r="AT555" s="40">
        <f>AQ555+AS555</f>
        <v>0</v>
      </c>
      <c r="AU555" s="18">
        <f t="shared" ref="AU555" si="709">AJ555-AM555</f>
        <v>907367029.20000005</v>
      </c>
      <c r="AV555" s="34">
        <f t="shared" ref="AV555" si="710">AM555-AP555</f>
        <v>0</v>
      </c>
      <c r="AW555" s="18">
        <f t="shared" ref="AW555" si="711">AP555-AT555</f>
        <v>527557672.80000001</v>
      </c>
      <c r="AX555" s="123">
        <f t="shared" ref="AX555" si="712">AP555/AJ555</f>
        <v>0.36765530070301905</v>
      </c>
    </row>
    <row r="556" spans="1:50" ht="18.75" customHeight="1" x14ac:dyDescent="0.2">
      <c r="AA556" s="28" t="s">
        <v>288</v>
      </c>
      <c r="AB556" s="29" t="s">
        <v>508</v>
      </c>
      <c r="AC556" s="17"/>
      <c r="AD556" s="18"/>
      <c r="AE556" s="34"/>
      <c r="AF556" s="34"/>
      <c r="AG556" s="34"/>
      <c r="AH556" s="34"/>
      <c r="AI556" s="34"/>
      <c r="AJ556" s="18"/>
      <c r="AK556" s="34"/>
      <c r="AL556" s="34"/>
      <c r="AM556" s="34"/>
      <c r="AN556" s="34"/>
      <c r="AO556" s="34"/>
      <c r="AP556" s="34"/>
      <c r="AQ556" s="34"/>
      <c r="AR556" s="34"/>
      <c r="AS556" s="34"/>
      <c r="AT556" s="40"/>
      <c r="AU556" s="18"/>
      <c r="AV556" s="34"/>
      <c r="AW556" s="18"/>
      <c r="AX556" s="18"/>
    </row>
    <row r="557" spans="1:50" ht="18.75" customHeight="1" x14ac:dyDescent="0.2">
      <c r="A557" s="4" t="s">
        <v>55</v>
      </c>
      <c r="B557" s="4" t="s">
        <v>56</v>
      </c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1" t="s">
        <v>509</v>
      </c>
      <c r="AB557" s="42" t="s">
        <v>439</v>
      </c>
      <c r="AC557" s="43" t="s">
        <v>428</v>
      </c>
      <c r="AD557" s="43">
        <v>9340881185.3400002</v>
      </c>
      <c r="AE557" s="44">
        <v>0</v>
      </c>
      <c r="AF557" s="44">
        <v>0</v>
      </c>
      <c r="AG557" s="43">
        <v>4680084481.8000002</v>
      </c>
      <c r="AH557" s="44">
        <v>0</v>
      </c>
      <c r="AI557" s="43">
        <f>AE557-AF557+AG557-AH557</f>
        <v>4680084481.8000002</v>
      </c>
      <c r="AJ557" s="43">
        <f>AD557+AI557</f>
        <v>14020965667.139999</v>
      </c>
      <c r="AK557" s="44">
        <v>0</v>
      </c>
      <c r="AL557" s="44">
        <v>0</v>
      </c>
      <c r="AM557" s="44">
        <v>0</v>
      </c>
      <c r="AN557" s="44">
        <v>0</v>
      </c>
      <c r="AO557" s="44">
        <v>0</v>
      </c>
      <c r="AP557" s="44">
        <v>0</v>
      </c>
      <c r="AQ557" s="44">
        <v>0</v>
      </c>
      <c r="AR557" s="44">
        <v>0</v>
      </c>
      <c r="AS557" s="44">
        <v>0</v>
      </c>
      <c r="AT557" s="40">
        <f t="shared" si="700"/>
        <v>0</v>
      </c>
      <c r="AU557" s="18">
        <f t="shared" ref="AU557:AU558" si="713">AJ557-AM557</f>
        <v>14020965667.139999</v>
      </c>
      <c r="AV557" s="34">
        <f t="shared" ref="AV557:AV558" si="714">AM557-AP557</f>
        <v>0</v>
      </c>
      <c r="AW557" s="34">
        <f t="shared" ref="AW557:AW558" si="715">AP557-AT557</f>
        <v>0</v>
      </c>
      <c r="AX557" s="123">
        <f t="shared" ref="AX557:AX558" si="716">AP557/AJ557</f>
        <v>0</v>
      </c>
    </row>
    <row r="558" spans="1:50" ht="18.75" customHeight="1" x14ac:dyDescent="0.2">
      <c r="A558" s="4" t="s">
        <v>55</v>
      </c>
      <c r="B558" s="4" t="s">
        <v>56</v>
      </c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1" t="s">
        <v>510</v>
      </c>
      <c r="AB558" s="42" t="s">
        <v>490</v>
      </c>
      <c r="AC558" s="43" t="s">
        <v>368</v>
      </c>
      <c r="AD558" s="43">
        <v>659690762</v>
      </c>
      <c r="AE558" s="44">
        <v>0</v>
      </c>
      <c r="AF558" s="44">
        <v>0</v>
      </c>
      <c r="AG558" s="44">
        <v>0</v>
      </c>
      <c r="AH558" s="44">
        <v>0</v>
      </c>
      <c r="AI558" s="44">
        <v>0</v>
      </c>
      <c r="AJ558" s="43">
        <v>659690762</v>
      </c>
      <c r="AK558" s="44">
        <v>0</v>
      </c>
      <c r="AL558" s="44">
        <v>0</v>
      </c>
      <c r="AM558" s="44">
        <v>0</v>
      </c>
      <c r="AN558" s="44">
        <v>0</v>
      </c>
      <c r="AO558" s="44">
        <v>0</v>
      </c>
      <c r="AP558" s="44">
        <v>0</v>
      </c>
      <c r="AQ558" s="44">
        <v>0</v>
      </c>
      <c r="AR558" s="44">
        <v>0</v>
      </c>
      <c r="AS558" s="44">
        <v>0</v>
      </c>
      <c r="AT558" s="40">
        <f t="shared" si="700"/>
        <v>0</v>
      </c>
      <c r="AU558" s="18">
        <f t="shared" si="713"/>
        <v>659690762</v>
      </c>
      <c r="AV558" s="34">
        <f t="shared" si="714"/>
        <v>0</v>
      </c>
      <c r="AW558" s="34">
        <f t="shared" si="715"/>
        <v>0</v>
      </c>
      <c r="AX558" s="123">
        <f t="shared" si="716"/>
        <v>0</v>
      </c>
    </row>
    <row r="559" spans="1:50" ht="24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73" t="s">
        <v>288</v>
      </c>
      <c r="AB559" s="74" t="s">
        <v>197</v>
      </c>
      <c r="AC559" s="43"/>
      <c r="AD559" s="43"/>
      <c r="AE559" s="44"/>
      <c r="AF559" s="44"/>
      <c r="AG559" s="44"/>
      <c r="AH559" s="44"/>
      <c r="AI559" s="44"/>
      <c r="AJ559" s="43"/>
      <c r="AK559" s="44"/>
      <c r="AL559" s="44"/>
      <c r="AM559" s="44"/>
      <c r="AN559" s="44"/>
      <c r="AO559" s="44"/>
      <c r="AP559" s="44"/>
      <c r="AQ559" s="44"/>
      <c r="AR559" s="44"/>
      <c r="AS559" s="44"/>
      <c r="AT559" s="40"/>
      <c r="AU559" s="18"/>
      <c r="AV559" s="34"/>
      <c r="AW559" s="34"/>
      <c r="AX559" s="123"/>
    </row>
    <row r="560" spans="1:50" ht="18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159" t="s">
        <v>967</v>
      </c>
      <c r="AB560" s="42" t="s">
        <v>439</v>
      </c>
      <c r="AC560" s="43"/>
      <c r="AD560" s="43">
        <v>0</v>
      </c>
      <c r="AE560" s="44">
        <v>0</v>
      </c>
      <c r="AF560" s="44">
        <v>0</v>
      </c>
      <c r="AG560" s="43">
        <v>76000000</v>
      </c>
      <c r="AH560" s="44"/>
      <c r="AI560" s="43">
        <f>AE560-AF560+AG560-AH560</f>
        <v>76000000</v>
      </c>
      <c r="AJ560" s="43">
        <f>AD560+AI560</f>
        <v>76000000</v>
      </c>
      <c r="AK560" s="44">
        <v>0</v>
      </c>
      <c r="AL560" s="44">
        <v>0</v>
      </c>
      <c r="AM560" s="44">
        <v>0</v>
      </c>
      <c r="AN560" s="44">
        <v>0</v>
      </c>
      <c r="AO560" s="44">
        <v>0</v>
      </c>
      <c r="AP560" s="44">
        <v>0</v>
      </c>
      <c r="AQ560" s="44">
        <v>0</v>
      </c>
      <c r="AR560" s="44">
        <v>0</v>
      </c>
      <c r="AS560" s="44">
        <v>0</v>
      </c>
      <c r="AT560" s="40">
        <f t="shared" ref="AT560" si="717">AQ560+AS560</f>
        <v>0</v>
      </c>
      <c r="AU560" s="18">
        <f t="shared" ref="AU560" si="718">AJ560-AM560</f>
        <v>76000000</v>
      </c>
      <c r="AV560" s="34">
        <f t="shared" ref="AV560" si="719">AM560-AP560</f>
        <v>0</v>
      </c>
      <c r="AW560" s="34">
        <f t="shared" ref="AW560" si="720">AP560-AT560</f>
        <v>0</v>
      </c>
      <c r="AX560" s="123">
        <f t="shared" ref="AX560" si="721">AP560/AJ560</f>
        <v>0</v>
      </c>
    </row>
    <row r="561" spans="1:50" ht="25.5" x14ac:dyDescent="0.2">
      <c r="AA561" s="16"/>
      <c r="AB561" s="29" t="s">
        <v>511</v>
      </c>
      <c r="AC561" s="17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34"/>
      <c r="AR561" s="34"/>
      <c r="AS561" s="34"/>
      <c r="AT561" s="40"/>
      <c r="AU561" s="18"/>
      <c r="AV561" s="18"/>
      <c r="AW561" s="18"/>
      <c r="AX561" s="18"/>
    </row>
    <row r="562" spans="1:50" ht="18.75" customHeight="1" x14ac:dyDescent="0.2">
      <c r="AA562" s="16"/>
      <c r="AB562" s="29" t="s">
        <v>285</v>
      </c>
      <c r="AC562" s="17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30"/>
      <c r="AU562" s="18"/>
      <c r="AV562" s="18"/>
      <c r="AW562" s="18"/>
      <c r="AX562" s="18"/>
    </row>
    <row r="563" spans="1:50" ht="18.75" customHeight="1" x14ac:dyDescent="0.2">
      <c r="AA563" s="16"/>
      <c r="AB563" s="29" t="s">
        <v>286</v>
      </c>
      <c r="AC563" s="17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30"/>
      <c r="AU563" s="18"/>
      <c r="AV563" s="18"/>
      <c r="AW563" s="18"/>
      <c r="AX563" s="18"/>
    </row>
    <row r="564" spans="1:50" ht="18.75" customHeight="1" x14ac:dyDescent="0.2">
      <c r="AA564" s="16"/>
      <c r="AB564" s="29" t="s">
        <v>179</v>
      </c>
      <c r="AC564" s="17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30"/>
      <c r="AU564" s="18"/>
      <c r="AV564" s="18"/>
      <c r="AW564" s="18"/>
      <c r="AX564" s="18"/>
    </row>
    <row r="565" spans="1:50" ht="18.75" customHeight="1" x14ac:dyDescent="0.2">
      <c r="AA565" s="16"/>
      <c r="AB565" s="29" t="s">
        <v>189</v>
      </c>
      <c r="AC565" s="17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30"/>
      <c r="AU565" s="18"/>
      <c r="AV565" s="18"/>
      <c r="AW565" s="18"/>
      <c r="AX565" s="18"/>
    </row>
    <row r="566" spans="1:50" ht="18.75" customHeight="1" x14ac:dyDescent="0.2">
      <c r="AA566" s="16"/>
      <c r="AB566" s="29" t="s">
        <v>199</v>
      </c>
      <c r="AC566" s="17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30"/>
      <c r="AU566" s="18"/>
      <c r="AV566" s="18"/>
      <c r="AW566" s="18"/>
      <c r="AX566" s="18"/>
    </row>
    <row r="567" spans="1:50" ht="25.5" x14ac:dyDescent="0.2">
      <c r="AA567" s="28" t="s">
        <v>288</v>
      </c>
      <c r="AB567" s="29" t="s">
        <v>512</v>
      </c>
      <c r="AC567" s="17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30"/>
      <c r="AU567" s="18"/>
      <c r="AV567" s="18"/>
      <c r="AW567" s="18"/>
      <c r="AX567" s="18"/>
    </row>
    <row r="568" spans="1:50" ht="18.75" customHeight="1" x14ac:dyDescent="0.2">
      <c r="A568" s="4" t="s">
        <v>55</v>
      </c>
      <c r="B568" s="4" t="s">
        <v>56</v>
      </c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1" t="s">
        <v>513</v>
      </c>
      <c r="AB568" s="42" t="s">
        <v>233</v>
      </c>
      <c r="AC568" s="43" t="s">
        <v>58</v>
      </c>
      <c r="AD568" s="43">
        <v>331060322</v>
      </c>
      <c r="AE568" s="44">
        <v>0</v>
      </c>
      <c r="AF568" s="44">
        <v>0</v>
      </c>
      <c r="AG568" s="44">
        <v>0</v>
      </c>
      <c r="AH568" s="44">
        <v>0</v>
      </c>
      <c r="AI568" s="44">
        <v>0</v>
      </c>
      <c r="AJ568" s="43">
        <v>331060322</v>
      </c>
      <c r="AK568" s="44">
        <v>0</v>
      </c>
      <c r="AL568" s="44">
        <v>0</v>
      </c>
      <c r="AM568" s="44">
        <v>0</v>
      </c>
      <c r="AN568" s="44">
        <v>0</v>
      </c>
      <c r="AO568" s="44">
        <v>0</v>
      </c>
      <c r="AP568" s="44">
        <v>0</v>
      </c>
      <c r="AQ568" s="34">
        <v>0</v>
      </c>
      <c r="AR568" s="34">
        <v>0</v>
      </c>
      <c r="AS568" s="34">
        <v>0</v>
      </c>
      <c r="AT568" s="40">
        <f t="shared" ref="AT568:AT572" si="722">AQ568+AS568</f>
        <v>0</v>
      </c>
      <c r="AU568" s="18">
        <f t="shared" ref="AU568:AU572" si="723">AJ568-AM568</f>
        <v>331060322</v>
      </c>
      <c r="AV568" s="34">
        <f t="shared" ref="AV568:AV572" si="724">AM568-AP568</f>
        <v>0</v>
      </c>
      <c r="AW568" s="34">
        <f t="shared" ref="AW568:AW572" si="725">AP568-AT568</f>
        <v>0</v>
      </c>
      <c r="AX568" s="123">
        <f t="shared" ref="AX568:AX572" si="726">AP568/AJ568</f>
        <v>0</v>
      </c>
    </row>
    <row r="569" spans="1:50" ht="18.75" customHeight="1" x14ac:dyDescent="0.2">
      <c r="A569" s="4" t="s">
        <v>55</v>
      </c>
      <c r="B569" s="4" t="s">
        <v>56</v>
      </c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1" t="s">
        <v>514</v>
      </c>
      <c r="AB569" s="42" t="s">
        <v>515</v>
      </c>
      <c r="AC569" s="43" t="s">
        <v>516</v>
      </c>
      <c r="AD569" s="43">
        <v>6887333116</v>
      </c>
      <c r="AE569" s="44">
        <v>0</v>
      </c>
      <c r="AF569" s="44">
        <v>0</v>
      </c>
      <c r="AG569" s="44">
        <v>0</v>
      </c>
      <c r="AH569" s="44">
        <v>0</v>
      </c>
      <c r="AI569" s="44">
        <v>0</v>
      </c>
      <c r="AJ569" s="43">
        <v>6887333116</v>
      </c>
      <c r="AK569" s="115">
        <v>0</v>
      </c>
      <c r="AL569" s="114">
        <v>0</v>
      </c>
      <c r="AM569" s="114">
        <v>1879859599</v>
      </c>
      <c r="AN569" s="114">
        <v>0</v>
      </c>
      <c r="AO569" s="114">
        <v>0</v>
      </c>
      <c r="AP569" s="114">
        <v>1879859599</v>
      </c>
      <c r="AQ569" s="133">
        <v>0</v>
      </c>
      <c r="AR569" s="110">
        <v>1161687765</v>
      </c>
      <c r="AS569" s="110">
        <v>1879859599</v>
      </c>
      <c r="AT569" s="39">
        <f t="shared" si="722"/>
        <v>1879859599</v>
      </c>
      <c r="AU569" s="18">
        <f t="shared" si="723"/>
        <v>5007473517</v>
      </c>
      <c r="AV569" s="34">
        <f t="shared" si="724"/>
        <v>0</v>
      </c>
      <c r="AW569" s="18">
        <f t="shared" si="725"/>
        <v>0</v>
      </c>
      <c r="AX569" s="123">
        <f t="shared" si="726"/>
        <v>0.27294448625301543</v>
      </c>
    </row>
    <row r="570" spans="1:50" x14ac:dyDescent="0.2">
      <c r="A570" s="4" t="s">
        <v>55</v>
      </c>
      <c r="B570" s="4" t="s">
        <v>56</v>
      </c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1" t="s">
        <v>517</v>
      </c>
      <c r="AB570" s="42" t="s">
        <v>518</v>
      </c>
      <c r="AC570" s="43" t="s">
        <v>428</v>
      </c>
      <c r="AD570" s="43">
        <v>263626220</v>
      </c>
      <c r="AE570" s="44">
        <v>0</v>
      </c>
      <c r="AF570" s="44">
        <v>0</v>
      </c>
      <c r="AG570" s="44">
        <v>0</v>
      </c>
      <c r="AH570" s="44">
        <v>0</v>
      </c>
      <c r="AI570" s="44">
        <v>0</v>
      </c>
      <c r="AJ570" s="43">
        <v>263626220</v>
      </c>
      <c r="AK570" s="44">
        <v>0</v>
      </c>
      <c r="AL570" s="44">
        <v>0</v>
      </c>
      <c r="AM570" s="44">
        <v>0</v>
      </c>
      <c r="AN570" s="44">
        <v>0</v>
      </c>
      <c r="AO570" s="44">
        <v>0</v>
      </c>
      <c r="AP570" s="44">
        <v>0</v>
      </c>
      <c r="AQ570" s="34">
        <v>0</v>
      </c>
      <c r="AR570" s="34">
        <v>0</v>
      </c>
      <c r="AS570" s="34">
        <v>0</v>
      </c>
      <c r="AT570" s="40">
        <f t="shared" si="722"/>
        <v>0</v>
      </c>
      <c r="AU570" s="18">
        <f t="shared" si="723"/>
        <v>263626220</v>
      </c>
      <c r="AV570" s="34">
        <f t="shared" si="724"/>
        <v>0</v>
      </c>
      <c r="AW570" s="34">
        <f t="shared" si="725"/>
        <v>0</v>
      </c>
      <c r="AX570" s="123">
        <f t="shared" si="726"/>
        <v>0</v>
      </c>
    </row>
    <row r="571" spans="1:50" ht="25.5" x14ac:dyDescent="0.2">
      <c r="A571" s="4" t="s">
        <v>55</v>
      </c>
      <c r="B571" s="4" t="s">
        <v>56</v>
      </c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1" t="s">
        <v>519</v>
      </c>
      <c r="AB571" s="42" t="s">
        <v>520</v>
      </c>
      <c r="AC571" s="43" t="s">
        <v>368</v>
      </c>
      <c r="AD571" s="43">
        <v>6200094.4000000004</v>
      </c>
      <c r="AE571" s="44">
        <v>0</v>
      </c>
      <c r="AF571" s="44">
        <v>0</v>
      </c>
      <c r="AG571" s="44">
        <v>0</v>
      </c>
      <c r="AH571" s="44">
        <v>0</v>
      </c>
      <c r="AI571" s="44">
        <v>0</v>
      </c>
      <c r="AJ571" s="43">
        <v>6200094.4000000004</v>
      </c>
      <c r="AK571" s="44">
        <v>0</v>
      </c>
      <c r="AL571" s="44">
        <v>0</v>
      </c>
      <c r="AM571" s="44">
        <v>0</v>
      </c>
      <c r="AN571" s="44">
        <v>0</v>
      </c>
      <c r="AO571" s="44">
        <v>0</v>
      </c>
      <c r="AP571" s="44">
        <v>0</v>
      </c>
      <c r="AQ571" s="34">
        <v>0</v>
      </c>
      <c r="AR571" s="34">
        <v>0</v>
      </c>
      <c r="AS571" s="34">
        <v>0</v>
      </c>
      <c r="AT571" s="40">
        <f t="shared" si="722"/>
        <v>0</v>
      </c>
      <c r="AU571" s="18">
        <f t="shared" si="723"/>
        <v>6200094.4000000004</v>
      </c>
      <c r="AV571" s="34">
        <f t="shared" si="724"/>
        <v>0</v>
      </c>
      <c r="AW571" s="34">
        <f t="shared" si="725"/>
        <v>0</v>
      </c>
      <c r="AX571" s="123">
        <f t="shared" si="726"/>
        <v>0</v>
      </c>
    </row>
    <row r="572" spans="1:50" ht="25.5" x14ac:dyDescent="0.2">
      <c r="A572" s="4" t="s">
        <v>55</v>
      </c>
      <c r="B572" s="4" t="s">
        <v>56</v>
      </c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1" t="s">
        <v>521</v>
      </c>
      <c r="AB572" s="42" t="s">
        <v>522</v>
      </c>
      <c r="AC572" s="43" t="s">
        <v>368</v>
      </c>
      <c r="AD572" s="43">
        <v>112310609.13</v>
      </c>
      <c r="AE572" s="44">
        <v>0</v>
      </c>
      <c r="AF572" s="44">
        <v>0</v>
      </c>
      <c r="AG572" s="44">
        <v>0</v>
      </c>
      <c r="AH572" s="44">
        <v>0</v>
      </c>
      <c r="AI572" s="44">
        <v>0</v>
      </c>
      <c r="AJ572" s="43">
        <v>112310609.13</v>
      </c>
      <c r="AK572" s="44">
        <v>0</v>
      </c>
      <c r="AL572" s="44">
        <v>0</v>
      </c>
      <c r="AM572" s="44">
        <v>0</v>
      </c>
      <c r="AN572" s="44">
        <v>0</v>
      </c>
      <c r="AO572" s="44">
        <v>0</v>
      </c>
      <c r="AP572" s="44">
        <v>0</v>
      </c>
      <c r="AQ572" s="34">
        <v>0</v>
      </c>
      <c r="AR572" s="34">
        <v>0</v>
      </c>
      <c r="AS572" s="34">
        <v>0</v>
      </c>
      <c r="AT572" s="40">
        <f t="shared" si="722"/>
        <v>0</v>
      </c>
      <c r="AU572" s="18">
        <f t="shared" si="723"/>
        <v>112310609.13</v>
      </c>
      <c r="AV572" s="34">
        <f t="shared" si="724"/>
        <v>0</v>
      </c>
      <c r="AW572" s="34">
        <f t="shared" si="725"/>
        <v>0</v>
      </c>
      <c r="AX572" s="123">
        <f t="shared" si="726"/>
        <v>0</v>
      </c>
    </row>
    <row r="573" spans="1:50" ht="18.75" customHeight="1" x14ac:dyDescent="0.2">
      <c r="AA573" s="16"/>
      <c r="AB573" s="17"/>
      <c r="AC573" s="17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34"/>
      <c r="AR573" s="34"/>
      <c r="AS573" s="34"/>
      <c r="AT573" s="40"/>
      <c r="AU573" s="18"/>
      <c r="AV573" s="18"/>
      <c r="AW573" s="18"/>
      <c r="AX573" s="18"/>
    </row>
    <row r="574" spans="1:50" ht="18.75" customHeight="1" x14ac:dyDescent="0.2">
      <c r="AA574" s="16"/>
      <c r="AB574" s="29" t="s">
        <v>523</v>
      </c>
      <c r="AC574" s="17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34"/>
      <c r="AR574" s="34"/>
      <c r="AS574" s="34"/>
      <c r="AT574" s="40"/>
      <c r="AU574" s="18"/>
      <c r="AV574" s="18"/>
      <c r="AW574" s="18"/>
      <c r="AX574" s="18"/>
    </row>
    <row r="575" spans="1:50" ht="18.75" customHeight="1" x14ac:dyDescent="0.2">
      <c r="AA575" s="16"/>
      <c r="AB575" s="29" t="s">
        <v>285</v>
      </c>
      <c r="AC575" s="17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34"/>
      <c r="AR575" s="34"/>
      <c r="AS575" s="34"/>
      <c r="AT575" s="40"/>
      <c r="AU575" s="18"/>
      <c r="AV575" s="18"/>
      <c r="AW575" s="18"/>
      <c r="AX575" s="18"/>
    </row>
    <row r="576" spans="1:50" ht="18.75" customHeight="1" x14ac:dyDescent="0.2">
      <c r="AA576" s="16"/>
      <c r="AB576" s="29" t="s">
        <v>286</v>
      </c>
      <c r="AC576" s="17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34"/>
      <c r="AR576" s="34"/>
      <c r="AS576" s="34"/>
      <c r="AT576" s="40"/>
      <c r="AU576" s="18"/>
      <c r="AV576" s="18"/>
      <c r="AW576" s="18"/>
      <c r="AX576" s="18"/>
    </row>
    <row r="577" spans="1:50" ht="18.75" customHeight="1" x14ac:dyDescent="0.2">
      <c r="AA577" s="16"/>
      <c r="AB577" s="29" t="s">
        <v>179</v>
      </c>
      <c r="AC577" s="17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34"/>
      <c r="AR577" s="34"/>
      <c r="AS577" s="34"/>
      <c r="AT577" s="40"/>
      <c r="AU577" s="18"/>
      <c r="AV577" s="18"/>
      <c r="AW577" s="18"/>
      <c r="AX577" s="18"/>
    </row>
    <row r="578" spans="1:50" ht="18.75" customHeight="1" x14ac:dyDescent="0.2">
      <c r="AA578" s="16"/>
      <c r="AB578" s="29" t="s">
        <v>189</v>
      </c>
      <c r="AC578" s="17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34"/>
      <c r="AR578" s="34"/>
      <c r="AS578" s="34"/>
      <c r="AT578" s="40"/>
      <c r="AU578" s="18"/>
      <c r="AV578" s="18"/>
      <c r="AW578" s="18"/>
      <c r="AX578" s="18"/>
    </row>
    <row r="579" spans="1:50" ht="18.75" customHeight="1" x14ac:dyDescent="0.2">
      <c r="AA579" s="16"/>
      <c r="AB579" s="29" t="s">
        <v>191</v>
      </c>
      <c r="AC579" s="17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34"/>
      <c r="AR579" s="34"/>
      <c r="AS579" s="34"/>
      <c r="AT579" s="40"/>
      <c r="AU579" s="18"/>
      <c r="AV579" s="18"/>
      <c r="AW579" s="18"/>
      <c r="AX579" s="18"/>
    </row>
    <row r="580" spans="1:50" ht="18.75" customHeight="1" x14ac:dyDescent="0.2">
      <c r="AA580" s="28" t="s">
        <v>288</v>
      </c>
      <c r="AB580" s="29" t="s">
        <v>459</v>
      </c>
      <c r="AC580" s="17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34"/>
      <c r="AR580" s="34"/>
      <c r="AS580" s="34"/>
      <c r="AT580" s="40"/>
      <c r="AU580" s="18"/>
      <c r="AV580" s="18"/>
      <c r="AW580" s="18"/>
      <c r="AX580" s="18"/>
    </row>
    <row r="581" spans="1:50" ht="25.5" x14ac:dyDescent="0.2">
      <c r="A581" s="4" t="s">
        <v>55</v>
      </c>
      <c r="B581" s="4" t="s">
        <v>56</v>
      </c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1" t="s">
        <v>524</v>
      </c>
      <c r="AB581" s="42" t="s">
        <v>525</v>
      </c>
      <c r="AC581" s="43" t="s">
        <v>428</v>
      </c>
      <c r="AD581" s="43">
        <v>47990790</v>
      </c>
      <c r="AE581" s="44">
        <v>0</v>
      </c>
      <c r="AF581" s="44">
        <v>0</v>
      </c>
      <c r="AG581" s="44">
        <v>0</v>
      </c>
      <c r="AH581" s="44">
        <v>0</v>
      </c>
      <c r="AI581" s="44">
        <v>0</v>
      </c>
      <c r="AJ581" s="43">
        <v>47990790</v>
      </c>
      <c r="AK581" s="44">
        <v>0</v>
      </c>
      <c r="AL581" s="44">
        <v>0</v>
      </c>
      <c r="AM581" s="44">
        <v>0</v>
      </c>
      <c r="AN581" s="44">
        <v>0</v>
      </c>
      <c r="AO581" s="44">
        <v>0</v>
      </c>
      <c r="AP581" s="44">
        <v>0</v>
      </c>
      <c r="AQ581" s="34">
        <v>0</v>
      </c>
      <c r="AR581" s="34">
        <v>0</v>
      </c>
      <c r="AS581" s="34">
        <v>0</v>
      </c>
      <c r="AT581" s="40">
        <f t="shared" ref="AT581:AT582" si="727">AQ581+AS581</f>
        <v>0</v>
      </c>
      <c r="AU581" s="18">
        <f t="shared" ref="AU581:AU582" si="728">AJ581-AM581</f>
        <v>47990790</v>
      </c>
      <c r="AV581" s="34">
        <f t="shared" ref="AV581:AV582" si="729">AM581-AP581</f>
        <v>0</v>
      </c>
      <c r="AW581" s="34">
        <f t="shared" ref="AW581:AW582" si="730">AP581-AT581</f>
        <v>0</v>
      </c>
      <c r="AX581" s="123">
        <f t="shared" ref="AX581:AX582" si="731">AP581/AJ581</f>
        <v>0</v>
      </c>
    </row>
    <row r="582" spans="1:50" ht="25.5" x14ac:dyDescent="0.2">
      <c r="A582" s="4" t="s">
        <v>55</v>
      </c>
      <c r="B582" s="4" t="s">
        <v>56</v>
      </c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1" t="s">
        <v>526</v>
      </c>
      <c r="AB582" s="42" t="s">
        <v>527</v>
      </c>
      <c r="AC582" s="43" t="s">
        <v>428</v>
      </c>
      <c r="AD582" s="43">
        <v>1098509998.8599999</v>
      </c>
      <c r="AE582" s="44">
        <v>0</v>
      </c>
      <c r="AF582" s="44">
        <v>0</v>
      </c>
      <c r="AG582" s="44">
        <v>0</v>
      </c>
      <c r="AH582" s="44">
        <v>0</v>
      </c>
      <c r="AI582" s="44">
        <v>0</v>
      </c>
      <c r="AJ582" s="43">
        <v>1098509998.8599999</v>
      </c>
      <c r="AK582" s="44">
        <v>0</v>
      </c>
      <c r="AL582" s="44">
        <v>0</v>
      </c>
      <c r="AM582" s="44">
        <v>0</v>
      </c>
      <c r="AN582" s="44">
        <v>0</v>
      </c>
      <c r="AO582" s="44">
        <v>0</v>
      </c>
      <c r="AP582" s="44">
        <v>0</v>
      </c>
      <c r="AQ582" s="34">
        <v>0</v>
      </c>
      <c r="AR582" s="34">
        <v>0</v>
      </c>
      <c r="AS582" s="34">
        <v>0</v>
      </c>
      <c r="AT582" s="40">
        <f t="shared" si="727"/>
        <v>0</v>
      </c>
      <c r="AU582" s="18">
        <f t="shared" si="728"/>
        <v>1098509998.8599999</v>
      </c>
      <c r="AV582" s="34">
        <f t="shared" si="729"/>
        <v>0</v>
      </c>
      <c r="AW582" s="34">
        <f t="shared" si="730"/>
        <v>0</v>
      </c>
      <c r="AX582" s="123">
        <f t="shared" si="731"/>
        <v>0</v>
      </c>
    </row>
    <row r="583" spans="1:50" x14ac:dyDescent="0.2">
      <c r="AA583" s="16"/>
      <c r="AB583" s="17"/>
      <c r="AC583" s="17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30"/>
      <c r="AU583" s="18"/>
      <c r="AV583" s="18"/>
      <c r="AW583" s="18"/>
      <c r="AX583" s="18"/>
    </row>
    <row r="584" spans="1:50" s="50" customFormat="1" ht="18.75" customHeight="1" x14ac:dyDescent="0.2"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46"/>
      <c r="AB584" s="47" t="s">
        <v>528</v>
      </c>
      <c r="AC584" s="47"/>
      <c r="AD584" s="48">
        <f t="shared" ref="AD584:AS584" si="732">SUM(AD470:AD582)</f>
        <v>94071374538</v>
      </c>
      <c r="AE584" s="49">
        <f t="shared" si="732"/>
        <v>28851327162</v>
      </c>
      <c r="AF584" s="49">
        <f t="shared" si="732"/>
        <v>0</v>
      </c>
      <c r="AG584" s="48">
        <f t="shared" si="732"/>
        <v>49116587417.950005</v>
      </c>
      <c r="AH584" s="48">
        <f t="shared" si="732"/>
        <v>47560587417.950005</v>
      </c>
      <c r="AI584" s="48">
        <f t="shared" si="732"/>
        <v>30407327162</v>
      </c>
      <c r="AJ584" s="48">
        <f t="shared" si="732"/>
        <v>124478701700</v>
      </c>
      <c r="AK584" s="49">
        <f t="shared" si="732"/>
        <v>0</v>
      </c>
      <c r="AL584" s="48">
        <f t="shared" si="732"/>
        <v>36587276129.879997</v>
      </c>
      <c r="AM584" s="48">
        <f>SUM(AM470:AM582)</f>
        <v>76020932977.250015</v>
      </c>
      <c r="AN584" s="48">
        <f t="shared" si="732"/>
        <v>24500000</v>
      </c>
      <c r="AO584" s="48">
        <f t="shared" si="732"/>
        <v>3054737890.52</v>
      </c>
      <c r="AP584" s="48">
        <f t="shared" si="732"/>
        <v>16069399225.889999</v>
      </c>
      <c r="AQ584" s="48">
        <f t="shared" si="732"/>
        <v>666848465</v>
      </c>
      <c r="AR584" s="48">
        <f t="shared" si="732"/>
        <v>3966862427.4000001</v>
      </c>
      <c r="AS584" s="48">
        <f t="shared" si="732"/>
        <v>6688325399.29</v>
      </c>
      <c r="AT584" s="22">
        <f>AQ584+AS584</f>
        <v>7355173864.29</v>
      </c>
      <c r="AU584" s="48">
        <f>SUM(AU470:AU582)</f>
        <v>48457768722.75</v>
      </c>
      <c r="AV584" s="48">
        <f>SUM(AV470:AV582)</f>
        <v>59951533751.360001</v>
      </c>
      <c r="AW584" s="48">
        <f>SUM(AW470:AW582)</f>
        <v>8714225361.6000004</v>
      </c>
      <c r="AX584" s="24">
        <f t="shared" ref="AX584" si="733">AP584/AJ584</f>
        <v>0.1290935638501281</v>
      </c>
    </row>
    <row r="585" spans="1:50" ht="18.75" customHeight="1" x14ac:dyDescent="0.2">
      <c r="AA585" s="16"/>
      <c r="AB585" s="17"/>
      <c r="AC585" s="17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</row>
    <row r="586" spans="1:50" s="25" customFormat="1" ht="18.75" customHeight="1" x14ac:dyDescent="0.2"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66"/>
      <c r="AB586" s="21" t="s">
        <v>529</v>
      </c>
      <c r="AC586" s="67"/>
      <c r="AD586" s="63"/>
      <c r="AE586" s="63"/>
      <c r="AF586" s="63"/>
      <c r="AG586" s="63"/>
      <c r="AH586" s="63"/>
      <c r="AI586" s="63"/>
      <c r="AJ586" s="63"/>
      <c r="AK586" s="63"/>
      <c r="AL586" s="63"/>
      <c r="AM586" s="63"/>
      <c r="AN586" s="63"/>
      <c r="AO586" s="63"/>
      <c r="AP586" s="63"/>
      <c r="AQ586" s="63"/>
      <c r="AR586" s="63"/>
      <c r="AS586" s="63"/>
      <c r="AT586" s="63"/>
      <c r="AU586" s="63"/>
      <c r="AV586" s="63"/>
      <c r="AW586" s="63"/>
      <c r="AX586" s="63"/>
    </row>
    <row r="587" spans="1:50" ht="18.75" customHeight="1" x14ac:dyDescent="0.2">
      <c r="AA587" s="16"/>
      <c r="AB587" s="29" t="s">
        <v>286</v>
      </c>
      <c r="AC587" s="17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</row>
    <row r="588" spans="1:50" ht="18.75" customHeight="1" x14ac:dyDescent="0.2">
      <c r="AA588" s="16"/>
      <c r="AB588" s="29" t="s">
        <v>179</v>
      </c>
      <c r="AC588" s="17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</row>
    <row r="589" spans="1:50" ht="18.75" customHeight="1" x14ac:dyDescent="0.2">
      <c r="AA589" s="16"/>
      <c r="AB589" s="29" t="s">
        <v>181</v>
      </c>
      <c r="AC589" s="17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</row>
    <row r="590" spans="1:50" x14ac:dyDescent="0.2">
      <c r="AA590" s="16"/>
      <c r="AB590" s="29" t="s">
        <v>530</v>
      </c>
      <c r="AC590" s="17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30"/>
      <c r="AU590" s="18"/>
      <c r="AV590" s="18"/>
      <c r="AW590" s="18"/>
      <c r="AX590" s="18"/>
    </row>
    <row r="591" spans="1:50" ht="25.5" x14ac:dyDescent="0.2">
      <c r="AA591" s="28" t="s">
        <v>288</v>
      </c>
      <c r="AB591" s="29" t="s">
        <v>531</v>
      </c>
      <c r="AC591" s="17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30"/>
      <c r="AU591" s="18"/>
      <c r="AV591" s="18"/>
      <c r="AW591" s="18"/>
      <c r="AX591" s="18"/>
    </row>
    <row r="592" spans="1:50" x14ac:dyDescent="0.2">
      <c r="A592" s="4" t="s">
        <v>55</v>
      </c>
      <c r="B592" s="4" t="s">
        <v>56</v>
      </c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1" t="s">
        <v>532</v>
      </c>
      <c r="AB592" s="42" t="s">
        <v>233</v>
      </c>
      <c r="AC592" s="43" t="s">
        <v>58</v>
      </c>
      <c r="AD592" s="43">
        <v>40000000.659999996</v>
      </c>
      <c r="AE592" s="44">
        <v>0</v>
      </c>
      <c r="AF592" s="44">
        <v>0</v>
      </c>
      <c r="AG592" s="43">
        <v>250000000</v>
      </c>
      <c r="AH592" s="44">
        <v>0</v>
      </c>
      <c r="AI592" s="43">
        <f>AE592-AF592+AG592-AH592</f>
        <v>250000000</v>
      </c>
      <c r="AJ592" s="43">
        <f>AD592+AI592</f>
        <v>290000000.65999997</v>
      </c>
      <c r="AK592" s="44">
        <v>0</v>
      </c>
      <c r="AL592" s="44">
        <v>0</v>
      </c>
      <c r="AM592" s="44">
        <v>0</v>
      </c>
      <c r="AN592" s="44">
        <v>0</v>
      </c>
      <c r="AO592" s="44">
        <v>0</v>
      </c>
      <c r="AP592" s="44">
        <v>0</v>
      </c>
      <c r="AQ592" s="34">
        <v>0</v>
      </c>
      <c r="AR592" s="34">
        <v>0</v>
      </c>
      <c r="AS592" s="34">
        <v>0</v>
      </c>
      <c r="AT592" s="40">
        <f t="shared" ref="AT592:AT594" si="734">AQ592+AS592</f>
        <v>0</v>
      </c>
      <c r="AU592" s="18">
        <f t="shared" ref="AU592:AU594" si="735">AJ592-AM592</f>
        <v>290000000.65999997</v>
      </c>
      <c r="AV592" s="34">
        <f t="shared" ref="AV592:AV594" si="736">AM592-AP592</f>
        <v>0</v>
      </c>
      <c r="AW592" s="34">
        <f t="shared" ref="AW592:AW594" si="737">AP592-AT592</f>
        <v>0</v>
      </c>
      <c r="AX592" s="123">
        <f t="shared" ref="AX592:AX594" si="738">AP592/AJ592</f>
        <v>0</v>
      </c>
    </row>
    <row r="593" spans="1:50" ht="25.5" x14ac:dyDescent="0.2">
      <c r="AA593" s="28" t="s">
        <v>288</v>
      </c>
      <c r="AB593" s="29" t="s">
        <v>533</v>
      </c>
      <c r="AC593" s="17"/>
      <c r="AD593" s="18"/>
      <c r="AE593" s="34"/>
      <c r="AF593" s="34"/>
      <c r="AG593" s="34"/>
      <c r="AH593" s="34"/>
      <c r="AI593" s="34"/>
      <c r="AJ593" s="18"/>
      <c r="AK593" s="18"/>
      <c r="AL593" s="18"/>
      <c r="AM593" s="18"/>
      <c r="AN593" s="18"/>
      <c r="AO593" s="18"/>
      <c r="AP593" s="18"/>
      <c r="AQ593" s="34"/>
      <c r="AR593" s="34"/>
      <c r="AS593" s="34"/>
      <c r="AT593" s="40"/>
      <c r="AU593" s="18"/>
      <c r="AV593" s="34"/>
      <c r="AW593" s="34"/>
      <c r="AX593" s="123"/>
    </row>
    <row r="594" spans="1:50" x14ac:dyDescent="0.2">
      <c r="A594" s="4" t="s">
        <v>55</v>
      </c>
      <c r="B594" s="4" t="s">
        <v>56</v>
      </c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1" t="s">
        <v>534</v>
      </c>
      <c r="AB594" s="42" t="s">
        <v>233</v>
      </c>
      <c r="AC594" s="43" t="s">
        <v>58</v>
      </c>
      <c r="AD594" s="43">
        <v>100000000</v>
      </c>
      <c r="AE594" s="44">
        <v>0</v>
      </c>
      <c r="AF594" s="44">
        <v>0</v>
      </c>
      <c r="AG594" s="44">
        <v>0</v>
      </c>
      <c r="AH594" s="44">
        <v>0</v>
      </c>
      <c r="AI594" s="44">
        <v>0</v>
      </c>
      <c r="AJ594" s="43">
        <v>100000000</v>
      </c>
      <c r="AK594" s="44">
        <v>0</v>
      </c>
      <c r="AL594" s="44">
        <v>0</v>
      </c>
      <c r="AM594" s="44">
        <v>0</v>
      </c>
      <c r="AN594" s="44">
        <v>0</v>
      </c>
      <c r="AO594" s="44">
        <v>0</v>
      </c>
      <c r="AP594" s="44">
        <v>0</v>
      </c>
      <c r="AQ594" s="34">
        <v>0</v>
      </c>
      <c r="AR594" s="34">
        <v>0</v>
      </c>
      <c r="AS594" s="34">
        <v>0</v>
      </c>
      <c r="AT594" s="40">
        <f t="shared" si="734"/>
        <v>0</v>
      </c>
      <c r="AU594" s="18">
        <f t="shared" si="735"/>
        <v>100000000</v>
      </c>
      <c r="AV594" s="34">
        <f t="shared" si="736"/>
        <v>0</v>
      </c>
      <c r="AW594" s="34">
        <f t="shared" si="737"/>
        <v>0</v>
      </c>
      <c r="AX594" s="123">
        <f t="shared" si="738"/>
        <v>0</v>
      </c>
    </row>
    <row r="595" spans="1:50" x14ac:dyDescent="0.2">
      <c r="AA595" s="16"/>
      <c r="AB595" s="17"/>
      <c r="AC595" s="17"/>
      <c r="AD595" s="18"/>
      <c r="AE595" s="34"/>
      <c r="AF595" s="34"/>
      <c r="AG595" s="34"/>
      <c r="AH595" s="34"/>
      <c r="AI595" s="34"/>
      <c r="AJ595" s="18"/>
      <c r="AK595" s="34"/>
      <c r="AL595" s="34"/>
      <c r="AM595" s="34"/>
      <c r="AN595" s="34"/>
      <c r="AO595" s="34"/>
      <c r="AP595" s="34"/>
      <c r="AQ595" s="18"/>
      <c r="AR595" s="18"/>
      <c r="AS595" s="18"/>
      <c r="AT595" s="31"/>
      <c r="AU595" s="18"/>
      <c r="AV595" s="18"/>
      <c r="AW595" s="34"/>
      <c r="AX595" s="18"/>
    </row>
    <row r="596" spans="1:50" ht="25.5" x14ac:dyDescent="0.2">
      <c r="AA596" s="16"/>
      <c r="AB596" s="29" t="s">
        <v>183</v>
      </c>
      <c r="AC596" s="17"/>
      <c r="AD596" s="18"/>
      <c r="AE596" s="34"/>
      <c r="AF596" s="34"/>
      <c r="AG596" s="34"/>
      <c r="AH596" s="34"/>
      <c r="AI596" s="34"/>
      <c r="AJ596" s="18"/>
      <c r="AK596" s="34"/>
      <c r="AL596" s="34"/>
      <c r="AM596" s="34"/>
      <c r="AN596" s="34"/>
      <c r="AO596" s="34"/>
      <c r="AP596" s="34"/>
      <c r="AQ596" s="18"/>
      <c r="AR596" s="18"/>
      <c r="AS596" s="18"/>
      <c r="AT596" s="31"/>
      <c r="AU596" s="18"/>
      <c r="AV596" s="18"/>
      <c r="AW596" s="34"/>
      <c r="AX596" s="18"/>
    </row>
    <row r="597" spans="1:50" ht="25.5" x14ac:dyDescent="0.2">
      <c r="AA597" s="28" t="s">
        <v>288</v>
      </c>
      <c r="AB597" s="29" t="s">
        <v>535</v>
      </c>
      <c r="AC597" s="17"/>
      <c r="AD597" s="18"/>
      <c r="AE597" s="34"/>
      <c r="AF597" s="34"/>
      <c r="AG597" s="34"/>
      <c r="AH597" s="34"/>
      <c r="AI597" s="34"/>
      <c r="AJ597" s="18"/>
      <c r="AK597" s="34"/>
      <c r="AL597" s="34"/>
      <c r="AM597" s="34"/>
      <c r="AN597" s="34"/>
      <c r="AO597" s="34"/>
      <c r="AP597" s="34"/>
      <c r="AQ597" s="18"/>
      <c r="AR597" s="18"/>
      <c r="AS597" s="18"/>
      <c r="AT597" s="31"/>
      <c r="AU597" s="18"/>
      <c r="AV597" s="18"/>
      <c r="AW597" s="34"/>
      <c r="AX597" s="18"/>
    </row>
    <row r="598" spans="1:50" x14ac:dyDescent="0.2">
      <c r="A598" s="4" t="s">
        <v>55</v>
      </c>
      <c r="B598" s="4" t="s">
        <v>56</v>
      </c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1" t="s">
        <v>536</v>
      </c>
      <c r="AB598" s="42" t="s">
        <v>233</v>
      </c>
      <c r="AC598" s="43" t="s">
        <v>58</v>
      </c>
      <c r="AD598" s="43">
        <v>246000000</v>
      </c>
      <c r="AE598" s="44">
        <v>0</v>
      </c>
      <c r="AF598" s="44">
        <v>0</v>
      </c>
      <c r="AG598" s="43">
        <v>200000000</v>
      </c>
      <c r="AH598" s="44">
        <v>0</v>
      </c>
      <c r="AI598" s="43">
        <f>AE598-AF598+AG598-AH598</f>
        <v>200000000</v>
      </c>
      <c r="AJ598" s="43">
        <f>AD598+AI598</f>
        <v>446000000</v>
      </c>
      <c r="AK598" s="44">
        <v>0</v>
      </c>
      <c r="AL598" s="44">
        <v>0</v>
      </c>
      <c r="AM598" s="44">
        <v>0</v>
      </c>
      <c r="AN598" s="44">
        <v>0</v>
      </c>
      <c r="AO598" s="44">
        <v>0</v>
      </c>
      <c r="AP598" s="44">
        <v>0</v>
      </c>
      <c r="AQ598" s="44">
        <v>0</v>
      </c>
      <c r="AR598" s="44">
        <v>0</v>
      </c>
      <c r="AS598" s="44">
        <v>0</v>
      </c>
      <c r="AT598" s="40">
        <f t="shared" ref="AT598:AT600" si="739">AQ598+AS598</f>
        <v>0</v>
      </c>
      <c r="AU598" s="18">
        <f t="shared" ref="AU598:AU600" si="740">AJ598-AM598</f>
        <v>446000000</v>
      </c>
      <c r="AV598" s="34">
        <f t="shared" ref="AV598:AV600" si="741">AM598-AP598</f>
        <v>0</v>
      </c>
      <c r="AW598" s="34">
        <f t="shared" ref="AW598:AW600" si="742">AP598-AT598</f>
        <v>0</v>
      </c>
      <c r="AX598" s="123">
        <f t="shared" ref="AX598:AX600" si="743">AP598/AJ598</f>
        <v>0</v>
      </c>
    </row>
    <row r="599" spans="1:50" x14ac:dyDescent="0.2">
      <c r="A599" s="4" t="s">
        <v>55</v>
      </c>
      <c r="B599" s="4" t="s">
        <v>56</v>
      </c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1" t="s">
        <v>537</v>
      </c>
      <c r="AB599" s="42" t="s">
        <v>538</v>
      </c>
      <c r="AC599" s="43" t="s">
        <v>253</v>
      </c>
      <c r="AD599" s="43">
        <v>603350727</v>
      </c>
      <c r="AE599" s="44">
        <v>0</v>
      </c>
      <c r="AF599" s="44">
        <v>0</v>
      </c>
      <c r="AG599" s="44">
        <v>0</v>
      </c>
      <c r="AH599" s="44">
        <v>0</v>
      </c>
      <c r="AI599" s="44">
        <v>0</v>
      </c>
      <c r="AJ599" s="43">
        <v>603350727</v>
      </c>
      <c r="AK599" s="44">
        <v>0</v>
      </c>
      <c r="AL599" s="44">
        <v>0</v>
      </c>
      <c r="AM599" s="44">
        <v>0</v>
      </c>
      <c r="AN599" s="44">
        <v>0</v>
      </c>
      <c r="AO599" s="44">
        <v>0</v>
      </c>
      <c r="AP599" s="44">
        <v>0</v>
      </c>
      <c r="AQ599" s="44">
        <v>0</v>
      </c>
      <c r="AR599" s="44">
        <v>0</v>
      </c>
      <c r="AS599" s="44">
        <v>0</v>
      </c>
      <c r="AT599" s="40">
        <f t="shared" si="739"/>
        <v>0</v>
      </c>
      <c r="AU599" s="18">
        <f t="shared" si="740"/>
        <v>603350727</v>
      </c>
      <c r="AV599" s="34">
        <f t="shared" si="741"/>
        <v>0</v>
      </c>
      <c r="AW599" s="34">
        <f t="shared" si="742"/>
        <v>0</v>
      </c>
      <c r="AX599" s="123">
        <f t="shared" si="743"/>
        <v>0</v>
      </c>
    </row>
    <row r="600" spans="1:50" ht="25.5" x14ac:dyDescent="0.2">
      <c r="A600" s="4" t="s">
        <v>55</v>
      </c>
      <c r="B600" s="4" t="s">
        <v>56</v>
      </c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1" t="s">
        <v>539</v>
      </c>
      <c r="AB600" s="42" t="s">
        <v>540</v>
      </c>
      <c r="AC600" s="43" t="s">
        <v>253</v>
      </c>
      <c r="AD600" s="43">
        <v>850649274</v>
      </c>
      <c r="AE600" s="44">
        <v>0</v>
      </c>
      <c r="AF600" s="44">
        <v>0</v>
      </c>
      <c r="AG600" s="44">
        <v>0</v>
      </c>
      <c r="AH600" s="44">
        <v>0</v>
      </c>
      <c r="AI600" s="44">
        <v>0</v>
      </c>
      <c r="AJ600" s="43">
        <v>850649274</v>
      </c>
      <c r="AK600" s="44">
        <v>0</v>
      </c>
      <c r="AL600" s="44">
        <v>0</v>
      </c>
      <c r="AM600" s="44">
        <v>0</v>
      </c>
      <c r="AN600" s="44">
        <v>0</v>
      </c>
      <c r="AO600" s="44">
        <v>0</v>
      </c>
      <c r="AP600" s="44">
        <v>0</v>
      </c>
      <c r="AQ600" s="44">
        <v>0</v>
      </c>
      <c r="AR600" s="44">
        <v>0</v>
      </c>
      <c r="AS600" s="44">
        <v>0</v>
      </c>
      <c r="AT600" s="40">
        <f t="shared" si="739"/>
        <v>0</v>
      </c>
      <c r="AU600" s="18">
        <f t="shared" si="740"/>
        <v>850649274</v>
      </c>
      <c r="AV600" s="34">
        <f t="shared" si="741"/>
        <v>0</v>
      </c>
      <c r="AW600" s="34">
        <f t="shared" si="742"/>
        <v>0</v>
      </c>
      <c r="AX600" s="123">
        <f t="shared" si="743"/>
        <v>0</v>
      </c>
    </row>
    <row r="601" spans="1:50" x14ac:dyDescent="0.2">
      <c r="AA601" s="16"/>
      <c r="AB601" s="17"/>
      <c r="AC601" s="17"/>
      <c r="AD601" s="18"/>
      <c r="AE601" s="34"/>
      <c r="AF601" s="34"/>
      <c r="AG601" s="34"/>
      <c r="AH601" s="34"/>
      <c r="AI601" s="34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30"/>
      <c r="AU601" s="18"/>
      <c r="AV601" s="18"/>
      <c r="AW601" s="18"/>
      <c r="AX601" s="18"/>
    </row>
    <row r="602" spans="1:50" x14ac:dyDescent="0.2">
      <c r="AA602" s="16"/>
      <c r="AB602" s="29" t="s">
        <v>199</v>
      </c>
      <c r="AC602" s="17"/>
      <c r="AD602" s="18"/>
      <c r="AE602" s="34"/>
      <c r="AF602" s="34"/>
      <c r="AG602" s="34"/>
      <c r="AH602" s="34"/>
      <c r="AI602" s="34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30"/>
      <c r="AU602" s="18"/>
      <c r="AV602" s="18"/>
      <c r="AW602" s="18"/>
      <c r="AX602" s="18"/>
    </row>
    <row r="603" spans="1:50" ht="25.5" x14ac:dyDescent="0.2">
      <c r="AA603" s="28" t="s">
        <v>288</v>
      </c>
      <c r="AB603" s="29" t="s">
        <v>531</v>
      </c>
      <c r="AC603" s="17"/>
      <c r="AD603" s="18"/>
      <c r="AE603" s="34"/>
      <c r="AF603" s="34"/>
      <c r="AG603" s="34"/>
      <c r="AH603" s="34"/>
      <c r="AI603" s="34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30"/>
      <c r="AU603" s="18"/>
      <c r="AV603" s="18"/>
      <c r="AW603" s="18"/>
      <c r="AX603" s="18"/>
    </row>
    <row r="604" spans="1:50" x14ac:dyDescent="0.2">
      <c r="A604" s="4" t="s">
        <v>55</v>
      </c>
      <c r="B604" s="4" t="s">
        <v>56</v>
      </c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1" t="s">
        <v>541</v>
      </c>
      <c r="AB604" s="42" t="s">
        <v>233</v>
      </c>
      <c r="AC604" s="43" t="s">
        <v>58</v>
      </c>
      <c r="AD604" s="43">
        <v>190000000</v>
      </c>
      <c r="AE604" s="44">
        <v>0</v>
      </c>
      <c r="AF604" s="44">
        <v>0</v>
      </c>
      <c r="AG604" s="44">
        <v>0</v>
      </c>
      <c r="AH604" s="44">
        <v>0</v>
      </c>
      <c r="AI604" s="44">
        <v>0</v>
      </c>
      <c r="AJ604" s="43">
        <v>190000000</v>
      </c>
      <c r="AK604" s="115">
        <v>0</v>
      </c>
      <c r="AL604" s="114">
        <v>0</v>
      </c>
      <c r="AM604" s="114">
        <v>88000000</v>
      </c>
      <c r="AN604" s="114">
        <v>0</v>
      </c>
      <c r="AO604" s="114">
        <v>56000000</v>
      </c>
      <c r="AP604" s="114">
        <v>88000000</v>
      </c>
      <c r="AQ604" s="115">
        <v>9433334</v>
      </c>
      <c r="AR604" s="115">
        <v>0</v>
      </c>
      <c r="AS604" s="115">
        <v>0</v>
      </c>
      <c r="AT604" s="40">
        <f t="shared" ref="AT604" si="744">AQ604+AS604</f>
        <v>9433334</v>
      </c>
      <c r="AU604" s="18">
        <f t="shared" ref="AU604" si="745">AJ604-AM604</f>
        <v>102000000</v>
      </c>
      <c r="AV604" s="110">
        <f t="shared" ref="AV604" si="746">AM604-AP604</f>
        <v>0</v>
      </c>
      <c r="AW604" s="18">
        <f t="shared" ref="AW604" si="747">AP604-AT604</f>
        <v>78566666</v>
      </c>
      <c r="AX604" s="123">
        <f t="shared" ref="AX604" si="748">AP604/AJ604</f>
        <v>0.4631578947368421</v>
      </c>
    </row>
    <row r="605" spans="1:50" x14ac:dyDescent="0.2">
      <c r="AA605" s="28" t="s">
        <v>288</v>
      </c>
      <c r="AB605" s="29" t="s">
        <v>542</v>
      </c>
      <c r="AC605" s="17"/>
      <c r="AD605" s="18"/>
      <c r="AE605" s="34"/>
      <c r="AF605" s="34"/>
      <c r="AG605" s="34"/>
      <c r="AH605" s="34"/>
      <c r="AI605" s="34"/>
      <c r="AJ605" s="18"/>
      <c r="AK605" s="34"/>
      <c r="AL605" s="34"/>
      <c r="AM605" s="34"/>
      <c r="AN605" s="34"/>
      <c r="AO605" s="34"/>
      <c r="AP605" s="34"/>
      <c r="AQ605" s="34"/>
      <c r="AR605" s="34"/>
      <c r="AS605" s="34"/>
      <c r="AT605" s="31"/>
      <c r="AU605" s="18"/>
      <c r="AV605" s="18"/>
      <c r="AW605" s="18"/>
      <c r="AX605" s="18"/>
    </row>
    <row r="606" spans="1:50" x14ac:dyDescent="0.2">
      <c r="A606" s="4" t="s">
        <v>55</v>
      </c>
      <c r="B606" s="4" t="s">
        <v>56</v>
      </c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1" t="s">
        <v>543</v>
      </c>
      <c r="AB606" s="42" t="s">
        <v>233</v>
      </c>
      <c r="AC606" s="43" t="s">
        <v>58</v>
      </c>
      <c r="AD606" s="43">
        <v>229000000</v>
      </c>
      <c r="AE606" s="44">
        <v>0</v>
      </c>
      <c r="AF606" s="44">
        <v>0</v>
      </c>
      <c r="AG606" s="44">
        <v>0</v>
      </c>
      <c r="AH606" s="44">
        <v>0</v>
      </c>
      <c r="AI606" s="44">
        <v>0</v>
      </c>
      <c r="AJ606" s="43">
        <v>229000000</v>
      </c>
      <c r="AK606" s="44">
        <v>0</v>
      </c>
      <c r="AL606" s="44">
        <v>0</v>
      </c>
      <c r="AM606" s="44">
        <v>0</v>
      </c>
      <c r="AN606" s="44">
        <v>0</v>
      </c>
      <c r="AO606" s="44">
        <v>0</v>
      </c>
      <c r="AP606" s="44">
        <v>0</v>
      </c>
      <c r="AQ606" s="44">
        <v>0</v>
      </c>
      <c r="AR606" s="44">
        <v>0</v>
      </c>
      <c r="AS606" s="44">
        <v>0</v>
      </c>
      <c r="AT606" s="40">
        <f t="shared" ref="AT606" si="749">AQ606+AS606</f>
        <v>0</v>
      </c>
      <c r="AU606" s="18">
        <f t="shared" ref="AU606" si="750">AJ606-AM606</f>
        <v>229000000</v>
      </c>
      <c r="AV606" s="34">
        <f t="shared" ref="AV606" si="751">AM606-AP606</f>
        <v>0</v>
      </c>
      <c r="AW606" s="34">
        <f t="shared" ref="AW606" si="752">AP606-AT606</f>
        <v>0</v>
      </c>
      <c r="AX606" s="123">
        <f t="shared" ref="AX606" si="753">AP606/AJ606</f>
        <v>0</v>
      </c>
    </row>
    <row r="607" spans="1:50" ht="25.5" x14ac:dyDescent="0.2">
      <c r="AA607" s="28" t="s">
        <v>288</v>
      </c>
      <c r="AB607" s="29" t="s">
        <v>544</v>
      </c>
      <c r="AC607" s="17"/>
      <c r="AD607" s="18"/>
      <c r="AE607" s="34"/>
      <c r="AF607" s="34"/>
      <c r="AG607" s="34"/>
      <c r="AH607" s="34"/>
      <c r="AI607" s="34"/>
      <c r="AJ607" s="18"/>
      <c r="AK607" s="34"/>
      <c r="AL607" s="34"/>
      <c r="AM607" s="34"/>
      <c r="AN607" s="34"/>
      <c r="AO607" s="34"/>
      <c r="AP607" s="34"/>
      <c r="AQ607" s="34"/>
      <c r="AR607" s="34"/>
      <c r="AS607" s="34"/>
      <c r="AT607" s="31"/>
      <c r="AU607" s="18"/>
      <c r="AV607" s="18"/>
      <c r="AW607" s="34"/>
      <c r="AX607" s="18"/>
    </row>
    <row r="608" spans="1:50" x14ac:dyDescent="0.2">
      <c r="A608" s="4" t="s">
        <v>55</v>
      </c>
      <c r="B608" s="4" t="s">
        <v>56</v>
      </c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1" t="s">
        <v>545</v>
      </c>
      <c r="AB608" s="42" t="s">
        <v>233</v>
      </c>
      <c r="AC608" s="43" t="s">
        <v>58</v>
      </c>
      <c r="AD608" s="43">
        <v>150000000</v>
      </c>
      <c r="AE608" s="44">
        <v>0</v>
      </c>
      <c r="AF608" s="44">
        <v>0</v>
      </c>
      <c r="AG608" s="44">
        <v>0</v>
      </c>
      <c r="AH608" s="44">
        <v>0</v>
      </c>
      <c r="AI608" s="44">
        <v>0</v>
      </c>
      <c r="AJ608" s="43">
        <v>150000000</v>
      </c>
      <c r="AK608" s="44">
        <v>0</v>
      </c>
      <c r="AL608" s="44">
        <v>0</v>
      </c>
      <c r="AM608" s="44">
        <v>0</v>
      </c>
      <c r="AN608" s="44">
        <v>0</v>
      </c>
      <c r="AO608" s="44">
        <v>0</v>
      </c>
      <c r="AP608" s="44">
        <v>0</v>
      </c>
      <c r="AQ608" s="44">
        <v>0</v>
      </c>
      <c r="AR608" s="44">
        <v>0</v>
      </c>
      <c r="AS608" s="44">
        <v>0</v>
      </c>
      <c r="AT608" s="40">
        <f t="shared" ref="AT608" si="754">AQ608+AS608</f>
        <v>0</v>
      </c>
      <c r="AU608" s="18">
        <f t="shared" ref="AU608" si="755">AJ608-AM608</f>
        <v>150000000</v>
      </c>
      <c r="AV608" s="34">
        <f t="shared" ref="AV608" si="756">AM608-AP608</f>
        <v>0</v>
      </c>
      <c r="AW608" s="34">
        <f t="shared" ref="AW608" si="757">AP608-AT608</f>
        <v>0</v>
      </c>
      <c r="AX608" s="123">
        <f t="shared" ref="AX608" si="758">AP608/AJ608</f>
        <v>0</v>
      </c>
    </row>
    <row r="609" spans="1:50" ht="38.25" x14ac:dyDescent="0.2">
      <c r="AA609" s="28" t="s">
        <v>288</v>
      </c>
      <c r="AB609" s="29" t="s">
        <v>546</v>
      </c>
      <c r="AC609" s="17"/>
      <c r="AD609" s="18"/>
      <c r="AE609" s="34"/>
      <c r="AF609" s="34"/>
      <c r="AG609" s="34"/>
      <c r="AH609" s="34"/>
      <c r="AI609" s="34"/>
      <c r="AJ609" s="18"/>
      <c r="AK609" s="34"/>
      <c r="AL609" s="18"/>
      <c r="AM609" s="18"/>
      <c r="AN609" s="18"/>
      <c r="AO609" s="18"/>
      <c r="AP609" s="18"/>
      <c r="AQ609" s="18"/>
      <c r="AR609" s="18"/>
      <c r="AS609" s="18"/>
      <c r="AT609" s="30"/>
      <c r="AU609" s="18"/>
      <c r="AV609" s="18"/>
      <c r="AW609" s="18"/>
      <c r="AX609" s="18"/>
    </row>
    <row r="610" spans="1:50" x14ac:dyDescent="0.2">
      <c r="A610" s="4" t="s">
        <v>55</v>
      </c>
      <c r="B610" s="4" t="s">
        <v>56</v>
      </c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1" t="s">
        <v>547</v>
      </c>
      <c r="AB610" s="42" t="s">
        <v>233</v>
      </c>
      <c r="AC610" s="43" t="s">
        <v>58</v>
      </c>
      <c r="AD610" s="43">
        <v>80000000</v>
      </c>
      <c r="AE610" s="44">
        <v>0</v>
      </c>
      <c r="AF610" s="44">
        <v>0</v>
      </c>
      <c r="AG610" s="44">
        <v>0</v>
      </c>
      <c r="AH610" s="44">
        <v>0</v>
      </c>
      <c r="AI610" s="44">
        <v>0</v>
      </c>
      <c r="AJ610" s="43">
        <v>80000000</v>
      </c>
      <c r="AK610" s="44">
        <v>0</v>
      </c>
      <c r="AL610" s="44">
        <v>0</v>
      </c>
      <c r="AM610" s="43">
        <v>80000000</v>
      </c>
      <c r="AN610" s="43">
        <v>0</v>
      </c>
      <c r="AO610" s="43">
        <v>0</v>
      </c>
      <c r="AP610" s="110">
        <v>80000000</v>
      </c>
      <c r="AQ610" s="18">
        <v>7000000</v>
      </c>
      <c r="AR610" s="18">
        <v>4666666</v>
      </c>
      <c r="AS610" s="18">
        <v>4666666</v>
      </c>
      <c r="AT610" s="39">
        <f t="shared" ref="AT610:AT632" si="759">AQ610+AS610</f>
        <v>11666666</v>
      </c>
      <c r="AU610" s="34">
        <f t="shared" ref="AU610" si="760">AJ610-AM610</f>
        <v>0</v>
      </c>
      <c r="AV610" s="34">
        <f t="shared" ref="AV610" si="761">AM610-AP610</f>
        <v>0</v>
      </c>
      <c r="AW610" s="18">
        <f t="shared" ref="AW610" si="762">AP610-AT610</f>
        <v>68333334</v>
      </c>
      <c r="AX610" s="123">
        <f t="shared" ref="AX610" si="763">AP610/AJ610</f>
        <v>1</v>
      </c>
    </row>
    <row r="611" spans="1:50" ht="38.25" x14ac:dyDescent="0.2">
      <c r="AA611" s="28" t="s">
        <v>288</v>
      </c>
      <c r="AB611" s="29" t="s">
        <v>548</v>
      </c>
      <c r="AC611" s="17"/>
      <c r="AD611" s="18"/>
      <c r="AE611" s="34"/>
      <c r="AF611" s="34"/>
      <c r="AG611" s="34"/>
      <c r="AH611" s="34"/>
      <c r="AI611" s="34"/>
      <c r="AJ611" s="18"/>
      <c r="AK611" s="18"/>
      <c r="AL611" s="18"/>
      <c r="AM611" s="18"/>
      <c r="AN611" s="18"/>
      <c r="AO611" s="18"/>
      <c r="AP611" s="34"/>
      <c r="AQ611" s="34"/>
      <c r="AR611" s="34"/>
      <c r="AS611" s="34"/>
      <c r="AT611" s="40"/>
      <c r="AU611" s="18"/>
      <c r="AV611" s="18"/>
      <c r="AW611" s="18"/>
      <c r="AX611" s="18"/>
    </row>
    <row r="612" spans="1:50" x14ac:dyDescent="0.2">
      <c r="A612" s="4" t="s">
        <v>55</v>
      </c>
      <c r="B612" s="4" t="s">
        <v>56</v>
      </c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1" t="s">
        <v>549</v>
      </c>
      <c r="AB612" s="42" t="s">
        <v>233</v>
      </c>
      <c r="AC612" s="43" t="s">
        <v>58</v>
      </c>
      <c r="AD612" s="43">
        <v>40000000</v>
      </c>
      <c r="AE612" s="44">
        <v>0</v>
      </c>
      <c r="AF612" s="44">
        <v>0</v>
      </c>
      <c r="AG612" s="44">
        <v>0</v>
      </c>
      <c r="AH612" s="44">
        <v>0</v>
      </c>
      <c r="AI612" s="44">
        <v>0</v>
      </c>
      <c r="AJ612" s="43">
        <v>40000000</v>
      </c>
      <c r="AK612" s="44">
        <v>0</v>
      </c>
      <c r="AL612" s="44">
        <v>0</v>
      </c>
      <c r="AM612" s="44">
        <v>0</v>
      </c>
      <c r="AN612" s="43">
        <v>0</v>
      </c>
      <c r="AO612" s="43">
        <v>0</v>
      </c>
      <c r="AP612" s="34">
        <v>0</v>
      </c>
      <c r="AQ612" s="34">
        <v>0</v>
      </c>
      <c r="AR612" s="34">
        <v>0</v>
      </c>
      <c r="AS612" s="34">
        <v>0</v>
      </c>
      <c r="AT612" s="40">
        <f t="shared" si="759"/>
        <v>0</v>
      </c>
      <c r="AU612" s="18">
        <f t="shared" ref="AU612" si="764">AJ612-AM612</f>
        <v>40000000</v>
      </c>
      <c r="AV612" s="34">
        <f t="shared" ref="AV612" si="765">AM612-AP612</f>
        <v>0</v>
      </c>
      <c r="AW612" s="18">
        <f t="shared" ref="AW612" si="766">AP612-AT612</f>
        <v>0</v>
      </c>
      <c r="AX612" s="123">
        <f t="shared" ref="AX612" si="767">AP612/AJ612</f>
        <v>0</v>
      </c>
    </row>
    <row r="613" spans="1:50" ht="25.5" x14ac:dyDescent="0.2">
      <c r="AA613" s="28" t="s">
        <v>288</v>
      </c>
      <c r="AB613" s="29" t="s">
        <v>550</v>
      </c>
      <c r="AC613" s="17"/>
      <c r="AD613" s="18"/>
      <c r="AE613" s="34"/>
      <c r="AF613" s="34"/>
      <c r="AG613" s="34"/>
      <c r="AH613" s="34"/>
      <c r="AI613" s="34"/>
      <c r="AJ613" s="18"/>
      <c r="AK613" s="18"/>
      <c r="AL613" s="18"/>
      <c r="AM613" s="18"/>
      <c r="AN613" s="18"/>
      <c r="AO613" s="18"/>
      <c r="AP613" s="34"/>
      <c r="AQ613" s="34"/>
      <c r="AR613" s="34"/>
      <c r="AS613" s="34"/>
      <c r="AT613" s="40"/>
      <c r="AU613" s="18"/>
      <c r="AV613" s="18"/>
      <c r="AW613" s="18"/>
      <c r="AX613" s="18"/>
    </row>
    <row r="614" spans="1:50" x14ac:dyDescent="0.2">
      <c r="A614" s="4" t="s">
        <v>55</v>
      </c>
      <c r="B614" s="4" t="s">
        <v>56</v>
      </c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1" t="s">
        <v>551</v>
      </c>
      <c r="AB614" s="42" t="s">
        <v>233</v>
      </c>
      <c r="AC614" s="43" t="s">
        <v>58</v>
      </c>
      <c r="AD614" s="43">
        <v>670000000</v>
      </c>
      <c r="AE614" s="44">
        <v>0</v>
      </c>
      <c r="AF614" s="44">
        <v>0</v>
      </c>
      <c r="AG614" s="43">
        <v>932000000</v>
      </c>
      <c r="AH614" s="44">
        <v>0</v>
      </c>
      <c r="AI614" s="43">
        <f>AE614-AF614+AG614-AH614</f>
        <v>932000000</v>
      </c>
      <c r="AJ614" s="43">
        <f>AD614+AI614</f>
        <v>1602000000</v>
      </c>
      <c r="AK614" s="44">
        <v>0</v>
      </c>
      <c r="AL614" s="44">
        <v>0</v>
      </c>
      <c r="AM614" s="43">
        <v>375300000</v>
      </c>
      <c r="AN614" s="43">
        <v>0</v>
      </c>
      <c r="AO614" s="43">
        <v>26875070</v>
      </c>
      <c r="AP614" s="34">
        <v>355300000</v>
      </c>
      <c r="AQ614" s="34">
        <v>35400000</v>
      </c>
      <c r="AR614" s="34">
        <v>29036668</v>
      </c>
      <c r="AS614" s="110">
        <v>34836668</v>
      </c>
      <c r="AT614" s="39">
        <f t="shared" ref="AT614:AT615" si="768">AQ614+AS614</f>
        <v>70236668</v>
      </c>
      <c r="AU614" s="18">
        <f t="shared" ref="AU614:AU615" si="769">AJ614-AM614</f>
        <v>1226700000</v>
      </c>
      <c r="AV614" s="110">
        <f t="shared" ref="AV614:AV615" si="770">AM614-AP614</f>
        <v>20000000</v>
      </c>
      <c r="AW614" s="18">
        <f t="shared" ref="AW614:AW615" si="771">AP614-AT614</f>
        <v>285063332</v>
      </c>
      <c r="AX614" s="123">
        <f t="shared" ref="AX614:AX615" si="772">AP614/AJ614</f>
        <v>0.2217852684144819</v>
      </c>
    </row>
    <row r="615" spans="1:50" x14ac:dyDescent="0.2">
      <c r="A615" s="4" t="s">
        <v>55</v>
      </c>
      <c r="B615" s="4" t="s">
        <v>56</v>
      </c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1" t="s">
        <v>552</v>
      </c>
      <c r="AB615" s="42" t="s">
        <v>382</v>
      </c>
      <c r="AC615" s="43" t="s">
        <v>383</v>
      </c>
      <c r="AD615" s="43">
        <v>120000000</v>
      </c>
      <c r="AE615" s="44">
        <v>0</v>
      </c>
      <c r="AF615" s="44">
        <v>0</v>
      </c>
      <c r="AG615" s="44">
        <v>0</v>
      </c>
      <c r="AH615" s="44">
        <v>0</v>
      </c>
      <c r="AI615" s="44">
        <v>0</v>
      </c>
      <c r="AJ615" s="43">
        <v>120000000</v>
      </c>
      <c r="AK615" s="44">
        <v>0</v>
      </c>
      <c r="AL615" s="44">
        <v>0</v>
      </c>
      <c r="AM615" s="43">
        <v>0</v>
      </c>
      <c r="AN615" s="43">
        <v>0</v>
      </c>
      <c r="AO615" s="43">
        <v>0</v>
      </c>
      <c r="AP615" s="34">
        <v>0</v>
      </c>
      <c r="AQ615" s="34">
        <v>0</v>
      </c>
      <c r="AR615" s="34">
        <v>0</v>
      </c>
      <c r="AS615" s="34">
        <v>0</v>
      </c>
      <c r="AT615" s="40">
        <f t="shared" si="768"/>
        <v>0</v>
      </c>
      <c r="AU615" s="18">
        <f t="shared" si="769"/>
        <v>120000000</v>
      </c>
      <c r="AV615" s="34">
        <f t="shared" si="770"/>
        <v>0</v>
      </c>
      <c r="AW615" s="18">
        <f t="shared" si="771"/>
        <v>0</v>
      </c>
      <c r="AX615" s="123">
        <f t="shared" si="772"/>
        <v>0</v>
      </c>
    </row>
    <row r="616" spans="1:50" ht="25.5" x14ac:dyDescent="0.2">
      <c r="AA616" s="28" t="s">
        <v>288</v>
      </c>
      <c r="AB616" s="29" t="s">
        <v>553</v>
      </c>
      <c r="AC616" s="17"/>
      <c r="AD616" s="18"/>
      <c r="AE616" s="34"/>
      <c r="AF616" s="34"/>
      <c r="AG616" s="34"/>
      <c r="AH616" s="34"/>
      <c r="AI616" s="34"/>
      <c r="AJ616" s="18"/>
      <c r="AK616" s="34"/>
      <c r="AL616" s="18"/>
      <c r="AM616" s="18"/>
      <c r="AN616" s="18"/>
      <c r="AO616" s="18"/>
      <c r="AP616" s="18"/>
      <c r="AQ616" s="18"/>
      <c r="AR616" s="18"/>
      <c r="AS616" s="18"/>
      <c r="AT616" s="30"/>
      <c r="AU616" s="18"/>
      <c r="AV616" s="18"/>
      <c r="AW616" s="18"/>
      <c r="AX616" s="18"/>
    </row>
    <row r="617" spans="1:50" x14ac:dyDescent="0.2">
      <c r="A617" s="4" t="s">
        <v>55</v>
      </c>
      <c r="B617" s="4" t="s">
        <v>56</v>
      </c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1" t="s">
        <v>554</v>
      </c>
      <c r="AB617" s="42" t="s">
        <v>233</v>
      </c>
      <c r="AC617" s="43" t="s">
        <v>58</v>
      </c>
      <c r="AD617" s="43">
        <v>200000000</v>
      </c>
      <c r="AE617" s="44">
        <v>0</v>
      </c>
      <c r="AF617" s="44">
        <v>0</v>
      </c>
      <c r="AG617" s="44">
        <v>0</v>
      </c>
      <c r="AH617" s="44">
        <v>0</v>
      </c>
      <c r="AI617" s="44">
        <v>0</v>
      </c>
      <c r="AJ617" s="43">
        <v>200000000</v>
      </c>
      <c r="AK617" s="44">
        <v>0</v>
      </c>
      <c r="AL617" s="43">
        <v>188923.77</v>
      </c>
      <c r="AM617" s="43">
        <v>150676669.31</v>
      </c>
      <c r="AN617" s="44">
        <v>0</v>
      </c>
      <c r="AO617" s="43">
        <v>188923.77</v>
      </c>
      <c r="AP617" s="43">
        <v>150676669.31</v>
      </c>
      <c r="AQ617" s="43">
        <v>18100000</v>
      </c>
      <c r="AR617" s="43">
        <v>7311274.7699999996</v>
      </c>
      <c r="AS617" s="43">
        <v>7806670.3099999996</v>
      </c>
      <c r="AT617" s="39">
        <f t="shared" si="759"/>
        <v>25906670.309999999</v>
      </c>
      <c r="AU617" s="18">
        <f t="shared" ref="AU617" si="773">AJ617-AM617</f>
        <v>49323330.689999998</v>
      </c>
      <c r="AV617" s="34">
        <f t="shared" ref="AV617" si="774">AM617-AP617</f>
        <v>0</v>
      </c>
      <c r="AW617" s="18">
        <f t="shared" ref="AW617" si="775">AP617-AT617</f>
        <v>124769999</v>
      </c>
      <c r="AX617" s="123">
        <f t="shared" ref="AX617" si="776">AP617/AJ617</f>
        <v>0.75338334655000005</v>
      </c>
    </row>
    <row r="618" spans="1:50" ht="25.5" x14ac:dyDescent="0.2">
      <c r="AA618" s="28" t="s">
        <v>288</v>
      </c>
      <c r="AB618" s="29" t="s">
        <v>535</v>
      </c>
      <c r="AC618" s="17"/>
      <c r="AD618" s="18"/>
      <c r="AE618" s="34"/>
      <c r="AF618" s="34"/>
      <c r="AG618" s="34"/>
      <c r="AH618" s="34"/>
      <c r="AI618" s="34"/>
      <c r="AJ618" s="18"/>
      <c r="AK618" s="34"/>
      <c r="AL618" s="18"/>
      <c r="AM618" s="18"/>
      <c r="AN618" s="34"/>
      <c r="AO618" s="18"/>
      <c r="AP618" s="18"/>
      <c r="AQ618" s="18"/>
      <c r="AR618" s="18"/>
      <c r="AS618" s="18"/>
      <c r="AT618" s="30"/>
      <c r="AU618" s="18"/>
      <c r="AV618" s="18"/>
      <c r="AW618" s="18"/>
      <c r="AX618" s="18"/>
    </row>
    <row r="619" spans="1:50" x14ac:dyDescent="0.2">
      <c r="A619" s="4" t="s">
        <v>55</v>
      </c>
      <c r="B619" s="4" t="s">
        <v>56</v>
      </c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1" t="s">
        <v>555</v>
      </c>
      <c r="AB619" s="42" t="s">
        <v>233</v>
      </c>
      <c r="AC619" s="43" t="s">
        <v>58</v>
      </c>
      <c r="AD619" s="43">
        <v>1154000000</v>
      </c>
      <c r="AE619" s="44">
        <v>0</v>
      </c>
      <c r="AF619" s="44">
        <v>0</v>
      </c>
      <c r="AG619" s="44">
        <v>0</v>
      </c>
      <c r="AH619" s="44">
        <v>0</v>
      </c>
      <c r="AI619" s="44">
        <v>0</v>
      </c>
      <c r="AJ619" s="43">
        <v>1154000000</v>
      </c>
      <c r="AK619" s="44">
        <v>0</v>
      </c>
      <c r="AL619" s="43">
        <v>14400000</v>
      </c>
      <c r="AM619" s="43">
        <v>911454761</v>
      </c>
      <c r="AN619" s="44">
        <v>0</v>
      </c>
      <c r="AO619" s="43">
        <v>8000000</v>
      </c>
      <c r="AP619" s="43">
        <v>897054761</v>
      </c>
      <c r="AQ619" s="44">
        <v>25400000</v>
      </c>
      <c r="AR619" s="44">
        <v>21809646</v>
      </c>
      <c r="AS619" s="44">
        <v>21809646</v>
      </c>
      <c r="AT619" s="40">
        <f t="shared" si="759"/>
        <v>47209646</v>
      </c>
      <c r="AU619" s="18">
        <f t="shared" ref="AU619:AU622" si="777">AJ619-AM619</f>
        <v>242545239</v>
      </c>
      <c r="AV619" s="110">
        <f t="shared" ref="AV619:AV622" si="778">AM619-AP619</f>
        <v>14400000</v>
      </c>
      <c r="AW619" s="18">
        <f t="shared" ref="AW619:AW622" si="779">AP619-AT619</f>
        <v>849845115</v>
      </c>
      <c r="AX619" s="123">
        <f t="shared" ref="AX619:AX622" si="780">AP619/AJ619</f>
        <v>0.77734381369150785</v>
      </c>
    </row>
    <row r="620" spans="1:50" ht="25.5" x14ac:dyDescent="0.2">
      <c r="A620" s="4" t="s">
        <v>55</v>
      </c>
      <c r="B620" s="4" t="s">
        <v>56</v>
      </c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1" t="s">
        <v>556</v>
      </c>
      <c r="AB620" s="42" t="s">
        <v>279</v>
      </c>
      <c r="AC620" s="43" t="s">
        <v>253</v>
      </c>
      <c r="AD620" s="43">
        <v>3243996468</v>
      </c>
      <c r="AE620" s="44">
        <v>0</v>
      </c>
      <c r="AF620" s="44">
        <v>0</v>
      </c>
      <c r="AG620" s="44">
        <v>0</v>
      </c>
      <c r="AH620" s="44">
        <v>0</v>
      </c>
      <c r="AI620" s="44">
        <v>0</v>
      </c>
      <c r="AJ620" s="43">
        <v>3243996468</v>
      </c>
      <c r="AK620" s="44">
        <v>0</v>
      </c>
      <c r="AL620" s="43">
        <v>2290443.9300000002</v>
      </c>
      <c r="AM620" s="43">
        <v>3063016896.79</v>
      </c>
      <c r="AN620" s="44">
        <v>0</v>
      </c>
      <c r="AO620" s="43">
        <v>190389443.93000001</v>
      </c>
      <c r="AP620" s="43">
        <v>3063016896.79</v>
      </c>
      <c r="AQ620" s="44">
        <v>27300000</v>
      </c>
      <c r="AR620" s="43">
        <v>17145230.93</v>
      </c>
      <c r="AS620" s="43">
        <v>47466065.789999999</v>
      </c>
      <c r="AT620" s="39">
        <f t="shared" si="759"/>
        <v>74766065.789999992</v>
      </c>
      <c r="AU620" s="18">
        <f t="shared" si="777"/>
        <v>180979571.21000004</v>
      </c>
      <c r="AV620" s="110">
        <f t="shared" si="778"/>
        <v>0</v>
      </c>
      <c r="AW620" s="18">
        <f t="shared" si="779"/>
        <v>2988250831</v>
      </c>
      <c r="AX620" s="123">
        <f t="shared" si="780"/>
        <v>0.94421092223889558</v>
      </c>
    </row>
    <row r="621" spans="1:50" ht="38.25" x14ac:dyDescent="0.2">
      <c r="A621" s="4" t="s">
        <v>55</v>
      </c>
      <c r="B621" s="4" t="s">
        <v>56</v>
      </c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1" t="s">
        <v>557</v>
      </c>
      <c r="AB621" s="42" t="s">
        <v>558</v>
      </c>
      <c r="AC621" s="43" t="s">
        <v>368</v>
      </c>
      <c r="AD621" s="43">
        <v>101429564.34</v>
      </c>
      <c r="AE621" s="44">
        <v>0</v>
      </c>
      <c r="AF621" s="44">
        <v>0</v>
      </c>
      <c r="AG621" s="44">
        <v>0</v>
      </c>
      <c r="AH621" s="44">
        <v>0</v>
      </c>
      <c r="AI621" s="44">
        <v>0</v>
      </c>
      <c r="AJ621" s="43">
        <v>101429564.34</v>
      </c>
      <c r="AK621" s="44">
        <v>0</v>
      </c>
      <c r="AL621" s="44">
        <v>0</v>
      </c>
      <c r="AM621" s="44">
        <v>0</v>
      </c>
      <c r="AN621" s="44">
        <v>0</v>
      </c>
      <c r="AO621" s="43">
        <v>0</v>
      </c>
      <c r="AP621" s="44">
        <v>0</v>
      </c>
      <c r="AQ621" s="44">
        <v>0</v>
      </c>
      <c r="AR621" s="44">
        <v>0</v>
      </c>
      <c r="AS621" s="44">
        <v>0</v>
      </c>
      <c r="AT621" s="40">
        <f t="shared" si="759"/>
        <v>0</v>
      </c>
      <c r="AU621" s="18">
        <f t="shared" si="777"/>
        <v>101429564.34</v>
      </c>
      <c r="AV621" s="34">
        <f t="shared" si="778"/>
        <v>0</v>
      </c>
      <c r="AW621" s="34">
        <f t="shared" si="779"/>
        <v>0</v>
      </c>
      <c r="AX621" s="123">
        <f t="shared" si="780"/>
        <v>0</v>
      </c>
    </row>
    <row r="622" spans="1:50" ht="25.5" x14ac:dyDescent="0.2">
      <c r="A622" s="4" t="s">
        <v>55</v>
      </c>
      <c r="B622" s="4" t="s">
        <v>56</v>
      </c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1" t="s">
        <v>559</v>
      </c>
      <c r="AB622" s="42" t="s">
        <v>540</v>
      </c>
      <c r="AC622" s="43" t="s">
        <v>253</v>
      </c>
      <c r="AD622" s="43">
        <v>1690003316</v>
      </c>
      <c r="AE622" s="44">
        <v>0</v>
      </c>
      <c r="AF622" s="44">
        <v>0</v>
      </c>
      <c r="AG622" s="44">
        <v>0</v>
      </c>
      <c r="AH622" s="44">
        <v>0</v>
      </c>
      <c r="AI622" s="44">
        <v>0</v>
      </c>
      <c r="AJ622" s="43">
        <v>1690003316</v>
      </c>
      <c r="AK622" s="44">
        <v>0</v>
      </c>
      <c r="AL622" s="44">
        <v>0</v>
      </c>
      <c r="AM622" s="43">
        <v>1661510016</v>
      </c>
      <c r="AN622" s="44">
        <v>0</v>
      </c>
      <c r="AO622" s="43">
        <v>0</v>
      </c>
      <c r="AP622" s="43">
        <v>1661510016</v>
      </c>
      <c r="AQ622" s="34">
        <v>0</v>
      </c>
      <c r="AR622" s="34">
        <v>61748100</v>
      </c>
      <c r="AS622" s="34">
        <v>61748100</v>
      </c>
      <c r="AT622" s="40">
        <f t="shared" si="759"/>
        <v>61748100</v>
      </c>
      <c r="AU622" s="18">
        <f t="shared" si="777"/>
        <v>28493300</v>
      </c>
      <c r="AV622" s="34">
        <f t="shared" si="778"/>
        <v>0</v>
      </c>
      <c r="AW622" s="18">
        <f t="shared" si="779"/>
        <v>1599761916</v>
      </c>
      <c r="AX622" s="123">
        <f t="shared" si="780"/>
        <v>0.98314009225293142</v>
      </c>
    </row>
    <row r="623" spans="1:50" ht="25.5" x14ac:dyDescent="0.2">
      <c r="AA623" s="28" t="s">
        <v>288</v>
      </c>
      <c r="AB623" s="29" t="s">
        <v>560</v>
      </c>
      <c r="AC623" s="17"/>
      <c r="AD623" s="18"/>
      <c r="AE623" s="34"/>
      <c r="AF623" s="34"/>
      <c r="AG623" s="34"/>
      <c r="AH623" s="34"/>
      <c r="AI623" s="34"/>
      <c r="AJ623" s="18"/>
      <c r="AK623" s="18"/>
      <c r="AL623" s="18"/>
      <c r="AM623" s="18"/>
      <c r="AN623" s="18"/>
      <c r="AO623" s="18"/>
      <c r="AP623" s="18"/>
      <c r="AQ623" s="34"/>
      <c r="AR623" s="34"/>
      <c r="AS623" s="34"/>
      <c r="AT623" s="40"/>
      <c r="AU623" s="18"/>
      <c r="AV623" s="18"/>
      <c r="AW623" s="18"/>
      <c r="AX623" s="18"/>
    </row>
    <row r="624" spans="1:50" x14ac:dyDescent="0.2">
      <c r="A624" s="4" t="s">
        <v>55</v>
      </c>
      <c r="B624" s="4" t="s">
        <v>56</v>
      </c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1" t="s">
        <v>561</v>
      </c>
      <c r="AB624" s="42" t="s">
        <v>233</v>
      </c>
      <c r="AC624" s="43" t="s">
        <v>58</v>
      </c>
      <c r="AD624" s="43">
        <v>510000000</v>
      </c>
      <c r="AE624" s="44">
        <v>0</v>
      </c>
      <c r="AF624" s="44">
        <v>0</v>
      </c>
      <c r="AG624" s="43">
        <v>20000000</v>
      </c>
      <c r="AH624" s="44">
        <v>0</v>
      </c>
      <c r="AI624" s="43">
        <f>AE624-AF624+AG624-AH624</f>
        <v>20000000</v>
      </c>
      <c r="AJ624" s="43">
        <f>AD624+AI624</f>
        <v>530000000</v>
      </c>
      <c r="AK624" s="44">
        <v>0</v>
      </c>
      <c r="AL624" s="44">
        <v>0</v>
      </c>
      <c r="AM624" s="43">
        <v>168800000</v>
      </c>
      <c r="AN624" s="43">
        <v>0</v>
      </c>
      <c r="AO624" s="43">
        <v>24000000</v>
      </c>
      <c r="AP624" s="114">
        <v>168800000</v>
      </c>
      <c r="AQ624" s="34">
        <v>20500000</v>
      </c>
      <c r="AR624" s="34">
        <v>5323333</v>
      </c>
      <c r="AS624" s="34">
        <v>5323333</v>
      </c>
      <c r="AT624" s="40">
        <f t="shared" ref="AT624:AT625" si="781">AQ624+AS624</f>
        <v>25823333</v>
      </c>
      <c r="AU624" s="18">
        <f t="shared" ref="AU624:AU625" si="782">AJ624-AM624</f>
        <v>361200000</v>
      </c>
      <c r="AV624" s="110">
        <f t="shared" ref="AV624:AV625" si="783">AM624-AP624</f>
        <v>0</v>
      </c>
      <c r="AW624" s="18">
        <f t="shared" ref="AW624:AW625" si="784">AP624-AT624</f>
        <v>142976667</v>
      </c>
      <c r="AX624" s="123">
        <f t="shared" ref="AX624:AX625" si="785">AP624/AJ624</f>
        <v>0.31849056603773584</v>
      </c>
    </row>
    <row r="625" spans="1:50" ht="18.75" customHeight="1" x14ac:dyDescent="0.2">
      <c r="A625" s="4" t="s">
        <v>55</v>
      </c>
      <c r="B625" s="4" t="s">
        <v>56</v>
      </c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1" t="s">
        <v>562</v>
      </c>
      <c r="AB625" s="42" t="s">
        <v>382</v>
      </c>
      <c r="AC625" s="43" t="s">
        <v>383</v>
      </c>
      <c r="AD625" s="43">
        <v>770000000</v>
      </c>
      <c r="AE625" s="44">
        <v>0</v>
      </c>
      <c r="AF625" s="44">
        <v>0</v>
      </c>
      <c r="AG625" s="44">
        <v>0</v>
      </c>
      <c r="AH625" s="44">
        <v>0</v>
      </c>
      <c r="AI625" s="44">
        <v>0</v>
      </c>
      <c r="AJ625" s="43">
        <v>770000000</v>
      </c>
      <c r="AK625" s="44">
        <v>0</v>
      </c>
      <c r="AL625" s="44">
        <v>0</v>
      </c>
      <c r="AM625" s="43">
        <v>0</v>
      </c>
      <c r="AN625" s="43">
        <v>0</v>
      </c>
      <c r="AO625" s="43">
        <v>0</v>
      </c>
      <c r="AP625" s="114">
        <v>0</v>
      </c>
      <c r="AQ625" s="34">
        <v>0</v>
      </c>
      <c r="AR625" s="34">
        <v>0</v>
      </c>
      <c r="AS625" s="34">
        <v>0</v>
      </c>
      <c r="AT625" s="40">
        <f t="shared" si="781"/>
        <v>0</v>
      </c>
      <c r="AU625" s="18">
        <f t="shared" si="782"/>
        <v>770000000</v>
      </c>
      <c r="AV625" s="34">
        <f t="shared" si="783"/>
        <v>0</v>
      </c>
      <c r="AW625" s="34">
        <f t="shared" si="784"/>
        <v>0</v>
      </c>
      <c r="AX625" s="123">
        <f t="shared" si="785"/>
        <v>0</v>
      </c>
    </row>
    <row r="626" spans="1:50" ht="25.5" customHeight="1" x14ac:dyDescent="0.2">
      <c r="AA626" s="28" t="s">
        <v>288</v>
      </c>
      <c r="AB626" s="29" t="s">
        <v>563</v>
      </c>
      <c r="AC626" s="17"/>
      <c r="AD626" s="18"/>
      <c r="AE626" s="34"/>
      <c r="AF626" s="34"/>
      <c r="AG626" s="34"/>
      <c r="AH626" s="34"/>
      <c r="AI626" s="34"/>
      <c r="AJ626" s="18"/>
      <c r="AK626" s="18"/>
      <c r="AL626" s="18"/>
      <c r="AM626" s="18"/>
      <c r="AN626" s="18"/>
      <c r="AO626" s="18"/>
      <c r="AP626" s="110"/>
      <c r="AQ626" s="34"/>
      <c r="AR626" s="34"/>
      <c r="AS626" s="34"/>
      <c r="AT626" s="40"/>
      <c r="AU626" s="18"/>
      <c r="AV626" s="18"/>
      <c r="AW626" s="18"/>
      <c r="AX626" s="18"/>
    </row>
    <row r="627" spans="1:50" ht="18.75" customHeight="1" x14ac:dyDescent="0.2">
      <c r="A627" s="4" t="s">
        <v>55</v>
      </c>
      <c r="B627" s="4" t="s">
        <v>56</v>
      </c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1" t="s">
        <v>564</v>
      </c>
      <c r="AB627" s="42" t="s">
        <v>233</v>
      </c>
      <c r="AC627" s="43" t="s">
        <v>58</v>
      </c>
      <c r="AD627" s="43">
        <v>150000000</v>
      </c>
      <c r="AE627" s="44">
        <v>0</v>
      </c>
      <c r="AF627" s="44">
        <v>0</v>
      </c>
      <c r="AG627" s="43">
        <v>200000000</v>
      </c>
      <c r="AH627" s="44">
        <v>0</v>
      </c>
      <c r="AI627" s="43">
        <f>AE627-AF627+AG627-AH627</f>
        <v>200000000</v>
      </c>
      <c r="AJ627" s="43">
        <f>AD627+AI627</f>
        <v>350000000</v>
      </c>
      <c r="AK627" s="44">
        <v>0</v>
      </c>
      <c r="AL627" s="114">
        <v>231505530</v>
      </c>
      <c r="AM627" s="114">
        <v>349905530</v>
      </c>
      <c r="AN627" s="44">
        <v>0</v>
      </c>
      <c r="AO627" s="44">
        <v>28800000</v>
      </c>
      <c r="AP627" s="114">
        <v>118400000</v>
      </c>
      <c r="AQ627" s="34">
        <v>13300000</v>
      </c>
      <c r="AR627" s="133">
        <v>2313333</v>
      </c>
      <c r="AS627" s="133">
        <v>2313333</v>
      </c>
      <c r="AT627" s="135">
        <f t="shared" ref="AT627:AT628" si="786">AQ627+AS627</f>
        <v>15613333</v>
      </c>
      <c r="AU627" s="110">
        <f t="shared" ref="AU627:AU628" si="787">AJ627-AM627</f>
        <v>94470</v>
      </c>
      <c r="AV627" s="110">
        <f t="shared" ref="AV627:AV628" si="788">AM627-AP627</f>
        <v>231505530</v>
      </c>
      <c r="AW627" s="110">
        <f t="shared" ref="AW627:AW628" si="789">AP627-AT627</f>
        <v>102786667</v>
      </c>
      <c r="AX627" s="123">
        <f t="shared" ref="AX627:AX628" si="790">AP627/AJ627</f>
        <v>0.3382857142857143</v>
      </c>
    </row>
    <row r="628" spans="1:50" ht="18.75" customHeight="1" x14ac:dyDescent="0.2">
      <c r="A628" s="4" t="s">
        <v>55</v>
      </c>
      <c r="B628" s="4" t="s">
        <v>56</v>
      </c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1" t="s">
        <v>565</v>
      </c>
      <c r="AB628" s="42" t="s">
        <v>382</v>
      </c>
      <c r="AC628" s="43" t="s">
        <v>383</v>
      </c>
      <c r="AD628" s="43">
        <v>1110000000</v>
      </c>
      <c r="AE628" s="44">
        <v>0</v>
      </c>
      <c r="AF628" s="44">
        <v>0</v>
      </c>
      <c r="AG628" s="44">
        <v>0</v>
      </c>
      <c r="AH628" s="44">
        <v>0</v>
      </c>
      <c r="AI628" s="44">
        <v>0</v>
      </c>
      <c r="AJ628" s="43">
        <v>1110000000</v>
      </c>
      <c r="AK628" s="44">
        <v>0</v>
      </c>
      <c r="AL628" s="114">
        <v>1050000000</v>
      </c>
      <c r="AM628" s="114">
        <v>1110000000</v>
      </c>
      <c r="AN628" s="44">
        <v>0</v>
      </c>
      <c r="AO628" s="44">
        <v>46950000</v>
      </c>
      <c r="AP628" s="114">
        <v>60000000</v>
      </c>
      <c r="AQ628" s="34">
        <v>0</v>
      </c>
      <c r="AR628" s="110">
        <v>0</v>
      </c>
      <c r="AS628" s="110">
        <v>2610000</v>
      </c>
      <c r="AT628" s="111">
        <f t="shared" si="786"/>
        <v>2610000</v>
      </c>
      <c r="AU628" s="110">
        <f t="shared" si="787"/>
        <v>0</v>
      </c>
      <c r="AV628" s="110">
        <f t="shared" si="788"/>
        <v>1050000000</v>
      </c>
      <c r="AW628" s="110">
        <f t="shared" si="789"/>
        <v>57390000</v>
      </c>
      <c r="AX628" s="123">
        <f t="shared" si="790"/>
        <v>5.4054054054054057E-2</v>
      </c>
    </row>
    <row r="629" spans="1:50" ht="18.75" customHeight="1" x14ac:dyDescent="0.2">
      <c r="AA629" s="28" t="s">
        <v>288</v>
      </c>
      <c r="AB629" s="29" t="s">
        <v>566</v>
      </c>
      <c r="AC629" s="17"/>
      <c r="AD629" s="18"/>
      <c r="AE629" s="34"/>
      <c r="AF629" s="34"/>
      <c r="AG629" s="34"/>
      <c r="AH629" s="34"/>
      <c r="AI629" s="34"/>
      <c r="AJ629" s="18"/>
      <c r="AK629" s="18"/>
      <c r="AL629" s="18"/>
      <c r="AM629" s="18"/>
      <c r="AN629" s="18"/>
      <c r="AO629" s="18"/>
      <c r="AP629" s="110"/>
      <c r="AQ629" s="18"/>
      <c r="AR629" s="18"/>
      <c r="AS629" s="18"/>
      <c r="AT629" s="30"/>
      <c r="AU629" s="18"/>
      <c r="AV629" s="18"/>
      <c r="AW629" s="18"/>
      <c r="AX629" s="18"/>
    </row>
    <row r="630" spans="1:50" ht="18.75" customHeight="1" x14ac:dyDescent="0.2">
      <c r="A630" s="4" t="s">
        <v>55</v>
      </c>
      <c r="B630" s="4" t="s">
        <v>56</v>
      </c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1" t="s">
        <v>567</v>
      </c>
      <c r="AB630" s="42" t="s">
        <v>233</v>
      </c>
      <c r="AC630" s="43" t="s">
        <v>58</v>
      </c>
      <c r="AD630" s="43">
        <v>771000000</v>
      </c>
      <c r="AE630" s="44">
        <v>0</v>
      </c>
      <c r="AF630" s="44">
        <v>0</v>
      </c>
      <c r="AG630" s="44">
        <v>0</v>
      </c>
      <c r="AH630" s="44">
        <v>0</v>
      </c>
      <c r="AI630" s="44">
        <v>0</v>
      </c>
      <c r="AJ630" s="43">
        <v>771000000</v>
      </c>
      <c r="AK630" s="44">
        <v>0</v>
      </c>
      <c r="AL630" s="43">
        <v>14253667.77</v>
      </c>
      <c r="AM630" s="43">
        <v>427679403.31</v>
      </c>
      <c r="AN630" s="43">
        <v>0</v>
      </c>
      <c r="AO630" s="114">
        <v>14253667.77</v>
      </c>
      <c r="AP630" s="114">
        <v>427679403.31</v>
      </c>
      <c r="AQ630" s="43">
        <v>48100000</v>
      </c>
      <c r="AR630" s="43">
        <v>46173668.770000003</v>
      </c>
      <c r="AS630" s="43">
        <v>74799404.310000002</v>
      </c>
      <c r="AT630" s="39">
        <f t="shared" si="759"/>
        <v>122899404.31</v>
      </c>
      <c r="AU630" s="18">
        <f t="shared" ref="AU630" si="791">AJ630-AM630</f>
        <v>343320596.69</v>
      </c>
      <c r="AV630" s="34">
        <f t="shared" ref="AV630" si="792">AM630-AP630</f>
        <v>0</v>
      </c>
      <c r="AW630" s="18">
        <f t="shared" ref="AW630" si="793">AP630-AT630</f>
        <v>304779999</v>
      </c>
      <c r="AX630" s="123">
        <f t="shared" ref="AX630" si="794">AP630/AJ630</f>
        <v>0.55470739728923479</v>
      </c>
    </row>
    <row r="631" spans="1:50" ht="18.75" customHeight="1" x14ac:dyDescent="0.2">
      <c r="AA631" s="28" t="s">
        <v>288</v>
      </c>
      <c r="AB631" s="29" t="s">
        <v>568</v>
      </c>
      <c r="AC631" s="17"/>
      <c r="AD631" s="18"/>
      <c r="AE631" s="34"/>
      <c r="AF631" s="34"/>
      <c r="AG631" s="34"/>
      <c r="AH631" s="34"/>
      <c r="AI631" s="34"/>
      <c r="AJ631" s="18"/>
      <c r="AK631" s="34"/>
      <c r="AL631" s="18"/>
      <c r="AM631" s="18"/>
      <c r="AN631" s="18"/>
      <c r="AO631" s="110"/>
      <c r="AP631" s="110"/>
      <c r="AQ631" s="18"/>
      <c r="AR631" s="18"/>
      <c r="AS631" s="18"/>
      <c r="AT631" s="30"/>
      <c r="AU631" s="18"/>
      <c r="AV631" s="18"/>
      <c r="AW631" s="18"/>
      <c r="AX631" s="18"/>
    </row>
    <row r="632" spans="1:50" ht="18.75" customHeight="1" x14ac:dyDescent="0.2">
      <c r="A632" s="4" t="s">
        <v>55</v>
      </c>
      <c r="B632" s="4" t="s">
        <v>56</v>
      </c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1" t="s">
        <v>569</v>
      </c>
      <c r="AB632" s="42" t="s">
        <v>233</v>
      </c>
      <c r="AC632" s="43" t="s">
        <v>58</v>
      </c>
      <c r="AD632" s="43">
        <v>230000000</v>
      </c>
      <c r="AE632" s="44">
        <v>0</v>
      </c>
      <c r="AF632" s="44">
        <v>0</v>
      </c>
      <c r="AG632" s="44">
        <v>0</v>
      </c>
      <c r="AH632" s="44">
        <v>0</v>
      </c>
      <c r="AI632" s="44">
        <v>0</v>
      </c>
      <c r="AJ632" s="43">
        <v>230000000</v>
      </c>
      <c r="AK632" s="44">
        <v>0</v>
      </c>
      <c r="AL632" s="43">
        <v>0</v>
      </c>
      <c r="AM632" s="43">
        <v>164000000</v>
      </c>
      <c r="AN632" s="44">
        <v>0</v>
      </c>
      <c r="AO632" s="114">
        <v>0</v>
      </c>
      <c r="AP632" s="114">
        <v>164000000</v>
      </c>
      <c r="AQ632" s="18">
        <v>20500000</v>
      </c>
      <c r="AR632" s="18">
        <v>12866667</v>
      </c>
      <c r="AS632" s="18">
        <v>12866667</v>
      </c>
      <c r="AT632" s="39">
        <f t="shared" si="759"/>
        <v>33366667</v>
      </c>
      <c r="AU632" s="18">
        <f t="shared" ref="AU632" si="795">AJ632-AM632</f>
        <v>66000000</v>
      </c>
      <c r="AV632" s="34">
        <f t="shared" ref="AV632" si="796">AM632-AP632</f>
        <v>0</v>
      </c>
      <c r="AW632" s="18">
        <f t="shared" ref="AW632" si="797">AP632-AT632</f>
        <v>130633333</v>
      </c>
      <c r="AX632" s="123">
        <f t="shared" ref="AX632" si="798">AP632/AJ632</f>
        <v>0.71304347826086956</v>
      </c>
    </row>
    <row r="633" spans="1:50" ht="18.75" customHeight="1" x14ac:dyDescent="0.2">
      <c r="AA633" s="28" t="s">
        <v>288</v>
      </c>
      <c r="AB633" s="29" t="s">
        <v>570</v>
      </c>
      <c r="AC633" s="17"/>
      <c r="AD633" s="18"/>
      <c r="AE633" s="34"/>
      <c r="AF633" s="34"/>
      <c r="AG633" s="34"/>
      <c r="AH633" s="34"/>
      <c r="AI633" s="34"/>
      <c r="AJ633" s="18"/>
      <c r="AK633" s="34"/>
      <c r="AL633" s="18"/>
      <c r="AM633" s="18"/>
      <c r="AN633" s="34"/>
      <c r="AO633" s="110"/>
      <c r="AP633" s="110"/>
      <c r="AQ633" s="18"/>
      <c r="AR633" s="18"/>
      <c r="AS633" s="18"/>
      <c r="AT633" s="39"/>
      <c r="AU633" s="18"/>
      <c r="AV633" s="18"/>
      <c r="AW633" s="18"/>
      <c r="AX633" s="18"/>
    </row>
    <row r="634" spans="1:50" ht="18.75" customHeight="1" x14ac:dyDescent="0.2">
      <c r="A634" s="4" t="s">
        <v>55</v>
      </c>
      <c r="B634" s="4" t="s">
        <v>56</v>
      </c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1" t="s">
        <v>571</v>
      </c>
      <c r="AB634" s="42" t="s">
        <v>233</v>
      </c>
      <c r="AC634" s="43" t="s">
        <v>58</v>
      </c>
      <c r="AD634" s="43">
        <v>300000000</v>
      </c>
      <c r="AE634" s="44">
        <v>0</v>
      </c>
      <c r="AF634" s="44">
        <v>0</v>
      </c>
      <c r="AG634" s="44">
        <v>0</v>
      </c>
      <c r="AH634" s="44">
        <v>0</v>
      </c>
      <c r="AI634" s="44">
        <v>0</v>
      </c>
      <c r="AJ634" s="43">
        <v>300000000</v>
      </c>
      <c r="AK634" s="44">
        <v>0</v>
      </c>
      <c r="AL634" s="44">
        <v>0</v>
      </c>
      <c r="AM634" s="43">
        <v>152000000</v>
      </c>
      <c r="AN634" s="44">
        <v>0</v>
      </c>
      <c r="AO634" s="114">
        <v>0</v>
      </c>
      <c r="AP634" s="114">
        <v>152000000</v>
      </c>
      <c r="AQ634" s="18">
        <v>19000000</v>
      </c>
      <c r="AR634" s="18">
        <v>17149999</v>
      </c>
      <c r="AS634" s="18">
        <v>17149999</v>
      </c>
      <c r="AT634" s="39">
        <f t="shared" ref="AT634" si="799">AQ634+AS634</f>
        <v>36149999</v>
      </c>
      <c r="AU634" s="18">
        <f t="shared" ref="AU634" si="800">AJ634-AM634</f>
        <v>148000000</v>
      </c>
      <c r="AV634" s="133">
        <f t="shared" ref="AV634" si="801">AM634-AP634</f>
        <v>0</v>
      </c>
      <c r="AW634" s="18">
        <f t="shared" ref="AW634" si="802">AP634-AT634</f>
        <v>115850001</v>
      </c>
      <c r="AX634" s="123">
        <f t="shared" ref="AX634" si="803">AP634/AJ634</f>
        <v>0.50666666666666671</v>
      </c>
    </row>
    <row r="635" spans="1:50" ht="18.75" customHeight="1" x14ac:dyDescent="0.2">
      <c r="AA635" s="28" t="s">
        <v>288</v>
      </c>
      <c r="AB635" s="29" t="s">
        <v>400</v>
      </c>
      <c r="AC635" s="17"/>
      <c r="AD635" s="18"/>
      <c r="AE635" s="34"/>
      <c r="AF635" s="34"/>
      <c r="AG635" s="34"/>
      <c r="AH635" s="34"/>
      <c r="AI635" s="34"/>
      <c r="AJ635" s="18"/>
      <c r="AK635" s="34"/>
      <c r="AL635" s="18"/>
      <c r="AM635" s="18"/>
      <c r="AN635" s="34"/>
      <c r="AO635" s="110"/>
      <c r="AP635" s="110"/>
      <c r="AQ635" s="18"/>
      <c r="AR635" s="18"/>
      <c r="AS635" s="18"/>
      <c r="AT635" s="39"/>
      <c r="AU635" s="18"/>
      <c r="AV635" s="110"/>
      <c r="AW635" s="18"/>
      <c r="AX635" s="18"/>
    </row>
    <row r="636" spans="1:50" ht="18.75" customHeight="1" x14ac:dyDescent="0.2">
      <c r="A636" s="4" t="s">
        <v>55</v>
      </c>
      <c r="B636" s="4" t="s">
        <v>56</v>
      </c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1" t="s">
        <v>425</v>
      </c>
      <c r="AB636" s="42" t="s">
        <v>233</v>
      </c>
      <c r="AC636" s="43" t="s">
        <v>58</v>
      </c>
      <c r="AD636" s="43">
        <v>440000000</v>
      </c>
      <c r="AE636" s="44">
        <v>0</v>
      </c>
      <c r="AF636" s="44">
        <v>0</v>
      </c>
      <c r="AG636" s="43">
        <v>42000000</v>
      </c>
      <c r="AH636" s="44">
        <v>0</v>
      </c>
      <c r="AI636" s="43">
        <f>AE636-AF636+AG636-AH636</f>
        <v>42000000</v>
      </c>
      <c r="AJ636" s="43">
        <f>AD636+AI636</f>
        <v>482000000</v>
      </c>
      <c r="AK636" s="44">
        <v>0</v>
      </c>
      <c r="AL636" s="43">
        <v>0</v>
      </c>
      <c r="AM636" s="43">
        <v>378400000</v>
      </c>
      <c r="AN636" s="44">
        <v>0</v>
      </c>
      <c r="AO636" s="114">
        <v>64000000</v>
      </c>
      <c r="AP636" s="114">
        <v>378400000</v>
      </c>
      <c r="AQ636" s="18">
        <v>41366667</v>
      </c>
      <c r="AR636" s="18">
        <v>29816667</v>
      </c>
      <c r="AS636" s="18">
        <v>29816667</v>
      </c>
      <c r="AT636" s="39">
        <f t="shared" ref="AT636" si="804">AQ636+AS636</f>
        <v>71183334</v>
      </c>
      <c r="AU636" s="18">
        <f t="shared" ref="AU636" si="805">AJ636-AM636</f>
        <v>103600000</v>
      </c>
      <c r="AV636" s="110">
        <f t="shared" ref="AV636" si="806">AM636-AP636</f>
        <v>0</v>
      </c>
      <c r="AW636" s="18">
        <f t="shared" ref="AW636" si="807">AP636-AT636</f>
        <v>307216666</v>
      </c>
      <c r="AX636" s="123">
        <f t="shared" ref="AX636" si="808">AP636/AJ636</f>
        <v>0.7850622406639004</v>
      </c>
    </row>
    <row r="637" spans="1:50" ht="18.75" customHeight="1" x14ac:dyDescent="0.2">
      <c r="AA637" s="16"/>
      <c r="AB637" s="17"/>
      <c r="AC637" s="17"/>
      <c r="AD637" s="18"/>
      <c r="AE637" s="34"/>
      <c r="AF637" s="34"/>
      <c r="AG637" s="34"/>
      <c r="AH637" s="34"/>
      <c r="AI637" s="34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30"/>
      <c r="AU637" s="18"/>
      <c r="AV637" s="18"/>
      <c r="AW637" s="18"/>
      <c r="AX637" s="18"/>
    </row>
    <row r="638" spans="1:50" s="50" customFormat="1" ht="18.75" customHeight="1" x14ac:dyDescent="0.2"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46"/>
      <c r="AB638" s="47" t="s">
        <v>572</v>
      </c>
      <c r="AC638" s="47"/>
      <c r="AD638" s="48">
        <f>SUM(AD589:AD637)</f>
        <v>13989429350</v>
      </c>
      <c r="AE638" s="49">
        <f t="shared" ref="AE638:AW638" si="809">SUM(AE589:AE637)</f>
        <v>0</v>
      </c>
      <c r="AF638" s="49">
        <f t="shared" si="809"/>
        <v>0</v>
      </c>
      <c r="AG638" s="48">
        <f t="shared" si="809"/>
        <v>1644000000</v>
      </c>
      <c r="AH638" s="49">
        <f t="shared" si="809"/>
        <v>0</v>
      </c>
      <c r="AI638" s="48">
        <f t="shared" si="809"/>
        <v>1644000000</v>
      </c>
      <c r="AJ638" s="48">
        <f t="shared" si="809"/>
        <v>15633429350</v>
      </c>
      <c r="AK638" s="49">
        <f t="shared" si="809"/>
        <v>0</v>
      </c>
      <c r="AL638" s="48">
        <f t="shared" si="809"/>
        <v>1312638565.47</v>
      </c>
      <c r="AM638" s="48">
        <f t="shared" si="809"/>
        <v>9080743276.4099998</v>
      </c>
      <c r="AN638" s="48">
        <f t="shared" si="809"/>
        <v>0</v>
      </c>
      <c r="AO638" s="48">
        <f t="shared" si="809"/>
        <v>459457105.46999997</v>
      </c>
      <c r="AP638" s="48">
        <f t="shared" si="809"/>
        <v>7764837746.4100008</v>
      </c>
      <c r="AQ638" s="48">
        <f t="shared" si="809"/>
        <v>285400001</v>
      </c>
      <c r="AR638" s="48">
        <f t="shared" si="809"/>
        <v>255361253.47</v>
      </c>
      <c r="AS638" s="48">
        <f t="shared" si="809"/>
        <v>323213219.40999997</v>
      </c>
      <c r="AT638" s="22">
        <f>AQ638+AS638</f>
        <v>608613220.40999997</v>
      </c>
      <c r="AU638" s="48">
        <f t="shared" si="809"/>
        <v>6552686073.5900002</v>
      </c>
      <c r="AV638" s="48">
        <f t="shared" si="809"/>
        <v>1315905530</v>
      </c>
      <c r="AW638" s="48">
        <f t="shared" si="809"/>
        <v>7156224526</v>
      </c>
      <c r="AX638" s="24">
        <f t="shared" ref="AX638" si="810">AP638/AJ638</f>
        <v>0.49668166673935815</v>
      </c>
    </row>
    <row r="639" spans="1:50" ht="18.75" customHeight="1" x14ac:dyDescent="0.2">
      <c r="AA639" s="16"/>
      <c r="AB639" s="17"/>
      <c r="AC639" s="17"/>
      <c r="AD639" s="18"/>
      <c r="AE639" s="34"/>
      <c r="AF639" s="34"/>
      <c r="AG639" s="34"/>
      <c r="AH639" s="34"/>
      <c r="AI639" s="34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</row>
    <row r="640" spans="1:50" s="25" customFormat="1" ht="18.75" customHeight="1" x14ac:dyDescent="0.2"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66"/>
      <c r="AB640" s="21" t="s">
        <v>573</v>
      </c>
      <c r="AC640" s="67"/>
      <c r="AD640" s="63"/>
      <c r="AE640" s="72"/>
      <c r="AF640" s="72"/>
      <c r="AG640" s="72"/>
      <c r="AH640" s="72"/>
      <c r="AI640" s="72"/>
      <c r="AJ640" s="63"/>
      <c r="AK640" s="63"/>
      <c r="AL640" s="63"/>
      <c r="AM640" s="63"/>
      <c r="AN640" s="63"/>
      <c r="AO640" s="63"/>
      <c r="AP640" s="63"/>
      <c r="AQ640" s="63"/>
      <c r="AR640" s="63"/>
      <c r="AS640" s="63"/>
      <c r="AT640" s="63"/>
      <c r="AU640" s="63"/>
      <c r="AV640" s="63"/>
      <c r="AW640" s="63"/>
      <c r="AX640" s="63"/>
    </row>
    <row r="641" spans="1:50" ht="18.75" customHeight="1" x14ac:dyDescent="0.2">
      <c r="AA641" s="16"/>
      <c r="AB641" s="29" t="s">
        <v>286</v>
      </c>
      <c r="AC641" s="17"/>
      <c r="AD641" s="18"/>
      <c r="AE641" s="34"/>
      <c r="AF641" s="34"/>
      <c r="AG641" s="34"/>
      <c r="AH641" s="34"/>
      <c r="AI641" s="34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</row>
    <row r="642" spans="1:50" ht="18.75" customHeight="1" x14ac:dyDescent="0.2">
      <c r="AA642" s="16"/>
      <c r="AB642" s="29" t="s">
        <v>574</v>
      </c>
      <c r="AC642" s="17"/>
      <c r="AD642" s="18"/>
      <c r="AE642" s="34"/>
      <c r="AF642" s="34"/>
      <c r="AG642" s="34"/>
      <c r="AH642" s="34"/>
      <c r="AI642" s="34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</row>
    <row r="643" spans="1:50" ht="18.75" customHeight="1" x14ac:dyDescent="0.2">
      <c r="AA643" s="16"/>
      <c r="AB643" s="29" t="s">
        <v>575</v>
      </c>
      <c r="AC643" s="17"/>
      <c r="AD643" s="18"/>
      <c r="AE643" s="34"/>
      <c r="AF643" s="34"/>
      <c r="AG643" s="34"/>
      <c r="AH643" s="34"/>
      <c r="AI643" s="34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</row>
    <row r="644" spans="1:50" ht="18.75" customHeight="1" x14ac:dyDescent="0.2">
      <c r="AA644" s="16"/>
      <c r="AB644" s="29" t="s">
        <v>576</v>
      </c>
      <c r="AC644" s="17"/>
      <c r="AD644" s="18"/>
      <c r="AE644" s="34"/>
      <c r="AF644" s="34"/>
      <c r="AG644" s="34"/>
      <c r="AH644" s="34"/>
      <c r="AI644" s="34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</row>
    <row r="645" spans="1:50" x14ac:dyDescent="0.2">
      <c r="AA645" s="16"/>
      <c r="AB645" s="29" t="s">
        <v>577</v>
      </c>
      <c r="AC645" s="17"/>
      <c r="AD645" s="18"/>
      <c r="AE645" s="34"/>
      <c r="AF645" s="34"/>
      <c r="AG645" s="34"/>
      <c r="AH645" s="34"/>
      <c r="AI645" s="34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</row>
    <row r="646" spans="1:50" ht="25.5" x14ac:dyDescent="0.2">
      <c r="AA646" s="16"/>
      <c r="AB646" s="29" t="s">
        <v>578</v>
      </c>
      <c r="AC646" s="17"/>
      <c r="AD646" s="18"/>
      <c r="AE646" s="34"/>
      <c r="AF646" s="34"/>
      <c r="AG646" s="34"/>
      <c r="AH646" s="34"/>
      <c r="AI646" s="34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30"/>
      <c r="AU646" s="18"/>
      <c r="AV646" s="18"/>
      <c r="AW646" s="18"/>
      <c r="AX646" s="18"/>
    </row>
    <row r="647" spans="1:50" ht="25.5" x14ac:dyDescent="0.2">
      <c r="AA647" s="16"/>
      <c r="AB647" s="29" t="s">
        <v>579</v>
      </c>
      <c r="AC647" s="17"/>
      <c r="AD647" s="18"/>
      <c r="AE647" s="34"/>
      <c r="AF647" s="34"/>
      <c r="AG647" s="34"/>
      <c r="AH647" s="34"/>
      <c r="AI647" s="34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30"/>
      <c r="AU647" s="18"/>
      <c r="AV647" s="18"/>
      <c r="AW647" s="18"/>
      <c r="AX647" s="18"/>
    </row>
    <row r="648" spans="1:50" x14ac:dyDescent="0.2">
      <c r="A648" s="4" t="s">
        <v>55</v>
      </c>
      <c r="B648" s="4" t="s">
        <v>56</v>
      </c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1" t="s">
        <v>580</v>
      </c>
      <c r="AB648" s="42" t="s">
        <v>233</v>
      </c>
      <c r="AC648" s="43" t="s">
        <v>58</v>
      </c>
      <c r="AD648" s="43">
        <v>50000000</v>
      </c>
      <c r="AE648" s="44">
        <v>0</v>
      </c>
      <c r="AF648" s="44">
        <v>0</v>
      </c>
      <c r="AG648" s="44">
        <v>0</v>
      </c>
      <c r="AH648" s="44">
        <v>0</v>
      </c>
      <c r="AI648" s="44">
        <v>0</v>
      </c>
      <c r="AJ648" s="43">
        <v>50000000</v>
      </c>
      <c r="AK648" s="44">
        <v>0</v>
      </c>
      <c r="AL648" s="44">
        <v>0</v>
      </c>
      <c r="AM648" s="44">
        <v>0</v>
      </c>
      <c r="AN648" s="44">
        <v>0</v>
      </c>
      <c r="AO648" s="44">
        <v>0</v>
      </c>
      <c r="AP648" s="44">
        <v>0</v>
      </c>
      <c r="AQ648" s="34">
        <v>0</v>
      </c>
      <c r="AR648" s="34">
        <v>0</v>
      </c>
      <c r="AS648" s="34">
        <v>0</v>
      </c>
      <c r="AT648" s="40">
        <f t="shared" ref="AT648:AT689" si="811">AQ648+AS648</f>
        <v>0</v>
      </c>
      <c r="AU648" s="18">
        <f t="shared" ref="AU648" si="812">AJ648-AM648</f>
        <v>50000000</v>
      </c>
      <c r="AV648" s="133">
        <f t="shared" ref="AV648" si="813">AM648-AP648</f>
        <v>0</v>
      </c>
      <c r="AW648" s="34">
        <f t="shared" ref="AW648" si="814">AP648-AT648</f>
        <v>0</v>
      </c>
      <c r="AX648" s="123">
        <f t="shared" ref="AX648" si="815">AP648/AJ648</f>
        <v>0</v>
      </c>
    </row>
    <row r="649" spans="1:50" ht="38.25" x14ac:dyDescent="0.2">
      <c r="AA649" s="28" t="s">
        <v>288</v>
      </c>
      <c r="AB649" s="29" t="s">
        <v>581</v>
      </c>
      <c r="AC649" s="17"/>
      <c r="AD649" s="18"/>
      <c r="AE649" s="18"/>
      <c r="AF649" s="18"/>
      <c r="AG649" s="18"/>
      <c r="AH649" s="18"/>
      <c r="AI649" s="18"/>
      <c r="AJ649" s="18"/>
      <c r="AK649" s="34"/>
      <c r="AL649" s="34"/>
      <c r="AM649" s="34"/>
      <c r="AN649" s="34"/>
      <c r="AO649" s="34"/>
      <c r="AP649" s="34"/>
      <c r="AQ649" s="34"/>
      <c r="AR649" s="34"/>
      <c r="AS649" s="34"/>
      <c r="AT649" s="40"/>
      <c r="AU649" s="18"/>
      <c r="AV649" s="34"/>
      <c r="AW649" s="34"/>
      <c r="AX649" s="18"/>
    </row>
    <row r="650" spans="1:50" x14ac:dyDescent="0.2">
      <c r="A650" s="4" t="s">
        <v>55</v>
      </c>
      <c r="B650" s="4" t="s">
        <v>56</v>
      </c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1" t="s">
        <v>582</v>
      </c>
      <c r="AB650" s="42" t="s">
        <v>233</v>
      </c>
      <c r="AC650" s="43" t="s">
        <v>58</v>
      </c>
      <c r="AD650" s="43">
        <v>75000000</v>
      </c>
      <c r="AE650" s="44">
        <v>0</v>
      </c>
      <c r="AF650" s="44">
        <v>0</v>
      </c>
      <c r="AG650" s="44">
        <v>0</v>
      </c>
      <c r="AH650" s="43">
        <v>75000000</v>
      </c>
      <c r="AI650" s="43">
        <f>AE650-AF650+AG650-AH650</f>
        <v>-75000000</v>
      </c>
      <c r="AJ650" s="44">
        <f>AD650+AI650</f>
        <v>0</v>
      </c>
      <c r="AK650" s="44">
        <v>0</v>
      </c>
      <c r="AL650" s="44">
        <v>0</v>
      </c>
      <c r="AM650" s="44">
        <v>0</v>
      </c>
      <c r="AN650" s="44">
        <v>0</v>
      </c>
      <c r="AO650" s="44">
        <v>0</v>
      </c>
      <c r="AP650" s="44">
        <v>0</v>
      </c>
      <c r="AQ650" s="34">
        <v>0</v>
      </c>
      <c r="AR650" s="34">
        <v>0</v>
      </c>
      <c r="AS650" s="34">
        <v>0</v>
      </c>
      <c r="AT650" s="40">
        <f t="shared" ref="AT650" si="816">AQ650+AS650</f>
        <v>0</v>
      </c>
      <c r="AU650" s="34">
        <f t="shared" ref="AU650" si="817">AJ650-AM650</f>
        <v>0</v>
      </c>
      <c r="AV650" s="133">
        <f t="shared" ref="AV650" si="818">AM650-AP650</f>
        <v>0</v>
      </c>
      <c r="AW650" s="34">
        <f t="shared" ref="AW650" si="819">AP650-AT650</f>
        <v>0</v>
      </c>
      <c r="AX650" s="123">
        <v>0</v>
      </c>
    </row>
    <row r="651" spans="1:50" ht="25.5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73" t="s">
        <v>288</v>
      </c>
      <c r="AB651" s="74" t="s">
        <v>910</v>
      </c>
      <c r="AC651" s="43"/>
      <c r="AD651" s="43"/>
      <c r="AE651" s="44"/>
      <c r="AF651" s="44"/>
      <c r="AH651" s="43"/>
      <c r="AK651" s="44"/>
      <c r="AL651" s="44"/>
      <c r="AM651" s="44"/>
      <c r="AN651" s="44"/>
      <c r="AO651" s="44"/>
      <c r="AP651" s="44"/>
      <c r="AQ651" s="34"/>
      <c r="AR651" s="34"/>
      <c r="AS651" s="34"/>
      <c r="AT651" s="40"/>
      <c r="AU651" s="43"/>
      <c r="AV651" s="44"/>
      <c r="AW651" s="44"/>
      <c r="AX651" s="32"/>
    </row>
    <row r="652" spans="1:50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1" t="s">
        <v>911</v>
      </c>
      <c r="AB652" s="42" t="s">
        <v>233</v>
      </c>
      <c r="AC652" s="43"/>
      <c r="AD652" s="44">
        <v>0</v>
      </c>
      <c r="AE652" s="44">
        <v>0</v>
      </c>
      <c r="AF652" s="44">
        <v>0</v>
      </c>
      <c r="AG652" s="43">
        <v>31295090</v>
      </c>
      <c r="AH652" s="44">
        <v>0</v>
      </c>
      <c r="AI652" s="43">
        <f>AE651-AF651+AG652-AH651</f>
        <v>31295090</v>
      </c>
      <c r="AJ652" s="43">
        <f>AD651+AI652</f>
        <v>31295090</v>
      </c>
      <c r="AK652" s="44">
        <v>0</v>
      </c>
      <c r="AL652" s="44">
        <v>0</v>
      </c>
      <c r="AM652" s="44">
        <v>0</v>
      </c>
      <c r="AN652" s="44">
        <v>0</v>
      </c>
      <c r="AO652" s="44">
        <v>0</v>
      </c>
      <c r="AP652" s="44">
        <v>0</v>
      </c>
      <c r="AQ652" s="34">
        <v>0</v>
      </c>
      <c r="AR652" s="34">
        <v>0</v>
      </c>
      <c r="AS652" s="34">
        <v>0</v>
      </c>
      <c r="AT652" s="40">
        <f t="shared" ref="AT652" si="820">AQ652+AS652</f>
        <v>0</v>
      </c>
      <c r="AU652" s="18">
        <f t="shared" ref="AU652" si="821">AJ652-AM652</f>
        <v>31295090</v>
      </c>
      <c r="AV652" s="133">
        <f t="shared" ref="AV652" si="822">AM652-AP652</f>
        <v>0</v>
      </c>
      <c r="AW652" s="34">
        <f t="shared" ref="AW652" si="823">AP652-AT652</f>
        <v>0</v>
      </c>
      <c r="AX652" s="123">
        <f t="shared" ref="AX652" si="824">AP652/AJ652</f>
        <v>0</v>
      </c>
    </row>
    <row r="653" spans="1:50" x14ac:dyDescent="0.2">
      <c r="AA653" s="16"/>
      <c r="AB653" s="17"/>
      <c r="AC653" s="17"/>
      <c r="AD653" s="18"/>
      <c r="AE653" s="34"/>
      <c r="AF653" s="34"/>
      <c r="AG653" s="34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30"/>
      <c r="AU653" s="18"/>
      <c r="AV653" s="18"/>
      <c r="AW653" s="18"/>
      <c r="AX653" s="18"/>
    </row>
    <row r="654" spans="1:50" x14ac:dyDescent="0.2">
      <c r="AA654" s="16"/>
      <c r="AB654" s="29" t="s">
        <v>179</v>
      </c>
      <c r="AC654" s="17"/>
      <c r="AD654" s="18"/>
      <c r="AE654" s="34"/>
      <c r="AF654" s="34"/>
      <c r="AG654" s="34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30"/>
      <c r="AU654" s="18"/>
      <c r="AV654" s="18"/>
      <c r="AW654" s="18"/>
      <c r="AX654" s="18"/>
    </row>
    <row r="655" spans="1:50" x14ac:dyDescent="0.2">
      <c r="AA655" s="16"/>
      <c r="AB655" s="29" t="s">
        <v>181</v>
      </c>
      <c r="AC655" s="17"/>
      <c r="AD655" s="18"/>
      <c r="AE655" s="34"/>
      <c r="AF655" s="34"/>
      <c r="AG655" s="34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30"/>
      <c r="AU655" s="18"/>
      <c r="AV655" s="18"/>
      <c r="AW655" s="18"/>
      <c r="AX655" s="18"/>
    </row>
    <row r="656" spans="1:50" ht="25.5" x14ac:dyDescent="0.2">
      <c r="AA656" s="16"/>
      <c r="AB656" s="29" t="s">
        <v>185</v>
      </c>
      <c r="AC656" s="17"/>
      <c r="AD656" s="18"/>
      <c r="AE656" s="34"/>
      <c r="AF656" s="34"/>
      <c r="AG656" s="34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30"/>
      <c r="AU656" s="18"/>
      <c r="AV656" s="18"/>
      <c r="AW656" s="18"/>
      <c r="AX656" s="18"/>
    </row>
    <row r="657" spans="1:50" ht="25.5" x14ac:dyDescent="0.2">
      <c r="AA657" s="28" t="s">
        <v>288</v>
      </c>
      <c r="AB657" s="29" t="s">
        <v>583</v>
      </c>
      <c r="AC657" s="17"/>
      <c r="AD657" s="18"/>
      <c r="AE657" s="34"/>
      <c r="AF657" s="34"/>
      <c r="AG657" s="34"/>
      <c r="AH657" s="18"/>
      <c r="AI657" s="18"/>
      <c r="AJ657" s="18"/>
      <c r="AK657" s="34"/>
      <c r="AL657" s="34"/>
      <c r="AM657" s="34"/>
      <c r="AN657" s="34"/>
      <c r="AO657" s="34"/>
      <c r="AP657" s="34"/>
      <c r="AQ657" s="18"/>
      <c r="AR657" s="18"/>
      <c r="AS657" s="18"/>
      <c r="AT657" s="30"/>
      <c r="AU657" s="18"/>
      <c r="AV657" s="18"/>
      <c r="AW657" s="18"/>
      <c r="AX657" s="18"/>
    </row>
    <row r="658" spans="1:50" x14ac:dyDescent="0.2">
      <c r="A658" s="4" t="s">
        <v>55</v>
      </c>
      <c r="B658" s="4" t="s">
        <v>56</v>
      </c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1" t="s">
        <v>584</v>
      </c>
      <c r="AB658" s="42" t="s">
        <v>233</v>
      </c>
      <c r="AC658" s="43" t="s">
        <v>58</v>
      </c>
      <c r="AD658" s="43">
        <v>50000000</v>
      </c>
      <c r="AE658" s="44">
        <v>0</v>
      </c>
      <c r="AF658" s="44">
        <v>0</v>
      </c>
      <c r="AG658" s="44">
        <v>0</v>
      </c>
      <c r="AH658" s="44">
        <v>0</v>
      </c>
      <c r="AI658" s="44">
        <v>0</v>
      </c>
      <c r="AJ658" s="43">
        <v>50000000</v>
      </c>
      <c r="AK658" s="43">
        <v>0</v>
      </c>
      <c r="AL658" s="43">
        <v>47569000</v>
      </c>
      <c r="AM658" s="43">
        <v>47569000</v>
      </c>
      <c r="AN658" s="43">
        <v>13526131.109999999</v>
      </c>
      <c r="AO658" s="43">
        <v>0</v>
      </c>
      <c r="AP658" s="43">
        <v>0</v>
      </c>
      <c r="AQ658" s="43">
        <v>0</v>
      </c>
      <c r="AR658" s="43">
        <v>0</v>
      </c>
      <c r="AS658" s="43">
        <v>0</v>
      </c>
      <c r="AT658" s="40">
        <f t="shared" si="811"/>
        <v>0</v>
      </c>
      <c r="AU658" s="18">
        <f t="shared" ref="AU658" si="825">AJ658-AM658</f>
        <v>2431000</v>
      </c>
      <c r="AV658" s="18">
        <f t="shared" ref="AV658" si="826">AM658-AP658</f>
        <v>47569000</v>
      </c>
      <c r="AW658" s="34">
        <f t="shared" ref="AW658" si="827">AP658-AT658</f>
        <v>0</v>
      </c>
      <c r="AX658" s="123">
        <f t="shared" ref="AX658" si="828">AP658/AJ658</f>
        <v>0</v>
      </c>
    </row>
    <row r="659" spans="1:50" x14ac:dyDescent="0.2">
      <c r="AA659" s="16"/>
      <c r="AB659" s="17"/>
      <c r="AC659" s="17"/>
      <c r="AD659" s="18"/>
      <c r="AE659" s="34"/>
      <c r="AF659" s="34"/>
      <c r="AG659" s="34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30"/>
      <c r="AU659" s="18"/>
      <c r="AV659" s="18"/>
      <c r="AW659" s="18"/>
      <c r="AX659" s="18"/>
    </row>
    <row r="660" spans="1:50" x14ac:dyDescent="0.2">
      <c r="AA660" s="16"/>
      <c r="AB660" s="29" t="s">
        <v>189</v>
      </c>
      <c r="AC660" s="17"/>
      <c r="AD660" s="18"/>
      <c r="AE660" s="34"/>
      <c r="AF660" s="34"/>
      <c r="AG660" s="34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30"/>
      <c r="AU660" s="18"/>
      <c r="AV660" s="18"/>
      <c r="AW660" s="18"/>
      <c r="AX660" s="18"/>
    </row>
    <row r="661" spans="1:50" ht="38.25" x14ac:dyDescent="0.2">
      <c r="AA661" s="16"/>
      <c r="AB661" s="29" t="s">
        <v>373</v>
      </c>
      <c r="AC661" s="17"/>
      <c r="AD661" s="18"/>
      <c r="AE661" s="34"/>
      <c r="AF661" s="34"/>
      <c r="AG661" s="34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30"/>
      <c r="AU661" s="18"/>
      <c r="AV661" s="18"/>
      <c r="AW661" s="18"/>
      <c r="AX661" s="18"/>
    </row>
    <row r="662" spans="1:50" ht="25.5" x14ac:dyDescent="0.2">
      <c r="AA662" s="28" t="s">
        <v>288</v>
      </c>
      <c r="AB662" s="29" t="s">
        <v>585</v>
      </c>
      <c r="AC662" s="17"/>
      <c r="AD662" s="18"/>
      <c r="AE662" s="34"/>
      <c r="AF662" s="34"/>
      <c r="AG662" s="34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30"/>
      <c r="AU662" s="18"/>
      <c r="AV662" s="18"/>
      <c r="AW662" s="18"/>
      <c r="AX662" s="18"/>
    </row>
    <row r="663" spans="1:50" x14ac:dyDescent="0.2">
      <c r="A663" s="4" t="s">
        <v>55</v>
      </c>
      <c r="B663" s="4" t="s">
        <v>56</v>
      </c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1" t="s">
        <v>586</v>
      </c>
      <c r="AB663" s="42" t="s">
        <v>233</v>
      </c>
      <c r="AC663" s="43" t="s">
        <v>58</v>
      </c>
      <c r="AD663" s="43">
        <v>165000000</v>
      </c>
      <c r="AE663" s="44">
        <v>0</v>
      </c>
      <c r="AF663" s="44">
        <v>0</v>
      </c>
      <c r="AG663" s="44">
        <v>0</v>
      </c>
      <c r="AH663" s="44">
        <v>0</v>
      </c>
      <c r="AI663" s="44">
        <v>0</v>
      </c>
      <c r="AJ663" s="43">
        <v>165000000</v>
      </c>
      <c r="AK663" s="44">
        <v>0</v>
      </c>
      <c r="AL663" s="44">
        <v>0</v>
      </c>
      <c r="AM663" s="43">
        <v>142500000</v>
      </c>
      <c r="AN663" s="43">
        <v>0</v>
      </c>
      <c r="AO663" s="43">
        <v>142500000</v>
      </c>
      <c r="AP663" s="18">
        <v>142500000</v>
      </c>
      <c r="AQ663" s="34">
        <v>0</v>
      </c>
      <c r="AR663" s="34">
        <v>0</v>
      </c>
      <c r="AS663" s="34">
        <v>0</v>
      </c>
      <c r="AT663" s="40">
        <f t="shared" ref="AT663" si="829">AQ663+AS663</f>
        <v>0</v>
      </c>
      <c r="AU663" s="18">
        <f t="shared" ref="AU663" si="830">AJ663-AM663</f>
        <v>22500000</v>
      </c>
      <c r="AV663" s="110">
        <f t="shared" ref="AV663" si="831">AM663-AP663</f>
        <v>0</v>
      </c>
      <c r="AW663" s="18">
        <f t="shared" ref="AW663" si="832">AP663-AT663</f>
        <v>142500000</v>
      </c>
      <c r="AX663" s="123">
        <f t="shared" ref="AX663" si="833">AP663/AJ663</f>
        <v>0.86363636363636365</v>
      </c>
    </row>
    <row r="664" spans="1:50" ht="25.5" x14ac:dyDescent="0.2">
      <c r="AA664" s="28" t="s">
        <v>288</v>
      </c>
      <c r="AB664" s="29" t="s">
        <v>587</v>
      </c>
      <c r="AC664" s="17"/>
      <c r="AD664" s="18"/>
      <c r="AE664" s="34"/>
      <c r="AF664" s="34"/>
      <c r="AG664" s="34"/>
      <c r="AH664" s="34"/>
      <c r="AI664" s="34"/>
      <c r="AJ664" s="18"/>
      <c r="AK664" s="18"/>
      <c r="AL664" s="18"/>
      <c r="AM664" s="18"/>
      <c r="AN664" s="18"/>
      <c r="AO664" s="18"/>
      <c r="AP664" s="18"/>
      <c r="AQ664" s="34"/>
      <c r="AR664" s="34"/>
      <c r="AS664" s="34"/>
      <c r="AT664" s="40"/>
      <c r="AU664" s="18"/>
      <c r="AV664" s="18"/>
      <c r="AW664" s="18"/>
      <c r="AX664" s="18"/>
    </row>
    <row r="665" spans="1:50" x14ac:dyDescent="0.2">
      <c r="A665" s="4" t="s">
        <v>55</v>
      </c>
      <c r="B665" s="4" t="s">
        <v>56</v>
      </c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1" t="s">
        <v>588</v>
      </c>
      <c r="AB665" s="42" t="s">
        <v>233</v>
      </c>
      <c r="AC665" s="43" t="s">
        <v>58</v>
      </c>
      <c r="AD665" s="43">
        <v>360000000</v>
      </c>
      <c r="AE665" s="44">
        <v>0</v>
      </c>
      <c r="AF665" s="44">
        <v>0</v>
      </c>
      <c r="AG665" s="44">
        <v>0</v>
      </c>
      <c r="AH665" s="44">
        <v>0</v>
      </c>
      <c r="AI665" s="44">
        <v>0</v>
      </c>
      <c r="AJ665" s="43">
        <v>360000000</v>
      </c>
      <c r="AK665" s="44">
        <v>0</v>
      </c>
      <c r="AL665" s="114">
        <v>0</v>
      </c>
      <c r="AM665" s="114">
        <v>320207103</v>
      </c>
      <c r="AN665" s="44">
        <v>0</v>
      </c>
      <c r="AO665" s="43">
        <v>320207103</v>
      </c>
      <c r="AP665" s="18">
        <v>320207103</v>
      </c>
      <c r="AQ665" s="34">
        <v>0</v>
      </c>
      <c r="AR665" s="34">
        <v>0</v>
      </c>
      <c r="AS665" s="34">
        <v>0</v>
      </c>
      <c r="AT665" s="40">
        <f t="shared" ref="AT665" si="834">AQ665+AS665</f>
        <v>0</v>
      </c>
      <c r="AU665" s="18">
        <f t="shared" ref="AU665" si="835">AJ665-AM665</f>
        <v>39792897</v>
      </c>
      <c r="AV665" s="110">
        <f t="shared" ref="AV665" si="836">AM665-AP665</f>
        <v>0</v>
      </c>
      <c r="AW665" s="18">
        <f t="shared" ref="AW665" si="837">AP665-AT665</f>
        <v>320207103</v>
      </c>
      <c r="AX665" s="123">
        <f t="shared" ref="AX665" si="838">AP665/AJ665</f>
        <v>0.88946417499999997</v>
      </c>
    </row>
    <row r="666" spans="1:50" ht="25.5" x14ac:dyDescent="0.2">
      <c r="AA666" s="28" t="s">
        <v>288</v>
      </c>
      <c r="AB666" s="29" t="s">
        <v>589</v>
      </c>
      <c r="AC666" s="17"/>
      <c r="AD666" s="18"/>
      <c r="AE666" s="34"/>
      <c r="AF666" s="34"/>
      <c r="AG666" s="34"/>
      <c r="AH666" s="34"/>
      <c r="AI666" s="34"/>
      <c r="AJ666" s="18"/>
      <c r="AK666" s="34"/>
      <c r="AL666" s="34"/>
      <c r="AM666" s="34"/>
      <c r="AN666" s="34"/>
      <c r="AO666" s="34"/>
      <c r="AP666" s="34"/>
      <c r="AQ666" s="34"/>
      <c r="AR666" s="34"/>
      <c r="AS666" s="34"/>
      <c r="AT666" s="40"/>
      <c r="AU666" s="18"/>
      <c r="AV666" s="18"/>
      <c r="AW666" s="34"/>
      <c r="AX666" s="18"/>
    </row>
    <row r="667" spans="1:50" x14ac:dyDescent="0.2">
      <c r="A667" s="4" t="s">
        <v>55</v>
      </c>
      <c r="B667" s="4" t="s">
        <v>56</v>
      </c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1" t="s">
        <v>590</v>
      </c>
      <c r="AB667" s="42" t="s">
        <v>233</v>
      </c>
      <c r="AC667" s="43" t="s">
        <v>58</v>
      </c>
      <c r="AD667" s="43">
        <v>2564591998.2600002</v>
      </c>
      <c r="AE667" s="44">
        <v>0</v>
      </c>
      <c r="AF667" s="44">
        <v>0</v>
      </c>
      <c r="AG667" s="44">
        <v>0</v>
      </c>
      <c r="AH667" s="44">
        <v>0</v>
      </c>
      <c r="AI667" s="44">
        <v>0</v>
      </c>
      <c r="AJ667" s="43">
        <v>2564591998.2600002</v>
      </c>
      <c r="AK667" s="44">
        <v>0</v>
      </c>
      <c r="AL667" s="44">
        <v>0</v>
      </c>
      <c r="AM667" s="44">
        <v>0</v>
      </c>
      <c r="AN667" s="44">
        <v>0</v>
      </c>
      <c r="AO667" s="44">
        <v>0</v>
      </c>
      <c r="AP667" s="34">
        <v>0</v>
      </c>
      <c r="AQ667" s="34">
        <v>0</v>
      </c>
      <c r="AR667" s="34">
        <v>0</v>
      </c>
      <c r="AS667" s="34">
        <v>0</v>
      </c>
      <c r="AT667" s="40">
        <f t="shared" ref="AT667" si="839">AQ667+AS667</f>
        <v>0</v>
      </c>
      <c r="AU667" s="18">
        <f t="shared" ref="AU667" si="840">AJ667-AM667</f>
        <v>2564591998.2600002</v>
      </c>
      <c r="AV667" s="133">
        <f t="shared" ref="AV667" si="841">AM667-AP667</f>
        <v>0</v>
      </c>
      <c r="AW667" s="34">
        <f t="shared" ref="AW667" si="842">AP667-AT667</f>
        <v>0</v>
      </c>
      <c r="AX667" s="123">
        <f t="shared" ref="AX667" si="843">AP667/AJ667</f>
        <v>0</v>
      </c>
    </row>
    <row r="668" spans="1:50" x14ac:dyDescent="0.2">
      <c r="AA668" s="16"/>
      <c r="AB668" s="17"/>
      <c r="AC668" s="17"/>
      <c r="AD668" s="18"/>
      <c r="AE668" s="34"/>
      <c r="AF668" s="34"/>
      <c r="AG668" s="34"/>
      <c r="AH668" s="34"/>
      <c r="AI668" s="34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30"/>
      <c r="AU668" s="18"/>
      <c r="AV668" s="18"/>
      <c r="AW668" s="18"/>
      <c r="AX668" s="18"/>
    </row>
    <row r="669" spans="1:50" ht="25.5" x14ac:dyDescent="0.2">
      <c r="AA669" s="16"/>
      <c r="AB669" s="29" t="s">
        <v>197</v>
      </c>
      <c r="AC669" s="17"/>
      <c r="AD669" s="18"/>
      <c r="AE669" s="34"/>
      <c r="AF669" s="34"/>
      <c r="AG669" s="34"/>
      <c r="AH669" s="34"/>
      <c r="AI669" s="34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30"/>
      <c r="AU669" s="18"/>
      <c r="AV669" s="18"/>
      <c r="AW669" s="18"/>
      <c r="AX669" s="18"/>
    </row>
    <row r="670" spans="1:50" x14ac:dyDescent="0.2">
      <c r="AA670" s="28" t="s">
        <v>288</v>
      </c>
      <c r="AB670" s="29" t="s">
        <v>591</v>
      </c>
      <c r="AC670" s="17"/>
      <c r="AD670" s="18"/>
      <c r="AE670" s="34"/>
      <c r="AF670" s="34"/>
      <c r="AG670" s="34"/>
      <c r="AH670" s="34"/>
      <c r="AI670" s="34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30"/>
      <c r="AU670" s="18"/>
      <c r="AV670" s="18"/>
      <c r="AW670" s="18"/>
      <c r="AX670" s="18"/>
    </row>
    <row r="671" spans="1:50" x14ac:dyDescent="0.2">
      <c r="A671" s="4" t="s">
        <v>55</v>
      </c>
      <c r="B671" s="4" t="s">
        <v>56</v>
      </c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1" t="s">
        <v>592</v>
      </c>
      <c r="AB671" s="42" t="s">
        <v>233</v>
      </c>
      <c r="AC671" s="43" t="s">
        <v>58</v>
      </c>
      <c r="AD671" s="43">
        <v>458060751</v>
      </c>
      <c r="AE671" s="44">
        <v>0</v>
      </c>
      <c r="AF671" s="44">
        <v>0</v>
      </c>
      <c r="AG671" s="44">
        <v>0</v>
      </c>
      <c r="AH671" s="44">
        <v>0</v>
      </c>
      <c r="AI671" s="44">
        <v>0</v>
      </c>
      <c r="AJ671" s="43">
        <v>458060751</v>
      </c>
      <c r="AK671" s="44">
        <v>0</v>
      </c>
      <c r="AL671" s="43">
        <f>AM671-FEBRERO!P650</f>
        <v>0</v>
      </c>
      <c r="AM671" s="43">
        <v>332660751</v>
      </c>
      <c r="AN671" s="43">
        <v>0</v>
      </c>
      <c r="AO671" s="43">
        <v>20000000</v>
      </c>
      <c r="AP671" s="43">
        <v>332660751</v>
      </c>
      <c r="AQ671" s="110">
        <v>48666666</v>
      </c>
      <c r="AR671" s="110">
        <v>32633333</v>
      </c>
      <c r="AS671" s="110">
        <v>42116669</v>
      </c>
      <c r="AT671" s="111">
        <f t="shared" ref="AT671" si="844">AQ671+AS671</f>
        <v>90783335</v>
      </c>
      <c r="AU671" s="18">
        <f t="shared" ref="AU671" si="845">AJ671-AM671</f>
        <v>125400000</v>
      </c>
      <c r="AV671" s="110">
        <f t="shared" ref="AV671" si="846">AM671-AP671</f>
        <v>0</v>
      </c>
      <c r="AW671" s="18">
        <f t="shared" ref="AW671" si="847">AP671-AT671</f>
        <v>241877416</v>
      </c>
      <c r="AX671" s="123">
        <f t="shared" ref="AX671" si="848">AP671/AJ671</f>
        <v>0.72623718638578572</v>
      </c>
    </row>
    <row r="672" spans="1:50" ht="25.5" x14ac:dyDescent="0.2">
      <c r="AA672" s="28" t="s">
        <v>288</v>
      </c>
      <c r="AB672" s="29" t="s">
        <v>593</v>
      </c>
      <c r="AC672" s="17"/>
      <c r="AD672" s="18"/>
      <c r="AE672" s="34"/>
      <c r="AF672" s="34"/>
      <c r="AG672" s="34"/>
      <c r="AH672" s="34"/>
      <c r="AI672" s="34"/>
      <c r="AJ672" s="18"/>
      <c r="AK672" s="34"/>
      <c r="AL672" s="18"/>
      <c r="AM672" s="18"/>
      <c r="AN672" s="18"/>
      <c r="AO672" s="18"/>
      <c r="AP672" s="18"/>
      <c r="AQ672" s="110"/>
      <c r="AR672" s="110"/>
      <c r="AS672" s="110"/>
      <c r="AT672" s="111"/>
      <c r="AU672" s="18"/>
      <c r="AV672" s="18"/>
      <c r="AW672" s="18"/>
      <c r="AX672" s="18"/>
    </row>
    <row r="673" spans="1:50" x14ac:dyDescent="0.2">
      <c r="A673" s="4" t="s">
        <v>55</v>
      </c>
      <c r="B673" s="4" t="s">
        <v>56</v>
      </c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1" t="s">
        <v>594</v>
      </c>
      <c r="AB673" s="42" t="s">
        <v>233</v>
      </c>
      <c r="AC673" s="43" t="s">
        <v>58</v>
      </c>
      <c r="AD673" s="43">
        <v>522500000</v>
      </c>
      <c r="AE673" s="44">
        <v>0</v>
      </c>
      <c r="AF673" s="44">
        <v>0</v>
      </c>
      <c r="AG673" s="44">
        <v>0</v>
      </c>
      <c r="AH673" s="44">
        <v>0</v>
      </c>
      <c r="AI673" s="44">
        <v>0</v>
      </c>
      <c r="AJ673" s="43">
        <v>522500000</v>
      </c>
      <c r="AK673" s="44">
        <v>0</v>
      </c>
      <c r="AL673" s="43">
        <f>AM673-FEBRERO!P652</f>
        <v>-20000000</v>
      </c>
      <c r="AM673" s="43">
        <v>360000000</v>
      </c>
      <c r="AN673" s="43">
        <v>20000000</v>
      </c>
      <c r="AO673" s="43">
        <v>0</v>
      </c>
      <c r="AP673" s="43">
        <v>340000000</v>
      </c>
      <c r="AQ673" s="110">
        <v>47833333</v>
      </c>
      <c r="AR673" s="110">
        <v>37916667</v>
      </c>
      <c r="AS673" s="110">
        <v>47866668</v>
      </c>
      <c r="AT673" s="111">
        <f t="shared" ref="AT673" si="849">AQ673+AS673</f>
        <v>95700001</v>
      </c>
      <c r="AU673" s="18">
        <f t="shared" ref="AU673" si="850">AJ673-AM673</f>
        <v>162500000</v>
      </c>
      <c r="AV673" s="110">
        <f t="shared" ref="AV673" si="851">AM673-AP673</f>
        <v>20000000</v>
      </c>
      <c r="AW673" s="18">
        <f t="shared" ref="AW673" si="852">AP673-AT673</f>
        <v>244299999</v>
      </c>
      <c r="AX673" s="123">
        <f t="shared" ref="AX673" si="853">AP673/AJ673</f>
        <v>0.65071770334928225</v>
      </c>
    </row>
    <row r="674" spans="1:50" ht="25.5" x14ac:dyDescent="0.2">
      <c r="AA674" s="28" t="s">
        <v>288</v>
      </c>
      <c r="AB674" s="29" t="s">
        <v>583</v>
      </c>
      <c r="AC674" s="17"/>
      <c r="AD674" s="18"/>
      <c r="AE674" s="34"/>
      <c r="AF674" s="34"/>
      <c r="AG674" s="34"/>
      <c r="AH674" s="34"/>
      <c r="AI674" s="34"/>
      <c r="AJ674" s="18"/>
      <c r="AK674" s="18"/>
      <c r="AL674" s="18"/>
      <c r="AM674" s="18"/>
      <c r="AN674" s="18"/>
      <c r="AO674" s="18"/>
      <c r="AP674" s="18"/>
      <c r="AQ674" s="34"/>
      <c r="AR674" s="34"/>
      <c r="AS674" s="34"/>
      <c r="AT674" s="40"/>
      <c r="AU674" s="18"/>
      <c r="AV674" s="18"/>
      <c r="AW674" s="18"/>
      <c r="AX674" s="18"/>
    </row>
    <row r="675" spans="1:50" x14ac:dyDescent="0.2">
      <c r="A675" s="4" t="s">
        <v>55</v>
      </c>
      <c r="B675" s="4" t="s">
        <v>56</v>
      </c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1" t="s">
        <v>595</v>
      </c>
      <c r="AB675" s="42" t="s">
        <v>233</v>
      </c>
      <c r="AC675" s="43" t="s">
        <v>58</v>
      </c>
      <c r="AD675" s="43">
        <v>100000000</v>
      </c>
      <c r="AE675" s="44">
        <v>0</v>
      </c>
      <c r="AF675" s="44">
        <v>0</v>
      </c>
      <c r="AG675" s="44">
        <v>0</v>
      </c>
      <c r="AH675" s="44">
        <v>0</v>
      </c>
      <c r="AI675" s="44">
        <v>0</v>
      </c>
      <c r="AJ675" s="43">
        <v>100000000</v>
      </c>
      <c r="AK675" s="44">
        <v>0</v>
      </c>
      <c r="AL675" s="43">
        <f>AM675-FEBRERO!P654</f>
        <v>33000000</v>
      </c>
      <c r="AM675" s="43">
        <v>33000000</v>
      </c>
      <c r="AN675" s="43">
        <v>33000000</v>
      </c>
      <c r="AO675" s="44">
        <v>0</v>
      </c>
      <c r="AP675" s="44">
        <v>0</v>
      </c>
      <c r="AQ675" s="34">
        <v>0</v>
      </c>
      <c r="AR675" s="34">
        <v>0</v>
      </c>
      <c r="AS675" s="34">
        <v>0</v>
      </c>
      <c r="AT675" s="40">
        <f t="shared" ref="AT675" si="854">AQ675+AS675</f>
        <v>0</v>
      </c>
      <c r="AU675" s="18">
        <f t="shared" ref="AU675" si="855">AJ675-AM675</f>
        <v>67000000</v>
      </c>
      <c r="AV675" s="18">
        <f t="shared" ref="AV675" si="856">AM675-AP675</f>
        <v>33000000</v>
      </c>
      <c r="AW675" s="34">
        <f t="shared" ref="AW675" si="857">AP675-AT675</f>
        <v>0</v>
      </c>
      <c r="AX675" s="123">
        <f t="shared" ref="AX675" si="858">AP675/AJ675</f>
        <v>0</v>
      </c>
    </row>
    <row r="676" spans="1:50" ht="25.5" x14ac:dyDescent="0.2">
      <c r="AA676" s="28" t="s">
        <v>288</v>
      </c>
      <c r="AB676" s="29" t="s">
        <v>596</v>
      </c>
      <c r="AC676" s="17"/>
      <c r="AD676" s="18"/>
      <c r="AE676" s="34"/>
      <c r="AF676" s="34"/>
      <c r="AG676" s="34"/>
      <c r="AH676" s="34"/>
      <c r="AI676" s="34"/>
      <c r="AJ676" s="18"/>
      <c r="AK676" s="34"/>
      <c r="AL676" s="110"/>
      <c r="AM676" s="110"/>
      <c r="AN676" s="34"/>
      <c r="AO676" s="34"/>
      <c r="AP676" s="34"/>
      <c r="AQ676" s="34"/>
      <c r="AR676" s="34"/>
      <c r="AS676" s="34"/>
      <c r="AT676" s="40"/>
      <c r="AU676" s="18"/>
      <c r="AV676" s="18"/>
      <c r="AW676" s="18"/>
      <c r="AX676" s="18"/>
    </row>
    <row r="677" spans="1:50" x14ac:dyDescent="0.2">
      <c r="A677" s="4" t="s">
        <v>55</v>
      </c>
      <c r="B677" s="4" t="s">
        <v>56</v>
      </c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1" t="s">
        <v>597</v>
      </c>
      <c r="AB677" s="42" t="s">
        <v>233</v>
      </c>
      <c r="AC677" s="43" t="s">
        <v>58</v>
      </c>
      <c r="AD677" s="43">
        <v>279700000</v>
      </c>
      <c r="AE677" s="44">
        <v>0</v>
      </c>
      <c r="AF677" s="44">
        <v>0</v>
      </c>
      <c r="AG677" s="44">
        <v>0</v>
      </c>
      <c r="AH677" s="44">
        <v>0</v>
      </c>
      <c r="AI677" s="44">
        <v>0</v>
      </c>
      <c r="AJ677" s="43">
        <v>279700000</v>
      </c>
      <c r="AK677" s="44">
        <v>0</v>
      </c>
      <c r="AL677" s="114">
        <f>AM677-FEBRERO!P656</f>
        <v>-24000000</v>
      </c>
      <c r="AM677" s="114">
        <v>169600000</v>
      </c>
      <c r="AN677" s="44">
        <v>0</v>
      </c>
      <c r="AO677" s="114">
        <v>20000000</v>
      </c>
      <c r="AP677" s="114">
        <v>169600000</v>
      </c>
      <c r="AQ677" s="34">
        <v>20450000</v>
      </c>
      <c r="AR677" s="18">
        <v>12523333</v>
      </c>
      <c r="AS677" s="18">
        <v>12523333</v>
      </c>
      <c r="AT677" s="39">
        <f t="shared" ref="AT677" si="859">AQ677+AS677</f>
        <v>32973333</v>
      </c>
      <c r="AU677" s="18">
        <f t="shared" ref="AU677" si="860">AJ677-AM677</f>
        <v>110100000</v>
      </c>
      <c r="AV677" s="110">
        <f t="shared" ref="AV677" si="861">AM677-AP677</f>
        <v>0</v>
      </c>
      <c r="AW677" s="18">
        <f t="shared" ref="AW677" si="862">AP677-AT677</f>
        <v>136626667</v>
      </c>
      <c r="AX677" s="123">
        <f t="shared" ref="AX677" si="863">AP677/AJ677</f>
        <v>0.60636396138720061</v>
      </c>
    </row>
    <row r="678" spans="1:50" ht="38.25" x14ac:dyDescent="0.2">
      <c r="AA678" s="28" t="s">
        <v>288</v>
      </c>
      <c r="AB678" s="29" t="s">
        <v>598</v>
      </c>
      <c r="AC678" s="17"/>
      <c r="AD678" s="18"/>
      <c r="AE678" s="34"/>
      <c r="AF678" s="34"/>
      <c r="AG678" s="34"/>
      <c r="AH678" s="34"/>
      <c r="AI678" s="34"/>
      <c r="AJ678" s="18"/>
      <c r="AK678" s="18"/>
      <c r="AL678" s="18"/>
      <c r="AM678" s="18"/>
      <c r="AN678" s="18"/>
      <c r="AO678" s="18"/>
      <c r="AP678" s="18"/>
      <c r="AQ678" s="110"/>
      <c r="AR678" s="110"/>
      <c r="AS678" s="110"/>
      <c r="AT678" s="109"/>
      <c r="AU678" s="18"/>
      <c r="AV678" s="18"/>
      <c r="AW678" s="18"/>
      <c r="AX678" s="18"/>
    </row>
    <row r="679" spans="1:50" x14ac:dyDescent="0.2">
      <c r="A679" s="4" t="s">
        <v>55</v>
      </c>
      <c r="B679" s="4" t="s">
        <v>56</v>
      </c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1" t="s">
        <v>599</v>
      </c>
      <c r="AB679" s="42" t="s">
        <v>233</v>
      </c>
      <c r="AC679" s="43" t="s">
        <v>58</v>
      </c>
      <c r="AD679" s="43">
        <v>418000000</v>
      </c>
      <c r="AE679" s="44">
        <v>0</v>
      </c>
      <c r="AF679" s="44">
        <v>0</v>
      </c>
      <c r="AG679" s="44">
        <v>0</v>
      </c>
      <c r="AH679" s="44">
        <v>0</v>
      </c>
      <c r="AI679" s="44">
        <v>0</v>
      </c>
      <c r="AJ679" s="43">
        <v>418000000</v>
      </c>
      <c r="AK679" s="43">
        <v>0</v>
      </c>
      <c r="AL679" s="43">
        <f>AM679-FEBRERO!P658</f>
        <v>0</v>
      </c>
      <c r="AM679" s="43">
        <v>300000000</v>
      </c>
      <c r="AN679" s="43">
        <v>0</v>
      </c>
      <c r="AO679" s="43">
        <v>0</v>
      </c>
      <c r="AP679" s="43">
        <v>300000000</v>
      </c>
      <c r="AQ679" s="110">
        <v>38033333</v>
      </c>
      <c r="AR679" s="110">
        <v>34700001</v>
      </c>
      <c r="AS679" s="110">
        <v>37833337</v>
      </c>
      <c r="AT679" s="111">
        <f t="shared" si="811"/>
        <v>75866670</v>
      </c>
      <c r="AU679" s="18">
        <f t="shared" ref="AU679" si="864">AJ679-AM679</f>
        <v>118000000</v>
      </c>
      <c r="AV679" s="133">
        <f t="shared" ref="AV679" si="865">AM679-AP679</f>
        <v>0</v>
      </c>
      <c r="AW679" s="18">
        <f t="shared" ref="AW679" si="866">AP679-AT679</f>
        <v>224133330</v>
      </c>
      <c r="AX679" s="123">
        <f t="shared" ref="AX679" si="867">AP679/AJ679</f>
        <v>0.71770334928229662</v>
      </c>
    </row>
    <row r="680" spans="1:50" x14ac:dyDescent="0.2">
      <c r="AA680" s="28" t="s">
        <v>288</v>
      </c>
      <c r="AB680" s="29" t="s">
        <v>600</v>
      </c>
      <c r="AC680" s="17"/>
      <c r="AD680" s="18"/>
      <c r="AE680" s="34"/>
      <c r="AF680" s="34"/>
      <c r="AG680" s="34"/>
      <c r="AH680" s="34"/>
      <c r="AI680" s="34"/>
      <c r="AJ680" s="18"/>
      <c r="AK680" s="18"/>
      <c r="AL680" s="18"/>
      <c r="AM680" s="18"/>
      <c r="AN680" s="18"/>
      <c r="AO680" s="18"/>
      <c r="AP680" s="18"/>
      <c r="AQ680" s="34"/>
      <c r="AR680" s="34"/>
      <c r="AS680" s="34"/>
      <c r="AT680" s="40"/>
      <c r="AU680" s="18"/>
      <c r="AV680" s="18"/>
      <c r="AW680" s="18"/>
      <c r="AX680" s="18"/>
    </row>
    <row r="681" spans="1:50" s="150" customFormat="1" x14ac:dyDescent="0.2">
      <c r="A681" s="140" t="s">
        <v>55</v>
      </c>
      <c r="B681" s="140" t="s">
        <v>56</v>
      </c>
      <c r="C681" s="140"/>
      <c r="D681" s="140"/>
      <c r="E681" s="140"/>
      <c r="F681" s="140"/>
      <c r="G681" s="140"/>
      <c r="H681" s="140"/>
      <c r="I681" s="140"/>
      <c r="J681" s="140"/>
      <c r="K681" s="140"/>
      <c r="L681" s="140"/>
      <c r="M681" s="140"/>
      <c r="N681" s="140"/>
      <c r="O681" s="140"/>
      <c r="P681" s="140"/>
      <c r="Q681" s="140"/>
      <c r="R681" s="140"/>
      <c r="S681" s="140"/>
      <c r="T681" s="140"/>
      <c r="U681" s="140"/>
      <c r="V681" s="140"/>
      <c r="W681" s="140"/>
      <c r="X681" s="140"/>
      <c r="Y681" s="140"/>
      <c r="Z681" s="140"/>
      <c r="AA681" s="134" t="s">
        <v>601</v>
      </c>
      <c r="AB681" s="69" t="s">
        <v>233</v>
      </c>
      <c r="AC681" s="142" t="s">
        <v>58</v>
      </c>
      <c r="AD681" s="142">
        <v>337300000</v>
      </c>
      <c r="AE681" s="143">
        <v>0</v>
      </c>
      <c r="AF681" s="143">
        <v>0</v>
      </c>
      <c r="AG681" s="143">
        <v>0</v>
      </c>
      <c r="AH681" s="142">
        <v>31295090</v>
      </c>
      <c r="AI681" s="142">
        <f>AE681-AF681+AG681-AH681</f>
        <v>-31295090</v>
      </c>
      <c r="AJ681" s="142">
        <f>AD681+AI681</f>
        <v>306004910</v>
      </c>
      <c r="AK681" s="143">
        <v>0</v>
      </c>
      <c r="AL681" s="144">
        <f>AM681-FEBRERO!P660</f>
        <v>-46856431.349999994</v>
      </c>
      <c r="AM681" s="144">
        <v>259148478.65000001</v>
      </c>
      <c r="AN681" s="143">
        <v>0</v>
      </c>
      <c r="AO681" s="143">
        <v>259148478.65000001</v>
      </c>
      <c r="AP681" s="143">
        <v>259148478.65000001</v>
      </c>
      <c r="AQ681" s="145">
        <v>0</v>
      </c>
      <c r="AR681" s="145">
        <v>0</v>
      </c>
      <c r="AS681" s="145">
        <v>0</v>
      </c>
      <c r="AT681" s="146">
        <f t="shared" ref="AT681" si="868">AQ681+AS681</f>
        <v>0</v>
      </c>
      <c r="AU681" s="147">
        <f t="shared" ref="AU681" si="869">AJ681-AM681</f>
        <v>46856431.349999994</v>
      </c>
      <c r="AV681" s="148">
        <f t="shared" ref="AV681" si="870">AM681-AP681</f>
        <v>0</v>
      </c>
      <c r="AW681" s="147">
        <f t="shared" ref="AW681" si="871">AP681-AT681</f>
        <v>259148478.65000001</v>
      </c>
      <c r="AX681" s="149">
        <f t="shared" ref="AX681" si="872">AP681/AJ681</f>
        <v>0.84687686432874565</v>
      </c>
    </row>
    <row r="682" spans="1:50" ht="25.5" x14ac:dyDescent="0.2">
      <c r="AA682" s="28" t="s">
        <v>288</v>
      </c>
      <c r="AB682" s="29" t="s">
        <v>602</v>
      </c>
      <c r="AC682" s="17"/>
      <c r="AD682" s="18"/>
      <c r="AE682" s="18"/>
      <c r="AF682" s="18"/>
      <c r="AG682" s="18"/>
      <c r="AH682" s="18"/>
      <c r="AI682" s="18"/>
      <c r="AJ682" s="18"/>
      <c r="AK682" s="34"/>
      <c r="AL682" s="34"/>
      <c r="AM682" s="34"/>
      <c r="AN682" s="34"/>
      <c r="AO682" s="34"/>
      <c r="AP682" s="34"/>
      <c r="AQ682" s="34"/>
      <c r="AR682" s="34"/>
      <c r="AS682" s="34"/>
      <c r="AT682" s="40"/>
      <c r="AU682" s="18"/>
      <c r="AV682" s="18"/>
      <c r="AW682" s="18"/>
      <c r="AX682" s="18"/>
    </row>
    <row r="683" spans="1:50" x14ac:dyDescent="0.2">
      <c r="A683" s="4" t="s">
        <v>55</v>
      </c>
      <c r="B683" s="4" t="s">
        <v>56</v>
      </c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1" t="s">
        <v>603</v>
      </c>
      <c r="AB683" s="42" t="s">
        <v>233</v>
      </c>
      <c r="AC683" s="43" t="s">
        <v>58</v>
      </c>
      <c r="AD683" s="44">
        <v>0</v>
      </c>
      <c r="AE683" s="44">
        <v>0</v>
      </c>
      <c r="AF683" s="44">
        <v>0</v>
      </c>
      <c r="AG683" s="43">
        <v>4400000</v>
      </c>
      <c r="AH683" s="44">
        <v>0</v>
      </c>
      <c r="AI683" s="43">
        <f>AE683-AF683+AG683-AH683</f>
        <v>4400000</v>
      </c>
      <c r="AJ683" s="43">
        <f>AD683+AI683</f>
        <v>4400000</v>
      </c>
      <c r="AK683" s="44">
        <v>0</v>
      </c>
      <c r="AL683" s="44">
        <v>0</v>
      </c>
      <c r="AM683" s="44">
        <v>0</v>
      </c>
      <c r="AN683" s="44">
        <v>0</v>
      </c>
      <c r="AO683" s="44">
        <v>0</v>
      </c>
      <c r="AP683" s="44">
        <v>0</v>
      </c>
      <c r="AQ683" s="34">
        <v>0</v>
      </c>
      <c r="AR683" s="34">
        <v>0</v>
      </c>
      <c r="AS683" s="34">
        <v>0</v>
      </c>
      <c r="AT683" s="40">
        <f t="shared" ref="AT683" si="873">AQ683+AS683</f>
        <v>0</v>
      </c>
      <c r="AU683" s="18">
        <f t="shared" ref="AU683" si="874">AJ683-AM683</f>
        <v>4400000</v>
      </c>
      <c r="AV683" s="133">
        <f t="shared" ref="AV683" si="875">AM683-AP683</f>
        <v>0</v>
      </c>
      <c r="AW683" s="34">
        <f t="shared" ref="AW683" si="876">AP683-AT683</f>
        <v>0</v>
      </c>
      <c r="AX683" s="123">
        <f t="shared" ref="AX683" si="877">AP683/AJ683</f>
        <v>0</v>
      </c>
    </row>
    <row r="684" spans="1:50" ht="25.5" x14ac:dyDescent="0.2">
      <c r="AA684" s="28" t="s">
        <v>288</v>
      </c>
      <c r="AB684" s="29" t="s">
        <v>197</v>
      </c>
      <c r="AC684" s="17"/>
      <c r="AD684" s="34"/>
      <c r="AE684" s="34"/>
      <c r="AF684" s="34"/>
      <c r="AG684" s="18"/>
      <c r="AH684" s="34"/>
      <c r="AI684" s="18"/>
      <c r="AJ684" s="18"/>
      <c r="AK684" s="34"/>
      <c r="AL684" s="34"/>
      <c r="AM684" s="34"/>
      <c r="AN684" s="34"/>
      <c r="AO684" s="34"/>
      <c r="AP684" s="34"/>
      <c r="AQ684" s="34"/>
      <c r="AR684" s="34"/>
      <c r="AS684" s="34"/>
      <c r="AT684" s="40"/>
      <c r="AU684" s="18"/>
      <c r="AV684" s="34"/>
      <c r="AW684" s="34"/>
      <c r="AX684" s="18"/>
    </row>
    <row r="685" spans="1:50" ht="25.5" x14ac:dyDescent="0.2">
      <c r="A685" s="4" t="s">
        <v>55</v>
      </c>
      <c r="B685" s="4" t="s">
        <v>56</v>
      </c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1" t="s">
        <v>604</v>
      </c>
      <c r="AB685" s="42" t="s">
        <v>605</v>
      </c>
      <c r="AC685" s="43" t="s">
        <v>58</v>
      </c>
      <c r="AD685" s="44">
        <v>0</v>
      </c>
      <c r="AE685" s="44">
        <v>0</v>
      </c>
      <c r="AF685" s="44">
        <v>0</v>
      </c>
      <c r="AG685" s="43">
        <v>88500000</v>
      </c>
      <c r="AH685" s="44">
        <v>0</v>
      </c>
      <c r="AI685" s="43">
        <f>AE685-AF685+AG685-AH685</f>
        <v>88500000</v>
      </c>
      <c r="AJ685" s="43">
        <f>AD685+AI685</f>
        <v>88500000</v>
      </c>
      <c r="AK685" s="44">
        <v>0</v>
      </c>
      <c r="AL685" s="44">
        <v>0</v>
      </c>
      <c r="AM685" s="44">
        <v>0</v>
      </c>
      <c r="AN685" s="44">
        <v>0</v>
      </c>
      <c r="AO685" s="44">
        <v>0</v>
      </c>
      <c r="AP685" s="44">
        <v>0</v>
      </c>
      <c r="AQ685" s="34">
        <v>0</v>
      </c>
      <c r="AR685" s="34">
        <v>0</v>
      </c>
      <c r="AS685" s="34">
        <v>0</v>
      </c>
      <c r="AT685" s="40">
        <f t="shared" ref="AT685" si="878">AQ685+AS685</f>
        <v>0</v>
      </c>
      <c r="AU685" s="18">
        <f t="shared" ref="AU685" si="879">AJ685-AM685</f>
        <v>88500000</v>
      </c>
      <c r="AV685" s="133">
        <f t="shared" ref="AV685" si="880">AM685-AP685</f>
        <v>0</v>
      </c>
      <c r="AW685" s="34">
        <f t="shared" ref="AW685" si="881">AP685-AT685</f>
        <v>0</v>
      </c>
      <c r="AX685" s="123">
        <f t="shared" ref="AX685" si="882">AP685/AJ685</f>
        <v>0</v>
      </c>
    </row>
    <row r="686" spans="1:50" ht="38.25" x14ac:dyDescent="0.2">
      <c r="AA686" s="28" t="s">
        <v>288</v>
      </c>
      <c r="AB686" s="29" t="s">
        <v>606</v>
      </c>
      <c r="AC686" s="17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30"/>
      <c r="AU686" s="18"/>
      <c r="AV686" s="34"/>
      <c r="AW686" s="18"/>
      <c r="AX686" s="18"/>
    </row>
    <row r="687" spans="1:50" x14ac:dyDescent="0.2">
      <c r="A687" s="4" t="s">
        <v>55</v>
      </c>
      <c r="B687" s="4" t="s">
        <v>56</v>
      </c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1" t="s">
        <v>607</v>
      </c>
      <c r="AB687" s="42" t="s">
        <v>233</v>
      </c>
      <c r="AC687" s="43" t="s">
        <v>58</v>
      </c>
      <c r="AD687" s="43">
        <v>859800000</v>
      </c>
      <c r="AE687" s="44">
        <v>0</v>
      </c>
      <c r="AF687" s="44">
        <v>0</v>
      </c>
      <c r="AG687" s="43">
        <v>300000000</v>
      </c>
      <c r="AH687" s="43">
        <v>900000</v>
      </c>
      <c r="AI687" s="43">
        <f>AE687-AF687+AG687-AH687</f>
        <v>299100000</v>
      </c>
      <c r="AJ687" s="43">
        <f>AD687+AI687</f>
        <v>1158900000</v>
      </c>
      <c r="AK687" s="44">
        <v>0</v>
      </c>
      <c r="AL687" s="43">
        <f>AM687-FEBRERO!P666</f>
        <v>29660667</v>
      </c>
      <c r="AM687" s="43">
        <v>549860667</v>
      </c>
      <c r="AN687" s="43">
        <v>18576966</v>
      </c>
      <c r="AO687" s="43">
        <v>0</v>
      </c>
      <c r="AP687" s="43">
        <v>520200000</v>
      </c>
      <c r="AQ687" s="34">
        <v>69400000</v>
      </c>
      <c r="AR687" s="110">
        <v>58726667</v>
      </c>
      <c r="AS687" s="110">
        <v>74943334</v>
      </c>
      <c r="AT687" s="111">
        <f t="shared" si="811"/>
        <v>144343334</v>
      </c>
      <c r="AU687" s="18">
        <f t="shared" ref="AU687" si="883">AJ687-AM687</f>
        <v>609039333</v>
      </c>
      <c r="AV687" s="18">
        <f t="shared" ref="AV687" si="884">AM687-AP687</f>
        <v>29660667</v>
      </c>
      <c r="AW687" s="18">
        <f t="shared" ref="AW687" si="885">AP687-AT687</f>
        <v>375856666</v>
      </c>
      <c r="AX687" s="123">
        <f t="shared" ref="AX687" si="886">AP687/AJ687</f>
        <v>0.44887393217706445</v>
      </c>
    </row>
    <row r="688" spans="1:50" ht="25.5" x14ac:dyDescent="0.2">
      <c r="AA688" s="28" t="s">
        <v>288</v>
      </c>
      <c r="AB688" s="29" t="s">
        <v>608</v>
      </c>
      <c r="AC688" s="17"/>
      <c r="AD688" s="18"/>
      <c r="AE688" s="34"/>
      <c r="AF688" s="34"/>
      <c r="AG688" s="34"/>
      <c r="AH688" s="18"/>
      <c r="AI688" s="18"/>
      <c r="AJ688" s="18"/>
      <c r="AK688" s="34"/>
      <c r="AL688" s="18"/>
      <c r="AM688" s="18"/>
      <c r="AN688" s="18"/>
      <c r="AO688" s="18"/>
      <c r="AP688" s="18"/>
      <c r="AQ688" s="34"/>
      <c r="AR688" s="34"/>
      <c r="AS688" s="34"/>
      <c r="AT688" s="40">
        <f t="shared" si="811"/>
        <v>0</v>
      </c>
      <c r="AU688" s="18"/>
      <c r="AV688" s="34"/>
      <c r="AW688" s="18"/>
      <c r="AX688" s="18"/>
    </row>
    <row r="689" spans="1:50" x14ac:dyDescent="0.2">
      <c r="A689" s="4" t="s">
        <v>55</v>
      </c>
      <c r="B689" s="4" t="s">
        <v>56</v>
      </c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1" t="s">
        <v>609</v>
      </c>
      <c r="AB689" s="42" t="s">
        <v>233</v>
      </c>
      <c r="AC689" s="43" t="s">
        <v>58</v>
      </c>
      <c r="AD689" s="43">
        <v>20000000</v>
      </c>
      <c r="AE689" s="44">
        <v>0</v>
      </c>
      <c r="AF689" s="44">
        <v>0</v>
      </c>
      <c r="AG689" s="44">
        <v>0</v>
      </c>
      <c r="AH689" s="44">
        <v>0</v>
      </c>
      <c r="AI689" s="44">
        <v>0</v>
      </c>
      <c r="AJ689" s="43">
        <v>20000000</v>
      </c>
      <c r="AK689" s="44">
        <v>0</v>
      </c>
      <c r="AL689" s="44">
        <v>0</v>
      </c>
      <c r="AM689" s="44">
        <v>0</v>
      </c>
      <c r="AN689" s="43">
        <v>0</v>
      </c>
      <c r="AO689" s="43">
        <v>0</v>
      </c>
      <c r="AP689" s="44">
        <v>0</v>
      </c>
      <c r="AQ689" s="34">
        <v>0</v>
      </c>
      <c r="AR689" s="34">
        <v>0</v>
      </c>
      <c r="AS689" s="34">
        <v>0</v>
      </c>
      <c r="AT689" s="40">
        <f t="shared" si="811"/>
        <v>0</v>
      </c>
      <c r="AU689" s="18">
        <f t="shared" ref="AU689" si="887">AJ689-AM689</f>
        <v>20000000</v>
      </c>
      <c r="AV689" s="133">
        <f t="shared" ref="AV689" si="888">AM689-AP689</f>
        <v>0</v>
      </c>
      <c r="AW689" s="34">
        <f t="shared" ref="AW689" si="889">AP689-AT689</f>
        <v>0</v>
      </c>
      <c r="AX689" s="123">
        <f t="shared" ref="AX689" si="890">AP689/AJ689</f>
        <v>0</v>
      </c>
    </row>
    <row r="690" spans="1:50" x14ac:dyDescent="0.2">
      <c r="AA690" s="28" t="s">
        <v>288</v>
      </c>
      <c r="AB690" s="29" t="s">
        <v>400</v>
      </c>
      <c r="AC690" s="17"/>
      <c r="AD690" s="18"/>
      <c r="AE690" s="34"/>
      <c r="AF690" s="34"/>
      <c r="AG690" s="34"/>
      <c r="AH690" s="34"/>
      <c r="AI690" s="34"/>
      <c r="AJ690" s="18"/>
      <c r="AK690" s="34"/>
      <c r="AL690" s="18"/>
      <c r="AM690" s="18"/>
      <c r="AN690" s="18"/>
      <c r="AO690" s="18"/>
      <c r="AP690" s="18"/>
      <c r="AQ690" s="34"/>
      <c r="AR690" s="34"/>
      <c r="AS690" s="34"/>
      <c r="AT690" s="40"/>
      <c r="AU690" s="18"/>
      <c r="AV690" s="18"/>
      <c r="AW690" s="18"/>
      <c r="AX690" s="18"/>
    </row>
    <row r="691" spans="1:50" x14ac:dyDescent="0.2">
      <c r="A691" s="4" t="s">
        <v>55</v>
      </c>
      <c r="B691" s="4" t="s">
        <v>56</v>
      </c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1" t="s">
        <v>610</v>
      </c>
      <c r="AB691" s="42" t="s">
        <v>233</v>
      </c>
      <c r="AC691" s="43" t="s">
        <v>58</v>
      </c>
      <c r="AD691" s="43">
        <v>379500000</v>
      </c>
      <c r="AE691" s="44">
        <v>0</v>
      </c>
      <c r="AF691" s="44">
        <v>0</v>
      </c>
      <c r="AG691" s="44">
        <v>0</v>
      </c>
      <c r="AH691" s="44">
        <v>0</v>
      </c>
      <c r="AI691" s="44">
        <v>0</v>
      </c>
      <c r="AJ691" s="43">
        <v>379500000</v>
      </c>
      <c r="AK691" s="44">
        <v>0</v>
      </c>
      <c r="AL691" s="43">
        <f>AM691-FEBRERO!P670</f>
        <v>0</v>
      </c>
      <c r="AM691" s="43">
        <v>244000000</v>
      </c>
      <c r="AN691" s="43">
        <v>0</v>
      </c>
      <c r="AO691" s="43">
        <v>28000000</v>
      </c>
      <c r="AP691" s="43">
        <v>244000000</v>
      </c>
      <c r="AQ691" s="34">
        <v>28400000</v>
      </c>
      <c r="AR691" s="110">
        <v>25133333</v>
      </c>
      <c r="AS691" s="110">
        <v>34050000</v>
      </c>
      <c r="AT691" s="111">
        <f t="shared" ref="AT691" si="891">AQ691+AS691</f>
        <v>62450000</v>
      </c>
      <c r="AU691" s="18">
        <f t="shared" ref="AU691" si="892">AJ691-AM691</f>
        <v>135500000</v>
      </c>
      <c r="AV691" s="110">
        <f t="shared" ref="AV691" si="893">AM691-AP691</f>
        <v>0</v>
      </c>
      <c r="AW691" s="18">
        <f t="shared" ref="AW691" si="894">AP691-AT691</f>
        <v>181550000</v>
      </c>
      <c r="AX691" s="123">
        <f t="shared" ref="AX691" si="895">AP691/AJ691</f>
        <v>0.64295125164690381</v>
      </c>
    </row>
    <row r="692" spans="1:50" x14ac:dyDescent="0.2">
      <c r="AA692" s="16"/>
      <c r="AB692" s="17"/>
      <c r="AC692" s="17"/>
      <c r="AD692" s="18"/>
      <c r="AE692" s="34"/>
      <c r="AF692" s="34"/>
      <c r="AG692" s="34"/>
      <c r="AH692" s="18"/>
      <c r="AI692" s="18"/>
      <c r="AJ692" s="18"/>
      <c r="AK692" s="34"/>
      <c r="AL692" s="18"/>
      <c r="AM692" s="18"/>
      <c r="AN692" s="18"/>
      <c r="AO692" s="18"/>
      <c r="AP692" s="18"/>
      <c r="AQ692" s="34"/>
      <c r="AR692" s="34"/>
      <c r="AS692" s="34"/>
      <c r="AT692" s="40"/>
      <c r="AU692" s="18"/>
      <c r="AV692" s="18"/>
      <c r="AW692" s="18"/>
      <c r="AX692" s="18"/>
    </row>
    <row r="693" spans="1:50" x14ac:dyDescent="0.2">
      <c r="AA693" s="16"/>
      <c r="AB693" s="29" t="s">
        <v>199</v>
      </c>
      <c r="AC693" s="17"/>
      <c r="AD693" s="18"/>
      <c r="AE693" s="34"/>
      <c r="AF693" s="34"/>
      <c r="AG693" s="34"/>
      <c r="AH693" s="18"/>
      <c r="AI693" s="18"/>
      <c r="AJ693" s="18"/>
      <c r="AK693" s="34"/>
      <c r="AL693" s="18"/>
      <c r="AM693" s="18"/>
      <c r="AN693" s="18"/>
      <c r="AO693" s="18"/>
      <c r="AP693" s="18"/>
      <c r="AQ693" s="34"/>
      <c r="AR693" s="34"/>
      <c r="AS693" s="34"/>
      <c r="AT693" s="40"/>
      <c r="AU693" s="18"/>
      <c r="AV693" s="18"/>
      <c r="AW693" s="18"/>
      <c r="AX693" s="18"/>
    </row>
    <row r="694" spans="1:50" ht="38.25" x14ac:dyDescent="0.2">
      <c r="AA694" s="28" t="s">
        <v>288</v>
      </c>
      <c r="AB694" s="29" t="s">
        <v>611</v>
      </c>
      <c r="AC694" s="17"/>
      <c r="AD694" s="18"/>
      <c r="AE694" s="34"/>
      <c r="AF694" s="34"/>
      <c r="AG694" s="34"/>
      <c r="AH694" s="18"/>
      <c r="AI694" s="18"/>
      <c r="AJ694" s="18"/>
      <c r="AK694" s="34"/>
      <c r="AL694" s="18"/>
      <c r="AM694" s="18"/>
      <c r="AN694" s="18"/>
      <c r="AO694" s="18"/>
      <c r="AP694" s="18"/>
      <c r="AQ694" s="34"/>
      <c r="AR694" s="34"/>
      <c r="AS694" s="34"/>
      <c r="AT694" s="40"/>
      <c r="AU694" s="18"/>
      <c r="AV694" s="18"/>
      <c r="AW694" s="18"/>
      <c r="AX694" s="18"/>
    </row>
    <row r="695" spans="1:50" x14ac:dyDescent="0.2">
      <c r="A695" s="4" t="s">
        <v>55</v>
      </c>
      <c r="B695" s="4" t="s">
        <v>56</v>
      </c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1" t="s">
        <v>612</v>
      </c>
      <c r="AB695" s="42" t="s">
        <v>233</v>
      </c>
      <c r="AC695" s="43" t="s">
        <v>58</v>
      </c>
      <c r="AD695" s="43">
        <v>725000000</v>
      </c>
      <c r="AE695" s="44">
        <v>0</v>
      </c>
      <c r="AF695" s="44">
        <v>0</v>
      </c>
      <c r="AG695" s="44">
        <v>0</v>
      </c>
      <c r="AH695" s="43">
        <v>17000000</v>
      </c>
      <c r="AI695" s="43">
        <f>AE695-AF695+AG695-AH695</f>
        <v>-17000000</v>
      </c>
      <c r="AJ695" s="43">
        <f>AD695+AI695</f>
        <v>708000000</v>
      </c>
      <c r="AK695" s="44">
        <v>0</v>
      </c>
      <c r="AL695" s="43">
        <f>AM695-FEBRERO!P674</f>
        <v>35000000</v>
      </c>
      <c r="AM695" s="43">
        <v>395000000</v>
      </c>
      <c r="AN695" s="43">
        <v>0</v>
      </c>
      <c r="AO695" s="43">
        <v>75510317</v>
      </c>
      <c r="AP695" s="114">
        <v>91502224</v>
      </c>
      <c r="AQ695" s="110">
        <v>0</v>
      </c>
      <c r="AR695" s="110">
        <v>7726421</v>
      </c>
      <c r="AS695" s="110">
        <v>21502224</v>
      </c>
      <c r="AT695" s="111">
        <f t="shared" ref="AT695" si="896">AQ695+AS695</f>
        <v>21502224</v>
      </c>
      <c r="AU695" s="110">
        <f t="shared" ref="AU695" si="897">AJ695-AM695</f>
        <v>313000000</v>
      </c>
      <c r="AV695" s="110">
        <f t="shared" ref="AV695" si="898">AM695-AP695</f>
        <v>303497776</v>
      </c>
      <c r="AW695" s="18">
        <f t="shared" ref="AW695" si="899">AP695-AT695</f>
        <v>70000000</v>
      </c>
      <c r="AX695" s="123">
        <f t="shared" ref="AX695" si="900">AP695/AJ695</f>
        <v>0.12924042937853109</v>
      </c>
    </row>
    <row r="696" spans="1:50" x14ac:dyDescent="0.2">
      <c r="AA696" s="16"/>
      <c r="AB696" s="17"/>
      <c r="AC696" s="17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34"/>
      <c r="AR696" s="34"/>
      <c r="AS696" s="34"/>
      <c r="AT696" s="40"/>
      <c r="AU696" s="18"/>
      <c r="AV696" s="18"/>
      <c r="AW696" s="18"/>
      <c r="AX696" s="18"/>
    </row>
    <row r="697" spans="1:50" ht="38.25" x14ac:dyDescent="0.2">
      <c r="AA697" s="16"/>
      <c r="AB697" s="29" t="s">
        <v>613</v>
      </c>
      <c r="AC697" s="17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30"/>
      <c r="AU697" s="18"/>
      <c r="AV697" s="18"/>
      <c r="AW697" s="18"/>
      <c r="AX697" s="18"/>
    </row>
    <row r="698" spans="1:50" x14ac:dyDescent="0.2">
      <c r="AA698" s="16"/>
      <c r="AB698" s="29" t="s">
        <v>614</v>
      </c>
      <c r="AC698" s="17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30"/>
      <c r="AU698" s="18"/>
      <c r="AV698" s="18"/>
      <c r="AW698" s="18"/>
      <c r="AX698" s="18"/>
    </row>
    <row r="699" spans="1:50" x14ac:dyDescent="0.2">
      <c r="AA699" s="16"/>
      <c r="AB699" s="29" t="s">
        <v>286</v>
      </c>
      <c r="AC699" s="17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30"/>
      <c r="AU699" s="18"/>
      <c r="AV699" s="18"/>
      <c r="AW699" s="18"/>
      <c r="AX699" s="18"/>
    </row>
    <row r="700" spans="1:50" x14ac:dyDescent="0.2">
      <c r="AA700" s="16"/>
      <c r="AB700" s="29" t="s">
        <v>574</v>
      </c>
      <c r="AC700" s="17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30"/>
      <c r="AU700" s="18"/>
      <c r="AV700" s="18"/>
      <c r="AW700" s="18"/>
      <c r="AX700" s="18"/>
    </row>
    <row r="701" spans="1:50" x14ac:dyDescent="0.2">
      <c r="AA701" s="16"/>
      <c r="AB701" s="29" t="s">
        <v>575</v>
      </c>
      <c r="AC701" s="17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30"/>
      <c r="AU701" s="18"/>
      <c r="AV701" s="18"/>
      <c r="AW701" s="18"/>
      <c r="AX701" s="18"/>
    </row>
    <row r="702" spans="1:50" x14ac:dyDescent="0.2">
      <c r="AA702" s="16"/>
      <c r="AB702" s="29" t="s">
        <v>576</v>
      </c>
      <c r="AC702" s="17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30"/>
      <c r="AU702" s="18"/>
      <c r="AV702" s="18"/>
      <c r="AW702" s="18"/>
      <c r="AX702" s="18"/>
    </row>
    <row r="703" spans="1:50" x14ac:dyDescent="0.2">
      <c r="AA703" s="16"/>
      <c r="AB703" s="29" t="s">
        <v>615</v>
      </c>
      <c r="AC703" s="17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30"/>
      <c r="AU703" s="18"/>
      <c r="AV703" s="18"/>
      <c r="AW703" s="18"/>
      <c r="AX703" s="18"/>
    </row>
    <row r="704" spans="1:50" ht="25.5" x14ac:dyDescent="0.2">
      <c r="AA704" s="16"/>
      <c r="AB704" s="29" t="s">
        <v>579</v>
      </c>
      <c r="AC704" s="17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30"/>
      <c r="AU704" s="18"/>
      <c r="AV704" s="18"/>
      <c r="AW704" s="18"/>
      <c r="AX704" s="18"/>
    </row>
    <row r="705" spans="1:50" ht="25.5" x14ac:dyDescent="0.2">
      <c r="AA705" s="28" t="s">
        <v>288</v>
      </c>
      <c r="AB705" s="29" t="s">
        <v>616</v>
      </c>
      <c r="AC705" s="17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30"/>
      <c r="AU705" s="18"/>
      <c r="AV705" s="18"/>
      <c r="AW705" s="18"/>
      <c r="AX705" s="18"/>
    </row>
    <row r="706" spans="1:50" x14ac:dyDescent="0.2">
      <c r="A706" s="4" t="s">
        <v>55</v>
      </c>
      <c r="B706" s="4" t="s">
        <v>56</v>
      </c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1" t="s">
        <v>617</v>
      </c>
      <c r="AB706" s="42" t="s">
        <v>618</v>
      </c>
      <c r="AC706" s="43" t="s">
        <v>619</v>
      </c>
      <c r="AD706" s="43">
        <v>100000000</v>
      </c>
      <c r="AE706" s="44">
        <v>0</v>
      </c>
      <c r="AF706" s="44">
        <v>0</v>
      </c>
      <c r="AG706" s="43">
        <f>770000000+704534301</f>
        <v>1474534301</v>
      </c>
      <c r="AH706" s="137">
        <v>0</v>
      </c>
      <c r="AI706" s="43">
        <f>AE706-AF706+AG706-AH706</f>
        <v>1474534301</v>
      </c>
      <c r="AJ706" s="43">
        <f>AD706+AI706</f>
        <v>1574534301</v>
      </c>
      <c r="AK706" s="44">
        <v>0</v>
      </c>
      <c r="AL706" s="114">
        <v>-7691979</v>
      </c>
      <c r="AM706" s="114">
        <v>16631440</v>
      </c>
      <c r="AN706" s="44">
        <v>0</v>
      </c>
      <c r="AO706" s="44">
        <v>16631440</v>
      </c>
      <c r="AP706" s="44">
        <v>16631440</v>
      </c>
      <c r="AQ706" s="44">
        <v>0</v>
      </c>
      <c r="AR706" s="44">
        <v>0</v>
      </c>
      <c r="AS706" s="44">
        <v>0</v>
      </c>
      <c r="AT706" s="40">
        <f t="shared" ref="AT706" si="901">AQ706+AS706</f>
        <v>0</v>
      </c>
      <c r="AU706" s="18">
        <f t="shared" ref="AU706" si="902">AJ706-AM706</f>
        <v>1557902861</v>
      </c>
      <c r="AV706" s="110">
        <f t="shared" ref="AV706" si="903">AM706-AP706</f>
        <v>0</v>
      </c>
      <c r="AW706" s="34">
        <f t="shared" ref="AW706" si="904">AP706-AT706</f>
        <v>16631440</v>
      </c>
      <c r="AX706" s="123">
        <f t="shared" ref="AX706" si="905">AP706/AJ706</f>
        <v>1.0562767663706807E-2</v>
      </c>
    </row>
    <row r="707" spans="1:50" x14ac:dyDescent="0.2">
      <c r="AA707" s="16"/>
      <c r="AB707" s="17"/>
      <c r="AC707" s="17"/>
      <c r="AD707" s="18"/>
      <c r="AE707" s="34"/>
      <c r="AF707" s="34"/>
      <c r="AG707" s="34"/>
      <c r="AH707" s="34"/>
      <c r="AI707" s="34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30"/>
      <c r="AU707" s="18"/>
      <c r="AV707" s="18"/>
      <c r="AW707" s="18"/>
      <c r="AX707" s="18"/>
    </row>
    <row r="708" spans="1:50" x14ac:dyDescent="0.2">
      <c r="AA708" s="16"/>
      <c r="AB708" s="29" t="s">
        <v>620</v>
      </c>
      <c r="AC708" s="17"/>
      <c r="AD708" s="18"/>
      <c r="AE708" s="34"/>
      <c r="AF708" s="34"/>
      <c r="AG708" s="34"/>
      <c r="AH708" s="34"/>
      <c r="AI708" s="34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30"/>
      <c r="AU708" s="18"/>
      <c r="AV708" s="18"/>
      <c r="AW708" s="18"/>
      <c r="AX708" s="18"/>
    </row>
    <row r="709" spans="1:50" ht="25.5" x14ac:dyDescent="0.2">
      <c r="AA709" s="16"/>
      <c r="AB709" s="29" t="s">
        <v>621</v>
      </c>
      <c r="AC709" s="17"/>
      <c r="AD709" s="18"/>
      <c r="AE709" s="34"/>
      <c r="AF709" s="34"/>
      <c r="AG709" s="34"/>
      <c r="AH709" s="34"/>
      <c r="AI709" s="34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30"/>
      <c r="AU709" s="18"/>
      <c r="AV709" s="18"/>
      <c r="AW709" s="18"/>
      <c r="AX709" s="18"/>
    </row>
    <row r="710" spans="1:50" ht="25.5" x14ac:dyDescent="0.2">
      <c r="AA710" s="28" t="s">
        <v>288</v>
      </c>
      <c r="AB710" s="29" t="s">
        <v>616</v>
      </c>
      <c r="AC710" s="17"/>
      <c r="AD710" s="18"/>
      <c r="AE710" s="34"/>
      <c r="AF710" s="34"/>
      <c r="AG710" s="34"/>
      <c r="AH710" s="34"/>
      <c r="AI710" s="34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30"/>
      <c r="AU710" s="18"/>
      <c r="AV710" s="18"/>
      <c r="AW710" s="18"/>
      <c r="AX710" s="18"/>
    </row>
    <row r="711" spans="1:50" x14ac:dyDescent="0.2">
      <c r="A711" s="4" t="s">
        <v>55</v>
      </c>
      <c r="B711" s="4" t="s">
        <v>56</v>
      </c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1" t="s">
        <v>622</v>
      </c>
      <c r="AB711" s="42" t="s">
        <v>618</v>
      </c>
      <c r="AC711" s="43" t="s">
        <v>619</v>
      </c>
      <c r="AD711" s="43">
        <v>162000000</v>
      </c>
      <c r="AE711" s="44">
        <v>0</v>
      </c>
      <c r="AF711" s="44">
        <v>0</v>
      </c>
      <c r="AG711" s="43">
        <f>24729623+163270377</f>
        <v>188000000</v>
      </c>
      <c r="AH711" s="44">
        <v>0</v>
      </c>
      <c r="AI711" s="43">
        <f>AE711-AF711+AG711-AH711</f>
        <v>188000000</v>
      </c>
      <c r="AJ711" s="43">
        <f>AD711+AI711</f>
        <v>350000000</v>
      </c>
      <c r="AK711" s="43">
        <v>0</v>
      </c>
      <c r="AL711" s="43">
        <f>AM711-FEBRERO!P690</f>
        <v>347157800</v>
      </c>
      <c r="AM711" s="43">
        <v>347157800</v>
      </c>
      <c r="AN711" s="43">
        <v>0</v>
      </c>
      <c r="AO711" s="43">
        <v>0</v>
      </c>
      <c r="AP711" s="43">
        <v>0</v>
      </c>
      <c r="AQ711" s="43">
        <v>0</v>
      </c>
      <c r="AR711" s="43">
        <v>0</v>
      </c>
      <c r="AS711" s="43">
        <v>0</v>
      </c>
      <c r="AT711" s="40">
        <f t="shared" ref="AT711" si="906">AQ711+AS711</f>
        <v>0</v>
      </c>
      <c r="AU711" s="18">
        <f t="shared" ref="AU711" si="907">AJ711-AM711</f>
        <v>2842200</v>
      </c>
      <c r="AV711" s="133">
        <f t="shared" ref="AV711" si="908">AM711-AP711</f>
        <v>347157800</v>
      </c>
      <c r="AW711" s="34">
        <f t="shared" ref="AW711" si="909">AP711-AT711</f>
        <v>0</v>
      </c>
      <c r="AX711" s="123">
        <f t="shared" ref="AX711" si="910">AP711/AJ711</f>
        <v>0</v>
      </c>
    </row>
    <row r="712" spans="1:50" x14ac:dyDescent="0.2">
      <c r="AA712" s="16"/>
      <c r="AB712" s="17"/>
      <c r="AC712" s="17"/>
      <c r="AD712" s="18"/>
      <c r="AE712" s="34"/>
      <c r="AF712" s="34"/>
      <c r="AG712" s="34"/>
      <c r="AH712" s="34"/>
      <c r="AI712" s="34"/>
      <c r="AJ712" s="18"/>
      <c r="AK712" s="34"/>
      <c r="AL712" s="34"/>
      <c r="AM712" s="34"/>
      <c r="AN712" s="34"/>
      <c r="AO712" s="34"/>
      <c r="AP712" s="34"/>
      <c r="AQ712" s="34"/>
      <c r="AR712" s="34"/>
      <c r="AS712" s="34"/>
      <c r="AT712" s="31"/>
      <c r="AU712" s="18"/>
      <c r="AV712" s="18"/>
      <c r="AW712" s="18"/>
      <c r="AX712" s="18"/>
    </row>
    <row r="713" spans="1:50" x14ac:dyDescent="0.2">
      <c r="AA713" s="16"/>
      <c r="AB713" s="29" t="s">
        <v>623</v>
      </c>
      <c r="AC713" s="17"/>
      <c r="AD713" s="18"/>
      <c r="AE713" s="34"/>
      <c r="AF713" s="34"/>
      <c r="AG713" s="34"/>
      <c r="AH713" s="34"/>
      <c r="AI713" s="34"/>
      <c r="AJ713" s="18"/>
      <c r="AK713" s="34"/>
      <c r="AL713" s="34"/>
      <c r="AM713" s="34"/>
      <c r="AN713" s="34"/>
      <c r="AO713" s="34"/>
      <c r="AP713" s="34"/>
      <c r="AQ713" s="34"/>
      <c r="AR713" s="34"/>
      <c r="AS713" s="34"/>
      <c r="AT713" s="31"/>
      <c r="AU713" s="18"/>
      <c r="AV713" s="18"/>
      <c r="AW713" s="18"/>
      <c r="AX713" s="18"/>
    </row>
    <row r="714" spans="1:50" ht="25.5" x14ac:dyDescent="0.2">
      <c r="AA714" s="16"/>
      <c r="AB714" s="29" t="s">
        <v>624</v>
      </c>
      <c r="AC714" s="17"/>
      <c r="AD714" s="18"/>
      <c r="AE714" s="34"/>
      <c r="AF714" s="34"/>
      <c r="AG714" s="34"/>
      <c r="AH714" s="34"/>
      <c r="AI714" s="34"/>
      <c r="AJ714" s="18"/>
      <c r="AK714" s="34"/>
      <c r="AL714" s="34"/>
      <c r="AM714" s="34"/>
      <c r="AN714" s="34"/>
      <c r="AO714" s="34"/>
      <c r="AP714" s="34"/>
      <c r="AQ714" s="34"/>
      <c r="AR714" s="34"/>
      <c r="AS714" s="34"/>
      <c r="AT714" s="31"/>
      <c r="AU714" s="18"/>
      <c r="AV714" s="18"/>
      <c r="AW714" s="18"/>
      <c r="AX714" s="18"/>
    </row>
    <row r="715" spans="1:50" ht="25.5" x14ac:dyDescent="0.2">
      <c r="AA715" s="28" t="s">
        <v>288</v>
      </c>
      <c r="AB715" s="29" t="s">
        <v>616</v>
      </c>
      <c r="AC715" s="17"/>
      <c r="AD715" s="18"/>
      <c r="AE715" s="34"/>
      <c r="AF715" s="34"/>
      <c r="AG715" s="34"/>
      <c r="AH715" s="34"/>
      <c r="AI715" s="34"/>
      <c r="AJ715" s="18"/>
      <c r="AK715" s="34"/>
      <c r="AL715" s="34"/>
      <c r="AM715" s="34"/>
      <c r="AN715" s="34"/>
      <c r="AO715" s="34"/>
      <c r="AP715" s="34"/>
      <c r="AQ715" s="34"/>
      <c r="AR715" s="34"/>
      <c r="AS715" s="34"/>
      <c r="AT715" s="31"/>
      <c r="AU715" s="18"/>
      <c r="AV715" s="18"/>
      <c r="AW715" s="18"/>
      <c r="AX715" s="18"/>
    </row>
    <row r="716" spans="1:50" x14ac:dyDescent="0.2">
      <c r="A716" s="4" t="s">
        <v>55</v>
      </c>
      <c r="B716" s="4" t="s">
        <v>56</v>
      </c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1" t="s">
        <v>625</v>
      </c>
      <c r="AB716" s="42" t="s">
        <v>618</v>
      </c>
      <c r="AC716" s="43" t="s">
        <v>619</v>
      </c>
      <c r="AD716" s="43">
        <v>163270377</v>
      </c>
      <c r="AE716" s="44">
        <v>0</v>
      </c>
      <c r="AF716" s="44">
        <v>0</v>
      </c>
      <c r="AG716" s="44">
        <v>0</v>
      </c>
      <c r="AH716" s="43">
        <v>163270377</v>
      </c>
      <c r="AI716" s="43">
        <f>AE716-AF716+AG716-AH716</f>
        <v>-163270377</v>
      </c>
      <c r="AJ716" s="44">
        <f>AD716+AI716</f>
        <v>0</v>
      </c>
      <c r="AK716" s="44">
        <v>0</v>
      </c>
      <c r="AL716" s="44">
        <v>0</v>
      </c>
      <c r="AM716" s="44">
        <v>0</v>
      </c>
      <c r="AN716" s="44">
        <v>0</v>
      </c>
      <c r="AO716" s="44">
        <v>0</v>
      </c>
      <c r="AP716" s="44">
        <v>0</v>
      </c>
      <c r="AQ716" s="44">
        <v>0</v>
      </c>
      <c r="AR716" s="44">
        <v>0</v>
      </c>
      <c r="AS716" s="44">
        <v>0</v>
      </c>
      <c r="AT716" s="40">
        <f t="shared" ref="AT716" si="911">AQ716+AS716</f>
        <v>0</v>
      </c>
      <c r="AU716" s="34">
        <f t="shared" ref="AU716" si="912">AJ716-AM716</f>
        <v>0</v>
      </c>
      <c r="AV716" s="133">
        <f t="shared" ref="AV716" si="913">AM716-AP716</f>
        <v>0</v>
      </c>
      <c r="AW716" s="34">
        <f t="shared" ref="AW716" si="914">AP716-AT716</f>
        <v>0</v>
      </c>
      <c r="AX716" s="123">
        <v>0</v>
      </c>
    </row>
    <row r="717" spans="1:50" x14ac:dyDescent="0.2">
      <c r="AA717" s="16"/>
      <c r="AB717" s="17"/>
      <c r="AC717" s="17"/>
      <c r="AD717" s="18"/>
      <c r="AE717" s="18"/>
      <c r="AF717" s="18"/>
      <c r="AG717" s="18"/>
      <c r="AH717" s="18"/>
      <c r="AI717" s="18"/>
      <c r="AJ717" s="18"/>
      <c r="AK717" s="34"/>
      <c r="AL717" s="34"/>
      <c r="AM717" s="34"/>
      <c r="AN717" s="34"/>
      <c r="AO717" s="34"/>
      <c r="AP717" s="34"/>
      <c r="AQ717" s="18"/>
      <c r="AR717" s="18"/>
      <c r="AS717" s="18"/>
      <c r="AT717" s="30"/>
      <c r="AU717" s="18"/>
      <c r="AV717" s="18"/>
      <c r="AW717" s="18"/>
      <c r="AX717" s="18"/>
    </row>
    <row r="718" spans="1:50" ht="25.5" x14ac:dyDescent="0.2">
      <c r="AA718" s="16"/>
      <c r="AB718" s="29" t="s">
        <v>626</v>
      </c>
      <c r="AC718" s="17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30"/>
      <c r="AU718" s="18"/>
      <c r="AV718" s="18"/>
      <c r="AW718" s="18"/>
      <c r="AX718" s="18"/>
    </row>
    <row r="719" spans="1:50" ht="25.5" x14ac:dyDescent="0.2">
      <c r="AA719" s="16"/>
      <c r="AB719" s="29" t="s">
        <v>627</v>
      </c>
      <c r="AC719" s="17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30"/>
      <c r="AU719" s="18"/>
      <c r="AV719" s="18"/>
      <c r="AW719" s="18"/>
      <c r="AX719" s="18"/>
    </row>
    <row r="720" spans="1:50" x14ac:dyDescent="0.2">
      <c r="AA720" s="16"/>
      <c r="AB720" s="29" t="s">
        <v>628</v>
      </c>
      <c r="AC720" s="17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30"/>
      <c r="AU720" s="18"/>
      <c r="AV720" s="18"/>
      <c r="AW720" s="18"/>
      <c r="AX720" s="18"/>
    </row>
    <row r="721" spans="1:50" x14ac:dyDescent="0.2">
      <c r="AA721" s="16"/>
      <c r="AB721" s="29" t="s">
        <v>629</v>
      </c>
      <c r="AC721" s="17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30"/>
      <c r="AU721" s="18"/>
      <c r="AV721" s="18"/>
      <c r="AW721" s="18"/>
      <c r="AX721" s="18"/>
    </row>
    <row r="722" spans="1:50" ht="25.5" x14ac:dyDescent="0.2">
      <c r="AA722" s="28" t="s">
        <v>288</v>
      </c>
      <c r="AB722" s="29" t="s">
        <v>616</v>
      </c>
      <c r="AC722" s="17"/>
      <c r="AD722" s="18"/>
      <c r="AE722" s="34"/>
      <c r="AF722" s="34"/>
      <c r="AG722" s="34"/>
      <c r="AH722" s="34"/>
      <c r="AI722" s="34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30"/>
      <c r="AU722" s="18"/>
      <c r="AV722" s="18"/>
      <c r="AW722" s="18"/>
      <c r="AX722" s="18"/>
    </row>
    <row r="723" spans="1:50" x14ac:dyDescent="0.2">
      <c r="A723" s="4" t="s">
        <v>55</v>
      </c>
      <c r="B723" s="4" t="s">
        <v>56</v>
      </c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1" t="s">
        <v>630</v>
      </c>
      <c r="AB723" s="42" t="s">
        <v>618</v>
      </c>
      <c r="AC723" s="43" t="s">
        <v>619</v>
      </c>
      <c r="AD723" s="43">
        <v>100000000</v>
      </c>
      <c r="AE723" s="44">
        <v>0</v>
      </c>
      <c r="AF723" s="44">
        <v>0</v>
      </c>
      <c r="AG723" s="44">
        <v>0</v>
      </c>
      <c r="AH723" s="43">
        <v>74931884</v>
      </c>
      <c r="AI723" s="43">
        <f>AE723-AF723+AG723-AH723</f>
        <v>-74931884</v>
      </c>
      <c r="AJ723" s="43">
        <f>AD723+AI723</f>
        <v>25068116</v>
      </c>
      <c r="AK723" s="44">
        <v>0</v>
      </c>
      <c r="AL723" s="43">
        <f>AM723-FEBRERO!P702</f>
        <v>-770401</v>
      </c>
      <c r="AM723" s="43">
        <v>9627100</v>
      </c>
      <c r="AN723" s="43">
        <v>0</v>
      </c>
      <c r="AO723" s="43">
        <v>9627100</v>
      </c>
      <c r="AP723" s="44">
        <v>9627100</v>
      </c>
      <c r="AQ723" s="44">
        <v>0</v>
      </c>
      <c r="AR723" s="44">
        <v>0</v>
      </c>
      <c r="AS723" s="44">
        <v>0</v>
      </c>
      <c r="AT723" s="40">
        <f t="shared" ref="AT723" si="915">AQ723+AS723</f>
        <v>0</v>
      </c>
      <c r="AU723" s="18">
        <f t="shared" ref="AU723" si="916">AJ723-AM723</f>
        <v>15441016</v>
      </c>
      <c r="AV723" s="110">
        <f t="shared" ref="AV723" si="917">AM723-AP723</f>
        <v>0</v>
      </c>
      <c r="AW723" s="18">
        <f t="shared" ref="AW723" si="918">AP723-AT723</f>
        <v>9627100</v>
      </c>
      <c r="AX723" s="123">
        <f t="shared" ref="AX723" si="919">AP723/AJ723</f>
        <v>0.38403763569627652</v>
      </c>
    </row>
    <row r="724" spans="1:50" x14ac:dyDescent="0.2">
      <c r="AA724" s="16"/>
      <c r="AB724" s="17"/>
      <c r="AC724" s="17"/>
      <c r="AD724" s="18"/>
      <c r="AE724" s="34"/>
      <c r="AF724" s="34"/>
      <c r="AG724" s="34"/>
      <c r="AH724" s="34"/>
      <c r="AI724" s="34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30"/>
      <c r="AU724" s="18"/>
      <c r="AV724" s="18"/>
      <c r="AW724" s="18"/>
      <c r="AX724" s="18"/>
    </row>
    <row r="725" spans="1:50" x14ac:dyDescent="0.2">
      <c r="AA725" s="16"/>
      <c r="AB725" s="29" t="s">
        <v>631</v>
      </c>
      <c r="AC725" s="17"/>
      <c r="AD725" s="18"/>
      <c r="AE725" s="34"/>
      <c r="AF725" s="34"/>
      <c r="AG725" s="34"/>
      <c r="AH725" s="34"/>
      <c r="AI725" s="34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30"/>
      <c r="AU725" s="18"/>
      <c r="AV725" s="18"/>
      <c r="AW725" s="18"/>
      <c r="AX725" s="18"/>
    </row>
    <row r="726" spans="1:50" x14ac:dyDescent="0.2">
      <c r="AA726" s="16"/>
      <c r="AB726" s="29" t="s">
        <v>632</v>
      </c>
      <c r="AC726" s="17"/>
      <c r="AD726" s="18"/>
      <c r="AE726" s="34"/>
      <c r="AF726" s="34"/>
      <c r="AG726" s="34"/>
      <c r="AH726" s="34"/>
      <c r="AI726" s="34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30"/>
      <c r="AU726" s="18"/>
      <c r="AV726" s="18"/>
      <c r="AW726" s="18"/>
      <c r="AX726" s="18"/>
    </row>
    <row r="727" spans="1:50" x14ac:dyDescent="0.2">
      <c r="AA727" s="16"/>
      <c r="AB727" s="29" t="s">
        <v>633</v>
      </c>
      <c r="AC727" s="17"/>
      <c r="AD727" s="18"/>
      <c r="AE727" s="34"/>
      <c r="AF727" s="34"/>
      <c r="AG727" s="34"/>
      <c r="AH727" s="34"/>
      <c r="AI727" s="34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30"/>
      <c r="AU727" s="18"/>
      <c r="AV727" s="18"/>
      <c r="AW727" s="18"/>
      <c r="AX727" s="18"/>
    </row>
    <row r="728" spans="1:50" x14ac:dyDescent="0.2">
      <c r="AA728" s="16"/>
      <c r="AB728" s="29" t="s">
        <v>634</v>
      </c>
      <c r="AC728" s="17"/>
      <c r="AD728" s="18"/>
      <c r="AE728" s="34"/>
      <c r="AF728" s="34"/>
      <c r="AG728" s="34"/>
      <c r="AH728" s="34"/>
      <c r="AI728" s="34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30"/>
      <c r="AU728" s="18"/>
      <c r="AV728" s="18"/>
      <c r="AW728" s="18"/>
      <c r="AX728" s="18"/>
    </row>
    <row r="729" spans="1:50" x14ac:dyDescent="0.2">
      <c r="AA729" s="16"/>
      <c r="AB729" s="29" t="s">
        <v>635</v>
      </c>
      <c r="AC729" s="17"/>
      <c r="AD729" s="18"/>
      <c r="AE729" s="34"/>
      <c r="AF729" s="34"/>
      <c r="AG729" s="34"/>
      <c r="AH729" s="34"/>
      <c r="AI729" s="34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30"/>
      <c r="AU729" s="18"/>
      <c r="AV729" s="18"/>
      <c r="AW729" s="18"/>
      <c r="AX729" s="18"/>
    </row>
    <row r="730" spans="1:50" ht="25.5" x14ac:dyDescent="0.2">
      <c r="AA730" s="28" t="s">
        <v>288</v>
      </c>
      <c r="AB730" s="29" t="s">
        <v>616</v>
      </c>
      <c r="AC730" s="17"/>
      <c r="AD730" s="18"/>
      <c r="AE730" s="34"/>
      <c r="AF730" s="34"/>
      <c r="AG730" s="34"/>
      <c r="AH730" s="34"/>
      <c r="AI730" s="34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30"/>
      <c r="AU730" s="18"/>
      <c r="AV730" s="18"/>
      <c r="AW730" s="18"/>
      <c r="AX730" s="18"/>
    </row>
    <row r="731" spans="1:50" ht="18.75" customHeight="1" x14ac:dyDescent="0.2">
      <c r="A731" s="4" t="s">
        <v>55</v>
      </c>
      <c r="B731" s="4" t="s">
        <v>56</v>
      </c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1" t="s">
        <v>636</v>
      </c>
      <c r="AB731" s="42" t="s">
        <v>618</v>
      </c>
      <c r="AC731" s="43" t="s">
        <v>619</v>
      </c>
      <c r="AD731" s="43">
        <v>80000000</v>
      </c>
      <c r="AE731" s="44">
        <v>0</v>
      </c>
      <c r="AF731" s="44">
        <v>0</v>
      </c>
      <c r="AG731" s="44">
        <v>0</v>
      </c>
      <c r="AH731" s="44">
        <v>0</v>
      </c>
      <c r="AI731" s="44">
        <v>0</v>
      </c>
      <c r="AJ731" s="43">
        <v>80000000</v>
      </c>
      <c r="AK731" s="44">
        <v>0</v>
      </c>
      <c r="AL731" s="44">
        <v>0</v>
      </c>
      <c r="AM731" s="44">
        <v>0</v>
      </c>
      <c r="AN731" s="44">
        <v>0</v>
      </c>
      <c r="AO731" s="44">
        <v>0</v>
      </c>
      <c r="AP731" s="44">
        <v>0</v>
      </c>
      <c r="AQ731" s="44">
        <v>0</v>
      </c>
      <c r="AR731" s="44">
        <v>0</v>
      </c>
      <c r="AS731" s="44">
        <v>0</v>
      </c>
      <c r="AT731" s="40">
        <f t="shared" ref="AT731" si="920">AQ731+AS731</f>
        <v>0</v>
      </c>
      <c r="AU731" s="18">
        <f t="shared" ref="AU731" si="921">AJ731-AM731</f>
        <v>80000000</v>
      </c>
      <c r="AV731" s="133">
        <f t="shared" ref="AV731" si="922">AM731-AP731</f>
        <v>0</v>
      </c>
      <c r="AW731" s="34">
        <f t="shared" ref="AW731" si="923">AP731-AT731</f>
        <v>0</v>
      </c>
      <c r="AX731" s="123">
        <f t="shared" ref="AX731" si="924">AP731/AJ731</f>
        <v>0</v>
      </c>
    </row>
    <row r="732" spans="1:50" ht="18.75" customHeight="1" x14ac:dyDescent="0.2">
      <c r="AA732" s="16"/>
      <c r="AB732" s="17"/>
      <c r="AC732" s="17"/>
      <c r="AD732" s="18"/>
      <c r="AE732" s="34"/>
      <c r="AF732" s="34"/>
      <c r="AG732" s="34"/>
      <c r="AH732" s="34"/>
      <c r="AI732" s="34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30"/>
      <c r="AU732" s="18"/>
      <c r="AV732" s="18"/>
      <c r="AW732" s="18"/>
      <c r="AX732" s="18"/>
    </row>
    <row r="733" spans="1:50" ht="18.75" customHeight="1" x14ac:dyDescent="0.2">
      <c r="AA733" s="16"/>
      <c r="AB733" s="29" t="s">
        <v>179</v>
      </c>
      <c r="AC733" s="17"/>
      <c r="AD733" s="18"/>
      <c r="AE733" s="34"/>
      <c r="AF733" s="34"/>
      <c r="AG733" s="34"/>
      <c r="AH733" s="34"/>
      <c r="AI733" s="34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30"/>
      <c r="AU733" s="18"/>
      <c r="AV733" s="18"/>
      <c r="AW733" s="18"/>
      <c r="AX733" s="18"/>
    </row>
    <row r="734" spans="1:50" ht="18.75" customHeight="1" x14ac:dyDescent="0.2">
      <c r="AA734" s="16"/>
      <c r="AB734" s="29" t="s">
        <v>181</v>
      </c>
      <c r="AC734" s="17"/>
      <c r="AD734" s="18"/>
      <c r="AE734" s="34"/>
      <c r="AF734" s="34"/>
      <c r="AG734" s="34"/>
      <c r="AH734" s="34"/>
      <c r="AI734" s="34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30"/>
      <c r="AU734" s="18"/>
      <c r="AV734" s="18"/>
      <c r="AW734" s="18"/>
      <c r="AX734" s="18"/>
    </row>
    <row r="735" spans="1:50" ht="25.5" x14ac:dyDescent="0.2">
      <c r="AA735" s="16"/>
      <c r="AB735" s="29" t="s">
        <v>637</v>
      </c>
      <c r="AC735" s="17"/>
      <c r="AD735" s="18"/>
      <c r="AE735" s="34"/>
      <c r="AF735" s="34"/>
      <c r="AG735" s="34"/>
      <c r="AH735" s="34"/>
      <c r="AI735" s="34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30"/>
      <c r="AU735" s="18"/>
      <c r="AV735" s="18"/>
      <c r="AW735" s="18"/>
      <c r="AX735" s="18"/>
    </row>
    <row r="736" spans="1:50" ht="18.75" customHeight="1" x14ac:dyDescent="0.2">
      <c r="AA736" s="28" t="s">
        <v>288</v>
      </c>
      <c r="AB736" s="29" t="s">
        <v>638</v>
      </c>
      <c r="AC736" s="17"/>
      <c r="AD736" s="18"/>
      <c r="AE736" s="34"/>
      <c r="AF736" s="34"/>
      <c r="AG736" s="34"/>
      <c r="AH736" s="34"/>
      <c r="AI736" s="34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30"/>
      <c r="AU736" s="18"/>
      <c r="AV736" s="18"/>
      <c r="AW736" s="18"/>
      <c r="AX736" s="18"/>
    </row>
    <row r="737" spans="1:50" ht="25.5" x14ac:dyDescent="0.2">
      <c r="AA737" s="28" t="s">
        <v>288</v>
      </c>
      <c r="AB737" s="29" t="s">
        <v>616</v>
      </c>
      <c r="AC737" s="17"/>
      <c r="AD737" s="18"/>
      <c r="AE737" s="34"/>
      <c r="AF737" s="34"/>
      <c r="AG737" s="34"/>
      <c r="AH737" s="34"/>
      <c r="AI737" s="34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30"/>
      <c r="AU737" s="18"/>
      <c r="AV737" s="18"/>
      <c r="AW737" s="18"/>
      <c r="AX737" s="18"/>
    </row>
    <row r="738" spans="1:50" x14ac:dyDescent="0.2">
      <c r="A738" s="4" t="s">
        <v>55</v>
      </c>
      <c r="B738" s="4" t="s">
        <v>56</v>
      </c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1" t="s">
        <v>639</v>
      </c>
      <c r="AB738" s="42" t="s">
        <v>618</v>
      </c>
      <c r="AC738" s="43" t="s">
        <v>619</v>
      </c>
      <c r="AD738" s="43">
        <v>1601743650</v>
      </c>
      <c r="AE738" s="44">
        <v>0</v>
      </c>
      <c r="AF738" s="44">
        <v>0</v>
      </c>
      <c r="AG738" s="44">
        <v>0</v>
      </c>
      <c r="AH738" s="43">
        <v>794729623</v>
      </c>
      <c r="AI738" s="43">
        <f>AE738-AF738+AG738-AH738</f>
        <v>-794729623</v>
      </c>
      <c r="AJ738" s="43">
        <f>AD738+AI738</f>
        <v>807014027</v>
      </c>
      <c r="AK738" s="44">
        <v>0</v>
      </c>
      <c r="AL738" s="44">
        <v>0</v>
      </c>
      <c r="AM738" s="44">
        <v>0</v>
      </c>
      <c r="AN738" s="44">
        <v>0</v>
      </c>
      <c r="AO738" s="44">
        <v>0</v>
      </c>
      <c r="AP738" s="44">
        <v>0</v>
      </c>
      <c r="AQ738" s="44">
        <v>0</v>
      </c>
      <c r="AR738" s="44">
        <v>0</v>
      </c>
      <c r="AS738" s="44">
        <v>0</v>
      </c>
      <c r="AT738" s="40">
        <f t="shared" ref="AT738:AT739" si="925">AQ738+AS738</f>
        <v>0</v>
      </c>
      <c r="AU738" s="18">
        <f t="shared" ref="AU738:AU739" si="926">AJ738-AM738</f>
        <v>807014027</v>
      </c>
      <c r="AV738" s="133">
        <f t="shared" ref="AV738:AV739" si="927">AM738-AP738</f>
        <v>0</v>
      </c>
      <c r="AW738" s="34">
        <f t="shared" ref="AW738:AW739" si="928">AP738-AT738</f>
        <v>0</v>
      </c>
      <c r="AX738" s="123">
        <f t="shared" ref="AX738:AX739" si="929">AP738/AJ738</f>
        <v>0</v>
      </c>
    </row>
    <row r="739" spans="1:50" ht="23.25" customHeight="1" x14ac:dyDescent="0.2">
      <c r="A739" s="4" t="s">
        <v>55</v>
      </c>
      <c r="B739" s="4" t="s">
        <v>56</v>
      </c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1" t="s">
        <v>640</v>
      </c>
      <c r="AB739" s="42" t="s">
        <v>641</v>
      </c>
      <c r="AC739" s="43" t="s">
        <v>642</v>
      </c>
      <c r="AD739" s="43">
        <v>20790000</v>
      </c>
      <c r="AE739" s="44">
        <v>0</v>
      </c>
      <c r="AF739" s="44">
        <v>0</v>
      </c>
      <c r="AG739" s="44">
        <v>0</v>
      </c>
      <c r="AH739" s="44">
        <v>0</v>
      </c>
      <c r="AI739" s="44">
        <v>0</v>
      </c>
      <c r="AJ739" s="43">
        <v>20790000</v>
      </c>
      <c r="AK739" s="44">
        <v>0</v>
      </c>
      <c r="AL739" s="44">
        <v>0</v>
      </c>
      <c r="AM739" s="44">
        <v>0</v>
      </c>
      <c r="AN739" s="44">
        <v>0</v>
      </c>
      <c r="AO739" s="44">
        <v>0</v>
      </c>
      <c r="AP739" s="44">
        <v>0</v>
      </c>
      <c r="AQ739" s="44">
        <v>0</v>
      </c>
      <c r="AR739" s="44">
        <v>0</v>
      </c>
      <c r="AS739" s="44">
        <v>0</v>
      </c>
      <c r="AT739" s="40">
        <f t="shared" si="925"/>
        <v>0</v>
      </c>
      <c r="AU739" s="18">
        <f t="shared" si="926"/>
        <v>20790000</v>
      </c>
      <c r="AV739" s="133">
        <f t="shared" si="927"/>
        <v>0</v>
      </c>
      <c r="AW739" s="34">
        <f t="shared" si="928"/>
        <v>0</v>
      </c>
      <c r="AX739" s="123">
        <f t="shared" si="929"/>
        <v>0</v>
      </c>
    </row>
    <row r="740" spans="1:50" ht="18.75" customHeight="1" x14ac:dyDescent="0.2">
      <c r="AA740" s="16"/>
      <c r="AB740" s="17"/>
      <c r="AC740" s="17"/>
      <c r="AD740" s="18"/>
      <c r="AE740" s="34"/>
      <c r="AF740" s="34"/>
      <c r="AG740" s="34"/>
      <c r="AH740" s="34"/>
      <c r="AI740" s="34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30"/>
      <c r="AU740" s="18"/>
      <c r="AV740" s="18"/>
      <c r="AW740" s="18"/>
      <c r="AX740" s="18"/>
    </row>
    <row r="741" spans="1:50" ht="26.25" customHeight="1" x14ac:dyDescent="0.2">
      <c r="AA741" s="16"/>
      <c r="AB741" s="29" t="s">
        <v>197</v>
      </c>
      <c r="AC741" s="17"/>
      <c r="AD741" s="18"/>
      <c r="AE741" s="34"/>
      <c r="AF741" s="34"/>
      <c r="AG741" s="34"/>
      <c r="AH741" s="34"/>
      <c r="AI741" s="34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30"/>
      <c r="AU741" s="18"/>
      <c r="AV741" s="18"/>
      <c r="AW741" s="18"/>
      <c r="AX741" s="18"/>
    </row>
    <row r="742" spans="1:50" ht="26.25" customHeight="1" x14ac:dyDescent="0.2">
      <c r="AA742" s="28" t="s">
        <v>288</v>
      </c>
      <c r="AB742" s="29" t="s">
        <v>643</v>
      </c>
      <c r="AC742" s="17"/>
      <c r="AD742" s="18"/>
      <c r="AE742" s="34"/>
      <c r="AF742" s="34"/>
      <c r="AG742" s="34"/>
      <c r="AH742" s="34"/>
      <c r="AI742" s="34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30"/>
      <c r="AU742" s="18"/>
      <c r="AV742" s="18"/>
      <c r="AW742" s="18"/>
      <c r="AX742" s="18"/>
    </row>
    <row r="743" spans="1:50" x14ac:dyDescent="0.2">
      <c r="A743" s="4" t="s">
        <v>55</v>
      </c>
      <c r="B743" s="4" t="s">
        <v>56</v>
      </c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1" t="s">
        <v>644</v>
      </c>
      <c r="AB743" s="42" t="s">
        <v>618</v>
      </c>
      <c r="AC743" s="43" t="s">
        <v>619</v>
      </c>
      <c r="AD743" s="43">
        <v>530000000</v>
      </c>
      <c r="AE743" s="44">
        <v>0</v>
      </c>
      <c r="AF743" s="44">
        <v>0</v>
      </c>
      <c r="AG743" s="44">
        <v>0</v>
      </c>
      <c r="AH743" s="44">
        <v>0</v>
      </c>
      <c r="AI743" s="44">
        <v>0</v>
      </c>
      <c r="AJ743" s="43">
        <v>530000000</v>
      </c>
      <c r="AK743" s="44">
        <v>0</v>
      </c>
      <c r="AL743" s="43">
        <f>AM743-FEBRERO!P722</f>
        <v>-28000000</v>
      </c>
      <c r="AM743" s="43">
        <v>465600000</v>
      </c>
      <c r="AN743" s="43">
        <v>0</v>
      </c>
      <c r="AO743" s="43">
        <v>0</v>
      </c>
      <c r="AP743" s="43">
        <v>465600000</v>
      </c>
      <c r="AQ743" s="114">
        <v>56533333</v>
      </c>
      <c r="AR743" s="114">
        <v>47866666</v>
      </c>
      <c r="AS743" s="114">
        <v>63143330</v>
      </c>
      <c r="AT743" s="111">
        <f t="shared" ref="AT743" si="930">AQ743+AS743</f>
        <v>119676663</v>
      </c>
      <c r="AU743" s="18">
        <f t="shared" ref="AU743" si="931">AJ743-AM743</f>
        <v>64400000</v>
      </c>
      <c r="AV743" s="110">
        <f t="shared" ref="AV743" si="932">AM743-AP743</f>
        <v>0</v>
      </c>
      <c r="AW743" s="18">
        <f t="shared" ref="AW743" si="933">AP743-AT743</f>
        <v>345923337</v>
      </c>
      <c r="AX743" s="123">
        <f t="shared" ref="AX743" si="934">AP743/AJ743</f>
        <v>0.8784905660377359</v>
      </c>
    </row>
    <row r="744" spans="1:50" ht="25.5" x14ac:dyDescent="0.2">
      <c r="AA744" s="28" t="s">
        <v>288</v>
      </c>
      <c r="AB744" s="29" t="s">
        <v>616</v>
      </c>
      <c r="AC744" s="17"/>
      <c r="AD744" s="18"/>
      <c r="AE744" s="34"/>
      <c r="AF744" s="34"/>
      <c r="AG744" s="34"/>
      <c r="AH744" s="34"/>
      <c r="AI744" s="34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30"/>
      <c r="AU744" s="18"/>
      <c r="AV744" s="18"/>
      <c r="AW744" s="18"/>
      <c r="AX744" s="18"/>
    </row>
    <row r="745" spans="1:50" x14ac:dyDescent="0.2">
      <c r="A745" s="4" t="s">
        <v>55</v>
      </c>
      <c r="B745" s="4" t="s">
        <v>56</v>
      </c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1" t="s">
        <v>645</v>
      </c>
      <c r="AB745" s="42" t="s">
        <v>618</v>
      </c>
      <c r="AC745" s="43" t="s">
        <v>619</v>
      </c>
      <c r="AD745" s="43">
        <v>2879425052</v>
      </c>
      <c r="AE745" s="44">
        <v>0</v>
      </c>
      <c r="AF745" s="44">
        <v>0</v>
      </c>
      <c r="AG745" s="44">
        <v>0</v>
      </c>
      <c r="AH745" s="43">
        <v>221572545</v>
      </c>
      <c r="AI745" s="43">
        <f>AE745-AF745+AG745-AH745</f>
        <v>-221572545</v>
      </c>
      <c r="AJ745" s="43">
        <f>AD745+AI745</f>
        <v>2657852507</v>
      </c>
      <c r="AK745" s="43">
        <v>0</v>
      </c>
      <c r="AL745" s="43">
        <f>AM745-FEBRERO!P724</f>
        <v>-222721042.38</v>
      </c>
      <c r="AM745" s="114">
        <v>976278913.62</v>
      </c>
      <c r="AN745" s="114">
        <v>0</v>
      </c>
      <c r="AO745" s="43">
        <v>149999956</v>
      </c>
      <c r="AP745" s="43">
        <v>149999956</v>
      </c>
      <c r="AQ745" s="43">
        <v>0</v>
      </c>
      <c r="AR745" s="43">
        <v>0</v>
      </c>
      <c r="AS745" s="44">
        <v>0</v>
      </c>
      <c r="AT745" s="40">
        <f t="shared" ref="AT745:AT747" si="935">AQ745+AS745</f>
        <v>0</v>
      </c>
      <c r="AU745" s="18">
        <f t="shared" ref="AU745:AU747" si="936">AJ745-AM745</f>
        <v>1681573593.3800001</v>
      </c>
      <c r="AV745" s="110">
        <f t="shared" ref="AV745:AV747" si="937">AM745-AP745</f>
        <v>826278957.62</v>
      </c>
      <c r="AW745" s="18">
        <f t="shared" ref="AW745:AW747" si="938">AP745-AT745</f>
        <v>149999956</v>
      </c>
      <c r="AX745" s="123">
        <f t="shared" ref="AX745:AX747" si="939">AP745/AJ745</f>
        <v>5.6436523699093286E-2</v>
      </c>
    </row>
    <row r="746" spans="1:50" ht="25.5" x14ac:dyDescent="0.2">
      <c r="A746" s="4" t="s">
        <v>55</v>
      </c>
      <c r="B746" s="4" t="s">
        <v>56</v>
      </c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1" t="s">
        <v>646</v>
      </c>
      <c r="AB746" s="42" t="s">
        <v>647</v>
      </c>
      <c r="AC746" s="43" t="s">
        <v>642</v>
      </c>
      <c r="AD746" s="43">
        <v>404210000</v>
      </c>
      <c r="AE746" s="44">
        <v>0</v>
      </c>
      <c r="AF746" s="44">
        <v>0</v>
      </c>
      <c r="AG746" s="44">
        <v>0</v>
      </c>
      <c r="AH746" s="44">
        <v>0</v>
      </c>
      <c r="AI746" s="44">
        <v>0</v>
      </c>
      <c r="AJ746" s="43">
        <v>404210000</v>
      </c>
      <c r="AK746" s="44">
        <v>0</v>
      </c>
      <c r="AL746" s="43">
        <f>AM746-FEBRERO!P725</f>
        <v>0</v>
      </c>
      <c r="AM746" s="114">
        <v>259200000</v>
      </c>
      <c r="AN746" s="114">
        <v>0</v>
      </c>
      <c r="AO746" s="43">
        <v>140000000</v>
      </c>
      <c r="AP746" s="43">
        <v>259200000</v>
      </c>
      <c r="AQ746" s="43">
        <v>17260000</v>
      </c>
      <c r="AR746" s="43">
        <v>10086666</v>
      </c>
      <c r="AS746" s="43">
        <v>10086666</v>
      </c>
      <c r="AT746" s="39">
        <f t="shared" si="935"/>
        <v>27346666</v>
      </c>
      <c r="AU746" s="18">
        <f t="shared" si="936"/>
        <v>145010000</v>
      </c>
      <c r="AV746" s="110">
        <f t="shared" si="937"/>
        <v>0</v>
      </c>
      <c r="AW746" s="18">
        <f t="shared" si="938"/>
        <v>231853334</v>
      </c>
      <c r="AX746" s="123">
        <f t="shared" si="939"/>
        <v>0.64125083496202473</v>
      </c>
    </row>
    <row r="747" spans="1:50" ht="25.5" x14ac:dyDescent="0.2">
      <c r="A747" s="4" t="s">
        <v>55</v>
      </c>
      <c r="B747" s="4" t="s">
        <v>56</v>
      </c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1" t="s">
        <v>648</v>
      </c>
      <c r="AB747" s="42" t="s">
        <v>649</v>
      </c>
      <c r="AC747" s="43" t="s">
        <v>650</v>
      </c>
      <c r="AD747" s="43">
        <v>425000000</v>
      </c>
      <c r="AE747" s="44">
        <v>0</v>
      </c>
      <c r="AF747" s="44">
        <v>0</v>
      </c>
      <c r="AG747" s="44">
        <v>0</v>
      </c>
      <c r="AH747" s="44">
        <v>0</v>
      </c>
      <c r="AI747" s="44">
        <v>0</v>
      </c>
      <c r="AJ747" s="43">
        <v>425000000</v>
      </c>
      <c r="AK747" s="44">
        <v>0</v>
      </c>
      <c r="AL747" s="43">
        <f>AM747-FEBRERO!P726</f>
        <v>14400000</v>
      </c>
      <c r="AM747" s="114">
        <v>145600000</v>
      </c>
      <c r="AN747" s="114">
        <v>0</v>
      </c>
      <c r="AO747" s="43">
        <v>28800000</v>
      </c>
      <c r="AP747" s="43">
        <v>145600000</v>
      </c>
      <c r="AQ747" s="43">
        <v>15440000</v>
      </c>
      <c r="AR747" s="43">
        <v>10706668</v>
      </c>
      <c r="AS747" s="43">
        <v>10706668</v>
      </c>
      <c r="AT747" s="39">
        <f t="shared" si="935"/>
        <v>26146668</v>
      </c>
      <c r="AU747" s="18">
        <f t="shared" si="936"/>
        <v>279400000</v>
      </c>
      <c r="AV747" s="110">
        <f t="shared" si="937"/>
        <v>0</v>
      </c>
      <c r="AW747" s="18">
        <f t="shared" si="938"/>
        <v>119453332</v>
      </c>
      <c r="AX747" s="123">
        <f t="shared" si="939"/>
        <v>0.34258823529411764</v>
      </c>
    </row>
    <row r="748" spans="1:50" x14ac:dyDescent="0.2">
      <c r="AA748" s="16"/>
      <c r="AB748" s="17"/>
      <c r="AC748" s="17"/>
      <c r="AD748" s="18"/>
      <c r="AE748" s="34"/>
      <c r="AF748" s="34"/>
      <c r="AG748" s="34"/>
      <c r="AH748" s="34"/>
      <c r="AI748" s="34"/>
      <c r="AJ748" s="18"/>
      <c r="AK748" s="34"/>
      <c r="AL748" s="34"/>
      <c r="AM748" s="34"/>
      <c r="AN748" s="34"/>
      <c r="AO748" s="34"/>
      <c r="AP748" s="34"/>
      <c r="AQ748" s="18"/>
      <c r="AR748" s="18"/>
      <c r="AS748" s="18"/>
      <c r="AT748" s="30"/>
      <c r="AU748" s="18"/>
      <c r="AV748" s="18"/>
      <c r="AW748" s="18"/>
      <c r="AX748" s="18"/>
    </row>
    <row r="749" spans="1:50" x14ac:dyDescent="0.2">
      <c r="AA749" s="16"/>
      <c r="AB749" s="29" t="s">
        <v>199</v>
      </c>
      <c r="AC749" s="17"/>
      <c r="AD749" s="18"/>
      <c r="AE749" s="34"/>
      <c r="AF749" s="34"/>
      <c r="AG749" s="34"/>
      <c r="AH749" s="34"/>
      <c r="AI749" s="34"/>
      <c r="AJ749" s="18"/>
      <c r="AK749" s="34"/>
      <c r="AL749" s="34"/>
      <c r="AM749" s="34"/>
      <c r="AN749" s="34"/>
      <c r="AO749" s="34"/>
      <c r="AP749" s="34"/>
      <c r="AQ749" s="18"/>
      <c r="AR749" s="18"/>
      <c r="AS749" s="18"/>
      <c r="AT749" s="30"/>
      <c r="AU749" s="18"/>
      <c r="AV749" s="18"/>
      <c r="AW749" s="18"/>
      <c r="AX749" s="18"/>
    </row>
    <row r="750" spans="1:50" ht="25.5" x14ac:dyDescent="0.2">
      <c r="AA750" s="28" t="s">
        <v>288</v>
      </c>
      <c r="AB750" s="29" t="s">
        <v>616</v>
      </c>
      <c r="AC750" s="17"/>
      <c r="AD750" s="18"/>
      <c r="AE750" s="34"/>
      <c r="AF750" s="34"/>
      <c r="AG750" s="34"/>
      <c r="AH750" s="34"/>
      <c r="AI750" s="34"/>
      <c r="AJ750" s="18"/>
      <c r="AK750" s="34"/>
      <c r="AL750" s="34"/>
      <c r="AM750" s="34"/>
      <c r="AN750" s="34"/>
      <c r="AO750" s="34"/>
      <c r="AP750" s="34"/>
      <c r="AQ750" s="18"/>
      <c r="AR750" s="18"/>
      <c r="AS750" s="18"/>
      <c r="AT750" s="30"/>
      <c r="AU750" s="18"/>
      <c r="AV750" s="18"/>
      <c r="AW750" s="18"/>
      <c r="AX750" s="18"/>
    </row>
    <row r="751" spans="1:50" x14ac:dyDescent="0.2">
      <c r="A751" s="4" t="s">
        <v>55</v>
      </c>
      <c r="B751" s="4" t="s">
        <v>56</v>
      </c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134" t="s">
        <v>651</v>
      </c>
      <c r="AB751" s="42" t="s">
        <v>618</v>
      </c>
      <c r="AC751" s="43" t="s">
        <v>619</v>
      </c>
      <c r="AD751" s="43">
        <v>408029872</v>
      </c>
      <c r="AE751" s="44">
        <v>0</v>
      </c>
      <c r="AF751" s="44">
        <v>0</v>
      </c>
      <c r="AG751" s="44">
        <v>0</v>
      </c>
      <c r="AH751" s="43">
        <v>408029872</v>
      </c>
      <c r="AI751" s="43">
        <f>AE751-AF751+AG751-AH751</f>
        <v>-408029872</v>
      </c>
      <c r="AJ751" s="43">
        <f>AD751+AI751</f>
        <v>0</v>
      </c>
      <c r="AK751" s="44">
        <v>0</v>
      </c>
      <c r="AL751" s="44">
        <v>0</v>
      </c>
      <c r="AM751" s="44">
        <v>0</v>
      </c>
      <c r="AN751" s="44">
        <v>0</v>
      </c>
      <c r="AO751" s="44">
        <v>0</v>
      </c>
      <c r="AP751" s="44">
        <v>0</v>
      </c>
      <c r="AQ751" s="44">
        <v>0</v>
      </c>
      <c r="AR751" s="44">
        <v>0</v>
      </c>
      <c r="AS751" s="44">
        <v>0</v>
      </c>
      <c r="AT751" s="40">
        <f t="shared" ref="AT751:AT752" si="940">AQ751+AS751</f>
        <v>0</v>
      </c>
      <c r="AU751" s="34">
        <f t="shared" ref="AU751:AU752" si="941">AJ751-AM751</f>
        <v>0</v>
      </c>
      <c r="AV751" s="133">
        <f t="shared" ref="AV751:AV752" si="942">AM751-AP751</f>
        <v>0</v>
      </c>
      <c r="AW751" s="34">
        <f t="shared" ref="AW751:AW752" si="943">AP751-AT751</f>
        <v>0</v>
      </c>
      <c r="AX751" s="123">
        <v>0</v>
      </c>
    </row>
    <row r="752" spans="1:50" ht="38.25" x14ac:dyDescent="0.2">
      <c r="A752" s="4" t="s">
        <v>55</v>
      </c>
      <c r="B752" s="4" t="s">
        <v>56</v>
      </c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1" t="s">
        <v>652</v>
      </c>
      <c r="AB752" s="42" t="s">
        <v>653</v>
      </c>
      <c r="AC752" s="43" t="s">
        <v>368</v>
      </c>
      <c r="AD752" s="43">
        <v>159146685.47999999</v>
      </c>
      <c r="AE752" s="44">
        <v>0</v>
      </c>
      <c r="AF752" s="44">
        <v>0</v>
      </c>
      <c r="AG752" s="44">
        <v>0</v>
      </c>
      <c r="AH752" s="44">
        <v>0</v>
      </c>
      <c r="AI752" s="44">
        <v>0</v>
      </c>
      <c r="AJ752" s="43">
        <v>159146685.47999999</v>
      </c>
      <c r="AK752" s="44">
        <v>0</v>
      </c>
      <c r="AL752" s="44">
        <v>0</v>
      </c>
      <c r="AM752" s="44">
        <v>0</v>
      </c>
      <c r="AN752" s="44">
        <v>0</v>
      </c>
      <c r="AO752" s="44">
        <v>0</v>
      </c>
      <c r="AP752" s="44">
        <v>0</v>
      </c>
      <c r="AQ752" s="44">
        <v>0</v>
      </c>
      <c r="AR752" s="44">
        <v>0</v>
      </c>
      <c r="AS752" s="44">
        <v>0</v>
      </c>
      <c r="AT752" s="40">
        <f t="shared" si="940"/>
        <v>0</v>
      </c>
      <c r="AU752" s="18">
        <f t="shared" si="941"/>
        <v>159146685.47999999</v>
      </c>
      <c r="AV752" s="133">
        <f t="shared" si="942"/>
        <v>0</v>
      </c>
      <c r="AW752" s="34">
        <f t="shared" si="943"/>
        <v>0</v>
      </c>
      <c r="AX752" s="123">
        <f t="shared" ref="AX752" si="944">AP752/AJ752</f>
        <v>0</v>
      </c>
    </row>
    <row r="753" spans="1:50" x14ac:dyDescent="0.2">
      <c r="AA753" s="16"/>
      <c r="AB753" s="17"/>
      <c r="AC753" s="17"/>
      <c r="AD753" s="18"/>
      <c r="AE753" s="34"/>
      <c r="AF753" s="34"/>
      <c r="AG753" s="34"/>
      <c r="AH753" s="34"/>
      <c r="AI753" s="34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30"/>
      <c r="AU753" s="18"/>
      <c r="AV753" s="18"/>
      <c r="AW753" s="18"/>
      <c r="AX753" s="18"/>
    </row>
    <row r="754" spans="1:50" x14ac:dyDescent="0.2">
      <c r="AA754" s="16"/>
      <c r="AB754" s="29" t="s">
        <v>654</v>
      </c>
      <c r="AC754" s="17"/>
      <c r="AD754" s="18"/>
      <c r="AE754" s="34"/>
      <c r="AF754" s="34"/>
      <c r="AG754" s="34"/>
      <c r="AH754" s="34"/>
      <c r="AI754" s="34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30"/>
      <c r="AU754" s="18"/>
      <c r="AV754" s="18"/>
      <c r="AW754" s="18"/>
      <c r="AX754" s="18"/>
    </row>
    <row r="755" spans="1:50" x14ac:dyDescent="0.2">
      <c r="AA755" s="16"/>
      <c r="AB755" s="29" t="s">
        <v>614</v>
      </c>
      <c r="AC755" s="17"/>
      <c r="AD755" s="18"/>
      <c r="AE755" s="34"/>
      <c r="AF755" s="34"/>
      <c r="AG755" s="34"/>
      <c r="AH755" s="34"/>
      <c r="AI755" s="34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30"/>
      <c r="AU755" s="18"/>
      <c r="AV755" s="18"/>
      <c r="AW755" s="18"/>
      <c r="AX755" s="18"/>
    </row>
    <row r="756" spans="1:50" x14ac:dyDescent="0.2">
      <c r="AA756" s="16"/>
      <c r="AB756" s="29" t="s">
        <v>286</v>
      </c>
      <c r="AC756" s="17"/>
      <c r="AD756" s="18"/>
      <c r="AE756" s="34"/>
      <c r="AF756" s="34"/>
      <c r="AG756" s="34"/>
      <c r="AH756" s="34"/>
      <c r="AI756" s="34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30"/>
      <c r="AU756" s="18"/>
      <c r="AV756" s="18"/>
      <c r="AW756" s="18"/>
      <c r="AX756" s="18"/>
    </row>
    <row r="757" spans="1:50" x14ac:dyDescent="0.2">
      <c r="AA757" s="16"/>
      <c r="AB757" s="29" t="s">
        <v>181</v>
      </c>
      <c r="AC757" s="17"/>
      <c r="AD757" s="18"/>
      <c r="AE757" s="34"/>
      <c r="AF757" s="34"/>
      <c r="AG757" s="34"/>
      <c r="AH757" s="34"/>
      <c r="AI757" s="34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30"/>
      <c r="AU757" s="18"/>
      <c r="AV757" s="18"/>
      <c r="AW757" s="18"/>
      <c r="AX757" s="18"/>
    </row>
    <row r="758" spans="1:50" ht="25.5" x14ac:dyDescent="0.2">
      <c r="AA758" s="16"/>
      <c r="AB758" s="29" t="s">
        <v>637</v>
      </c>
      <c r="AC758" s="17"/>
      <c r="AD758" s="18"/>
      <c r="AE758" s="34"/>
      <c r="AF758" s="34"/>
      <c r="AG758" s="34"/>
      <c r="AH758" s="34"/>
      <c r="AI758" s="34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30"/>
      <c r="AU758" s="18"/>
      <c r="AV758" s="18"/>
      <c r="AW758" s="18"/>
      <c r="AX758" s="18"/>
    </row>
    <row r="759" spans="1:50" ht="25.5" x14ac:dyDescent="0.2">
      <c r="AA759" s="28" t="s">
        <v>288</v>
      </c>
      <c r="AB759" s="29" t="s">
        <v>655</v>
      </c>
      <c r="AC759" s="17"/>
      <c r="AD759" s="18"/>
      <c r="AE759" s="34"/>
      <c r="AF759" s="34"/>
      <c r="AG759" s="34"/>
      <c r="AH759" s="34"/>
      <c r="AI759" s="34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30"/>
      <c r="AU759" s="18"/>
      <c r="AV759" s="18"/>
      <c r="AW759" s="18"/>
      <c r="AX759" s="18"/>
    </row>
    <row r="760" spans="1:50" x14ac:dyDescent="0.2">
      <c r="A760" s="4" t="s">
        <v>55</v>
      </c>
      <c r="B760" s="4" t="s">
        <v>56</v>
      </c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1" t="s">
        <v>656</v>
      </c>
      <c r="AB760" s="42" t="s">
        <v>233</v>
      </c>
      <c r="AC760" s="43" t="s">
        <v>58</v>
      </c>
      <c r="AD760" s="43">
        <v>800000000</v>
      </c>
      <c r="AE760" s="44">
        <v>0</v>
      </c>
      <c r="AF760" s="44">
        <v>0</v>
      </c>
      <c r="AG760" s="44">
        <v>0</v>
      </c>
      <c r="AH760" s="44">
        <v>0</v>
      </c>
      <c r="AI760" s="44">
        <v>0</v>
      </c>
      <c r="AJ760" s="43">
        <v>800000000</v>
      </c>
      <c r="AK760" s="44">
        <v>0</v>
      </c>
      <c r="AL760" s="44">
        <v>0</v>
      </c>
      <c r="AM760" s="44">
        <v>0</v>
      </c>
      <c r="AN760" s="44">
        <v>0</v>
      </c>
      <c r="AO760" s="44">
        <v>0</v>
      </c>
      <c r="AP760" s="44">
        <v>0</v>
      </c>
      <c r="AQ760" s="44">
        <v>0</v>
      </c>
      <c r="AR760" s="44">
        <v>0</v>
      </c>
      <c r="AS760" s="44">
        <v>0</v>
      </c>
      <c r="AT760" s="40">
        <f t="shared" ref="AT760" si="945">AQ760+AS760</f>
        <v>0</v>
      </c>
      <c r="AU760" s="18">
        <f t="shared" ref="AU760" si="946">AJ760-AM760</f>
        <v>800000000</v>
      </c>
      <c r="AV760" s="133">
        <f t="shared" ref="AV760" si="947">AM760-AP760</f>
        <v>0</v>
      </c>
      <c r="AW760" s="34">
        <f t="shared" ref="AW760" si="948">AP760-AT760</f>
        <v>0</v>
      </c>
      <c r="AX760" s="123">
        <f t="shared" ref="AX760" si="949">AP760/AJ760</f>
        <v>0</v>
      </c>
    </row>
    <row r="761" spans="1:50" ht="25.5" x14ac:dyDescent="0.2">
      <c r="AA761" s="28" t="s">
        <v>288</v>
      </c>
      <c r="AB761" s="29" t="s">
        <v>616</v>
      </c>
      <c r="AC761" s="17"/>
      <c r="AD761" s="18"/>
      <c r="AE761" s="34"/>
      <c r="AF761" s="34"/>
      <c r="AG761" s="34"/>
      <c r="AH761" s="34"/>
      <c r="AI761" s="34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30"/>
      <c r="AU761" s="18"/>
      <c r="AV761" s="18"/>
      <c r="AW761" s="18"/>
      <c r="AX761" s="18"/>
    </row>
    <row r="762" spans="1:50" x14ac:dyDescent="0.2">
      <c r="AA762" s="16"/>
      <c r="AB762" s="17"/>
      <c r="AC762" s="17"/>
      <c r="AD762" s="18"/>
      <c r="AE762" s="34"/>
      <c r="AF762" s="34"/>
      <c r="AG762" s="34"/>
      <c r="AH762" s="34"/>
      <c r="AI762" s="34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30"/>
      <c r="AU762" s="18"/>
      <c r="AV762" s="18"/>
      <c r="AW762" s="18"/>
      <c r="AX762" s="18"/>
    </row>
    <row r="763" spans="1:50" ht="18.75" customHeight="1" x14ac:dyDescent="0.2">
      <c r="AA763" s="16"/>
      <c r="AB763" s="29" t="s">
        <v>189</v>
      </c>
      <c r="AC763" s="17"/>
      <c r="AD763" s="18"/>
      <c r="AE763" s="34"/>
      <c r="AF763" s="34"/>
      <c r="AG763" s="34"/>
      <c r="AH763" s="34"/>
      <c r="AI763" s="34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30"/>
      <c r="AU763" s="18"/>
      <c r="AV763" s="18"/>
      <c r="AW763" s="18"/>
      <c r="AX763" s="18"/>
    </row>
    <row r="764" spans="1:50" ht="38.25" x14ac:dyDescent="0.2">
      <c r="AA764" s="16"/>
      <c r="AB764" s="29" t="s">
        <v>193</v>
      </c>
      <c r="AC764" s="17"/>
      <c r="AD764" s="18"/>
      <c r="AE764" s="34"/>
      <c r="AF764" s="34"/>
      <c r="AG764" s="34"/>
      <c r="AH764" s="34"/>
      <c r="AI764" s="34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30"/>
      <c r="AU764" s="18"/>
      <c r="AV764" s="18"/>
      <c r="AW764" s="18"/>
      <c r="AX764" s="18"/>
    </row>
    <row r="765" spans="1:50" ht="25.5" x14ac:dyDescent="0.2">
      <c r="AA765" s="28" t="s">
        <v>288</v>
      </c>
      <c r="AB765" s="29" t="s">
        <v>616</v>
      </c>
      <c r="AC765" s="17"/>
      <c r="AD765" s="18"/>
      <c r="AE765" s="34"/>
      <c r="AF765" s="34"/>
      <c r="AG765" s="34"/>
      <c r="AH765" s="34"/>
      <c r="AI765" s="34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30"/>
      <c r="AU765" s="18"/>
      <c r="AV765" s="18"/>
      <c r="AW765" s="18"/>
      <c r="AX765" s="18"/>
    </row>
    <row r="766" spans="1:50" x14ac:dyDescent="0.2">
      <c r="A766" s="4" t="s">
        <v>37</v>
      </c>
      <c r="B766" s="4" t="s">
        <v>37</v>
      </c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1" t="s">
        <v>657</v>
      </c>
      <c r="AB766" s="42" t="s">
        <v>233</v>
      </c>
      <c r="AC766" s="43" t="s">
        <v>58</v>
      </c>
      <c r="AD766" s="43">
        <v>400000000</v>
      </c>
      <c r="AE766" s="44">
        <v>0</v>
      </c>
      <c r="AF766" s="44">
        <v>0</v>
      </c>
      <c r="AG766" s="44">
        <v>0</v>
      </c>
      <c r="AH766" s="44">
        <v>0</v>
      </c>
      <c r="AI766" s="44">
        <v>0</v>
      </c>
      <c r="AJ766" s="43">
        <v>400000000</v>
      </c>
      <c r="AK766" s="43">
        <v>0</v>
      </c>
      <c r="AL766" s="43">
        <f>AM766-FEBRERO!P745</f>
        <v>399075264</v>
      </c>
      <c r="AM766" s="43">
        <v>399075264</v>
      </c>
      <c r="AN766" s="43">
        <v>0</v>
      </c>
      <c r="AO766" s="43">
        <v>0</v>
      </c>
      <c r="AP766" s="43">
        <v>0</v>
      </c>
      <c r="AQ766" s="43">
        <v>0</v>
      </c>
      <c r="AR766" s="43">
        <v>0</v>
      </c>
      <c r="AS766" s="43">
        <v>0</v>
      </c>
      <c r="AT766" s="40">
        <f t="shared" ref="AT766" si="950">AQ766+AS766</f>
        <v>0</v>
      </c>
      <c r="AU766" s="18">
        <f t="shared" ref="AU766" si="951">AJ766-AM766</f>
        <v>924736</v>
      </c>
      <c r="AV766" s="18">
        <f t="shared" ref="AV766" si="952">AM766-AP766</f>
        <v>399075264</v>
      </c>
      <c r="AW766" s="34">
        <f t="shared" ref="AW766" si="953">AP766-AT766</f>
        <v>0</v>
      </c>
      <c r="AX766" s="123">
        <f t="shared" ref="AX766" si="954">AP766/AJ766</f>
        <v>0</v>
      </c>
    </row>
    <row r="767" spans="1:50" x14ac:dyDescent="0.2">
      <c r="AA767" s="16"/>
      <c r="AB767" s="17"/>
      <c r="AC767" s="17"/>
      <c r="AD767" s="18"/>
      <c r="AE767" s="34"/>
      <c r="AF767" s="34"/>
      <c r="AG767" s="34"/>
      <c r="AH767" s="34"/>
      <c r="AI767" s="34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30"/>
      <c r="AU767" s="18"/>
      <c r="AV767" s="34"/>
      <c r="AW767" s="34"/>
      <c r="AX767" s="18"/>
    </row>
    <row r="768" spans="1:50" ht="25.5" x14ac:dyDescent="0.2">
      <c r="AA768" s="16"/>
      <c r="AB768" s="29" t="s">
        <v>197</v>
      </c>
      <c r="AC768" s="17"/>
      <c r="AD768" s="18"/>
      <c r="AE768" s="34"/>
      <c r="AF768" s="34"/>
      <c r="AG768" s="34"/>
      <c r="AH768" s="34"/>
      <c r="AI768" s="34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30"/>
      <c r="AU768" s="18"/>
      <c r="AV768" s="34"/>
      <c r="AW768" s="34"/>
      <c r="AX768" s="18"/>
    </row>
    <row r="769" spans="1:50" ht="25.5" x14ac:dyDescent="0.2">
      <c r="AA769" s="28" t="s">
        <v>288</v>
      </c>
      <c r="AB769" s="29" t="s">
        <v>616</v>
      </c>
      <c r="AC769" s="17"/>
      <c r="AD769" s="18"/>
      <c r="AE769" s="34"/>
      <c r="AF769" s="34"/>
      <c r="AG769" s="34"/>
      <c r="AH769" s="34"/>
      <c r="AI769" s="34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30"/>
      <c r="AU769" s="18"/>
      <c r="AV769" s="34"/>
      <c r="AW769" s="34"/>
      <c r="AX769" s="18"/>
    </row>
    <row r="770" spans="1:50" x14ac:dyDescent="0.2">
      <c r="A770" s="4" t="s">
        <v>55</v>
      </c>
      <c r="B770" s="4" t="s">
        <v>56</v>
      </c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1" t="s">
        <v>658</v>
      </c>
      <c r="AB770" s="42" t="s">
        <v>233</v>
      </c>
      <c r="AC770" s="43" t="s">
        <v>58</v>
      </c>
      <c r="AD770" s="43">
        <v>80000001.5</v>
      </c>
      <c r="AE770" s="44">
        <v>0</v>
      </c>
      <c r="AF770" s="44">
        <v>0</v>
      </c>
      <c r="AG770" s="44">
        <v>0</v>
      </c>
      <c r="AH770" s="44">
        <v>0</v>
      </c>
      <c r="AI770" s="44">
        <v>0</v>
      </c>
      <c r="AJ770" s="43">
        <v>80000001.5</v>
      </c>
      <c r="AK770" s="44">
        <v>0</v>
      </c>
      <c r="AL770" s="44">
        <v>0</v>
      </c>
      <c r="AM770" s="44">
        <v>0</v>
      </c>
      <c r="AN770" s="44">
        <v>0</v>
      </c>
      <c r="AO770" s="44">
        <v>0</v>
      </c>
      <c r="AP770" s="44">
        <v>0</v>
      </c>
      <c r="AQ770" s="44">
        <v>0</v>
      </c>
      <c r="AR770" s="44">
        <v>0</v>
      </c>
      <c r="AS770" s="44">
        <v>0</v>
      </c>
      <c r="AT770" s="40">
        <f t="shared" ref="AT770:AT771" si="955">AQ770+AS770</f>
        <v>0</v>
      </c>
      <c r="AU770" s="18">
        <f t="shared" ref="AU770:AU771" si="956">AJ770-AM770</f>
        <v>80000001.5</v>
      </c>
      <c r="AV770" s="133">
        <f t="shared" ref="AV770:AV771" si="957">AM770-AP770</f>
        <v>0</v>
      </c>
      <c r="AW770" s="34">
        <f t="shared" ref="AW770:AW771" si="958">AP770-AT770</f>
        <v>0</v>
      </c>
      <c r="AX770" s="123">
        <f t="shared" ref="AX770:AX771" si="959">AP770/AJ770</f>
        <v>0</v>
      </c>
    </row>
    <row r="771" spans="1:50" ht="25.5" x14ac:dyDescent="0.2">
      <c r="A771" s="4" t="s">
        <v>55</v>
      </c>
      <c r="B771" s="4" t="s">
        <v>56</v>
      </c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1" t="s">
        <v>659</v>
      </c>
      <c r="AB771" s="42" t="s">
        <v>660</v>
      </c>
      <c r="AC771" s="43" t="s">
        <v>368</v>
      </c>
      <c r="AD771" s="43">
        <v>18064798.5</v>
      </c>
      <c r="AE771" s="44">
        <v>0</v>
      </c>
      <c r="AF771" s="44">
        <v>0</v>
      </c>
      <c r="AG771" s="44">
        <v>0</v>
      </c>
      <c r="AH771" s="44">
        <v>0</v>
      </c>
      <c r="AI771" s="44">
        <v>0</v>
      </c>
      <c r="AJ771" s="43">
        <v>18064798.5</v>
      </c>
      <c r="AK771" s="44">
        <v>0</v>
      </c>
      <c r="AL771" s="44">
        <v>0</v>
      </c>
      <c r="AM771" s="44">
        <v>0</v>
      </c>
      <c r="AN771" s="44">
        <v>0</v>
      </c>
      <c r="AO771" s="44">
        <v>0</v>
      </c>
      <c r="AP771" s="44">
        <v>0</v>
      </c>
      <c r="AQ771" s="44">
        <v>0</v>
      </c>
      <c r="AR771" s="44">
        <v>0</v>
      </c>
      <c r="AS771" s="44">
        <v>0</v>
      </c>
      <c r="AT771" s="40">
        <f t="shared" si="955"/>
        <v>0</v>
      </c>
      <c r="AU771" s="18">
        <f t="shared" si="956"/>
        <v>18064798.5</v>
      </c>
      <c r="AV771" s="133">
        <f t="shared" si="957"/>
        <v>0</v>
      </c>
      <c r="AW771" s="34">
        <f t="shared" si="958"/>
        <v>0</v>
      </c>
      <c r="AX771" s="123">
        <f t="shared" si="959"/>
        <v>0</v>
      </c>
    </row>
    <row r="772" spans="1:50" x14ac:dyDescent="0.2">
      <c r="AA772" s="16"/>
      <c r="AB772" s="17"/>
      <c r="AC772" s="17"/>
      <c r="AD772" s="18"/>
      <c r="AE772" s="34"/>
      <c r="AF772" s="34"/>
      <c r="AG772" s="34"/>
      <c r="AH772" s="34"/>
      <c r="AI772" s="34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30"/>
      <c r="AU772" s="18"/>
      <c r="AV772" s="18"/>
      <c r="AW772" s="18"/>
      <c r="AX772" s="18"/>
    </row>
    <row r="773" spans="1:50" x14ac:dyDescent="0.2">
      <c r="AA773" s="16"/>
      <c r="AB773" s="29" t="s">
        <v>661</v>
      </c>
      <c r="AC773" s="17"/>
      <c r="AD773" s="18"/>
      <c r="AE773" s="34"/>
      <c r="AF773" s="34"/>
      <c r="AG773" s="34"/>
      <c r="AH773" s="34"/>
      <c r="AI773" s="34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30"/>
      <c r="AU773" s="18"/>
      <c r="AV773" s="18"/>
      <c r="AW773" s="18"/>
      <c r="AX773" s="18"/>
    </row>
    <row r="774" spans="1:50" x14ac:dyDescent="0.2">
      <c r="AA774" s="16"/>
      <c r="AB774" s="29" t="s">
        <v>614</v>
      </c>
      <c r="AC774" s="17"/>
      <c r="AD774" s="18"/>
      <c r="AE774" s="34"/>
      <c r="AF774" s="34"/>
      <c r="AG774" s="34"/>
      <c r="AH774" s="34"/>
      <c r="AI774" s="34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30"/>
      <c r="AU774" s="18"/>
      <c r="AV774" s="18"/>
      <c r="AW774" s="18"/>
      <c r="AX774" s="18"/>
    </row>
    <row r="775" spans="1:50" x14ac:dyDescent="0.2">
      <c r="AA775" s="16"/>
      <c r="AB775" s="29" t="s">
        <v>286</v>
      </c>
      <c r="AC775" s="17"/>
      <c r="AD775" s="18"/>
      <c r="AE775" s="34"/>
      <c r="AF775" s="34"/>
      <c r="AG775" s="34"/>
      <c r="AH775" s="34"/>
      <c r="AI775" s="34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30"/>
      <c r="AU775" s="18"/>
      <c r="AV775" s="18"/>
      <c r="AW775" s="18"/>
      <c r="AX775" s="18"/>
    </row>
    <row r="776" spans="1:50" x14ac:dyDescent="0.2">
      <c r="AA776" s="16"/>
      <c r="AB776" s="29" t="s">
        <v>179</v>
      </c>
      <c r="AC776" s="17"/>
      <c r="AD776" s="18"/>
      <c r="AE776" s="34"/>
      <c r="AF776" s="34"/>
      <c r="AG776" s="34"/>
      <c r="AH776" s="34"/>
      <c r="AI776" s="34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30"/>
      <c r="AU776" s="18"/>
      <c r="AV776" s="18"/>
      <c r="AW776" s="18"/>
      <c r="AX776" s="18"/>
    </row>
    <row r="777" spans="1:50" x14ac:dyDescent="0.2">
      <c r="AA777" s="16"/>
      <c r="AB777" s="29" t="s">
        <v>189</v>
      </c>
      <c r="AC777" s="17"/>
      <c r="AD777" s="18"/>
      <c r="AE777" s="34"/>
      <c r="AF777" s="34"/>
      <c r="AG777" s="34"/>
      <c r="AH777" s="34"/>
      <c r="AI777" s="34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30"/>
      <c r="AU777" s="18"/>
      <c r="AV777" s="18"/>
      <c r="AW777" s="18"/>
      <c r="AX777" s="18"/>
    </row>
    <row r="778" spans="1:50" ht="25.5" x14ac:dyDescent="0.2">
      <c r="AA778" s="16"/>
      <c r="AB778" s="29" t="s">
        <v>197</v>
      </c>
      <c r="AC778" s="17"/>
      <c r="AD778" s="18"/>
      <c r="AE778" s="34"/>
      <c r="AF778" s="34"/>
      <c r="AG778" s="34"/>
      <c r="AH778" s="34"/>
      <c r="AI778" s="34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30"/>
      <c r="AU778" s="18"/>
      <c r="AV778" s="18"/>
      <c r="AW778" s="18"/>
      <c r="AX778" s="18"/>
    </row>
    <row r="779" spans="1:50" x14ac:dyDescent="0.2">
      <c r="AA779" s="28" t="s">
        <v>288</v>
      </c>
      <c r="AB779" s="29" t="s">
        <v>591</v>
      </c>
      <c r="AC779" s="17"/>
      <c r="AD779" s="18"/>
      <c r="AE779" s="34"/>
      <c r="AF779" s="34"/>
      <c r="AG779" s="34"/>
      <c r="AH779" s="34"/>
      <c r="AI779" s="34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30"/>
      <c r="AU779" s="18"/>
      <c r="AV779" s="18"/>
      <c r="AW779" s="18"/>
      <c r="AX779" s="18"/>
    </row>
    <row r="780" spans="1:50" ht="25.5" x14ac:dyDescent="0.2">
      <c r="A780" s="4" t="s">
        <v>55</v>
      </c>
      <c r="B780" s="4" t="s">
        <v>56</v>
      </c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1" t="s">
        <v>662</v>
      </c>
      <c r="AB780" s="42" t="s">
        <v>660</v>
      </c>
      <c r="AC780" s="43" t="s">
        <v>368</v>
      </c>
      <c r="AD780" s="43">
        <v>3179405.26</v>
      </c>
      <c r="AE780" s="44">
        <v>0</v>
      </c>
      <c r="AF780" s="44">
        <v>0</v>
      </c>
      <c r="AG780" s="44">
        <v>0</v>
      </c>
      <c r="AH780" s="44">
        <v>0</v>
      </c>
      <c r="AI780" s="44">
        <v>0</v>
      </c>
      <c r="AJ780" s="43">
        <v>3179405.26</v>
      </c>
      <c r="AK780" s="44">
        <v>0</v>
      </c>
      <c r="AL780" s="44">
        <f>AM780-[1]ENERO!O755</f>
        <v>0</v>
      </c>
      <c r="AM780" s="43">
        <v>1739249</v>
      </c>
      <c r="AN780" s="43">
        <v>0</v>
      </c>
      <c r="AO780" s="43">
        <v>0</v>
      </c>
      <c r="AP780" s="43">
        <v>1739249</v>
      </c>
      <c r="AQ780" s="44">
        <v>0</v>
      </c>
      <c r="AR780" s="44">
        <v>0</v>
      </c>
      <c r="AS780" s="44">
        <v>0</v>
      </c>
      <c r="AT780" s="40">
        <f t="shared" ref="AT780" si="960">AQ780+AS780</f>
        <v>0</v>
      </c>
      <c r="AU780" s="18">
        <f t="shared" ref="AU780" si="961">AJ780-AM780</f>
        <v>1440156.2599999998</v>
      </c>
      <c r="AV780" s="133">
        <f t="shared" ref="AV780" si="962">AM780-AP780</f>
        <v>0</v>
      </c>
      <c r="AW780" s="18">
        <f t="shared" ref="AW780" si="963">AP780-AT780</f>
        <v>1739249</v>
      </c>
      <c r="AX780" s="123">
        <f t="shared" ref="AX780" si="964">AP780/AJ780</f>
        <v>0.54703595728466525</v>
      </c>
    </row>
    <row r="781" spans="1:50" x14ac:dyDescent="0.2">
      <c r="AA781" s="16"/>
      <c r="AB781" s="17"/>
      <c r="AC781" s="17"/>
      <c r="AD781" s="18"/>
      <c r="AE781" s="34"/>
      <c r="AF781" s="34"/>
      <c r="AG781" s="34"/>
      <c r="AH781" s="34"/>
      <c r="AI781" s="34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30"/>
      <c r="AU781" s="18"/>
      <c r="AV781" s="18"/>
      <c r="AW781" s="18"/>
      <c r="AX781" s="18"/>
    </row>
    <row r="782" spans="1:50" ht="25.5" x14ac:dyDescent="0.2">
      <c r="AA782" s="16"/>
      <c r="AB782" s="29" t="s">
        <v>663</v>
      </c>
      <c r="AC782" s="17"/>
      <c r="AD782" s="18"/>
      <c r="AE782" s="34"/>
      <c r="AF782" s="34"/>
      <c r="AG782" s="34"/>
      <c r="AH782" s="34"/>
      <c r="AI782" s="34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30"/>
      <c r="AU782" s="18"/>
      <c r="AV782" s="18"/>
      <c r="AW782" s="18"/>
      <c r="AX782" s="18"/>
    </row>
    <row r="783" spans="1:50" x14ac:dyDescent="0.2">
      <c r="AA783" s="16"/>
      <c r="AB783" s="29" t="s">
        <v>614</v>
      </c>
      <c r="AC783" s="17"/>
      <c r="AD783" s="18"/>
      <c r="AE783" s="34"/>
      <c r="AF783" s="34"/>
      <c r="AG783" s="34"/>
      <c r="AH783" s="34"/>
      <c r="AI783" s="34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30"/>
      <c r="AU783" s="18"/>
      <c r="AV783" s="18"/>
      <c r="AW783" s="18"/>
      <c r="AX783" s="18"/>
    </row>
    <row r="784" spans="1:50" x14ac:dyDescent="0.2">
      <c r="AA784" s="16"/>
      <c r="AB784" s="29" t="s">
        <v>286</v>
      </c>
      <c r="AC784" s="17"/>
      <c r="AD784" s="18"/>
      <c r="AE784" s="34"/>
      <c r="AF784" s="34"/>
      <c r="AG784" s="34"/>
      <c r="AH784" s="34"/>
      <c r="AI784" s="34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30"/>
      <c r="AU784" s="18"/>
      <c r="AV784" s="18"/>
      <c r="AW784" s="18"/>
      <c r="AX784" s="18"/>
    </row>
    <row r="785" spans="1:50" ht="18.75" customHeight="1" x14ac:dyDescent="0.2">
      <c r="AA785" s="16"/>
      <c r="AB785" s="29" t="s">
        <v>664</v>
      </c>
      <c r="AC785" s="17"/>
      <c r="AD785" s="18"/>
      <c r="AE785" s="34"/>
      <c r="AF785" s="34"/>
      <c r="AG785" s="34"/>
      <c r="AH785" s="34"/>
      <c r="AI785" s="34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30"/>
      <c r="AU785" s="18"/>
      <c r="AV785" s="18"/>
      <c r="AW785" s="18"/>
      <c r="AX785" s="18"/>
    </row>
    <row r="786" spans="1:50" ht="18.75" customHeight="1" x14ac:dyDescent="0.2">
      <c r="AA786" s="16"/>
      <c r="AB786" s="29" t="s">
        <v>575</v>
      </c>
      <c r="AC786" s="17"/>
      <c r="AD786" s="18"/>
      <c r="AE786" s="34"/>
      <c r="AF786" s="34"/>
      <c r="AG786" s="34"/>
      <c r="AH786" s="34"/>
      <c r="AI786" s="34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30"/>
      <c r="AU786" s="18"/>
      <c r="AV786" s="18"/>
      <c r="AW786" s="18"/>
      <c r="AX786" s="18"/>
    </row>
    <row r="787" spans="1:50" ht="18.75" customHeight="1" x14ac:dyDescent="0.2">
      <c r="AA787" s="16"/>
      <c r="AB787" s="29" t="s">
        <v>631</v>
      </c>
      <c r="AC787" s="17"/>
      <c r="AD787" s="18"/>
      <c r="AE787" s="34"/>
      <c r="AF787" s="34"/>
      <c r="AG787" s="34"/>
      <c r="AH787" s="34"/>
      <c r="AI787" s="34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30"/>
      <c r="AU787" s="18"/>
      <c r="AV787" s="18"/>
      <c r="AW787" s="18"/>
      <c r="AX787" s="18"/>
    </row>
    <row r="788" spans="1:50" ht="18.75" customHeight="1" x14ac:dyDescent="0.2">
      <c r="AA788" s="16"/>
      <c r="AB788" s="29" t="s">
        <v>632</v>
      </c>
      <c r="AC788" s="17"/>
      <c r="AD788" s="18"/>
      <c r="AE788" s="34"/>
      <c r="AF788" s="34"/>
      <c r="AG788" s="34"/>
      <c r="AH788" s="34"/>
      <c r="AI788" s="34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30"/>
      <c r="AU788" s="18"/>
      <c r="AV788" s="18"/>
      <c r="AW788" s="18"/>
      <c r="AX788" s="18"/>
    </row>
    <row r="789" spans="1:50" ht="18.75" customHeight="1" x14ac:dyDescent="0.2">
      <c r="AA789" s="16"/>
      <c r="AB789" s="29" t="s">
        <v>633</v>
      </c>
      <c r="AC789" s="17"/>
      <c r="AD789" s="18"/>
      <c r="AE789" s="34"/>
      <c r="AF789" s="34"/>
      <c r="AG789" s="34"/>
      <c r="AH789" s="34"/>
      <c r="AI789" s="34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30"/>
      <c r="AU789" s="18"/>
      <c r="AV789" s="18"/>
      <c r="AW789" s="18"/>
      <c r="AX789" s="18"/>
    </row>
    <row r="790" spans="1:50" ht="18.75" customHeight="1" x14ac:dyDescent="0.2">
      <c r="AA790" s="16"/>
      <c r="AB790" s="29" t="s">
        <v>634</v>
      </c>
      <c r="AC790" s="17"/>
      <c r="AD790" s="18"/>
      <c r="AE790" s="34"/>
      <c r="AF790" s="34"/>
      <c r="AG790" s="34"/>
      <c r="AH790" s="34"/>
      <c r="AI790" s="34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30"/>
      <c r="AU790" s="18"/>
      <c r="AV790" s="18"/>
      <c r="AW790" s="18"/>
      <c r="AX790" s="18"/>
    </row>
    <row r="791" spans="1:50" ht="18.75" customHeight="1" x14ac:dyDescent="0.2">
      <c r="AA791" s="16"/>
      <c r="AB791" s="29" t="s">
        <v>635</v>
      </c>
      <c r="AC791" s="17"/>
      <c r="AD791" s="18"/>
      <c r="AE791" s="34"/>
      <c r="AF791" s="34"/>
      <c r="AG791" s="34"/>
      <c r="AH791" s="34"/>
      <c r="AI791" s="34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30"/>
      <c r="AU791" s="18"/>
      <c r="AV791" s="18"/>
      <c r="AW791" s="18"/>
      <c r="AX791" s="18"/>
    </row>
    <row r="792" spans="1:50" ht="18.75" customHeight="1" x14ac:dyDescent="0.2">
      <c r="AA792" s="28" t="s">
        <v>288</v>
      </c>
      <c r="AB792" s="29" t="s">
        <v>665</v>
      </c>
      <c r="AC792" s="17"/>
      <c r="AD792" s="18"/>
      <c r="AE792" s="34"/>
      <c r="AF792" s="34"/>
      <c r="AG792" s="34"/>
      <c r="AH792" s="34"/>
      <c r="AI792" s="34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30"/>
      <c r="AU792" s="18"/>
      <c r="AV792" s="18"/>
      <c r="AW792" s="18"/>
      <c r="AX792" s="18"/>
    </row>
    <row r="793" spans="1:50" ht="18.75" customHeight="1" x14ac:dyDescent="0.2">
      <c r="A793" s="4" t="s">
        <v>37</v>
      </c>
      <c r="B793" s="4" t="s">
        <v>37</v>
      </c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1" t="s">
        <v>666</v>
      </c>
      <c r="AB793" s="42" t="s">
        <v>233</v>
      </c>
      <c r="AC793" s="43" t="s">
        <v>58</v>
      </c>
      <c r="AD793" s="43">
        <v>22000000</v>
      </c>
      <c r="AE793" s="44">
        <v>0</v>
      </c>
      <c r="AF793" s="44">
        <v>0</v>
      </c>
      <c r="AG793" s="44">
        <v>0</v>
      </c>
      <c r="AH793" s="44">
        <v>0</v>
      </c>
      <c r="AI793" s="44">
        <v>0</v>
      </c>
      <c r="AJ793" s="43">
        <v>22000000</v>
      </c>
      <c r="AK793" s="44">
        <v>0</v>
      </c>
      <c r="AL793" s="44">
        <v>0</v>
      </c>
      <c r="AM793" s="44">
        <v>0</v>
      </c>
      <c r="AN793" s="44">
        <v>0</v>
      </c>
      <c r="AO793" s="44">
        <v>0</v>
      </c>
      <c r="AP793" s="44">
        <v>0</v>
      </c>
      <c r="AQ793" s="44">
        <v>0</v>
      </c>
      <c r="AR793" s="44">
        <v>0</v>
      </c>
      <c r="AS793" s="44">
        <v>0</v>
      </c>
      <c r="AT793" s="40">
        <f t="shared" ref="AT793" si="965">AQ793+AS793</f>
        <v>0</v>
      </c>
      <c r="AU793" s="18">
        <f t="shared" ref="AU793" si="966">AJ793-AM793</f>
        <v>22000000</v>
      </c>
      <c r="AV793" s="133">
        <f t="shared" ref="AV793" si="967">AM793-AP793</f>
        <v>0</v>
      </c>
      <c r="AW793" s="34">
        <f t="shared" ref="AW793" si="968">AP793-AT793</f>
        <v>0</v>
      </c>
      <c r="AX793" s="123">
        <f t="shared" ref="AX793" si="969">AP793/AJ793</f>
        <v>0</v>
      </c>
    </row>
    <row r="794" spans="1:50" ht="18.75" customHeight="1" x14ac:dyDescent="0.2">
      <c r="AA794" s="16"/>
      <c r="AB794" s="17"/>
      <c r="AC794" s="17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30"/>
      <c r="AU794" s="18"/>
      <c r="AV794" s="34"/>
      <c r="AW794" s="34"/>
      <c r="AX794" s="18"/>
    </row>
    <row r="795" spans="1:50" ht="18.75" customHeight="1" x14ac:dyDescent="0.2">
      <c r="AA795" s="16"/>
      <c r="AB795" s="29" t="s">
        <v>179</v>
      </c>
      <c r="AC795" s="17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30"/>
      <c r="AU795" s="18"/>
      <c r="AV795" s="34"/>
      <c r="AW795" s="34"/>
      <c r="AX795" s="18"/>
    </row>
    <row r="796" spans="1:50" ht="18.75" customHeight="1" x14ac:dyDescent="0.2">
      <c r="AA796" s="16"/>
      <c r="AB796" s="29" t="s">
        <v>181</v>
      </c>
      <c r="AC796" s="17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30"/>
      <c r="AU796" s="18"/>
      <c r="AV796" s="34"/>
      <c r="AW796" s="34"/>
      <c r="AX796" s="18"/>
    </row>
    <row r="797" spans="1:50" ht="25.5" x14ac:dyDescent="0.2">
      <c r="AA797" s="16"/>
      <c r="AB797" s="29" t="s">
        <v>183</v>
      </c>
      <c r="AC797" s="17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30"/>
      <c r="AU797" s="18"/>
      <c r="AV797" s="34"/>
      <c r="AW797" s="34"/>
      <c r="AX797" s="18"/>
    </row>
    <row r="798" spans="1:50" ht="18.75" customHeight="1" x14ac:dyDescent="0.2">
      <c r="AA798" s="28" t="s">
        <v>288</v>
      </c>
      <c r="AB798" s="29" t="s">
        <v>667</v>
      </c>
      <c r="AC798" s="17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30"/>
      <c r="AU798" s="18"/>
      <c r="AV798" s="34"/>
      <c r="AW798" s="34"/>
      <c r="AX798" s="18"/>
    </row>
    <row r="799" spans="1:50" ht="18.75" customHeight="1" x14ac:dyDescent="0.2">
      <c r="A799" s="4" t="s">
        <v>668</v>
      </c>
      <c r="B799" s="4" t="s">
        <v>669</v>
      </c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1" t="s">
        <v>670</v>
      </c>
      <c r="AB799" s="42" t="s">
        <v>233</v>
      </c>
      <c r="AC799" s="43" t="s">
        <v>58</v>
      </c>
      <c r="AD799" s="43">
        <v>1000000000</v>
      </c>
      <c r="AE799" s="44">
        <v>0</v>
      </c>
      <c r="AF799" s="44">
        <v>0</v>
      </c>
      <c r="AG799" s="44">
        <v>0</v>
      </c>
      <c r="AH799" s="44">
        <v>0</v>
      </c>
      <c r="AI799" s="44">
        <v>0</v>
      </c>
      <c r="AJ799" s="43">
        <v>1000000000</v>
      </c>
      <c r="AK799" s="44">
        <v>0</v>
      </c>
      <c r="AL799" s="44">
        <v>0</v>
      </c>
      <c r="AM799" s="44">
        <v>0</v>
      </c>
      <c r="AN799" s="44">
        <v>0</v>
      </c>
      <c r="AO799" s="44">
        <v>0</v>
      </c>
      <c r="AP799" s="44">
        <v>0</v>
      </c>
      <c r="AQ799" s="44">
        <v>0</v>
      </c>
      <c r="AR799" s="44">
        <v>0</v>
      </c>
      <c r="AS799" s="44">
        <v>0</v>
      </c>
      <c r="AT799" s="40">
        <f t="shared" ref="AT799" si="970">AQ799+AS799</f>
        <v>0</v>
      </c>
      <c r="AU799" s="18">
        <f t="shared" ref="AU799" si="971">AJ799-AM799</f>
        <v>1000000000</v>
      </c>
      <c r="AV799" s="133">
        <f t="shared" ref="AV799" si="972">AM799-AP799</f>
        <v>0</v>
      </c>
      <c r="AW799" s="34">
        <f t="shared" ref="AW799" si="973">AP799-AT799</f>
        <v>0</v>
      </c>
      <c r="AX799" s="123">
        <f t="shared" ref="AX799" si="974">AP799/AJ799</f>
        <v>0</v>
      </c>
    </row>
    <row r="800" spans="1:50" ht="18.75" customHeight="1" x14ac:dyDescent="0.2">
      <c r="AA800" s="16"/>
      <c r="AB800" s="17"/>
      <c r="AC800" s="17"/>
      <c r="AD800" s="18"/>
      <c r="AE800" s="34"/>
      <c r="AF800" s="34"/>
      <c r="AG800" s="34"/>
      <c r="AH800" s="34"/>
      <c r="AI800" s="34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30"/>
      <c r="AU800" s="18"/>
      <c r="AV800" s="34"/>
      <c r="AW800" s="34"/>
      <c r="AX800" s="18"/>
    </row>
    <row r="801" spans="1:50" ht="25.5" x14ac:dyDescent="0.2">
      <c r="AA801" s="16"/>
      <c r="AB801" s="29" t="s">
        <v>637</v>
      </c>
      <c r="AC801" s="17"/>
      <c r="AD801" s="18"/>
      <c r="AE801" s="34"/>
      <c r="AF801" s="34"/>
      <c r="AG801" s="34"/>
      <c r="AH801" s="34"/>
      <c r="AI801" s="34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30"/>
      <c r="AU801" s="18"/>
      <c r="AV801" s="34"/>
      <c r="AW801" s="34"/>
      <c r="AX801" s="18"/>
    </row>
    <row r="802" spans="1:50" ht="18.75" customHeight="1" x14ac:dyDescent="0.2">
      <c r="AA802" s="28" t="s">
        <v>288</v>
      </c>
      <c r="AB802" s="29" t="s">
        <v>667</v>
      </c>
      <c r="AC802" s="17"/>
      <c r="AD802" s="18"/>
      <c r="AE802" s="34"/>
      <c r="AF802" s="34"/>
      <c r="AG802" s="34"/>
      <c r="AH802" s="34"/>
      <c r="AI802" s="34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30"/>
      <c r="AU802" s="18"/>
      <c r="AV802" s="34"/>
      <c r="AW802" s="34"/>
      <c r="AX802" s="18"/>
    </row>
    <row r="803" spans="1:50" ht="18.75" customHeight="1" x14ac:dyDescent="0.2">
      <c r="A803" s="4" t="s">
        <v>55</v>
      </c>
      <c r="B803" s="4" t="s">
        <v>56</v>
      </c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1" t="s">
        <v>671</v>
      </c>
      <c r="AB803" s="42" t="s">
        <v>233</v>
      </c>
      <c r="AC803" s="43" t="s">
        <v>58</v>
      </c>
      <c r="AD803" s="43">
        <v>856200000</v>
      </c>
      <c r="AE803" s="44">
        <v>0</v>
      </c>
      <c r="AF803" s="44">
        <v>0</v>
      </c>
      <c r="AG803" s="44">
        <v>0</v>
      </c>
      <c r="AH803" s="44">
        <v>0</v>
      </c>
      <c r="AI803" s="44">
        <v>0</v>
      </c>
      <c r="AJ803" s="43">
        <v>856200000</v>
      </c>
      <c r="AK803" s="44">
        <v>0</v>
      </c>
      <c r="AL803" s="44">
        <v>0</v>
      </c>
      <c r="AM803" s="44">
        <v>0</v>
      </c>
      <c r="AN803" s="44">
        <v>0</v>
      </c>
      <c r="AO803" s="44">
        <v>0</v>
      </c>
      <c r="AP803" s="44">
        <v>0</v>
      </c>
      <c r="AQ803" s="44">
        <v>0</v>
      </c>
      <c r="AR803" s="44">
        <v>0</v>
      </c>
      <c r="AS803" s="44">
        <v>0</v>
      </c>
      <c r="AT803" s="40">
        <f t="shared" ref="AT803" si="975">AQ803+AS803</f>
        <v>0</v>
      </c>
      <c r="AU803" s="18">
        <f t="shared" ref="AU803" si="976">AJ803-AM803</f>
        <v>856200000</v>
      </c>
      <c r="AV803" s="133">
        <f t="shared" ref="AV803" si="977">AM803-AP803</f>
        <v>0</v>
      </c>
      <c r="AW803" s="34">
        <f t="shared" ref="AW803" si="978">AP803-AT803</f>
        <v>0</v>
      </c>
      <c r="AX803" s="123">
        <f t="shared" ref="AX803" si="979">AP803/AJ803</f>
        <v>0</v>
      </c>
    </row>
    <row r="804" spans="1:50" ht="18.75" customHeight="1" x14ac:dyDescent="0.2">
      <c r="AA804" s="16"/>
      <c r="AB804" s="17"/>
      <c r="AC804" s="17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30"/>
      <c r="AU804" s="18"/>
      <c r="AV804" s="34"/>
      <c r="AW804" s="34"/>
      <c r="AX804" s="18"/>
    </row>
    <row r="805" spans="1:50" ht="18.75" customHeight="1" x14ac:dyDescent="0.2">
      <c r="AA805" s="16"/>
      <c r="AB805" s="29" t="s">
        <v>189</v>
      </c>
      <c r="AC805" s="17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30"/>
      <c r="AU805" s="18"/>
      <c r="AV805" s="34"/>
      <c r="AW805" s="34"/>
      <c r="AX805" s="18"/>
    </row>
    <row r="806" spans="1:50" ht="25.5" x14ac:dyDescent="0.2">
      <c r="AA806" s="16"/>
      <c r="AB806" s="29" t="s">
        <v>197</v>
      </c>
      <c r="AC806" s="17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30"/>
      <c r="AU806" s="18"/>
      <c r="AV806" s="34"/>
      <c r="AW806" s="34"/>
      <c r="AX806" s="18"/>
    </row>
    <row r="807" spans="1:50" ht="18.75" customHeight="1" x14ac:dyDescent="0.2">
      <c r="AA807" s="28" t="s">
        <v>288</v>
      </c>
      <c r="AB807" s="29" t="s">
        <v>667</v>
      </c>
      <c r="AC807" s="17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30"/>
      <c r="AU807" s="18"/>
      <c r="AV807" s="18"/>
      <c r="AW807" s="18"/>
      <c r="AX807" s="18"/>
    </row>
    <row r="808" spans="1:50" ht="18.75" customHeight="1" x14ac:dyDescent="0.2">
      <c r="A808" s="4" t="s">
        <v>55</v>
      </c>
      <c r="B808" s="4" t="s">
        <v>56</v>
      </c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1" t="s">
        <v>672</v>
      </c>
      <c r="AB808" s="42" t="s">
        <v>233</v>
      </c>
      <c r="AC808" s="43" t="s">
        <v>58</v>
      </c>
      <c r="AD808" s="43">
        <v>500000000</v>
      </c>
      <c r="AE808" s="44">
        <v>0</v>
      </c>
      <c r="AF808" s="44">
        <v>0</v>
      </c>
      <c r="AG808" s="44">
        <v>0</v>
      </c>
      <c r="AH808" s="44">
        <v>0</v>
      </c>
      <c r="AI808" s="44">
        <v>0</v>
      </c>
      <c r="AJ808" s="43">
        <v>500000000</v>
      </c>
      <c r="AK808" s="44">
        <v>0</v>
      </c>
      <c r="AL808" s="43">
        <f>AM808-FEBRERO!P787</f>
        <v>-30140256</v>
      </c>
      <c r="AM808" s="43">
        <v>148000000</v>
      </c>
      <c r="AN808" s="43">
        <v>0</v>
      </c>
      <c r="AO808" s="43">
        <v>56000000</v>
      </c>
      <c r="AP808" s="114">
        <v>148000000</v>
      </c>
      <c r="AQ808" s="114">
        <v>14433333</v>
      </c>
      <c r="AR808" s="44">
        <v>6100000</v>
      </c>
      <c r="AS808" s="44">
        <v>6100000</v>
      </c>
      <c r="AT808" s="111">
        <f t="shared" ref="AT808" si="980">AQ808+AS808</f>
        <v>20533333</v>
      </c>
      <c r="AU808" s="18">
        <f t="shared" ref="AU808" si="981">AJ808-AM808</f>
        <v>352000000</v>
      </c>
      <c r="AV808" s="110">
        <f t="shared" ref="AV808" si="982">AM808-AP808</f>
        <v>0</v>
      </c>
      <c r="AW808" s="18">
        <f t="shared" ref="AW808" si="983">AP808-AT808</f>
        <v>127466667</v>
      </c>
      <c r="AX808" s="123">
        <f t="shared" ref="AX808" si="984">AP808/AJ808</f>
        <v>0.29599999999999999</v>
      </c>
    </row>
    <row r="809" spans="1:50" ht="18.75" customHeight="1" x14ac:dyDescent="0.2">
      <c r="AA809" s="16"/>
      <c r="AB809" s="17"/>
      <c r="AC809" s="17"/>
      <c r="AD809" s="18"/>
      <c r="AE809" s="34"/>
      <c r="AF809" s="34"/>
      <c r="AG809" s="34"/>
      <c r="AH809" s="34"/>
      <c r="AI809" s="34"/>
      <c r="AJ809" s="18"/>
      <c r="AK809" s="18"/>
      <c r="AL809" s="18"/>
      <c r="AM809" s="18"/>
      <c r="AN809" s="18"/>
      <c r="AO809" s="18"/>
      <c r="AP809" s="18"/>
      <c r="AQ809" s="34"/>
      <c r="AR809" s="34"/>
      <c r="AS809" s="34"/>
      <c r="AT809" s="31"/>
      <c r="AU809" s="18"/>
      <c r="AV809" s="18"/>
      <c r="AW809" s="18"/>
      <c r="AX809" s="18"/>
    </row>
    <row r="810" spans="1:50" ht="18.75" customHeight="1" x14ac:dyDescent="0.2">
      <c r="AA810" s="16"/>
      <c r="AB810" s="29" t="s">
        <v>199</v>
      </c>
      <c r="AC810" s="17"/>
      <c r="AD810" s="18"/>
      <c r="AE810" s="34"/>
      <c r="AF810" s="34"/>
      <c r="AG810" s="34"/>
      <c r="AH810" s="34"/>
      <c r="AI810" s="34"/>
      <c r="AJ810" s="18"/>
      <c r="AK810" s="18"/>
      <c r="AL810" s="18"/>
      <c r="AM810" s="18"/>
      <c r="AN810" s="18"/>
      <c r="AO810" s="18"/>
      <c r="AP810" s="18"/>
      <c r="AQ810" s="34"/>
      <c r="AR810" s="34"/>
      <c r="AS810" s="34"/>
      <c r="AT810" s="31"/>
      <c r="AU810" s="18"/>
      <c r="AV810" s="18"/>
      <c r="AW810" s="18"/>
      <c r="AX810" s="18"/>
    </row>
    <row r="811" spans="1:50" ht="18.75" customHeight="1" x14ac:dyDescent="0.2">
      <c r="AA811" s="28" t="s">
        <v>288</v>
      </c>
      <c r="AB811" s="29" t="s">
        <v>667</v>
      </c>
      <c r="AC811" s="17"/>
      <c r="AD811" s="18"/>
      <c r="AE811" s="34"/>
      <c r="AF811" s="34"/>
      <c r="AG811" s="34"/>
      <c r="AH811" s="34"/>
      <c r="AI811" s="34"/>
      <c r="AJ811" s="18"/>
      <c r="AK811" s="18"/>
      <c r="AL811" s="18"/>
      <c r="AM811" s="18"/>
      <c r="AN811" s="18"/>
      <c r="AO811" s="18"/>
      <c r="AP811" s="18"/>
      <c r="AQ811" s="34"/>
      <c r="AR811" s="34"/>
      <c r="AS811" s="34"/>
      <c r="AT811" s="31"/>
      <c r="AU811" s="18"/>
      <c r="AV811" s="18"/>
      <c r="AW811" s="18"/>
      <c r="AX811" s="18"/>
    </row>
    <row r="812" spans="1:50" ht="18.75" customHeight="1" x14ac:dyDescent="0.2">
      <c r="A812" s="4" t="s">
        <v>55</v>
      </c>
      <c r="B812" s="4" t="s">
        <v>56</v>
      </c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1" t="s">
        <v>673</v>
      </c>
      <c r="AB812" s="42" t="s">
        <v>233</v>
      </c>
      <c r="AC812" s="43" t="s">
        <v>58</v>
      </c>
      <c r="AD812" s="43">
        <v>121800000</v>
      </c>
      <c r="AE812" s="44">
        <v>0</v>
      </c>
      <c r="AF812" s="44">
        <v>0</v>
      </c>
      <c r="AG812" s="44">
        <v>0</v>
      </c>
      <c r="AH812" s="44">
        <v>0</v>
      </c>
      <c r="AI812" s="44">
        <v>0</v>
      </c>
      <c r="AJ812" s="43">
        <v>121800000</v>
      </c>
      <c r="AK812" s="44">
        <v>0</v>
      </c>
      <c r="AL812" s="44">
        <v>0</v>
      </c>
      <c r="AM812" s="44">
        <v>0</v>
      </c>
      <c r="AN812" s="44">
        <v>0</v>
      </c>
      <c r="AO812" s="44">
        <v>0</v>
      </c>
      <c r="AP812" s="44">
        <v>0</v>
      </c>
      <c r="AQ812" s="44">
        <v>0</v>
      </c>
      <c r="AR812" s="44">
        <v>0</v>
      </c>
      <c r="AS812" s="44">
        <v>0</v>
      </c>
      <c r="AT812" s="40">
        <f t="shared" ref="AT812" si="985">AQ812+AS812</f>
        <v>0</v>
      </c>
      <c r="AU812" s="18">
        <f t="shared" ref="AU812" si="986">AJ812-AM812</f>
        <v>121800000</v>
      </c>
      <c r="AV812" s="133">
        <f t="shared" ref="AV812" si="987">AM812-AP812</f>
        <v>0</v>
      </c>
      <c r="AW812" s="34">
        <f t="shared" ref="AW812" si="988">AP812-AT812</f>
        <v>0</v>
      </c>
      <c r="AX812" s="123">
        <f t="shared" ref="AX812" si="989">AP812/AJ812</f>
        <v>0</v>
      </c>
    </row>
    <row r="813" spans="1:50" ht="18.75" customHeight="1" x14ac:dyDescent="0.2">
      <c r="AA813" s="16"/>
      <c r="AB813" s="17"/>
      <c r="AC813" s="17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34"/>
      <c r="AR813" s="34"/>
      <c r="AS813" s="34"/>
      <c r="AT813" s="31"/>
      <c r="AU813" s="18"/>
      <c r="AV813" s="18"/>
      <c r="AW813" s="18"/>
      <c r="AX813" s="18"/>
    </row>
    <row r="814" spans="1:50" s="50" customFormat="1" ht="18.75" customHeight="1" x14ac:dyDescent="0.2"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46"/>
      <c r="AB814" s="47" t="s">
        <v>674</v>
      </c>
      <c r="AC814" s="47"/>
      <c r="AD814" s="48">
        <f t="shared" ref="AD814:AS814" si="990">SUM(AD646:AD813)</f>
        <v>18199312591</v>
      </c>
      <c r="AE814" s="49">
        <f t="shared" si="990"/>
        <v>0</v>
      </c>
      <c r="AF814" s="49">
        <f t="shared" si="990"/>
        <v>0</v>
      </c>
      <c r="AG814" s="48">
        <f t="shared" si="990"/>
        <v>2086729391</v>
      </c>
      <c r="AH814" s="48">
        <f t="shared" si="990"/>
        <v>1786729391</v>
      </c>
      <c r="AI814" s="49">
        <f t="shared" si="990"/>
        <v>300000000</v>
      </c>
      <c r="AJ814" s="48">
        <f t="shared" si="990"/>
        <v>18499312591</v>
      </c>
      <c r="AK814" s="49">
        <f t="shared" si="990"/>
        <v>0</v>
      </c>
      <c r="AL814" s="48">
        <f t="shared" si="990"/>
        <v>525682621.26999998</v>
      </c>
      <c r="AM814" s="48">
        <f t="shared" si="990"/>
        <v>5922455766.2700005</v>
      </c>
      <c r="AN814" s="48">
        <f t="shared" si="990"/>
        <v>85103097.109999999</v>
      </c>
      <c r="AO814" s="48">
        <f t="shared" si="990"/>
        <v>1266424394.6500001</v>
      </c>
      <c r="AP814" s="48">
        <f t="shared" si="990"/>
        <v>3916216301.6500001</v>
      </c>
      <c r="AQ814" s="121">
        <f t="shared" si="990"/>
        <v>356449998</v>
      </c>
      <c r="AR814" s="121">
        <f t="shared" si="990"/>
        <v>284119755</v>
      </c>
      <c r="AS814" s="121">
        <f t="shared" si="990"/>
        <v>360872229</v>
      </c>
      <c r="AT814" s="108">
        <f>AQ814+AS814</f>
        <v>717322227</v>
      </c>
      <c r="AU814" s="48">
        <f>SUM(AU646:AU813)</f>
        <v>12576856824.730001</v>
      </c>
      <c r="AV814" s="48">
        <f>SUM(AV646:AV813)</f>
        <v>2006239464.6199999</v>
      </c>
      <c r="AW814" s="48">
        <f>SUM(AW646:AW813)</f>
        <v>3198894074.6500001</v>
      </c>
      <c r="AX814" s="24">
        <f t="shared" ref="AX814" si="991">AP814/AJ814</f>
        <v>0.2116952336680476</v>
      </c>
    </row>
    <row r="815" spans="1:50" s="79" customFormat="1" ht="18.75" customHeight="1" x14ac:dyDescent="0.2"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  <c r="AA815" s="81"/>
      <c r="AB815" s="82"/>
      <c r="AC815" s="82"/>
      <c r="AD815" s="83"/>
      <c r="AE815" s="83"/>
      <c r="AF815" s="83"/>
      <c r="AG815" s="83"/>
      <c r="AH815" s="83"/>
      <c r="AI815" s="83"/>
      <c r="AJ815" s="83"/>
      <c r="AK815" s="83"/>
      <c r="AL815" s="83"/>
      <c r="AM815" s="83"/>
      <c r="AN815" s="83"/>
      <c r="AO815" s="83"/>
      <c r="AP815" s="83"/>
      <c r="AQ815" s="83"/>
      <c r="AR815" s="83"/>
      <c r="AS815" s="83"/>
      <c r="AT815" s="83"/>
      <c r="AU815" s="83"/>
      <c r="AV815" s="83"/>
      <c r="AW815" s="83"/>
      <c r="AX815" s="83"/>
    </row>
    <row r="816" spans="1:50" s="25" customFormat="1" ht="18.75" customHeight="1" x14ac:dyDescent="0.2"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66"/>
      <c r="AB816" s="21" t="s">
        <v>675</v>
      </c>
      <c r="AC816" s="67"/>
      <c r="AD816" s="63"/>
      <c r="AE816" s="63"/>
      <c r="AF816" s="63"/>
      <c r="AG816" s="63"/>
      <c r="AH816" s="63"/>
      <c r="AI816" s="63"/>
      <c r="AJ816" s="63"/>
      <c r="AK816" s="63"/>
      <c r="AL816" s="63"/>
      <c r="AM816" s="63"/>
      <c r="AN816" s="63"/>
      <c r="AO816" s="63"/>
      <c r="AP816" s="63"/>
      <c r="AQ816" s="63"/>
      <c r="AR816" s="63"/>
      <c r="AS816" s="63"/>
      <c r="AT816" s="63"/>
      <c r="AU816" s="63"/>
      <c r="AV816" s="63"/>
      <c r="AW816" s="63"/>
      <c r="AX816" s="63"/>
    </row>
    <row r="817" spans="1:50" ht="18.75" customHeight="1" x14ac:dyDescent="0.2">
      <c r="AA817" s="16"/>
      <c r="AB817" s="29" t="s">
        <v>676</v>
      </c>
      <c r="AC817" s="17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</row>
    <row r="818" spans="1:50" ht="18.75" customHeight="1" x14ac:dyDescent="0.2">
      <c r="AA818" s="16"/>
      <c r="AB818" s="29" t="s">
        <v>286</v>
      </c>
      <c r="AC818" s="17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</row>
    <row r="819" spans="1:50" ht="18.75" customHeight="1" x14ac:dyDescent="0.2">
      <c r="AA819" s="16"/>
      <c r="AB819" s="29" t="s">
        <v>179</v>
      </c>
      <c r="AC819" s="17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</row>
    <row r="820" spans="1:50" ht="18.75" customHeight="1" x14ac:dyDescent="0.2">
      <c r="AA820" s="16"/>
      <c r="AB820" s="29" t="s">
        <v>181</v>
      </c>
      <c r="AC820" s="17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</row>
    <row r="821" spans="1:50" ht="18.75" customHeight="1" x14ac:dyDescent="0.2">
      <c r="AA821" s="16"/>
      <c r="AB821" s="29" t="s">
        <v>187</v>
      </c>
      <c r="AC821" s="17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30"/>
      <c r="AU821" s="18"/>
      <c r="AV821" s="18"/>
      <c r="AW821" s="18"/>
      <c r="AX821" s="18"/>
    </row>
    <row r="822" spans="1:50" ht="18.75" customHeight="1" x14ac:dyDescent="0.2">
      <c r="AA822" s="28" t="s">
        <v>288</v>
      </c>
      <c r="AB822" s="29" t="s">
        <v>292</v>
      </c>
      <c r="AC822" s="17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30"/>
      <c r="AU822" s="18"/>
      <c r="AV822" s="18"/>
      <c r="AW822" s="18"/>
      <c r="AX822" s="18"/>
    </row>
    <row r="823" spans="1:50" ht="18.75" customHeight="1" x14ac:dyDescent="0.2">
      <c r="A823" s="4" t="s">
        <v>55</v>
      </c>
      <c r="B823" s="4" t="s">
        <v>56</v>
      </c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1" t="s">
        <v>677</v>
      </c>
      <c r="AB823" s="42" t="s">
        <v>233</v>
      </c>
      <c r="AC823" s="43" t="s">
        <v>58</v>
      </c>
      <c r="AD823" s="43">
        <v>10000000</v>
      </c>
      <c r="AE823" s="44">
        <v>0</v>
      </c>
      <c r="AF823" s="44">
        <v>0</v>
      </c>
      <c r="AG823" s="44">
        <v>0</v>
      </c>
      <c r="AH823" s="44">
        <v>0</v>
      </c>
      <c r="AI823" s="44">
        <v>0</v>
      </c>
      <c r="AJ823" s="43">
        <v>10000000</v>
      </c>
      <c r="AK823" s="44">
        <v>0</v>
      </c>
      <c r="AL823" s="44">
        <v>0</v>
      </c>
      <c r="AM823" s="44">
        <v>0</v>
      </c>
      <c r="AN823" s="44">
        <v>0</v>
      </c>
      <c r="AO823" s="44">
        <v>0</v>
      </c>
      <c r="AP823" s="44">
        <v>0</v>
      </c>
      <c r="AQ823" s="44">
        <v>0</v>
      </c>
      <c r="AR823" s="44">
        <v>0</v>
      </c>
      <c r="AS823" s="44">
        <v>0</v>
      </c>
      <c r="AT823" s="40">
        <f t="shared" ref="AT823" si="992">AQ823+AS823</f>
        <v>0</v>
      </c>
      <c r="AU823" s="18">
        <f t="shared" ref="AU823" si="993">AJ823-AM823</f>
        <v>10000000</v>
      </c>
      <c r="AV823" s="133">
        <f t="shared" ref="AV823" si="994">AM823-AP823</f>
        <v>0</v>
      </c>
      <c r="AW823" s="34">
        <f t="shared" ref="AW823" si="995">AP823-AT823</f>
        <v>0</v>
      </c>
      <c r="AX823" s="123">
        <f t="shared" ref="AX823" si="996">AP823/AJ823</f>
        <v>0</v>
      </c>
    </row>
    <row r="824" spans="1:50" ht="25.5" x14ac:dyDescent="0.2">
      <c r="AA824" s="28" t="s">
        <v>288</v>
      </c>
      <c r="AB824" s="29" t="s">
        <v>678</v>
      </c>
      <c r="AC824" s="17"/>
      <c r="AD824" s="18"/>
      <c r="AE824" s="18"/>
      <c r="AF824" s="18"/>
      <c r="AG824" s="18"/>
      <c r="AH824" s="18"/>
      <c r="AI824" s="18"/>
      <c r="AJ824" s="18"/>
      <c r="AK824" s="34"/>
      <c r="AL824" s="34"/>
      <c r="AM824" s="34"/>
      <c r="AN824" s="34"/>
      <c r="AO824" s="34"/>
      <c r="AP824" s="34"/>
      <c r="AQ824" s="34"/>
      <c r="AR824" s="34"/>
      <c r="AS824" s="34"/>
      <c r="AT824" s="40"/>
      <c r="AU824" s="18"/>
      <c r="AV824" s="34"/>
      <c r="AW824" s="34"/>
      <c r="AX824" s="18"/>
    </row>
    <row r="825" spans="1:50" x14ac:dyDescent="0.2">
      <c r="A825" s="4" t="s">
        <v>55</v>
      </c>
      <c r="B825" s="4" t="s">
        <v>56</v>
      </c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1" t="s">
        <v>981</v>
      </c>
      <c r="AB825" s="42" t="s">
        <v>233</v>
      </c>
      <c r="AC825" s="43" t="s">
        <v>58</v>
      </c>
      <c r="AD825" s="43">
        <v>14000000</v>
      </c>
      <c r="AE825" s="44">
        <v>0</v>
      </c>
      <c r="AF825" s="44">
        <v>0</v>
      </c>
      <c r="AG825" s="44">
        <v>0</v>
      </c>
      <c r="AH825" s="44">
        <v>0</v>
      </c>
      <c r="AI825" s="44">
        <v>0</v>
      </c>
      <c r="AJ825" s="43">
        <v>14000000</v>
      </c>
      <c r="AK825" s="44">
        <v>0</v>
      </c>
      <c r="AL825" s="44">
        <v>0</v>
      </c>
      <c r="AM825" s="44">
        <v>0</v>
      </c>
      <c r="AN825" s="44">
        <v>0</v>
      </c>
      <c r="AO825" s="44">
        <v>0</v>
      </c>
      <c r="AP825" s="44">
        <v>0</v>
      </c>
      <c r="AQ825" s="44">
        <v>0</v>
      </c>
      <c r="AR825" s="44">
        <v>0</v>
      </c>
      <c r="AS825" s="44">
        <v>0</v>
      </c>
      <c r="AT825" s="40">
        <f t="shared" ref="AT825:AT848" si="997">AQ825+AS825</f>
        <v>0</v>
      </c>
      <c r="AU825" s="18">
        <f t="shared" ref="AU825" si="998">AJ825-AM825</f>
        <v>14000000</v>
      </c>
      <c r="AV825" s="133">
        <f t="shared" ref="AV825" si="999">AM825-AP825</f>
        <v>0</v>
      </c>
      <c r="AW825" s="34">
        <f t="shared" ref="AW825" si="1000">AP825-AT825</f>
        <v>0</v>
      </c>
      <c r="AX825" s="123">
        <f t="shared" ref="AX825" si="1001">AP825/AJ825</f>
        <v>0</v>
      </c>
    </row>
    <row r="826" spans="1:50" x14ac:dyDescent="0.2">
      <c r="AA826" s="16"/>
      <c r="AB826" s="17"/>
      <c r="AC826" s="17"/>
      <c r="AD826" s="18"/>
      <c r="AE826" s="34"/>
      <c r="AF826" s="34"/>
      <c r="AG826" s="34"/>
      <c r="AH826" s="34"/>
      <c r="AI826" s="34"/>
      <c r="AJ826" s="18"/>
      <c r="AK826" s="34"/>
      <c r="AL826" s="34"/>
      <c r="AM826" s="34"/>
      <c r="AN826" s="34"/>
      <c r="AO826" s="34"/>
      <c r="AP826" s="34"/>
      <c r="AQ826" s="18"/>
      <c r="AR826" s="18"/>
      <c r="AS826" s="18"/>
      <c r="AT826" s="30"/>
      <c r="AU826" s="18"/>
      <c r="AV826" s="18"/>
      <c r="AW826" s="18"/>
      <c r="AX826" s="18"/>
    </row>
    <row r="827" spans="1:50" x14ac:dyDescent="0.2">
      <c r="AA827" s="16"/>
      <c r="AB827" s="29" t="s">
        <v>189</v>
      </c>
      <c r="AC827" s="17"/>
      <c r="AD827" s="18"/>
      <c r="AE827" s="34"/>
      <c r="AF827" s="34"/>
      <c r="AG827" s="34"/>
      <c r="AH827" s="34"/>
      <c r="AI827" s="34"/>
      <c r="AJ827" s="18"/>
      <c r="AK827" s="34"/>
      <c r="AL827" s="34"/>
      <c r="AM827" s="34"/>
      <c r="AN827" s="34"/>
      <c r="AO827" s="34"/>
      <c r="AP827" s="34"/>
      <c r="AQ827" s="18"/>
      <c r="AR827" s="18"/>
      <c r="AS827" s="18"/>
      <c r="AT827" s="30"/>
      <c r="AU827" s="18"/>
      <c r="AV827" s="18"/>
      <c r="AW827" s="18"/>
      <c r="AX827" s="18"/>
    </row>
    <row r="828" spans="1:50" ht="25.5" x14ac:dyDescent="0.2">
      <c r="AA828" s="16"/>
      <c r="AB828" s="29" t="s">
        <v>197</v>
      </c>
      <c r="AC828" s="17"/>
      <c r="AD828" s="18"/>
      <c r="AE828" s="34"/>
      <c r="AF828" s="34"/>
      <c r="AG828" s="34"/>
      <c r="AH828" s="34"/>
      <c r="AI828" s="34"/>
      <c r="AJ828" s="18"/>
      <c r="AK828" s="34"/>
      <c r="AL828" s="34"/>
      <c r="AM828" s="34"/>
      <c r="AN828" s="34"/>
      <c r="AO828" s="34"/>
      <c r="AP828" s="34"/>
      <c r="AQ828" s="18"/>
      <c r="AR828" s="18"/>
      <c r="AS828" s="18"/>
      <c r="AT828" s="30"/>
      <c r="AU828" s="18"/>
      <c r="AV828" s="18"/>
      <c r="AW828" s="18"/>
      <c r="AX828" s="18"/>
    </row>
    <row r="829" spans="1:50" x14ac:dyDescent="0.2">
      <c r="AA829" s="28" t="s">
        <v>288</v>
      </c>
      <c r="AB829" s="29" t="s">
        <v>292</v>
      </c>
      <c r="AC829" s="17"/>
      <c r="AD829" s="18"/>
      <c r="AE829" s="34"/>
      <c r="AF829" s="34"/>
      <c r="AG829" s="34"/>
      <c r="AH829" s="34"/>
      <c r="AI829" s="34"/>
      <c r="AJ829" s="18"/>
      <c r="AK829" s="34"/>
      <c r="AL829" s="34"/>
      <c r="AM829" s="34"/>
      <c r="AN829" s="34"/>
      <c r="AO829" s="34"/>
      <c r="AP829" s="34"/>
      <c r="AQ829" s="18"/>
      <c r="AR829" s="18"/>
      <c r="AS829" s="18"/>
      <c r="AT829" s="30"/>
      <c r="AU829" s="18"/>
      <c r="AV829" s="18"/>
      <c r="AW829" s="18"/>
      <c r="AX829" s="18"/>
    </row>
    <row r="830" spans="1:50" x14ac:dyDescent="0.2">
      <c r="A830" s="4" t="s">
        <v>55</v>
      </c>
      <c r="B830" s="4" t="s">
        <v>56</v>
      </c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1" t="s">
        <v>680</v>
      </c>
      <c r="AB830" s="42" t="s">
        <v>233</v>
      </c>
      <c r="AC830" s="43" t="s">
        <v>58</v>
      </c>
      <c r="AD830" s="43">
        <v>90000000</v>
      </c>
      <c r="AE830" s="44">
        <v>0</v>
      </c>
      <c r="AF830" s="44">
        <v>0</v>
      </c>
      <c r="AG830" s="44">
        <v>0</v>
      </c>
      <c r="AH830" s="44">
        <v>0</v>
      </c>
      <c r="AI830" s="44">
        <v>0</v>
      </c>
      <c r="AJ830" s="43">
        <v>90000000</v>
      </c>
      <c r="AK830" s="44">
        <v>0</v>
      </c>
      <c r="AL830" s="44">
        <v>0</v>
      </c>
      <c r="AM830" s="44">
        <v>0</v>
      </c>
      <c r="AN830" s="44">
        <v>0</v>
      </c>
      <c r="AO830" s="44">
        <v>0</v>
      </c>
      <c r="AP830" s="44">
        <v>0</v>
      </c>
      <c r="AQ830" s="44">
        <v>0</v>
      </c>
      <c r="AR830" s="44">
        <v>0</v>
      </c>
      <c r="AS830" s="44">
        <v>0</v>
      </c>
      <c r="AT830" s="40">
        <f t="shared" ref="AT830" si="1002">AQ830+AS830</f>
        <v>0</v>
      </c>
      <c r="AU830" s="18">
        <f t="shared" ref="AU830" si="1003">AJ830-AM830</f>
        <v>90000000</v>
      </c>
      <c r="AV830" s="133">
        <f t="shared" ref="AV830" si="1004">AM830-AP830</f>
        <v>0</v>
      </c>
      <c r="AW830" s="34">
        <f t="shared" ref="AW830" si="1005">AP830-AT830</f>
        <v>0</v>
      </c>
      <c r="AX830" s="123">
        <f t="shared" ref="AX830" si="1006">AP830/AJ830</f>
        <v>0</v>
      </c>
    </row>
    <row r="831" spans="1:50" ht="25.5" x14ac:dyDescent="0.2">
      <c r="AA831" s="28" t="s">
        <v>288</v>
      </c>
      <c r="AB831" s="29" t="s">
        <v>678</v>
      </c>
      <c r="AC831" s="17"/>
      <c r="AD831" s="18"/>
      <c r="AE831" s="34"/>
      <c r="AF831" s="34"/>
      <c r="AG831" s="34"/>
      <c r="AH831" s="34"/>
      <c r="AI831" s="34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30"/>
      <c r="AU831" s="18"/>
      <c r="AV831" s="18"/>
      <c r="AW831" s="18"/>
      <c r="AX831" s="18"/>
    </row>
    <row r="832" spans="1:50" x14ac:dyDescent="0.2">
      <c r="A832" s="4" t="s">
        <v>55</v>
      </c>
      <c r="B832" s="4" t="s">
        <v>56</v>
      </c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1" t="s">
        <v>681</v>
      </c>
      <c r="AB832" s="42" t="s">
        <v>233</v>
      </c>
      <c r="AC832" s="43" t="s">
        <v>58</v>
      </c>
      <c r="AD832" s="43">
        <v>4085500000</v>
      </c>
      <c r="AE832" s="44">
        <v>0</v>
      </c>
      <c r="AF832" s="44">
        <v>0</v>
      </c>
      <c r="AG832" s="43">
        <v>2080000000</v>
      </c>
      <c r="AH832" s="43">
        <v>1800000000</v>
      </c>
      <c r="AI832" s="43">
        <f>AE832-AF832+AG832-AH832</f>
        <v>280000000</v>
      </c>
      <c r="AJ832" s="43">
        <f>AD832+AI832</f>
        <v>4365500000</v>
      </c>
      <c r="AK832" s="44">
        <v>0</v>
      </c>
      <c r="AL832" s="43">
        <v>159000000</v>
      </c>
      <c r="AM832" s="43">
        <v>938150000</v>
      </c>
      <c r="AN832" s="43">
        <v>0</v>
      </c>
      <c r="AO832" s="43">
        <v>215000000</v>
      </c>
      <c r="AP832" s="43">
        <v>938150000</v>
      </c>
      <c r="AQ832" s="43">
        <v>102950000</v>
      </c>
      <c r="AR832" s="43">
        <v>76349999</v>
      </c>
      <c r="AS832" s="43">
        <v>80923332</v>
      </c>
      <c r="AT832" s="111">
        <f t="shared" ref="AT832" si="1007">AQ832+AS832</f>
        <v>183873332</v>
      </c>
      <c r="AU832" s="18">
        <f t="shared" ref="AU832" si="1008">AJ832-AM832</f>
        <v>3427350000</v>
      </c>
      <c r="AV832" s="110">
        <f t="shared" ref="AV832" si="1009">AM832-AP832</f>
        <v>0</v>
      </c>
      <c r="AW832" s="18">
        <f t="shared" ref="AW832" si="1010">AP832-AT832</f>
        <v>754276668</v>
      </c>
      <c r="AX832" s="123">
        <f t="shared" ref="AX832" si="1011">AP832/AJ832</f>
        <v>0.2149009277287825</v>
      </c>
    </row>
    <row r="833" spans="1:50" ht="25.5" x14ac:dyDescent="0.2">
      <c r="AA833" s="28" t="s">
        <v>288</v>
      </c>
      <c r="AB833" s="29" t="s">
        <v>682</v>
      </c>
      <c r="AC833" s="17"/>
      <c r="AD833" s="18"/>
      <c r="AE833" s="34"/>
      <c r="AF833" s="34"/>
      <c r="AG833" s="34"/>
      <c r="AH833" s="34"/>
      <c r="AI833" s="34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31"/>
      <c r="AU833" s="18"/>
      <c r="AV833" s="18"/>
      <c r="AW833" s="18"/>
      <c r="AX833" s="18"/>
    </row>
    <row r="834" spans="1:50" x14ac:dyDescent="0.2">
      <c r="A834" s="4" t="s">
        <v>55</v>
      </c>
      <c r="B834" s="4" t="s">
        <v>56</v>
      </c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1" t="s">
        <v>683</v>
      </c>
      <c r="AB834" s="42" t="s">
        <v>233</v>
      </c>
      <c r="AC834" s="43" t="s">
        <v>58</v>
      </c>
      <c r="AD834" s="43">
        <v>467600000</v>
      </c>
      <c r="AE834" s="44">
        <v>0</v>
      </c>
      <c r="AF834" s="44">
        <v>0</v>
      </c>
      <c r="AG834" s="43">
        <v>2580000000</v>
      </c>
      <c r="AH834" s="43">
        <v>2240000000</v>
      </c>
      <c r="AI834" s="43">
        <f>AE834-AF834+AG834-AH834</f>
        <v>340000000</v>
      </c>
      <c r="AJ834" s="43">
        <f>AD834+AI834</f>
        <v>807600000</v>
      </c>
      <c r="AK834" s="44">
        <v>0</v>
      </c>
      <c r="AL834" s="44">
        <v>0</v>
      </c>
      <c r="AM834" s="43">
        <v>428050000</v>
      </c>
      <c r="AN834" s="43">
        <v>0</v>
      </c>
      <c r="AO834" s="43">
        <v>45800000</v>
      </c>
      <c r="AP834" s="43">
        <v>396550000</v>
      </c>
      <c r="AQ834" s="43">
        <v>62000000</v>
      </c>
      <c r="AR834" s="43">
        <v>34500000</v>
      </c>
      <c r="AS834" s="43">
        <v>34800000</v>
      </c>
      <c r="AT834" s="111">
        <f t="shared" ref="AT834" si="1012">AQ834+AS834</f>
        <v>96800000</v>
      </c>
      <c r="AU834" s="18">
        <f t="shared" ref="AU834" si="1013">AJ834-AM834</f>
        <v>379550000</v>
      </c>
      <c r="AV834" s="110">
        <f t="shared" ref="AV834" si="1014">AM834-AP834</f>
        <v>31500000</v>
      </c>
      <c r="AW834" s="18">
        <f t="shared" ref="AW834" si="1015">AP834-AT834</f>
        <v>299750000</v>
      </c>
      <c r="AX834" s="123">
        <f t="shared" ref="AX834" si="1016">AP834/AJ834</f>
        <v>0.49102278355621592</v>
      </c>
    </row>
    <row r="835" spans="1:50" ht="25.5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73" t="s">
        <v>288</v>
      </c>
      <c r="AB835" s="74" t="s">
        <v>197</v>
      </c>
      <c r="AC835" s="43"/>
      <c r="AD835" s="43"/>
      <c r="AE835" s="44"/>
      <c r="AF835" s="44"/>
      <c r="AG835" s="43"/>
      <c r="AH835" s="43"/>
      <c r="AI835" s="43"/>
      <c r="AJ835" s="43"/>
      <c r="AK835" s="44"/>
      <c r="AL835" s="43"/>
      <c r="AM835" s="43"/>
      <c r="AN835" s="43"/>
      <c r="AO835" s="43"/>
      <c r="AP835" s="43"/>
      <c r="AQ835" s="44"/>
      <c r="AR835" s="114"/>
      <c r="AS835" s="114"/>
      <c r="AT835" s="111"/>
      <c r="AU835" s="18"/>
      <c r="AV835" s="110"/>
      <c r="AW835" s="18"/>
      <c r="AX835" s="123"/>
    </row>
    <row r="836" spans="1:50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1" t="s">
        <v>305</v>
      </c>
      <c r="AB836" s="42" t="s">
        <v>233</v>
      </c>
      <c r="AC836" s="43"/>
      <c r="AD836" s="43">
        <v>0</v>
      </c>
      <c r="AE836" s="44">
        <v>0</v>
      </c>
      <c r="AF836" s="44">
        <v>0</v>
      </c>
      <c r="AG836" s="43">
        <v>1800000000</v>
      </c>
      <c r="AH836" s="43">
        <v>0</v>
      </c>
      <c r="AI836" s="43">
        <f>AE836-AF836+AG836-AH836</f>
        <v>1800000000</v>
      </c>
      <c r="AJ836" s="43">
        <f>AD836+AI836</f>
        <v>1800000000</v>
      </c>
      <c r="AK836" s="44">
        <v>0</v>
      </c>
      <c r="AL836" s="43">
        <v>1800000000</v>
      </c>
      <c r="AM836" s="43">
        <v>1800000000</v>
      </c>
      <c r="AN836" s="43">
        <v>0</v>
      </c>
      <c r="AO836" s="43">
        <v>1800000000</v>
      </c>
      <c r="AP836" s="43">
        <v>1800000000</v>
      </c>
      <c r="AQ836" s="44">
        <v>0</v>
      </c>
      <c r="AR836" s="114">
        <v>0</v>
      </c>
      <c r="AS836" s="114">
        <v>0</v>
      </c>
      <c r="AT836" s="111">
        <f t="shared" ref="AT836" si="1017">AQ836+AS836</f>
        <v>0</v>
      </c>
      <c r="AU836" s="18">
        <f t="shared" ref="AU836" si="1018">AJ836-AM836</f>
        <v>0</v>
      </c>
      <c r="AV836" s="110">
        <f t="shared" ref="AV836" si="1019">AM836-AP836</f>
        <v>0</v>
      </c>
      <c r="AW836" s="18">
        <f t="shared" ref="AW836" si="1020">AP836-AT836</f>
        <v>1800000000</v>
      </c>
      <c r="AX836" s="123">
        <f t="shared" ref="AX836" si="1021">AP836/AJ836</f>
        <v>1</v>
      </c>
    </row>
    <row r="837" spans="1:50" x14ac:dyDescent="0.2">
      <c r="AA837" s="28" t="s">
        <v>288</v>
      </c>
      <c r="AB837" s="68" t="s">
        <v>684</v>
      </c>
      <c r="AC837" s="17"/>
      <c r="AD837" s="18"/>
      <c r="AE837" s="34"/>
      <c r="AF837" s="34"/>
      <c r="AG837" s="34"/>
      <c r="AH837" s="34"/>
      <c r="AI837" s="34"/>
      <c r="AJ837" s="18"/>
      <c r="AK837" s="34"/>
      <c r="AL837" s="18"/>
      <c r="AM837" s="18"/>
      <c r="AN837" s="18"/>
      <c r="AO837" s="18"/>
      <c r="AP837" s="18"/>
      <c r="AQ837" s="34"/>
      <c r="AR837" s="34"/>
      <c r="AS837" s="34"/>
      <c r="AT837" s="31"/>
      <c r="AU837" s="18"/>
      <c r="AV837" s="18"/>
      <c r="AW837" s="18"/>
      <c r="AX837" s="18"/>
    </row>
    <row r="838" spans="1:50" x14ac:dyDescent="0.2">
      <c r="A838" s="4" t="s">
        <v>55</v>
      </c>
      <c r="B838" s="4" t="s">
        <v>56</v>
      </c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1" t="s">
        <v>685</v>
      </c>
      <c r="AB838" s="69" t="s">
        <v>233</v>
      </c>
      <c r="AC838" s="43" t="s">
        <v>58</v>
      </c>
      <c r="AD838" s="43">
        <v>6107898530</v>
      </c>
      <c r="AE838" s="44">
        <v>0</v>
      </c>
      <c r="AF838" s="44">
        <v>0</v>
      </c>
      <c r="AG838" s="44">
        <v>0</v>
      </c>
      <c r="AH838" s="44">
        <v>0</v>
      </c>
      <c r="AI838" s="44">
        <v>0</v>
      </c>
      <c r="AJ838" s="43">
        <v>6107898530</v>
      </c>
      <c r="AK838" s="44">
        <v>0</v>
      </c>
      <c r="AL838" s="44">
        <v>0</v>
      </c>
      <c r="AM838" s="44">
        <v>0</v>
      </c>
      <c r="AN838" s="43">
        <v>0</v>
      </c>
      <c r="AO838" s="43">
        <v>0</v>
      </c>
      <c r="AP838" s="43">
        <v>0</v>
      </c>
      <c r="AQ838" s="44">
        <v>0</v>
      </c>
      <c r="AR838" s="44">
        <v>0</v>
      </c>
      <c r="AS838" s="44">
        <v>0</v>
      </c>
      <c r="AT838" s="40">
        <f t="shared" ref="AT838" si="1022">AQ838+AS838</f>
        <v>0</v>
      </c>
      <c r="AU838" s="18">
        <f t="shared" ref="AU838" si="1023">AJ838-AM838</f>
        <v>6107898530</v>
      </c>
      <c r="AV838" s="133">
        <f t="shared" ref="AV838" si="1024">AM838-AP838</f>
        <v>0</v>
      </c>
      <c r="AW838" s="34">
        <f t="shared" ref="AW838" si="1025">AP838-AT838</f>
        <v>0</v>
      </c>
      <c r="AX838" s="123">
        <f t="shared" ref="AX838" si="1026">AP838/AJ838</f>
        <v>0</v>
      </c>
    </row>
    <row r="839" spans="1:50" ht="25.5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73" t="s">
        <v>288</v>
      </c>
      <c r="AB839" s="82" t="s">
        <v>197</v>
      </c>
      <c r="AC839" s="43"/>
      <c r="AD839" s="43"/>
      <c r="AE839" s="44"/>
      <c r="AF839" s="44"/>
      <c r="AG839" s="44"/>
      <c r="AH839" s="44"/>
      <c r="AI839" s="44"/>
      <c r="AJ839" s="43"/>
      <c r="AK839" s="44"/>
      <c r="AL839" s="44"/>
      <c r="AM839" s="44"/>
      <c r="AN839" s="43"/>
      <c r="AO839" s="43"/>
      <c r="AP839" s="43"/>
      <c r="AQ839" s="44"/>
      <c r="AR839" s="44"/>
      <c r="AS839" s="44"/>
      <c r="AT839" s="40"/>
      <c r="AU839" s="18"/>
      <c r="AV839" s="133"/>
      <c r="AW839" s="34"/>
      <c r="AX839" s="123"/>
    </row>
    <row r="840" spans="1:50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1" t="s">
        <v>974</v>
      </c>
      <c r="AB840" s="69" t="s">
        <v>233</v>
      </c>
      <c r="AC840" s="43"/>
      <c r="AD840" s="43">
        <v>0</v>
      </c>
      <c r="AE840" s="44">
        <v>0</v>
      </c>
      <c r="AF840" s="44">
        <v>0</v>
      </c>
      <c r="AG840" s="43">
        <v>2240000000</v>
      </c>
      <c r="AH840" s="44"/>
      <c r="AI840" s="43">
        <f>AE840-AF840+AG840-AH840</f>
        <v>2240000000</v>
      </c>
      <c r="AJ840" s="43">
        <f>AD840+AI840</f>
        <v>2240000000</v>
      </c>
      <c r="AK840" s="44">
        <v>0</v>
      </c>
      <c r="AL840" s="44">
        <v>320123215</v>
      </c>
      <c r="AM840" s="44">
        <v>320123215</v>
      </c>
      <c r="AN840" s="43">
        <v>0</v>
      </c>
      <c r="AO840" s="43">
        <v>0</v>
      </c>
      <c r="AP840" s="43">
        <v>0</v>
      </c>
      <c r="AQ840" s="44">
        <v>0</v>
      </c>
      <c r="AR840" s="44">
        <v>0</v>
      </c>
      <c r="AS840" s="44">
        <v>0</v>
      </c>
      <c r="AT840" s="111">
        <f t="shared" ref="AT840" si="1027">AQ840+AS840</f>
        <v>0</v>
      </c>
      <c r="AU840" s="110">
        <f t="shared" ref="AU840" si="1028">AJ840-AM840</f>
        <v>1919876785</v>
      </c>
      <c r="AV840" s="18">
        <f t="shared" ref="AV840" si="1029">AM840-AP840</f>
        <v>320123215</v>
      </c>
      <c r="AW840" s="18">
        <f t="shared" ref="AW840" si="1030">AP840-AT840</f>
        <v>0</v>
      </c>
      <c r="AX840" s="123">
        <f t="shared" ref="AX840" si="1031">AP840/AJ840</f>
        <v>0</v>
      </c>
    </row>
    <row r="841" spans="1:50" x14ac:dyDescent="0.2">
      <c r="AA841" s="28" t="s">
        <v>288</v>
      </c>
      <c r="AB841" s="29" t="s">
        <v>306</v>
      </c>
      <c r="AC841" s="17"/>
      <c r="AD841" s="18"/>
      <c r="AE841" s="34"/>
      <c r="AF841" s="34"/>
      <c r="AG841" s="34"/>
      <c r="AH841" s="34"/>
      <c r="AI841" s="34"/>
      <c r="AJ841" s="18"/>
      <c r="AK841" s="34"/>
      <c r="AL841" s="18"/>
      <c r="AM841" s="18"/>
      <c r="AN841" s="18"/>
      <c r="AO841" s="18"/>
      <c r="AP841" s="18"/>
      <c r="AQ841" s="34"/>
      <c r="AR841" s="34"/>
      <c r="AS841" s="34"/>
      <c r="AT841" s="31"/>
      <c r="AU841" s="18"/>
      <c r="AV841" s="34"/>
      <c r="AW841" s="18"/>
      <c r="AX841" s="18"/>
    </row>
    <row r="842" spans="1:50" x14ac:dyDescent="0.2">
      <c r="A842" s="4" t="s">
        <v>55</v>
      </c>
      <c r="B842" s="4" t="s">
        <v>56</v>
      </c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1" t="s">
        <v>307</v>
      </c>
      <c r="AB842" s="42" t="s">
        <v>233</v>
      </c>
      <c r="AC842" s="43" t="s">
        <v>58</v>
      </c>
      <c r="AD842" s="43">
        <v>147500000</v>
      </c>
      <c r="AE842" s="44">
        <v>0</v>
      </c>
      <c r="AF842" s="44">
        <v>0</v>
      </c>
      <c r="AG842" s="44">
        <v>0</v>
      </c>
      <c r="AH842" s="44">
        <v>0</v>
      </c>
      <c r="AI842" s="44">
        <v>0</v>
      </c>
      <c r="AJ842" s="43">
        <v>147500000</v>
      </c>
      <c r="AK842" s="44">
        <v>0</v>
      </c>
      <c r="AL842" s="44">
        <v>0</v>
      </c>
      <c r="AM842" s="43">
        <v>127700000</v>
      </c>
      <c r="AN842" s="43">
        <v>0</v>
      </c>
      <c r="AO842" s="43">
        <v>0</v>
      </c>
      <c r="AP842" s="43">
        <v>127700000</v>
      </c>
      <c r="AQ842" s="43">
        <v>14300000</v>
      </c>
      <c r="AR842" s="114">
        <v>11860000</v>
      </c>
      <c r="AS842" s="114">
        <v>15783333</v>
      </c>
      <c r="AT842" s="111">
        <f t="shared" ref="AT842" si="1032">AQ842+AS842</f>
        <v>30083333</v>
      </c>
      <c r="AU842" s="110">
        <f t="shared" ref="AU842" si="1033">AJ842-AM842</f>
        <v>19800000</v>
      </c>
      <c r="AV842" s="133">
        <f t="shared" ref="AV842" si="1034">AM842-AP842</f>
        <v>0</v>
      </c>
      <c r="AW842" s="18">
        <f t="shared" ref="AW842" si="1035">AP842-AT842</f>
        <v>97616667</v>
      </c>
      <c r="AX842" s="123">
        <f t="shared" ref="AX842" si="1036">AP842/AJ842</f>
        <v>0.86576271186440679</v>
      </c>
    </row>
    <row r="843" spans="1:50" x14ac:dyDescent="0.2">
      <c r="AA843" s="28" t="s">
        <v>288</v>
      </c>
      <c r="AB843" s="29" t="s">
        <v>400</v>
      </c>
      <c r="AC843" s="17"/>
      <c r="AD843" s="18"/>
      <c r="AE843" s="34"/>
      <c r="AF843" s="34"/>
      <c r="AG843" s="34"/>
      <c r="AH843" s="34"/>
      <c r="AI843" s="34"/>
      <c r="AJ843" s="18"/>
      <c r="AK843" s="34"/>
      <c r="AL843" s="34"/>
      <c r="AM843" s="18"/>
      <c r="AN843" s="18"/>
      <c r="AO843" s="18"/>
      <c r="AP843" s="18"/>
      <c r="AQ843" s="18"/>
      <c r="AR843" s="110"/>
      <c r="AS843" s="110"/>
      <c r="AT843" s="109"/>
      <c r="AU843" s="110"/>
      <c r="AV843" s="18"/>
      <c r="AW843" s="18"/>
      <c r="AX843" s="18"/>
    </row>
    <row r="844" spans="1:50" x14ac:dyDescent="0.2">
      <c r="A844" s="4" t="s">
        <v>55</v>
      </c>
      <c r="B844" s="4" t="s">
        <v>56</v>
      </c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1" t="s">
        <v>401</v>
      </c>
      <c r="AB844" s="42" t="s">
        <v>233</v>
      </c>
      <c r="AC844" s="43" t="s">
        <v>58</v>
      </c>
      <c r="AD844" s="43">
        <v>996500000</v>
      </c>
      <c r="AE844" s="44">
        <v>0</v>
      </c>
      <c r="AF844" s="44">
        <v>0</v>
      </c>
      <c r="AG844" s="43">
        <v>140000000</v>
      </c>
      <c r="AH844" s="44">
        <v>0</v>
      </c>
      <c r="AI844" s="43">
        <f>AE844-AF844+AG844-AH844</f>
        <v>140000000</v>
      </c>
      <c r="AJ844" s="43">
        <f>AD844+AI844</f>
        <v>1136500000</v>
      </c>
      <c r="AK844" s="44">
        <v>0</v>
      </c>
      <c r="AL844" s="44">
        <v>0</v>
      </c>
      <c r="AM844" s="43">
        <v>683750000</v>
      </c>
      <c r="AN844" s="43">
        <v>0</v>
      </c>
      <c r="AO844" s="43">
        <v>13500000</v>
      </c>
      <c r="AP844" s="43">
        <v>683750000</v>
      </c>
      <c r="AQ844" s="18">
        <v>90650000</v>
      </c>
      <c r="AR844" s="110">
        <v>75480000</v>
      </c>
      <c r="AS844" s="110">
        <v>94040001</v>
      </c>
      <c r="AT844" s="111">
        <f t="shared" ref="AT844:AT846" si="1037">AQ844+AS844</f>
        <v>184690001</v>
      </c>
      <c r="AU844" s="110">
        <f t="shared" ref="AU844:AU846" si="1038">AJ844-AM844</f>
        <v>452750000</v>
      </c>
      <c r="AV844" s="110">
        <f t="shared" ref="AV844:AV846" si="1039">AM844-AP844</f>
        <v>0</v>
      </c>
      <c r="AW844" s="18">
        <f t="shared" ref="AW844:AW846" si="1040">AP844-AT844</f>
        <v>499059999</v>
      </c>
      <c r="AX844" s="123">
        <f t="shared" ref="AX844:AX846" si="1041">AP844/AJ844</f>
        <v>0.60162780466344035</v>
      </c>
    </row>
    <row r="845" spans="1:50" x14ac:dyDescent="0.2">
      <c r="A845" s="4" t="s">
        <v>55</v>
      </c>
      <c r="B845" s="4" t="s">
        <v>56</v>
      </c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1" t="s">
        <v>686</v>
      </c>
      <c r="AB845" s="42" t="s">
        <v>687</v>
      </c>
      <c r="AC845" s="43" t="s">
        <v>428</v>
      </c>
      <c r="AD845" s="43">
        <v>51500000</v>
      </c>
      <c r="AE845" s="44">
        <v>0</v>
      </c>
      <c r="AF845" s="44">
        <v>0</v>
      </c>
      <c r="AG845" s="44">
        <v>0</v>
      </c>
      <c r="AH845" s="44">
        <v>0</v>
      </c>
      <c r="AI845" s="44">
        <v>0</v>
      </c>
      <c r="AJ845" s="43">
        <v>51500000</v>
      </c>
      <c r="AK845" s="44">
        <v>0</v>
      </c>
      <c r="AL845" s="44">
        <v>0</v>
      </c>
      <c r="AM845" s="43">
        <v>51400000</v>
      </c>
      <c r="AN845" s="43">
        <v>0</v>
      </c>
      <c r="AO845" s="43">
        <v>0</v>
      </c>
      <c r="AP845" s="43">
        <v>51400000</v>
      </c>
      <c r="AQ845" s="18">
        <v>7800000</v>
      </c>
      <c r="AR845" s="18">
        <v>6240000</v>
      </c>
      <c r="AS845" s="18">
        <v>6240000</v>
      </c>
      <c r="AT845" s="39">
        <f t="shared" si="1037"/>
        <v>14040000</v>
      </c>
      <c r="AU845" s="18">
        <f t="shared" si="1038"/>
        <v>100000</v>
      </c>
      <c r="AV845" s="133">
        <f t="shared" si="1039"/>
        <v>0</v>
      </c>
      <c r="AW845" s="18">
        <f t="shared" si="1040"/>
        <v>37360000</v>
      </c>
      <c r="AX845" s="123">
        <f t="shared" si="1041"/>
        <v>0.99805825242718449</v>
      </c>
    </row>
    <row r="846" spans="1:50" ht="25.5" x14ac:dyDescent="0.2">
      <c r="A846" s="4" t="s">
        <v>55</v>
      </c>
      <c r="B846" s="4" t="s">
        <v>56</v>
      </c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1" t="s">
        <v>688</v>
      </c>
      <c r="AB846" s="42" t="s">
        <v>689</v>
      </c>
      <c r="AC846" s="43" t="s">
        <v>368</v>
      </c>
      <c r="AD846" s="43">
        <v>6785951</v>
      </c>
      <c r="AE846" s="44">
        <v>0</v>
      </c>
      <c r="AF846" s="44">
        <v>0</v>
      </c>
      <c r="AG846" s="44">
        <v>0</v>
      </c>
      <c r="AH846" s="44">
        <v>0</v>
      </c>
      <c r="AI846" s="44">
        <v>0</v>
      </c>
      <c r="AJ846" s="43">
        <v>6785951</v>
      </c>
      <c r="AK846" s="44">
        <v>0</v>
      </c>
      <c r="AL846" s="44">
        <v>0</v>
      </c>
      <c r="AM846" s="44">
        <v>0</v>
      </c>
      <c r="AN846" s="44">
        <v>0</v>
      </c>
      <c r="AO846" s="44">
        <v>0</v>
      </c>
      <c r="AP846" s="44">
        <v>0</v>
      </c>
      <c r="AQ846" s="18">
        <v>0</v>
      </c>
      <c r="AR846" s="34">
        <v>0</v>
      </c>
      <c r="AS846" s="34">
        <v>0</v>
      </c>
      <c r="AT846" s="40">
        <f t="shared" si="1037"/>
        <v>0</v>
      </c>
      <c r="AU846" s="18">
        <f t="shared" si="1038"/>
        <v>6785951</v>
      </c>
      <c r="AV846" s="133">
        <f t="shared" si="1039"/>
        <v>0</v>
      </c>
      <c r="AW846" s="34">
        <f t="shared" si="1040"/>
        <v>0</v>
      </c>
      <c r="AX846" s="123">
        <f t="shared" si="1041"/>
        <v>0</v>
      </c>
    </row>
    <row r="847" spans="1:50" ht="25.5" x14ac:dyDescent="0.2">
      <c r="AA847" s="28" t="s">
        <v>288</v>
      </c>
      <c r="AB847" s="29" t="s">
        <v>690</v>
      </c>
      <c r="AC847" s="17"/>
      <c r="AD847" s="18"/>
      <c r="AE847" s="34"/>
      <c r="AF847" s="34"/>
      <c r="AG847" s="34"/>
      <c r="AH847" s="34"/>
      <c r="AI847" s="34"/>
      <c r="AJ847" s="18"/>
      <c r="AK847" s="34"/>
      <c r="AL847" s="34"/>
      <c r="AM847" s="34"/>
      <c r="AN847" s="34"/>
      <c r="AO847" s="34"/>
      <c r="AP847" s="34"/>
      <c r="AQ847" s="18"/>
      <c r="AR847" s="34"/>
      <c r="AS847" s="34"/>
      <c r="AT847" s="40"/>
      <c r="AU847" s="18"/>
      <c r="AV847" s="18"/>
      <c r="AW847" s="18"/>
      <c r="AX847" s="18"/>
    </row>
    <row r="848" spans="1:50" x14ac:dyDescent="0.2">
      <c r="A848" s="4" t="s">
        <v>55</v>
      </c>
      <c r="B848" s="4" t="s">
        <v>56</v>
      </c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1" t="s">
        <v>691</v>
      </c>
      <c r="AB848" s="42" t="s">
        <v>233</v>
      </c>
      <c r="AC848" s="43" t="s">
        <v>58</v>
      </c>
      <c r="AD848" s="43">
        <v>368900000</v>
      </c>
      <c r="AE848" s="44">
        <v>0</v>
      </c>
      <c r="AF848" s="44">
        <v>0</v>
      </c>
      <c r="AG848" s="44">
        <v>0</v>
      </c>
      <c r="AH848" s="44">
        <v>0</v>
      </c>
      <c r="AI848" s="44">
        <v>0</v>
      </c>
      <c r="AJ848" s="43">
        <v>368900000</v>
      </c>
      <c r="AK848" s="44">
        <v>0</v>
      </c>
      <c r="AL848" s="114">
        <v>75600000</v>
      </c>
      <c r="AM848" s="114">
        <v>247800000</v>
      </c>
      <c r="AN848" s="114">
        <v>0</v>
      </c>
      <c r="AO848" s="114">
        <v>134400000</v>
      </c>
      <c r="AP848" s="114">
        <v>247800000</v>
      </c>
      <c r="AQ848" s="18">
        <v>29400000</v>
      </c>
      <c r="AR848" s="18">
        <v>6900000</v>
      </c>
      <c r="AS848" s="18">
        <v>6900000</v>
      </c>
      <c r="AT848" s="39">
        <f t="shared" si="997"/>
        <v>36300000</v>
      </c>
      <c r="AU848" s="18">
        <f t="shared" ref="AU848" si="1042">AJ848-AM848</f>
        <v>121100000</v>
      </c>
      <c r="AV848" s="110">
        <f t="shared" ref="AV848" si="1043">AM848-AP848</f>
        <v>0</v>
      </c>
      <c r="AW848" s="18">
        <f t="shared" ref="AW848" si="1044">AP848-AT848</f>
        <v>211500000</v>
      </c>
      <c r="AX848" s="123">
        <f t="shared" ref="AX848" si="1045">AP848/AJ848</f>
        <v>0.67172675521821634</v>
      </c>
    </row>
    <row r="849" spans="1:50" x14ac:dyDescent="0.2">
      <c r="AA849" s="16"/>
      <c r="AB849" s="17"/>
      <c r="AC849" s="17"/>
      <c r="AD849" s="18"/>
      <c r="AE849" s="34"/>
      <c r="AF849" s="34"/>
      <c r="AG849" s="34"/>
      <c r="AH849" s="34"/>
      <c r="AI849" s="34"/>
      <c r="AJ849" s="18"/>
      <c r="AK849" s="18"/>
      <c r="AL849" s="18"/>
      <c r="AM849" s="18"/>
      <c r="AN849" s="18"/>
      <c r="AO849" s="18"/>
      <c r="AP849" s="18"/>
      <c r="AQ849" s="18"/>
      <c r="AR849" s="34"/>
      <c r="AS849" s="34"/>
      <c r="AT849" s="40"/>
      <c r="AU849" s="18"/>
      <c r="AV849" s="18"/>
      <c r="AW849" s="18"/>
      <c r="AX849" s="18"/>
    </row>
    <row r="850" spans="1:50" ht="18.75" customHeight="1" x14ac:dyDescent="0.2">
      <c r="AA850" s="46"/>
      <c r="AB850" s="47" t="s">
        <v>692</v>
      </c>
      <c r="AC850" s="47"/>
      <c r="AD850" s="48">
        <f>SUM(AD819:AD849)</f>
        <v>12346184481</v>
      </c>
      <c r="AE850" s="49">
        <f t="shared" ref="AE850:AW850" si="1046">SUM(AE819:AE849)</f>
        <v>0</v>
      </c>
      <c r="AF850" s="49">
        <f t="shared" si="1046"/>
        <v>0</v>
      </c>
      <c r="AG850" s="48">
        <f t="shared" si="1046"/>
        <v>8840000000</v>
      </c>
      <c r="AH850" s="49">
        <f t="shared" si="1046"/>
        <v>4040000000</v>
      </c>
      <c r="AI850" s="48">
        <f t="shared" si="1046"/>
        <v>4800000000</v>
      </c>
      <c r="AJ850" s="48">
        <f t="shared" si="1046"/>
        <v>17146184481</v>
      </c>
      <c r="AK850" s="49">
        <f t="shared" si="1046"/>
        <v>0</v>
      </c>
      <c r="AL850" s="48">
        <f t="shared" si="1046"/>
        <v>2354723215</v>
      </c>
      <c r="AM850" s="48">
        <f t="shared" si="1046"/>
        <v>4596973215</v>
      </c>
      <c r="AN850" s="48">
        <f t="shared" si="1046"/>
        <v>0</v>
      </c>
      <c r="AO850" s="48">
        <f t="shared" si="1046"/>
        <v>2208700000</v>
      </c>
      <c r="AP850" s="48">
        <f t="shared" si="1046"/>
        <v>4245350000</v>
      </c>
      <c r="AQ850" s="48">
        <f t="shared" si="1046"/>
        <v>307100000</v>
      </c>
      <c r="AR850" s="121">
        <f t="shared" si="1046"/>
        <v>211329999</v>
      </c>
      <c r="AS850" s="121">
        <f t="shared" si="1046"/>
        <v>238686666</v>
      </c>
      <c r="AT850" s="108">
        <f>AQ850+AS850</f>
        <v>545786666</v>
      </c>
      <c r="AU850" s="48">
        <f t="shared" si="1046"/>
        <v>12549211266</v>
      </c>
      <c r="AV850" s="48">
        <f t="shared" si="1046"/>
        <v>351623215</v>
      </c>
      <c r="AW850" s="48">
        <f t="shared" si="1046"/>
        <v>3699563334</v>
      </c>
      <c r="AX850" s="24">
        <f t="shared" ref="AX850" si="1047">AP850/AJ850</f>
        <v>0.24759735932529769</v>
      </c>
    </row>
    <row r="851" spans="1:50" ht="18.75" customHeight="1" x14ac:dyDescent="0.2">
      <c r="AA851" s="16"/>
      <c r="AB851" s="17"/>
      <c r="AC851" s="17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</row>
    <row r="852" spans="1:50" s="25" customFormat="1" ht="18.75" customHeight="1" x14ac:dyDescent="0.2"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66"/>
      <c r="AB852" s="21" t="s">
        <v>693</v>
      </c>
      <c r="AC852" s="67"/>
      <c r="AD852" s="63"/>
      <c r="AE852" s="63"/>
      <c r="AF852" s="63"/>
      <c r="AG852" s="63"/>
      <c r="AH852" s="63"/>
      <c r="AI852" s="63"/>
      <c r="AJ852" s="63"/>
      <c r="AK852" s="63"/>
      <c r="AL852" s="63"/>
      <c r="AM852" s="63"/>
      <c r="AN852" s="63"/>
      <c r="AO852" s="63"/>
      <c r="AP852" s="63"/>
      <c r="AQ852" s="63"/>
      <c r="AR852" s="63"/>
      <c r="AS852" s="63"/>
      <c r="AT852" s="63"/>
      <c r="AU852" s="63"/>
      <c r="AV852" s="63"/>
      <c r="AW852" s="63"/>
      <c r="AX852" s="63"/>
    </row>
    <row r="853" spans="1:50" ht="18.75" customHeight="1" x14ac:dyDescent="0.2">
      <c r="AA853" s="16"/>
      <c r="AB853" s="29" t="s">
        <v>285</v>
      </c>
      <c r="AC853" s="17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</row>
    <row r="854" spans="1:50" ht="18.75" customHeight="1" x14ac:dyDescent="0.2">
      <c r="AA854" s="16"/>
      <c r="AB854" s="29" t="s">
        <v>286</v>
      </c>
      <c r="AC854" s="17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</row>
    <row r="855" spans="1:50" ht="18.75" customHeight="1" x14ac:dyDescent="0.2">
      <c r="AA855" s="16"/>
      <c r="AB855" s="29" t="s">
        <v>179</v>
      </c>
      <c r="AC855" s="17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</row>
    <row r="856" spans="1:50" x14ac:dyDescent="0.2">
      <c r="AA856" s="16"/>
      <c r="AB856" s="29" t="s">
        <v>189</v>
      </c>
      <c r="AC856" s="17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</row>
    <row r="857" spans="1:50" ht="38.25" x14ac:dyDescent="0.2">
      <c r="AA857" s="16"/>
      <c r="AB857" s="29" t="s">
        <v>193</v>
      </c>
      <c r="AC857" s="17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30"/>
      <c r="AU857" s="18"/>
      <c r="AV857" s="18"/>
      <c r="AW857" s="18"/>
      <c r="AX857" s="18"/>
    </row>
    <row r="858" spans="1:50" ht="25.5" x14ac:dyDescent="0.2">
      <c r="AA858" s="28" t="s">
        <v>288</v>
      </c>
      <c r="AB858" s="29" t="s">
        <v>694</v>
      </c>
      <c r="AC858" s="17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30"/>
      <c r="AU858" s="18"/>
      <c r="AV858" s="18"/>
      <c r="AW858" s="18"/>
      <c r="AX858" s="18"/>
    </row>
    <row r="859" spans="1:50" x14ac:dyDescent="0.2">
      <c r="A859" s="4" t="s">
        <v>55</v>
      </c>
      <c r="B859" s="4" t="s">
        <v>56</v>
      </c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1" t="s">
        <v>695</v>
      </c>
      <c r="AB859" s="42" t="s">
        <v>233</v>
      </c>
      <c r="AC859" s="43" t="s">
        <v>58</v>
      </c>
      <c r="AD859" s="43">
        <v>20000000000</v>
      </c>
      <c r="AE859" s="44">
        <v>0</v>
      </c>
      <c r="AF859" s="44">
        <v>0</v>
      </c>
      <c r="AG859" s="44">
        <v>0</v>
      </c>
      <c r="AH859" s="43">
        <f>10000000000+500000000</f>
        <v>10500000000</v>
      </c>
      <c r="AI859" s="43">
        <f>AE859-AF859+AG859-AH859</f>
        <v>-10500000000</v>
      </c>
      <c r="AJ859" s="43">
        <f>AD859+AI859</f>
        <v>9500000000</v>
      </c>
      <c r="AK859" s="115">
        <v>0</v>
      </c>
      <c r="AL859" s="114">
        <v>0</v>
      </c>
      <c r="AM859" s="114">
        <v>8927500500</v>
      </c>
      <c r="AN859" s="114">
        <v>0</v>
      </c>
      <c r="AO859" s="114">
        <v>0</v>
      </c>
      <c r="AP859" s="114">
        <v>8927500500</v>
      </c>
      <c r="AQ859" s="115">
        <v>0</v>
      </c>
      <c r="AR859" s="114">
        <v>2887603948</v>
      </c>
      <c r="AS859" s="114">
        <v>5887603948</v>
      </c>
      <c r="AT859" s="111">
        <f t="shared" ref="AT859:AT871" si="1048">AQ859+AS859</f>
        <v>5887603948</v>
      </c>
      <c r="AU859" s="18">
        <f t="shared" ref="AU859" si="1049">AJ859-AM859</f>
        <v>572499500</v>
      </c>
      <c r="AV859" s="133">
        <f t="shared" ref="AV859" si="1050">AM859-AP859</f>
        <v>0</v>
      </c>
      <c r="AW859" s="18">
        <f t="shared" ref="AW859" si="1051">AP859-AT859</f>
        <v>3039896552</v>
      </c>
      <c r="AX859" s="123">
        <f t="shared" ref="AX859" si="1052">AP859/AJ859</f>
        <v>0.93973689473684208</v>
      </c>
    </row>
    <row r="860" spans="1:50" x14ac:dyDescent="0.2">
      <c r="AA860" s="16"/>
      <c r="AB860" s="17"/>
      <c r="AC860" s="17"/>
      <c r="AD860" s="18"/>
      <c r="AE860" s="34"/>
      <c r="AF860" s="34"/>
      <c r="AG860" s="34"/>
      <c r="AH860" s="34"/>
      <c r="AI860" s="34"/>
      <c r="AJ860" s="18"/>
      <c r="AK860" s="18"/>
      <c r="AL860" s="18"/>
      <c r="AM860" s="18"/>
      <c r="AN860" s="18"/>
      <c r="AO860" s="18"/>
      <c r="AP860" s="34"/>
      <c r="AQ860" s="34"/>
      <c r="AR860" s="34"/>
      <c r="AS860" s="34"/>
      <c r="AT860" s="40">
        <f t="shared" si="1048"/>
        <v>0</v>
      </c>
      <c r="AU860" s="18"/>
      <c r="AV860" s="18"/>
      <c r="AW860" s="18"/>
      <c r="AX860" s="18"/>
    </row>
    <row r="861" spans="1:50" ht="25.5" x14ac:dyDescent="0.2">
      <c r="AA861" s="16"/>
      <c r="AB861" s="29" t="s">
        <v>195</v>
      </c>
      <c r="AC861" s="17"/>
      <c r="AD861" s="18"/>
      <c r="AE861" s="34"/>
      <c r="AF861" s="34"/>
      <c r="AG861" s="34"/>
      <c r="AH861" s="34"/>
      <c r="AI861" s="34"/>
      <c r="AJ861" s="18"/>
      <c r="AK861" s="18"/>
      <c r="AL861" s="18"/>
      <c r="AM861" s="18"/>
      <c r="AN861" s="18"/>
      <c r="AO861" s="18"/>
      <c r="AP861" s="34"/>
      <c r="AQ861" s="34"/>
      <c r="AR861" s="34"/>
      <c r="AS861" s="34"/>
      <c r="AT861" s="40"/>
      <c r="AU861" s="18"/>
      <c r="AV861" s="18"/>
      <c r="AW861" s="18"/>
      <c r="AX861" s="18"/>
    </row>
    <row r="862" spans="1:50" ht="25.5" x14ac:dyDescent="0.2">
      <c r="AA862" s="28" t="s">
        <v>288</v>
      </c>
      <c r="AB862" s="29" t="s">
        <v>696</v>
      </c>
      <c r="AC862" s="17"/>
      <c r="AD862" s="18"/>
      <c r="AE862" s="34"/>
      <c r="AF862" s="34"/>
      <c r="AG862" s="34"/>
      <c r="AH862" s="34"/>
      <c r="AI862" s="34"/>
      <c r="AJ862" s="18"/>
      <c r="AK862" s="18"/>
      <c r="AL862" s="18"/>
      <c r="AM862" s="18"/>
      <c r="AN862" s="18"/>
      <c r="AO862" s="18"/>
      <c r="AP862" s="34"/>
      <c r="AQ862" s="34"/>
      <c r="AR862" s="34"/>
      <c r="AS862" s="34"/>
      <c r="AT862" s="40"/>
      <c r="AU862" s="18"/>
      <c r="AV862" s="18"/>
      <c r="AW862" s="18"/>
      <c r="AX862" s="18"/>
    </row>
    <row r="863" spans="1:50" x14ac:dyDescent="0.2">
      <c r="A863" s="4" t="s">
        <v>55</v>
      </c>
      <c r="B863" s="4" t="s">
        <v>56</v>
      </c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1" t="s">
        <v>697</v>
      </c>
      <c r="AB863" s="42" t="s">
        <v>233</v>
      </c>
      <c r="AC863" s="43" t="s">
        <v>58</v>
      </c>
      <c r="AD863" s="43">
        <v>5000000000</v>
      </c>
      <c r="AE863" s="44">
        <v>0</v>
      </c>
      <c r="AF863" s="44">
        <v>0</v>
      </c>
      <c r="AG863" s="44">
        <v>0</v>
      </c>
      <c r="AH863" s="44">
        <v>0</v>
      </c>
      <c r="AI863" s="44">
        <v>0</v>
      </c>
      <c r="AJ863" s="43">
        <v>5000000000</v>
      </c>
      <c r="AK863" s="44">
        <v>0</v>
      </c>
      <c r="AL863" s="44">
        <v>0</v>
      </c>
      <c r="AM863" s="44">
        <v>0</v>
      </c>
      <c r="AN863" s="44">
        <v>0</v>
      </c>
      <c r="AO863" s="44">
        <v>0</v>
      </c>
      <c r="AP863" s="44">
        <v>0</v>
      </c>
      <c r="AQ863" s="44">
        <v>0</v>
      </c>
      <c r="AR863" s="44">
        <v>0</v>
      </c>
      <c r="AS863" s="44">
        <v>0</v>
      </c>
      <c r="AT863" s="40">
        <f t="shared" ref="AT863" si="1053">AQ863+AS863</f>
        <v>0</v>
      </c>
      <c r="AU863" s="18">
        <f t="shared" ref="AU863" si="1054">AJ863-AM863</f>
        <v>5000000000</v>
      </c>
      <c r="AV863" s="133">
        <f t="shared" ref="AV863" si="1055">AM863-AP863</f>
        <v>0</v>
      </c>
      <c r="AW863" s="34">
        <f t="shared" ref="AW863" si="1056">AP863-AT863</f>
        <v>0</v>
      </c>
      <c r="AX863" s="123">
        <f t="shared" ref="AX863" si="1057">AP863/AJ863</f>
        <v>0</v>
      </c>
    </row>
    <row r="864" spans="1:50" ht="25.5" x14ac:dyDescent="0.2">
      <c r="AA864" s="28" t="s">
        <v>288</v>
      </c>
      <c r="AB864" s="29" t="s">
        <v>698</v>
      </c>
      <c r="AC864" s="17"/>
      <c r="AD864" s="18"/>
      <c r="AE864" s="18"/>
      <c r="AF864" s="18"/>
      <c r="AG864" s="18"/>
      <c r="AH864" s="18"/>
      <c r="AI864" s="18"/>
      <c r="AJ864" s="18"/>
      <c r="AK864" s="34"/>
      <c r="AL864" s="34"/>
      <c r="AM864" s="34"/>
      <c r="AN864" s="34"/>
      <c r="AO864" s="34"/>
      <c r="AP864" s="34"/>
      <c r="AQ864" s="18"/>
      <c r="AR864" s="18"/>
      <c r="AS864" s="18"/>
      <c r="AT864" s="39"/>
      <c r="AU864" s="18"/>
      <c r="AV864" s="34"/>
      <c r="AW864" s="34"/>
      <c r="AX864" s="18"/>
    </row>
    <row r="865" spans="1:50" x14ac:dyDescent="0.2">
      <c r="A865" s="4" t="s">
        <v>55</v>
      </c>
      <c r="B865" s="4" t="s">
        <v>56</v>
      </c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1" t="s">
        <v>699</v>
      </c>
      <c r="AB865" s="42" t="s">
        <v>233</v>
      </c>
      <c r="AC865" s="43" t="s">
        <v>58</v>
      </c>
      <c r="AD865" s="43">
        <v>4500000000</v>
      </c>
      <c r="AE865" s="44">
        <v>0</v>
      </c>
      <c r="AF865" s="44">
        <v>0</v>
      </c>
      <c r="AG865" s="44">
        <v>0</v>
      </c>
      <c r="AH865" s="44">
        <v>0</v>
      </c>
      <c r="AI865" s="44">
        <v>0</v>
      </c>
      <c r="AJ865" s="43">
        <v>4500000000</v>
      </c>
      <c r="AK865" s="44">
        <v>0</v>
      </c>
      <c r="AL865" s="44">
        <v>0</v>
      </c>
      <c r="AM865" s="44">
        <v>0</v>
      </c>
      <c r="AN865" s="44">
        <v>0</v>
      </c>
      <c r="AO865" s="44">
        <v>0</v>
      </c>
      <c r="AP865" s="44">
        <v>0</v>
      </c>
      <c r="AQ865" s="44">
        <v>0</v>
      </c>
      <c r="AR865" s="44">
        <v>0</v>
      </c>
      <c r="AS865" s="44">
        <v>0</v>
      </c>
      <c r="AT865" s="40">
        <f t="shared" si="1048"/>
        <v>0</v>
      </c>
      <c r="AU865" s="18">
        <f t="shared" ref="AU865" si="1058">AJ865-AM865</f>
        <v>4500000000</v>
      </c>
      <c r="AV865" s="133">
        <f t="shared" ref="AV865" si="1059">AM865-AP865</f>
        <v>0</v>
      </c>
      <c r="AW865" s="34">
        <f t="shared" ref="AW865" si="1060">AP865-AT865</f>
        <v>0</v>
      </c>
      <c r="AX865" s="123">
        <f t="shared" ref="AX865" si="1061">AP865/AJ865</f>
        <v>0</v>
      </c>
    </row>
    <row r="866" spans="1:50" x14ac:dyDescent="0.2">
      <c r="AA866" s="16"/>
      <c r="AB866" s="17"/>
      <c r="AC866" s="17"/>
      <c r="AD866" s="18"/>
      <c r="AE866" s="34"/>
      <c r="AF866" s="34"/>
      <c r="AG866" s="34"/>
      <c r="AH866" s="34"/>
      <c r="AI866" s="34"/>
      <c r="AJ866" s="18"/>
      <c r="AK866" s="34"/>
      <c r="AL866" s="34"/>
      <c r="AM866" s="34"/>
      <c r="AN866" s="34"/>
      <c r="AO866" s="34"/>
      <c r="AP866" s="34"/>
      <c r="AQ866" s="34"/>
      <c r="AR866" s="34"/>
      <c r="AS866" s="34"/>
      <c r="AT866" s="31"/>
      <c r="AU866" s="18"/>
      <c r="AV866" s="34"/>
      <c r="AW866" s="34"/>
      <c r="AX866" s="18"/>
    </row>
    <row r="867" spans="1:50" ht="25.5" x14ac:dyDescent="0.2">
      <c r="AA867" s="16"/>
      <c r="AB867" s="29" t="s">
        <v>197</v>
      </c>
      <c r="AC867" s="17"/>
      <c r="AD867" s="18"/>
      <c r="AE867" s="34"/>
      <c r="AF867" s="34"/>
      <c r="AG867" s="34"/>
      <c r="AH867" s="34"/>
      <c r="AI867" s="34"/>
      <c r="AJ867" s="18"/>
      <c r="AK867" s="34"/>
      <c r="AL867" s="34"/>
      <c r="AM867" s="34"/>
      <c r="AN867" s="34"/>
      <c r="AO867" s="34"/>
      <c r="AP867" s="34"/>
      <c r="AQ867" s="34"/>
      <c r="AR867" s="34"/>
      <c r="AS867" s="34"/>
      <c r="AT867" s="31"/>
      <c r="AU867" s="18"/>
      <c r="AV867" s="34"/>
      <c r="AW867" s="34"/>
      <c r="AX867" s="18"/>
    </row>
    <row r="868" spans="1:50" ht="25.5" x14ac:dyDescent="0.2">
      <c r="AA868" s="28" t="s">
        <v>288</v>
      </c>
      <c r="AB868" s="29" t="s">
        <v>700</v>
      </c>
      <c r="AC868" s="17"/>
      <c r="AD868" s="18"/>
      <c r="AE868" s="34"/>
      <c r="AF868" s="34"/>
      <c r="AG868" s="34"/>
      <c r="AH868" s="34"/>
      <c r="AI868" s="34"/>
      <c r="AJ868" s="18"/>
      <c r="AK868" s="34"/>
      <c r="AL868" s="34"/>
      <c r="AM868" s="34"/>
      <c r="AN868" s="34"/>
      <c r="AO868" s="34"/>
      <c r="AP868" s="34"/>
      <c r="AQ868" s="34"/>
      <c r="AR868" s="34"/>
      <c r="AS868" s="34"/>
      <c r="AT868" s="31"/>
      <c r="AU868" s="18"/>
      <c r="AV868" s="34"/>
      <c r="AW868" s="34"/>
      <c r="AX868" s="18"/>
    </row>
    <row r="869" spans="1:50" x14ac:dyDescent="0.2">
      <c r="A869" s="4" t="s">
        <v>55</v>
      </c>
      <c r="B869" s="4" t="s">
        <v>56</v>
      </c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1" t="s">
        <v>701</v>
      </c>
      <c r="AB869" s="42" t="s">
        <v>233</v>
      </c>
      <c r="AC869" s="43" t="s">
        <v>58</v>
      </c>
      <c r="AD869" s="43">
        <v>4500000000</v>
      </c>
      <c r="AE869" s="44">
        <v>0</v>
      </c>
      <c r="AF869" s="44">
        <v>0</v>
      </c>
      <c r="AG869" s="44">
        <v>0</v>
      </c>
      <c r="AH869" s="44">
        <v>0</v>
      </c>
      <c r="AI869" s="44">
        <v>0</v>
      </c>
      <c r="AJ869" s="43">
        <v>4500000000</v>
      </c>
      <c r="AK869" s="44">
        <v>0</v>
      </c>
      <c r="AL869" s="43">
        <v>1755606000</v>
      </c>
      <c r="AM869" s="43">
        <v>1755606000</v>
      </c>
      <c r="AN869" s="43">
        <v>0</v>
      </c>
      <c r="AO869" s="43">
        <v>0</v>
      </c>
      <c r="AP869" s="43">
        <v>0</v>
      </c>
      <c r="AQ869" s="43">
        <v>0</v>
      </c>
      <c r="AR869" s="43">
        <v>0</v>
      </c>
      <c r="AS869" s="43">
        <v>0</v>
      </c>
      <c r="AT869" s="40">
        <f t="shared" si="1048"/>
        <v>0</v>
      </c>
      <c r="AU869" s="18">
        <f t="shared" ref="AU869" si="1062">AJ869-AM869</f>
        <v>2744394000</v>
      </c>
      <c r="AV869" s="18">
        <f t="shared" ref="AV869" si="1063">AM869-AP869</f>
        <v>1755606000</v>
      </c>
      <c r="AW869" s="34">
        <f t="shared" ref="AW869" si="1064">AP869-AT869</f>
        <v>0</v>
      </c>
      <c r="AX869" s="123">
        <f t="shared" ref="AX869" si="1065">AP869/AJ869</f>
        <v>0</v>
      </c>
    </row>
    <row r="870" spans="1:50" x14ac:dyDescent="0.2">
      <c r="AA870" s="28" t="s">
        <v>288</v>
      </c>
      <c r="AB870" s="29" t="s">
        <v>400</v>
      </c>
      <c r="AC870" s="17"/>
      <c r="AD870" s="18"/>
      <c r="AE870" s="34"/>
      <c r="AF870" s="34"/>
      <c r="AG870" s="34"/>
      <c r="AH870" s="34"/>
      <c r="AI870" s="34"/>
      <c r="AJ870" s="18"/>
      <c r="AK870" s="34"/>
      <c r="AL870" s="18"/>
      <c r="AM870" s="18"/>
      <c r="AN870" s="18"/>
      <c r="AO870" s="18"/>
      <c r="AP870" s="18"/>
      <c r="AQ870" s="18"/>
      <c r="AR870" s="18"/>
      <c r="AS870" s="18"/>
      <c r="AT870" s="31"/>
      <c r="AU870" s="18"/>
      <c r="AV870" s="18"/>
      <c r="AW870" s="18"/>
      <c r="AX870" s="18"/>
    </row>
    <row r="871" spans="1:50" x14ac:dyDescent="0.2">
      <c r="A871" s="4" t="s">
        <v>55</v>
      </c>
      <c r="B871" s="4" t="s">
        <v>56</v>
      </c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1" t="s">
        <v>401</v>
      </c>
      <c r="AB871" s="42" t="s">
        <v>233</v>
      </c>
      <c r="AC871" s="43" t="s">
        <v>58</v>
      </c>
      <c r="AD871" s="43">
        <v>4899360013</v>
      </c>
      <c r="AE871" s="44">
        <v>0</v>
      </c>
      <c r="AF871" s="44">
        <v>0</v>
      </c>
      <c r="AG871" s="44">
        <v>0</v>
      </c>
      <c r="AH871" s="44">
        <v>0</v>
      </c>
      <c r="AI871" s="44">
        <v>0</v>
      </c>
      <c r="AJ871" s="43">
        <v>4899360013</v>
      </c>
      <c r="AK871" s="44">
        <v>0</v>
      </c>
      <c r="AL871" s="43">
        <v>105800000</v>
      </c>
      <c r="AM871" s="43">
        <v>1752452618</v>
      </c>
      <c r="AN871" s="43">
        <v>0</v>
      </c>
      <c r="AO871" s="43">
        <v>90500000</v>
      </c>
      <c r="AP871" s="43">
        <v>1737152618</v>
      </c>
      <c r="AQ871" s="43">
        <v>131283335</v>
      </c>
      <c r="AR871" s="43">
        <v>152233570</v>
      </c>
      <c r="AS871" s="43">
        <v>161373571</v>
      </c>
      <c r="AT871" s="111">
        <f t="shared" si="1048"/>
        <v>292656906</v>
      </c>
      <c r="AU871" s="18">
        <f t="shared" ref="AU871" si="1066">AJ871-AM871</f>
        <v>3146907395</v>
      </c>
      <c r="AV871" s="18">
        <f t="shared" ref="AV871" si="1067">AM871-AP871</f>
        <v>15300000</v>
      </c>
      <c r="AW871" s="18">
        <f t="shared" ref="AW871" si="1068">AP871-AT871</f>
        <v>1444495712</v>
      </c>
      <c r="AX871" s="123">
        <f t="shared" ref="AX871" si="1069">AP871/AJ871</f>
        <v>0.3545672523330855</v>
      </c>
    </row>
    <row r="872" spans="1:50" x14ac:dyDescent="0.2">
      <c r="AA872" s="16"/>
      <c r="AB872" s="17"/>
      <c r="AC872" s="17"/>
      <c r="AD872" s="18"/>
      <c r="AE872" s="34"/>
      <c r="AF872" s="34"/>
      <c r="AG872" s="34"/>
      <c r="AH872" s="34"/>
      <c r="AI872" s="34"/>
      <c r="AJ872" s="18"/>
      <c r="AK872" s="34"/>
      <c r="AL872" s="18"/>
      <c r="AM872" s="18"/>
      <c r="AN872" s="18"/>
      <c r="AO872" s="18"/>
      <c r="AP872" s="18"/>
      <c r="AQ872" s="34"/>
      <c r="AR872" s="34"/>
      <c r="AS872" s="34"/>
      <c r="AT872" s="31"/>
      <c r="AU872" s="18"/>
      <c r="AV872" s="18"/>
      <c r="AW872" s="18"/>
      <c r="AX872" s="18"/>
    </row>
    <row r="873" spans="1:50" s="50" customFormat="1" x14ac:dyDescent="0.2"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46"/>
      <c r="AB873" s="47" t="s">
        <v>702</v>
      </c>
      <c r="AC873" s="47"/>
      <c r="AD873" s="48">
        <f>SUM(AD856:AD871)</f>
        <v>38899360013</v>
      </c>
      <c r="AE873" s="49">
        <f t="shared" ref="AE873:AW873" si="1070">SUM(AE856:AE871)</f>
        <v>0</v>
      </c>
      <c r="AF873" s="49">
        <f t="shared" si="1070"/>
        <v>0</v>
      </c>
      <c r="AG873" s="49">
        <f t="shared" si="1070"/>
        <v>0</v>
      </c>
      <c r="AH873" s="48">
        <f t="shared" si="1070"/>
        <v>10500000000</v>
      </c>
      <c r="AI873" s="48">
        <f t="shared" si="1070"/>
        <v>-10500000000</v>
      </c>
      <c r="AJ873" s="48">
        <f t="shared" si="1070"/>
        <v>28399360013</v>
      </c>
      <c r="AK873" s="49">
        <f t="shared" si="1070"/>
        <v>0</v>
      </c>
      <c r="AL873" s="48">
        <f t="shared" si="1070"/>
        <v>1861406000</v>
      </c>
      <c r="AM873" s="48">
        <f t="shared" si="1070"/>
        <v>12435559118</v>
      </c>
      <c r="AN873" s="48">
        <f t="shared" si="1070"/>
        <v>0</v>
      </c>
      <c r="AO873" s="48">
        <f t="shared" si="1070"/>
        <v>90500000</v>
      </c>
      <c r="AP873" s="48">
        <f t="shared" si="1070"/>
        <v>10664653118</v>
      </c>
      <c r="AQ873" s="121">
        <f t="shared" si="1070"/>
        <v>131283335</v>
      </c>
      <c r="AR873" s="121">
        <f t="shared" si="1070"/>
        <v>3039837518</v>
      </c>
      <c r="AS873" s="121">
        <f t="shared" si="1070"/>
        <v>6048977519</v>
      </c>
      <c r="AT873" s="108">
        <f>AQ873+AS873</f>
        <v>6180260854</v>
      </c>
      <c r="AU873" s="48">
        <f t="shared" si="1070"/>
        <v>15963800895</v>
      </c>
      <c r="AV873" s="48">
        <f t="shared" si="1070"/>
        <v>1770906000</v>
      </c>
      <c r="AW873" s="48">
        <f t="shared" si="1070"/>
        <v>4484392264</v>
      </c>
      <c r="AX873" s="24">
        <f t="shared" ref="AX873" si="1071">AP873/AJ873</f>
        <v>0.37552441720933788</v>
      </c>
    </row>
    <row r="874" spans="1:50" x14ac:dyDescent="0.2">
      <c r="AA874" s="16"/>
      <c r="AB874" s="17"/>
      <c r="AC874" s="17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</row>
    <row r="875" spans="1:50" s="25" customFormat="1" x14ac:dyDescent="0.2"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66"/>
      <c r="AB875" s="21" t="s">
        <v>703</v>
      </c>
      <c r="AC875" s="67"/>
      <c r="AD875" s="63"/>
      <c r="AE875" s="63"/>
      <c r="AF875" s="63"/>
      <c r="AG875" s="63"/>
      <c r="AH875" s="63"/>
      <c r="AI875" s="63"/>
      <c r="AJ875" s="63"/>
      <c r="AK875" s="63"/>
      <c r="AL875" s="63"/>
      <c r="AM875" s="63"/>
      <c r="AN875" s="63"/>
      <c r="AO875" s="63"/>
      <c r="AP875" s="63"/>
      <c r="AQ875" s="63"/>
      <c r="AR875" s="63"/>
      <c r="AS875" s="63"/>
      <c r="AT875" s="63"/>
      <c r="AU875" s="63"/>
      <c r="AV875" s="63"/>
      <c r="AW875" s="63"/>
      <c r="AX875" s="63"/>
    </row>
    <row r="876" spans="1:50" x14ac:dyDescent="0.2">
      <c r="AA876" s="16"/>
      <c r="AB876" s="29" t="s">
        <v>676</v>
      </c>
      <c r="AC876" s="17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</row>
    <row r="877" spans="1:50" ht="18.75" customHeight="1" x14ac:dyDescent="0.2">
      <c r="AA877" s="16"/>
      <c r="AB877" s="29" t="s">
        <v>286</v>
      </c>
      <c r="AC877" s="17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</row>
    <row r="878" spans="1:50" ht="18.75" customHeight="1" x14ac:dyDescent="0.2">
      <c r="AA878" s="16"/>
      <c r="AB878" s="29" t="s">
        <v>179</v>
      </c>
      <c r="AC878" s="17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</row>
    <row r="879" spans="1:50" ht="18.75" customHeight="1" x14ac:dyDescent="0.2">
      <c r="AA879" s="16"/>
      <c r="AB879" s="29" t="s">
        <v>189</v>
      </c>
      <c r="AC879" s="17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</row>
    <row r="880" spans="1:50" ht="18.75" customHeight="1" x14ac:dyDescent="0.2">
      <c r="AA880" s="16"/>
      <c r="AB880" s="29" t="s">
        <v>199</v>
      </c>
      <c r="AC880" s="17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30"/>
      <c r="AU880" s="18"/>
      <c r="AV880" s="18"/>
      <c r="AW880" s="18"/>
      <c r="AX880" s="18"/>
    </row>
    <row r="881" spans="1:50" x14ac:dyDescent="0.2">
      <c r="AA881" s="28" t="s">
        <v>288</v>
      </c>
      <c r="AB881" s="29" t="s">
        <v>704</v>
      </c>
      <c r="AC881" s="17"/>
      <c r="AD881" s="18"/>
      <c r="AE881" s="18"/>
      <c r="AF881" s="18"/>
      <c r="AG881" s="18"/>
      <c r="AH881" s="18"/>
      <c r="AI881" s="18"/>
      <c r="AJ881" s="18"/>
      <c r="AK881" s="34"/>
      <c r="AL881" s="34"/>
      <c r="AM881" s="34"/>
      <c r="AN881" s="34"/>
      <c r="AO881" s="34"/>
      <c r="AP881" s="34"/>
      <c r="AQ881" s="34"/>
      <c r="AR881" s="34"/>
      <c r="AS881" s="34"/>
      <c r="AT881" s="31"/>
      <c r="AU881" s="18"/>
      <c r="AV881" s="18"/>
      <c r="AW881" s="18"/>
      <c r="AX881" s="18"/>
    </row>
    <row r="882" spans="1:50" x14ac:dyDescent="0.2">
      <c r="A882" s="4" t="s">
        <v>55</v>
      </c>
      <c r="B882" s="4" t="s">
        <v>56</v>
      </c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1" t="s">
        <v>705</v>
      </c>
      <c r="AB882" s="42" t="s">
        <v>233</v>
      </c>
      <c r="AC882" s="43" t="s">
        <v>58</v>
      </c>
      <c r="AD882" s="43">
        <v>221000000</v>
      </c>
      <c r="AE882" s="44">
        <v>0</v>
      </c>
      <c r="AF882" s="44">
        <v>0</v>
      </c>
      <c r="AG882" s="44">
        <v>0</v>
      </c>
      <c r="AH882" s="43">
        <v>221000000</v>
      </c>
      <c r="AI882" s="136">
        <f>AE882-AF882+AG882-AH882</f>
        <v>-221000000</v>
      </c>
      <c r="AJ882" s="44">
        <f>AD882+AI882</f>
        <v>0</v>
      </c>
      <c r="AK882" s="44">
        <v>0</v>
      </c>
      <c r="AL882" s="44">
        <v>0</v>
      </c>
      <c r="AM882" s="44">
        <v>0</v>
      </c>
      <c r="AN882" s="44">
        <v>0</v>
      </c>
      <c r="AO882" s="43">
        <v>0</v>
      </c>
      <c r="AP882" s="43">
        <v>0</v>
      </c>
      <c r="AQ882" s="43">
        <v>0</v>
      </c>
      <c r="AR882" s="43">
        <v>0</v>
      </c>
      <c r="AS882" s="43">
        <v>0</v>
      </c>
      <c r="AT882" s="40">
        <f t="shared" ref="AT882:AT886" si="1072">AQ882+AS882</f>
        <v>0</v>
      </c>
      <c r="AU882" s="34">
        <f t="shared" ref="AU882" si="1073">AJ882-AM882</f>
        <v>0</v>
      </c>
      <c r="AV882" s="133">
        <f t="shared" ref="AV882" si="1074">AM882-AP882</f>
        <v>0</v>
      </c>
      <c r="AW882" s="34">
        <f t="shared" ref="AW882" si="1075">AP882-AT882</f>
        <v>0</v>
      </c>
      <c r="AX882" s="123">
        <v>0</v>
      </c>
    </row>
    <row r="883" spans="1:50" ht="25.5" x14ac:dyDescent="0.2">
      <c r="AA883" s="28" t="s">
        <v>288</v>
      </c>
      <c r="AB883" s="29" t="s">
        <v>706</v>
      </c>
      <c r="AC883" s="17"/>
      <c r="AD883" s="18"/>
      <c r="AE883" s="34"/>
      <c r="AF883" s="34"/>
      <c r="AG883" s="34"/>
      <c r="AH883" s="18"/>
      <c r="AI883" s="18"/>
      <c r="AJ883" s="18"/>
      <c r="AK883" s="34"/>
      <c r="AL883" s="18"/>
      <c r="AM883" s="18"/>
      <c r="AN883" s="18"/>
      <c r="AO883" s="18"/>
      <c r="AP883" s="18"/>
      <c r="AQ883" s="18"/>
      <c r="AR883" s="18"/>
      <c r="AS883" s="18"/>
      <c r="AT883" s="31"/>
      <c r="AU883" s="18"/>
      <c r="AV883" s="18"/>
      <c r="AW883" s="18"/>
      <c r="AX883" s="18"/>
    </row>
    <row r="884" spans="1:50" x14ac:dyDescent="0.2">
      <c r="A884" s="4" t="s">
        <v>55</v>
      </c>
      <c r="B884" s="4" t="s">
        <v>56</v>
      </c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1" t="s">
        <v>982</v>
      </c>
      <c r="AB884" s="42" t="s">
        <v>233</v>
      </c>
      <c r="AC884" s="43" t="s">
        <v>58</v>
      </c>
      <c r="AD884" s="43">
        <v>2458264706</v>
      </c>
      <c r="AE884" s="44">
        <v>0</v>
      </c>
      <c r="AF884" s="44">
        <v>0</v>
      </c>
      <c r="AG884" s="44">
        <v>0</v>
      </c>
      <c r="AH884" s="44">
        <v>0</v>
      </c>
      <c r="AI884" s="97">
        <f>AE884-AF884+AG884-AH884</f>
        <v>0</v>
      </c>
      <c r="AJ884" s="43">
        <f>AD884+AI884</f>
        <v>2458264706</v>
      </c>
      <c r="AK884" s="44">
        <v>0</v>
      </c>
      <c r="AL884" s="43">
        <v>0</v>
      </c>
      <c r="AM884" s="43">
        <v>2079364706</v>
      </c>
      <c r="AN884" s="44">
        <v>0</v>
      </c>
      <c r="AO884" s="43">
        <v>0</v>
      </c>
      <c r="AP884" s="43">
        <v>2079364706</v>
      </c>
      <c r="AQ884" s="43">
        <v>52920000</v>
      </c>
      <c r="AR884" s="43">
        <v>15805334</v>
      </c>
      <c r="AS884" s="43">
        <v>16338667</v>
      </c>
      <c r="AT884" s="111">
        <f t="shared" si="1072"/>
        <v>69258667</v>
      </c>
      <c r="AU884" s="18">
        <f t="shared" ref="AU884" si="1076">AJ884-AM884</f>
        <v>378900000</v>
      </c>
      <c r="AV884" s="133">
        <f t="shared" ref="AV884" si="1077">AM884-AP884</f>
        <v>0</v>
      </c>
      <c r="AW884" s="18">
        <f t="shared" ref="AW884" si="1078">AP884-AT884</f>
        <v>2010106039</v>
      </c>
      <c r="AX884" s="123">
        <f t="shared" ref="AX884" si="1079">AP884/AJ884</f>
        <v>0.84586688362925222</v>
      </c>
    </row>
    <row r="885" spans="1:50" ht="25.5" x14ac:dyDescent="0.2">
      <c r="AA885" s="28" t="s">
        <v>288</v>
      </c>
      <c r="AB885" s="29" t="s">
        <v>708</v>
      </c>
      <c r="AC885" s="17"/>
      <c r="AD885" s="18"/>
      <c r="AE885" s="34"/>
      <c r="AF885" s="34"/>
      <c r="AG885" s="34"/>
      <c r="AH885" s="18"/>
      <c r="AI885" s="18"/>
      <c r="AJ885" s="18"/>
      <c r="AK885" s="34"/>
      <c r="AL885" s="18"/>
      <c r="AM885" s="18"/>
      <c r="AN885" s="34"/>
      <c r="AO885" s="18"/>
      <c r="AP885" s="18"/>
      <c r="AQ885" s="18"/>
      <c r="AR885" s="18"/>
      <c r="AS885" s="18"/>
      <c r="AT885" s="31"/>
      <c r="AU885" s="18"/>
      <c r="AV885" s="18"/>
      <c r="AW885" s="18"/>
      <c r="AX885" s="18"/>
    </row>
    <row r="886" spans="1:50" x14ac:dyDescent="0.2">
      <c r="A886" s="4" t="s">
        <v>55</v>
      </c>
      <c r="B886" s="4" t="s">
        <v>56</v>
      </c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1" t="s">
        <v>709</v>
      </c>
      <c r="AB886" s="42" t="s">
        <v>233</v>
      </c>
      <c r="AC886" s="43" t="s">
        <v>58</v>
      </c>
      <c r="AD886" s="43">
        <v>501500000</v>
      </c>
      <c r="AE886" s="44">
        <v>0</v>
      </c>
      <c r="AF886" s="44">
        <v>0</v>
      </c>
      <c r="AG886" s="43">
        <v>204500000</v>
      </c>
      <c r="AH886" s="43">
        <v>501500000</v>
      </c>
      <c r="AI886" s="136">
        <f>AE886-AF886+AG886-AH886</f>
        <v>-297000000</v>
      </c>
      <c r="AJ886" s="43">
        <f>AD886+AI886</f>
        <v>204500000</v>
      </c>
      <c r="AK886" s="44">
        <v>0</v>
      </c>
      <c r="AL886" s="43">
        <v>196360000</v>
      </c>
      <c r="AM886" s="43">
        <v>196360000</v>
      </c>
      <c r="AN886" s="44">
        <v>0</v>
      </c>
      <c r="AO886" s="43">
        <v>119860000</v>
      </c>
      <c r="AP886" s="43">
        <v>119860000</v>
      </c>
      <c r="AQ886" s="43">
        <v>8753334</v>
      </c>
      <c r="AR886" s="43">
        <v>0</v>
      </c>
      <c r="AS886" s="43">
        <v>0</v>
      </c>
      <c r="AT886" s="39">
        <f t="shared" si="1072"/>
        <v>8753334</v>
      </c>
      <c r="AU886" s="18">
        <f t="shared" ref="AU886" si="1080">AJ886-AM886</f>
        <v>8140000</v>
      </c>
      <c r="AV886" s="18">
        <f t="shared" ref="AV886" si="1081">AM886-AP886</f>
        <v>76500000</v>
      </c>
      <c r="AW886" s="18">
        <f t="shared" ref="AW886" si="1082">AP886-AT886</f>
        <v>111106666</v>
      </c>
      <c r="AX886" s="123">
        <f t="shared" ref="AX886" si="1083">AP886/AJ886</f>
        <v>0.58611246943765283</v>
      </c>
    </row>
    <row r="887" spans="1:50" x14ac:dyDescent="0.2">
      <c r="AA887" s="28" t="s">
        <v>288</v>
      </c>
      <c r="AB887" s="29" t="s">
        <v>710</v>
      </c>
      <c r="AC887" s="17"/>
      <c r="AD887" s="18"/>
      <c r="AE887" s="18"/>
      <c r="AF887" s="18"/>
      <c r="AG887" s="18"/>
      <c r="AH887" s="18"/>
      <c r="AI887" s="18"/>
      <c r="AJ887" s="18"/>
      <c r="AK887" s="34"/>
      <c r="AL887" s="18"/>
      <c r="AM887" s="18"/>
      <c r="AN887" s="34"/>
      <c r="AO887" s="18"/>
      <c r="AP887" s="18"/>
      <c r="AQ887" s="18"/>
      <c r="AR887" s="18"/>
      <c r="AS887" s="18"/>
      <c r="AT887" s="31"/>
      <c r="AU887" s="18"/>
      <c r="AV887" s="34"/>
      <c r="AW887" s="34"/>
      <c r="AX887" s="18"/>
    </row>
    <row r="888" spans="1:50" x14ac:dyDescent="0.2">
      <c r="A888" s="4" t="s">
        <v>55</v>
      </c>
      <c r="B888" s="4" t="s">
        <v>56</v>
      </c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1" t="s">
        <v>711</v>
      </c>
      <c r="AB888" s="17" t="s">
        <v>233</v>
      </c>
      <c r="AC888" s="43" t="s">
        <v>58</v>
      </c>
      <c r="AD888" s="44">
        <v>0</v>
      </c>
      <c r="AE888" s="44">
        <v>0</v>
      </c>
      <c r="AF888" s="44">
        <v>0</v>
      </c>
      <c r="AG888" s="43">
        <v>3086332698</v>
      </c>
      <c r="AH888" s="43">
        <v>0</v>
      </c>
      <c r="AI888" s="136">
        <f>AE888-AF888+AG888-AH888</f>
        <v>3086332698</v>
      </c>
      <c r="AJ888" s="43">
        <f>AD888+AI888</f>
        <v>3086332698</v>
      </c>
      <c r="AK888" s="44">
        <v>0</v>
      </c>
      <c r="AL888" s="43">
        <v>0</v>
      </c>
      <c r="AM888" s="43">
        <v>0</v>
      </c>
      <c r="AN888" s="44">
        <v>0</v>
      </c>
      <c r="AO888" s="43">
        <v>0</v>
      </c>
      <c r="AP888" s="43">
        <v>0</v>
      </c>
      <c r="AQ888" s="43">
        <v>0</v>
      </c>
      <c r="AR888" s="43">
        <v>0</v>
      </c>
      <c r="AS888" s="43">
        <v>0</v>
      </c>
      <c r="AT888" s="40">
        <f t="shared" ref="AT888" si="1084">AQ888+AS888</f>
        <v>0</v>
      </c>
      <c r="AU888" s="18">
        <f t="shared" ref="AU888" si="1085">AJ888-AM888</f>
        <v>3086332698</v>
      </c>
      <c r="AV888" s="133">
        <f t="shared" ref="AV888" si="1086">AM888-AP888</f>
        <v>0</v>
      </c>
      <c r="AW888" s="34">
        <f t="shared" ref="AW888" si="1087">AP888-AT888</f>
        <v>0</v>
      </c>
      <c r="AX888" s="123">
        <f t="shared" ref="AX888" si="1088">AP888/AJ888</f>
        <v>0</v>
      </c>
    </row>
    <row r="889" spans="1:50" x14ac:dyDescent="0.2">
      <c r="AA889" s="28" t="s">
        <v>288</v>
      </c>
      <c r="AB889" s="29" t="s">
        <v>712</v>
      </c>
      <c r="AC889" s="17"/>
      <c r="AD889" s="34"/>
      <c r="AE889" s="34"/>
      <c r="AF889" s="34"/>
      <c r="AG889" s="18"/>
      <c r="AH889" s="18"/>
      <c r="AI889" s="18"/>
      <c r="AJ889" s="18"/>
      <c r="AK889" s="34"/>
      <c r="AL889" s="34"/>
      <c r="AM889" s="34"/>
      <c r="AN889" s="34"/>
      <c r="AO889" s="34"/>
      <c r="AP889" s="34"/>
      <c r="AQ889" s="18"/>
      <c r="AR889" s="18"/>
      <c r="AS889" s="34"/>
      <c r="AT889" s="31"/>
      <c r="AU889" s="18"/>
      <c r="AV889" s="34"/>
      <c r="AW889" s="34"/>
      <c r="AX889" s="18"/>
    </row>
    <row r="890" spans="1:50" x14ac:dyDescent="0.2">
      <c r="A890" s="4" t="s">
        <v>55</v>
      </c>
      <c r="B890" s="4" t="s">
        <v>56</v>
      </c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1" t="s">
        <v>713</v>
      </c>
      <c r="AB890" s="17" t="s">
        <v>233</v>
      </c>
      <c r="AC890" s="43" t="s">
        <v>58</v>
      </c>
      <c r="AD890" s="44">
        <v>0</v>
      </c>
      <c r="AE890" s="44">
        <v>0</v>
      </c>
      <c r="AF890" s="44">
        <v>0</v>
      </c>
      <c r="AG890" s="43">
        <v>501500000</v>
      </c>
      <c r="AH890" s="43">
        <v>204500000</v>
      </c>
      <c r="AI890" s="136">
        <f>AE890-AF890+AG890-AH890</f>
        <v>297000000</v>
      </c>
      <c r="AJ890" s="43">
        <f>AD890+AI890</f>
        <v>297000000</v>
      </c>
      <c r="AK890" s="44">
        <v>0</v>
      </c>
      <c r="AL890" s="114">
        <v>0</v>
      </c>
      <c r="AM890" s="114">
        <v>259500000</v>
      </c>
      <c r="AN890" s="44">
        <v>0</v>
      </c>
      <c r="AO890" s="114">
        <v>0</v>
      </c>
      <c r="AP890" s="114">
        <v>259500000</v>
      </c>
      <c r="AQ890" s="43">
        <v>33266667</v>
      </c>
      <c r="AR890" s="43">
        <v>7866667</v>
      </c>
      <c r="AS890" s="43">
        <v>7866667</v>
      </c>
      <c r="AT890" s="39">
        <f t="shared" ref="AT890" si="1089">AQ890+AS890</f>
        <v>41133334</v>
      </c>
      <c r="AU890" s="18">
        <f t="shared" ref="AU890" si="1090">AJ890-AM890</f>
        <v>37500000</v>
      </c>
      <c r="AV890" s="133">
        <f t="shared" ref="AV890" si="1091">AM890-AP890</f>
        <v>0</v>
      </c>
      <c r="AW890" s="18">
        <f t="shared" ref="AW890" si="1092">AP890-AT890</f>
        <v>218366666</v>
      </c>
      <c r="AX890" s="123">
        <f t="shared" ref="AX890" si="1093">AP890/AJ890</f>
        <v>0.8737373737373737</v>
      </c>
    </row>
    <row r="891" spans="1:50" ht="25.5" x14ac:dyDescent="0.2">
      <c r="AA891" s="28" t="s">
        <v>288</v>
      </c>
      <c r="AB891" s="29" t="s">
        <v>714</v>
      </c>
      <c r="AC891" s="17"/>
      <c r="AD891" s="18"/>
      <c r="AE891" s="18"/>
      <c r="AF891" s="18"/>
      <c r="AG891" s="18"/>
      <c r="AH891" s="18"/>
      <c r="AI891" s="18"/>
      <c r="AJ891" s="18"/>
      <c r="AK891" s="34"/>
      <c r="AL891" s="34"/>
      <c r="AM891" s="34"/>
      <c r="AN891" s="34"/>
      <c r="AO891" s="34"/>
      <c r="AP891" s="34"/>
      <c r="AQ891" s="34"/>
      <c r="AR891" s="34"/>
      <c r="AS891" s="34"/>
      <c r="AT891" s="31"/>
      <c r="AU891" s="18"/>
      <c r="AV891" s="34"/>
      <c r="AW891" s="34"/>
      <c r="AX891" s="18"/>
    </row>
    <row r="892" spans="1:50" x14ac:dyDescent="0.2">
      <c r="A892" s="4" t="s">
        <v>55</v>
      </c>
      <c r="B892" s="4" t="s">
        <v>56</v>
      </c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1" t="s">
        <v>715</v>
      </c>
      <c r="AB892" s="17" t="s">
        <v>233</v>
      </c>
      <c r="AC892" s="43" t="s">
        <v>58</v>
      </c>
      <c r="AD892" s="43">
        <v>3086332698</v>
      </c>
      <c r="AE892" s="44">
        <v>0</v>
      </c>
      <c r="AF892" s="44">
        <v>0</v>
      </c>
      <c r="AG892" s="44">
        <v>0</v>
      </c>
      <c r="AH892" s="43">
        <v>3086332698</v>
      </c>
      <c r="AI892" s="136">
        <f>AE892-AF892+AG892-AH892</f>
        <v>-3086332698</v>
      </c>
      <c r="AJ892" s="44">
        <f>AD892+AI892</f>
        <v>0</v>
      </c>
      <c r="AK892" s="44">
        <v>0</v>
      </c>
      <c r="AL892" s="44">
        <v>0</v>
      </c>
      <c r="AM892" s="44">
        <v>0</v>
      </c>
      <c r="AN892" s="44">
        <v>0</v>
      </c>
      <c r="AO892" s="44">
        <v>0</v>
      </c>
      <c r="AP892" s="44">
        <v>0</v>
      </c>
      <c r="AQ892" s="44">
        <v>0</v>
      </c>
      <c r="AR892" s="44">
        <v>0</v>
      </c>
      <c r="AS892" s="44">
        <v>0</v>
      </c>
      <c r="AT892" s="40">
        <f t="shared" ref="AT892" si="1094">AQ892+AS892</f>
        <v>0</v>
      </c>
      <c r="AU892" s="34">
        <f t="shared" ref="AU892" si="1095">AJ892-AM892</f>
        <v>0</v>
      </c>
      <c r="AV892" s="133">
        <f t="shared" ref="AV892" si="1096">AM892-AP892</f>
        <v>0</v>
      </c>
      <c r="AW892" s="34">
        <f t="shared" ref="AW892" si="1097">AP892-AT892</f>
        <v>0</v>
      </c>
      <c r="AX892" s="123">
        <v>0</v>
      </c>
    </row>
    <row r="893" spans="1:50" ht="25.5" x14ac:dyDescent="0.2">
      <c r="AA893" s="28" t="s">
        <v>288</v>
      </c>
      <c r="AB893" s="29" t="s">
        <v>716</v>
      </c>
      <c r="AC893" s="17"/>
      <c r="AD893" s="18"/>
      <c r="AE893" s="34"/>
      <c r="AF893" s="34"/>
      <c r="AG893" s="18"/>
      <c r="AH893" s="18"/>
      <c r="AI893" s="18"/>
      <c r="AJ893" s="18"/>
      <c r="AK893" s="34"/>
      <c r="AL893" s="34"/>
      <c r="AM893" s="34"/>
      <c r="AN893" s="34"/>
      <c r="AO893" s="34"/>
      <c r="AP893" s="34"/>
      <c r="AQ893" s="34"/>
      <c r="AR893" s="34"/>
      <c r="AS893" s="34"/>
      <c r="AT893" s="31"/>
      <c r="AU893" s="18"/>
      <c r="AV893" s="34"/>
      <c r="AW893" s="18"/>
      <c r="AX893" s="18"/>
    </row>
    <row r="894" spans="1:50" x14ac:dyDescent="0.2">
      <c r="A894" s="4" t="s">
        <v>55</v>
      </c>
      <c r="B894" s="4" t="s">
        <v>56</v>
      </c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1" t="s">
        <v>717</v>
      </c>
      <c r="AB894" s="17" t="s">
        <v>233</v>
      </c>
      <c r="AC894" s="43" t="s">
        <v>58</v>
      </c>
      <c r="AD894" s="44">
        <v>0</v>
      </c>
      <c r="AE894" s="44">
        <v>0</v>
      </c>
      <c r="AF894" s="44">
        <v>0</v>
      </c>
      <c r="AG894" s="43">
        <v>221000000</v>
      </c>
      <c r="AH894" s="44">
        <v>0</v>
      </c>
      <c r="AI894" s="43">
        <v>221000000</v>
      </c>
      <c r="AJ894" s="43">
        <v>221000000</v>
      </c>
      <c r="AK894" s="44">
        <v>0</v>
      </c>
      <c r="AL894" s="43">
        <v>160500000</v>
      </c>
      <c r="AM894" s="43">
        <v>160500000</v>
      </c>
      <c r="AN894" s="44">
        <v>0</v>
      </c>
      <c r="AO894" s="43">
        <v>0</v>
      </c>
      <c r="AP894" s="43">
        <v>0</v>
      </c>
      <c r="AQ894" s="43">
        <v>0</v>
      </c>
      <c r="AR894" s="43">
        <v>0</v>
      </c>
      <c r="AS894" s="43">
        <v>0</v>
      </c>
      <c r="AT894" s="40">
        <f t="shared" ref="AT894" si="1098">AQ894+AS894</f>
        <v>0</v>
      </c>
      <c r="AU894" s="18">
        <f t="shared" ref="AU894" si="1099">AJ894-AM894</f>
        <v>60500000</v>
      </c>
      <c r="AV894" s="18">
        <f t="shared" ref="AV894" si="1100">AM894-AP894</f>
        <v>160500000</v>
      </c>
      <c r="AW894" s="34">
        <f t="shared" ref="AW894" si="1101">AP894-AT894</f>
        <v>0</v>
      </c>
      <c r="AX894" s="123">
        <f t="shared" ref="AX894" si="1102">AP894/AJ894</f>
        <v>0</v>
      </c>
    </row>
    <row r="895" spans="1:50" x14ac:dyDescent="0.2">
      <c r="AA895" s="28" t="s">
        <v>288</v>
      </c>
      <c r="AB895" s="29" t="s">
        <v>718</v>
      </c>
      <c r="AC895" s="17"/>
      <c r="AD895" s="18"/>
      <c r="AE895" s="34"/>
      <c r="AF895" s="34"/>
      <c r="AG895" s="18"/>
      <c r="AH895" s="18"/>
      <c r="AI895" s="18"/>
      <c r="AJ895" s="18"/>
      <c r="AK895" s="34"/>
      <c r="AL895" s="18"/>
      <c r="AM895" s="18"/>
      <c r="AN895" s="34"/>
      <c r="AO895" s="18"/>
      <c r="AP895" s="18"/>
      <c r="AQ895" s="18"/>
      <c r="AR895" s="18"/>
      <c r="AS895" s="18"/>
      <c r="AT895" s="31"/>
      <c r="AU895" s="18"/>
      <c r="AV895" s="18"/>
      <c r="AW895" s="18"/>
      <c r="AX895" s="18"/>
    </row>
    <row r="896" spans="1:50" x14ac:dyDescent="0.2">
      <c r="A896" s="4" t="s">
        <v>55</v>
      </c>
      <c r="B896" s="4" t="s">
        <v>56</v>
      </c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1" t="s">
        <v>719</v>
      </c>
      <c r="AB896" s="42" t="s">
        <v>233</v>
      </c>
      <c r="AC896" s="43" t="s">
        <v>58</v>
      </c>
      <c r="AD896" s="43">
        <v>546100000</v>
      </c>
      <c r="AE896" s="44">
        <v>0</v>
      </c>
      <c r="AF896" s="44">
        <v>0</v>
      </c>
      <c r="AG896" s="44">
        <v>0</v>
      </c>
      <c r="AH896" s="44">
        <v>0</v>
      </c>
      <c r="AI896" s="44">
        <v>0</v>
      </c>
      <c r="AJ896" s="43">
        <v>546100000</v>
      </c>
      <c r="AK896" s="44">
        <v>0</v>
      </c>
      <c r="AL896" s="43">
        <v>-8750000</v>
      </c>
      <c r="AM896" s="43">
        <v>521700000</v>
      </c>
      <c r="AN896" s="44">
        <v>0</v>
      </c>
      <c r="AO896" s="43">
        <v>73750000</v>
      </c>
      <c r="AP896" s="43">
        <v>488700000</v>
      </c>
      <c r="AQ896" s="43">
        <v>54866667</v>
      </c>
      <c r="AR896" s="43">
        <v>24183333</v>
      </c>
      <c r="AS896" s="43">
        <v>24183333</v>
      </c>
      <c r="AT896" s="39">
        <f t="shared" ref="AT896" si="1103">AQ896+AS896</f>
        <v>79050000</v>
      </c>
      <c r="AU896" s="18">
        <f t="shared" ref="AU896" si="1104">AJ896-AM896</f>
        <v>24400000</v>
      </c>
      <c r="AV896" s="110">
        <f t="shared" ref="AV896" si="1105">AM896-AP896</f>
        <v>33000000</v>
      </c>
      <c r="AW896" s="18">
        <f t="shared" ref="AW896" si="1106">AP896-AT896</f>
        <v>409650000</v>
      </c>
      <c r="AX896" s="123">
        <f t="shared" ref="AX896" si="1107">AP896/AJ896</f>
        <v>0.89489104559604471</v>
      </c>
    </row>
    <row r="897" spans="1:50" x14ac:dyDescent="0.2">
      <c r="AA897" s="16"/>
      <c r="AB897" s="17"/>
      <c r="AC897" s="17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34"/>
      <c r="AQ897" s="34"/>
      <c r="AR897" s="34"/>
      <c r="AS897" s="34"/>
      <c r="AT897" s="31"/>
      <c r="AU897" s="18"/>
      <c r="AV897" s="18"/>
      <c r="AW897" s="18"/>
      <c r="AX897" s="18"/>
    </row>
    <row r="898" spans="1:50" x14ac:dyDescent="0.2">
      <c r="AA898" s="16"/>
      <c r="AB898" s="29" t="s">
        <v>720</v>
      </c>
      <c r="AC898" s="17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30"/>
      <c r="AU898" s="18"/>
      <c r="AV898" s="18"/>
      <c r="AW898" s="18"/>
      <c r="AX898" s="18"/>
    </row>
    <row r="899" spans="1:50" x14ac:dyDescent="0.2">
      <c r="AA899" s="16"/>
      <c r="AB899" s="29" t="s">
        <v>676</v>
      </c>
      <c r="AC899" s="17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30"/>
      <c r="AU899" s="18"/>
      <c r="AV899" s="18"/>
      <c r="AW899" s="18"/>
      <c r="AX899" s="18"/>
    </row>
    <row r="900" spans="1:50" x14ac:dyDescent="0.2">
      <c r="AA900" s="16"/>
      <c r="AB900" s="29" t="s">
        <v>286</v>
      </c>
      <c r="AC900" s="17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30"/>
      <c r="AU900" s="18"/>
      <c r="AV900" s="18"/>
      <c r="AW900" s="18"/>
      <c r="AX900" s="18"/>
    </row>
    <row r="901" spans="1:50" x14ac:dyDescent="0.2">
      <c r="AA901" s="16"/>
      <c r="AB901" s="29" t="s">
        <v>179</v>
      </c>
      <c r="AC901" s="17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30"/>
      <c r="AU901" s="18"/>
      <c r="AV901" s="18"/>
      <c r="AW901" s="18"/>
      <c r="AX901" s="18"/>
    </row>
    <row r="902" spans="1:50" x14ac:dyDescent="0.2">
      <c r="AA902" s="16"/>
      <c r="AB902" s="29" t="s">
        <v>189</v>
      </c>
      <c r="AC902" s="17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30"/>
      <c r="AU902" s="18"/>
      <c r="AV902" s="18"/>
      <c r="AW902" s="18"/>
      <c r="AX902" s="18"/>
    </row>
    <row r="903" spans="1:50" x14ac:dyDescent="0.2">
      <c r="AA903" s="16"/>
      <c r="AB903" s="29" t="s">
        <v>199</v>
      </c>
      <c r="AC903" s="17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30"/>
      <c r="AU903" s="18"/>
      <c r="AV903" s="18"/>
      <c r="AW903" s="18"/>
      <c r="AX903" s="18"/>
    </row>
    <row r="904" spans="1:50" x14ac:dyDescent="0.2">
      <c r="AA904" s="28" t="s">
        <v>288</v>
      </c>
      <c r="AB904" s="29" t="s">
        <v>718</v>
      </c>
      <c r="AC904" s="17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30"/>
      <c r="AU904" s="18"/>
      <c r="AV904" s="18"/>
      <c r="AW904" s="18"/>
      <c r="AX904" s="18"/>
    </row>
    <row r="905" spans="1:50" x14ac:dyDescent="0.2">
      <c r="A905" s="4" t="s">
        <v>55</v>
      </c>
      <c r="B905" s="4" t="s">
        <v>56</v>
      </c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1" t="s">
        <v>721</v>
      </c>
      <c r="AB905" s="42" t="s">
        <v>722</v>
      </c>
      <c r="AC905" s="43" t="s">
        <v>723</v>
      </c>
      <c r="AD905" s="43">
        <v>7643630</v>
      </c>
      <c r="AE905" s="44">
        <v>0</v>
      </c>
      <c r="AF905" s="44">
        <v>0</v>
      </c>
      <c r="AG905" s="44">
        <v>0</v>
      </c>
      <c r="AH905" s="44">
        <v>0</v>
      </c>
      <c r="AI905" s="44">
        <v>0</v>
      </c>
      <c r="AJ905" s="43">
        <v>7643630</v>
      </c>
      <c r="AK905" s="44">
        <v>0</v>
      </c>
      <c r="AL905" s="44">
        <v>0</v>
      </c>
      <c r="AM905" s="44">
        <v>0</v>
      </c>
      <c r="AN905" s="44">
        <v>0</v>
      </c>
      <c r="AO905" s="44">
        <v>0</v>
      </c>
      <c r="AP905" s="44">
        <v>0</v>
      </c>
      <c r="AQ905" s="44">
        <v>0</v>
      </c>
      <c r="AR905" s="44">
        <v>0</v>
      </c>
      <c r="AS905" s="44">
        <v>0</v>
      </c>
      <c r="AT905" s="40">
        <f t="shared" ref="AT905:AT906" si="1108">AQ905+AS905</f>
        <v>0</v>
      </c>
      <c r="AU905" s="18">
        <f t="shared" ref="AU905:AU906" si="1109">AJ905-AM905</f>
        <v>7643630</v>
      </c>
      <c r="AV905" s="133">
        <f t="shared" ref="AV905:AV906" si="1110">AM905-AP905</f>
        <v>0</v>
      </c>
      <c r="AW905" s="34">
        <f t="shared" ref="AW905:AW906" si="1111">AP905-AT905</f>
        <v>0</v>
      </c>
      <c r="AX905" s="123">
        <f t="shared" ref="AX905" si="1112">AP905/AJ905</f>
        <v>0</v>
      </c>
    </row>
    <row r="906" spans="1:50" x14ac:dyDescent="0.2">
      <c r="A906" s="4" t="s">
        <v>55</v>
      </c>
      <c r="B906" s="4" t="s">
        <v>56</v>
      </c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1" t="s">
        <v>724</v>
      </c>
      <c r="AB906" s="42" t="s">
        <v>725</v>
      </c>
      <c r="AC906" s="43" t="s">
        <v>428</v>
      </c>
      <c r="AD906" s="43">
        <v>56100000</v>
      </c>
      <c r="AE906" s="44">
        <v>0</v>
      </c>
      <c r="AF906" s="44">
        <v>0</v>
      </c>
      <c r="AG906" s="44">
        <v>0</v>
      </c>
      <c r="AH906" s="44">
        <v>0</v>
      </c>
      <c r="AI906" s="44">
        <v>0</v>
      </c>
      <c r="AJ906" s="43">
        <v>56100000</v>
      </c>
      <c r="AK906" s="44">
        <v>0</v>
      </c>
      <c r="AL906" s="44">
        <v>0</v>
      </c>
      <c r="AM906" s="44">
        <v>0</v>
      </c>
      <c r="AN906" s="44">
        <v>0</v>
      </c>
      <c r="AO906" s="44">
        <v>0</v>
      </c>
      <c r="AP906" s="44">
        <v>0</v>
      </c>
      <c r="AQ906" s="44">
        <v>0</v>
      </c>
      <c r="AR906" s="44">
        <v>0</v>
      </c>
      <c r="AS906" s="44">
        <v>0</v>
      </c>
      <c r="AT906" s="40">
        <f t="shared" si="1108"/>
        <v>0</v>
      </c>
      <c r="AU906" s="18">
        <f t="shared" si="1109"/>
        <v>56100000</v>
      </c>
      <c r="AV906" s="133">
        <f t="shared" si="1110"/>
        <v>0</v>
      </c>
      <c r="AW906" s="34">
        <f t="shared" si="1111"/>
        <v>0</v>
      </c>
      <c r="AX906" s="123">
        <f>AP906/AJ906</f>
        <v>0</v>
      </c>
    </row>
    <row r="907" spans="1:50" x14ac:dyDescent="0.2">
      <c r="AA907" s="16"/>
      <c r="AB907" s="17"/>
      <c r="AC907" s="17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34"/>
      <c r="AR907" s="34"/>
      <c r="AS907" s="34"/>
      <c r="AT907" s="31"/>
      <c r="AU907" s="18"/>
      <c r="AV907" s="18"/>
      <c r="AW907" s="18"/>
      <c r="AX907" s="18"/>
    </row>
    <row r="908" spans="1:50" s="50" customFormat="1" ht="18.75" customHeight="1" x14ac:dyDescent="0.2"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46"/>
      <c r="AB908" s="47" t="s">
        <v>726</v>
      </c>
      <c r="AC908" s="47"/>
      <c r="AD908" s="48">
        <f>SUM(AD880:AD906)</f>
        <v>6876941034</v>
      </c>
      <c r="AE908" s="49">
        <f t="shared" ref="AE908:AW908" si="1113">SUM(AE880:AE906)</f>
        <v>0</v>
      </c>
      <c r="AF908" s="49">
        <f t="shared" si="1113"/>
        <v>0</v>
      </c>
      <c r="AG908" s="48">
        <f t="shared" si="1113"/>
        <v>4013332698</v>
      </c>
      <c r="AH908" s="48">
        <f t="shared" si="1113"/>
        <v>4013332698</v>
      </c>
      <c r="AI908" s="151">
        <f t="shared" si="1113"/>
        <v>0</v>
      </c>
      <c r="AJ908" s="48">
        <f t="shared" si="1113"/>
        <v>6876941034</v>
      </c>
      <c r="AK908" s="49">
        <f t="shared" si="1113"/>
        <v>0</v>
      </c>
      <c r="AL908" s="48">
        <f t="shared" si="1113"/>
        <v>348110000</v>
      </c>
      <c r="AM908" s="48">
        <f t="shared" si="1113"/>
        <v>3217424706</v>
      </c>
      <c r="AN908" s="49">
        <f t="shared" si="1113"/>
        <v>0</v>
      </c>
      <c r="AO908" s="48">
        <f t="shared" si="1113"/>
        <v>193610000</v>
      </c>
      <c r="AP908" s="48">
        <f t="shared" si="1113"/>
        <v>2947424706</v>
      </c>
      <c r="AQ908" s="48">
        <f t="shared" si="1113"/>
        <v>149806668</v>
      </c>
      <c r="AR908" s="48">
        <f t="shared" si="1113"/>
        <v>47855334</v>
      </c>
      <c r="AS908" s="48">
        <f t="shared" si="1113"/>
        <v>48388667</v>
      </c>
      <c r="AT908" s="108">
        <f>AQ908+AS908</f>
        <v>198195335</v>
      </c>
      <c r="AU908" s="48">
        <f>SUM(AU880:AU906)</f>
        <v>3659516328</v>
      </c>
      <c r="AV908" s="48">
        <f t="shared" si="1113"/>
        <v>270000000</v>
      </c>
      <c r="AW908" s="48">
        <f t="shared" si="1113"/>
        <v>2749229371</v>
      </c>
      <c r="AX908" s="24">
        <f t="shared" ref="AX908" si="1114">AP908/AJ908</f>
        <v>0.42859531460685196</v>
      </c>
    </row>
    <row r="909" spans="1:50" ht="18.75" customHeight="1" x14ac:dyDescent="0.2">
      <c r="AA909" s="16"/>
      <c r="AB909" s="17"/>
      <c r="AC909" s="17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</row>
    <row r="910" spans="1:50" s="25" customFormat="1" ht="18.75" customHeight="1" x14ac:dyDescent="0.2"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66"/>
      <c r="AB910" s="21" t="s">
        <v>727</v>
      </c>
      <c r="AC910" s="67"/>
      <c r="AD910" s="63"/>
      <c r="AE910" s="63"/>
      <c r="AF910" s="63"/>
      <c r="AG910" s="63"/>
      <c r="AH910" s="63"/>
      <c r="AI910" s="63"/>
      <c r="AJ910" s="63"/>
      <c r="AK910" s="63"/>
      <c r="AL910" s="63"/>
      <c r="AM910" s="63"/>
      <c r="AN910" s="63"/>
      <c r="AO910" s="63"/>
      <c r="AP910" s="63"/>
      <c r="AQ910" s="63"/>
      <c r="AR910" s="63"/>
      <c r="AS910" s="63"/>
      <c r="AT910" s="63"/>
      <c r="AU910" s="63"/>
      <c r="AV910" s="63"/>
      <c r="AW910" s="63"/>
      <c r="AX910" s="63"/>
    </row>
    <row r="911" spans="1:50" ht="18.75" customHeight="1" x14ac:dyDescent="0.2">
      <c r="AA911" s="16"/>
      <c r="AB911" s="29" t="s">
        <v>285</v>
      </c>
      <c r="AC911" s="17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</row>
    <row r="912" spans="1:50" ht="18.75" customHeight="1" x14ac:dyDescent="0.2">
      <c r="AA912" s="16"/>
      <c r="AB912" s="29" t="s">
        <v>202</v>
      </c>
      <c r="AC912" s="17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</row>
    <row r="913" spans="1:50" ht="18.75" customHeight="1" x14ac:dyDescent="0.2">
      <c r="AA913" s="16"/>
      <c r="AB913" s="29" t="s">
        <v>203</v>
      </c>
      <c r="AC913" s="17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</row>
    <row r="914" spans="1:50" x14ac:dyDescent="0.2">
      <c r="AA914" s="16"/>
      <c r="AB914" s="29" t="s">
        <v>204</v>
      </c>
      <c r="AC914" s="17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</row>
    <row r="915" spans="1:50" ht="25.5" x14ac:dyDescent="0.2">
      <c r="AA915" s="16"/>
      <c r="AB915" s="29" t="s">
        <v>205</v>
      </c>
      <c r="AC915" s="17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</row>
    <row r="916" spans="1:50" ht="25.5" x14ac:dyDescent="0.2">
      <c r="AA916" s="16"/>
      <c r="AB916" s="29" t="s">
        <v>205</v>
      </c>
      <c r="AC916" s="17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</row>
    <row r="917" spans="1:50" ht="25.5" x14ac:dyDescent="0.2">
      <c r="AA917" s="28" t="s">
        <v>288</v>
      </c>
      <c r="AB917" s="29" t="s">
        <v>728</v>
      </c>
      <c r="AC917" s="17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30">
        <f t="shared" ref="AT917:AT921" si="1115">AQ917+AS917</f>
        <v>0</v>
      </c>
      <c r="AU917" s="18"/>
      <c r="AV917" s="18"/>
      <c r="AW917" s="18"/>
      <c r="AX917" s="18"/>
    </row>
    <row r="918" spans="1:50" x14ac:dyDescent="0.2">
      <c r="A918" s="4" t="s">
        <v>55</v>
      </c>
      <c r="B918" s="4" t="s">
        <v>56</v>
      </c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1" t="s">
        <v>729</v>
      </c>
      <c r="AB918" s="42" t="s">
        <v>233</v>
      </c>
      <c r="AC918" s="43" t="s">
        <v>58</v>
      </c>
      <c r="AD918" s="43">
        <v>1500000000</v>
      </c>
      <c r="AE918" s="44">
        <v>0</v>
      </c>
      <c r="AF918" s="44">
        <v>0</v>
      </c>
      <c r="AG918" s="44">
        <v>0</v>
      </c>
      <c r="AH918" s="44">
        <v>0</v>
      </c>
      <c r="AI918" s="44">
        <v>0</v>
      </c>
      <c r="AJ918" s="43">
        <v>1500000000</v>
      </c>
      <c r="AK918" s="44">
        <v>0</v>
      </c>
      <c r="AL918" s="114">
        <v>125000000</v>
      </c>
      <c r="AM918" s="114">
        <v>375000000</v>
      </c>
      <c r="AN918" s="44">
        <v>0</v>
      </c>
      <c r="AO918" s="114">
        <v>125000000</v>
      </c>
      <c r="AP918" s="114">
        <v>375000000</v>
      </c>
      <c r="AQ918" s="44">
        <v>0</v>
      </c>
      <c r="AR918" s="114">
        <v>125000000</v>
      </c>
      <c r="AS918" s="114">
        <v>375000000</v>
      </c>
      <c r="AT918" s="111">
        <f t="shared" si="1115"/>
        <v>375000000</v>
      </c>
      <c r="AU918" s="18">
        <f t="shared" ref="AU918:AU921" si="1116">AJ918-AM918</f>
        <v>1125000000</v>
      </c>
      <c r="AV918" s="133">
        <f t="shared" ref="AV918:AV921" si="1117">AM918-AP918</f>
        <v>0</v>
      </c>
      <c r="AW918" s="34">
        <f t="shared" ref="AW918:AW921" si="1118">AP918-AT918</f>
        <v>0</v>
      </c>
      <c r="AX918" s="123">
        <f t="shared" ref="AX918:AX921" si="1119">AP918/AJ918</f>
        <v>0.25</v>
      </c>
    </row>
    <row r="919" spans="1:50" x14ac:dyDescent="0.2">
      <c r="A919" s="4" t="s">
        <v>55</v>
      </c>
      <c r="B919" s="4" t="s">
        <v>56</v>
      </c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1" t="s">
        <v>730</v>
      </c>
      <c r="AB919" s="42" t="s">
        <v>731</v>
      </c>
      <c r="AC919" s="43" t="s">
        <v>732</v>
      </c>
      <c r="AD919" s="43">
        <v>1531432613</v>
      </c>
      <c r="AE919" s="44">
        <v>0</v>
      </c>
      <c r="AF919" s="44">
        <v>0</v>
      </c>
      <c r="AG919" s="44">
        <v>0</v>
      </c>
      <c r="AH919" s="44">
        <v>0</v>
      </c>
      <c r="AI919" s="44">
        <v>0</v>
      </c>
      <c r="AJ919" s="43">
        <v>1531432613</v>
      </c>
      <c r="AK919" s="44">
        <v>0</v>
      </c>
      <c r="AL919" s="114">
        <v>127619384</v>
      </c>
      <c r="AM919" s="114">
        <v>382858152</v>
      </c>
      <c r="AN919" s="44">
        <v>0</v>
      </c>
      <c r="AO919" s="114">
        <v>127619384</v>
      </c>
      <c r="AP919" s="114">
        <v>382858152</v>
      </c>
      <c r="AQ919" s="44">
        <v>0</v>
      </c>
      <c r="AR919" s="114">
        <v>127619384</v>
      </c>
      <c r="AS919" s="114">
        <v>382858152</v>
      </c>
      <c r="AT919" s="111">
        <f t="shared" si="1115"/>
        <v>382858152</v>
      </c>
      <c r="AU919" s="18">
        <f t="shared" si="1116"/>
        <v>1148574461</v>
      </c>
      <c r="AV919" s="133">
        <f t="shared" si="1117"/>
        <v>0</v>
      </c>
      <c r="AW919" s="34">
        <f t="shared" si="1118"/>
        <v>0</v>
      </c>
      <c r="AX919" s="123">
        <f t="shared" si="1119"/>
        <v>0.2499999991837708</v>
      </c>
    </row>
    <row r="920" spans="1:50" x14ac:dyDescent="0.2">
      <c r="A920" s="4" t="s">
        <v>55</v>
      </c>
      <c r="B920" s="4" t="s">
        <v>56</v>
      </c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1" t="s">
        <v>733</v>
      </c>
      <c r="AB920" s="42" t="s">
        <v>734</v>
      </c>
      <c r="AC920" s="43" t="s">
        <v>383</v>
      </c>
      <c r="AD920" s="43">
        <v>2000000000</v>
      </c>
      <c r="AE920" s="44">
        <v>0</v>
      </c>
      <c r="AF920" s="44">
        <v>0</v>
      </c>
      <c r="AG920" s="44">
        <v>0</v>
      </c>
      <c r="AH920" s="44">
        <v>0</v>
      </c>
      <c r="AI920" s="44">
        <v>0</v>
      </c>
      <c r="AJ920" s="43">
        <v>2000000000</v>
      </c>
      <c r="AK920" s="44">
        <v>0</v>
      </c>
      <c r="AL920" s="114">
        <v>166666667</v>
      </c>
      <c r="AM920" s="114">
        <v>500000001</v>
      </c>
      <c r="AN920" s="44">
        <v>0</v>
      </c>
      <c r="AO920" s="114">
        <v>166666667</v>
      </c>
      <c r="AP920" s="114">
        <v>500000001</v>
      </c>
      <c r="AQ920" s="44">
        <v>0</v>
      </c>
      <c r="AR920" s="114">
        <v>166666667</v>
      </c>
      <c r="AS920" s="114">
        <v>500000001</v>
      </c>
      <c r="AT920" s="111">
        <f t="shared" si="1115"/>
        <v>500000001</v>
      </c>
      <c r="AU920" s="18">
        <f t="shared" si="1116"/>
        <v>1499999999</v>
      </c>
      <c r="AV920" s="133">
        <f t="shared" si="1117"/>
        <v>0</v>
      </c>
      <c r="AW920" s="34">
        <f t="shared" si="1118"/>
        <v>0</v>
      </c>
      <c r="AX920" s="123">
        <f t="shared" si="1119"/>
        <v>0.25000000049999999</v>
      </c>
    </row>
    <row r="921" spans="1:50" ht="25.5" x14ac:dyDescent="0.2">
      <c r="A921" s="4" t="s">
        <v>55</v>
      </c>
      <c r="B921" s="4" t="s">
        <v>56</v>
      </c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1" t="s">
        <v>735</v>
      </c>
      <c r="AB921" s="42" t="s">
        <v>736</v>
      </c>
      <c r="AC921" s="43" t="s">
        <v>428</v>
      </c>
      <c r="AD921" s="43">
        <v>24512970</v>
      </c>
      <c r="AE921" s="44">
        <v>0</v>
      </c>
      <c r="AF921" s="44">
        <v>0</v>
      </c>
      <c r="AG921" s="44">
        <v>0</v>
      </c>
      <c r="AH921" s="44">
        <v>0</v>
      </c>
      <c r="AI921" s="44">
        <v>0</v>
      </c>
      <c r="AJ921" s="43">
        <v>24512970</v>
      </c>
      <c r="AK921" s="44">
        <v>0</v>
      </c>
      <c r="AL921" s="44">
        <v>0</v>
      </c>
      <c r="AM921" s="44">
        <v>0</v>
      </c>
      <c r="AN921" s="44">
        <v>0</v>
      </c>
      <c r="AO921" s="44">
        <v>0</v>
      </c>
      <c r="AP921" s="44">
        <v>0</v>
      </c>
      <c r="AQ921" s="44">
        <v>0</v>
      </c>
      <c r="AR921" s="44">
        <v>0</v>
      </c>
      <c r="AS921" s="44">
        <v>0</v>
      </c>
      <c r="AT921" s="40">
        <f t="shared" si="1115"/>
        <v>0</v>
      </c>
      <c r="AU921" s="18">
        <f t="shared" si="1116"/>
        <v>24512970</v>
      </c>
      <c r="AV921" s="133">
        <f t="shared" si="1117"/>
        <v>0</v>
      </c>
      <c r="AW921" s="34">
        <f t="shared" si="1118"/>
        <v>0</v>
      </c>
      <c r="AX921" s="123">
        <f t="shared" si="1119"/>
        <v>0</v>
      </c>
    </row>
    <row r="922" spans="1:50" x14ac:dyDescent="0.2">
      <c r="AA922" s="16"/>
      <c r="AB922" s="17"/>
      <c r="AC922" s="17"/>
      <c r="AD922" s="18"/>
      <c r="AE922" s="34"/>
      <c r="AF922" s="34"/>
      <c r="AG922" s="34"/>
      <c r="AH922" s="34"/>
      <c r="AI922" s="34"/>
      <c r="AJ922" s="18"/>
      <c r="AK922" s="34"/>
      <c r="AL922" s="34"/>
      <c r="AM922" s="34"/>
      <c r="AN922" s="34"/>
      <c r="AO922" s="34"/>
      <c r="AP922" s="34"/>
      <c r="AQ922" s="34"/>
      <c r="AR922" s="34"/>
      <c r="AS922" s="34"/>
      <c r="AT922" s="31"/>
      <c r="AU922" s="18"/>
      <c r="AV922" s="18"/>
      <c r="AW922" s="18"/>
      <c r="AX922" s="18"/>
    </row>
    <row r="923" spans="1:50" s="50" customFormat="1" x14ac:dyDescent="0.2"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46"/>
      <c r="AB923" s="47" t="s">
        <v>737</v>
      </c>
      <c r="AC923" s="47"/>
      <c r="AD923" s="48">
        <f>SUM(AD918:AD922)</f>
        <v>5055945583</v>
      </c>
      <c r="AE923" s="49">
        <f t="shared" ref="AE923:AW923" si="1120">SUM(AE918:AE922)</f>
        <v>0</v>
      </c>
      <c r="AF923" s="49">
        <f t="shared" si="1120"/>
        <v>0</v>
      </c>
      <c r="AG923" s="49">
        <f t="shared" si="1120"/>
        <v>0</v>
      </c>
      <c r="AH923" s="49">
        <f t="shared" si="1120"/>
        <v>0</v>
      </c>
      <c r="AI923" s="49">
        <f t="shared" si="1120"/>
        <v>0</v>
      </c>
      <c r="AJ923" s="48">
        <f t="shared" si="1120"/>
        <v>5055945583</v>
      </c>
      <c r="AK923" s="49">
        <f t="shared" si="1120"/>
        <v>0</v>
      </c>
      <c r="AL923" s="121">
        <f t="shared" si="1120"/>
        <v>419286051</v>
      </c>
      <c r="AM923" s="121">
        <f t="shared" si="1120"/>
        <v>1257858153</v>
      </c>
      <c r="AN923" s="49">
        <f t="shared" si="1120"/>
        <v>0</v>
      </c>
      <c r="AO923" s="121">
        <f t="shared" si="1120"/>
        <v>419286051</v>
      </c>
      <c r="AP923" s="121">
        <f t="shared" si="1120"/>
        <v>1257858153</v>
      </c>
      <c r="AQ923" s="49">
        <f t="shared" si="1120"/>
        <v>0</v>
      </c>
      <c r="AR923" s="121">
        <f t="shared" si="1120"/>
        <v>419286051</v>
      </c>
      <c r="AS923" s="121">
        <f t="shared" si="1120"/>
        <v>1257858153</v>
      </c>
      <c r="AT923" s="108">
        <f>AQ923+AS923</f>
        <v>1257858153</v>
      </c>
      <c r="AU923" s="48">
        <f t="shared" si="1120"/>
        <v>3798087430</v>
      </c>
      <c r="AV923" s="49">
        <f t="shared" si="1120"/>
        <v>0</v>
      </c>
      <c r="AW923" s="49">
        <f t="shared" si="1120"/>
        <v>0</v>
      </c>
      <c r="AX923" s="24">
        <f t="shared" ref="AX923" si="1121">AP923/AJ923</f>
        <v>0.24878791362577052</v>
      </c>
    </row>
    <row r="924" spans="1:50" x14ac:dyDescent="0.2">
      <c r="AA924" s="16"/>
      <c r="AB924" s="17"/>
      <c r="AC924" s="17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</row>
    <row r="925" spans="1:50" s="25" customFormat="1" x14ac:dyDescent="0.2"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66"/>
      <c r="AB925" s="21" t="s">
        <v>738</v>
      </c>
      <c r="AC925" s="67"/>
      <c r="AD925" s="63"/>
      <c r="AE925" s="63"/>
      <c r="AF925" s="63"/>
      <c r="AG925" s="63"/>
      <c r="AH925" s="63"/>
      <c r="AI925" s="63"/>
      <c r="AJ925" s="63"/>
      <c r="AK925" s="63"/>
      <c r="AL925" s="63"/>
      <c r="AM925" s="63"/>
      <c r="AN925" s="63"/>
      <c r="AO925" s="63"/>
      <c r="AP925" s="63"/>
      <c r="AQ925" s="63"/>
      <c r="AR925" s="63"/>
      <c r="AS925" s="63"/>
      <c r="AT925" s="63"/>
      <c r="AU925" s="63"/>
      <c r="AV925" s="63"/>
      <c r="AW925" s="63"/>
      <c r="AX925" s="63"/>
    </row>
    <row r="926" spans="1:50" x14ac:dyDescent="0.2">
      <c r="AA926" s="16"/>
      <c r="AB926" s="29" t="s">
        <v>285</v>
      </c>
      <c r="AC926" s="17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</row>
    <row r="927" spans="1:50" x14ac:dyDescent="0.2">
      <c r="AA927" s="16"/>
      <c r="AB927" s="29" t="s">
        <v>202</v>
      </c>
      <c r="AC927" s="17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</row>
    <row r="928" spans="1:50" x14ac:dyDescent="0.2">
      <c r="AA928" s="16"/>
      <c r="AB928" s="29" t="s">
        <v>203</v>
      </c>
      <c r="AC928" s="17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</row>
    <row r="929" spans="1:50" x14ac:dyDescent="0.2">
      <c r="AA929" s="16"/>
      <c r="AB929" s="29" t="s">
        <v>204</v>
      </c>
      <c r="AC929" s="17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</row>
    <row r="930" spans="1:50" ht="25.5" x14ac:dyDescent="0.2">
      <c r="AA930" s="16"/>
      <c r="AB930" s="29" t="s">
        <v>739</v>
      </c>
      <c r="AC930" s="17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</row>
    <row r="931" spans="1:50" ht="25.5" x14ac:dyDescent="0.2">
      <c r="AA931" s="16"/>
      <c r="AB931" s="29" t="s">
        <v>205</v>
      </c>
      <c r="AC931" s="17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30"/>
      <c r="AU931" s="18"/>
      <c r="AV931" s="18"/>
      <c r="AW931" s="18"/>
      <c r="AX931" s="18"/>
    </row>
    <row r="932" spans="1:50" ht="25.5" x14ac:dyDescent="0.2">
      <c r="AA932" s="28" t="s">
        <v>288</v>
      </c>
      <c r="AB932" s="29" t="s">
        <v>740</v>
      </c>
      <c r="AC932" s="17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30"/>
      <c r="AU932" s="18"/>
      <c r="AV932" s="18"/>
      <c r="AW932" s="18"/>
      <c r="AX932" s="18"/>
    </row>
    <row r="933" spans="1:50" x14ac:dyDescent="0.2">
      <c r="A933" s="4" t="s">
        <v>55</v>
      </c>
      <c r="B933" s="4" t="s">
        <v>56</v>
      </c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1" t="s">
        <v>741</v>
      </c>
      <c r="AB933" s="42" t="s">
        <v>233</v>
      </c>
      <c r="AC933" s="43" t="s">
        <v>58</v>
      </c>
      <c r="AD933" s="43">
        <v>9645837227</v>
      </c>
      <c r="AE933" s="44">
        <v>0</v>
      </c>
      <c r="AF933" s="44">
        <v>0</v>
      </c>
      <c r="AG933" s="44">
        <v>0</v>
      </c>
      <c r="AH933" s="44">
        <v>0</v>
      </c>
      <c r="AI933" s="44">
        <v>0</v>
      </c>
      <c r="AJ933" s="43">
        <v>9645837227</v>
      </c>
      <c r="AK933" s="44">
        <v>0</v>
      </c>
      <c r="AL933" s="43">
        <v>803819769</v>
      </c>
      <c r="AM933" s="43">
        <v>2411459307</v>
      </c>
      <c r="AN933" s="44">
        <v>0</v>
      </c>
      <c r="AO933" s="43">
        <v>803819769</v>
      </c>
      <c r="AP933" s="43">
        <v>2411459307</v>
      </c>
      <c r="AQ933" s="44">
        <v>0</v>
      </c>
      <c r="AR933" s="114">
        <v>803819769</v>
      </c>
      <c r="AS933" s="114">
        <v>2411459307</v>
      </c>
      <c r="AT933" s="111">
        <f t="shared" ref="AT933:AT937" si="1122">AQ933+AS933</f>
        <v>2411459307</v>
      </c>
      <c r="AU933" s="110">
        <f t="shared" ref="AU933:AU937" si="1123">AJ933-AM933</f>
        <v>7234377920</v>
      </c>
      <c r="AV933" s="133">
        <f t="shared" ref="AV933:AV937" si="1124">AM933-AP933</f>
        <v>0</v>
      </c>
      <c r="AW933" s="34">
        <f t="shared" ref="AW933:AW937" si="1125">AP933-AT933</f>
        <v>0</v>
      </c>
      <c r="AX933" s="123">
        <f t="shared" ref="AX933:AX937" si="1126">AP933/AJ933</f>
        <v>0.25000000002591793</v>
      </c>
    </row>
    <row r="934" spans="1:50" x14ac:dyDescent="0.2">
      <c r="A934" s="4" t="s">
        <v>55</v>
      </c>
      <c r="B934" s="4" t="s">
        <v>56</v>
      </c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134" t="s">
        <v>742</v>
      </c>
      <c r="AB934" s="69" t="s">
        <v>743</v>
      </c>
      <c r="AC934" s="43" t="s">
        <v>744</v>
      </c>
      <c r="AD934" s="43">
        <v>1148574460</v>
      </c>
      <c r="AE934" s="44">
        <v>0</v>
      </c>
      <c r="AF934" s="44">
        <v>0</v>
      </c>
      <c r="AG934" s="44">
        <v>0</v>
      </c>
      <c r="AH934" s="44">
        <v>0</v>
      </c>
      <c r="AI934" s="44">
        <v>0</v>
      </c>
      <c r="AJ934" s="43">
        <v>1148574460</v>
      </c>
      <c r="AK934" s="44">
        <v>0</v>
      </c>
      <c r="AL934" s="43">
        <v>95714538</v>
      </c>
      <c r="AM934" s="43">
        <v>287143614</v>
      </c>
      <c r="AN934" s="44">
        <v>0</v>
      </c>
      <c r="AO934" s="43">
        <v>95714538</v>
      </c>
      <c r="AP934" s="43">
        <v>287143614</v>
      </c>
      <c r="AQ934" s="44">
        <v>0</v>
      </c>
      <c r="AR934" s="114">
        <v>95714538</v>
      </c>
      <c r="AS934" s="114">
        <v>287143614</v>
      </c>
      <c r="AT934" s="111">
        <f t="shared" si="1122"/>
        <v>287143614</v>
      </c>
      <c r="AU934" s="110">
        <f t="shared" si="1123"/>
        <v>861430846</v>
      </c>
      <c r="AV934" s="133">
        <f t="shared" si="1124"/>
        <v>0</v>
      </c>
      <c r="AW934" s="34">
        <f t="shared" si="1125"/>
        <v>0</v>
      </c>
      <c r="AX934" s="123">
        <f t="shared" si="1126"/>
        <v>0.24999999912935553</v>
      </c>
    </row>
    <row r="935" spans="1:50" x14ac:dyDescent="0.2">
      <c r="A935" s="4" t="s">
        <v>55</v>
      </c>
      <c r="B935" s="4" t="s">
        <v>56</v>
      </c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134" t="s">
        <v>745</v>
      </c>
      <c r="AB935" s="69" t="s">
        <v>281</v>
      </c>
      <c r="AC935" s="43" t="s">
        <v>253</v>
      </c>
      <c r="AD935" s="43">
        <v>3200000000</v>
      </c>
      <c r="AE935" s="44">
        <v>0</v>
      </c>
      <c r="AF935" s="44">
        <v>0</v>
      </c>
      <c r="AG935" s="44">
        <v>0</v>
      </c>
      <c r="AH935" s="44">
        <v>0</v>
      </c>
      <c r="AI935" s="44">
        <v>0</v>
      </c>
      <c r="AJ935" s="43">
        <v>3200000000</v>
      </c>
      <c r="AK935" s="44">
        <v>0</v>
      </c>
      <c r="AL935" s="43">
        <v>0</v>
      </c>
      <c r="AM935" s="43">
        <v>340000000</v>
      </c>
      <c r="AN935" s="44">
        <v>0</v>
      </c>
      <c r="AO935" s="43">
        <v>0</v>
      </c>
      <c r="AP935" s="43">
        <v>340000000</v>
      </c>
      <c r="AQ935" s="44">
        <v>0</v>
      </c>
      <c r="AR935" s="114">
        <v>0</v>
      </c>
      <c r="AS935" s="114">
        <v>340000000</v>
      </c>
      <c r="AT935" s="111">
        <f t="shared" si="1122"/>
        <v>340000000</v>
      </c>
      <c r="AU935" s="110">
        <f t="shared" si="1123"/>
        <v>2860000000</v>
      </c>
      <c r="AV935" s="133">
        <f t="shared" si="1124"/>
        <v>0</v>
      </c>
      <c r="AW935" s="34">
        <f t="shared" si="1125"/>
        <v>0</v>
      </c>
      <c r="AX935" s="123">
        <f t="shared" si="1126"/>
        <v>0.10625</v>
      </c>
    </row>
    <row r="936" spans="1:50" ht="25.5" x14ac:dyDescent="0.2">
      <c r="A936" s="4" t="s">
        <v>55</v>
      </c>
      <c r="B936" s="4" t="s">
        <v>56</v>
      </c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1" t="s">
        <v>746</v>
      </c>
      <c r="AB936" s="42" t="s">
        <v>747</v>
      </c>
      <c r="AC936" s="43" t="s">
        <v>258</v>
      </c>
      <c r="AD936" s="43">
        <v>35443183</v>
      </c>
      <c r="AE936" s="44">
        <v>0</v>
      </c>
      <c r="AF936" s="44">
        <v>0</v>
      </c>
      <c r="AG936" s="44">
        <v>0</v>
      </c>
      <c r="AH936" s="44">
        <v>0</v>
      </c>
      <c r="AI936" s="44">
        <v>0</v>
      </c>
      <c r="AJ936" s="43">
        <v>35443183</v>
      </c>
      <c r="AK936" s="44">
        <v>0</v>
      </c>
      <c r="AL936" s="44">
        <v>0</v>
      </c>
      <c r="AM936" s="44">
        <v>0</v>
      </c>
      <c r="AN936" s="44">
        <v>0</v>
      </c>
      <c r="AO936" s="44">
        <v>0</v>
      </c>
      <c r="AP936" s="44">
        <v>0</v>
      </c>
      <c r="AQ936" s="44">
        <v>0</v>
      </c>
      <c r="AR936" s="44">
        <v>0</v>
      </c>
      <c r="AS936" s="44">
        <v>0</v>
      </c>
      <c r="AT936" s="135">
        <f t="shared" si="1122"/>
        <v>0</v>
      </c>
      <c r="AU936" s="110">
        <f t="shared" si="1123"/>
        <v>35443183</v>
      </c>
      <c r="AV936" s="133">
        <f t="shared" si="1124"/>
        <v>0</v>
      </c>
      <c r="AW936" s="34">
        <f t="shared" si="1125"/>
        <v>0</v>
      </c>
      <c r="AX936" s="123">
        <f t="shared" si="1126"/>
        <v>0</v>
      </c>
    </row>
    <row r="937" spans="1:50" x14ac:dyDescent="0.2">
      <c r="A937" s="4" t="s">
        <v>55</v>
      </c>
      <c r="B937" s="4" t="s">
        <v>56</v>
      </c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1" t="s">
        <v>748</v>
      </c>
      <c r="AB937" s="42" t="s">
        <v>749</v>
      </c>
      <c r="AC937" s="43" t="s">
        <v>368</v>
      </c>
      <c r="AD937" s="43">
        <v>30000000</v>
      </c>
      <c r="AE937" s="44">
        <v>0</v>
      </c>
      <c r="AF937" s="44">
        <v>0</v>
      </c>
      <c r="AG937" s="44">
        <v>0</v>
      </c>
      <c r="AH937" s="44">
        <v>0</v>
      </c>
      <c r="AI937" s="44">
        <v>0</v>
      </c>
      <c r="AJ937" s="43">
        <v>30000000</v>
      </c>
      <c r="AK937" s="44">
        <v>0</v>
      </c>
      <c r="AL937" s="44">
        <v>0</v>
      </c>
      <c r="AM937" s="44">
        <v>0</v>
      </c>
      <c r="AN937" s="44">
        <v>0</v>
      </c>
      <c r="AO937" s="44">
        <v>0</v>
      </c>
      <c r="AP937" s="44">
        <v>0</v>
      </c>
      <c r="AQ937" s="44">
        <v>0</v>
      </c>
      <c r="AR937" s="44">
        <v>0</v>
      </c>
      <c r="AS937" s="44">
        <v>0</v>
      </c>
      <c r="AT937" s="135">
        <f t="shared" si="1122"/>
        <v>0</v>
      </c>
      <c r="AU937" s="110">
        <f t="shared" si="1123"/>
        <v>30000000</v>
      </c>
      <c r="AV937" s="133">
        <f t="shared" si="1124"/>
        <v>0</v>
      </c>
      <c r="AW937" s="34">
        <f t="shared" si="1125"/>
        <v>0</v>
      </c>
      <c r="AX937" s="123">
        <f t="shared" si="1126"/>
        <v>0</v>
      </c>
    </row>
    <row r="938" spans="1:50" x14ac:dyDescent="0.2">
      <c r="AA938" s="16"/>
      <c r="AB938" s="17"/>
      <c r="AC938" s="17"/>
      <c r="AD938" s="18"/>
      <c r="AE938" s="34"/>
      <c r="AF938" s="34"/>
      <c r="AG938" s="34"/>
      <c r="AH938" s="34"/>
      <c r="AI938" s="34"/>
      <c r="AJ938" s="18"/>
      <c r="AK938" s="34"/>
      <c r="AL938" s="18"/>
      <c r="AM938" s="18"/>
      <c r="AN938" s="34"/>
      <c r="AO938" s="18"/>
      <c r="AP938" s="18"/>
      <c r="AQ938" s="18"/>
      <c r="AR938" s="18"/>
      <c r="AS938" s="18"/>
      <c r="AT938" s="30"/>
      <c r="AU938" s="18"/>
      <c r="AV938" s="18"/>
      <c r="AW938" s="18"/>
      <c r="AX938" s="18"/>
    </row>
    <row r="939" spans="1:50" s="50" customFormat="1" x14ac:dyDescent="0.2"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46"/>
      <c r="AB939" s="47" t="s">
        <v>750</v>
      </c>
      <c r="AC939" s="22" t="s">
        <v>751</v>
      </c>
      <c r="AD939" s="22">
        <f>SUM(AD933:AD938)</f>
        <v>14059854870</v>
      </c>
      <c r="AE939" s="23">
        <f t="shared" ref="AE939:AW939" si="1127">SUM(AE933:AE938)</f>
        <v>0</v>
      </c>
      <c r="AF939" s="23">
        <f t="shared" si="1127"/>
        <v>0</v>
      </c>
      <c r="AG939" s="23">
        <f t="shared" si="1127"/>
        <v>0</v>
      </c>
      <c r="AH939" s="23">
        <f t="shared" si="1127"/>
        <v>0</v>
      </c>
      <c r="AI939" s="23">
        <f t="shared" si="1127"/>
        <v>0</v>
      </c>
      <c r="AJ939" s="22">
        <f t="shared" si="1127"/>
        <v>14059854870</v>
      </c>
      <c r="AK939" s="23">
        <f t="shared" si="1127"/>
        <v>0</v>
      </c>
      <c r="AL939" s="22">
        <f t="shared" si="1127"/>
        <v>899534307</v>
      </c>
      <c r="AM939" s="22">
        <f t="shared" si="1127"/>
        <v>3038602921</v>
      </c>
      <c r="AN939" s="23">
        <f t="shared" si="1127"/>
        <v>0</v>
      </c>
      <c r="AO939" s="22">
        <f t="shared" si="1127"/>
        <v>899534307</v>
      </c>
      <c r="AP939" s="22">
        <f t="shared" si="1127"/>
        <v>3038602921</v>
      </c>
      <c r="AQ939" s="23">
        <f t="shared" si="1127"/>
        <v>0</v>
      </c>
      <c r="AR939" s="22">
        <f t="shared" si="1127"/>
        <v>899534307</v>
      </c>
      <c r="AS939" s="22">
        <f t="shared" si="1127"/>
        <v>3038602921</v>
      </c>
      <c r="AT939" s="22">
        <f>AQ939+AS939</f>
        <v>3038602921</v>
      </c>
      <c r="AU939" s="22">
        <f t="shared" si="1127"/>
        <v>11021251949</v>
      </c>
      <c r="AV939" s="23">
        <f t="shared" si="1127"/>
        <v>0</v>
      </c>
      <c r="AW939" s="23">
        <f t="shared" si="1127"/>
        <v>0</v>
      </c>
      <c r="AX939" s="24">
        <f t="shared" ref="AX939" si="1128">AP939/AJ939</f>
        <v>0.21611908153359197</v>
      </c>
    </row>
    <row r="940" spans="1:50" x14ac:dyDescent="0.2">
      <c r="AA940" s="16"/>
      <c r="AB940" s="17"/>
      <c r="AC940" s="17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</row>
    <row r="941" spans="1:50" x14ac:dyDescent="0.2">
      <c r="AA941" s="16"/>
      <c r="AB941" s="29" t="s">
        <v>207</v>
      </c>
      <c r="AC941" s="17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</row>
    <row r="942" spans="1:50" x14ac:dyDescent="0.2">
      <c r="AA942" s="16"/>
      <c r="AB942" s="29" t="s">
        <v>285</v>
      </c>
      <c r="AC942" s="17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</row>
    <row r="943" spans="1:50" x14ac:dyDescent="0.2">
      <c r="AA943" s="16"/>
      <c r="AB943" s="29" t="s">
        <v>202</v>
      </c>
      <c r="AC943" s="17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</row>
    <row r="944" spans="1:50" x14ac:dyDescent="0.2">
      <c r="AA944" s="16"/>
      <c r="AB944" s="29" t="s">
        <v>203</v>
      </c>
      <c r="AC944" s="17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</row>
    <row r="945" spans="1:50" x14ac:dyDescent="0.2">
      <c r="AA945" s="16"/>
      <c r="AB945" s="29" t="s">
        <v>752</v>
      </c>
      <c r="AC945" s="17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</row>
    <row r="946" spans="1:50" ht="25.5" x14ac:dyDescent="0.2">
      <c r="AA946" s="16"/>
      <c r="AB946" s="29" t="s">
        <v>205</v>
      </c>
      <c r="AC946" s="17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</row>
    <row r="947" spans="1:50" ht="25.5" x14ac:dyDescent="0.2">
      <c r="AA947" s="16"/>
      <c r="AB947" s="29" t="s">
        <v>205</v>
      </c>
      <c r="AC947" s="17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30"/>
      <c r="AU947" s="18"/>
      <c r="AV947" s="18"/>
      <c r="AW947" s="18"/>
      <c r="AX947" s="18"/>
    </row>
    <row r="948" spans="1:50" ht="25.5" x14ac:dyDescent="0.2">
      <c r="AA948" s="28" t="s">
        <v>288</v>
      </c>
      <c r="AB948" s="29" t="s">
        <v>753</v>
      </c>
      <c r="AC948" s="17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30"/>
      <c r="AU948" s="18"/>
      <c r="AV948" s="18"/>
      <c r="AW948" s="18"/>
      <c r="AX948" s="18"/>
    </row>
    <row r="949" spans="1:50" x14ac:dyDescent="0.2">
      <c r="A949" s="4" t="s">
        <v>55</v>
      </c>
      <c r="B949" s="4" t="s">
        <v>56</v>
      </c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1" t="s">
        <v>754</v>
      </c>
      <c r="AB949" s="42" t="s">
        <v>233</v>
      </c>
      <c r="AC949" s="43" t="s">
        <v>58</v>
      </c>
      <c r="AD949" s="43">
        <v>3500000000</v>
      </c>
      <c r="AE949" s="44">
        <v>0</v>
      </c>
      <c r="AF949" s="44">
        <v>0</v>
      </c>
      <c r="AG949" s="44">
        <v>0</v>
      </c>
      <c r="AH949" s="44">
        <v>0</v>
      </c>
      <c r="AI949" s="44">
        <v>0</v>
      </c>
      <c r="AJ949" s="43">
        <v>3500000000</v>
      </c>
      <c r="AK949" s="44">
        <v>0</v>
      </c>
      <c r="AL949" s="43">
        <v>291666667</v>
      </c>
      <c r="AM949" s="43">
        <v>875000001</v>
      </c>
      <c r="AN949" s="44">
        <v>0</v>
      </c>
      <c r="AO949" s="43">
        <v>291666667</v>
      </c>
      <c r="AP949" s="43">
        <v>875000001</v>
      </c>
      <c r="AQ949" s="44">
        <v>0</v>
      </c>
      <c r="AR949" s="43">
        <v>291666667</v>
      </c>
      <c r="AS949" s="43">
        <v>875000001</v>
      </c>
      <c r="AT949" s="111">
        <f t="shared" ref="AT949:AT950" si="1129">AQ949+AS949</f>
        <v>875000001</v>
      </c>
      <c r="AU949" s="110">
        <f t="shared" ref="AU949:AU950" si="1130">AJ949-AM949</f>
        <v>2624999999</v>
      </c>
      <c r="AV949" s="133">
        <f t="shared" ref="AV949:AV950" si="1131">AM949-AP949</f>
        <v>0</v>
      </c>
      <c r="AW949" s="34">
        <f t="shared" ref="AW949:AW950" si="1132">AP949-AT949</f>
        <v>0</v>
      </c>
      <c r="AX949" s="123">
        <f t="shared" ref="AX949:AX950" si="1133">AP949/AJ949</f>
        <v>0.25000000028571429</v>
      </c>
    </row>
    <row r="950" spans="1:50" x14ac:dyDescent="0.2">
      <c r="A950" s="4" t="s">
        <v>55</v>
      </c>
      <c r="B950" s="4" t="s">
        <v>56</v>
      </c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1" t="s">
        <v>755</v>
      </c>
      <c r="AB950" s="42" t="s">
        <v>756</v>
      </c>
      <c r="AC950" s="43" t="s">
        <v>757</v>
      </c>
      <c r="AD950" s="43">
        <v>103000000</v>
      </c>
      <c r="AE950" s="44">
        <v>0</v>
      </c>
      <c r="AF950" s="44">
        <v>0</v>
      </c>
      <c r="AG950" s="44">
        <v>0</v>
      </c>
      <c r="AH950" s="44">
        <v>0</v>
      </c>
      <c r="AI950" s="44">
        <v>0</v>
      </c>
      <c r="AJ950" s="43">
        <v>103000000</v>
      </c>
      <c r="AK950" s="44">
        <v>0</v>
      </c>
      <c r="AL950" s="43">
        <v>11617249</v>
      </c>
      <c r="AM950" s="43">
        <v>11617249</v>
      </c>
      <c r="AN950" s="44">
        <v>0</v>
      </c>
      <c r="AO950" s="43">
        <v>11617249</v>
      </c>
      <c r="AP950" s="43">
        <v>11617249</v>
      </c>
      <c r="AQ950" s="44">
        <v>0</v>
      </c>
      <c r="AR950" s="44">
        <v>11617249</v>
      </c>
      <c r="AS950" s="44">
        <v>11617249</v>
      </c>
      <c r="AT950" s="135">
        <f t="shared" si="1129"/>
        <v>11617249</v>
      </c>
      <c r="AU950" s="110">
        <f t="shared" si="1130"/>
        <v>91382751</v>
      </c>
      <c r="AV950" s="133">
        <f t="shared" si="1131"/>
        <v>0</v>
      </c>
      <c r="AW950" s="34">
        <f t="shared" si="1132"/>
        <v>0</v>
      </c>
      <c r="AX950" s="123">
        <f t="shared" si="1133"/>
        <v>0.11278882524271845</v>
      </c>
    </row>
    <row r="951" spans="1:50" x14ac:dyDescent="0.2">
      <c r="AA951" s="16"/>
      <c r="AB951" s="17"/>
      <c r="AC951" s="17"/>
      <c r="AD951" s="18"/>
      <c r="AE951" s="34"/>
      <c r="AF951" s="34"/>
      <c r="AG951" s="34"/>
      <c r="AH951" s="34"/>
      <c r="AI951" s="34"/>
      <c r="AJ951" s="18"/>
      <c r="AK951" s="34"/>
      <c r="AL951" s="18"/>
      <c r="AM951" s="18"/>
      <c r="AN951" s="34"/>
      <c r="AO951" s="18"/>
      <c r="AP951" s="18"/>
      <c r="AQ951" s="34"/>
      <c r="AR951" s="18"/>
      <c r="AS951" s="18"/>
      <c r="AT951" s="30"/>
      <c r="AU951" s="18"/>
      <c r="AV951" s="18"/>
      <c r="AW951" s="18"/>
      <c r="AX951" s="18"/>
    </row>
    <row r="952" spans="1:50" s="50" customFormat="1" x14ac:dyDescent="0.2"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46"/>
      <c r="AB952" s="47" t="s">
        <v>758</v>
      </c>
      <c r="AC952" s="22" t="s">
        <v>759</v>
      </c>
      <c r="AD952" s="22">
        <f>SUM(AD949:AD951)</f>
        <v>3603000000</v>
      </c>
      <c r="AE952" s="23">
        <f t="shared" ref="AE952:AX952" si="1134">SUM(AE949:AE951)</f>
        <v>0</v>
      </c>
      <c r="AF952" s="23">
        <f t="shared" si="1134"/>
        <v>0</v>
      </c>
      <c r="AG952" s="23">
        <f t="shared" si="1134"/>
        <v>0</v>
      </c>
      <c r="AH952" s="23">
        <f t="shared" si="1134"/>
        <v>0</v>
      </c>
      <c r="AI952" s="23">
        <f t="shared" si="1134"/>
        <v>0</v>
      </c>
      <c r="AJ952" s="22">
        <f t="shared" si="1134"/>
        <v>3603000000</v>
      </c>
      <c r="AK952" s="23">
        <f t="shared" si="1134"/>
        <v>0</v>
      </c>
      <c r="AL952" s="22">
        <f t="shared" si="1134"/>
        <v>303283916</v>
      </c>
      <c r="AM952" s="22">
        <f t="shared" si="1134"/>
        <v>886617250</v>
      </c>
      <c r="AN952" s="23">
        <f t="shared" si="1134"/>
        <v>0</v>
      </c>
      <c r="AO952" s="22">
        <f t="shared" si="1134"/>
        <v>303283916</v>
      </c>
      <c r="AP952" s="22">
        <f t="shared" si="1134"/>
        <v>886617250</v>
      </c>
      <c r="AQ952" s="23">
        <f t="shared" si="1134"/>
        <v>0</v>
      </c>
      <c r="AR952" s="22">
        <f t="shared" si="1134"/>
        <v>303283916</v>
      </c>
      <c r="AS952" s="22">
        <f t="shared" si="1134"/>
        <v>886617250</v>
      </c>
      <c r="AT952" s="22">
        <f>AQ952+AS952</f>
        <v>886617250</v>
      </c>
      <c r="AU952" s="22">
        <f t="shared" si="1134"/>
        <v>2716382750</v>
      </c>
      <c r="AV952" s="23">
        <f t="shared" si="1134"/>
        <v>0</v>
      </c>
      <c r="AW952" s="23">
        <f t="shared" si="1134"/>
        <v>0</v>
      </c>
      <c r="AX952" s="22">
        <f t="shared" si="1134"/>
        <v>0.36278882552843272</v>
      </c>
    </row>
    <row r="953" spans="1:50" x14ac:dyDescent="0.2">
      <c r="AA953" s="16"/>
      <c r="AB953" s="17"/>
      <c r="AC953" s="17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</row>
    <row r="954" spans="1:50" s="25" customFormat="1" x14ac:dyDescent="0.2"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66"/>
      <c r="AB954" s="21" t="s">
        <v>760</v>
      </c>
      <c r="AC954" s="67"/>
      <c r="AD954" s="63"/>
      <c r="AE954" s="63"/>
      <c r="AF954" s="63"/>
      <c r="AG954" s="63"/>
      <c r="AH954" s="63"/>
      <c r="AI954" s="63"/>
      <c r="AJ954" s="63"/>
      <c r="AK954" s="63"/>
      <c r="AL954" s="63"/>
      <c r="AM954" s="63"/>
      <c r="AN954" s="63"/>
      <c r="AO954" s="63"/>
      <c r="AP954" s="63"/>
      <c r="AQ954" s="63"/>
      <c r="AR954" s="63"/>
      <c r="AS954" s="63"/>
      <c r="AT954" s="63"/>
      <c r="AU954" s="63"/>
      <c r="AV954" s="63"/>
      <c r="AW954" s="63"/>
      <c r="AX954" s="63"/>
    </row>
    <row r="955" spans="1:50" x14ac:dyDescent="0.2">
      <c r="AA955" s="16"/>
      <c r="AB955" s="29" t="s">
        <v>285</v>
      </c>
      <c r="AC955" s="17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</row>
    <row r="956" spans="1:50" x14ac:dyDescent="0.2">
      <c r="AA956" s="16"/>
      <c r="AB956" s="29" t="s">
        <v>177</v>
      </c>
      <c r="AC956" s="17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</row>
    <row r="957" spans="1:50" x14ac:dyDescent="0.2">
      <c r="AA957" s="16"/>
      <c r="AB957" s="29" t="s">
        <v>179</v>
      </c>
      <c r="AC957" s="17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</row>
    <row r="958" spans="1:50" x14ac:dyDescent="0.2">
      <c r="AA958" s="16"/>
      <c r="AB958" s="29" t="s">
        <v>761</v>
      </c>
      <c r="AC958" s="17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</row>
    <row r="959" spans="1:50" ht="25.5" x14ac:dyDescent="0.2">
      <c r="AA959" s="16"/>
      <c r="AB959" s="29" t="s">
        <v>298</v>
      </c>
      <c r="AC959" s="17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</row>
    <row r="960" spans="1:50" ht="51" x14ac:dyDescent="0.2">
      <c r="AA960" s="28" t="s">
        <v>288</v>
      </c>
      <c r="AB960" s="29" t="s">
        <v>762</v>
      </c>
      <c r="AC960" s="17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30"/>
      <c r="AU960" s="18"/>
      <c r="AV960" s="18"/>
      <c r="AW960" s="18"/>
      <c r="AX960" s="18"/>
    </row>
    <row r="961" spans="1:50" x14ac:dyDescent="0.2">
      <c r="A961" s="4" t="s">
        <v>55</v>
      </c>
      <c r="B961" s="4" t="s">
        <v>56</v>
      </c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1" t="s">
        <v>763</v>
      </c>
      <c r="AB961" s="42" t="s">
        <v>233</v>
      </c>
      <c r="AC961" s="43" t="s">
        <v>58</v>
      </c>
      <c r="AD961" s="43">
        <v>123000000</v>
      </c>
      <c r="AE961" s="44">
        <v>0</v>
      </c>
      <c r="AF961" s="44">
        <v>0</v>
      </c>
      <c r="AG961" s="44">
        <v>0</v>
      </c>
      <c r="AH961" s="44">
        <v>0</v>
      </c>
      <c r="AI961" s="44">
        <v>0</v>
      </c>
      <c r="AJ961" s="43">
        <v>123000000</v>
      </c>
      <c r="AK961" s="44">
        <v>0</v>
      </c>
      <c r="AL961" s="43">
        <v>0</v>
      </c>
      <c r="AM961" s="43">
        <v>111780000</v>
      </c>
      <c r="AN961" s="44">
        <v>0</v>
      </c>
      <c r="AO961" s="44">
        <v>0</v>
      </c>
      <c r="AP961" s="43">
        <v>111780000</v>
      </c>
      <c r="AQ961" s="43">
        <v>11180000</v>
      </c>
      <c r="AR961" s="43">
        <v>11086666</v>
      </c>
      <c r="AS961" s="114">
        <v>13236666</v>
      </c>
      <c r="AT961" s="111">
        <f t="shared" ref="AT961:AT963" si="1135">AQ961+AS961</f>
        <v>24416666</v>
      </c>
      <c r="AU961" s="110">
        <f t="shared" ref="AU961" si="1136">AJ961-AM961</f>
        <v>11220000</v>
      </c>
      <c r="AV961" s="133">
        <f t="shared" ref="AV961" si="1137">AM961-AP961</f>
        <v>0</v>
      </c>
      <c r="AW961" s="110">
        <f t="shared" ref="AW961" si="1138">AP961-AT961</f>
        <v>87363334</v>
      </c>
      <c r="AX961" s="123">
        <f t="shared" ref="AX961" si="1139">AP961/AJ961</f>
        <v>0.90878048780487808</v>
      </c>
    </row>
    <row r="962" spans="1:50" x14ac:dyDescent="0.2">
      <c r="AA962" s="28" t="s">
        <v>288</v>
      </c>
      <c r="AB962" s="29" t="s">
        <v>764</v>
      </c>
      <c r="AC962" s="17"/>
      <c r="AD962" s="18"/>
      <c r="AE962" s="18"/>
      <c r="AF962" s="18"/>
      <c r="AG962" s="18"/>
      <c r="AH962" s="18"/>
      <c r="AI962" s="18"/>
      <c r="AJ962" s="18"/>
      <c r="AK962" s="34"/>
      <c r="AL962" s="18"/>
      <c r="AM962" s="18"/>
      <c r="AN962" s="34"/>
      <c r="AO962" s="34"/>
      <c r="AP962" s="18"/>
      <c r="AQ962" s="18"/>
      <c r="AR962" s="18"/>
      <c r="AS962" s="34"/>
      <c r="AT962" s="31"/>
      <c r="AU962" s="18"/>
      <c r="AV962" s="18"/>
      <c r="AW962" s="110"/>
      <c r="AX962" s="18"/>
    </row>
    <row r="963" spans="1:50" x14ac:dyDescent="0.2">
      <c r="A963" s="4" t="s">
        <v>55</v>
      </c>
      <c r="B963" s="4" t="s">
        <v>56</v>
      </c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1" t="s">
        <v>765</v>
      </c>
      <c r="AB963" s="42" t="s">
        <v>233</v>
      </c>
      <c r="AC963" s="43" t="s">
        <v>58</v>
      </c>
      <c r="AD963" s="43">
        <v>77000000</v>
      </c>
      <c r="AE963" s="44">
        <v>0</v>
      </c>
      <c r="AF963" s="44">
        <v>0</v>
      </c>
      <c r="AG963" s="44">
        <v>0</v>
      </c>
      <c r="AH963" s="44">
        <v>0</v>
      </c>
      <c r="AI963" s="44">
        <v>0</v>
      </c>
      <c r="AJ963" s="43">
        <v>77000000</v>
      </c>
      <c r="AK963" s="44">
        <v>0</v>
      </c>
      <c r="AL963" s="43">
        <v>0</v>
      </c>
      <c r="AM963" s="43">
        <v>65000000</v>
      </c>
      <c r="AN963" s="44">
        <v>0</v>
      </c>
      <c r="AO963" s="44">
        <v>0</v>
      </c>
      <c r="AP963" s="43">
        <v>65000000</v>
      </c>
      <c r="AQ963" s="43">
        <v>7000000</v>
      </c>
      <c r="AR963" s="43">
        <v>6733333</v>
      </c>
      <c r="AS963" s="43">
        <v>6733333</v>
      </c>
      <c r="AT963" s="39">
        <f t="shared" si="1135"/>
        <v>13733333</v>
      </c>
      <c r="AU963" s="110">
        <f t="shared" ref="AU963" si="1140">AJ963-AM963</f>
        <v>12000000</v>
      </c>
      <c r="AV963" s="133">
        <f t="shared" ref="AV963" si="1141">AM963-AP963</f>
        <v>0</v>
      </c>
      <c r="AW963" s="110">
        <f t="shared" ref="AW963" si="1142">AP963-AT963</f>
        <v>51266667</v>
      </c>
      <c r="AX963" s="123">
        <f t="shared" ref="AX963" si="1143">AP963/AJ963</f>
        <v>0.8441558441558441</v>
      </c>
    </row>
    <row r="964" spans="1:50" x14ac:dyDescent="0.2">
      <c r="AA964" s="16"/>
      <c r="AB964" s="17"/>
      <c r="AC964" s="17"/>
      <c r="AD964" s="18"/>
      <c r="AE964" s="34"/>
      <c r="AF964" s="34"/>
      <c r="AG964" s="34"/>
      <c r="AH964" s="34"/>
      <c r="AI964" s="34"/>
      <c r="AJ964" s="18"/>
      <c r="AK964" s="34"/>
      <c r="AL964" s="18"/>
      <c r="AM964" s="18"/>
      <c r="AN964" s="34"/>
      <c r="AO964" s="34"/>
      <c r="AP964" s="18"/>
      <c r="AQ964" s="34"/>
      <c r="AR964" s="34"/>
      <c r="AS964" s="34"/>
      <c r="AT964" s="31"/>
      <c r="AU964" s="18"/>
      <c r="AV964" s="18"/>
      <c r="AW964" s="18"/>
      <c r="AX964" s="18"/>
    </row>
    <row r="965" spans="1:50" s="50" customFormat="1" x14ac:dyDescent="0.2"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46"/>
      <c r="AB965" s="47" t="s">
        <v>766</v>
      </c>
      <c r="AC965" s="22" t="s">
        <v>767</v>
      </c>
      <c r="AD965" s="22">
        <f>SUM(AD960:AD963)</f>
        <v>200000000</v>
      </c>
      <c r="AE965" s="23">
        <f t="shared" ref="AE965:AW965" si="1144">SUM(AE960:AE963)</f>
        <v>0</v>
      </c>
      <c r="AF965" s="23">
        <f t="shared" si="1144"/>
        <v>0</v>
      </c>
      <c r="AG965" s="23">
        <f t="shared" si="1144"/>
        <v>0</v>
      </c>
      <c r="AH965" s="23">
        <f t="shared" si="1144"/>
        <v>0</v>
      </c>
      <c r="AI965" s="23">
        <f t="shared" si="1144"/>
        <v>0</v>
      </c>
      <c r="AJ965" s="22">
        <f t="shared" si="1144"/>
        <v>200000000</v>
      </c>
      <c r="AK965" s="23">
        <f t="shared" si="1144"/>
        <v>0</v>
      </c>
      <c r="AL965" s="22">
        <f t="shared" si="1144"/>
        <v>0</v>
      </c>
      <c r="AM965" s="22">
        <f t="shared" si="1144"/>
        <v>176780000</v>
      </c>
      <c r="AN965" s="23">
        <f t="shared" si="1144"/>
        <v>0</v>
      </c>
      <c r="AO965" s="23">
        <f t="shared" si="1144"/>
        <v>0</v>
      </c>
      <c r="AP965" s="22">
        <f t="shared" si="1144"/>
        <v>176780000</v>
      </c>
      <c r="AQ965" s="22">
        <f t="shared" si="1144"/>
        <v>18180000</v>
      </c>
      <c r="AR965" s="108">
        <f t="shared" si="1144"/>
        <v>17819999</v>
      </c>
      <c r="AS965" s="108">
        <f t="shared" si="1144"/>
        <v>19969999</v>
      </c>
      <c r="AT965" s="108">
        <f>AQ965+AS965</f>
        <v>38149999</v>
      </c>
      <c r="AU965" s="22">
        <f t="shared" si="1144"/>
        <v>23220000</v>
      </c>
      <c r="AV965" s="23">
        <f t="shared" si="1144"/>
        <v>0</v>
      </c>
      <c r="AW965" s="22">
        <f t="shared" si="1144"/>
        <v>138630001</v>
      </c>
      <c r="AX965" s="24">
        <f t="shared" ref="AX965" si="1145">AP965/AJ965</f>
        <v>0.88390000000000002</v>
      </c>
    </row>
    <row r="966" spans="1:50" x14ac:dyDescent="0.2">
      <c r="AA966" s="16"/>
      <c r="AB966" s="17"/>
      <c r="AC966" s="17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</row>
    <row r="967" spans="1:50" s="25" customFormat="1" x14ac:dyDescent="0.2"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66"/>
      <c r="AB967" s="21" t="s">
        <v>768</v>
      </c>
      <c r="AC967" s="67"/>
      <c r="AD967" s="63"/>
      <c r="AE967" s="63"/>
      <c r="AF967" s="63"/>
      <c r="AG967" s="63"/>
      <c r="AH967" s="63"/>
      <c r="AI967" s="63"/>
      <c r="AJ967" s="63"/>
      <c r="AK967" s="63"/>
      <c r="AL967" s="63"/>
      <c r="AM967" s="63"/>
      <c r="AN967" s="63"/>
      <c r="AO967" s="63"/>
      <c r="AP967" s="63"/>
      <c r="AQ967" s="63"/>
      <c r="AR967" s="63"/>
      <c r="AS967" s="63"/>
      <c r="AT967" s="63"/>
      <c r="AU967" s="63"/>
      <c r="AV967" s="63"/>
      <c r="AW967" s="63"/>
      <c r="AX967" s="63"/>
    </row>
    <row r="968" spans="1:50" x14ac:dyDescent="0.2">
      <c r="AA968" s="16"/>
      <c r="AB968" s="29" t="s">
        <v>285</v>
      </c>
      <c r="AC968" s="17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</row>
    <row r="969" spans="1:50" x14ac:dyDescent="0.2">
      <c r="AA969" s="16"/>
      <c r="AB969" s="29" t="s">
        <v>202</v>
      </c>
      <c r="AC969" s="17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</row>
    <row r="970" spans="1:50" x14ac:dyDescent="0.2">
      <c r="AA970" s="16"/>
      <c r="AB970" s="29" t="s">
        <v>203</v>
      </c>
      <c r="AC970" s="17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</row>
    <row r="971" spans="1:50" x14ac:dyDescent="0.2">
      <c r="AA971" s="16"/>
      <c r="AB971" s="29" t="s">
        <v>204</v>
      </c>
      <c r="AC971" s="17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</row>
    <row r="972" spans="1:50" ht="25.5" x14ac:dyDescent="0.2">
      <c r="AA972" s="16"/>
      <c r="AB972" s="29" t="s">
        <v>205</v>
      </c>
      <c r="AC972" s="17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</row>
    <row r="973" spans="1:50" ht="25.5" x14ac:dyDescent="0.2">
      <c r="AA973" s="28" t="s">
        <v>288</v>
      </c>
      <c r="AB973" s="29" t="s">
        <v>769</v>
      </c>
      <c r="AC973" s="17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30"/>
      <c r="AU973" s="18"/>
      <c r="AV973" s="18"/>
      <c r="AW973" s="18"/>
      <c r="AX973" s="18"/>
    </row>
    <row r="974" spans="1:50" s="150" customFormat="1" x14ac:dyDescent="0.2">
      <c r="A974" s="140" t="s">
        <v>55</v>
      </c>
      <c r="B974" s="140" t="s">
        <v>56</v>
      </c>
      <c r="C974" s="140"/>
      <c r="D974" s="140"/>
      <c r="E974" s="140"/>
      <c r="F974" s="140"/>
      <c r="G974" s="140"/>
      <c r="H974" s="140"/>
      <c r="I974" s="140"/>
      <c r="J974" s="140"/>
      <c r="K974" s="140"/>
      <c r="L974" s="140"/>
      <c r="M974" s="140"/>
      <c r="N974" s="140"/>
      <c r="O974" s="140"/>
      <c r="P974" s="140"/>
      <c r="Q974" s="140"/>
      <c r="R974" s="140"/>
      <c r="S974" s="140"/>
      <c r="T974" s="140"/>
      <c r="U974" s="140"/>
      <c r="V974" s="140"/>
      <c r="W974" s="140"/>
      <c r="X974" s="140"/>
      <c r="Y974" s="140"/>
      <c r="Z974" s="140"/>
      <c r="AA974" s="134" t="s">
        <v>770</v>
      </c>
      <c r="AB974" s="69" t="s">
        <v>233</v>
      </c>
      <c r="AC974" s="142" t="s">
        <v>58</v>
      </c>
      <c r="AD974" s="142">
        <v>4000000000</v>
      </c>
      <c r="AE974" s="143">
        <v>0</v>
      </c>
      <c r="AF974" s="143">
        <v>0</v>
      </c>
      <c r="AG974" s="143">
        <v>0</v>
      </c>
      <c r="AH974" s="143">
        <v>0</v>
      </c>
      <c r="AI974" s="143">
        <v>0</v>
      </c>
      <c r="AJ974" s="142">
        <v>4000000000</v>
      </c>
      <c r="AK974" s="143">
        <v>0</v>
      </c>
      <c r="AL974" s="142">
        <v>333333333</v>
      </c>
      <c r="AM974" s="142">
        <v>999999999</v>
      </c>
      <c r="AN974" s="143">
        <v>0</v>
      </c>
      <c r="AO974" s="142">
        <v>333333333</v>
      </c>
      <c r="AP974" s="142">
        <v>999999999</v>
      </c>
      <c r="AQ974" s="143">
        <v>0</v>
      </c>
      <c r="AR974" s="142">
        <v>333333333</v>
      </c>
      <c r="AS974" s="142">
        <v>999999999</v>
      </c>
      <c r="AT974" s="174">
        <f t="shared" ref="AT974" si="1146">AQ974+AS974</f>
        <v>999999999</v>
      </c>
      <c r="AU974" s="148">
        <f t="shared" ref="AU974" si="1147">AJ974-AM974</f>
        <v>3000000001</v>
      </c>
      <c r="AV974" s="175">
        <f t="shared" ref="AV974" si="1148">AM974-AP974</f>
        <v>0</v>
      </c>
      <c r="AW974" s="175">
        <f t="shared" ref="AW974" si="1149">AP974-AT974</f>
        <v>0</v>
      </c>
      <c r="AX974" s="149">
        <f t="shared" ref="AX974" si="1150">AP974/AJ974</f>
        <v>0.24999999975000001</v>
      </c>
    </row>
    <row r="975" spans="1:50" x14ac:dyDescent="0.2">
      <c r="AA975" s="16"/>
      <c r="AB975" s="17"/>
      <c r="AC975" s="17"/>
      <c r="AD975" s="18"/>
      <c r="AE975" s="34"/>
      <c r="AF975" s="34"/>
      <c r="AG975" s="34"/>
      <c r="AH975" s="34"/>
      <c r="AI975" s="34"/>
      <c r="AJ975" s="18"/>
      <c r="AK975" s="34"/>
      <c r="AL975" s="18"/>
      <c r="AM975" s="18"/>
      <c r="AN975" s="34"/>
      <c r="AO975" s="18"/>
      <c r="AP975" s="18"/>
      <c r="AQ975" s="34"/>
      <c r="AR975" s="18"/>
      <c r="AS975" s="18"/>
      <c r="AT975" s="30"/>
      <c r="AU975" s="18"/>
      <c r="AV975" s="34"/>
      <c r="AW975" s="34"/>
      <c r="AX975" s="18"/>
    </row>
    <row r="976" spans="1:50" s="50" customFormat="1" x14ac:dyDescent="0.2"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46"/>
      <c r="AB976" s="47" t="s">
        <v>771</v>
      </c>
      <c r="AC976" s="22" t="s">
        <v>772</v>
      </c>
      <c r="AD976" s="22">
        <f>SUM(AD974:AD975)</f>
        <v>4000000000</v>
      </c>
      <c r="AE976" s="23">
        <f t="shared" ref="AE976:AW976" si="1151">SUM(AE974:AE975)</f>
        <v>0</v>
      </c>
      <c r="AF976" s="23">
        <f t="shared" si="1151"/>
        <v>0</v>
      </c>
      <c r="AG976" s="23">
        <f t="shared" si="1151"/>
        <v>0</v>
      </c>
      <c r="AH976" s="23">
        <f t="shared" si="1151"/>
        <v>0</v>
      </c>
      <c r="AI976" s="23">
        <f t="shared" si="1151"/>
        <v>0</v>
      </c>
      <c r="AJ976" s="22">
        <f t="shared" si="1151"/>
        <v>4000000000</v>
      </c>
      <c r="AK976" s="23">
        <f t="shared" si="1151"/>
        <v>0</v>
      </c>
      <c r="AL976" s="22">
        <f t="shared" si="1151"/>
        <v>333333333</v>
      </c>
      <c r="AM976" s="22">
        <f t="shared" si="1151"/>
        <v>999999999</v>
      </c>
      <c r="AN976" s="23">
        <f t="shared" si="1151"/>
        <v>0</v>
      </c>
      <c r="AO976" s="22">
        <f t="shared" si="1151"/>
        <v>333333333</v>
      </c>
      <c r="AP976" s="22">
        <f t="shared" si="1151"/>
        <v>999999999</v>
      </c>
      <c r="AQ976" s="23">
        <f t="shared" si="1151"/>
        <v>0</v>
      </c>
      <c r="AR976" s="22">
        <f t="shared" si="1151"/>
        <v>333333333</v>
      </c>
      <c r="AS976" s="22">
        <f t="shared" si="1151"/>
        <v>999999999</v>
      </c>
      <c r="AT976" s="22">
        <f>AQ976+AS976</f>
        <v>999999999</v>
      </c>
      <c r="AU976" s="22">
        <f t="shared" si="1151"/>
        <v>3000000001</v>
      </c>
      <c r="AV976" s="23">
        <f t="shared" si="1151"/>
        <v>0</v>
      </c>
      <c r="AW976" s="23">
        <f t="shared" si="1151"/>
        <v>0</v>
      </c>
      <c r="AX976" s="24">
        <f t="shared" ref="AX976" si="1152">AP976/AJ976</f>
        <v>0.24999999975000001</v>
      </c>
    </row>
    <row r="977" spans="2:50" x14ac:dyDescent="0.2">
      <c r="AA977" s="16"/>
      <c r="AB977" s="17"/>
      <c r="AC977" s="17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34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</row>
    <row r="978" spans="2:50" s="25" customFormat="1" x14ac:dyDescent="0.2"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85"/>
      <c r="AB978" s="86" t="s">
        <v>773</v>
      </c>
      <c r="AC978" s="87"/>
      <c r="AD978" s="63"/>
      <c r="AE978" s="88"/>
      <c r="AF978" s="88"/>
      <c r="AG978" s="88"/>
      <c r="AH978" s="88"/>
      <c r="AI978" s="88"/>
      <c r="AJ978" s="88"/>
      <c r="AK978" s="88"/>
      <c r="AL978" s="88"/>
      <c r="AM978" s="88"/>
      <c r="AN978" s="88"/>
      <c r="AO978" s="88"/>
      <c r="AP978" s="88"/>
      <c r="AQ978" s="88"/>
      <c r="AR978" s="88"/>
      <c r="AS978" s="88"/>
      <c r="AT978" s="88"/>
      <c r="AU978" s="88"/>
      <c r="AV978" s="88"/>
      <c r="AW978" s="88"/>
      <c r="AX978" s="88"/>
    </row>
    <row r="979" spans="2:50" x14ac:dyDescent="0.2">
      <c r="AA979" s="89"/>
      <c r="AB979" s="90" t="s">
        <v>676</v>
      </c>
      <c r="AC979" s="91"/>
      <c r="AD979" s="18"/>
      <c r="AE979" s="92"/>
      <c r="AF979" s="92"/>
      <c r="AG979" s="92"/>
      <c r="AH979" s="92"/>
      <c r="AI979" s="92"/>
      <c r="AJ979" s="92"/>
      <c r="AK979" s="92"/>
      <c r="AL979" s="92"/>
      <c r="AM979" s="92"/>
      <c r="AN979" s="92"/>
      <c r="AO979" s="92"/>
      <c r="AP979" s="92"/>
      <c r="AQ979" s="92"/>
      <c r="AR979" s="92"/>
      <c r="AS979" s="92"/>
      <c r="AT979" s="92"/>
      <c r="AU979" s="92"/>
      <c r="AV979" s="92"/>
      <c r="AW979" s="92"/>
      <c r="AX979" s="92"/>
    </row>
    <row r="980" spans="2:50" x14ac:dyDescent="0.2">
      <c r="AA980" s="89"/>
      <c r="AB980" s="90" t="s">
        <v>286</v>
      </c>
      <c r="AC980" s="91"/>
      <c r="AD980" s="18"/>
      <c r="AE980" s="92"/>
      <c r="AF980" s="92"/>
      <c r="AG980" s="92"/>
      <c r="AH980" s="92"/>
      <c r="AI980" s="92"/>
      <c r="AJ980" s="92"/>
      <c r="AK980" s="92"/>
      <c r="AL980" s="92"/>
      <c r="AM980" s="92"/>
      <c r="AN980" s="92"/>
      <c r="AO980" s="92"/>
      <c r="AP980" s="92"/>
      <c r="AQ980" s="92"/>
      <c r="AR980" s="92"/>
      <c r="AS980" s="92"/>
      <c r="AT980" s="92"/>
      <c r="AU980" s="92"/>
      <c r="AV980" s="92"/>
      <c r="AW980" s="92"/>
      <c r="AX980" s="92"/>
    </row>
    <row r="981" spans="2:50" x14ac:dyDescent="0.2">
      <c r="AA981" s="89"/>
      <c r="AB981" s="90" t="s">
        <v>179</v>
      </c>
      <c r="AC981" s="91"/>
      <c r="AD981" s="18"/>
      <c r="AE981" s="92"/>
      <c r="AF981" s="92"/>
      <c r="AG981" s="92"/>
      <c r="AH981" s="92"/>
      <c r="AI981" s="92"/>
      <c r="AJ981" s="92"/>
      <c r="AK981" s="92"/>
      <c r="AL981" s="92"/>
      <c r="AM981" s="92"/>
      <c r="AN981" s="92"/>
      <c r="AO981" s="92"/>
      <c r="AP981" s="92"/>
      <c r="AQ981" s="92"/>
      <c r="AR981" s="92"/>
      <c r="AS981" s="92"/>
      <c r="AT981" s="92"/>
      <c r="AU981" s="92"/>
      <c r="AV981" s="92"/>
      <c r="AW981" s="92"/>
      <c r="AX981" s="92"/>
    </row>
    <row r="982" spans="2:50" x14ac:dyDescent="0.2">
      <c r="AA982" s="89"/>
      <c r="AB982" s="90" t="s">
        <v>189</v>
      </c>
      <c r="AC982" s="91"/>
      <c r="AD982" s="18"/>
      <c r="AE982" s="92"/>
      <c r="AF982" s="92"/>
      <c r="AG982" s="92"/>
      <c r="AH982" s="92"/>
      <c r="AI982" s="92"/>
      <c r="AJ982" s="92"/>
      <c r="AK982" s="92"/>
      <c r="AL982" s="92"/>
      <c r="AM982" s="92"/>
      <c r="AN982" s="92"/>
      <c r="AO982" s="92"/>
      <c r="AP982" s="92"/>
      <c r="AQ982" s="92"/>
      <c r="AR982" s="92"/>
      <c r="AS982" s="92"/>
      <c r="AT982" s="92"/>
      <c r="AU982" s="92"/>
      <c r="AV982" s="92"/>
      <c r="AW982" s="92"/>
      <c r="AX982" s="92"/>
    </row>
    <row r="983" spans="2:50" x14ac:dyDescent="0.2">
      <c r="AA983" s="89"/>
      <c r="AB983" s="90" t="s">
        <v>191</v>
      </c>
      <c r="AC983" s="91"/>
      <c r="AD983" s="18"/>
      <c r="AE983" s="92"/>
      <c r="AF983" s="92"/>
      <c r="AG983" s="92"/>
      <c r="AH983" s="92"/>
      <c r="AI983" s="92"/>
      <c r="AJ983" s="92"/>
      <c r="AK983" s="92"/>
      <c r="AL983" s="92"/>
      <c r="AM983" s="92"/>
      <c r="AN983" s="92"/>
      <c r="AO983" s="92"/>
      <c r="AP983" s="92"/>
      <c r="AQ983" s="92"/>
      <c r="AR983" s="92"/>
      <c r="AS983" s="92"/>
      <c r="AT983" s="92"/>
      <c r="AU983" s="92"/>
      <c r="AV983" s="92"/>
      <c r="AW983" s="92"/>
      <c r="AX983" s="92"/>
    </row>
    <row r="984" spans="2:50" ht="38.25" x14ac:dyDescent="0.2">
      <c r="AA984" s="93" t="s">
        <v>288</v>
      </c>
      <c r="AB984" s="90" t="s">
        <v>774</v>
      </c>
      <c r="AC984" s="91"/>
      <c r="AD984" s="18"/>
      <c r="AE984" s="92"/>
      <c r="AF984" s="92"/>
      <c r="AG984" s="92"/>
      <c r="AH984" s="92"/>
      <c r="AI984" s="92"/>
      <c r="AJ984" s="92"/>
      <c r="AK984" s="92"/>
      <c r="AL984" s="92"/>
      <c r="AM984" s="92"/>
      <c r="AN984" s="92"/>
      <c r="AO984" s="92"/>
      <c r="AP984" s="92"/>
      <c r="AQ984" s="92"/>
      <c r="AR984" s="92"/>
      <c r="AS984" s="92"/>
      <c r="AT984" s="30"/>
      <c r="AU984" s="92"/>
      <c r="AV984" s="92"/>
      <c r="AW984" s="92"/>
      <c r="AX984" s="92"/>
    </row>
    <row r="985" spans="2:50" ht="25.5" x14ac:dyDescent="0.2">
      <c r="AA985" s="94" t="s">
        <v>775</v>
      </c>
      <c r="AB985" s="95" t="s">
        <v>776</v>
      </c>
      <c r="AC985" s="96" t="s">
        <v>777</v>
      </c>
      <c r="AD985" s="44">
        <v>0</v>
      </c>
      <c r="AE985" s="97">
        <v>0</v>
      </c>
      <c r="AF985" s="97">
        <v>0</v>
      </c>
      <c r="AG985" s="43">
        <v>5536570240</v>
      </c>
      <c r="AH985" s="96">
        <v>0</v>
      </c>
      <c r="AI985" s="136">
        <f>AE985-AF985+AG985-AH985</f>
        <v>5536570240</v>
      </c>
      <c r="AJ985" s="43">
        <f>AD985+AI985</f>
        <v>5536570240</v>
      </c>
      <c r="AK985" s="97">
        <v>0</v>
      </c>
      <c r="AL985" s="114">
        <f>AM985-FEBRERO!P960</f>
        <v>89400000</v>
      </c>
      <c r="AM985" s="114">
        <v>2089114834</v>
      </c>
      <c r="AN985" s="43">
        <v>22800000</v>
      </c>
      <c r="AO985" s="114">
        <v>238800000</v>
      </c>
      <c r="AP985" s="114">
        <v>1743800000</v>
      </c>
      <c r="AQ985" s="97">
        <v>83903332</v>
      </c>
      <c r="AR985" s="97">
        <v>23723332</v>
      </c>
      <c r="AS985" s="43">
        <v>23723332</v>
      </c>
      <c r="AT985" s="39">
        <f t="shared" ref="AT985" si="1153">AQ985+AS985</f>
        <v>107626664</v>
      </c>
      <c r="AU985" s="18">
        <f t="shared" ref="AU985" si="1154">AJ985-AM985</f>
        <v>3447455406</v>
      </c>
      <c r="AV985" s="18">
        <f t="shared" ref="AV985" si="1155">AM985-AP985</f>
        <v>345314834</v>
      </c>
      <c r="AW985" s="110">
        <f t="shared" ref="AW985" si="1156">AP985-AT985</f>
        <v>1636173336</v>
      </c>
      <c r="AX985" s="123">
        <f t="shared" ref="AX985" si="1157">AP985/AJ985</f>
        <v>0.31496033183171535</v>
      </c>
    </row>
    <row r="986" spans="2:50" ht="25.5" x14ac:dyDescent="0.2">
      <c r="AA986" s="93" t="s">
        <v>288</v>
      </c>
      <c r="AB986" s="90" t="s">
        <v>778</v>
      </c>
      <c r="AC986" s="91"/>
      <c r="AD986" s="18"/>
      <c r="AE986" s="98"/>
      <c r="AF986" s="98"/>
      <c r="AG986" s="92"/>
      <c r="AH986" s="92"/>
      <c r="AI986" s="92"/>
      <c r="AJ986" s="18"/>
      <c r="AK986" s="98"/>
      <c r="AL986" s="98"/>
      <c r="AM986" s="98"/>
      <c r="AN986" s="98"/>
      <c r="AO986" s="98"/>
      <c r="AP986" s="98"/>
      <c r="AQ986" s="98"/>
      <c r="AR986" s="98"/>
      <c r="AS986" s="98"/>
      <c r="AT986" s="31"/>
      <c r="AU986" s="18"/>
      <c r="AV986" s="34"/>
      <c r="AW986" s="34"/>
      <c r="AX986" s="92"/>
    </row>
    <row r="987" spans="2:50" x14ac:dyDescent="0.2">
      <c r="AA987" s="94" t="s">
        <v>779</v>
      </c>
      <c r="AB987" s="95" t="s">
        <v>780</v>
      </c>
      <c r="AC987" s="96" t="s">
        <v>368</v>
      </c>
      <c r="AD987" s="43">
        <v>920421961</v>
      </c>
      <c r="AE987" s="97">
        <v>0</v>
      </c>
      <c r="AF987" s="97">
        <v>0</v>
      </c>
      <c r="AG987" s="96">
        <v>0</v>
      </c>
      <c r="AH987" s="96">
        <v>0</v>
      </c>
      <c r="AI987" s="96">
        <v>0</v>
      </c>
      <c r="AJ987" s="43">
        <v>920421961</v>
      </c>
      <c r="AK987" s="97">
        <v>0</v>
      </c>
      <c r="AL987" s="97">
        <v>0</v>
      </c>
      <c r="AM987" s="97">
        <v>0</v>
      </c>
      <c r="AN987" s="97">
        <v>0</v>
      </c>
      <c r="AO987" s="97">
        <v>0</v>
      </c>
      <c r="AP987" s="97">
        <v>0</v>
      </c>
      <c r="AQ987" s="97">
        <v>0</v>
      </c>
      <c r="AR987" s="97">
        <v>0</v>
      </c>
      <c r="AS987" s="97">
        <v>0</v>
      </c>
      <c r="AT987" s="135">
        <f t="shared" ref="AT987:AT988" si="1158">AQ987+AS987</f>
        <v>0</v>
      </c>
      <c r="AU987" s="110">
        <f t="shared" ref="AU987:AU988" si="1159">AJ987-AM987</f>
        <v>920421961</v>
      </c>
      <c r="AV987" s="133">
        <f t="shared" ref="AV987:AV988" si="1160">AM987-AP987</f>
        <v>0</v>
      </c>
      <c r="AW987" s="133">
        <f t="shared" ref="AW987:AW988" si="1161">AP987-AT987</f>
        <v>0</v>
      </c>
      <c r="AX987" s="123">
        <f t="shared" ref="AX987:AX988" si="1162">AP987/AJ987</f>
        <v>0</v>
      </c>
    </row>
    <row r="988" spans="2:50" ht="25.5" x14ac:dyDescent="0.2">
      <c r="AA988" s="94" t="s">
        <v>781</v>
      </c>
      <c r="AB988" s="95" t="s">
        <v>776</v>
      </c>
      <c r="AC988" s="96" t="s">
        <v>777</v>
      </c>
      <c r="AD988" s="43">
        <v>23813351805</v>
      </c>
      <c r="AE988" s="97">
        <v>0</v>
      </c>
      <c r="AF988" s="97">
        <v>0</v>
      </c>
      <c r="AG988" s="96">
        <v>0</v>
      </c>
      <c r="AH988" s="43">
        <v>5536570240</v>
      </c>
      <c r="AI988" s="136">
        <f>AE988-AF988+AG988-AH988</f>
        <v>-5536570240</v>
      </c>
      <c r="AJ988" s="43">
        <f>AD988+AI988</f>
        <v>18276781565</v>
      </c>
      <c r="AK988" s="97">
        <v>0</v>
      </c>
      <c r="AL988" s="97">
        <v>0</v>
      </c>
      <c r="AM988" s="97">
        <v>0</v>
      </c>
      <c r="AN988" s="97">
        <v>0</v>
      </c>
      <c r="AO988" s="97">
        <v>0</v>
      </c>
      <c r="AP988" s="97">
        <v>0</v>
      </c>
      <c r="AQ988" s="97">
        <v>0</v>
      </c>
      <c r="AR988" s="97">
        <v>0</v>
      </c>
      <c r="AS988" s="97">
        <v>0</v>
      </c>
      <c r="AT988" s="135">
        <f t="shared" si="1158"/>
        <v>0</v>
      </c>
      <c r="AU988" s="110">
        <f t="shared" si="1159"/>
        <v>18276781565</v>
      </c>
      <c r="AV988" s="133">
        <f t="shared" si="1160"/>
        <v>0</v>
      </c>
      <c r="AW988" s="133">
        <f t="shared" si="1161"/>
        <v>0</v>
      </c>
      <c r="AX988" s="123">
        <f t="shared" si="1162"/>
        <v>0</v>
      </c>
    </row>
    <row r="989" spans="2:50" x14ac:dyDescent="0.2">
      <c r="AA989" s="89"/>
      <c r="AB989" s="91"/>
      <c r="AC989" s="91"/>
      <c r="AD989" s="18"/>
      <c r="AE989" s="92"/>
      <c r="AF989" s="92"/>
      <c r="AG989" s="92"/>
      <c r="AH989" s="92"/>
      <c r="AI989" s="92"/>
      <c r="AJ989" s="18"/>
      <c r="AK989" s="98"/>
      <c r="AL989" s="98"/>
      <c r="AM989" s="98"/>
      <c r="AN989" s="98"/>
      <c r="AO989" s="98"/>
      <c r="AP989" s="98"/>
      <c r="AQ989" s="98"/>
      <c r="AR989" s="98"/>
      <c r="AS989" s="92"/>
      <c r="AT989" s="30"/>
      <c r="AU989" s="18"/>
      <c r="AV989" s="18"/>
      <c r="AW989" s="18"/>
      <c r="AX989" s="92"/>
    </row>
    <row r="990" spans="2:50" x14ac:dyDescent="0.2">
      <c r="AA990" s="89"/>
      <c r="AB990" s="90" t="s">
        <v>199</v>
      </c>
      <c r="AC990" s="91"/>
      <c r="AD990" s="18"/>
      <c r="AE990" s="92"/>
      <c r="AF990" s="92"/>
      <c r="AG990" s="92"/>
      <c r="AH990" s="92"/>
      <c r="AI990" s="92"/>
      <c r="AJ990" s="18"/>
      <c r="AK990" s="98"/>
      <c r="AL990" s="98"/>
      <c r="AM990" s="98"/>
      <c r="AN990" s="98"/>
      <c r="AO990" s="98"/>
      <c r="AP990" s="98"/>
      <c r="AQ990" s="98"/>
      <c r="AR990" s="98"/>
      <c r="AS990" s="92"/>
      <c r="AT990" s="30"/>
      <c r="AU990" s="18"/>
      <c r="AV990" s="18"/>
      <c r="AW990" s="18"/>
      <c r="AX990" s="92"/>
    </row>
    <row r="991" spans="2:50" x14ac:dyDescent="0.2">
      <c r="AA991" s="93" t="s">
        <v>288</v>
      </c>
      <c r="AB991" s="90" t="s">
        <v>782</v>
      </c>
      <c r="AC991" s="91"/>
      <c r="AD991" s="18"/>
      <c r="AE991" s="92"/>
      <c r="AF991" s="92"/>
      <c r="AG991" s="92"/>
      <c r="AH991" s="92"/>
      <c r="AI991" s="92"/>
      <c r="AJ991" s="18"/>
      <c r="AK991" s="98"/>
      <c r="AL991" s="98"/>
      <c r="AM991" s="98"/>
      <c r="AN991" s="98"/>
      <c r="AO991" s="98"/>
      <c r="AP991" s="98"/>
      <c r="AQ991" s="98"/>
      <c r="AR991" s="98"/>
      <c r="AS991" s="92"/>
      <c r="AT991" s="30"/>
      <c r="AU991" s="18"/>
      <c r="AV991" s="18"/>
      <c r="AW991" s="18"/>
      <c r="AX991" s="92"/>
    </row>
    <row r="992" spans="2:50" ht="25.5" x14ac:dyDescent="0.2">
      <c r="AA992" s="94" t="s">
        <v>783</v>
      </c>
      <c r="AB992" s="95" t="s">
        <v>784</v>
      </c>
      <c r="AC992" s="96" t="s">
        <v>368</v>
      </c>
      <c r="AD992" s="43">
        <v>40000000</v>
      </c>
      <c r="AE992" s="96">
        <v>0</v>
      </c>
      <c r="AF992" s="96">
        <v>0</v>
      </c>
      <c r="AG992" s="96">
        <v>0</v>
      </c>
      <c r="AH992" s="96">
        <v>0</v>
      </c>
      <c r="AI992" s="96">
        <v>0</v>
      </c>
      <c r="AJ992" s="43">
        <v>40000000</v>
      </c>
      <c r="AK992" s="97">
        <v>0</v>
      </c>
      <c r="AL992" s="34">
        <v>0</v>
      </c>
      <c r="AM992" s="137">
        <v>0</v>
      </c>
      <c r="AN992" s="97">
        <v>0</v>
      </c>
      <c r="AO992" s="97">
        <v>0</v>
      </c>
      <c r="AP992" s="97">
        <v>0</v>
      </c>
      <c r="AQ992" s="97">
        <v>0</v>
      </c>
      <c r="AR992" s="97">
        <v>0</v>
      </c>
      <c r="AS992" s="97">
        <v>0</v>
      </c>
      <c r="AT992" s="135">
        <f t="shared" ref="AT992:AT994" si="1163">AQ992+AS992</f>
        <v>0</v>
      </c>
      <c r="AU992" s="110">
        <f t="shared" ref="AU992:AU994" si="1164">AJ992-AM992</f>
        <v>40000000</v>
      </c>
      <c r="AV992" s="133">
        <f t="shared" ref="AV992:AV994" si="1165">AM992-AP992</f>
        <v>0</v>
      </c>
      <c r="AW992" s="133">
        <f t="shared" ref="AW992:AW994" si="1166">AP992-AT992</f>
        <v>0</v>
      </c>
      <c r="AX992" s="123">
        <f t="shared" ref="AX992:AX994" si="1167">AP992/AJ992</f>
        <v>0</v>
      </c>
    </row>
    <row r="993" spans="27:50" ht="25.5" x14ac:dyDescent="0.2">
      <c r="AA993" s="94" t="s">
        <v>785</v>
      </c>
      <c r="AB993" s="95" t="s">
        <v>786</v>
      </c>
      <c r="AC993" s="96" t="s">
        <v>258</v>
      </c>
      <c r="AD993" s="43">
        <v>2438425656.1900001</v>
      </c>
      <c r="AE993" s="96">
        <v>0</v>
      </c>
      <c r="AF993" s="96">
        <v>0</v>
      </c>
      <c r="AG993" s="96">
        <v>0</v>
      </c>
      <c r="AH993" s="96">
        <v>0</v>
      </c>
      <c r="AI993" s="96">
        <v>0</v>
      </c>
      <c r="AJ993" s="43">
        <v>2438425656.1900001</v>
      </c>
      <c r="AK993" s="43">
        <v>0</v>
      </c>
      <c r="AL993" s="114">
        <v>-2750000</v>
      </c>
      <c r="AM993" s="114">
        <v>55000000</v>
      </c>
      <c r="AN993" s="92">
        <v>0</v>
      </c>
      <c r="AO993" s="92">
        <v>55000000</v>
      </c>
      <c r="AP993" s="92">
        <v>55000000</v>
      </c>
      <c r="AQ993" s="97">
        <v>5500000</v>
      </c>
      <c r="AR993" s="98">
        <v>0</v>
      </c>
      <c r="AS993" s="97">
        <v>0</v>
      </c>
      <c r="AT993" s="39">
        <f t="shared" si="1163"/>
        <v>5500000</v>
      </c>
      <c r="AU993" s="110">
        <f t="shared" si="1164"/>
        <v>2383425656.1900001</v>
      </c>
      <c r="AV993" s="110">
        <f t="shared" si="1165"/>
        <v>0</v>
      </c>
      <c r="AW993" s="18">
        <f t="shared" si="1166"/>
        <v>49500000</v>
      </c>
      <c r="AX993" s="123">
        <f t="shared" si="1167"/>
        <v>2.2555536954912372E-2</v>
      </c>
    </row>
    <row r="994" spans="27:50" x14ac:dyDescent="0.2">
      <c r="AA994" s="94" t="s">
        <v>787</v>
      </c>
      <c r="AB994" s="95" t="s">
        <v>788</v>
      </c>
      <c r="AC994" s="96" t="s">
        <v>789</v>
      </c>
      <c r="AD994" s="43">
        <v>886001426</v>
      </c>
      <c r="AE994" s="96">
        <v>0</v>
      </c>
      <c r="AF994" s="96">
        <v>0</v>
      </c>
      <c r="AG994" s="96">
        <v>0</v>
      </c>
      <c r="AH994" s="96">
        <v>0</v>
      </c>
      <c r="AI994" s="96">
        <v>0</v>
      </c>
      <c r="AJ994" s="178">
        <v>886001426</v>
      </c>
      <c r="AK994" s="43">
        <v>0</v>
      </c>
      <c r="AL994" s="18">
        <v>73758409</v>
      </c>
      <c r="AM994" s="18">
        <v>220393170</v>
      </c>
      <c r="AN994" s="92">
        <v>0</v>
      </c>
      <c r="AO994" s="179">
        <v>73758409</v>
      </c>
      <c r="AP994" s="18">
        <v>220393170</v>
      </c>
      <c r="AQ994" s="96">
        <v>0</v>
      </c>
      <c r="AR994" s="18">
        <v>73758409</v>
      </c>
      <c r="AS994" s="43">
        <v>220393170</v>
      </c>
      <c r="AT994" s="111">
        <f t="shared" si="1163"/>
        <v>220393170</v>
      </c>
      <c r="AU994" s="110">
        <f t="shared" si="1164"/>
        <v>665608256</v>
      </c>
      <c r="AV994" s="133">
        <f t="shared" si="1165"/>
        <v>0</v>
      </c>
      <c r="AW994" s="133">
        <f t="shared" si="1166"/>
        <v>0</v>
      </c>
      <c r="AX994" s="123">
        <f t="shared" si="1167"/>
        <v>0.24875035584875008</v>
      </c>
    </row>
    <row r="995" spans="27:50" x14ac:dyDescent="0.2">
      <c r="AA995" s="93" t="s">
        <v>288</v>
      </c>
      <c r="AB995" s="90" t="s">
        <v>790</v>
      </c>
      <c r="AC995" s="91"/>
      <c r="AD995" s="18"/>
      <c r="AE995" s="92"/>
      <c r="AF995" s="92"/>
      <c r="AG995" s="92"/>
      <c r="AH995" s="92"/>
      <c r="AI995" s="92"/>
      <c r="AJ995" s="18"/>
      <c r="AK995" s="18"/>
      <c r="AL995" s="18"/>
      <c r="AM995" s="18"/>
      <c r="AN995" s="92"/>
      <c r="AO995" s="18"/>
      <c r="AP995" s="18"/>
      <c r="AQ995" s="92"/>
      <c r="AR995" s="92"/>
      <c r="AS995" s="92"/>
      <c r="AT995" s="30"/>
      <c r="AU995" s="18"/>
      <c r="AV995" s="110"/>
      <c r="AW995" s="18"/>
      <c r="AX995" s="92"/>
    </row>
    <row r="996" spans="27:50" x14ac:dyDescent="0.2">
      <c r="AA996" s="94" t="s">
        <v>791</v>
      </c>
      <c r="AB996" s="95" t="s">
        <v>233</v>
      </c>
      <c r="AC996" s="96" t="s">
        <v>58</v>
      </c>
      <c r="AD996" s="43">
        <v>300000000</v>
      </c>
      <c r="AE996" s="96">
        <v>0</v>
      </c>
      <c r="AF996" s="96">
        <v>0</v>
      </c>
      <c r="AG996" s="96">
        <v>0</v>
      </c>
      <c r="AH996" s="96">
        <v>0</v>
      </c>
      <c r="AI996" s="96">
        <v>0</v>
      </c>
      <c r="AJ996" s="43">
        <v>300000000</v>
      </c>
      <c r="AK996" s="44">
        <v>0</v>
      </c>
      <c r="AL996" s="18">
        <v>0</v>
      </c>
      <c r="AM996" s="18">
        <v>300000000</v>
      </c>
      <c r="AN996" s="92">
        <v>0</v>
      </c>
      <c r="AO996" s="18">
        <v>0</v>
      </c>
      <c r="AP996" s="18">
        <v>300000000</v>
      </c>
      <c r="AQ996" s="96">
        <v>0</v>
      </c>
      <c r="AR996" s="96">
        <v>0</v>
      </c>
      <c r="AS996" s="97">
        <v>0</v>
      </c>
      <c r="AT996" s="135">
        <f t="shared" ref="AT996:AT997" si="1168">AQ996+AS996</f>
        <v>0</v>
      </c>
      <c r="AU996" s="133">
        <f t="shared" ref="AU996:AU997" si="1169">AJ996-AM996</f>
        <v>0</v>
      </c>
      <c r="AV996" s="133">
        <f t="shared" ref="AV996:AV997" si="1170">AM996-AP996</f>
        <v>0</v>
      </c>
      <c r="AW996" s="110">
        <f t="shared" ref="AW996:AW997" si="1171">AP996-AT996</f>
        <v>300000000</v>
      </c>
      <c r="AX996" s="123">
        <f t="shared" ref="AX996:AX997" si="1172">AP996/AJ996</f>
        <v>1</v>
      </c>
    </row>
    <row r="997" spans="27:50" x14ac:dyDescent="0.2">
      <c r="AA997" s="94" t="s">
        <v>792</v>
      </c>
      <c r="AB997" s="95" t="s">
        <v>793</v>
      </c>
      <c r="AC997" s="96" t="s">
        <v>794</v>
      </c>
      <c r="AD997" s="43">
        <v>664600000</v>
      </c>
      <c r="AE997" s="96">
        <v>0</v>
      </c>
      <c r="AF997" s="96">
        <v>0</v>
      </c>
      <c r="AG997" s="96">
        <v>0</v>
      </c>
      <c r="AH997" s="96">
        <v>0</v>
      </c>
      <c r="AI997" s="96">
        <v>0</v>
      </c>
      <c r="AJ997" s="43">
        <v>664600000</v>
      </c>
      <c r="AK997" s="44">
        <v>0</v>
      </c>
      <c r="AL997" s="18">
        <v>-63333.24</v>
      </c>
      <c r="AM997" s="18">
        <v>664510000</v>
      </c>
      <c r="AN997" s="92">
        <v>0</v>
      </c>
      <c r="AO997" s="18">
        <v>170910000</v>
      </c>
      <c r="AP997" s="18">
        <v>664510000</v>
      </c>
      <c r="AQ997" s="114">
        <v>39073334</v>
      </c>
      <c r="AR997" s="96">
        <v>9820000</v>
      </c>
      <c r="AS997" s="96">
        <v>9820000</v>
      </c>
      <c r="AT997" s="111">
        <f t="shared" si="1168"/>
        <v>48893334</v>
      </c>
      <c r="AU997" s="110">
        <f t="shared" si="1169"/>
        <v>90000</v>
      </c>
      <c r="AV997" s="110">
        <f t="shared" si="1170"/>
        <v>0</v>
      </c>
      <c r="AW997" s="110">
        <f t="shared" si="1171"/>
        <v>615616666</v>
      </c>
      <c r="AX997" s="123">
        <f t="shared" si="1172"/>
        <v>0.99986458019861568</v>
      </c>
    </row>
    <row r="998" spans="27:50" ht="25.5" x14ac:dyDescent="0.2">
      <c r="AA998" s="93" t="s">
        <v>288</v>
      </c>
      <c r="AB998" s="90" t="s">
        <v>795</v>
      </c>
      <c r="AC998" s="91"/>
      <c r="AD998" s="18"/>
      <c r="AE998" s="92"/>
      <c r="AF998" s="92"/>
      <c r="AG998" s="92"/>
      <c r="AH998" s="92"/>
      <c r="AI998" s="92"/>
      <c r="AJ998" s="18"/>
      <c r="AK998" s="34"/>
      <c r="AL998" s="18"/>
      <c r="AM998" s="18"/>
      <c r="AN998" s="92"/>
      <c r="AO998" s="18"/>
      <c r="AP998" s="18"/>
      <c r="AQ998" s="92"/>
      <c r="AR998" s="92"/>
      <c r="AS998" s="92"/>
      <c r="AT998" s="40"/>
      <c r="AU998" s="18"/>
      <c r="AV998" s="110"/>
      <c r="AW998" s="18"/>
      <c r="AX998" s="92"/>
    </row>
    <row r="999" spans="27:50" x14ac:dyDescent="0.2">
      <c r="AA999" s="94" t="s">
        <v>796</v>
      </c>
      <c r="AB999" s="95" t="s">
        <v>233</v>
      </c>
      <c r="AC999" s="96" t="s">
        <v>58</v>
      </c>
      <c r="AD999" s="43">
        <v>242950000</v>
      </c>
      <c r="AE999" s="96">
        <v>0</v>
      </c>
      <c r="AF999" s="96">
        <v>0</v>
      </c>
      <c r="AG999" s="96">
        <v>0</v>
      </c>
      <c r="AH999" s="96">
        <v>0</v>
      </c>
      <c r="AI999" s="96">
        <v>0</v>
      </c>
      <c r="AJ999" s="43">
        <v>242950000</v>
      </c>
      <c r="AK999" s="44">
        <v>0</v>
      </c>
      <c r="AL999" s="44">
        <v>0</v>
      </c>
      <c r="AM999" s="44">
        <v>0</v>
      </c>
      <c r="AN999" s="97">
        <v>0</v>
      </c>
      <c r="AO999" s="44">
        <v>0</v>
      </c>
      <c r="AP999" s="44">
        <v>0</v>
      </c>
      <c r="AQ999" s="97">
        <v>0</v>
      </c>
      <c r="AR999" s="97">
        <v>0</v>
      </c>
      <c r="AS999" s="96">
        <v>0</v>
      </c>
      <c r="AT999" s="135">
        <f t="shared" ref="AT999:AT1002" si="1173">AQ999+AS999</f>
        <v>0</v>
      </c>
      <c r="AU999" s="110">
        <f t="shared" ref="AU999:AU1002" si="1174">AJ999-AM999</f>
        <v>242950000</v>
      </c>
      <c r="AV999" s="133">
        <f t="shared" ref="AV999:AV1002" si="1175">AM999-AP999</f>
        <v>0</v>
      </c>
      <c r="AW999" s="133">
        <f t="shared" ref="AW999:AW1002" si="1176">AP999-AT999</f>
        <v>0</v>
      </c>
      <c r="AX999" s="123">
        <f t="shared" ref="AX999:AX1002" si="1177">AP999/AJ999</f>
        <v>0</v>
      </c>
    </row>
    <row r="1000" spans="27:50" x14ac:dyDescent="0.2">
      <c r="AA1000" s="94" t="s">
        <v>797</v>
      </c>
      <c r="AB1000" s="95" t="s">
        <v>793</v>
      </c>
      <c r="AC1000" s="96" t="s">
        <v>794</v>
      </c>
      <c r="AD1000" s="43">
        <v>1746250000</v>
      </c>
      <c r="AE1000" s="96">
        <v>0</v>
      </c>
      <c r="AF1000" s="96">
        <v>0</v>
      </c>
      <c r="AG1000" s="96">
        <v>0</v>
      </c>
      <c r="AH1000" s="96">
        <v>0</v>
      </c>
      <c r="AI1000" s="96">
        <v>0</v>
      </c>
      <c r="AJ1000" s="43">
        <v>1746250000</v>
      </c>
      <c r="AK1000" s="44">
        <v>0</v>
      </c>
      <c r="AL1000" s="114">
        <v>789450000</v>
      </c>
      <c r="AM1000" s="114">
        <v>1160250000</v>
      </c>
      <c r="AN1000" s="97">
        <v>0</v>
      </c>
      <c r="AO1000" s="114">
        <v>334800000</v>
      </c>
      <c r="AP1000" s="114">
        <v>413100000</v>
      </c>
      <c r="AQ1000" s="97">
        <v>34096668</v>
      </c>
      <c r="AR1000" s="43">
        <v>2970000</v>
      </c>
      <c r="AS1000" s="43">
        <v>2970000</v>
      </c>
      <c r="AT1000" s="39">
        <f t="shared" si="1173"/>
        <v>37066668</v>
      </c>
      <c r="AU1000" s="18">
        <f t="shared" si="1174"/>
        <v>586000000</v>
      </c>
      <c r="AV1000" s="18">
        <f t="shared" si="1175"/>
        <v>747150000</v>
      </c>
      <c r="AW1000" s="18">
        <f t="shared" si="1176"/>
        <v>376033332</v>
      </c>
      <c r="AX1000" s="123">
        <f t="shared" si="1177"/>
        <v>0.23656406585540443</v>
      </c>
    </row>
    <row r="1001" spans="27:50" ht="25.5" x14ac:dyDescent="0.2">
      <c r="AA1001" s="94" t="s">
        <v>798</v>
      </c>
      <c r="AB1001" s="95" t="s">
        <v>799</v>
      </c>
      <c r="AC1001" s="96" t="s">
        <v>368</v>
      </c>
      <c r="AD1001" s="43">
        <v>20000000</v>
      </c>
      <c r="AE1001" s="96">
        <v>0</v>
      </c>
      <c r="AF1001" s="96">
        <v>0</v>
      </c>
      <c r="AG1001" s="96">
        <v>0</v>
      </c>
      <c r="AH1001" s="96">
        <v>0</v>
      </c>
      <c r="AI1001" s="96">
        <v>0</v>
      </c>
      <c r="AJ1001" s="43">
        <v>20000000</v>
      </c>
      <c r="AK1001" s="44">
        <v>0</v>
      </c>
      <c r="AL1001" s="44">
        <v>0</v>
      </c>
      <c r="AM1001" s="44">
        <v>0</v>
      </c>
      <c r="AN1001" s="97">
        <v>0</v>
      </c>
      <c r="AO1001" s="44">
        <v>0</v>
      </c>
      <c r="AP1001" s="44">
        <v>0</v>
      </c>
      <c r="AQ1001" s="97">
        <v>0</v>
      </c>
      <c r="AR1001" s="97">
        <v>0</v>
      </c>
      <c r="AS1001" s="97">
        <v>0</v>
      </c>
      <c r="AT1001" s="135">
        <f t="shared" si="1173"/>
        <v>0</v>
      </c>
      <c r="AU1001" s="110">
        <f t="shared" si="1174"/>
        <v>20000000</v>
      </c>
      <c r="AV1001" s="18">
        <f t="shared" si="1175"/>
        <v>0</v>
      </c>
      <c r="AW1001" s="18">
        <f t="shared" si="1176"/>
        <v>0</v>
      </c>
      <c r="AX1001" s="123">
        <f t="shared" si="1177"/>
        <v>0</v>
      </c>
    </row>
    <row r="1002" spans="27:50" x14ac:dyDescent="0.2">
      <c r="AA1002" s="94" t="s">
        <v>800</v>
      </c>
      <c r="AB1002" s="95" t="s">
        <v>801</v>
      </c>
      <c r="AC1002" s="96" t="s">
        <v>802</v>
      </c>
      <c r="AD1002" s="43">
        <v>300000000</v>
      </c>
      <c r="AE1002" s="96">
        <v>0</v>
      </c>
      <c r="AF1002" s="96">
        <v>0</v>
      </c>
      <c r="AG1002" s="96">
        <v>0</v>
      </c>
      <c r="AH1002" s="96">
        <v>0</v>
      </c>
      <c r="AI1002" s="96">
        <v>0</v>
      </c>
      <c r="AJ1002" s="43">
        <v>300000000</v>
      </c>
      <c r="AK1002" s="114">
        <v>0</v>
      </c>
      <c r="AL1002" s="18">
        <v>18000000</v>
      </c>
      <c r="AM1002" s="18">
        <v>266450000</v>
      </c>
      <c r="AN1002" s="92">
        <v>0</v>
      </c>
      <c r="AO1002" s="18">
        <v>108000000</v>
      </c>
      <c r="AP1002" s="18">
        <v>266450000</v>
      </c>
      <c r="AQ1002" s="114">
        <v>86666667</v>
      </c>
      <c r="AR1002" s="114">
        <v>26719999</v>
      </c>
      <c r="AS1002" s="114">
        <v>28386666</v>
      </c>
      <c r="AT1002" s="111">
        <f t="shared" si="1173"/>
        <v>115053333</v>
      </c>
      <c r="AU1002" s="110">
        <f t="shared" si="1174"/>
        <v>33550000</v>
      </c>
      <c r="AV1002" s="18">
        <f t="shared" si="1175"/>
        <v>0</v>
      </c>
      <c r="AW1002" s="18">
        <f t="shared" si="1176"/>
        <v>151396667</v>
      </c>
      <c r="AX1002" s="123">
        <f t="shared" si="1177"/>
        <v>0.88816666666666666</v>
      </c>
    </row>
    <row r="1003" spans="27:50" ht="25.5" x14ac:dyDescent="0.2">
      <c r="AA1003" s="93" t="s">
        <v>288</v>
      </c>
      <c r="AB1003" s="90" t="s">
        <v>803</v>
      </c>
      <c r="AC1003" s="91"/>
      <c r="AD1003" s="18"/>
      <c r="AE1003" s="92"/>
      <c r="AF1003" s="92"/>
      <c r="AG1003" s="92"/>
      <c r="AH1003" s="92"/>
      <c r="AI1003" s="92"/>
      <c r="AJ1003" s="18"/>
      <c r="AK1003" s="34"/>
      <c r="AL1003" s="18"/>
      <c r="AM1003" s="18"/>
      <c r="AN1003" s="92"/>
      <c r="AO1003" s="18"/>
      <c r="AP1003" s="18"/>
      <c r="AQ1003" s="92"/>
      <c r="AR1003" s="92"/>
      <c r="AS1003" s="98"/>
      <c r="AT1003" s="31"/>
      <c r="AU1003" s="18"/>
      <c r="AV1003" s="18"/>
      <c r="AW1003" s="18"/>
      <c r="AX1003" s="92"/>
    </row>
    <row r="1004" spans="27:50" x14ac:dyDescent="0.2">
      <c r="AA1004" s="94" t="s">
        <v>804</v>
      </c>
      <c r="AB1004" s="95" t="s">
        <v>793</v>
      </c>
      <c r="AC1004" s="96" t="s">
        <v>794</v>
      </c>
      <c r="AD1004" s="43">
        <v>485467000</v>
      </c>
      <c r="AE1004" s="96">
        <v>0</v>
      </c>
      <c r="AF1004" s="96">
        <v>0</v>
      </c>
      <c r="AG1004" s="96">
        <v>0</v>
      </c>
      <c r="AH1004" s="96">
        <v>0</v>
      </c>
      <c r="AI1004" s="96">
        <v>0</v>
      </c>
      <c r="AJ1004" s="43">
        <v>485467000</v>
      </c>
      <c r="AK1004" s="97">
        <v>0</v>
      </c>
      <c r="AL1004" s="43">
        <v>485467000</v>
      </c>
      <c r="AM1004" s="43">
        <v>485467000</v>
      </c>
      <c r="AN1004" s="97">
        <v>0</v>
      </c>
      <c r="AO1004" s="96">
        <v>68400000</v>
      </c>
      <c r="AP1004" s="97">
        <v>68400000</v>
      </c>
      <c r="AQ1004" s="97">
        <v>1266667</v>
      </c>
      <c r="AR1004" s="97">
        <v>0</v>
      </c>
      <c r="AS1004" s="97">
        <v>0</v>
      </c>
      <c r="AT1004" s="135">
        <f t="shared" ref="AT1004" si="1178">AQ1004+AS1004</f>
        <v>1266667</v>
      </c>
      <c r="AU1004" s="110">
        <f t="shared" ref="AU1004" si="1179">AJ1004-AM1004</f>
        <v>0</v>
      </c>
      <c r="AV1004" s="18">
        <f t="shared" ref="AV1004" si="1180">AM1004-AP1004</f>
        <v>417067000</v>
      </c>
      <c r="AW1004" s="18">
        <f t="shared" ref="AW1004" si="1181">AP1004-AT1004</f>
        <v>67133333</v>
      </c>
      <c r="AX1004" s="123">
        <f t="shared" ref="AX1004" si="1182">AP1004/AJ1004</f>
        <v>0.14089526167587085</v>
      </c>
    </row>
    <row r="1005" spans="27:50" ht="25.5" x14ac:dyDescent="0.2">
      <c r="AA1005" s="93" t="s">
        <v>288</v>
      </c>
      <c r="AB1005" s="90" t="s">
        <v>805</v>
      </c>
      <c r="AC1005" s="91"/>
      <c r="AD1005" s="18"/>
      <c r="AE1005" s="92"/>
      <c r="AF1005" s="92"/>
      <c r="AG1005" s="92"/>
      <c r="AH1005" s="92"/>
      <c r="AI1005" s="92"/>
      <c r="AJ1005" s="18"/>
      <c r="AK1005" s="98"/>
      <c r="AL1005" s="110"/>
      <c r="AM1005" s="110"/>
      <c r="AN1005" s="92"/>
      <c r="AO1005" s="92"/>
      <c r="AP1005" s="92"/>
      <c r="AQ1005" s="92"/>
      <c r="AR1005" s="92"/>
      <c r="AS1005" s="98"/>
      <c r="AT1005" s="31"/>
      <c r="AU1005" s="18"/>
      <c r="AV1005" s="18"/>
      <c r="AW1005" s="18"/>
      <c r="AX1005" s="92"/>
    </row>
    <row r="1006" spans="27:50" x14ac:dyDescent="0.2">
      <c r="AA1006" s="94" t="s">
        <v>806</v>
      </c>
      <c r="AB1006" s="95" t="s">
        <v>793</v>
      </c>
      <c r="AC1006" s="96" t="s">
        <v>794</v>
      </c>
      <c r="AD1006" s="43">
        <v>402000000</v>
      </c>
      <c r="AE1006" s="96">
        <v>0</v>
      </c>
      <c r="AF1006" s="96">
        <v>0</v>
      </c>
      <c r="AG1006" s="96">
        <v>0</v>
      </c>
      <c r="AH1006" s="96">
        <v>0</v>
      </c>
      <c r="AI1006" s="96">
        <v>0</v>
      </c>
      <c r="AJ1006" s="43">
        <v>402000000</v>
      </c>
      <c r="AK1006" s="97">
        <v>0</v>
      </c>
      <c r="AL1006" s="114">
        <v>294000000</v>
      </c>
      <c r="AM1006" s="114">
        <v>366000000</v>
      </c>
      <c r="AN1006" s="97">
        <v>0</v>
      </c>
      <c r="AO1006" s="114">
        <v>0</v>
      </c>
      <c r="AP1006" s="114">
        <v>72000000</v>
      </c>
      <c r="AQ1006" s="97">
        <v>8000000</v>
      </c>
      <c r="AR1006" s="43">
        <v>1866666</v>
      </c>
      <c r="AS1006" s="43">
        <v>1866666</v>
      </c>
      <c r="AT1006" s="39">
        <f t="shared" ref="AT1006" si="1183">AQ1006+AS1006</f>
        <v>9866666</v>
      </c>
      <c r="AU1006" s="18">
        <f t="shared" ref="AU1006" si="1184">AJ1006-AM1006</f>
        <v>36000000</v>
      </c>
      <c r="AV1006" s="18">
        <f t="shared" ref="AV1006" si="1185">AM1006-AP1006</f>
        <v>294000000</v>
      </c>
      <c r="AW1006" s="18">
        <f t="shared" ref="AW1006" si="1186">AP1006-AT1006</f>
        <v>62133334</v>
      </c>
      <c r="AX1006" s="123">
        <f t="shared" ref="AX1006" si="1187">AP1006/AJ1006</f>
        <v>0.17910447761194029</v>
      </c>
    </row>
    <row r="1007" spans="27:50" ht="38.25" x14ac:dyDescent="0.2">
      <c r="AA1007" s="93" t="s">
        <v>288</v>
      </c>
      <c r="AB1007" s="90" t="s">
        <v>807</v>
      </c>
      <c r="AC1007" s="91"/>
      <c r="AD1007" s="18"/>
      <c r="AE1007" s="92"/>
      <c r="AF1007" s="92"/>
      <c r="AG1007" s="92"/>
      <c r="AH1007" s="92"/>
      <c r="AI1007" s="92"/>
      <c r="AJ1007" s="18"/>
      <c r="AK1007" s="98"/>
      <c r="AL1007" s="98"/>
      <c r="AM1007" s="98"/>
      <c r="AN1007" s="98"/>
      <c r="AO1007" s="98"/>
      <c r="AP1007" s="98"/>
      <c r="AQ1007" s="98"/>
      <c r="AR1007" s="98"/>
      <c r="AS1007" s="98"/>
      <c r="AT1007" s="31"/>
      <c r="AU1007" s="18"/>
      <c r="AV1007" s="18"/>
      <c r="AW1007" s="18"/>
      <c r="AX1007" s="92"/>
    </row>
    <row r="1008" spans="27:50" x14ac:dyDescent="0.2">
      <c r="AA1008" s="94" t="s">
        <v>808</v>
      </c>
      <c r="AB1008" s="95" t="s">
        <v>233</v>
      </c>
      <c r="AC1008" s="96" t="s">
        <v>58</v>
      </c>
      <c r="AD1008" s="43">
        <v>313050000.81</v>
      </c>
      <c r="AE1008" s="96">
        <v>0</v>
      </c>
      <c r="AF1008" s="96">
        <v>0</v>
      </c>
      <c r="AG1008" s="96">
        <v>0</v>
      </c>
      <c r="AH1008" s="43">
        <v>136150000</v>
      </c>
      <c r="AI1008" s="136">
        <f>AE1008-AF1008+AG1008-AH1008</f>
        <v>-136150000</v>
      </c>
      <c r="AJ1008" s="43">
        <f>AD1008+AI1008</f>
        <v>176900000.81</v>
      </c>
      <c r="AK1008" s="97">
        <v>0</v>
      </c>
      <c r="AL1008" s="114">
        <v>0</v>
      </c>
      <c r="AM1008" s="114">
        <v>175300000</v>
      </c>
      <c r="AN1008" s="97">
        <v>0</v>
      </c>
      <c r="AO1008" s="114">
        <v>34200000</v>
      </c>
      <c r="AP1008" s="114">
        <v>175300000</v>
      </c>
      <c r="AQ1008" s="97">
        <v>17693333</v>
      </c>
      <c r="AR1008" s="43">
        <v>5310000</v>
      </c>
      <c r="AS1008" s="43">
        <v>5310000</v>
      </c>
      <c r="AT1008" s="39">
        <f t="shared" ref="AT1008:AT1010" si="1188">AQ1008+AS1008</f>
        <v>23003333</v>
      </c>
      <c r="AU1008" s="110">
        <f t="shared" ref="AU1008:AU1010" si="1189">AJ1008-AM1008</f>
        <v>1600000.8100000024</v>
      </c>
      <c r="AV1008" s="18">
        <f t="shared" ref="AV1008:AV1010" si="1190">AM1008-AP1008</f>
        <v>0</v>
      </c>
      <c r="AW1008" s="18">
        <f t="shared" ref="AW1008:AW1010" si="1191">AP1008-AT1008</f>
        <v>152296667</v>
      </c>
      <c r="AX1008" s="123">
        <f t="shared" ref="AX1008:AX1010" si="1192">AP1008/AJ1008</f>
        <v>0.99095533746368669</v>
      </c>
    </row>
    <row r="1009" spans="27:50" x14ac:dyDescent="0.2">
      <c r="AA1009" s="94" t="s">
        <v>809</v>
      </c>
      <c r="AB1009" s="95" t="s">
        <v>793</v>
      </c>
      <c r="AC1009" s="96" t="s">
        <v>794</v>
      </c>
      <c r="AD1009" s="43">
        <v>256800000</v>
      </c>
      <c r="AE1009" s="96">
        <v>0</v>
      </c>
      <c r="AF1009" s="96">
        <v>0</v>
      </c>
      <c r="AG1009" s="96">
        <v>0</v>
      </c>
      <c r="AH1009" s="96">
        <v>0</v>
      </c>
      <c r="AI1009" s="96">
        <v>0</v>
      </c>
      <c r="AJ1009" s="43">
        <v>256800000</v>
      </c>
      <c r="AK1009" s="97">
        <v>0</v>
      </c>
      <c r="AL1009" s="114">
        <v>210000000</v>
      </c>
      <c r="AM1009" s="114">
        <v>256800000</v>
      </c>
      <c r="AN1009" s="97">
        <v>0</v>
      </c>
      <c r="AO1009" s="114">
        <v>17100000</v>
      </c>
      <c r="AP1009" s="114">
        <v>34200000</v>
      </c>
      <c r="AQ1009" s="97">
        <v>3800000</v>
      </c>
      <c r="AR1009" s="43">
        <v>443333</v>
      </c>
      <c r="AS1009" s="43">
        <v>443333</v>
      </c>
      <c r="AT1009" s="39">
        <f t="shared" si="1188"/>
        <v>4243333</v>
      </c>
      <c r="AU1009" s="110">
        <f t="shared" si="1189"/>
        <v>0</v>
      </c>
      <c r="AV1009" s="18">
        <f t="shared" si="1190"/>
        <v>222600000</v>
      </c>
      <c r="AW1009" s="18">
        <f t="shared" si="1191"/>
        <v>29956667</v>
      </c>
      <c r="AX1009" s="123">
        <f t="shared" si="1192"/>
        <v>0.13317757009345793</v>
      </c>
    </row>
    <row r="1010" spans="27:50" x14ac:dyDescent="0.2">
      <c r="AA1010" s="94" t="s">
        <v>810</v>
      </c>
      <c r="AB1010" s="95" t="s">
        <v>811</v>
      </c>
      <c r="AC1010" s="96" t="s">
        <v>368</v>
      </c>
      <c r="AD1010" s="43">
        <v>90000000</v>
      </c>
      <c r="AE1010" s="96">
        <v>0</v>
      </c>
      <c r="AF1010" s="96">
        <v>0</v>
      </c>
      <c r="AG1010" s="96">
        <v>0</v>
      </c>
      <c r="AH1010" s="96">
        <v>0</v>
      </c>
      <c r="AI1010" s="96">
        <v>0</v>
      </c>
      <c r="AJ1010" s="43">
        <v>90000000</v>
      </c>
      <c r="AK1010" s="97">
        <v>0</v>
      </c>
      <c r="AL1010" s="114">
        <v>0</v>
      </c>
      <c r="AM1010" s="114">
        <v>90000000</v>
      </c>
      <c r="AN1010" s="97">
        <v>0</v>
      </c>
      <c r="AO1010" s="114">
        <v>72000000</v>
      </c>
      <c r="AP1010" s="115">
        <v>72000000</v>
      </c>
      <c r="AQ1010" s="97">
        <v>6800000</v>
      </c>
      <c r="AR1010" s="43">
        <v>0</v>
      </c>
      <c r="AS1010" s="43">
        <v>0</v>
      </c>
      <c r="AT1010" s="39">
        <f t="shared" si="1188"/>
        <v>6800000</v>
      </c>
      <c r="AU1010" s="133">
        <f t="shared" si="1189"/>
        <v>0</v>
      </c>
      <c r="AV1010" s="18">
        <f t="shared" si="1190"/>
        <v>18000000</v>
      </c>
      <c r="AW1010" s="18">
        <f t="shared" si="1191"/>
        <v>65200000</v>
      </c>
      <c r="AX1010" s="123">
        <f t="shared" si="1192"/>
        <v>0.8</v>
      </c>
    </row>
    <row r="1011" spans="27:50" ht="25.5" x14ac:dyDescent="0.2">
      <c r="AA1011" s="93" t="s">
        <v>288</v>
      </c>
      <c r="AB1011" s="90" t="s">
        <v>812</v>
      </c>
      <c r="AC1011" s="91"/>
      <c r="AD1011" s="18"/>
      <c r="AE1011" s="92"/>
      <c r="AF1011" s="92"/>
      <c r="AG1011" s="92"/>
      <c r="AH1011" s="92"/>
      <c r="AI1011" s="92"/>
      <c r="AJ1011" s="18"/>
      <c r="AK1011" s="98"/>
      <c r="AL1011" s="98"/>
      <c r="AM1011" s="98"/>
      <c r="AN1011" s="98"/>
      <c r="AO1011" s="98"/>
      <c r="AP1011" s="98"/>
      <c r="AQ1011" s="98"/>
      <c r="AR1011" s="98"/>
      <c r="AS1011" s="98"/>
      <c r="AT1011" s="31"/>
      <c r="AU1011" s="18"/>
      <c r="AV1011" s="18"/>
      <c r="AW1011" s="18"/>
      <c r="AX1011" s="92"/>
    </row>
    <row r="1012" spans="27:50" x14ac:dyDescent="0.2">
      <c r="AA1012" s="94" t="s">
        <v>813</v>
      </c>
      <c r="AB1012" s="95" t="s">
        <v>793</v>
      </c>
      <c r="AC1012" s="96" t="s">
        <v>794</v>
      </c>
      <c r="AD1012" s="43">
        <v>57600000</v>
      </c>
      <c r="AE1012" s="96">
        <v>0</v>
      </c>
      <c r="AF1012" s="96">
        <v>0</v>
      </c>
      <c r="AG1012" s="96">
        <v>0</v>
      </c>
      <c r="AH1012" s="96">
        <v>0</v>
      </c>
      <c r="AI1012" s="96">
        <v>0</v>
      </c>
      <c r="AJ1012" s="43">
        <v>57600000</v>
      </c>
      <c r="AK1012" s="97">
        <v>0</v>
      </c>
      <c r="AL1012" s="97">
        <v>53100000</v>
      </c>
      <c r="AM1012" s="97">
        <v>53100000</v>
      </c>
      <c r="AN1012" s="97">
        <v>0</v>
      </c>
      <c r="AO1012" s="97">
        <v>0</v>
      </c>
      <c r="AP1012" s="97">
        <v>0</v>
      </c>
      <c r="AQ1012" s="97">
        <v>0</v>
      </c>
      <c r="AR1012" s="97">
        <v>0</v>
      </c>
      <c r="AS1012" s="97">
        <v>0</v>
      </c>
      <c r="AT1012" s="135">
        <f t="shared" ref="AT1012:AT1029" si="1193">AQ1012+AS1012</f>
        <v>0</v>
      </c>
      <c r="AU1012" s="110">
        <f t="shared" ref="AU1012" si="1194">AJ1012-AM1012</f>
        <v>4500000</v>
      </c>
      <c r="AV1012" s="18">
        <f t="shared" ref="AV1012" si="1195">AM1012-AP1012</f>
        <v>53100000</v>
      </c>
      <c r="AW1012" s="18">
        <f t="shared" ref="AW1012" si="1196">AP1012-AT1012</f>
        <v>0</v>
      </c>
      <c r="AX1012" s="123">
        <f t="shared" ref="AX1012" si="1197">AP1012/AJ1012</f>
        <v>0</v>
      </c>
    </row>
    <row r="1013" spans="27:50" ht="25.5" x14ac:dyDescent="0.2">
      <c r="AA1013" s="93" t="s">
        <v>288</v>
      </c>
      <c r="AB1013" s="90" t="s">
        <v>814</v>
      </c>
      <c r="AC1013" s="91"/>
      <c r="AD1013" s="18"/>
      <c r="AE1013" s="92"/>
      <c r="AF1013" s="92"/>
      <c r="AG1013" s="92"/>
      <c r="AH1013" s="92"/>
      <c r="AI1013" s="92"/>
      <c r="AJ1013" s="18"/>
      <c r="AK1013" s="92"/>
      <c r="AL1013" s="92"/>
      <c r="AM1013" s="92"/>
      <c r="AN1013" s="92"/>
      <c r="AO1013" s="92"/>
      <c r="AP1013" s="98"/>
      <c r="AQ1013" s="98"/>
      <c r="AR1013" s="98"/>
      <c r="AS1013" s="98"/>
      <c r="AT1013" s="40"/>
      <c r="AU1013" s="18"/>
      <c r="AV1013" s="18"/>
      <c r="AW1013" s="18"/>
      <c r="AX1013" s="92"/>
    </row>
    <row r="1014" spans="27:50" x14ac:dyDescent="0.2">
      <c r="AA1014" s="94" t="s">
        <v>815</v>
      </c>
      <c r="AB1014" s="95" t="s">
        <v>793</v>
      </c>
      <c r="AC1014" s="96" t="s">
        <v>794</v>
      </c>
      <c r="AD1014" s="43">
        <v>414513482</v>
      </c>
      <c r="AE1014" s="96">
        <v>0</v>
      </c>
      <c r="AF1014" s="96">
        <v>0</v>
      </c>
      <c r="AG1014" s="96">
        <v>0</v>
      </c>
      <c r="AH1014" s="96">
        <v>0</v>
      </c>
      <c r="AI1014" s="96">
        <v>0</v>
      </c>
      <c r="AJ1014" s="43">
        <v>414513482</v>
      </c>
      <c r="AK1014" s="97">
        <v>0</v>
      </c>
      <c r="AL1014" s="34">
        <v>158913482</v>
      </c>
      <c r="AM1014" s="18">
        <v>378513482</v>
      </c>
      <c r="AN1014" s="92">
        <v>0</v>
      </c>
      <c r="AO1014" s="110">
        <v>42300000</v>
      </c>
      <c r="AP1014" s="110">
        <v>219600000</v>
      </c>
      <c r="AQ1014" s="97">
        <v>20796667</v>
      </c>
      <c r="AR1014" s="97">
        <v>15313333</v>
      </c>
      <c r="AS1014" s="97">
        <v>15313333</v>
      </c>
      <c r="AT1014" s="135">
        <f t="shared" ref="AT1014" si="1198">AQ1014+AS1014</f>
        <v>36110000</v>
      </c>
      <c r="AU1014" s="110">
        <f t="shared" ref="AU1014" si="1199">AJ1014-AM1014</f>
        <v>36000000</v>
      </c>
      <c r="AV1014" s="18">
        <f t="shared" ref="AV1014" si="1200">AM1014-AP1014</f>
        <v>158913482</v>
      </c>
      <c r="AW1014" s="18">
        <f t="shared" ref="AW1014" si="1201">AP1014-AT1014</f>
        <v>183490000</v>
      </c>
      <c r="AX1014" s="123">
        <f t="shared" ref="AX1014" si="1202">AP1014/AJ1014</f>
        <v>0.52977770213997522</v>
      </c>
    </row>
    <row r="1015" spans="27:50" ht="25.5" x14ac:dyDescent="0.2">
      <c r="AA1015" s="93" t="s">
        <v>288</v>
      </c>
      <c r="AB1015" s="90" t="s">
        <v>816</v>
      </c>
      <c r="AC1015" s="91"/>
      <c r="AD1015" s="18"/>
      <c r="AE1015" s="92"/>
      <c r="AF1015" s="92"/>
      <c r="AG1015" s="92"/>
      <c r="AH1015" s="92"/>
      <c r="AI1015" s="92"/>
      <c r="AJ1015" s="18"/>
      <c r="AK1015" s="98"/>
      <c r="AL1015" s="98"/>
      <c r="AM1015" s="92"/>
      <c r="AN1015" s="92"/>
      <c r="AO1015" s="92"/>
      <c r="AP1015" s="92"/>
      <c r="AQ1015" s="92"/>
      <c r="AR1015" s="92"/>
      <c r="AS1015" s="92"/>
      <c r="AT1015" s="40"/>
      <c r="AU1015" s="18"/>
      <c r="AV1015" s="18"/>
      <c r="AW1015" s="18"/>
      <c r="AX1015" s="92"/>
    </row>
    <row r="1016" spans="27:50" x14ac:dyDescent="0.2">
      <c r="AA1016" s="94" t="s">
        <v>817</v>
      </c>
      <c r="AB1016" s="95" t="s">
        <v>793</v>
      </c>
      <c r="AC1016" s="96" t="s">
        <v>794</v>
      </c>
      <c r="AD1016" s="43">
        <v>76500000</v>
      </c>
      <c r="AE1016" s="96">
        <v>0</v>
      </c>
      <c r="AF1016" s="96">
        <v>0</v>
      </c>
      <c r="AG1016" s="96">
        <v>0</v>
      </c>
      <c r="AH1016" s="96">
        <v>0</v>
      </c>
      <c r="AI1016" s="96">
        <v>0</v>
      </c>
      <c r="AJ1016" s="43">
        <v>76500000</v>
      </c>
      <c r="AK1016" s="97">
        <v>0</v>
      </c>
      <c r="AL1016" s="110">
        <v>0</v>
      </c>
      <c r="AM1016" s="18">
        <v>76500000</v>
      </c>
      <c r="AN1016" s="18">
        <v>0</v>
      </c>
      <c r="AO1016" s="18">
        <v>0</v>
      </c>
      <c r="AP1016" s="18">
        <v>76500000</v>
      </c>
      <c r="AQ1016" s="96">
        <v>8500000</v>
      </c>
      <c r="AR1016" s="114">
        <v>8500000</v>
      </c>
      <c r="AS1016" s="114">
        <v>9130000</v>
      </c>
      <c r="AT1016" s="111">
        <f t="shared" ref="AT1016" si="1203">AQ1016+AS1016</f>
        <v>17630000</v>
      </c>
      <c r="AU1016" s="133">
        <f t="shared" ref="AU1016" si="1204">AJ1016-AM1016</f>
        <v>0</v>
      </c>
      <c r="AV1016" s="18">
        <f t="shared" ref="AV1016" si="1205">AM1016-AP1016</f>
        <v>0</v>
      </c>
      <c r="AW1016" s="18">
        <f t="shared" ref="AW1016" si="1206">AP1016-AT1016</f>
        <v>58870000</v>
      </c>
      <c r="AX1016" s="123">
        <f t="shared" ref="AX1016" si="1207">AP1016/AJ1016</f>
        <v>1</v>
      </c>
    </row>
    <row r="1017" spans="27:50" ht="38.25" x14ac:dyDescent="0.2">
      <c r="AA1017" s="93" t="s">
        <v>288</v>
      </c>
      <c r="AB1017" s="90" t="s">
        <v>818</v>
      </c>
      <c r="AC1017" s="91"/>
      <c r="AD1017" s="18"/>
      <c r="AE1017" s="92"/>
      <c r="AF1017" s="92"/>
      <c r="AG1017" s="92"/>
      <c r="AH1017" s="92"/>
      <c r="AI1017" s="92"/>
      <c r="AJ1017" s="18"/>
      <c r="AK1017" s="98"/>
      <c r="AL1017" s="98"/>
      <c r="AM1017" s="92"/>
      <c r="AN1017" s="92"/>
      <c r="AO1017" s="92"/>
      <c r="AP1017" s="92"/>
      <c r="AQ1017" s="92"/>
      <c r="AR1017" s="92"/>
      <c r="AS1017" s="92"/>
      <c r="AT1017" s="40"/>
      <c r="AU1017" s="18"/>
      <c r="AV1017" s="18"/>
      <c r="AW1017" s="18"/>
      <c r="AX1017" s="92"/>
    </row>
    <row r="1018" spans="27:50" x14ac:dyDescent="0.2">
      <c r="AA1018" s="94" t="s">
        <v>819</v>
      </c>
      <c r="AB1018" s="95" t="s">
        <v>793</v>
      </c>
      <c r="AC1018" s="96" t="s">
        <v>794</v>
      </c>
      <c r="AD1018" s="43">
        <v>150000000</v>
      </c>
      <c r="AE1018" s="96">
        <v>0</v>
      </c>
      <c r="AF1018" s="96">
        <v>0</v>
      </c>
      <c r="AG1018" s="96">
        <v>0</v>
      </c>
      <c r="AH1018" s="96">
        <v>0</v>
      </c>
      <c r="AI1018" s="96">
        <v>0</v>
      </c>
      <c r="AJ1018" s="43">
        <v>150000000</v>
      </c>
      <c r="AK1018" s="44">
        <v>0</v>
      </c>
      <c r="AL1018" s="43">
        <v>114000000</v>
      </c>
      <c r="AM1018" s="43">
        <v>114000000</v>
      </c>
      <c r="AN1018" s="43">
        <v>0</v>
      </c>
      <c r="AO1018" s="43">
        <v>36000000</v>
      </c>
      <c r="AP1018" s="43">
        <v>36000000</v>
      </c>
      <c r="AQ1018" s="43">
        <v>666667</v>
      </c>
      <c r="AR1018" s="43">
        <v>0</v>
      </c>
      <c r="AS1018" s="43">
        <v>0</v>
      </c>
      <c r="AT1018" s="39">
        <f t="shared" ref="AT1018" si="1208">AQ1018+AS1018</f>
        <v>666667</v>
      </c>
      <c r="AU1018" s="18">
        <f t="shared" ref="AU1018" si="1209">AJ1018-AM1018</f>
        <v>36000000</v>
      </c>
      <c r="AV1018" s="18">
        <f t="shared" ref="AV1018" si="1210">AM1018-AP1018</f>
        <v>78000000</v>
      </c>
      <c r="AW1018" s="18">
        <f t="shared" ref="AW1018" si="1211">AP1018-AT1018</f>
        <v>35333333</v>
      </c>
      <c r="AX1018" s="123">
        <f t="shared" ref="AX1018" si="1212">AP1018/AJ1018</f>
        <v>0.24</v>
      </c>
    </row>
    <row r="1019" spans="27:50" ht="25.5" x14ac:dyDescent="0.2">
      <c r="AA1019" s="93" t="s">
        <v>288</v>
      </c>
      <c r="AB1019" s="90" t="s">
        <v>820</v>
      </c>
      <c r="AC1019" s="91"/>
      <c r="AD1019" s="18"/>
      <c r="AE1019" s="92"/>
      <c r="AF1019" s="92"/>
      <c r="AG1019" s="92"/>
      <c r="AH1019" s="92"/>
      <c r="AI1019" s="92"/>
      <c r="AJ1019" s="18"/>
      <c r="AK1019" s="34"/>
      <c r="AL1019" s="18"/>
      <c r="AM1019" s="18"/>
      <c r="AN1019" s="18"/>
      <c r="AO1019" s="18"/>
      <c r="AP1019" s="18"/>
      <c r="AQ1019" s="18"/>
      <c r="AR1019" s="18"/>
      <c r="AS1019" s="18"/>
      <c r="AT1019" s="39"/>
      <c r="AU1019" s="18"/>
      <c r="AV1019" s="18"/>
      <c r="AW1019" s="18"/>
      <c r="AX1019" s="92"/>
    </row>
    <row r="1020" spans="27:50" x14ac:dyDescent="0.2">
      <c r="AA1020" s="94" t="s">
        <v>821</v>
      </c>
      <c r="AB1020" s="95" t="s">
        <v>233</v>
      </c>
      <c r="AC1020" s="96" t="s">
        <v>58</v>
      </c>
      <c r="AD1020" s="43">
        <v>144000000</v>
      </c>
      <c r="AE1020" s="96">
        <v>0</v>
      </c>
      <c r="AF1020" s="96">
        <v>0</v>
      </c>
      <c r="AG1020" s="96">
        <v>0</v>
      </c>
      <c r="AH1020" s="96">
        <v>0</v>
      </c>
      <c r="AI1020" s="96">
        <v>0</v>
      </c>
      <c r="AJ1020" s="43">
        <v>144000000</v>
      </c>
      <c r="AK1020" s="44">
        <v>0</v>
      </c>
      <c r="AL1020" s="44">
        <v>0</v>
      </c>
      <c r="AM1020" s="43">
        <v>144000000</v>
      </c>
      <c r="AN1020" s="43">
        <v>0</v>
      </c>
      <c r="AO1020" s="43">
        <v>0</v>
      </c>
      <c r="AP1020" s="43">
        <v>144000000</v>
      </c>
      <c r="AQ1020" s="43">
        <v>19733334</v>
      </c>
      <c r="AR1020" s="43">
        <v>4666667</v>
      </c>
      <c r="AS1020" s="43">
        <v>4666667</v>
      </c>
      <c r="AT1020" s="39">
        <f t="shared" si="1193"/>
        <v>24400001</v>
      </c>
      <c r="AU1020" s="18">
        <f t="shared" ref="AU1020:AU1021" si="1213">AJ1020-AM1020</f>
        <v>0</v>
      </c>
      <c r="AV1020" s="18">
        <f t="shared" ref="AV1020:AV1021" si="1214">AM1020-AP1020</f>
        <v>0</v>
      </c>
      <c r="AW1020" s="18">
        <f t="shared" ref="AW1020:AW1021" si="1215">AP1020-AT1020</f>
        <v>119599999</v>
      </c>
      <c r="AX1020" s="123">
        <f t="shared" ref="AX1020:AX1021" si="1216">AP1020/AJ1020</f>
        <v>1</v>
      </c>
    </row>
    <row r="1021" spans="27:50" x14ac:dyDescent="0.2">
      <c r="AA1021" s="94" t="s">
        <v>822</v>
      </c>
      <c r="AB1021" s="95" t="s">
        <v>793</v>
      </c>
      <c r="AC1021" s="96" t="s">
        <v>794</v>
      </c>
      <c r="AD1021" s="43">
        <v>72000000</v>
      </c>
      <c r="AE1021" s="96">
        <v>0</v>
      </c>
      <c r="AF1021" s="96">
        <v>0</v>
      </c>
      <c r="AG1021" s="96">
        <v>0</v>
      </c>
      <c r="AH1021" s="96">
        <v>0</v>
      </c>
      <c r="AI1021" s="96">
        <v>0</v>
      </c>
      <c r="AJ1021" s="43">
        <v>72000000</v>
      </c>
      <c r="AK1021" s="44">
        <v>0</v>
      </c>
      <c r="AL1021" s="44">
        <v>0</v>
      </c>
      <c r="AM1021" s="43">
        <v>68500000</v>
      </c>
      <c r="AN1021" s="43">
        <v>0</v>
      </c>
      <c r="AO1021" s="43">
        <v>28000000</v>
      </c>
      <c r="AP1021" s="43">
        <v>68500000</v>
      </c>
      <c r="AQ1021" s="43">
        <v>7650000</v>
      </c>
      <c r="AR1021" s="43">
        <v>3000000</v>
      </c>
      <c r="AS1021" s="43">
        <v>3000000</v>
      </c>
      <c r="AT1021" s="39">
        <f t="shared" si="1193"/>
        <v>10650000</v>
      </c>
      <c r="AU1021" s="18">
        <f t="shared" si="1213"/>
        <v>3500000</v>
      </c>
      <c r="AV1021" s="18">
        <f t="shared" si="1214"/>
        <v>0</v>
      </c>
      <c r="AW1021" s="18">
        <f t="shared" si="1215"/>
        <v>57850000</v>
      </c>
      <c r="AX1021" s="123">
        <f t="shared" si="1216"/>
        <v>0.95138888888888884</v>
      </c>
    </row>
    <row r="1022" spans="27:50" ht="38.25" x14ac:dyDescent="0.2">
      <c r="AA1022" s="94" t="s">
        <v>288</v>
      </c>
      <c r="AB1022" s="138" t="s">
        <v>912</v>
      </c>
      <c r="AC1022" s="96"/>
      <c r="AD1022" s="43"/>
      <c r="AE1022" s="96"/>
      <c r="AF1022" s="96"/>
      <c r="AG1022" s="96"/>
      <c r="AH1022" s="96"/>
      <c r="AI1022" s="96"/>
      <c r="AJ1022" s="43"/>
      <c r="AK1022" s="44"/>
      <c r="AL1022" s="44"/>
      <c r="AM1022" s="44"/>
      <c r="AN1022" s="97"/>
      <c r="AO1022" s="44"/>
      <c r="AP1022" s="44"/>
      <c r="AQ1022" s="97"/>
      <c r="AR1022" s="96"/>
      <c r="AS1022" s="97"/>
      <c r="AT1022" s="40"/>
      <c r="AU1022" s="43"/>
      <c r="AV1022" s="44"/>
      <c r="AW1022" s="44"/>
      <c r="AX1022" s="32"/>
    </row>
    <row r="1023" spans="27:50" x14ac:dyDescent="0.2">
      <c r="AA1023" s="94" t="s">
        <v>913</v>
      </c>
      <c r="AB1023" s="95" t="s">
        <v>233</v>
      </c>
      <c r="AC1023" s="96"/>
      <c r="AD1023" s="43">
        <v>0</v>
      </c>
      <c r="AE1023" s="96">
        <v>0</v>
      </c>
      <c r="AF1023" s="96">
        <v>0</v>
      </c>
      <c r="AG1023" s="43">
        <v>136150000</v>
      </c>
      <c r="AH1023" s="96"/>
      <c r="AI1023" s="136">
        <f>AE1023-AF1023+AG1023-AH1023</f>
        <v>136150000</v>
      </c>
      <c r="AJ1023" s="43">
        <f>AD1023+AI1023</f>
        <v>136150000</v>
      </c>
      <c r="AK1023" s="44">
        <v>0</v>
      </c>
      <c r="AL1023" s="114">
        <v>17500000</v>
      </c>
      <c r="AM1023" s="114">
        <v>94724710</v>
      </c>
      <c r="AN1023" s="97">
        <v>0</v>
      </c>
      <c r="AO1023" s="43">
        <v>77224710</v>
      </c>
      <c r="AP1023" s="43">
        <v>77224710</v>
      </c>
      <c r="AQ1023" s="97">
        <v>0</v>
      </c>
      <c r="AR1023" s="96">
        <v>0</v>
      </c>
      <c r="AS1023" s="97">
        <v>0</v>
      </c>
      <c r="AT1023" s="135">
        <f t="shared" ref="AT1023" si="1217">AQ1023+AS1023</f>
        <v>0</v>
      </c>
      <c r="AU1023" s="110">
        <f t="shared" ref="AU1023" si="1218">AJ1023-AM1023</f>
        <v>41425290</v>
      </c>
      <c r="AV1023" s="110">
        <f t="shared" ref="AV1023" si="1219">AM1023-AP1023</f>
        <v>17500000</v>
      </c>
      <c r="AW1023" s="18">
        <f t="shared" ref="AW1023" si="1220">AP1023-AT1023</f>
        <v>77224710</v>
      </c>
      <c r="AX1023" s="123">
        <f t="shared" ref="AX1023" si="1221">AP1023/AJ1023</f>
        <v>0.56720315828130741</v>
      </c>
    </row>
    <row r="1024" spans="27:50" ht="25.5" x14ac:dyDescent="0.2">
      <c r="AA1024" s="93" t="s">
        <v>288</v>
      </c>
      <c r="AB1024" s="90" t="s">
        <v>778</v>
      </c>
      <c r="AC1024" s="91"/>
      <c r="AD1024" s="18"/>
      <c r="AE1024" s="92"/>
      <c r="AF1024" s="92"/>
      <c r="AG1024" s="92"/>
      <c r="AH1024" s="92"/>
      <c r="AI1024" s="92"/>
      <c r="AJ1024" s="18"/>
      <c r="AK1024" s="34"/>
      <c r="AL1024" s="18"/>
      <c r="AM1024" s="18"/>
      <c r="AN1024" s="92"/>
      <c r="AO1024" s="18"/>
      <c r="AP1024" s="18"/>
      <c r="AQ1024" s="92"/>
      <c r="AR1024" s="92"/>
      <c r="AS1024" s="92"/>
      <c r="AT1024" s="30"/>
      <c r="AU1024" s="18"/>
      <c r="AV1024" s="18"/>
      <c r="AW1024" s="18"/>
      <c r="AX1024" s="92"/>
    </row>
    <row r="1025" spans="2:50" x14ac:dyDescent="0.2">
      <c r="AA1025" s="94" t="s">
        <v>823</v>
      </c>
      <c r="AB1025" s="95" t="s">
        <v>824</v>
      </c>
      <c r="AC1025" s="96" t="s">
        <v>794</v>
      </c>
      <c r="AD1025" s="43">
        <v>68497522112</v>
      </c>
      <c r="AE1025" s="96">
        <v>0</v>
      </c>
      <c r="AF1025" s="96">
        <v>0</v>
      </c>
      <c r="AG1025" s="96">
        <v>0</v>
      </c>
      <c r="AH1025" s="96">
        <v>0</v>
      </c>
      <c r="AI1025" s="96">
        <v>0</v>
      </c>
      <c r="AJ1025" s="43">
        <v>68497522112</v>
      </c>
      <c r="AK1025" s="44">
        <v>0</v>
      </c>
      <c r="AL1025" s="44">
        <v>0</v>
      </c>
      <c r="AM1025" s="18">
        <v>68497522112</v>
      </c>
      <c r="AN1025" s="18">
        <v>0</v>
      </c>
      <c r="AO1025" s="18">
        <v>6711410086</v>
      </c>
      <c r="AP1025" s="43">
        <v>19477825143</v>
      </c>
      <c r="AQ1025" s="43">
        <v>0</v>
      </c>
      <c r="AR1025" s="18">
        <v>6711410086</v>
      </c>
      <c r="AS1025" s="43">
        <v>19477825143</v>
      </c>
      <c r="AT1025" s="111">
        <f t="shared" si="1193"/>
        <v>19477825143</v>
      </c>
      <c r="AU1025" s="133">
        <f t="shared" ref="AU1025:AU1029" si="1222">AJ1025-AM1025</f>
        <v>0</v>
      </c>
      <c r="AV1025" s="110">
        <f t="shared" ref="AV1025:AV1029" si="1223">AM1025-AP1025</f>
        <v>49019696969</v>
      </c>
      <c r="AW1025" s="133">
        <f t="shared" ref="AW1025:AW1029" si="1224">AP1025-AT1025</f>
        <v>0</v>
      </c>
      <c r="AX1025" s="123">
        <f t="shared" ref="AX1025:AX1029" si="1225">AP1025/AJ1025</f>
        <v>0.28435809854773858</v>
      </c>
    </row>
    <row r="1026" spans="2:50" x14ac:dyDescent="0.2">
      <c r="AA1026" s="94" t="s">
        <v>825</v>
      </c>
      <c r="AB1026" s="95" t="s">
        <v>826</v>
      </c>
      <c r="AC1026" s="96" t="s">
        <v>802</v>
      </c>
      <c r="AD1026" s="43">
        <v>6053442339</v>
      </c>
      <c r="AE1026" s="96">
        <v>0</v>
      </c>
      <c r="AF1026" s="96">
        <v>0</v>
      </c>
      <c r="AG1026" s="96">
        <v>0</v>
      </c>
      <c r="AH1026" s="96">
        <v>0</v>
      </c>
      <c r="AI1026" s="96">
        <v>0</v>
      </c>
      <c r="AJ1026" s="43">
        <v>6053442339</v>
      </c>
      <c r="AK1026" s="44">
        <v>0</v>
      </c>
      <c r="AL1026" s="44">
        <v>0</v>
      </c>
      <c r="AM1026" s="18">
        <v>3247805756</v>
      </c>
      <c r="AN1026" s="18">
        <v>0</v>
      </c>
      <c r="AO1026" s="18">
        <v>274372471.00999999</v>
      </c>
      <c r="AP1026" s="43">
        <v>772013031.00999999</v>
      </c>
      <c r="AQ1026" s="43">
        <v>0</v>
      </c>
      <c r="AR1026" s="18">
        <v>274372471.00999999</v>
      </c>
      <c r="AS1026" s="43">
        <v>772013031.00999999</v>
      </c>
      <c r="AT1026" s="111">
        <f t="shared" si="1193"/>
        <v>772013031.00999999</v>
      </c>
      <c r="AU1026" s="110">
        <f t="shared" si="1222"/>
        <v>2805636583</v>
      </c>
      <c r="AV1026" s="110">
        <f t="shared" si="1223"/>
        <v>2475792724.9899998</v>
      </c>
      <c r="AW1026" s="133">
        <f t="shared" si="1224"/>
        <v>0</v>
      </c>
      <c r="AX1026" s="123">
        <f t="shared" si="1225"/>
        <v>0.12753289579322777</v>
      </c>
    </row>
    <row r="1027" spans="2:50" ht="25.5" x14ac:dyDescent="0.2">
      <c r="AA1027" s="94" t="s">
        <v>827</v>
      </c>
      <c r="AB1027" s="95" t="s">
        <v>776</v>
      </c>
      <c r="AC1027" s="96" t="s">
        <v>777</v>
      </c>
      <c r="AD1027" s="43">
        <v>5590188172</v>
      </c>
      <c r="AE1027" s="96">
        <v>0</v>
      </c>
      <c r="AF1027" s="96">
        <v>0</v>
      </c>
      <c r="AG1027" s="96">
        <v>0</v>
      </c>
      <c r="AH1027" s="96">
        <v>0</v>
      </c>
      <c r="AI1027" s="96">
        <v>0</v>
      </c>
      <c r="AJ1027" s="43">
        <v>5590188172</v>
      </c>
      <c r="AK1027" s="44">
        <v>0</v>
      </c>
      <c r="AL1027" s="44">
        <v>0</v>
      </c>
      <c r="AM1027" s="18">
        <v>188387793</v>
      </c>
      <c r="AN1027" s="18">
        <v>0</v>
      </c>
      <c r="AO1027" s="18">
        <v>0</v>
      </c>
      <c r="AP1027" s="43">
        <v>188387793</v>
      </c>
      <c r="AQ1027" s="43">
        <v>0</v>
      </c>
      <c r="AR1027" s="18">
        <v>0</v>
      </c>
      <c r="AS1027" s="43">
        <v>188387793</v>
      </c>
      <c r="AT1027" s="111">
        <f t="shared" si="1193"/>
        <v>188387793</v>
      </c>
      <c r="AU1027" s="110">
        <f t="shared" si="1222"/>
        <v>5401800379</v>
      </c>
      <c r="AV1027" s="133">
        <f t="shared" si="1223"/>
        <v>0</v>
      </c>
      <c r="AW1027" s="133">
        <f t="shared" si="1224"/>
        <v>0</v>
      </c>
      <c r="AX1027" s="123">
        <f t="shared" si="1225"/>
        <v>3.3699723015334665E-2</v>
      </c>
    </row>
    <row r="1028" spans="2:50" ht="16.5" customHeight="1" x14ac:dyDescent="0.2">
      <c r="AA1028" s="94" t="s">
        <v>828</v>
      </c>
      <c r="AB1028" s="95" t="s">
        <v>829</v>
      </c>
      <c r="AC1028" s="96" t="s">
        <v>789</v>
      </c>
      <c r="AD1028" s="43">
        <v>134040044112</v>
      </c>
      <c r="AE1028" s="96">
        <v>0</v>
      </c>
      <c r="AF1028" s="96">
        <v>0</v>
      </c>
      <c r="AG1028" s="96">
        <v>0</v>
      </c>
      <c r="AH1028" s="96">
        <v>0</v>
      </c>
      <c r="AI1028" s="96">
        <v>0</v>
      </c>
      <c r="AJ1028" s="178">
        <v>134040044112</v>
      </c>
      <c r="AK1028" s="44">
        <v>0</v>
      </c>
      <c r="AL1028" s="44">
        <v>0</v>
      </c>
      <c r="AM1028" s="18">
        <v>129958738901</v>
      </c>
      <c r="AN1028" s="18">
        <v>0</v>
      </c>
      <c r="AO1028" s="179">
        <v>10521805117.23</v>
      </c>
      <c r="AP1028" s="43">
        <v>32176790411.73</v>
      </c>
      <c r="AQ1028" s="43">
        <v>0</v>
      </c>
      <c r="AR1028" s="18">
        <v>10521805117.23</v>
      </c>
      <c r="AS1028" s="43">
        <v>32176790411.73</v>
      </c>
      <c r="AT1028" s="111">
        <f t="shared" si="1193"/>
        <v>32176790411.73</v>
      </c>
      <c r="AU1028" s="110">
        <f t="shared" si="1222"/>
        <v>4081305211</v>
      </c>
      <c r="AV1028" s="110">
        <f t="shared" si="1223"/>
        <v>97781948489.270004</v>
      </c>
      <c r="AW1028" s="133">
        <f t="shared" si="1224"/>
        <v>0</v>
      </c>
      <c r="AX1028" s="123">
        <f t="shared" si="1225"/>
        <v>0.24005356477534431</v>
      </c>
    </row>
    <row r="1029" spans="2:50" ht="25.5" x14ac:dyDescent="0.2">
      <c r="AA1029" s="94" t="s">
        <v>830</v>
      </c>
      <c r="AB1029" s="95" t="s">
        <v>831</v>
      </c>
      <c r="AC1029" s="96" t="s">
        <v>832</v>
      </c>
      <c r="AD1029" s="43">
        <v>12909348026</v>
      </c>
      <c r="AE1029" s="96">
        <v>0</v>
      </c>
      <c r="AF1029" s="96">
        <v>0</v>
      </c>
      <c r="AG1029" s="96">
        <v>0</v>
      </c>
      <c r="AH1029" s="96">
        <v>0</v>
      </c>
      <c r="AI1029" s="96">
        <v>0</v>
      </c>
      <c r="AJ1029" s="43">
        <v>12909348026</v>
      </c>
      <c r="AK1029" s="44">
        <v>0</v>
      </c>
      <c r="AL1029" s="44">
        <v>0</v>
      </c>
      <c r="AM1029" s="18">
        <v>12909348026</v>
      </c>
      <c r="AN1029" s="18">
        <v>0</v>
      </c>
      <c r="AO1029" s="18">
        <v>932014680.98000002</v>
      </c>
      <c r="AP1029" s="43">
        <v>2671663872.7800002</v>
      </c>
      <c r="AQ1029" s="43">
        <v>0</v>
      </c>
      <c r="AR1029" s="43">
        <v>932014680.98000002</v>
      </c>
      <c r="AS1029" s="43">
        <v>2671663872.7800002</v>
      </c>
      <c r="AT1029" s="111">
        <f t="shared" si="1193"/>
        <v>2671663872.7800002</v>
      </c>
      <c r="AU1029" s="133">
        <f t="shared" si="1222"/>
        <v>0</v>
      </c>
      <c r="AV1029" s="110">
        <f t="shared" si="1223"/>
        <v>10237684153.219999</v>
      </c>
      <c r="AW1029" s="133">
        <f t="shared" si="1224"/>
        <v>0</v>
      </c>
      <c r="AX1029" s="123">
        <f t="shared" si="1225"/>
        <v>0.20695575542615713</v>
      </c>
    </row>
    <row r="1030" spans="2:50" x14ac:dyDescent="0.2">
      <c r="AA1030" s="89"/>
      <c r="AB1030" s="91"/>
      <c r="AC1030" s="91"/>
      <c r="AD1030" s="18"/>
      <c r="AE1030" s="92"/>
      <c r="AF1030" s="92"/>
      <c r="AG1030" s="92"/>
      <c r="AH1030" s="92"/>
      <c r="AI1030" s="92"/>
      <c r="AJ1030" s="92"/>
      <c r="AK1030" s="98"/>
      <c r="AL1030" s="92"/>
      <c r="AM1030" s="92"/>
      <c r="AN1030" s="92"/>
      <c r="AO1030" s="92"/>
      <c r="AP1030" s="92"/>
      <c r="AQ1030" s="92"/>
      <c r="AR1030" s="92"/>
      <c r="AS1030" s="92"/>
      <c r="AT1030" s="92"/>
      <c r="AU1030" s="92"/>
      <c r="AV1030" s="92"/>
      <c r="AW1030" s="92"/>
      <c r="AX1030" s="92"/>
    </row>
    <row r="1031" spans="2:50" s="50" customFormat="1" x14ac:dyDescent="0.2">
      <c r="B1031" s="77"/>
      <c r="C1031" s="77"/>
      <c r="D1031" s="77"/>
      <c r="E1031" s="77"/>
      <c r="F1031" s="77"/>
      <c r="G1031" s="77"/>
      <c r="H1031" s="77"/>
      <c r="I1031" s="77"/>
      <c r="J1031" s="77"/>
      <c r="K1031" s="77"/>
      <c r="L1031" s="77"/>
      <c r="M1031" s="77"/>
      <c r="N1031" s="77"/>
      <c r="O1031" s="77"/>
      <c r="P1031" s="77"/>
      <c r="Q1031" s="77"/>
      <c r="R1031" s="77"/>
      <c r="S1031" s="77"/>
      <c r="T1031" s="77"/>
      <c r="U1031" s="77"/>
      <c r="V1031" s="77"/>
      <c r="W1031" s="77"/>
      <c r="X1031" s="77"/>
      <c r="Y1031" s="77"/>
      <c r="Z1031" s="77"/>
      <c r="AA1031" s="46"/>
      <c r="AB1031" s="47" t="s">
        <v>833</v>
      </c>
      <c r="AC1031" s="47"/>
      <c r="AD1031" s="48">
        <f>SUM(AD982:AD1029)</f>
        <v>260924476092</v>
      </c>
      <c r="AE1031" s="49">
        <f t="shared" ref="AE1031:AW1031" si="1226">SUM(AE982:AE1029)</f>
        <v>0</v>
      </c>
      <c r="AF1031" s="49">
        <f t="shared" si="1226"/>
        <v>0</v>
      </c>
      <c r="AG1031" s="48">
        <f t="shared" si="1226"/>
        <v>5672720240</v>
      </c>
      <c r="AH1031" s="48">
        <f t="shared" si="1226"/>
        <v>5672720240</v>
      </c>
      <c r="AI1031" s="49">
        <f t="shared" si="1226"/>
        <v>0</v>
      </c>
      <c r="AJ1031" s="48">
        <f t="shared" si="1226"/>
        <v>260924476092</v>
      </c>
      <c r="AK1031" s="49">
        <f t="shared" si="1226"/>
        <v>0</v>
      </c>
      <c r="AL1031" s="48">
        <f t="shared" si="1226"/>
        <v>2300775557.7600002</v>
      </c>
      <c r="AM1031" s="48">
        <f t="shared" si="1226"/>
        <v>221860425784</v>
      </c>
      <c r="AN1031" s="48">
        <f t="shared" si="1226"/>
        <v>22800000</v>
      </c>
      <c r="AO1031" s="48">
        <f t="shared" si="1226"/>
        <v>19796095474.219997</v>
      </c>
      <c r="AP1031" s="48">
        <f t="shared" si="1226"/>
        <v>59993658131.519997</v>
      </c>
      <c r="AQ1031" s="48">
        <f t="shared" si="1226"/>
        <v>344146669</v>
      </c>
      <c r="AR1031" s="48">
        <f t="shared" si="1226"/>
        <v>18615694094.219997</v>
      </c>
      <c r="AS1031" s="48">
        <f t="shared" si="1226"/>
        <v>55611703418.519997</v>
      </c>
      <c r="AT1031" s="22">
        <f>AQ1031+AS1031</f>
        <v>55955850087.519997</v>
      </c>
      <c r="AU1031" s="48">
        <f>SUM(AU982:AU1029)</f>
        <v>39064050308</v>
      </c>
      <c r="AV1031" s="48">
        <f>SUM(AV982:AV1029)</f>
        <v>161866767652.48001</v>
      </c>
      <c r="AW1031" s="48">
        <f t="shared" si="1226"/>
        <v>4037808044</v>
      </c>
      <c r="AX1031" s="24">
        <f t="shared" ref="AX1031" si="1227">AP1031/AJ1031</f>
        <v>0.22992729172086826</v>
      </c>
    </row>
    <row r="1036" spans="2:50" ht="13.5" thickBot="1" x14ac:dyDescent="0.25">
      <c r="AB1036" s="152"/>
    </row>
    <row r="1037" spans="2:50" ht="15.75" x14ac:dyDescent="0.2">
      <c r="AB1037" s="153" t="s">
        <v>914</v>
      </c>
    </row>
    <row r="1038" spans="2:50" x14ac:dyDescent="0.2">
      <c r="AB1038" s="154" t="s">
        <v>916</v>
      </c>
    </row>
    <row r="1039" spans="2:50" x14ac:dyDescent="0.2">
      <c r="AB1039" s="154" t="s">
        <v>917</v>
      </c>
    </row>
  </sheetData>
  <mergeCells count="23">
    <mergeCell ref="AX7:AX8"/>
    <mergeCell ref="AK7:AM7"/>
    <mergeCell ref="AN7:AP7"/>
    <mergeCell ref="AQ7:AS7"/>
    <mergeCell ref="AU7:AU8"/>
    <mergeCell ref="AV7:AV8"/>
    <mergeCell ref="AW7:AW8"/>
    <mergeCell ref="AJ7:AJ8"/>
    <mergeCell ref="A2:AW2"/>
    <mergeCell ref="A3:AW3"/>
    <mergeCell ref="A4:AW4"/>
    <mergeCell ref="A5:AW5"/>
    <mergeCell ref="A7:A9"/>
    <mergeCell ref="B7:B9"/>
    <mergeCell ref="AA7:AA9"/>
    <mergeCell ref="AB7:AB9"/>
    <mergeCell ref="AC7:AC9"/>
    <mergeCell ref="AD7:AD8"/>
    <mergeCell ref="AE7:AE8"/>
    <mergeCell ref="AF7:AF8"/>
    <mergeCell ref="AG7:AG8"/>
    <mergeCell ref="AH7:AH8"/>
    <mergeCell ref="AI7:AI8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72B1D-7A87-4F24-93D1-160164AED832}">
  <dimension ref="A1:AX1050"/>
  <sheetViews>
    <sheetView zoomScale="80" zoomScaleNormal="80" workbookViewId="0">
      <pane xSplit="29" ySplit="9" topLeftCell="AO10" activePane="bottomRight" state="frozen"/>
      <selection pane="topRight" activeCell="AD1" sqref="AD1"/>
      <selection pane="bottomLeft" activeCell="A10" sqref="A10"/>
      <selection pane="bottomRight" activeCell="AN1" sqref="AN1:AR1048576"/>
    </sheetView>
  </sheetViews>
  <sheetFormatPr baseColWidth="10" defaultColWidth="9.140625" defaultRowHeight="12.75" x14ac:dyDescent="0.2"/>
  <cols>
    <col min="1" max="1" width="7" style="33" customWidth="1"/>
    <col min="2" max="2" width="38.42578125" style="51" hidden="1" customWidth="1"/>
    <col min="3" max="3" width="27.7109375" style="51" hidden="1" customWidth="1"/>
    <col min="4" max="4" width="18.7109375" style="51" hidden="1" customWidth="1"/>
    <col min="5" max="5" width="13.85546875" style="51" hidden="1" customWidth="1"/>
    <col min="6" max="6" width="14.42578125" style="51" hidden="1" customWidth="1"/>
    <col min="7" max="7" width="10.85546875" style="51" hidden="1" customWidth="1"/>
    <col min="8" max="8" width="9.85546875" style="51" hidden="1" customWidth="1"/>
    <col min="9" max="9" width="23" style="51" hidden="1" customWidth="1"/>
    <col min="10" max="10" width="14.5703125" style="51" hidden="1" customWidth="1"/>
    <col min="11" max="11" width="18.85546875" style="51" hidden="1" customWidth="1"/>
    <col min="12" max="12" width="12" style="51" hidden="1" customWidth="1"/>
    <col min="13" max="13" width="16.85546875" style="51" hidden="1" customWidth="1"/>
    <col min="14" max="14" width="20.5703125" style="51" hidden="1" customWidth="1"/>
    <col min="15" max="15" width="22.7109375" style="51" hidden="1" customWidth="1"/>
    <col min="16" max="16" width="29" style="51" hidden="1" customWidth="1"/>
    <col min="17" max="17" width="20" style="51" hidden="1" customWidth="1"/>
    <col min="18" max="19" width="23.5703125" style="51" hidden="1" customWidth="1"/>
    <col min="20" max="20" width="27.140625" style="51" hidden="1" customWidth="1"/>
    <col min="21" max="21" width="25.5703125" style="51" hidden="1" customWidth="1"/>
    <col min="22" max="22" width="18.85546875" style="51" hidden="1" customWidth="1"/>
    <col min="23" max="23" width="18.5703125" style="51" hidden="1" customWidth="1"/>
    <col min="24" max="24" width="20.85546875" style="51" hidden="1" customWidth="1"/>
    <col min="25" max="26" width="29.7109375" style="51" hidden="1" customWidth="1"/>
    <col min="27" max="27" width="37.5703125" style="99" customWidth="1"/>
    <col min="28" max="28" width="66" style="51" customWidth="1"/>
    <col min="29" max="29" width="60.7109375" style="51" hidden="1" customWidth="1"/>
    <col min="30" max="30" width="23.5703125" style="33" customWidth="1"/>
    <col min="31" max="32" width="20.7109375" style="33" hidden="1" customWidth="1"/>
    <col min="33" max="34" width="22" style="33" hidden="1" customWidth="1"/>
    <col min="35" max="35" width="22.140625" style="33" hidden="1" customWidth="1"/>
    <col min="36" max="36" width="26" style="33" customWidth="1"/>
    <col min="37" max="37" width="24.140625" style="33" hidden="1" customWidth="1"/>
    <col min="38" max="39" width="27.7109375" style="33" customWidth="1"/>
    <col min="40" max="40" width="20.7109375" style="33" customWidth="1"/>
    <col min="41" max="41" width="22.42578125" style="33" customWidth="1"/>
    <col min="42" max="42" width="23.42578125" style="33" customWidth="1"/>
    <col min="43" max="43" width="20.7109375" style="33" customWidth="1"/>
    <col min="44" max="44" width="22.28515625" style="33" customWidth="1"/>
    <col min="45" max="45" width="23.7109375" style="33" customWidth="1"/>
    <col min="46" max="46" width="22.28515625" style="33" customWidth="1"/>
    <col min="47" max="47" width="23" style="33" customWidth="1"/>
    <col min="48" max="48" width="23.42578125" style="33" customWidth="1"/>
    <col min="49" max="49" width="22" style="33" bestFit="1" customWidth="1"/>
    <col min="50" max="50" width="12.140625" style="33" customWidth="1"/>
    <col min="51" max="281" width="9.140625" style="33"/>
    <col min="282" max="283" width="0" style="33" hidden="1" customWidth="1"/>
    <col min="284" max="284" width="29.42578125" style="33" customWidth="1"/>
    <col min="285" max="285" width="75.7109375" style="33" customWidth="1"/>
    <col min="286" max="286" width="0" style="33" hidden="1" customWidth="1"/>
    <col min="287" max="305" width="20.7109375" style="33" customWidth="1"/>
    <col min="306" max="306" width="12.140625" style="33" customWidth="1"/>
    <col min="307" max="537" width="9.140625" style="33"/>
    <col min="538" max="539" width="0" style="33" hidden="1" customWidth="1"/>
    <col min="540" max="540" width="29.42578125" style="33" customWidth="1"/>
    <col min="541" max="541" width="75.7109375" style="33" customWidth="1"/>
    <col min="542" max="542" width="0" style="33" hidden="1" customWidth="1"/>
    <col min="543" max="561" width="20.7109375" style="33" customWidth="1"/>
    <col min="562" max="562" width="12.140625" style="33" customWidth="1"/>
    <col min="563" max="793" width="9.140625" style="33"/>
    <col min="794" max="795" width="0" style="33" hidden="1" customWidth="1"/>
    <col min="796" max="796" width="29.42578125" style="33" customWidth="1"/>
    <col min="797" max="797" width="75.7109375" style="33" customWidth="1"/>
    <col min="798" max="798" width="0" style="33" hidden="1" customWidth="1"/>
    <col min="799" max="817" width="20.7109375" style="33" customWidth="1"/>
    <col min="818" max="818" width="12.140625" style="33" customWidth="1"/>
    <col min="819" max="1049" width="9.140625" style="33"/>
    <col min="1050" max="1051" width="0" style="33" hidden="1" customWidth="1"/>
    <col min="1052" max="1052" width="29.42578125" style="33" customWidth="1"/>
    <col min="1053" max="1053" width="75.7109375" style="33" customWidth="1"/>
    <col min="1054" max="1054" width="0" style="33" hidden="1" customWidth="1"/>
    <col min="1055" max="1073" width="20.7109375" style="33" customWidth="1"/>
    <col min="1074" max="1074" width="12.140625" style="33" customWidth="1"/>
    <col min="1075" max="1305" width="9.140625" style="33"/>
    <col min="1306" max="1307" width="0" style="33" hidden="1" customWidth="1"/>
    <col min="1308" max="1308" width="29.42578125" style="33" customWidth="1"/>
    <col min="1309" max="1309" width="75.7109375" style="33" customWidth="1"/>
    <col min="1310" max="1310" width="0" style="33" hidden="1" customWidth="1"/>
    <col min="1311" max="1329" width="20.7109375" style="33" customWidth="1"/>
    <col min="1330" max="1330" width="12.140625" style="33" customWidth="1"/>
    <col min="1331" max="1561" width="9.140625" style="33"/>
    <col min="1562" max="1563" width="0" style="33" hidden="1" customWidth="1"/>
    <col min="1564" max="1564" width="29.42578125" style="33" customWidth="1"/>
    <col min="1565" max="1565" width="75.7109375" style="33" customWidth="1"/>
    <col min="1566" max="1566" width="0" style="33" hidden="1" customWidth="1"/>
    <col min="1567" max="1585" width="20.7109375" style="33" customWidth="1"/>
    <col min="1586" max="1586" width="12.140625" style="33" customWidth="1"/>
    <col min="1587" max="1817" width="9.140625" style="33"/>
    <col min="1818" max="1819" width="0" style="33" hidden="1" customWidth="1"/>
    <col min="1820" max="1820" width="29.42578125" style="33" customWidth="1"/>
    <col min="1821" max="1821" width="75.7109375" style="33" customWidth="1"/>
    <col min="1822" max="1822" width="0" style="33" hidden="1" customWidth="1"/>
    <col min="1823" max="1841" width="20.7109375" style="33" customWidth="1"/>
    <col min="1842" max="1842" width="12.140625" style="33" customWidth="1"/>
    <col min="1843" max="2073" width="9.140625" style="33"/>
    <col min="2074" max="2075" width="0" style="33" hidden="1" customWidth="1"/>
    <col min="2076" max="2076" width="29.42578125" style="33" customWidth="1"/>
    <col min="2077" max="2077" width="75.7109375" style="33" customWidth="1"/>
    <col min="2078" max="2078" width="0" style="33" hidden="1" customWidth="1"/>
    <col min="2079" max="2097" width="20.7109375" style="33" customWidth="1"/>
    <col min="2098" max="2098" width="12.140625" style="33" customWidth="1"/>
    <col min="2099" max="2329" width="9.140625" style="33"/>
    <col min="2330" max="2331" width="0" style="33" hidden="1" customWidth="1"/>
    <col min="2332" max="2332" width="29.42578125" style="33" customWidth="1"/>
    <col min="2333" max="2333" width="75.7109375" style="33" customWidth="1"/>
    <col min="2334" max="2334" width="0" style="33" hidden="1" customWidth="1"/>
    <col min="2335" max="2353" width="20.7109375" style="33" customWidth="1"/>
    <col min="2354" max="2354" width="12.140625" style="33" customWidth="1"/>
    <col min="2355" max="2585" width="9.140625" style="33"/>
    <col min="2586" max="2587" width="0" style="33" hidden="1" customWidth="1"/>
    <col min="2588" max="2588" width="29.42578125" style="33" customWidth="1"/>
    <col min="2589" max="2589" width="75.7109375" style="33" customWidth="1"/>
    <col min="2590" max="2590" width="0" style="33" hidden="1" customWidth="1"/>
    <col min="2591" max="2609" width="20.7109375" style="33" customWidth="1"/>
    <col min="2610" max="2610" width="12.140625" style="33" customWidth="1"/>
    <col min="2611" max="2841" width="9.140625" style="33"/>
    <col min="2842" max="2843" width="0" style="33" hidden="1" customWidth="1"/>
    <col min="2844" max="2844" width="29.42578125" style="33" customWidth="1"/>
    <col min="2845" max="2845" width="75.7109375" style="33" customWidth="1"/>
    <col min="2846" max="2846" width="0" style="33" hidden="1" customWidth="1"/>
    <col min="2847" max="2865" width="20.7109375" style="33" customWidth="1"/>
    <col min="2866" max="2866" width="12.140625" style="33" customWidth="1"/>
    <col min="2867" max="3097" width="9.140625" style="33"/>
    <col min="3098" max="3099" width="0" style="33" hidden="1" customWidth="1"/>
    <col min="3100" max="3100" width="29.42578125" style="33" customWidth="1"/>
    <col min="3101" max="3101" width="75.7109375" style="33" customWidth="1"/>
    <col min="3102" max="3102" width="0" style="33" hidden="1" customWidth="1"/>
    <col min="3103" max="3121" width="20.7109375" style="33" customWidth="1"/>
    <col min="3122" max="3122" width="12.140625" style="33" customWidth="1"/>
    <col min="3123" max="3353" width="9.140625" style="33"/>
    <col min="3354" max="3355" width="0" style="33" hidden="1" customWidth="1"/>
    <col min="3356" max="3356" width="29.42578125" style="33" customWidth="1"/>
    <col min="3357" max="3357" width="75.7109375" style="33" customWidth="1"/>
    <col min="3358" max="3358" width="0" style="33" hidden="1" customWidth="1"/>
    <col min="3359" max="3377" width="20.7109375" style="33" customWidth="1"/>
    <col min="3378" max="3378" width="12.140625" style="33" customWidth="1"/>
    <col min="3379" max="3609" width="9.140625" style="33"/>
    <col min="3610" max="3611" width="0" style="33" hidden="1" customWidth="1"/>
    <col min="3612" max="3612" width="29.42578125" style="33" customWidth="1"/>
    <col min="3613" max="3613" width="75.7109375" style="33" customWidth="1"/>
    <col min="3614" max="3614" width="0" style="33" hidden="1" customWidth="1"/>
    <col min="3615" max="3633" width="20.7109375" style="33" customWidth="1"/>
    <col min="3634" max="3634" width="12.140625" style="33" customWidth="1"/>
    <col min="3635" max="3865" width="9.140625" style="33"/>
    <col min="3866" max="3867" width="0" style="33" hidden="1" customWidth="1"/>
    <col min="3868" max="3868" width="29.42578125" style="33" customWidth="1"/>
    <col min="3869" max="3869" width="75.7109375" style="33" customWidth="1"/>
    <col min="3870" max="3870" width="0" style="33" hidden="1" customWidth="1"/>
    <col min="3871" max="3889" width="20.7109375" style="33" customWidth="1"/>
    <col min="3890" max="3890" width="12.140625" style="33" customWidth="1"/>
    <col min="3891" max="4121" width="9.140625" style="33"/>
    <col min="4122" max="4123" width="0" style="33" hidden="1" customWidth="1"/>
    <col min="4124" max="4124" width="29.42578125" style="33" customWidth="1"/>
    <col min="4125" max="4125" width="75.7109375" style="33" customWidth="1"/>
    <col min="4126" max="4126" width="0" style="33" hidden="1" customWidth="1"/>
    <col min="4127" max="4145" width="20.7109375" style="33" customWidth="1"/>
    <col min="4146" max="4146" width="12.140625" style="33" customWidth="1"/>
    <col min="4147" max="4377" width="9.140625" style="33"/>
    <col min="4378" max="4379" width="0" style="33" hidden="1" customWidth="1"/>
    <col min="4380" max="4380" width="29.42578125" style="33" customWidth="1"/>
    <col min="4381" max="4381" width="75.7109375" style="33" customWidth="1"/>
    <col min="4382" max="4382" width="0" style="33" hidden="1" customWidth="1"/>
    <col min="4383" max="4401" width="20.7109375" style="33" customWidth="1"/>
    <col min="4402" max="4402" width="12.140625" style="33" customWidth="1"/>
    <col min="4403" max="4633" width="9.140625" style="33"/>
    <col min="4634" max="4635" width="0" style="33" hidden="1" customWidth="1"/>
    <col min="4636" max="4636" width="29.42578125" style="33" customWidth="1"/>
    <col min="4637" max="4637" width="75.7109375" style="33" customWidth="1"/>
    <col min="4638" max="4638" width="0" style="33" hidden="1" customWidth="1"/>
    <col min="4639" max="4657" width="20.7109375" style="33" customWidth="1"/>
    <col min="4658" max="4658" width="12.140625" style="33" customWidth="1"/>
    <col min="4659" max="4889" width="9.140625" style="33"/>
    <col min="4890" max="4891" width="0" style="33" hidden="1" customWidth="1"/>
    <col min="4892" max="4892" width="29.42578125" style="33" customWidth="1"/>
    <col min="4893" max="4893" width="75.7109375" style="33" customWidth="1"/>
    <col min="4894" max="4894" width="0" style="33" hidden="1" customWidth="1"/>
    <col min="4895" max="4913" width="20.7109375" style="33" customWidth="1"/>
    <col min="4914" max="4914" width="12.140625" style="33" customWidth="1"/>
    <col min="4915" max="5145" width="9.140625" style="33"/>
    <col min="5146" max="5147" width="0" style="33" hidden="1" customWidth="1"/>
    <col min="5148" max="5148" width="29.42578125" style="33" customWidth="1"/>
    <col min="5149" max="5149" width="75.7109375" style="33" customWidth="1"/>
    <col min="5150" max="5150" width="0" style="33" hidden="1" customWidth="1"/>
    <col min="5151" max="5169" width="20.7109375" style="33" customWidth="1"/>
    <col min="5170" max="5170" width="12.140625" style="33" customWidth="1"/>
    <col min="5171" max="5401" width="9.140625" style="33"/>
    <col min="5402" max="5403" width="0" style="33" hidden="1" customWidth="1"/>
    <col min="5404" max="5404" width="29.42578125" style="33" customWidth="1"/>
    <col min="5405" max="5405" width="75.7109375" style="33" customWidth="1"/>
    <col min="5406" max="5406" width="0" style="33" hidden="1" customWidth="1"/>
    <col min="5407" max="5425" width="20.7109375" style="33" customWidth="1"/>
    <col min="5426" max="5426" width="12.140625" style="33" customWidth="1"/>
    <col min="5427" max="5657" width="9.140625" style="33"/>
    <col min="5658" max="5659" width="0" style="33" hidden="1" customWidth="1"/>
    <col min="5660" max="5660" width="29.42578125" style="33" customWidth="1"/>
    <col min="5661" max="5661" width="75.7109375" style="33" customWidth="1"/>
    <col min="5662" max="5662" width="0" style="33" hidden="1" customWidth="1"/>
    <col min="5663" max="5681" width="20.7109375" style="33" customWidth="1"/>
    <col min="5682" max="5682" width="12.140625" style="33" customWidth="1"/>
    <col min="5683" max="5913" width="9.140625" style="33"/>
    <col min="5914" max="5915" width="0" style="33" hidden="1" customWidth="1"/>
    <col min="5916" max="5916" width="29.42578125" style="33" customWidth="1"/>
    <col min="5917" max="5917" width="75.7109375" style="33" customWidth="1"/>
    <col min="5918" max="5918" width="0" style="33" hidden="1" customWidth="1"/>
    <col min="5919" max="5937" width="20.7109375" style="33" customWidth="1"/>
    <col min="5938" max="5938" width="12.140625" style="33" customWidth="1"/>
    <col min="5939" max="6169" width="9.140625" style="33"/>
    <col min="6170" max="6171" width="0" style="33" hidden="1" customWidth="1"/>
    <col min="6172" max="6172" width="29.42578125" style="33" customWidth="1"/>
    <col min="6173" max="6173" width="75.7109375" style="33" customWidth="1"/>
    <col min="6174" max="6174" width="0" style="33" hidden="1" customWidth="1"/>
    <col min="6175" max="6193" width="20.7109375" style="33" customWidth="1"/>
    <col min="6194" max="6194" width="12.140625" style="33" customWidth="1"/>
    <col min="6195" max="6425" width="9.140625" style="33"/>
    <col min="6426" max="6427" width="0" style="33" hidden="1" customWidth="1"/>
    <col min="6428" max="6428" width="29.42578125" style="33" customWidth="1"/>
    <col min="6429" max="6429" width="75.7109375" style="33" customWidth="1"/>
    <col min="6430" max="6430" width="0" style="33" hidden="1" customWidth="1"/>
    <col min="6431" max="6449" width="20.7109375" style="33" customWidth="1"/>
    <col min="6450" max="6450" width="12.140625" style="33" customWidth="1"/>
    <col min="6451" max="6681" width="9.140625" style="33"/>
    <col min="6682" max="6683" width="0" style="33" hidden="1" customWidth="1"/>
    <col min="6684" max="6684" width="29.42578125" style="33" customWidth="1"/>
    <col min="6685" max="6685" width="75.7109375" style="33" customWidth="1"/>
    <col min="6686" max="6686" width="0" style="33" hidden="1" customWidth="1"/>
    <col min="6687" max="6705" width="20.7109375" style="33" customWidth="1"/>
    <col min="6706" max="6706" width="12.140625" style="33" customWidth="1"/>
    <col min="6707" max="6937" width="9.140625" style="33"/>
    <col min="6938" max="6939" width="0" style="33" hidden="1" customWidth="1"/>
    <col min="6940" max="6940" width="29.42578125" style="33" customWidth="1"/>
    <col min="6941" max="6941" width="75.7109375" style="33" customWidth="1"/>
    <col min="6942" max="6942" width="0" style="33" hidden="1" customWidth="1"/>
    <col min="6943" max="6961" width="20.7109375" style="33" customWidth="1"/>
    <col min="6962" max="6962" width="12.140625" style="33" customWidth="1"/>
    <col min="6963" max="7193" width="9.140625" style="33"/>
    <col min="7194" max="7195" width="0" style="33" hidden="1" customWidth="1"/>
    <col min="7196" max="7196" width="29.42578125" style="33" customWidth="1"/>
    <col min="7197" max="7197" width="75.7109375" style="33" customWidth="1"/>
    <col min="7198" max="7198" width="0" style="33" hidden="1" customWidth="1"/>
    <col min="7199" max="7217" width="20.7109375" style="33" customWidth="1"/>
    <col min="7218" max="7218" width="12.140625" style="33" customWidth="1"/>
    <col min="7219" max="7449" width="9.140625" style="33"/>
    <col min="7450" max="7451" width="0" style="33" hidden="1" customWidth="1"/>
    <col min="7452" max="7452" width="29.42578125" style="33" customWidth="1"/>
    <col min="7453" max="7453" width="75.7109375" style="33" customWidth="1"/>
    <col min="7454" max="7454" width="0" style="33" hidden="1" customWidth="1"/>
    <col min="7455" max="7473" width="20.7109375" style="33" customWidth="1"/>
    <col min="7474" max="7474" width="12.140625" style="33" customWidth="1"/>
    <col min="7475" max="7705" width="9.140625" style="33"/>
    <col min="7706" max="7707" width="0" style="33" hidden="1" customWidth="1"/>
    <col min="7708" max="7708" width="29.42578125" style="33" customWidth="1"/>
    <col min="7709" max="7709" width="75.7109375" style="33" customWidth="1"/>
    <col min="7710" max="7710" width="0" style="33" hidden="1" customWidth="1"/>
    <col min="7711" max="7729" width="20.7109375" style="33" customWidth="1"/>
    <col min="7730" max="7730" width="12.140625" style="33" customWidth="1"/>
    <col min="7731" max="7961" width="9.140625" style="33"/>
    <col min="7962" max="7963" width="0" style="33" hidden="1" customWidth="1"/>
    <col min="7964" max="7964" width="29.42578125" style="33" customWidth="1"/>
    <col min="7965" max="7965" width="75.7109375" style="33" customWidth="1"/>
    <col min="7966" max="7966" width="0" style="33" hidden="1" customWidth="1"/>
    <col min="7967" max="7985" width="20.7109375" style="33" customWidth="1"/>
    <col min="7986" max="7986" width="12.140625" style="33" customWidth="1"/>
    <col min="7987" max="8217" width="9.140625" style="33"/>
    <col min="8218" max="8219" width="0" style="33" hidden="1" customWidth="1"/>
    <col min="8220" max="8220" width="29.42578125" style="33" customWidth="1"/>
    <col min="8221" max="8221" width="75.7109375" style="33" customWidth="1"/>
    <col min="8222" max="8222" width="0" style="33" hidden="1" customWidth="1"/>
    <col min="8223" max="8241" width="20.7109375" style="33" customWidth="1"/>
    <col min="8242" max="8242" width="12.140625" style="33" customWidth="1"/>
    <col min="8243" max="8473" width="9.140625" style="33"/>
    <col min="8474" max="8475" width="0" style="33" hidden="1" customWidth="1"/>
    <col min="8476" max="8476" width="29.42578125" style="33" customWidth="1"/>
    <col min="8477" max="8477" width="75.7109375" style="33" customWidth="1"/>
    <col min="8478" max="8478" width="0" style="33" hidden="1" customWidth="1"/>
    <col min="8479" max="8497" width="20.7109375" style="33" customWidth="1"/>
    <col min="8498" max="8498" width="12.140625" style="33" customWidth="1"/>
    <col min="8499" max="8729" width="9.140625" style="33"/>
    <col min="8730" max="8731" width="0" style="33" hidden="1" customWidth="1"/>
    <col min="8732" max="8732" width="29.42578125" style="33" customWidth="1"/>
    <col min="8733" max="8733" width="75.7109375" style="33" customWidth="1"/>
    <col min="8734" max="8734" width="0" style="33" hidden="1" customWidth="1"/>
    <col min="8735" max="8753" width="20.7109375" style="33" customWidth="1"/>
    <col min="8754" max="8754" width="12.140625" style="33" customWidth="1"/>
    <col min="8755" max="8985" width="9.140625" style="33"/>
    <col min="8986" max="8987" width="0" style="33" hidden="1" customWidth="1"/>
    <col min="8988" max="8988" width="29.42578125" style="33" customWidth="1"/>
    <col min="8989" max="8989" width="75.7109375" style="33" customWidth="1"/>
    <col min="8990" max="8990" width="0" style="33" hidden="1" customWidth="1"/>
    <col min="8991" max="9009" width="20.7109375" style="33" customWidth="1"/>
    <col min="9010" max="9010" width="12.140625" style="33" customWidth="1"/>
    <col min="9011" max="9241" width="9.140625" style="33"/>
    <col min="9242" max="9243" width="0" style="33" hidden="1" customWidth="1"/>
    <col min="9244" max="9244" width="29.42578125" style="33" customWidth="1"/>
    <col min="9245" max="9245" width="75.7109375" style="33" customWidth="1"/>
    <col min="9246" max="9246" width="0" style="33" hidden="1" customWidth="1"/>
    <col min="9247" max="9265" width="20.7109375" style="33" customWidth="1"/>
    <col min="9266" max="9266" width="12.140625" style="33" customWidth="1"/>
    <col min="9267" max="9497" width="9.140625" style="33"/>
    <col min="9498" max="9499" width="0" style="33" hidden="1" customWidth="1"/>
    <col min="9500" max="9500" width="29.42578125" style="33" customWidth="1"/>
    <col min="9501" max="9501" width="75.7109375" style="33" customWidth="1"/>
    <col min="9502" max="9502" width="0" style="33" hidden="1" customWidth="1"/>
    <col min="9503" max="9521" width="20.7109375" style="33" customWidth="1"/>
    <col min="9522" max="9522" width="12.140625" style="33" customWidth="1"/>
    <col min="9523" max="9753" width="9.140625" style="33"/>
    <col min="9754" max="9755" width="0" style="33" hidden="1" customWidth="1"/>
    <col min="9756" max="9756" width="29.42578125" style="33" customWidth="1"/>
    <col min="9757" max="9757" width="75.7109375" style="33" customWidth="1"/>
    <col min="9758" max="9758" width="0" style="33" hidden="1" customWidth="1"/>
    <col min="9759" max="9777" width="20.7109375" style="33" customWidth="1"/>
    <col min="9778" max="9778" width="12.140625" style="33" customWidth="1"/>
    <col min="9779" max="10009" width="9.140625" style="33"/>
    <col min="10010" max="10011" width="0" style="33" hidden="1" customWidth="1"/>
    <col min="10012" max="10012" width="29.42578125" style="33" customWidth="1"/>
    <col min="10013" max="10013" width="75.7109375" style="33" customWidth="1"/>
    <col min="10014" max="10014" width="0" style="33" hidden="1" customWidth="1"/>
    <col min="10015" max="10033" width="20.7109375" style="33" customWidth="1"/>
    <col min="10034" max="10034" width="12.140625" style="33" customWidth="1"/>
    <col min="10035" max="10265" width="9.140625" style="33"/>
    <col min="10266" max="10267" width="0" style="33" hidden="1" customWidth="1"/>
    <col min="10268" max="10268" width="29.42578125" style="33" customWidth="1"/>
    <col min="10269" max="10269" width="75.7109375" style="33" customWidth="1"/>
    <col min="10270" max="10270" width="0" style="33" hidden="1" customWidth="1"/>
    <col min="10271" max="10289" width="20.7109375" style="33" customWidth="1"/>
    <col min="10290" max="10290" width="12.140625" style="33" customWidth="1"/>
    <col min="10291" max="10521" width="9.140625" style="33"/>
    <col min="10522" max="10523" width="0" style="33" hidden="1" customWidth="1"/>
    <col min="10524" max="10524" width="29.42578125" style="33" customWidth="1"/>
    <col min="10525" max="10525" width="75.7109375" style="33" customWidth="1"/>
    <col min="10526" max="10526" width="0" style="33" hidden="1" customWidth="1"/>
    <col min="10527" max="10545" width="20.7109375" style="33" customWidth="1"/>
    <col min="10546" max="10546" width="12.140625" style="33" customWidth="1"/>
    <col min="10547" max="10777" width="9.140625" style="33"/>
    <col min="10778" max="10779" width="0" style="33" hidden="1" customWidth="1"/>
    <col min="10780" max="10780" width="29.42578125" style="33" customWidth="1"/>
    <col min="10781" max="10781" width="75.7109375" style="33" customWidth="1"/>
    <col min="10782" max="10782" width="0" style="33" hidden="1" customWidth="1"/>
    <col min="10783" max="10801" width="20.7109375" style="33" customWidth="1"/>
    <col min="10802" max="10802" width="12.140625" style="33" customWidth="1"/>
    <col min="10803" max="11033" width="9.140625" style="33"/>
    <col min="11034" max="11035" width="0" style="33" hidden="1" customWidth="1"/>
    <col min="11036" max="11036" width="29.42578125" style="33" customWidth="1"/>
    <col min="11037" max="11037" width="75.7109375" style="33" customWidth="1"/>
    <col min="11038" max="11038" width="0" style="33" hidden="1" customWidth="1"/>
    <col min="11039" max="11057" width="20.7109375" style="33" customWidth="1"/>
    <col min="11058" max="11058" width="12.140625" style="33" customWidth="1"/>
    <col min="11059" max="11289" width="9.140625" style="33"/>
    <col min="11290" max="11291" width="0" style="33" hidden="1" customWidth="1"/>
    <col min="11292" max="11292" width="29.42578125" style="33" customWidth="1"/>
    <col min="11293" max="11293" width="75.7109375" style="33" customWidth="1"/>
    <col min="11294" max="11294" width="0" style="33" hidden="1" customWidth="1"/>
    <col min="11295" max="11313" width="20.7109375" style="33" customWidth="1"/>
    <col min="11314" max="11314" width="12.140625" style="33" customWidth="1"/>
    <col min="11315" max="11545" width="9.140625" style="33"/>
    <col min="11546" max="11547" width="0" style="33" hidden="1" customWidth="1"/>
    <col min="11548" max="11548" width="29.42578125" style="33" customWidth="1"/>
    <col min="11549" max="11549" width="75.7109375" style="33" customWidth="1"/>
    <col min="11550" max="11550" width="0" style="33" hidden="1" customWidth="1"/>
    <col min="11551" max="11569" width="20.7109375" style="33" customWidth="1"/>
    <col min="11570" max="11570" width="12.140625" style="33" customWidth="1"/>
    <col min="11571" max="11801" width="9.140625" style="33"/>
    <col min="11802" max="11803" width="0" style="33" hidden="1" customWidth="1"/>
    <col min="11804" max="11804" width="29.42578125" style="33" customWidth="1"/>
    <col min="11805" max="11805" width="75.7109375" style="33" customWidth="1"/>
    <col min="11806" max="11806" width="0" style="33" hidden="1" customWidth="1"/>
    <col min="11807" max="11825" width="20.7109375" style="33" customWidth="1"/>
    <col min="11826" max="11826" width="12.140625" style="33" customWidth="1"/>
    <col min="11827" max="12057" width="9.140625" style="33"/>
    <col min="12058" max="12059" width="0" style="33" hidden="1" customWidth="1"/>
    <col min="12060" max="12060" width="29.42578125" style="33" customWidth="1"/>
    <col min="12061" max="12061" width="75.7109375" style="33" customWidth="1"/>
    <col min="12062" max="12062" width="0" style="33" hidden="1" customWidth="1"/>
    <col min="12063" max="12081" width="20.7109375" style="33" customWidth="1"/>
    <col min="12082" max="12082" width="12.140625" style="33" customWidth="1"/>
    <col min="12083" max="12313" width="9.140625" style="33"/>
    <col min="12314" max="12315" width="0" style="33" hidden="1" customWidth="1"/>
    <col min="12316" max="12316" width="29.42578125" style="33" customWidth="1"/>
    <col min="12317" max="12317" width="75.7109375" style="33" customWidth="1"/>
    <col min="12318" max="12318" width="0" style="33" hidden="1" customWidth="1"/>
    <col min="12319" max="12337" width="20.7109375" style="33" customWidth="1"/>
    <col min="12338" max="12338" width="12.140625" style="33" customWidth="1"/>
    <col min="12339" max="12569" width="9.140625" style="33"/>
    <col min="12570" max="12571" width="0" style="33" hidden="1" customWidth="1"/>
    <col min="12572" max="12572" width="29.42578125" style="33" customWidth="1"/>
    <col min="12573" max="12573" width="75.7109375" style="33" customWidth="1"/>
    <col min="12574" max="12574" width="0" style="33" hidden="1" customWidth="1"/>
    <col min="12575" max="12593" width="20.7109375" style="33" customWidth="1"/>
    <col min="12594" max="12594" width="12.140625" style="33" customWidth="1"/>
    <col min="12595" max="12825" width="9.140625" style="33"/>
    <col min="12826" max="12827" width="0" style="33" hidden="1" customWidth="1"/>
    <col min="12828" max="12828" width="29.42578125" style="33" customWidth="1"/>
    <col min="12829" max="12829" width="75.7109375" style="33" customWidth="1"/>
    <col min="12830" max="12830" width="0" style="33" hidden="1" customWidth="1"/>
    <col min="12831" max="12849" width="20.7109375" style="33" customWidth="1"/>
    <col min="12850" max="12850" width="12.140625" style="33" customWidth="1"/>
    <col min="12851" max="13081" width="9.140625" style="33"/>
    <col min="13082" max="13083" width="0" style="33" hidden="1" customWidth="1"/>
    <col min="13084" max="13084" width="29.42578125" style="33" customWidth="1"/>
    <col min="13085" max="13085" width="75.7109375" style="33" customWidth="1"/>
    <col min="13086" max="13086" width="0" style="33" hidden="1" customWidth="1"/>
    <col min="13087" max="13105" width="20.7109375" style="33" customWidth="1"/>
    <col min="13106" max="13106" width="12.140625" style="33" customWidth="1"/>
    <col min="13107" max="13337" width="9.140625" style="33"/>
    <col min="13338" max="13339" width="0" style="33" hidden="1" customWidth="1"/>
    <col min="13340" max="13340" width="29.42578125" style="33" customWidth="1"/>
    <col min="13341" max="13341" width="75.7109375" style="33" customWidth="1"/>
    <col min="13342" max="13342" width="0" style="33" hidden="1" customWidth="1"/>
    <col min="13343" max="13361" width="20.7109375" style="33" customWidth="1"/>
    <col min="13362" max="13362" width="12.140625" style="33" customWidth="1"/>
    <col min="13363" max="13593" width="9.140625" style="33"/>
    <col min="13594" max="13595" width="0" style="33" hidden="1" customWidth="1"/>
    <col min="13596" max="13596" width="29.42578125" style="33" customWidth="1"/>
    <col min="13597" max="13597" width="75.7109375" style="33" customWidth="1"/>
    <col min="13598" max="13598" width="0" style="33" hidden="1" customWidth="1"/>
    <col min="13599" max="13617" width="20.7109375" style="33" customWidth="1"/>
    <col min="13618" max="13618" width="12.140625" style="33" customWidth="1"/>
    <col min="13619" max="13849" width="9.140625" style="33"/>
    <col min="13850" max="13851" width="0" style="33" hidden="1" customWidth="1"/>
    <col min="13852" max="13852" width="29.42578125" style="33" customWidth="1"/>
    <col min="13853" max="13853" width="75.7109375" style="33" customWidth="1"/>
    <col min="13854" max="13854" width="0" style="33" hidden="1" customWidth="1"/>
    <col min="13855" max="13873" width="20.7109375" style="33" customWidth="1"/>
    <col min="13874" max="13874" width="12.140625" style="33" customWidth="1"/>
    <col min="13875" max="14105" width="9.140625" style="33"/>
    <col min="14106" max="14107" width="0" style="33" hidden="1" customWidth="1"/>
    <col min="14108" max="14108" width="29.42578125" style="33" customWidth="1"/>
    <col min="14109" max="14109" width="75.7109375" style="33" customWidth="1"/>
    <col min="14110" max="14110" width="0" style="33" hidden="1" customWidth="1"/>
    <col min="14111" max="14129" width="20.7109375" style="33" customWidth="1"/>
    <col min="14130" max="14130" width="12.140625" style="33" customWidth="1"/>
    <col min="14131" max="14361" width="9.140625" style="33"/>
    <col min="14362" max="14363" width="0" style="33" hidden="1" customWidth="1"/>
    <col min="14364" max="14364" width="29.42578125" style="33" customWidth="1"/>
    <col min="14365" max="14365" width="75.7109375" style="33" customWidth="1"/>
    <col min="14366" max="14366" width="0" style="33" hidden="1" customWidth="1"/>
    <col min="14367" max="14385" width="20.7109375" style="33" customWidth="1"/>
    <col min="14386" max="14386" width="12.140625" style="33" customWidth="1"/>
    <col min="14387" max="14617" width="9.140625" style="33"/>
    <col min="14618" max="14619" width="0" style="33" hidden="1" customWidth="1"/>
    <col min="14620" max="14620" width="29.42578125" style="33" customWidth="1"/>
    <col min="14621" max="14621" width="75.7109375" style="33" customWidth="1"/>
    <col min="14622" max="14622" width="0" style="33" hidden="1" customWidth="1"/>
    <col min="14623" max="14641" width="20.7109375" style="33" customWidth="1"/>
    <col min="14642" max="14642" width="12.140625" style="33" customWidth="1"/>
    <col min="14643" max="14873" width="9.140625" style="33"/>
    <col min="14874" max="14875" width="0" style="33" hidden="1" customWidth="1"/>
    <col min="14876" max="14876" width="29.42578125" style="33" customWidth="1"/>
    <col min="14877" max="14877" width="75.7109375" style="33" customWidth="1"/>
    <col min="14878" max="14878" width="0" style="33" hidden="1" customWidth="1"/>
    <col min="14879" max="14897" width="20.7109375" style="33" customWidth="1"/>
    <col min="14898" max="14898" width="12.140625" style="33" customWidth="1"/>
    <col min="14899" max="15129" width="9.140625" style="33"/>
    <col min="15130" max="15131" width="0" style="33" hidden="1" customWidth="1"/>
    <col min="15132" max="15132" width="29.42578125" style="33" customWidth="1"/>
    <col min="15133" max="15133" width="75.7109375" style="33" customWidth="1"/>
    <col min="15134" max="15134" width="0" style="33" hidden="1" customWidth="1"/>
    <col min="15135" max="15153" width="20.7109375" style="33" customWidth="1"/>
    <col min="15154" max="15154" width="12.140625" style="33" customWidth="1"/>
    <col min="15155" max="15385" width="9.140625" style="33"/>
    <col min="15386" max="15387" width="0" style="33" hidden="1" customWidth="1"/>
    <col min="15388" max="15388" width="29.42578125" style="33" customWidth="1"/>
    <col min="15389" max="15389" width="75.7109375" style="33" customWidth="1"/>
    <col min="15390" max="15390" width="0" style="33" hidden="1" customWidth="1"/>
    <col min="15391" max="15409" width="20.7109375" style="33" customWidth="1"/>
    <col min="15410" max="15410" width="12.140625" style="33" customWidth="1"/>
    <col min="15411" max="15641" width="9.140625" style="33"/>
    <col min="15642" max="15643" width="0" style="33" hidden="1" customWidth="1"/>
    <col min="15644" max="15644" width="29.42578125" style="33" customWidth="1"/>
    <col min="15645" max="15645" width="75.7109375" style="33" customWidth="1"/>
    <col min="15646" max="15646" width="0" style="33" hidden="1" customWidth="1"/>
    <col min="15647" max="15665" width="20.7109375" style="33" customWidth="1"/>
    <col min="15666" max="15666" width="12.140625" style="33" customWidth="1"/>
    <col min="15667" max="15897" width="9.140625" style="33"/>
    <col min="15898" max="15899" width="0" style="33" hidden="1" customWidth="1"/>
    <col min="15900" max="15900" width="29.42578125" style="33" customWidth="1"/>
    <col min="15901" max="15901" width="75.7109375" style="33" customWidth="1"/>
    <col min="15902" max="15902" width="0" style="33" hidden="1" customWidth="1"/>
    <col min="15903" max="15921" width="20.7109375" style="33" customWidth="1"/>
    <col min="15922" max="15922" width="12.140625" style="33" customWidth="1"/>
    <col min="15923" max="16153" width="9.140625" style="33"/>
    <col min="16154" max="16155" width="0" style="33" hidden="1" customWidth="1"/>
    <col min="16156" max="16156" width="29.42578125" style="33" customWidth="1"/>
    <col min="16157" max="16157" width="75.7109375" style="33" customWidth="1"/>
    <col min="16158" max="16158" width="0" style="33" hidden="1" customWidth="1"/>
    <col min="16159" max="16177" width="20.7109375" style="33" customWidth="1"/>
    <col min="16178" max="16178" width="12.140625" style="33" customWidth="1"/>
    <col min="16179" max="16384" width="9.140625" style="33"/>
  </cols>
  <sheetData>
    <row r="1" spans="1:50" s="1" customFormat="1" x14ac:dyDescent="0.2">
      <c r="AA1" s="2"/>
      <c r="AB1" s="3"/>
    </row>
    <row r="2" spans="1:50" s="4" customFormat="1" ht="20.25" x14ac:dyDescent="0.3">
      <c r="A2" s="339" t="s">
        <v>0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</row>
    <row r="3" spans="1:50" s="4" customFormat="1" ht="20.25" x14ac:dyDescent="0.3">
      <c r="A3" s="339" t="s">
        <v>1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</row>
    <row r="4" spans="1:50" s="4" customFormat="1" ht="20.25" x14ac:dyDescent="0.3">
      <c r="A4" s="339" t="s">
        <v>915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</row>
    <row r="5" spans="1:50" s="4" customFormat="1" ht="20.25" x14ac:dyDescent="0.3">
      <c r="A5" s="339" t="s">
        <v>983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 s="339"/>
      <c r="AU5" s="339"/>
      <c r="AV5" s="339"/>
      <c r="AW5" s="339"/>
    </row>
    <row r="6" spans="1:50" s="4" customFormat="1" ht="16.5" customHeight="1" x14ac:dyDescent="0.3">
      <c r="A6" s="181"/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6"/>
      <c r="AB6" s="7"/>
      <c r="AC6" s="181"/>
      <c r="AD6" s="8"/>
      <c r="AE6" s="8"/>
      <c r="AF6" s="181"/>
      <c r="AG6" s="181"/>
      <c r="AH6" s="181"/>
      <c r="AI6" s="181"/>
      <c r="AJ6" s="8"/>
      <c r="AK6" s="184"/>
      <c r="AL6" s="8"/>
      <c r="AM6" s="8"/>
      <c r="AN6" s="8"/>
      <c r="AP6" s="8"/>
      <c r="AQ6" s="8"/>
      <c r="AR6" s="8"/>
      <c r="AS6" s="8"/>
      <c r="AT6" s="8"/>
      <c r="AU6" s="8"/>
      <c r="AV6" s="8"/>
      <c r="AW6" s="181"/>
    </row>
    <row r="7" spans="1:50" s="4" customFormat="1" ht="16.5" customHeight="1" x14ac:dyDescent="0.2">
      <c r="A7" s="340" t="s">
        <v>3</v>
      </c>
      <c r="B7" s="341" t="s">
        <v>4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342" t="s">
        <v>5</v>
      </c>
      <c r="AB7" s="337" t="s">
        <v>6</v>
      </c>
      <c r="AC7" s="337" t="s">
        <v>7</v>
      </c>
      <c r="AD7" s="342" t="s">
        <v>8</v>
      </c>
      <c r="AE7" s="342" t="s">
        <v>9</v>
      </c>
      <c r="AF7" s="337" t="s">
        <v>10</v>
      </c>
      <c r="AG7" s="337" t="s">
        <v>11</v>
      </c>
      <c r="AH7" s="337" t="s">
        <v>12</v>
      </c>
      <c r="AI7" s="337" t="s">
        <v>13</v>
      </c>
      <c r="AJ7" s="337" t="s">
        <v>14</v>
      </c>
      <c r="AK7" s="338" t="s">
        <v>15</v>
      </c>
      <c r="AL7" s="338"/>
      <c r="AM7" s="338"/>
      <c r="AN7" s="338" t="s">
        <v>16</v>
      </c>
      <c r="AO7" s="338"/>
      <c r="AP7" s="338"/>
      <c r="AQ7" s="338" t="s">
        <v>17</v>
      </c>
      <c r="AR7" s="338"/>
      <c r="AS7" s="338"/>
      <c r="AT7" s="183"/>
      <c r="AU7" s="337" t="s">
        <v>18</v>
      </c>
      <c r="AV7" s="337" t="s">
        <v>19</v>
      </c>
      <c r="AW7" s="337" t="s">
        <v>20</v>
      </c>
      <c r="AX7" s="337" t="s">
        <v>21</v>
      </c>
    </row>
    <row r="8" spans="1:50" s="4" customFormat="1" ht="30" customHeight="1" x14ac:dyDescent="0.2">
      <c r="A8" s="340"/>
      <c r="B8" s="341"/>
      <c r="C8" s="182" t="s">
        <v>949</v>
      </c>
      <c r="D8" s="182" t="s">
        <v>950</v>
      </c>
      <c r="E8" s="182" t="s">
        <v>951</v>
      </c>
      <c r="F8" s="182" t="s">
        <v>952</v>
      </c>
      <c r="G8" s="182" t="s">
        <v>919</v>
      </c>
      <c r="H8" s="182" t="s">
        <v>920</v>
      </c>
      <c r="I8" s="182" t="s">
        <v>929</v>
      </c>
      <c r="J8" s="182" t="s">
        <v>930</v>
      </c>
      <c r="K8" s="182" t="s">
        <v>921</v>
      </c>
      <c r="L8" s="182" t="s">
        <v>922</v>
      </c>
      <c r="M8" s="182" t="s">
        <v>923</v>
      </c>
      <c r="N8" s="182" t="s">
        <v>924</v>
      </c>
      <c r="O8" s="182" t="s">
        <v>925</v>
      </c>
      <c r="P8" s="182" t="s">
        <v>926</v>
      </c>
      <c r="Q8" s="182" t="s">
        <v>927</v>
      </c>
      <c r="R8" s="182" t="s">
        <v>928</v>
      </c>
      <c r="S8" s="182" t="s">
        <v>953</v>
      </c>
      <c r="T8" s="182" t="s">
        <v>954</v>
      </c>
      <c r="U8" s="182" t="s">
        <v>955</v>
      </c>
      <c r="V8" s="182" t="s">
        <v>956</v>
      </c>
      <c r="W8" s="182" t="s">
        <v>957</v>
      </c>
      <c r="X8" s="182" t="s">
        <v>931</v>
      </c>
      <c r="Y8" s="182"/>
      <c r="Z8" s="182"/>
      <c r="AA8" s="342"/>
      <c r="AB8" s="337"/>
      <c r="AC8" s="337"/>
      <c r="AD8" s="342"/>
      <c r="AE8" s="342"/>
      <c r="AF8" s="337"/>
      <c r="AG8" s="337"/>
      <c r="AH8" s="337"/>
      <c r="AI8" s="337"/>
      <c r="AJ8" s="337"/>
      <c r="AK8" s="180" t="s">
        <v>22</v>
      </c>
      <c r="AL8" s="180" t="s">
        <v>23</v>
      </c>
      <c r="AM8" s="180" t="s">
        <v>24</v>
      </c>
      <c r="AN8" s="180" t="s">
        <v>25</v>
      </c>
      <c r="AO8" s="180" t="s">
        <v>26</v>
      </c>
      <c r="AP8" s="180" t="s">
        <v>27</v>
      </c>
      <c r="AQ8" s="180" t="s">
        <v>28</v>
      </c>
      <c r="AR8" s="180" t="s">
        <v>29</v>
      </c>
      <c r="AS8" s="180" t="s">
        <v>30</v>
      </c>
      <c r="AT8" s="180" t="s">
        <v>31</v>
      </c>
      <c r="AU8" s="337"/>
      <c r="AV8" s="337"/>
      <c r="AW8" s="337"/>
      <c r="AX8" s="337"/>
    </row>
    <row r="9" spans="1:50" s="4" customFormat="1" ht="18" customHeight="1" x14ac:dyDescent="0.2">
      <c r="A9" s="340"/>
      <c r="B9" s="341"/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342"/>
      <c r="AB9" s="337"/>
      <c r="AC9" s="337"/>
      <c r="AD9" s="183">
        <v>1</v>
      </c>
      <c r="AE9" s="11"/>
      <c r="AF9" s="12"/>
      <c r="AG9" s="12"/>
      <c r="AH9" s="12"/>
      <c r="AI9" s="180">
        <v>2</v>
      </c>
      <c r="AJ9" s="183" t="s">
        <v>32</v>
      </c>
      <c r="AK9" s="183"/>
      <c r="AL9" s="183"/>
      <c r="AM9" s="183">
        <v>5</v>
      </c>
      <c r="AN9" s="183"/>
      <c r="AO9" s="183"/>
      <c r="AP9" s="183">
        <v>7</v>
      </c>
      <c r="AQ9" s="183"/>
      <c r="AR9" s="183"/>
      <c r="AS9" s="183">
        <v>9</v>
      </c>
      <c r="AT9" s="183"/>
      <c r="AU9" s="183" t="s">
        <v>33</v>
      </c>
      <c r="AV9" s="183" t="s">
        <v>34</v>
      </c>
      <c r="AW9" s="183" t="s">
        <v>35</v>
      </c>
      <c r="AX9" s="13" t="s">
        <v>36</v>
      </c>
    </row>
    <row r="10" spans="1:50" s="14" customForma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6"/>
      <c r="AB10" s="17"/>
      <c r="AC10" s="17"/>
      <c r="AD10" s="18"/>
      <c r="AE10" s="18"/>
      <c r="AF10" s="17"/>
      <c r="AG10" s="18">
        <f>AH11-AG11</f>
        <v>0</v>
      </c>
      <c r="AH10" s="18"/>
      <c r="AI10" s="17"/>
      <c r="AJ10" s="18"/>
      <c r="AK10" s="18"/>
      <c r="AL10" s="17"/>
      <c r="AM10" s="18"/>
      <c r="AN10" s="18"/>
      <c r="AO10" s="17"/>
      <c r="AP10" s="18"/>
      <c r="AQ10" s="18"/>
      <c r="AR10" s="17"/>
      <c r="AS10" s="18"/>
      <c r="AT10" s="18"/>
      <c r="AU10" s="18"/>
      <c r="AV10" s="17"/>
      <c r="AW10" s="18"/>
      <c r="AX10" s="18"/>
    </row>
    <row r="11" spans="1:50" s="25" customFormat="1" ht="18.75" customHeight="1" x14ac:dyDescent="0.2">
      <c r="A11" s="19" t="s">
        <v>37</v>
      </c>
      <c r="B11" s="19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20">
        <v>2</v>
      </c>
      <c r="AB11" s="21" t="s">
        <v>38</v>
      </c>
      <c r="AC11" s="22" t="s">
        <v>37</v>
      </c>
      <c r="AD11" s="22">
        <f t="shared" ref="AD11:AS11" si="0">AD12+AD154+AD180</f>
        <v>1017611726826</v>
      </c>
      <c r="AE11" s="22">
        <f t="shared" si="0"/>
        <v>30988412763</v>
      </c>
      <c r="AF11" s="23">
        <f t="shared" si="0"/>
        <v>0</v>
      </c>
      <c r="AG11" s="22">
        <f t="shared" si="0"/>
        <v>83330351444.550018</v>
      </c>
      <c r="AH11" s="22">
        <f t="shared" si="0"/>
        <v>83330351444.550018</v>
      </c>
      <c r="AI11" s="22">
        <f t="shared" si="0"/>
        <v>30988412763</v>
      </c>
      <c r="AJ11" s="22">
        <f t="shared" si="0"/>
        <v>1048600139589</v>
      </c>
      <c r="AK11" s="22">
        <f t="shared" si="0"/>
        <v>7671600</v>
      </c>
      <c r="AL11" s="22">
        <f t="shared" si="0"/>
        <v>69869199042.020004</v>
      </c>
      <c r="AM11" s="22">
        <f t="shared" si="0"/>
        <v>567141484803.77002</v>
      </c>
      <c r="AN11" s="22">
        <f t="shared" si="0"/>
        <v>108100000</v>
      </c>
      <c r="AO11" s="22">
        <f t="shared" si="0"/>
        <v>98815199035.800018</v>
      </c>
      <c r="AP11" s="22">
        <f t="shared" si="0"/>
        <v>352180189309.53003</v>
      </c>
      <c r="AQ11" s="22">
        <f t="shared" si="0"/>
        <v>7357000872.5500002</v>
      </c>
      <c r="AR11" s="22">
        <f t="shared" si="0"/>
        <v>104135501742.48001</v>
      </c>
      <c r="AS11" s="22">
        <f t="shared" si="0"/>
        <v>242239534336.76001</v>
      </c>
      <c r="AT11" s="22">
        <f>AQ11+AS11</f>
        <v>249596535209.31</v>
      </c>
      <c r="AU11" s="22">
        <f>AU12+AU154+AU180</f>
        <v>481458654785.22998</v>
      </c>
      <c r="AV11" s="22">
        <f>AV12+AV154+AV180</f>
        <v>214961295494.23996</v>
      </c>
      <c r="AW11" s="22">
        <f>AW12+AW154+AW180</f>
        <v>102583654100.22</v>
      </c>
      <c r="AX11" s="24">
        <f>AP11/AJ11</f>
        <v>0.3358574694140013</v>
      </c>
    </row>
    <row r="12" spans="1:50" s="25" customFormat="1" ht="18.75" customHeight="1" x14ac:dyDescent="0.2">
      <c r="A12" s="19" t="s">
        <v>37</v>
      </c>
      <c r="B12" s="19" t="s">
        <v>37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26" t="s">
        <v>39</v>
      </c>
      <c r="AB12" s="21" t="s">
        <v>40</v>
      </c>
      <c r="AC12" s="22" t="s">
        <v>37</v>
      </c>
      <c r="AD12" s="22">
        <f t="shared" ref="AD12:AS12" si="1">AD13+AD86+AD99+AD140</f>
        <v>180471642183</v>
      </c>
      <c r="AE12" s="23">
        <f t="shared" si="1"/>
        <v>0</v>
      </c>
      <c r="AF12" s="23">
        <f t="shared" si="1"/>
        <v>0</v>
      </c>
      <c r="AG12" s="22">
        <f t="shared" si="1"/>
        <v>3294200000</v>
      </c>
      <c r="AH12" s="22">
        <f t="shared" si="1"/>
        <v>3294200000</v>
      </c>
      <c r="AI12" s="23">
        <f>AI13+AI155+AI181</f>
        <v>0</v>
      </c>
      <c r="AJ12" s="22">
        <f t="shared" si="1"/>
        <v>180471642183</v>
      </c>
      <c r="AK12" s="22">
        <f t="shared" si="1"/>
        <v>7671600</v>
      </c>
      <c r="AL12" s="22">
        <f t="shared" si="1"/>
        <v>43523994938.930008</v>
      </c>
      <c r="AM12" s="22">
        <f t="shared" si="1"/>
        <v>83900625883.98999</v>
      </c>
      <c r="AN12" s="22">
        <f t="shared" si="1"/>
        <v>56600000</v>
      </c>
      <c r="AO12" s="22">
        <f t="shared" si="1"/>
        <v>49569632936.200005</v>
      </c>
      <c r="AP12" s="22">
        <f t="shared" si="1"/>
        <v>82905204873.559998</v>
      </c>
      <c r="AQ12" s="22">
        <f t="shared" si="1"/>
        <v>3001620511.8600001</v>
      </c>
      <c r="AR12" s="22">
        <f t="shared" si="1"/>
        <v>42185122863.270004</v>
      </c>
      <c r="AS12" s="22">
        <f t="shared" si="1"/>
        <v>63676199234.830002</v>
      </c>
      <c r="AT12" s="22">
        <f t="shared" ref="AT12:AT13" si="2">AQ12+AS12</f>
        <v>66677819746.690002</v>
      </c>
      <c r="AU12" s="22">
        <f>AU13+AU86+AU99+AU140</f>
        <v>96571016299.01001</v>
      </c>
      <c r="AV12" s="22">
        <f>AV13+AV86+AV99+AV140</f>
        <v>995421010.43000031</v>
      </c>
      <c r="AW12" s="22">
        <f>AW13+AW86+AW99+AW140</f>
        <v>16227385126.870001</v>
      </c>
      <c r="AX12" s="24">
        <f t="shared" ref="AX12:AX13" si="3">AP12/AJ12</f>
        <v>0.45938078620403594</v>
      </c>
    </row>
    <row r="13" spans="1:50" s="25" customFormat="1" ht="18.75" customHeight="1" x14ac:dyDescent="0.2">
      <c r="A13" s="19" t="s">
        <v>41</v>
      </c>
      <c r="B13" s="19" t="s">
        <v>42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26" t="s">
        <v>43</v>
      </c>
      <c r="AB13" s="21" t="s">
        <v>44</v>
      </c>
      <c r="AC13" s="22" t="s">
        <v>37</v>
      </c>
      <c r="AD13" s="22">
        <f>AD14</f>
        <v>38718257195.5</v>
      </c>
      <c r="AE13" s="23">
        <f t="shared" ref="AE13:AW13" si="4">AE14</f>
        <v>0</v>
      </c>
      <c r="AF13" s="23">
        <f t="shared" si="4"/>
        <v>0</v>
      </c>
      <c r="AG13" s="23">
        <f t="shared" si="4"/>
        <v>0</v>
      </c>
      <c r="AH13" s="23">
        <f t="shared" si="4"/>
        <v>0</v>
      </c>
      <c r="AI13" s="23">
        <f t="shared" si="4"/>
        <v>0</v>
      </c>
      <c r="AJ13" s="22">
        <f>AJ14</f>
        <v>38718257195.5</v>
      </c>
      <c r="AK13" s="22">
        <f t="shared" si="4"/>
        <v>7671600</v>
      </c>
      <c r="AL13" s="22">
        <f t="shared" si="4"/>
        <v>2327335373</v>
      </c>
      <c r="AM13" s="22">
        <f t="shared" si="4"/>
        <v>9849839276</v>
      </c>
      <c r="AN13" s="23">
        <f t="shared" si="4"/>
        <v>0</v>
      </c>
      <c r="AO13" s="22">
        <f t="shared" si="4"/>
        <v>2327489673</v>
      </c>
      <c r="AP13" s="22">
        <f t="shared" si="4"/>
        <v>9849839276</v>
      </c>
      <c r="AQ13" s="108">
        <f t="shared" si="4"/>
        <v>35586100</v>
      </c>
      <c r="AR13" s="22">
        <f t="shared" si="4"/>
        <v>2877558229</v>
      </c>
      <c r="AS13" s="22">
        <f t="shared" si="4"/>
        <v>9813343951</v>
      </c>
      <c r="AT13" s="22">
        <f t="shared" si="2"/>
        <v>9848930051</v>
      </c>
      <c r="AU13" s="22">
        <f t="shared" si="4"/>
        <v>28868417919.5</v>
      </c>
      <c r="AV13" s="23">
        <f t="shared" si="4"/>
        <v>0</v>
      </c>
      <c r="AW13" s="22">
        <f t="shared" si="4"/>
        <v>909225</v>
      </c>
      <c r="AX13" s="24">
        <f t="shared" si="3"/>
        <v>0.25439779549645614</v>
      </c>
    </row>
    <row r="14" spans="1:50" ht="18.75" customHeight="1" x14ac:dyDescent="0.2">
      <c r="A14" s="27" t="s">
        <v>41</v>
      </c>
      <c r="B14" s="27" t="s">
        <v>42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8" t="s">
        <v>45</v>
      </c>
      <c r="AB14" s="29" t="s">
        <v>46</v>
      </c>
      <c r="AC14" s="30" t="s">
        <v>37</v>
      </c>
      <c r="AD14" s="30">
        <f>AD15+AD42+AD70</f>
        <v>38718257195.5</v>
      </c>
      <c r="AE14" s="31">
        <f t="shared" ref="AE14:AW14" si="5">AE15+AE42+AE70</f>
        <v>0</v>
      </c>
      <c r="AF14" s="31">
        <f t="shared" si="5"/>
        <v>0</v>
      </c>
      <c r="AG14" s="31">
        <f t="shared" si="5"/>
        <v>0</v>
      </c>
      <c r="AH14" s="31">
        <f t="shared" si="5"/>
        <v>0</v>
      </c>
      <c r="AI14" s="31">
        <f t="shared" si="5"/>
        <v>0</v>
      </c>
      <c r="AJ14" s="30">
        <f t="shared" si="5"/>
        <v>38718257195.5</v>
      </c>
      <c r="AK14" s="30">
        <f t="shared" si="5"/>
        <v>7671600</v>
      </c>
      <c r="AL14" s="30">
        <f t="shared" si="5"/>
        <v>2327335373</v>
      </c>
      <c r="AM14" s="30">
        <f t="shared" si="5"/>
        <v>9849839276</v>
      </c>
      <c r="AN14" s="31">
        <f t="shared" si="5"/>
        <v>0</v>
      </c>
      <c r="AO14" s="30">
        <f t="shared" si="5"/>
        <v>2327489673</v>
      </c>
      <c r="AP14" s="30">
        <f t="shared" si="5"/>
        <v>9849839276</v>
      </c>
      <c r="AQ14" s="109">
        <f t="shared" si="5"/>
        <v>35586100</v>
      </c>
      <c r="AR14" s="30">
        <f t="shared" si="5"/>
        <v>2877558229</v>
      </c>
      <c r="AS14" s="30">
        <f t="shared" si="5"/>
        <v>9813343951</v>
      </c>
      <c r="AT14" s="30">
        <f>AQ14+AS14</f>
        <v>9848930051</v>
      </c>
      <c r="AU14" s="30">
        <f t="shared" si="5"/>
        <v>28868417919.5</v>
      </c>
      <c r="AV14" s="31">
        <f t="shared" si="5"/>
        <v>0</v>
      </c>
      <c r="AW14" s="30">
        <f t="shared" si="5"/>
        <v>909225</v>
      </c>
      <c r="AX14" s="32">
        <f>AP14/AJ14</f>
        <v>0.25439779549645614</v>
      </c>
    </row>
    <row r="15" spans="1:50" ht="18.75" customHeight="1" x14ac:dyDescent="0.2">
      <c r="A15" s="27" t="s">
        <v>41</v>
      </c>
      <c r="B15" s="27" t="s">
        <v>42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8" t="s">
        <v>47</v>
      </c>
      <c r="AB15" s="29" t="s">
        <v>48</v>
      </c>
      <c r="AC15" s="30" t="s">
        <v>37</v>
      </c>
      <c r="AD15" s="30">
        <f>AD16+AD39</f>
        <v>25931861921.5</v>
      </c>
      <c r="AE15" s="31">
        <f t="shared" ref="AE15:AW15" si="6">AE16+AE39</f>
        <v>0</v>
      </c>
      <c r="AF15" s="31">
        <f t="shared" si="6"/>
        <v>0</v>
      </c>
      <c r="AG15" s="31">
        <f t="shared" si="6"/>
        <v>0</v>
      </c>
      <c r="AH15" s="31">
        <f t="shared" si="6"/>
        <v>0</v>
      </c>
      <c r="AI15" s="31">
        <f t="shared" si="6"/>
        <v>0</v>
      </c>
      <c r="AJ15" s="30">
        <f t="shared" si="6"/>
        <v>25931861921.5</v>
      </c>
      <c r="AK15" s="31">
        <f t="shared" si="6"/>
        <v>0</v>
      </c>
      <c r="AL15" s="30">
        <f t="shared" si="6"/>
        <v>1673344655</v>
      </c>
      <c r="AM15" s="30">
        <f t="shared" si="6"/>
        <v>6560648803</v>
      </c>
      <c r="AN15" s="31">
        <f t="shared" si="6"/>
        <v>0</v>
      </c>
      <c r="AO15" s="30">
        <f t="shared" si="6"/>
        <v>1673344655</v>
      </c>
      <c r="AP15" s="30">
        <f t="shared" si="6"/>
        <v>6560648803</v>
      </c>
      <c r="AQ15" s="31">
        <f t="shared" si="6"/>
        <v>0</v>
      </c>
      <c r="AR15" s="30">
        <f t="shared" si="6"/>
        <v>1834442280</v>
      </c>
      <c r="AS15" s="30">
        <f t="shared" si="6"/>
        <v>6560442803</v>
      </c>
      <c r="AT15" s="30">
        <f t="shared" ref="AT15:AT38" si="7">AQ15+AS15</f>
        <v>6560442803</v>
      </c>
      <c r="AU15" s="30">
        <f t="shared" si="6"/>
        <v>19371213118.5</v>
      </c>
      <c r="AV15" s="31">
        <f t="shared" si="6"/>
        <v>0</v>
      </c>
      <c r="AW15" s="30">
        <f t="shared" si="6"/>
        <v>206000</v>
      </c>
      <c r="AX15" s="32">
        <f t="shared" ref="AX15:AX78" si="8">AP15/AJ15</f>
        <v>0.25299567084153696</v>
      </c>
    </row>
    <row r="16" spans="1:50" ht="18.75" customHeight="1" x14ac:dyDescent="0.2">
      <c r="A16" s="27" t="s">
        <v>49</v>
      </c>
      <c r="B16" s="27" t="s">
        <v>50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8" t="s">
        <v>51</v>
      </c>
      <c r="AB16" s="29" t="s">
        <v>52</v>
      </c>
      <c r="AC16" s="30" t="s">
        <v>37</v>
      </c>
      <c r="AD16" s="30">
        <f>AD17+AD20+AD21+AD22+AD23++AD24+AD27+AD30+AD37+AD38</f>
        <v>25908449467.5</v>
      </c>
      <c r="AE16" s="31">
        <f t="shared" ref="AE16:AW16" si="9">AE17+AE20+AE21+AE22+AE23++AE24+AE27+AE30+AE37+AE38</f>
        <v>0</v>
      </c>
      <c r="AF16" s="31">
        <f t="shared" si="9"/>
        <v>0</v>
      </c>
      <c r="AG16" s="31">
        <f t="shared" si="9"/>
        <v>0</v>
      </c>
      <c r="AH16" s="31">
        <f t="shared" si="9"/>
        <v>0</v>
      </c>
      <c r="AI16" s="31">
        <f t="shared" si="9"/>
        <v>0</v>
      </c>
      <c r="AJ16" s="30">
        <f t="shared" si="9"/>
        <v>25908449467.5</v>
      </c>
      <c r="AK16" s="31">
        <f t="shared" si="9"/>
        <v>0</v>
      </c>
      <c r="AL16" s="30">
        <f t="shared" si="9"/>
        <v>1673344655</v>
      </c>
      <c r="AM16" s="30">
        <f t="shared" si="9"/>
        <v>6560648803</v>
      </c>
      <c r="AN16" s="31">
        <f t="shared" si="9"/>
        <v>0</v>
      </c>
      <c r="AO16" s="30">
        <f t="shared" si="9"/>
        <v>1673344655</v>
      </c>
      <c r="AP16" s="30">
        <f t="shared" si="9"/>
        <v>6560648803</v>
      </c>
      <c r="AQ16" s="31">
        <f t="shared" si="9"/>
        <v>0</v>
      </c>
      <c r="AR16" s="30">
        <f t="shared" si="9"/>
        <v>1834442280</v>
      </c>
      <c r="AS16" s="30">
        <f t="shared" si="9"/>
        <v>6560442803</v>
      </c>
      <c r="AT16" s="30">
        <f t="shared" si="7"/>
        <v>6560442803</v>
      </c>
      <c r="AU16" s="30">
        <f t="shared" si="9"/>
        <v>19347800664.5</v>
      </c>
      <c r="AV16" s="31">
        <f t="shared" si="9"/>
        <v>0</v>
      </c>
      <c r="AW16" s="30">
        <f t="shared" si="9"/>
        <v>206000</v>
      </c>
      <c r="AX16" s="32">
        <f t="shared" si="8"/>
        <v>0.25322429314922107</v>
      </c>
    </row>
    <row r="17" spans="1:50" ht="18.75" customHeight="1" x14ac:dyDescent="0.2">
      <c r="A17" s="27" t="s">
        <v>41</v>
      </c>
      <c r="B17" s="27" t="s">
        <v>42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8" t="s">
        <v>53</v>
      </c>
      <c r="AB17" s="29" t="s">
        <v>54</v>
      </c>
      <c r="AC17" s="30" t="s">
        <v>37</v>
      </c>
      <c r="AD17" s="30">
        <f>AD18+AD19</f>
        <v>19589756868.5</v>
      </c>
      <c r="AE17" s="31">
        <f t="shared" ref="AE17:AW17" si="10">AE18+AE19</f>
        <v>0</v>
      </c>
      <c r="AF17" s="31">
        <f t="shared" si="10"/>
        <v>0</v>
      </c>
      <c r="AG17" s="31">
        <f t="shared" si="10"/>
        <v>0</v>
      </c>
      <c r="AH17" s="31">
        <f t="shared" si="10"/>
        <v>0</v>
      </c>
      <c r="AI17" s="31">
        <f t="shared" si="10"/>
        <v>0</v>
      </c>
      <c r="AJ17" s="30">
        <f t="shared" si="10"/>
        <v>19589756868.5</v>
      </c>
      <c r="AK17" s="31">
        <f t="shared" si="10"/>
        <v>0</v>
      </c>
      <c r="AL17" s="30">
        <f t="shared" si="10"/>
        <v>1539436704</v>
      </c>
      <c r="AM17" s="30">
        <f t="shared" si="10"/>
        <v>6001426251</v>
      </c>
      <c r="AN17" s="31">
        <f t="shared" si="10"/>
        <v>0</v>
      </c>
      <c r="AO17" s="30">
        <f t="shared" si="10"/>
        <v>1539436704</v>
      </c>
      <c r="AP17" s="30">
        <f t="shared" si="10"/>
        <v>6001426251</v>
      </c>
      <c r="AQ17" s="31">
        <f t="shared" si="10"/>
        <v>0</v>
      </c>
      <c r="AR17" s="30">
        <f t="shared" si="10"/>
        <v>1539230704</v>
      </c>
      <c r="AS17" s="30">
        <f t="shared" si="10"/>
        <v>6001220251</v>
      </c>
      <c r="AT17" s="30">
        <f t="shared" si="7"/>
        <v>6001220251</v>
      </c>
      <c r="AU17" s="30">
        <f t="shared" si="10"/>
        <v>13588330617.5</v>
      </c>
      <c r="AV17" s="31">
        <f t="shared" si="10"/>
        <v>0</v>
      </c>
      <c r="AW17" s="30">
        <f t="shared" si="10"/>
        <v>206000</v>
      </c>
      <c r="AX17" s="32">
        <f t="shared" si="8"/>
        <v>0.3063553208590451</v>
      </c>
    </row>
    <row r="18" spans="1:50" ht="18.75" customHeight="1" x14ac:dyDescent="0.2">
      <c r="A18" s="14" t="s">
        <v>55</v>
      </c>
      <c r="B18" s="15" t="s">
        <v>56</v>
      </c>
      <c r="C18" s="15"/>
      <c r="D18" s="15" t="s">
        <v>40</v>
      </c>
      <c r="E18" s="15"/>
      <c r="F18" s="15"/>
      <c r="G18" s="15" t="s">
        <v>41</v>
      </c>
      <c r="H18" s="15"/>
      <c r="I18" s="15" t="s">
        <v>936</v>
      </c>
      <c r="J18" s="15"/>
      <c r="K18" s="15" t="s">
        <v>932</v>
      </c>
      <c r="L18" s="15"/>
      <c r="M18" s="15" t="s">
        <v>933</v>
      </c>
      <c r="N18" s="15"/>
      <c r="O18" s="15" t="s">
        <v>938</v>
      </c>
      <c r="P18" s="15"/>
      <c r="Q18" s="15" t="s">
        <v>939</v>
      </c>
      <c r="R18" s="15"/>
      <c r="S18" s="15" t="s">
        <v>940</v>
      </c>
      <c r="T18" s="15">
        <v>0</v>
      </c>
      <c r="U18" s="15">
        <v>0</v>
      </c>
      <c r="V18" s="15">
        <v>0</v>
      </c>
      <c r="W18" s="15">
        <v>0</v>
      </c>
      <c r="X18" s="15" t="s">
        <v>937</v>
      </c>
      <c r="Y18" s="15"/>
      <c r="Z18" s="15"/>
      <c r="AA18" s="16" t="s">
        <v>57</v>
      </c>
      <c r="AB18" s="17" t="s">
        <v>54</v>
      </c>
      <c r="AC18" s="17" t="s">
        <v>58</v>
      </c>
      <c r="AD18" s="18">
        <v>18005571308.5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18">
        <v>18005571308.5</v>
      </c>
      <c r="AK18" s="34">
        <v>0</v>
      </c>
      <c r="AL18" s="18">
        <f>AM18-'MARZO '!AM18</f>
        <v>1424226574</v>
      </c>
      <c r="AM18" s="18">
        <v>5551266137</v>
      </c>
      <c r="AN18" s="34">
        <v>0</v>
      </c>
      <c r="AO18" s="18">
        <f>AP18-'MARZO '!AP18</f>
        <v>1424226574</v>
      </c>
      <c r="AP18" s="18">
        <v>5551266137</v>
      </c>
      <c r="AQ18" s="34">
        <v>0</v>
      </c>
      <c r="AR18" s="18">
        <f>AS18-'MARZO '!AS18</f>
        <v>1424020574</v>
      </c>
      <c r="AS18" s="18">
        <v>5551060137</v>
      </c>
      <c r="AT18" s="39">
        <f t="shared" si="7"/>
        <v>5551060137</v>
      </c>
      <c r="AU18" s="18">
        <f>AJ18-AM18</f>
        <v>12454305171.5</v>
      </c>
      <c r="AV18" s="34">
        <f>AM18-AP18</f>
        <v>0</v>
      </c>
      <c r="AW18" s="18">
        <f>AP18-AT18</f>
        <v>206000</v>
      </c>
      <c r="AX18" s="32">
        <f t="shared" si="8"/>
        <v>0.30830824759108755</v>
      </c>
    </row>
    <row r="19" spans="1:50" ht="18.75" customHeight="1" x14ac:dyDescent="0.2">
      <c r="A19" s="14" t="s">
        <v>55</v>
      </c>
      <c r="B19" s="15" t="s">
        <v>56</v>
      </c>
      <c r="C19" s="15"/>
      <c r="D19" s="15" t="s">
        <v>40</v>
      </c>
      <c r="E19" s="15"/>
      <c r="F19" s="15"/>
      <c r="G19" s="15" t="s">
        <v>41</v>
      </c>
      <c r="H19" s="15"/>
      <c r="I19" s="15" t="s">
        <v>941</v>
      </c>
      <c r="J19" s="15"/>
      <c r="K19" s="15" t="s">
        <v>932</v>
      </c>
      <c r="L19" s="15"/>
      <c r="M19" s="15" t="s">
        <v>933</v>
      </c>
      <c r="N19" s="15"/>
      <c r="O19" s="15" t="s">
        <v>938</v>
      </c>
      <c r="P19" s="15"/>
      <c r="Q19" s="15" t="s">
        <v>939</v>
      </c>
      <c r="R19" s="15"/>
      <c r="S19" s="15" t="s">
        <v>940</v>
      </c>
      <c r="T19" s="15">
        <v>0</v>
      </c>
      <c r="U19" s="15">
        <v>0</v>
      </c>
      <c r="V19" s="15">
        <v>0</v>
      </c>
      <c r="W19" s="15">
        <v>0</v>
      </c>
      <c r="X19" s="15" t="s">
        <v>937</v>
      </c>
      <c r="Y19" s="15"/>
      <c r="Z19" s="15"/>
      <c r="AA19" s="16" t="s">
        <v>59</v>
      </c>
      <c r="AB19" s="17" t="s">
        <v>60</v>
      </c>
      <c r="AC19" s="17" t="s">
        <v>61</v>
      </c>
      <c r="AD19" s="18">
        <v>1584185560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18">
        <v>1584185560</v>
      </c>
      <c r="AK19" s="34">
        <v>0</v>
      </c>
      <c r="AL19" s="18">
        <f>AM19-'MARZO '!AM19</f>
        <v>115210130</v>
      </c>
      <c r="AM19" s="18">
        <v>450160114</v>
      </c>
      <c r="AN19" s="34">
        <v>0</v>
      </c>
      <c r="AO19" s="18">
        <f>AP19-'MARZO '!AP19</f>
        <v>115210130</v>
      </c>
      <c r="AP19" s="18">
        <v>450160114</v>
      </c>
      <c r="AQ19" s="34">
        <v>0</v>
      </c>
      <c r="AR19" s="18">
        <f>AS19-'MARZO '!AS19</f>
        <v>115210130</v>
      </c>
      <c r="AS19" s="18">
        <v>450160114</v>
      </c>
      <c r="AT19" s="39">
        <f t="shared" si="7"/>
        <v>450160114</v>
      </c>
      <c r="AU19" s="18">
        <f t="shared" ref="AU19:AU38" si="11">AJ19-AM19</f>
        <v>1134025446</v>
      </c>
      <c r="AV19" s="34">
        <f t="shared" ref="AV19:AV38" si="12">AM19-AP19</f>
        <v>0</v>
      </c>
      <c r="AW19" s="34">
        <f>AP19-AT19</f>
        <v>0</v>
      </c>
      <c r="AX19" s="32">
        <f t="shared" si="8"/>
        <v>0.28415870297416423</v>
      </c>
    </row>
    <row r="20" spans="1:50" ht="18.75" customHeight="1" x14ac:dyDescent="0.2">
      <c r="A20" s="14" t="s">
        <v>49</v>
      </c>
      <c r="B20" s="15" t="s">
        <v>50</v>
      </c>
      <c r="C20" s="15"/>
      <c r="D20" s="15" t="s">
        <v>40</v>
      </c>
      <c r="E20" s="15"/>
      <c r="F20" s="15"/>
      <c r="G20" s="15" t="s">
        <v>41</v>
      </c>
      <c r="H20" s="15"/>
      <c r="I20" s="15" t="s">
        <v>936</v>
      </c>
      <c r="J20" s="15"/>
      <c r="K20" s="15" t="s">
        <v>932</v>
      </c>
      <c r="L20" s="15"/>
      <c r="M20" s="15" t="s">
        <v>933</v>
      </c>
      <c r="N20" s="15"/>
      <c r="O20" s="15" t="s">
        <v>938</v>
      </c>
      <c r="P20" s="15"/>
      <c r="Q20" s="15" t="s">
        <v>939</v>
      </c>
      <c r="R20" s="15"/>
      <c r="S20" s="15" t="s">
        <v>940</v>
      </c>
      <c r="T20" s="15">
        <v>0</v>
      </c>
      <c r="U20" s="15">
        <v>0</v>
      </c>
      <c r="V20" s="15">
        <v>0</v>
      </c>
      <c r="W20" s="15">
        <v>0</v>
      </c>
      <c r="X20" s="15" t="s">
        <v>937</v>
      </c>
      <c r="Y20" s="15"/>
      <c r="Z20" s="15"/>
      <c r="AA20" s="16" t="s">
        <v>62</v>
      </c>
      <c r="AB20" s="17" t="s">
        <v>63</v>
      </c>
      <c r="AC20" s="17" t="s">
        <v>58</v>
      </c>
      <c r="AD20" s="18">
        <v>398412895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18">
        <v>398412895</v>
      </c>
      <c r="AK20" s="34">
        <v>0</v>
      </c>
      <c r="AL20" s="18">
        <f>AM20-'MARZO '!AM20</f>
        <v>41866492</v>
      </c>
      <c r="AM20" s="18">
        <v>121408072</v>
      </c>
      <c r="AN20" s="34">
        <v>0</v>
      </c>
      <c r="AO20" s="18">
        <f>AP20-'MARZO '!AP20</f>
        <v>41866492</v>
      </c>
      <c r="AP20" s="18">
        <v>121408072</v>
      </c>
      <c r="AQ20" s="34">
        <v>0</v>
      </c>
      <c r="AR20" s="18">
        <f>AS20-'MARZO '!AS20</f>
        <v>41866492</v>
      </c>
      <c r="AS20" s="18">
        <v>121408072</v>
      </c>
      <c r="AT20" s="39">
        <f t="shared" si="7"/>
        <v>121408072</v>
      </c>
      <c r="AU20" s="18">
        <f t="shared" si="11"/>
        <v>277004823</v>
      </c>
      <c r="AV20" s="34">
        <f t="shared" si="12"/>
        <v>0</v>
      </c>
      <c r="AW20" s="34">
        <f t="shared" ref="AW20:AW38" si="13">AP20-AT20</f>
        <v>0</v>
      </c>
      <c r="AX20" s="32">
        <f t="shared" si="8"/>
        <v>0.30472927338358363</v>
      </c>
    </row>
    <row r="21" spans="1:50" ht="18.75" customHeight="1" x14ac:dyDescent="0.2">
      <c r="A21" s="14" t="s">
        <v>49</v>
      </c>
      <c r="B21" s="15" t="s">
        <v>50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6" t="s">
        <v>64</v>
      </c>
      <c r="AB21" s="17" t="s">
        <v>65</v>
      </c>
      <c r="AC21" s="17" t="s">
        <v>58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f>AP21-'MARZO '!AP21</f>
        <v>0</v>
      </c>
      <c r="AP21" s="34">
        <v>0</v>
      </c>
      <c r="AQ21" s="34">
        <v>0</v>
      </c>
      <c r="AR21" s="34">
        <v>0</v>
      </c>
      <c r="AS21" s="34">
        <v>0</v>
      </c>
      <c r="AT21" s="40">
        <f t="shared" si="7"/>
        <v>0</v>
      </c>
      <c r="AU21" s="34">
        <f t="shared" si="11"/>
        <v>0</v>
      </c>
      <c r="AV21" s="34">
        <f t="shared" si="12"/>
        <v>0</v>
      </c>
      <c r="AW21" s="34">
        <f t="shared" si="13"/>
        <v>0</v>
      </c>
      <c r="AX21" s="32">
        <v>0</v>
      </c>
    </row>
    <row r="22" spans="1:50" ht="18.75" customHeight="1" x14ac:dyDescent="0.2">
      <c r="A22" s="14" t="s">
        <v>49</v>
      </c>
      <c r="B22" s="15" t="s">
        <v>50</v>
      </c>
      <c r="C22" s="15"/>
      <c r="D22" s="15" t="s">
        <v>40</v>
      </c>
      <c r="E22" s="15"/>
      <c r="F22" s="15"/>
      <c r="G22" s="15" t="s">
        <v>41</v>
      </c>
      <c r="H22" s="15"/>
      <c r="I22" s="15" t="s">
        <v>936</v>
      </c>
      <c r="J22" s="15"/>
      <c r="K22" s="15" t="s">
        <v>932</v>
      </c>
      <c r="L22" s="15"/>
      <c r="M22" s="15" t="s">
        <v>933</v>
      </c>
      <c r="N22" s="15"/>
      <c r="O22" s="15" t="s">
        <v>938</v>
      </c>
      <c r="P22" s="15"/>
      <c r="Q22" s="15" t="s">
        <v>939</v>
      </c>
      <c r="R22" s="15"/>
      <c r="S22" s="15" t="s">
        <v>940</v>
      </c>
      <c r="T22" s="15">
        <v>0</v>
      </c>
      <c r="U22" s="15">
        <v>0</v>
      </c>
      <c r="V22" s="15">
        <v>0</v>
      </c>
      <c r="W22" s="15">
        <v>0</v>
      </c>
      <c r="X22" s="15" t="s">
        <v>937</v>
      </c>
      <c r="Y22" s="15"/>
      <c r="Z22" s="15"/>
      <c r="AA22" s="16" t="s">
        <v>66</v>
      </c>
      <c r="AB22" s="17" t="s">
        <v>67</v>
      </c>
      <c r="AC22" s="17" t="s">
        <v>58</v>
      </c>
      <c r="AD22" s="18">
        <v>13303349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18">
        <v>13303349</v>
      </c>
      <c r="AK22" s="34">
        <v>0</v>
      </c>
      <c r="AL22" s="34">
        <v>0</v>
      </c>
      <c r="AM22" s="34">
        <v>0</v>
      </c>
      <c r="AN22" s="34">
        <v>0</v>
      </c>
      <c r="AO22" s="34">
        <f>AP22-'MARZO '!AP22</f>
        <v>0</v>
      </c>
      <c r="AP22" s="34">
        <v>0</v>
      </c>
      <c r="AQ22" s="34">
        <v>0</v>
      </c>
      <c r="AR22" s="34">
        <v>0</v>
      </c>
      <c r="AS22" s="34">
        <v>0</v>
      </c>
      <c r="AT22" s="40">
        <f t="shared" si="7"/>
        <v>0</v>
      </c>
      <c r="AU22" s="18">
        <f t="shared" si="11"/>
        <v>13303349</v>
      </c>
      <c r="AV22" s="34">
        <f t="shared" si="12"/>
        <v>0</v>
      </c>
      <c r="AW22" s="34">
        <f t="shared" si="13"/>
        <v>0</v>
      </c>
      <c r="AX22" s="32">
        <f t="shared" si="8"/>
        <v>0</v>
      </c>
    </row>
    <row r="23" spans="1:50" ht="18.75" customHeight="1" x14ac:dyDescent="0.2">
      <c r="A23" s="14" t="s">
        <v>49</v>
      </c>
      <c r="B23" s="15" t="s">
        <v>50</v>
      </c>
      <c r="C23" s="15"/>
      <c r="D23" s="15" t="s">
        <v>40</v>
      </c>
      <c r="E23" s="15"/>
      <c r="F23" s="15"/>
      <c r="G23" s="15" t="s">
        <v>41</v>
      </c>
      <c r="H23" s="15"/>
      <c r="I23" s="15" t="s">
        <v>936</v>
      </c>
      <c r="J23" s="15"/>
      <c r="K23" s="15" t="s">
        <v>932</v>
      </c>
      <c r="L23" s="15"/>
      <c r="M23" s="15" t="s">
        <v>933</v>
      </c>
      <c r="N23" s="15"/>
      <c r="O23" s="15" t="s">
        <v>938</v>
      </c>
      <c r="P23" s="15"/>
      <c r="Q23" s="15" t="s">
        <v>939</v>
      </c>
      <c r="R23" s="15"/>
      <c r="S23" s="15" t="s">
        <v>940</v>
      </c>
      <c r="T23" s="15">
        <v>0</v>
      </c>
      <c r="U23" s="15">
        <v>0</v>
      </c>
      <c r="V23" s="15">
        <v>0</v>
      </c>
      <c r="W23" s="15">
        <v>0</v>
      </c>
      <c r="X23" s="15" t="s">
        <v>937</v>
      </c>
      <c r="Y23" s="15"/>
      <c r="Z23" s="15"/>
      <c r="AA23" s="16" t="s">
        <v>68</v>
      </c>
      <c r="AB23" s="17" t="s">
        <v>69</v>
      </c>
      <c r="AC23" s="17" t="s">
        <v>58</v>
      </c>
      <c r="AD23" s="18">
        <v>37582851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18">
        <v>37582851</v>
      </c>
      <c r="AK23" s="34">
        <v>0</v>
      </c>
      <c r="AL23" s="18">
        <f>AM23-'MARZO '!AM23</f>
        <v>2874258</v>
      </c>
      <c r="AM23" s="18">
        <v>11497032</v>
      </c>
      <c r="AN23" s="34">
        <v>0</v>
      </c>
      <c r="AO23" s="18">
        <f>AP23-'MARZO '!AP23</f>
        <v>2874258</v>
      </c>
      <c r="AP23" s="18">
        <v>11497032</v>
      </c>
      <c r="AQ23" s="34">
        <v>0</v>
      </c>
      <c r="AR23" s="18">
        <f>AS23-'MARZO '!AS23</f>
        <v>2874258</v>
      </c>
      <c r="AS23" s="18">
        <v>11497032</v>
      </c>
      <c r="AT23" s="39">
        <f t="shared" si="7"/>
        <v>11497032</v>
      </c>
      <c r="AU23" s="18">
        <f t="shared" si="11"/>
        <v>26085819</v>
      </c>
      <c r="AV23" s="34">
        <f t="shared" si="12"/>
        <v>0</v>
      </c>
      <c r="AW23" s="34">
        <f t="shared" si="13"/>
        <v>0</v>
      </c>
      <c r="AX23" s="32">
        <f t="shared" si="8"/>
        <v>0.30591165103467005</v>
      </c>
    </row>
    <row r="24" spans="1:50" ht="18.75" customHeight="1" x14ac:dyDescent="0.2">
      <c r="A24" s="27" t="s">
        <v>49</v>
      </c>
      <c r="B24" s="27" t="s">
        <v>50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8" t="s">
        <v>70</v>
      </c>
      <c r="AB24" s="29" t="s">
        <v>71</v>
      </c>
      <c r="AC24" s="30" t="s">
        <v>37</v>
      </c>
      <c r="AD24" s="30">
        <f>AD25+AD26</f>
        <v>1845616015</v>
      </c>
      <c r="AE24" s="31">
        <f t="shared" ref="AE24:AS24" si="14">AE25+AE26</f>
        <v>0</v>
      </c>
      <c r="AF24" s="31">
        <f t="shared" si="14"/>
        <v>0</v>
      </c>
      <c r="AG24" s="31">
        <f t="shared" si="14"/>
        <v>0</v>
      </c>
      <c r="AH24" s="31">
        <f t="shared" si="14"/>
        <v>0</v>
      </c>
      <c r="AI24" s="31">
        <f t="shared" si="14"/>
        <v>0</v>
      </c>
      <c r="AJ24" s="30">
        <f t="shared" si="14"/>
        <v>1845616015</v>
      </c>
      <c r="AK24" s="31">
        <f t="shared" si="14"/>
        <v>0</v>
      </c>
      <c r="AL24" s="30">
        <f t="shared" si="14"/>
        <v>7106387</v>
      </c>
      <c r="AM24" s="30">
        <f t="shared" si="14"/>
        <v>14521818</v>
      </c>
      <c r="AN24" s="31">
        <f t="shared" si="14"/>
        <v>0</v>
      </c>
      <c r="AO24" s="30">
        <f t="shared" si="14"/>
        <v>7106387</v>
      </c>
      <c r="AP24" s="30">
        <f t="shared" si="14"/>
        <v>14521818</v>
      </c>
      <c r="AQ24" s="31">
        <f t="shared" si="14"/>
        <v>0</v>
      </c>
      <c r="AR24" s="30">
        <f t="shared" si="14"/>
        <v>9606374</v>
      </c>
      <c r="AS24" s="30">
        <f t="shared" si="14"/>
        <v>14521818</v>
      </c>
      <c r="AT24" s="30">
        <f t="shared" si="7"/>
        <v>14521818</v>
      </c>
      <c r="AU24" s="176">
        <f t="shared" si="11"/>
        <v>1831094197</v>
      </c>
      <c r="AV24" s="177">
        <f t="shared" si="12"/>
        <v>0</v>
      </c>
      <c r="AW24" s="177">
        <f t="shared" si="13"/>
        <v>0</v>
      </c>
      <c r="AX24" s="32">
        <f t="shared" si="8"/>
        <v>7.8682769774296741E-3</v>
      </c>
    </row>
    <row r="25" spans="1:50" ht="18.75" customHeight="1" x14ac:dyDescent="0.2">
      <c r="A25" s="14" t="s">
        <v>55</v>
      </c>
      <c r="B25" s="15" t="s">
        <v>56</v>
      </c>
      <c r="C25" s="15"/>
      <c r="D25" s="15" t="s">
        <v>40</v>
      </c>
      <c r="E25" s="15"/>
      <c r="F25" s="15"/>
      <c r="G25" s="15" t="s">
        <v>41</v>
      </c>
      <c r="H25" s="15"/>
      <c r="I25" s="15" t="s">
        <v>936</v>
      </c>
      <c r="J25" s="15"/>
      <c r="K25" s="15" t="s">
        <v>932</v>
      </c>
      <c r="L25" s="15"/>
      <c r="M25" s="15" t="s">
        <v>933</v>
      </c>
      <c r="N25" s="15"/>
      <c r="O25" s="15" t="s">
        <v>938</v>
      </c>
      <c r="P25" s="15"/>
      <c r="Q25" s="15" t="s">
        <v>939</v>
      </c>
      <c r="R25" s="15"/>
      <c r="S25" s="15" t="s">
        <v>940</v>
      </c>
      <c r="T25" s="15">
        <v>0</v>
      </c>
      <c r="U25" s="15">
        <v>0</v>
      </c>
      <c r="V25" s="15">
        <v>0</v>
      </c>
      <c r="W25" s="15">
        <v>0</v>
      </c>
      <c r="X25" s="15" t="s">
        <v>937</v>
      </c>
      <c r="Y25" s="15"/>
      <c r="Z25" s="15"/>
      <c r="AA25" s="16" t="s">
        <v>72</v>
      </c>
      <c r="AB25" s="17" t="s">
        <v>71</v>
      </c>
      <c r="AC25" s="17" t="s">
        <v>58</v>
      </c>
      <c r="AD25" s="18">
        <v>1777683059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18">
        <v>1777683059</v>
      </c>
      <c r="AK25" s="34">
        <v>0</v>
      </c>
      <c r="AL25" s="18">
        <f>AM25-'MARZO '!AM25</f>
        <v>4518878</v>
      </c>
      <c r="AM25" s="18">
        <v>10049217</v>
      </c>
      <c r="AN25" s="34">
        <v>0</v>
      </c>
      <c r="AO25" s="18">
        <f>AP25-'MARZO '!AP25</f>
        <v>4518878</v>
      </c>
      <c r="AP25" s="18">
        <v>10049217</v>
      </c>
      <c r="AQ25" s="34">
        <v>0</v>
      </c>
      <c r="AR25" s="18">
        <f>AS25-'MARZO '!AS25</f>
        <v>5133773</v>
      </c>
      <c r="AS25" s="18">
        <v>10049217</v>
      </c>
      <c r="AT25" s="39">
        <f t="shared" si="7"/>
        <v>10049217</v>
      </c>
      <c r="AU25" s="18">
        <f t="shared" si="11"/>
        <v>1767633842</v>
      </c>
      <c r="AV25" s="34">
        <f t="shared" si="12"/>
        <v>0</v>
      </c>
      <c r="AW25" s="34">
        <f t="shared" si="13"/>
        <v>0</v>
      </c>
      <c r="AX25" s="32">
        <f t="shared" si="8"/>
        <v>5.6529857496943163E-3</v>
      </c>
    </row>
    <row r="26" spans="1:50" ht="18.75" customHeight="1" x14ac:dyDescent="0.2">
      <c r="A26" s="14" t="s">
        <v>55</v>
      </c>
      <c r="B26" s="15" t="s">
        <v>56</v>
      </c>
      <c r="C26" s="15"/>
      <c r="D26" s="15" t="s">
        <v>40</v>
      </c>
      <c r="E26" s="15"/>
      <c r="F26" s="15"/>
      <c r="G26" s="15" t="s">
        <v>41</v>
      </c>
      <c r="H26" s="15"/>
      <c r="I26" s="15" t="s">
        <v>941</v>
      </c>
      <c r="J26" s="15"/>
      <c r="K26" s="15" t="s">
        <v>932</v>
      </c>
      <c r="L26" s="15"/>
      <c r="M26" s="15" t="s">
        <v>933</v>
      </c>
      <c r="N26" s="15"/>
      <c r="O26" s="15" t="s">
        <v>938</v>
      </c>
      <c r="P26" s="15"/>
      <c r="Q26" s="15" t="s">
        <v>939</v>
      </c>
      <c r="R26" s="15"/>
      <c r="S26" s="15" t="s">
        <v>940</v>
      </c>
      <c r="T26" s="15">
        <v>0</v>
      </c>
      <c r="U26" s="15">
        <v>0</v>
      </c>
      <c r="V26" s="15">
        <v>0</v>
      </c>
      <c r="W26" s="15">
        <v>0</v>
      </c>
      <c r="X26" s="15" t="s">
        <v>937</v>
      </c>
      <c r="Y26" s="15"/>
      <c r="Z26" s="15"/>
      <c r="AA26" s="16" t="s">
        <v>73</v>
      </c>
      <c r="AB26" s="17" t="s">
        <v>74</v>
      </c>
      <c r="AC26" s="17" t="s">
        <v>61</v>
      </c>
      <c r="AD26" s="18">
        <v>67932956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18">
        <v>67932956</v>
      </c>
      <c r="AK26" s="34">
        <v>0</v>
      </c>
      <c r="AL26" s="18">
        <f>AM26-'MARZO '!AM26</f>
        <v>2587509</v>
      </c>
      <c r="AM26" s="18">
        <v>4472601</v>
      </c>
      <c r="AN26" s="34">
        <v>0</v>
      </c>
      <c r="AO26" s="18">
        <f>AP26-'MARZO '!AP26</f>
        <v>2587509</v>
      </c>
      <c r="AP26" s="18">
        <v>4472601</v>
      </c>
      <c r="AQ26" s="34">
        <v>0</v>
      </c>
      <c r="AR26" s="18">
        <f>AS26-'MARZO '!AS26</f>
        <v>4472601</v>
      </c>
      <c r="AS26" s="18">
        <v>4472601</v>
      </c>
      <c r="AT26" s="40">
        <f t="shared" si="7"/>
        <v>4472601</v>
      </c>
      <c r="AU26" s="18">
        <f t="shared" si="11"/>
        <v>63460355</v>
      </c>
      <c r="AV26" s="34">
        <f t="shared" si="12"/>
        <v>0</v>
      </c>
      <c r="AW26" s="34">
        <f t="shared" si="13"/>
        <v>0</v>
      </c>
      <c r="AX26" s="32">
        <f t="shared" si="8"/>
        <v>6.5838456963362518E-2</v>
      </c>
    </row>
    <row r="27" spans="1:50" ht="18.75" customHeight="1" x14ac:dyDescent="0.2">
      <c r="A27" s="27" t="s">
        <v>49</v>
      </c>
      <c r="B27" s="27" t="s">
        <v>50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8" t="s">
        <v>75</v>
      </c>
      <c r="AB27" s="29" t="s">
        <v>76</v>
      </c>
      <c r="AC27" s="30" t="s">
        <v>37</v>
      </c>
      <c r="AD27" s="30">
        <f>AD28+AD29</f>
        <v>592992922</v>
      </c>
      <c r="AE27" s="31">
        <f t="shared" ref="AE27:AS27" si="15">AE28+AE29</f>
        <v>0</v>
      </c>
      <c r="AF27" s="31">
        <f t="shared" si="15"/>
        <v>0</v>
      </c>
      <c r="AG27" s="31">
        <f t="shared" si="15"/>
        <v>0</v>
      </c>
      <c r="AH27" s="31">
        <f t="shared" si="15"/>
        <v>0</v>
      </c>
      <c r="AI27" s="31">
        <f t="shared" si="15"/>
        <v>0</v>
      </c>
      <c r="AJ27" s="30">
        <f t="shared" si="15"/>
        <v>592992922</v>
      </c>
      <c r="AK27" s="31">
        <f t="shared" si="15"/>
        <v>0</v>
      </c>
      <c r="AL27" s="30">
        <f t="shared" si="15"/>
        <v>35051273</v>
      </c>
      <c r="AM27" s="30">
        <f t="shared" si="15"/>
        <v>188619872</v>
      </c>
      <c r="AN27" s="31">
        <f t="shared" si="15"/>
        <v>0</v>
      </c>
      <c r="AO27" s="30">
        <f t="shared" si="15"/>
        <v>35051273</v>
      </c>
      <c r="AP27" s="30">
        <f t="shared" si="15"/>
        <v>188619872</v>
      </c>
      <c r="AQ27" s="31">
        <f t="shared" si="15"/>
        <v>0</v>
      </c>
      <c r="AR27" s="30">
        <f t="shared" si="15"/>
        <v>131600072</v>
      </c>
      <c r="AS27" s="30">
        <f t="shared" si="15"/>
        <v>188619872</v>
      </c>
      <c r="AT27" s="30">
        <f t="shared" si="7"/>
        <v>188619872</v>
      </c>
      <c r="AU27" s="176">
        <f t="shared" si="11"/>
        <v>404373050</v>
      </c>
      <c r="AV27" s="177">
        <f t="shared" si="12"/>
        <v>0</v>
      </c>
      <c r="AW27" s="177">
        <f t="shared" si="13"/>
        <v>0</v>
      </c>
      <c r="AX27" s="32">
        <f t="shared" si="8"/>
        <v>0.3180811524087635</v>
      </c>
    </row>
    <row r="28" spans="1:50" ht="18.75" customHeight="1" x14ac:dyDescent="0.2">
      <c r="A28" s="14" t="s">
        <v>55</v>
      </c>
      <c r="B28" s="15" t="s">
        <v>56</v>
      </c>
      <c r="C28" s="15"/>
      <c r="D28" s="15" t="s">
        <v>40</v>
      </c>
      <c r="E28" s="15"/>
      <c r="F28" s="15"/>
      <c r="G28" s="15" t="s">
        <v>41</v>
      </c>
      <c r="H28" s="15"/>
      <c r="I28" s="15" t="s">
        <v>936</v>
      </c>
      <c r="J28" s="15"/>
      <c r="K28" s="15" t="s">
        <v>932</v>
      </c>
      <c r="L28" s="15"/>
      <c r="M28" s="15" t="s">
        <v>933</v>
      </c>
      <c r="N28" s="15"/>
      <c r="O28" s="15" t="s">
        <v>938</v>
      </c>
      <c r="P28" s="15"/>
      <c r="Q28" s="15" t="s">
        <v>939</v>
      </c>
      <c r="R28" s="15"/>
      <c r="S28" s="15" t="s">
        <v>940</v>
      </c>
      <c r="T28" s="15">
        <v>0</v>
      </c>
      <c r="U28" s="15">
        <v>0</v>
      </c>
      <c r="V28" s="15">
        <v>0</v>
      </c>
      <c r="W28" s="15">
        <v>0</v>
      </c>
      <c r="X28" s="15" t="s">
        <v>937</v>
      </c>
      <c r="Y28" s="15"/>
      <c r="Z28" s="15"/>
      <c r="AA28" s="16" t="s">
        <v>77</v>
      </c>
      <c r="AB28" s="17" t="s">
        <v>76</v>
      </c>
      <c r="AC28" s="17" t="s">
        <v>58</v>
      </c>
      <c r="AD28" s="18">
        <v>546787511</v>
      </c>
      <c r="AE28" s="34">
        <v>0</v>
      </c>
      <c r="AF28" s="34">
        <v>0</v>
      </c>
      <c r="AG28" s="34">
        <v>0</v>
      </c>
      <c r="AH28" s="34">
        <v>0</v>
      </c>
      <c r="AI28" s="34">
        <v>0</v>
      </c>
      <c r="AJ28" s="18">
        <v>546787511</v>
      </c>
      <c r="AK28" s="34">
        <v>0</v>
      </c>
      <c r="AL28" s="18">
        <f>AM28-'MARZO '!AM28</f>
        <v>34011935</v>
      </c>
      <c r="AM28" s="18">
        <v>185075567</v>
      </c>
      <c r="AN28" s="34">
        <v>0</v>
      </c>
      <c r="AO28" s="18">
        <f>AP28-'MARZO '!AP28</f>
        <v>34011935</v>
      </c>
      <c r="AP28" s="18">
        <v>185075567</v>
      </c>
      <c r="AQ28" s="34">
        <v>0</v>
      </c>
      <c r="AR28" s="18">
        <f>AS28-'MARZO '!AS28</f>
        <v>129266647</v>
      </c>
      <c r="AS28" s="18">
        <v>185075567</v>
      </c>
      <c r="AT28" s="39">
        <f t="shared" si="7"/>
        <v>185075567</v>
      </c>
      <c r="AU28" s="18">
        <f t="shared" si="11"/>
        <v>361711944</v>
      </c>
      <c r="AV28" s="34">
        <f t="shared" si="12"/>
        <v>0</v>
      </c>
      <c r="AW28" s="34">
        <f t="shared" si="13"/>
        <v>0</v>
      </c>
      <c r="AX28" s="32">
        <f t="shared" si="8"/>
        <v>0.33847804362159251</v>
      </c>
    </row>
    <row r="29" spans="1:50" ht="18.75" customHeight="1" x14ac:dyDescent="0.2">
      <c r="A29" s="14" t="s">
        <v>55</v>
      </c>
      <c r="B29" s="15" t="s">
        <v>56</v>
      </c>
      <c r="C29" s="15"/>
      <c r="D29" s="15" t="s">
        <v>40</v>
      </c>
      <c r="E29" s="15"/>
      <c r="F29" s="15"/>
      <c r="G29" s="15" t="s">
        <v>41</v>
      </c>
      <c r="H29" s="15"/>
      <c r="I29" s="15" t="s">
        <v>941</v>
      </c>
      <c r="J29" s="15"/>
      <c r="K29" s="15" t="s">
        <v>932</v>
      </c>
      <c r="L29" s="15"/>
      <c r="M29" s="15" t="s">
        <v>933</v>
      </c>
      <c r="N29" s="15"/>
      <c r="O29" s="15" t="s">
        <v>938</v>
      </c>
      <c r="P29" s="15"/>
      <c r="Q29" s="15" t="s">
        <v>939</v>
      </c>
      <c r="R29" s="15"/>
      <c r="S29" s="15" t="s">
        <v>940</v>
      </c>
      <c r="T29" s="15">
        <v>0</v>
      </c>
      <c r="U29" s="15">
        <v>0</v>
      </c>
      <c r="V29" s="15">
        <v>0</v>
      </c>
      <c r="W29" s="15">
        <v>0</v>
      </c>
      <c r="X29" s="15" t="s">
        <v>937</v>
      </c>
      <c r="Y29" s="15"/>
      <c r="Z29" s="15"/>
      <c r="AA29" s="16" t="s">
        <v>78</v>
      </c>
      <c r="AB29" s="17" t="s">
        <v>79</v>
      </c>
      <c r="AC29" s="17" t="s">
        <v>58</v>
      </c>
      <c r="AD29" s="18">
        <v>46205411</v>
      </c>
      <c r="AE29" s="34">
        <v>0</v>
      </c>
      <c r="AF29" s="34">
        <v>0</v>
      </c>
      <c r="AG29" s="34">
        <v>0</v>
      </c>
      <c r="AH29" s="34">
        <v>0</v>
      </c>
      <c r="AI29" s="34">
        <v>0</v>
      </c>
      <c r="AJ29" s="18">
        <v>46205411</v>
      </c>
      <c r="AK29" s="34">
        <v>0</v>
      </c>
      <c r="AL29" s="18">
        <f>AM29-'MARZO '!AM29</f>
        <v>1039338</v>
      </c>
      <c r="AM29" s="18">
        <v>3544305</v>
      </c>
      <c r="AN29" s="34">
        <v>0</v>
      </c>
      <c r="AO29" s="18">
        <f>AP29-'MARZO '!AP29</f>
        <v>1039338</v>
      </c>
      <c r="AP29" s="18">
        <v>3544305</v>
      </c>
      <c r="AQ29" s="34">
        <v>0</v>
      </c>
      <c r="AR29" s="18">
        <f>AS29-'MARZO '!AS29</f>
        <v>2333425</v>
      </c>
      <c r="AS29" s="18">
        <v>3544305</v>
      </c>
      <c r="AT29" s="39">
        <f t="shared" si="7"/>
        <v>3544305</v>
      </c>
      <c r="AU29" s="18">
        <f t="shared" si="11"/>
        <v>42661106</v>
      </c>
      <c r="AV29" s="34">
        <f t="shared" si="12"/>
        <v>0</v>
      </c>
      <c r="AW29" s="34">
        <f t="shared" si="13"/>
        <v>0</v>
      </c>
      <c r="AX29" s="32">
        <f t="shared" si="8"/>
        <v>7.6707574357470817E-2</v>
      </c>
    </row>
    <row r="30" spans="1:50" ht="18.75" customHeight="1" x14ac:dyDescent="0.2">
      <c r="A30" s="27" t="s">
        <v>49</v>
      </c>
      <c r="B30" s="27" t="s">
        <v>50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8" t="s">
        <v>80</v>
      </c>
      <c r="AB30" s="29" t="s">
        <v>81</v>
      </c>
      <c r="AC30" s="30" t="s">
        <v>37</v>
      </c>
      <c r="AD30" s="30">
        <f>AD31+AD34</f>
        <v>3301831967</v>
      </c>
      <c r="AE30" s="31">
        <f t="shared" ref="AE30:AS30" si="16">AE31+AE34</f>
        <v>0</v>
      </c>
      <c r="AF30" s="31">
        <f t="shared" si="16"/>
        <v>0</v>
      </c>
      <c r="AG30" s="31">
        <f t="shared" si="16"/>
        <v>0</v>
      </c>
      <c r="AH30" s="31">
        <f t="shared" si="16"/>
        <v>0</v>
      </c>
      <c r="AI30" s="31">
        <f t="shared" si="16"/>
        <v>0</v>
      </c>
      <c r="AJ30" s="30">
        <f t="shared" si="16"/>
        <v>3301831967</v>
      </c>
      <c r="AK30" s="31">
        <f t="shared" si="16"/>
        <v>0</v>
      </c>
      <c r="AL30" s="30">
        <f t="shared" si="16"/>
        <v>47009541</v>
      </c>
      <c r="AM30" s="30">
        <f t="shared" si="16"/>
        <v>223175758</v>
      </c>
      <c r="AN30" s="31">
        <f t="shared" si="16"/>
        <v>0</v>
      </c>
      <c r="AO30" s="30">
        <f t="shared" si="16"/>
        <v>47009541</v>
      </c>
      <c r="AP30" s="30">
        <f t="shared" si="16"/>
        <v>223175758</v>
      </c>
      <c r="AQ30" s="31">
        <f t="shared" si="16"/>
        <v>0</v>
      </c>
      <c r="AR30" s="30">
        <f t="shared" si="16"/>
        <v>109264380</v>
      </c>
      <c r="AS30" s="30">
        <f t="shared" si="16"/>
        <v>223175758</v>
      </c>
      <c r="AT30" s="39">
        <f t="shared" si="7"/>
        <v>223175758</v>
      </c>
      <c r="AU30" s="18">
        <f t="shared" si="11"/>
        <v>3078656209</v>
      </c>
      <c r="AV30" s="34">
        <f t="shared" si="12"/>
        <v>0</v>
      </c>
      <c r="AW30" s="34">
        <f t="shared" si="13"/>
        <v>0</v>
      </c>
      <c r="AX30" s="32">
        <f t="shared" si="8"/>
        <v>6.759149473096128E-2</v>
      </c>
    </row>
    <row r="31" spans="1:50" ht="18.75" customHeight="1" x14ac:dyDescent="0.2">
      <c r="A31" s="27" t="s">
        <v>49</v>
      </c>
      <c r="B31" s="27" t="s">
        <v>50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8" t="s">
        <v>82</v>
      </c>
      <c r="AB31" s="29" t="s">
        <v>83</v>
      </c>
      <c r="AC31" s="30" t="s">
        <v>37</v>
      </c>
      <c r="AD31" s="30">
        <f>AD32+AD33</f>
        <v>2120123016</v>
      </c>
      <c r="AE31" s="31">
        <f t="shared" ref="AE31:AS31" si="17">AE32+AE33</f>
        <v>0</v>
      </c>
      <c r="AF31" s="31">
        <f t="shared" si="17"/>
        <v>0</v>
      </c>
      <c r="AG31" s="31">
        <f t="shared" si="17"/>
        <v>0</v>
      </c>
      <c r="AH31" s="31">
        <f t="shared" si="17"/>
        <v>0</v>
      </c>
      <c r="AI31" s="31">
        <f t="shared" si="17"/>
        <v>0</v>
      </c>
      <c r="AJ31" s="30">
        <f t="shared" si="17"/>
        <v>2120123016</v>
      </c>
      <c r="AK31" s="31">
        <f t="shared" si="17"/>
        <v>0</v>
      </c>
      <c r="AL31" s="30">
        <f t="shared" si="17"/>
        <v>7733890</v>
      </c>
      <c r="AM31" s="30">
        <f t="shared" si="17"/>
        <v>25053106</v>
      </c>
      <c r="AN31" s="31">
        <f t="shared" si="17"/>
        <v>0</v>
      </c>
      <c r="AO31" s="30">
        <f>AO32+AO33</f>
        <v>7733890</v>
      </c>
      <c r="AP31" s="30">
        <f t="shared" si="17"/>
        <v>25053106</v>
      </c>
      <c r="AQ31" s="31">
        <f t="shared" si="17"/>
        <v>0</v>
      </c>
      <c r="AR31" s="30">
        <f t="shared" si="17"/>
        <v>12337539</v>
      </c>
      <c r="AS31" s="30">
        <f t="shared" si="17"/>
        <v>25053106</v>
      </c>
      <c r="AT31" s="39">
        <f t="shared" si="7"/>
        <v>25053106</v>
      </c>
      <c r="AU31" s="18">
        <f t="shared" si="11"/>
        <v>2095069910</v>
      </c>
      <c r="AV31" s="34">
        <f t="shared" si="12"/>
        <v>0</v>
      </c>
      <c r="AW31" s="34">
        <f t="shared" si="13"/>
        <v>0</v>
      </c>
      <c r="AX31" s="32">
        <f t="shared" si="8"/>
        <v>1.1816817142652066E-2</v>
      </c>
    </row>
    <row r="32" spans="1:50" ht="18.75" customHeight="1" x14ac:dyDescent="0.2">
      <c r="A32" s="14" t="s">
        <v>55</v>
      </c>
      <c r="B32" s="15" t="s">
        <v>56</v>
      </c>
      <c r="C32" s="15"/>
      <c r="D32" s="15" t="s">
        <v>40</v>
      </c>
      <c r="E32" s="15"/>
      <c r="F32" s="15"/>
      <c r="G32" s="15" t="s">
        <v>41</v>
      </c>
      <c r="H32" s="15"/>
      <c r="I32" s="15" t="s">
        <v>941</v>
      </c>
      <c r="J32" s="15"/>
      <c r="K32" s="15" t="s">
        <v>932</v>
      </c>
      <c r="L32" s="15"/>
      <c r="M32" s="15" t="s">
        <v>933</v>
      </c>
      <c r="N32" s="15"/>
      <c r="O32" s="15" t="s">
        <v>938</v>
      </c>
      <c r="P32" s="15"/>
      <c r="Q32" s="15" t="s">
        <v>939</v>
      </c>
      <c r="R32" s="15"/>
      <c r="S32" s="15" t="s">
        <v>940</v>
      </c>
      <c r="T32" s="15">
        <v>0</v>
      </c>
      <c r="U32" s="15">
        <v>0</v>
      </c>
      <c r="V32" s="15">
        <v>0</v>
      </c>
      <c r="W32" s="15">
        <v>0</v>
      </c>
      <c r="X32" s="15" t="s">
        <v>937</v>
      </c>
      <c r="Y32" s="15"/>
      <c r="Z32" s="15"/>
      <c r="AA32" s="16" t="s">
        <v>84</v>
      </c>
      <c r="AB32" s="17" t="s">
        <v>85</v>
      </c>
      <c r="AC32" s="17" t="s">
        <v>61</v>
      </c>
      <c r="AD32" s="18">
        <v>151225079</v>
      </c>
      <c r="AE32" s="34">
        <v>0</v>
      </c>
      <c r="AF32" s="34">
        <v>0</v>
      </c>
      <c r="AG32" s="34">
        <v>0</v>
      </c>
      <c r="AH32" s="34">
        <v>0</v>
      </c>
      <c r="AI32" s="34">
        <v>0</v>
      </c>
      <c r="AJ32" s="18">
        <v>151225079</v>
      </c>
      <c r="AK32" s="34">
        <v>0</v>
      </c>
      <c r="AL32" s="18">
        <f>AM32-'MARZO '!AM32</f>
        <v>2151895</v>
      </c>
      <c r="AM32" s="18">
        <v>3190674</v>
      </c>
      <c r="AN32" s="34">
        <v>0</v>
      </c>
      <c r="AO32" s="18">
        <f>AP32-'MARZO '!AP32</f>
        <v>2151895</v>
      </c>
      <c r="AP32" s="18">
        <v>3190674</v>
      </c>
      <c r="AQ32" s="34">
        <v>0</v>
      </c>
      <c r="AR32" s="18">
        <f>AS32-'MARZO '!AS32</f>
        <v>3190674</v>
      </c>
      <c r="AS32" s="34">
        <v>3190674</v>
      </c>
      <c r="AT32" s="40">
        <f t="shared" si="7"/>
        <v>3190674</v>
      </c>
      <c r="AU32" s="18">
        <f t="shared" si="11"/>
        <v>148034405</v>
      </c>
      <c r="AV32" s="34">
        <f t="shared" si="12"/>
        <v>0</v>
      </c>
      <c r="AW32" s="34">
        <f t="shared" si="13"/>
        <v>0</v>
      </c>
      <c r="AX32" s="32">
        <f t="shared" si="8"/>
        <v>2.109884168088284E-2</v>
      </c>
    </row>
    <row r="33" spans="1:50" ht="18.75" customHeight="1" x14ac:dyDescent="0.2">
      <c r="A33" s="14" t="s">
        <v>55</v>
      </c>
      <c r="B33" s="15" t="s">
        <v>56</v>
      </c>
      <c r="C33" s="15"/>
      <c r="D33" s="15" t="s">
        <v>40</v>
      </c>
      <c r="E33" s="15"/>
      <c r="F33" s="15"/>
      <c r="G33" s="15" t="s">
        <v>41</v>
      </c>
      <c r="H33" s="15"/>
      <c r="I33" s="15" t="s">
        <v>936</v>
      </c>
      <c r="J33" s="15"/>
      <c r="K33" s="15" t="s">
        <v>932</v>
      </c>
      <c r="L33" s="15"/>
      <c r="M33" s="15" t="s">
        <v>933</v>
      </c>
      <c r="N33" s="15"/>
      <c r="O33" s="15" t="s">
        <v>938</v>
      </c>
      <c r="P33" s="15"/>
      <c r="Q33" s="15" t="s">
        <v>939</v>
      </c>
      <c r="R33" s="15"/>
      <c r="S33" s="15" t="s">
        <v>940</v>
      </c>
      <c r="T33" s="15">
        <v>0</v>
      </c>
      <c r="U33" s="15">
        <v>0</v>
      </c>
      <c r="V33" s="15">
        <v>0</v>
      </c>
      <c r="W33" s="15">
        <v>0</v>
      </c>
      <c r="X33" s="15" t="s">
        <v>937</v>
      </c>
      <c r="Y33" s="15"/>
      <c r="Z33" s="15"/>
      <c r="AA33" s="16" t="s">
        <v>86</v>
      </c>
      <c r="AB33" s="17" t="s">
        <v>83</v>
      </c>
      <c r="AC33" s="17" t="s">
        <v>58</v>
      </c>
      <c r="AD33" s="18">
        <v>1968897937</v>
      </c>
      <c r="AE33" s="34">
        <v>0</v>
      </c>
      <c r="AF33" s="34">
        <v>0</v>
      </c>
      <c r="AG33" s="34">
        <v>0</v>
      </c>
      <c r="AH33" s="34">
        <v>0</v>
      </c>
      <c r="AI33" s="34">
        <v>0</v>
      </c>
      <c r="AJ33" s="18">
        <v>1968897937</v>
      </c>
      <c r="AK33" s="34">
        <v>0</v>
      </c>
      <c r="AL33" s="18">
        <f>AM33-'MARZO '!AM33</f>
        <v>5581995</v>
      </c>
      <c r="AM33" s="18">
        <v>21862432</v>
      </c>
      <c r="AN33" s="34">
        <v>0</v>
      </c>
      <c r="AO33" s="18">
        <f>AP33-'MARZO '!AP33</f>
        <v>5581995</v>
      </c>
      <c r="AP33" s="18">
        <v>21862432</v>
      </c>
      <c r="AQ33" s="34">
        <v>0</v>
      </c>
      <c r="AR33" s="18">
        <f>AS33-'MARZO '!AS33</f>
        <v>9146865</v>
      </c>
      <c r="AS33" s="18">
        <v>21862432</v>
      </c>
      <c r="AT33" s="39">
        <f t="shared" si="7"/>
        <v>21862432</v>
      </c>
      <c r="AU33" s="18">
        <f t="shared" si="11"/>
        <v>1947035505</v>
      </c>
      <c r="AV33" s="34">
        <f t="shared" si="12"/>
        <v>0</v>
      </c>
      <c r="AW33" s="34">
        <f t="shared" si="13"/>
        <v>0</v>
      </c>
      <c r="AX33" s="32">
        <f t="shared" si="8"/>
        <v>1.1103892989654749E-2</v>
      </c>
    </row>
    <row r="34" spans="1:50" ht="18.75" customHeight="1" x14ac:dyDescent="0.2">
      <c r="A34" s="27" t="s">
        <v>49</v>
      </c>
      <c r="B34" s="27" t="s">
        <v>50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8" t="s">
        <v>87</v>
      </c>
      <c r="AB34" s="29" t="s">
        <v>88</v>
      </c>
      <c r="AC34" s="30" t="s">
        <v>37</v>
      </c>
      <c r="AD34" s="30">
        <f>AD35+AD36</f>
        <v>1181708951</v>
      </c>
      <c r="AE34" s="31">
        <f t="shared" ref="AE34:AS34" si="18">AE35+AE36</f>
        <v>0</v>
      </c>
      <c r="AF34" s="31">
        <f t="shared" si="18"/>
        <v>0</v>
      </c>
      <c r="AG34" s="31">
        <f t="shared" si="18"/>
        <v>0</v>
      </c>
      <c r="AH34" s="31">
        <f t="shared" si="18"/>
        <v>0</v>
      </c>
      <c r="AI34" s="31">
        <f t="shared" si="18"/>
        <v>0</v>
      </c>
      <c r="AJ34" s="30">
        <f t="shared" si="18"/>
        <v>1181708951</v>
      </c>
      <c r="AK34" s="31">
        <f t="shared" si="18"/>
        <v>0</v>
      </c>
      <c r="AL34" s="30">
        <f t="shared" si="18"/>
        <v>39275651</v>
      </c>
      <c r="AM34" s="30">
        <f t="shared" si="18"/>
        <v>198122652</v>
      </c>
      <c r="AN34" s="31">
        <f t="shared" si="18"/>
        <v>0</v>
      </c>
      <c r="AO34" s="30">
        <f t="shared" si="18"/>
        <v>39275651</v>
      </c>
      <c r="AP34" s="30">
        <f t="shared" si="18"/>
        <v>198122652</v>
      </c>
      <c r="AQ34" s="31">
        <f t="shared" si="18"/>
        <v>0</v>
      </c>
      <c r="AR34" s="30">
        <f t="shared" si="18"/>
        <v>96926841</v>
      </c>
      <c r="AS34" s="30">
        <f t="shared" si="18"/>
        <v>198122652</v>
      </c>
      <c r="AT34" s="30">
        <f t="shared" si="7"/>
        <v>198122652</v>
      </c>
      <c r="AU34" s="176">
        <f t="shared" si="11"/>
        <v>983586299</v>
      </c>
      <c r="AV34" s="177">
        <f t="shared" si="12"/>
        <v>0</v>
      </c>
      <c r="AW34" s="177">
        <f t="shared" si="13"/>
        <v>0</v>
      </c>
      <c r="AX34" s="32">
        <f t="shared" si="8"/>
        <v>0.16765773994716909</v>
      </c>
    </row>
    <row r="35" spans="1:50" ht="18.75" customHeight="1" x14ac:dyDescent="0.2">
      <c r="A35" s="35" t="s">
        <v>55</v>
      </c>
      <c r="B35" s="36" t="s">
        <v>56</v>
      </c>
      <c r="C35" s="36"/>
      <c r="D35" s="36" t="s">
        <v>40</v>
      </c>
      <c r="E35" s="36"/>
      <c r="F35" s="36"/>
      <c r="G35" s="36" t="s">
        <v>41</v>
      </c>
      <c r="H35" s="36"/>
      <c r="I35" s="36" t="s">
        <v>936</v>
      </c>
      <c r="J35" s="36"/>
      <c r="K35" s="36" t="s">
        <v>932</v>
      </c>
      <c r="L35" s="36"/>
      <c r="M35" s="36" t="s">
        <v>933</v>
      </c>
      <c r="N35" s="36"/>
      <c r="O35" s="36" t="s">
        <v>938</v>
      </c>
      <c r="P35" s="36"/>
      <c r="Q35" s="36" t="s">
        <v>939</v>
      </c>
      <c r="R35" s="36"/>
      <c r="S35" s="36" t="s">
        <v>940</v>
      </c>
      <c r="T35" s="36">
        <v>0</v>
      </c>
      <c r="U35" s="36">
        <v>0</v>
      </c>
      <c r="V35" s="36">
        <v>0</v>
      </c>
      <c r="W35" s="36">
        <v>0</v>
      </c>
      <c r="X35" s="36" t="s">
        <v>937</v>
      </c>
      <c r="Y35" s="36"/>
      <c r="Z35" s="36"/>
      <c r="AA35" s="37" t="s">
        <v>89</v>
      </c>
      <c r="AB35" s="38" t="s">
        <v>88</v>
      </c>
      <c r="AC35" s="38" t="s">
        <v>58</v>
      </c>
      <c r="AD35" s="39">
        <v>1110945455</v>
      </c>
      <c r="AE35" s="40">
        <v>0</v>
      </c>
      <c r="AF35" s="40">
        <v>0</v>
      </c>
      <c r="AG35" s="40">
        <v>0</v>
      </c>
      <c r="AH35" s="40">
        <v>0</v>
      </c>
      <c r="AI35" s="40">
        <v>0</v>
      </c>
      <c r="AJ35" s="39">
        <v>1110945455</v>
      </c>
      <c r="AK35" s="40">
        <v>0</v>
      </c>
      <c r="AL35" s="39">
        <f>AM35-'MARZO '!AM35</f>
        <v>35925547</v>
      </c>
      <c r="AM35" s="39">
        <v>192452558</v>
      </c>
      <c r="AN35" s="40">
        <v>0</v>
      </c>
      <c r="AO35" s="39">
        <f>AP35-'MARZO '!AP35</f>
        <v>35925547</v>
      </c>
      <c r="AP35" s="39">
        <v>192452558</v>
      </c>
      <c r="AQ35" s="40">
        <v>0</v>
      </c>
      <c r="AR35" s="39">
        <f>AS35-'MARZO '!AS35</f>
        <v>91256747</v>
      </c>
      <c r="AS35" s="39">
        <v>192452558</v>
      </c>
      <c r="AT35" s="39">
        <f t="shared" si="7"/>
        <v>192452558</v>
      </c>
      <c r="AU35" s="18">
        <f t="shared" si="11"/>
        <v>918492897</v>
      </c>
      <c r="AV35" s="34">
        <f t="shared" si="12"/>
        <v>0</v>
      </c>
      <c r="AW35" s="34">
        <f t="shared" si="13"/>
        <v>0</v>
      </c>
      <c r="AX35" s="32">
        <f t="shared" si="8"/>
        <v>0.17323312961391071</v>
      </c>
    </row>
    <row r="36" spans="1:50" ht="18.75" customHeight="1" x14ac:dyDescent="0.2">
      <c r="A36" s="14" t="s">
        <v>55</v>
      </c>
      <c r="B36" s="15" t="s">
        <v>56</v>
      </c>
      <c r="C36" s="15"/>
      <c r="D36" s="15" t="s">
        <v>40</v>
      </c>
      <c r="E36" s="15"/>
      <c r="F36" s="15"/>
      <c r="G36" s="15" t="s">
        <v>41</v>
      </c>
      <c r="H36" s="15"/>
      <c r="I36" s="15" t="s">
        <v>941</v>
      </c>
      <c r="J36" s="15"/>
      <c r="K36" s="15" t="s">
        <v>932</v>
      </c>
      <c r="L36" s="15"/>
      <c r="M36" s="15" t="s">
        <v>933</v>
      </c>
      <c r="N36" s="15"/>
      <c r="O36" s="15" t="s">
        <v>938</v>
      </c>
      <c r="P36" s="15"/>
      <c r="Q36" s="15" t="s">
        <v>939</v>
      </c>
      <c r="R36" s="15"/>
      <c r="S36" s="15" t="s">
        <v>940</v>
      </c>
      <c r="T36" s="15">
        <v>0</v>
      </c>
      <c r="U36" s="15">
        <v>0</v>
      </c>
      <c r="V36" s="15">
        <v>0</v>
      </c>
      <c r="W36" s="15">
        <v>0</v>
      </c>
      <c r="X36" s="15" t="s">
        <v>937</v>
      </c>
      <c r="Y36" s="15"/>
      <c r="Z36" s="15"/>
      <c r="AA36" s="16" t="s">
        <v>90</v>
      </c>
      <c r="AB36" s="17" t="s">
        <v>91</v>
      </c>
      <c r="AC36" s="17" t="s">
        <v>61</v>
      </c>
      <c r="AD36" s="18">
        <v>70763496</v>
      </c>
      <c r="AE36" s="34">
        <v>0</v>
      </c>
      <c r="AF36" s="34">
        <v>0</v>
      </c>
      <c r="AG36" s="34">
        <v>0</v>
      </c>
      <c r="AH36" s="34">
        <v>0</v>
      </c>
      <c r="AI36" s="34">
        <v>0</v>
      </c>
      <c r="AJ36" s="18">
        <v>70763496</v>
      </c>
      <c r="AK36" s="34">
        <v>0</v>
      </c>
      <c r="AL36" s="39">
        <f>AM36-'MARZO '!AM36</f>
        <v>3350104</v>
      </c>
      <c r="AM36" s="18">
        <v>5670094</v>
      </c>
      <c r="AN36" s="34">
        <v>0</v>
      </c>
      <c r="AO36" s="39">
        <f>AP36-'MARZO '!AP36</f>
        <v>3350104</v>
      </c>
      <c r="AP36" s="18">
        <v>5670094</v>
      </c>
      <c r="AQ36" s="34">
        <v>0</v>
      </c>
      <c r="AR36" s="39">
        <f>AS36-'MARZO '!AS36</f>
        <v>5670094</v>
      </c>
      <c r="AS36" s="34">
        <v>5670094</v>
      </c>
      <c r="AT36" s="40">
        <f t="shared" si="7"/>
        <v>5670094</v>
      </c>
      <c r="AU36" s="18">
        <f t="shared" si="11"/>
        <v>65093402</v>
      </c>
      <c r="AV36" s="34">
        <f t="shared" si="12"/>
        <v>0</v>
      </c>
      <c r="AW36" s="34">
        <f t="shared" si="13"/>
        <v>0</v>
      </c>
      <c r="AX36" s="32">
        <f t="shared" si="8"/>
        <v>8.012738658361368E-2</v>
      </c>
    </row>
    <row r="37" spans="1:50" ht="18.75" customHeight="1" x14ac:dyDescent="0.2">
      <c r="A37" s="14" t="s">
        <v>49</v>
      </c>
      <c r="B37" s="15" t="s">
        <v>50</v>
      </c>
      <c r="C37" s="15"/>
      <c r="D37" s="15" t="s">
        <v>40</v>
      </c>
      <c r="E37" s="15"/>
      <c r="F37" s="15"/>
      <c r="G37" s="15" t="s">
        <v>41</v>
      </c>
      <c r="H37" s="15"/>
      <c r="I37" s="15" t="s">
        <v>936</v>
      </c>
      <c r="J37" s="15"/>
      <c r="K37" s="15" t="s">
        <v>932</v>
      </c>
      <c r="L37" s="15"/>
      <c r="M37" s="15" t="s">
        <v>933</v>
      </c>
      <c r="N37" s="15"/>
      <c r="O37" s="15" t="s">
        <v>938</v>
      </c>
      <c r="P37" s="15"/>
      <c r="Q37" s="15" t="s">
        <v>939</v>
      </c>
      <c r="R37" s="15"/>
      <c r="S37" s="15" t="s">
        <v>940</v>
      </c>
      <c r="T37" s="15">
        <v>0</v>
      </c>
      <c r="U37" s="15">
        <v>0</v>
      </c>
      <c r="V37" s="15">
        <v>0</v>
      </c>
      <c r="W37" s="15">
        <v>0</v>
      </c>
      <c r="X37" s="15" t="s">
        <v>937</v>
      </c>
      <c r="Y37" s="15"/>
      <c r="Z37" s="15"/>
      <c r="AA37" s="16" t="s">
        <v>92</v>
      </c>
      <c r="AB37" s="17" t="s">
        <v>93</v>
      </c>
      <c r="AC37" s="17" t="s">
        <v>58</v>
      </c>
      <c r="AD37" s="18">
        <v>128952600</v>
      </c>
      <c r="AE37" s="34">
        <v>0</v>
      </c>
      <c r="AF37" s="34">
        <v>0</v>
      </c>
      <c r="AG37" s="34">
        <v>0</v>
      </c>
      <c r="AH37" s="34">
        <v>0</v>
      </c>
      <c r="AI37" s="34">
        <v>0</v>
      </c>
      <c r="AJ37" s="18">
        <v>128952600</v>
      </c>
      <c r="AK37" s="34">
        <v>0</v>
      </c>
      <c r="AL37" s="40">
        <f>AM37-'MARZO '!AM37</f>
        <v>0</v>
      </c>
      <c r="AM37" s="34">
        <v>0</v>
      </c>
      <c r="AN37" s="34">
        <v>0</v>
      </c>
      <c r="AO37" s="34">
        <v>0</v>
      </c>
      <c r="AP37" s="34">
        <v>0</v>
      </c>
      <c r="AQ37" s="34">
        <v>0</v>
      </c>
      <c r="AR37" s="34">
        <v>0</v>
      </c>
      <c r="AS37" s="34">
        <v>0</v>
      </c>
      <c r="AT37" s="40">
        <f t="shared" si="7"/>
        <v>0</v>
      </c>
      <c r="AU37" s="18">
        <f t="shared" si="11"/>
        <v>128952600</v>
      </c>
      <c r="AV37" s="34">
        <f t="shared" si="12"/>
        <v>0</v>
      </c>
      <c r="AW37" s="34">
        <f t="shared" si="13"/>
        <v>0</v>
      </c>
      <c r="AX37" s="32">
        <f t="shared" si="8"/>
        <v>0</v>
      </c>
    </row>
    <row r="38" spans="1:50" ht="18.75" customHeight="1" x14ac:dyDescent="0.2">
      <c r="A38" s="35" t="s">
        <v>49</v>
      </c>
      <c r="B38" s="36" t="s">
        <v>50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7" t="s">
        <v>94</v>
      </c>
      <c r="AB38" s="38" t="s">
        <v>95</v>
      </c>
      <c r="AC38" s="38" t="s">
        <v>56</v>
      </c>
      <c r="AD38" s="40">
        <v>0</v>
      </c>
      <c r="AE38" s="40">
        <v>0</v>
      </c>
      <c r="AF38" s="40">
        <v>0</v>
      </c>
      <c r="AG38" s="40">
        <v>0</v>
      </c>
      <c r="AH38" s="40">
        <v>0</v>
      </c>
      <c r="AI38" s="40">
        <v>0</v>
      </c>
      <c r="AJ38" s="40">
        <v>0</v>
      </c>
      <c r="AK38" s="40">
        <v>0</v>
      </c>
      <c r="AL38" s="40">
        <f>AM38-'MARZO '!AM38</f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0</v>
      </c>
      <c r="AT38" s="40">
        <f t="shared" si="7"/>
        <v>0</v>
      </c>
      <c r="AU38" s="34">
        <f t="shared" si="11"/>
        <v>0</v>
      </c>
      <c r="AV38" s="34">
        <f t="shared" si="12"/>
        <v>0</v>
      </c>
      <c r="AW38" s="34">
        <f t="shared" si="13"/>
        <v>0</v>
      </c>
      <c r="AX38" s="32">
        <v>0</v>
      </c>
    </row>
    <row r="39" spans="1:50" s="25" customFormat="1" ht="18.75" customHeight="1" x14ac:dyDescent="0.2">
      <c r="A39" s="19" t="s">
        <v>49</v>
      </c>
      <c r="B39" s="19" t="s">
        <v>50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26" t="s">
        <v>96</v>
      </c>
      <c r="AB39" s="21" t="s">
        <v>97</v>
      </c>
      <c r="AC39" s="22" t="s">
        <v>37</v>
      </c>
      <c r="AD39" s="22">
        <f>AD40</f>
        <v>23412454</v>
      </c>
      <c r="AE39" s="23">
        <f t="shared" ref="AE39:AW40" si="19">AE40</f>
        <v>0</v>
      </c>
      <c r="AF39" s="23">
        <f t="shared" si="19"/>
        <v>0</v>
      </c>
      <c r="AG39" s="23">
        <f t="shared" si="19"/>
        <v>0</v>
      </c>
      <c r="AH39" s="23">
        <f t="shared" si="19"/>
        <v>0</v>
      </c>
      <c r="AI39" s="23">
        <f t="shared" si="19"/>
        <v>0</v>
      </c>
      <c r="AJ39" s="22">
        <f t="shared" si="19"/>
        <v>23412454</v>
      </c>
      <c r="AK39" s="23">
        <f t="shared" si="19"/>
        <v>0</v>
      </c>
      <c r="AL39" s="23">
        <f t="shared" si="19"/>
        <v>0</v>
      </c>
      <c r="AM39" s="23">
        <f t="shared" si="19"/>
        <v>0</v>
      </c>
      <c r="AN39" s="23">
        <f t="shared" si="19"/>
        <v>0</v>
      </c>
      <c r="AO39" s="23">
        <f t="shared" si="19"/>
        <v>0</v>
      </c>
      <c r="AP39" s="23">
        <f t="shared" si="19"/>
        <v>0</v>
      </c>
      <c r="AQ39" s="23">
        <f t="shared" si="19"/>
        <v>0</v>
      </c>
      <c r="AR39" s="23">
        <f t="shared" si="19"/>
        <v>0</v>
      </c>
      <c r="AS39" s="23">
        <f t="shared" si="19"/>
        <v>0</v>
      </c>
      <c r="AT39" s="23">
        <f>AQ39+AS39</f>
        <v>0</v>
      </c>
      <c r="AU39" s="22">
        <f t="shared" si="19"/>
        <v>23412454</v>
      </c>
      <c r="AV39" s="23">
        <f t="shared" si="19"/>
        <v>0</v>
      </c>
      <c r="AW39" s="23">
        <f t="shared" si="19"/>
        <v>0</v>
      </c>
      <c r="AX39" s="24">
        <f t="shared" si="8"/>
        <v>0</v>
      </c>
    </row>
    <row r="40" spans="1:50" ht="18.75" customHeight="1" x14ac:dyDescent="0.2">
      <c r="A40" s="27" t="s">
        <v>55</v>
      </c>
      <c r="B40" s="27" t="s">
        <v>56</v>
      </c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8" t="s">
        <v>98</v>
      </c>
      <c r="AB40" s="29" t="s">
        <v>99</v>
      </c>
      <c r="AC40" s="30" t="s">
        <v>37</v>
      </c>
      <c r="AD40" s="30">
        <f>AD41</f>
        <v>23412454</v>
      </c>
      <c r="AE40" s="31">
        <f t="shared" si="19"/>
        <v>0</v>
      </c>
      <c r="AF40" s="31">
        <f t="shared" si="19"/>
        <v>0</v>
      </c>
      <c r="AG40" s="31">
        <f t="shared" si="19"/>
        <v>0</v>
      </c>
      <c r="AH40" s="31">
        <f t="shared" si="19"/>
        <v>0</v>
      </c>
      <c r="AI40" s="31">
        <f t="shared" si="19"/>
        <v>0</v>
      </c>
      <c r="AJ40" s="30">
        <f t="shared" si="19"/>
        <v>23412454</v>
      </c>
      <c r="AK40" s="31">
        <f t="shared" si="19"/>
        <v>0</v>
      </c>
      <c r="AL40" s="31">
        <f t="shared" si="19"/>
        <v>0</v>
      </c>
      <c r="AM40" s="31">
        <f t="shared" si="19"/>
        <v>0</v>
      </c>
      <c r="AN40" s="31">
        <f t="shared" si="19"/>
        <v>0</v>
      </c>
      <c r="AO40" s="31">
        <f t="shared" si="19"/>
        <v>0</v>
      </c>
      <c r="AP40" s="31">
        <f t="shared" si="19"/>
        <v>0</v>
      </c>
      <c r="AQ40" s="31">
        <f t="shared" si="19"/>
        <v>0</v>
      </c>
      <c r="AR40" s="31">
        <f t="shared" si="19"/>
        <v>0</v>
      </c>
      <c r="AS40" s="31">
        <f t="shared" si="19"/>
        <v>0</v>
      </c>
      <c r="AT40" s="31">
        <f t="shared" ref="AT40:AT41" si="20">AQ40+AS40</f>
        <v>0</v>
      </c>
      <c r="AU40" s="18">
        <f t="shared" ref="AU40:AU41" si="21">AJ40-AM40</f>
        <v>23412454</v>
      </c>
      <c r="AV40" s="34">
        <f t="shared" ref="AV40:AV41" si="22">AM40-AP40</f>
        <v>0</v>
      </c>
      <c r="AW40" s="34">
        <f t="shared" ref="AW40:AW41" si="23">AP40-AT40</f>
        <v>0</v>
      </c>
      <c r="AX40" s="32">
        <f t="shared" si="8"/>
        <v>0</v>
      </c>
    </row>
    <row r="41" spans="1:50" ht="18.75" customHeight="1" x14ac:dyDescent="0.2">
      <c r="A41" s="14" t="s">
        <v>55</v>
      </c>
      <c r="B41" s="15" t="s">
        <v>56</v>
      </c>
      <c r="C41" s="15"/>
      <c r="D41" s="15" t="s">
        <v>40</v>
      </c>
      <c r="E41" s="15"/>
      <c r="F41" s="15"/>
      <c r="G41" s="15" t="s">
        <v>41</v>
      </c>
      <c r="H41" s="15"/>
      <c r="I41" s="15" t="s">
        <v>936</v>
      </c>
      <c r="J41" s="15"/>
      <c r="K41" s="15" t="s">
        <v>932</v>
      </c>
      <c r="L41" s="15"/>
      <c r="M41" s="15" t="s">
        <v>933</v>
      </c>
      <c r="N41" s="15"/>
      <c r="O41" s="15" t="s">
        <v>938</v>
      </c>
      <c r="P41" s="15"/>
      <c r="Q41" s="15" t="s">
        <v>939</v>
      </c>
      <c r="R41" s="15"/>
      <c r="S41" s="15" t="s">
        <v>940</v>
      </c>
      <c r="T41" s="15">
        <v>0</v>
      </c>
      <c r="U41" s="15">
        <v>0</v>
      </c>
      <c r="V41" s="15">
        <v>0</v>
      </c>
      <c r="W41" s="15">
        <v>0</v>
      </c>
      <c r="X41" s="15" t="s">
        <v>937</v>
      </c>
      <c r="Y41" s="15"/>
      <c r="Z41" s="15"/>
      <c r="AA41" s="16" t="s">
        <v>100</v>
      </c>
      <c r="AB41" s="17" t="s">
        <v>101</v>
      </c>
      <c r="AC41" s="17" t="s">
        <v>58</v>
      </c>
      <c r="AD41" s="18">
        <v>23412454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18">
        <v>23412454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1">
        <f t="shared" si="20"/>
        <v>0</v>
      </c>
      <c r="AU41" s="18">
        <f t="shared" si="21"/>
        <v>23412454</v>
      </c>
      <c r="AV41" s="34">
        <f t="shared" si="22"/>
        <v>0</v>
      </c>
      <c r="AW41" s="34">
        <f t="shared" si="23"/>
        <v>0</v>
      </c>
      <c r="AX41" s="32">
        <f t="shared" si="8"/>
        <v>0</v>
      </c>
    </row>
    <row r="42" spans="1:50" s="25" customFormat="1" ht="18.75" customHeight="1" x14ac:dyDescent="0.2">
      <c r="A42" s="19" t="s">
        <v>49</v>
      </c>
      <c r="B42" s="19" t="s">
        <v>50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6" t="s">
        <v>102</v>
      </c>
      <c r="AB42" s="21" t="s">
        <v>103</v>
      </c>
      <c r="AC42" s="22" t="s">
        <v>37</v>
      </c>
      <c r="AD42" s="22">
        <f>AD43+AD46+AD49+AD52+AD55+AD58+AD61+AD64+AD67</f>
        <v>9938807657</v>
      </c>
      <c r="AE42" s="23">
        <f t="shared" ref="AE42:AW42" si="24">AE43+AE46+AE49+AE52+AE55+AE58+AE61+AE64+AE67</f>
        <v>0</v>
      </c>
      <c r="AF42" s="23">
        <f t="shared" si="24"/>
        <v>0</v>
      </c>
      <c r="AG42" s="23">
        <f t="shared" si="24"/>
        <v>0</v>
      </c>
      <c r="AH42" s="23">
        <f t="shared" si="24"/>
        <v>0</v>
      </c>
      <c r="AI42" s="23">
        <f t="shared" si="24"/>
        <v>0</v>
      </c>
      <c r="AJ42" s="22">
        <f t="shared" si="24"/>
        <v>9938807657</v>
      </c>
      <c r="AK42" s="22">
        <f t="shared" si="24"/>
        <v>7671600</v>
      </c>
      <c r="AL42" s="22">
        <f t="shared" si="24"/>
        <v>565114935</v>
      </c>
      <c r="AM42" s="22">
        <f t="shared" si="24"/>
        <v>2830805432</v>
      </c>
      <c r="AN42" s="23">
        <f t="shared" si="24"/>
        <v>0</v>
      </c>
      <c r="AO42" s="22">
        <f t="shared" si="24"/>
        <v>565269235</v>
      </c>
      <c r="AP42" s="22">
        <f t="shared" si="24"/>
        <v>2830805432</v>
      </c>
      <c r="AQ42" s="22">
        <f t="shared" si="24"/>
        <v>35586100</v>
      </c>
      <c r="AR42" s="22">
        <f t="shared" si="24"/>
        <v>729322360</v>
      </c>
      <c r="AS42" s="22">
        <f t="shared" si="24"/>
        <v>2794516107</v>
      </c>
      <c r="AT42" s="22">
        <f>AQ42+AS42</f>
        <v>2830102207</v>
      </c>
      <c r="AU42" s="22">
        <f t="shared" si="24"/>
        <v>7108002225</v>
      </c>
      <c r="AV42" s="23">
        <f t="shared" si="24"/>
        <v>0</v>
      </c>
      <c r="AW42" s="22">
        <f t="shared" si="24"/>
        <v>703225</v>
      </c>
      <c r="AX42" s="24">
        <f t="shared" si="8"/>
        <v>0.28482344459158898</v>
      </c>
    </row>
    <row r="43" spans="1:50" ht="18.75" customHeight="1" x14ac:dyDescent="0.2">
      <c r="A43" s="27" t="s">
        <v>49</v>
      </c>
      <c r="B43" s="27" t="s">
        <v>50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8" t="s">
        <v>104</v>
      </c>
      <c r="AB43" s="29" t="s">
        <v>105</v>
      </c>
      <c r="AC43" s="30" t="s">
        <v>37</v>
      </c>
      <c r="AD43" s="30">
        <f>AD44+AD45</f>
        <v>2694944550</v>
      </c>
      <c r="AE43" s="31">
        <f t="shared" ref="AE43:AS43" si="25">AE44+AE45</f>
        <v>0</v>
      </c>
      <c r="AF43" s="31">
        <f t="shared" si="25"/>
        <v>0</v>
      </c>
      <c r="AG43" s="31">
        <f t="shared" si="25"/>
        <v>0</v>
      </c>
      <c r="AH43" s="31">
        <f t="shared" si="25"/>
        <v>0</v>
      </c>
      <c r="AI43" s="31">
        <f t="shared" si="25"/>
        <v>0</v>
      </c>
      <c r="AJ43" s="30">
        <f t="shared" si="25"/>
        <v>2694944550</v>
      </c>
      <c r="AK43" s="31">
        <f t="shared" si="25"/>
        <v>0</v>
      </c>
      <c r="AL43" s="30">
        <f t="shared" si="25"/>
        <v>192159400</v>
      </c>
      <c r="AM43" s="30">
        <f t="shared" si="25"/>
        <v>588420200</v>
      </c>
      <c r="AN43" s="31">
        <f t="shared" si="25"/>
        <v>0</v>
      </c>
      <c r="AO43" s="30">
        <f t="shared" si="25"/>
        <v>192246000</v>
      </c>
      <c r="AP43" s="30">
        <f t="shared" si="25"/>
        <v>588420200</v>
      </c>
      <c r="AQ43" s="30">
        <f t="shared" si="25"/>
        <v>13950200</v>
      </c>
      <c r="AR43" s="30">
        <f t="shared" si="25"/>
        <v>192193700</v>
      </c>
      <c r="AS43" s="30">
        <f t="shared" si="25"/>
        <v>574470000</v>
      </c>
      <c r="AT43" s="30">
        <f t="shared" ref="AT43:AT69" si="26">AQ43+AS43</f>
        <v>588420200</v>
      </c>
      <c r="AU43" s="18">
        <f t="shared" ref="AU43:AU69" si="27">AJ43-AM43</f>
        <v>2106524350</v>
      </c>
      <c r="AV43" s="34">
        <f t="shared" ref="AV43:AV69" si="28">AM43-AP43</f>
        <v>0</v>
      </c>
      <c r="AW43" s="34">
        <f t="shared" ref="AW43:AW69" si="29">AP43-AT43</f>
        <v>0</v>
      </c>
      <c r="AX43" s="32">
        <f t="shared" si="8"/>
        <v>0.21834222897090777</v>
      </c>
    </row>
    <row r="44" spans="1:50" ht="18.75" customHeight="1" x14ac:dyDescent="0.2">
      <c r="A44" s="14" t="s">
        <v>55</v>
      </c>
      <c r="B44" s="15" t="s">
        <v>56</v>
      </c>
      <c r="C44" s="15"/>
      <c r="D44" s="15" t="s">
        <v>40</v>
      </c>
      <c r="E44" s="15"/>
      <c r="F44" s="15"/>
      <c r="G44" s="15" t="s">
        <v>41</v>
      </c>
      <c r="H44" s="15"/>
      <c r="I44" s="15" t="s">
        <v>936</v>
      </c>
      <c r="J44" s="15"/>
      <c r="K44" s="15" t="s">
        <v>932</v>
      </c>
      <c r="L44" s="15"/>
      <c r="M44" s="15" t="s">
        <v>933</v>
      </c>
      <c r="N44" s="15"/>
      <c r="O44" s="15" t="s">
        <v>938</v>
      </c>
      <c r="P44" s="15"/>
      <c r="Q44" s="15" t="s">
        <v>939</v>
      </c>
      <c r="R44" s="15"/>
      <c r="S44" s="15" t="s">
        <v>940</v>
      </c>
      <c r="T44" s="15">
        <v>0</v>
      </c>
      <c r="U44" s="15">
        <v>0</v>
      </c>
      <c r="V44" s="15">
        <v>0</v>
      </c>
      <c r="W44" s="15">
        <v>0</v>
      </c>
      <c r="X44" s="15" t="s">
        <v>937</v>
      </c>
      <c r="Y44" s="15"/>
      <c r="Z44" s="15"/>
      <c r="AA44" s="16" t="s">
        <v>106</v>
      </c>
      <c r="AB44" s="17" t="s">
        <v>105</v>
      </c>
      <c r="AC44" s="17" t="s">
        <v>58</v>
      </c>
      <c r="AD44" s="18">
        <v>2434081998</v>
      </c>
      <c r="AE44" s="34">
        <v>0</v>
      </c>
      <c r="AF44" s="34">
        <v>0</v>
      </c>
      <c r="AG44" s="34">
        <v>0</v>
      </c>
      <c r="AH44" s="34">
        <v>0</v>
      </c>
      <c r="AI44" s="34">
        <v>0</v>
      </c>
      <c r="AJ44" s="18">
        <v>2434081998</v>
      </c>
      <c r="AK44" s="34">
        <v>0</v>
      </c>
      <c r="AL44" s="18">
        <f>AM44-'MARZO '!AM44</f>
        <v>178209200</v>
      </c>
      <c r="AM44" s="18">
        <v>533887500</v>
      </c>
      <c r="AN44" s="34">
        <v>0</v>
      </c>
      <c r="AO44" s="18">
        <f>AP44-'MARZO '!AP44</f>
        <v>178209200</v>
      </c>
      <c r="AP44" s="18">
        <v>533887500</v>
      </c>
      <c r="AQ44" s="18">
        <v>0</v>
      </c>
      <c r="AR44" s="18">
        <f>AS44-'MARZO '!AS44</f>
        <v>178209200</v>
      </c>
      <c r="AS44" s="18">
        <v>533887500</v>
      </c>
      <c r="AT44" s="30">
        <f t="shared" si="26"/>
        <v>533887500</v>
      </c>
      <c r="AU44" s="18">
        <f t="shared" si="27"/>
        <v>1900194498</v>
      </c>
      <c r="AV44" s="34">
        <f t="shared" si="28"/>
        <v>0</v>
      </c>
      <c r="AW44" s="34">
        <f t="shared" si="29"/>
        <v>0</v>
      </c>
      <c r="AX44" s="32">
        <f t="shared" si="8"/>
        <v>0.21933833800121635</v>
      </c>
    </row>
    <row r="45" spans="1:50" ht="27" customHeight="1" x14ac:dyDescent="0.2">
      <c r="A45" s="14" t="s">
        <v>55</v>
      </c>
      <c r="B45" s="15" t="s">
        <v>56</v>
      </c>
      <c r="C45" s="15"/>
      <c r="D45" s="15" t="s">
        <v>40</v>
      </c>
      <c r="E45" s="15"/>
      <c r="F45" s="15"/>
      <c r="G45" s="15" t="s">
        <v>41</v>
      </c>
      <c r="H45" s="15"/>
      <c r="I45" s="15" t="s">
        <v>941</v>
      </c>
      <c r="J45" s="15"/>
      <c r="K45" s="15" t="s">
        <v>932</v>
      </c>
      <c r="L45" s="15"/>
      <c r="M45" s="15" t="s">
        <v>933</v>
      </c>
      <c r="N45" s="15"/>
      <c r="O45" s="15" t="s">
        <v>938</v>
      </c>
      <c r="P45" s="15"/>
      <c r="Q45" s="15" t="s">
        <v>939</v>
      </c>
      <c r="R45" s="15"/>
      <c r="S45" s="15" t="s">
        <v>940</v>
      </c>
      <c r="T45" s="15">
        <v>0</v>
      </c>
      <c r="U45" s="15">
        <v>0</v>
      </c>
      <c r="V45" s="15">
        <v>0</v>
      </c>
      <c r="W45" s="15">
        <v>0</v>
      </c>
      <c r="X45" s="15" t="s">
        <v>937</v>
      </c>
      <c r="Y45" s="15"/>
      <c r="Z45" s="15"/>
      <c r="AA45" s="16" t="s">
        <v>107</v>
      </c>
      <c r="AB45" s="17" t="s">
        <v>108</v>
      </c>
      <c r="AC45" s="17" t="s">
        <v>61</v>
      </c>
      <c r="AD45" s="18">
        <v>260862552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18">
        <v>260862552</v>
      </c>
      <c r="AK45" s="34">
        <v>0</v>
      </c>
      <c r="AL45" s="18">
        <f>AM45-'MARZO '!AM45</f>
        <v>13950200</v>
      </c>
      <c r="AM45" s="18">
        <v>54532700</v>
      </c>
      <c r="AN45" s="34">
        <v>0</v>
      </c>
      <c r="AO45" s="18">
        <f>AP45-'MARZO '!AP45</f>
        <v>14036800</v>
      </c>
      <c r="AP45" s="18">
        <v>54532700</v>
      </c>
      <c r="AQ45" s="18">
        <v>13950200</v>
      </c>
      <c r="AR45" s="18">
        <f>AS45-'MARZO '!AS45</f>
        <v>13984500</v>
      </c>
      <c r="AS45" s="18">
        <v>40582500</v>
      </c>
      <c r="AT45" s="30">
        <f t="shared" si="26"/>
        <v>54532700</v>
      </c>
      <c r="AU45" s="18">
        <f t="shared" si="27"/>
        <v>206329852</v>
      </c>
      <c r="AV45" s="34">
        <f t="shared" si="28"/>
        <v>0</v>
      </c>
      <c r="AW45" s="34">
        <f t="shared" si="29"/>
        <v>0</v>
      </c>
      <c r="AX45" s="32">
        <f t="shared" si="8"/>
        <v>0.20904763670333179</v>
      </c>
    </row>
    <row r="46" spans="1:50" ht="18.75" customHeight="1" x14ac:dyDescent="0.2">
      <c r="A46" s="27" t="s">
        <v>49</v>
      </c>
      <c r="B46" s="27" t="s">
        <v>50</v>
      </c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8" t="s">
        <v>109</v>
      </c>
      <c r="AB46" s="29" t="s">
        <v>110</v>
      </c>
      <c r="AC46" s="30" t="s">
        <v>37</v>
      </c>
      <c r="AD46" s="30">
        <f>AD47+AD48</f>
        <v>1966170915</v>
      </c>
      <c r="AE46" s="31">
        <f t="shared" ref="AE46:AS46" si="30">AE47+AE48</f>
        <v>0</v>
      </c>
      <c r="AF46" s="31">
        <f t="shared" si="30"/>
        <v>0</v>
      </c>
      <c r="AG46" s="31">
        <f t="shared" si="30"/>
        <v>0</v>
      </c>
      <c r="AH46" s="31">
        <f t="shared" si="30"/>
        <v>0</v>
      </c>
      <c r="AI46" s="31">
        <f t="shared" si="30"/>
        <v>0</v>
      </c>
      <c r="AJ46" s="30">
        <f t="shared" si="30"/>
        <v>1966170915</v>
      </c>
      <c r="AK46" s="31">
        <f t="shared" si="30"/>
        <v>0</v>
      </c>
      <c r="AL46" s="30">
        <f t="shared" si="30"/>
        <v>140732800</v>
      </c>
      <c r="AM46" s="30">
        <f t="shared" si="30"/>
        <v>428620200</v>
      </c>
      <c r="AN46" s="31">
        <f t="shared" si="30"/>
        <v>0</v>
      </c>
      <c r="AO46" s="30">
        <f t="shared" si="30"/>
        <v>140800500</v>
      </c>
      <c r="AP46" s="30">
        <f t="shared" si="30"/>
        <v>428620200</v>
      </c>
      <c r="AQ46" s="30">
        <f t="shared" si="30"/>
        <v>9881300</v>
      </c>
      <c r="AR46" s="30">
        <f t="shared" si="30"/>
        <v>140763600</v>
      </c>
      <c r="AS46" s="109">
        <f t="shared" si="30"/>
        <v>418738900</v>
      </c>
      <c r="AT46" s="39">
        <f t="shared" si="26"/>
        <v>428620200</v>
      </c>
      <c r="AU46" s="18">
        <f t="shared" si="27"/>
        <v>1537550715</v>
      </c>
      <c r="AV46" s="34">
        <f t="shared" si="28"/>
        <v>0</v>
      </c>
      <c r="AW46" s="34">
        <f t="shared" si="29"/>
        <v>0</v>
      </c>
      <c r="AX46" s="32">
        <f t="shared" si="8"/>
        <v>0.2179974267394755</v>
      </c>
    </row>
    <row r="47" spans="1:50" ht="18.75" customHeight="1" x14ac:dyDescent="0.2">
      <c r="A47" s="35" t="s">
        <v>55</v>
      </c>
      <c r="B47" s="36" t="s">
        <v>56</v>
      </c>
      <c r="C47" s="36"/>
      <c r="D47" s="36" t="s">
        <v>40</v>
      </c>
      <c r="E47" s="36"/>
      <c r="F47" s="36"/>
      <c r="G47" s="36" t="s">
        <v>41</v>
      </c>
      <c r="H47" s="36"/>
      <c r="I47" s="36" t="s">
        <v>936</v>
      </c>
      <c r="J47" s="36"/>
      <c r="K47" s="36" t="s">
        <v>932</v>
      </c>
      <c r="L47" s="36"/>
      <c r="M47" s="36" t="s">
        <v>933</v>
      </c>
      <c r="N47" s="36"/>
      <c r="O47" s="36" t="s">
        <v>938</v>
      </c>
      <c r="P47" s="36"/>
      <c r="Q47" s="36" t="s">
        <v>939</v>
      </c>
      <c r="R47" s="36"/>
      <c r="S47" s="36" t="s">
        <v>940</v>
      </c>
      <c r="T47" s="36">
        <v>0</v>
      </c>
      <c r="U47" s="36">
        <v>0</v>
      </c>
      <c r="V47" s="36">
        <v>0</v>
      </c>
      <c r="W47" s="36">
        <v>0</v>
      </c>
      <c r="X47" s="36" t="s">
        <v>937</v>
      </c>
      <c r="Y47" s="36"/>
      <c r="Z47" s="36"/>
      <c r="AA47" s="37" t="s">
        <v>111</v>
      </c>
      <c r="AB47" s="38" t="s">
        <v>110</v>
      </c>
      <c r="AC47" s="38" t="s">
        <v>58</v>
      </c>
      <c r="AD47" s="39">
        <v>1757106683</v>
      </c>
      <c r="AE47" s="40">
        <v>0</v>
      </c>
      <c r="AF47" s="40">
        <v>0</v>
      </c>
      <c r="AG47" s="40">
        <v>0</v>
      </c>
      <c r="AH47" s="40">
        <v>0</v>
      </c>
      <c r="AI47" s="40">
        <v>0</v>
      </c>
      <c r="AJ47" s="39">
        <v>1757106683</v>
      </c>
      <c r="AK47" s="40">
        <v>0</v>
      </c>
      <c r="AL47" s="39">
        <f>AM47-'MARZO '!AM47</f>
        <v>130851500</v>
      </c>
      <c r="AM47" s="39">
        <v>389986600</v>
      </c>
      <c r="AN47" s="40">
        <v>0</v>
      </c>
      <c r="AO47" s="39">
        <f>AP47-'MARZO '!AP47</f>
        <v>130851500</v>
      </c>
      <c r="AP47" s="39">
        <v>389986600</v>
      </c>
      <c r="AQ47" s="39">
        <v>0</v>
      </c>
      <c r="AR47" s="39">
        <f>AS47-'MARZO '!AS47</f>
        <v>130851500</v>
      </c>
      <c r="AS47" s="111">
        <v>389986600</v>
      </c>
      <c r="AT47" s="39">
        <f t="shared" si="26"/>
        <v>389986600</v>
      </c>
      <c r="AU47" s="18">
        <f t="shared" si="27"/>
        <v>1367120083</v>
      </c>
      <c r="AV47" s="34">
        <f t="shared" si="28"/>
        <v>0</v>
      </c>
      <c r="AW47" s="34">
        <f t="shared" si="29"/>
        <v>0</v>
      </c>
      <c r="AX47" s="32">
        <f t="shared" si="8"/>
        <v>0.2219481627229119</v>
      </c>
    </row>
    <row r="48" spans="1:50" ht="18.75" customHeight="1" x14ac:dyDescent="0.2">
      <c r="A48" s="14" t="s">
        <v>55</v>
      </c>
      <c r="B48" s="15" t="s">
        <v>56</v>
      </c>
      <c r="C48" s="15"/>
      <c r="D48" s="15" t="s">
        <v>40</v>
      </c>
      <c r="E48" s="15"/>
      <c r="F48" s="15"/>
      <c r="G48" s="15" t="s">
        <v>41</v>
      </c>
      <c r="H48" s="15"/>
      <c r="I48" s="15" t="s">
        <v>941</v>
      </c>
      <c r="J48" s="15"/>
      <c r="K48" s="15" t="s">
        <v>932</v>
      </c>
      <c r="L48" s="15"/>
      <c r="M48" s="15" t="s">
        <v>933</v>
      </c>
      <c r="N48" s="15"/>
      <c r="O48" s="15" t="s">
        <v>938</v>
      </c>
      <c r="P48" s="15"/>
      <c r="Q48" s="15" t="s">
        <v>939</v>
      </c>
      <c r="R48" s="15"/>
      <c r="S48" s="15" t="s">
        <v>940</v>
      </c>
      <c r="T48" s="15">
        <v>0</v>
      </c>
      <c r="U48" s="15">
        <v>0</v>
      </c>
      <c r="V48" s="15">
        <v>0</v>
      </c>
      <c r="W48" s="15">
        <v>0</v>
      </c>
      <c r="X48" s="15" t="s">
        <v>937</v>
      </c>
      <c r="Y48" s="15"/>
      <c r="Z48" s="15"/>
      <c r="AA48" s="16" t="s">
        <v>112</v>
      </c>
      <c r="AB48" s="17" t="s">
        <v>113</v>
      </c>
      <c r="AC48" s="17" t="s">
        <v>61</v>
      </c>
      <c r="AD48" s="18">
        <v>209064232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18">
        <v>209064232</v>
      </c>
      <c r="AK48" s="34">
        <v>0</v>
      </c>
      <c r="AL48" s="39">
        <f>AM48-'MARZO '!AM48</f>
        <v>9881300</v>
      </c>
      <c r="AM48" s="18">
        <v>38633600</v>
      </c>
      <c r="AN48" s="34">
        <v>0</v>
      </c>
      <c r="AO48" s="39">
        <f>AP48-'MARZO '!AP48</f>
        <v>9949000</v>
      </c>
      <c r="AP48" s="18">
        <v>38633600</v>
      </c>
      <c r="AQ48" s="18">
        <v>9881300</v>
      </c>
      <c r="AR48" s="39">
        <f>AS48-'MARZO '!AS48</f>
        <v>9912100</v>
      </c>
      <c r="AS48" s="110">
        <v>28752300</v>
      </c>
      <c r="AT48" s="39">
        <f t="shared" si="26"/>
        <v>38633600</v>
      </c>
      <c r="AU48" s="18">
        <f t="shared" si="27"/>
        <v>170430632</v>
      </c>
      <c r="AV48" s="34">
        <f t="shared" si="28"/>
        <v>0</v>
      </c>
      <c r="AW48" s="34">
        <f t="shared" si="29"/>
        <v>0</v>
      </c>
      <c r="AX48" s="32">
        <f t="shared" si="8"/>
        <v>0.18479296831607236</v>
      </c>
    </row>
    <row r="49" spans="1:50" ht="18.75" customHeight="1" x14ac:dyDescent="0.2">
      <c r="A49" s="27" t="s">
        <v>49</v>
      </c>
      <c r="B49" s="27" t="s">
        <v>50</v>
      </c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8" t="s">
        <v>114</v>
      </c>
      <c r="AB49" s="29" t="s">
        <v>115</v>
      </c>
      <c r="AC49" s="30" t="s">
        <v>37</v>
      </c>
      <c r="AD49" s="30">
        <f>AD50+AD51</f>
        <v>2387025947</v>
      </c>
      <c r="AE49" s="31">
        <f t="shared" ref="AE49:AS49" si="31">AE50+AE51</f>
        <v>0</v>
      </c>
      <c r="AF49" s="31">
        <f t="shared" si="31"/>
        <v>0</v>
      </c>
      <c r="AG49" s="31">
        <f t="shared" si="31"/>
        <v>0</v>
      </c>
      <c r="AH49" s="31">
        <f t="shared" si="31"/>
        <v>0</v>
      </c>
      <c r="AI49" s="31">
        <f t="shared" si="31"/>
        <v>0</v>
      </c>
      <c r="AJ49" s="30">
        <f t="shared" si="31"/>
        <v>2387025947</v>
      </c>
      <c r="AK49" s="31">
        <f t="shared" si="31"/>
        <v>0</v>
      </c>
      <c r="AL49" s="30">
        <f t="shared" si="31"/>
        <v>75741735</v>
      </c>
      <c r="AM49" s="30">
        <f t="shared" si="31"/>
        <v>1320677032</v>
      </c>
      <c r="AN49" s="31">
        <f t="shared" si="31"/>
        <v>0</v>
      </c>
      <c r="AO49" s="30">
        <f t="shared" si="31"/>
        <v>75741735</v>
      </c>
      <c r="AP49" s="30">
        <f t="shared" si="31"/>
        <v>1320677032</v>
      </c>
      <c r="AQ49" s="31">
        <f t="shared" si="31"/>
        <v>0</v>
      </c>
      <c r="AR49" s="30">
        <f t="shared" si="31"/>
        <v>240178960</v>
      </c>
      <c r="AS49" s="30">
        <f t="shared" si="31"/>
        <v>1319973807</v>
      </c>
      <c r="AT49" s="39">
        <f t="shared" si="26"/>
        <v>1319973807</v>
      </c>
      <c r="AU49" s="18">
        <f t="shared" si="27"/>
        <v>1066348915</v>
      </c>
      <c r="AV49" s="34">
        <f t="shared" si="28"/>
        <v>0</v>
      </c>
      <c r="AW49" s="18">
        <f t="shared" si="29"/>
        <v>703225</v>
      </c>
      <c r="AX49" s="32">
        <f t="shared" si="8"/>
        <v>0.55327301056773981</v>
      </c>
    </row>
    <row r="50" spans="1:50" ht="18.75" customHeight="1" x14ac:dyDescent="0.2">
      <c r="A50" s="14" t="s">
        <v>55</v>
      </c>
      <c r="B50" s="15" t="s">
        <v>56</v>
      </c>
      <c r="C50" s="15"/>
      <c r="D50" s="15" t="s">
        <v>40</v>
      </c>
      <c r="E50" s="15"/>
      <c r="F50" s="15"/>
      <c r="G50" s="15" t="s">
        <v>41</v>
      </c>
      <c r="H50" s="15"/>
      <c r="I50" s="15" t="s">
        <v>936</v>
      </c>
      <c r="J50" s="15"/>
      <c r="K50" s="15" t="s">
        <v>932</v>
      </c>
      <c r="L50" s="15"/>
      <c r="M50" s="15" t="s">
        <v>933</v>
      </c>
      <c r="N50" s="15"/>
      <c r="O50" s="15" t="s">
        <v>938</v>
      </c>
      <c r="P50" s="15"/>
      <c r="Q50" s="15" t="s">
        <v>939</v>
      </c>
      <c r="R50" s="15"/>
      <c r="S50" s="15" t="s">
        <v>940</v>
      </c>
      <c r="T50" s="15">
        <v>0</v>
      </c>
      <c r="U50" s="15">
        <v>0</v>
      </c>
      <c r="V50" s="15">
        <v>0</v>
      </c>
      <c r="W50" s="15">
        <v>0</v>
      </c>
      <c r="X50" s="15" t="s">
        <v>937</v>
      </c>
      <c r="Y50" s="15"/>
      <c r="Z50" s="15"/>
      <c r="AA50" s="16" t="s">
        <v>116</v>
      </c>
      <c r="AB50" s="17" t="s">
        <v>115</v>
      </c>
      <c r="AC50" s="17" t="s">
        <v>58</v>
      </c>
      <c r="AD50" s="18">
        <v>2208060292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18">
        <v>2208060292</v>
      </c>
      <c r="AK50" s="34">
        <v>0</v>
      </c>
      <c r="AL50" s="18">
        <f>AM50-'MARZO '!AM50</f>
        <v>72416297</v>
      </c>
      <c r="AM50" s="18">
        <v>1251089510</v>
      </c>
      <c r="AN50" s="34">
        <v>0</v>
      </c>
      <c r="AO50" s="18">
        <f>AP50-'MARZO '!AP50</f>
        <v>72416297</v>
      </c>
      <c r="AP50" s="18">
        <v>1251089510</v>
      </c>
      <c r="AQ50" s="34">
        <v>0</v>
      </c>
      <c r="AR50" s="18">
        <f>AS50-'MARZO '!AS50</f>
        <v>236456379</v>
      </c>
      <c r="AS50" s="110">
        <v>1251089510</v>
      </c>
      <c r="AT50" s="39">
        <f t="shared" si="26"/>
        <v>1251089510</v>
      </c>
      <c r="AU50" s="18">
        <f t="shared" si="27"/>
        <v>956970782</v>
      </c>
      <c r="AV50" s="34">
        <f t="shared" si="28"/>
        <v>0</v>
      </c>
      <c r="AW50" s="18">
        <f t="shared" si="29"/>
        <v>0</v>
      </c>
      <c r="AX50" s="32">
        <f t="shared" si="8"/>
        <v>0.56660115420435264</v>
      </c>
    </row>
    <row r="51" spans="1:50" ht="18.75" customHeight="1" x14ac:dyDescent="0.2">
      <c r="A51" s="14" t="s">
        <v>55</v>
      </c>
      <c r="B51" s="15" t="s">
        <v>56</v>
      </c>
      <c r="C51" s="15"/>
      <c r="D51" s="15" t="s">
        <v>40</v>
      </c>
      <c r="E51" s="15"/>
      <c r="F51" s="15"/>
      <c r="G51" s="15" t="s">
        <v>41</v>
      </c>
      <c r="H51" s="15"/>
      <c r="I51" s="15" t="s">
        <v>941</v>
      </c>
      <c r="J51" s="15"/>
      <c r="K51" s="15" t="s">
        <v>932</v>
      </c>
      <c r="L51" s="15"/>
      <c r="M51" s="15" t="s">
        <v>933</v>
      </c>
      <c r="N51" s="15"/>
      <c r="O51" s="15" t="s">
        <v>938</v>
      </c>
      <c r="P51" s="15"/>
      <c r="Q51" s="15" t="s">
        <v>939</v>
      </c>
      <c r="R51" s="15"/>
      <c r="S51" s="15" t="s">
        <v>940</v>
      </c>
      <c r="T51" s="15">
        <v>0</v>
      </c>
      <c r="U51" s="15">
        <v>0</v>
      </c>
      <c r="V51" s="15">
        <v>0</v>
      </c>
      <c r="W51" s="15">
        <v>0</v>
      </c>
      <c r="X51" s="15" t="s">
        <v>937</v>
      </c>
      <c r="Y51" s="15"/>
      <c r="Z51" s="15"/>
      <c r="AA51" s="16" t="s">
        <v>117</v>
      </c>
      <c r="AB51" s="17" t="s">
        <v>115</v>
      </c>
      <c r="AC51" s="17" t="s">
        <v>61</v>
      </c>
      <c r="AD51" s="18">
        <v>178965655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18">
        <v>178965655</v>
      </c>
      <c r="AK51" s="34">
        <v>0</v>
      </c>
      <c r="AL51" s="18">
        <f>AM51-'MARZO '!AM51</f>
        <v>3325438</v>
      </c>
      <c r="AM51" s="18">
        <v>69587522</v>
      </c>
      <c r="AN51" s="34">
        <v>0</v>
      </c>
      <c r="AO51" s="18">
        <f>AP51-'MARZO '!AP51</f>
        <v>3325438</v>
      </c>
      <c r="AP51" s="18">
        <v>69587522</v>
      </c>
      <c r="AQ51" s="34">
        <v>0</v>
      </c>
      <c r="AR51" s="18">
        <f>AS51-'MARZO '!AS51</f>
        <v>3722581</v>
      </c>
      <c r="AS51" s="110">
        <v>68884297</v>
      </c>
      <c r="AT51" s="39">
        <f t="shared" si="26"/>
        <v>68884297</v>
      </c>
      <c r="AU51" s="18">
        <f t="shared" si="27"/>
        <v>109378133</v>
      </c>
      <c r="AV51" s="34">
        <f t="shared" si="28"/>
        <v>0</v>
      </c>
      <c r="AW51" s="18">
        <f t="shared" si="29"/>
        <v>703225</v>
      </c>
      <c r="AX51" s="32">
        <f t="shared" si="8"/>
        <v>0.38883171187231425</v>
      </c>
    </row>
    <row r="52" spans="1:50" ht="18.75" customHeight="1" x14ac:dyDescent="0.2">
      <c r="A52" s="27" t="s">
        <v>49</v>
      </c>
      <c r="B52" s="27" t="s">
        <v>50</v>
      </c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8" t="s">
        <v>118</v>
      </c>
      <c r="AB52" s="29" t="s">
        <v>119</v>
      </c>
      <c r="AC52" s="30" t="s">
        <v>37</v>
      </c>
      <c r="AD52" s="30">
        <f>AD53+AD54</f>
        <v>1154194065</v>
      </c>
      <c r="AE52" s="31">
        <f t="shared" ref="AE52:AS52" si="32">AE53+AE54</f>
        <v>0</v>
      </c>
      <c r="AF52" s="31">
        <f t="shared" si="32"/>
        <v>0</v>
      </c>
      <c r="AG52" s="31">
        <f t="shared" si="32"/>
        <v>0</v>
      </c>
      <c r="AH52" s="31">
        <f t="shared" si="32"/>
        <v>0</v>
      </c>
      <c r="AI52" s="31">
        <f t="shared" si="32"/>
        <v>0</v>
      </c>
      <c r="AJ52" s="30">
        <f t="shared" si="32"/>
        <v>1154194065</v>
      </c>
      <c r="AK52" s="31">
        <f t="shared" si="32"/>
        <v>0</v>
      </c>
      <c r="AL52" s="30">
        <f t="shared" si="32"/>
        <v>66210000</v>
      </c>
      <c r="AM52" s="30">
        <f t="shared" si="32"/>
        <v>202408600</v>
      </c>
      <c r="AN52" s="31">
        <f t="shared" si="32"/>
        <v>0</v>
      </c>
      <c r="AO52" s="30">
        <f t="shared" si="32"/>
        <v>66210000</v>
      </c>
      <c r="AP52" s="30">
        <f t="shared" si="32"/>
        <v>202408600</v>
      </c>
      <c r="AQ52" s="30">
        <f t="shared" si="32"/>
        <v>4966600</v>
      </c>
      <c r="AR52" s="30">
        <f t="shared" si="32"/>
        <v>66072400</v>
      </c>
      <c r="AS52" s="30">
        <f t="shared" si="32"/>
        <v>197442000</v>
      </c>
      <c r="AT52" s="30">
        <f t="shared" si="26"/>
        <v>202408600</v>
      </c>
      <c r="AU52" s="18">
        <f t="shared" si="27"/>
        <v>951785465</v>
      </c>
      <c r="AV52" s="34">
        <f t="shared" si="28"/>
        <v>0</v>
      </c>
      <c r="AW52" s="34">
        <f t="shared" si="29"/>
        <v>0</v>
      </c>
      <c r="AX52" s="32">
        <f t="shared" si="8"/>
        <v>0.17536790920857837</v>
      </c>
    </row>
    <row r="53" spans="1:50" ht="18.75" customHeight="1" x14ac:dyDescent="0.2">
      <c r="A53" s="14" t="s">
        <v>55</v>
      </c>
      <c r="B53" s="15" t="s">
        <v>56</v>
      </c>
      <c r="C53" s="15"/>
      <c r="D53" s="15" t="s">
        <v>40</v>
      </c>
      <c r="E53" s="15"/>
      <c r="F53" s="15"/>
      <c r="G53" s="15" t="s">
        <v>41</v>
      </c>
      <c r="H53" s="15"/>
      <c r="I53" s="15" t="s">
        <v>936</v>
      </c>
      <c r="J53" s="15"/>
      <c r="K53" s="15" t="s">
        <v>932</v>
      </c>
      <c r="L53" s="15"/>
      <c r="M53" s="15" t="s">
        <v>933</v>
      </c>
      <c r="N53" s="15"/>
      <c r="O53" s="15" t="s">
        <v>938</v>
      </c>
      <c r="P53" s="15"/>
      <c r="Q53" s="15" t="s">
        <v>939</v>
      </c>
      <c r="R53" s="15"/>
      <c r="S53" s="15" t="s">
        <v>940</v>
      </c>
      <c r="T53" s="15">
        <v>0</v>
      </c>
      <c r="U53" s="15">
        <v>0</v>
      </c>
      <c r="V53" s="15">
        <v>0</v>
      </c>
      <c r="W53" s="15">
        <v>0</v>
      </c>
      <c r="X53" s="15" t="s">
        <v>937</v>
      </c>
      <c r="Y53" s="15"/>
      <c r="Z53" s="15"/>
      <c r="AA53" s="16" t="s">
        <v>120</v>
      </c>
      <c r="AB53" s="17" t="s">
        <v>119</v>
      </c>
      <c r="AC53" s="17" t="s">
        <v>58</v>
      </c>
      <c r="AD53" s="18">
        <v>1088978427</v>
      </c>
      <c r="AE53" s="34">
        <v>0</v>
      </c>
      <c r="AF53" s="34">
        <v>0</v>
      </c>
      <c r="AG53" s="34">
        <v>0</v>
      </c>
      <c r="AH53" s="34">
        <v>0</v>
      </c>
      <c r="AI53" s="34">
        <v>0</v>
      </c>
      <c r="AJ53" s="18">
        <v>1088978427</v>
      </c>
      <c r="AK53" s="34">
        <v>0</v>
      </c>
      <c r="AL53" s="18">
        <f>AM53-'MARZO '!AM53</f>
        <v>61243400</v>
      </c>
      <c r="AM53" s="18">
        <v>183759400</v>
      </c>
      <c r="AN53" s="34">
        <v>0</v>
      </c>
      <c r="AO53" s="18">
        <f>AP53-'MARZO '!AP53</f>
        <v>61243400</v>
      </c>
      <c r="AP53" s="18">
        <v>183759400</v>
      </c>
      <c r="AQ53" s="34">
        <v>0</v>
      </c>
      <c r="AR53" s="18">
        <f>AS53-'MARZO '!AS53</f>
        <v>61243400</v>
      </c>
      <c r="AS53" s="110">
        <v>183759400</v>
      </c>
      <c r="AT53" s="30">
        <f t="shared" si="26"/>
        <v>183759400</v>
      </c>
      <c r="AU53" s="18">
        <f t="shared" si="27"/>
        <v>905219027</v>
      </c>
      <c r="AV53" s="34">
        <f t="shared" si="28"/>
        <v>0</v>
      </c>
      <c r="AW53" s="34">
        <f t="shared" si="29"/>
        <v>0</v>
      </c>
      <c r="AX53" s="32">
        <f t="shared" si="8"/>
        <v>0.16874475696110369</v>
      </c>
    </row>
    <row r="54" spans="1:50" ht="28.5" customHeight="1" x14ac:dyDescent="0.2">
      <c r="A54" s="14" t="s">
        <v>55</v>
      </c>
      <c r="B54" s="15" t="s">
        <v>56</v>
      </c>
      <c r="C54" s="15"/>
      <c r="D54" s="15" t="s">
        <v>40</v>
      </c>
      <c r="E54" s="15"/>
      <c r="F54" s="15"/>
      <c r="G54" s="15" t="s">
        <v>41</v>
      </c>
      <c r="H54" s="15"/>
      <c r="I54" s="15" t="s">
        <v>941</v>
      </c>
      <c r="J54" s="15"/>
      <c r="K54" s="15" t="s">
        <v>932</v>
      </c>
      <c r="L54" s="15"/>
      <c r="M54" s="15" t="s">
        <v>933</v>
      </c>
      <c r="N54" s="15"/>
      <c r="O54" s="15" t="s">
        <v>938</v>
      </c>
      <c r="P54" s="15"/>
      <c r="Q54" s="15" t="s">
        <v>939</v>
      </c>
      <c r="R54" s="15"/>
      <c r="S54" s="15" t="s">
        <v>940</v>
      </c>
      <c r="T54" s="15">
        <v>0</v>
      </c>
      <c r="U54" s="15">
        <v>0</v>
      </c>
      <c r="V54" s="15">
        <v>0</v>
      </c>
      <c r="W54" s="15">
        <v>0</v>
      </c>
      <c r="X54" s="15" t="s">
        <v>937</v>
      </c>
      <c r="Y54" s="15"/>
      <c r="Z54" s="15"/>
      <c r="AA54" s="16" t="s">
        <v>121</v>
      </c>
      <c r="AB54" s="17" t="s">
        <v>122</v>
      </c>
      <c r="AC54" s="17" t="s">
        <v>61</v>
      </c>
      <c r="AD54" s="18">
        <v>65215638</v>
      </c>
      <c r="AE54" s="34">
        <v>0</v>
      </c>
      <c r="AF54" s="34">
        <v>0</v>
      </c>
      <c r="AG54" s="34">
        <v>0</v>
      </c>
      <c r="AH54" s="34">
        <v>0</v>
      </c>
      <c r="AI54" s="34">
        <v>0</v>
      </c>
      <c r="AJ54" s="18">
        <v>65215638</v>
      </c>
      <c r="AK54" s="34">
        <v>0</v>
      </c>
      <c r="AL54" s="18">
        <f>AM54-'MARZO '!AM54</f>
        <v>4966600</v>
      </c>
      <c r="AM54" s="18">
        <v>18649200</v>
      </c>
      <c r="AN54" s="34">
        <v>0</v>
      </c>
      <c r="AO54" s="18">
        <f>AP54-'MARZO '!AP54</f>
        <v>4966600</v>
      </c>
      <c r="AP54" s="18">
        <v>18649200</v>
      </c>
      <c r="AQ54" s="18">
        <v>4966600</v>
      </c>
      <c r="AR54" s="18">
        <f>AS54-'MARZO '!AS54</f>
        <v>4829000</v>
      </c>
      <c r="AS54" s="18">
        <v>13682600</v>
      </c>
      <c r="AT54" s="30">
        <f t="shared" si="26"/>
        <v>18649200</v>
      </c>
      <c r="AU54" s="18">
        <f t="shared" si="27"/>
        <v>46566438</v>
      </c>
      <c r="AV54" s="34">
        <f t="shared" si="28"/>
        <v>0</v>
      </c>
      <c r="AW54" s="34">
        <f t="shared" si="29"/>
        <v>0</v>
      </c>
      <c r="AX54" s="32">
        <f t="shared" si="8"/>
        <v>0.28596208780476856</v>
      </c>
    </row>
    <row r="55" spans="1:50" ht="18.75" customHeight="1" x14ac:dyDescent="0.2">
      <c r="A55" s="27" t="s">
        <v>49</v>
      </c>
      <c r="B55" s="27" t="s">
        <v>50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8" t="s">
        <v>123</v>
      </c>
      <c r="AB55" s="29" t="s">
        <v>124</v>
      </c>
      <c r="AC55" s="30" t="s">
        <v>37</v>
      </c>
      <c r="AD55" s="30">
        <f>AD56+AD57</f>
        <v>308515529</v>
      </c>
      <c r="AE55" s="31">
        <f t="shared" ref="AE55:AS55" si="33">AE56+AE57</f>
        <v>0</v>
      </c>
      <c r="AF55" s="31">
        <f t="shared" si="33"/>
        <v>0</v>
      </c>
      <c r="AG55" s="31">
        <f t="shared" si="33"/>
        <v>0</v>
      </c>
      <c r="AH55" s="31">
        <f t="shared" si="33"/>
        <v>0</v>
      </c>
      <c r="AI55" s="31">
        <f t="shared" si="33"/>
        <v>0</v>
      </c>
      <c r="AJ55" s="30">
        <f t="shared" si="33"/>
        <v>308515529</v>
      </c>
      <c r="AK55" s="31">
        <f t="shared" si="33"/>
        <v>0</v>
      </c>
      <c r="AL55" s="30">
        <f t="shared" si="33"/>
        <v>15752500</v>
      </c>
      <c r="AM55" s="30">
        <f t="shared" si="33"/>
        <v>45811900</v>
      </c>
      <c r="AN55" s="31">
        <f t="shared" si="33"/>
        <v>0</v>
      </c>
      <c r="AO55" s="30">
        <f t="shared" si="33"/>
        <v>15752500</v>
      </c>
      <c r="AP55" s="30">
        <f t="shared" si="33"/>
        <v>45811900</v>
      </c>
      <c r="AQ55" s="30">
        <f t="shared" si="33"/>
        <v>595800</v>
      </c>
      <c r="AR55" s="30">
        <f t="shared" si="33"/>
        <v>15750200</v>
      </c>
      <c r="AS55" s="30">
        <f t="shared" si="33"/>
        <v>45216100</v>
      </c>
      <c r="AT55" s="30">
        <f t="shared" si="26"/>
        <v>45811900</v>
      </c>
      <c r="AU55" s="18">
        <f t="shared" si="27"/>
        <v>262703629</v>
      </c>
      <c r="AV55" s="34">
        <f t="shared" si="28"/>
        <v>0</v>
      </c>
      <c r="AW55" s="34">
        <f t="shared" si="29"/>
        <v>0</v>
      </c>
      <c r="AX55" s="32">
        <f t="shared" si="8"/>
        <v>0.14849139084989138</v>
      </c>
    </row>
    <row r="56" spans="1:50" ht="18.75" customHeight="1" x14ac:dyDescent="0.2">
      <c r="A56" s="35" t="s">
        <v>55</v>
      </c>
      <c r="B56" s="36" t="s">
        <v>56</v>
      </c>
      <c r="C56" s="36"/>
      <c r="D56" s="36" t="s">
        <v>40</v>
      </c>
      <c r="E56" s="36"/>
      <c r="F56" s="36"/>
      <c r="G56" s="36" t="s">
        <v>41</v>
      </c>
      <c r="H56" s="36"/>
      <c r="I56" s="36" t="s">
        <v>936</v>
      </c>
      <c r="J56" s="36"/>
      <c r="K56" s="36" t="s">
        <v>932</v>
      </c>
      <c r="L56" s="36"/>
      <c r="M56" s="36" t="s">
        <v>933</v>
      </c>
      <c r="N56" s="36"/>
      <c r="O56" s="36" t="s">
        <v>938</v>
      </c>
      <c r="P56" s="36"/>
      <c r="Q56" s="36" t="s">
        <v>939</v>
      </c>
      <c r="R56" s="36"/>
      <c r="S56" s="36" t="s">
        <v>940</v>
      </c>
      <c r="T56" s="36">
        <v>0</v>
      </c>
      <c r="U56" s="36">
        <v>0</v>
      </c>
      <c r="V56" s="36">
        <v>0</v>
      </c>
      <c r="W56" s="36">
        <v>0</v>
      </c>
      <c r="X56" s="36" t="s">
        <v>937</v>
      </c>
      <c r="Y56" s="36"/>
      <c r="Z56" s="36"/>
      <c r="AA56" s="37" t="s">
        <v>125</v>
      </c>
      <c r="AB56" s="38" t="s">
        <v>124</v>
      </c>
      <c r="AC56" s="38" t="s">
        <v>58</v>
      </c>
      <c r="AD56" s="39">
        <v>299999998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39">
        <v>299999998</v>
      </c>
      <c r="AK56" s="40">
        <v>0</v>
      </c>
      <c r="AL56" s="39">
        <v>15156700</v>
      </c>
      <c r="AM56" s="39">
        <v>43465000</v>
      </c>
      <c r="AN56" s="40">
        <v>0</v>
      </c>
      <c r="AO56" s="39">
        <f>AP56-'MARZO '!AP56</f>
        <v>15156700</v>
      </c>
      <c r="AP56" s="39">
        <v>43465000</v>
      </c>
      <c r="AQ56" s="40">
        <v>0</v>
      </c>
      <c r="AR56" s="39">
        <f>AS56-'MARZO '!AS56</f>
        <v>15156700</v>
      </c>
      <c r="AS56" s="111">
        <v>43465000</v>
      </c>
      <c r="AT56" s="30">
        <f t="shared" si="26"/>
        <v>43465000</v>
      </c>
      <c r="AU56" s="18">
        <f t="shared" si="27"/>
        <v>256534998</v>
      </c>
      <c r="AV56" s="34">
        <f t="shared" si="28"/>
        <v>0</v>
      </c>
      <c r="AW56" s="34">
        <f t="shared" si="29"/>
        <v>0</v>
      </c>
      <c r="AX56" s="32">
        <f t="shared" si="8"/>
        <v>0.14488333429922223</v>
      </c>
    </row>
    <row r="57" spans="1:50" ht="26.25" customHeight="1" x14ac:dyDescent="0.2">
      <c r="A57" s="35" t="s">
        <v>55</v>
      </c>
      <c r="B57" s="36" t="s">
        <v>56</v>
      </c>
      <c r="C57" s="36"/>
      <c r="D57" s="36" t="s">
        <v>40</v>
      </c>
      <c r="E57" s="36"/>
      <c r="F57" s="36"/>
      <c r="G57" s="36" t="s">
        <v>41</v>
      </c>
      <c r="H57" s="36"/>
      <c r="I57" s="36" t="s">
        <v>941</v>
      </c>
      <c r="J57" s="36"/>
      <c r="K57" s="36" t="s">
        <v>932</v>
      </c>
      <c r="L57" s="36"/>
      <c r="M57" s="36" t="s">
        <v>933</v>
      </c>
      <c r="N57" s="36"/>
      <c r="O57" s="36" t="s">
        <v>938</v>
      </c>
      <c r="P57" s="36"/>
      <c r="Q57" s="36" t="s">
        <v>939</v>
      </c>
      <c r="R57" s="36"/>
      <c r="S57" s="36" t="s">
        <v>940</v>
      </c>
      <c r="T57" s="36">
        <v>0</v>
      </c>
      <c r="U57" s="36">
        <v>0</v>
      </c>
      <c r="V57" s="36">
        <v>0</v>
      </c>
      <c r="W57" s="36">
        <v>0</v>
      </c>
      <c r="X57" s="36" t="s">
        <v>937</v>
      </c>
      <c r="Y57" s="36"/>
      <c r="Z57" s="36"/>
      <c r="AA57" s="37" t="s">
        <v>126</v>
      </c>
      <c r="AB57" s="38" t="s">
        <v>127</v>
      </c>
      <c r="AC57" s="38" t="s">
        <v>61</v>
      </c>
      <c r="AD57" s="39">
        <v>8515531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39">
        <v>8515531</v>
      </c>
      <c r="AK57" s="40">
        <v>0</v>
      </c>
      <c r="AL57" s="39">
        <v>595800</v>
      </c>
      <c r="AM57" s="39">
        <v>2346900</v>
      </c>
      <c r="AN57" s="40">
        <v>0</v>
      </c>
      <c r="AO57" s="39">
        <f>AP57-'MARZO '!AP57</f>
        <v>595800</v>
      </c>
      <c r="AP57" s="39">
        <v>2346900</v>
      </c>
      <c r="AQ57" s="39">
        <v>595800</v>
      </c>
      <c r="AR57" s="39">
        <f>AS57-'MARZO '!AS57</f>
        <v>593500</v>
      </c>
      <c r="AS57" s="39">
        <v>1751100</v>
      </c>
      <c r="AT57" s="30">
        <f t="shared" si="26"/>
        <v>2346900</v>
      </c>
      <c r="AU57" s="18">
        <f t="shared" si="27"/>
        <v>6168631</v>
      </c>
      <c r="AV57" s="34">
        <f t="shared" si="28"/>
        <v>0</v>
      </c>
      <c r="AW57" s="34">
        <f t="shared" si="29"/>
        <v>0</v>
      </c>
      <c r="AX57" s="32">
        <f t="shared" si="8"/>
        <v>0.27560230829997567</v>
      </c>
    </row>
    <row r="58" spans="1:50" ht="18.75" customHeight="1" x14ac:dyDescent="0.2">
      <c r="A58" s="27" t="s">
        <v>49</v>
      </c>
      <c r="B58" s="27" t="s">
        <v>50</v>
      </c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8" t="s">
        <v>128</v>
      </c>
      <c r="AB58" s="29" t="s">
        <v>129</v>
      </c>
      <c r="AC58" s="30" t="s">
        <v>37</v>
      </c>
      <c r="AD58" s="30">
        <f>AD59+AD60</f>
        <v>865645548</v>
      </c>
      <c r="AE58" s="31">
        <f t="shared" ref="AE58:AS58" si="34">AE59+AE60</f>
        <v>0</v>
      </c>
      <c r="AF58" s="31">
        <f t="shared" si="34"/>
        <v>0</v>
      </c>
      <c r="AG58" s="31">
        <f t="shared" si="34"/>
        <v>0</v>
      </c>
      <c r="AH58" s="31">
        <f t="shared" si="34"/>
        <v>0</v>
      </c>
      <c r="AI58" s="31">
        <f t="shared" si="34"/>
        <v>0</v>
      </c>
      <c r="AJ58" s="30">
        <f t="shared" si="34"/>
        <v>865645548</v>
      </c>
      <c r="AK58" s="31">
        <f t="shared" si="34"/>
        <v>0</v>
      </c>
      <c r="AL58" s="30">
        <f t="shared" si="34"/>
        <v>49657600</v>
      </c>
      <c r="AM58" s="30">
        <f t="shared" si="34"/>
        <v>151808300</v>
      </c>
      <c r="AN58" s="31">
        <f t="shared" si="34"/>
        <v>0</v>
      </c>
      <c r="AO58" s="30">
        <f t="shared" si="34"/>
        <v>49657600</v>
      </c>
      <c r="AP58" s="30">
        <f t="shared" si="34"/>
        <v>151808300</v>
      </c>
      <c r="AQ58" s="30">
        <f t="shared" si="34"/>
        <v>3724800</v>
      </c>
      <c r="AR58" s="30">
        <f t="shared" si="34"/>
        <v>49554400</v>
      </c>
      <c r="AS58" s="30">
        <f t="shared" si="34"/>
        <v>148083500</v>
      </c>
      <c r="AT58" s="30">
        <f t="shared" si="26"/>
        <v>151808300</v>
      </c>
      <c r="AU58" s="18">
        <f t="shared" si="27"/>
        <v>713837248</v>
      </c>
      <c r="AV58" s="34">
        <f t="shared" si="28"/>
        <v>0</v>
      </c>
      <c r="AW58" s="34">
        <f t="shared" si="29"/>
        <v>0</v>
      </c>
      <c r="AX58" s="32">
        <f t="shared" si="8"/>
        <v>0.17537004649390284</v>
      </c>
    </row>
    <row r="59" spans="1:50" ht="18.75" customHeight="1" x14ac:dyDescent="0.2">
      <c r="A59" s="14" t="s">
        <v>55</v>
      </c>
      <c r="B59" s="15" t="s">
        <v>56</v>
      </c>
      <c r="C59" s="15"/>
      <c r="D59" s="15" t="s">
        <v>40</v>
      </c>
      <c r="E59" s="15"/>
      <c r="F59" s="15"/>
      <c r="G59" s="15" t="s">
        <v>41</v>
      </c>
      <c r="H59" s="15"/>
      <c r="I59" s="15" t="s">
        <v>936</v>
      </c>
      <c r="J59" s="15"/>
      <c r="K59" s="15" t="s">
        <v>932</v>
      </c>
      <c r="L59" s="15"/>
      <c r="M59" s="15" t="s">
        <v>933</v>
      </c>
      <c r="N59" s="15"/>
      <c r="O59" s="15" t="s">
        <v>938</v>
      </c>
      <c r="P59" s="15"/>
      <c r="Q59" s="15" t="s">
        <v>939</v>
      </c>
      <c r="R59" s="15"/>
      <c r="S59" s="15" t="s">
        <v>940</v>
      </c>
      <c r="T59" s="15">
        <v>0</v>
      </c>
      <c r="U59" s="15">
        <v>0</v>
      </c>
      <c r="V59" s="15">
        <v>0</v>
      </c>
      <c r="W59" s="15">
        <v>0</v>
      </c>
      <c r="X59" s="15" t="s">
        <v>937</v>
      </c>
      <c r="Y59" s="15"/>
      <c r="Z59" s="15"/>
      <c r="AA59" s="16" t="s">
        <v>130</v>
      </c>
      <c r="AB59" s="17" t="s">
        <v>129</v>
      </c>
      <c r="AC59" s="17" t="s">
        <v>58</v>
      </c>
      <c r="AD59" s="18">
        <v>816733820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18">
        <v>816733820</v>
      </c>
      <c r="AK59" s="34">
        <v>0</v>
      </c>
      <c r="AL59" s="18">
        <v>45932800</v>
      </c>
      <c r="AM59" s="18">
        <v>137821900</v>
      </c>
      <c r="AN59" s="34">
        <v>0</v>
      </c>
      <c r="AO59" s="18">
        <f>AP59-'MARZO '!AP59</f>
        <v>45932800</v>
      </c>
      <c r="AP59" s="18">
        <v>137821900</v>
      </c>
      <c r="AQ59" s="34">
        <v>0</v>
      </c>
      <c r="AR59" s="18">
        <f>AS59-'MARZO '!AS59</f>
        <v>45932800</v>
      </c>
      <c r="AS59" s="18">
        <v>137821900</v>
      </c>
      <c r="AT59" s="30">
        <f t="shared" si="26"/>
        <v>137821900</v>
      </c>
      <c r="AU59" s="18">
        <f t="shared" si="27"/>
        <v>678911920</v>
      </c>
      <c r="AV59" s="34">
        <f t="shared" si="28"/>
        <v>0</v>
      </c>
      <c r="AW59" s="34">
        <f t="shared" si="29"/>
        <v>0</v>
      </c>
      <c r="AX59" s="32">
        <f t="shared" si="8"/>
        <v>0.16874763432717896</v>
      </c>
    </row>
    <row r="60" spans="1:50" ht="18.75" customHeight="1" x14ac:dyDescent="0.2">
      <c r="A60" s="14" t="s">
        <v>55</v>
      </c>
      <c r="B60" s="15" t="s">
        <v>56</v>
      </c>
      <c r="C60" s="15"/>
      <c r="D60" s="15" t="s">
        <v>40</v>
      </c>
      <c r="E60" s="15"/>
      <c r="F60" s="15"/>
      <c r="G60" s="15" t="s">
        <v>41</v>
      </c>
      <c r="H60" s="15"/>
      <c r="I60" s="15" t="s">
        <v>941</v>
      </c>
      <c r="J60" s="15"/>
      <c r="K60" s="15" t="s">
        <v>932</v>
      </c>
      <c r="L60" s="15"/>
      <c r="M60" s="15" t="s">
        <v>933</v>
      </c>
      <c r="N60" s="15"/>
      <c r="O60" s="15" t="s">
        <v>938</v>
      </c>
      <c r="P60" s="15"/>
      <c r="Q60" s="15" t="s">
        <v>939</v>
      </c>
      <c r="R60" s="15"/>
      <c r="S60" s="15" t="s">
        <v>940</v>
      </c>
      <c r="T60" s="15">
        <v>0</v>
      </c>
      <c r="U60" s="15">
        <v>0</v>
      </c>
      <c r="V60" s="15">
        <v>0</v>
      </c>
      <c r="W60" s="15">
        <v>0</v>
      </c>
      <c r="X60" s="15" t="s">
        <v>937</v>
      </c>
      <c r="Y60" s="15"/>
      <c r="Z60" s="15"/>
      <c r="AA60" s="16" t="s">
        <v>131</v>
      </c>
      <c r="AB60" s="17" t="s">
        <v>129</v>
      </c>
      <c r="AC60" s="17" t="s">
        <v>61</v>
      </c>
      <c r="AD60" s="18">
        <v>48911728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18">
        <v>48911728</v>
      </c>
      <c r="AK60" s="34">
        <v>0</v>
      </c>
      <c r="AL60" s="18">
        <v>3724800</v>
      </c>
      <c r="AM60" s="18">
        <v>13986400</v>
      </c>
      <c r="AN60" s="34">
        <v>0</v>
      </c>
      <c r="AO60" s="18">
        <f>AP60-'MARZO '!AP60</f>
        <v>3724800</v>
      </c>
      <c r="AP60" s="18">
        <v>13986400</v>
      </c>
      <c r="AQ60" s="192">
        <v>3724800</v>
      </c>
      <c r="AR60" s="18">
        <f>AS60-'MARZO '!AS60</f>
        <v>3621600</v>
      </c>
      <c r="AS60" s="192">
        <v>10261600</v>
      </c>
      <c r="AT60" s="30">
        <f t="shared" si="26"/>
        <v>13986400</v>
      </c>
      <c r="AU60" s="18">
        <f t="shared" si="27"/>
        <v>34925328</v>
      </c>
      <c r="AV60" s="34">
        <f t="shared" si="28"/>
        <v>0</v>
      </c>
      <c r="AW60" s="34">
        <f t="shared" si="29"/>
        <v>0</v>
      </c>
      <c r="AX60" s="32">
        <f t="shared" si="8"/>
        <v>0.28595186823086682</v>
      </c>
    </row>
    <row r="61" spans="1:50" ht="18.75" customHeight="1" x14ac:dyDescent="0.2">
      <c r="A61" s="27" t="s">
        <v>49</v>
      </c>
      <c r="B61" s="27" t="s">
        <v>50</v>
      </c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8" t="s">
        <v>132</v>
      </c>
      <c r="AB61" s="29" t="s">
        <v>133</v>
      </c>
      <c r="AC61" s="30" t="s">
        <v>37</v>
      </c>
      <c r="AD61" s="30">
        <f>AD62+AD63</f>
        <v>144274257</v>
      </c>
      <c r="AE61" s="31">
        <f t="shared" ref="AE61:AS61" si="35">AE62+AE63</f>
        <v>0</v>
      </c>
      <c r="AF61" s="31">
        <f t="shared" si="35"/>
        <v>0</v>
      </c>
      <c r="AG61" s="31">
        <f t="shared" si="35"/>
        <v>0</v>
      </c>
      <c r="AH61" s="31">
        <f t="shared" si="35"/>
        <v>0</v>
      </c>
      <c r="AI61" s="31">
        <f t="shared" si="35"/>
        <v>0</v>
      </c>
      <c r="AJ61" s="30">
        <f t="shared" si="35"/>
        <v>144274257</v>
      </c>
      <c r="AK61" s="31">
        <f t="shared" si="35"/>
        <v>0</v>
      </c>
      <c r="AL61" s="30">
        <f t="shared" si="35"/>
        <v>8293000</v>
      </c>
      <c r="AM61" s="30">
        <f t="shared" si="35"/>
        <v>25352600</v>
      </c>
      <c r="AN61" s="31">
        <f t="shared" si="35"/>
        <v>0</v>
      </c>
      <c r="AO61" s="30">
        <f t="shared" si="35"/>
        <v>8293000</v>
      </c>
      <c r="AP61" s="30">
        <f t="shared" si="35"/>
        <v>25352600</v>
      </c>
      <c r="AQ61" s="30">
        <f t="shared" si="35"/>
        <v>621400</v>
      </c>
      <c r="AR61" s="30">
        <f t="shared" si="35"/>
        <v>8275700</v>
      </c>
      <c r="AS61" s="30">
        <f t="shared" si="35"/>
        <v>24731200</v>
      </c>
      <c r="AT61" s="30">
        <f t="shared" si="26"/>
        <v>25352600</v>
      </c>
      <c r="AU61" s="18">
        <f t="shared" si="27"/>
        <v>118921657</v>
      </c>
      <c r="AV61" s="34">
        <f t="shared" si="28"/>
        <v>0</v>
      </c>
      <c r="AW61" s="34">
        <f t="shared" si="29"/>
        <v>0</v>
      </c>
      <c r="AX61" s="32">
        <f t="shared" si="8"/>
        <v>0.1757250428952131</v>
      </c>
    </row>
    <row r="62" spans="1:50" ht="18.75" customHeight="1" x14ac:dyDescent="0.2">
      <c r="A62" s="14" t="s">
        <v>55</v>
      </c>
      <c r="B62" s="15" t="s">
        <v>56</v>
      </c>
      <c r="C62" s="15"/>
      <c r="D62" s="15" t="s">
        <v>40</v>
      </c>
      <c r="E62" s="15"/>
      <c r="F62" s="15"/>
      <c r="G62" s="15" t="s">
        <v>41</v>
      </c>
      <c r="H62" s="15"/>
      <c r="I62" s="15" t="s">
        <v>936</v>
      </c>
      <c r="J62" s="15"/>
      <c r="K62" s="15" t="s">
        <v>932</v>
      </c>
      <c r="L62" s="15"/>
      <c r="M62" s="15" t="s">
        <v>933</v>
      </c>
      <c r="N62" s="15"/>
      <c r="O62" s="15" t="s">
        <v>938</v>
      </c>
      <c r="P62" s="15"/>
      <c r="Q62" s="15" t="s">
        <v>939</v>
      </c>
      <c r="R62" s="15"/>
      <c r="S62" s="15" t="s">
        <v>940</v>
      </c>
      <c r="T62" s="15">
        <v>0</v>
      </c>
      <c r="U62" s="15">
        <v>0</v>
      </c>
      <c r="V62" s="15">
        <v>0</v>
      </c>
      <c r="W62" s="15">
        <v>0</v>
      </c>
      <c r="X62" s="15" t="s">
        <v>937</v>
      </c>
      <c r="Y62" s="15"/>
      <c r="Z62" s="15"/>
      <c r="AA62" s="16" t="s">
        <v>134</v>
      </c>
      <c r="AB62" s="17" t="s">
        <v>133</v>
      </c>
      <c r="AC62" s="17" t="s">
        <v>58</v>
      </c>
      <c r="AD62" s="18">
        <v>136122303</v>
      </c>
      <c r="AE62" s="34">
        <v>0</v>
      </c>
      <c r="AF62" s="34">
        <v>0</v>
      </c>
      <c r="AG62" s="34">
        <v>0</v>
      </c>
      <c r="AH62" s="34">
        <v>0</v>
      </c>
      <c r="AI62" s="34">
        <v>0</v>
      </c>
      <c r="AJ62" s="18">
        <v>136122303</v>
      </c>
      <c r="AK62" s="34">
        <v>0</v>
      </c>
      <c r="AL62" s="18">
        <v>7671600</v>
      </c>
      <c r="AM62" s="18">
        <v>23019600</v>
      </c>
      <c r="AN62" s="34">
        <v>0</v>
      </c>
      <c r="AO62" s="18">
        <f>AP62-'MARZO '!AP62</f>
        <v>7671600</v>
      </c>
      <c r="AP62" s="18">
        <v>23019600</v>
      </c>
      <c r="AQ62" s="34">
        <v>0</v>
      </c>
      <c r="AR62" s="18">
        <f>AS62-'MARZO '!AS62</f>
        <v>7671600</v>
      </c>
      <c r="AS62" s="18">
        <v>23019600</v>
      </c>
      <c r="AT62" s="30">
        <f t="shared" si="26"/>
        <v>23019600</v>
      </c>
      <c r="AU62" s="18">
        <f t="shared" si="27"/>
        <v>113102703</v>
      </c>
      <c r="AV62" s="34">
        <f t="shared" si="28"/>
        <v>0</v>
      </c>
      <c r="AW62" s="34">
        <f t="shared" si="29"/>
        <v>0</v>
      </c>
      <c r="AX62" s="32">
        <f t="shared" si="8"/>
        <v>0.16910968660293677</v>
      </c>
    </row>
    <row r="63" spans="1:50" ht="18.75" customHeight="1" x14ac:dyDescent="0.2">
      <c r="A63" s="14" t="s">
        <v>55</v>
      </c>
      <c r="B63" s="15" t="s">
        <v>56</v>
      </c>
      <c r="C63" s="15"/>
      <c r="D63" s="15" t="s">
        <v>40</v>
      </c>
      <c r="E63" s="15"/>
      <c r="F63" s="15"/>
      <c r="G63" s="15" t="s">
        <v>41</v>
      </c>
      <c r="H63" s="15"/>
      <c r="I63" s="15" t="s">
        <v>941</v>
      </c>
      <c r="J63" s="15"/>
      <c r="K63" s="15" t="s">
        <v>932</v>
      </c>
      <c r="L63" s="15"/>
      <c r="M63" s="15" t="s">
        <v>933</v>
      </c>
      <c r="N63" s="15"/>
      <c r="O63" s="15" t="s">
        <v>938</v>
      </c>
      <c r="P63" s="15"/>
      <c r="Q63" s="15" t="s">
        <v>939</v>
      </c>
      <c r="R63" s="15"/>
      <c r="S63" s="15" t="s">
        <v>940</v>
      </c>
      <c r="T63" s="15">
        <v>0</v>
      </c>
      <c r="U63" s="15">
        <v>0</v>
      </c>
      <c r="V63" s="15">
        <v>0</v>
      </c>
      <c r="W63" s="15">
        <v>0</v>
      </c>
      <c r="X63" s="15" t="s">
        <v>937</v>
      </c>
      <c r="Y63" s="15"/>
      <c r="Z63" s="15"/>
      <c r="AA63" s="16" t="s">
        <v>135</v>
      </c>
      <c r="AB63" s="17" t="s">
        <v>136</v>
      </c>
      <c r="AC63" s="17" t="s">
        <v>61</v>
      </c>
      <c r="AD63" s="18">
        <v>8151954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18">
        <v>8151954</v>
      </c>
      <c r="AK63" s="34">
        <v>0</v>
      </c>
      <c r="AL63" s="18">
        <v>621400</v>
      </c>
      <c r="AM63" s="18">
        <v>2333000</v>
      </c>
      <c r="AN63" s="34">
        <v>0</v>
      </c>
      <c r="AO63" s="18">
        <f>AP63-'MARZO '!AP63</f>
        <v>621400</v>
      </c>
      <c r="AP63" s="18">
        <v>2333000</v>
      </c>
      <c r="AQ63" s="18">
        <v>621400</v>
      </c>
      <c r="AR63" s="18">
        <v>604100</v>
      </c>
      <c r="AS63" s="18">
        <v>1711600</v>
      </c>
      <c r="AT63" s="30">
        <f t="shared" si="26"/>
        <v>2333000</v>
      </c>
      <c r="AU63" s="18">
        <f t="shared" si="27"/>
        <v>5818954</v>
      </c>
      <c r="AV63" s="34">
        <f t="shared" si="28"/>
        <v>0</v>
      </c>
      <c r="AW63" s="34">
        <f t="shared" si="29"/>
        <v>0</v>
      </c>
      <c r="AX63" s="32">
        <f t="shared" si="8"/>
        <v>0.2861890535692424</v>
      </c>
    </row>
    <row r="64" spans="1:50" ht="18.75" customHeight="1" x14ac:dyDescent="0.2">
      <c r="A64" s="27" t="s">
        <v>49</v>
      </c>
      <c r="B64" s="27" t="s">
        <v>50</v>
      </c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8" t="s">
        <v>137</v>
      </c>
      <c r="AB64" s="29" t="s">
        <v>138</v>
      </c>
      <c r="AC64" s="30" t="s">
        <v>37</v>
      </c>
      <c r="AD64" s="30">
        <f>AD65+AD66</f>
        <v>144274257</v>
      </c>
      <c r="AE64" s="31">
        <f t="shared" ref="AE64:AS64" si="36">AE65+AE66</f>
        <v>0</v>
      </c>
      <c r="AF64" s="31">
        <f t="shared" si="36"/>
        <v>0</v>
      </c>
      <c r="AG64" s="31">
        <f t="shared" si="36"/>
        <v>0</v>
      </c>
      <c r="AH64" s="31">
        <f t="shared" si="36"/>
        <v>0</v>
      </c>
      <c r="AI64" s="31">
        <f t="shared" si="36"/>
        <v>0</v>
      </c>
      <c r="AJ64" s="30">
        <f t="shared" si="36"/>
        <v>144274257</v>
      </c>
      <c r="AK64" s="30">
        <f t="shared" si="36"/>
        <v>7671600</v>
      </c>
      <c r="AL64" s="31">
        <f t="shared" si="36"/>
        <v>0</v>
      </c>
      <c r="AM64" s="30">
        <f t="shared" si="36"/>
        <v>17059600</v>
      </c>
      <c r="AN64" s="31">
        <f t="shared" si="36"/>
        <v>0</v>
      </c>
      <c r="AO64" s="31">
        <f t="shared" si="36"/>
        <v>0</v>
      </c>
      <c r="AP64" s="30">
        <f t="shared" si="36"/>
        <v>17059600</v>
      </c>
      <c r="AQ64" s="30">
        <f t="shared" si="36"/>
        <v>604100</v>
      </c>
      <c r="AR64" s="31">
        <f t="shared" si="36"/>
        <v>0</v>
      </c>
      <c r="AS64" s="30">
        <f t="shared" si="36"/>
        <v>16455500</v>
      </c>
      <c r="AT64" s="30">
        <f t="shared" si="26"/>
        <v>17059600</v>
      </c>
      <c r="AU64" s="18">
        <f t="shared" si="27"/>
        <v>127214657</v>
      </c>
      <c r="AV64" s="34">
        <f t="shared" si="28"/>
        <v>0</v>
      </c>
      <c r="AW64" s="34">
        <f t="shared" si="29"/>
        <v>0</v>
      </c>
      <c r="AX64" s="32">
        <f t="shared" si="8"/>
        <v>0.11824424089739032</v>
      </c>
    </row>
    <row r="65" spans="1:50" ht="18.75" customHeight="1" x14ac:dyDescent="0.2">
      <c r="A65" s="14" t="s">
        <v>55</v>
      </c>
      <c r="B65" s="15" t="s">
        <v>56</v>
      </c>
      <c r="C65" s="15"/>
      <c r="D65" s="15" t="s">
        <v>40</v>
      </c>
      <c r="E65" s="15"/>
      <c r="F65" s="15"/>
      <c r="G65" s="15" t="s">
        <v>41</v>
      </c>
      <c r="H65" s="15"/>
      <c r="I65" s="15" t="s">
        <v>936</v>
      </c>
      <c r="J65" s="15"/>
      <c r="K65" s="15" t="s">
        <v>932</v>
      </c>
      <c r="L65" s="15"/>
      <c r="M65" s="15" t="s">
        <v>933</v>
      </c>
      <c r="N65" s="15"/>
      <c r="O65" s="15" t="s">
        <v>938</v>
      </c>
      <c r="P65" s="15"/>
      <c r="Q65" s="15" t="s">
        <v>939</v>
      </c>
      <c r="R65" s="15"/>
      <c r="S65" s="15" t="s">
        <v>940</v>
      </c>
      <c r="T65" s="15">
        <v>0</v>
      </c>
      <c r="U65" s="15">
        <v>0</v>
      </c>
      <c r="V65" s="15">
        <v>0</v>
      </c>
      <c r="W65" s="15">
        <v>0</v>
      </c>
      <c r="X65" s="15" t="s">
        <v>937</v>
      </c>
      <c r="Y65" s="15"/>
      <c r="Z65" s="15"/>
      <c r="AA65" s="16" t="s">
        <v>139</v>
      </c>
      <c r="AB65" s="17" t="s">
        <v>138</v>
      </c>
      <c r="AC65" s="17" t="s">
        <v>58</v>
      </c>
      <c r="AD65" s="18">
        <v>136122303</v>
      </c>
      <c r="AE65" s="34">
        <v>0</v>
      </c>
      <c r="AF65" s="34">
        <v>0</v>
      </c>
      <c r="AG65" s="34">
        <v>0</v>
      </c>
      <c r="AH65" s="34">
        <v>0</v>
      </c>
      <c r="AI65" s="34">
        <v>0</v>
      </c>
      <c r="AJ65" s="18">
        <v>136122303</v>
      </c>
      <c r="AK65" s="18">
        <v>7671600</v>
      </c>
      <c r="AL65" s="34">
        <f>AM65-'MARZO '!AM65</f>
        <v>0</v>
      </c>
      <c r="AM65" s="18">
        <v>15348000</v>
      </c>
      <c r="AN65" s="34">
        <v>0</v>
      </c>
      <c r="AO65" s="34">
        <f>AP65-'MARZO '!AP65</f>
        <v>0</v>
      </c>
      <c r="AP65" s="18">
        <v>15348000</v>
      </c>
      <c r="AQ65" s="18">
        <v>0</v>
      </c>
      <c r="AR65" s="34">
        <f>AS65-'MARZO '!AS65</f>
        <v>0</v>
      </c>
      <c r="AS65" s="18">
        <v>15348000</v>
      </c>
      <c r="AT65" s="30">
        <f t="shared" si="26"/>
        <v>15348000</v>
      </c>
      <c r="AU65" s="18">
        <f t="shared" si="27"/>
        <v>120774303</v>
      </c>
      <c r="AV65" s="34">
        <f t="shared" si="28"/>
        <v>0</v>
      </c>
      <c r="AW65" s="34">
        <f t="shared" si="29"/>
        <v>0</v>
      </c>
      <c r="AX65" s="32">
        <f t="shared" si="8"/>
        <v>0.11275154520416834</v>
      </c>
    </row>
    <row r="66" spans="1:50" ht="18.75" customHeight="1" x14ac:dyDescent="0.2">
      <c r="A66" s="14" t="s">
        <v>55</v>
      </c>
      <c r="B66" s="15" t="s">
        <v>56</v>
      </c>
      <c r="C66" s="15"/>
      <c r="D66" s="15" t="s">
        <v>40</v>
      </c>
      <c r="E66" s="15"/>
      <c r="F66" s="15"/>
      <c r="G66" s="15" t="s">
        <v>41</v>
      </c>
      <c r="H66" s="15"/>
      <c r="I66" s="15" t="s">
        <v>941</v>
      </c>
      <c r="J66" s="15"/>
      <c r="K66" s="15" t="s">
        <v>932</v>
      </c>
      <c r="L66" s="15"/>
      <c r="M66" s="15" t="s">
        <v>933</v>
      </c>
      <c r="N66" s="15"/>
      <c r="O66" s="15" t="s">
        <v>938</v>
      </c>
      <c r="P66" s="15"/>
      <c r="Q66" s="15" t="s">
        <v>939</v>
      </c>
      <c r="R66" s="15"/>
      <c r="S66" s="15" t="s">
        <v>940</v>
      </c>
      <c r="T66" s="15">
        <v>0</v>
      </c>
      <c r="U66" s="15">
        <v>0</v>
      </c>
      <c r="V66" s="15">
        <v>0</v>
      </c>
      <c r="W66" s="15">
        <v>0</v>
      </c>
      <c r="X66" s="15" t="s">
        <v>937</v>
      </c>
      <c r="Y66" s="15"/>
      <c r="Z66" s="15"/>
      <c r="AA66" s="16" t="s">
        <v>140</v>
      </c>
      <c r="AB66" s="17" t="s">
        <v>141</v>
      </c>
      <c r="AC66" s="17" t="s">
        <v>61</v>
      </c>
      <c r="AD66" s="18">
        <v>8151954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18">
        <v>8151954</v>
      </c>
      <c r="AK66" s="34">
        <v>0</v>
      </c>
      <c r="AL66" s="34">
        <f>AM66-'MARZO '!AM63</f>
        <v>0</v>
      </c>
      <c r="AM66" s="18">
        <v>1711600</v>
      </c>
      <c r="AN66" s="34">
        <v>0</v>
      </c>
      <c r="AO66" s="34">
        <v>0</v>
      </c>
      <c r="AP66" s="18">
        <v>1711600</v>
      </c>
      <c r="AQ66" s="18">
        <v>604100</v>
      </c>
      <c r="AR66" s="34">
        <f>AS66-'MARZO '!AS66</f>
        <v>0</v>
      </c>
      <c r="AS66" s="18">
        <v>1107500</v>
      </c>
      <c r="AT66" s="30">
        <f t="shared" si="26"/>
        <v>1711600</v>
      </c>
      <c r="AU66" s="18">
        <f t="shared" si="27"/>
        <v>6440354</v>
      </c>
      <c r="AV66" s="34">
        <f t="shared" si="28"/>
        <v>0</v>
      </c>
      <c r="AW66" s="34">
        <f t="shared" si="29"/>
        <v>0</v>
      </c>
      <c r="AX66" s="32">
        <f t="shared" si="8"/>
        <v>0.20996193059970653</v>
      </c>
    </row>
    <row r="67" spans="1:50" ht="18.75" customHeight="1" x14ac:dyDescent="0.2">
      <c r="A67" s="27" t="s">
        <v>55</v>
      </c>
      <c r="B67" s="27" t="s">
        <v>56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8" t="s">
        <v>142</v>
      </c>
      <c r="AB67" s="29" t="s">
        <v>143</v>
      </c>
      <c r="AC67" s="30" t="s">
        <v>37</v>
      </c>
      <c r="AD67" s="30">
        <f>AD68+AD69</f>
        <v>273762589</v>
      </c>
      <c r="AE67" s="31">
        <f t="shared" ref="AE67:AS67" si="37">AE68+AE69</f>
        <v>0</v>
      </c>
      <c r="AF67" s="31">
        <f t="shared" si="37"/>
        <v>0</v>
      </c>
      <c r="AG67" s="31">
        <f t="shared" si="37"/>
        <v>0</v>
      </c>
      <c r="AH67" s="31">
        <f t="shared" si="37"/>
        <v>0</v>
      </c>
      <c r="AI67" s="31">
        <f t="shared" si="37"/>
        <v>0</v>
      </c>
      <c r="AJ67" s="30">
        <f t="shared" si="37"/>
        <v>273762589</v>
      </c>
      <c r="AK67" s="31">
        <f t="shared" si="37"/>
        <v>0</v>
      </c>
      <c r="AL67" s="30">
        <f t="shared" si="37"/>
        <v>16567900</v>
      </c>
      <c r="AM67" s="30">
        <f t="shared" si="37"/>
        <v>50647000</v>
      </c>
      <c r="AN67" s="31">
        <f t="shared" si="37"/>
        <v>0</v>
      </c>
      <c r="AO67" s="30">
        <f t="shared" si="37"/>
        <v>16567900</v>
      </c>
      <c r="AP67" s="30">
        <f t="shared" si="37"/>
        <v>50647000</v>
      </c>
      <c r="AQ67" s="30">
        <f t="shared" si="37"/>
        <v>1241900</v>
      </c>
      <c r="AR67" s="30">
        <f t="shared" si="37"/>
        <v>16533400</v>
      </c>
      <c r="AS67" s="30">
        <f t="shared" si="37"/>
        <v>49405100</v>
      </c>
      <c r="AT67" s="30">
        <f t="shared" si="26"/>
        <v>50647000</v>
      </c>
      <c r="AU67" s="18">
        <f t="shared" si="27"/>
        <v>223115589</v>
      </c>
      <c r="AV67" s="34">
        <f t="shared" si="28"/>
        <v>0</v>
      </c>
      <c r="AW67" s="34">
        <f t="shared" si="29"/>
        <v>0</v>
      </c>
      <c r="AX67" s="32">
        <f t="shared" si="8"/>
        <v>0.18500336435669812</v>
      </c>
    </row>
    <row r="68" spans="1:50" ht="18.75" customHeight="1" x14ac:dyDescent="0.2">
      <c r="A68" s="35" t="s">
        <v>55</v>
      </c>
      <c r="B68" s="36" t="s">
        <v>56</v>
      </c>
      <c r="C68" s="36"/>
      <c r="D68" s="36" t="s">
        <v>40</v>
      </c>
      <c r="E68" s="36"/>
      <c r="F68" s="36"/>
      <c r="G68" s="36" t="s">
        <v>41</v>
      </c>
      <c r="H68" s="36"/>
      <c r="I68" s="36" t="s">
        <v>936</v>
      </c>
      <c r="J68" s="36"/>
      <c r="K68" s="36" t="s">
        <v>932</v>
      </c>
      <c r="L68" s="36"/>
      <c r="M68" s="36" t="s">
        <v>933</v>
      </c>
      <c r="N68" s="36"/>
      <c r="O68" s="36" t="s">
        <v>938</v>
      </c>
      <c r="P68" s="36"/>
      <c r="Q68" s="36" t="s">
        <v>939</v>
      </c>
      <c r="R68" s="36"/>
      <c r="S68" s="36" t="s">
        <v>940</v>
      </c>
      <c r="T68" s="36">
        <v>0</v>
      </c>
      <c r="U68" s="36">
        <v>0</v>
      </c>
      <c r="V68" s="36">
        <v>0</v>
      </c>
      <c r="W68" s="36">
        <v>0</v>
      </c>
      <c r="X68" s="36" t="s">
        <v>937</v>
      </c>
      <c r="Y68" s="36"/>
      <c r="Z68" s="36"/>
      <c r="AA68" s="37" t="s">
        <v>144</v>
      </c>
      <c r="AB68" s="38" t="s">
        <v>145</v>
      </c>
      <c r="AC68" s="38" t="s">
        <v>58</v>
      </c>
      <c r="AD68" s="39">
        <v>257458680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  <c r="AJ68" s="39">
        <v>257458680</v>
      </c>
      <c r="AK68" s="40">
        <v>0</v>
      </c>
      <c r="AL68" s="39">
        <v>15326000</v>
      </c>
      <c r="AM68" s="39">
        <v>45983900</v>
      </c>
      <c r="AN68" s="40">
        <v>0</v>
      </c>
      <c r="AO68" s="39">
        <v>15326000</v>
      </c>
      <c r="AP68" s="39">
        <v>45983900</v>
      </c>
      <c r="AQ68" s="39">
        <v>0</v>
      </c>
      <c r="AR68" s="39">
        <v>15326000</v>
      </c>
      <c r="AS68" s="39">
        <v>45983900</v>
      </c>
      <c r="AT68" s="30">
        <f t="shared" si="26"/>
        <v>45983900</v>
      </c>
      <c r="AU68" s="18">
        <f t="shared" si="27"/>
        <v>211474780</v>
      </c>
      <c r="AV68" s="34">
        <f t="shared" si="28"/>
        <v>0</v>
      </c>
      <c r="AW68" s="34">
        <f t="shared" si="29"/>
        <v>0</v>
      </c>
      <c r="AX68" s="32">
        <f t="shared" si="8"/>
        <v>0.17860691276751672</v>
      </c>
    </row>
    <row r="69" spans="1:50" ht="31.5" customHeight="1" x14ac:dyDescent="0.2">
      <c r="A69" s="14" t="s">
        <v>55</v>
      </c>
      <c r="B69" s="15" t="s">
        <v>56</v>
      </c>
      <c r="C69" s="15"/>
      <c r="D69" s="15" t="s">
        <v>40</v>
      </c>
      <c r="E69" s="15"/>
      <c r="F69" s="15"/>
      <c r="G69" s="15" t="s">
        <v>41</v>
      </c>
      <c r="H69" s="15"/>
      <c r="I69" s="15" t="s">
        <v>941</v>
      </c>
      <c r="J69" s="15"/>
      <c r="K69" s="15" t="s">
        <v>932</v>
      </c>
      <c r="L69" s="15"/>
      <c r="M69" s="15" t="s">
        <v>933</v>
      </c>
      <c r="N69" s="15"/>
      <c r="O69" s="15" t="s">
        <v>938</v>
      </c>
      <c r="P69" s="15"/>
      <c r="Q69" s="15" t="s">
        <v>939</v>
      </c>
      <c r="R69" s="15"/>
      <c r="S69" s="15" t="s">
        <v>940</v>
      </c>
      <c r="T69" s="15">
        <v>0</v>
      </c>
      <c r="U69" s="15">
        <v>0</v>
      </c>
      <c r="V69" s="15">
        <v>0</v>
      </c>
      <c r="W69" s="15">
        <v>0</v>
      </c>
      <c r="X69" s="15" t="s">
        <v>937</v>
      </c>
      <c r="Y69" s="15"/>
      <c r="Z69" s="15"/>
      <c r="AA69" s="16" t="s">
        <v>146</v>
      </c>
      <c r="AB69" s="17" t="s">
        <v>147</v>
      </c>
      <c r="AC69" s="17" t="s">
        <v>61</v>
      </c>
      <c r="AD69" s="18">
        <v>16303909</v>
      </c>
      <c r="AE69" s="34">
        <v>0</v>
      </c>
      <c r="AF69" s="34">
        <v>0</v>
      </c>
      <c r="AG69" s="34">
        <v>0</v>
      </c>
      <c r="AH69" s="34">
        <v>0</v>
      </c>
      <c r="AI69" s="34">
        <v>0</v>
      </c>
      <c r="AJ69" s="18">
        <v>16303909</v>
      </c>
      <c r="AK69" s="34">
        <v>0</v>
      </c>
      <c r="AL69" s="18">
        <v>1241900</v>
      </c>
      <c r="AM69" s="18">
        <v>4663100</v>
      </c>
      <c r="AN69" s="34">
        <v>0</v>
      </c>
      <c r="AO69" s="18">
        <v>1241900</v>
      </c>
      <c r="AP69" s="18">
        <v>4663100</v>
      </c>
      <c r="AQ69" s="18">
        <v>1241900</v>
      </c>
      <c r="AR69" s="18">
        <v>1207400</v>
      </c>
      <c r="AS69" s="18">
        <v>3421200</v>
      </c>
      <c r="AT69" s="30">
        <f t="shared" si="26"/>
        <v>4663100</v>
      </c>
      <c r="AU69" s="18">
        <f t="shared" si="27"/>
        <v>11640809</v>
      </c>
      <c r="AV69" s="34">
        <f t="shared" si="28"/>
        <v>0</v>
      </c>
      <c r="AW69" s="34">
        <f t="shared" si="29"/>
        <v>0</v>
      </c>
      <c r="AX69" s="32">
        <f t="shared" si="8"/>
        <v>0.28601116456182379</v>
      </c>
    </row>
    <row r="70" spans="1:50" s="25" customFormat="1" ht="18.75" customHeight="1" x14ac:dyDescent="0.2">
      <c r="A70" s="19" t="s">
        <v>49</v>
      </c>
      <c r="B70" s="19" t="s">
        <v>50</v>
      </c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26" t="s">
        <v>148</v>
      </c>
      <c r="AB70" s="21" t="s">
        <v>149</v>
      </c>
      <c r="AC70" s="22" t="s">
        <v>37</v>
      </c>
      <c r="AD70" s="22">
        <f>AD71+AD81+AD82+AD83+AD84+AD85</f>
        <v>2847587617</v>
      </c>
      <c r="AE70" s="23">
        <f t="shared" ref="AE70:AW70" si="38">AE71+AE81+AE82+AE83+AE84+AE85</f>
        <v>0</v>
      </c>
      <c r="AF70" s="23">
        <f t="shared" si="38"/>
        <v>0</v>
      </c>
      <c r="AG70" s="23">
        <f t="shared" si="38"/>
        <v>0</v>
      </c>
      <c r="AH70" s="23">
        <f t="shared" si="38"/>
        <v>0</v>
      </c>
      <c r="AI70" s="23">
        <f t="shared" si="38"/>
        <v>0</v>
      </c>
      <c r="AJ70" s="22">
        <f>AJ71+AJ81+AJ82+AJ83+AJ84+AJ85</f>
        <v>2847587617</v>
      </c>
      <c r="AK70" s="23">
        <f t="shared" si="38"/>
        <v>0</v>
      </c>
      <c r="AL70" s="22">
        <f t="shared" si="38"/>
        <v>88875783</v>
      </c>
      <c r="AM70" s="22">
        <f t="shared" si="38"/>
        <v>458385041</v>
      </c>
      <c r="AN70" s="23">
        <f t="shared" si="38"/>
        <v>0</v>
      </c>
      <c r="AO70" s="22">
        <f t="shared" si="38"/>
        <v>88875783</v>
      </c>
      <c r="AP70" s="22">
        <f t="shared" si="38"/>
        <v>458385041</v>
      </c>
      <c r="AQ70" s="23">
        <f t="shared" si="38"/>
        <v>0</v>
      </c>
      <c r="AR70" s="22">
        <f t="shared" si="38"/>
        <v>313793589</v>
      </c>
      <c r="AS70" s="22">
        <f t="shared" si="38"/>
        <v>458385041</v>
      </c>
      <c r="AT70" s="22">
        <f t="shared" si="38"/>
        <v>458385041</v>
      </c>
      <c r="AU70" s="22">
        <f t="shared" si="38"/>
        <v>2389202576</v>
      </c>
      <c r="AV70" s="23">
        <f t="shared" si="38"/>
        <v>0</v>
      </c>
      <c r="AW70" s="23">
        <f t="shared" si="38"/>
        <v>0</v>
      </c>
      <c r="AX70" s="24">
        <f t="shared" si="8"/>
        <v>0.16097311221029936</v>
      </c>
    </row>
    <row r="71" spans="1:50" ht="18.75" customHeight="1" x14ac:dyDescent="0.2">
      <c r="A71" s="27" t="s">
        <v>49</v>
      </c>
      <c r="B71" s="27" t="s">
        <v>50</v>
      </c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8" t="s">
        <v>150</v>
      </c>
      <c r="AB71" s="29" t="s">
        <v>81</v>
      </c>
      <c r="AC71" s="30" t="s">
        <v>37</v>
      </c>
      <c r="AD71" s="30">
        <f>AD72+AD75+AD78</f>
        <v>2386452170</v>
      </c>
      <c r="AE71" s="31">
        <f t="shared" ref="AE71:AS71" si="39">AE72+AE75+AE78</f>
        <v>0</v>
      </c>
      <c r="AF71" s="31">
        <f t="shared" si="39"/>
        <v>0</v>
      </c>
      <c r="AG71" s="31">
        <f t="shared" si="39"/>
        <v>0</v>
      </c>
      <c r="AH71" s="31">
        <f t="shared" si="39"/>
        <v>0</v>
      </c>
      <c r="AI71" s="31">
        <f t="shared" si="39"/>
        <v>0</v>
      </c>
      <c r="AJ71" s="30">
        <f t="shared" si="39"/>
        <v>2386452170</v>
      </c>
      <c r="AK71" s="31">
        <f t="shared" si="39"/>
        <v>0</v>
      </c>
      <c r="AL71" s="30">
        <f t="shared" si="39"/>
        <v>48088338</v>
      </c>
      <c r="AM71" s="30">
        <f t="shared" si="39"/>
        <v>308627392</v>
      </c>
      <c r="AN71" s="31">
        <f t="shared" si="39"/>
        <v>0</v>
      </c>
      <c r="AO71" s="30">
        <f t="shared" si="39"/>
        <v>48088338</v>
      </c>
      <c r="AP71" s="30">
        <f t="shared" si="39"/>
        <v>308627392</v>
      </c>
      <c r="AQ71" s="31">
        <f t="shared" si="39"/>
        <v>0</v>
      </c>
      <c r="AR71" s="30">
        <f t="shared" si="39"/>
        <v>209088084</v>
      </c>
      <c r="AS71" s="30">
        <f t="shared" si="39"/>
        <v>308627392</v>
      </c>
      <c r="AT71" s="30">
        <f t="shared" ref="AT71:AT91" si="40">AQ71+AS71</f>
        <v>308627392</v>
      </c>
      <c r="AU71" s="18">
        <f t="shared" ref="AU71:AU85" si="41">AJ71-AM71</f>
        <v>2077824778</v>
      </c>
      <c r="AV71" s="34">
        <f t="shared" ref="AV71:AV85" si="42">AM71-AP71</f>
        <v>0</v>
      </c>
      <c r="AW71" s="34">
        <f t="shared" ref="AW71:AW85" si="43">AP71-AT71</f>
        <v>0</v>
      </c>
      <c r="AX71" s="32">
        <f t="shared" si="8"/>
        <v>0.12932477586592486</v>
      </c>
    </row>
    <row r="72" spans="1:50" ht="18.75" customHeight="1" x14ac:dyDescent="0.2">
      <c r="A72" s="27" t="s">
        <v>49</v>
      </c>
      <c r="B72" s="27" t="s">
        <v>50</v>
      </c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8" t="s">
        <v>151</v>
      </c>
      <c r="AB72" s="29" t="s">
        <v>152</v>
      </c>
      <c r="AC72" s="30" t="s">
        <v>37</v>
      </c>
      <c r="AD72" s="30">
        <f>AD73+AD74</f>
        <v>1664997140</v>
      </c>
      <c r="AE72" s="31">
        <f t="shared" ref="AE72:AS72" si="44">AE73+AE74</f>
        <v>0</v>
      </c>
      <c r="AF72" s="31">
        <f t="shared" si="44"/>
        <v>0</v>
      </c>
      <c r="AG72" s="31">
        <f t="shared" si="44"/>
        <v>0</v>
      </c>
      <c r="AH72" s="31">
        <f t="shared" si="44"/>
        <v>0</v>
      </c>
      <c r="AI72" s="31">
        <f t="shared" si="44"/>
        <v>0</v>
      </c>
      <c r="AJ72" s="30">
        <f t="shared" si="44"/>
        <v>1664997140</v>
      </c>
      <c r="AK72" s="31">
        <f t="shared" si="44"/>
        <v>0</v>
      </c>
      <c r="AL72" s="30">
        <f t="shared" si="44"/>
        <v>22998943</v>
      </c>
      <c r="AM72" s="30">
        <f t="shared" si="44"/>
        <v>142680788</v>
      </c>
      <c r="AN72" s="31">
        <f t="shared" si="44"/>
        <v>0</v>
      </c>
      <c r="AO72" s="30">
        <f t="shared" si="44"/>
        <v>22998943</v>
      </c>
      <c r="AP72" s="30">
        <f t="shared" si="44"/>
        <v>142680788</v>
      </c>
      <c r="AQ72" s="31">
        <f t="shared" si="44"/>
        <v>0</v>
      </c>
      <c r="AR72" s="30">
        <f t="shared" si="44"/>
        <v>141098738</v>
      </c>
      <c r="AS72" s="30">
        <f t="shared" si="44"/>
        <v>142680788</v>
      </c>
      <c r="AT72" s="30">
        <f t="shared" si="40"/>
        <v>142680788</v>
      </c>
      <c r="AU72" s="18">
        <f t="shared" si="41"/>
        <v>1522316352</v>
      </c>
      <c r="AV72" s="34">
        <f t="shared" si="42"/>
        <v>0</v>
      </c>
      <c r="AW72" s="34">
        <f t="shared" si="43"/>
        <v>0</v>
      </c>
      <c r="AX72" s="32">
        <f t="shared" si="8"/>
        <v>8.5694314165608715E-2</v>
      </c>
    </row>
    <row r="73" spans="1:50" ht="18.75" customHeight="1" x14ac:dyDescent="0.2">
      <c r="A73" s="14" t="s">
        <v>55</v>
      </c>
      <c r="B73" s="15" t="s">
        <v>56</v>
      </c>
      <c r="C73" s="15"/>
      <c r="D73" s="15" t="s">
        <v>40</v>
      </c>
      <c r="E73" s="15"/>
      <c r="F73" s="15"/>
      <c r="G73" s="15" t="s">
        <v>41</v>
      </c>
      <c r="H73" s="15"/>
      <c r="I73" s="15" t="s">
        <v>936</v>
      </c>
      <c r="J73" s="15"/>
      <c r="K73" s="15" t="s">
        <v>932</v>
      </c>
      <c r="L73" s="15"/>
      <c r="M73" s="15" t="s">
        <v>933</v>
      </c>
      <c r="N73" s="15"/>
      <c r="O73" s="15" t="s">
        <v>938</v>
      </c>
      <c r="P73" s="15"/>
      <c r="Q73" s="15" t="s">
        <v>939</v>
      </c>
      <c r="R73" s="15"/>
      <c r="S73" s="15" t="s">
        <v>940</v>
      </c>
      <c r="T73" s="15">
        <v>0</v>
      </c>
      <c r="U73" s="15">
        <v>0</v>
      </c>
      <c r="V73" s="15">
        <v>0</v>
      </c>
      <c r="W73" s="15">
        <v>0</v>
      </c>
      <c r="X73" s="15" t="s">
        <v>937</v>
      </c>
      <c r="Y73" s="15"/>
      <c r="Z73" s="15"/>
      <c r="AA73" s="16" t="s">
        <v>153</v>
      </c>
      <c r="AB73" s="17" t="s">
        <v>152</v>
      </c>
      <c r="AC73" s="17" t="s">
        <v>58</v>
      </c>
      <c r="AD73" s="18">
        <v>1564997140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18">
        <v>1564997140</v>
      </c>
      <c r="AK73" s="34">
        <v>0</v>
      </c>
      <c r="AL73" s="18">
        <v>18674437</v>
      </c>
      <c r="AM73" s="18">
        <v>135293589</v>
      </c>
      <c r="AN73" s="34">
        <v>0</v>
      </c>
      <c r="AO73" s="18">
        <v>18674437</v>
      </c>
      <c r="AP73" s="18">
        <v>135293589</v>
      </c>
      <c r="AQ73" s="34">
        <v>0</v>
      </c>
      <c r="AR73" s="18">
        <f>AS73-'MARZO '!AS73</f>
        <v>133711539</v>
      </c>
      <c r="AS73" s="18">
        <v>135293589</v>
      </c>
      <c r="AT73" s="30">
        <f t="shared" si="40"/>
        <v>135293589</v>
      </c>
      <c r="AU73" s="18">
        <f t="shared" si="41"/>
        <v>1429703551</v>
      </c>
      <c r="AV73" s="34">
        <f t="shared" si="42"/>
        <v>0</v>
      </c>
      <c r="AW73" s="34">
        <f t="shared" si="43"/>
        <v>0</v>
      </c>
      <c r="AX73" s="32">
        <f t="shared" si="8"/>
        <v>8.644973562060311E-2</v>
      </c>
    </row>
    <row r="74" spans="1:50" ht="18.75" customHeight="1" x14ac:dyDescent="0.2">
      <c r="A74" s="35" t="s">
        <v>55</v>
      </c>
      <c r="B74" s="36" t="s">
        <v>56</v>
      </c>
      <c r="C74" s="36"/>
      <c r="D74" s="36" t="s">
        <v>40</v>
      </c>
      <c r="E74" s="36"/>
      <c r="F74" s="36"/>
      <c r="G74" s="36" t="s">
        <v>41</v>
      </c>
      <c r="H74" s="36"/>
      <c r="I74" s="36" t="s">
        <v>941</v>
      </c>
      <c r="J74" s="36"/>
      <c r="K74" s="36" t="s">
        <v>932</v>
      </c>
      <c r="L74" s="36"/>
      <c r="M74" s="36" t="s">
        <v>933</v>
      </c>
      <c r="N74" s="36"/>
      <c r="O74" s="36" t="s">
        <v>938</v>
      </c>
      <c r="P74" s="36"/>
      <c r="Q74" s="36" t="s">
        <v>939</v>
      </c>
      <c r="R74" s="36"/>
      <c r="S74" s="36" t="s">
        <v>940</v>
      </c>
      <c r="T74" s="36">
        <v>0</v>
      </c>
      <c r="U74" s="36">
        <v>0</v>
      </c>
      <c r="V74" s="36">
        <v>0</v>
      </c>
      <c r="W74" s="36">
        <v>0</v>
      </c>
      <c r="X74" s="36" t="s">
        <v>937</v>
      </c>
      <c r="Y74" s="36"/>
      <c r="Z74" s="36"/>
      <c r="AA74" s="37" t="s">
        <v>154</v>
      </c>
      <c r="AB74" s="38" t="s">
        <v>155</v>
      </c>
      <c r="AC74" s="38" t="s">
        <v>61</v>
      </c>
      <c r="AD74" s="39">
        <v>100000000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39">
        <v>100000000</v>
      </c>
      <c r="AK74" s="40">
        <v>0</v>
      </c>
      <c r="AL74" s="39">
        <v>4324506</v>
      </c>
      <c r="AM74" s="39">
        <v>7387199</v>
      </c>
      <c r="AN74" s="40">
        <v>0</v>
      </c>
      <c r="AO74" s="40">
        <v>4324506</v>
      </c>
      <c r="AP74" s="40">
        <v>7387199</v>
      </c>
      <c r="AQ74" s="40">
        <v>0</v>
      </c>
      <c r="AR74" s="18">
        <f>AS74-'MARZO '!AS74</f>
        <v>7387199</v>
      </c>
      <c r="AS74" s="39">
        <v>7387199</v>
      </c>
      <c r="AT74" s="31">
        <f t="shared" si="40"/>
        <v>7387199</v>
      </c>
      <c r="AU74" s="18">
        <f t="shared" si="41"/>
        <v>92612801</v>
      </c>
      <c r="AV74" s="34">
        <f t="shared" si="42"/>
        <v>0</v>
      </c>
      <c r="AW74" s="34">
        <f t="shared" si="43"/>
        <v>0</v>
      </c>
      <c r="AX74" s="32">
        <f t="shared" si="8"/>
        <v>7.3871989999999998E-2</v>
      </c>
    </row>
    <row r="75" spans="1:50" ht="18.75" customHeight="1" x14ac:dyDescent="0.2">
      <c r="A75" s="27" t="s">
        <v>49</v>
      </c>
      <c r="B75" s="27" t="s">
        <v>50</v>
      </c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8" t="s">
        <v>156</v>
      </c>
      <c r="AB75" s="29" t="s">
        <v>157</v>
      </c>
      <c r="AC75" s="30" t="s">
        <v>37</v>
      </c>
      <c r="AD75" s="30">
        <f>AD76+AD77</f>
        <v>608504027</v>
      </c>
      <c r="AE75" s="31">
        <f t="shared" ref="AE75:AS75" si="45">AE76+AE77</f>
        <v>0</v>
      </c>
      <c r="AF75" s="31">
        <f t="shared" si="45"/>
        <v>0</v>
      </c>
      <c r="AG75" s="31">
        <f t="shared" si="45"/>
        <v>0</v>
      </c>
      <c r="AH75" s="31">
        <f t="shared" si="45"/>
        <v>0</v>
      </c>
      <c r="AI75" s="31">
        <f t="shared" si="45"/>
        <v>0</v>
      </c>
      <c r="AJ75" s="30">
        <f t="shared" si="45"/>
        <v>608504027</v>
      </c>
      <c r="AK75" s="31">
        <f t="shared" si="45"/>
        <v>0</v>
      </c>
      <c r="AL75" s="30">
        <f t="shared" si="45"/>
        <v>20390745</v>
      </c>
      <c r="AM75" s="30">
        <f t="shared" si="45"/>
        <v>144112622</v>
      </c>
      <c r="AN75" s="31">
        <f t="shared" si="45"/>
        <v>0</v>
      </c>
      <c r="AO75" s="30">
        <f t="shared" si="45"/>
        <v>20390745</v>
      </c>
      <c r="AP75" s="30">
        <f t="shared" si="45"/>
        <v>144112622</v>
      </c>
      <c r="AQ75" s="31">
        <f t="shared" si="45"/>
        <v>0</v>
      </c>
      <c r="AR75" s="30">
        <f t="shared" si="45"/>
        <v>56970082</v>
      </c>
      <c r="AS75" s="30">
        <f t="shared" si="45"/>
        <v>144112622</v>
      </c>
      <c r="AT75" s="30">
        <f t="shared" si="40"/>
        <v>144112622</v>
      </c>
      <c r="AU75" s="18">
        <f t="shared" si="41"/>
        <v>464391405</v>
      </c>
      <c r="AV75" s="34">
        <f t="shared" si="42"/>
        <v>0</v>
      </c>
      <c r="AW75" s="34">
        <f t="shared" si="43"/>
        <v>0</v>
      </c>
      <c r="AX75" s="32">
        <f t="shared" si="8"/>
        <v>0.23683100785789871</v>
      </c>
    </row>
    <row r="76" spans="1:50" ht="18.75" customHeight="1" x14ac:dyDescent="0.2">
      <c r="A76" s="14" t="s">
        <v>55</v>
      </c>
      <c r="B76" s="15" t="s">
        <v>56</v>
      </c>
      <c r="C76" s="15"/>
      <c r="D76" s="15" t="s">
        <v>40</v>
      </c>
      <c r="E76" s="15"/>
      <c r="F76" s="15"/>
      <c r="G76" s="15" t="s">
        <v>41</v>
      </c>
      <c r="H76" s="15"/>
      <c r="I76" s="15" t="s">
        <v>936</v>
      </c>
      <c r="J76" s="15"/>
      <c r="K76" s="15" t="s">
        <v>932</v>
      </c>
      <c r="L76" s="15"/>
      <c r="M76" s="15" t="s">
        <v>933</v>
      </c>
      <c r="N76" s="15"/>
      <c r="O76" s="15" t="s">
        <v>938</v>
      </c>
      <c r="P76" s="15"/>
      <c r="Q76" s="15" t="s">
        <v>939</v>
      </c>
      <c r="R76" s="15"/>
      <c r="S76" s="15" t="s">
        <v>940</v>
      </c>
      <c r="T76" s="15">
        <v>0</v>
      </c>
      <c r="U76" s="15">
        <v>0</v>
      </c>
      <c r="V76" s="15">
        <v>0</v>
      </c>
      <c r="W76" s="15">
        <v>0</v>
      </c>
      <c r="X76" s="15" t="s">
        <v>937</v>
      </c>
      <c r="Y76" s="15"/>
      <c r="Z76" s="15"/>
      <c r="AA76" s="16" t="s">
        <v>158</v>
      </c>
      <c r="AB76" s="17" t="s">
        <v>157</v>
      </c>
      <c r="AC76" s="17" t="s">
        <v>58</v>
      </c>
      <c r="AD76" s="18">
        <v>600000000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18">
        <v>600000000</v>
      </c>
      <c r="AK76" s="34">
        <v>0</v>
      </c>
      <c r="AL76" s="18">
        <v>20390745</v>
      </c>
      <c r="AM76" s="18">
        <v>144112622</v>
      </c>
      <c r="AN76" s="34">
        <v>0</v>
      </c>
      <c r="AO76" s="18">
        <v>20390745</v>
      </c>
      <c r="AP76" s="18">
        <v>144112622</v>
      </c>
      <c r="AQ76" s="34">
        <v>0</v>
      </c>
      <c r="AR76" s="18">
        <f>AS76-'MARZO '!AS76</f>
        <v>56970082</v>
      </c>
      <c r="AS76" s="18">
        <v>144112622</v>
      </c>
      <c r="AT76" s="30">
        <f t="shared" si="40"/>
        <v>144112622</v>
      </c>
      <c r="AU76" s="18">
        <f t="shared" si="41"/>
        <v>455887378</v>
      </c>
      <c r="AV76" s="34">
        <f t="shared" si="42"/>
        <v>0</v>
      </c>
      <c r="AW76" s="34">
        <f t="shared" si="43"/>
        <v>0</v>
      </c>
      <c r="AX76" s="32">
        <f t="shared" si="8"/>
        <v>0.24018770333333334</v>
      </c>
    </row>
    <row r="77" spans="1:50" ht="18.75" customHeight="1" x14ac:dyDescent="0.2">
      <c r="A77" s="14" t="s">
        <v>55</v>
      </c>
      <c r="B77" s="15" t="s">
        <v>56</v>
      </c>
      <c r="C77" s="15"/>
      <c r="D77" s="15" t="s">
        <v>40</v>
      </c>
      <c r="E77" s="15"/>
      <c r="F77" s="15"/>
      <c r="G77" s="15" t="s">
        <v>41</v>
      </c>
      <c r="H77" s="15"/>
      <c r="I77" s="15" t="s">
        <v>941</v>
      </c>
      <c r="J77" s="15"/>
      <c r="K77" s="15" t="s">
        <v>932</v>
      </c>
      <c r="L77" s="15"/>
      <c r="M77" s="15" t="s">
        <v>933</v>
      </c>
      <c r="N77" s="15"/>
      <c r="O77" s="15" t="s">
        <v>938</v>
      </c>
      <c r="P77" s="15"/>
      <c r="Q77" s="15" t="s">
        <v>939</v>
      </c>
      <c r="R77" s="15"/>
      <c r="S77" s="15" t="s">
        <v>940</v>
      </c>
      <c r="T77" s="15">
        <v>0</v>
      </c>
      <c r="U77" s="15">
        <v>0</v>
      </c>
      <c r="V77" s="15">
        <v>0</v>
      </c>
      <c r="W77" s="15">
        <v>0</v>
      </c>
      <c r="X77" s="15" t="s">
        <v>937</v>
      </c>
      <c r="Y77" s="15"/>
      <c r="Z77" s="15"/>
      <c r="AA77" s="16" t="s">
        <v>159</v>
      </c>
      <c r="AB77" s="17" t="s">
        <v>160</v>
      </c>
      <c r="AC77" s="17" t="s">
        <v>61</v>
      </c>
      <c r="AD77" s="18">
        <v>8504027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18">
        <v>8504027</v>
      </c>
      <c r="AK77" s="34">
        <v>0</v>
      </c>
      <c r="AL77" s="18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18">
        <f>AS77-'MARZO '!AS77</f>
        <v>0</v>
      </c>
      <c r="AS77" s="34">
        <v>0</v>
      </c>
      <c r="AT77" s="31">
        <f t="shared" si="40"/>
        <v>0</v>
      </c>
      <c r="AU77" s="18">
        <f t="shared" si="41"/>
        <v>8504027</v>
      </c>
      <c r="AV77" s="34">
        <f t="shared" si="42"/>
        <v>0</v>
      </c>
      <c r="AW77" s="34">
        <f t="shared" si="43"/>
        <v>0</v>
      </c>
      <c r="AX77" s="32">
        <f t="shared" si="8"/>
        <v>0</v>
      </c>
    </row>
    <row r="78" spans="1:50" ht="18.75" customHeight="1" x14ac:dyDescent="0.2">
      <c r="A78" s="27" t="s">
        <v>49</v>
      </c>
      <c r="B78" s="27" t="s">
        <v>50</v>
      </c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8" t="s">
        <v>161</v>
      </c>
      <c r="AB78" s="29" t="s">
        <v>162</v>
      </c>
      <c r="AC78" s="30" t="s">
        <v>37</v>
      </c>
      <c r="AD78" s="30">
        <f>AD79+AD80</f>
        <v>112951003</v>
      </c>
      <c r="AE78" s="31">
        <f t="shared" ref="AE78:AS78" si="46">AE79+AE80</f>
        <v>0</v>
      </c>
      <c r="AF78" s="31">
        <f t="shared" si="46"/>
        <v>0</v>
      </c>
      <c r="AG78" s="31">
        <f t="shared" si="46"/>
        <v>0</v>
      </c>
      <c r="AH78" s="31">
        <f t="shared" si="46"/>
        <v>0</v>
      </c>
      <c r="AI78" s="31">
        <f t="shared" si="46"/>
        <v>0</v>
      </c>
      <c r="AJ78" s="30">
        <f>AJ79+AJ80</f>
        <v>112951003</v>
      </c>
      <c r="AK78" s="31">
        <f t="shared" si="46"/>
        <v>0</v>
      </c>
      <c r="AL78" s="30">
        <f t="shared" si="46"/>
        <v>4698650</v>
      </c>
      <c r="AM78" s="30">
        <f t="shared" si="46"/>
        <v>21833982</v>
      </c>
      <c r="AN78" s="31">
        <f t="shared" si="46"/>
        <v>0</v>
      </c>
      <c r="AO78" s="30">
        <f t="shared" si="46"/>
        <v>4698650</v>
      </c>
      <c r="AP78" s="30">
        <f t="shared" si="46"/>
        <v>21833982</v>
      </c>
      <c r="AQ78" s="31">
        <f t="shared" si="46"/>
        <v>0</v>
      </c>
      <c r="AR78" s="30">
        <f>AR79+AR80</f>
        <v>11019264</v>
      </c>
      <c r="AS78" s="30">
        <f t="shared" si="46"/>
        <v>21833982</v>
      </c>
      <c r="AT78" s="30">
        <f t="shared" si="40"/>
        <v>21833982</v>
      </c>
      <c r="AU78" s="18">
        <f t="shared" si="41"/>
        <v>91117021</v>
      </c>
      <c r="AV78" s="34">
        <f t="shared" si="42"/>
        <v>0</v>
      </c>
      <c r="AW78" s="34">
        <f t="shared" si="43"/>
        <v>0</v>
      </c>
      <c r="AX78" s="32">
        <f t="shared" si="8"/>
        <v>0.19330489699148576</v>
      </c>
    </row>
    <row r="79" spans="1:50" ht="18.75" customHeight="1" x14ac:dyDescent="0.2">
      <c r="A79" s="14" t="s">
        <v>55</v>
      </c>
      <c r="B79" s="15" t="s">
        <v>56</v>
      </c>
      <c r="C79" s="15"/>
      <c r="D79" s="15" t="s">
        <v>40</v>
      </c>
      <c r="E79" s="15"/>
      <c r="F79" s="15"/>
      <c r="G79" s="15" t="s">
        <v>41</v>
      </c>
      <c r="H79" s="15"/>
      <c r="I79" s="15" t="s">
        <v>936</v>
      </c>
      <c r="J79" s="15"/>
      <c r="K79" s="15" t="s">
        <v>932</v>
      </c>
      <c r="L79" s="15"/>
      <c r="M79" s="15" t="s">
        <v>933</v>
      </c>
      <c r="N79" s="15"/>
      <c r="O79" s="15" t="s">
        <v>938</v>
      </c>
      <c r="P79" s="15"/>
      <c r="Q79" s="15" t="s">
        <v>939</v>
      </c>
      <c r="R79" s="15"/>
      <c r="S79" s="15" t="s">
        <v>940</v>
      </c>
      <c r="T79" s="15">
        <v>0</v>
      </c>
      <c r="U79" s="15">
        <v>0</v>
      </c>
      <c r="V79" s="15">
        <v>0</v>
      </c>
      <c r="W79" s="15">
        <v>0</v>
      </c>
      <c r="X79" s="15" t="s">
        <v>937</v>
      </c>
      <c r="Y79" s="15"/>
      <c r="Z79" s="15"/>
      <c r="AA79" s="16" t="s">
        <v>163</v>
      </c>
      <c r="AB79" s="17" t="s">
        <v>162</v>
      </c>
      <c r="AC79" s="17" t="s">
        <v>58</v>
      </c>
      <c r="AD79" s="18">
        <v>104149973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18">
        <v>104149973</v>
      </c>
      <c r="AK79" s="34">
        <v>0</v>
      </c>
      <c r="AL79" s="18">
        <v>4269960</v>
      </c>
      <c r="AM79" s="18">
        <v>21110231</v>
      </c>
      <c r="AN79" s="34">
        <v>0</v>
      </c>
      <c r="AO79" s="18">
        <v>4269960</v>
      </c>
      <c r="AP79" s="18">
        <v>21110231</v>
      </c>
      <c r="AQ79" s="34">
        <v>0</v>
      </c>
      <c r="AR79" s="18">
        <f>AS79-'MARZO '!AS79</f>
        <v>10295513</v>
      </c>
      <c r="AS79" s="18">
        <v>21110231</v>
      </c>
      <c r="AT79" s="39">
        <f t="shared" si="40"/>
        <v>21110231</v>
      </c>
      <c r="AU79" s="18">
        <f t="shared" si="41"/>
        <v>83039742</v>
      </c>
      <c r="AV79" s="34">
        <f t="shared" si="42"/>
        <v>0</v>
      </c>
      <c r="AW79" s="34">
        <f t="shared" si="43"/>
        <v>0</v>
      </c>
      <c r="AX79" s="32">
        <f t="shared" ref="AX79:AX143" si="47">AP79/AJ79</f>
        <v>0.20269070064953354</v>
      </c>
    </row>
    <row r="80" spans="1:50" ht="18.75" customHeight="1" x14ac:dyDescent="0.2">
      <c r="A80" s="14" t="s">
        <v>55</v>
      </c>
      <c r="B80" s="15" t="s">
        <v>56</v>
      </c>
      <c r="C80" s="15"/>
      <c r="D80" s="15" t="s">
        <v>40</v>
      </c>
      <c r="E80" s="15"/>
      <c r="F80" s="15"/>
      <c r="G80" s="15" t="s">
        <v>41</v>
      </c>
      <c r="H80" s="15"/>
      <c r="I80" s="15" t="s">
        <v>941</v>
      </c>
      <c r="J80" s="15"/>
      <c r="K80" s="15" t="s">
        <v>932</v>
      </c>
      <c r="L80" s="15"/>
      <c r="M80" s="15" t="s">
        <v>933</v>
      </c>
      <c r="N80" s="15"/>
      <c r="O80" s="15" t="s">
        <v>938</v>
      </c>
      <c r="P80" s="15"/>
      <c r="Q80" s="15" t="s">
        <v>939</v>
      </c>
      <c r="R80" s="15"/>
      <c r="S80" s="15" t="s">
        <v>940</v>
      </c>
      <c r="T80" s="15">
        <v>0</v>
      </c>
      <c r="U80" s="15">
        <v>0</v>
      </c>
      <c r="V80" s="15">
        <v>0</v>
      </c>
      <c r="W80" s="15">
        <v>0</v>
      </c>
      <c r="X80" s="15" t="s">
        <v>937</v>
      </c>
      <c r="Y80" s="15"/>
      <c r="Z80" s="15"/>
      <c r="AA80" s="16" t="s">
        <v>164</v>
      </c>
      <c r="AB80" s="17" t="s">
        <v>165</v>
      </c>
      <c r="AC80" s="17" t="s">
        <v>61</v>
      </c>
      <c r="AD80" s="18">
        <v>8801030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18">
        <v>8801030</v>
      </c>
      <c r="AK80" s="34">
        <v>0</v>
      </c>
      <c r="AL80" s="34">
        <v>428690</v>
      </c>
      <c r="AM80" s="34">
        <v>723751</v>
      </c>
      <c r="AN80" s="34">
        <v>0</v>
      </c>
      <c r="AO80" s="18">
        <v>428690</v>
      </c>
      <c r="AP80" s="18">
        <v>723751</v>
      </c>
      <c r="AQ80" s="34">
        <v>0</v>
      </c>
      <c r="AR80" s="18">
        <v>723751</v>
      </c>
      <c r="AS80" s="18">
        <v>723751</v>
      </c>
      <c r="AT80" s="39">
        <f t="shared" si="40"/>
        <v>723751</v>
      </c>
      <c r="AU80" s="18">
        <f t="shared" si="41"/>
        <v>8077279</v>
      </c>
      <c r="AV80" s="34">
        <f t="shared" si="42"/>
        <v>0</v>
      </c>
      <c r="AW80" s="34">
        <f t="shared" si="43"/>
        <v>0</v>
      </c>
      <c r="AX80" s="32">
        <f t="shared" si="47"/>
        <v>8.2234806607862948E-2</v>
      </c>
    </row>
    <row r="81" spans="1:50" ht="29.25" customHeight="1" x14ac:dyDescent="0.2">
      <c r="A81" s="14" t="s">
        <v>49</v>
      </c>
      <c r="B81" s="15" t="s">
        <v>50</v>
      </c>
      <c r="C81" s="15"/>
      <c r="D81" s="15" t="s">
        <v>40</v>
      </c>
      <c r="E81" s="15"/>
      <c r="F81" s="15"/>
      <c r="G81" s="15" t="s">
        <v>41</v>
      </c>
      <c r="H81" s="15"/>
      <c r="I81" s="15" t="s">
        <v>936</v>
      </c>
      <c r="J81" s="15"/>
      <c r="K81" s="15" t="s">
        <v>932</v>
      </c>
      <c r="L81" s="15"/>
      <c r="M81" s="15" t="s">
        <v>933</v>
      </c>
      <c r="N81" s="15"/>
      <c r="O81" s="15" t="s">
        <v>938</v>
      </c>
      <c r="P81" s="15"/>
      <c r="Q81" s="15" t="s">
        <v>939</v>
      </c>
      <c r="R81" s="15"/>
      <c r="S81" s="15" t="s">
        <v>940</v>
      </c>
      <c r="T81" s="15">
        <v>0</v>
      </c>
      <c r="U81" s="15">
        <v>0</v>
      </c>
      <c r="V81" s="15">
        <v>0</v>
      </c>
      <c r="W81" s="15">
        <v>0</v>
      </c>
      <c r="X81" s="15" t="s">
        <v>937</v>
      </c>
      <c r="Y81" s="15"/>
      <c r="Z81" s="15"/>
      <c r="AA81" s="16" t="s">
        <v>166</v>
      </c>
      <c r="AB81" s="17" t="s">
        <v>167</v>
      </c>
      <c r="AC81" s="17" t="s">
        <v>56</v>
      </c>
      <c r="AD81" s="18">
        <v>60643852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18">
        <v>60643852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40">
        <f t="shared" si="40"/>
        <v>0</v>
      </c>
      <c r="AU81" s="18">
        <f t="shared" si="41"/>
        <v>60643852</v>
      </c>
      <c r="AV81" s="34">
        <f t="shared" si="42"/>
        <v>0</v>
      </c>
      <c r="AW81" s="34">
        <f t="shared" si="43"/>
        <v>0</v>
      </c>
      <c r="AX81" s="32">
        <f t="shared" si="47"/>
        <v>0</v>
      </c>
    </row>
    <row r="82" spans="1:50" ht="18.75" customHeight="1" x14ac:dyDescent="0.2">
      <c r="A82" s="35" t="s">
        <v>49</v>
      </c>
      <c r="B82" s="36" t="s">
        <v>50</v>
      </c>
      <c r="C82" s="36"/>
      <c r="D82" s="36" t="s">
        <v>40</v>
      </c>
      <c r="E82" s="36"/>
      <c r="F82" s="36"/>
      <c r="G82" s="36" t="s">
        <v>41</v>
      </c>
      <c r="H82" s="36"/>
      <c r="I82" s="36" t="s">
        <v>936</v>
      </c>
      <c r="J82" s="36"/>
      <c r="K82" s="36" t="s">
        <v>932</v>
      </c>
      <c r="L82" s="36"/>
      <c r="M82" s="36" t="s">
        <v>933</v>
      </c>
      <c r="N82" s="36"/>
      <c r="O82" s="36" t="s">
        <v>938</v>
      </c>
      <c r="P82" s="36"/>
      <c r="Q82" s="36" t="s">
        <v>939</v>
      </c>
      <c r="R82" s="36"/>
      <c r="S82" s="36" t="s">
        <v>940</v>
      </c>
      <c r="T82" s="36">
        <v>0</v>
      </c>
      <c r="U82" s="36">
        <v>0</v>
      </c>
      <c r="V82" s="36">
        <v>0</v>
      </c>
      <c r="W82" s="36">
        <v>0</v>
      </c>
      <c r="X82" s="36" t="s">
        <v>937</v>
      </c>
      <c r="Y82" s="36"/>
      <c r="Z82" s="36"/>
      <c r="AA82" s="37" t="s">
        <v>168</v>
      </c>
      <c r="AB82" s="38" t="s">
        <v>169</v>
      </c>
      <c r="AC82" s="38" t="s">
        <v>56</v>
      </c>
      <c r="AD82" s="39">
        <v>15160962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39">
        <v>15160962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f t="shared" si="40"/>
        <v>0</v>
      </c>
      <c r="AU82" s="18">
        <f t="shared" si="41"/>
        <v>15160962</v>
      </c>
      <c r="AV82" s="34">
        <f t="shared" si="42"/>
        <v>0</v>
      </c>
      <c r="AW82" s="34">
        <f t="shared" si="43"/>
        <v>0</v>
      </c>
      <c r="AX82" s="32">
        <f t="shared" si="47"/>
        <v>0</v>
      </c>
    </row>
    <row r="83" spans="1:50" ht="18.75" customHeight="1" x14ac:dyDescent="0.2">
      <c r="A83" s="14" t="s">
        <v>55</v>
      </c>
      <c r="B83" s="15" t="s">
        <v>56</v>
      </c>
      <c r="C83" s="15"/>
      <c r="D83" s="15" t="s">
        <v>40</v>
      </c>
      <c r="E83" s="15"/>
      <c r="F83" s="15"/>
      <c r="G83" s="15" t="s">
        <v>41</v>
      </c>
      <c r="H83" s="15"/>
      <c r="I83" s="15" t="s">
        <v>936</v>
      </c>
      <c r="J83" s="15"/>
      <c r="K83" s="15" t="s">
        <v>932</v>
      </c>
      <c r="L83" s="15"/>
      <c r="M83" s="15" t="s">
        <v>933</v>
      </c>
      <c r="N83" s="15"/>
      <c r="O83" s="15" t="s">
        <v>938</v>
      </c>
      <c r="P83" s="15"/>
      <c r="Q83" s="15" t="s">
        <v>939</v>
      </c>
      <c r="R83" s="15"/>
      <c r="S83" s="15" t="s">
        <v>940</v>
      </c>
      <c r="T83" s="15">
        <v>0</v>
      </c>
      <c r="U83" s="15">
        <v>0</v>
      </c>
      <c r="V83" s="15">
        <v>0</v>
      </c>
      <c r="W83" s="15">
        <v>0</v>
      </c>
      <c r="X83" s="15" t="s">
        <v>937</v>
      </c>
      <c r="Y83" s="15"/>
      <c r="Z83" s="15"/>
      <c r="AA83" s="16" t="s">
        <v>170</v>
      </c>
      <c r="AB83" s="17" t="s">
        <v>171</v>
      </c>
      <c r="AC83" s="17" t="s">
        <v>58</v>
      </c>
      <c r="AD83" s="18">
        <v>35475597</v>
      </c>
      <c r="AE83" s="34">
        <v>0</v>
      </c>
      <c r="AF83" s="34">
        <v>0</v>
      </c>
      <c r="AG83" s="34">
        <v>0</v>
      </c>
      <c r="AH83" s="34">
        <v>0</v>
      </c>
      <c r="AI83" s="34">
        <v>0</v>
      </c>
      <c r="AJ83" s="18">
        <v>35475597</v>
      </c>
      <c r="AK83" s="34">
        <v>0</v>
      </c>
      <c r="AL83" s="34">
        <v>0</v>
      </c>
      <c r="AM83" s="34">
        <v>0</v>
      </c>
      <c r="AN83" s="34">
        <v>0</v>
      </c>
      <c r="AO83" s="34">
        <v>0</v>
      </c>
      <c r="AP83" s="34">
        <v>0</v>
      </c>
      <c r="AQ83" s="34">
        <v>0</v>
      </c>
      <c r="AR83" s="34">
        <v>0</v>
      </c>
      <c r="AS83" s="34">
        <v>0</v>
      </c>
      <c r="AT83" s="40">
        <f t="shared" si="40"/>
        <v>0</v>
      </c>
      <c r="AU83" s="18">
        <f t="shared" si="41"/>
        <v>35475597</v>
      </c>
      <c r="AV83" s="34">
        <f t="shared" si="42"/>
        <v>0</v>
      </c>
      <c r="AW83" s="34">
        <f t="shared" si="43"/>
        <v>0</v>
      </c>
      <c r="AX83" s="32">
        <f t="shared" si="47"/>
        <v>0</v>
      </c>
    </row>
    <row r="84" spans="1:50" ht="18.75" customHeight="1" x14ac:dyDescent="0.2">
      <c r="A84" s="35" t="s">
        <v>55</v>
      </c>
      <c r="B84" s="36" t="s">
        <v>56</v>
      </c>
      <c r="C84" s="36"/>
      <c r="D84" s="36" t="s">
        <v>40</v>
      </c>
      <c r="E84" s="36"/>
      <c r="F84" s="36"/>
      <c r="G84" s="36" t="s">
        <v>41</v>
      </c>
      <c r="H84" s="36"/>
      <c r="I84" s="36" t="s">
        <v>936</v>
      </c>
      <c r="J84" s="36"/>
      <c r="K84" s="36" t="s">
        <v>932</v>
      </c>
      <c r="L84" s="36"/>
      <c r="M84" s="36" t="s">
        <v>933</v>
      </c>
      <c r="N84" s="36"/>
      <c r="O84" s="36" t="s">
        <v>938</v>
      </c>
      <c r="P84" s="36"/>
      <c r="Q84" s="36" t="s">
        <v>939</v>
      </c>
      <c r="R84" s="36"/>
      <c r="S84" s="36" t="s">
        <v>940</v>
      </c>
      <c r="T84" s="36">
        <v>0</v>
      </c>
      <c r="U84" s="36">
        <v>0</v>
      </c>
      <c r="V84" s="36">
        <v>0</v>
      </c>
      <c r="W84" s="36">
        <v>0</v>
      </c>
      <c r="X84" s="36" t="s">
        <v>937</v>
      </c>
      <c r="Y84" s="36"/>
      <c r="Z84" s="36"/>
      <c r="AA84" s="37" t="s">
        <v>172</v>
      </c>
      <c r="AB84" s="38" t="s">
        <v>173</v>
      </c>
      <c r="AC84" s="38" t="s">
        <v>58</v>
      </c>
      <c r="AD84" s="39">
        <v>49855036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39">
        <v>49855036</v>
      </c>
      <c r="AK84" s="40">
        <v>0</v>
      </c>
      <c r="AL84" s="39">
        <v>9655287</v>
      </c>
      <c r="AM84" s="39">
        <v>38311793</v>
      </c>
      <c r="AN84" s="40">
        <v>0</v>
      </c>
      <c r="AO84" s="39">
        <v>9655287</v>
      </c>
      <c r="AP84" s="39">
        <v>38311793</v>
      </c>
      <c r="AQ84" s="40">
        <v>0</v>
      </c>
      <c r="AR84" s="39">
        <f>AS84-'MARZO '!AS84</f>
        <v>19001219</v>
      </c>
      <c r="AS84" s="39">
        <v>38311793</v>
      </c>
      <c r="AT84" s="39">
        <f t="shared" si="40"/>
        <v>38311793</v>
      </c>
      <c r="AU84" s="18">
        <f t="shared" si="41"/>
        <v>11543243</v>
      </c>
      <c r="AV84" s="34">
        <f t="shared" si="42"/>
        <v>0</v>
      </c>
      <c r="AW84" s="34">
        <f t="shared" si="43"/>
        <v>0</v>
      </c>
      <c r="AX84" s="32">
        <f t="shared" si="47"/>
        <v>0.76846385187646837</v>
      </c>
    </row>
    <row r="85" spans="1:50" ht="18.75" customHeight="1" x14ac:dyDescent="0.2">
      <c r="A85" s="14" t="s">
        <v>55</v>
      </c>
      <c r="B85" s="15" t="s">
        <v>56</v>
      </c>
      <c r="C85" s="15"/>
      <c r="D85" s="15" t="s">
        <v>40</v>
      </c>
      <c r="E85" s="15"/>
      <c r="F85" s="15"/>
      <c r="G85" s="15" t="s">
        <v>41</v>
      </c>
      <c r="H85" s="15"/>
      <c r="I85" s="15" t="s">
        <v>936</v>
      </c>
      <c r="J85" s="15"/>
      <c r="K85" s="15" t="s">
        <v>932</v>
      </c>
      <c r="L85" s="15"/>
      <c r="M85" s="15" t="s">
        <v>933</v>
      </c>
      <c r="N85" s="15"/>
      <c r="O85" s="15" t="s">
        <v>938</v>
      </c>
      <c r="P85" s="15"/>
      <c r="Q85" s="15" t="s">
        <v>942</v>
      </c>
      <c r="R85" s="15"/>
      <c r="S85" s="15" t="s">
        <v>940</v>
      </c>
      <c r="T85" s="15">
        <v>0</v>
      </c>
      <c r="U85" s="15">
        <v>0</v>
      </c>
      <c r="V85" s="15">
        <v>0</v>
      </c>
      <c r="W85" s="15">
        <v>0</v>
      </c>
      <c r="X85" s="15" t="s">
        <v>937</v>
      </c>
      <c r="Y85" s="15"/>
      <c r="Z85" s="15"/>
      <c r="AA85" s="16" t="s">
        <v>174</v>
      </c>
      <c r="AB85" s="17" t="s">
        <v>175</v>
      </c>
      <c r="AC85" s="17" t="s">
        <v>58</v>
      </c>
      <c r="AD85" s="18">
        <v>300000000</v>
      </c>
      <c r="AE85" s="34">
        <v>0</v>
      </c>
      <c r="AF85" s="34">
        <v>0</v>
      </c>
      <c r="AG85" s="34">
        <v>0</v>
      </c>
      <c r="AH85" s="34">
        <v>0</v>
      </c>
      <c r="AI85" s="34">
        <v>0</v>
      </c>
      <c r="AJ85" s="18">
        <v>300000000</v>
      </c>
      <c r="AK85" s="34">
        <v>0</v>
      </c>
      <c r="AL85" s="18">
        <v>31132158</v>
      </c>
      <c r="AM85" s="18">
        <v>111445856</v>
      </c>
      <c r="AN85" s="34">
        <v>0</v>
      </c>
      <c r="AO85" s="18">
        <v>31132158</v>
      </c>
      <c r="AP85" s="18">
        <v>111445856</v>
      </c>
      <c r="AQ85" s="34">
        <v>0</v>
      </c>
      <c r="AR85" s="18">
        <f>AS85-'MARZO '!AS85</f>
        <v>85704286</v>
      </c>
      <c r="AS85" s="18">
        <v>111445856</v>
      </c>
      <c r="AT85" s="30">
        <f t="shared" si="40"/>
        <v>111445856</v>
      </c>
      <c r="AU85" s="18">
        <f t="shared" si="41"/>
        <v>188554144</v>
      </c>
      <c r="AV85" s="34">
        <f t="shared" si="42"/>
        <v>0</v>
      </c>
      <c r="AW85" s="34">
        <f t="shared" si="43"/>
        <v>0</v>
      </c>
      <c r="AX85" s="32">
        <f t="shared" si="47"/>
        <v>0.37148618666666666</v>
      </c>
    </row>
    <row r="86" spans="1:50" s="25" customFormat="1" ht="18.75" customHeight="1" x14ac:dyDescent="0.2">
      <c r="A86" s="19" t="s">
        <v>55</v>
      </c>
      <c r="B86" s="19" t="s">
        <v>56</v>
      </c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26" t="s">
        <v>176</v>
      </c>
      <c r="AB86" s="21" t="s">
        <v>177</v>
      </c>
      <c r="AC86" s="22" t="s">
        <v>37</v>
      </c>
      <c r="AD86" s="22">
        <f>AD87</f>
        <v>23932782621</v>
      </c>
      <c r="AE86" s="23">
        <f t="shared" ref="AE86:AW86" si="48">AE87</f>
        <v>0</v>
      </c>
      <c r="AF86" s="23">
        <f t="shared" si="48"/>
        <v>0</v>
      </c>
      <c r="AG86" s="22">
        <f t="shared" si="48"/>
        <v>2564200000</v>
      </c>
      <c r="AH86" s="22">
        <f t="shared" si="48"/>
        <v>2394200000</v>
      </c>
      <c r="AI86" s="22">
        <f>AI87</f>
        <v>170000000</v>
      </c>
      <c r="AJ86" s="22">
        <f t="shared" si="48"/>
        <v>24102782621</v>
      </c>
      <c r="AK86" s="23">
        <f t="shared" si="48"/>
        <v>0</v>
      </c>
      <c r="AL86" s="22">
        <f t="shared" si="48"/>
        <v>895089198.19000053</v>
      </c>
      <c r="AM86" s="22">
        <f t="shared" si="48"/>
        <v>19089397395.84</v>
      </c>
      <c r="AN86" s="22">
        <f t="shared" si="48"/>
        <v>56600000</v>
      </c>
      <c r="AO86" s="22">
        <f t="shared" si="48"/>
        <v>6935876666.46</v>
      </c>
      <c r="AP86" s="22">
        <f t="shared" si="48"/>
        <v>18098176395.41</v>
      </c>
      <c r="AQ86" s="108">
        <f t="shared" si="48"/>
        <v>790822999</v>
      </c>
      <c r="AR86" s="22">
        <f t="shared" si="48"/>
        <v>1237335535.96</v>
      </c>
      <c r="AS86" s="22">
        <f t="shared" si="48"/>
        <v>3304364752.1100001</v>
      </c>
      <c r="AT86" s="22">
        <f t="shared" si="40"/>
        <v>4095187751.1100001</v>
      </c>
      <c r="AU86" s="22">
        <f t="shared" si="48"/>
        <v>5013385225.1599998</v>
      </c>
      <c r="AV86" s="22">
        <f t="shared" si="48"/>
        <v>991221000.43000031</v>
      </c>
      <c r="AW86" s="22">
        <f t="shared" si="48"/>
        <v>14002988644.300001</v>
      </c>
      <c r="AX86" s="24">
        <f t="shared" si="47"/>
        <v>0.75087497904252865</v>
      </c>
    </row>
    <row r="87" spans="1:50" s="25" customFormat="1" ht="18.75" customHeight="1" x14ac:dyDescent="0.2">
      <c r="A87" s="19" t="s">
        <v>55</v>
      </c>
      <c r="B87" s="19" t="s">
        <v>56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26" t="s">
        <v>178</v>
      </c>
      <c r="AB87" s="21" t="s">
        <v>179</v>
      </c>
      <c r="AC87" s="22" t="s">
        <v>37</v>
      </c>
      <c r="AD87" s="22">
        <f>AD88+AD92</f>
        <v>23932782621</v>
      </c>
      <c r="AE87" s="23">
        <f t="shared" ref="AE87:AW87" si="49">AE88+AE92</f>
        <v>0</v>
      </c>
      <c r="AF87" s="23">
        <f t="shared" si="49"/>
        <v>0</v>
      </c>
      <c r="AG87" s="22">
        <f t="shared" si="49"/>
        <v>2564200000</v>
      </c>
      <c r="AH87" s="22">
        <f t="shared" si="49"/>
        <v>2394200000</v>
      </c>
      <c r="AI87" s="22">
        <f>AI88+AI92</f>
        <v>170000000</v>
      </c>
      <c r="AJ87" s="22">
        <f t="shared" si="49"/>
        <v>24102782621</v>
      </c>
      <c r="AK87" s="23">
        <f t="shared" si="49"/>
        <v>0</v>
      </c>
      <c r="AL87" s="22">
        <f t="shared" si="49"/>
        <v>895089198.19000053</v>
      </c>
      <c r="AM87" s="22">
        <f t="shared" si="49"/>
        <v>19089397395.84</v>
      </c>
      <c r="AN87" s="22">
        <f t="shared" si="49"/>
        <v>56600000</v>
      </c>
      <c r="AO87" s="22">
        <f t="shared" si="49"/>
        <v>6935876666.46</v>
      </c>
      <c r="AP87" s="22">
        <f t="shared" si="49"/>
        <v>18098176395.41</v>
      </c>
      <c r="AQ87" s="108">
        <f t="shared" si="49"/>
        <v>790822999</v>
      </c>
      <c r="AR87" s="22">
        <f t="shared" si="49"/>
        <v>1237335535.96</v>
      </c>
      <c r="AS87" s="22">
        <f t="shared" si="49"/>
        <v>3304364752.1100001</v>
      </c>
      <c r="AT87" s="22">
        <f t="shared" si="40"/>
        <v>4095187751.1100001</v>
      </c>
      <c r="AU87" s="22">
        <f t="shared" si="49"/>
        <v>5013385225.1599998</v>
      </c>
      <c r="AV87" s="22">
        <f t="shared" si="49"/>
        <v>991221000.43000031</v>
      </c>
      <c r="AW87" s="22">
        <f t="shared" si="49"/>
        <v>14002988644.300001</v>
      </c>
      <c r="AX87" s="24">
        <f t="shared" si="47"/>
        <v>0.75087497904252865</v>
      </c>
    </row>
    <row r="88" spans="1:50" s="25" customFormat="1" ht="18.75" customHeight="1" x14ac:dyDescent="0.2">
      <c r="A88" s="19" t="s">
        <v>55</v>
      </c>
      <c r="B88" s="19" t="s">
        <v>56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26" t="s">
        <v>180</v>
      </c>
      <c r="AB88" s="21" t="s">
        <v>181</v>
      </c>
      <c r="AC88" s="22" t="s">
        <v>37</v>
      </c>
      <c r="AD88" s="22">
        <f>AD89+AD90+AD91</f>
        <v>918000000</v>
      </c>
      <c r="AE88" s="23">
        <f t="shared" ref="AE88:AW88" si="50">AE89+AE90+AE91</f>
        <v>0</v>
      </c>
      <c r="AF88" s="23">
        <f t="shared" si="50"/>
        <v>0</v>
      </c>
      <c r="AG88" s="22">
        <f t="shared" si="50"/>
        <v>300000000</v>
      </c>
      <c r="AH88" s="23">
        <f t="shared" si="50"/>
        <v>0</v>
      </c>
      <c r="AI88" s="22">
        <f t="shared" si="50"/>
        <v>300000000</v>
      </c>
      <c r="AJ88" s="22">
        <f t="shared" si="50"/>
        <v>1218000000</v>
      </c>
      <c r="AK88" s="23">
        <f t="shared" si="50"/>
        <v>0</v>
      </c>
      <c r="AL88" s="22">
        <f t="shared" si="50"/>
        <v>387817740</v>
      </c>
      <c r="AM88" s="22">
        <f t="shared" si="50"/>
        <v>611497509</v>
      </c>
      <c r="AN88" s="23">
        <f t="shared" si="50"/>
        <v>0</v>
      </c>
      <c r="AO88" s="22">
        <f t="shared" si="50"/>
        <v>58141350</v>
      </c>
      <c r="AP88" s="22">
        <f t="shared" si="50"/>
        <v>217026840</v>
      </c>
      <c r="AQ88" s="23">
        <f t="shared" si="50"/>
        <v>0</v>
      </c>
      <c r="AR88" s="22">
        <f t="shared" si="50"/>
        <v>22632201.57</v>
      </c>
      <c r="AS88" s="22">
        <f t="shared" si="50"/>
        <v>27059251.57</v>
      </c>
      <c r="AT88" s="22">
        <f t="shared" si="40"/>
        <v>27059251.57</v>
      </c>
      <c r="AU88" s="22">
        <f t="shared" si="50"/>
        <v>606502491</v>
      </c>
      <c r="AV88" s="23">
        <f t="shared" si="50"/>
        <v>394470669</v>
      </c>
      <c r="AW88" s="22">
        <f t="shared" si="50"/>
        <v>189967588.43000001</v>
      </c>
      <c r="AX88" s="24">
        <f t="shared" si="47"/>
        <v>0.17818295566502462</v>
      </c>
    </row>
    <row r="89" spans="1:50" ht="29.25" customHeight="1" x14ac:dyDescent="0.2">
      <c r="A89" s="35" t="s">
        <v>55</v>
      </c>
      <c r="B89" s="36" t="s">
        <v>56</v>
      </c>
      <c r="C89" s="36"/>
      <c r="D89" s="36" t="s">
        <v>40</v>
      </c>
      <c r="E89" s="36"/>
      <c r="F89" s="36"/>
      <c r="G89" s="36" t="s">
        <v>41</v>
      </c>
      <c r="H89" s="36"/>
      <c r="I89" s="36" t="s">
        <v>936</v>
      </c>
      <c r="J89" s="36"/>
      <c r="K89" s="36" t="s">
        <v>932</v>
      </c>
      <c r="L89" s="36"/>
      <c r="M89" s="36" t="s">
        <v>933</v>
      </c>
      <c r="N89" s="36"/>
      <c r="O89" s="36" t="s">
        <v>938</v>
      </c>
      <c r="P89" s="36"/>
      <c r="Q89" s="36" t="s">
        <v>942</v>
      </c>
      <c r="R89" s="36"/>
      <c r="S89" s="36" t="s">
        <v>940</v>
      </c>
      <c r="T89" s="36">
        <v>0</v>
      </c>
      <c r="U89" s="36">
        <v>0</v>
      </c>
      <c r="V89" s="36">
        <v>0</v>
      </c>
      <c r="W89" s="36">
        <v>0</v>
      </c>
      <c r="X89" s="36" t="s">
        <v>937</v>
      </c>
      <c r="Y89" s="36"/>
      <c r="Z89" s="36"/>
      <c r="AA89" s="37" t="s">
        <v>182</v>
      </c>
      <c r="AB89" s="38" t="s">
        <v>183</v>
      </c>
      <c r="AC89" s="38" t="s">
        <v>58</v>
      </c>
      <c r="AD89" s="39">
        <v>50000000</v>
      </c>
      <c r="AE89" s="40">
        <v>0</v>
      </c>
      <c r="AF89" s="40">
        <v>0</v>
      </c>
      <c r="AG89" s="40">
        <v>0</v>
      </c>
      <c r="AH89" s="40">
        <v>0</v>
      </c>
      <c r="AI89" s="40">
        <v>0</v>
      </c>
      <c r="AJ89" s="39">
        <v>50000000</v>
      </c>
      <c r="AK89" s="40">
        <v>0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  <c r="AQ89" s="40">
        <v>0</v>
      </c>
      <c r="AR89" s="40">
        <v>0</v>
      </c>
      <c r="AS89" s="40">
        <v>0</v>
      </c>
      <c r="AT89" s="31">
        <f t="shared" si="40"/>
        <v>0</v>
      </c>
      <c r="AU89" s="18">
        <f t="shared" ref="AU89:AU91" si="51">AJ89-AM89</f>
        <v>50000000</v>
      </c>
      <c r="AV89" s="34">
        <f t="shared" ref="AV89:AV91" si="52">AM89-AP89</f>
        <v>0</v>
      </c>
      <c r="AW89" s="34">
        <f t="shared" ref="AW89:AW91" si="53">AP89-AT89</f>
        <v>0</v>
      </c>
      <c r="AX89" s="32">
        <f t="shared" si="47"/>
        <v>0</v>
      </c>
    </row>
    <row r="90" spans="1:50" ht="32.25" customHeight="1" x14ac:dyDescent="0.2">
      <c r="A90" s="14" t="s">
        <v>55</v>
      </c>
      <c r="B90" s="15" t="s">
        <v>56</v>
      </c>
      <c r="C90" s="15"/>
      <c r="D90" s="15" t="s">
        <v>40</v>
      </c>
      <c r="E90" s="15"/>
      <c r="F90" s="15"/>
      <c r="G90" s="15" t="s">
        <v>41</v>
      </c>
      <c r="H90" s="15"/>
      <c r="I90" s="15" t="s">
        <v>936</v>
      </c>
      <c r="J90" s="15"/>
      <c r="K90" s="15" t="s">
        <v>932</v>
      </c>
      <c r="L90" s="15"/>
      <c r="M90" s="15" t="s">
        <v>933</v>
      </c>
      <c r="N90" s="15"/>
      <c r="O90" s="15" t="s">
        <v>938</v>
      </c>
      <c r="P90" s="15"/>
      <c r="Q90" s="15" t="s">
        <v>942</v>
      </c>
      <c r="R90" s="15"/>
      <c r="S90" s="15" t="s">
        <v>940</v>
      </c>
      <c r="T90" s="15">
        <v>0</v>
      </c>
      <c r="U90" s="15">
        <v>0</v>
      </c>
      <c r="V90" s="15">
        <v>0</v>
      </c>
      <c r="W90" s="15">
        <v>0</v>
      </c>
      <c r="X90" s="15" t="s">
        <v>937</v>
      </c>
      <c r="Y90" s="15"/>
      <c r="Z90" s="15"/>
      <c r="AA90" s="16" t="s">
        <v>184</v>
      </c>
      <c r="AB90" s="17" t="s">
        <v>185</v>
      </c>
      <c r="AC90" s="17" t="s">
        <v>58</v>
      </c>
      <c r="AD90" s="18">
        <v>758000000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18">
        <v>758000000</v>
      </c>
      <c r="AK90" s="34">
        <v>0</v>
      </c>
      <c r="AL90" s="18">
        <f>AM90-'MARZO '!AM90</f>
        <v>387817740</v>
      </c>
      <c r="AM90" s="18">
        <v>611497509</v>
      </c>
      <c r="AN90" s="34">
        <v>0</v>
      </c>
      <c r="AO90" s="18">
        <v>58141350</v>
      </c>
      <c r="AP90" s="18">
        <v>217026840</v>
      </c>
      <c r="AQ90" s="34">
        <v>0</v>
      </c>
      <c r="AR90" s="18">
        <v>22632201.57</v>
      </c>
      <c r="AS90" s="18">
        <v>27059251.57</v>
      </c>
      <c r="AT90" s="39">
        <f t="shared" si="40"/>
        <v>27059251.57</v>
      </c>
      <c r="AU90" s="18">
        <f t="shared" si="51"/>
        <v>146502491</v>
      </c>
      <c r="AV90" s="18">
        <f t="shared" si="52"/>
        <v>394470669</v>
      </c>
      <c r="AW90" s="18">
        <f t="shared" si="53"/>
        <v>189967588.43000001</v>
      </c>
      <c r="AX90" s="32">
        <f t="shared" si="47"/>
        <v>0.28631509234828495</v>
      </c>
    </row>
    <row r="91" spans="1:50" ht="23.25" customHeight="1" x14ac:dyDescent="0.2">
      <c r="A91" s="14" t="s">
        <v>55</v>
      </c>
      <c r="B91" s="15" t="s">
        <v>56</v>
      </c>
      <c r="C91" s="15"/>
      <c r="D91" s="15" t="s">
        <v>40</v>
      </c>
      <c r="E91" s="15"/>
      <c r="F91" s="15"/>
      <c r="G91" s="15" t="s">
        <v>41</v>
      </c>
      <c r="H91" s="15"/>
      <c r="I91" s="15" t="s">
        <v>936</v>
      </c>
      <c r="J91" s="15"/>
      <c r="K91" s="15" t="s">
        <v>932</v>
      </c>
      <c r="L91" s="15"/>
      <c r="M91" s="15" t="s">
        <v>933</v>
      </c>
      <c r="N91" s="15"/>
      <c r="O91" s="15" t="s">
        <v>938</v>
      </c>
      <c r="P91" s="15"/>
      <c r="Q91" s="15" t="s">
        <v>942</v>
      </c>
      <c r="R91" s="15"/>
      <c r="S91" s="15" t="s">
        <v>940</v>
      </c>
      <c r="T91" s="15">
        <v>0</v>
      </c>
      <c r="U91" s="15">
        <v>0</v>
      </c>
      <c r="V91" s="15">
        <v>0</v>
      </c>
      <c r="W91" s="15">
        <v>0</v>
      </c>
      <c r="X91" s="15" t="s">
        <v>937</v>
      </c>
      <c r="Y91" s="15"/>
      <c r="Z91" s="15"/>
      <c r="AA91" s="16" t="s">
        <v>186</v>
      </c>
      <c r="AB91" s="17" t="s">
        <v>187</v>
      </c>
      <c r="AC91" s="17" t="s">
        <v>58</v>
      </c>
      <c r="AD91" s="18">
        <v>110000000</v>
      </c>
      <c r="AE91" s="34">
        <v>0</v>
      </c>
      <c r="AF91" s="34">
        <v>0</v>
      </c>
      <c r="AG91" s="18">
        <v>300000000</v>
      </c>
      <c r="AH91" s="34">
        <v>0</v>
      </c>
      <c r="AI91" s="18">
        <f>AE91-AF91+AG91-AH91</f>
        <v>300000000</v>
      </c>
      <c r="AJ91" s="18">
        <f>AD91+AI91</f>
        <v>410000000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1">
        <f t="shared" si="40"/>
        <v>0</v>
      </c>
      <c r="AU91" s="18">
        <f t="shared" si="51"/>
        <v>410000000</v>
      </c>
      <c r="AV91" s="34">
        <f t="shared" si="52"/>
        <v>0</v>
      </c>
      <c r="AW91" s="34">
        <f t="shared" si="53"/>
        <v>0</v>
      </c>
      <c r="AX91" s="32">
        <f t="shared" si="47"/>
        <v>0</v>
      </c>
    </row>
    <row r="92" spans="1:50" s="25" customFormat="1" ht="18.75" customHeight="1" x14ac:dyDescent="0.2">
      <c r="A92" s="19" t="s">
        <v>55</v>
      </c>
      <c r="B92" s="19" t="s">
        <v>56</v>
      </c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26" t="s">
        <v>188</v>
      </c>
      <c r="AB92" s="21" t="s">
        <v>189</v>
      </c>
      <c r="AC92" s="22" t="s">
        <v>56</v>
      </c>
      <c r="AD92" s="22">
        <f>SUM(AD93:AD98)</f>
        <v>23014782621</v>
      </c>
      <c r="AE92" s="23">
        <f t="shared" ref="AE92:AW92" si="54">SUM(AE93:AE98)</f>
        <v>0</v>
      </c>
      <c r="AF92" s="23">
        <f t="shared" si="54"/>
        <v>0</v>
      </c>
      <c r="AG92" s="22">
        <f t="shared" si="54"/>
        <v>2264200000</v>
      </c>
      <c r="AH92" s="22">
        <f>SUM(AH93:AH98)</f>
        <v>2394200000</v>
      </c>
      <c r="AI92" s="22">
        <f>SUM(AI93:AI98)</f>
        <v>-130000000</v>
      </c>
      <c r="AJ92" s="22">
        <f>SUM(AJ93:AJ98)</f>
        <v>22884782621</v>
      </c>
      <c r="AK92" s="23">
        <f t="shared" si="54"/>
        <v>0</v>
      </c>
      <c r="AL92" s="22">
        <f t="shared" si="54"/>
        <v>507271458.19000053</v>
      </c>
      <c r="AM92" s="22">
        <f t="shared" si="54"/>
        <v>18477899886.84</v>
      </c>
      <c r="AN92" s="22">
        <f t="shared" si="54"/>
        <v>56600000</v>
      </c>
      <c r="AO92" s="22">
        <f t="shared" si="54"/>
        <v>6877735316.46</v>
      </c>
      <c r="AP92" s="22">
        <f t="shared" si="54"/>
        <v>17881149555.41</v>
      </c>
      <c r="AQ92" s="23">
        <f t="shared" si="54"/>
        <v>790822999</v>
      </c>
      <c r="AR92" s="22">
        <f t="shared" si="54"/>
        <v>1214703334.3900001</v>
      </c>
      <c r="AS92" s="22">
        <f t="shared" si="54"/>
        <v>3277305500.54</v>
      </c>
      <c r="AT92" s="22">
        <f>AQ92+AS92</f>
        <v>4068128499.54</v>
      </c>
      <c r="AU92" s="22">
        <f t="shared" si="54"/>
        <v>4406882734.1599998</v>
      </c>
      <c r="AV92" s="22">
        <f t="shared" si="54"/>
        <v>596750331.43000031</v>
      </c>
      <c r="AW92" s="22">
        <f t="shared" si="54"/>
        <v>13813021055.870001</v>
      </c>
      <c r="AX92" s="24">
        <f t="shared" si="47"/>
        <v>0.78135544704722415</v>
      </c>
    </row>
    <row r="93" spans="1:50" ht="18.75" customHeight="1" x14ac:dyDescent="0.2">
      <c r="A93" s="14" t="s">
        <v>55</v>
      </c>
      <c r="B93" s="15" t="s">
        <v>56</v>
      </c>
      <c r="C93" s="15"/>
      <c r="D93" s="15" t="s">
        <v>40</v>
      </c>
      <c r="E93" s="15"/>
      <c r="F93" s="15"/>
      <c r="G93" s="15" t="s">
        <v>41</v>
      </c>
      <c r="H93" s="15"/>
      <c r="I93" s="15" t="s">
        <v>936</v>
      </c>
      <c r="J93" s="15"/>
      <c r="K93" s="15" t="s">
        <v>932</v>
      </c>
      <c r="L93" s="15"/>
      <c r="M93" s="15" t="s">
        <v>933</v>
      </c>
      <c r="N93" s="15"/>
      <c r="O93" s="15" t="s">
        <v>938</v>
      </c>
      <c r="P93" s="15"/>
      <c r="Q93" s="15" t="s">
        <v>942</v>
      </c>
      <c r="R93" s="15"/>
      <c r="S93" s="15" t="s">
        <v>940</v>
      </c>
      <c r="T93" s="15">
        <v>0</v>
      </c>
      <c r="U93" s="15">
        <v>0</v>
      </c>
      <c r="V93" s="15">
        <v>0</v>
      </c>
      <c r="W93" s="15">
        <v>0</v>
      </c>
      <c r="X93" s="15" t="s">
        <v>937</v>
      </c>
      <c r="Y93" s="15"/>
      <c r="Z93" s="15"/>
      <c r="AA93" s="16" t="s">
        <v>190</v>
      </c>
      <c r="AB93" s="17" t="s">
        <v>191</v>
      </c>
      <c r="AC93" s="17" t="s">
        <v>58</v>
      </c>
      <c r="AD93" s="18">
        <v>200000000</v>
      </c>
      <c r="AE93" s="34">
        <v>0</v>
      </c>
      <c r="AF93" s="34">
        <v>0</v>
      </c>
      <c r="AG93" s="34">
        <v>0</v>
      </c>
      <c r="AH93" s="18">
        <f>90000000+20000000</f>
        <v>110000000</v>
      </c>
      <c r="AI93" s="18">
        <f>AE93-AF93+AG93-AH93</f>
        <v>-110000000</v>
      </c>
      <c r="AJ93" s="18">
        <f>AD93+AI93</f>
        <v>90000000</v>
      </c>
      <c r="AK93" s="34">
        <v>0</v>
      </c>
      <c r="AL93" s="18">
        <f>AM93-'MARZO '!AM93</f>
        <v>0</v>
      </c>
      <c r="AM93" s="18">
        <v>77224700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1">
        <f t="shared" ref="AT93:AT113" si="55">AQ93+AS93</f>
        <v>0</v>
      </c>
      <c r="AU93" s="18">
        <f t="shared" ref="AU93:AU98" si="56">AJ93-AM93</f>
        <v>12775300</v>
      </c>
      <c r="AV93" s="18">
        <f t="shared" ref="AV93:AV98" si="57">AM93-AP93</f>
        <v>77224700</v>
      </c>
      <c r="AW93" s="34">
        <f t="shared" ref="AW93:AW98" si="58">AP93-AT93</f>
        <v>0</v>
      </c>
      <c r="AX93" s="32">
        <f t="shared" si="47"/>
        <v>0</v>
      </c>
    </row>
    <row r="94" spans="1:50" ht="27.75" customHeight="1" x14ac:dyDescent="0.2">
      <c r="A94" s="35" t="s">
        <v>55</v>
      </c>
      <c r="B94" s="36" t="s">
        <v>56</v>
      </c>
      <c r="C94" s="36"/>
      <c r="D94" s="36" t="s">
        <v>40</v>
      </c>
      <c r="E94" s="36"/>
      <c r="F94" s="36"/>
      <c r="G94" s="36" t="s">
        <v>41</v>
      </c>
      <c r="H94" s="36"/>
      <c r="I94" s="36" t="s">
        <v>936</v>
      </c>
      <c r="J94" s="36"/>
      <c r="K94" s="36" t="s">
        <v>932</v>
      </c>
      <c r="L94" s="36"/>
      <c r="M94" s="36" t="s">
        <v>933</v>
      </c>
      <c r="N94" s="36"/>
      <c r="O94" s="36" t="s">
        <v>938</v>
      </c>
      <c r="P94" s="36"/>
      <c r="Q94" s="36" t="s">
        <v>942</v>
      </c>
      <c r="R94" s="36"/>
      <c r="S94" s="36" t="s">
        <v>940</v>
      </c>
      <c r="T94" s="36">
        <v>0</v>
      </c>
      <c r="U94" s="36">
        <v>0</v>
      </c>
      <c r="V94" s="36">
        <v>0</v>
      </c>
      <c r="W94" s="36">
        <v>0</v>
      </c>
      <c r="X94" s="36" t="s">
        <v>937</v>
      </c>
      <c r="Y94" s="36"/>
      <c r="Z94" s="36"/>
      <c r="AA94" s="37" t="s">
        <v>192</v>
      </c>
      <c r="AB94" s="38" t="s">
        <v>193</v>
      </c>
      <c r="AC94" s="38" t="s">
        <v>58</v>
      </c>
      <c r="AD94" s="39">
        <v>1740000000</v>
      </c>
      <c r="AE94" s="40">
        <v>0</v>
      </c>
      <c r="AF94" s="40">
        <v>0</v>
      </c>
      <c r="AG94" s="39">
        <v>200000000</v>
      </c>
      <c r="AH94" s="39">
        <v>490000000</v>
      </c>
      <c r="AI94" s="18">
        <f>AE94-AF94+AG94-AH94</f>
        <v>-290000000</v>
      </c>
      <c r="AJ94" s="18">
        <f>AD94+AI94</f>
        <v>1450000000</v>
      </c>
      <c r="AK94" s="40">
        <v>0</v>
      </c>
      <c r="AL94" s="18">
        <f>AM94-'MARZO '!AM94</f>
        <v>91907456</v>
      </c>
      <c r="AM94" s="39">
        <v>797953209</v>
      </c>
      <c r="AN94" s="40">
        <v>0</v>
      </c>
      <c r="AO94" s="18">
        <v>91907456</v>
      </c>
      <c r="AP94" s="39">
        <v>797953209</v>
      </c>
      <c r="AQ94" s="39">
        <v>0</v>
      </c>
      <c r="AR94" s="39">
        <v>49536792.920000002</v>
      </c>
      <c r="AS94" s="39">
        <v>302472845.92000002</v>
      </c>
      <c r="AT94" s="30">
        <f t="shared" si="55"/>
        <v>302472845.92000002</v>
      </c>
      <c r="AU94" s="18">
        <f t="shared" si="56"/>
        <v>652046791</v>
      </c>
      <c r="AV94" s="34">
        <f t="shared" si="57"/>
        <v>0</v>
      </c>
      <c r="AW94" s="18">
        <f t="shared" si="58"/>
        <v>495480363.07999998</v>
      </c>
      <c r="AX94" s="32">
        <f t="shared" si="47"/>
        <v>0.55031255793103451</v>
      </c>
    </row>
    <row r="95" spans="1:50" ht="27.75" customHeight="1" x14ac:dyDescent="0.2">
      <c r="A95" s="35" t="s">
        <v>55</v>
      </c>
      <c r="B95" s="36" t="s">
        <v>56</v>
      </c>
      <c r="C95" s="36"/>
      <c r="D95" s="36" t="s">
        <v>40</v>
      </c>
      <c r="E95" s="36"/>
      <c r="F95" s="36"/>
      <c r="G95" s="36" t="s">
        <v>41</v>
      </c>
      <c r="H95" s="36"/>
      <c r="I95" s="36" t="s">
        <v>936</v>
      </c>
      <c r="J95" s="36"/>
      <c r="K95" s="36" t="s">
        <v>932</v>
      </c>
      <c r="L95" s="36"/>
      <c r="M95" s="36" t="s">
        <v>933</v>
      </c>
      <c r="N95" s="36"/>
      <c r="O95" s="36" t="s">
        <v>938</v>
      </c>
      <c r="P95" s="36"/>
      <c r="Q95" s="36" t="s">
        <v>942</v>
      </c>
      <c r="R95" s="36"/>
      <c r="S95" s="36" t="s">
        <v>940</v>
      </c>
      <c r="T95" s="36">
        <v>0</v>
      </c>
      <c r="U95" s="36">
        <v>0</v>
      </c>
      <c r="V95" s="36">
        <v>0</v>
      </c>
      <c r="W95" s="36">
        <v>0</v>
      </c>
      <c r="X95" s="36" t="s">
        <v>937</v>
      </c>
      <c r="Y95" s="36"/>
      <c r="Z95" s="36"/>
      <c r="AA95" s="37" t="s">
        <v>194</v>
      </c>
      <c r="AB95" s="38" t="s">
        <v>195</v>
      </c>
      <c r="AC95" s="38" t="s">
        <v>58</v>
      </c>
      <c r="AD95" s="39">
        <v>3623000000</v>
      </c>
      <c r="AE95" s="40">
        <v>0</v>
      </c>
      <c r="AF95" s="40">
        <v>0</v>
      </c>
      <c r="AG95" s="40">
        <v>0</v>
      </c>
      <c r="AH95" s="39">
        <v>10000000</v>
      </c>
      <c r="AI95" s="18">
        <f>AE95-AF95+AG95-AH95</f>
        <v>-10000000</v>
      </c>
      <c r="AJ95" s="18">
        <f>AD95+AI95</f>
        <v>3613000000</v>
      </c>
      <c r="AK95" s="40">
        <v>0</v>
      </c>
      <c r="AL95" s="18">
        <f>AM95-'MARZO '!AM95</f>
        <v>88502078</v>
      </c>
      <c r="AM95" s="39">
        <v>3208932393</v>
      </c>
      <c r="AN95" s="40">
        <v>0</v>
      </c>
      <c r="AO95" s="18">
        <v>2524999231</v>
      </c>
      <c r="AP95" s="39">
        <v>3155603332</v>
      </c>
      <c r="AQ95" s="39">
        <v>918000</v>
      </c>
      <c r="AR95" s="39">
        <v>39534715</v>
      </c>
      <c r="AS95" s="39">
        <v>192964587</v>
      </c>
      <c r="AT95" s="30">
        <f t="shared" si="55"/>
        <v>193882587</v>
      </c>
      <c r="AU95" s="18">
        <f t="shared" si="56"/>
        <v>404067607</v>
      </c>
      <c r="AV95" s="18">
        <f t="shared" si="57"/>
        <v>53329061</v>
      </c>
      <c r="AW95" s="18">
        <f t="shared" si="58"/>
        <v>2961720745</v>
      </c>
      <c r="AX95" s="32">
        <f t="shared" si="47"/>
        <v>0.87340252753944092</v>
      </c>
    </row>
    <row r="96" spans="1:50" ht="25.5" customHeight="1" x14ac:dyDescent="0.2">
      <c r="A96" s="14" t="s">
        <v>55</v>
      </c>
      <c r="B96" s="15" t="s">
        <v>56</v>
      </c>
      <c r="C96" s="15"/>
      <c r="D96" s="15" t="s">
        <v>40</v>
      </c>
      <c r="E96" s="15"/>
      <c r="F96" s="15"/>
      <c r="G96" s="15" t="s">
        <v>41</v>
      </c>
      <c r="H96" s="15"/>
      <c r="I96" s="15" t="s">
        <v>936</v>
      </c>
      <c r="J96" s="15"/>
      <c r="K96" s="15" t="s">
        <v>932</v>
      </c>
      <c r="L96" s="15"/>
      <c r="M96" s="15" t="s">
        <v>933</v>
      </c>
      <c r="N96" s="15"/>
      <c r="O96" s="15" t="s">
        <v>938</v>
      </c>
      <c r="P96" s="15"/>
      <c r="Q96" s="15" t="s">
        <v>942</v>
      </c>
      <c r="R96" s="15"/>
      <c r="S96" s="15" t="s">
        <v>940</v>
      </c>
      <c r="T96" s="15">
        <v>0</v>
      </c>
      <c r="U96" s="15">
        <v>0</v>
      </c>
      <c r="V96" s="15">
        <v>0</v>
      </c>
      <c r="W96" s="15">
        <v>0</v>
      </c>
      <c r="X96" s="15" t="s">
        <v>937</v>
      </c>
      <c r="Y96" s="15"/>
      <c r="Z96" s="15"/>
      <c r="AA96" s="16" t="s">
        <v>196</v>
      </c>
      <c r="AB96" s="17" t="s">
        <v>197</v>
      </c>
      <c r="AC96" s="17" t="s">
        <v>58</v>
      </c>
      <c r="AD96" s="18">
        <v>17003782621</v>
      </c>
      <c r="AE96" s="34">
        <v>0</v>
      </c>
      <c r="AF96" s="34">
        <v>0</v>
      </c>
      <c r="AG96" s="18">
        <f>1580000000+150000000+300000000+34200000</f>
        <v>2064200000</v>
      </c>
      <c r="AH96" s="18">
        <f>1000000000+450000000+300000000+34200000</f>
        <v>1784200000</v>
      </c>
      <c r="AI96" s="18">
        <f>AE96-AF96+AG96-AH96</f>
        <v>280000000</v>
      </c>
      <c r="AJ96" s="18">
        <f>AD96+AI96</f>
        <v>17283782621</v>
      </c>
      <c r="AK96" s="133">
        <v>0</v>
      </c>
      <c r="AL96" s="18">
        <f>AM96-'MARZO '!AM96</f>
        <v>324555155.19000053</v>
      </c>
      <c r="AM96" s="110">
        <v>14320847604.34</v>
      </c>
      <c r="AN96" s="18">
        <v>56600000</v>
      </c>
      <c r="AO96" s="18">
        <v>4259592817.46</v>
      </c>
      <c r="AP96" s="18">
        <v>13856719877.91</v>
      </c>
      <c r="AQ96" s="18">
        <v>789904999</v>
      </c>
      <c r="AR96" s="18">
        <v>1123391444.47</v>
      </c>
      <c r="AS96" s="18">
        <v>2762230743.1199999</v>
      </c>
      <c r="AT96" s="30">
        <f t="shared" si="55"/>
        <v>3552135742.1199999</v>
      </c>
      <c r="AU96" s="18">
        <f t="shared" si="56"/>
        <v>2962935016.6599998</v>
      </c>
      <c r="AV96" s="18">
        <f t="shared" si="57"/>
        <v>464127726.43000031</v>
      </c>
      <c r="AW96" s="18">
        <f t="shared" si="58"/>
        <v>10304584135.790001</v>
      </c>
      <c r="AX96" s="32">
        <f t="shared" si="47"/>
        <v>0.80171801403437704</v>
      </c>
    </row>
    <row r="97" spans="1:50" ht="18.75" customHeight="1" x14ac:dyDescent="0.2">
      <c r="A97" s="14" t="s">
        <v>55</v>
      </c>
      <c r="B97" s="15" t="s">
        <v>56</v>
      </c>
      <c r="C97" s="15"/>
      <c r="D97" s="15" t="s">
        <v>40</v>
      </c>
      <c r="E97" s="15"/>
      <c r="F97" s="15"/>
      <c r="G97" s="15" t="s">
        <v>41</v>
      </c>
      <c r="H97" s="15"/>
      <c r="I97" s="15" t="s">
        <v>936</v>
      </c>
      <c r="J97" s="15"/>
      <c r="K97" s="15" t="s">
        <v>932</v>
      </c>
      <c r="L97" s="15"/>
      <c r="M97" s="15" t="s">
        <v>933</v>
      </c>
      <c r="N97" s="15"/>
      <c r="O97" s="15" t="s">
        <v>938</v>
      </c>
      <c r="P97" s="15"/>
      <c r="Q97" s="15" t="s">
        <v>942</v>
      </c>
      <c r="R97" s="15"/>
      <c r="S97" s="15" t="s">
        <v>940</v>
      </c>
      <c r="T97" s="15">
        <v>0</v>
      </c>
      <c r="U97" s="15">
        <v>0</v>
      </c>
      <c r="V97" s="15">
        <v>0</v>
      </c>
      <c r="W97" s="15">
        <v>0</v>
      </c>
      <c r="X97" s="15" t="s">
        <v>937</v>
      </c>
      <c r="Y97" s="15"/>
      <c r="Z97" s="15"/>
      <c r="AA97" s="16" t="s">
        <v>198</v>
      </c>
      <c r="AB97" s="17" t="s">
        <v>199</v>
      </c>
      <c r="AC97" s="17" t="s">
        <v>58</v>
      </c>
      <c r="AD97" s="18">
        <v>348000000</v>
      </c>
      <c r="AE97" s="34">
        <v>0</v>
      </c>
      <c r="AF97" s="34">
        <v>0</v>
      </c>
      <c r="AG97" s="34">
        <v>0</v>
      </c>
      <c r="AH97" s="34">
        <v>0</v>
      </c>
      <c r="AI97" s="34">
        <v>0</v>
      </c>
      <c r="AJ97" s="18">
        <v>348000000</v>
      </c>
      <c r="AK97" s="34">
        <v>0</v>
      </c>
      <c r="AL97" s="18">
        <f>AM97-'MARZO '!AM97</f>
        <v>0</v>
      </c>
      <c r="AM97" s="110">
        <v>50000000</v>
      </c>
      <c r="AN97" s="34">
        <v>0</v>
      </c>
      <c r="AO97" s="34">
        <v>0</v>
      </c>
      <c r="AP97" s="18">
        <v>50000000</v>
      </c>
      <c r="AQ97" s="34">
        <v>0</v>
      </c>
      <c r="AR97" s="34">
        <v>0</v>
      </c>
      <c r="AS97" s="34">
        <v>0</v>
      </c>
      <c r="AT97" s="31">
        <f t="shared" si="55"/>
        <v>0</v>
      </c>
      <c r="AU97" s="18">
        <f t="shared" si="56"/>
        <v>298000000</v>
      </c>
      <c r="AV97" s="18">
        <f t="shared" si="57"/>
        <v>0</v>
      </c>
      <c r="AW97" s="18">
        <f t="shared" si="58"/>
        <v>50000000</v>
      </c>
      <c r="AX97" s="32">
        <f t="shared" si="47"/>
        <v>0.14367816091954022</v>
      </c>
    </row>
    <row r="98" spans="1:50" ht="18.75" customHeight="1" x14ac:dyDescent="0.2">
      <c r="A98" s="14" t="s">
        <v>55</v>
      </c>
      <c r="B98" s="15" t="s">
        <v>56</v>
      </c>
      <c r="C98" s="15"/>
      <c r="D98" s="15" t="s">
        <v>40</v>
      </c>
      <c r="E98" s="15"/>
      <c r="F98" s="15"/>
      <c r="G98" s="15" t="s">
        <v>41</v>
      </c>
      <c r="H98" s="15"/>
      <c r="I98" s="15" t="s">
        <v>936</v>
      </c>
      <c r="J98" s="15"/>
      <c r="K98" s="15" t="s">
        <v>932</v>
      </c>
      <c r="L98" s="15"/>
      <c r="M98" s="15" t="s">
        <v>933</v>
      </c>
      <c r="N98" s="15"/>
      <c r="O98" s="15" t="s">
        <v>938</v>
      </c>
      <c r="P98" s="15"/>
      <c r="Q98" s="15" t="s">
        <v>942</v>
      </c>
      <c r="R98" s="15"/>
      <c r="S98" s="15" t="s">
        <v>940</v>
      </c>
      <c r="T98" s="15">
        <v>0</v>
      </c>
      <c r="U98" s="15">
        <v>0</v>
      </c>
      <c r="V98" s="15">
        <v>0</v>
      </c>
      <c r="W98" s="15">
        <v>0</v>
      </c>
      <c r="X98" s="15" t="s">
        <v>937</v>
      </c>
      <c r="Y98" s="15"/>
      <c r="Z98" s="15"/>
      <c r="AA98" s="16" t="s">
        <v>200</v>
      </c>
      <c r="AB98" s="17" t="s">
        <v>201</v>
      </c>
      <c r="AC98" s="17" t="s">
        <v>58</v>
      </c>
      <c r="AD98" s="18">
        <v>100000000</v>
      </c>
      <c r="AE98" s="34">
        <v>0</v>
      </c>
      <c r="AF98" s="34">
        <v>0</v>
      </c>
      <c r="AG98" s="34">
        <v>0</v>
      </c>
      <c r="AH98" s="34">
        <v>0</v>
      </c>
      <c r="AI98" s="34">
        <v>0</v>
      </c>
      <c r="AJ98" s="18">
        <v>100000000</v>
      </c>
      <c r="AK98" s="34">
        <v>0</v>
      </c>
      <c r="AL98" s="18">
        <f>AM98-'MARZO '!AM98</f>
        <v>2306769</v>
      </c>
      <c r="AM98" s="110">
        <v>22941980.5</v>
      </c>
      <c r="AN98" s="34">
        <v>0</v>
      </c>
      <c r="AO98" s="18">
        <v>1235812</v>
      </c>
      <c r="AP98" s="18">
        <v>20873136.5</v>
      </c>
      <c r="AQ98" s="34">
        <v>0</v>
      </c>
      <c r="AR98" s="18">
        <v>2240382</v>
      </c>
      <c r="AS98" s="18">
        <v>19637324.5</v>
      </c>
      <c r="AT98" s="30">
        <f t="shared" si="55"/>
        <v>19637324.5</v>
      </c>
      <c r="AU98" s="18">
        <f t="shared" si="56"/>
        <v>77058019.5</v>
      </c>
      <c r="AV98" s="18">
        <f t="shared" si="57"/>
        <v>2068844</v>
      </c>
      <c r="AW98" s="18">
        <f t="shared" si="58"/>
        <v>1235812</v>
      </c>
      <c r="AX98" s="32">
        <f t="shared" si="47"/>
        <v>0.208731365</v>
      </c>
    </row>
    <row r="99" spans="1:50" s="25" customFormat="1" ht="18.75" customHeight="1" x14ac:dyDescent="0.2">
      <c r="A99" s="19" t="s">
        <v>37</v>
      </c>
      <c r="B99" s="19" t="s">
        <v>37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26" t="s">
        <v>868</v>
      </c>
      <c r="AB99" s="21" t="s">
        <v>202</v>
      </c>
      <c r="AC99" s="22" t="s">
        <v>37</v>
      </c>
      <c r="AD99" s="22">
        <f t="shared" ref="AD99:AS99" si="59">AD100+AD121+AD136</f>
        <v>113142608950</v>
      </c>
      <c r="AE99" s="23">
        <f t="shared" si="59"/>
        <v>0</v>
      </c>
      <c r="AF99" s="23">
        <f t="shared" si="59"/>
        <v>0</v>
      </c>
      <c r="AG99" s="22">
        <f t="shared" si="59"/>
        <v>700000000</v>
      </c>
      <c r="AH99" s="22">
        <f t="shared" si="59"/>
        <v>900000000</v>
      </c>
      <c r="AI99" s="22">
        <f t="shared" si="59"/>
        <v>-200000000</v>
      </c>
      <c r="AJ99" s="22">
        <f t="shared" si="59"/>
        <v>112942608950</v>
      </c>
      <c r="AK99" s="23">
        <f t="shared" si="59"/>
        <v>0</v>
      </c>
      <c r="AL99" s="22">
        <f t="shared" si="59"/>
        <v>39928404249.740005</v>
      </c>
      <c r="AM99" s="22">
        <f t="shared" si="59"/>
        <v>53443173481.149994</v>
      </c>
      <c r="AN99" s="23">
        <f t="shared" si="59"/>
        <v>0</v>
      </c>
      <c r="AO99" s="22">
        <f t="shared" si="59"/>
        <v>39929034249.740005</v>
      </c>
      <c r="AP99" s="22">
        <f t="shared" si="59"/>
        <v>53438973481.149994</v>
      </c>
      <c r="AQ99" s="22">
        <f t="shared" si="59"/>
        <v>2175211412.8600001</v>
      </c>
      <c r="AR99" s="22">
        <f t="shared" si="59"/>
        <v>37692996751.310005</v>
      </c>
      <c r="AS99" s="22">
        <f t="shared" si="59"/>
        <v>49040325110.720001</v>
      </c>
      <c r="AT99" s="22">
        <f t="shared" si="55"/>
        <v>51215536523.580002</v>
      </c>
      <c r="AU99" s="22">
        <f>AU100+AU121+AU136</f>
        <v>59499435468.850006</v>
      </c>
      <c r="AV99" s="22">
        <f>AV100+AV121+AV136</f>
        <v>4200000</v>
      </c>
      <c r="AW99" s="22">
        <f>AW100+AW121+AW136</f>
        <v>2223436957.5699997</v>
      </c>
      <c r="AX99" s="24">
        <f t="shared" si="47"/>
        <v>0.47315157652155504</v>
      </c>
    </row>
    <row r="100" spans="1:50" s="25" customFormat="1" ht="18.75" customHeight="1" x14ac:dyDescent="0.2">
      <c r="A100" s="19" t="s">
        <v>55</v>
      </c>
      <c r="B100" s="19" t="s">
        <v>56</v>
      </c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26" t="s">
        <v>869</v>
      </c>
      <c r="AB100" s="21" t="s">
        <v>203</v>
      </c>
      <c r="AC100" s="22" t="s">
        <v>37</v>
      </c>
      <c r="AD100" s="22">
        <f t="shared" ref="AD100:AS100" si="60">AD101+AD115</f>
        <v>70789582622</v>
      </c>
      <c r="AE100" s="23">
        <f t="shared" si="60"/>
        <v>0</v>
      </c>
      <c r="AF100" s="23">
        <f t="shared" si="60"/>
        <v>0</v>
      </c>
      <c r="AG100" s="22">
        <f t="shared" si="60"/>
        <v>700000000</v>
      </c>
      <c r="AH100" s="23">
        <f t="shared" si="60"/>
        <v>0</v>
      </c>
      <c r="AI100" s="22">
        <f t="shared" si="60"/>
        <v>700000000</v>
      </c>
      <c r="AJ100" s="22">
        <f t="shared" si="60"/>
        <v>71489582622</v>
      </c>
      <c r="AK100" s="23">
        <f t="shared" si="60"/>
        <v>0</v>
      </c>
      <c r="AL100" s="22">
        <f t="shared" si="60"/>
        <v>37486071253.760002</v>
      </c>
      <c r="AM100" s="22">
        <f t="shared" si="60"/>
        <v>44359862704.169998</v>
      </c>
      <c r="AN100" s="23">
        <f t="shared" si="60"/>
        <v>0</v>
      </c>
      <c r="AO100" s="22">
        <f t="shared" si="60"/>
        <v>37486071253.760002</v>
      </c>
      <c r="AP100" s="22">
        <f t="shared" si="60"/>
        <v>44359862704.169998</v>
      </c>
      <c r="AQ100" s="22">
        <f t="shared" si="60"/>
        <v>73157685.859999999</v>
      </c>
      <c r="AR100" s="22">
        <f t="shared" si="60"/>
        <v>37426967402.900002</v>
      </c>
      <c r="AS100" s="22">
        <f t="shared" si="60"/>
        <v>44286705018.309998</v>
      </c>
      <c r="AT100" s="22">
        <f t="shared" si="55"/>
        <v>44359862704.169998</v>
      </c>
      <c r="AU100" s="22">
        <f>AU101+AU115</f>
        <v>27129719917.830002</v>
      </c>
      <c r="AV100" s="23">
        <f>AV101+AV115</f>
        <v>0</v>
      </c>
      <c r="AW100" s="23">
        <f>AW101+AW115</f>
        <v>0</v>
      </c>
      <c r="AX100" s="24">
        <f t="shared" si="47"/>
        <v>0.62050806673081371</v>
      </c>
    </row>
    <row r="101" spans="1:50" s="25" customFormat="1" ht="18.75" customHeight="1" x14ac:dyDescent="0.2">
      <c r="A101" s="19" t="s">
        <v>55</v>
      </c>
      <c r="B101" s="19" t="s">
        <v>56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26" t="s">
        <v>870</v>
      </c>
      <c r="AB101" s="21" t="s">
        <v>204</v>
      </c>
      <c r="AC101" s="22" t="s">
        <v>56</v>
      </c>
      <c r="AD101" s="22">
        <f>AD102</f>
        <v>34789582622</v>
      </c>
      <c r="AE101" s="23">
        <f t="shared" ref="AE101:AW101" si="61">AE102</f>
        <v>0</v>
      </c>
      <c r="AF101" s="23">
        <f t="shared" si="61"/>
        <v>0</v>
      </c>
      <c r="AG101" s="22">
        <f>AG102</f>
        <v>700000000</v>
      </c>
      <c r="AH101" s="23">
        <f t="shared" si="61"/>
        <v>0</v>
      </c>
      <c r="AI101" s="22">
        <f t="shared" si="61"/>
        <v>700000000</v>
      </c>
      <c r="AJ101" s="22">
        <f t="shared" si="61"/>
        <v>35489582622</v>
      </c>
      <c r="AK101" s="23">
        <f t="shared" si="61"/>
        <v>0</v>
      </c>
      <c r="AL101" s="22">
        <f t="shared" si="61"/>
        <v>12696189950.76</v>
      </c>
      <c r="AM101" s="22">
        <f t="shared" si="61"/>
        <v>19569981401.169998</v>
      </c>
      <c r="AN101" s="23">
        <f t="shared" si="61"/>
        <v>0</v>
      </c>
      <c r="AO101" s="22">
        <f t="shared" si="61"/>
        <v>12696189950.76</v>
      </c>
      <c r="AP101" s="22">
        <f t="shared" si="61"/>
        <v>19569981401.169998</v>
      </c>
      <c r="AQ101" s="22">
        <f t="shared" si="61"/>
        <v>73157685.859999999</v>
      </c>
      <c r="AR101" s="22">
        <f t="shared" si="61"/>
        <v>12637086099.9</v>
      </c>
      <c r="AS101" s="22">
        <f t="shared" si="61"/>
        <v>19496823715.309998</v>
      </c>
      <c r="AT101" s="22">
        <f t="shared" si="55"/>
        <v>19569981401.169998</v>
      </c>
      <c r="AU101" s="22">
        <f t="shared" si="61"/>
        <v>15919601220.83</v>
      </c>
      <c r="AV101" s="23">
        <f t="shared" si="61"/>
        <v>0</v>
      </c>
      <c r="AW101" s="23">
        <f t="shared" si="61"/>
        <v>0</v>
      </c>
      <c r="AX101" s="24">
        <f t="shared" si="47"/>
        <v>0.55142889702620967</v>
      </c>
    </row>
    <row r="102" spans="1:50" ht="28.5" customHeight="1" x14ac:dyDescent="0.2">
      <c r="A102" s="27" t="s">
        <v>55</v>
      </c>
      <c r="B102" s="27" t="s">
        <v>56</v>
      </c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101" t="s">
        <v>871</v>
      </c>
      <c r="AB102" s="38" t="s">
        <v>205</v>
      </c>
      <c r="AC102" s="30" t="s">
        <v>56</v>
      </c>
      <c r="AD102" s="30">
        <f t="shared" ref="AD102:AF102" si="62">SUM(AD103:AD113)</f>
        <v>34789582622</v>
      </c>
      <c r="AE102" s="31">
        <f t="shared" si="62"/>
        <v>0</v>
      </c>
      <c r="AF102" s="31">
        <f t="shared" si="62"/>
        <v>0</v>
      </c>
      <c r="AG102" s="30">
        <f>SUM(AG103:AG114)</f>
        <v>700000000</v>
      </c>
      <c r="AH102" s="30">
        <f t="shared" ref="AH102:AI102" si="63">SUM(AH103:AH114)</f>
        <v>0</v>
      </c>
      <c r="AI102" s="30">
        <f t="shared" si="63"/>
        <v>700000000</v>
      </c>
      <c r="AJ102" s="30">
        <f t="shared" ref="AJ102" si="64">SUM(AJ103:AJ114)</f>
        <v>35489582622</v>
      </c>
      <c r="AK102" s="31">
        <f t="shared" ref="AK102" si="65">SUM(AK103:AK114)</f>
        <v>0</v>
      </c>
      <c r="AL102" s="30">
        <f t="shared" ref="AL102" si="66">SUM(AL103:AL114)</f>
        <v>12696189950.76</v>
      </c>
      <c r="AM102" s="30">
        <f t="shared" ref="AM102" si="67">SUM(AM103:AM114)</f>
        <v>19569981401.169998</v>
      </c>
      <c r="AN102" s="30">
        <f t="shared" ref="AN102" si="68">SUM(AN103:AN114)</f>
        <v>0</v>
      </c>
      <c r="AO102" s="30">
        <f t="shared" ref="AO102" si="69">SUM(AO103:AO114)</f>
        <v>12696189950.76</v>
      </c>
      <c r="AP102" s="30">
        <f t="shared" ref="AP102" si="70">SUM(AP103:AP114)</f>
        <v>19569981401.169998</v>
      </c>
      <c r="AQ102" s="30">
        <f t="shared" ref="AQ102" si="71">SUM(AQ103:AQ114)</f>
        <v>73157685.859999999</v>
      </c>
      <c r="AR102" s="30">
        <f t="shared" ref="AR102" si="72">SUM(AR103:AR114)</f>
        <v>12637086099.9</v>
      </c>
      <c r="AS102" s="30">
        <f t="shared" ref="AS102" si="73">SUM(AS103:AS114)</f>
        <v>19496823715.309998</v>
      </c>
      <c r="AT102" s="30">
        <f t="shared" ref="AT102" si="74">SUM(AT103:AT114)</f>
        <v>19569981401.169998</v>
      </c>
      <c r="AU102" s="30">
        <f t="shared" ref="AU102" si="75">SUM(AU103:AU114)</f>
        <v>15919601220.83</v>
      </c>
      <c r="AV102" s="31">
        <f t="shared" ref="AV102" si="76">SUM(AV103:AV114)</f>
        <v>0</v>
      </c>
      <c r="AW102" s="31">
        <f t="shared" ref="AW102" si="77">SUM(AW103:AW114)</f>
        <v>0</v>
      </c>
      <c r="AX102" s="32">
        <f t="shared" si="47"/>
        <v>0.55142889702620967</v>
      </c>
    </row>
    <row r="103" spans="1:50" ht="18.75" customHeight="1" x14ac:dyDescent="0.2">
      <c r="A103" s="35" t="s">
        <v>55</v>
      </c>
      <c r="B103" s="36" t="s">
        <v>56</v>
      </c>
      <c r="C103" s="36"/>
      <c r="D103" s="36" t="s">
        <v>40</v>
      </c>
      <c r="E103" s="36"/>
      <c r="F103" s="36"/>
      <c r="G103" s="36" t="s">
        <v>41</v>
      </c>
      <c r="H103" s="36"/>
      <c r="I103" s="36" t="s">
        <v>936</v>
      </c>
      <c r="J103" s="36"/>
      <c r="K103" s="36" t="s">
        <v>932</v>
      </c>
      <c r="L103" s="36"/>
      <c r="M103" s="36" t="s">
        <v>933</v>
      </c>
      <c r="N103" s="36"/>
      <c r="O103" s="36" t="s">
        <v>938</v>
      </c>
      <c r="P103" s="36"/>
      <c r="Q103" s="36" t="s">
        <v>942</v>
      </c>
      <c r="R103" s="36"/>
      <c r="S103" s="36" t="s">
        <v>940</v>
      </c>
      <c r="T103" s="36">
        <v>0</v>
      </c>
      <c r="U103" s="36">
        <v>0</v>
      </c>
      <c r="V103" s="36">
        <v>0</v>
      </c>
      <c r="W103" s="36">
        <v>0</v>
      </c>
      <c r="X103" s="36" t="s">
        <v>937</v>
      </c>
      <c r="Y103" s="36"/>
      <c r="Z103" s="36"/>
      <c r="AA103" s="101" t="s">
        <v>872</v>
      </c>
      <c r="AB103" s="38" t="s">
        <v>206</v>
      </c>
      <c r="AC103" s="38" t="s">
        <v>58</v>
      </c>
      <c r="AD103" s="39">
        <v>2500000000</v>
      </c>
      <c r="AE103" s="40">
        <v>0</v>
      </c>
      <c r="AF103" s="40">
        <v>0</v>
      </c>
      <c r="AG103" s="40">
        <v>0</v>
      </c>
      <c r="AH103" s="40">
        <v>0</v>
      </c>
      <c r="AI103" s="40">
        <v>0</v>
      </c>
      <c r="AJ103" s="39">
        <v>2500000000</v>
      </c>
      <c r="AK103" s="40">
        <v>0</v>
      </c>
      <c r="AL103" s="39">
        <v>208333333</v>
      </c>
      <c r="AM103" s="39">
        <v>833333332</v>
      </c>
      <c r="AN103" s="40">
        <v>0</v>
      </c>
      <c r="AO103" s="39">
        <v>208333333</v>
      </c>
      <c r="AP103" s="39">
        <v>833333332</v>
      </c>
      <c r="AQ103" s="40">
        <v>0</v>
      </c>
      <c r="AR103" s="39">
        <f>AS103-'MARZO '!AS103</f>
        <v>208333333</v>
      </c>
      <c r="AS103" s="39">
        <v>833333332</v>
      </c>
      <c r="AT103" s="39">
        <f t="shared" si="55"/>
        <v>833333332</v>
      </c>
      <c r="AU103" s="18">
        <f t="shared" ref="AU103:AU113" si="78">AJ103-AM103</f>
        <v>1666666668</v>
      </c>
      <c r="AV103" s="34">
        <f t="shared" ref="AV103:AV113" si="79">AM103-AP103</f>
        <v>0</v>
      </c>
      <c r="AW103" s="34">
        <f t="shared" ref="AW103:AW113" si="80">AP103-AT103</f>
        <v>0</v>
      </c>
      <c r="AX103" s="32">
        <f t="shared" si="47"/>
        <v>0.33333333279999999</v>
      </c>
    </row>
    <row r="104" spans="1:50" ht="18.75" customHeight="1" x14ac:dyDescent="0.2">
      <c r="A104" s="14" t="s">
        <v>55</v>
      </c>
      <c r="B104" s="15" t="s">
        <v>56</v>
      </c>
      <c r="C104" s="15"/>
      <c r="D104" s="15" t="s">
        <v>40</v>
      </c>
      <c r="E104" s="15"/>
      <c r="F104" s="15"/>
      <c r="G104" s="15" t="s">
        <v>41</v>
      </c>
      <c r="H104" s="15"/>
      <c r="I104" s="15" t="s">
        <v>936</v>
      </c>
      <c r="J104" s="15"/>
      <c r="K104" s="15" t="s">
        <v>932</v>
      </c>
      <c r="L104" s="15"/>
      <c r="M104" s="15" t="s">
        <v>933</v>
      </c>
      <c r="N104" s="15"/>
      <c r="O104" s="15" t="s">
        <v>938</v>
      </c>
      <c r="P104" s="15"/>
      <c r="Q104" s="15" t="s">
        <v>942</v>
      </c>
      <c r="R104" s="15"/>
      <c r="S104" s="15" t="s">
        <v>940</v>
      </c>
      <c r="T104" s="15">
        <v>0</v>
      </c>
      <c r="U104" s="15">
        <v>0</v>
      </c>
      <c r="V104" s="15">
        <v>0</v>
      </c>
      <c r="W104" s="15">
        <v>0</v>
      </c>
      <c r="X104" s="15" t="s">
        <v>937</v>
      </c>
      <c r="Y104" s="15"/>
      <c r="Z104" s="15"/>
      <c r="AA104" s="41" t="s">
        <v>873</v>
      </c>
      <c r="AB104" s="17" t="s">
        <v>207</v>
      </c>
      <c r="AC104" s="17" t="s">
        <v>58</v>
      </c>
      <c r="AD104" s="18">
        <v>3557080000</v>
      </c>
      <c r="AE104" s="34">
        <v>0</v>
      </c>
      <c r="AF104" s="34">
        <v>0</v>
      </c>
      <c r="AG104" s="34">
        <v>0</v>
      </c>
      <c r="AH104" s="34">
        <v>0</v>
      </c>
      <c r="AI104" s="34">
        <v>0</v>
      </c>
      <c r="AJ104" s="18">
        <v>3557080000</v>
      </c>
      <c r="AK104" s="34">
        <v>0</v>
      </c>
      <c r="AL104" s="39">
        <v>296423333</v>
      </c>
      <c r="AM104" s="18">
        <v>1185693332</v>
      </c>
      <c r="AN104" s="34">
        <v>0</v>
      </c>
      <c r="AO104" s="18">
        <v>296423333</v>
      </c>
      <c r="AP104" s="18">
        <v>1185693332</v>
      </c>
      <c r="AQ104" s="34">
        <v>0</v>
      </c>
      <c r="AR104" s="39">
        <f>AS104-'MARZO '!AS104</f>
        <v>296423333</v>
      </c>
      <c r="AS104" s="18">
        <v>1185693332</v>
      </c>
      <c r="AT104" s="39">
        <f t="shared" si="55"/>
        <v>1185693332</v>
      </c>
      <c r="AU104" s="18">
        <f t="shared" si="78"/>
        <v>2371386668</v>
      </c>
      <c r="AV104" s="34">
        <f t="shared" si="79"/>
        <v>0</v>
      </c>
      <c r="AW104" s="34">
        <f t="shared" si="80"/>
        <v>0</v>
      </c>
      <c r="AX104" s="32">
        <f t="shared" si="47"/>
        <v>0.33333333295849404</v>
      </c>
    </row>
    <row r="105" spans="1:50" ht="18.75" customHeight="1" x14ac:dyDescent="0.2">
      <c r="A105" s="35" t="s">
        <v>55</v>
      </c>
      <c r="B105" s="36" t="s">
        <v>56</v>
      </c>
      <c r="C105" s="36"/>
      <c r="D105" s="36" t="s">
        <v>40</v>
      </c>
      <c r="E105" s="36"/>
      <c r="F105" s="36"/>
      <c r="G105" s="36" t="s">
        <v>41</v>
      </c>
      <c r="H105" s="36"/>
      <c r="I105" s="36" t="s">
        <v>936</v>
      </c>
      <c r="J105" s="36"/>
      <c r="K105" s="36" t="s">
        <v>932</v>
      </c>
      <c r="L105" s="36"/>
      <c r="M105" s="36" t="s">
        <v>933</v>
      </c>
      <c r="N105" s="36"/>
      <c r="O105" s="36" t="s">
        <v>938</v>
      </c>
      <c r="P105" s="36"/>
      <c r="Q105" s="36" t="s">
        <v>942</v>
      </c>
      <c r="R105" s="36"/>
      <c r="S105" s="36" t="s">
        <v>940</v>
      </c>
      <c r="T105" s="36">
        <v>0</v>
      </c>
      <c r="U105" s="36">
        <v>0</v>
      </c>
      <c r="V105" s="36">
        <v>0</v>
      </c>
      <c r="W105" s="36">
        <v>0</v>
      </c>
      <c r="X105" s="36" t="s">
        <v>937</v>
      </c>
      <c r="Y105" s="36"/>
      <c r="Z105" s="36"/>
      <c r="AA105" s="101" t="s">
        <v>874</v>
      </c>
      <c r="AB105" s="38" t="s">
        <v>208</v>
      </c>
      <c r="AC105" s="38" t="s">
        <v>58</v>
      </c>
      <c r="AD105" s="39">
        <v>2747397800</v>
      </c>
      <c r="AE105" s="40">
        <v>0</v>
      </c>
      <c r="AF105" s="40">
        <v>0</v>
      </c>
      <c r="AG105" s="40">
        <v>0</v>
      </c>
      <c r="AH105" s="40">
        <v>0</v>
      </c>
      <c r="AI105" s="40">
        <v>0</v>
      </c>
      <c r="AJ105" s="39">
        <v>2747397800</v>
      </c>
      <c r="AK105" s="40">
        <v>0</v>
      </c>
      <c r="AL105" s="39">
        <v>228949817</v>
      </c>
      <c r="AM105" s="39">
        <v>915799268</v>
      </c>
      <c r="AN105" s="40">
        <v>0</v>
      </c>
      <c r="AO105" s="39">
        <v>228949817</v>
      </c>
      <c r="AP105" s="39">
        <v>915799268</v>
      </c>
      <c r="AQ105" s="40">
        <v>0</v>
      </c>
      <c r="AR105" s="39">
        <f>AS105-'MARZO '!AS105</f>
        <v>228949817</v>
      </c>
      <c r="AS105" s="39">
        <v>915799268</v>
      </c>
      <c r="AT105" s="39">
        <f t="shared" si="55"/>
        <v>915799268</v>
      </c>
      <c r="AU105" s="18">
        <f t="shared" si="78"/>
        <v>1831598532</v>
      </c>
      <c r="AV105" s="34">
        <f t="shared" si="79"/>
        <v>0</v>
      </c>
      <c r="AW105" s="34">
        <f t="shared" si="80"/>
        <v>0</v>
      </c>
      <c r="AX105" s="32">
        <f t="shared" si="47"/>
        <v>0.33333333381864105</v>
      </c>
    </row>
    <row r="106" spans="1:50" ht="18.75" customHeight="1" x14ac:dyDescent="0.2">
      <c r="A106" s="14" t="s">
        <v>55</v>
      </c>
      <c r="B106" s="15" t="s">
        <v>56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41" t="s">
        <v>875</v>
      </c>
      <c r="AB106" s="17" t="s">
        <v>209</v>
      </c>
      <c r="AC106" s="17" t="s">
        <v>58</v>
      </c>
      <c r="AD106" s="18">
        <v>1627586535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18">
        <v>1627586535</v>
      </c>
      <c r="AK106" s="34">
        <v>0</v>
      </c>
      <c r="AL106" s="39">
        <v>260241600.86000001</v>
      </c>
      <c r="AM106" s="18">
        <v>371382950</v>
      </c>
      <c r="AN106" s="34">
        <v>0</v>
      </c>
      <c r="AO106" s="18">
        <v>260241600.86000001</v>
      </c>
      <c r="AP106" s="18">
        <v>371382950</v>
      </c>
      <c r="AQ106" s="18">
        <v>68100960.859999999</v>
      </c>
      <c r="AR106" s="39">
        <f>AS106-'MARZO '!AS106</f>
        <v>199256960</v>
      </c>
      <c r="AS106" s="18">
        <v>303281989.13999999</v>
      </c>
      <c r="AT106" s="39">
        <f t="shared" si="55"/>
        <v>371382950</v>
      </c>
      <c r="AU106" s="18">
        <f t="shared" si="78"/>
        <v>1256203585</v>
      </c>
      <c r="AV106" s="34">
        <f t="shared" si="79"/>
        <v>0</v>
      </c>
      <c r="AW106" s="34">
        <f t="shared" si="80"/>
        <v>0</v>
      </c>
      <c r="AX106" s="32">
        <f t="shared" si="47"/>
        <v>0.22818015633190281</v>
      </c>
    </row>
    <row r="107" spans="1:50" ht="18.75" customHeight="1" x14ac:dyDescent="0.2">
      <c r="A107" s="14" t="s">
        <v>55</v>
      </c>
      <c r="B107" s="15" t="s">
        <v>56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41" t="s">
        <v>876</v>
      </c>
      <c r="AB107" s="17" t="s">
        <v>210</v>
      </c>
      <c r="AC107" s="17" t="s">
        <v>58</v>
      </c>
      <c r="AD107" s="18">
        <v>4565923897</v>
      </c>
      <c r="AE107" s="34">
        <v>0</v>
      </c>
      <c r="AF107" s="34">
        <v>0</v>
      </c>
      <c r="AG107" s="34">
        <v>0</v>
      </c>
      <c r="AH107" s="34">
        <v>0</v>
      </c>
      <c r="AI107" s="34">
        <v>0</v>
      </c>
      <c r="AJ107" s="18">
        <v>4565923897</v>
      </c>
      <c r="AK107" s="34">
        <v>0</v>
      </c>
      <c r="AL107" s="39">
        <v>1513466886.9000001</v>
      </c>
      <c r="AM107" s="18">
        <v>3036818984.1700001</v>
      </c>
      <c r="AN107" s="34">
        <v>0</v>
      </c>
      <c r="AO107" s="18">
        <v>1513466886.9000001</v>
      </c>
      <c r="AP107" s="18">
        <v>3036818984.1700001</v>
      </c>
      <c r="AQ107" s="34">
        <v>0</v>
      </c>
      <c r="AR107" s="39">
        <f>AS107-'MARZO '!AS107</f>
        <v>1513466886.9000001</v>
      </c>
      <c r="AS107" s="18">
        <v>3036818984.1700001</v>
      </c>
      <c r="AT107" s="39">
        <f t="shared" si="55"/>
        <v>3036818984.1700001</v>
      </c>
      <c r="AU107" s="18">
        <f t="shared" si="78"/>
        <v>1529104912.8299999</v>
      </c>
      <c r="AV107" s="34">
        <f t="shared" si="79"/>
        <v>0</v>
      </c>
      <c r="AW107" s="34">
        <f t="shared" si="80"/>
        <v>0</v>
      </c>
      <c r="AX107" s="32">
        <f t="shared" si="47"/>
        <v>0.66510503737596571</v>
      </c>
    </row>
    <row r="108" spans="1:50" ht="18.75" customHeight="1" x14ac:dyDescent="0.2">
      <c r="A108" s="35" t="s">
        <v>55</v>
      </c>
      <c r="B108" s="36" t="s">
        <v>56</v>
      </c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101" t="s">
        <v>877</v>
      </c>
      <c r="AB108" s="38" t="s">
        <v>211</v>
      </c>
      <c r="AC108" s="38" t="s">
        <v>58</v>
      </c>
      <c r="AD108" s="39">
        <v>5174713749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  <c r="AJ108" s="39">
        <v>5174713749</v>
      </c>
      <c r="AK108" s="40">
        <v>0</v>
      </c>
      <c r="AL108" s="39">
        <v>864013418</v>
      </c>
      <c r="AM108" s="39">
        <v>2464013418</v>
      </c>
      <c r="AN108" s="40">
        <v>0</v>
      </c>
      <c r="AO108" s="39">
        <v>864013418</v>
      </c>
      <c r="AP108" s="39">
        <v>2464013418</v>
      </c>
      <c r="AQ108" s="40">
        <v>0</v>
      </c>
      <c r="AR108" s="39">
        <f>AS108-'MARZO '!AS108</f>
        <v>864013418</v>
      </c>
      <c r="AS108" s="39">
        <v>2464013418</v>
      </c>
      <c r="AT108" s="39">
        <f t="shared" si="55"/>
        <v>2464013418</v>
      </c>
      <c r="AU108" s="18">
        <f t="shared" si="78"/>
        <v>2710700331</v>
      </c>
      <c r="AV108" s="34">
        <f t="shared" si="79"/>
        <v>0</v>
      </c>
      <c r="AW108" s="34">
        <f t="shared" si="80"/>
        <v>0</v>
      </c>
      <c r="AX108" s="32">
        <f t="shared" si="47"/>
        <v>0.47616419719374126</v>
      </c>
    </row>
    <row r="109" spans="1:50" ht="18.75" customHeight="1" x14ac:dyDescent="0.2">
      <c r="A109" s="35" t="s">
        <v>55</v>
      </c>
      <c r="B109" s="36" t="s">
        <v>56</v>
      </c>
      <c r="C109" s="36"/>
      <c r="D109" s="36" t="s">
        <v>40</v>
      </c>
      <c r="E109" s="36"/>
      <c r="F109" s="36"/>
      <c r="G109" s="36" t="s">
        <v>41</v>
      </c>
      <c r="H109" s="36"/>
      <c r="I109" s="36" t="s">
        <v>936</v>
      </c>
      <c r="J109" s="36"/>
      <c r="K109" s="36" t="s">
        <v>932</v>
      </c>
      <c r="L109" s="36"/>
      <c r="M109" s="36" t="s">
        <v>933</v>
      </c>
      <c r="N109" s="36"/>
      <c r="O109" s="36" t="s">
        <v>943</v>
      </c>
      <c r="P109" s="36"/>
      <c r="Q109" s="36" t="s">
        <v>939</v>
      </c>
      <c r="R109" s="36"/>
      <c r="S109" s="36" t="s">
        <v>940</v>
      </c>
      <c r="T109" s="36">
        <v>0</v>
      </c>
      <c r="U109" s="36">
        <v>0</v>
      </c>
      <c r="V109" s="36">
        <v>0</v>
      </c>
      <c r="W109" s="36">
        <v>0</v>
      </c>
      <c r="X109" s="36" t="s">
        <v>937</v>
      </c>
      <c r="Y109" s="36"/>
      <c r="Z109" s="36"/>
      <c r="AA109" s="101" t="s">
        <v>878</v>
      </c>
      <c r="AB109" s="38" t="s">
        <v>212</v>
      </c>
      <c r="AC109" s="38" t="s">
        <v>58</v>
      </c>
      <c r="AD109" s="39">
        <v>286350464</v>
      </c>
      <c r="AE109" s="40">
        <v>0</v>
      </c>
      <c r="AF109" s="40">
        <v>0</v>
      </c>
      <c r="AG109" s="40">
        <v>0</v>
      </c>
      <c r="AH109" s="40">
        <v>0</v>
      </c>
      <c r="AI109" s="40">
        <v>0</v>
      </c>
      <c r="AJ109" s="39">
        <v>286350464</v>
      </c>
      <c r="AK109" s="40">
        <v>0</v>
      </c>
      <c r="AL109" s="112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39">
        <f>AS109-'MARZO '!AS109</f>
        <v>0</v>
      </c>
      <c r="AS109" s="40">
        <v>0</v>
      </c>
      <c r="AT109" s="40">
        <f t="shared" si="55"/>
        <v>0</v>
      </c>
      <c r="AU109" s="18">
        <f t="shared" si="78"/>
        <v>286350464</v>
      </c>
      <c r="AV109" s="34">
        <f t="shared" si="79"/>
        <v>0</v>
      </c>
      <c r="AW109" s="34">
        <f t="shared" si="80"/>
        <v>0</v>
      </c>
      <c r="AX109" s="32">
        <f t="shared" si="47"/>
        <v>0</v>
      </c>
    </row>
    <row r="110" spans="1:50" ht="18.75" customHeight="1" x14ac:dyDescent="0.2">
      <c r="A110" s="14" t="s">
        <v>55</v>
      </c>
      <c r="B110" s="15" t="s">
        <v>56</v>
      </c>
      <c r="C110" s="15"/>
      <c r="D110" s="15" t="s">
        <v>40</v>
      </c>
      <c r="E110" s="15"/>
      <c r="F110" s="15"/>
      <c r="G110" s="15" t="s">
        <v>41</v>
      </c>
      <c r="H110" s="15"/>
      <c r="I110" s="15" t="s">
        <v>936</v>
      </c>
      <c r="J110" s="15"/>
      <c r="K110" s="15" t="s">
        <v>932</v>
      </c>
      <c r="L110" s="15"/>
      <c r="M110" s="15" t="s">
        <v>933</v>
      </c>
      <c r="N110" s="15"/>
      <c r="O110" s="15" t="s">
        <v>943</v>
      </c>
      <c r="P110" s="15"/>
      <c r="Q110" s="15" t="s">
        <v>939</v>
      </c>
      <c r="R110" s="15"/>
      <c r="S110" s="15" t="s">
        <v>940</v>
      </c>
      <c r="T110" s="15">
        <v>0</v>
      </c>
      <c r="U110" s="15">
        <v>0</v>
      </c>
      <c r="V110" s="15">
        <v>0</v>
      </c>
      <c r="W110" s="15">
        <v>0</v>
      </c>
      <c r="X110" s="15" t="s">
        <v>937</v>
      </c>
      <c r="Y110" s="15"/>
      <c r="Z110" s="15"/>
      <c r="AA110" s="41" t="s">
        <v>879</v>
      </c>
      <c r="AB110" s="17" t="s">
        <v>213</v>
      </c>
      <c r="AC110" s="17" t="s">
        <v>58</v>
      </c>
      <c r="AD110" s="18">
        <v>3748529000</v>
      </c>
      <c r="AE110" s="34">
        <v>0</v>
      </c>
      <c r="AF110" s="34">
        <v>0</v>
      </c>
      <c r="AG110" s="34">
        <v>0</v>
      </c>
      <c r="AH110" s="34">
        <v>0</v>
      </c>
      <c r="AI110" s="34">
        <v>0</v>
      </c>
      <c r="AJ110" s="18">
        <v>3748529000</v>
      </c>
      <c r="AK110" s="34">
        <v>0</v>
      </c>
      <c r="AL110" s="39">
        <v>312377417</v>
      </c>
      <c r="AM110" s="18">
        <v>1249509668</v>
      </c>
      <c r="AN110" s="34">
        <v>0</v>
      </c>
      <c r="AO110" s="18">
        <v>312377417</v>
      </c>
      <c r="AP110" s="18">
        <v>1249509668</v>
      </c>
      <c r="AQ110" s="34">
        <v>0</v>
      </c>
      <c r="AR110" s="39">
        <f>AS110-'MARZO '!AS110</f>
        <v>312377417</v>
      </c>
      <c r="AS110" s="18">
        <v>1249509668</v>
      </c>
      <c r="AT110" s="39">
        <f t="shared" si="55"/>
        <v>1249509668</v>
      </c>
      <c r="AU110" s="18">
        <f t="shared" si="78"/>
        <v>2499019332</v>
      </c>
      <c r="AV110" s="34">
        <f t="shared" si="79"/>
        <v>0</v>
      </c>
      <c r="AW110" s="34">
        <f t="shared" si="80"/>
        <v>0</v>
      </c>
      <c r="AX110" s="32">
        <f t="shared" si="47"/>
        <v>0.3333333336890284</v>
      </c>
    </row>
    <row r="111" spans="1:50" ht="18.75" customHeight="1" x14ac:dyDescent="0.2">
      <c r="A111" s="35" t="s">
        <v>55</v>
      </c>
      <c r="B111" s="36" t="s">
        <v>56</v>
      </c>
      <c r="C111" s="36"/>
      <c r="D111" s="36" t="s">
        <v>40</v>
      </c>
      <c r="E111" s="36"/>
      <c r="F111" s="36"/>
      <c r="G111" s="36" t="s">
        <v>41</v>
      </c>
      <c r="H111" s="36"/>
      <c r="I111" s="36" t="s">
        <v>936</v>
      </c>
      <c r="J111" s="36"/>
      <c r="K111" s="36" t="s">
        <v>932</v>
      </c>
      <c r="L111" s="36"/>
      <c r="M111" s="36" t="s">
        <v>933</v>
      </c>
      <c r="N111" s="36"/>
      <c r="O111" s="36" t="s">
        <v>943</v>
      </c>
      <c r="P111" s="36"/>
      <c r="Q111" s="36" t="s">
        <v>944</v>
      </c>
      <c r="R111" s="36"/>
      <c r="S111" s="36" t="s">
        <v>940</v>
      </c>
      <c r="T111" s="36">
        <v>0</v>
      </c>
      <c r="U111" s="36">
        <v>0</v>
      </c>
      <c r="V111" s="36">
        <v>0</v>
      </c>
      <c r="W111" s="36">
        <v>0</v>
      </c>
      <c r="X111" s="36" t="s">
        <v>937</v>
      </c>
      <c r="Y111" s="36"/>
      <c r="Z111" s="36"/>
      <c r="AA111" s="101" t="s">
        <v>880</v>
      </c>
      <c r="AB111" s="38" t="s">
        <v>214</v>
      </c>
      <c r="AC111" s="38" t="s">
        <v>58</v>
      </c>
      <c r="AD111" s="39">
        <v>80525000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39">
        <v>80525000</v>
      </c>
      <c r="AK111" s="40">
        <v>0</v>
      </c>
      <c r="AL111" s="40">
        <v>0</v>
      </c>
      <c r="AM111" s="39">
        <v>80525000</v>
      </c>
      <c r="AN111" s="40">
        <v>0</v>
      </c>
      <c r="AO111" s="40">
        <v>0</v>
      </c>
      <c r="AP111" s="39">
        <v>80525000</v>
      </c>
      <c r="AQ111" s="40">
        <v>0</v>
      </c>
      <c r="AR111" s="39">
        <f>AS111-'MARZO '!AS111</f>
        <v>0</v>
      </c>
      <c r="AS111" s="39">
        <v>80525000</v>
      </c>
      <c r="AT111" s="39">
        <f t="shared" si="55"/>
        <v>80525000</v>
      </c>
      <c r="AU111" s="34">
        <f t="shared" si="78"/>
        <v>0</v>
      </c>
      <c r="AV111" s="34">
        <f t="shared" si="79"/>
        <v>0</v>
      </c>
      <c r="AW111" s="34">
        <f t="shared" si="80"/>
        <v>0</v>
      </c>
      <c r="AX111" s="32">
        <f t="shared" si="47"/>
        <v>1</v>
      </c>
    </row>
    <row r="112" spans="1:50" ht="18.75" customHeight="1" x14ac:dyDescent="0.2">
      <c r="A112" s="14" t="s">
        <v>55</v>
      </c>
      <c r="B112" s="15" t="s">
        <v>56</v>
      </c>
      <c r="C112" s="15"/>
      <c r="D112" s="15" t="s">
        <v>40</v>
      </c>
      <c r="E112" s="15"/>
      <c r="F112" s="15"/>
      <c r="G112" s="15" t="s">
        <v>41</v>
      </c>
      <c r="H112" s="15"/>
      <c r="I112" s="15" t="s">
        <v>936</v>
      </c>
      <c r="J112" s="15"/>
      <c r="K112" s="15" t="s">
        <v>932</v>
      </c>
      <c r="L112" s="15"/>
      <c r="M112" s="15" t="s">
        <v>933</v>
      </c>
      <c r="N112" s="15"/>
      <c r="O112" s="15" t="s">
        <v>945</v>
      </c>
      <c r="P112" s="15"/>
      <c r="Q112" s="15" t="s">
        <v>944</v>
      </c>
      <c r="R112" s="15"/>
      <c r="S112" s="15" t="s">
        <v>940</v>
      </c>
      <c r="T112" s="15">
        <v>0</v>
      </c>
      <c r="U112" s="15">
        <v>0</v>
      </c>
      <c r="V112" s="15">
        <v>0</v>
      </c>
      <c r="W112" s="15">
        <v>0</v>
      </c>
      <c r="X112" s="15" t="s">
        <v>937</v>
      </c>
      <c r="Y112" s="15"/>
      <c r="Z112" s="15"/>
      <c r="AA112" s="41" t="s">
        <v>881</v>
      </c>
      <c r="AB112" s="17" t="s">
        <v>214</v>
      </c>
      <c r="AC112" s="17" t="s">
        <v>215</v>
      </c>
      <c r="AD112" s="18">
        <v>10351476177</v>
      </c>
      <c r="AE112" s="34">
        <v>0</v>
      </c>
      <c r="AF112" s="34">
        <v>0</v>
      </c>
      <c r="AG112" s="34">
        <v>0</v>
      </c>
      <c r="AH112" s="34">
        <v>0</v>
      </c>
      <c r="AI112" s="34">
        <v>0</v>
      </c>
      <c r="AJ112" s="18">
        <v>10351476177</v>
      </c>
      <c r="AK112" s="34">
        <v>0</v>
      </c>
      <c r="AL112" s="39">
        <v>8307327420</v>
      </c>
      <c r="AM112" s="39">
        <v>8719512684</v>
      </c>
      <c r="AN112" s="34">
        <v>0</v>
      </c>
      <c r="AO112" s="34">
        <v>8307327420</v>
      </c>
      <c r="AP112" s="18">
        <v>8719512684</v>
      </c>
      <c r="AQ112" s="34">
        <v>0</v>
      </c>
      <c r="AR112" s="39">
        <f>AS112-'MARZO '!AS112</f>
        <v>8307327420</v>
      </c>
      <c r="AS112" s="18">
        <v>8719512684</v>
      </c>
      <c r="AT112" s="39">
        <f t="shared" si="55"/>
        <v>8719512684</v>
      </c>
      <c r="AU112" s="18">
        <f t="shared" si="78"/>
        <v>1631963493</v>
      </c>
      <c r="AV112" s="34">
        <f t="shared" si="79"/>
        <v>0</v>
      </c>
      <c r="AW112" s="34">
        <f t="shared" si="80"/>
        <v>0</v>
      </c>
      <c r="AX112" s="32">
        <f t="shared" si="47"/>
        <v>0.84234485351702126</v>
      </c>
    </row>
    <row r="113" spans="1:50" ht="26.25" customHeight="1" x14ac:dyDescent="0.2">
      <c r="A113" s="14" t="s">
        <v>55</v>
      </c>
      <c r="B113" s="15" t="s">
        <v>56</v>
      </c>
      <c r="C113" s="15"/>
      <c r="D113" s="15" t="s">
        <v>40</v>
      </c>
      <c r="E113" s="15"/>
      <c r="F113" s="15"/>
      <c r="G113" s="15" t="s">
        <v>41</v>
      </c>
      <c r="H113" s="15"/>
      <c r="I113" s="15" t="s">
        <v>936</v>
      </c>
      <c r="J113" s="15"/>
      <c r="K113" s="15" t="s">
        <v>932</v>
      </c>
      <c r="L113" s="15"/>
      <c r="M113" s="15" t="s">
        <v>933</v>
      </c>
      <c r="N113" s="15"/>
      <c r="O113" s="15" t="s">
        <v>946</v>
      </c>
      <c r="P113" s="15"/>
      <c r="Q113" s="15" t="s">
        <v>944</v>
      </c>
      <c r="R113" s="15"/>
      <c r="S113" s="15" t="s">
        <v>940</v>
      </c>
      <c r="T113" s="15">
        <v>0</v>
      </c>
      <c r="U113" s="15">
        <v>0</v>
      </c>
      <c r="V113" s="15">
        <v>0</v>
      </c>
      <c r="W113" s="15">
        <v>0</v>
      </c>
      <c r="X113" s="15" t="s">
        <v>937</v>
      </c>
      <c r="Y113" s="15"/>
      <c r="Z113" s="15"/>
      <c r="AA113" s="41" t="s">
        <v>882</v>
      </c>
      <c r="AB113" s="17" t="s">
        <v>205</v>
      </c>
      <c r="AC113" s="17" t="s">
        <v>216</v>
      </c>
      <c r="AD113" s="18">
        <v>150000000</v>
      </c>
      <c r="AE113" s="34">
        <v>0</v>
      </c>
      <c r="AF113" s="34">
        <v>0</v>
      </c>
      <c r="AG113" s="34">
        <v>0</v>
      </c>
      <c r="AH113" s="34">
        <v>0</v>
      </c>
      <c r="AI113" s="34">
        <v>0</v>
      </c>
      <c r="AJ113" s="18">
        <v>150000000</v>
      </c>
      <c r="AK113" s="34">
        <v>0</v>
      </c>
      <c r="AL113" s="39">
        <v>5056725</v>
      </c>
      <c r="AM113" s="39">
        <v>13392765</v>
      </c>
      <c r="AN113" s="34">
        <v>0</v>
      </c>
      <c r="AO113" s="18">
        <v>5056725</v>
      </c>
      <c r="AP113" s="18">
        <v>13392765</v>
      </c>
      <c r="AQ113" s="18">
        <v>5056725</v>
      </c>
      <c r="AR113" s="39">
        <f>AS113-'MARZO '!AS113</f>
        <v>6937515</v>
      </c>
      <c r="AS113" s="18">
        <v>8336040</v>
      </c>
      <c r="AT113" s="39">
        <f t="shared" si="55"/>
        <v>13392765</v>
      </c>
      <c r="AU113" s="18">
        <f t="shared" si="78"/>
        <v>136607235</v>
      </c>
      <c r="AV113" s="34">
        <f t="shared" si="79"/>
        <v>0</v>
      </c>
      <c r="AW113" s="34">
        <f t="shared" si="80"/>
        <v>0</v>
      </c>
      <c r="AX113" s="32">
        <f t="shared" si="47"/>
        <v>8.9285100000000006E-2</v>
      </c>
    </row>
    <row r="114" spans="1:50" ht="26.25" customHeight="1" x14ac:dyDescent="0.2">
      <c r="A114" s="14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41" t="s">
        <v>984</v>
      </c>
      <c r="AB114" s="42" t="s">
        <v>985</v>
      </c>
      <c r="AC114" s="17"/>
      <c r="AD114" s="18">
        <v>0</v>
      </c>
      <c r="AE114" s="34">
        <v>0</v>
      </c>
      <c r="AF114" s="34">
        <v>0</v>
      </c>
      <c r="AG114" s="18">
        <v>700000000</v>
      </c>
      <c r="AH114" s="34">
        <v>0</v>
      </c>
      <c r="AI114" s="18">
        <f>AE114-AF114+AG114-AH114</f>
        <v>700000000</v>
      </c>
      <c r="AJ114" s="18">
        <f>AD114+AI114</f>
        <v>700000000</v>
      </c>
      <c r="AK114" s="34">
        <v>0</v>
      </c>
      <c r="AL114" s="39">
        <v>700000000</v>
      </c>
      <c r="AM114" s="39">
        <v>700000000</v>
      </c>
      <c r="AN114" s="34">
        <v>0</v>
      </c>
      <c r="AO114" s="18">
        <v>700000000</v>
      </c>
      <c r="AP114" s="18">
        <v>700000000</v>
      </c>
      <c r="AQ114" s="18">
        <v>0</v>
      </c>
      <c r="AR114" s="18">
        <v>700000000</v>
      </c>
      <c r="AS114" s="18">
        <v>700000000</v>
      </c>
      <c r="AT114" s="39">
        <f t="shared" ref="AT114" si="81">AQ114+AS114</f>
        <v>700000000</v>
      </c>
      <c r="AU114" s="34">
        <f t="shared" ref="AU114" si="82">AJ114-AM114</f>
        <v>0</v>
      </c>
      <c r="AV114" s="34">
        <f t="shared" ref="AV114" si="83">AM114-AP114</f>
        <v>0</v>
      </c>
      <c r="AW114" s="34">
        <f t="shared" ref="AW114" si="84">AP114-AT114</f>
        <v>0</v>
      </c>
      <c r="AX114" s="32">
        <f t="shared" ref="AX114" si="85">AP114/AJ114</f>
        <v>1</v>
      </c>
    </row>
    <row r="115" spans="1:50" s="25" customFormat="1" ht="18.75" customHeight="1" x14ac:dyDescent="0.2">
      <c r="A115" s="19" t="s">
        <v>55</v>
      </c>
      <c r="B115" s="19" t="s">
        <v>56</v>
      </c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26" t="s">
        <v>883</v>
      </c>
      <c r="AB115" s="21" t="s">
        <v>217</v>
      </c>
      <c r="AC115" s="22" t="s">
        <v>37</v>
      </c>
      <c r="AD115" s="22">
        <f>AD116</f>
        <v>36000000000</v>
      </c>
      <c r="AE115" s="23">
        <f t="shared" ref="AE115:AW117" si="86">AE116</f>
        <v>0</v>
      </c>
      <c r="AF115" s="23">
        <f t="shared" si="86"/>
        <v>0</v>
      </c>
      <c r="AG115" s="23">
        <f t="shared" si="86"/>
        <v>0</v>
      </c>
      <c r="AH115" s="23">
        <f t="shared" si="86"/>
        <v>0</v>
      </c>
      <c r="AI115" s="23">
        <f t="shared" si="86"/>
        <v>0</v>
      </c>
      <c r="AJ115" s="22">
        <f t="shared" si="86"/>
        <v>36000000000</v>
      </c>
      <c r="AK115" s="23">
        <f t="shared" si="86"/>
        <v>0</v>
      </c>
      <c r="AL115" s="23">
        <f t="shared" si="86"/>
        <v>24789881303</v>
      </c>
      <c r="AM115" s="23">
        <f t="shared" si="86"/>
        <v>24789881303</v>
      </c>
      <c r="AN115" s="23">
        <f t="shared" si="86"/>
        <v>0</v>
      </c>
      <c r="AO115" s="23">
        <f t="shared" si="86"/>
        <v>24789881303</v>
      </c>
      <c r="AP115" s="23">
        <f t="shared" si="86"/>
        <v>24789881303</v>
      </c>
      <c r="AQ115" s="23">
        <f t="shared" si="86"/>
        <v>0</v>
      </c>
      <c r="AR115" s="22">
        <f t="shared" si="86"/>
        <v>24789881303</v>
      </c>
      <c r="AS115" s="22">
        <f t="shared" si="86"/>
        <v>24789881303</v>
      </c>
      <c r="AT115" s="22">
        <f>AQ115+AS115</f>
        <v>24789881303</v>
      </c>
      <c r="AU115" s="22">
        <f t="shared" si="86"/>
        <v>11210118697</v>
      </c>
      <c r="AV115" s="23">
        <f t="shared" si="86"/>
        <v>0</v>
      </c>
      <c r="AW115" s="23">
        <f t="shared" si="86"/>
        <v>0</v>
      </c>
      <c r="AX115" s="24">
        <f t="shared" si="47"/>
        <v>0.68860781397222226</v>
      </c>
    </row>
    <row r="116" spans="1:50" ht="18.75" customHeight="1" x14ac:dyDescent="0.2">
      <c r="A116" s="27" t="s">
        <v>55</v>
      </c>
      <c r="B116" s="27" t="s">
        <v>56</v>
      </c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8" t="s">
        <v>218</v>
      </c>
      <c r="AB116" s="29" t="s">
        <v>219</v>
      </c>
      <c r="AC116" s="30" t="s">
        <v>37</v>
      </c>
      <c r="AD116" s="30">
        <f>AD117</f>
        <v>36000000000</v>
      </c>
      <c r="AE116" s="31">
        <f t="shared" si="86"/>
        <v>0</v>
      </c>
      <c r="AF116" s="31">
        <f t="shared" si="86"/>
        <v>0</v>
      </c>
      <c r="AG116" s="31">
        <f t="shared" si="86"/>
        <v>0</v>
      </c>
      <c r="AH116" s="31">
        <f t="shared" si="86"/>
        <v>0</v>
      </c>
      <c r="AI116" s="31">
        <f t="shared" si="86"/>
        <v>0</v>
      </c>
      <c r="AJ116" s="30">
        <f t="shared" si="86"/>
        <v>36000000000</v>
      </c>
      <c r="AK116" s="31">
        <f t="shared" si="86"/>
        <v>0</v>
      </c>
      <c r="AL116" s="31">
        <f t="shared" si="86"/>
        <v>24789881303</v>
      </c>
      <c r="AM116" s="31">
        <f t="shared" si="86"/>
        <v>24789881303</v>
      </c>
      <c r="AN116" s="31">
        <f t="shared" si="86"/>
        <v>0</v>
      </c>
      <c r="AO116" s="31">
        <f t="shared" si="86"/>
        <v>24789881303</v>
      </c>
      <c r="AP116" s="31">
        <f t="shared" si="86"/>
        <v>24789881303</v>
      </c>
      <c r="AQ116" s="31">
        <f t="shared" si="86"/>
        <v>0</v>
      </c>
      <c r="AR116" s="30">
        <f t="shared" si="86"/>
        <v>24789881303</v>
      </c>
      <c r="AS116" s="30">
        <f t="shared" si="86"/>
        <v>24789881303</v>
      </c>
      <c r="AT116" s="30">
        <f t="shared" ref="AT116:AT120" si="87">AQ116+AS116</f>
        <v>24789881303</v>
      </c>
      <c r="AU116" s="18">
        <f t="shared" ref="AU116:AU120" si="88">AJ116-AM116</f>
        <v>11210118697</v>
      </c>
      <c r="AV116" s="34">
        <f t="shared" ref="AV116:AV120" si="89">AM116-AP116</f>
        <v>0</v>
      </c>
      <c r="AW116" s="34">
        <f t="shared" ref="AW116:AW120" si="90">AP116-AT116</f>
        <v>0</v>
      </c>
      <c r="AX116" s="32">
        <f t="shared" si="47"/>
        <v>0.68860781397222226</v>
      </c>
    </row>
    <row r="117" spans="1:50" ht="22.5" customHeight="1" x14ac:dyDescent="0.2">
      <c r="A117" s="27" t="s">
        <v>55</v>
      </c>
      <c r="B117" s="27" t="s">
        <v>56</v>
      </c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8" t="s">
        <v>220</v>
      </c>
      <c r="AB117" s="29" t="s">
        <v>221</v>
      </c>
      <c r="AC117" s="30" t="s">
        <v>37</v>
      </c>
      <c r="AD117" s="30">
        <f>AD118</f>
        <v>36000000000</v>
      </c>
      <c r="AE117" s="31">
        <f t="shared" si="86"/>
        <v>0</v>
      </c>
      <c r="AF117" s="31">
        <f t="shared" si="86"/>
        <v>0</v>
      </c>
      <c r="AG117" s="31">
        <f t="shared" si="86"/>
        <v>0</v>
      </c>
      <c r="AH117" s="31">
        <f t="shared" si="86"/>
        <v>0</v>
      </c>
      <c r="AI117" s="31">
        <f t="shared" si="86"/>
        <v>0</v>
      </c>
      <c r="AJ117" s="30">
        <f t="shared" si="86"/>
        <v>36000000000</v>
      </c>
      <c r="AK117" s="31">
        <f t="shared" si="86"/>
        <v>0</v>
      </c>
      <c r="AL117" s="31">
        <f t="shared" si="86"/>
        <v>24789881303</v>
      </c>
      <c r="AM117" s="31">
        <f t="shared" si="86"/>
        <v>24789881303</v>
      </c>
      <c r="AN117" s="31">
        <f t="shared" si="86"/>
        <v>0</v>
      </c>
      <c r="AO117" s="31">
        <f t="shared" si="86"/>
        <v>24789881303</v>
      </c>
      <c r="AP117" s="31">
        <f t="shared" si="86"/>
        <v>24789881303</v>
      </c>
      <c r="AQ117" s="31">
        <f t="shared" si="86"/>
        <v>0</v>
      </c>
      <c r="AR117" s="30">
        <f t="shared" si="86"/>
        <v>24789881303</v>
      </c>
      <c r="AS117" s="30">
        <f t="shared" si="86"/>
        <v>24789881303</v>
      </c>
      <c r="AT117" s="30">
        <f t="shared" si="87"/>
        <v>24789881303</v>
      </c>
      <c r="AU117" s="18">
        <f t="shared" si="88"/>
        <v>11210118697</v>
      </c>
      <c r="AV117" s="34">
        <f t="shared" si="89"/>
        <v>0</v>
      </c>
      <c r="AW117" s="34">
        <f t="shared" si="90"/>
        <v>0</v>
      </c>
      <c r="AX117" s="32">
        <f t="shared" si="47"/>
        <v>0.68860781397222226</v>
      </c>
    </row>
    <row r="118" spans="1:50" ht="27" customHeight="1" x14ac:dyDescent="0.2">
      <c r="A118" s="27" t="s">
        <v>55</v>
      </c>
      <c r="B118" s="27" t="s">
        <v>56</v>
      </c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8" t="s">
        <v>222</v>
      </c>
      <c r="AB118" s="29" t="s">
        <v>223</v>
      </c>
      <c r="AC118" s="30" t="s">
        <v>37</v>
      </c>
      <c r="AD118" s="30">
        <f>AD119+AD120</f>
        <v>36000000000</v>
      </c>
      <c r="AE118" s="31">
        <f t="shared" ref="AE118:AS118" si="91">AE119+AE120</f>
        <v>0</v>
      </c>
      <c r="AF118" s="31">
        <f t="shared" si="91"/>
        <v>0</v>
      </c>
      <c r="AG118" s="31">
        <f t="shared" si="91"/>
        <v>0</v>
      </c>
      <c r="AH118" s="31">
        <f t="shared" si="91"/>
        <v>0</v>
      </c>
      <c r="AI118" s="31">
        <f t="shared" si="91"/>
        <v>0</v>
      </c>
      <c r="AJ118" s="30">
        <f t="shared" si="91"/>
        <v>36000000000</v>
      </c>
      <c r="AK118" s="31">
        <f t="shared" si="91"/>
        <v>0</v>
      </c>
      <c r="AL118" s="31">
        <f t="shared" si="91"/>
        <v>24789881303</v>
      </c>
      <c r="AM118" s="31">
        <f t="shared" si="91"/>
        <v>24789881303</v>
      </c>
      <c r="AN118" s="31">
        <f t="shared" si="91"/>
        <v>0</v>
      </c>
      <c r="AO118" s="30">
        <f t="shared" si="91"/>
        <v>24789881303</v>
      </c>
      <c r="AP118" s="30">
        <f t="shared" si="91"/>
        <v>24789881303</v>
      </c>
      <c r="AQ118" s="31">
        <f t="shared" si="91"/>
        <v>0</v>
      </c>
      <c r="AR118" s="30">
        <f t="shared" si="91"/>
        <v>24789881303</v>
      </c>
      <c r="AS118" s="30">
        <f t="shared" si="91"/>
        <v>24789881303</v>
      </c>
      <c r="AT118" s="30">
        <f t="shared" si="87"/>
        <v>24789881303</v>
      </c>
      <c r="AU118" s="18">
        <f t="shared" si="88"/>
        <v>11210118697</v>
      </c>
      <c r="AV118" s="34">
        <f t="shared" si="89"/>
        <v>0</v>
      </c>
      <c r="AW118" s="34">
        <f t="shared" si="90"/>
        <v>0</v>
      </c>
      <c r="AX118" s="32">
        <f t="shared" si="47"/>
        <v>0.68860781397222226</v>
      </c>
    </row>
    <row r="119" spans="1:50" ht="18.75" customHeight="1" x14ac:dyDescent="0.2">
      <c r="A119" s="14" t="s">
        <v>55</v>
      </c>
      <c r="B119" s="15" t="s">
        <v>56</v>
      </c>
      <c r="C119" s="15"/>
      <c r="D119" s="15" t="s">
        <v>40</v>
      </c>
      <c r="E119" s="15"/>
      <c r="F119" s="15"/>
      <c r="G119" s="15" t="s">
        <v>41</v>
      </c>
      <c r="H119" s="15"/>
      <c r="I119" s="15" t="s">
        <v>936</v>
      </c>
      <c r="J119" s="15"/>
      <c r="K119" s="15" t="s">
        <v>932</v>
      </c>
      <c r="L119" s="15"/>
      <c r="M119" s="15" t="s">
        <v>933</v>
      </c>
      <c r="N119" s="15"/>
      <c r="O119" s="15" t="s">
        <v>943</v>
      </c>
      <c r="P119" s="15"/>
      <c r="Q119" s="15" t="s">
        <v>939</v>
      </c>
      <c r="R119" s="15"/>
      <c r="S119" s="15" t="s">
        <v>940</v>
      </c>
      <c r="T119" s="15">
        <v>0</v>
      </c>
      <c r="U119" s="15">
        <v>0</v>
      </c>
      <c r="V119" s="15">
        <v>0</v>
      </c>
      <c r="W119" s="15">
        <v>0</v>
      </c>
      <c r="X119" s="15" t="s">
        <v>937</v>
      </c>
      <c r="Y119" s="15"/>
      <c r="Z119" s="15"/>
      <c r="AA119" s="16" t="s">
        <v>224</v>
      </c>
      <c r="AB119" s="17" t="s">
        <v>225</v>
      </c>
      <c r="AC119" s="17" t="s">
        <v>226</v>
      </c>
      <c r="AD119" s="18">
        <v>35280000000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18">
        <v>35280000000</v>
      </c>
      <c r="AK119" s="34">
        <v>0</v>
      </c>
      <c r="AL119" s="18">
        <v>24647223511</v>
      </c>
      <c r="AM119" s="18">
        <v>24647223511</v>
      </c>
      <c r="AN119" s="18">
        <v>0</v>
      </c>
      <c r="AO119" s="18">
        <v>24647223511</v>
      </c>
      <c r="AP119" s="18">
        <v>24647223511</v>
      </c>
      <c r="AQ119" s="34">
        <v>0</v>
      </c>
      <c r="AR119" s="18">
        <v>24647223511</v>
      </c>
      <c r="AS119" s="18">
        <v>24647223511</v>
      </c>
      <c r="AT119" s="30">
        <f t="shared" si="87"/>
        <v>24647223511</v>
      </c>
      <c r="AU119" s="18">
        <f t="shared" si="88"/>
        <v>10632776489</v>
      </c>
      <c r="AV119" s="34">
        <f t="shared" si="89"/>
        <v>0</v>
      </c>
      <c r="AW119" s="34">
        <f t="shared" si="90"/>
        <v>0</v>
      </c>
      <c r="AX119" s="32">
        <f t="shared" si="47"/>
        <v>0.69861744645691615</v>
      </c>
    </row>
    <row r="120" spans="1:50" ht="18.75" customHeight="1" x14ac:dyDescent="0.2">
      <c r="A120" s="14" t="s">
        <v>55</v>
      </c>
      <c r="B120" s="15" t="s">
        <v>56</v>
      </c>
      <c r="C120" s="15"/>
      <c r="D120" s="15" t="s">
        <v>40</v>
      </c>
      <c r="E120" s="15"/>
      <c r="F120" s="15"/>
      <c r="G120" s="15" t="s">
        <v>41</v>
      </c>
      <c r="H120" s="15"/>
      <c r="I120" s="15" t="s">
        <v>936</v>
      </c>
      <c r="J120" s="15"/>
      <c r="K120" s="15" t="s">
        <v>932</v>
      </c>
      <c r="L120" s="15"/>
      <c r="M120" s="15" t="s">
        <v>933</v>
      </c>
      <c r="N120" s="15"/>
      <c r="O120" s="15" t="s">
        <v>943</v>
      </c>
      <c r="P120" s="15"/>
      <c r="Q120" s="15" t="s">
        <v>939</v>
      </c>
      <c r="R120" s="15"/>
      <c r="S120" s="15" t="s">
        <v>940</v>
      </c>
      <c r="T120" s="15">
        <v>0</v>
      </c>
      <c r="U120" s="15">
        <v>0</v>
      </c>
      <c r="V120" s="15">
        <v>0</v>
      </c>
      <c r="W120" s="15">
        <v>0</v>
      </c>
      <c r="X120" s="15" t="s">
        <v>937</v>
      </c>
      <c r="Y120" s="15"/>
      <c r="Z120" s="15"/>
      <c r="AA120" s="16" t="s">
        <v>227</v>
      </c>
      <c r="AB120" s="17" t="s">
        <v>228</v>
      </c>
      <c r="AC120" s="17" t="s">
        <v>226</v>
      </c>
      <c r="AD120" s="18">
        <v>720000000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18">
        <v>720000000</v>
      </c>
      <c r="AK120" s="34">
        <v>0</v>
      </c>
      <c r="AL120" s="18">
        <v>142657792</v>
      </c>
      <c r="AM120" s="18">
        <v>142657792</v>
      </c>
      <c r="AN120" s="18">
        <v>0</v>
      </c>
      <c r="AO120" s="18">
        <v>142657792</v>
      </c>
      <c r="AP120" s="18">
        <v>142657792</v>
      </c>
      <c r="AQ120" s="34">
        <v>0</v>
      </c>
      <c r="AR120" s="18">
        <v>142657792</v>
      </c>
      <c r="AS120" s="18">
        <v>142657792</v>
      </c>
      <c r="AT120" s="30">
        <f t="shared" si="87"/>
        <v>142657792</v>
      </c>
      <c r="AU120" s="18">
        <f t="shared" si="88"/>
        <v>577342208</v>
      </c>
      <c r="AV120" s="34">
        <f t="shared" si="89"/>
        <v>0</v>
      </c>
      <c r="AW120" s="34">
        <f t="shared" si="90"/>
        <v>0</v>
      </c>
      <c r="AX120" s="32">
        <f t="shared" si="47"/>
        <v>0.19813582222222223</v>
      </c>
    </row>
    <row r="121" spans="1:50" s="25" customFormat="1" ht="18.75" customHeight="1" x14ac:dyDescent="0.2">
      <c r="A121" s="19" t="s">
        <v>55</v>
      </c>
      <c r="B121" s="19" t="s">
        <v>56</v>
      </c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26" t="s">
        <v>884</v>
      </c>
      <c r="AB121" s="21" t="s">
        <v>229</v>
      </c>
      <c r="AC121" s="22" t="s">
        <v>56</v>
      </c>
      <c r="AD121" s="22">
        <f>AD122</f>
        <v>42253026328</v>
      </c>
      <c r="AE121" s="23">
        <f t="shared" ref="AE121:AW121" si="92">AE122</f>
        <v>0</v>
      </c>
      <c r="AF121" s="23">
        <f t="shared" si="92"/>
        <v>0</v>
      </c>
      <c r="AG121" s="23">
        <f t="shared" si="92"/>
        <v>0</v>
      </c>
      <c r="AH121" s="22">
        <f t="shared" si="92"/>
        <v>900000000</v>
      </c>
      <c r="AI121" s="22">
        <f t="shared" si="92"/>
        <v>-900000000</v>
      </c>
      <c r="AJ121" s="22">
        <f t="shared" si="92"/>
        <v>41353026328</v>
      </c>
      <c r="AK121" s="23">
        <f t="shared" si="92"/>
        <v>0</v>
      </c>
      <c r="AL121" s="22">
        <f t="shared" si="92"/>
        <v>2437707695.98</v>
      </c>
      <c r="AM121" s="22">
        <f t="shared" si="92"/>
        <v>9051148960.9799995</v>
      </c>
      <c r="AN121" s="23">
        <f t="shared" si="92"/>
        <v>0</v>
      </c>
      <c r="AO121" s="22">
        <f t="shared" si="92"/>
        <v>2437707695.98</v>
      </c>
      <c r="AP121" s="22">
        <f t="shared" si="92"/>
        <v>9051148960.9799995</v>
      </c>
      <c r="AQ121" s="22">
        <f t="shared" si="92"/>
        <v>2102053727</v>
      </c>
      <c r="AR121" s="22">
        <f t="shared" si="92"/>
        <v>260774048.41</v>
      </c>
      <c r="AS121" s="22">
        <f t="shared" si="92"/>
        <v>4725658276.4099998</v>
      </c>
      <c r="AT121" s="22">
        <f>AQ121+AS121</f>
        <v>6827712003.4099998</v>
      </c>
      <c r="AU121" s="22">
        <f t="shared" si="92"/>
        <v>32301877367.02</v>
      </c>
      <c r="AV121" s="23">
        <f t="shared" si="92"/>
        <v>0</v>
      </c>
      <c r="AW121" s="22">
        <f t="shared" si="92"/>
        <v>2223436957.5699997</v>
      </c>
      <c r="AX121" s="24">
        <f t="shared" si="47"/>
        <v>0.21887512873154572</v>
      </c>
    </row>
    <row r="122" spans="1:50" ht="18.75" customHeight="1" x14ac:dyDescent="0.2">
      <c r="A122" s="27" t="s">
        <v>55</v>
      </c>
      <c r="B122" s="27" t="s">
        <v>56</v>
      </c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8" t="s">
        <v>885</v>
      </c>
      <c r="AB122" s="29" t="s">
        <v>230</v>
      </c>
      <c r="AC122" s="30" t="s">
        <v>56</v>
      </c>
      <c r="AD122" s="30">
        <f>AD123+AD128+AD131+AD133+AD134+AD135</f>
        <v>42253026328</v>
      </c>
      <c r="AE122" s="31">
        <f t="shared" ref="AE122:AS122" si="93">AE123+AE128+AE131+AE133+AE134+AE135</f>
        <v>0</v>
      </c>
      <c r="AF122" s="31">
        <f t="shared" si="93"/>
        <v>0</v>
      </c>
      <c r="AG122" s="31">
        <f t="shared" si="93"/>
        <v>0</v>
      </c>
      <c r="AH122" s="30">
        <f t="shared" si="93"/>
        <v>900000000</v>
      </c>
      <c r="AI122" s="30">
        <f t="shared" si="93"/>
        <v>-900000000</v>
      </c>
      <c r="AJ122" s="30">
        <f t="shared" si="93"/>
        <v>41353026328</v>
      </c>
      <c r="AK122" s="31">
        <f t="shared" si="93"/>
        <v>0</v>
      </c>
      <c r="AL122" s="30">
        <f t="shared" si="93"/>
        <v>2437707695.98</v>
      </c>
      <c r="AM122" s="30">
        <f t="shared" si="93"/>
        <v>9051148960.9799995</v>
      </c>
      <c r="AN122" s="31">
        <f t="shared" si="93"/>
        <v>0</v>
      </c>
      <c r="AO122" s="30">
        <f t="shared" si="93"/>
        <v>2437707695.98</v>
      </c>
      <c r="AP122" s="30">
        <f t="shared" si="93"/>
        <v>9051148960.9799995</v>
      </c>
      <c r="AQ122" s="30">
        <f t="shared" si="93"/>
        <v>2102053727</v>
      </c>
      <c r="AR122" s="30">
        <f t="shared" si="93"/>
        <v>260774048.41</v>
      </c>
      <c r="AS122" s="30">
        <f t="shared" si="93"/>
        <v>4725658276.4099998</v>
      </c>
      <c r="AT122" s="30">
        <f t="shared" ref="AT122:AT135" si="94">AQ122+AS122</f>
        <v>6827712003.4099998</v>
      </c>
      <c r="AU122" s="18">
        <f t="shared" ref="AU122:AU135" si="95">AJ122-AM122</f>
        <v>32301877367.02</v>
      </c>
      <c r="AV122" s="34">
        <f t="shared" ref="AV122:AV135" si="96">AM122-AP122</f>
        <v>0</v>
      </c>
      <c r="AW122" s="18">
        <f t="shared" ref="AW122:AW135" si="97">AP122-AT122</f>
        <v>2223436957.5699997</v>
      </c>
      <c r="AX122" s="32">
        <f t="shared" si="47"/>
        <v>0.21887512873154572</v>
      </c>
    </row>
    <row r="123" spans="1:50" ht="18.75" customHeight="1" x14ac:dyDescent="0.2">
      <c r="A123" s="27" t="s">
        <v>55</v>
      </c>
      <c r="B123" s="27" t="s">
        <v>56</v>
      </c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8" t="s">
        <v>886</v>
      </c>
      <c r="AB123" s="29" t="s">
        <v>231</v>
      </c>
      <c r="AC123" s="30" t="s">
        <v>56</v>
      </c>
      <c r="AD123" s="30">
        <f>AD124</f>
        <v>40897026328</v>
      </c>
      <c r="AE123" s="31">
        <f t="shared" ref="AE123:AS123" si="98">AE124</f>
        <v>0</v>
      </c>
      <c r="AF123" s="31">
        <f t="shared" si="98"/>
        <v>0</v>
      </c>
      <c r="AG123" s="31">
        <f t="shared" si="98"/>
        <v>0</v>
      </c>
      <c r="AH123" s="30">
        <f t="shared" si="98"/>
        <v>900000000</v>
      </c>
      <c r="AI123" s="30">
        <f t="shared" si="98"/>
        <v>-900000000</v>
      </c>
      <c r="AJ123" s="30">
        <f t="shared" si="98"/>
        <v>39997026328</v>
      </c>
      <c r="AK123" s="31">
        <f t="shared" si="98"/>
        <v>0</v>
      </c>
      <c r="AL123" s="30">
        <f t="shared" si="98"/>
        <v>2180900160</v>
      </c>
      <c r="AM123" s="30">
        <f t="shared" si="98"/>
        <v>8473395500</v>
      </c>
      <c r="AN123" s="31">
        <f t="shared" si="98"/>
        <v>0</v>
      </c>
      <c r="AO123" s="30">
        <f t="shared" si="98"/>
        <v>2180900160</v>
      </c>
      <c r="AP123" s="30">
        <f t="shared" si="98"/>
        <v>8473395500</v>
      </c>
      <c r="AQ123" s="30">
        <f t="shared" si="98"/>
        <v>2102053727</v>
      </c>
      <c r="AR123" s="113">
        <f t="shared" si="98"/>
        <v>0</v>
      </c>
      <c r="AS123" s="113">
        <f t="shared" si="98"/>
        <v>4151786393</v>
      </c>
      <c r="AT123" s="30">
        <f t="shared" si="94"/>
        <v>6253840120</v>
      </c>
      <c r="AU123" s="18">
        <f t="shared" si="95"/>
        <v>31523630828</v>
      </c>
      <c r="AV123" s="34">
        <f t="shared" si="96"/>
        <v>0</v>
      </c>
      <c r="AW123" s="18">
        <f t="shared" si="97"/>
        <v>2219555380</v>
      </c>
      <c r="AX123" s="32">
        <f t="shared" si="47"/>
        <v>0.21185063685767513</v>
      </c>
    </row>
    <row r="124" spans="1:50" ht="29.25" customHeight="1" x14ac:dyDescent="0.2">
      <c r="A124" s="27" t="s">
        <v>55</v>
      </c>
      <c r="B124" s="27" t="s">
        <v>56</v>
      </c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8" t="s">
        <v>887</v>
      </c>
      <c r="AB124" s="29" t="s">
        <v>232</v>
      </c>
      <c r="AC124" s="30" t="s">
        <v>37</v>
      </c>
      <c r="AD124" s="30">
        <f>AD125+AD126+AD127</f>
        <v>40897026328</v>
      </c>
      <c r="AE124" s="31">
        <f t="shared" ref="AE124:AS124" si="99">AE125+AE126+AE127</f>
        <v>0</v>
      </c>
      <c r="AF124" s="31">
        <f t="shared" si="99"/>
        <v>0</v>
      </c>
      <c r="AG124" s="31">
        <f t="shared" si="99"/>
        <v>0</v>
      </c>
      <c r="AH124" s="30">
        <f t="shared" si="99"/>
        <v>900000000</v>
      </c>
      <c r="AI124" s="30">
        <f t="shared" si="99"/>
        <v>-900000000</v>
      </c>
      <c r="AJ124" s="30">
        <f t="shared" si="99"/>
        <v>39997026328</v>
      </c>
      <c r="AK124" s="31">
        <f t="shared" si="99"/>
        <v>0</v>
      </c>
      <c r="AL124" s="30">
        <f t="shared" si="99"/>
        <v>2180900160</v>
      </c>
      <c r="AM124" s="30">
        <f t="shared" si="99"/>
        <v>8473395500</v>
      </c>
      <c r="AN124" s="31">
        <f t="shared" si="99"/>
        <v>0</v>
      </c>
      <c r="AO124" s="30">
        <f t="shared" si="99"/>
        <v>2180900160</v>
      </c>
      <c r="AP124" s="30">
        <f t="shared" si="99"/>
        <v>8473395500</v>
      </c>
      <c r="AQ124" s="30">
        <f t="shared" si="99"/>
        <v>2102053727</v>
      </c>
      <c r="AR124" s="172">
        <f t="shared" si="99"/>
        <v>0</v>
      </c>
      <c r="AS124" s="113">
        <f t="shared" si="99"/>
        <v>4151786393</v>
      </c>
      <c r="AT124" s="30">
        <f t="shared" si="94"/>
        <v>6253840120</v>
      </c>
      <c r="AU124" s="18">
        <f t="shared" si="95"/>
        <v>31523630828</v>
      </c>
      <c r="AV124" s="34">
        <f t="shared" si="96"/>
        <v>0</v>
      </c>
      <c r="AW124" s="18">
        <f t="shared" si="97"/>
        <v>2219555380</v>
      </c>
      <c r="AX124" s="32">
        <f t="shared" si="47"/>
        <v>0.21185063685767513</v>
      </c>
    </row>
    <row r="125" spans="1:50" ht="18.75" customHeight="1" x14ac:dyDescent="0.2">
      <c r="A125" s="14" t="s">
        <v>55</v>
      </c>
      <c r="B125" s="15" t="s">
        <v>56</v>
      </c>
      <c r="C125" s="15"/>
      <c r="D125" s="15" t="s">
        <v>40</v>
      </c>
      <c r="E125" s="15"/>
      <c r="F125" s="15"/>
      <c r="G125" s="15" t="s">
        <v>41</v>
      </c>
      <c r="H125" s="15"/>
      <c r="I125" s="15" t="s">
        <v>936</v>
      </c>
      <c r="J125" s="15"/>
      <c r="K125" s="15" t="s">
        <v>932</v>
      </c>
      <c r="L125" s="15"/>
      <c r="M125" s="15" t="s">
        <v>933</v>
      </c>
      <c r="N125" s="15"/>
      <c r="O125" s="15" t="s">
        <v>938</v>
      </c>
      <c r="P125" s="15"/>
      <c r="Q125" s="15" t="s">
        <v>939</v>
      </c>
      <c r="R125" s="15"/>
      <c r="S125" s="15" t="s">
        <v>940</v>
      </c>
      <c r="T125" s="15">
        <v>0</v>
      </c>
      <c r="U125" s="15">
        <v>0</v>
      </c>
      <c r="V125" s="15">
        <v>0</v>
      </c>
      <c r="W125" s="15">
        <v>0</v>
      </c>
      <c r="X125" s="15" t="s">
        <v>937</v>
      </c>
      <c r="Y125" s="15"/>
      <c r="Z125" s="15"/>
      <c r="AA125" s="41" t="s">
        <v>888</v>
      </c>
      <c r="AB125" s="17" t="s">
        <v>233</v>
      </c>
      <c r="AC125" s="17" t="s">
        <v>58</v>
      </c>
      <c r="AD125" s="18">
        <v>28000000000</v>
      </c>
      <c r="AE125" s="34">
        <v>0</v>
      </c>
      <c r="AF125" s="34">
        <v>0</v>
      </c>
      <c r="AG125" s="34">
        <v>0</v>
      </c>
      <c r="AH125" s="18">
        <v>900000000</v>
      </c>
      <c r="AI125" s="18">
        <f>AE125-AF125+AG125-AH125</f>
        <v>-900000000</v>
      </c>
      <c r="AJ125" s="18">
        <f>AD125+AI125</f>
        <v>27100000000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f>AS125-'MARZO '!AS124</f>
        <v>0</v>
      </c>
      <c r="AS125" s="34">
        <v>0</v>
      </c>
      <c r="AT125" s="31">
        <f t="shared" si="94"/>
        <v>0</v>
      </c>
      <c r="AU125" s="18">
        <f t="shared" si="95"/>
        <v>27100000000</v>
      </c>
      <c r="AV125" s="34">
        <f t="shared" si="96"/>
        <v>0</v>
      </c>
      <c r="AW125" s="34">
        <f t="shared" si="97"/>
        <v>0</v>
      </c>
      <c r="AX125" s="32">
        <f t="shared" si="47"/>
        <v>0</v>
      </c>
    </row>
    <row r="126" spans="1:50" ht="28.5" customHeight="1" x14ac:dyDescent="0.2">
      <c r="A126" s="4" t="s">
        <v>55</v>
      </c>
      <c r="B126" s="4" t="s">
        <v>56</v>
      </c>
      <c r="C126" s="4"/>
      <c r="D126" s="4" t="s">
        <v>40</v>
      </c>
      <c r="E126" s="4"/>
      <c r="F126" s="4"/>
      <c r="G126" s="4" t="s">
        <v>41</v>
      </c>
      <c r="H126" s="4"/>
      <c r="I126" s="4" t="s">
        <v>936</v>
      </c>
      <c r="J126" s="4"/>
      <c r="K126" s="4" t="s">
        <v>932</v>
      </c>
      <c r="L126" s="4"/>
      <c r="M126" s="4" t="s">
        <v>933</v>
      </c>
      <c r="N126" s="4"/>
      <c r="O126" s="4" t="s">
        <v>938</v>
      </c>
      <c r="P126" s="4"/>
      <c r="Q126" s="4" t="s">
        <v>939</v>
      </c>
      <c r="R126" s="4"/>
      <c r="S126" s="4" t="s">
        <v>940</v>
      </c>
      <c r="T126" s="4">
        <v>0</v>
      </c>
      <c r="U126" s="4">
        <v>0</v>
      </c>
      <c r="V126" s="4">
        <v>0</v>
      </c>
      <c r="W126" s="4">
        <v>0</v>
      </c>
      <c r="X126" s="4" t="s">
        <v>937</v>
      </c>
      <c r="Y126" s="4"/>
      <c r="Z126" s="4"/>
      <c r="AA126" s="41" t="s">
        <v>889</v>
      </c>
      <c r="AB126" s="42" t="s">
        <v>234</v>
      </c>
      <c r="AC126" s="43" t="s">
        <v>235</v>
      </c>
      <c r="AD126" s="43">
        <v>10000000000</v>
      </c>
      <c r="AE126" s="44">
        <v>0</v>
      </c>
      <c r="AF126" s="44">
        <v>0</v>
      </c>
      <c r="AG126" s="44">
        <v>0</v>
      </c>
      <c r="AH126" s="44">
        <v>0</v>
      </c>
      <c r="AI126" s="44">
        <v>0</v>
      </c>
      <c r="AJ126" s="43">
        <v>10000000000</v>
      </c>
      <c r="AK126" s="44">
        <v>0</v>
      </c>
      <c r="AL126" s="43">
        <v>1860382934</v>
      </c>
      <c r="AM126" s="43">
        <v>7837522374</v>
      </c>
      <c r="AN126" s="44">
        <v>0</v>
      </c>
      <c r="AO126" s="43">
        <v>1860382934</v>
      </c>
      <c r="AP126" s="43">
        <v>7837522374</v>
      </c>
      <c r="AQ126" s="43">
        <v>1943346327</v>
      </c>
      <c r="AR126" s="34">
        <f>AS126-'MARZO '!AS125</f>
        <v>0</v>
      </c>
      <c r="AS126" s="114">
        <v>4033793113</v>
      </c>
      <c r="AT126" s="30">
        <f t="shared" si="94"/>
        <v>5977139440</v>
      </c>
      <c r="AU126" s="18">
        <f t="shared" si="95"/>
        <v>2162477626</v>
      </c>
      <c r="AV126" s="34">
        <f t="shared" si="96"/>
        <v>0</v>
      </c>
      <c r="AW126" s="18">
        <f t="shared" si="97"/>
        <v>1860382934</v>
      </c>
      <c r="AX126" s="32">
        <f t="shared" si="47"/>
        <v>0.7837522374</v>
      </c>
    </row>
    <row r="127" spans="1:50" ht="27" customHeight="1" x14ac:dyDescent="0.2">
      <c r="A127" s="4" t="s">
        <v>55</v>
      </c>
      <c r="B127" s="4" t="s">
        <v>56</v>
      </c>
      <c r="C127" s="4"/>
      <c r="D127" s="4" t="s">
        <v>40</v>
      </c>
      <c r="E127" s="4"/>
      <c r="F127" s="4"/>
      <c r="G127" s="4" t="s">
        <v>41</v>
      </c>
      <c r="H127" s="4"/>
      <c r="I127" s="4" t="s">
        <v>936</v>
      </c>
      <c r="J127" s="4"/>
      <c r="K127" s="4" t="s">
        <v>932</v>
      </c>
      <c r="L127" s="4"/>
      <c r="M127" s="4" t="s">
        <v>933</v>
      </c>
      <c r="N127" s="4"/>
      <c r="O127" s="4" t="s">
        <v>938</v>
      </c>
      <c r="P127" s="4"/>
      <c r="Q127" s="4" t="s">
        <v>939</v>
      </c>
      <c r="R127" s="4"/>
      <c r="S127" s="4" t="s">
        <v>940</v>
      </c>
      <c r="T127" s="4">
        <v>0</v>
      </c>
      <c r="U127" s="4">
        <v>0</v>
      </c>
      <c r="V127" s="4">
        <v>0</v>
      </c>
      <c r="W127" s="4">
        <v>0</v>
      </c>
      <c r="X127" s="4" t="s">
        <v>937</v>
      </c>
      <c r="Y127" s="4"/>
      <c r="Z127" s="4"/>
      <c r="AA127" s="41" t="s">
        <v>890</v>
      </c>
      <c r="AB127" s="42" t="s">
        <v>236</v>
      </c>
      <c r="AC127" s="38" t="s">
        <v>237</v>
      </c>
      <c r="AD127" s="39">
        <v>2897026328</v>
      </c>
      <c r="AE127" s="40">
        <v>0</v>
      </c>
      <c r="AF127" s="40">
        <v>0</v>
      </c>
      <c r="AG127" s="40">
        <v>0</v>
      </c>
      <c r="AH127" s="40">
        <v>0</v>
      </c>
      <c r="AI127" s="40">
        <v>0</v>
      </c>
      <c r="AJ127" s="39">
        <v>2897026328</v>
      </c>
      <c r="AK127" s="40">
        <v>0</v>
      </c>
      <c r="AL127" s="39">
        <v>320517226</v>
      </c>
      <c r="AM127" s="39">
        <v>635873126</v>
      </c>
      <c r="AN127" s="40">
        <v>0</v>
      </c>
      <c r="AO127" s="39">
        <v>320517226</v>
      </c>
      <c r="AP127" s="39">
        <v>635873126</v>
      </c>
      <c r="AQ127" s="39">
        <v>158707400</v>
      </c>
      <c r="AR127" s="34">
        <f>AS127-'MARZO '!AS126</f>
        <v>0</v>
      </c>
      <c r="AS127" s="39">
        <v>117993280</v>
      </c>
      <c r="AT127" s="30">
        <f t="shared" si="94"/>
        <v>276700680</v>
      </c>
      <c r="AU127" s="18">
        <f t="shared" si="95"/>
        <v>2261153202</v>
      </c>
      <c r="AV127" s="34">
        <f t="shared" si="96"/>
        <v>0</v>
      </c>
      <c r="AW127" s="18">
        <f t="shared" si="97"/>
        <v>359172446</v>
      </c>
      <c r="AX127" s="32">
        <f t="shared" si="47"/>
        <v>0.21949166283172281</v>
      </c>
    </row>
    <row r="128" spans="1:50" ht="18.75" customHeight="1" x14ac:dyDescent="0.2">
      <c r="A128" s="27" t="s">
        <v>55</v>
      </c>
      <c r="B128" s="27" t="s">
        <v>56</v>
      </c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8" t="s">
        <v>891</v>
      </c>
      <c r="AB128" s="29" t="s">
        <v>238</v>
      </c>
      <c r="AC128" s="30" t="s">
        <v>37</v>
      </c>
      <c r="AD128" s="30">
        <f>AD129+AD130</f>
        <v>1000000000</v>
      </c>
      <c r="AE128" s="31">
        <f t="shared" ref="AE128:AS128" si="100">AE129+AE130</f>
        <v>0</v>
      </c>
      <c r="AF128" s="31">
        <f t="shared" si="100"/>
        <v>0</v>
      </c>
      <c r="AG128" s="31">
        <f t="shared" si="100"/>
        <v>0</v>
      </c>
      <c r="AH128" s="31">
        <f t="shared" si="100"/>
        <v>0</v>
      </c>
      <c r="AI128" s="31">
        <f t="shared" si="100"/>
        <v>0</v>
      </c>
      <c r="AJ128" s="30">
        <f t="shared" si="100"/>
        <v>1000000000</v>
      </c>
      <c r="AK128" s="31">
        <f t="shared" si="100"/>
        <v>0</v>
      </c>
      <c r="AL128" s="109">
        <f t="shared" si="100"/>
        <v>197006326.97999999</v>
      </c>
      <c r="AM128" s="109">
        <f t="shared" si="100"/>
        <v>348215579.98000002</v>
      </c>
      <c r="AN128" s="31">
        <f t="shared" si="100"/>
        <v>0</v>
      </c>
      <c r="AO128" s="109">
        <f t="shared" si="100"/>
        <v>197006326.97999999</v>
      </c>
      <c r="AP128" s="109">
        <f t="shared" si="100"/>
        <v>348215579.98000002</v>
      </c>
      <c r="AQ128" s="31">
        <f t="shared" si="100"/>
        <v>0</v>
      </c>
      <c r="AR128" s="109">
        <f t="shared" si="100"/>
        <v>195347771.41</v>
      </c>
      <c r="AS128" s="109">
        <f t="shared" si="100"/>
        <v>346557024.41000003</v>
      </c>
      <c r="AT128" s="30">
        <f t="shared" si="94"/>
        <v>346557024.41000003</v>
      </c>
      <c r="AU128" s="18">
        <f t="shared" si="95"/>
        <v>651784420.01999998</v>
      </c>
      <c r="AV128" s="34">
        <f t="shared" si="96"/>
        <v>0</v>
      </c>
      <c r="AW128" s="18">
        <f t="shared" si="97"/>
        <v>1658555.5699999928</v>
      </c>
      <c r="AX128" s="32">
        <f t="shared" si="47"/>
        <v>0.34821557998000002</v>
      </c>
    </row>
    <row r="129" spans="1:50" ht="18.75" customHeight="1" x14ac:dyDescent="0.2">
      <c r="A129" s="4" t="s">
        <v>55</v>
      </c>
      <c r="B129" s="4" t="s">
        <v>56</v>
      </c>
      <c r="C129" s="4"/>
      <c r="D129" s="4" t="s">
        <v>40</v>
      </c>
      <c r="E129" s="4"/>
      <c r="F129" s="4"/>
      <c r="G129" s="4" t="s">
        <v>41</v>
      </c>
      <c r="H129" s="4"/>
      <c r="I129" s="4" t="s">
        <v>936</v>
      </c>
      <c r="J129" s="4"/>
      <c r="K129" s="4" t="s">
        <v>932</v>
      </c>
      <c r="L129" s="4"/>
      <c r="M129" s="4" t="s">
        <v>933</v>
      </c>
      <c r="N129" s="4"/>
      <c r="O129" s="4" t="s">
        <v>938</v>
      </c>
      <c r="P129" s="4"/>
      <c r="Q129" s="4" t="s">
        <v>939</v>
      </c>
      <c r="R129" s="4"/>
      <c r="S129" s="4" t="s">
        <v>940</v>
      </c>
      <c r="T129" s="4">
        <v>0</v>
      </c>
      <c r="U129" s="4">
        <v>0</v>
      </c>
      <c r="V129" s="4">
        <v>0</v>
      </c>
      <c r="W129" s="4">
        <v>0</v>
      </c>
      <c r="X129" s="4" t="s">
        <v>937</v>
      </c>
      <c r="Y129" s="4"/>
      <c r="Z129" s="4"/>
      <c r="AA129" s="41" t="s">
        <v>893</v>
      </c>
      <c r="AB129" s="42" t="s">
        <v>233</v>
      </c>
      <c r="AC129" s="43" t="s">
        <v>58</v>
      </c>
      <c r="AD129" s="43">
        <v>500000000</v>
      </c>
      <c r="AE129" s="44">
        <v>0</v>
      </c>
      <c r="AF129" s="44">
        <v>0</v>
      </c>
      <c r="AG129" s="44">
        <v>0</v>
      </c>
      <c r="AH129" s="44">
        <v>0</v>
      </c>
      <c r="AI129" s="44">
        <v>0</v>
      </c>
      <c r="AJ129" s="43">
        <v>500000000</v>
      </c>
      <c r="AK129" s="44">
        <v>0</v>
      </c>
      <c r="AL129" s="114">
        <v>1995326.98</v>
      </c>
      <c r="AM129" s="115">
        <v>1995326.98</v>
      </c>
      <c r="AN129" s="44">
        <v>0</v>
      </c>
      <c r="AO129" s="115">
        <v>1995326.98</v>
      </c>
      <c r="AP129" s="115">
        <v>1995326.98</v>
      </c>
      <c r="AQ129" s="44">
        <v>0</v>
      </c>
      <c r="AR129" s="43">
        <f>AS129-'MARZO '!AS128</f>
        <v>336771.41</v>
      </c>
      <c r="AS129" s="44">
        <v>336771.41</v>
      </c>
      <c r="AT129" s="31">
        <f t="shared" si="94"/>
        <v>336771.41</v>
      </c>
      <c r="AU129" s="18">
        <f t="shared" si="95"/>
        <v>498004673.01999998</v>
      </c>
      <c r="AV129" s="34">
        <f t="shared" si="96"/>
        <v>0</v>
      </c>
      <c r="AW129" s="18">
        <f t="shared" si="97"/>
        <v>1658555.57</v>
      </c>
      <c r="AX129" s="32">
        <f t="shared" si="47"/>
        <v>3.9906539599999999E-3</v>
      </c>
    </row>
    <row r="130" spans="1:50" ht="18.75" customHeight="1" x14ac:dyDescent="0.2">
      <c r="A130" s="4" t="s">
        <v>55</v>
      </c>
      <c r="B130" s="4" t="s">
        <v>56</v>
      </c>
      <c r="C130" s="4"/>
      <c r="D130" s="4" t="s">
        <v>40</v>
      </c>
      <c r="E130" s="4"/>
      <c r="F130" s="4"/>
      <c r="G130" s="4" t="s">
        <v>41</v>
      </c>
      <c r="H130" s="4"/>
      <c r="I130" s="4" t="s">
        <v>936</v>
      </c>
      <c r="J130" s="4"/>
      <c r="K130" s="4" t="s">
        <v>932</v>
      </c>
      <c r="L130" s="4"/>
      <c r="M130" s="4" t="s">
        <v>933</v>
      </c>
      <c r="N130" s="4"/>
      <c r="O130" s="4" t="s">
        <v>938</v>
      </c>
      <c r="P130" s="4"/>
      <c r="Q130" s="4" t="s">
        <v>939</v>
      </c>
      <c r="R130" s="4"/>
      <c r="S130" s="4" t="s">
        <v>940</v>
      </c>
      <c r="T130" s="4">
        <v>0</v>
      </c>
      <c r="U130" s="4">
        <v>0</v>
      </c>
      <c r="V130" s="4">
        <v>0</v>
      </c>
      <c r="W130" s="4">
        <v>0</v>
      </c>
      <c r="X130" s="4" t="s">
        <v>937</v>
      </c>
      <c r="Y130" s="4"/>
      <c r="Z130" s="4"/>
      <c r="AA130" s="41" t="s">
        <v>892</v>
      </c>
      <c r="AB130" s="42" t="s">
        <v>239</v>
      </c>
      <c r="AC130" s="43" t="s">
        <v>240</v>
      </c>
      <c r="AD130" s="43">
        <v>500000000</v>
      </c>
      <c r="AE130" s="44">
        <v>0</v>
      </c>
      <c r="AF130" s="44">
        <v>0</v>
      </c>
      <c r="AG130" s="44">
        <v>0</v>
      </c>
      <c r="AH130" s="44">
        <v>0</v>
      </c>
      <c r="AI130" s="44">
        <v>0</v>
      </c>
      <c r="AJ130" s="43">
        <v>500000000</v>
      </c>
      <c r="AK130" s="44">
        <v>0</v>
      </c>
      <c r="AL130" s="114">
        <v>195011000</v>
      </c>
      <c r="AM130" s="114">
        <v>346220253</v>
      </c>
      <c r="AN130" s="44">
        <v>0</v>
      </c>
      <c r="AO130" s="114">
        <v>195011000</v>
      </c>
      <c r="AP130" s="114">
        <v>346220253</v>
      </c>
      <c r="AQ130" s="44">
        <v>0</v>
      </c>
      <c r="AR130" s="114">
        <f>AS130-'MARZO '!AS129</f>
        <v>195011000</v>
      </c>
      <c r="AS130" s="114">
        <v>346220253</v>
      </c>
      <c r="AT130" s="30">
        <f t="shared" si="94"/>
        <v>346220253</v>
      </c>
      <c r="AU130" s="18">
        <f t="shared" si="95"/>
        <v>153779747</v>
      </c>
      <c r="AV130" s="34">
        <f t="shared" si="96"/>
        <v>0</v>
      </c>
      <c r="AW130" s="34">
        <f t="shared" si="97"/>
        <v>0</v>
      </c>
      <c r="AX130" s="32">
        <f t="shared" si="47"/>
        <v>0.69244050599999996</v>
      </c>
    </row>
    <row r="131" spans="1:50" ht="18.75" customHeight="1" x14ac:dyDescent="0.2">
      <c r="A131" s="27" t="s">
        <v>55</v>
      </c>
      <c r="B131" s="27" t="s">
        <v>56</v>
      </c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8" t="s">
        <v>894</v>
      </c>
      <c r="AB131" s="29" t="s">
        <v>241</v>
      </c>
      <c r="AC131" s="30" t="s">
        <v>37</v>
      </c>
      <c r="AD131" s="30">
        <f>AD132</f>
        <v>80000000</v>
      </c>
      <c r="AE131" s="31">
        <f t="shared" ref="AE131:AS131" si="101">AE132</f>
        <v>0</v>
      </c>
      <c r="AF131" s="31">
        <f t="shared" si="101"/>
        <v>0</v>
      </c>
      <c r="AG131" s="31">
        <f t="shared" si="101"/>
        <v>0</v>
      </c>
      <c r="AH131" s="31">
        <f t="shared" si="101"/>
        <v>0</v>
      </c>
      <c r="AI131" s="31">
        <f t="shared" si="101"/>
        <v>0</v>
      </c>
      <c r="AJ131" s="30">
        <f t="shared" si="101"/>
        <v>80000000</v>
      </c>
      <c r="AK131" s="31">
        <f t="shared" si="101"/>
        <v>0</v>
      </c>
      <c r="AL131" s="109">
        <f t="shared" si="101"/>
        <v>31798410</v>
      </c>
      <c r="AM131" s="109">
        <f t="shared" si="101"/>
        <v>71606775</v>
      </c>
      <c r="AN131" s="31">
        <f t="shared" si="101"/>
        <v>0</v>
      </c>
      <c r="AO131" s="109">
        <f t="shared" si="101"/>
        <v>31798410</v>
      </c>
      <c r="AP131" s="109">
        <f t="shared" si="101"/>
        <v>71606775</v>
      </c>
      <c r="AQ131" s="30">
        <f t="shared" si="101"/>
        <v>0</v>
      </c>
      <c r="AR131" s="109">
        <f t="shared" si="101"/>
        <v>36341040</v>
      </c>
      <c r="AS131" s="109">
        <f t="shared" si="101"/>
        <v>71606775</v>
      </c>
      <c r="AT131" s="30">
        <f t="shared" si="94"/>
        <v>71606775</v>
      </c>
      <c r="AU131" s="18">
        <f t="shared" si="95"/>
        <v>8393225</v>
      </c>
      <c r="AV131" s="34">
        <f t="shared" si="96"/>
        <v>0</v>
      </c>
      <c r="AW131" s="34">
        <f t="shared" si="97"/>
        <v>0</v>
      </c>
      <c r="AX131" s="32">
        <f t="shared" si="47"/>
        <v>0.89508468750000003</v>
      </c>
    </row>
    <row r="132" spans="1:50" ht="18.75" customHeight="1" x14ac:dyDescent="0.2">
      <c r="A132" s="4" t="s">
        <v>55</v>
      </c>
      <c r="B132" s="4" t="s">
        <v>56</v>
      </c>
      <c r="C132" s="4"/>
      <c r="D132" s="4" t="s">
        <v>40</v>
      </c>
      <c r="E132" s="4"/>
      <c r="F132" s="4"/>
      <c r="G132" s="4" t="s">
        <v>41</v>
      </c>
      <c r="H132" s="4"/>
      <c r="I132" s="4" t="s">
        <v>936</v>
      </c>
      <c r="J132" s="4"/>
      <c r="K132" s="4" t="s">
        <v>932</v>
      </c>
      <c r="L132" s="4"/>
      <c r="M132" s="4" t="s">
        <v>933</v>
      </c>
      <c r="N132" s="4"/>
      <c r="O132" s="4" t="s">
        <v>938</v>
      </c>
      <c r="P132" s="4"/>
      <c r="Q132" s="4" t="s">
        <v>939</v>
      </c>
      <c r="R132" s="4"/>
      <c r="S132" s="4" t="s">
        <v>940</v>
      </c>
      <c r="T132" s="4">
        <v>0</v>
      </c>
      <c r="U132" s="4">
        <v>0</v>
      </c>
      <c r="V132" s="4">
        <v>0</v>
      </c>
      <c r="W132" s="4">
        <v>0</v>
      </c>
      <c r="X132" s="4" t="s">
        <v>937</v>
      </c>
      <c r="Y132" s="4"/>
      <c r="Z132" s="4"/>
      <c r="AA132" s="41" t="s">
        <v>895</v>
      </c>
      <c r="AB132" s="42" t="s">
        <v>242</v>
      </c>
      <c r="AC132" s="43" t="s">
        <v>58</v>
      </c>
      <c r="AD132" s="43">
        <v>80000000</v>
      </c>
      <c r="AE132" s="44">
        <v>0</v>
      </c>
      <c r="AF132" s="44">
        <v>0</v>
      </c>
      <c r="AG132" s="44">
        <v>0</v>
      </c>
      <c r="AH132" s="44">
        <v>0</v>
      </c>
      <c r="AI132" s="44">
        <v>0</v>
      </c>
      <c r="AJ132" s="43">
        <v>80000000</v>
      </c>
      <c r="AK132" s="44">
        <v>0</v>
      </c>
      <c r="AL132" s="114">
        <v>31798410</v>
      </c>
      <c r="AM132" s="114">
        <v>71606775</v>
      </c>
      <c r="AN132" s="44">
        <v>0</v>
      </c>
      <c r="AO132" s="114">
        <v>31798410</v>
      </c>
      <c r="AP132" s="114">
        <v>71606775</v>
      </c>
      <c r="AQ132" s="43">
        <v>0</v>
      </c>
      <c r="AR132" s="114">
        <v>36341040</v>
      </c>
      <c r="AS132" s="114">
        <v>71606775</v>
      </c>
      <c r="AT132" s="30">
        <f t="shared" si="94"/>
        <v>71606775</v>
      </c>
      <c r="AU132" s="18">
        <f t="shared" si="95"/>
        <v>8393225</v>
      </c>
      <c r="AV132" s="34">
        <f t="shared" si="96"/>
        <v>0</v>
      </c>
      <c r="AW132" s="34">
        <f t="shared" si="97"/>
        <v>0</v>
      </c>
      <c r="AX132" s="32">
        <f t="shared" si="47"/>
        <v>0.89508468750000003</v>
      </c>
    </row>
    <row r="133" spans="1:50" ht="18.75" customHeight="1" x14ac:dyDescent="0.2">
      <c r="A133" s="4" t="s">
        <v>55</v>
      </c>
      <c r="B133" s="4" t="s">
        <v>56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1" t="s">
        <v>896</v>
      </c>
      <c r="AB133" s="42" t="s">
        <v>243</v>
      </c>
      <c r="AC133" s="43" t="s">
        <v>58</v>
      </c>
      <c r="AD133" s="44">
        <v>0</v>
      </c>
      <c r="AE133" s="44">
        <v>0</v>
      </c>
      <c r="AF133" s="44">
        <v>0</v>
      </c>
      <c r="AG133" s="44">
        <v>0</v>
      </c>
      <c r="AH133" s="44">
        <v>0</v>
      </c>
      <c r="AI133" s="44">
        <v>0</v>
      </c>
      <c r="AJ133" s="44">
        <v>0</v>
      </c>
      <c r="AK133" s="44">
        <v>0</v>
      </c>
      <c r="AL133" s="44">
        <v>0</v>
      </c>
      <c r="AM133" s="44">
        <v>0</v>
      </c>
      <c r="AN133" s="44">
        <v>0</v>
      </c>
      <c r="AO133" s="44">
        <v>0</v>
      </c>
      <c r="AP133" s="44">
        <v>0</v>
      </c>
      <c r="AQ133" s="44">
        <v>0</v>
      </c>
      <c r="AR133" s="44">
        <v>0</v>
      </c>
      <c r="AS133" s="44">
        <v>0</v>
      </c>
      <c r="AT133" s="31">
        <f t="shared" si="94"/>
        <v>0</v>
      </c>
      <c r="AU133" s="34">
        <f t="shared" si="95"/>
        <v>0</v>
      </c>
      <c r="AV133" s="34">
        <f t="shared" si="96"/>
        <v>0</v>
      </c>
      <c r="AW133" s="34">
        <f t="shared" si="97"/>
        <v>0</v>
      </c>
      <c r="AX133" s="32">
        <v>0</v>
      </c>
    </row>
    <row r="134" spans="1:50" ht="18.75" customHeight="1" x14ac:dyDescent="0.2">
      <c r="A134" s="4" t="s">
        <v>55</v>
      </c>
      <c r="B134" s="4" t="s">
        <v>56</v>
      </c>
      <c r="C134" s="4"/>
      <c r="D134" s="4" t="s">
        <v>40</v>
      </c>
      <c r="E134" s="4"/>
      <c r="F134" s="4"/>
      <c r="G134" s="4" t="s">
        <v>41</v>
      </c>
      <c r="H134" s="4"/>
      <c r="I134" s="4" t="s">
        <v>936</v>
      </c>
      <c r="J134" s="4"/>
      <c r="K134" s="4" t="s">
        <v>932</v>
      </c>
      <c r="L134" s="4"/>
      <c r="M134" s="4" t="s">
        <v>933</v>
      </c>
      <c r="N134" s="4"/>
      <c r="O134" s="4" t="s">
        <v>938</v>
      </c>
      <c r="P134" s="4"/>
      <c r="Q134" s="4" t="s">
        <v>939</v>
      </c>
      <c r="R134" s="4"/>
      <c r="S134" s="4" t="s">
        <v>940</v>
      </c>
      <c r="T134" s="4">
        <v>0</v>
      </c>
      <c r="U134" s="4">
        <v>0</v>
      </c>
      <c r="V134" s="4">
        <v>0</v>
      </c>
      <c r="W134" s="4">
        <v>0</v>
      </c>
      <c r="X134" s="4" t="s">
        <v>937</v>
      </c>
      <c r="Y134" s="4"/>
      <c r="Z134" s="4"/>
      <c r="AA134" s="41" t="s">
        <v>897</v>
      </c>
      <c r="AB134" s="42" t="s">
        <v>244</v>
      </c>
      <c r="AC134" s="43" t="s">
        <v>58</v>
      </c>
      <c r="AD134" s="43">
        <v>10000000</v>
      </c>
      <c r="AE134" s="44">
        <v>0</v>
      </c>
      <c r="AF134" s="44">
        <v>0</v>
      </c>
      <c r="AG134" s="44">
        <v>0</v>
      </c>
      <c r="AH134" s="44">
        <v>0</v>
      </c>
      <c r="AI134" s="44">
        <v>0</v>
      </c>
      <c r="AJ134" s="43">
        <v>10000000</v>
      </c>
      <c r="AK134" s="44">
        <v>0</v>
      </c>
      <c r="AL134" s="43">
        <v>0</v>
      </c>
      <c r="AM134" s="43">
        <v>4389015</v>
      </c>
      <c r="AN134" s="44">
        <v>0</v>
      </c>
      <c r="AO134" s="44">
        <v>0</v>
      </c>
      <c r="AP134" s="43">
        <v>4389015</v>
      </c>
      <c r="AQ134" s="44">
        <v>0</v>
      </c>
      <c r="AR134" s="44">
        <f>AS134-'MARZO '!AS133</f>
        <v>0</v>
      </c>
      <c r="AS134" s="43">
        <v>4389015</v>
      </c>
      <c r="AT134" s="30">
        <f t="shared" si="94"/>
        <v>4389015</v>
      </c>
      <c r="AU134" s="18">
        <f t="shared" si="95"/>
        <v>5610985</v>
      </c>
      <c r="AV134" s="34">
        <f t="shared" si="96"/>
        <v>0</v>
      </c>
      <c r="AW134" s="34">
        <f t="shared" si="97"/>
        <v>0</v>
      </c>
      <c r="AX134" s="32">
        <f t="shared" si="47"/>
        <v>0.4389015</v>
      </c>
    </row>
    <row r="135" spans="1:50" ht="18.75" customHeight="1" x14ac:dyDescent="0.2">
      <c r="A135" s="4" t="s">
        <v>55</v>
      </c>
      <c r="B135" s="4" t="s">
        <v>56</v>
      </c>
      <c r="C135" s="4"/>
      <c r="D135" s="4" t="s">
        <v>40</v>
      </c>
      <c r="E135" s="4"/>
      <c r="F135" s="4"/>
      <c r="G135" s="4" t="s">
        <v>41</v>
      </c>
      <c r="H135" s="4"/>
      <c r="I135" s="4" t="s">
        <v>936</v>
      </c>
      <c r="J135" s="4"/>
      <c r="K135" s="4" t="s">
        <v>932</v>
      </c>
      <c r="L135" s="4"/>
      <c r="M135" s="4" t="s">
        <v>933</v>
      </c>
      <c r="N135" s="4"/>
      <c r="O135" s="4" t="s">
        <v>938</v>
      </c>
      <c r="P135" s="4"/>
      <c r="Q135" s="4" t="s">
        <v>942</v>
      </c>
      <c r="R135" s="4"/>
      <c r="S135" s="4" t="s">
        <v>940</v>
      </c>
      <c r="T135" s="4">
        <v>0</v>
      </c>
      <c r="U135" s="4">
        <v>0</v>
      </c>
      <c r="V135" s="4">
        <v>0</v>
      </c>
      <c r="W135" s="4">
        <v>0</v>
      </c>
      <c r="X135" s="4" t="s">
        <v>937</v>
      </c>
      <c r="Y135" s="4"/>
      <c r="Z135" s="4"/>
      <c r="AA135" s="41" t="s">
        <v>898</v>
      </c>
      <c r="AB135" s="42" t="s">
        <v>245</v>
      </c>
      <c r="AC135" s="43" t="s">
        <v>58</v>
      </c>
      <c r="AD135" s="43">
        <v>266000000</v>
      </c>
      <c r="AE135" s="44">
        <v>0</v>
      </c>
      <c r="AF135" s="44">
        <v>0</v>
      </c>
      <c r="AG135" s="44">
        <v>0</v>
      </c>
      <c r="AH135" s="44">
        <v>0</v>
      </c>
      <c r="AI135" s="44">
        <v>0</v>
      </c>
      <c r="AJ135" s="43">
        <v>266000000</v>
      </c>
      <c r="AK135" s="44">
        <v>0</v>
      </c>
      <c r="AL135" s="43">
        <v>28002799</v>
      </c>
      <c r="AM135" s="43">
        <v>153542091</v>
      </c>
      <c r="AN135" s="44">
        <v>0</v>
      </c>
      <c r="AO135" s="43">
        <v>28002799</v>
      </c>
      <c r="AP135" s="43">
        <v>153542091</v>
      </c>
      <c r="AQ135" s="44">
        <v>0</v>
      </c>
      <c r="AR135" s="43">
        <f>AS135-'MARZO '!AS134</f>
        <v>29085237</v>
      </c>
      <c r="AS135" s="114">
        <v>151319069</v>
      </c>
      <c r="AT135" s="30">
        <f t="shared" si="94"/>
        <v>151319069</v>
      </c>
      <c r="AU135" s="18">
        <f t="shared" si="95"/>
        <v>112457909</v>
      </c>
      <c r="AV135" s="34">
        <f t="shared" si="96"/>
        <v>0</v>
      </c>
      <c r="AW135" s="18">
        <f t="shared" si="97"/>
        <v>2223022</v>
      </c>
      <c r="AX135" s="32">
        <f t="shared" si="47"/>
        <v>0.57722590601503765</v>
      </c>
    </row>
    <row r="136" spans="1:50" s="25" customFormat="1" ht="18.75" customHeight="1" x14ac:dyDescent="0.2">
      <c r="A136" s="19" t="s">
        <v>55</v>
      </c>
      <c r="B136" s="19" t="s">
        <v>56</v>
      </c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26" t="s">
        <v>899</v>
      </c>
      <c r="AB136" s="21" t="s">
        <v>246</v>
      </c>
      <c r="AC136" s="22" t="s">
        <v>37</v>
      </c>
      <c r="AD136" s="22">
        <f>AD137</f>
        <v>100000000</v>
      </c>
      <c r="AE136" s="23">
        <f t="shared" ref="AE136:AW136" si="102">AE137</f>
        <v>0</v>
      </c>
      <c r="AF136" s="23">
        <f t="shared" si="102"/>
        <v>0</v>
      </c>
      <c r="AG136" s="23">
        <f t="shared" si="102"/>
        <v>0</v>
      </c>
      <c r="AH136" s="23">
        <f t="shared" si="102"/>
        <v>0</v>
      </c>
      <c r="AI136" s="23">
        <f t="shared" si="102"/>
        <v>0</v>
      </c>
      <c r="AJ136" s="22">
        <f t="shared" si="102"/>
        <v>100000000</v>
      </c>
      <c r="AK136" s="23">
        <f t="shared" si="102"/>
        <v>0</v>
      </c>
      <c r="AL136" s="22">
        <f t="shared" si="102"/>
        <v>4625300</v>
      </c>
      <c r="AM136" s="22">
        <f t="shared" si="102"/>
        <v>32161816</v>
      </c>
      <c r="AN136" s="23">
        <f t="shared" si="102"/>
        <v>0</v>
      </c>
      <c r="AO136" s="22">
        <f t="shared" si="102"/>
        <v>5255300</v>
      </c>
      <c r="AP136" s="22">
        <f t="shared" si="102"/>
        <v>27961816</v>
      </c>
      <c r="AQ136" s="23">
        <f t="shared" si="102"/>
        <v>0</v>
      </c>
      <c r="AR136" s="22">
        <f t="shared" si="102"/>
        <v>5255300</v>
      </c>
      <c r="AS136" s="22">
        <f t="shared" si="102"/>
        <v>27961816</v>
      </c>
      <c r="AT136" s="22">
        <f>AQ136+AS136</f>
        <v>27961816</v>
      </c>
      <c r="AU136" s="22">
        <f t="shared" si="102"/>
        <v>67838184</v>
      </c>
      <c r="AV136" s="22">
        <f t="shared" si="102"/>
        <v>4200000</v>
      </c>
      <c r="AW136" s="23">
        <f t="shared" si="102"/>
        <v>0</v>
      </c>
      <c r="AX136" s="24">
        <f t="shared" si="47"/>
        <v>0.27961816</v>
      </c>
    </row>
    <row r="137" spans="1:50" ht="18.75" customHeight="1" x14ac:dyDescent="0.2">
      <c r="A137" s="27" t="s">
        <v>55</v>
      </c>
      <c r="B137" s="27" t="s">
        <v>56</v>
      </c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8" t="s">
        <v>900</v>
      </c>
      <c r="AB137" s="29" t="s">
        <v>247</v>
      </c>
      <c r="AC137" s="30" t="s">
        <v>37</v>
      </c>
      <c r="AD137" s="30">
        <f>AD138+AD139</f>
        <v>100000000</v>
      </c>
      <c r="AE137" s="31">
        <f t="shared" ref="AE137:AS137" si="103">AE138+AE139</f>
        <v>0</v>
      </c>
      <c r="AF137" s="31">
        <f t="shared" si="103"/>
        <v>0</v>
      </c>
      <c r="AG137" s="31">
        <f t="shared" si="103"/>
        <v>0</v>
      </c>
      <c r="AH137" s="31">
        <f t="shared" si="103"/>
        <v>0</v>
      </c>
      <c r="AI137" s="31">
        <f t="shared" si="103"/>
        <v>0</v>
      </c>
      <c r="AJ137" s="30">
        <f t="shared" si="103"/>
        <v>100000000</v>
      </c>
      <c r="AK137" s="31">
        <f t="shared" si="103"/>
        <v>0</v>
      </c>
      <c r="AL137" s="30">
        <f t="shared" si="103"/>
        <v>4625300</v>
      </c>
      <c r="AM137" s="30">
        <f t="shared" si="103"/>
        <v>32161816</v>
      </c>
      <c r="AN137" s="31">
        <f t="shared" si="103"/>
        <v>0</v>
      </c>
      <c r="AO137" s="30">
        <f t="shared" si="103"/>
        <v>5255300</v>
      </c>
      <c r="AP137" s="30">
        <f t="shared" si="103"/>
        <v>27961816</v>
      </c>
      <c r="AQ137" s="31">
        <f t="shared" si="103"/>
        <v>0</v>
      </c>
      <c r="AR137" s="30">
        <f t="shared" si="103"/>
        <v>5255300</v>
      </c>
      <c r="AS137" s="30">
        <f t="shared" si="103"/>
        <v>27961816</v>
      </c>
      <c r="AT137" s="30">
        <f t="shared" ref="AT137:AT139" si="104">AQ137+AS137</f>
        <v>27961816</v>
      </c>
      <c r="AU137" s="18">
        <f t="shared" ref="AU137:AU139" si="105">AJ137-AM137</f>
        <v>67838184</v>
      </c>
      <c r="AV137" s="110">
        <f t="shared" ref="AV137:AV139" si="106">AM137-AP137</f>
        <v>4200000</v>
      </c>
      <c r="AW137" s="34">
        <f t="shared" ref="AW137:AW139" si="107">AP137-AT137</f>
        <v>0</v>
      </c>
      <c r="AX137" s="32">
        <f t="shared" si="47"/>
        <v>0.27961816</v>
      </c>
    </row>
    <row r="138" spans="1:50" ht="18.75" customHeight="1" x14ac:dyDescent="0.2">
      <c r="A138" s="4" t="s">
        <v>55</v>
      </c>
      <c r="B138" s="4" t="s">
        <v>56</v>
      </c>
      <c r="C138" s="4"/>
      <c r="D138" s="4" t="s">
        <v>40</v>
      </c>
      <c r="E138" s="4"/>
      <c r="F138" s="4"/>
      <c r="G138" s="4" t="s">
        <v>41</v>
      </c>
      <c r="H138" s="4"/>
      <c r="I138" s="4" t="s">
        <v>936</v>
      </c>
      <c r="J138" s="4"/>
      <c r="K138" s="4" t="s">
        <v>932</v>
      </c>
      <c r="L138" s="4"/>
      <c r="M138" s="4" t="s">
        <v>933</v>
      </c>
      <c r="N138" s="4"/>
      <c r="O138" s="4" t="s">
        <v>938</v>
      </c>
      <c r="P138" s="4"/>
      <c r="Q138" s="4" t="s">
        <v>942</v>
      </c>
      <c r="R138" s="4"/>
      <c r="S138" s="4" t="s">
        <v>940</v>
      </c>
      <c r="T138" s="4">
        <v>0</v>
      </c>
      <c r="U138" s="4">
        <v>0</v>
      </c>
      <c r="V138" s="4">
        <v>0</v>
      </c>
      <c r="W138" s="4">
        <v>0</v>
      </c>
      <c r="X138" s="4" t="s">
        <v>937</v>
      </c>
      <c r="Y138" s="4"/>
      <c r="Z138" s="4"/>
      <c r="AA138" s="41" t="s">
        <v>901</v>
      </c>
      <c r="AB138" s="42" t="s">
        <v>248</v>
      </c>
      <c r="AC138" s="43" t="s">
        <v>58</v>
      </c>
      <c r="AD138" s="43">
        <v>70000000</v>
      </c>
      <c r="AE138" s="44">
        <v>0</v>
      </c>
      <c r="AF138" s="44">
        <v>0</v>
      </c>
      <c r="AG138" s="44">
        <v>0</v>
      </c>
      <c r="AH138" s="44">
        <v>0</v>
      </c>
      <c r="AI138" s="44">
        <v>0</v>
      </c>
      <c r="AJ138" s="43">
        <v>70000000</v>
      </c>
      <c r="AK138" s="44">
        <v>0</v>
      </c>
      <c r="AL138" s="43">
        <v>4625300</v>
      </c>
      <c r="AM138" s="43">
        <v>32161816</v>
      </c>
      <c r="AN138" s="44">
        <v>0</v>
      </c>
      <c r="AO138" s="43">
        <v>5255300</v>
      </c>
      <c r="AP138" s="43">
        <v>27961816</v>
      </c>
      <c r="AQ138" s="44">
        <v>0</v>
      </c>
      <c r="AR138" s="43">
        <v>5255300</v>
      </c>
      <c r="AS138" s="43">
        <v>27961816</v>
      </c>
      <c r="AT138" s="30">
        <f t="shared" si="104"/>
        <v>27961816</v>
      </c>
      <c r="AU138" s="18">
        <f t="shared" si="105"/>
        <v>37838184</v>
      </c>
      <c r="AV138" s="110">
        <f t="shared" si="106"/>
        <v>4200000</v>
      </c>
      <c r="AW138" s="34">
        <f t="shared" si="107"/>
        <v>0</v>
      </c>
      <c r="AX138" s="32">
        <f t="shared" si="47"/>
        <v>0.39945451428571427</v>
      </c>
    </row>
    <row r="139" spans="1:50" ht="18.75" customHeight="1" x14ac:dyDescent="0.2">
      <c r="A139" s="4" t="s">
        <v>55</v>
      </c>
      <c r="B139" s="4" t="s">
        <v>56</v>
      </c>
      <c r="C139" s="4"/>
      <c r="D139" s="4" t="s">
        <v>40</v>
      </c>
      <c r="E139" s="4"/>
      <c r="F139" s="4"/>
      <c r="G139" s="4" t="s">
        <v>41</v>
      </c>
      <c r="H139" s="4"/>
      <c r="I139" s="4" t="s">
        <v>936</v>
      </c>
      <c r="J139" s="4"/>
      <c r="K139" s="4" t="s">
        <v>932</v>
      </c>
      <c r="L139" s="4"/>
      <c r="M139" s="4" t="s">
        <v>933</v>
      </c>
      <c r="N139" s="4"/>
      <c r="O139" s="4" t="s">
        <v>938</v>
      </c>
      <c r="P139" s="4"/>
      <c r="Q139" s="4" t="s">
        <v>942</v>
      </c>
      <c r="R139" s="4"/>
      <c r="S139" s="4" t="s">
        <v>940</v>
      </c>
      <c r="T139" s="4">
        <v>0</v>
      </c>
      <c r="U139" s="4">
        <v>0</v>
      </c>
      <c r="V139" s="4">
        <v>0</v>
      </c>
      <c r="W139" s="4">
        <v>0</v>
      </c>
      <c r="X139" s="4" t="s">
        <v>937</v>
      </c>
      <c r="Y139" s="4"/>
      <c r="Z139" s="4"/>
      <c r="AA139" s="41" t="s">
        <v>902</v>
      </c>
      <c r="AB139" s="42" t="s">
        <v>249</v>
      </c>
      <c r="AC139" s="43" t="s">
        <v>58</v>
      </c>
      <c r="AD139" s="43">
        <v>30000000</v>
      </c>
      <c r="AE139" s="44">
        <v>0</v>
      </c>
      <c r="AF139" s="44">
        <v>0</v>
      </c>
      <c r="AG139" s="44">
        <v>0</v>
      </c>
      <c r="AH139" s="44">
        <v>0</v>
      </c>
      <c r="AI139" s="44">
        <v>0</v>
      </c>
      <c r="AJ139" s="43">
        <v>30000000</v>
      </c>
      <c r="AK139" s="44">
        <v>0</v>
      </c>
      <c r="AL139" s="44">
        <v>0</v>
      </c>
      <c r="AM139" s="44">
        <v>0</v>
      </c>
      <c r="AN139" s="44">
        <v>0</v>
      </c>
      <c r="AO139" s="44">
        <v>0</v>
      </c>
      <c r="AP139" s="44">
        <v>0</v>
      </c>
      <c r="AQ139" s="44">
        <v>0</v>
      </c>
      <c r="AR139" s="44">
        <v>0</v>
      </c>
      <c r="AS139" s="44">
        <v>0</v>
      </c>
      <c r="AT139" s="31">
        <f t="shared" si="104"/>
        <v>0</v>
      </c>
      <c r="AU139" s="18">
        <f t="shared" si="105"/>
        <v>30000000</v>
      </c>
      <c r="AV139" s="34">
        <f t="shared" si="106"/>
        <v>0</v>
      </c>
      <c r="AW139" s="34">
        <f t="shared" si="107"/>
        <v>0</v>
      </c>
      <c r="AX139" s="32">
        <f t="shared" si="47"/>
        <v>0</v>
      </c>
    </row>
    <row r="140" spans="1:50" s="25" customFormat="1" ht="27.75" customHeight="1" x14ac:dyDescent="0.2">
      <c r="A140" s="19" t="s">
        <v>55</v>
      </c>
      <c r="B140" s="19" t="s">
        <v>56</v>
      </c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26" t="s">
        <v>903</v>
      </c>
      <c r="AB140" s="21" t="s">
        <v>250</v>
      </c>
      <c r="AC140" s="22" t="s">
        <v>37</v>
      </c>
      <c r="AD140" s="22">
        <f>AD141+AD145+AD150+AD143</f>
        <v>4677993416.5</v>
      </c>
      <c r="AE140" s="23">
        <f t="shared" ref="AE140:AK140" si="108">AE141+AE145+AE150+AE143</f>
        <v>0</v>
      </c>
      <c r="AF140" s="23">
        <f t="shared" si="108"/>
        <v>0</v>
      </c>
      <c r="AG140" s="22">
        <f>AG141+AG145+AG150+AG143+AG144</f>
        <v>30000000</v>
      </c>
      <c r="AH140" s="22">
        <f t="shared" ref="AH140:AJ140" si="109">AH141+AH145+AH150+AH143+AH144</f>
        <v>0</v>
      </c>
      <c r="AI140" s="22">
        <f t="shared" si="109"/>
        <v>30000000</v>
      </c>
      <c r="AJ140" s="22">
        <f t="shared" si="109"/>
        <v>4707993416.5</v>
      </c>
      <c r="AK140" s="23">
        <f t="shared" si="108"/>
        <v>0</v>
      </c>
      <c r="AL140" s="22">
        <f>AL141+AL145+AL150+AL143+AL144</f>
        <v>373166118</v>
      </c>
      <c r="AM140" s="22">
        <f t="shared" ref="AM140:AW140" si="110">AM141+AM145+AM150+AM143+AM144</f>
        <v>1518215731</v>
      </c>
      <c r="AN140" s="22">
        <f t="shared" si="110"/>
        <v>0</v>
      </c>
      <c r="AO140" s="22">
        <f t="shared" si="110"/>
        <v>377232347</v>
      </c>
      <c r="AP140" s="22">
        <f t="shared" si="110"/>
        <v>1518215721</v>
      </c>
      <c r="AQ140" s="23">
        <f t="shared" si="110"/>
        <v>0</v>
      </c>
      <c r="AR140" s="22">
        <f t="shared" si="110"/>
        <v>377232347</v>
      </c>
      <c r="AS140" s="22">
        <f t="shared" si="110"/>
        <v>1518165421</v>
      </c>
      <c r="AT140" s="22">
        <f t="shared" si="110"/>
        <v>1518165421</v>
      </c>
      <c r="AU140" s="22">
        <f t="shared" si="110"/>
        <v>3189777685.5</v>
      </c>
      <c r="AV140" s="22">
        <f t="shared" si="110"/>
        <v>10</v>
      </c>
      <c r="AW140" s="22">
        <f t="shared" si="110"/>
        <v>50300</v>
      </c>
      <c r="AX140" s="24">
        <f t="shared" si="47"/>
        <v>0.32247617757474833</v>
      </c>
    </row>
    <row r="141" spans="1:50" ht="18.75" customHeight="1" x14ac:dyDescent="0.2">
      <c r="A141" s="27" t="s">
        <v>55</v>
      </c>
      <c r="B141" s="27" t="s">
        <v>56</v>
      </c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8" t="s">
        <v>904</v>
      </c>
      <c r="AB141" s="29" t="s">
        <v>251</v>
      </c>
      <c r="AC141" s="30" t="s">
        <v>37</v>
      </c>
      <c r="AD141" s="30">
        <f>AD142</f>
        <v>50000000</v>
      </c>
      <c r="AE141" s="31">
        <f t="shared" ref="AE141:AW141" si="111">AE142</f>
        <v>0</v>
      </c>
      <c r="AF141" s="31">
        <f t="shared" si="111"/>
        <v>0</v>
      </c>
      <c r="AG141" s="31">
        <f t="shared" si="111"/>
        <v>0</v>
      </c>
      <c r="AH141" s="31">
        <f t="shared" si="111"/>
        <v>0</v>
      </c>
      <c r="AI141" s="31">
        <f t="shared" si="111"/>
        <v>0</v>
      </c>
      <c r="AJ141" s="30">
        <f>AJ142</f>
        <v>50000000</v>
      </c>
      <c r="AK141" s="31">
        <f t="shared" si="111"/>
        <v>0</v>
      </c>
      <c r="AL141" s="31">
        <f t="shared" si="111"/>
        <v>0</v>
      </c>
      <c r="AM141" s="31">
        <f t="shared" si="111"/>
        <v>0</v>
      </c>
      <c r="AN141" s="31">
        <f t="shared" si="111"/>
        <v>0</v>
      </c>
      <c r="AO141" s="31">
        <f t="shared" si="111"/>
        <v>0</v>
      </c>
      <c r="AP141" s="31">
        <f t="shared" si="111"/>
        <v>0</v>
      </c>
      <c r="AQ141" s="31">
        <f t="shared" si="111"/>
        <v>0</v>
      </c>
      <c r="AR141" s="31">
        <f t="shared" si="111"/>
        <v>0</v>
      </c>
      <c r="AS141" s="31">
        <f t="shared" si="111"/>
        <v>0</v>
      </c>
      <c r="AT141" s="40">
        <f t="shared" si="111"/>
        <v>0</v>
      </c>
      <c r="AU141" s="30">
        <f t="shared" si="111"/>
        <v>50000000</v>
      </c>
      <c r="AV141" s="31">
        <f t="shared" si="111"/>
        <v>0</v>
      </c>
      <c r="AW141" s="31">
        <f t="shared" si="111"/>
        <v>0</v>
      </c>
      <c r="AX141" s="32">
        <f t="shared" si="47"/>
        <v>0</v>
      </c>
    </row>
    <row r="142" spans="1:50" ht="18.75" customHeight="1" x14ac:dyDescent="0.2">
      <c r="A142" s="4" t="s">
        <v>55</v>
      </c>
      <c r="B142" s="4" t="s">
        <v>56</v>
      </c>
      <c r="C142" s="4"/>
      <c r="D142" s="4" t="s">
        <v>40</v>
      </c>
      <c r="E142" s="4"/>
      <c r="F142" s="4"/>
      <c r="G142" s="4" t="s">
        <v>41</v>
      </c>
      <c r="H142" s="4"/>
      <c r="I142" s="4" t="s">
        <v>936</v>
      </c>
      <c r="J142" s="4"/>
      <c r="K142" s="4" t="s">
        <v>932</v>
      </c>
      <c r="L142" s="4"/>
      <c r="M142" s="4" t="s">
        <v>933</v>
      </c>
      <c r="N142" s="4"/>
      <c r="O142" s="4" t="s">
        <v>938</v>
      </c>
      <c r="P142" s="4"/>
      <c r="Q142" s="4" t="s">
        <v>942</v>
      </c>
      <c r="R142" s="4"/>
      <c r="S142" s="4" t="s">
        <v>940</v>
      </c>
      <c r="T142" s="4">
        <v>0</v>
      </c>
      <c r="U142" s="4">
        <v>0</v>
      </c>
      <c r="V142" s="4">
        <v>0</v>
      </c>
      <c r="W142" s="4">
        <v>0</v>
      </c>
      <c r="X142" s="4" t="s">
        <v>937</v>
      </c>
      <c r="Y142" s="4"/>
      <c r="Z142" s="4"/>
      <c r="AA142" s="41" t="s">
        <v>905</v>
      </c>
      <c r="AB142" s="42" t="s">
        <v>252</v>
      </c>
      <c r="AC142" s="43" t="s">
        <v>58</v>
      </c>
      <c r="AD142" s="43">
        <v>50000000</v>
      </c>
      <c r="AE142" s="44">
        <v>0</v>
      </c>
      <c r="AF142" s="44">
        <v>0</v>
      </c>
      <c r="AG142" s="44">
        <v>0</v>
      </c>
      <c r="AH142" s="44">
        <v>0</v>
      </c>
      <c r="AI142" s="44">
        <v>0</v>
      </c>
      <c r="AJ142" s="43">
        <v>50000000</v>
      </c>
      <c r="AK142" s="44">
        <v>0</v>
      </c>
      <c r="AL142" s="44">
        <v>0</v>
      </c>
      <c r="AM142" s="44">
        <v>0</v>
      </c>
      <c r="AN142" s="44">
        <v>0</v>
      </c>
      <c r="AO142" s="44">
        <v>0</v>
      </c>
      <c r="AP142" s="44">
        <v>0</v>
      </c>
      <c r="AQ142" s="44">
        <v>0</v>
      </c>
      <c r="AR142" s="44">
        <v>0</v>
      </c>
      <c r="AS142" s="44">
        <v>0</v>
      </c>
      <c r="AT142" s="40">
        <f t="shared" ref="AT142:AT160" si="112">AQ142+AS142</f>
        <v>0</v>
      </c>
      <c r="AU142" s="18">
        <f t="shared" ref="AU142:AU152" si="113">AJ142-AM142</f>
        <v>50000000</v>
      </c>
      <c r="AV142" s="34">
        <f t="shared" ref="AV142:AV152" si="114">AM142-AP142</f>
        <v>0</v>
      </c>
      <c r="AW142" s="34">
        <f t="shared" ref="AW142:AW152" si="115">AP142-AT142</f>
        <v>0</v>
      </c>
      <c r="AX142" s="32">
        <f t="shared" si="47"/>
        <v>0</v>
      </c>
    </row>
    <row r="143" spans="1:50" ht="18.75" customHeight="1" x14ac:dyDescent="0.2">
      <c r="A143" s="4" t="s">
        <v>55</v>
      </c>
      <c r="B143" s="4" t="s">
        <v>56</v>
      </c>
      <c r="C143" s="4"/>
      <c r="D143" s="4" t="s">
        <v>40</v>
      </c>
      <c r="E143" s="4"/>
      <c r="F143" s="4"/>
      <c r="G143" s="4" t="s">
        <v>41</v>
      </c>
      <c r="H143" s="4"/>
      <c r="I143" s="4" t="s">
        <v>936</v>
      </c>
      <c r="J143" s="4"/>
      <c r="K143" s="4" t="s">
        <v>932</v>
      </c>
      <c r="L143" s="4"/>
      <c r="M143" s="4" t="s">
        <v>933</v>
      </c>
      <c r="N143" s="4"/>
      <c r="O143" s="4" t="s">
        <v>938</v>
      </c>
      <c r="P143" s="4"/>
      <c r="Q143" s="4" t="s">
        <v>942</v>
      </c>
      <c r="R143" s="4"/>
      <c r="S143" s="4" t="s">
        <v>940</v>
      </c>
      <c r="T143" s="4">
        <v>0</v>
      </c>
      <c r="U143" s="4">
        <v>0</v>
      </c>
      <c r="V143" s="4">
        <v>0</v>
      </c>
      <c r="W143" s="4">
        <v>0</v>
      </c>
      <c r="X143" s="4" t="s">
        <v>937</v>
      </c>
      <c r="Y143" s="4"/>
      <c r="Z143" s="4"/>
      <c r="AA143" s="41" t="s">
        <v>867</v>
      </c>
      <c r="AB143" s="42" t="s">
        <v>253</v>
      </c>
      <c r="AC143" s="43" t="s">
        <v>58</v>
      </c>
      <c r="AD143" s="43">
        <v>50000000</v>
      </c>
      <c r="AE143" s="44">
        <v>0</v>
      </c>
      <c r="AF143" s="44">
        <v>0</v>
      </c>
      <c r="AG143" s="44">
        <v>0</v>
      </c>
      <c r="AH143" s="44">
        <v>0</v>
      </c>
      <c r="AI143" s="44">
        <v>0</v>
      </c>
      <c r="AJ143" s="43">
        <v>50000000</v>
      </c>
      <c r="AK143" s="44">
        <v>0</v>
      </c>
      <c r="AL143" s="44">
        <v>0</v>
      </c>
      <c r="AM143" s="43">
        <v>662900</v>
      </c>
      <c r="AN143" s="116">
        <v>0</v>
      </c>
      <c r="AO143" s="43">
        <v>0</v>
      </c>
      <c r="AP143" s="43">
        <v>662890</v>
      </c>
      <c r="AQ143" s="44">
        <v>0</v>
      </c>
      <c r="AR143" s="44">
        <v>0</v>
      </c>
      <c r="AS143" s="43">
        <v>612590</v>
      </c>
      <c r="AT143" s="39">
        <f t="shared" si="112"/>
        <v>612590</v>
      </c>
      <c r="AU143" s="18">
        <f t="shared" si="113"/>
        <v>49337100</v>
      </c>
      <c r="AV143" s="110">
        <f t="shared" si="114"/>
        <v>10</v>
      </c>
      <c r="AW143" s="18">
        <f t="shared" si="115"/>
        <v>50300</v>
      </c>
      <c r="AX143" s="32">
        <f t="shared" si="47"/>
        <v>1.32578E-2</v>
      </c>
    </row>
    <row r="144" spans="1:50" ht="18.75" customHeight="1" x14ac:dyDescent="0.2">
      <c r="A144" s="4" t="s">
        <v>55</v>
      </c>
      <c r="B144" s="4" t="s">
        <v>56</v>
      </c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1" t="s">
        <v>866</v>
      </c>
      <c r="AB144" s="42" t="s">
        <v>254</v>
      </c>
      <c r="AC144" s="43" t="s">
        <v>58</v>
      </c>
      <c r="AD144" s="43">
        <v>0</v>
      </c>
      <c r="AE144" s="44">
        <v>0</v>
      </c>
      <c r="AF144" s="44">
        <v>0</v>
      </c>
      <c r="AG144" s="43">
        <v>10000000</v>
      </c>
      <c r="AH144" s="44">
        <v>0</v>
      </c>
      <c r="AI144" s="18">
        <f>AE144-AF144+AG144-AH144</f>
        <v>10000000</v>
      </c>
      <c r="AJ144" s="18">
        <f>AD144+AI144</f>
        <v>10000000</v>
      </c>
      <c r="AK144" s="44">
        <v>0</v>
      </c>
      <c r="AL144" s="44">
        <v>0</v>
      </c>
      <c r="AM144" s="43">
        <v>4066229</v>
      </c>
      <c r="AN144" s="44">
        <v>0</v>
      </c>
      <c r="AO144" s="43">
        <v>4066229</v>
      </c>
      <c r="AP144" s="43">
        <v>4066229</v>
      </c>
      <c r="AQ144" s="44">
        <v>0</v>
      </c>
      <c r="AR144" s="43">
        <v>4066229</v>
      </c>
      <c r="AS144" s="43">
        <v>4066229</v>
      </c>
      <c r="AT144" s="39">
        <f t="shared" si="112"/>
        <v>4066229</v>
      </c>
      <c r="AU144" s="18">
        <f t="shared" si="113"/>
        <v>5933771</v>
      </c>
      <c r="AV144" s="18">
        <f t="shared" si="114"/>
        <v>0</v>
      </c>
      <c r="AW144" s="34">
        <f t="shared" si="115"/>
        <v>0</v>
      </c>
      <c r="AX144" s="32">
        <v>0</v>
      </c>
    </row>
    <row r="145" spans="1:50" ht="18.75" customHeight="1" x14ac:dyDescent="0.2">
      <c r="A145" s="27" t="s">
        <v>55</v>
      </c>
      <c r="B145" s="27" t="s">
        <v>56</v>
      </c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8" t="s">
        <v>865</v>
      </c>
      <c r="AB145" s="29" t="s">
        <v>255</v>
      </c>
      <c r="AC145" s="30" t="s">
        <v>37</v>
      </c>
      <c r="AD145" s="30">
        <f>AD146+AD149</f>
        <v>4527993416.5</v>
      </c>
      <c r="AE145" s="31">
        <f t="shared" ref="AE145:AS145" si="116">AE146+AE149</f>
        <v>0</v>
      </c>
      <c r="AF145" s="31">
        <f t="shared" si="116"/>
        <v>0</v>
      </c>
      <c r="AG145" s="30">
        <f t="shared" si="116"/>
        <v>20000000</v>
      </c>
      <c r="AH145" s="31">
        <f t="shared" si="116"/>
        <v>0</v>
      </c>
      <c r="AI145" s="18">
        <f>AE145-AF145+AG145-AH145</f>
        <v>20000000</v>
      </c>
      <c r="AJ145" s="18">
        <f>AD145+AI145</f>
        <v>4547993416.5</v>
      </c>
      <c r="AK145" s="31">
        <f t="shared" si="116"/>
        <v>0</v>
      </c>
      <c r="AL145" s="30">
        <f t="shared" si="116"/>
        <v>373166118</v>
      </c>
      <c r="AM145" s="30">
        <f t="shared" si="116"/>
        <v>1513236602</v>
      </c>
      <c r="AN145" s="31">
        <f t="shared" si="116"/>
        <v>0</v>
      </c>
      <c r="AO145" s="30">
        <f t="shared" si="116"/>
        <v>373166118</v>
      </c>
      <c r="AP145" s="30">
        <f t="shared" si="116"/>
        <v>1513236602</v>
      </c>
      <c r="AQ145" s="31">
        <f t="shared" si="116"/>
        <v>0</v>
      </c>
      <c r="AR145" s="30">
        <f t="shared" si="116"/>
        <v>373166118</v>
      </c>
      <c r="AS145" s="30">
        <f t="shared" si="116"/>
        <v>1513236602</v>
      </c>
      <c r="AT145" s="39">
        <f t="shared" si="112"/>
        <v>1513236602</v>
      </c>
      <c r="AU145" s="18">
        <f t="shared" si="113"/>
        <v>3034756814.5</v>
      </c>
      <c r="AV145" s="34">
        <f t="shared" si="114"/>
        <v>0</v>
      </c>
      <c r="AW145" s="34">
        <f t="shared" si="115"/>
        <v>0</v>
      </c>
      <c r="AX145" s="32">
        <f t="shared" ref="AX145:AX180" si="117">AP145/AJ145</f>
        <v>0.33272620767435979</v>
      </c>
    </row>
    <row r="146" spans="1:50" ht="18.75" customHeight="1" x14ac:dyDescent="0.2">
      <c r="A146" s="27" t="s">
        <v>55</v>
      </c>
      <c r="B146" s="27" t="s">
        <v>56</v>
      </c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8" t="s">
        <v>864</v>
      </c>
      <c r="AB146" s="29" t="s">
        <v>256</v>
      </c>
      <c r="AC146" s="30" t="s">
        <v>37</v>
      </c>
      <c r="AD146" s="30">
        <f>AD147+AD148</f>
        <v>4477993416.5</v>
      </c>
      <c r="AE146" s="31">
        <f t="shared" ref="AE146:AS146" si="118">AE147+AE148</f>
        <v>0</v>
      </c>
      <c r="AF146" s="31">
        <f t="shared" si="118"/>
        <v>0</v>
      </c>
      <c r="AG146" s="31">
        <f t="shared" si="118"/>
        <v>0</v>
      </c>
      <c r="AH146" s="31">
        <f t="shared" si="118"/>
        <v>0</v>
      </c>
      <c r="AI146" s="31">
        <f t="shared" si="118"/>
        <v>0</v>
      </c>
      <c r="AJ146" s="30">
        <f t="shared" si="118"/>
        <v>4477993416.5</v>
      </c>
      <c r="AK146" s="31">
        <f t="shared" si="118"/>
        <v>0</v>
      </c>
      <c r="AL146" s="30">
        <f t="shared" si="118"/>
        <v>373166118</v>
      </c>
      <c r="AM146" s="30">
        <f t="shared" si="118"/>
        <v>1492664472</v>
      </c>
      <c r="AN146" s="31">
        <f t="shared" si="118"/>
        <v>0</v>
      </c>
      <c r="AO146" s="30">
        <f t="shared" si="118"/>
        <v>373166118</v>
      </c>
      <c r="AP146" s="30">
        <f t="shared" si="118"/>
        <v>1492664472</v>
      </c>
      <c r="AQ146" s="31">
        <f t="shared" si="118"/>
        <v>0</v>
      </c>
      <c r="AR146" s="30">
        <f t="shared" si="118"/>
        <v>373166118</v>
      </c>
      <c r="AS146" s="30">
        <f t="shared" si="118"/>
        <v>1492664472</v>
      </c>
      <c r="AT146" s="39">
        <f t="shared" si="112"/>
        <v>1492664472</v>
      </c>
      <c r="AU146" s="18">
        <f t="shared" si="113"/>
        <v>2985328944.5</v>
      </c>
      <c r="AV146" s="34">
        <f t="shared" si="114"/>
        <v>0</v>
      </c>
      <c r="AW146" s="34">
        <f t="shared" si="115"/>
        <v>0</v>
      </c>
      <c r="AX146" s="32">
        <f t="shared" si="117"/>
        <v>0.33333333329611431</v>
      </c>
    </row>
    <row r="147" spans="1:50" ht="18.75" customHeight="1" x14ac:dyDescent="0.2">
      <c r="A147" s="4" t="s">
        <v>55</v>
      </c>
      <c r="B147" s="4" t="s">
        <v>56</v>
      </c>
      <c r="C147" s="4"/>
      <c r="D147" s="4" t="s">
        <v>40</v>
      </c>
      <c r="E147" s="4"/>
      <c r="F147" s="4"/>
      <c r="G147" s="4" t="s">
        <v>41</v>
      </c>
      <c r="H147" s="4"/>
      <c r="I147" s="4" t="s">
        <v>936</v>
      </c>
      <c r="J147" s="4"/>
      <c r="K147" s="4" t="s">
        <v>932</v>
      </c>
      <c r="L147" s="4"/>
      <c r="M147" s="4" t="s">
        <v>933</v>
      </c>
      <c r="N147" s="4"/>
      <c r="O147" s="4" t="s">
        <v>938</v>
      </c>
      <c r="P147" s="4"/>
      <c r="Q147" s="4" t="s">
        <v>942</v>
      </c>
      <c r="R147" s="4"/>
      <c r="S147" s="4" t="s">
        <v>940</v>
      </c>
      <c r="T147" s="4">
        <v>0</v>
      </c>
      <c r="U147" s="4">
        <v>0</v>
      </c>
      <c r="V147" s="4">
        <v>0</v>
      </c>
      <c r="W147" s="4">
        <v>0</v>
      </c>
      <c r="X147" s="4" t="s">
        <v>937</v>
      </c>
      <c r="Y147" s="4"/>
      <c r="Z147" s="4"/>
      <c r="AA147" s="41" t="s">
        <v>863</v>
      </c>
      <c r="AB147" s="42" t="s">
        <v>233</v>
      </c>
      <c r="AC147" s="43" t="s">
        <v>58</v>
      </c>
      <c r="AD147" s="43">
        <v>3177230763</v>
      </c>
      <c r="AE147" s="44">
        <v>0</v>
      </c>
      <c r="AF147" s="44">
        <v>0</v>
      </c>
      <c r="AG147" s="44">
        <v>0</v>
      </c>
      <c r="AH147" s="44">
        <v>0</v>
      </c>
      <c r="AI147" s="44">
        <v>0</v>
      </c>
      <c r="AJ147" s="43">
        <v>3177230763</v>
      </c>
      <c r="AK147" s="44">
        <v>0</v>
      </c>
      <c r="AL147" s="43">
        <v>264769230</v>
      </c>
      <c r="AM147" s="43">
        <v>1059076920</v>
      </c>
      <c r="AN147" s="44">
        <v>0</v>
      </c>
      <c r="AO147" s="43">
        <v>264769230</v>
      </c>
      <c r="AP147" s="43">
        <v>1059076920</v>
      </c>
      <c r="AQ147" s="44">
        <v>0</v>
      </c>
      <c r="AR147" s="43">
        <v>264769230</v>
      </c>
      <c r="AS147" s="43">
        <v>1059076920</v>
      </c>
      <c r="AT147" s="39">
        <f t="shared" si="112"/>
        <v>1059076920</v>
      </c>
      <c r="AU147" s="18">
        <f t="shared" si="113"/>
        <v>2118153843</v>
      </c>
      <c r="AV147" s="34">
        <f t="shared" si="114"/>
        <v>0</v>
      </c>
      <c r="AW147" s="34">
        <f t="shared" si="115"/>
        <v>0</v>
      </c>
      <c r="AX147" s="32">
        <f t="shared" si="117"/>
        <v>0.33333333301859386</v>
      </c>
    </row>
    <row r="148" spans="1:50" ht="18.75" customHeight="1" x14ac:dyDescent="0.2">
      <c r="A148" s="4" t="s">
        <v>55</v>
      </c>
      <c r="B148" s="4" t="s">
        <v>56</v>
      </c>
      <c r="C148" s="4"/>
      <c r="D148" s="4" t="s">
        <v>40</v>
      </c>
      <c r="E148" s="4"/>
      <c r="F148" s="4"/>
      <c r="G148" s="4" t="s">
        <v>41</v>
      </c>
      <c r="H148" s="4"/>
      <c r="I148" s="4" t="s">
        <v>936</v>
      </c>
      <c r="J148" s="4"/>
      <c r="K148" s="4" t="s">
        <v>932</v>
      </c>
      <c r="L148" s="4"/>
      <c r="M148" s="4" t="s">
        <v>933</v>
      </c>
      <c r="N148" s="4"/>
      <c r="O148" s="4" t="s">
        <v>938</v>
      </c>
      <c r="P148" s="4"/>
      <c r="Q148" s="4" t="s">
        <v>942</v>
      </c>
      <c r="R148" s="4"/>
      <c r="S148" s="4" t="s">
        <v>940</v>
      </c>
      <c r="T148" s="4">
        <v>0</v>
      </c>
      <c r="U148" s="4">
        <v>0</v>
      </c>
      <c r="V148" s="4">
        <v>0</v>
      </c>
      <c r="W148" s="4">
        <v>0</v>
      </c>
      <c r="X148" s="4" t="s">
        <v>937</v>
      </c>
      <c r="Y148" s="4"/>
      <c r="Z148" s="4"/>
      <c r="AA148" s="41" t="s">
        <v>862</v>
      </c>
      <c r="AB148" s="42" t="s">
        <v>257</v>
      </c>
      <c r="AC148" s="43" t="s">
        <v>258</v>
      </c>
      <c r="AD148" s="43">
        <v>1300762653.5</v>
      </c>
      <c r="AE148" s="44">
        <v>0</v>
      </c>
      <c r="AF148" s="44">
        <v>0</v>
      </c>
      <c r="AG148" s="44">
        <v>0</v>
      </c>
      <c r="AH148" s="44">
        <v>0</v>
      </c>
      <c r="AI148" s="44">
        <v>0</v>
      </c>
      <c r="AJ148" s="43">
        <v>1300762653.5</v>
      </c>
      <c r="AK148" s="44">
        <v>0</v>
      </c>
      <c r="AL148" s="43">
        <v>108396888</v>
      </c>
      <c r="AM148" s="43">
        <v>433587552</v>
      </c>
      <c r="AN148" s="44">
        <v>0</v>
      </c>
      <c r="AO148" s="43">
        <v>108396888</v>
      </c>
      <c r="AP148" s="43">
        <v>433587552</v>
      </c>
      <c r="AQ148" s="44">
        <v>0</v>
      </c>
      <c r="AR148" s="43">
        <v>108396888</v>
      </c>
      <c r="AS148" s="43">
        <v>433587552</v>
      </c>
      <c r="AT148" s="39">
        <f t="shared" si="112"/>
        <v>433587552</v>
      </c>
      <c r="AU148" s="18">
        <f t="shared" si="113"/>
        <v>867175101.5</v>
      </c>
      <c r="AV148" s="34">
        <f t="shared" si="114"/>
        <v>0</v>
      </c>
      <c r="AW148" s="34">
        <f t="shared" si="115"/>
        <v>0</v>
      </c>
      <c r="AX148" s="32">
        <f t="shared" si="117"/>
        <v>0.33333333397398313</v>
      </c>
    </row>
    <row r="149" spans="1:50" ht="18.75" customHeight="1" x14ac:dyDescent="0.2">
      <c r="A149" s="4" t="s">
        <v>55</v>
      </c>
      <c r="B149" s="4" t="s">
        <v>56</v>
      </c>
      <c r="C149" s="4"/>
      <c r="D149" s="4" t="s">
        <v>40</v>
      </c>
      <c r="E149" s="4"/>
      <c r="F149" s="4"/>
      <c r="G149" s="4" t="s">
        <v>41</v>
      </c>
      <c r="H149" s="4"/>
      <c r="I149" s="4" t="s">
        <v>936</v>
      </c>
      <c r="J149" s="4"/>
      <c r="K149" s="4" t="s">
        <v>932</v>
      </c>
      <c r="L149" s="4"/>
      <c r="M149" s="4" t="s">
        <v>933</v>
      </c>
      <c r="N149" s="4"/>
      <c r="O149" s="4" t="s">
        <v>938</v>
      </c>
      <c r="P149" s="4"/>
      <c r="Q149" s="4" t="s">
        <v>942</v>
      </c>
      <c r="R149" s="4"/>
      <c r="S149" s="4" t="s">
        <v>940</v>
      </c>
      <c r="T149" s="4">
        <v>0</v>
      </c>
      <c r="U149" s="4">
        <v>0</v>
      </c>
      <c r="V149" s="4">
        <v>0</v>
      </c>
      <c r="W149" s="4">
        <v>0</v>
      </c>
      <c r="X149" s="4" t="s">
        <v>937</v>
      </c>
      <c r="Y149" s="4"/>
      <c r="Z149" s="4"/>
      <c r="AA149" s="41" t="s">
        <v>861</v>
      </c>
      <c r="AB149" s="42" t="s">
        <v>259</v>
      </c>
      <c r="AC149" s="43" t="s">
        <v>58</v>
      </c>
      <c r="AD149" s="43">
        <v>50000000</v>
      </c>
      <c r="AE149" s="44">
        <v>0</v>
      </c>
      <c r="AF149" s="44">
        <v>0</v>
      </c>
      <c r="AG149" s="43">
        <v>20000000</v>
      </c>
      <c r="AH149" s="44">
        <v>0</v>
      </c>
      <c r="AI149" s="18">
        <f>AE149-AF149+AG149-AH149</f>
        <v>20000000</v>
      </c>
      <c r="AJ149" s="18">
        <f>AD149+AI149</f>
        <v>70000000</v>
      </c>
      <c r="AK149" s="44">
        <v>0</v>
      </c>
      <c r="AL149" s="44">
        <v>0</v>
      </c>
      <c r="AM149" s="43">
        <v>20572130</v>
      </c>
      <c r="AN149" s="44">
        <v>0</v>
      </c>
      <c r="AO149" s="44">
        <v>0</v>
      </c>
      <c r="AP149" s="43">
        <v>20572130</v>
      </c>
      <c r="AQ149" s="44">
        <v>0</v>
      </c>
      <c r="AR149" s="44">
        <v>0</v>
      </c>
      <c r="AS149" s="43">
        <v>20572130</v>
      </c>
      <c r="AT149" s="39">
        <f t="shared" si="112"/>
        <v>20572130</v>
      </c>
      <c r="AU149" s="18">
        <f t="shared" si="113"/>
        <v>49427870</v>
      </c>
      <c r="AV149" s="34">
        <f t="shared" si="114"/>
        <v>0</v>
      </c>
      <c r="AW149" s="34">
        <f t="shared" si="115"/>
        <v>0</v>
      </c>
      <c r="AX149" s="32">
        <f t="shared" si="117"/>
        <v>0.29388757142857141</v>
      </c>
    </row>
    <row r="150" spans="1:50" ht="18.75" customHeight="1" x14ac:dyDescent="0.2">
      <c r="A150" s="27" t="s">
        <v>55</v>
      </c>
      <c r="B150" s="27" t="s">
        <v>56</v>
      </c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8" t="s">
        <v>860</v>
      </c>
      <c r="AB150" s="29" t="s">
        <v>260</v>
      </c>
      <c r="AC150" s="30" t="s">
        <v>37</v>
      </c>
      <c r="AD150" s="30">
        <f>AD151+AD153</f>
        <v>50000000</v>
      </c>
      <c r="AE150" s="31">
        <f t="shared" ref="AE150:AS150" si="119">AE151+AE153</f>
        <v>0</v>
      </c>
      <c r="AF150" s="31">
        <f t="shared" si="119"/>
        <v>0</v>
      </c>
      <c r="AG150" s="31">
        <f t="shared" si="119"/>
        <v>0</v>
      </c>
      <c r="AH150" s="31">
        <f t="shared" si="119"/>
        <v>0</v>
      </c>
      <c r="AI150" s="31">
        <f t="shared" si="119"/>
        <v>0</v>
      </c>
      <c r="AJ150" s="30">
        <f t="shared" si="119"/>
        <v>50000000</v>
      </c>
      <c r="AK150" s="31">
        <f t="shared" si="119"/>
        <v>0</v>
      </c>
      <c r="AL150" s="172">
        <f t="shared" si="119"/>
        <v>0</v>
      </c>
      <c r="AM150" s="109">
        <f t="shared" si="119"/>
        <v>250000</v>
      </c>
      <c r="AN150" s="31">
        <f t="shared" si="119"/>
        <v>0</v>
      </c>
      <c r="AO150" s="172">
        <f t="shared" si="119"/>
        <v>0</v>
      </c>
      <c r="AP150" s="109">
        <f t="shared" si="119"/>
        <v>250000</v>
      </c>
      <c r="AQ150" s="31">
        <f t="shared" si="119"/>
        <v>0</v>
      </c>
      <c r="AR150" s="31">
        <f t="shared" si="119"/>
        <v>0</v>
      </c>
      <c r="AS150" s="30">
        <f t="shared" si="119"/>
        <v>250000</v>
      </c>
      <c r="AT150" s="39">
        <f t="shared" si="112"/>
        <v>250000</v>
      </c>
      <c r="AU150" s="18">
        <f t="shared" si="113"/>
        <v>49750000</v>
      </c>
      <c r="AV150" s="34">
        <f t="shared" si="114"/>
        <v>0</v>
      </c>
      <c r="AW150" s="34">
        <f t="shared" si="115"/>
        <v>0</v>
      </c>
      <c r="AX150" s="32">
        <f t="shared" si="117"/>
        <v>5.0000000000000001E-3</v>
      </c>
    </row>
    <row r="151" spans="1:50" ht="18.75" customHeight="1" x14ac:dyDescent="0.2">
      <c r="A151" s="27" t="s">
        <v>55</v>
      </c>
      <c r="B151" s="27" t="s">
        <v>56</v>
      </c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8" t="s">
        <v>859</v>
      </c>
      <c r="AB151" s="29" t="s">
        <v>261</v>
      </c>
      <c r="AC151" s="30" t="s">
        <v>37</v>
      </c>
      <c r="AD151" s="30">
        <f>AD152</f>
        <v>10000000</v>
      </c>
      <c r="AE151" s="31">
        <f t="shared" ref="AE151:AS151" si="120">AE152</f>
        <v>0</v>
      </c>
      <c r="AF151" s="31">
        <f t="shared" si="120"/>
        <v>0</v>
      </c>
      <c r="AG151" s="31">
        <f t="shared" si="120"/>
        <v>0</v>
      </c>
      <c r="AH151" s="31">
        <f t="shared" si="120"/>
        <v>0</v>
      </c>
      <c r="AI151" s="31">
        <f t="shared" si="120"/>
        <v>0</v>
      </c>
      <c r="AJ151" s="30">
        <f t="shared" si="120"/>
        <v>10000000</v>
      </c>
      <c r="AK151" s="31">
        <f t="shared" si="120"/>
        <v>0</v>
      </c>
      <c r="AL151" s="172">
        <f t="shared" si="120"/>
        <v>0</v>
      </c>
      <c r="AM151" s="109">
        <f t="shared" si="120"/>
        <v>250000</v>
      </c>
      <c r="AN151" s="31">
        <f t="shared" si="120"/>
        <v>0</v>
      </c>
      <c r="AO151" s="172">
        <f t="shared" si="120"/>
        <v>0</v>
      </c>
      <c r="AP151" s="109">
        <f t="shared" si="120"/>
        <v>250000</v>
      </c>
      <c r="AQ151" s="31">
        <f t="shared" si="120"/>
        <v>0</v>
      </c>
      <c r="AR151" s="31">
        <f t="shared" si="120"/>
        <v>0</v>
      </c>
      <c r="AS151" s="30">
        <f t="shared" si="120"/>
        <v>250000</v>
      </c>
      <c r="AT151" s="39">
        <f t="shared" si="112"/>
        <v>250000</v>
      </c>
      <c r="AU151" s="18">
        <f t="shared" si="113"/>
        <v>9750000</v>
      </c>
      <c r="AV151" s="34">
        <f t="shared" si="114"/>
        <v>0</v>
      </c>
      <c r="AW151" s="34">
        <f t="shared" si="115"/>
        <v>0</v>
      </c>
      <c r="AX151" s="32">
        <f t="shared" si="117"/>
        <v>2.5000000000000001E-2</v>
      </c>
    </row>
    <row r="152" spans="1:50" ht="18.75" customHeight="1" x14ac:dyDescent="0.2">
      <c r="A152" s="4" t="s">
        <v>55</v>
      </c>
      <c r="B152" s="4" t="s">
        <v>56</v>
      </c>
      <c r="C152" s="4"/>
      <c r="D152" s="4" t="s">
        <v>40</v>
      </c>
      <c r="E152" s="4"/>
      <c r="F152" s="4"/>
      <c r="G152" s="4" t="s">
        <v>41</v>
      </c>
      <c r="H152" s="4"/>
      <c r="I152" s="4" t="s">
        <v>936</v>
      </c>
      <c r="J152" s="4"/>
      <c r="K152" s="4" t="s">
        <v>932</v>
      </c>
      <c r="L152" s="4"/>
      <c r="M152" s="4" t="s">
        <v>933</v>
      </c>
      <c r="N152" s="4"/>
      <c r="O152" s="4" t="s">
        <v>938</v>
      </c>
      <c r="P152" s="4"/>
      <c r="Q152" s="4" t="s">
        <v>942</v>
      </c>
      <c r="R152" s="4"/>
      <c r="S152" s="4" t="s">
        <v>940</v>
      </c>
      <c r="T152" s="4">
        <v>0</v>
      </c>
      <c r="U152" s="4">
        <v>0</v>
      </c>
      <c r="V152" s="4">
        <v>0</v>
      </c>
      <c r="W152" s="4">
        <v>0</v>
      </c>
      <c r="X152" s="4" t="s">
        <v>937</v>
      </c>
      <c r="Y152" s="4"/>
      <c r="Z152" s="4"/>
      <c r="AA152" s="41" t="s">
        <v>858</v>
      </c>
      <c r="AB152" s="42" t="s">
        <v>262</v>
      </c>
      <c r="AC152" s="43" t="s">
        <v>58</v>
      </c>
      <c r="AD152" s="43">
        <v>10000000</v>
      </c>
      <c r="AE152" s="44">
        <v>0</v>
      </c>
      <c r="AF152" s="44">
        <v>0</v>
      </c>
      <c r="AG152" s="44">
        <v>0</v>
      </c>
      <c r="AH152" s="44">
        <v>0</v>
      </c>
      <c r="AI152" s="44">
        <v>0</v>
      </c>
      <c r="AJ152" s="43">
        <v>10000000</v>
      </c>
      <c r="AK152" s="44">
        <v>0</v>
      </c>
      <c r="AL152" s="115">
        <v>0</v>
      </c>
      <c r="AM152" s="114">
        <v>250000</v>
      </c>
      <c r="AN152" s="44">
        <v>0</v>
      </c>
      <c r="AO152" s="115">
        <v>0</v>
      </c>
      <c r="AP152" s="114">
        <v>250000</v>
      </c>
      <c r="AQ152" s="44">
        <v>0</v>
      </c>
      <c r="AR152" s="44">
        <v>0</v>
      </c>
      <c r="AS152" s="43">
        <v>250000</v>
      </c>
      <c r="AT152" s="39">
        <f t="shared" si="112"/>
        <v>250000</v>
      </c>
      <c r="AU152" s="18">
        <f t="shared" si="113"/>
        <v>9750000</v>
      </c>
      <c r="AV152" s="34">
        <f t="shared" si="114"/>
        <v>0</v>
      </c>
      <c r="AW152" s="34">
        <f t="shared" si="115"/>
        <v>0</v>
      </c>
      <c r="AX152" s="32">
        <f t="shared" si="117"/>
        <v>2.5000000000000001E-2</v>
      </c>
    </row>
    <row r="153" spans="1:50" ht="18.75" customHeight="1" x14ac:dyDescent="0.2">
      <c r="A153" s="4" t="s">
        <v>55</v>
      </c>
      <c r="B153" s="4" t="s">
        <v>56</v>
      </c>
      <c r="C153" s="4"/>
      <c r="D153" s="4" t="s">
        <v>40</v>
      </c>
      <c r="E153" s="4"/>
      <c r="F153" s="4"/>
      <c r="G153" s="4" t="s">
        <v>41</v>
      </c>
      <c r="H153" s="4"/>
      <c r="I153" s="4" t="s">
        <v>936</v>
      </c>
      <c r="J153" s="4"/>
      <c r="K153" s="4" t="s">
        <v>932</v>
      </c>
      <c r="L153" s="4"/>
      <c r="M153" s="4" t="s">
        <v>933</v>
      </c>
      <c r="N153" s="4"/>
      <c r="O153" s="4" t="s">
        <v>938</v>
      </c>
      <c r="P153" s="4"/>
      <c r="Q153" s="4" t="s">
        <v>942</v>
      </c>
      <c r="R153" s="4"/>
      <c r="S153" s="4" t="s">
        <v>940</v>
      </c>
      <c r="T153" s="4">
        <v>0</v>
      </c>
      <c r="U153" s="4">
        <v>0</v>
      </c>
      <c r="V153" s="4">
        <v>0</v>
      </c>
      <c r="W153" s="4">
        <v>0</v>
      </c>
      <c r="X153" s="4" t="s">
        <v>937</v>
      </c>
      <c r="Y153" s="4"/>
      <c r="Z153" s="4"/>
      <c r="AA153" s="41" t="s">
        <v>857</v>
      </c>
      <c r="AB153" s="42" t="s">
        <v>263</v>
      </c>
      <c r="AC153" s="43" t="s">
        <v>58</v>
      </c>
      <c r="AD153" s="43">
        <v>40000000</v>
      </c>
      <c r="AE153" s="44">
        <v>0</v>
      </c>
      <c r="AF153" s="44">
        <v>0</v>
      </c>
      <c r="AG153" s="44">
        <v>0</v>
      </c>
      <c r="AH153" s="44">
        <v>0</v>
      </c>
      <c r="AI153" s="44">
        <v>0</v>
      </c>
      <c r="AJ153" s="43">
        <v>40000000</v>
      </c>
      <c r="AK153" s="44">
        <v>0</v>
      </c>
      <c r="AL153" s="44">
        <v>0</v>
      </c>
      <c r="AM153" s="44">
        <v>0</v>
      </c>
      <c r="AN153" s="44">
        <v>0</v>
      </c>
      <c r="AO153" s="44">
        <v>0</v>
      </c>
      <c r="AP153" s="44">
        <v>0</v>
      </c>
      <c r="AQ153" s="44">
        <v>0</v>
      </c>
      <c r="AR153" s="44">
        <v>0</v>
      </c>
      <c r="AS153" s="44">
        <v>0</v>
      </c>
      <c r="AT153" s="40">
        <f t="shared" si="112"/>
        <v>0</v>
      </c>
      <c r="AU153" s="18">
        <f>AJ153-AM153</f>
        <v>40000000</v>
      </c>
      <c r="AV153" s="34">
        <f>AM153-AP153</f>
        <v>0</v>
      </c>
      <c r="AW153" s="34">
        <f>AP153-AT153</f>
        <v>0</v>
      </c>
      <c r="AX153" s="32">
        <f t="shared" si="117"/>
        <v>0</v>
      </c>
    </row>
    <row r="154" spans="1:50" s="25" customFormat="1" ht="18.75" customHeight="1" x14ac:dyDescent="0.2">
      <c r="A154" s="19" t="s">
        <v>49</v>
      </c>
      <c r="B154" s="19" t="s">
        <v>50</v>
      </c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26" t="s">
        <v>856</v>
      </c>
      <c r="AB154" s="21" t="s">
        <v>264</v>
      </c>
      <c r="AC154" s="22" t="s">
        <v>37</v>
      </c>
      <c r="AD154" s="22">
        <f>AD155</f>
        <v>58452467165</v>
      </c>
      <c r="AE154" s="23">
        <f t="shared" ref="AE154:AW154" si="121">AE155</f>
        <v>0</v>
      </c>
      <c r="AF154" s="23">
        <f t="shared" si="121"/>
        <v>0</v>
      </c>
      <c r="AG154" s="23">
        <f t="shared" si="121"/>
        <v>0</v>
      </c>
      <c r="AH154" s="23">
        <f t="shared" si="121"/>
        <v>0</v>
      </c>
      <c r="AI154" s="23">
        <f t="shared" si="121"/>
        <v>0</v>
      </c>
      <c r="AJ154" s="22">
        <f t="shared" si="121"/>
        <v>58452467165</v>
      </c>
      <c r="AK154" s="23">
        <f t="shared" si="121"/>
        <v>0</v>
      </c>
      <c r="AL154" s="22">
        <f t="shared" si="121"/>
        <v>3622348215.2800002</v>
      </c>
      <c r="AM154" s="22">
        <f t="shared" si="121"/>
        <v>12925105457.1</v>
      </c>
      <c r="AN154" s="23">
        <f t="shared" si="121"/>
        <v>0</v>
      </c>
      <c r="AO154" s="22">
        <f t="shared" si="121"/>
        <v>3187994722.0300002</v>
      </c>
      <c r="AP154" s="22">
        <f t="shared" si="121"/>
        <v>12490751963.85</v>
      </c>
      <c r="AQ154" s="22">
        <f t="shared" si="121"/>
        <v>27376234.690000001</v>
      </c>
      <c r="AR154" s="22">
        <f t="shared" si="121"/>
        <v>2914630783.6199999</v>
      </c>
      <c r="AS154" s="22">
        <f t="shared" si="121"/>
        <v>12165129331.860001</v>
      </c>
      <c r="AT154" s="22">
        <f t="shared" si="112"/>
        <v>12192505566.550001</v>
      </c>
      <c r="AU154" s="22">
        <f t="shared" si="121"/>
        <v>45527361707.900002</v>
      </c>
      <c r="AV154" s="108">
        <f t="shared" si="121"/>
        <v>434353493.25</v>
      </c>
      <c r="AW154" s="22">
        <f t="shared" si="121"/>
        <v>298246397.29999995</v>
      </c>
      <c r="AX154" s="24">
        <f t="shared" si="117"/>
        <v>0.21369075711707813</v>
      </c>
    </row>
    <row r="155" spans="1:50" s="25" customFormat="1" ht="18.75" customHeight="1" x14ac:dyDescent="0.2">
      <c r="A155" s="19" t="s">
        <v>55</v>
      </c>
      <c r="B155" s="19" t="s">
        <v>56</v>
      </c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26" t="s">
        <v>855</v>
      </c>
      <c r="AB155" s="21" t="s">
        <v>265</v>
      </c>
      <c r="AC155" s="22" t="s">
        <v>37</v>
      </c>
      <c r="AD155" s="22">
        <f>AD156+AD166+AD171+AD161+AD170</f>
        <v>58452467165</v>
      </c>
      <c r="AE155" s="23">
        <f t="shared" ref="AE155:AW155" si="122">AE156+AE166+AE171+AE161+AE170</f>
        <v>0</v>
      </c>
      <c r="AF155" s="23">
        <f t="shared" si="122"/>
        <v>0</v>
      </c>
      <c r="AG155" s="23">
        <f t="shared" si="122"/>
        <v>0</v>
      </c>
      <c r="AH155" s="23">
        <f t="shared" si="122"/>
        <v>0</v>
      </c>
      <c r="AI155" s="23">
        <f t="shared" si="122"/>
        <v>0</v>
      </c>
      <c r="AJ155" s="22">
        <f t="shared" si="122"/>
        <v>58452467165</v>
      </c>
      <c r="AK155" s="23">
        <f t="shared" si="122"/>
        <v>0</v>
      </c>
      <c r="AL155" s="22">
        <f t="shared" si="122"/>
        <v>3622348215.2800002</v>
      </c>
      <c r="AM155" s="22">
        <f t="shared" si="122"/>
        <v>12925105457.1</v>
      </c>
      <c r="AN155" s="23">
        <f t="shared" si="122"/>
        <v>0</v>
      </c>
      <c r="AO155" s="22">
        <f t="shared" si="122"/>
        <v>3187994722.0300002</v>
      </c>
      <c r="AP155" s="22">
        <f t="shared" si="122"/>
        <v>12490751963.85</v>
      </c>
      <c r="AQ155" s="22">
        <f t="shared" si="122"/>
        <v>27376234.690000001</v>
      </c>
      <c r="AR155" s="22">
        <f t="shared" si="122"/>
        <v>2914630783.6199999</v>
      </c>
      <c r="AS155" s="22">
        <f t="shared" si="122"/>
        <v>12165129331.860001</v>
      </c>
      <c r="AT155" s="22">
        <f t="shared" si="112"/>
        <v>12192505566.550001</v>
      </c>
      <c r="AU155" s="22">
        <f t="shared" si="122"/>
        <v>45527361707.900002</v>
      </c>
      <c r="AV155" s="108">
        <f t="shared" si="122"/>
        <v>434353493.25</v>
      </c>
      <c r="AW155" s="22">
        <f t="shared" si="122"/>
        <v>298246397.29999995</v>
      </c>
      <c r="AX155" s="24">
        <f t="shared" si="117"/>
        <v>0.21369075711707813</v>
      </c>
    </row>
    <row r="156" spans="1:50" s="25" customFormat="1" ht="18.75" customHeight="1" x14ac:dyDescent="0.2">
      <c r="A156" s="19" t="s">
        <v>37</v>
      </c>
      <c r="B156" s="19" t="s">
        <v>37</v>
      </c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26" t="s">
        <v>854</v>
      </c>
      <c r="AB156" s="21" t="s">
        <v>266</v>
      </c>
      <c r="AC156" s="22" t="s">
        <v>37</v>
      </c>
      <c r="AD156" s="22">
        <f>AD157</f>
        <v>28000000000.57</v>
      </c>
      <c r="AE156" s="23">
        <f t="shared" ref="AE156:AW159" si="123">AE157</f>
        <v>0</v>
      </c>
      <c r="AF156" s="23">
        <f t="shared" si="123"/>
        <v>0</v>
      </c>
      <c r="AG156" s="23">
        <f t="shared" si="123"/>
        <v>0</v>
      </c>
      <c r="AH156" s="23">
        <f t="shared" si="123"/>
        <v>0</v>
      </c>
      <c r="AI156" s="23">
        <f t="shared" si="123"/>
        <v>0</v>
      </c>
      <c r="AJ156" s="22">
        <f t="shared" si="123"/>
        <v>28000000000.57</v>
      </c>
      <c r="AK156" s="23">
        <f t="shared" si="123"/>
        <v>0</v>
      </c>
      <c r="AL156" s="22">
        <f t="shared" si="123"/>
        <v>1703670160.9300001</v>
      </c>
      <c r="AM156" s="22">
        <f t="shared" si="123"/>
        <v>7725008510.5</v>
      </c>
      <c r="AN156" s="23">
        <f t="shared" si="123"/>
        <v>0</v>
      </c>
      <c r="AO156" s="22">
        <f t="shared" si="123"/>
        <v>1703670160.9300001</v>
      </c>
      <c r="AP156" s="22">
        <f t="shared" si="123"/>
        <v>7725008510.5</v>
      </c>
      <c r="AQ156" s="23">
        <f t="shared" si="123"/>
        <v>0</v>
      </c>
      <c r="AR156" s="22">
        <f t="shared" si="123"/>
        <v>1703670160.9300001</v>
      </c>
      <c r="AS156" s="22">
        <f t="shared" si="123"/>
        <v>7725008510.5</v>
      </c>
      <c r="AT156" s="22">
        <f t="shared" si="112"/>
        <v>7725008510.5</v>
      </c>
      <c r="AU156" s="22">
        <f t="shared" si="123"/>
        <v>20274991490.07</v>
      </c>
      <c r="AV156" s="23">
        <f t="shared" si="123"/>
        <v>0</v>
      </c>
      <c r="AW156" s="23">
        <f t="shared" si="123"/>
        <v>0</v>
      </c>
      <c r="AX156" s="24">
        <f t="shared" si="117"/>
        <v>0.27589316108366935</v>
      </c>
    </row>
    <row r="157" spans="1:50" ht="18.75" customHeight="1" x14ac:dyDescent="0.2">
      <c r="A157" s="27" t="s">
        <v>37</v>
      </c>
      <c r="B157" s="27" t="s">
        <v>37</v>
      </c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8" t="s">
        <v>853</v>
      </c>
      <c r="AB157" s="29" t="s">
        <v>267</v>
      </c>
      <c r="AC157" s="30" t="s">
        <v>37</v>
      </c>
      <c r="AD157" s="30">
        <f>AD158</f>
        <v>28000000000.57</v>
      </c>
      <c r="AE157" s="31">
        <f t="shared" si="123"/>
        <v>0</v>
      </c>
      <c r="AF157" s="31">
        <f t="shared" si="123"/>
        <v>0</v>
      </c>
      <c r="AG157" s="31">
        <f t="shared" si="123"/>
        <v>0</v>
      </c>
      <c r="AH157" s="31">
        <f t="shared" si="123"/>
        <v>0</v>
      </c>
      <c r="AI157" s="31">
        <f t="shared" si="123"/>
        <v>0</v>
      </c>
      <c r="AJ157" s="30">
        <f t="shared" si="123"/>
        <v>28000000000.57</v>
      </c>
      <c r="AK157" s="31">
        <f t="shared" si="123"/>
        <v>0</v>
      </c>
      <c r="AL157" s="30">
        <f t="shared" si="123"/>
        <v>1703670160.9300001</v>
      </c>
      <c r="AM157" s="30">
        <f t="shared" si="123"/>
        <v>7725008510.5</v>
      </c>
      <c r="AN157" s="31">
        <f t="shared" si="123"/>
        <v>0</v>
      </c>
      <c r="AO157" s="30">
        <f t="shared" si="123"/>
        <v>1703670160.9300001</v>
      </c>
      <c r="AP157" s="30">
        <f t="shared" si="123"/>
        <v>7725008510.5</v>
      </c>
      <c r="AQ157" s="31">
        <f t="shared" si="123"/>
        <v>0</v>
      </c>
      <c r="AR157" s="30">
        <f t="shared" si="123"/>
        <v>1703670160.9300001</v>
      </c>
      <c r="AS157" s="30">
        <f t="shared" si="123"/>
        <v>7725008510.5</v>
      </c>
      <c r="AT157" s="30">
        <f t="shared" si="112"/>
        <v>7725008510.5</v>
      </c>
      <c r="AU157" s="18">
        <f t="shared" ref="AU157:AU160" si="124">AJ157-AM157</f>
        <v>20274991490.07</v>
      </c>
      <c r="AV157" s="34">
        <f t="shared" ref="AV157:AV160" si="125">AM157-AP157</f>
        <v>0</v>
      </c>
      <c r="AW157" s="34">
        <f t="shared" ref="AW157:AW160" si="126">AP157-AT157</f>
        <v>0</v>
      </c>
      <c r="AX157" s="32">
        <f t="shared" si="117"/>
        <v>0.27589316108366935</v>
      </c>
    </row>
    <row r="158" spans="1:50" ht="18.75" customHeight="1" x14ac:dyDescent="0.2">
      <c r="A158" s="27" t="s">
        <v>37</v>
      </c>
      <c r="B158" s="27" t="s">
        <v>37</v>
      </c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8" t="s">
        <v>852</v>
      </c>
      <c r="AB158" s="29" t="s">
        <v>268</v>
      </c>
      <c r="AC158" s="30" t="s">
        <v>37</v>
      </c>
      <c r="AD158" s="30">
        <f>AD159</f>
        <v>28000000000.57</v>
      </c>
      <c r="AE158" s="31">
        <f t="shared" si="123"/>
        <v>0</v>
      </c>
      <c r="AF158" s="31">
        <f t="shared" si="123"/>
        <v>0</v>
      </c>
      <c r="AG158" s="31">
        <f t="shared" si="123"/>
        <v>0</v>
      </c>
      <c r="AH158" s="31">
        <f t="shared" si="123"/>
        <v>0</v>
      </c>
      <c r="AI158" s="31">
        <f t="shared" si="123"/>
        <v>0</v>
      </c>
      <c r="AJ158" s="30">
        <f t="shared" si="123"/>
        <v>28000000000.57</v>
      </c>
      <c r="AK158" s="31">
        <f t="shared" si="123"/>
        <v>0</v>
      </c>
      <c r="AL158" s="30">
        <f t="shared" si="123"/>
        <v>1703670160.9300001</v>
      </c>
      <c r="AM158" s="30">
        <f t="shared" si="123"/>
        <v>7725008510.5</v>
      </c>
      <c r="AN158" s="31">
        <f t="shared" si="123"/>
        <v>0</v>
      </c>
      <c r="AO158" s="30">
        <f t="shared" si="123"/>
        <v>1703670160.9300001</v>
      </c>
      <c r="AP158" s="30">
        <f t="shared" si="123"/>
        <v>7725008510.5</v>
      </c>
      <c r="AQ158" s="31">
        <f t="shared" si="123"/>
        <v>0</v>
      </c>
      <c r="AR158" s="30">
        <f t="shared" si="123"/>
        <v>1703670160.9300001</v>
      </c>
      <c r="AS158" s="30">
        <f t="shared" si="123"/>
        <v>7725008510.5</v>
      </c>
      <c r="AT158" s="30">
        <f t="shared" si="112"/>
        <v>7725008510.5</v>
      </c>
      <c r="AU158" s="18">
        <f t="shared" si="124"/>
        <v>20274991490.07</v>
      </c>
      <c r="AV158" s="34">
        <f t="shared" si="125"/>
        <v>0</v>
      </c>
      <c r="AW158" s="34">
        <f t="shared" si="126"/>
        <v>0</v>
      </c>
      <c r="AX158" s="32">
        <f t="shared" si="117"/>
        <v>0.27589316108366935</v>
      </c>
    </row>
    <row r="159" spans="1:50" ht="18.75" customHeight="1" x14ac:dyDescent="0.2">
      <c r="A159" s="27" t="s">
        <v>37</v>
      </c>
      <c r="B159" s="27" t="s">
        <v>37</v>
      </c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8" t="s">
        <v>851</v>
      </c>
      <c r="AB159" s="29" t="s">
        <v>269</v>
      </c>
      <c r="AC159" s="30" t="s">
        <v>37</v>
      </c>
      <c r="AD159" s="30">
        <f>AD160</f>
        <v>28000000000.57</v>
      </c>
      <c r="AE159" s="31">
        <f t="shared" si="123"/>
        <v>0</v>
      </c>
      <c r="AF159" s="31">
        <f t="shared" si="123"/>
        <v>0</v>
      </c>
      <c r="AG159" s="31">
        <f t="shared" si="123"/>
        <v>0</v>
      </c>
      <c r="AH159" s="31">
        <f t="shared" si="123"/>
        <v>0</v>
      </c>
      <c r="AI159" s="31">
        <f t="shared" si="123"/>
        <v>0</v>
      </c>
      <c r="AJ159" s="30">
        <f t="shared" si="123"/>
        <v>28000000000.57</v>
      </c>
      <c r="AK159" s="31">
        <f t="shared" si="123"/>
        <v>0</v>
      </c>
      <c r="AL159" s="30">
        <f t="shared" si="123"/>
        <v>1703670160.9300001</v>
      </c>
      <c r="AM159" s="30">
        <f t="shared" si="123"/>
        <v>7725008510.5</v>
      </c>
      <c r="AN159" s="31">
        <f t="shared" si="123"/>
        <v>0</v>
      </c>
      <c r="AO159" s="30">
        <f t="shared" si="123"/>
        <v>1703670160.9300001</v>
      </c>
      <c r="AP159" s="30">
        <f t="shared" si="123"/>
        <v>7725008510.5</v>
      </c>
      <c r="AQ159" s="31">
        <f t="shared" si="123"/>
        <v>0</v>
      </c>
      <c r="AR159" s="30">
        <f t="shared" si="123"/>
        <v>1703670160.9300001</v>
      </c>
      <c r="AS159" s="30">
        <f t="shared" si="123"/>
        <v>7725008510.5</v>
      </c>
      <c r="AT159" s="30">
        <f t="shared" si="112"/>
        <v>7725008510.5</v>
      </c>
      <c r="AU159" s="18">
        <f t="shared" si="124"/>
        <v>20274991490.07</v>
      </c>
      <c r="AV159" s="34">
        <f t="shared" si="125"/>
        <v>0</v>
      </c>
      <c r="AW159" s="34">
        <f t="shared" si="126"/>
        <v>0</v>
      </c>
      <c r="AX159" s="32">
        <f t="shared" si="117"/>
        <v>0.27589316108366935</v>
      </c>
    </row>
    <row r="160" spans="1:50" ht="18.75" customHeight="1" x14ac:dyDescent="0.2">
      <c r="A160" s="4" t="s">
        <v>55</v>
      </c>
      <c r="B160" s="4" t="s">
        <v>56</v>
      </c>
      <c r="C160" s="4"/>
      <c r="D160" s="4" t="s">
        <v>947</v>
      </c>
      <c r="E160" s="4"/>
      <c r="F160" s="4"/>
      <c r="G160" s="4" t="s">
        <v>41</v>
      </c>
      <c r="H160" s="4"/>
      <c r="I160" s="4" t="s">
        <v>936</v>
      </c>
      <c r="J160" s="4"/>
      <c r="K160" s="4" t="s">
        <v>932</v>
      </c>
      <c r="L160" s="4"/>
      <c r="M160" s="4" t="s">
        <v>933</v>
      </c>
      <c r="N160" s="4"/>
      <c r="O160" s="4" t="s">
        <v>934</v>
      </c>
      <c r="P160" s="4"/>
      <c r="Q160" s="4" t="s">
        <v>935</v>
      </c>
      <c r="R160" s="4"/>
      <c r="S160" s="4" t="s">
        <v>940</v>
      </c>
      <c r="T160" s="4">
        <v>0</v>
      </c>
      <c r="U160" s="4">
        <v>0</v>
      </c>
      <c r="V160" s="4">
        <v>0</v>
      </c>
      <c r="W160" s="4"/>
      <c r="X160" s="4" t="s">
        <v>937</v>
      </c>
      <c r="Y160" s="4"/>
      <c r="Z160" s="4"/>
      <c r="AA160" s="41" t="s">
        <v>850</v>
      </c>
      <c r="AB160" s="42" t="s">
        <v>269</v>
      </c>
      <c r="AC160" s="43" t="s">
        <v>58</v>
      </c>
      <c r="AD160" s="43">
        <v>28000000000.57</v>
      </c>
      <c r="AE160" s="44">
        <v>0</v>
      </c>
      <c r="AF160" s="44">
        <v>0</v>
      </c>
      <c r="AG160" s="44">
        <v>0</v>
      </c>
      <c r="AH160" s="44">
        <v>0</v>
      </c>
      <c r="AI160" s="44">
        <v>0</v>
      </c>
      <c r="AJ160" s="43">
        <v>28000000000.57</v>
      </c>
      <c r="AK160" s="44">
        <v>0</v>
      </c>
      <c r="AL160" s="43">
        <v>1703670160.9300001</v>
      </c>
      <c r="AM160" s="43">
        <v>7725008510.5</v>
      </c>
      <c r="AN160" s="44">
        <v>0</v>
      </c>
      <c r="AO160" s="43">
        <v>1703670160.9300001</v>
      </c>
      <c r="AP160" s="43">
        <v>7725008510.5</v>
      </c>
      <c r="AQ160" s="44">
        <v>0</v>
      </c>
      <c r="AR160" s="43">
        <v>1703670160.9300001</v>
      </c>
      <c r="AS160" s="43">
        <v>7725008510.5</v>
      </c>
      <c r="AT160" s="30">
        <f t="shared" si="112"/>
        <v>7725008510.5</v>
      </c>
      <c r="AU160" s="18">
        <f t="shared" si="124"/>
        <v>20274991490.07</v>
      </c>
      <c r="AV160" s="34">
        <f t="shared" si="125"/>
        <v>0</v>
      </c>
      <c r="AW160" s="34">
        <f t="shared" si="126"/>
        <v>0</v>
      </c>
      <c r="AX160" s="32">
        <f t="shared" si="117"/>
        <v>0.27589316108366935</v>
      </c>
    </row>
    <row r="161" spans="1:50" s="25" customFormat="1" ht="18.75" customHeight="1" x14ac:dyDescent="0.2">
      <c r="A161" s="19" t="s">
        <v>37</v>
      </c>
      <c r="B161" s="19" t="s">
        <v>37</v>
      </c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26" t="s">
        <v>270</v>
      </c>
      <c r="AB161" s="21" t="s">
        <v>271</v>
      </c>
      <c r="AC161" s="22" t="s">
        <v>37</v>
      </c>
      <c r="AD161" s="22">
        <f>AD162</f>
        <v>21500000000</v>
      </c>
      <c r="AE161" s="23">
        <f t="shared" ref="AE161:AW164" si="127">AE162</f>
        <v>0</v>
      </c>
      <c r="AF161" s="23">
        <f t="shared" si="127"/>
        <v>0</v>
      </c>
      <c r="AG161" s="23">
        <f t="shared" si="127"/>
        <v>0</v>
      </c>
      <c r="AH161" s="23">
        <f t="shared" si="127"/>
        <v>0</v>
      </c>
      <c r="AI161" s="23">
        <f t="shared" si="127"/>
        <v>0</v>
      </c>
      <c r="AJ161" s="22">
        <f t="shared" si="127"/>
        <v>21500000000</v>
      </c>
      <c r="AK161" s="23">
        <f t="shared" si="127"/>
        <v>0</v>
      </c>
      <c r="AL161" s="22">
        <f t="shared" si="127"/>
        <v>1041046503.11</v>
      </c>
      <c r="AM161" s="22">
        <f t="shared" si="127"/>
        <v>3736025456.0999999</v>
      </c>
      <c r="AN161" s="23">
        <f t="shared" si="127"/>
        <v>0</v>
      </c>
      <c r="AO161" s="22">
        <f t="shared" si="127"/>
        <v>1041046503.11</v>
      </c>
      <c r="AP161" s="22">
        <f t="shared" si="127"/>
        <v>3736025456.0999999</v>
      </c>
      <c r="AQ161" s="23">
        <f t="shared" si="127"/>
        <v>0</v>
      </c>
      <c r="AR161" s="22">
        <f t="shared" si="127"/>
        <v>1041046503.11</v>
      </c>
      <c r="AS161" s="22">
        <f t="shared" si="127"/>
        <v>3736025456.0999999</v>
      </c>
      <c r="AT161" s="22"/>
      <c r="AU161" s="22">
        <f t="shared" si="127"/>
        <v>17763974543.900002</v>
      </c>
      <c r="AV161" s="23">
        <f t="shared" si="127"/>
        <v>0</v>
      </c>
      <c r="AW161" s="23">
        <f t="shared" si="127"/>
        <v>0</v>
      </c>
      <c r="AX161" s="24">
        <f t="shared" si="117"/>
        <v>0.17376862586511627</v>
      </c>
    </row>
    <row r="162" spans="1:50" ht="18.75" customHeight="1" x14ac:dyDescent="0.2">
      <c r="A162" s="27" t="s">
        <v>37</v>
      </c>
      <c r="B162" s="27" t="s">
        <v>37</v>
      </c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8" t="s">
        <v>849</v>
      </c>
      <c r="AB162" s="29" t="s">
        <v>272</v>
      </c>
      <c r="AC162" s="30" t="s">
        <v>56</v>
      </c>
      <c r="AD162" s="30">
        <f>AD163</f>
        <v>21500000000</v>
      </c>
      <c r="AE162" s="31">
        <f t="shared" si="127"/>
        <v>0</v>
      </c>
      <c r="AF162" s="31">
        <f t="shared" si="127"/>
        <v>0</v>
      </c>
      <c r="AG162" s="31">
        <f t="shared" si="127"/>
        <v>0</v>
      </c>
      <c r="AH162" s="31">
        <f t="shared" si="127"/>
        <v>0</v>
      </c>
      <c r="AI162" s="31">
        <f t="shared" si="127"/>
        <v>0</v>
      </c>
      <c r="AJ162" s="30">
        <f t="shared" si="127"/>
        <v>21500000000</v>
      </c>
      <c r="AK162" s="31">
        <f t="shared" si="127"/>
        <v>0</v>
      </c>
      <c r="AL162" s="30">
        <f t="shared" si="127"/>
        <v>1041046503.11</v>
      </c>
      <c r="AM162" s="30">
        <f t="shared" si="127"/>
        <v>3736025456.0999999</v>
      </c>
      <c r="AN162" s="31">
        <f t="shared" si="127"/>
        <v>0</v>
      </c>
      <c r="AO162" s="30">
        <f t="shared" si="127"/>
        <v>1041046503.11</v>
      </c>
      <c r="AP162" s="30">
        <f t="shared" si="127"/>
        <v>3736025456.0999999</v>
      </c>
      <c r="AQ162" s="31">
        <f t="shared" si="127"/>
        <v>0</v>
      </c>
      <c r="AR162" s="30">
        <f t="shared" si="127"/>
        <v>1041046503.11</v>
      </c>
      <c r="AS162" s="30">
        <f t="shared" si="127"/>
        <v>3736025456.0999999</v>
      </c>
      <c r="AT162" s="30">
        <f t="shared" ref="AT162:AT165" si="128">AQ162+AS162</f>
        <v>3736025456.0999999</v>
      </c>
      <c r="AU162" s="18">
        <f t="shared" ref="AU162:AU165" si="129">AJ162-AM162</f>
        <v>17763974543.900002</v>
      </c>
      <c r="AV162" s="34">
        <f t="shared" ref="AV162:AV165" si="130">AM162-AP162</f>
        <v>0</v>
      </c>
      <c r="AW162" s="34">
        <f t="shared" ref="AW162:AW165" si="131">AP162-AT162</f>
        <v>0</v>
      </c>
      <c r="AX162" s="32">
        <f t="shared" si="117"/>
        <v>0.17376862586511627</v>
      </c>
    </row>
    <row r="163" spans="1:50" ht="18.75" customHeight="1" x14ac:dyDescent="0.2">
      <c r="A163" s="27" t="s">
        <v>37</v>
      </c>
      <c r="B163" s="27" t="s">
        <v>37</v>
      </c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8" t="s">
        <v>848</v>
      </c>
      <c r="AB163" s="29" t="s">
        <v>268</v>
      </c>
      <c r="AC163" s="30" t="s">
        <v>37</v>
      </c>
      <c r="AD163" s="30">
        <f>AD164</f>
        <v>21500000000</v>
      </c>
      <c r="AE163" s="31">
        <f t="shared" si="127"/>
        <v>0</v>
      </c>
      <c r="AF163" s="31">
        <f t="shared" si="127"/>
        <v>0</v>
      </c>
      <c r="AG163" s="31">
        <f t="shared" si="127"/>
        <v>0</v>
      </c>
      <c r="AH163" s="31">
        <f t="shared" si="127"/>
        <v>0</v>
      </c>
      <c r="AI163" s="31">
        <f t="shared" si="127"/>
        <v>0</v>
      </c>
      <c r="AJ163" s="30">
        <f t="shared" si="127"/>
        <v>21500000000</v>
      </c>
      <c r="AK163" s="31">
        <f t="shared" si="127"/>
        <v>0</v>
      </c>
      <c r="AL163" s="30">
        <f t="shared" si="127"/>
        <v>1041046503.11</v>
      </c>
      <c r="AM163" s="30">
        <f t="shared" si="127"/>
        <v>3736025456.0999999</v>
      </c>
      <c r="AN163" s="31">
        <f t="shared" si="127"/>
        <v>0</v>
      </c>
      <c r="AO163" s="30">
        <f t="shared" si="127"/>
        <v>1041046503.11</v>
      </c>
      <c r="AP163" s="30">
        <f t="shared" si="127"/>
        <v>3736025456.0999999</v>
      </c>
      <c r="AQ163" s="31">
        <f t="shared" si="127"/>
        <v>0</v>
      </c>
      <c r="AR163" s="30">
        <f t="shared" si="127"/>
        <v>1041046503.11</v>
      </c>
      <c r="AS163" s="30">
        <f t="shared" si="127"/>
        <v>3736025456.0999999</v>
      </c>
      <c r="AT163" s="30">
        <f t="shared" si="128"/>
        <v>3736025456.0999999</v>
      </c>
      <c r="AU163" s="18">
        <f t="shared" si="129"/>
        <v>17763974543.900002</v>
      </c>
      <c r="AV163" s="34">
        <f t="shared" si="130"/>
        <v>0</v>
      </c>
      <c r="AW163" s="34">
        <f t="shared" si="131"/>
        <v>0</v>
      </c>
      <c r="AX163" s="32">
        <f t="shared" si="117"/>
        <v>0.17376862586511627</v>
      </c>
    </row>
    <row r="164" spans="1:50" ht="18.75" customHeight="1" x14ac:dyDescent="0.2">
      <c r="A164" s="27" t="s">
        <v>37</v>
      </c>
      <c r="B164" s="27" t="s">
        <v>37</v>
      </c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8" t="s">
        <v>847</v>
      </c>
      <c r="AB164" s="29" t="s">
        <v>269</v>
      </c>
      <c r="AC164" s="30" t="s">
        <v>37</v>
      </c>
      <c r="AD164" s="30">
        <f>AD165</f>
        <v>21500000000</v>
      </c>
      <c r="AE164" s="31">
        <f t="shared" si="127"/>
        <v>0</v>
      </c>
      <c r="AF164" s="31">
        <f t="shared" si="127"/>
        <v>0</v>
      </c>
      <c r="AG164" s="31">
        <f t="shared" si="127"/>
        <v>0</v>
      </c>
      <c r="AH164" s="31">
        <f t="shared" si="127"/>
        <v>0</v>
      </c>
      <c r="AI164" s="31">
        <f t="shared" si="127"/>
        <v>0</v>
      </c>
      <c r="AJ164" s="30">
        <f t="shared" si="127"/>
        <v>21500000000</v>
      </c>
      <c r="AK164" s="31">
        <f t="shared" si="127"/>
        <v>0</v>
      </c>
      <c r="AL164" s="30">
        <f t="shared" si="127"/>
        <v>1041046503.11</v>
      </c>
      <c r="AM164" s="30">
        <f t="shared" si="127"/>
        <v>3736025456.0999999</v>
      </c>
      <c r="AN164" s="31">
        <f t="shared" si="127"/>
        <v>0</v>
      </c>
      <c r="AO164" s="30">
        <f t="shared" si="127"/>
        <v>1041046503.11</v>
      </c>
      <c r="AP164" s="30">
        <f t="shared" si="127"/>
        <v>3736025456.0999999</v>
      </c>
      <c r="AQ164" s="31">
        <f t="shared" si="127"/>
        <v>0</v>
      </c>
      <c r="AR164" s="30">
        <f t="shared" si="127"/>
        <v>1041046503.11</v>
      </c>
      <c r="AS164" s="30">
        <f t="shared" si="127"/>
        <v>3736025456.0999999</v>
      </c>
      <c r="AT164" s="30">
        <f t="shared" si="128"/>
        <v>3736025456.0999999</v>
      </c>
      <c r="AU164" s="18">
        <f t="shared" si="129"/>
        <v>17763974543.900002</v>
      </c>
      <c r="AV164" s="34">
        <f t="shared" si="130"/>
        <v>0</v>
      </c>
      <c r="AW164" s="34">
        <f t="shared" si="131"/>
        <v>0</v>
      </c>
      <c r="AX164" s="32">
        <f t="shared" si="117"/>
        <v>0.17376862586511627</v>
      </c>
    </row>
    <row r="165" spans="1:50" ht="18.75" customHeight="1" x14ac:dyDescent="0.2">
      <c r="A165" s="4" t="s">
        <v>55</v>
      </c>
      <c r="B165" s="4" t="s">
        <v>56</v>
      </c>
      <c r="C165" s="4"/>
      <c r="D165" s="4" t="s">
        <v>947</v>
      </c>
      <c r="E165" s="4"/>
      <c r="F165" s="4"/>
      <c r="G165" s="4" t="s">
        <v>41</v>
      </c>
      <c r="H165" s="4"/>
      <c r="I165" s="4" t="s">
        <v>936</v>
      </c>
      <c r="J165" s="4"/>
      <c r="K165" s="4" t="s">
        <v>932</v>
      </c>
      <c r="L165" s="4"/>
      <c r="M165" s="4" t="s">
        <v>933</v>
      </c>
      <c r="N165" s="4"/>
      <c r="O165" s="4" t="s">
        <v>934</v>
      </c>
      <c r="P165" s="4"/>
      <c r="Q165" s="4" t="s">
        <v>935</v>
      </c>
      <c r="R165" s="4"/>
      <c r="S165" s="4" t="s">
        <v>940</v>
      </c>
      <c r="T165" s="4">
        <v>0</v>
      </c>
      <c r="U165" s="4">
        <v>0</v>
      </c>
      <c r="V165" s="4">
        <v>0</v>
      </c>
      <c r="W165" s="4"/>
      <c r="X165" s="4" t="s">
        <v>937</v>
      </c>
      <c r="Y165" s="4"/>
      <c r="Z165" s="4"/>
      <c r="AA165" s="41" t="s">
        <v>846</v>
      </c>
      <c r="AB165" s="42" t="s">
        <v>269</v>
      </c>
      <c r="AC165" s="43" t="s">
        <v>58</v>
      </c>
      <c r="AD165" s="43">
        <v>21500000000</v>
      </c>
      <c r="AE165" s="44">
        <v>0</v>
      </c>
      <c r="AF165" s="44">
        <v>0</v>
      </c>
      <c r="AG165" s="44">
        <v>0</v>
      </c>
      <c r="AH165" s="44">
        <v>0</v>
      </c>
      <c r="AI165" s="44">
        <v>0</v>
      </c>
      <c r="AJ165" s="43">
        <v>21500000000</v>
      </c>
      <c r="AK165" s="44">
        <v>0</v>
      </c>
      <c r="AL165" s="43">
        <v>1041046503.11</v>
      </c>
      <c r="AM165" s="43">
        <v>3736025456.0999999</v>
      </c>
      <c r="AN165" s="44">
        <v>0</v>
      </c>
      <c r="AO165" s="43">
        <v>1041046503.11</v>
      </c>
      <c r="AP165" s="43">
        <v>3736025456.0999999</v>
      </c>
      <c r="AQ165" s="44">
        <v>0</v>
      </c>
      <c r="AR165" s="43">
        <v>1041046503.11</v>
      </c>
      <c r="AS165" s="43">
        <v>3736025456.0999999</v>
      </c>
      <c r="AT165" s="30">
        <f t="shared" si="128"/>
        <v>3736025456.0999999</v>
      </c>
      <c r="AU165" s="18">
        <f t="shared" si="129"/>
        <v>17763974543.900002</v>
      </c>
      <c r="AV165" s="34">
        <f t="shared" si="130"/>
        <v>0</v>
      </c>
      <c r="AW165" s="34">
        <f t="shared" si="131"/>
        <v>0</v>
      </c>
      <c r="AX165" s="32">
        <f t="shared" si="117"/>
        <v>0.17376862586511627</v>
      </c>
    </row>
    <row r="166" spans="1:50" s="25" customFormat="1" ht="18.75" customHeight="1" x14ac:dyDescent="0.2">
      <c r="A166" s="19" t="s">
        <v>37</v>
      </c>
      <c r="B166" s="19" t="s">
        <v>37</v>
      </c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26" t="s">
        <v>273</v>
      </c>
      <c r="AB166" s="21" t="s">
        <v>274</v>
      </c>
      <c r="AC166" s="22" t="s">
        <v>37</v>
      </c>
      <c r="AD166" s="22">
        <f>AD167</f>
        <v>200000000</v>
      </c>
      <c r="AE166" s="23">
        <v>0</v>
      </c>
      <c r="AF166" s="23">
        <v>0</v>
      </c>
      <c r="AG166" s="23">
        <v>0</v>
      </c>
      <c r="AH166" s="23">
        <v>0</v>
      </c>
      <c r="AI166" s="23">
        <v>0</v>
      </c>
      <c r="AJ166" s="22">
        <f>AJ167</f>
        <v>200000000</v>
      </c>
      <c r="AK166" s="23">
        <f t="shared" ref="AK166:AW168" si="132">AK167</f>
        <v>0</v>
      </c>
      <c r="AL166" s="23">
        <f t="shared" si="132"/>
        <v>0</v>
      </c>
      <c r="AM166" s="23">
        <f t="shared" si="132"/>
        <v>0</v>
      </c>
      <c r="AN166" s="23">
        <f t="shared" si="132"/>
        <v>0</v>
      </c>
      <c r="AO166" s="23">
        <f t="shared" si="132"/>
        <v>0</v>
      </c>
      <c r="AP166" s="23">
        <f t="shared" si="132"/>
        <v>0</v>
      </c>
      <c r="AQ166" s="23">
        <f t="shared" si="132"/>
        <v>0</v>
      </c>
      <c r="AR166" s="23">
        <f t="shared" si="132"/>
        <v>0</v>
      </c>
      <c r="AS166" s="23">
        <f t="shared" si="132"/>
        <v>0</v>
      </c>
      <c r="AT166" s="23">
        <f t="shared" si="132"/>
        <v>0</v>
      </c>
      <c r="AU166" s="22">
        <f t="shared" si="132"/>
        <v>200000000</v>
      </c>
      <c r="AV166" s="23">
        <f t="shared" si="132"/>
        <v>0</v>
      </c>
      <c r="AW166" s="23">
        <f t="shared" si="132"/>
        <v>0</v>
      </c>
      <c r="AX166" s="24">
        <f t="shared" si="117"/>
        <v>0</v>
      </c>
    </row>
    <row r="167" spans="1:50" ht="18.75" customHeight="1" x14ac:dyDescent="0.2">
      <c r="A167" s="27" t="s">
        <v>37</v>
      </c>
      <c r="B167" s="27" t="s">
        <v>37</v>
      </c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8" t="s">
        <v>843</v>
      </c>
      <c r="AB167" s="29" t="s">
        <v>267</v>
      </c>
      <c r="AC167" s="30" t="s">
        <v>37</v>
      </c>
      <c r="AD167" s="30">
        <f>AD168</f>
        <v>200000000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0">
        <f t="shared" ref="AJ167:AJ168" si="133">AJ168</f>
        <v>200000000</v>
      </c>
      <c r="AK167" s="31">
        <f t="shared" si="132"/>
        <v>0</v>
      </c>
      <c r="AL167" s="31">
        <f t="shared" si="132"/>
        <v>0</v>
      </c>
      <c r="AM167" s="31">
        <f t="shared" si="132"/>
        <v>0</v>
      </c>
      <c r="AN167" s="31">
        <f t="shared" si="132"/>
        <v>0</v>
      </c>
      <c r="AO167" s="31">
        <f t="shared" si="132"/>
        <v>0</v>
      </c>
      <c r="AP167" s="31">
        <f t="shared" si="132"/>
        <v>0</v>
      </c>
      <c r="AQ167" s="31">
        <f t="shared" si="132"/>
        <v>0</v>
      </c>
      <c r="AR167" s="31">
        <f t="shared" si="132"/>
        <v>0</v>
      </c>
      <c r="AS167" s="31">
        <f t="shared" si="132"/>
        <v>0</v>
      </c>
      <c r="AT167" s="31">
        <f t="shared" si="132"/>
        <v>0</v>
      </c>
      <c r="AU167" s="30">
        <f t="shared" si="132"/>
        <v>200000000</v>
      </c>
      <c r="AV167" s="31">
        <f t="shared" si="132"/>
        <v>0</v>
      </c>
      <c r="AW167" s="31">
        <f t="shared" si="132"/>
        <v>0</v>
      </c>
      <c r="AX167" s="32">
        <f t="shared" si="117"/>
        <v>0</v>
      </c>
    </row>
    <row r="168" spans="1:50" ht="18.75" customHeight="1" x14ac:dyDescent="0.2">
      <c r="A168" s="27" t="s">
        <v>37</v>
      </c>
      <c r="B168" s="27" t="s">
        <v>37</v>
      </c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8" t="s">
        <v>845</v>
      </c>
      <c r="AB168" s="29" t="s">
        <v>268</v>
      </c>
      <c r="AC168" s="30" t="s">
        <v>37</v>
      </c>
      <c r="AD168" s="30">
        <f>AD169</f>
        <v>200000000</v>
      </c>
      <c r="AE168" s="31">
        <v>0</v>
      </c>
      <c r="AF168" s="31">
        <v>0</v>
      </c>
      <c r="AG168" s="31">
        <v>0</v>
      </c>
      <c r="AH168" s="31">
        <v>0</v>
      </c>
      <c r="AI168" s="31">
        <v>0</v>
      </c>
      <c r="AJ168" s="30">
        <f t="shared" si="133"/>
        <v>200000000</v>
      </c>
      <c r="AK168" s="31">
        <f t="shared" si="132"/>
        <v>0</v>
      </c>
      <c r="AL168" s="31">
        <f t="shared" si="132"/>
        <v>0</v>
      </c>
      <c r="AM168" s="31">
        <f t="shared" si="132"/>
        <v>0</v>
      </c>
      <c r="AN168" s="31">
        <f t="shared" si="132"/>
        <v>0</v>
      </c>
      <c r="AO168" s="31">
        <f t="shared" si="132"/>
        <v>0</v>
      </c>
      <c r="AP168" s="31">
        <f t="shared" si="132"/>
        <v>0</v>
      </c>
      <c r="AQ168" s="31">
        <f t="shared" si="132"/>
        <v>0</v>
      </c>
      <c r="AR168" s="31">
        <f t="shared" si="132"/>
        <v>0</v>
      </c>
      <c r="AS168" s="31">
        <f t="shared" si="132"/>
        <v>0</v>
      </c>
      <c r="AT168" s="31">
        <f t="shared" si="132"/>
        <v>0</v>
      </c>
      <c r="AU168" s="30">
        <f t="shared" si="132"/>
        <v>200000000</v>
      </c>
      <c r="AV168" s="31">
        <f t="shared" si="132"/>
        <v>0</v>
      </c>
      <c r="AW168" s="31">
        <f t="shared" si="132"/>
        <v>0</v>
      </c>
      <c r="AX168" s="32">
        <f t="shared" si="117"/>
        <v>0</v>
      </c>
    </row>
    <row r="169" spans="1:50" ht="18.75" customHeight="1" x14ac:dyDescent="0.2">
      <c r="A169" s="4" t="s">
        <v>55</v>
      </c>
      <c r="B169" s="4" t="s">
        <v>56</v>
      </c>
      <c r="C169" s="4"/>
      <c r="D169" s="4" t="s">
        <v>947</v>
      </c>
      <c r="E169" s="4"/>
      <c r="F169" s="4"/>
      <c r="G169" s="4" t="s">
        <v>41</v>
      </c>
      <c r="H169" s="4"/>
      <c r="I169" s="4" t="s">
        <v>936</v>
      </c>
      <c r="J169" s="4"/>
      <c r="K169" s="4" t="s">
        <v>932</v>
      </c>
      <c r="L169" s="4"/>
      <c r="M169" s="4" t="s">
        <v>933</v>
      </c>
      <c r="N169" s="4"/>
      <c r="O169" s="4" t="s">
        <v>934</v>
      </c>
      <c r="P169" s="4"/>
      <c r="Q169" s="4" t="s">
        <v>935</v>
      </c>
      <c r="R169" s="4"/>
      <c r="S169" s="4" t="s">
        <v>940</v>
      </c>
      <c r="T169" s="4">
        <v>0</v>
      </c>
      <c r="U169" s="4">
        <v>0</v>
      </c>
      <c r="V169" s="4">
        <v>0</v>
      </c>
      <c r="W169" s="4"/>
      <c r="X169" s="4" t="s">
        <v>937</v>
      </c>
      <c r="Y169" s="4"/>
      <c r="Z169" s="4"/>
      <c r="AA169" s="41" t="s">
        <v>844</v>
      </c>
      <c r="AB169" s="42" t="s">
        <v>269</v>
      </c>
      <c r="AC169" s="43" t="s">
        <v>58</v>
      </c>
      <c r="AD169" s="43">
        <v>200000000</v>
      </c>
      <c r="AE169" s="44">
        <v>0</v>
      </c>
      <c r="AF169" s="44">
        <v>0</v>
      </c>
      <c r="AG169" s="44">
        <v>0</v>
      </c>
      <c r="AH169" s="44">
        <v>0</v>
      </c>
      <c r="AI169" s="44">
        <v>0</v>
      </c>
      <c r="AJ169" s="43">
        <v>200000000</v>
      </c>
      <c r="AK169" s="44">
        <v>0</v>
      </c>
      <c r="AL169" s="44">
        <v>0</v>
      </c>
      <c r="AM169" s="44">
        <v>0</v>
      </c>
      <c r="AN169" s="44">
        <v>0</v>
      </c>
      <c r="AO169" s="44">
        <v>0</v>
      </c>
      <c r="AP169" s="44">
        <v>0</v>
      </c>
      <c r="AQ169" s="44">
        <v>0</v>
      </c>
      <c r="AR169" s="44">
        <v>0</v>
      </c>
      <c r="AS169" s="44">
        <v>0</v>
      </c>
      <c r="AT169" s="31">
        <f t="shared" ref="AT169:AT178" si="134">AQ169+AS169</f>
        <v>0</v>
      </c>
      <c r="AU169" s="18">
        <f t="shared" ref="AU169:AU178" si="135">AJ169-AM169</f>
        <v>200000000</v>
      </c>
      <c r="AV169" s="34">
        <f t="shared" ref="AV169:AV178" si="136">AM169-AP169</f>
        <v>0</v>
      </c>
      <c r="AW169" s="34">
        <f t="shared" ref="AW169:AW178" si="137">AP169-AT169</f>
        <v>0</v>
      </c>
      <c r="AX169" s="32">
        <f t="shared" si="117"/>
        <v>0</v>
      </c>
    </row>
    <row r="170" spans="1:50" s="79" customFormat="1" ht="18.75" customHeight="1" x14ac:dyDescent="0.2">
      <c r="A170" s="117" t="s">
        <v>55</v>
      </c>
      <c r="B170" s="117" t="s">
        <v>56</v>
      </c>
      <c r="C170" s="117"/>
      <c r="D170" s="117" t="s">
        <v>947</v>
      </c>
      <c r="E170" s="117"/>
      <c r="F170" s="117"/>
      <c r="G170" s="117" t="s">
        <v>41</v>
      </c>
      <c r="H170" s="117"/>
      <c r="I170" s="117" t="s">
        <v>936</v>
      </c>
      <c r="J170" s="117"/>
      <c r="K170" s="117" t="s">
        <v>932</v>
      </c>
      <c r="L170" s="117"/>
      <c r="M170" s="117" t="s">
        <v>933</v>
      </c>
      <c r="N170" s="117"/>
      <c r="O170" s="117" t="s">
        <v>934</v>
      </c>
      <c r="P170" s="117"/>
      <c r="Q170" s="117" t="s">
        <v>935</v>
      </c>
      <c r="R170" s="117"/>
      <c r="S170" s="117" t="s">
        <v>940</v>
      </c>
      <c r="T170" s="117">
        <v>0</v>
      </c>
      <c r="U170" s="117">
        <v>0</v>
      </c>
      <c r="V170" s="117">
        <v>0</v>
      </c>
      <c r="W170" s="117"/>
      <c r="X170" s="117" t="s">
        <v>937</v>
      </c>
      <c r="Y170" s="117"/>
      <c r="Z170" s="117"/>
      <c r="AA170" s="81" t="s">
        <v>842</v>
      </c>
      <c r="AB170" s="82" t="s">
        <v>275</v>
      </c>
      <c r="AC170" s="83" t="s">
        <v>58</v>
      </c>
      <c r="AD170" s="83">
        <v>5000000000</v>
      </c>
      <c r="AE170" s="118">
        <v>0</v>
      </c>
      <c r="AF170" s="118">
        <v>0</v>
      </c>
      <c r="AG170" s="118">
        <v>0</v>
      </c>
      <c r="AH170" s="118">
        <v>0</v>
      </c>
      <c r="AI170" s="118">
        <v>0</v>
      </c>
      <c r="AJ170" s="83">
        <v>5000000000</v>
      </c>
      <c r="AK170" s="118">
        <v>0</v>
      </c>
      <c r="AL170" s="119">
        <v>564050229.25</v>
      </c>
      <c r="AM170" s="119">
        <v>652070734.25</v>
      </c>
      <c r="AN170" s="118">
        <v>0</v>
      </c>
      <c r="AO170" s="83">
        <v>129696736</v>
      </c>
      <c r="AP170" s="83">
        <v>217717241</v>
      </c>
      <c r="AQ170" s="118">
        <v>0</v>
      </c>
      <c r="AR170" s="83">
        <v>0</v>
      </c>
      <c r="AS170" s="83">
        <v>39249189</v>
      </c>
      <c r="AT170" s="83">
        <f t="shared" si="134"/>
        <v>39249189</v>
      </c>
      <c r="AU170" s="119">
        <f t="shared" si="135"/>
        <v>4347929265.75</v>
      </c>
      <c r="AV170" s="119">
        <f t="shared" si="136"/>
        <v>434353493.25</v>
      </c>
      <c r="AW170" s="83">
        <f t="shared" si="137"/>
        <v>178468052</v>
      </c>
      <c r="AX170" s="118">
        <f t="shared" si="117"/>
        <v>4.3543448200000001E-2</v>
      </c>
    </row>
    <row r="171" spans="1:50" s="25" customFormat="1" ht="18.75" customHeight="1" x14ac:dyDescent="0.2">
      <c r="A171" s="19" t="s">
        <v>37</v>
      </c>
      <c r="B171" s="19" t="s">
        <v>37</v>
      </c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26" t="s">
        <v>841</v>
      </c>
      <c r="AB171" s="21" t="s">
        <v>276</v>
      </c>
      <c r="AC171" s="22" t="s">
        <v>37</v>
      </c>
      <c r="AD171" s="22">
        <f>AD172+AD177</f>
        <v>3752467164.4300003</v>
      </c>
      <c r="AE171" s="23">
        <f t="shared" ref="AE171:AS171" si="138">AE172+AE177</f>
        <v>0</v>
      </c>
      <c r="AF171" s="23">
        <f t="shared" si="138"/>
        <v>0</v>
      </c>
      <c r="AG171" s="23">
        <f t="shared" si="138"/>
        <v>0</v>
      </c>
      <c r="AH171" s="23">
        <f t="shared" si="138"/>
        <v>0</v>
      </c>
      <c r="AI171" s="23">
        <f t="shared" si="138"/>
        <v>0</v>
      </c>
      <c r="AJ171" s="22">
        <f t="shared" si="138"/>
        <v>3752467164.4300003</v>
      </c>
      <c r="AK171" s="23">
        <f t="shared" si="138"/>
        <v>0</v>
      </c>
      <c r="AL171" s="22">
        <f t="shared" si="138"/>
        <v>313581321.99000001</v>
      </c>
      <c r="AM171" s="22">
        <f t="shared" si="138"/>
        <v>812000756.25</v>
      </c>
      <c r="AN171" s="23">
        <f t="shared" si="138"/>
        <v>0</v>
      </c>
      <c r="AO171" s="22">
        <f t="shared" si="138"/>
        <v>313581321.99000001</v>
      </c>
      <c r="AP171" s="22">
        <f t="shared" si="138"/>
        <v>812000756.25</v>
      </c>
      <c r="AQ171" s="23">
        <f t="shared" si="138"/>
        <v>27376234.690000001</v>
      </c>
      <c r="AR171" s="22">
        <f t="shared" si="138"/>
        <v>169914119.58000001</v>
      </c>
      <c r="AS171" s="22">
        <f t="shared" si="138"/>
        <v>664846176.25999999</v>
      </c>
      <c r="AT171" s="121">
        <f t="shared" si="134"/>
        <v>692222410.95000005</v>
      </c>
      <c r="AU171" s="121">
        <f t="shared" si="135"/>
        <v>2940466408.1800003</v>
      </c>
      <c r="AV171" s="122">
        <f t="shared" si="136"/>
        <v>0</v>
      </c>
      <c r="AW171" s="121">
        <f t="shared" si="137"/>
        <v>119778345.29999995</v>
      </c>
      <c r="AX171" s="49">
        <f t="shared" si="117"/>
        <v>0.21639116897465055</v>
      </c>
    </row>
    <row r="172" spans="1:50" ht="18.75" customHeight="1" x14ac:dyDescent="0.2">
      <c r="A172" s="27" t="s">
        <v>37</v>
      </c>
      <c r="B172" s="27" t="s">
        <v>37</v>
      </c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8" t="s">
        <v>840</v>
      </c>
      <c r="AB172" s="29" t="s">
        <v>277</v>
      </c>
      <c r="AC172" s="30" t="s">
        <v>37</v>
      </c>
      <c r="AD172" s="30">
        <f>AD173+AD174+AD175+AD176</f>
        <v>3552467164.4300003</v>
      </c>
      <c r="AE172" s="31">
        <f t="shared" ref="AE172:AS172" si="139">AE173+AE174+AE175+AE176</f>
        <v>0</v>
      </c>
      <c r="AF172" s="31">
        <f t="shared" si="139"/>
        <v>0</v>
      </c>
      <c r="AG172" s="31">
        <f t="shared" si="139"/>
        <v>0</v>
      </c>
      <c r="AH172" s="31">
        <f t="shared" si="139"/>
        <v>0</v>
      </c>
      <c r="AI172" s="31">
        <f t="shared" si="139"/>
        <v>0</v>
      </c>
      <c r="AJ172" s="30">
        <f t="shared" si="139"/>
        <v>3552467164.4300003</v>
      </c>
      <c r="AK172" s="31">
        <f t="shared" si="139"/>
        <v>0</v>
      </c>
      <c r="AL172" s="30">
        <f t="shared" si="139"/>
        <v>313581321.99000001</v>
      </c>
      <c r="AM172" s="30">
        <f t="shared" si="139"/>
        <v>812000756.25</v>
      </c>
      <c r="AN172" s="31">
        <f t="shared" si="139"/>
        <v>0</v>
      </c>
      <c r="AO172" s="30">
        <f t="shared" si="139"/>
        <v>313581321.99000001</v>
      </c>
      <c r="AP172" s="30">
        <f t="shared" si="139"/>
        <v>812000756.25</v>
      </c>
      <c r="AQ172" s="31">
        <f t="shared" si="139"/>
        <v>27376234.690000001</v>
      </c>
      <c r="AR172" s="30">
        <f t="shared" si="139"/>
        <v>169914119.58000001</v>
      </c>
      <c r="AS172" s="30">
        <f t="shared" si="139"/>
        <v>664846176.25999999</v>
      </c>
      <c r="AT172" s="39">
        <f t="shared" si="134"/>
        <v>692222410.95000005</v>
      </c>
      <c r="AU172" s="18">
        <f t="shared" si="135"/>
        <v>2740466408.1800003</v>
      </c>
      <c r="AV172" s="34">
        <f t="shared" si="136"/>
        <v>0</v>
      </c>
      <c r="AW172" s="18">
        <f t="shared" si="137"/>
        <v>119778345.29999995</v>
      </c>
      <c r="AX172" s="123">
        <f t="shared" si="117"/>
        <v>0.22857375414482881</v>
      </c>
    </row>
    <row r="173" spans="1:50" ht="18.75" customHeight="1" x14ac:dyDescent="0.2">
      <c r="A173" s="4" t="s">
        <v>55</v>
      </c>
      <c r="B173" s="4" t="s">
        <v>56</v>
      </c>
      <c r="C173" s="4"/>
      <c r="D173" s="4" t="s">
        <v>947</v>
      </c>
      <c r="E173" s="4"/>
      <c r="F173" s="4"/>
      <c r="G173" s="4" t="s">
        <v>41</v>
      </c>
      <c r="H173" s="4"/>
      <c r="I173" s="4" t="s">
        <v>936</v>
      </c>
      <c r="J173" s="4"/>
      <c r="K173" s="4" t="s">
        <v>932</v>
      </c>
      <c r="L173" s="4"/>
      <c r="M173" s="4" t="s">
        <v>933</v>
      </c>
      <c r="N173" s="4"/>
      <c r="O173" s="4" t="s">
        <v>934</v>
      </c>
      <c r="P173" s="4"/>
      <c r="Q173" s="4" t="s">
        <v>935</v>
      </c>
      <c r="R173" s="4"/>
      <c r="S173" s="4" t="s">
        <v>940</v>
      </c>
      <c r="T173" s="4">
        <v>0</v>
      </c>
      <c r="U173" s="4">
        <v>0</v>
      </c>
      <c r="V173" s="4">
        <v>0</v>
      </c>
      <c r="W173" s="4"/>
      <c r="X173" s="4" t="s">
        <v>937</v>
      </c>
      <c r="Y173" s="4"/>
      <c r="Z173" s="4"/>
      <c r="AA173" s="41" t="s">
        <v>839</v>
      </c>
      <c r="AB173" s="42" t="s">
        <v>233</v>
      </c>
      <c r="AC173" s="43" t="s">
        <v>58</v>
      </c>
      <c r="AD173" s="43">
        <v>530000000</v>
      </c>
      <c r="AE173" s="44">
        <v>0</v>
      </c>
      <c r="AF173" s="44">
        <v>0</v>
      </c>
      <c r="AG173" s="44">
        <v>0</v>
      </c>
      <c r="AH173" s="44">
        <v>0</v>
      </c>
      <c r="AI173" s="44">
        <v>0</v>
      </c>
      <c r="AJ173" s="43">
        <v>530000000</v>
      </c>
      <c r="AK173" s="44">
        <v>0</v>
      </c>
      <c r="AL173" s="44">
        <v>0</v>
      </c>
      <c r="AM173" s="44">
        <v>0</v>
      </c>
      <c r="AN173" s="44">
        <v>0</v>
      </c>
      <c r="AO173" s="44">
        <v>0</v>
      </c>
      <c r="AP173" s="44">
        <v>0</v>
      </c>
      <c r="AQ173" s="44">
        <v>0</v>
      </c>
      <c r="AR173" s="44">
        <v>0</v>
      </c>
      <c r="AS173" s="44">
        <v>0</v>
      </c>
      <c r="AT173" s="40">
        <f t="shared" si="134"/>
        <v>0</v>
      </c>
      <c r="AU173" s="18">
        <f t="shared" si="135"/>
        <v>530000000</v>
      </c>
      <c r="AV173" s="34">
        <f t="shared" si="136"/>
        <v>0</v>
      </c>
      <c r="AW173" s="34">
        <f t="shared" si="137"/>
        <v>0</v>
      </c>
      <c r="AX173" s="123">
        <f t="shared" si="117"/>
        <v>0</v>
      </c>
    </row>
    <row r="174" spans="1:50" s="150" customFormat="1" ht="18.75" customHeight="1" x14ac:dyDescent="0.2">
      <c r="A174" s="140" t="s">
        <v>55</v>
      </c>
      <c r="B174" s="140" t="s">
        <v>56</v>
      </c>
      <c r="C174" s="140"/>
      <c r="D174" s="140" t="s">
        <v>947</v>
      </c>
      <c r="E174" s="140"/>
      <c r="F174" s="140"/>
      <c r="G174" s="140" t="s">
        <v>41</v>
      </c>
      <c r="H174" s="140"/>
      <c r="I174" s="140" t="s">
        <v>936</v>
      </c>
      <c r="J174" s="140"/>
      <c r="K174" s="140" t="s">
        <v>932</v>
      </c>
      <c r="L174" s="140"/>
      <c r="M174" s="140" t="s">
        <v>933</v>
      </c>
      <c r="N174" s="140"/>
      <c r="O174" s="140" t="s">
        <v>934</v>
      </c>
      <c r="P174" s="140"/>
      <c r="Q174" s="140" t="s">
        <v>935</v>
      </c>
      <c r="R174" s="140"/>
      <c r="S174" s="140" t="s">
        <v>940</v>
      </c>
      <c r="T174" s="140">
        <v>0</v>
      </c>
      <c r="U174" s="140">
        <v>0</v>
      </c>
      <c r="V174" s="140">
        <v>0</v>
      </c>
      <c r="W174" s="140"/>
      <c r="X174" s="140" t="s">
        <v>937</v>
      </c>
      <c r="Y174" s="140"/>
      <c r="Z174" s="140"/>
      <c r="AA174" s="134" t="s">
        <v>838</v>
      </c>
      <c r="AB174" s="69" t="s">
        <v>278</v>
      </c>
      <c r="AC174" s="142" t="s">
        <v>253</v>
      </c>
      <c r="AD174" s="142">
        <v>600000000</v>
      </c>
      <c r="AE174" s="143">
        <v>0</v>
      </c>
      <c r="AF174" s="143">
        <v>0</v>
      </c>
      <c r="AG174" s="143">
        <v>0</v>
      </c>
      <c r="AH174" s="143">
        <v>0</v>
      </c>
      <c r="AI174" s="143">
        <v>0</v>
      </c>
      <c r="AJ174" s="142">
        <v>600000000</v>
      </c>
      <c r="AK174" s="143">
        <v>0</v>
      </c>
      <c r="AL174" s="142">
        <v>158326163</v>
      </c>
      <c r="AM174" s="142">
        <v>158326163</v>
      </c>
      <c r="AN174" s="143">
        <v>0</v>
      </c>
      <c r="AO174" s="143">
        <v>158326163</v>
      </c>
      <c r="AP174" s="143">
        <v>158326163</v>
      </c>
      <c r="AQ174" s="143">
        <v>0</v>
      </c>
      <c r="AR174" s="143">
        <v>158326163</v>
      </c>
      <c r="AS174" s="143">
        <v>158326163</v>
      </c>
      <c r="AT174" s="146">
        <f t="shared" si="134"/>
        <v>158326163</v>
      </c>
      <c r="AU174" s="147">
        <f t="shared" si="135"/>
        <v>441673837</v>
      </c>
      <c r="AV174" s="145">
        <f t="shared" si="136"/>
        <v>0</v>
      </c>
      <c r="AW174" s="145">
        <f t="shared" si="137"/>
        <v>0</v>
      </c>
      <c r="AX174" s="149">
        <f t="shared" si="117"/>
        <v>0.26387693833333331</v>
      </c>
    </row>
    <row r="175" spans="1:50" ht="25.5" customHeight="1" x14ac:dyDescent="0.2">
      <c r="A175" s="4" t="s">
        <v>55</v>
      </c>
      <c r="B175" s="4" t="s">
        <v>56</v>
      </c>
      <c r="C175" s="4"/>
      <c r="D175" s="4" t="s">
        <v>947</v>
      </c>
      <c r="E175" s="4"/>
      <c r="F175" s="4"/>
      <c r="G175" s="4" t="s">
        <v>41</v>
      </c>
      <c r="H175" s="4"/>
      <c r="I175" s="4" t="s">
        <v>936</v>
      </c>
      <c r="J175" s="4"/>
      <c r="K175" s="4" t="s">
        <v>932</v>
      </c>
      <c r="L175" s="4"/>
      <c r="M175" s="4" t="s">
        <v>933</v>
      </c>
      <c r="N175" s="4"/>
      <c r="O175" s="4" t="s">
        <v>934</v>
      </c>
      <c r="P175" s="4"/>
      <c r="Q175" s="4" t="s">
        <v>935</v>
      </c>
      <c r="R175" s="4"/>
      <c r="S175" s="4" t="s">
        <v>940</v>
      </c>
      <c r="T175" s="4">
        <v>0</v>
      </c>
      <c r="U175" s="4">
        <v>0</v>
      </c>
      <c r="V175" s="4">
        <v>0</v>
      </c>
      <c r="W175" s="4"/>
      <c r="X175" s="4" t="s">
        <v>937</v>
      </c>
      <c r="Y175" s="4"/>
      <c r="Z175" s="4"/>
      <c r="AA175" s="134" t="s">
        <v>837</v>
      </c>
      <c r="AB175" s="69" t="s">
        <v>279</v>
      </c>
      <c r="AC175" s="142" t="s">
        <v>253</v>
      </c>
      <c r="AD175" s="142">
        <v>961836799</v>
      </c>
      <c r="AE175" s="44">
        <v>0</v>
      </c>
      <c r="AF175" s="44">
        <v>0</v>
      </c>
      <c r="AG175" s="44">
        <v>0</v>
      </c>
      <c r="AH175" s="44">
        <v>0</v>
      </c>
      <c r="AI175" s="44">
        <v>0</v>
      </c>
      <c r="AJ175" s="43">
        <v>961836799</v>
      </c>
      <c r="AK175" s="44">
        <v>0</v>
      </c>
      <c r="AL175" s="43">
        <v>38781259</v>
      </c>
      <c r="AM175" s="43">
        <v>217704822</v>
      </c>
      <c r="AN175" s="44">
        <v>0</v>
      </c>
      <c r="AO175" s="43">
        <v>38781259</v>
      </c>
      <c r="AP175" s="43">
        <v>217704822</v>
      </c>
      <c r="AQ175" s="44">
        <v>0</v>
      </c>
      <c r="AR175" s="43">
        <v>2443987</v>
      </c>
      <c r="AS175" s="44">
        <v>181367550</v>
      </c>
      <c r="AT175" s="40">
        <f t="shared" si="134"/>
        <v>181367550</v>
      </c>
      <c r="AU175" s="18">
        <f t="shared" si="135"/>
        <v>744131977</v>
      </c>
      <c r="AV175" s="34">
        <f t="shared" si="136"/>
        <v>0</v>
      </c>
      <c r="AW175" s="18">
        <f t="shared" si="137"/>
        <v>36337272</v>
      </c>
      <c r="AX175" s="123">
        <f t="shared" si="117"/>
        <v>0.22634278728609966</v>
      </c>
    </row>
    <row r="176" spans="1:50" ht="18.75" customHeight="1" x14ac:dyDescent="0.2">
      <c r="A176" s="4" t="s">
        <v>55</v>
      </c>
      <c r="B176" s="4" t="s">
        <v>56</v>
      </c>
      <c r="C176" s="4"/>
      <c r="D176" s="4" t="s">
        <v>947</v>
      </c>
      <c r="E176" s="4"/>
      <c r="F176" s="4"/>
      <c r="G176" s="4" t="s">
        <v>41</v>
      </c>
      <c r="H176" s="4"/>
      <c r="I176" s="4" t="s">
        <v>936</v>
      </c>
      <c r="J176" s="4"/>
      <c r="K176" s="4" t="s">
        <v>932</v>
      </c>
      <c r="L176" s="4"/>
      <c r="M176" s="4" t="s">
        <v>933</v>
      </c>
      <c r="N176" s="4"/>
      <c r="O176" s="4" t="s">
        <v>934</v>
      </c>
      <c r="P176" s="4"/>
      <c r="Q176" s="4" t="s">
        <v>935</v>
      </c>
      <c r="R176" s="4"/>
      <c r="S176" s="4" t="s">
        <v>940</v>
      </c>
      <c r="T176" s="4">
        <v>0</v>
      </c>
      <c r="U176" s="4">
        <v>0</v>
      </c>
      <c r="V176" s="4">
        <v>0</v>
      </c>
      <c r="W176" s="4"/>
      <c r="X176" s="4" t="s">
        <v>937</v>
      </c>
      <c r="Y176" s="4"/>
      <c r="Z176" s="4"/>
      <c r="AA176" s="134" t="s">
        <v>836</v>
      </c>
      <c r="AB176" s="69" t="s">
        <v>239</v>
      </c>
      <c r="AC176" s="142" t="s">
        <v>240</v>
      </c>
      <c r="AD176" s="142">
        <v>1460630365.4300001</v>
      </c>
      <c r="AE176" s="44">
        <v>0</v>
      </c>
      <c r="AF176" s="44">
        <v>0</v>
      </c>
      <c r="AG176" s="44">
        <v>0</v>
      </c>
      <c r="AH176" s="44">
        <v>0</v>
      </c>
      <c r="AI176" s="44">
        <v>0</v>
      </c>
      <c r="AJ176" s="43">
        <v>1460630365.4300001</v>
      </c>
      <c r="AK176" s="44">
        <v>0</v>
      </c>
      <c r="AL176" s="43">
        <v>116473899.98999999</v>
      </c>
      <c r="AM176" s="43">
        <v>435969771.25</v>
      </c>
      <c r="AN176" s="43">
        <v>0</v>
      </c>
      <c r="AO176" s="43">
        <v>116473899.98999999</v>
      </c>
      <c r="AP176" s="43">
        <v>435969771.25</v>
      </c>
      <c r="AQ176" s="44">
        <v>27376234.690000001</v>
      </c>
      <c r="AR176" s="43">
        <v>9143969.5800000001</v>
      </c>
      <c r="AS176" s="43">
        <v>325152463.25999999</v>
      </c>
      <c r="AT176" s="39">
        <f t="shared" si="134"/>
        <v>352528697.94999999</v>
      </c>
      <c r="AU176" s="18">
        <f t="shared" si="135"/>
        <v>1024660594.1800001</v>
      </c>
      <c r="AV176" s="34">
        <f t="shared" si="136"/>
        <v>0</v>
      </c>
      <c r="AW176" s="18">
        <f t="shared" si="137"/>
        <v>83441073.300000012</v>
      </c>
      <c r="AX176" s="123">
        <f t="shared" si="117"/>
        <v>0.29848056124839861</v>
      </c>
    </row>
    <row r="177" spans="1:50" ht="18.75" customHeight="1" x14ac:dyDescent="0.2">
      <c r="A177" s="27" t="s">
        <v>37</v>
      </c>
      <c r="B177" s="27" t="s">
        <v>37</v>
      </c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186" t="s">
        <v>835</v>
      </c>
      <c r="AB177" s="68" t="s">
        <v>280</v>
      </c>
      <c r="AC177" s="187" t="s">
        <v>37</v>
      </c>
      <c r="AD177" s="187">
        <f>AD178</f>
        <v>200000000</v>
      </c>
      <c r="AE177" s="31">
        <f t="shared" ref="AE177:AS177" si="140">AE178</f>
        <v>0</v>
      </c>
      <c r="AF177" s="31">
        <f t="shared" si="140"/>
        <v>0</v>
      </c>
      <c r="AG177" s="31">
        <f t="shared" si="140"/>
        <v>0</v>
      </c>
      <c r="AH177" s="31">
        <f t="shared" si="140"/>
        <v>0</v>
      </c>
      <c r="AI177" s="31">
        <f t="shared" si="140"/>
        <v>0</v>
      </c>
      <c r="AJ177" s="30">
        <f t="shared" si="140"/>
        <v>200000000</v>
      </c>
      <c r="AK177" s="31">
        <f t="shared" si="140"/>
        <v>0</v>
      </c>
      <c r="AL177" s="31">
        <f t="shared" si="140"/>
        <v>0</v>
      </c>
      <c r="AM177" s="31">
        <f t="shared" si="140"/>
        <v>0</v>
      </c>
      <c r="AN177" s="31">
        <f t="shared" si="140"/>
        <v>0</v>
      </c>
      <c r="AO177" s="31">
        <f t="shared" si="140"/>
        <v>0</v>
      </c>
      <c r="AP177" s="31">
        <f t="shared" si="140"/>
        <v>0</v>
      </c>
      <c r="AQ177" s="31">
        <f t="shared" si="140"/>
        <v>0</v>
      </c>
      <c r="AR177" s="31">
        <f t="shared" si="140"/>
        <v>0</v>
      </c>
      <c r="AS177" s="31">
        <f t="shared" si="140"/>
        <v>0</v>
      </c>
      <c r="AT177" s="40">
        <f t="shared" si="134"/>
        <v>0</v>
      </c>
      <c r="AU177" s="18">
        <f t="shared" si="135"/>
        <v>200000000</v>
      </c>
      <c r="AV177" s="34">
        <f t="shared" si="136"/>
        <v>0</v>
      </c>
      <c r="AW177" s="34">
        <f t="shared" si="137"/>
        <v>0</v>
      </c>
      <c r="AX177" s="123">
        <f t="shared" si="117"/>
        <v>0</v>
      </c>
    </row>
    <row r="178" spans="1:50" s="150" customFormat="1" ht="18.75" customHeight="1" x14ac:dyDescent="0.2">
      <c r="A178" s="140" t="s">
        <v>55</v>
      </c>
      <c r="B178" s="140" t="s">
        <v>56</v>
      </c>
      <c r="C178" s="140"/>
      <c r="D178" s="140" t="s">
        <v>947</v>
      </c>
      <c r="E178" s="140"/>
      <c r="F178" s="140"/>
      <c r="G178" s="140" t="s">
        <v>41</v>
      </c>
      <c r="H178" s="140"/>
      <c r="I178" s="140" t="s">
        <v>936</v>
      </c>
      <c r="J178" s="140"/>
      <c r="K178" s="140" t="s">
        <v>932</v>
      </c>
      <c r="L178" s="140"/>
      <c r="M178" s="140" t="s">
        <v>933</v>
      </c>
      <c r="N178" s="140"/>
      <c r="O178" s="140" t="s">
        <v>934</v>
      </c>
      <c r="P178" s="140"/>
      <c r="Q178" s="140" t="s">
        <v>935</v>
      </c>
      <c r="R178" s="140"/>
      <c r="S178" s="140" t="s">
        <v>940</v>
      </c>
      <c r="T178" s="140">
        <v>0</v>
      </c>
      <c r="U178" s="140">
        <v>0</v>
      </c>
      <c r="V178" s="140">
        <v>0</v>
      </c>
      <c r="W178" s="140"/>
      <c r="X178" s="140" t="s">
        <v>937</v>
      </c>
      <c r="Y178" s="140"/>
      <c r="Z178" s="140"/>
      <c r="AA178" s="134" t="s">
        <v>834</v>
      </c>
      <c r="AB178" s="69" t="s">
        <v>281</v>
      </c>
      <c r="AC178" s="142" t="s">
        <v>253</v>
      </c>
      <c r="AD178" s="142">
        <v>200000000</v>
      </c>
      <c r="AE178" s="143">
        <v>0</v>
      </c>
      <c r="AF178" s="143">
        <v>0</v>
      </c>
      <c r="AG178" s="143">
        <v>0</v>
      </c>
      <c r="AH178" s="143">
        <v>0</v>
      </c>
      <c r="AI178" s="143">
        <v>0</v>
      </c>
      <c r="AJ178" s="142">
        <v>200000000</v>
      </c>
      <c r="AK178" s="143">
        <v>0</v>
      </c>
      <c r="AL178" s="143">
        <v>0</v>
      </c>
      <c r="AM178" s="143">
        <v>0</v>
      </c>
      <c r="AN178" s="143">
        <v>0</v>
      </c>
      <c r="AO178" s="143">
        <v>0</v>
      </c>
      <c r="AP178" s="143">
        <v>0</v>
      </c>
      <c r="AQ178" s="143">
        <v>0</v>
      </c>
      <c r="AR178" s="143">
        <v>0</v>
      </c>
      <c r="AS178" s="143">
        <v>0</v>
      </c>
      <c r="AT178" s="146">
        <f t="shared" si="134"/>
        <v>0</v>
      </c>
      <c r="AU178" s="147">
        <f t="shared" si="135"/>
        <v>200000000</v>
      </c>
      <c r="AV178" s="145">
        <f t="shared" si="136"/>
        <v>0</v>
      </c>
      <c r="AW178" s="145">
        <f t="shared" si="137"/>
        <v>0</v>
      </c>
      <c r="AX178" s="149">
        <f t="shared" si="117"/>
        <v>0</v>
      </c>
    </row>
    <row r="179" spans="1:50" ht="18.75" customHeight="1" x14ac:dyDescent="0.2">
      <c r="AA179" s="16"/>
      <c r="AB179" s="17"/>
      <c r="AC179" s="17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34"/>
      <c r="AT179" s="39"/>
      <c r="AU179" s="18"/>
      <c r="AV179" s="34"/>
      <c r="AW179" s="34"/>
      <c r="AX179" s="123"/>
    </row>
    <row r="180" spans="1:50" s="124" customFormat="1" ht="18.75" customHeigh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7" t="s">
        <v>282</v>
      </c>
      <c r="AB180" s="128" t="s">
        <v>283</v>
      </c>
      <c r="AC180" s="128"/>
      <c r="AD180" s="129">
        <f t="shared" ref="AD180:AS180" si="141">AD221+AD467+AD589+AD643+AD855+AD878+AD913+AD928+AD944+AD957+AD972+AD983+AD1038+AD819</f>
        <v>778687617478</v>
      </c>
      <c r="AE180" s="130">
        <f t="shared" si="141"/>
        <v>30988412763</v>
      </c>
      <c r="AF180" s="130">
        <f t="shared" si="141"/>
        <v>0</v>
      </c>
      <c r="AG180" s="129">
        <f t="shared" si="141"/>
        <v>80036151444.550018</v>
      </c>
      <c r="AH180" s="129">
        <f t="shared" si="141"/>
        <v>80036151444.550018</v>
      </c>
      <c r="AI180" s="130">
        <f t="shared" si="141"/>
        <v>30988412763</v>
      </c>
      <c r="AJ180" s="129">
        <f t="shared" si="141"/>
        <v>809676030241</v>
      </c>
      <c r="AK180" s="130">
        <f t="shared" si="141"/>
        <v>0</v>
      </c>
      <c r="AL180" s="129">
        <f t="shared" si="141"/>
        <v>22722855887.810001</v>
      </c>
      <c r="AM180" s="129">
        <f t="shared" si="141"/>
        <v>470315753462.67999</v>
      </c>
      <c r="AN180" s="129">
        <f t="shared" si="141"/>
        <v>51500000</v>
      </c>
      <c r="AO180" s="129">
        <f t="shared" si="141"/>
        <v>46057571377.570007</v>
      </c>
      <c r="AP180" s="129">
        <f t="shared" si="141"/>
        <v>256784232472.12003</v>
      </c>
      <c r="AQ180" s="129">
        <f t="shared" si="141"/>
        <v>4328004126</v>
      </c>
      <c r="AR180" s="129">
        <f t="shared" si="141"/>
        <v>59035748095.590004</v>
      </c>
      <c r="AS180" s="129">
        <f t="shared" si="141"/>
        <v>166398205770.07001</v>
      </c>
      <c r="AT180" s="131">
        <f>AQ180+AS180</f>
        <v>170726209896.07001</v>
      </c>
      <c r="AU180" s="129">
        <f>AU221+AU467+AU589+AU643+AU855+AU878+AU913+AU928+AU944+AU957+AU972+AU983+AU1038+AU819</f>
        <v>339360276778.32001</v>
      </c>
      <c r="AV180" s="129">
        <f>AV221+AV467+AV589+AV643+AV855+AV878+AV913+AV928+AV944+AV957+AV972+AV983+AV1038+AV819</f>
        <v>213531520990.55997</v>
      </c>
      <c r="AW180" s="129">
        <f>AW221+AW467+AW589+AW643+AW855+AW878+AW913+AW928+AW944+AW957+AW972+AW983+AW1038+AW819</f>
        <v>86058022576.050003</v>
      </c>
      <c r="AX180" s="132">
        <f t="shared" si="117"/>
        <v>0.31714441687953665</v>
      </c>
    </row>
    <row r="181" spans="1:50" ht="18.75" customHeight="1" x14ac:dyDescent="0.2">
      <c r="AA181" s="16"/>
      <c r="AB181" s="17"/>
      <c r="AC181" s="17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</row>
    <row r="182" spans="1:50" s="25" customFormat="1" ht="18.75" customHeight="1" x14ac:dyDescent="0.2">
      <c r="A182" s="58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60"/>
      <c r="AB182" s="21" t="s">
        <v>284</v>
      </c>
      <c r="AC182" s="61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3"/>
    </row>
    <row r="183" spans="1:50" ht="18.75" customHeight="1" x14ac:dyDescent="0.2">
      <c r="A183" s="35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7"/>
      <c r="AB183" s="29" t="s">
        <v>285</v>
      </c>
      <c r="AC183" s="38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0"/>
      <c r="AU183" s="39"/>
      <c r="AV183" s="39"/>
      <c r="AW183" s="39"/>
      <c r="AX183" s="18"/>
    </row>
    <row r="184" spans="1:50" ht="18.75" customHeight="1" x14ac:dyDescent="0.2">
      <c r="A184" s="35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7"/>
      <c r="AB184" s="29" t="s">
        <v>286</v>
      </c>
      <c r="AC184" s="38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0"/>
      <c r="AU184" s="39"/>
      <c r="AV184" s="39"/>
      <c r="AW184" s="39"/>
      <c r="AX184" s="18"/>
    </row>
    <row r="185" spans="1:50" ht="18.75" customHeight="1" x14ac:dyDescent="0.2">
      <c r="A185" s="35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7"/>
      <c r="AB185" s="29" t="s">
        <v>179</v>
      </c>
      <c r="AC185" s="38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0"/>
      <c r="AU185" s="39"/>
      <c r="AV185" s="39"/>
      <c r="AW185" s="39"/>
      <c r="AX185" s="18"/>
    </row>
    <row r="186" spans="1:50" ht="18.75" customHeight="1" x14ac:dyDescent="0.2">
      <c r="A186" s="14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6"/>
      <c r="AB186" s="29" t="s">
        <v>181</v>
      </c>
      <c r="AC186" s="17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30"/>
      <c r="AU186" s="18"/>
      <c r="AV186" s="18"/>
      <c r="AW186" s="18"/>
      <c r="AX186" s="18"/>
    </row>
    <row r="187" spans="1:50" ht="18.75" customHeight="1" x14ac:dyDescent="0.2">
      <c r="A187" s="14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6"/>
      <c r="AB187" s="29" t="s">
        <v>287</v>
      </c>
      <c r="AC187" s="17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30"/>
      <c r="AU187" s="18"/>
      <c r="AV187" s="18"/>
      <c r="AW187" s="18"/>
      <c r="AX187" s="18"/>
    </row>
    <row r="188" spans="1:50" ht="25.5" x14ac:dyDescent="0.2">
      <c r="A188" s="35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28" t="s">
        <v>288</v>
      </c>
      <c r="AB188" s="29" t="s">
        <v>289</v>
      </c>
      <c r="AC188" s="38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0"/>
      <c r="AU188" s="39"/>
      <c r="AV188" s="39"/>
      <c r="AW188" s="39"/>
      <c r="AX188" s="18"/>
    </row>
    <row r="189" spans="1:50" ht="18.75" customHeight="1" x14ac:dyDescent="0.2">
      <c r="A189" s="14" t="s">
        <v>55</v>
      </c>
      <c r="B189" s="15" t="s">
        <v>56</v>
      </c>
      <c r="C189" s="15"/>
      <c r="D189" s="15"/>
      <c r="E189" s="15"/>
      <c r="F189" s="15"/>
      <c r="G189" s="15" t="s">
        <v>41</v>
      </c>
      <c r="H189" s="15"/>
      <c r="I189" s="15" t="s">
        <v>936</v>
      </c>
      <c r="J189" s="15"/>
      <c r="K189" s="15" t="s">
        <v>932</v>
      </c>
      <c r="L189" s="15"/>
      <c r="M189" s="15" t="s">
        <v>933</v>
      </c>
      <c r="N189" s="15"/>
      <c r="O189" s="15" t="s">
        <v>948</v>
      </c>
      <c r="P189" s="15"/>
      <c r="Q189" s="15" t="s">
        <v>942</v>
      </c>
      <c r="R189" s="15"/>
      <c r="S189" s="15" t="s">
        <v>940</v>
      </c>
      <c r="T189" s="15">
        <v>0</v>
      </c>
      <c r="U189" s="15">
        <v>0</v>
      </c>
      <c r="V189" s="15">
        <v>0</v>
      </c>
      <c r="W189" s="15"/>
      <c r="X189" s="15" t="s">
        <v>937</v>
      </c>
      <c r="Y189" s="15"/>
      <c r="Z189" s="15"/>
      <c r="AA189" s="16" t="s">
        <v>290</v>
      </c>
      <c r="AB189" s="17" t="s">
        <v>233</v>
      </c>
      <c r="AC189" s="17" t="s">
        <v>58</v>
      </c>
      <c r="AD189" s="18">
        <v>100000000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18">
        <v>100000000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40">
        <f t="shared" ref="AT189" si="142">AQ189+AS189</f>
        <v>0</v>
      </c>
      <c r="AU189" s="18">
        <f t="shared" ref="AU189" si="143">AJ189-AM189</f>
        <v>100000000</v>
      </c>
      <c r="AV189" s="34">
        <f t="shared" ref="AV189" si="144">AM189-AP189</f>
        <v>0</v>
      </c>
      <c r="AW189" s="34">
        <f t="shared" ref="AW189" si="145">AP189-AT189</f>
        <v>0</v>
      </c>
      <c r="AX189" s="123">
        <f t="shared" ref="AX189" si="146">AP189/AJ189</f>
        <v>0</v>
      </c>
    </row>
    <row r="190" spans="1:50" ht="18.75" customHeight="1" x14ac:dyDescent="0.2">
      <c r="A190" s="14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6"/>
      <c r="AB190" s="29" t="s">
        <v>291</v>
      </c>
      <c r="AC190" s="17"/>
      <c r="AD190" s="18"/>
      <c r="AE190" s="18"/>
      <c r="AF190" s="18"/>
      <c r="AG190" s="18"/>
      <c r="AH190" s="18"/>
      <c r="AI190" s="18"/>
      <c r="AJ190" s="18"/>
      <c r="AK190" s="18"/>
      <c r="AL190" s="18"/>
      <c r="AM190" s="34"/>
      <c r="AN190" s="34"/>
      <c r="AO190" s="34"/>
      <c r="AP190" s="34"/>
      <c r="AQ190" s="34"/>
      <c r="AR190" s="34"/>
      <c r="AS190" s="34"/>
      <c r="AT190" s="31"/>
      <c r="AU190" s="18"/>
      <c r="AV190" s="34"/>
      <c r="AW190" s="34"/>
      <c r="AX190" s="18"/>
    </row>
    <row r="191" spans="1:50" ht="18.75" customHeight="1" x14ac:dyDescent="0.2">
      <c r="A191" s="14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28" t="s">
        <v>288</v>
      </c>
      <c r="AB191" s="29" t="s">
        <v>292</v>
      </c>
      <c r="AC191" s="17"/>
      <c r="AD191" s="18"/>
      <c r="AE191" s="34"/>
      <c r="AF191" s="34"/>
      <c r="AG191" s="34"/>
      <c r="AH191" s="34"/>
      <c r="AI191" s="34"/>
      <c r="AJ191" s="18"/>
      <c r="AK191" s="18"/>
      <c r="AL191" s="18"/>
      <c r="AM191" s="34"/>
      <c r="AN191" s="34"/>
      <c r="AO191" s="34"/>
      <c r="AP191" s="34"/>
      <c r="AQ191" s="34"/>
      <c r="AR191" s="34"/>
      <c r="AS191" s="34"/>
      <c r="AT191" s="31"/>
      <c r="AU191" s="18"/>
      <c r="AV191" s="34"/>
      <c r="AW191" s="34"/>
      <c r="AX191" s="18"/>
    </row>
    <row r="192" spans="1:50" ht="18.75" customHeight="1" x14ac:dyDescent="0.2">
      <c r="A192" s="14" t="s">
        <v>55</v>
      </c>
      <c r="B192" s="15" t="s">
        <v>56</v>
      </c>
      <c r="C192" s="15"/>
      <c r="D192" s="15"/>
      <c r="E192" s="15"/>
      <c r="F192" s="15"/>
      <c r="G192" s="15" t="s">
        <v>41</v>
      </c>
      <c r="H192" s="15"/>
      <c r="I192" s="15" t="s">
        <v>936</v>
      </c>
      <c r="J192" s="15"/>
      <c r="K192" s="15" t="s">
        <v>932</v>
      </c>
      <c r="L192" s="15"/>
      <c r="M192" s="15" t="s">
        <v>933</v>
      </c>
      <c r="N192" s="15"/>
      <c r="O192" s="15" t="s">
        <v>948</v>
      </c>
      <c r="P192" s="15"/>
      <c r="Q192" s="15" t="s">
        <v>942</v>
      </c>
      <c r="R192" s="15"/>
      <c r="S192" s="15" t="s">
        <v>940</v>
      </c>
      <c r="T192" s="15">
        <v>0</v>
      </c>
      <c r="U192" s="15">
        <v>0</v>
      </c>
      <c r="V192" s="15">
        <v>0</v>
      </c>
      <c r="W192" s="15"/>
      <c r="X192" s="15" t="s">
        <v>937</v>
      </c>
      <c r="Y192" s="15"/>
      <c r="Z192" s="15"/>
      <c r="AA192" s="16" t="s">
        <v>293</v>
      </c>
      <c r="AB192" s="17" t="s">
        <v>233</v>
      </c>
      <c r="AC192" s="17" t="s">
        <v>58</v>
      </c>
      <c r="AD192" s="18">
        <v>500000000</v>
      </c>
      <c r="AE192" s="34">
        <v>0</v>
      </c>
      <c r="AF192" s="34">
        <v>0</v>
      </c>
      <c r="AG192" s="34">
        <v>0</v>
      </c>
      <c r="AH192" s="34">
        <v>0</v>
      </c>
      <c r="AI192" s="34">
        <v>0</v>
      </c>
      <c r="AJ192" s="18">
        <v>500000000</v>
      </c>
      <c r="AK192" s="34">
        <v>0</v>
      </c>
      <c r="AL192" s="34">
        <v>0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0</v>
      </c>
      <c r="AT192" s="40">
        <f t="shared" ref="AT192" si="147">AQ192+AS192</f>
        <v>0</v>
      </c>
      <c r="AU192" s="18">
        <f t="shared" ref="AU192" si="148">AJ192-AM192</f>
        <v>500000000</v>
      </c>
      <c r="AV192" s="34">
        <f t="shared" ref="AV192" si="149">AM192-AP192</f>
        <v>0</v>
      </c>
      <c r="AW192" s="34">
        <f t="shared" ref="AW192" si="150">AP192-AT192</f>
        <v>0</v>
      </c>
      <c r="AX192" s="123">
        <f t="shared" ref="AX192" si="151">AP192/AJ192</f>
        <v>0</v>
      </c>
    </row>
    <row r="193" spans="1:50" ht="27" customHeight="1" x14ac:dyDescent="0.2">
      <c r="A193" s="14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28" t="s">
        <v>288</v>
      </c>
      <c r="AB193" s="29" t="s">
        <v>294</v>
      </c>
      <c r="AC193" s="17"/>
      <c r="AD193" s="18"/>
      <c r="AE193" s="34"/>
      <c r="AF193" s="34"/>
      <c r="AG193" s="34"/>
      <c r="AH193" s="34"/>
      <c r="AI193" s="34"/>
      <c r="AJ193" s="18"/>
      <c r="AK193" s="34"/>
      <c r="AL193" s="34"/>
      <c r="AM193" s="34"/>
      <c r="AN193" s="34"/>
      <c r="AO193" s="34"/>
      <c r="AP193" s="34"/>
      <c r="AQ193" s="34"/>
      <c r="AR193" s="34"/>
      <c r="AS193" s="34"/>
      <c r="AT193" s="31"/>
      <c r="AU193" s="18"/>
      <c r="AV193" s="34"/>
      <c r="AW193" s="34"/>
      <c r="AX193" s="18"/>
    </row>
    <row r="194" spans="1:50" ht="18.75" customHeight="1" x14ac:dyDescent="0.2">
      <c r="A194" s="14" t="s">
        <v>55</v>
      </c>
      <c r="B194" s="15" t="s">
        <v>56</v>
      </c>
      <c r="C194" s="15"/>
      <c r="D194" s="15"/>
      <c r="E194" s="15"/>
      <c r="F194" s="15"/>
      <c r="G194" s="15" t="s">
        <v>41</v>
      </c>
      <c r="H194" s="15"/>
      <c r="I194" s="15" t="s">
        <v>936</v>
      </c>
      <c r="J194" s="15"/>
      <c r="K194" s="15" t="s">
        <v>932</v>
      </c>
      <c r="L194" s="15"/>
      <c r="M194" s="15" t="s">
        <v>933</v>
      </c>
      <c r="N194" s="15"/>
      <c r="O194" s="15" t="s">
        <v>948</v>
      </c>
      <c r="P194" s="15"/>
      <c r="Q194" s="15" t="s">
        <v>942</v>
      </c>
      <c r="R194" s="15"/>
      <c r="S194" s="15" t="s">
        <v>940</v>
      </c>
      <c r="T194" s="15">
        <v>0</v>
      </c>
      <c r="U194" s="15">
        <v>0</v>
      </c>
      <c r="V194" s="15">
        <v>0</v>
      </c>
      <c r="W194" s="15"/>
      <c r="X194" s="15" t="s">
        <v>937</v>
      </c>
      <c r="Y194" s="15"/>
      <c r="Z194" s="15"/>
      <c r="AA194" s="16" t="s">
        <v>295</v>
      </c>
      <c r="AB194" s="17" t="s">
        <v>233</v>
      </c>
      <c r="AC194" s="17" t="s">
        <v>58</v>
      </c>
      <c r="AD194" s="18">
        <v>400000000</v>
      </c>
      <c r="AE194" s="34">
        <v>0</v>
      </c>
      <c r="AF194" s="34">
        <v>0</v>
      </c>
      <c r="AG194" s="34">
        <v>0</v>
      </c>
      <c r="AH194" s="34">
        <v>0</v>
      </c>
      <c r="AI194" s="34">
        <v>0</v>
      </c>
      <c r="AJ194" s="18">
        <v>400000000</v>
      </c>
      <c r="AK194" s="34">
        <v>0</v>
      </c>
      <c r="AL194" s="110">
        <v>6000000</v>
      </c>
      <c r="AM194" s="110">
        <v>79076486</v>
      </c>
      <c r="AN194" s="34">
        <v>6000000</v>
      </c>
      <c r="AO194" s="110">
        <v>0</v>
      </c>
      <c r="AP194" s="110">
        <v>68918969</v>
      </c>
      <c r="AQ194" s="34">
        <v>0</v>
      </c>
      <c r="AR194" s="34">
        <v>0</v>
      </c>
      <c r="AS194" s="34">
        <v>0</v>
      </c>
      <c r="AT194" s="40">
        <f t="shared" ref="AT194" si="152">AQ194+AS194</f>
        <v>0</v>
      </c>
      <c r="AU194" s="18">
        <f t="shared" ref="AU194" si="153">AJ194-AM194</f>
        <v>320923514</v>
      </c>
      <c r="AV194" s="110">
        <f t="shared" ref="AV194" si="154">AM194-AP194</f>
        <v>10157517</v>
      </c>
      <c r="AW194" s="18">
        <f t="shared" ref="AW194" si="155">AP194-AT194</f>
        <v>68918969</v>
      </c>
      <c r="AX194" s="123">
        <f t="shared" ref="AX194" si="156">AP194/AJ194</f>
        <v>0.17229742249999999</v>
      </c>
    </row>
    <row r="195" spans="1:50" ht="18.75" customHeight="1" x14ac:dyDescent="0.2">
      <c r="A195" s="14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6"/>
      <c r="AB195" s="17"/>
      <c r="AC195" s="17"/>
      <c r="AD195" s="18"/>
      <c r="AE195" s="34"/>
      <c r="AF195" s="34"/>
      <c r="AG195" s="34"/>
      <c r="AH195" s="34"/>
      <c r="AI195" s="34"/>
      <c r="AJ195" s="18"/>
      <c r="AK195" s="34"/>
      <c r="AL195" s="34"/>
      <c r="AM195" s="34"/>
      <c r="AN195" s="34"/>
      <c r="AO195" s="34"/>
      <c r="AP195" s="34"/>
      <c r="AQ195" s="34"/>
      <c r="AR195" s="34"/>
      <c r="AS195" s="18"/>
      <c r="AT195" s="30"/>
      <c r="AU195" s="18"/>
      <c r="AV195" s="18"/>
      <c r="AW195" s="18"/>
      <c r="AX195" s="18"/>
    </row>
    <row r="196" spans="1:50" ht="18.75" customHeight="1" x14ac:dyDescent="0.2">
      <c r="A196" s="14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6"/>
      <c r="AB196" s="29" t="s">
        <v>189</v>
      </c>
      <c r="AC196" s="17"/>
      <c r="AD196" s="18"/>
      <c r="AE196" s="34"/>
      <c r="AF196" s="34"/>
      <c r="AG196" s="34"/>
      <c r="AH196" s="34"/>
      <c r="AI196" s="34"/>
      <c r="AJ196" s="18"/>
      <c r="AK196" s="34"/>
      <c r="AL196" s="34"/>
      <c r="AM196" s="34"/>
      <c r="AN196" s="34"/>
      <c r="AO196" s="34"/>
      <c r="AP196" s="34"/>
      <c r="AQ196" s="34"/>
      <c r="AR196" s="34"/>
      <c r="AS196" s="18"/>
      <c r="AT196" s="30"/>
      <c r="AU196" s="18"/>
      <c r="AV196" s="18"/>
      <c r="AW196" s="18"/>
      <c r="AX196" s="18"/>
    </row>
    <row r="197" spans="1:50" ht="18.75" customHeight="1" x14ac:dyDescent="0.2">
      <c r="A197" s="14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6"/>
      <c r="AB197" s="29" t="s">
        <v>191</v>
      </c>
      <c r="AC197" s="17"/>
      <c r="AD197" s="18"/>
      <c r="AE197" s="34"/>
      <c r="AF197" s="34"/>
      <c r="AG197" s="34"/>
      <c r="AH197" s="34"/>
      <c r="AI197" s="34"/>
      <c r="AJ197" s="18"/>
      <c r="AK197" s="34"/>
      <c r="AL197" s="34"/>
      <c r="AM197" s="34"/>
      <c r="AN197" s="34"/>
      <c r="AO197" s="34"/>
      <c r="AP197" s="34"/>
      <c r="AQ197" s="34"/>
      <c r="AR197" s="34"/>
      <c r="AS197" s="18"/>
      <c r="AT197" s="30"/>
      <c r="AU197" s="18"/>
      <c r="AV197" s="18"/>
      <c r="AW197" s="18"/>
      <c r="AX197" s="18"/>
    </row>
    <row r="198" spans="1:50" ht="18.75" customHeight="1" x14ac:dyDescent="0.2">
      <c r="A198" s="14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28" t="s">
        <v>288</v>
      </c>
      <c r="AB198" s="29" t="s">
        <v>296</v>
      </c>
      <c r="AC198" s="17"/>
      <c r="AD198" s="18"/>
      <c r="AE198" s="34"/>
      <c r="AF198" s="34"/>
      <c r="AG198" s="34"/>
      <c r="AH198" s="34"/>
      <c r="AI198" s="34"/>
      <c r="AJ198" s="18"/>
      <c r="AK198" s="34"/>
      <c r="AL198" s="34"/>
      <c r="AM198" s="34"/>
      <c r="AN198" s="34"/>
      <c r="AO198" s="34"/>
      <c r="AP198" s="34"/>
      <c r="AQ198" s="34"/>
      <c r="AR198" s="34"/>
      <c r="AS198" s="18"/>
      <c r="AT198" s="30"/>
      <c r="AU198" s="18"/>
      <c r="AV198" s="18"/>
      <c r="AW198" s="18"/>
      <c r="AX198" s="18"/>
    </row>
    <row r="199" spans="1:50" ht="18.75" customHeight="1" x14ac:dyDescent="0.2">
      <c r="A199" s="14" t="s">
        <v>55</v>
      </c>
      <c r="B199" s="15" t="s">
        <v>56</v>
      </c>
      <c r="C199" s="15"/>
      <c r="D199" s="15"/>
      <c r="E199" s="15"/>
      <c r="F199" s="15"/>
      <c r="G199" s="15" t="s">
        <v>41</v>
      </c>
      <c r="H199" s="15"/>
      <c r="I199" s="15" t="s">
        <v>936</v>
      </c>
      <c r="J199" s="15"/>
      <c r="K199" s="15" t="s">
        <v>932</v>
      </c>
      <c r="L199" s="15"/>
      <c r="M199" s="15" t="s">
        <v>933</v>
      </c>
      <c r="N199" s="15"/>
      <c r="O199" s="15" t="s">
        <v>948</v>
      </c>
      <c r="P199" s="15"/>
      <c r="Q199" s="15" t="s">
        <v>942</v>
      </c>
      <c r="R199" s="15"/>
      <c r="S199" s="15" t="s">
        <v>940</v>
      </c>
      <c r="T199" s="15">
        <v>0</v>
      </c>
      <c r="U199" s="15">
        <v>0</v>
      </c>
      <c r="V199" s="15">
        <v>0</v>
      </c>
      <c r="W199" s="15"/>
      <c r="X199" s="15" t="s">
        <v>937</v>
      </c>
      <c r="Y199" s="15"/>
      <c r="Z199" s="15"/>
      <c r="AA199" s="16" t="s">
        <v>297</v>
      </c>
      <c r="AB199" s="17" t="s">
        <v>233</v>
      </c>
      <c r="AC199" s="17" t="s">
        <v>58</v>
      </c>
      <c r="AD199" s="18">
        <v>200000000</v>
      </c>
      <c r="AE199" s="34">
        <v>0</v>
      </c>
      <c r="AF199" s="34">
        <v>0</v>
      </c>
      <c r="AG199" s="34">
        <v>0</v>
      </c>
      <c r="AH199" s="34">
        <v>0</v>
      </c>
      <c r="AI199" s="34">
        <v>0</v>
      </c>
      <c r="AJ199" s="18">
        <v>200000000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0</v>
      </c>
      <c r="AT199" s="40">
        <f t="shared" ref="AT199" si="157">AQ199+AS199</f>
        <v>0</v>
      </c>
      <c r="AU199" s="18">
        <f t="shared" ref="AU199" si="158">AJ199-AM199</f>
        <v>200000000</v>
      </c>
      <c r="AV199" s="34">
        <f t="shared" ref="AV199" si="159">AM199-AP199</f>
        <v>0</v>
      </c>
      <c r="AW199" s="34">
        <f t="shared" ref="AW199" si="160">AP199-AT199</f>
        <v>0</v>
      </c>
      <c r="AX199" s="123">
        <f t="shared" ref="AX199" si="161">AP199/AJ199</f>
        <v>0</v>
      </c>
    </row>
    <row r="200" spans="1:50" ht="24" customHeight="1" x14ac:dyDescent="0.2">
      <c r="A200" s="14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6"/>
      <c r="AB200" s="29" t="s">
        <v>298</v>
      </c>
      <c r="AC200" s="17"/>
      <c r="AD200" s="18"/>
      <c r="AE200" s="34"/>
      <c r="AF200" s="34"/>
      <c r="AG200" s="34"/>
      <c r="AH200" s="34"/>
      <c r="AI200" s="34"/>
      <c r="AJ200" s="18"/>
      <c r="AK200" s="18"/>
      <c r="AL200" s="18"/>
      <c r="AM200" s="18"/>
      <c r="AN200" s="18"/>
      <c r="AO200" s="18"/>
      <c r="AP200" s="18"/>
      <c r="AQ200" s="18"/>
      <c r="AR200" s="18"/>
      <c r="AS200" s="34"/>
      <c r="AT200" s="31"/>
      <c r="AU200" s="18"/>
      <c r="AV200" s="18"/>
      <c r="AW200" s="18"/>
      <c r="AX200" s="18"/>
    </row>
    <row r="201" spans="1:50" ht="18.75" customHeight="1" x14ac:dyDescent="0.2">
      <c r="A201" s="14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28" t="s">
        <v>288</v>
      </c>
      <c r="AB201" s="29" t="s">
        <v>299</v>
      </c>
      <c r="AC201" s="17"/>
      <c r="AD201" s="18"/>
      <c r="AE201" s="34"/>
      <c r="AF201" s="34"/>
      <c r="AG201" s="34"/>
      <c r="AH201" s="34"/>
      <c r="AI201" s="34"/>
      <c r="AJ201" s="18"/>
      <c r="AK201" s="18"/>
      <c r="AL201" s="18"/>
      <c r="AM201" s="18"/>
      <c r="AN201" s="18"/>
      <c r="AO201" s="18"/>
      <c r="AP201" s="18"/>
      <c r="AQ201" s="18"/>
      <c r="AR201" s="18"/>
      <c r="AS201" s="34"/>
      <c r="AT201" s="31"/>
      <c r="AU201" s="18"/>
      <c r="AV201" s="18"/>
      <c r="AW201" s="18"/>
      <c r="AX201" s="18"/>
    </row>
    <row r="202" spans="1:50" ht="18.75" customHeight="1" x14ac:dyDescent="0.2">
      <c r="A202" s="14" t="s">
        <v>55</v>
      </c>
      <c r="B202" s="15" t="s">
        <v>56</v>
      </c>
      <c r="C202" s="15"/>
      <c r="D202" s="15"/>
      <c r="E202" s="15"/>
      <c r="F202" s="15"/>
      <c r="G202" s="15" t="s">
        <v>41</v>
      </c>
      <c r="H202" s="15"/>
      <c r="I202" s="15" t="s">
        <v>936</v>
      </c>
      <c r="J202" s="15"/>
      <c r="K202" s="15" t="s">
        <v>932</v>
      </c>
      <c r="L202" s="15"/>
      <c r="M202" s="15" t="s">
        <v>933</v>
      </c>
      <c r="N202" s="15"/>
      <c r="O202" s="15" t="s">
        <v>948</v>
      </c>
      <c r="P202" s="15"/>
      <c r="Q202" s="15" t="s">
        <v>942</v>
      </c>
      <c r="R202" s="15"/>
      <c r="S202" s="15" t="s">
        <v>940</v>
      </c>
      <c r="T202" s="15">
        <v>0</v>
      </c>
      <c r="U202" s="15">
        <v>0</v>
      </c>
      <c r="V202" s="15">
        <v>0</v>
      </c>
      <c r="W202" s="15"/>
      <c r="X202" s="15" t="s">
        <v>937</v>
      </c>
      <c r="Y202" s="15"/>
      <c r="Z202" s="15"/>
      <c r="AA202" s="16" t="s">
        <v>300</v>
      </c>
      <c r="AB202" s="17" t="s">
        <v>233</v>
      </c>
      <c r="AC202" s="17" t="s">
        <v>58</v>
      </c>
      <c r="AD202" s="18">
        <v>250000000</v>
      </c>
      <c r="AE202" s="34">
        <v>0</v>
      </c>
      <c r="AF202" s="34">
        <v>0</v>
      </c>
      <c r="AG202" s="18"/>
      <c r="AH202" s="34">
        <v>0</v>
      </c>
      <c r="AI202" s="18">
        <f>AE202-AF202+AG202-AH202</f>
        <v>0</v>
      </c>
      <c r="AJ202" s="18">
        <f>AD202+AI202</f>
        <v>250000000</v>
      </c>
      <c r="AK202" s="34">
        <v>0</v>
      </c>
      <c r="AL202" s="18">
        <f>AM202-'MARZO '!AM201</f>
        <v>22500000</v>
      </c>
      <c r="AM202" s="18">
        <v>247000000</v>
      </c>
      <c r="AN202" s="18">
        <v>0</v>
      </c>
      <c r="AO202" s="18">
        <f>AP202-'MARZO '!AP201</f>
        <v>62500000</v>
      </c>
      <c r="AP202" s="18">
        <v>247000000</v>
      </c>
      <c r="AQ202" s="18">
        <v>42250000</v>
      </c>
      <c r="AR202" s="18">
        <v>34200000</v>
      </c>
      <c r="AS202" s="18">
        <v>61633331</v>
      </c>
      <c r="AT202" s="39">
        <f t="shared" ref="AT202:AT214" si="162">AQ202+AS202</f>
        <v>103883331</v>
      </c>
      <c r="AU202" s="18">
        <f t="shared" ref="AU202" si="163">AJ202-AM202</f>
        <v>3000000</v>
      </c>
      <c r="AV202" s="110">
        <f t="shared" ref="AV202" si="164">AM202-AP202</f>
        <v>0</v>
      </c>
      <c r="AW202" s="110">
        <f t="shared" ref="AW202" si="165">AP202-AT202</f>
        <v>143116669</v>
      </c>
      <c r="AX202" s="123">
        <f t="shared" ref="AX202" si="166">AP202/AJ202</f>
        <v>0.98799999999999999</v>
      </c>
    </row>
    <row r="203" spans="1:50" ht="18.75" customHeight="1" x14ac:dyDescent="0.2">
      <c r="A203" s="14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28" t="s">
        <v>288</v>
      </c>
      <c r="AB203" s="29" t="s">
        <v>292</v>
      </c>
      <c r="AC203" s="17"/>
      <c r="AD203" s="18"/>
      <c r="AE203" s="34"/>
      <c r="AF203" s="34"/>
      <c r="AG203" s="34"/>
      <c r="AH203" s="34"/>
      <c r="AI203" s="34"/>
      <c r="AJ203" s="18"/>
      <c r="AK203" s="34"/>
      <c r="AL203" s="18"/>
      <c r="AM203" s="18"/>
      <c r="AN203" s="18"/>
      <c r="AO203" s="18"/>
      <c r="AP203" s="18"/>
      <c r="AQ203" s="18"/>
      <c r="AR203" s="18"/>
      <c r="AS203" s="34"/>
      <c r="AT203" s="31"/>
      <c r="AU203" s="18"/>
      <c r="AV203" s="18"/>
      <c r="AW203" s="18"/>
      <c r="AX203" s="18"/>
    </row>
    <row r="204" spans="1:50" ht="18.75" customHeight="1" x14ac:dyDescent="0.2">
      <c r="A204" s="35" t="s">
        <v>55</v>
      </c>
      <c r="B204" s="36" t="s">
        <v>56</v>
      </c>
      <c r="C204" s="36"/>
      <c r="D204" s="36"/>
      <c r="E204" s="36"/>
      <c r="F204" s="36"/>
      <c r="G204" s="36" t="s">
        <v>41</v>
      </c>
      <c r="H204" s="36"/>
      <c r="I204" s="36" t="s">
        <v>936</v>
      </c>
      <c r="J204" s="36"/>
      <c r="K204" s="36" t="s">
        <v>932</v>
      </c>
      <c r="L204" s="36"/>
      <c r="M204" s="36" t="s">
        <v>933</v>
      </c>
      <c r="N204" s="36"/>
      <c r="O204" s="36" t="s">
        <v>948</v>
      </c>
      <c r="P204" s="36"/>
      <c r="Q204" s="36" t="s">
        <v>942</v>
      </c>
      <c r="R204" s="36"/>
      <c r="S204" s="36" t="s">
        <v>940</v>
      </c>
      <c r="T204" s="36">
        <v>0</v>
      </c>
      <c r="U204" s="36">
        <v>0</v>
      </c>
      <c r="V204" s="36">
        <v>0</v>
      </c>
      <c r="W204" s="36"/>
      <c r="X204" s="36" t="s">
        <v>937</v>
      </c>
      <c r="Y204" s="36"/>
      <c r="Z204" s="36"/>
      <c r="AA204" s="37" t="s">
        <v>301</v>
      </c>
      <c r="AB204" s="38" t="s">
        <v>233</v>
      </c>
      <c r="AC204" s="38" t="s">
        <v>58</v>
      </c>
      <c r="AD204" s="39">
        <v>200000000</v>
      </c>
      <c r="AE204" s="40">
        <v>0</v>
      </c>
      <c r="AF204" s="40">
        <v>0</v>
      </c>
      <c r="AG204" s="40">
        <v>0</v>
      </c>
      <c r="AH204" s="40">
        <v>0</v>
      </c>
      <c r="AI204" s="40">
        <v>0</v>
      </c>
      <c r="AJ204" s="39">
        <v>200000000</v>
      </c>
      <c r="AK204" s="40">
        <v>0</v>
      </c>
      <c r="AL204" s="39">
        <f>AM204-'MARZO '!AM203</f>
        <v>77000000</v>
      </c>
      <c r="AM204" s="40">
        <v>77000000</v>
      </c>
      <c r="AN204" s="40">
        <v>0</v>
      </c>
      <c r="AO204" s="40">
        <v>0</v>
      </c>
      <c r="AP204" s="40">
        <v>0</v>
      </c>
      <c r="AQ204" s="40">
        <v>0</v>
      </c>
      <c r="AR204" s="40">
        <v>0</v>
      </c>
      <c r="AS204" s="40">
        <v>0</v>
      </c>
      <c r="AT204" s="40">
        <f t="shared" ref="AT204" si="167">AQ204+AS204</f>
        <v>0</v>
      </c>
      <c r="AU204" s="18">
        <f t="shared" ref="AU204" si="168">AJ204-AM204</f>
        <v>123000000</v>
      </c>
      <c r="AV204" s="34">
        <f t="shared" ref="AV204" si="169">AM204-AP204</f>
        <v>77000000</v>
      </c>
      <c r="AW204" s="34">
        <f t="shared" ref="AW204" si="170">AP204-AT204</f>
        <v>0</v>
      </c>
      <c r="AX204" s="123">
        <f t="shared" ref="AX204" si="171">AP204/AJ204</f>
        <v>0</v>
      </c>
    </row>
    <row r="205" spans="1:50" ht="24.75" customHeight="1" x14ac:dyDescent="0.2">
      <c r="A205" s="14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28" t="s">
        <v>288</v>
      </c>
      <c r="AB205" s="29" t="s">
        <v>302</v>
      </c>
      <c r="AC205" s="17"/>
      <c r="AD205" s="18"/>
      <c r="AE205" s="34"/>
      <c r="AF205" s="34"/>
      <c r="AG205" s="34"/>
      <c r="AH205" s="34"/>
      <c r="AI205" s="34"/>
      <c r="AJ205" s="18"/>
      <c r="AK205" s="18"/>
      <c r="AL205" s="18"/>
      <c r="AM205" s="34"/>
      <c r="AN205" s="34"/>
      <c r="AO205" s="34"/>
      <c r="AP205" s="34"/>
      <c r="AQ205" s="34"/>
      <c r="AR205" s="34"/>
      <c r="AS205" s="34"/>
      <c r="AT205" s="31"/>
      <c r="AU205" s="18"/>
      <c r="AV205" s="34"/>
      <c r="AW205" s="34"/>
      <c r="AX205" s="18"/>
    </row>
    <row r="206" spans="1:50" ht="18.75" customHeight="1" x14ac:dyDescent="0.2">
      <c r="A206" s="14" t="s">
        <v>55</v>
      </c>
      <c r="B206" s="15" t="s">
        <v>56</v>
      </c>
      <c r="C206" s="15"/>
      <c r="D206" s="15"/>
      <c r="E206" s="15"/>
      <c r="F206" s="15"/>
      <c r="G206" s="15" t="s">
        <v>41</v>
      </c>
      <c r="H206" s="15"/>
      <c r="I206" s="15" t="s">
        <v>936</v>
      </c>
      <c r="J206" s="15"/>
      <c r="K206" s="15" t="s">
        <v>932</v>
      </c>
      <c r="L206" s="15"/>
      <c r="M206" s="15" t="s">
        <v>933</v>
      </c>
      <c r="N206" s="15"/>
      <c r="O206" s="15" t="s">
        <v>948</v>
      </c>
      <c r="P206" s="15"/>
      <c r="Q206" s="15" t="s">
        <v>942</v>
      </c>
      <c r="R206" s="15"/>
      <c r="S206" s="15" t="s">
        <v>940</v>
      </c>
      <c r="T206" s="15">
        <v>0</v>
      </c>
      <c r="U206" s="15">
        <v>0</v>
      </c>
      <c r="V206" s="15">
        <v>0</v>
      </c>
      <c r="W206" s="15"/>
      <c r="X206" s="15" t="s">
        <v>937</v>
      </c>
      <c r="Y206" s="15"/>
      <c r="Z206" s="15"/>
      <c r="AA206" s="16" t="s">
        <v>303</v>
      </c>
      <c r="AB206" s="17" t="s">
        <v>233</v>
      </c>
      <c r="AC206" s="17" t="s">
        <v>58</v>
      </c>
      <c r="AD206" s="18">
        <v>850000000</v>
      </c>
      <c r="AE206" s="34">
        <v>0</v>
      </c>
      <c r="AF206" s="34">
        <v>0</v>
      </c>
      <c r="AG206" s="34">
        <v>0</v>
      </c>
      <c r="AH206" s="34">
        <v>0</v>
      </c>
      <c r="AI206" s="34">
        <v>0</v>
      </c>
      <c r="AJ206" s="18">
        <v>850000000</v>
      </c>
      <c r="AK206" s="18">
        <v>0</v>
      </c>
      <c r="AL206" s="18">
        <f>AM206-'MARZO '!AM205</f>
        <v>28000000</v>
      </c>
      <c r="AM206" s="110">
        <v>663607711</v>
      </c>
      <c r="AN206" s="110">
        <v>28000000</v>
      </c>
      <c r="AO206" s="110">
        <v>0</v>
      </c>
      <c r="AP206" s="110">
        <v>634679430</v>
      </c>
      <c r="AQ206" s="34">
        <v>89200000</v>
      </c>
      <c r="AR206" s="34">
        <v>62810758.649999999</v>
      </c>
      <c r="AS206" s="34">
        <v>91954092.650000006</v>
      </c>
      <c r="AT206" s="40">
        <f t="shared" ref="AT206" si="172">AQ206+AS206</f>
        <v>181154092.65000001</v>
      </c>
      <c r="AU206" s="18">
        <f t="shared" ref="AU206" si="173">AJ206-AM206</f>
        <v>186392289</v>
      </c>
      <c r="AV206" s="110">
        <f t="shared" ref="AV206" si="174">AM206-AP206</f>
        <v>28928281</v>
      </c>
      <c r="AW206" s="110">
        <f t="shared" ref="AW206" si="175">AP206-AT206</f>
        <v>453525337.35000002</v>
      </c>
      <c r="AX206" s="123">
        <f t="shared" ref="AX206" si="176">AP206/AJ206</f>
        <v>0.74668168235294119</v>
      </c>
    </row>
    <row r="207" spans="1:50" ht="18.75" customHeight="1" x14ac:dyDescent="0.2">
      <c r="A207" s="35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28" t="s">
        <v>288</v>
      </c>
      <c r="AB207" s="29" t="s">
        <v>304</v>
      </c>
      <c r="AC207" s="38"/>
      <c r="AD207" s="39"/>
      <c r="AE207" s="40"/>
      <c r="AF207" s="40"/>
      <c r="AG207" s="40"/>
      <c r="AH207" s="40"/>
      <c r="AI207" s="40"/>
      <c r="AJ207" s="39"/>
      <c r="AK207" s="39"/>
      <c r="AL207" s="39"/>
      <c r="AM207" s="40"/>
      <c r="AN207" s="40"/>
      <c r="AO207" s="40"/>
      <c r="AP207" s="40"/>
      <c r="AQ207" s="40"/>
      <c r="AR207" s="40"/>
      <c r="AS207" s="40"/>
      <c r="AT207" s="31"/>
      <c r="AU207" s="39"/>
      <c r="AV207" s="40"/>
      <c r="AW207" s="40"/>
      <c r="AX207" s="18"/>
    </row>
    <row r="208" spans="1:50" ht="18.75" customHeight="1" x14ac:dyDescent="0.2">
      <c r="A208" s="14" t="s">
        <v>55</v>
      </c>
      <c r="B208" s="15" t="s">
        <v>56</v>
      </c>
      <c r="C208" s="15"/>
      <c r="D208" s="15"/>
      <c r="E208" s="15"/>
      <c r="F208" s="15"/>
      <c r="G208" s="15" t="s">
        <v>41</v>
      </c>
      <c r="H208" s="15"/>
      <c r="I208" s="15" t="s">
        <v>936</v>
      </c>
      <c r="J208" s="15"/>
      <c r="K208" s="15" t="s">
        <v>932</v>
      </c>
      <c r="L208" s="15"/>
      <c r="M208" s="15" t="s">
        <v>933</v>
      </c>
      <c r="N208" s="15"/>
      <c r="O208" s="15" t="s">
        <v>948</v>
      </c>
      <c r="P208" s="15"/>
      <c r="Q208" s="15" t="s">
        <v>942</v>
      </c>
      <c r="R208" s="15"/>
      <c r="S208" s="15" t="s">
        <v>940</v>
      </c>
      <c r="T208" s="15">
        <v>0</v>
      </c>
      <c r="U208" s="15">
        <v>0</v>
      </c>
      <c r="V208" s="15">
        <v>0</v>
      </c>
      <c r="W208" s="15"/>
      <c r="X208" s="15" t="s">
        <v>937</v>
      </c>
      <c r="Y208" s="15"/>
      <c r="Z208" s="15"/>
      <c r="AA208" s="16" t="s">
        <v>305</v>
      </c>
      <c r="AB208" s="17" t="s">
        <v>233</v>
      </c>
      <c r="AC208" s="17" t="s">
        <v>58</v>
      </c>
      <c r="AD208" s="18">
        <v>100000000</v>
      </c>
      <c r="AE208" s="34">
        <v>0</v>
      </c>
      <c r="AF208" s="34">
        <v>0</v>
      </c>
      <c r="AG208" s="34">
        <v>0</v>
      </c>
      <c r="AH208" s="34">
        <v>0</v>
      </c>
      <c r="AI208" s="34">
        <v>0</v>
      </c>
      <c r="AJ208" s="18">
        <v>100000000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40">
        <f t="shared" ref="AT208:AT210" si="177">AQ208+AS208</f>
        <v>0</v>
      </c>
      <c r="AU208" s="18">
        <f t="shared" ref="AU208" si="178">AJ208-AM208</f>
        <v>100000000</v>
      </c>
      <c r="AV208" s="34">
        <f t="shared" ref="AV208" si="179">AM208-AP208</f>
        <v>0</v>
      </c>
      <c r="AW208" s="34">
        <f t="shared" ref="AW208" si="180">AP208-AT208</f>
        <v>0</v>
      </c>
      <c r="AX208" s="123">
        <f t="shared" ref="AX208" si="181">AP208/AJ208</f>
        <v>0</v>
      </c>
    </row>
    <row r="209" spans="1:50" ht="40.5" customHeight="1" x14ac:dyDescent="0.2">
      <c r="A209" s="14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73" t="s">
        <v>288</v>
      </c>
      <c r="AB209" s="74" t="s">
        <v>958</v>
      </c>
      <c r="AC209" s="17"/>
      <c r="AD209" s="18"/>
      <c r="AE209" s="34"/>
      <c r="AF209" s="34"/>
      <c r="AG209" s="34"/>
      <c r="AH209" s="34"/>
      <c r="AI209" s="34"/>
      <c r="AJ209" s="18"/>
      <c r="AK209" s="34"/>
      <c r="AL209" s="34"/>
      <c r="AM209" s="34"/>
      <c r="AN209" s="34"/>
      <c r="AO209" s="34"/>
      <c r="AP209" s="34"/>
      <c r="AQ209" s="34"/>
      <c r="AR209" s="34"/>
      <c r="AS209" s="34"/>
      <c r="AT209" s="40"/>
      <c r="AU209" s="18"/>
      <c r="AV209" s="34"/>
      <c r="AW209" s="34"/>
      <c r="AX209" s="123"/>
    </row>
    <row r="210" spans="1:50" ht="30" customHeight="1" thickBot="1" x14ac:dyDescent="0.25">
      <c r="A210" s="14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85" t="s">
        <v>765</v>
      </c>
      <c r="AB210" s="69" t="s">
        <v>233</v>
      </c>
      <c r="AC210" s="17"/>
      <c r="AD210" s="18">
        <v>0</v>
      </c>
      <c r="AE210" s="34">
        <v>0</v>
      </c>
      <c r="AF210" s="34">
        <v>0</v>
      </c>
      <c r="AG210" s="18">
        <v>200000000</v>
      </c>
      <c r="AH210" s="18"/>
      <c r="AI210" s="18">
        <f>AE210-AF210+AG210-AH210</f>
        <v>200000000</v>
      </c>
      <c r="AJ210" s="18">
        <f>AD210+AI210</f>
        <v>200000000</v>
      </c>
      <c r="AK210" s="34">
        <v>0</v>
      </c>
      <c r="AL210" s="34">
        <v>0</v>
      </c>
      <c r="AM210" s="34">
        <v>0</v>
      </c>
      <c r="AN210" s="34">
        <v>0</v>
      </c>
      <c r="AO210" s="34">
        <v>0</v>
      </c>
      <c r="AP210" s="34">
        <v>0</v>
      </c>
      <c r="AQ210" s="34">
        <v>0</v>
      </c>
      <c r="AR210" s="34">
        <v>0</v>
      </c>
      <c r="AS210" s="34">
        <v>0</v>
      </c>
      <c r="AT210" s="40">
        <f t="shared" si="177"/>
        <v>0</v>
      </c>
      <c r="AU210" s="18">
        <f t="shared" ref="AU210" si="182">AJ210-AM210</f>
        <v>200000000</v>
      </c>
      <c r="AV210" s="34">
        <f t="shared" ref="AV210" si="183">AM210-AP210</f>
        <v>0</v>
      </c>
      <c r="AW210" s="34">
        <f t="shared" ref="AW210" si="184">AP210-AT210</f>
        <v>0</v>
      </c>
      <c r="AX210" s="123">
        <f t="shared" ref="AX210" si="185">AP210/AJ210</f>
        <v>0</v>
      </c>
    </row>
    <row r="211" spans="1:50" ht="18.75" customHeight="1" x14ac:dyDescent="0.2">
      <c r="A211" s="35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28" t="s">
        <v>288</v>
      </c>
      <c r="AB211" s="29" t="s">
        <v>306</v>
      </c>
      <c r="AC211" s="38"/>
      <c r="AD211" s="39"/>
      <c r="AE211" s="40"/>
      <c r="AF211" s="40"/>
      <c r="AG211" s="40"/>
      <c r="AH211" s="40"/>
      <c r="AI211" s="40"/>
      <c r="AJ211" s="39"/>
      <c r="AK211" s="40"/>
      <c r="AL211" s="40"/>
      <c r="AM211" s="40"/>
      <c r="AN211" s="40"/>
      <c r="AO211" s="40"/>
      <c r="AP211" s="40"/>
      <c r="AQ211" s="40"/>
      <c r="AR211" s="40"/>
      <c r="AS211" s="39"/>
      <c r="AT211" s="30"/>
      <c r="AU211" s="39"/>
      <c r="AV211" s="39"/>
      <c r="AW211" s="40"/>
      <c r="AX211" s="18"/>
    </row>
    <row r="212" spans="1:50" ht="18.75" customHeight="1" x14ac:dyDescent="0.2">
      <c r="A212" s="14" t="s">
        <v>55</v>
      </c>
      <c r="B212" s="15" t="s">
        <v>56</v>
      </c>
      <c r="C212" s="15"/>
      <c r="D212" s="15"/>
      <c r="E212" s="15"/>
      <c r="F212" s="15"/>
      <c r="G212" s="15" t="s">
        <v>41</v>
      </c>
      <c r="H212" s="15"/>
      <c r="I212" s="15" t="s">
        <v>936</v>
      </c>
      <c r="J212" s="15"/>
      <c r="K212" s="15" t="s">
        <v>932</v>
      </c>
      <c r="L212" s="15"/>
      <c r="M212" s="15" t="s">
        <v>933</v>
      </c>
      <c r="N212" s="15"/>
      <c r="O212" s="15" t="s">
        <v>948</v>
      </c>
      <c r="P212" s="15"/>
      <c r="Q212" s="15" t="s">
        <v>942</v>
      </c>
      <c r="R212" s="15"/>
      <c r="S212" s="15" t="s">
        <v>940</v>
      </c>
      <c r="T212" s="15">
        <v>0</v>
      </c>
      <c r="U212" s="15">
        <v>0</v>
      </c>
      <c r="V212" s="15">
        <v>0</v>
      </c>
      <c r="W212" s="15"/>
      <c r="X212" s="15" t="s">
        <v>937</v>
      </c>
      <c r="Y212" s="15"/>
      <c r="Z212" s="15"/>
      <c r="AA212" s="16" t="s">
        <v>307</v>
      </c>
      <c r="AB212" s="17" t="s">
        <v>233</v>
      </c>
      <c r="AC212" s="17" t="s">
        <v>58</v>
      </c>
      <c r="AD212" s="18">
        <v>50000000</v>
      </c>
      <c r="AE212" s="34">
        <v>0</v>
      </c>
      <c r="AF212" s="34">
        <v>0</v>
      </c>
      <c r="AG212" s="34">
        <v>0</v>
      </c>
      <c r="AH212" s="34">
        <v>0</v>
      </c>
      <c r="AI212" s="34">
        <v>0</v>
      </c>
      <c r="AJ212" s="18">
        <v>50000000</v>
      </c>
      <c r="AK212" s="34">
        <v>0</v>
      </c>
      <c r="AL212" s="34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40">
        <f t="shared" si="162"/>
        <v>0</v>
      </c>
      <c r="AU212" s="18">
        <f t="shared" ref="AU212" si="186">AJ212-AM212</f>
        <v>50000000</v>
      </c>
      <c r="AV212" s="34">
        <f t="shared" ref="AV212" si="187">AM212-AP212</f>
        <v>0</v>
      </c>
      <c r="AW212" s="34">
        <f t="shared" ref="AW212" si="188">AP212-AT212</f>
        <v>0</v>
      </c>
      <c r="AX212" s="123">
        <f t="shared" ref="AX212" si="189">AP212/AJ212</f>
        <v>0</v>
      </c>
    </row>
    <row r="213" spans="1:50" ht="18.75" customHeight="1" x14ac:dyDescent="0.2">
      <c r="A213" s="14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28" t="s">
        <v>288</v>
      </c>
      <c r="AB213" s="29" t="s">
        <v>308</v>
      </c>
      <c r="AC213" s="17"/>
      <c r="AD213" s="18"/>
      <c r="AE213" s="34"/>
      <c r="AF213" s="34"/>
      <c r="AG213" s="34"/>
      <c r="AH213" s="34"/>
      <c r="AI213" s="34"/>
      <c r="AJ213" s="18"/>
      <c r="AK213" s="34"/>
      <c r="AL213" s="34"/>
      <c r="AM213" s="34"/>
      <c r="AN213" s="34"/>
      <c r="AO213" s="34"/>
      <c r="AP213" s="34"/>
      <c r="AQ213" s="34"/>
      <c r="AR213" s="34"/>
      <c r="AS213" s="34"/>
      <c r="AT213" s="31"/>
      <c r="AU213" s="18"/>
      <c r="AV213" s="18"/>
      <c r="AW213" s="34"/>
      <c r="AX213" s="18"/>
    </row>
    <row r="214" spans="1:50" ht="18.75" customHeight="1" x14ac:dyDescent="0.2">
      <c r="A214" s="35" t="s">
        <v>55</v>
      </c>
      <c r="B214" s="36" t="s">
        <v>56</v>
      </c>
      <c r="C214" s="36"/>
      <c r="D214" s="36"/>
      <c r="E214" s="36"/>
      <c r="F214" s="36"/>
      <c r="G214" s="36" t="s">
        <v>41</v>
      </c>
      <c r="H214" s="36"/>
      <c r="I214" s="36" t="s">
        <v>936</v>
      </c>
      <c r="J214" s="36"/>
      <c r="K214" s="36" t="s">
        <v>932</v>
      </c>
      <c r="L214" s="36"/>
      <c r="M214" s="36" t="s">
        <v>933</v>
      </c>
      <c r="N214" s="36"/>
      <c r="O214" s="36" t="s">
        <v>948</v>
      </c>
      <c r="P214" s="36"/>
      <c r="Q214" s="36" t="s">
        <v>942</v>
      </c>
      <c r="R214" s="36"/>
      <c r="S214" s="36" t="s">
        <v>940</v>
      </c>
      <c r="T214" s="36">
        <v>0</v>
      </c>
      <c r="U214" s="36">
        <v>0</v>
      </c>
      <c r="V214" s="36">
        <v>0</v>
      </c>
      <c r="W214" s="36"/>
      <c r="X214" s="36" t="s">
        <v>937</v>
      </c>
      <c r="Y214" s="36"/>
      <c r="Z214" s="36"/>
      <c r="AA214" s="37" t="s">
        <v>309</v>
      </c>
      <c r="AB214" s="38" t="s">
        <v>233</v>
      </c>
      <c r="AC214" s="38" t="s">
        <v>58</v>
      </c>
      <c r="AD214" s="39">
        <v>50000000</v>
      </c>
      <c r="AE214" s="40">
        <v>0</v>
      </c>
      <c r="AF214" s="40">
        <v>0</v>
      </c>
      <c r="AG214" s="40">
        <v>0</v>
      </c>
      <c r="AH214" s="40">
        <v>0</v>
      </c>
      <c r="AI214" s="40">
        <v>0</v>
      </c>
      <c r="AJ214" s="39">
        <v>50000000</v>
      </c>
      <c r="AK214" s="40">
        <v>0</v>
      </c>
      <c r="AL214" s="40">
        <v>0</v>
      </c>
      <c r="AM214" s="40">
        <v>0</v>
      </c>
      <c r="AN214" s="40">
        <v>0</v>
      </c>
      <c r="AO214" s="40">
        <v>0</v>
      </c>
      <c r="AP214" s="40">
        <v>0</v>
      </c>
      <c r="AQ214" s="40">
        <v>0</v>
      </c>
      <c r="AR214" s="40">
        <v>0</v>
      </c>
      <c r="AS214" s="40">
        <v>0</v>
      </c>
      <c r="AT214" s="40">
        <f t="shared" si="162"/>
        <v>0</v>
      </c>
      <c r="AU214" s="18">
        <f t="shared" ref="AU214" si="190">AJ214-AM214</f>
        <v>50000000</v>
      </c>
      <c r="AV214" s="34">
        <f t="shared" ref="AV214" si="191">AM214-AP214</f>
        <v>0</v>
      </c>
      <c r="AW214" s="34">
        <f t="shared" ref="AW214" si="192">AP214-AT214</f>
        <v>0</v>
      </c>
      <c r="AX214" s="123">
        <f t="shared" ref="AX214" si="193">AP214/AJ214</f>
        <v>0</v>
      </c>
    </row>
    <row r="215" spans="1:50" ht="18.75" customHeight="1" x14ac:dyDescent="0.2">
      <c r="A215" s="14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28" t="s">
        <v>288</v>
      </c>
      <c r="AB215" s="29" t="s">
        <v>310</v>
      </c>
      <c r="AC215" s="17"/>
      <c r="AD215" s="18"/>
      <c r="AE215" s="34"/>
      <c r="AF215" s="34"/>
      <c r="AG215" s="34"/>
      <c r="AH215" s="34"/>
      <c r="AI215" s="34"/>
      <c r="AJ215" s="18"/>
      <c r="AK215" s="18"/>
      <c r="AL215" s="18"/>
      <c r="AM215" s="18"/>
      <c r="AN215" s="18"/>
      <c r="AO215" s="18"/>
      <c r="AP215" s="18"/>
      <c r="AQ215" s="18"/>
      <c r="AR215" s="18"/>
      <c r="AS215" s="34"/>
      <c r="AT215" s="31"/>
      <c r="AU215" s="18"/>
      <c r="AV215" s="18"/>
      <c r="AW215" s="18"/>
      <c r="AX215" s="18"/>
    </row>
    <row r="216" spans="1:50" ht="18.75" customHeight="1" x14ac:dyDescent="0.2">
      <c r="A216" s="14" t="s">
        <v>55</v>
      </c>
      <c r="B216" s="15" t="s">
        <v>56</v>
      </c>
      <c r="C216" s="15"/>
      <c r="D216" s="15"/>
      <c r="E216" s="15"/>
      <c r="F216" s="15"/>
      <c r="G216" s="15" t="s">
        <v>41</v>
      </c>
      <c r="H216" s="15"/>
      <c r="I216" s="15" t="s">
        <v>936</v>
      </c>
      <c r="J216" s="15"/>
      <c r="K216" s="15" t="s">
        <v>932</v>
      </c>
      <c r="L216" s="15"/>
      <c r="M216" s="15" t="s">
        <v>933</v>
      </c>
      <c r="N216" s="15"/>
      <c r="O216" s="15" t="s">
        <v>948</v>
      </c>
      <c r="P216" s="15"/>
      <c r="Q216" s="15" t="s">
        <v>942</v>
      </c>
      <c r="R216" s="15"/>
      <c r="S216" s="15" t="s">
        <v>940</v>
      </c>
      <c r="T216" s="15">
        <v>0</v>
      </c>
      <c r="U216" s="15">
        <v>0</v>
      </c>
      <c r="V216" s="15">
        <v>0</v>
      </c>
      <c r="W216" s="15"/>
      <c r="X216" s="15" t="s">
        <v>937</v>
      </c>
      <c r="Y216" s="15"/>
      <c r="Z216" s="15"/>
      <c r="AA216" s="16" t="s">
        <v>311</v>
      </c>
      <c r="AB216" s="17" t="s">
        <v>233</v>
      </c>
      <c r="AC216" s="17" t="s">
        <v>58</v>
      </c>
      <c r="AD216" s="18">
        <v>1400000000</v>
      </c>
      <c r="AE216" s="34">
        <v>0</v>
      </c>
      <c r="AF216" s="34">
        <v>0</v>
      </c>
      <c r="AG216" s="34">
        <v>0</v>
      </c>
      <c r="AH216" s="34">
        <v>0</v>
      </c>
      <c r="AI216" s="34">
        <v>0</v>
      </c>
      <c r="AJ216" s="18">
        <v>1400000000</v>
      </c>
      <c r="AK216" s="34">
        <v>0</v>
      </c>
      <c r="AL216" s="18">
        <f>AM216-'MARZO '!AM215</f>
        <v>64590842</v>
      </c>
      <c r="AM216" s="18">
        <v>1205735923</v>
      </c>
      <c r="AN216" s="34">
        <v>0</v>
      </c>
      <c r="AO216" s="18">
        <v>715645081</v>
      </c>
      <c r="AP216" s="18">
        <v>1141145081</v>
      </c>
      <c r="AQ216" s="18">
        <v>37200000</v>
      </c>
      <c r="AR216" s="18">
        <v>67900000</v>
      </c>
      <c r="AS216" s="18">
        <v>87349999</v>
      </c>
      <c r="AT216" s="111">
        <f t="shared" ref="AT216" si="194">AQ216+AS216</f>
        <v>124549999</v>
      </c>
      <c r="AU216" s="18">
        <f t="shared" ref="AU216" si="195">AJ216-AM216</f>
        <v>194264077</v>
      </c>
      <c r="AV216" s="110">
        <f t="shared" ref="AV216" si="196">AM216-AP216</f>
        <v>64590842</v>
      </c>
      <c r="AW216" s="18">
        <f t="shared" ref="AW216" si="197">AP216-AT216</f>
        <v>1016595082</v>
      </c>
      <c r="AX216" s="123">
        <f t="shared" ref="AX216" si="198">AP216/AJ216</f>
        <v>0.81510362928571434</v>
      </c>
    </row>
    <row r="217" spans="1:50" ht="18.75" customHeight="1" x14ac:dyDescent="0.2">
      <c r="A217" s="35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7"/>
      <c r="AB217" s="29" t="s">
        <v>199</v>
      </c>
      <c r="AC217" s="38"/>
      <c r="AD217" s="39"/>
      <c r="AE217" s="40"/>
      <c r="AF217" s="40"/>
      <c r="AG217" s="40"/>
      <c r="AH217" s="40"/>
      <c r="AI217" s="40"/>
      <c r="AJ217" s="39"/>
      <c r="AK217" s="40"/>
      <c r="AL217" s="39"/>
      <c r="AM217" s="39"/>
      <c r="AN217" s="39"/>
      <c r="AO217" s="39"/>
      <c r="AP217" s="39"/>
      <c r="AQ217" s="40"/>
      <c r="AR217" s="40"/>
      <c r="AS217" s="40"/>
      <c r="AT217" s="31"/>
      <c r="AU217" s="39"/>
      <c r="AV217" s="39"/>
      <c r="AW217" s="39"/>
      <c r="AX217" s="18"/>
    </row>
    <row r="218" spans="1:50" ht="26.25" customHeight="1" x14ac:dyDescent="0.2">
      <c r="A218" s="14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28" t="s">
        <v>288</v>
      </c>
      <c r="AB218" s="29" t="s">
        <v>312</v>
      </c>
      <c r="AC218" s="17"/>
      <c r="AD218" s="18"/>
      <c r="AE218" s="34"/>
      <c r="AF218" s="34"/>
      <c r="AG218" s="34"/>
      <c r="AH218" s="34"/>
      <c r="AI218" s="34"/>
      <c r="AJ218" s="18"/>
      <c r="AK218" s="34"/>
      <c r="AL218" s="18"/>
      <c r="AM218" s="18"/>
      <c r="AN218" s="18"/>
      <c r="AO218" s="18"/>
      <c r="AP218" s="18"/>
      <c r="AQ218" s="34"/>
      <c r="AR218" s="34"/>
      <c r="AS218" s="34"/>
      <c r="AT218" s="31"/>
      <c r="AU218" s="18"/>
      <c r="AV218" s="18"/>
      <c r="AW218" s="18"/>
      <c r="AX218" s="18"/>
    </row>
    <row r="219" spans="1:50" ht="18.75" customHeight="1" x14ac:dyDescent="0.2">
      <c r="A219" s="14" t="s">
        <v>55</v>
      </c>
      <c r="B219" s="15" t="s">
        <v>56</v>
      </c>
      <c r="C219" s="15"/>
      <c r="D219" s="15"/>
      <c r="E219" s="15"/>
      <c r="F219" s="15"/>
      <c r="G219" s="15" t="s">
        <v>41</v>
      </c>
      <c r="H219" s="15"/>
      <c r="I219" s="15" t="s">
        <v>936</v>
      </c>
      <c r="J219" s="15"/>
      <c r="K219" s="15" t="s">
        <v>932</v>
      </c>
      <c r="L219" s="15"/>
      <c r="M219" s="15" t="s">
        <v>933</v>
      </c>
      <c r="N219" s="15"/>
      <c r="O219" s="15" t="s">
        <v>948</v>
      </c>
      <c r="P219" s="15"/>
      <c r="Q219" s="15" t="s">
        <v>942</v>
      </c>
      <c r="R219" s="15"/>
      <c r="S219" s="15" t="s">
        <v>940</v>
      </c>
      <c r="T219" s="15">
        <v>0</v>
      </c>
      <c r="U219" s="15">
        <v>0</v>
      </c>
      <c r="V219" s="15">
        <v>0</v>
      </c>
      <c r="W219" s="15"/>
      <c r="X219" s="15" t="s">
        <v>937</v>
      </c>
      <c r="Y219" s="15"/>
      <c r="Z219" s="15"/>
      <c r="AA219" s="16" t="s">
        <v>313</v>
      </c>
      <c r="AB219" s="17" t="s">
        <v>233</v>
      </c>
      <c r="AC219" s="17" t="s">
        <v>58</v>
      </c>
      <c r="AD219" s="18">
        <v>400000000</v>
      </c>
      <c r="AE219" s="34">
        <v>0</v>
      </c>
      <c r="AF219" s="34">
        <v>0</v>
      </c>
      <c r="AG219" s="34">
        <v>0</v>
      </c>
      <c r="AH219" s="34">
        <v>0</v>
      </c>
      <c r="AI219" s="34">
        <v>0</v>
      </c>
      <c r="AJ219" s="18">
        <v>400000000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4">
        <v>0</v>
      </c>
      <c r="AQ219" s="34">
        <v>0</v>
      </c>
      <c r="AR219" s="34">
        <v>0</v>
      </c>
      <c r="AS219" s="34">
        <v>0</v>
      </c>
      <c r="AT219" s="40">
        <f t="shared" ref="AT219" si="199">AQ219+AS219</f>
        <v>0</v>
      </c>
      <c r="AU219" s="18">
        <f t="shared" ref="AU219" si="200">AJ219-AM219</f>
        <v>400000000</v>
      </c>
      <c r="AV219" s="34">
        <f t="shared" ref="AV219" si="201">AM219-AP219</f>
        <v>0</v>
      </c>
      <c r="AW219" s="34">
        <f t="shared" ref="AW219" si="202">AP219-AT219</f>
        <v>0</v>
      </c>
      <c r="AX219" s="123">
        <f t="shared" ref="AX219" si="203">AP219/AJ219</f>
        <v>0</v>
      </c>
    </row>
    <row r="220" spans="1:50" ht="18.75" customHeight="1" x14ac:dyDescent="0.2">
      <c r="A220" s="14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6"/>
      <c r="AB220" s="17"/>
      <c r="AC220" s="17"/>
      <c r="AD220" s="18"/>
      <c r="AE220" s="34"/>
      <c r="AF220" s="34"/>
      <c r="AG220" s="34"/>
      <c r="AH220" s="34"/>
      <c r="AI220" s="34"/>
      <c r="AJ220" s="18"/>
      <c r="AK220" s="18"/>
      <c r="AL220" s="18"/>
      <c r="AM220" s="18"/>
      <c r="AN220" s="18"/>
      <c r="AO220" s="18"/>
      <c r="AP220" s="18"/>
      <c r="AQ220" s="34"/>
      <c r="AR220" s="34"/>
      <c r="AS220" s="34"/>
      <c r="AT220" s="31"/>
      <c r="AU220" s="18"/>
      <c r="AV220" s="18"/>
      <c r="AW220" s="18"/>
      <c r="AX220" s="18"/>
    </row>
    <row r="221" spans="1:50" s="25" customFormat="1" ht="18.75" customHeight="1" x14ac:dyDescent="0.2">
      <c r="A221" s="64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5"/>
      <c r="Z221" s="65"/>
      <c r="AA221" s="66"/>
      <c r="AB221" s="47" t="s">
        <v>314</v>
      </c>
      <c r="AC221" s="22" t="s">
        <v>315</v>
      </c>
      <c r="AD221" s="22">
        <f>SUM(AD188:AD219)</f>
        <v>4500000000</v>
      </c>
      <c r="AE221" s="23">
        <f t="shared" ref="AE221:AW221" si="204">SUM(AE188:AE219)</f>
        <v>0</v>
      </c>
      <c r="AF221" s="23">
        <f t="shared" si="204"/>
        <v>0</v>
      </c>
      <c r="AG221" s="22">
        <f t="shared" si="204"/>
        <v>200000000</v>
      </c>
      <c r="AH221" s="22">
        <f t="shared" si="204"/>
        <v>0</v>
      </c>
      <c r="AI221" s="22">
        <f t="shared" si="204"/>
        <v>200000000</v>
      </c>
      <c r="AJ221" s="22">
        <f t="shared" si="204"/>
        <v>4700000000</v>
      </c>
      <c r="AK221" s="23">
        <f t="shared" si="204"/>
        <v>0</v>
      </c>
      <c r="AL221" s="22">
        <f t="shared" si="204"/>
        <v>198090842</v>
      </c>
      <c r="AM221" s="22">
        <f t="shared" si="204"/>
        <v>2272420120</v>
      </c>
      <c r="AN221" s="22">
        <f t="shared" si="204"/>
        <v>34000000</v>
      </c>
      <c r="AO221" s="22">
        <f t="shared" si="204"/>
        <v>778145081</v>
      </c>
      <c r="AP221" s="22">
        <f t="shared" si="204"/>
        <v>2091743480</v>
      </c>
      <c r="AQ221" s="22">
        <f t="shared" si="204"/>
        <v>168650000</v>
      </c>
      <c r="AR221" s="108">
        <f t="shared" si="204"/>
        <v>164910758.65000001</v>
      </c>
      <c r="AS221" s="108">
        <f t="shared" si="204"/>
        <v>240937422.65000001</v>
      </c>
      <c r="AT221" s="108">
        <f>AQ221+AS221</f>
        <v>409587422.64999998</v>
      </c>
      <c r="AU221" s="108">
        <f t="shared" si="204"/>
        <v>2427579880</v>
      </c>
      <c r="AV221" s="22">
        <f t="shared" si="204"/>
        <v>180676640</v>
      </c>
      <c r="AW221" s="22">
        <f t="shared" si="204"/>
        <v>1682156057.3499999</v>
      </c>
      <c r="AX221" s="24">
        <f t="shared" ref="AX221" si="205">AP221/AJ221</f>
        <v>0.44505180425531915</v>
      </c>
    </row>
    <row r="222" spans="1:50" ht="18.75" customHeight="1" x14ac:dyDescent="0.2">
      <c r="A222" s="14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6"/>
      <c r="AB222" s="17"/>
      <c r="AC222" s="17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</row>
    <row r="223" spans="1:50" s="25" customFormat="1" ht="18.75" customHeight="1" x14ac:dyDescent="0.2">
      <c r="A223" s="64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5"/>
      <c r="Z223" s="65"/>
      <c r="AA223" s="66"/>
      <c r="AB223" s="21" t="s">
        <v>316</v>
      </c>
      <c r="AC223" s="67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3"/>
      <c r="AO223" s="63"/>
      <c r="AP223" s="63"/>
      <c r="AQ223" s="63"/>
      <c r="AR223" s="63"/>
      <c r="AS223" s="63"/>
      <c r="AT223" s="63"/>
      <c r="AU223" s="63"/>
      <c r="AV223" s="63"/>
      <c r="AW223" s="63"/>
      <c r="AX223" s="63"/>
    </row>
    <row r="224" spans="1:50" ht="18.75" customHeight="1" x14ac:dyDescent="0.2">
      <c r="A224" s="14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6"/>
      <c r="AB224" s="29" t="s">
        <v>317</v>
      </c>
      <c r="AC224" s="17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30"/>
      <c r="AU224" s="18"/>
      <c r="AV224" s="18"/>
      <c r="AW224" s="18"/>
      <c r="AX224" s="18"/>
    </row>
    <row r="225" spans="1:50" ht="18.75" customHeight="1" x14ac:dyDescent="0.2">
      <c r="A225" s="14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6"/>
      <c r="AB225" s="29" t="s">
        <v>318</v>
      </c>
      <c r="AC225" s="17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30"/>
      <c r="AU225" s="18"/>
      <c r="AV225" s="18"/>
      <c r="AW225" s="18"/>
      <c r="AX225" s="18"/>
    </row>
    <row r="226" spans="1:50" ht="25.5" x14ac:dyDescent="0.2">
      <c r="A226" s="35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7"/>
      <c r="AB226" s="29" t="s">
        <v>319</v>
      </c>
      <c r="AC226" s="38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0"/>
      <c r="AU226" s="39"/>
      <c r="AV226" s="39"/>
      <c r="AW226" s="39"/>
      <c r="AX226" s="18"/>
    </row>
    <row r="227" spans="1:50" ht="18.75" customHeight="1" x14ac:dyDescent="0.2">
      <c r="A227" s="35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7"/>
      <c r="AB227" s="29" t="s">
        <v>320</v>
      </c>
      <c r="AC227" s="38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0"/>
      <c r="AU227" s="39"/>
      <c r="AV227" s="39"/>
      <c r="AW227" s="39"/>
      <c r="AX227" s="18"/>
    </row>
    <row r="228" spans="1:50" ht="18.75" customHeight="1" x14ac:dyDescent="0.2">
      <c r="A228" s="14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6"/>
      <c r="AB228" s="29" t="s">
        <v>46</v>
      </c>
      <c r="AC228" s="17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30"/>
      <c r="AU228" s="18"/>
      <c r="AV228" s="18"/>
      <c r="AW228" s="18"/>
      <c r="AX228" s="18"/>
    </row>
    <row r="229" spans="1:50" ht="18.75" customHeight="1" x14ac:dyDescent="0.2">
      <c r="A229" s="14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6"/>
      <c r="AB229" s="29" t="s">
        <v>48</v>
      </c>
      <c r="AC229" s="17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30"/>
      <c r="AU229" s="18"/>
      <c r="AV229" s="18"/>
      <c r="AW229" s="18"/>
      <c r="AX229" s="18"/>
    </row>
    <row r="230" spans="1:50" ht="18.75" customHeight="1" x14ac:dyDescent="0.2">
      <c r="A230" s="14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6"/>
      <c r="AB230" s="29" t="s">
        <v>52</v>
      </c>
      <c r="AC230" s="17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30"/>
      <c r="AU230" s="18"/>
      <c r="AV230" s="18"/>
      <c r="AW230" s="18"/>
      <c r="AX230" s="18"/>
    </row>
    <row r="231" spans="1:50" ht="18.75" customHeight="1" x14ac:dyDescent="0.2">
      <c r="AA231" s="28" t="s">
        <v>288</v>
      </c>
      <c r="AB231" s="29" t="s">
        <v>54</v>
      </c>
      <c r="AC231" s="17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30"/>
      <c r="AU231" s="18"/>
      <c r="AV231" s="18"/>
      <c r="AW231" s="18"/>
      <c r="AX231" s="18"/>
    </row>
    <row r="232" spans="1:50" ht="18.75" customHeight="1" x14ac:dyDescent="0.2">
      <c r="A232" s="4" t="s">
        <v>55</v>
      </c>
      <c r="B232" s="4" t="s">
        <v>56</v>
      </c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1" t="s">
        <v>321</v>
      </c>
      <c r="AB232" s="42" t="s">
        <v>322</v>
      </c>
      <c r="AC232" s="38" t="s">
        <v>58</v>
      </c>
      <c r="AD232" s="39">
        <v>1139356981</v>
      </c>
      <c r="AE232" s="40">
        <v>0</v>
      </c>
      <c r="AF232" s="40">
        <v>0</v>
      </c>
      <c r="AG232" s="40">
        <v>0</v>
      </c>
      <c r="AH232" s="40">
        <v>0</v>
      </c>
      <c r="AI232" s="18">
        <f>AE232-AF232+AG232-AH328</f>
        <v>0</v>
      </c>
      <c r="AJ232" s="18">
        <f>AD232+AI232</f>
        <v>1139356981</v>
      </c>
      <c r="AK232" s="40">
        <v>0</v>
      </c>
      <c r="AL232" s="39">
        <v>0</v>
      </c>
      <c r="AM232" s="39">
        <v>1556705</v>
      </c>
      <c r="AN232" s="40">
        <v>0</v>
      </c>
      <c r="AO232" s="39">
        <v>0</v>
      </c>
      <c r="AP232" s="39">
        <v>678902</v>
      </c>
      <c r="AQ232" s="40">
        <v>0</v>
      </c>
      <c r="AR232" s="40">
        <v>0</v>
      </c>
      <c r="AS232" s="39">
        <v>678902</v>
      </c>
      <c r="AT232" s="39">
        <f t="shared" ref="AT232:AT233" si="206">AQ232+AS232</f>
        <v>678902</v>
      </c>
      <c r="AU232" s="18">
        <f t="shared" ref="AU232:AU233" si="207">AJ232-AM232</f>
        <v>1137800276</v>
      </c>
      <c r="AV232" s="110">
        <f t="shared" ref="AV232:AV233" si="208">AM232-AP232</f>
        <v>877803</v>
      </c>
      <c r="AW232" s="34">
        <f t="shared" ref="AW232:AW233" si="209">AP232-AT232</f>
        <v>0</v>
      </c>
      <c r="AX232" s="123">
        <f t="shared" ref="AX232:AX233" si="210">AP232/AJ232</f>
        <v>5.9586416840500314E-4</v>
      </c>
    </row>
    <row r="233" spans="1:50" ht="18.75" customHeight="1" x14ac:dyDescent="0.2">
      <c r="A233" s="4" t="s">
        <v>55</v>
      </c>
      <c r="B233" s="4" t="s">
        <v>56</v>
      </c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1" t="s">
        <v>323</v>
      </c>
      <c r="AB233" s="42" t="s">
        <v>324</v>
      </c>
      <c r="AC233" s="43" t="s">
        <v>61</v>
      </c>
      <c r="AD233" s="43">
        <v>9000660718</v>
      </c>
      <c r="AE233" s="44">
        <v>0</v>
      </c>
      <c r="AF233" s="44">
        <v>0</v>
      </c>
      <c r="AG233" s="44">
        <v>0</v>
      </c>
      <c r="AH233" s="33">
        <v>0</v>
      </c>
      <c r="AI233" s="18">
        <v>0</v>
      </c>
      <c r="AJ233" s="18">
        <f>AD233+AI233</f>
        <v>9000660718</v>
      </c>
      <c r="AK233" s="44">
        <v>0</v>
      </c>
      <c r="AL233" s="43">
        <v>697566291</v>
      </c>
      <c r="AM233" s="43">
        <v>2712979534</v>
      </c>
      <c r="AN233" s="44">
        <v>0</v>
      </c>
      <c r="AO233" s="43">
        <v>697566291</v>
      </c>
      <c r="AP233" s="43">
        <v>2711961180</v>
      </c>
      <c r="AQ233" s="44">
        <v>0</v>
      </c>
      <c r="AR233" s="43">
        <v>1389625072</v>
      </c>
      <c r="AS233" s="43">
        <v>2711961180</v>
      </c>
      <c r="AT233" s="39">
        <f t="shared" si="206"/>
        <v>2711961180</v>
      </c>
      <c r="AU233" s="18">
        <f t="shared" si="207"/>
        <v>6287681184</v>
      </c>
      <c r="AV233" s="110">
        <f t="shared" si="208"/>
        <v>1018354</v>
      </c>
      <c r="AW233" s="34">
        <f t="shared" si="209"/>
        <v>0</v>
      </c>
      <c r="AX233" s="123">
        <f t="shared" si="210"/>
        <v>0.30130690012306272</v>
      </c>
    </row>
    <row r="234" spans="1:50" x14ac:dyDescent="0.2">
      <c r="AW234" s="137"/>
    </row>
    <row r="235" spans="1:50" ht="18.75" customHeight="1" x14ac:dyDescent="0.2">
      <c r="AA235" s="28" t="s">
        <v>288</v>
      </c>
      <c r="AB235" s="29" t="s">
        <v>71</v>
      </c>
      <c r="AC235" s="17"/>
      <c r="AD235" s="18"/>
      <c r="AE235" s="34"/>
      <c r="AF235" s="34"/>
      <c r="AG235" s="34"/>
      <c r="AH235" s="34"/>
      <c r="AI235" s="34"/>
      <c r="AJ235" s="18"/>
      <c r="AK235" s="34"/>
      <c r="AL235" s="18"/>
      <c r="AM235" s="18"/>
      <c r="AN235" s="34"/>
      <c r="AO235" s="18"/>
      <c r="AP235" s="18"/>
      <c r="AQ235" s="34"/>
      <c r="AR235" s="18"/>
      <c r="AS235" s="18"/>
      <c r="AT235" s="30"/>
      <c r="AU235" s="18"/>
      <c r="AV235" s="18"/>
      <c r="AW235" s="34"/>
      <c r="AX235" s="18"/>
    </row>
    <row r="236" spans="1:50" ht="18.75" customHeight="1" x14ac:dyDescent="0.2">
      <c r="A236" s="4" t="s">
        <v>325</v>
      </c>
      <c r="B236" s="4" t="s">
        <v>326</v>
      </c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1" t="s">
        <v>327</v>
      </c>
      <c r="AB236" s="42" t="s">
        <v>328</v>
      </c>
      <c r="AC236" s="43" t="s">
        <v>61</v>
      </c>
      <c r="AD236" s="43">
        <v>391454539</v>
      </c>
      <c r="AE236" s="44">
        <v>0</v>
      </c>
      <c r="AF236" s="44">
        <v>0</v>
      </c>
      <c r="AG236" s="44">
        <v>0</v>
      </c>
      <c r="AH236" s="44">
        <v>0</v>
      </c>
      <c r="AI236" s="18">
        <f>AE236-AF236+AG236-AH332</f>
        <v>0</v>
      </c>
      <c r="AJ236" s="18">
        <f>AD236+AI236</f>
        <v>391454539</v>
      </c>
      <c r="AK236" s="44">
        <v>0</v>
      </c>
      <c r="AL236" s="43">
        <v>4510894</v>
      </c>
      <c r="AM236" s="43">
        <v>11529587</v>
      </c>
      <c r="AN236" s="44">
        <v>0</v>
      </c>
      <c r="AO236" s="43">
        <v>4510894</v>
      </c>
      <c r="AP236" s="43">
        <v>11529587</v>
      </c>
      <c r="AQ236" s="44">
        <v>0</v>
      </c>
      <c r="AR236" s="43">
        <v>6484459</v>
      </c>
      <c r="AS236" s="43">
        <v>11529587</v>
      </c>
      <c r="AT236" s="39">
        <f t="shared" ref="AT236" si="211">AQ236+AS236</f>
        <v>11529587</v>
      </c>
      <c r="AU236" s="18">
        <f t="shared" ref="AU236" si="212">AJ236-AM236</f>
        <v>379924952</v>
      </c>
      <c r="AV236" s="34">
        <f t="shared" ref="AV236" si="213">AM236-AP236</f>
        <v>0</v>
      </c>
      <c r="AW236" s="34">
        <f t="shared" ref="AW236" si="214">AP236-AT236</f>
        <v>0</v>
      </c>
      <c r="AX236" s="123">
        <f t="shared" ref="AX236" si="215">AP236/AJ236</f>
        <v>2.9453195330045718E-2</v>
      </c>
    </row>
    <row r="237" spans="1:50" ht="18.75" customHeight="1" x14ac:dyDescent="0.2">
      <c r="AA237" s="28" t="s">
        <v>288</v>
      </c>
      <c r="AB237" s="29" t="s">
        <v>76</v>
      </c>
      <c r="AC237" s="17"/>
      <c r="AD237" s="18"/>
      <c r="AE237" s="18"/>
      <c r="AF237" s="18"/>
      <c r="AG237" s="18"/>
      <c r="AH237" s="18"/>
      <c r="AI237" s="18"/>
      <c r="AJ237" s="18"/>
      <c r="AK237" s="34"/>
      <c r="AL237" s="18"/>
      <c r="AM237" s="18"/>
      <c r="AN237" s="34"/>
      <c r="AO237" s="18"/>
      <c r="AP237" s="18"/>
      <c r="AQ237" s="34"/>
      <c r="AR237" s="18"/>
      <c r="AS237" s="18"/>
      <c r="AT237" s="30"/>
      <c r="AU237" s="18"/>
      <c r="AV237" s="18"/>
      <c r="AW237" s="34"/>
      <c r="AX237" s="18"/>
    </row>
    <row r="238" spans="1:50" ht="18.75" customHeight="1" x14ac:dyDescent="0.2">
      <c r="A238" s="4" t="s">
        <v>325</v>
      </c>
      <c r="B238" s="4" t="s">
        <v>326</v>
      </c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1" t="s">
        <v>329</v>
      </c>
      <c r="AB238" s="42" t="s">
        <v>328</v>
      </c>
      <c r="AC238" s="43" t="s">
        <v>61</v>
      </c>
      <c r="AD238" s="43">
        <v>277293782</v>
      </c>
      <c r="AE238" s="44">
        <v>0</v>
      </c>
      <c r="AF238" s="44">
        <v>0</v>
      </c>
      <c r="AG238" s="44">
        <v>0</v>
      </c>
      <c r="AH238" s="44">
        <v>0</v>
      </c>
      <c r="AI238" s="44">
        <v>0</v>
      </c>
      <c r="AJ238" s="43">
        <v>277293782</v>
      </c>
      <c r="AK238" s="44">
        <v>0</v>
      </c>
      <c r="AL238" s="43">
        <v>11532483</v>
      </c>
      <c r="AM238" s="43">
        <v>47192854</v>
      </c>
      <c r="AN238" s="44">
        <v>0</v>
      </c>
      <c r="AO238" s="43">
        <v>11532483</v>
      </c>
      <c r="AP238" s="43">
        <v>47192854</v>
      </c>
      <c r="AQ238" s="44">
        <v>0</v>
      </c>
      <c r="AR238" s="43">
        <v>17526050</v>
      </c>
      <c r="AS238" s="43">
        <v>47192854</v>
      </c>
      <c r="AT238" s="39">
        <f t="shared" ref="AT238" si="216">AQ238+AS238</f>
        <v>47192854</v>
      </c>
      <c r="AU238" s="18">
        <f t="shared" ref="AU238" si="217">AJ238-AM238</f>
        <v>230100928</v>
      </c>
      <c r="AV238" s="34">
        <f t="shared" ref="AV238" si="218">AM238-AP238</f>
        <v>0</v>
      </c>
      <c r="AW238" s="34">
        <f t="shared" ref="AW238" si="219">AP238-AT238</f>
        <v>0</v>
      </c>
      <c r="AX238" s="123">
        <f t="shared" ref="AX238" si="220">AP238/AJ238</f>
        <v>0.17019081228442404</v>
      </c>
    </row>
    <row r="239" spans="1:50" ht="18.75" customHeight="1" x14ac:dyDescent="0.2">
      <c r="AA239" s="16"/>
      <c r="AB239" s="29" t="s">
        <v>81</v>
      </c>
      <c r="AC239" s="17"/>
      <c r="AD239" s="18"/>
      <c r="AE239" s="34"/>
      <c r="AF239" s="34"/>
      <c r="AG239" s="34"/>
      <c r="AH239" s="34"/>
      <c r="AI239" s="34"/>
      <c r="AJ239" s="18"/>
      <c r="AK239" s="34"/>
      <c r="AL239" s="18"/>
      <c r="AM239" s="18"/>
      <c r="AN239" s="34"/>
      <c r="AO239" s="18"/>
      <c r="AP239" s="18"/>
      <c r="AQ239" s="34"/>
      <c r="AR239" s="18"/>
      <c r="AS239" s="18"/>
      <c r="AT239" s="30"/>
      <c r="AU239" s="18"/>
      <c r="AV239" s="18"/>
      <c r="AW239" s="18"/>
      <c r="AX239" s="18"/>
    </row>
    <row r="240" spans="1:50" ht="18.75" customHeight="1" x14ac:dyDescent="0.2">
      <c r="AA240" s="28" t="s">
        <v>288</v>
      </c>
      <c r="AB240" s="29" t="s">
        <v>83</v>
      </c>
      <c r="AC240" s="17"/>
      <c r="AD240" s="18"/>
      <c r="AE240" s="34"/>
      <c r="AF240" s="34"/>
      <c r="AG240" s="34"/>
      <c r="AH240" s="34"/>
      <c r="AI240" s="34"/>
      <c r="AJ240" s="18"/>
      <c r="AK240" s="34"/>
      <c r="AL240" s="18"/>
      <c r="AM240" s="18"/>
      <c r="AN240" s="34"/>
      <c r="AO240" s="18"/>
      <c r="AP240" s="18"/>
      <c r="AQ240" s="34"/>
      <c r="AR240" s="18"/>
      <c r="AS240" s="18"/>
      <c r="AT240" s="30"/>
      <c r="AU240" s="18"/>
      <c r="AV240" s="18"/>
      <c r="AW240" s="18"/>
      <c r="AX240" s="18"/>
    </row>
    <row r="241" spans="1:50" ht="18.75" customHeight="1" x14ac:dyDescent="0.2">
      <c r="A241" s="4" t="s">
        <v>325</v>
      </c>
      <c r="B241" s="4" t="s">
        <v>326</v>
      </c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1" t="s">
        <v>330</v>
      </c>
      <c r="AB241" s="42" t="s">
        <v>328</v>
      </c>
      <c r="AC241" s="43" t="s">
        <v>61</v>
      </c>
      <c r="AD241" s="43">
        <v>863231353</v>
      </c>
      <c r="AE241" s="44">
        <v>0</v>
      </c>
      <c r="AF241" s="44">
        <v>0</v>
      </c>
      <c r="AG241" s="44">
        <v>0</v>
      </c>
      <c r="AH241" s="44">
        <v>0</v>
      </c>
      <c r="AI241" s="44">
        <v>0</v>
      </c>
      <c r="AJ241" s="43">
        <v>863231353</v>
      </c>
      <c r="AK241" s="44">
        <v>0</v>
      </c>
      <c r="AL241" s="43">
        <v>3646592</v>
      </c>
      <c r="AM241" s="43">
        <v>6619688</v>
      </c>
      <c r="AN241" s="44">
        <v>0</v>
      </c>
      <c r="AO241" s="43">
        <v>3646592</v>
      </c>
      <c r="AP241" s="43">
        <v>6619688</v>
      </c>
      <c r="AQ241" s="44">
        <v>0</v>
      </c>
      <c r="AR241" s="43">
        <v>5004930</v>
      </c>
      <c r="AS241" s="43">
        <v>6619688</v>
      </c>
      <c r="AT241" s="39">
        <f t="shared" ref="AT241" si="221">AQ241+AS241</f>
        <v>6619688</v>
      </c>
      <c r="AU241" s="18">
        <f t="shared" ref="AU241" si="222">AJ241-AM241</f>
        <v>856611665</v>
      </c>
      <c r="AV241" s="34">
        <f t="shared" ref="AV241" si="223">AM241-AP241</f>
        <v>0</v>
      </c>
      <c r="AW241" s="34">
        <f t="shared" ref="AW241" si="224">AP241-AT241</f>
        <v>0</v>
      </c>
      <c r="AX241" s="123">
        <f t="shared" ref="AX241" si="225">AP241/AJ241</f>
        <v>7.6684981111894346E-3</v>
      </c>
    </row>
    <row r="242" spans="1:50" ht="18.75" customHeight="1" x14ac:dyDescent="0.2">
      <c r="AA242" s="28" t="s">
        <v>288</v>
      </c>
      <c r="AB242" s="29" t="s">
        <v>88</v>
      </c>
      <c r="AC242" s="17"/>
      <c r="AD242" s="18"/>
      <c r="AE242" s="34"/>
      <c r="AF242" s="34"/>
      <c r="AG242" s="34"/>
      <c r="AH242" s="34"/>
      <c r="AI242" s="34"/>
      <c r="AJ242" s="18"/>
      <c r="AK242" s="18"/>
      <c r="AL242" s="18"/>
      <c r="AM242" s="18"/>
      <c r="AN242" s="18"/>
      <c r="AO242" s="18"/>
      <c r="AP242" s="18"/>
      <c r="AQ242" s="34"/>
      <c r="AR242" s="18"/>
      <c r="AS242" s="18"/>
      <c r="AT242" s="30"/>
      <c r="AU242" s="18"/>
      <c r="AV242" s="18"/>
      <c r="AW242" s="34"/>
      <c r="AX242" s="18"/>
    </row>
    <row r="243" spans="1:50" ht="18.75" customHeight="1" x14ac:dyDescent="0.2">
      <c r="A243" s="4" t="s">
        <v>325</v>
      </c>
      <c r="B243" s="4" t="s">
        <v>326</v>
      </c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1" t="s">
        <v>331</v>
      </c>
      <c r="AB243" s="42" t="s">
        <v>328</v>
      </c>
      <c r="AC243" s="43" t="s">
        <v>61</v>
      </c>
      <c r="AD243" s="43">
        <v>240951939</v>
      </c>
      <c r="AE243" s="44">
        <v>0</v>
      </c>
      <c r="AF243" s="44">
        <v>0</v>
      </c>
      <c r="AG243" s="44">
        <v>0</v>
      </c>
      <c r="AH243" s="44">
        <v>0</v>
      </c>
      <c r="AI243" s="44">
        <v>0</v>
      </c>
      <c r="AJ243" s="43">
        <v>240951939</v>
      </c>
      <c r="AK243" s="44">
        <v>0</v>
      </c>
      <c r="AL243" s="43">
        <v>3590115</v>
      </c>
      <c r="AM243" s="43">
        <v>17920197</v>
      </c>
      <c r="AN243" s="43">
        <v>0</v>
      </c>
      <c r="AO243" s="43">
        <v>3590115</v>
      </c>
      <c r="AP243" s="43">
        <v>17920197</v>
      </c>
      <c r="AQ243" s="44">
        <v>0</v>
      </c>
      <c r="AR243" s="43">
        <v>6923666</v>
      </c>
      <c r="AS243" s="43">
        <v>17920197</v>
      </c>
      <c r="AT243" s="39">
        <f t="shared" ref="AT243" si="226">AQ243+AS243</f>
        <v>17920197</v>
      </c>
      <c r="AU243" s="18">
        <f t="shared" ref="AU243" si="227">AJ243-AM243</f>
        <v>223031742</v>
      </c>
      <c r="AV243" s="34">
        <f t="shared" ref="AV243" si="228">AM243-AP243</f>
        <v>0</v>
      </c>
      <c r="AW243" s="34">
        <f t="shared" ref="AW243" si="229">AP243-AT243</f>
        <v>0</v>
      </c>
      <c r="AX243" s="123">
        <f t="shared" ref="AX243" si="230">AP243/AJ243</f>
        <v>7.4372495504176045E-2</v>
      </c>
    </row>
    <row r="244" spans="1:50" ht="18.75" customHeight="1" x14ac:dyDescent="0.2">
      <c r="AA244" s="16"/>
      <c r="AB244" s="29" t="s">
        <v>103</v>
      </c>
      <c r="AC244" s="17"/>
      <c r="AD244" s="18"/>
      <c r="AE244" s="34"/>
      <c r="AF244" s="34"/>
      <c r="AG244" s="34"/>
      <c r="AH244" s="34"/>
      <c r="AI244" s="34"/>
      <c r="AJ244" s="18"/>
      <c r="AK244" s="34"/>
      <c r="AL244" s="18"/>
      <c r="AM244" s="18"/>
      <c r="AN244" s="18"/>
      <c r="AO244" s="18"/>
      <c r="AP244" s="18"/>
      <c r="AQ244" s="18"/>
      <c r="AR244" s="18"/>
      <c r="AS244" s="18"/>
      <c r="AT244" s="30"/>
      <c r="AU244" s="18"/>
      <c r="AV244" s="18"/>
      <c r="AW244" s="34"/>
      <c r="AX244" s="18"/>
    </row>
    <row r="245" spans="1:50" ht="18.75" customHeight="1" x14ac:dyDescent="0.2">
      <c r="AA245" s="28" t="s">
        <v>288</v>
      </c>
      <c r="AB245" s="29" t="s">
        <v>105</v>
      </c>
      <c r="AC245" s="17"/>
      <c r="AD245" s="18"/>
      <c r="AE245" s="34"/>
      <c r="AF245" s="34"/>
      <c r="AG245" s="34"/>
      <c r="AH245" s="34"/>
      <c r="AI245" s="34"/>
      <c r="AJ245" s="18"/>
      <c r="AK245" s="34"/>
      <c r="AL245" s="18"/>
      <c r="AM245" s="18"/>
      <c r="AN245" s="18"/>
      <c r="AO245" s="18"/>
      <c r="AP245" s="18"/>
      <c r="AQ245" s="18"/>
      <c r="AR245" s="18"/>
      <c r="AS245" s="18"/>
      <c r="AT245" s="30"/>
      <c r="AU245" s="18"/>
      <c r="AV245" s="18"/>
      <c r="AW245" s="34"/>
      <c r="AX245" s="18"/>
    </row>
    <row r="246" spans="1:50" ht="18.75" customHeight="1" x14ac:dyDescent="0.2">
      <c r="A246" s="4" t="s">
        <v>325</v>
      </c>
      <c r="B246" s="4" t="s">
        <v>326</v>
      </c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1" t="s">
        <v>332</v>
      </c>
      <c r="AB246" s="42" t="s">
        <v>328</v>
      </c>
      <c r="AC246" s="43" t="s">
        <v>61</v>
      </c>
      <c r="AD246" s="43">
        <v>1112875275</v>
      </c>
      <c r="AE246" s="44">
        <v>0</v>
      </c>
      <c r="AF246" s="44">
        <v>0</v>
      </c>
      <c r="AG246" s="44">
        <v>0</v>
      </c>
      <c r="AH246" s="44">
        <v>0</v>
      </c>
      <c r="AI246" s="44">
        <v>0</v>
      </c>
      <c r="AJ246" s="43">
        <v>1112875275</v>
      </c>
      <c r="AK246" s="44">
        <v>0</v>
      </c>
      <c r="AL246" s="43">
        <v>84623800</v>
      </c>
      <c r="AM246" s="43">
        <v>343405700</v>
      </c>
      <c r="AN246" s="44">
        <v>0</v>
      </c>
      <c r="AO246" s="43">
        <v>85022000</v>
      </c>
      <c r="AP246" s="43">
        <v>340542700</v>
      </c>
      <c r="AQ246" s="110">
        <v>84623800</v>
      </c>
      <c r="AR246" s="110">
        <v>84828000</v>
      </c>
      <c r="AS246" s="110">
        <v>255918900</v>
      </c>
      <c r="AT246" s="39">
        <f t="shared" ref="AT246" si="231">AQ246+AS246</f>
        <v>340542700</v>
      </c>
      <c r="AU246" s="18">
        <f t="shared" ref="AU246" si="232">AJ246-AM246</f>
        <v>769469575</v>
      </c>
      <c r="AV246" s="110">
        <f t="shared" ref="AV246" si="233">AM246-AP246</f>
        <v>2863000</v>
      </c>
      <c r="AW246" s="34">
        <f t="shared" ref="AW246" si="234">AP246-AT246</f>
        <v>0</v>
      </c>
      <c r="AX246" s="123">
        <f t="shared" ref="AX246" si="235">AP246/AJ246</f>
        <v>0.30600257517627033</v>
      </c>
    </row>
    <row r="247" spans="1:50" ht="18.75" customHeight="1" x14ac:dyDescent="0.2">
      <c r="AA247" s="28" t="s">
        <v>288</v>
      </c>
      <c r="AB247" s="29" t="s">
        <v>333</v>
      </c>
      <c r="AC247" s="17"/>
      <c r="AD247" s="18"/>
      <c r="AE247" s="34"/>
      <c r="AF247" s="34"/>
      <c r="AG247" s="34"/>
      <c r="AH247" s="34"/>
      <c r="AI247" s="34"/>
      <c r="AJ247" s="18"/>
      <c r="AK247" s="34"/>
      <c r="AL247" s="18"/>
      <c r="AM247" s="18"/>
      <c r="AN247" s="34"/>
      <c r="AO247" s="18"/>
      <c r="AP247" s="18"/>
      <c r="AQ247" s="110"/>
      <c r="AR247" s="110"/>
      <c r="AS247" s="110"/>
      <c r="AT247" s="40"/>
      <c r="AU247" s="18"/>
      <c r="AV247" s="110"/>
      <c r="AW247" s="34"/>
      <c r="AX247" s="18"/>
    </row>
    <row r="248" spans="1:50" ht="18.75" customHeight="1" x14ac:dyDescent="0.2">
      <c r="A248" s="4" t="s">
        <v>325</v>
      </c>
      <c r="B248" s="4" t="s">
        <v>326</v>
      </c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1" t="s">
        <v>334</v>
      </c>
      <c r="AB248" s="42" t="s">
        <v>328</v>
      </c>
      <c r="AC248" s="43" t="s">
        <v>61</v>
      </c>
      <c r="AD248" s="43">
        <v>785176343</v>
      </c>
      <c r="AE248" s="44">
        <v>0</v>
      </c>
      <c r="AF248" s="44">
        <v>0</v>
      </c>
      <c r="AG248" s="44">
        <v>0</v>
      </c>
      <c r="AH248" s="44">
        <v>0</v>
      </c>
      <c r="AI248" s="44">
        <v>0</v>
      </c>
      <c r="AJ248" s="43">
        <v>785176343</v>
      </c>
      <c r="AK248" s="44">
        <v>0</v>
      </c>
      <c r="AL248" s="43">
        <v>60163200</v>
      </c>
      <c r="AM248" s="43">
        <v>244242700</v>
      </c>
      <c r="AN248" s="44">
        <v>0</v>
      </c>
      <c r="AO248" s="43">
        <v>60474300</v>
      </c>
      <c r="AP248" s="43">
        <v>242005900</v>
      </c>
      <c r="AQ248" s="110">
        <v>60163200</v>
      </c>
      <c r="AR248" s="110">
        <v>60394900</v>
      </c>
      <c r="AS248" s="110">
        <v>181842700</v>
      </c>
      <c r="AT248" s="39">
        <f t="shared" ref="AT248" si="236">AQ248+AS248</f>
        <v>242005900</v>
      </c>
      <c r="AU248" s="18">
        <f t="shared" ref="AU248" si="237">AJ248-AM248</f>
        <v>540933643</v>
      </c>
      <c r="AV248" s="110">
        <f t="shared" ref="AV248" si="238">AM248-AP248</f>
        <v>2236800</v>
      </c>
      <c r="AW248" s="34">
        <f t="shared" ref="AW248" si="239">AP248-AT248</f>
        <v>0</v>
      </c>
      <c r="AX248" s="123">
        <f t="shared" ref="AX248" si="240">AP248/AJ248</f>
        <v>0.30821853225397039</v>
      </c>
    </row>
    <row r="249" spans="1:50" ht="18.75" customHeight="1" x14ac:dyDescent="0.2">
      <c r="AA249" s="28" t="s">
        <v>288</v>
      </c>
      <c r="AB249" s="29" t="s">
        <v>115</v>
      </c>
      <c r="AC249" s="17"/>
      <c r="AD249" s="18"/>
      <c r="AE249" s="34"/>
      <c r="AF249" s="34"/>
      <c r="AG249" s="34"/>
      <c r="AH249" s="34"/>
      <c r="AI249" s="34"/>
      <c r="AJ249" s="18"/>
      <c r="AK249" s="34"/>
      <c r="AL249" s="18"/>
      <c r="AM249" s="18"/>
      <c r="AN249" s="34"/>
      <c r="AO249" s="18"/>
      <c r="AP249" s="18"/>
      <c r="AQ249" s="110"/>
      <c r="AR249" s="110"/>
      <c r="AS249" s="110"/>
      <c r="AT249" s="30"/>
      <c r="AU249" s="18"/>
      <c r="AV249" s="18"/>
      <c r="AW249" s="18"/>
      <c r="AX249" s="18"/>
    </row>
    <row r="250" spans="1:50" ht="18.75" customHeight="1" x14ac:dyDescent="0.2">
      <c r="A250" s="4" t="s">
        <v>325</v>
      </c>
      <c r="B250" s="4" t="s">
        <v>326</v>
      </c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1" t="s">
        <v>335</v>
      </c>
      <c r="AB250" s="42" t="s">
        <v>328</v>
      </c>
      <c r="AC250" s="43" t="s">
        <v>61</v>
      </c>
      <c r="AD250" s="43">
        <v>1074031411</v>
      </c>
      <c r="AE250" s="44">
        <v>0</v>
      </c>
      <c r="AF250" s="44">
        <v>0</v>
      </c>
      <c r="AG250" s="44">
        <v>0</v>
      </c>
      <c r="AH250" s="44">
        <v>0</v>
      </c>
      <c r="AI250" s="44">
        <v>0</v>
      </c>
      <c r="AJ250" s="43">
        <v>1074031411</v>
      </c>
      <c r="AK250" s="44">
        <v>0</v>
      </c>
      <c r="AL250" s="43">
        <v>9703656</v>
      </c>
      <c r="AM250" s="43">
        <v>658590168.25999999</v>
      </c>
      <c r="AN250" s="44">
        <v>0</v>
      </c>
      <c r="AO250" s="43">
        <v>9703656</v>
      </c>
      <c r="AP250" s="43">
        <v>658590168.25999999</v>
      </c>
      <c r="AQ250" s="114">
        <v>989501</v>
      </c>
      <c r="AR250" s="114">
        <v>9635684</v>
      </c>
      <c r="AS250" s="114">
        <v>652176070.25999999</v>
      </c>
      <c r="AT250" s="39">
        <f t="shared" ref="AT250" si="241">AQ250+AS250</f>
        <v>653165571.25999999</v>
      </c>
      <c r="AU250" s="18">
        <f t="shared" ref="AU250" si="242">AJ250-AM250</f>
        <v>415441242.74000001</v>
      </c>
      <c r="AV250" s="34">
        <f t="shared" ref="AV250" si="243">AM250-AP250</f>
        <v>0</v>
      </c>
      <c r="AW250" s="18">
        <f t="shared" ref="AW250" si="244">AP250-AT250</f>
        <v>5424597</v>
      </c>
      <c r="AX250" s="123">
        <f t="shared" ref="AX250" si="245">AP250/AJ250</f>
        <v>0.61319451322825413</v>
      </c>
    </row>
    <row r="251" spans="1:50" ht="18.75" customHeight="1" x14ac:dyDescent="0.2">
      <c r="AA251" s="28" t="s">
        <v>288</v>
      </c>
      <c r="AB251" s="29" t="s">
        <v>119</v>
      </c>
      <c r="AC251" s="17"/>
      <c r="AD251" s="18"/>
      <c r="AE251" s="34"/>
      <c r="AF251" s="34"/>
      <c r="AG251" s="34"/>
      <c r="AH251" s="34"/>
      <c r="AI251" s="34"/>
      <c r="AJ251" s="18"/>
      <c r="AK251" s="18"/>
      <c r="AL251" s="18"/>
      <c r="AM251" s="18"/>
      <c r="AN251" s="34"/>
      <c r="AO251" s="18"/>
      <c r="AP251" s="18"/>
      <c r="AQ251" s="110"/>
      <c r="AR251" s="110"/>
      <c r="AS251" s="110"/>
      <c r="AT251" s="30"/>
      <c r="AU251" s="18"/>
      <c r="AV251" s="18"/>
      <c r="AW251" s="18"/>
      <c r="AX251" s="18"/>
    </row>
    <row r="252" spans="1:50" ht="18.75" customHeight="1" x14ac:dyDescent="0.2">
      <c r="A252" s="4" t="s">
        <v>325</v>
      </c>
      <c r="B252" s="4" t="s">
        <v>326</v>
      </c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1" t="s">
        <v>336</v>
      </c>
      <c r="AB252" s="42" t="s">
        <v>328</v>
      </c>
      <c r="AC252" s="43" t="s">
        <v>61</v>
      </c>
      <c r="AD252" s="43">
        <v>438243332</v>
      </c>
      <c r="AE252" s="44">
        <v>0</v>
      </c>
      <c r="AF252" s="44">
        <v>0</v>
      </c>
      <c r="AG252" s="44">
        <v>0</v>
      </c>
      <c r="AH252" s="44">
        <v>0</v>
      </c>
      <c r="AI252" s="44">
        <v>0</v>
      </c>
      <c r="AJ252" s="43">
        <v>438243332</v>
      </c>
      <c r="AK252" s="44">
        <v>0</v>
      </c>
      <c r="AL252" s="43">
        <v>28851800</v>
      </c>
      <c r="AM252" s="43">
        <v>114976000</v>
      </c>
      <c r="AN252" s="44">
        <v>0</v>
      </c>
      <c r="AO252" s="43">
        <v>28851800</v>
      </c>
      <c r="AP252" s="43">
        <v>114976000</v>
      </c>
      <c r="AQ252" s="110">
        <v>28851800</v>
      </c>
      <c r="AR252" s="110">
        <v>28116100</v>
      </c>
      <c r="AS252" s="110">
        <v>86124200</v>
      </c>
      <c r="AT252" s="39">
        <f t="shared" ref="AT252:AT266" si="246">AQ252+AS252</f>
        <v>114976000</v>
      </c>
      <c r="AU252" s="18">
        <f t="shared" ref="AU252" si="247">AJ252-AM252</f>
        <v>323267332</v>
      </c>
      <c r="AV252" s="34">
        <f t="shared" ref="AV252" si="248">AM252-AP252</f>
        <v>0</v>
      </c>
      <c r="AW252" s="34">
        <f t="shared" ref="AW252" si="249">AP252-AT252</f>
        <v>0</v>
      </c>
      <c r="AX252" s="123">
        <f t="shared" ref="AX252" si="250">AP252/AJ252</f>
        <v>0.26235653027574191</v>
      </c>
    </row>
    <row r="253" spans="1:50" ht="18.75" customHeight="1" x14ac:dyDescent="0.2">
      <c r="AA253" s="28" t="s">
        <v>288</v>
      </c>
      <c r="AB253" s="29" t="s">
        <v>124</v>
      </c>
      <c r="AC253" s="17"/>
      <c r="AD253" s="18"/>
      <c r="AE253" s="34"/>
      <c r="AF253" s="34"/>
      <c r="AG253" s="34"/>
      <c r="AH253" s="34"/>
      <c r="AI253" s="34"/>
      <c r="AJ253" s="18"/>
      <c r="AK253" s="34"/>
      <c r="AL253" s="18"/>
      <c r="AM253" s="18"/>
      <c r="AN253" s="34"/>
      <c r="AO253" s="18"/>
      <c r="AP253" s="18"/>
      <c r="AQ253" s="34"/>
      <c r="AR253" s="34"/>
      <c r="AS253" s="34"/>
      <c r="AT253" s="40">
        <f t="shared" si="246"/>
        <v>0</v>
      </c>
      <c r="AU253" s="18"/>
      <c r="AV253" s="18"/>
      <c r="AW253" s="34"/>
      <c r="AX253" s="18"/>
    </row>
    <row r="254" spans="1:50" ht="18.75" customHeight="1" x14ac:dyDescent="0.2">
      <c r="A254" s="4" t="s">
        <v>325</v>
      </c>
      <c r="B254" s="4" t="s">
        <v>326</v>
      </c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1" t="s">
        <v>337</v>
      </c>
      <c r="AB254" s="42" t="s">
        <v>328</v>
      </c>
      <c r="AC254" s="43" t="s">
        <v>61</v>
      </c>
      <c r="AD254" s="43">
        <v>46632075</v>
      </c>
      <c r="AE254" s="44">
        <v>0</v>
      </c>
      <c r="AF254" s="44">
        <v>0</v>
      </c>
      <c r="AG254" s="44">
        <v>0</v>
      </c>
      <c r="AH254" s="44">
        <v>0</v>
      </c>
      <c r="AI254" s="44">
        <v>0</v>
      </c>
      <c r="AJ254" s="43">
        <v>46632075</v>
      </c>
      <c r="AK254" s="44">
        <v>0</v>
      </c>
      <c r="AL254" s="43">
        <v>3706100</v>
      </c>
      <c r="AM254" s="43">
        <v>14321900</v>
      </c>
      <c r="AN254" s="44">
        <v>0</v>
      </c>
      <c r="AO254" s="43">
        <v>3706100</v>
      </c>
      <c r="AP254" s="43">
        <v>14321900</v>
      </c>
      <c r="AQ254" s="110">
        <v>3706100</v>
      </c>
      <c r="AR254" s="110">
        <v>3626700</v>
      </c>
      <c r="AS254" s="110">
        <v>10615800</v>
      </c>
      <c r="AT254" s="39">
        <f t="shared" si="246"/>
        <v>14321900</v>
      </c>
      <c r="AU254" s="18">
        <f t="shared" ref="AU254" si="251">AJ254-AM254</f>
        <v>32310175</v>
      </c>
      <c r="AV254" s="34">
        <f t="shared" ref="AV254" si="252">AM254-AP254</f>
        <v>0</v>
      </c>
      <c r="AW254" s="34">
        <f t="shared" ref="AW254" si="253">AP254-AT254</f>
        <v>0</v>
      </c>
      <c r="AX254" s="123">
        <f t="shared" ref="AX254" si="254">AP254/AJ254</f>
        <v>0.30712551393005783</v>
      </c>
    </row>
    <row r="255" spans="1:50" ht="18.75" customHeight="1" x14ac:dyDescent="0.2">
      <c r="AA255" s="28" t="s">
        <v>288</v>
      </c>
      <c r="AB255" s="29" t="s">
        <v>129</v>
      </c>
      <c r="AC255" s="17"/>
      <c r="AD255" s="18"/>
      <c r="AE255" s="34"/>
      <c r="AF255" s="34"/>
      <c r="AG255" s="34"/>
      <c r="AH255" s="34"/>
      <c r="AI255" s="34"/>
      <c r="AJ255" s="18"/>
      <c r="AK255" s="34"/>
      <c r="AL255" s="18"/>
      <c r="AM255" s="18"/>
      <c r="AN255" s="34"/>
      <c r="AO255" s="18"/>
      <c r="AP255" s="18"/>
      <c r="AQ255" s="110"/>
      <c r="AR255" s="110"/>
      <c r="AS255" s="110"/>
      <c r="AT255" s="40">
        <f t="shared" si="246"/>
        <v>0</v>
      </c>
      <c r="AU255" s="18"/>
      <c r="AV255" s="18"/>
      <c r="AW255" s="34"/>
      <c r="AX255" s="18"/>
    </row>
    <row r="256" spans="1:50" ht="18.75" customHeight="1" x14ac:dyDescent="0.2">
      <c r="A256" s="4" t="s">
        <v>325</v>
      </c>
      <c r="B256" s="4" t="s">
        <v>326</v>
      </c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1" t="s">
        <v>338</v>
      </c>
      <c r="AB256" s="42" t="s">
        <v>328</v>
      </c>
      <c r="AC256" s="43" t="s">
        <v>61</v>
      </c>
      <c r="AD256" s="43">
        <v>328682499</v>
      </c>
      <c r="AE256" s="44">
        <v>0</v>
      </c>
      <c r="AF256" s="44">
        <v>0</v>
      </c>
      <c r="AG256" s="44">
        <v>0</v>
      </c>
      <c r="AH256" s="44">
        <v>0</v>
      </c>
      <c r="AI256" s="44">
        <v>0</v>
      </c>
      <c r="AJ256" s="43">
        <v>328682499</v>
      </c>
      <c r="AK256" s="44">
        <v>0</v>
      </c>
      <c r="AL256" s="43">
        <v>21641000</v>
      </c>
      <c r="AM256" s="43">
        <v>86239900</v>
      </c>
      <c r="AN256" s="44">
        <v>0</v>
      </c>
      <c r="AO256" s="43">
        <v>21641000</v>
      </c>
      <c r="AP256" s="43">
        <v>86239900</v>
      </c>
      <c r="AQ256" s="110">
        <v>21641000</v>
      </c>
      <c r="AR256" s="110">
        <v>21089200</v>
      </c>
      <c r="AS256" s="110">
        <v>64598900</v>
      </c>
      <c r="AT256" s="39">
        <f t="shared" si="246"/>
        <v>86239900</v>
      </c>
      <c r="AU256" s="18">
        <f t="shared" ref="AU256" si="255">AJ256-AM256</f>
        <v>242442599</v>
      </c>
      <c r="AV256" s="34">
        <f t="shared" ref="AV256" si="256">AM256-AP256</f>
        <v>0</v>
      </c>
      <c r="AW256" s="34">
        <f t="shared" ref="AW256" si="257">AP256-AT256</f>
        <v>0</v>
      </c>
      <c r="AX256" s="123">
        <f t="shared" ref="AX256" si="258">AP256/AJ256</f>
        <v>0.26238056562908146</v>
      </c>
    </row>
    <row r="257" spans="1:50" ht="18.75" customHeight="1" x14ac:dyDescent="0.2">
      <c r="AA257" s="28" t="s">
        <v>288</v>
      </c>
      <c r="AB257" s="29" t="s">
        <v>133</v>
      </c>
      <c r="AC257" s="17"/>
      <c r="AD257" s="18"/>
      <c r="AE257" s="34"/>
      <c r="AF257" s="34"/>
      <c r="AG257" s="34"/>
      <c r="AH257" s="34"/>
      <c r="AI257" s="34"/>
      <c r="AJ257" s="18"/>
      <c r="AK257" s="34"/>
      <c r="AL257" s="18"/>
      <c r="AM257" s="18"/>
      <c r="AN257" s="34"/>
      <c r="AO257" s="18"/>
      <c r="AP257" s="18"/>
      <c r="AQ257" s="110"/>
      <c r="AR257" s="110"/>
      <c r="AS257" s="110"/>
      <c r="AT257" s="40">
        <f t="shared" si="246"/>
        <v>0</v>
      </c>
      <c r="AU257" s="18"/>
      <c r="AV257" s="18"/>
      <c r="AW257" s="34"/>
      <c r="AX257" s="18"/>
    </row>
    <row r="258" spans="1:50" ht="18.75" customHeight="1" x14ac:dyDescent="0.2">
      <c r="A258" s="4" t="s">
        <v>325</v>
      </c>
      <c r="B258" s="4" t="s">
        <v>326</v>
      </c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1" t="s">
        <v>339</v>
      </c>
      <c r="AB258" s="42" t="s">
        <v>328</v>
      </c>
      <c r="AC258" s="43" t="s">
        <v>61</v>
      </c>
      <c r="AD258" s="43">
        <v>54780417</v>
      </c>
      <c r="AE258" s="44">
        <v>0</v>
      </c>
      <c r="AF258" s="44">
        <v>0</v>
      </c>
      <c r="AG258" s="44">
        <v>0</v>
      </c>
      <c r="AH258" s="44">
        <v>0</v>
      </c>
      <c r="AI258" s="44">
        <v>0</v>
      </c>
      <c r="AJ258" s="43">
        <v>54780417</v>
      </c>
      <c r="AK258" s="44">
        <v>0</v>
      </c>
      <c r="AL258" s="43">
        <v>3618600</v>
      </c>
      <c r="AM258" s="43">
        <v>14425000</v>
      </c>
      <c r="AN258" s="44">
        <v>0</v>
      </c>
      <c r="AO258" s="43">
        <v>3618600</v>
      </c>
      <c r="AP258" s="43">
        <v>14425000</v>
      </c>
      <c r="AQ258" s="110">
        <v>3618600</v>
      </c>
      <c r="AR258" s="110">
        <v>3526800</v>
      </c>
      <c r="AS258" s="110">
        <v>10806400</v>
      </c>
      <c r="AT258" s="39">
        <f t="shared" si="246"/>
        <v>14425000</v>
      </c>
      <c r="AU258" s="18">
        <f t="shared" ref="AU258" si="259">AJ258-AM258</f>
        <v>40355417</v>
      </c>
      <c r="AV258" s="34">
        <f t="shared" ref="AV258" si="260">AM258-AP258</f>
        <v>0</v>
      </c>
      <c r="AW258" s="34">
        <f t="shared" ref="AW258" si="261">AP258-AT258</f>
        <v>0</v>
      </c>
      <c r="AX258" s="123">
        <f t="shared" ref="AX258" si="262">AP258/AJ258</f>
        <v>0.2633240269054542</v>
      </c>
    </row>
    <row r="259" spans="1:50" ht="18.75" customHeight="1" x14ac:dyDescent="0.2">
      <c r="AA259" s="28" t="s">
        <v>288</v>
      </c>
      <c r="AB259" s="29" t="s">
        <v>138</v>
      </c>
      <c r="AC259" s="17"/>
      <c r="AD259" s="18"/>
      <c r="AE259" s="34"/>
      <c r="AF259" s="34"/>
      <c r="AG259" s="34"/>
      <c r="AH259" s="34"/>
      <c r="AI259" s="34"/>
      <c r="AJ259" s="18"/>
      <c r="AK259" s="34"/>
      <c r="AL259" s="18"/>
      <c r="AM259" s="18"/>
      <c r="AN259" s="34"/>
      <c r="AO259" s="18"/>
      <c r="AP259" s="18"/>
      <c r="AQ259" s="110"/>
      <c r="AR259" s="110"/>
      <c r="AS259" s="110"/>
      <c r="AT259" s="40">
        <f t="shared" si="246"/>
        <v>0</v>
      </c>
      <c r="AU259" s="18"/>
      <c r="AV259" s="18"/>
      <c r="AW259" s="34"/>
      <c r="AX259" s="18"/>
    </row>
    <row r="260" spans="1:50" ht="18.75" customHeight="1" x14ac:dyDescent="0.2">
      <c r="A260" s="4" t="s">
        <v>325</v>
      </c>
      <c r="B260" s="4" t="s">
        <v>326</v>
      </c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1" t="s">
        <v>340</v>
      </c>
      <c r="AB260" s="42" t="s">
        <v>328</v>
      </c>
      <c r="AC260" s="43" t="s">
        <v>61</v>
      </c>
      <c r="AD260" s="43">
        <v>54780417</v>
      </c>
      <c r="AE260" s="44">
        <v>0</v>
      </c>
      <c r="AF260" s="44">
        <v>0</v>
      </c>
      <c r="AG260" s="44">
        <v>0</v>
      </c>
      <c r="AH260" s="44">
        <v>0</v>
      </c>
      <c r="AI260" s="44">
        <v>0</v>
      </c>
      <c r="AJ260" s="43">
        <v>54780417</v>
      </c>
      <c r="AK260" s="44">
        <v>0</v>
      </c>
      <c r="AL260" s="43">
        <v>3618600</v>
      </c>
      <c r="AM260" s="43">
        <v>14425000</v>
      </c>
      <c r="AN260" s="44">
        <v>0</v>
      </c>
      <c r="AO260" s="43">
        <v>3618600</v>
      </c>
      <c r="AP260" s="43">
        <v>14425000</v>
      </c>
      <c r="AQ260" s="110">
        <v>3618600</v>
      </c>
      <c r="AR260" s="110">
        <v>3526800</v>
      </c>
      <c r="AS260" s="110">
        <v>10806400</v>
      </c>
      <c r="AT260" s="39">
        <f t="shared" si="246"/>
        <v>14425000</v>
      </c>
      <c r="AU260" s="18">
        <f t="shared" ref="AU260" si="263">AJ260-AM260</f>
        <v>40355417</v>
      </c>
      <c r="AV260" s="34">
        <f t="shared" ref="AV260" si="264">AM260-AP260</f>
        <v>0</v>
      </c>
      <c r="AW260" s="34">
        <f t="shared" ref="AW260" si="265">AP260-AT260</f>
        <v>0</v>
      </c>
      <c r="AX260" s="123">
        <f t="shared" ref="AX260" si="266">AP260/AJ260</f>
        <v>0.2633240269054542</v>
      </c>
    </row>
    <row r="261" spans="1:50" x14ac:dyDescent="0.2">
      <c r="AA261" s="28" t="s">
        <v>288</v>
      </c>
      <c r="AB261" s="29" t="s">
        <v>145</v>
      </c>
      <c r="AC261" s="17"/>
      <c r="AD261" s="18"/>
      <c r="AE261" s="34"/>
      <c r="AF261" s="34"/>
      <c r="AG261" s="34"/>
      <c r="AH261" s="34"/>
      <c r="AI261" s="34"/>
      <c r="AJ261" s="18"/>
      <c r="AK261" s="34"/>
      <c r="AL261" s="18"/>
      <c r="AM261" s="18"/>
      <c r="AN261" s="34"/>
      <c r="AO261" s="18"/>
      <c r="AP261" s="18"/>
      <c r="AQ261" s="34"/>
      <c r="AR261" s="34"/>
      <c r="AS261" s="34"/>
      <c r="AT261" s="40">
        <f t="shared" si="246"/>
        <v>0</v>
      </c>
      <c r="AU261" s="18"/>
      <c r="AV261" s="18"/>
      <c r="AW261" s="18"/>
      <c r="AX261" s="18"/>
    </row>
    <row r="262" spans="1:50" ht="18.75" customHeight="1" x14ac:dyDescent="0.2">
      <c r="A262" s="4" t="s">
        <v>325</v>
      </c>
      <c r="B262" s="4" t="s">
        <v>326</v>
      </c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1" t="s">
        <v>341</v>
      </c>
      <c r="AB262" s="42" t="s">
        <v>328</v>
      </c>
      <c r="AC262" s="43" t="s">
        <v>61</v>
      </c>
      <c r="AD262" s="43">
        <v>109560833</v>
      </c>
      <c r="AE262" s="44">
        <v>0</v>
      </c>
      <c r="AF262" s="44">
        <v>0</v>
      </c>
      <c r="AG262" s="44">
        <v>0</v>
      </c>
      <c r="AH262" s="44">
        <v>0</v>
      </c>
      <c r="AI262" s="44">
        <v>0</v>
      </c>
      <c r="AJ262" s="43">
        <v>109560833</v>
      </c>
      <c r="AK262" s="44">
        <v>0</v>
      </c>
      <c r="AL262" s="43">
        <v>7225400</v>
      </c>
      <c r="AM262" s="43">
        <v>28796100</v>
      </c>
      <c r="AN262" s="44">
        <v>0</v>
      </c>
      <c r="AO262" s="43">
        <v>7225400</v>
      </c>
      <c r="AP262" s="43">
        <v>28796100</v>
      </c>
      <c r="AQ262" s="34">
        <v>7225400</v>
      </c>
      <c r="AR262" s="110">
        <v>7041600</v>
      </c>
      <c r="AS262" s="110">
        <v>21570700</v>
      </c>
      <c r="AT262" s="39">
        <f t="shared" si="246"/>
        <v>28796100</v>
      </c>
      <c r="AU262" s="18">
        <f t="shared" ref="AU262" si="267">AJ262-AM262</f>
        <v>80764733</v>
      </c>
      <c r="AV262" s="34">
        <f t="shared" ref="AV262" si="268">AM262-AP262</f>
        <v>0</v>
      </c>
      <c r="AW262" s="34">
        <f t="shared" ref="AW262" si="269">AP262-AT262</f>
        <v>0</v>
      </c>
      <c r="AX262" s="123">
        <f t="shared" ref="AX262" si="270">AP262/AJ262</f>
        <v>0.26283206517789071</v>
      </c>
    </row>
    <row r="263" spans="1:50" ht="18.75" customHeight="1" x14ac:dyDescent="0.2">
      <c r="AA263" s="16"/>
      <c r="AB263" s="29" t="s">
        <v>149</v>
      </c>
      <c r="AC263" s="17"/>
      <c r="AD263" s="18"/>
      <c r="AE263" s="34"/>
      <c r="AF263" s="34"/>
      <c r="AG263" s="34"/>
      <c r="AH263" s="34"/>
      <c r="AI263" s="34"/>
      <c r="AJ263" s="18"/>
      <c r="AK263" s="34"/>
      <c r="AL263" s="18"/>
      <c r="AM263" s="18"/>
      <c r="AN263" s="34"/>
      <c r="AO263" s="18"/>
      <c r="AP263" s="18"/>
      <c r="AQ263" s="34"/>
      <c r="AR263" s="34"/>
      <c r="AS263" s="34"/>
      <c r="AT263" s="40"/>
      <c r="AU263" s="18"/>
      <c r="AV263" s="18"/>
      <c r="AW263" s="34"/>
      <c r="AX263" s="18"/>
    </row>
    <row r="264" spans="1:50" ht="18.75" customHeight="1" x14ac:dyDescent="0.2">
      <c r="AA264" s="16"/>
      <c r="AB264" s="29" t="s">
        <v>81</v>
      </c>
      <c r="AC264" s="17"/>
      <c r="AD264" s="18"/>
      <c r="AE264" s="34"/>
      <c r="AF264" s="34"/>
      <c r="AG264" s="34"/>
      <c r="AH264" s="34"/>
      <c r="AI264" s="34"/>
      <c r="AJ264" s="18"/>
      <c r="AK264" s="34"/>
      <c r="AL264" s="18"/>
      <c r="AM264" s="18"/>
      <c r="AN264" s="34"/>
      <c r="AO264" s="18"/>
      <c r="AP264" s="18"/>
      <c r="AQ264" s="34"/>
      <c r="AR264" s="34"/>
      <c r="AS264" s="34"/>
      <c r="AT264" s="40"/>
      <c r="AU264" s="18"/>
      <c r="AV264" s="18"/>
      <c r="AW264" s="34"/>
      <c r="AX264" s="18"/>
    </row>
    <row r="265" spans="1:50" ht="18.75" customHeight="1" x14ac:dyDescent="0.2">
      <c r="AA265" s="28" t="s">
        <v>288</v>
      </c>
      <c r="AB265" s="29" t="s">
        <v>152</v>
      </c>
      <c r="AC265" s="17"/>
      <c r="AD265" s="18"/>
      <c r="AE265" s="34"/>
      <c r="AF265" s="34"/>
      <c r="AG265" s="34"/>
      <c r="AH265" s="34"/>
      <c r="AI265" s="34"/>
      <c r="AJ265" s="18"/>
      <c r="AK265" s="34"/>
      <c r="AL265" s="18"/>
      <c r="AM265" s="18"/>
      <c r="AN265" s="34"/>
      <c r="AO265" s="18"/>
      <c r="AP265" s="18"/>
      <c r="AQ265" s="34"/>
      <c r="AR265" s="34"/>
      <c r="AS265" s="34"/>
      <c r="AT265" s="40"/>
      <c r="AU265" s="18"/>
      <c r="AV265" s="18"/>
      <c r="AW265" s="34"/>
      <c r="AX265" s="18"/>
    </row>
    <row r="266" spans="1:50" ht="18.75" customHeight="1" x14ac:dyDescent="0.2">
      <c r="A266" s="4" t="s">
        <v>325</v>
      </c>
      <c r="B266" s="4" t="s">
        <v>326</v>
      </c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1" t="s">
        <v>342</v>
      </c>
      <c r="AB266" s="42" t="s">
        <v>328</v>
      </c>
      <c r="AC266" s="43" t="s">
        <v>61</v>
      </c>
      <c r="AD266" s="43">
        <v>229777776</v>
      </c>
      <c r="AE266" s="44">
        <v>0</v>
      </c>
      <c r="AF266" s="44">
        <v>0</v>
      </c>
      <c r="AG266" s="44">
        <v>0</v>
      </c>
      <c r="AH266" s="44">
        <v>0</v>
      </c>
      <c r="AI266" s="44">
        <v>0</v>
      </c>
      <c r="AJ266" s="43">
        <v>229777776</v>
      </c>
      <c r="AK266" s="44">
        <v>0</v>
      </c>
      <c r="AL266" s="43">
        <v>10318226</v>
      </c>
      <c r="AM266" s="43">
        <v>33077498</v>
      </c>
      <c r="AN266" s="44">
        <v>0</v>
      </c>
      <c r="AO266" s="43">
        <v>5001972</v>
      </c>
      <c r="AP266" s="43">
        <v>27761244</v>
      </c>
      <c r="AQ266" s="34">
        <v>0</v>
      </c>
      <c r="AR266" s="133">
        <v>9770361</v>
      </c>
      <c r="AS266" s="110">
        <v>27761244</v>
      </c>
      <c r="AT266" s="39">
        <f t="shared" si="246"/>
        <v>27761244</v>
      </c>
      <c r="AU266" s="18">
        <f t="shared" ref="AU266" si="271">AJ266-AM266</f>
        <v>196700278</v>
      </c>
      <c r="AV266" s="18">
        <f t="shared" ref="AV266" si="272">AM266-AP266</f>
        <v>5316254</v>
      </c>
      <c r="AW266" s="34">
        <f t="shared" ref="AW266" si="273">AP266-AT266</f>
        <v>0</v>
      </c>
      <c r="AX266" s="123">
        <f t="shared" ref="AX266" si="274">AP266/AJ266</f>
        <v>0.12081779397151098</v>
      </c>
    </row>
    <row r="267" spans="1:50" ht="18.75" customHeight="1" x14ac:dyDescent="0.2">
      <c r="AA267" s="28" t="s">
        <v>288</v>
      </c>
      <c r="AB267" s="29" t="s">
        <v>343</v>
      </c>
      <c r="AC267" s="17"/>
      <c r="AD267" s="18"/>
      <c r="AE267" s="34"/>
      <c r="AF267" s="34"/>
      <c r="AG267" s="34"/>
      <c r="AH267" s="34"/>
      <c r="AI267" s="34"/>
      <c r="AJ267" s="18"/>
      <c r="AK267" s="34"/>
      <c r="AL267" s="18"/>
      <c r="AM267" s="18"/>
      <c r="AN267" s="34"/>
      <c r="AO267" s="18"/>
      <c r="AP267" s="18"/>
      <c r="AQ267" s="34"/>
      <c r="AR267" s="34"/>
      <c r="AS267" s="34"/>
      <c r="AT267" s="40"/>
      <c r="AU267" s="18"/>
      <c r="AV267" s="18"/>
      <c r="AW267" s="34"/>
      <c r="AX267" s="18"/>
    </row>
    <row r="268" spans="1:50" ht="18.75" customHeight="1" x14ac:dyDescent="0.2">
      <c r="A268" s="4" t="s">
        <v>325</v>
      </c>
      <c r="B268" s="4" t="s">
        <v>326</v>
      </c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1" t="s">
        <v>344</v>
      </c>
      <c r="AB268" s="42" t="s">
        <v>328</v>
      </c>
      <c r="AC268" s="43" t="s">
        <v>61</v>
      </c>
      <c r="AD268" s="43">
        <v>10000000</v>
      </c>
      <c r="AE268" s="44">
        <v>0</v>
      </c>
      <c r="AF268" s="44">
        <v>0</v>
      </c>
      <c r="AG268" s="44">
        <v>0</v>
      </c>
      <c r="AH268" s="44">
        <v>0</v>
      </c>
      <c r="AI268" s="44">
        <v>0</v>
      </c>
      <c r="AJ268" s="43">
        <v>10000000</v>
      </c>
      <c r="AK268" s="44">
        <v>0</v>
      </c>
      <c r="AL268" s="44">
        <v>0</v>
      </c>
      <c r="AM268" s="44">
        <v>0</v>
      </c>
      <c r="AN268" s="44">
        <v>0</v>
      </c>
      <c r="AO268" s="44">
        <v>0</v>
      </c>
      <c r="AP268" s="44">
        <v>0</v>
      </c>
      <c r="AQ268" s="34">
        <v>0</v>
      </c>
      <c r="AR268" s="34">
        <v>0</v>
      </c>
      <c r="AS268" s="34">
        <v>0</v>
      </c>
      <c r="AT268" s="40">
        <f t="shared" ref="AT268" si="275">AQ268+AS268</f>
        <v>0</v>
      </c>
      <c r="AU268" s="18">
        <f t="shared" ref="AU268" si="276">AJ268-AM268</f>
        <v>10000000</v>
      </c>
      <c r="AV268" s="34">
        <f t="shared" ref="AV268" si="277">AM268-AP268</f>
        <v>0</v>
      </c>
      <c r="AW268" s="34">
        <f t="shared" ref="AW268" si="278">AP268-AT268</f>
        <v>0</v>
      </c>
      <c r="AX268" s="123">
        <f t="shared" ref="AX268" si="279">AP268/AJ268</f>
        <v>0</v>
      </c>
    </row>
    <row r="269" spans="1:50" ht="18.75" customHeight="1" x14ac:dyDescent="0.2">
      <c r="AA269" s="28" t="s">
        <v>288</v>
      </c>
      <c r="AB269" s="29" t="s">
        <v>162</v>
      </c>
      <c r="AC269" s="17"/>
      <c r="AD269" s="18"/>
      <c r="AE269" s="34"/>
      <c r="AF269" s="34"/>
      <c r="AG269" s="34"/>
      <c r="AH269" s="34"/>
      <c r="AI269" s="34"/>
      <c r="AJ269" s="18"/>
      <c r="AK269" s="34"/>
      <c r="AL269" s="18"/>
      <c r="AM269" s="18"/>
      <c r="AN269" s="34"/>
      <c r="AO269" s="18"/>
      <c r="AP269" s="18"/>
      <c r="AQ269" s="34"/>
      <c r="AR269" s="34"/>
      <c r="AS269" s="34"/>
      <c r="AT269" s="40"/>
      <c r="AU269" s="18"/>
      <c r="AV269" s="18"/>
      <c r="AW269" s="34"/>
      <c r="AX269" s="18"/>
    </row>
    <row r="270" spans="1:50" ht="18.75" customHeight="1" x14ac:dyDescent="0.2">
      <c r="A270" s="4" t="s">
        <v>325</v>
      </c>
      <c r="B270" s="4" t="s">
        <v>326</v>
      </c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1" t="s">
        <v>345</v>
      </c>
      <c r="AB270" s="42" t="s">
        <v>328</v>
      </c>
      <c r="AC270" s="43" t="s">
        <v>61</v>
      </c>
      <c r="AD270" s="43">
        <v>31208419</v>
      </c>
      <c r="AE270" s="44">
        <v>0</v>
      </c>
      <c r="AF270" s="44">
        <v>0</v>
      </c>
      <c r="AG270" s="44">
        <v>0</v>
      </c>
      <c r="AH270" s="44">
        <v>0</v>
      </c>
      <c r="AI270" s="44">
        <v>0</v>
      </c>
      <c r="AJ270" s="43">
        <v>31208419</v>
      </c>
      <c r="AK270" s="44">
        <v>0</v>
      </c>
      <c r="AL270" s="43">
        <v>458176</v>
      </c>
      <c r="AM270" s="43">
        <v>2276975</v>
      </c>
      <c r="AN270" s="44">
        <v>0</v>
      </c>
      <c r="AO270" s="43">
        <v>458176</v>
      </c>
      <c r="AP270" s="43">
        <v>2276975</v>
      </c>
      <c r="AQ270" s="34">
        <v>0</v>
      </c>
      <c r="AR270" s="133">
        <v>882505</v>
      </c>
      <c r="AS270" s="110">
        <v>2276975</v>
      </c>
      <c r="AT270" s="39">
        <f t="shared" ref="AT270" si="280">AQ270+AS270</f>
        <v>2276975</v>
      </c>
      <c r="AU270" s="18">
        <f t="shared" ref="AU270" si="281">AJ270-AM270</f>
        <v>28931444</v>
      </c>
      <c r="AV270" s="34">
        <f t="shared" ref="AV270" si="282">AM270-AP270</f>
        <v>0</v>
      </c>
      <c r="AW270" s="34">
        <f t="shared" ref="AW270" si="283">AP270-AT270</f>
        <v>0</v>
      </c>
      <c r="AX270" s="123">
        <f t="shared" ref="AX270" si="284">AP270/AJ270</f>
        <v>7.2960280365371916E-2</v>
      </c>
    </row>
    <row r="271" spans="1:50" ht="18.75" customHeight="1" x14ac:dyDescent="0.2">
      <c r="AA271" s="28" t="s">
        <v>288</v>
      </c>
      <c r="AB271" s="29" t="s">
        <v>346</v>
      </c>
      <c r="AC271" s="17"/>
      <c r="AD271" s="18"/>
      <c r="AE271" s="34"/>
      <c r="AF271" s="34"/>
      <c r="AG271" s="34"/>
      <c r="AH271" s="34"/>
      <c r="AI271" s="34"/>
      <c r="AJ271" s="18"/>
      <c r="AK271" s="34"/>
      <c r="AL271" s="18"/>
      <c r="AM271" s="18"/>
      <c r="AN271" s="34"/>
      <c r="AO271" s="18"/>
      <c r="AP271" s="18"/>
      <c r="AQ271" s="34"/>
      <c r="AR271" s="133"/>
      <c r="AS271" s="110"/>
      <c r="AT271" s="40"/>
      <c r="AU271" s="18"/>
      <c r="AV271" s="18"/>
      <c r="AW271" s="34"/>
      <c r="AX271" s="18"/>
    </row>
    <row r="272" spans="1:50" ht="18.75" customHeight="1" x14ac:dyDescent="0.2">
      <c r="A272" s="4" t="s">
        <v>325</v>
      </c>
      <c r="B272" s="4" t="s">
        <v>326</v>
      </c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1" t="s">
        <v>347</v>
      </c>
      <c r="AB272" s="42" t="s">
        <v>328</v>
      </c>
      <c r="AC272" s="43" t="s">
        <v>61</v>
      </c>
      <c r="AD272" s="43">
        <v>1108512330</v>
      </c>
      <c r="AE272" s="44">
        <v>0</v>
      </c>
      <c r="AF272" s="44">
        <v>0</v>
      </c>
      <c r="AG272" s="44">
        <v>0</v>
      </c>
      <c r="AH272" s="44">
        <v>0</v>
      </c>
      <c r="AI272" s="44">
        <v>0</v>
      </c>
      <c r="AJ272" s="43">
        <v>1108512330</v>
      </c>
      <c r="AK272" s="44">
        <v>0</v>
      </c>
      <c r="AL272" s="43">
        <v>75053604</v>
      </c>
      <c r="AM272" s="43">
        <v>291745760</v>
      </c>
      <c r="AN272" s="44">
        <v>0</v>
      </c>
      <c r="AO272" s="43">
        <v>75053604</v>
      </c>
      <c r="AP272" s="43">
        <v>291309764</v>
      </c>
      <c r="AQ272" s="34">
        <v>0</v>
      </c>
      <c r="AR272" s="133">
        <v>150164726</v>
      </c>
      <c r="AS272" s="110">
        <v>291309764</v>
      </c>
      <c r="AT272" s="39">
        <f t="shared" ref="AT272" si="285">AQ272+AS272</f>
        <v>291309764</v>
      </c>
      <c r="AU272" s="18">
        <f t="shared" ref="AU272" si="286">AJ272-AM272</f>
        <v>816766570</v>
      </c>
      <c r="AV272" s="110">
        <f t="shared" ref="AV272" si="287">AM272-AP272</f>
        <v>435996</v>
      </c>
      <c r="AW272" s="34">
        <f t="shared" ref="AW272" si="288">AP272-AT272</f>
        <v>0</v>
      </c>
      <c r="AX272" s="123">
        <f t="shared" ref="AX272" si="289">AP272/AJ272</f>
        <v>0.26279343595573718</v>
      </c>
    </row>
    <row r="273" spans="1:50" ht="18.75" customHeight="1" x14ac:dyDescent="0.2">
      <c r="AA273" s="16"/>
      <c r="AB273" s="29" t="s">
        <v>348</v>
      </c>
      <c r="AC273" s="17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34"/>
      <c r="AO273" s="18"/>
      <c r="AP273" s="18"/>
      <c r="AQ273" s="18"/>
      <c r="AR273" s="18"/>
      <c r="AS273" s="18"/>
      <c r="AT273" s="30"/>
      <c r="AU273" s="18"/>
      <c r="AV273" s="18"/>
      <c r="AW273" s="18"/>
      <c r="AX273" s="18"/>
    </row>
    <row r="274" spans="1:50" ht="18.75" customHeight="1" x14ac:dyDescent="0.2">
      <c r="AA274" s="16"/>
      <c r="AB274" s="29" t="s">
        <v>318</v>
      </c>
      <c r="AC274" s="17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34"/>
      <c r="AO274" s="18"/>
      <c r="AP274" s="18"/>
      <c r="AQ274" s="18"/>
      <c r="AR274" s="18"/>
      <c r="AS274" s="18"/>
      <c r="AT274" s="30"/>
      <c r="AU274" s="18"/>
      <c r="AV274" s="18"/>
      <c r="AW274" s="18"/>
      <c r="AX274" s="18"/>
    </row>
    <row r="275" spans="1:50" ht="25.5" x14ac:dyDescent="0.2">
      <c r="AA275" s="16"/>
      <c r="AB275" s="29" t="s">
        <v>319</v>
      </c>
      <c r="AC275" s="17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34"/>
      <c r="AO275" s="18"/>
      <c r="AP275" s="18"/>
      <c r="AQ275" s="18"/>
      <c r="AR275" s="18"/>
      <c r="AS275" s="18"/>
      <c r="AT275" s="30"/>
      <c r="AU275" s="18"/>
      <c r="AV275" s="18"/>
      <c r="AW275" s="18"/>
      <c r="AX275" s="18"/>
    </row>
    <row r="276" spans="1:50" ht="18.75" customHeight="1" x14ac:dyDescent="0.2">
      <c r="AA276" s="16"/>
      <c r="AB276" s="29" t="s">
        <v>320</v>
      </c>
      <c r="AC276" s="17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34"/>
      <c r="AO276" s="18"/>
      <c r="AP276" s="18"/>
      <c r="AQ276" s="18"/>
      <c r="AR276" s="18"/>
      <c r="AS276" s="18"/>
      <c r="AT276" s="30"/>
      <c r="AU276" s="18"/>
      <c r="AV276" s="18"/>
      <c r="AW276" s="18"/>
      <c r="AX276" s="18"/>
    </row>
    <row r="277" spans="1:50" ht="18.75" customHeight="1" x14ac:dyDescent="0.2">
      <c r="AA277" s="16"/>
      <c r="AB277" s="29" t="s">
        <v>46</v>
      </c>
      <c r="AC277" s="17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34"/>
      <c r="AO277" s="18"/>
      <c r="AP277" s="18"/>
      <c r="AQ277" s="18"/>
      <c r="AR277" s="18"/>
      <c r="AS277" s="18"/>
      <c r="AT277" s="30"/>
      <c r="AU277" s="18"/>
      <c r="AV277" s="18"/>
      <c r="AW277" s="18"/>
      <c r="AX277" s="18"/>
    </row>
    <row r="278" spans="1:50" ht="18.75" customHeight="1" x14ac:dyDescent="0.2">
      <c r="AA278" s="16"/>
      <c r="AB278" s="29" t="s">
        <v>48</v>
      </c>
      <c r="AC278" s="17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34"/>
      <c r="AO278" s="18"/>
      <c r="AP278" s="18"/>
      <c r="AQ278" s="18"/>
      <c r="AR278" s="18"/>
      <c r="AS278" s="18"/>
      <c r="AT278" s="30"/>
      <c r="AU278" s="18"/>
      <c r="AV278" s="18"/>
      <c r="AW278" s="18"/>
      <c r="AX278" s="18"/>
    </row>
    <row r="279" spans="1:50" ht="18.75" customHeight="1" x14ac:dyDescent="0.2">
      <c r="AA279" s="16"/>
      <c r="AB279" s="29" t="s">
        <v>52</v>
      </c>
      <c r="AC279" s="17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34"/>
      <c r="AO279" s="18"/>
      <c r="AP279" s="18"/>
      <c r="AQ279" s="18"/>
      <c r="AR279" s="18"/>
      <c r="AS279" s="18"/>
      <c r="AT279" s="30"/>
      <c r="AU279" s="18"/>
      <c r="AV279" s="18"/>
      <c r="AW279" s="18"/>
      <c r="AX279" s="18"/>
    </row>
    <row r="280" spans="1:50" ht="18.75" customHeight="1" x14ac:dyDescent="0.2">
      <c r="AA280" s="28" t="s">
        <v>288</v>
      </c>
      <c r="AB280" s="29" t="s">
        <v>54</v>
      </c>
      <c r="AC280" s="17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34"/>
      <c r="AO280" s="18"/>
      <c r="AP280" s="18"/>
      <c r="AQ280" s="18"/>
      <c r="AR280" s="18"/>
      <c r="AS280" s="18"/>
      <c r="AT280" s="30"/>
      <c r="AU280" s="18"/>
      <c r="AV280" s="18"/>
      <c r="AW280" s="18"/>
      <c r="AX280" s="18"/>
    </row>
    <row r="281" spans="1:50" ht="18.75" customHeight="1" x14ac:dyDescent="0.2">
      <c r="A281" s="4" t="s">
        <v>55</v>
      </c>
      <c r="B281" s="4" t="s">
        <v>56</v>
      </c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1" t="s">
        <v>323</v>
      </c>
      <c r="AB281" s="42" t="s">
        <v>324</v>
      </c>
      <c r="AC281" s="43" t="s">
        <v>61</v>
      </c>
      <c r="AD281" s="43">
        <v>111646949658</v>
      </c>
      <c r="AE281" s="44">
        <v>0</v>
      </c>
      <c r="AF281" s="44">
        <v>0</v>
      </c>
      <c r="AG281" s="43"/>
      <c r="AH281" s="43">
        <v>316940531.69999999</v>
      </c>
      <c r="AI281" s="18">
        <f>AE281-AF281+AG281-AH281</f>
        <v>-316940531.69999999</v>
      </c>
      <c r="AJ281" s="18">
        <f>AD281+AI281</f>
        <v>111330009126.3</v>
      </c>
      <c r="AK281" s="44">
        <v>0</v>
      </c>
      <c r="AL281" s="43">
        <v>8889310206</v>
      </c>
      <c r="AM281" s="43">
        <v>32466522563</v>
      </c>
      <c r="AN281" s="44">
        <v>0</v>
      </c>
      <c r="AO281" s="43">
        <v>8889310206</v>
      </c>
      <c r="AP281" s="43">
        <v>32466522563</v>
      </c>
      <c r="AQ281" s="43">
        <v>561132</v>
      </c>
      <c r="AR281" s="43">
        <v>17814199810</v>
      </c>
      <c r="AS281" s="43">
        <v>32465961431</v>
      </c>
      <c r="AT281" s="39">
        <f t="shared" ref="AT281:AT282" si="290">AQ281+AS281</f>
        <v>32466522563</v>
      </c>
      <c r="AU281" s="18">
        <f t="shared" ref="AU281:AU282" si="291">AJ281-AM281</f>
        <v>78863486563.300003</v>
      </c>
      <c r="AV281" s="133">
        <f t="shared" ref="AV281:AV282" si="292">AM281-AP281</f>
        <v>0</v>
      </c>
      <c r="AW281" s="34">
        <f t="shared" ref="AW281:AW282" si="293">AP281-AT281</f>
        <v>0</v>
      </c>
      <c r="AX281" s="123">
        <f t="shared" ref="AX281:AX282" si="294">AP281/AJ281</f>
        <v>0.29162417948037589</v>
      </c>
    </row>
    <row r="282" spans="1:50" ht="18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173" t="s">
        <v>962</v>
      </c>
      <c r="AB282" s="42" t="s">
        <v>963</v>
      </c>
      <c r="AC282" s="43"/>
      <c r="AD282" s="43">
        <v>0</v>
      </c>
      <c r="AE282" s="44">
        <v>0</v>
      </c>
      <c r="AF282" s="44">
        <v>0</v>
      </c>
      <c r="AG282" s="43">
        <v>280746171.69999999</v>
      </c>
      <c r="AH282" s="43">
        <v>0</v>
      </c>
      <c r="AI282" s="18">
        <f>AE282-AF282+AG282-AH330</f>
        <v>280746171.69999999</v>
      </c>
      <c r="AJ282" s="18">
        <f>AD282+AI282</f>
        <v>280746171.69999999</v>
      </c>
      <c r="AK282" s="44">
        <v>0</v>
      </c>
      <c r="AL282" s="43">
        <v>0</v>
      </c>
      <c r="AM282" s="43">
        <v>0</v>
      </c>
      <c r="AN282" s="44">
        <v>0</v>
      </c>
      <c r="AO282" s="44">
        <v>0</v>
      </c>
      <c r="AP282" s="44">
        <v>0</v>
      </c>
      <c r="AQ282" s="44">
        <v>0</v>
      </c>
      <c r="AR282" s="44">
        <v>0</v>
      </c>
      <c r="AS282" s="43">
        <v>0</v>
      </c>
      <c r="AT282" s="39">
        <f t="shared" si="290"/>
        <v>0</v>
      </c>
      <c r="AU282" s="18">
        <f t="shared" si="291"/>
        <v>280746171.69999999</v>
      </c>
      <c r="AV282" s="133">
        <f t="shared" si="292"/>
        <v>0</v>
      </c>
      <c r="AW282" s="34">
        <f t="shared" si="293"/>
        <v>0</v>
      </c>
      <c r="AX282" s="123">
        <f t="shared" si="294"/>
        <v>0</v>
      </c>
    </row>
    <row r="283" spans="1:50" ht="18.75" customHeight="1" x14ac:dyDescent="0.2">
      <c r="AA283" s="28" t="s">
        <v>288</v>
      </c>
      <c r="AB283" s="29" t="s">
        <v>63</v>
      </c>
      <c r="AC283" s="17"/>
      <c r="AD283" s="18"/>
      <c r="AE283" s="34"/>
      <c r="AF283" s="34"/>
      <c r="AG283" s="34"/>
      <c r="AH283" s="34"/>
      <c r="AI283" s="34"/>
      <c r="AJ283" s="18"/>
      <c r="AK283" s="34"/>
      <c r="AL283" s="18"/>
      <c r="AM283" s="18"/>
      <c r="AN283" s="34"/>
      <c r="AO283" s="18"/>
      <c r="AP283" s="18"/>
      <c r="AQ283" s="18"/>
      <c r="AR283" s="34"/>
      <c r="AS283" s="18"/>
      <c r="AT283" s="30"/>
      <c r="AU283" s="18"/>
      <c r="AV283" s="34"/>
      <c r="AW283" s="34"/>
      <c r="AX283" s="18"/>
    </row>
    <row r="284" spans="1:50" ht="18.75" customHeight="1" x14ac:dyDescent="0.2">
      <c r="A284" s="4" t="s">
        <v>325</v>
      </c>
      <c r="B284" s="4" t="s">
        <v>326</v>
      </c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1" t="s">
        <v>349</v>
      </c>
      <c r="AB284" s="42" t="s">
        <v>328</v>
      </c>
      <c r="AC284" s="43" t="s">
        <v>61</v>
      </c>
      <c r="AD284" s="43">
        <v>1252925726</v>
      </c>
      <c r="AE284" s="44">
        <v>0</v>
      </c>
      <c r="AF284" s="44">
        <v>0</v>
      </c>
      <c r="AG284" s="44">
        <v>0</v>
      </c>
      <c r="AH284" s="44">
        <v>0</v>
      </c>
      <c r="AI284" s="44">
        <v>0</v>
      </c>
      <c r="AJ284" s="43">
        <v>1252925726</v>
      </c>
      <c r="AK284" s="44">
        <v>0</v>
      </c>
      <c r="AL284" s="43">
        <v>143692067</v>
      </c>
      <c r="AM284" s="43">
        <v>295522570</v>
      </c>
      <c r="AN284" s="44">
        <v>0</v>
      </c>
      <c r="AO284" s="43">
        <v>143692067</v>
      </c>
      <c r="AP284" s="43">
        <v>295522570</v>
      </c>
      <c r="AQ284" s="44">
        <v>0</v>
      </c>
      <c r="AR284" s="44">
        <v>289502631</v>
      </c>
      <c r="AS284" s="43">
        <v>295522570</v>
      </c>
      <c r="AT284" s="39">
        <f t="shared" ref="AT284" si="295">AQ284+AS284</f>
        <v>295522570</v>
      </c>
      <c r="AU284" s="18">
        <f t="shared" ref="AU284" si="296">AJ284-AM284</f>
        <v>957403156</v>
      </c>
      <c r="AV284" s="34">
        <f t="shared" ref="AV284" si="297">AM284-AP284</f>
        <v>0</v>
      </c>
      <c r="AW284" s="34">
        <f t="shared" ref="AW284" si="298">AP284-AT284</f>
        <v>0</v>
      </c>
      <c r="AX284" s="123">
        <f t="shared" ref="AX284" si="299">AP284/AJ284</f>
        <v>0.23586599258637939</v>
      </c>
    </row>
    <row r="285" spans="1:50" ht="18.75" customHeight="1" x14ac:dyDescent="0.2">
      <c r="AA285" s="28" t="s">
        <v>288</v>
      </c>
      <c r="AB285" s="29" t="s">
        <v>67</v>
      </c>
      <c r="AC285" s="17"/>
      <c r="AD285" s="18"/>
      <c r="AE285" s="34"/>
      <c r="AF285" s="34"/>
      <c r="AG285" s="34"/>
      <c r="AH285" s="34"/>
      <c r="AI285" s="34"/>
      <c r="AJ285" s="18"/>
      <c r="AK285" s="34"/>
      <c r="AL285" s="18"/>
      <c r="AM285" s="18"/>
      <c r="AN285" s="34"/>
      <c r="AO285" s="18"/>
      <c r="AP285" s="18"/>
      <c r="AQ285" s="34"/>
      <c r="AR285" s="34"/>
      <c r="AS285" s="18"/>
      <c r="AT285" s="39"/>
      <c r="AU285" s="18"/>
      <c r="AV285" s="34"/>
      <c r="AW285" s="34"/>
      <c r="AX285" s="18"/>
    </row>
    <row r="286" spans="1:50" ht="18.75" customHeight="1" x14ac:dyDescent="0.2">
      <c r="A286" s="4" t="s">
        <v>325</v>
      </c>
      <c r="B286" s="4" t="s">
        <v>326</v>
      </c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1" t="s">
        <v>350</v>
      </c>
      <c r="AB286" s="42" t="s">
        <v>328</v>
      </c>
      <c r="AC286" s="43" t="s">
        <v>61</v>
      </c>
      <c r="AD286" s="43">
        <v>29846525</v>
      </c>
      <c r="AE286" s="44">
        <v>0</v>
      </c>
      <c r="AF286" s="44">
        <v>0</v>
      </c>
      <c r="AG286" s="44">
        <v>0</v>
      </c>
      <c r="AH286" s="44">
        <v>0</v>
      </c>
      <c r="AI286" s="44">
        <v>0</v>
      </c>
      <c r="AJ286" s="43">
        <v>29846525</v>
      </c>
      <c r="AK286" s="44">
        <v>0</v>
      </c>
      <c r="AL286" s="43">
        <v>2423594</v>
      </c>
      <c r="AM286" s="43">
        <v>8616965</v>
      </c>
      <c r="AN286" s="44">
        <v>0</v>
      </c>
      <c r="AO286" s="43">
        <v>2423594</v>
      </c>
      <c r="AP286" s="43">
        <v>8616965</v>
      </c>
      <c r="AQ286" s="44">
        <v>0</v>
      </c>
      <c r="AR286" s="44">
        <v>4761260</v>
      </c>
      <c r="AS286" s="43">
        <v>8616965</v>
      </c>
      <c r="AT286" s="39">
        <f t="shared" ref="AT286" si="300">AQ286+AS286</f>
        <v>8616965</v>
      </c>
      <c r="AU286" s="18">
        <f t="shared" ref="AU286" si="301">AJ286-AM286</f>
        <v>21229560</v>
      </c>
      <c r="AV286" s="34">
        <f t="shared" ref="AV286" si="302">AM286-AP286</f>
        <v>0</v>
      </c>
      <c r="AW286" s="34">
        <f t="shared" ref="AW286" si="303">AP286-AT286</f>
        <v>0</v>
      </c>
      <c r="AX286" s="123">
        <f t="shared" ref="AX286" si="304">AP286/AJ286</f>
        <v>0.28870915458332252</v>
      </c>
    </row>
    <row r="287" spans="1:50" ht="18.75" customHeight="1" x14ac:dyDescent="0.2">
      <c r="AA287" s="28" t="s">
        <v>288</v>
      </c>
      <c r="AB287" s="29" t="s">
        <v>69</v>
      </c>
      <c r="AC287" s="17"/>
      <c r="AD287" s="18"/>
      <c r="AE287" s="34"/>
      <c r="AF287" s="34"/>
      <c r="AG287" s="34"/>
      <c r="AH287" s="34"/>
      <c r="AI287" s="34"/>
      <c r="AJ287" s="18"/>
      <c r="AK287" s="34"/>
      <c r="AL287" s="18"/>
      <c r="AM287" s="18"/>
      <c r="AN287" s="34"/>
      <c r="AO287" s="18"/>
      <c r="AP287" s="18"/>
      <c r="AQ287" s="34"/>
      <c r="AR287" s="18"/>
      <c r="AS287" s="18"/>
      <c r="AT287" s="39"/>
      <c r="AU287" s="18"/>
      <c r="AV287" s="18"/>
      <c r="AW287" s="34"/>
      <c r="AX287" s="18"/>
    </row>
    <row r="288" spans="1:50" ht="18.75" customHeight="1" x14ac:dyDescent="0.2">
      <c r="A288" s="4" t="s">
        <v>325</v>
      </c>
      <c r="B288" s="4" t="s">
        <v>326</v>
      </c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1" t="s">
        <v>351</v>
      </c>
      <c r="AB288" s="42" t="s">
        <v>328</v>
      </c>
      <c r="AC288" s="43" t="s">
        <v>61</v>
      </c>
      <c r="AD288" s="43">
        <v>8723052</v>
      </c>
      <c r="AE288" s="44">
        <v>0</v>
      </c>
      <c r="AF288" s="44">
        <v>0</v>
      </c>
      <c r="AG288" s="43">
        <v>36194360</v>
      </c>
      <c r="AH288" s="44">
        <v>0</v>
      </c>
      <c r="AI288" s="18">
        <f>AE288-AF288+AG288-AH336</f>
        <v>36194360</v>
      </c>
      <c r="AJ288" s="18">
        <f>AD288+AI288</f>
        <v>44917412</v>
      </c>
      <c r="AK288" s="44">
        <v>0</v>
      </c>
      <c r="AL288" s="43">
        <v>3796860</v>
      </c>
      <c r="AM288" s="43">
        <v>13487711</v>
      </c>
      <c r="AN288" s="44">
        <v>0</v>
      </c>
      <c r="AO288" s="43">
        <v>3796860</v>
      </c>
      <c r="AP288" s="43">
        <v>13487711</v>
      </c>
      <c r="AQ288" s="44">
        <v>0</v>
      </c>
      <c r="AR288" s="43">
        <v>7455329</v>
      </c>
      <c r="AS288" s="43">
        <v>13487711</v>
      </c>
      <c r="AT288" s="39">
        <f t="shared" ref="AT288" si="305">AQ288+AS288</f>
        <v>13487711</v>
      </c>
      <c r="AU288" s="18">
        <f t="shared" ref="AU288" si="306">AJ288-AM288</f>
        <v>31429701</v>
      </c>
      <c r="AV288" s="34">
        <f t="shared" ref="AV288" si="307">AM288-AP288</f>
        <v>0</v>
      </c>
      <c r="AW288" s="18">
        <f t="shared" ref="AW288" si="308">AP288-AT288</f>
        <v>0</v>
      </c>
      <c r="AX288" s="123">
        <f t="shared" ref="AX288" si="309">AP288/AJ288</f>
        <v>0.30027800800277632</v>
      </c>
    </row>
    <row r="289" spans="1:50" ht="18.75" customHeight="1" x14ac:dyDescent="0.2">
      <c r="AA289" s="28" t="s">
        <v>288</v>
      </c>
      <c r="AB289" s="29" t="s">
        <v>71</v>
      </c>
      <c r="AC289" s="17"/>
      <c r="AD289" s="18"/>
      <c r="AE289" s="34"/>
      <c r="AF289" s="34"/>
      <c r="AG289" s="34"/>
      <c r="AH289" s="34"/>
      <c r="AI289" s="34"/>
      <c r="AJ289" s="18"/>
      <c r="AK289" s="34"/>
      <c r="AL289" s="18"/>
      <c r="AM289" s="18"/>
      <c r="AN289" s="34"/>
      <c r="AO289" s="18"/>
      <c r="AP289" s="18"/>
      <c r="AQ289" s="34"/>
      <c r="AR289" s="18"/>
      <c r="AS289" s="18"/>
      <c r="AT289" s="39"/>
      <c r="AU289" s="18"/>
      <c r="AV289" s="18"/>
      <c r="AW289" s="18"/>
      <c r="AX289" s="18"/>
    </row>
    <row r="290" spans="1:50" ht="18.75" customHeight="1" x14ac:dyDescent="0.2">
      <c r="A290" s="4" t="s">
        <v>325</v>
      </c>
      <c r="B290" s="4" t="s">
        <v>326</v>
      </c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1" t="s">
        <v>327</v>
      </c>
      <c r="AB290" s="42" t="s">
        <v>328</v>
      </c>
      <c r="AC290" s="43" t="s">
        <v>61</v>
      </c>
      <c r="AD290" s="43">
        <v>5466979223</v>
      </c>
      <c r="AE290" s="44">
        <v>0</v>
      </c>
      <c r="AF290" s="44">
        <v>0</v>
      </c>
      <c r="AG290" s="44">
        <v>0</v>
      </c>
      <c r="AH290" s="44">
        <v>0</v>
      </c>
      <c r="AI290" s="44">
        <v>0</v>
      </c>
      <c r="AJ290" s="43">
        <v>5466979223</v>
      </c>
      <c r="AK290" s="44">
        <v>0</v>
      </c>
      <c r="AL290" s="43">
        <v>22701986</v>
      </c>
      <c r="AM290" s="43">
        <v>99098356</v>
      </c>
      <c r="AN290" s="44">
        <v>0</v>
      </c>
      <c r="AO290" s="43">
        <v>22701986</v>
      </c>
      <c r="AP290" s="43">
        <v>99098356</v>
      </c>
      <c r="AQ290" s="44">
        <v>0</v>
      </c>
      <c r="AR290" s="44">
        <v>42327411</v>
      </c>
      <c r="AS290" s="43">
        <v>99098356</v>
      </c>
      <c r="AT290" s="39">
        <f t="shared" ref="AT290" si="310">AQ290+AS290</f>
        <v>99098356</v>
      </c>
      <c r="AU290" s="18">
        <f t="shared" ref="AU290" si="311">AJ290-AM290</f>
        <v>5367880867</v>
      </c>
      <c r="AV290" s="34">
        <f t="shared" ref="AV290" si="312">AM290-AP290</f>
        <v>0</v>
      </c>
      <c r="AW290" s="34">
        <f t="shared" ref="AW290" si="313">AP290-AT290</f>
        <v>0</v>
      </c>
      <c r="AX290" s="123">
        <f t="shared" ref="AX290" si="314">AP290/AJ290</f>
        <v>1.8126711655146892E-2</v>
      </c>
    </row>
    <row r="291" spans="1:50" ht="18.75" customHeight="1" x14ac:dyDescent="0.2">
      <c r="AA291" s="28" t="s">
        <v>288</v>
      </c>
      <c r="AB291" s="29" t="s">
        <v>76</v>
      </c>
      <c r="AC291" s="17"/>
      <c r="AD291" s="18"/>
      <c r="AE291" s="34"/>
      <c r="AF291" s="34"/>
      <c r="AG291" s="34"/>
      <c r="AH291" s="34"/>
      <c r="AI291" s="34"/>
      <c r="AJ291" s="18"/>
      <c r="AK291" s="34"/>
      <c r="AL291" s="18"/>
      <c r="AM291" s="18"/>
      <c r="AN291" s="34"/>
      <c r="AO291" s="18"/>
      <c r="AP291" s="18"/>
      <c r="AQ291" s="18"/>
      <c r="AR291" s="34"/>
      <c r="AS291" s="18"/>
      <c r="AT291" s="39"/>
      <c r="AU291" s="18"/>
      <c r="AV291" s="18"/>
      <c r="AW291" s="34"/>
      <c r="AX291" s="18"/>
    </row>
    <row r="292" spans="1:50" ht="18.75" customHeight="1" x14ac:dyDescent="0.2">
      <c r="A292" s="4" t="s">
        <v>325</v>
      </c>
      <c r="B292" s="4" t="s">
        <v>326</v>
      </c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1" t="s">
        <v>329</v>
      </c>
      <c r="AB292" s="42" t="s">
        <v>328</v>
      </c>
      <c r="AC292" s="43" t="s">
        <v>61</v>
      </c>
      <c r="AD292" s="43">
        <v>3964855703</v>
      </c>
      <c r="AE292" s="44">
        <v>0</v>
      </c>
      <c r="AF292" s="44">
        <v>0</v>
      </c>
      <c r="AG292" s="44">
        <v>0</v>
      </c>
      <c r="AH292" s="44">
        <v>0</v>
      </c>
      <c r="AI292" s="44">
        <v>0</v>
      </c>
      <c r="AJ292" s="43">
        <v>3964855703</v>
      </c>
      <c r="AK292" s="44">
        <v>0</v>
      </c>
      <c r="AL292" s="43">
        <v>223081768</v>
      </c>
      <c r="AM292" s="43">
        <v>1562629030</v>
      </c>
      <c r="AN292" s="44">
        <v>0</v>
      </c>
      <c r="AO292" s="43">
        <v>223081768</v>
      </c>
      <c r="AP292" s="43">
        <v>1562629030</v>
      </c>
      <c r="AQ292" s="44">
        <v>0</v>
      </c>
      <c r="AR292" s="44">
        <v>436197528</v>
      </c>
      <c r="AS292" s="43">
        <v>1562629030</v>
      </c>
      <c r="AT292" s="39">
        <f t="shared" ref="AT292" si="315">AQ292+AS292</f>
        <v>1562629030</v>
      </c>
      <c r="AU292" s="18">
        <f t="shared" ref="AU292" si="316">AJ292-AM292</f>
        <v>2402226673</v>
      </c>
      <c r="AV292" s="34">
        <f t="shared" ref="AV292" si="317">AM292-AP292</f>
        <v>0</v>
      </c>
      <c r="AW292" s="34">
        <f t="shared" ref="AW292" si="318">AP292-AT292</f>
        <v>0</v>
      </c>
      <c r="AX292" s="123">
        <f t="shared" ref="AX292" si="319">AP292/AJ292</f>
        <v>0.39412002530574819</v>
      </c>
    </row>
    <row r="293" spans="1:50" ht="18.75" customHeight="1" x14ac:dyDescent="0.2">
      <c r="AA293" s="16"/>
      <c r="AB293" s="29" t="s">
        <v>81</v>
      </c>
      <c r="AC293" s="17"/>
      <c r="AD293" s="18"/>
      <c r="AE293" s="34"/>
      <c r="AF293" s="34"/>
      <c r="AG293" s="34"/>
      <c r="AH293" s="34"/>
      <c r="AI293" s="34"/>
      <c r="AJ293" s="18"/>
      <c r="AK293" s="34"/>
      <c r="AL293" s="18"/>
      <c r="AM293" s="18"/>
      <c r="AN293" s="34"/>
      <c r="AO293" s="18"/>
      <c r="AP293" s="18"/>
      <c r="AQ293" s="34"/>
      <c r="AR293" s="34"/>
      <c r="AS293" s="18"/>
      <c r="AT293" s="30"/>
      <c r="AU293" s="18"/>
      <c r="AV293" s="18"/>
      <c r="AW293" s="34"/>
      <c r="AX293" s="18"/>
    </row>
    <row r="294" spans="1:50" ht="18.75" customHeight="1" x14ac:dyDescent="0.2">
      <c r="AA294" s="28" t="s">
        <v>288</v>
      </c>
      <c r="AB294" s="29" t="s">
        <v>83</v>
      </c>
      <c r="AC294" s="17"/>
      <c r="AD294" s="18"/>
      <c r="AE294" s="34"/>
      <c r="AF294" s="34"/>
      <c r="AG294" s="34"/>
      <c r="AH294" s="34"/>
      <c r="AI294" s="34"/>
      <c r="AJ294" s="18"/>
      <c r="AK294" s="34"/>
      <c r="AL294" s="18"/>
      <c r="AM294" s="18"/>
      <c r="AN294" s="34"/>
      <c r="AO294" s="18"/>
      <c r="AP294" s="18"/>
      <c r="AQ294" s="34"/>
      <c r="AR294" s="34"/>
      <c r="AS294" s="18"/>
      <c r="AT294" s="30"/>
      <c r="AU294" s="18"/>
      <c r="AV294" s="18"/>
      <c r="AW294" s="34"/>
      <c r="AX294" s="18"/>
    </row>
    <row r="295" spans="1:50" ht="18.75" customHeight="1" x14ac:dyDescent="0.2">
      <c r="A295" s="4" t="s">
        <v>325</v>
      </c>
      <c r="B295" s="4" t="s">
        <v>326</v>
      </c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1" t="s">
        <v>330</v>
      </c>
      <c r="AB295" s="42" t="s">
        <v>328</v>
      </c>
      <c r="AC295" s="43" t="s">
        <v>61</v>
      </c>
      <c r="AD295" s="43">
        <v>11363953497</v>
      </c>
      <c r="AE295" s="44">
        <v>0</v>
      </c>
      <c r="AF295" s="44">
        <v>0</v>
      </c>
      <c r="AG295" s="44">
        <v>0</v>
      </c>
      <c r="AH295" s="44">
        <v>0</v>
      </c>
      <c r="AI295" s="44">
        <v>0</v>
      </c>
      <c r="AJ295" s="43">
        <v>11363953497</v>
      </c>
      <c r="AK295" s="44">
        <v>0</v>
      </c>
      <c r="AL295" s="43">
        <v>16928582</v>
      </c>
      <c r="AM295" s="43">
        <v>48752781</v>
      </c>
      <c r="AN295" s="44">
        <v>0</v>
      </c>
      <c r="AO295" s="43">
        <v>16928582</v>
      </c>
      <c r="AP295" s="43">
        <v>48752781</v>
      </c>
      <c r="AQ295" s="44">
        <v>0</v>
      </c>
      <c r="AR295" s="44">
        <v>31919354</v>
      </c>
      <c r="AS295" s="43">
        <v>48752781</v>
      </c>
      <c r="AT295" s="39">
        <f t="shared" ref="AT295" si="320">AQ295+AS295</f>
        <v>48752781</v>
      </c>
      <c r="AU295" s="18">
        <f t="shared" ref="AU295" si="321">AJ295-AM295</f>
        <v>11315200716</v>
      </c>
      <c r="AV295" s="34">
        <f t="shared" ref="AV295" si="322">AM295-AP295</f>
        <v>0</v>
      </c>
      <c r="AW295" s="34">
        <f t="shared" ref="AW295" si="323">AP295-AT295</f>
        <v>0</v>
      </c>
      <c r="AX295" s="123">
        <f t="shared" ref="AX295" si="324">AP295/AJ295</f>
        <v>4.2901250003240842E-3</v>
      </c>
    </row>
    <row r="296" spans="1:50" ht="18.75" customHeight="1" x14ac:dyDescent="0.2">
      <c r="AA296" s="28" t="s">
        <v>288</v>
      </c>
      <c r="AB296" s="29" t="s">
        <v>88</v>
      </c>
      <c r="AC296" s="17"/>
      <c r="AD296" s="18"/>
      <c r="AE296" s="34"/>
      <c r="AF296" s="34"/>
      <c r="AG296" s="34"/>
      <c r="AH296" s="34"/>
      <c r="AI296" s="34"/>
      <c r="AJ296" s="18"/>
      <c r="AK296" s="34"/>
      <c r="AL296" s="18"/>
      <c r="AM296" s="18"/>
      <c r="AN296" s="34"/>
      <c r="AO296" s="18"/>
      <c r="AP296" s="18"/>
      <c r="AQ296" s="34"/>
      <c r="AR296" s="18"/>
      <c r="AS296" s="18"/>
      <c r="AT296" s="30"/>
      <c r="AU296" s="18"/>
      <c r="AV296" s="18"/>
      <c r="AW296" s="18"/>
      <c r="AX296" s="18"/>
    </row>
    <row r="297" spans="1:50" ht="18.75" customHeight="1" x14ac:dyDescent="0.2">
      <c r="A297" s="4" t="s">
        <v>325</v>
      </c>
      <c r="B297" s="4" t="s">
        <v>326</v>
      </c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1" t="s">
        <v>331</v>
      </c>
      <c r="AB297" s="42" t="s">
        <v>328</v>
      </c>
      <c r="AC297" s="43" t="s">
        <v>61</v>
      </c>
      <c r="AD297" s="43">
        <v>5983405720</v>
      </c>
      <c r="AE297" s="44">
        <v>0</v>
      </c>
      <c r="AF297" s="44">
        <v>0</v>
      </c>
      <c r="AG297" s="44">
        <v>0</v>
      </c>
      <c r="AH297" s="44">
        <v>0</v>
      </c>
      <c r="AI297" s="44">
        <v>0</v>
      </c>
      <c r="AJ297" s="43">
        <v>5983405720</v>
      </c>
      <c r="AK297" s="44">
        <v>0</v>
      </c>
      <c r="AL297" s="43">
        <v>0</v>
      </c>
      <c r="AM297" s="43">
        <v>3961950</v>
      </c>
      <c r="AN297" s="44">
        <v>0</v>
      </c>
      <c r="AO297" s="43">
        <v>0</v>
      </c>
      <c r="AP297" s="43">
        <v>3961950</v>
      </c>
      <c r="AQ297" s="44">
        <v>0</v>
      </c>
      <c r="AR297" s="44">
        <v>1896561</v>
      </c>
      <c r="AS297" s="43">
        <v>3961950</v>
      </c>
      <c r="AT297" s="39">
        <f t="shared" ref="AT297" si="325">AQ297+AS297</f>
        <v>3961950</v>
      </c>
      <c r="AU297" s="18">
        <f t="shared" ref="AU297" si="326">AJ297-AM297</f>
        <v>5979443770</v>
      </c>
      <c r="AV297" s="34">
        <f t="shared" ref="AV297" si="327">AM297-AP297</f>
        <v>0</v>
      </c>
      <c r="AW297" s="34">
        <f t="shared" ref="AW297" si="328">AP297-AT297</f>
        <v>0</v>
      </c>
      <c r="AX297" s="123">
        <f t="shared" ref="AX297" si="329">AP297/AJ297</f>
        <v>6.6215633460336369E-4</v>
      </c>
    </row>
    <row r="298" spans="1:50" ht="18.75" customHeight="1" x14ac:dyDescent="0.2">
      <c r="AA298" s="16"/>
      <c r="AB298" s="29" t="s">
        <v>103</v>
      </c>
      <c r="AC298" s="17"/>
      <c r="AD298" s="18"/>
      <c r="AE298" s="34"/>
      <c r="AF298" s="34"/>
      <c r="AG298" s="34"/>
      <c r="AH298" s="34"/>
      <c r="AI298" s="34"/>
      <c r="AJ298" s="18"/>
      <c r="AK298" s="34"/>
      <c r="AL298" s="18"/>
      <c r="AM298" s="18"/>
      <c r="AN298" s="34"/>
      <c r="AO298" s="18"/>
      <c r="AP298" s="18"/>
      <c r="AQ298" s="18"/>
      <c r="AR298" s="18"/>
      <c r="AS298" s="18"/>
      <c r="AT298" s="30"/>
      <c r="AU298" s="18"/>
      <c r="AV298" s="18"/>
      <c r="AW298" s="34"/>
      <c r="AX298" s="18"/>
    </row>
    <row r="299" spans="1:50" ht="18.75" customHeight="1" x14ac:dyDescent="0.2">
      <c r="AA299" s="28" t="s">
        <v>288</v>
      </c>
      <c r="AB299" s="29" t="s">
        <v>352</v>
      </c>
      <c r="AC299" s="17"/>
      <c r="AD299" s="18"/>
      <c r="AE299" s="34"/>
      <c r="AF299" s="34"/>
      <c r="AG299" s="34"/>
      <c r="AH299" s="34"/>
      <c r="AI299" s="34"/>
      <c r="AJ299" s="18"/>
      <c r="AK299" s="34"/>
      <c r="AL299" s="18"/>
      <c r="AM299" s="18"/>
      <c r="AN299" s="34"/>
      <c r="AO299" s="18"/>
      <c r="AP299" s="18"/>
      <c r="AQ299" s="18"/>
      <c r="AR299" s="18"/>
      <c r="AS299" s="18"/>
      <c r="AT299" s="30"/>
      <c r="AU299" s="18"/>
      <c r="AV299" s="18"/>
      <c r="AW299" s="34"/>
      <c r="AX299" s="18"/>
    </row>
    <row r="300" spans="1:50" ht="18.75" customHeight="1" x14ac:dyDescent="0.2">
      <c r="A300" s="4" t="s">
        <v>325</v>
      </c>
      <c r="B300" s="4" t="s">
        <v>326</v>
      </c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1" t="s">
        <v>332</v>
      </c>
      <c r="AB300" s="42" t="s">
        <v>328</v>
      </c>
      <c r="AC300" s="43" t="s">
        <v>61</v>
      </c>
      <c r="AD300" s="43">
        <v>13134738179</v>
      </c>
      <c r="AE300" s="44">
        <v>0</v>
      </c>
      <c r="AF300" s="44">
        <v>0</v>
      </c>
      <c r="AG300" s="44">
        <v>0</v>
      </c>
      <c r="AH300" s="44">
        <v>0</v>
      </c>
      <c r="AI300" s="44">
        <v>0</v>
      </c>
      <c r="AJ300" s="43">
        <v>13134738179</v>
      </c>
      <c r="AK300" s="44">
        <v>0</v>
      </c>
      <c r="AL300" s="43">
        <v>799412937.28999996</v>
      </c>
      <c r="AM300" s="43">
        <v>3289387292.96</v>
      </c>
      <c r="AN300" s="44">
        <v>0</v>
      </c>
      <c r="AO300" s="43">
        <v>799412937.28999996</v>
      </c>
      <c r="AP300" s="43">
        <v>3289387292.96</v>
      </c>
      <c r="AQ300" s="44">
        <v>0</v>
      </c>
      <c r="AR300" s="43">
        <v>1603152421.76</v>
      </c>
      <c r="AS300" s="43">
        <v>3289387292.96</v>
      </c>
      <c r="AT300" s="39">
        <f t="shared" ref="AT300" si="330">AQ300+AS300</f>
        <v>3289387292.96</v>
      </c>
      <c r="AU300" s="18">
        <f t="shared" ref="AU300" si="331">AJ300-AM300</f>
        <v>9845350886.0400009</v>
      </c>
      <c r="AV300" s="34">
        <f t="shared" ref="AV300" si="332">AM300-AP300</f>
        <v>0</v>
      </c>
      <c r="AW300" s="34">
        <f t="shared" ref="AW300" si="333">AP300-AT300</f>
        <v>0</v>
      </c>
      <c r="AX300" s="123">
        <f t="shared" ref="AX300" si="334">AP300/AJ300</f>
        <v>0.2504341729642634</v>
      </c>
    </row>
    <row r="301" spans="1:50" ht="18.75" customHeight="1" x14ac:dyDescent="0.2">
      <c r="AA301" s="28" t="s">
        <v>288</v>
      </c>
      <c r="AB301" s="29" t="s">
        <v>353</v>
      </c>
      <c r="AC301" s="17"/>
      <c r="AD301" s="18"/>
      <c r="AE301" s="34"/>
      <c r="AF301" s="34"/>
      <c r="AG301" s="34"/>
      <c r="AH301" s="34"/>
      <c r="AI301" s="34"/>
      <c r="AJ301" s="18"/>
      <c r="AK301" s="34"/>
      <c r="AL301" s="18"/>
      <c r="AM301" s="18"/>
      <c r="AN301" s="34"/>
      <c r="AO301" s="18"/>
      <c r="AP301" s="18"/>
      <c r="AQ301" s="34"/>
      <c r="AR301" s="18"/>
      <c r="AS301" s="18"/>
      <c r="AT301" s="30"/>
      <c r="AU301" s="18"/>
      <c r="AV301" s="18"/>
      <c r="AW301" s="34"/>
      <c r="AX301" s="18"/>
    </row>
    <row r="302" spans="1:50" ht="18.75" customHeight="1" x14ac:dyDescent="0.2">
      <c r="A302" s="4" t="s">
        <v>325</v>
      </c>
      <c r="B302" s="4" t="s">
        <v>326</v>
      </c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1" t="s">
        <v>334</v>
      </c>
      <c r="AB302" s="42" t="s">
        <v>328</v>
      </c>
      <c r="AC302" s="43" t="s">
        <v>61</v>
      </c>
      <c r="AD302" s="43">
        <v>9662336131</v>
      </c>
      <c r="AE302" s="44">
        <v>0</v>
      </c>
      <c r="AF302" s="44">
        <v>0</v>
      </c>
      <c r="AG302" s="44">
        <v>0</v>
      </c>
      <c r="AH302" s="44">
        <v>0</v>
      </c>
      <c r="AI302" s="44">
        <v>0</v>
      </c>
      <c r="AJ302" s="43">
        <v>9662336131</v>
      </c>
      <c r="AK302" s="44">
        <v>0</v>
      </c>
      <c r="AL302" s="43">
        <v>849372285.71000004</v>
      </c>
      <c r="AM302" s="43">
        <v>3293282628.04</v>
      </c>
      <c r="AN302" s="44">
        <v>0</v>
      </c>
      <c r="AO302" s="43">
        <v>849372285.71000004</v>
      </c>
      <c r="AP302" s="43">
        <v>3293282628.04</v>
      </c>
      <c r="AQ302" s="44">
        <v>0</v>
      </c>
      <c r="AR302" s="43">
        <v>1703341518.24</v>
      </c>
      <c r="AS302" s="43">
        <v>3293282628.04</v>
      </c>
      <c r="AT302" s="39">
        <f t="shared" ref="AT302" si="335">AQ302+AS302</f>
        <v>3293282628.04</v>
      </c>
      <c r="AU302" s="18">
        <f t="shared" ref="AU302" si="336">AJ302-AM302</f>
        <v>6369053502.96</v>
      </c>
      <c r="AV302" s="34">
        <f t="shared" ref="AV302" si="337">AM302-AP302</f>
        <v>0</v>
      </c>
      <c r="AW302" s="34">
        <f t="shared" ref="AW302" si="338">AP302-AT302</f>
        <v>0</v>
      </c>
      <c r="AX302" s="123">
        <f t="shared" ref="AX302" si="339">AP302/AJ302</f>
        <v>0.34083710019920027</v>
      </c>
    </row>
    <row r="303" spans="1:50" ht="18.75" customHeight="1" x14ac:dyDescent="0.2">
      <c r="AA303" s="28" t="s">
        <v>288</v>
      </c>
      <c r="AB303" s="29" t="s">
        <v>354</v>
      </c>
      <c r="AC303" s="17"/>
      <c r="AD303" s="18"/>
      <c r="AE303" s="34"/>
      <c r="AF303" s="34"/>
      <c r="AG303" s="34"/>
      <c r="AH303" s="34"/>
      <c r="AI303" s="34"/>
      <c r="AJ303" s="18"/>
      <c r="AK303" s="34"/>
      <c r="AL303" s="18"/>
      <c r="AM303" s="18"/>
      <c r="AN303" s="34"/>
      <c r="AO303" s="18"/>
      <c r="AP303" s="18"/>
      <c r="AQ303" s="34"/>
      <c r="AR303" s="18"/>
      <c r="AS303" s="18"/>
      <c r="AT303" s="30"/>
      <c r="AU303" s="18"/>
      <c r="AV303" s="18"/>
      <c r="AW303" s="18"/>
      <c r="AX303" s="18"/>
    </row>
    <row r="304" spans="1:50" ht="18.75" customHeight="1" x14ac:dyDescent="0.2">
      <c r="A304" s="4" t="s">
        <v>325</v>
      </c>
      <c r="B304" s="4" t="s">
        <v>326</v>
      </c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1" t="s">
        <v>335</v>
      </c>
      <c r="AB304" s="42" t="s">
        <v>328</v>
      </c>
      <c r="AC304" s="43" t="s">
        <v>61</v>
      </c>
      <c r="AD304" s="43">
        <v>8037478566</v>
      </c>
      <c r="AE304" s="44">
        <v>0</v>
      </c>
      <c r="AF304" s="44">
        <v>0</v>
      </c>
      <c r="AG304" s="44">
        <v>0</v>
      </c>
      <c r="AH304" s="44">
        <v>0</v>
      </c>
      <c r="AI304" s="44">
        <v>0</v>
      </c>
      <c r="AJ304" s="43">
        <v>8037478566</v>
      </c>
      <c r="AK304" s="44">
        <v>0</v>
      </c>
      <c r="AL304" s="43">
        <v>836201314</v>
      </c>
      <c r="AM304" s="43">
        <v>3337105274</v>
      </c>
      <c r="AN304" s="44">
        <v>0</v>
      </c>
      <c r="AO304" s="43">
        <v>836201314</v>
      </c>
      <c r="AP304" s="43">
        <v>3337105274</v>
      </c>
      <c r="AQ304" s="44">
        <v>0</v>
      </c>
      <c r="AR304" s="43">
        <v>1676610715</v>
      </c>
      <c r="AS304" s="43">
        <v>3337105274</v>
      </c>
      <c r="AT304" s="39">
        <f t="shared" ref="AT304" si="340">AQ304+AS304</f>
        <v>3337105274</v>
      </c>
      <c r="AU304" s="18">
        <f t="shared" ref="AU304" si="341">AJ304-AM304</f>
        <v>4700373292</v>
      </c>
      <c r="AV304" s="34">
        <f t="shared" ref="AV304" si="342">AM304-AP304</f>
        <v>0</v>
      </c>
      <c r="AW304" s="34">
        <f t="shared" ref="AW304" si="343">AP304-AT304</f>
        <v>0</v>
      </c>
      <c r="AX304" s="123">
        <f t="shared" ref="AX304" si="344">AP304/AJ304</f>
        <v>0.4151930542143607</v>
      </c>
    </row>
    <row r="305" spans="1:50" ht="18.75" customHeight="1" x14ac:dyDescent="0.2">
      <c r="AA305" s="28" t="s">
        <v>288</v>
      </c>
      <c r="AB305" s="29" t="s">
        <v>119</v>
      </c>
      <c r="AC305" s="17"/>
      <c r="AD305" s="18"/>
      <c r="AE305" s="34"/>
      <c r="AF305" s="34"/>
      <c r="AG305" s="34"/>
      <c r="AH305" s="34"/>
      <c r="AI305" s="34"/>
      <c r="AJ305" s="18"/>
      <c r="AK305" s="34"/>
      <c r="AL305" s="18"/>
      <c r="AM305" s="18"/>
      <c r="AN305" s="34"/>
      <c r="AO305" s="18"/>
      <c r="AP305" s="18"/>
      <c r="AQ305" s="110"/>
      <c r="AR305" s="110"/>
      <c r="AS305" s="110"/>
      <c r="AT305" s="30"/>
      <c r="AU305" s="18"/>
      <c r="AV305" s="18"/>
      <c r="AW305" s="133"/>
      <c r="AX305" s="18"/>
    </row>
    <row r="306" spans="1:50" ht="18.75" customHeight="1" x14ac:dyDescent="0.2">
      <c r="A306" s="4" t="s">
        <v>325</v>
      </c>
      <c r="B306" s="4" t="s">
        <v>326</v>
      </c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1" t="s">
        <v>336</v>
      </c>
      <c r="AB306" s="42" t="s">
        <v>328</v>
      </c>
      <c r="AC306" s="43" t="s">
        <v>61</v>
      </c>
      <c r="AD306" s="43">
        <v>5595577790</v>
      </c>
      <c r="AE306" s="44">
        <v>0</v>
      </c>
      <c r="AF306" s="44">
        <v>0</v>
      </c>
      <c r="AG306" s="44">
        <v>0</v>
      </c>
      <c r="AH306" s="44">
        <v>0</v>
      </c>
      <c r="AI306" s="44">
        <v>0</v>
      </c>
      <c r="AJ306" s="43">
        <v>5595577790</v>
      </c>
      <c r="AK306" s="44">
        <v>0</v>
      </c>
      <c r="AL306" s="43">
        <v>396868800</v>
      </c>
      <c r="AM306" s="43">
        <v>1583552200</v>
      </c>
      <c r="AN306" s="44">
        <v>0</v>
      </c>
      <c r="AO306" s="43">
        <v>396868800</v>
      </c>
      <c r="AP306" s="43">
        <v>1583552200</v>
      </c>
      <c r="AQ306" s="114">
        <v>396868800</v>
      </c>
      <c r="AR306" s="114">
        <v>399294400</v>
      </c>
      <c r="AS306" s="114">
        <v>1186683400</v>
      </c>
      <c r="AT306" s="39">
        <f t="shared" ref="AT306" si="345">AQ306+AS306</f>
        <v>1583552200</v>
      </c>
      <c r="AU306" s="18">
        <f t="shared" ref="AU306" si="346">AJ306-AM306</f>
        <v>4012025590</v>
      </c>
      <c r="AV306" s="34">
        <f t="shared" ref="AV306" si="347">AM306-AP306</f>
        <v>0</v>
      </c>
      <c r="AW306" s="133">
        <f t="shared" ref="AW306" si="348">AP306-AT306</f>
        <v>0</v>
      </c>
      <c r="AX306" s="123">
        <f t="shared" ref="AX306" si="349">AP306/AJ306</f>
        <v>0.28300065863260926</v>
      </c>
    </row>
    <row r="307" spans="1:50" ht="18.75" customHeight="1" x14ac:dyDescent="0.2">
      <c r="AA307" s="28"/>
      <c r="AB307" s="29" t="s">
        <v>124</v>
      </c>
      <c r="AC307" s="17"/>
      <c r="AD307" s="18"/>
      <c r="AE307" s="34"/>
      <c r="AF307" s="34"/>
      <c r="AG307" s="34"/>
      <c r="AH307" s="34"/>
      <c r="AI307" s="34"/>
      <c r="AJ307" s="18"/>
      <c r="AK307" s="34"/>
      <c r="AL307" s="18"/>
      <c r="AM307" s="18"/>
      <c r="AN307" s="34"/>
      <c r="AO307" s="18"/>
      <c r="AP307" s="18"/>
      <c r="AQ307" s="110"/>
      <c r="AR307" s="110"/>
      <c r="AS307" s="110"/>
      <c r="AT307" s="31"/>
      <c r="AU307" s="18"/>
      <c r="AV307" s="18"/>
      <c r="AW307" s="18"/>
      <c r="AX307" s="18"/>
    </row>
    <row r="308" spans="1:50" ht="18.75" customHeight="1" x14ac:dyDescent="0.2">
      <c r="AA308" s="28" t="s">
        <v>288</v>
      </c>
      <c r="AB308" s="29" t="s">
        <v>129</v>
      </c>
      <c r="AC308" s="17"/>
      <c r="AD308" s="18"/>
      <c r="AE308" s="34"/>
      <c r="AF308" s="34"/>
      <c r="AG308" s="34"/>
      <c r="AH308" s="34"/>
      <c r="AI308" s="34"/>
      <c r="AJ308" s="18"/>
      <c r="AK308" s="34"/>
      <c r="AL308" s="18"/>
      <c r="AM308" s="18"/>
      <c r="AN308" s="34"/>
      <c r="AO308" s="18"/>
      <c r="AP308" s="18"/>
      <c r="AQ308" s="110"/>
      <c r="AR308" s="110"/>
      <c r="AS308" s="110"/>
      <c r="AT308" s="31"/>
      <c r="AU308" s="18"/>
      <c r="AV308" s="18"/>
      <c r="AW308" s="18"/>
      <c r="AX308" s="18"/>
    </row>
    <row r="309" spans="1:50" ht="18.75" customHeight="1" x14ac:dyDescent="0.2">
      <c r="A309" s="4" t="s">
        <v>325</v>
      </c>
      <c r="B309" s="4" t="s">
        <v>326</v>
      </c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1" t="s">
        <v>338</v>
      </c>
      <c r="AB309" s="42" t="s">
        <v>328</v>
      </c>
      <c r="AC309" s="43" t="s">
        <v>61</v>
      </c>
      <c r="AD309" s="43">
        <v>4197626620</v>
      </c>
      <c r="AE309" s="44">
        <v>0</v>
      </c>
      <c r="AF309" s="44">
        <v>0</v>
      </c>
      <c r="AG309" s="44">
        <v>0</v>
      </c>
      <c r="AH309" s="44">
        <v>0</v>
      </c>
      <c r="AI309" s="44">
        <v>0</v>
      </c>
      <c r="AJ309" s="43">
        <v>4197626620</v>
      </c>
      <c r="AK309" s="44">
        <v>0</v>
      </c>
      <c r="AL309" s="43">
        <v>297707800</v>
      </c>
      <c r="AM309" s="43">
        <v>1187854700</v>
      </c>
      <c r="AN309" s="44">
        <v>0</v>
      </c>
      <c r="AO309" s="43">
        <v>297707800</v>
      </c>
      <c r="AP309" s="43">
        <v>1187854700</v>
      </c>
      <c r="AQ309" s="114">
        <v>297707800</v>
      </c>
      <c r="AR309" s="114">
        <v>299525400</v>
      </c>
      <c r="AS309" s="114">
        <v>890146900</v>
      </c>
      <c r="AT309" s="39">
        <f t="shared" ref="AT309" si="350">AQ309+AS309</f>
        <v>1187854700</v>
      </c>
      <c r="AU309" s="18">
        <f t="shared" ref="AU309" si="351">AJ309-AM309</f>
        <v>3009771920</v>
      </c>
      <c r="AV309" s="34">
        <f t="shared" ref="AV309" si="352">AM309-AP309</f>
        <v>0</v>
      </c>
      <c r="AW309" s="34">
        <f t="shared" ref="AW309" si="353">AP309-AT309</f>
        <v>0</v>
      </c>
      <c r="AX309" s="123">
        <f t="shared" ref="AX309" si="354">AP309/AJ309</f>
        <v>0.28298245831116825</v>
      </c>
    </row>
    <row r="310" spans="1:50" ht="18.75" customHeight="1" x14ac:dyDescent="0.2">
      <c r="AA310" s="28" t="s">
        <v>288</v>
      </c>
      <c r="AB310" s="29" t="s">
        <v>133</v>
      </c>
      <c r="AC310" s="17"/>
      <c r="AD310" s="18"/>
      <c r="AE310" s="34"/>
      <c r="AF310" s="34"/>
      <c r="AG310" s="34"/>
      <c r="AH310" s="34"/>
      <c r="AI310" s="34"/>
      <c r="AJ310" s="18"/>
      <c r="AK310" s="34"/>
      <c r="AL310" s="18"/>
      <c r="AM310" s="18"/>
      <c r="AN310" s="34"/>
      <c r="AO310" s="18"/>
      <c r="AP310" s="18"/>
      <c r="AQ310" s="110"/>
      <c r="AR310" s="110"/>
      <c r="AS310" s="110"/>
      <c r="AT310" s="31"/>
      <c r="AU310" s="18"/>
      <c r="AV310" s="18"/>
      <c r="AW310" s="34"/>
      <c r="AX310" s="18"/>
    </row>
    <row r="311" spans="1:50" ht="18.75" customHeight="1" x14ac:dyDescent="0.2">
      <c r="A311" s="4" t="s">
        <v>325</v>
      </c>
      <c r="B311" s="4" t="s">
        <v>326</v>
      </c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1" t="s">
        <v>339</v>
      </c>
      <c r="AB311" s="42" t="s">
        <v>328</v>
      </c>
      <c r="AC311" s="43" t="s">
        <v>61</v>
      </c>
      <c r="AD311" s="43">
        <v>701459880</v>
      </c>
      <c r="AE311" s="44">
        <v>0</v>
      </c>
      <c r="AF311" s="44">
        <v>0</v>
      </c>
      <c r="AG311" s="44">
        <v>0</v>
      </c>
      <c r="AH311" s="44">
        <v>0</v>
      </c>
      <c r="AI311" s="44">
        <v>0</v>
      </c>
      <c r="AJ311" s="43">
        <v>701459880</v>
      </c>
      <c r="AK311" s="44">
        <v>0</v>
      </c>
      <c r="AL311" s="43">
        <v>49748500</v>
      </c>
      <c r="AM311" s="43">
        <v>198594600</v>
      </c>
      <c r="AN311" s="44">
        <v>0</v>
      </c>
      <c r="AO311" s="43">
        <v>49748500</v>
      </c>
      <c r="AP311" s="43">
        <v>198594600</v>
      </c>
      <c r="AQ311" s="114">
        <v>49748500</v>
      </c>
      <c r="AR311" s="114">
        <v>50052100</v>
      </c>
      <c r="AS311" s="114">
        <v>148846100</v>
      </c>
      <c r="AT311" s="39">
        <f t="shared" ref="AT311" si="355">AQ311+AS311</f>
        <v>198594600</v>
      </c>
      <c r="AU311" s="18">
        <f t="shared" ref="AU311" si="356">AJ311-AM311</f>
        <v>502865280</v>
      </c>
      <c r="AV311" s="34">
        <f t="shared" ref="AV311" si="357">AM311-AP311</f>
        <v>0</v>
      </c>
      <c r="AW311" s="34">
        <f t="shared" ref="AW311" si="358">AP311-AT311</f>
        <v>0</v>
      </c>
      <c r="AX311" s="123">
        <f t="shared" ref="AX311" si="359">AP311/AJ311</f>
        <v>0.28311612062545899</v>
      </c>
    </row>
    <row r="312" spans="1:50" ht="18.75" customHeight="1" x14ac:dyDescent="0.2">
      <c r="AA312" s="28" t="s">
        <v>288</v>
      </c>
      <c r="AB312" s="29" t="s">
        <v>138</v>
      </c>
      <c r="AC312" s="17"/>
      <c r="AD312" s="18"/>
      <c r="AE312" s="34"/>
      <c r="AF312" s="34"/>
      <c r="AG312" s="34"/>
      <c r="AH312" s="34"/>
      <c r="AI312" s="34"/>
      <c r="AJ312" s="18"/>
      <c r="AK312" s="34"/>
      <c r="AL312" s="18"/>
      <c r="AM312" s="18"/>
      <c r="AN312" s="34"/>
      <c r="AO312" s="18"/>
      <c r="AP312" s="18"/>
      <c r="AQ312" s="110"/>
      <c r="AR312" s="110"/>
      <c r="AS312" s="110"/>
      <c r="AT312" s="31"/>
      <c r="AU312" s="18"/>
      <c r="AV312" s="18"/>
      <c r="AW312" s="34"/>
      <c r="AX312" s="18"/>
    </row>
    <row r="313" spans="1:50" ht="18.75" customHeight="1" x14ac:dyDescent="0.2">
      <c r="A313" s="4" t="s">
        <v>325</v>
      </c>
      <c r="B313" s="4" t="s">
        <v>326</v>
      </c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1" t="s">
        <v>340</v>
      </c>
      <c r="AB313" s="42" t="s">
        <v>328</v>
      </c>
      <c r="AC313" s="43" t="s">
        <v>61</v>
      </c>
      <c r="AD313" s="43">
        <v>701459880</v>
      </c>
      <c r="AE313" s="44">
        <v>0</v>
      </c>
      <c r="AF313" s="44">
        <v>0</v>
      </c>
      <c r="AG313" s="44">
        <v>0</v>
      </c>
      <c r="AH313" s="44">
        <v>0</v>
      </c>
      <c r="AI313" s="44">
        <v>0</v>
      </c>
      <c r="AJ313" s="43">
        <v>701459880</v>
      </c>
      <c r="AK313" s="44">
        <v>0</v>
      </c>
      <c r="AL313" s="43">
        <v>49748500</v>
      </c>
      <c r="AM313" s="43">
        <v>198594600</v>
      </c>
      <c r="AN313" s="44">
        <v>0</v>
      </c>
      <c r="AO313" s="43">
        <v>49748500</v>
      </c>
      <c r="AP313" s="43">
        <v>198594600</v>
      </c>
      <c r="AQ313" s="114">
        <v>49748500</v>
      </c>
      <c r="AR313" s="114">
        <v>50052100</v>
      </c>
      <c r="AS313" s="114">
        <v>148846100</v>
      </c>
      <c r="AT313" s="39">
        <f t="shared" ref="AT313:AT351" si="360">AQ313+AS313</f>
        <v>198594600</v>
      </c>
      <c r="AU313" s="18">
        <f t="shared" ref="AU313" si="361">AJ313-AM313</f>
        <v>502865280</v>
      </c>
      <c r="AV313" s="34">
        <f t="shared" ref="AV313" si="362">AM313-AP313</f>
        <v>0</v>
      </c>
      <c r="AW313" s="34">
        <f t="shared" ref="AW313" si="363">AP313-AT313</f>
        <v>0</v>
      </c>
      <c r="AX313" s="123">
        <f t="shared" ref="AX313" si="364">AP313/AJ313</f>
        <v>0.28311612062545899</v>
      </c>
    </row>
    <row r="314" spans="1:50" x14ac:dyDescent="0.2">
      <c r="AA314" s="28" t="s">
        <v>288</v>
      </c>
      <c r="AB314" s="29" t="s">
        <v>145</v>
      </c>
      <c r="AC314" s="17"/>
      <c r="AD314" s="18"/>
      <c r="AE314" s="34"/>
      <c r="AF314" s="34"/>
      <c r="AG314" s="34"/>
      <c r="AH314" s="34"/>
      <c r="AI314" s="34"/>
      <c r="AJ314" s="18"/>
      <c r="AK314" s="34"/>
      <c r="AL314" s="18"/>
      <c r="AM314" s="18"/>
      <c r="AN314" s="34"/>
      <c r="AO314" s="18"/>
      <c r="AP314" s="18"/>
      <c r="AQ314" s="110"/>
      <c r="AR314" s="110"/>
      <c r="AS314" s="110"/>
      <c r="AT314" s="31"/>
      <c r="AU314" s="18"/>
      <c r="AV314" s="18"/>
      <c r="AW314" s="34"/>
      <c r="AX314" s="18"/>
    </row>
    <row r="315" spans="1:50" ht="18.75" customHeight="1" x14ac:dyDescent="0.2">
      <c r="A315" s="4" t="s">
        <v>325</v>
      </c>
      <c r="B315" s="4" t="s">
        <v>326</v>
      </c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1" t="s">
        <v>341</v>
      </c>
      <c r="AB315" s="42" t="s">
        <v>328</v>
      </c>
      <c r="AC315" s="43" t="s">
        <v>61</v>
      </c>
      <c r="AD315" s="43">
        <v>1400409285</v>
      </c>
      <c r="AE315" s="44">
        <v>0</v>
      </c>
      <c r="AF315" s="44">
        <v>0</v>
      </c>
      <c r="AG315" s="44">
        <v>0</v>
      </c>
      <c r="AH315" s="44">
        <v>0</v>
      </c>
      <c r="AI315" s="44">
        <v>0</v>
      </c>
      <c r="AJ315" s="43">
        <v>1400409285</v>
      </c>
      <c r="AK315" s="44">
        <v>0</v>
      </c>
      <c r="AL315" s="43">
        <v>99310000</v>
      </c>
      <c r="AM315" s="43">
        <v>396360200</v>
      </c>
      <c r="AN315" s="44">
        <v>0</v>
      </c>
      <c r="AO315" s="43">
        <v>99310000</v>
      </c>
      <c r="AP315" s="43">
        <v>396360200</v>
      </c>
      <c r="AQ315" s="114">
        <v>99310000</v>
      </c>
      <c r="AR315" s="114">
        <v>99914700</v>
      </c>
      <c r="AS315" s="114">
        <v>297050200</v>
      </c>
      <c r="AT315" s="39">
        <f t="shared" si="360"/>
        <v>396360200</v>
      </c>
      <c r="AU315" s="18">
        <f t="shared" ref="AU315" si="365">AJ315-AM315</f>
        <v>1004049085</v>
      </c>
      <c r="AV315" s="34">
        <f t="shared" ref="AV315" si="366">AM315-AP315</f>
        <v>0</v>
      </c>
      <c r="AW315" s="34">
        <f t="shared" ref="AW315" si="367">AP315-AT315</f>
        <v>0</v>
      </c>
      <c r="AX315" s="123">
        <f t="shared" ref="AX315" si="368">AP315/AJ315</f>
        <v>0.28303168526906763</v>
      </c>
    </row>
    <row r="316" spans="1:50" ht="28.5" customHeight="1" x14ac:dyDescent="0.2">
      <c r="AA316" s="16"/>
      <c r="AB316" s="29" t="s">
        <v>149</v>
      </c>
      <c r="AC316" s="17"/>
      <c r="AD316" s="18"/>
      <c r="AE316" s="34"/>
      <c r="AF316" s="34"/>
      <c r="AG316" s="34"/>
      <c r="AH316" s="34"/>
      <c r="AI316" s="34"/>
      <c r="AJ316" s="18"/>
      <c r="AK316" s="34"/>
      <c r="AL316" s="18"/>
      <c r="AM316" s="18"/>
      <c r="AN316" s="34"/>
      <c r="AO316" s="18"/>
      <c r="AP316" s="18"/>
      <c r="AQ316" s="34"/>
      <c r="AR316" s="34"/>
      <c r="AS316" s="34"/>
      <c r="AT316" s="31"/>
      <c r="AU316" s="18"/>
      <c r="AV316" s="18"/>
      <c r="AW316" s="18"/>
      <c r="AX316" s="18"/>
    </row>
    <row r="317" spans="1:50" ht="18.75" customHeight="1" x14ac:dyDescent="0.2">
      <c r="AA317" s="16"/>
      <c r="AB317" s="29" t="s">
        <v>81</v>
      </c>
      <c r="AC317" s="17"/>
      <c r="AD317" s="18"/>
      <c r="AE317" s="34"/>
      <c r="AF317" s="34"/>
      <c r="AG317" s="34"/>
      <c r="AH317" s="34"/>
      <c r="AI317" s="34"/>
      <c r="AJ317" s="18"/>
      <c r="AK317" s="34"/>
      <c r="AL317" s="18"/>
      <c r="AM317" s="18"/>
      <c r="AN317" s="34"/>
      <c r="AO317" s="18"/>
      <c r="AP317" s="18"/>
      <c r="AQ317" s="34"/>
      <c r="AR317" s="34"/>
      <c r="AS317" s="34"/>
      <c r="AT317" s="31"/>
      <c r="AU317" s="18"/>
      <c r="AV317" s="18"/>
      <c r="AW317" s="18"/>
      <c r="AX317" s="18"/>
    </row>
    <row r="318" spans="1:50" ht="18.75" customHeight="1" x14ac:dyDescent="0.2">
      <c r="AA318" s="28" t="s">
        <v>288</v>
      </c>
      <c r="AB318" s="29" t="s">
        <v>152</v>
      </c>
      <c r="AC318" s="17"/>
      <c r="AD318" s="18"/>
      <c r="AE318" s="34"/>
      <c r="AF318" s="34"/>
      <c r="AG318" s="34"/>
      <c r="AH318" s="34"/>
      <c r="AI318" s="34"/>
      <c r="AJ318" s="18"/>
      <c r="AK318" s="34"/>
      <c r="AL318" s="18"/>
      <c r="AM318" s="18"/>
      <c r="AN318" s="34"/>
      <c r="AO318" s="18"/>
      <c r="AP318" s="18"/>
      <c r="AQ318" s="34"/>
      <c r="AR318" s="34"/>
      <c r="AS318" s="34"/>
      <c r="AT318" s="31"/>
      <c r="AU318" s="18"/>
      <c r="AV318" s="18"/>
      <c r="AW318" s="18"/>
      <c r="AX318" s="18"/>
    </row>
    <row r="319" spans="1:50" ht="18.75" customHeight="1" x14ac:dyDescent="0.2">
      <c r="A319" s="4" t="s">
        <v>325</v>
      </c>
      <c r="B319" s="4" t="s">
        <v>326</v>
      </c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1" t="s">
        <v>342</v>
      </c>
      <c r="AB319" s="42" t="s">
        <v>328</v>
      </c>
      <c r="AC319" s="43" t="s">
        <v>61</v>
      </c>
      <c r="AD319" s="43">
        <v>10068147601</v>
      </c>
      <c r="AE319" s="44">
        <v>0</v>
      </c>
      <c r="AF319" s="44">
        <v>0</v>
      </c>
      <c r="AG319" s="44">
        <v>0</v>
      </c>
      <c r="AH319" s="44">
        <v>0</v>
      </c>
      <c r="AI319" s="44">
        <v>0</v>
      </c>
      <c r="AJ319" s="43">
        <v>10068147601</v>
      </c>
      <c r="AK319" s="44">
        <v>0</v>
      </c>
      <c r="AL319" s="43">
        <v>10434756</v>
      </c>
      <c r="AM319" s="43">
        <v>3392825315</v>
      </c>
      <c r="AN319" s="44">
        <v>0</v>
      </c>
      <c r="AO319" s="43">
        <v>10434756</v>
      </c>
      <c r="AP319" s="43">
        <v>3392825315</v>
      </c>
      <c r="AQ319" s="44">
        <v>0</v>
      </c>
      <c r="AR319" s="114">
        <v>20934900</v>
      </c>
      <c r="AS319" s="114">
        <v>3392825315</v>
      </c>
      <c r="AT319" s="39">
        <f t="shared" ref="AT319" si="369">AQ319+AS319</f>
        <v>3392825315</v>
      </c>
      <c r="AU319" s="18">
        <f t="shared" ref="AU319" si="370">AJ319-AM319</f>
        <v>6675322286</v>
      </c>
      <c r="AV319" s="34">
        <f t="shared" ref="AV319" si="371">AM319-AP319</f>
        <v>0</v>
      </c>
      <c r="AW319" s="34">
        <f t="shared" ref="AW319" si="372">AP319-AT319</f>
        <v>0</v>
      </c>
      <c r="AX319" s="123">
        <f t="shared" ref="AX319" si="373">AP319/AJ319</f>
        <v>0.33698605239587609</v>
      </c>
    </row>
    <row r="320" spans="1:50" ht="18.75" customHeight="1" x14ac:dyDescent="0.2">
      <c r="AA320" s="28" t="s">
        <v>288</v>
      </c>
      <c r="AB320" s="29" t="s">
        <v>343</v>
      </c>
      <c r="AC320" s="17"/>
      <c r="AD320" s="18"/>
      <c r="AE320" s="34"/>
      <c r="AF320" s="34"/>
      <c r="AG320" s="34"/>
      <c r="AH320" s="34"/>
      <c r="AI320" s="34"/>
      <c r="AJ320" s="18"/>
      <c r="AK320" s="34"/>
      <c r="AL320" s="18"/>
      <c r="AM320" s="18"/>
      <c r="AN320" s="34"/>
      <c r="AO320" s="18"/>
      <c r="AP320" s="18"/>
      <c r="AQ320" s="34"/>
      <c r="AR320" s="34"/>
      <c r="AS320" s="34"/>
      <c r="AT320" s="31"/>
      <c r="AU320" s="18"/>
      <c r="AV320" s="18"/>
      <c r="AW320" s="34"/>
      <c r="AX320" s="18"/>
    </row>
    <row r="321" spans="1:50" ht="18.75" customHeight="1" x14ac:dyDescent="0.2">
      <c r="A321" s="4" t="s">
        <v>325</v>
      </c>
      <c r="B321" s="4" t="s">
        <v>326</v>
      </c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1" t="s">
        <v>344</v>
      </c>
      <c r="AB321" s="42" t="s">
        <v>328</v>
      </c>
      <c r="AC321" s="43" t="s">
        <v>61</v>
      </c>
      <c r="AD321" s="43">
        <v>10000000</v>
      </c>
      <c r="AE321" s="44">
        <v>0</v>
      </c>
      <c r="AF321" s="44">
        <v>0</v>
      </c>
      <c r="AG321" s="44">
        <v>0</v>
      </c>
      <c r="AH321" s="44">
        <v>0</v>
      </c>
      <c r="AI321" s="44">
        <v>0</v>
      </c>
      <c r="AJ321" s="43">
        <v>10000000</v>
      </c>
      <c r="AK321" s="44">
        <v>0</v>
      </c>
      <c r="AL321" s="43">
        <v>0</v>
      </c>
      <c r="AM321" s="44">
        <v>0</v>
      </c>
      <c r="AN321" s="44">
        <v>0</v>
      </c>
      <c r="AO321" s="44">
        <v>0</v>
      </c>
      <c r="AP321" s="44">
        <v>0</v>
      </c>
      <c r="AQ321" s="44">
        <v>0</v>
      </c>
      <c r="AR321" s="44">
        <v>0</v>
      </c>
      <c r="AS321" s="44">
        <v>0</v>
      </c>
      <c r="AT321" s="40">
        <f t="shared" si="360"/>
        <v>0</v>
      </c>
      <c r="AU321" s="18">
        <f t="shared" ref="AU321" si="374">AJ321-AM321</f>
        <v>10000000</v>
      </c>
      <c r="AV321" s="34">
        <f t="shared" ref="AV321" si="375">AM321-AP321</f>
        <v>0</v>
      </c>
      <c r="AW321" s="34">
        <f t="shared" ref="AW321" si="376">AP321-AT321</f>
        <v>0</v>
      </c>
      <c r="AX321" s="123">
        <f t="shared" ref="AX321" si="377">AP321/AJ321</f>
        <v>0</v>
      </c>
    </row>
    <row r="322" spans="1:50" ht="18.75" customHeight="1" x14ac:dyDescent="0.2">
      <c r="AA322" s="16"/>
      <c r="AB322" s="29" t="s">
        <v>355</v>
      </c>
      <c r="AC322" s="17"/>
      <c r="AD322" s="18"/>
      <c r="AE322" s="34"/>
      <c r="AF322" s="34"/>
      <c r="AG322" s="34"/>
      <c r="AH322" s="34"/>
      <c r="AI322" s="34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30"/>
      <c r="AU322" s="18"/>
      <c r="AV322" s="18"/>
      <c r="AW322" s="18"/>
      <c r="AX322" s="18"/>
    </row>
    <row r="323" spans="1:50" ht="18.75" customHeight="1" x14ac:dyDescent="0.2">
      <c r="AA323" s="16"/>
      <c r="AB323" s="29" t="s">
        <v>320</v>
      </c>
      <c r="AC323" s="17"/>
      <c r="AD323" s="18"/>
      <c r="AE323" s="34"/>
      <c r="AF323" s="34"/>
      <c r="AG323" s="34"/>
      <c r="AH323" s="34"/>
      <c r="AI323" s="34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30"/>
      <c r="AU323" s="18"/>
      <c r="AV323" s="18"/>
      <c r="AW323" s="18"/>
      <c r="AX323" s="18"/>
    </row>
    <row r="324" spans="1:50" ht="18.75" customHeight="1" x14ac:dyDescent="0.2">
      <c r="AA324" s="16"/>
      <c r="AB324" s="29" t="s">
        <v>46</v>
      </c>
      <c r="AC324" s="17"/>
      <c r="AD324" s="18"/>
      <c r="AE324" s="34"/>
      <c r="AF324" s="34"/>
      <c r="AG324" s="34"/>
      <c r="AH324" s="34"/>
      <c r="AI324" s="34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30"/>
      <c r="AU324" s="18"/>
      <c r="AV324" s="18"/>
      <c r="AW324" s="18"/>
      <c r="AX324" s="18"/>
    </row>
    <row r="325" spans="1:50" ht="18.75" customHeight="1" x14ac:dyDescent="0.2">
      <c r="AA325" s="16"/>
      <c r="AB325" s="17"/>
      <c r="AC325" s="17"/>
      <c r="AD325" s="18"/>
      <c r="AE325" s="34"/>
      <c r="AF325" s="34"/>
      <c r="AG325" s="34"/>
      <c r="AH325" s="34"/>
      <c r="AI325" s="34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30"/>
      <c r="AU325" s="18"/>
      <c r="AV325" s="18"/>
      <c r="AW325" s="18"/>
      <c r="AX325" s="18"/>
    </row>
    <row r="326" spans="1:50" ht="18.75" customHeight="1" x14ac:dyDescent="0.2">
      <c r="AA326" s="16"/>
      <c r="AB326" s="29" t="s">
        <v>48</v>
      </c>
      <c r="AC326" s="17"/>
      <c r="AD326" s="18"/>
      <c r="AE326" s="34"/>
      <c r="AF326" s="34"/>
      <c r="AG326" s="34"/>
      <c r="AH326" s="34"/>
      <c r="AI326" s="34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30"/>
      <c r="AU326" s="18"/>
      <c r="AV326" s="18"/>
      <c r="AW326" s="18"/>
      <c r="AX326" s="18"/>
    </row>
    <row r="327" spans="1:50" ht="18.75" customHeight="1" x14ac:dyDescent="0.2">
      <c r="AA327" s="16"/>
      <c r="AB327" s="29" t="s">
        <v>52</v>
      </c>
      <c r="AC327" s="17"/>
      <c r="AD327" s="18"/>
      <c r="AE327" s="34"/>
      <c r="AF327" s="34"/>
      <c r="AG327" s="34"/>
      <c r="AH327" s="34"/>
      <c r="AI327" s="34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30"/>
      <c r="AU327" s="18"/>
      <c r="AV327" s="18"/>
      <c r="AW327" s="18"/>
      <c r="AX327" s="18"/>
    </row>
    <row r="328" spans="1:50" ht="18.75" customHeight="1" x14ac:dyDescent="0.2">
      <c r="AA328" s="28" t="s">
        <v>288</v>
      </c>
      <c r="AB328" s="29" t="s">
        <v>54</v>
      </c>
      <c r="AC328" s="17"/>
      <c r="AD328" s="18"/>
      <c r="AE328" s="34"/>
      <c r="AF328" s="34"/>
      <c r="AG328" s="34"/>
      <c r="AH328" s="34"/>
      <c r="AI328" s="34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30"/>
      <c r="AU328" s="18"/>
      <c r="AV328" s="18"/>
      <c r="AW328" s="18"/>
      <c r="AX328" s="18"/>
    </row>
    <row r="329" spans="1:50" ht="18.75" customHeight="1" x14ac:dyDescent="0.2">
      <c r="A329" s="4" t="s">
        <v>55</v>
      </c>
      <c r="B329" s="4" t="s">
        <v>56</v>
      </c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1" t="s">
        <v>323</v>
      </c>
      <c r="AB329" s="42" t="s">
        <v>324</v>
      </c>
      <c r="AC329" s="43" t="s">
        <v>61</v>
      </c>
      <c r="AD329" s="43">
        <v>10521612007</v>
      </c>
      <c r="AE329" s="44">
        <v>0</v>
      </c>
      <c r="AF329" s="44">
        <v>0</v>
      </c>
      <c r="AG329" s="44">
        <v>0</v>
      </c>
      <c r="AI329" s="44">
        <v>0</v>
      </c>
      <c r="AJ329" s="43">
        <v>10521612007</v>
      </c>
      <c r="AK329" s="44">
        <v>0</v>
      </c>
      <c r="AL329" s="43">
        <v>829264720</v>
      </c>
      <c r="AM329" s="43">
        <v>3215165669</v>
      </c>
      <c r="AN329" s="44">
        <v>0</v>
      </c>
      <c r="AO329" s="43">
        <v>829264720</v>
      </c>
      <c r="AP329" s="43">
        <v>3215165669</v>
      </c>
      <c r="AQ329" s="44">
        <v>0</v>
      </c>
      <c r="AR329" s="44">
        <v>1657813333</v>
      </c>
      <c r="AS329" s="43">
        <v>3215165669</v>
      </c>
      <c r="AT329" s="39">
        <f t="shared" ref="AT329" si="378">AQ329+AS329</f>
        <v>3215165669</v>
      </c>
      <c r="AU329" s="18">
        <f t="shared" ref="AU329" si="379">AJ329-AM329</f>
        <v>7306446338</v>
      </c>
      <c r="AV329" s="34">
        <f t="shared" ref="AV329" si="380">AM329-AP329</f>
        <v>0</v>
      </c>
      <c r="AW329" s="34">
        <f t="shared" ref="AW329" si="381">AP329-AT329</f>
        <v>0</v>
      </c>
      <c r="AX329" s="123">
        <f t="shared" ref="AX329" si="382">AP329/AJ329</f>
        <v>0.30557728861898337</v>
      </c>
    </row>
    <row r="330" spans="1:50" x14ac:dyDescent="0.2">
      <c r="AA330" s="28" t="s">
        <v>288</v>
      </c>
      <c r="AB330" s="29" t="s">
        <v>63</v>
      </c>
      <c r="AC330" s="17"/>
      <c r="AD330" s="18"/>
      <c r="AE330" s="34"/>
      <c r="AF330" s="34"/>
      <c r="AG330" s="34"/>
      <c r="AH330" s="34"/>
      <c r="AI330" s="34"/>
      <c r="AJ330" s="18"/>
      <c r="AK330" s="34"/>
      <c r="AL330" s="18"/>
      <c r="AM330" s="18"/>
      <c r="AN330" s="34"/>
      <c r="AO330" s="18"/>
      <c r="AP330" s="18"/>
      <c r="AQ330" s="34"/>
      <c r="AR330" s="34"/>
      <c r="AS330" s="18"/>
      <c r="AT330" s="30"/>
      <c r="AU330" s="18"/>
      <c r="AV330" s="18"/>
      <c r="AW330" s="34"/>
      <c r="AX330" s="18"/>
    </row>
    <row r="331" spans="1:50" ht="18.75" customHeight="1" x14ac:dyDescent="0.2">
      <c r="A331" s="4" t="s">
        <v>325</v>
      </c>
      <c r="B331" s="4" t="s">
        <v>326</v>
      </c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1" t="s">
        <v>349</v>
      </c>
      <c r="AB331" s="42" t="s">
        <v>328</v>
      </c>
      <c r="AC331" s="43" t="s">
        <v>61</v>
      </c>
      <c r="AD331" s="43">
        <v>112494898</v>
      </c>
      <c r="AE331" s="44">
        <v>0</v>
      </c>
      <c r="AF331" s="44">
        <v>0</v>
      </c>
      <c r="AG331" s="44">
        <v>0</v>
      </c>
      <c r="AH331" s="44">
        <v>0</v>
      </c>
      <c r="AI331" s="44">
        <v>0</v>
      </c>
      <c r="AJ331" s="43">
        <v>112494898</v>
      </c>
      <c r="AK331" s="44">
        <v>0</v>
      </c>
      <c r="AL331" s="43">
        <v>17250593</v>
      </c>
      <c r="AM331" s="43">
        <v>37879319</v>
      </c>
      <c r="AN331" s="44">
        <v>0</v>
      </c>
      <c r="AO331" s="43">
        <v>17250593</v>
      </c>
      <c r="AP331" s="43">
        <v>37879319</v>
      </c>
      <c r="AQ331" s="44">
        <v>0</v>
      </c>
      <c r="AR331" s="44">
        <v>34262609</v>
      </c>
      <c r="AS331" s="43">
        <v>37879319</v>
      </c>
      <c r="AT331" s="39">
        <f t="shared" si="360"/>
        <v>37879319</v>
      </c>
      <c r="AU331" s="18">
        <f t="shared" ref="AU331" si="383">AJ331-AM331</f>
        <v>74615579</v>
      </c>
      <c r="AV331" s="34">
        <f t="shared" ref="AV331" si="384">AM331-AP331</f>
        <v>0</v>
      </c>
      <c r="AW331" s="34">
        <f t="shared" ref="AW331" si="385">AP331-AT331</f>
        <v>0</v>
      </c>
      <c r="AX331" s="123">
        <f t="shared" ref="AX331" si="386">AP331/AJ331</f>
        <v>0.33672032841880528</v>
      </c>
    </row>
    <row r="332" spans="1:50" ht="18.75" customHeight="1" x14ac:dyDescent="0.2">
      <c r="AA332" s="28" t="s">
        <v>288</v>
      </c>
      <c r="AB332" s="29" t="s">
        <v>71</v>
      </c>
      <c r="AC332" s="17"/>
      <c r="AD332" s="18"/>
      <c r="AE332" s="34"/>
      <c r="AF332" s="34"/>
      <c r="AG332" s="34"/>
      <c r="AH332" s="34"/>
      <c r="AI332" s="34"/>
      <c r="AJ332" s="18"/>
      <c r="AK332" s="34"/>
      <c r="AL332" s="18"/>
      <c r="AM332" s="18"/>
      <c r="AN332" s="34"/>
      <c r="AO332" s="18"/>
      <c r="AP332" s="18"/>
      <c r="AQ332" s="34"/>
      <c r="AR332" s="34"/>
      <c r="AS332" s="18"/>
      <c r="AT332" s="30"/>
      <c r="AU332" s="18"/>
      <c r="AV332" s="18"/>
      <c r="AW332" s="34"/>
      <c r="AX332" s="18"/>
    </row>
    <row r="333" spans="1:50" ht="18.75" customHeight="1" x14ac:dyDescent="0.2">
      <c r="A333" s="4" t="s">
        <v>325</v>
      </c>
      <c r="B333" s="4" t="s">
        <v>326</v>
      </c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1" t="s">
        <v>327</v>
      </c>
      <c r="AB333" s="42" t="s">
        <v>328</v>
      </c>
      <c r="AC333" s="43" t="s">
        <v>61</v>
      </c>
      <c r="AD333" s="43">
        <v>532969656</v>
      </c>
      <c r="AE333" s="44">
        <v>0</v>
      </c>
      <c r="AF333" s="44">
        <v>0</v>
      </c>
      <c r="AG333" s="44">
        <v>0</v>
      </c>
      <c r="AH333" s="44">
        <v>0</v>
      </c>
      <c r="AI333" s="44">
        <v>0</v>
      </c>
      <c r="AJ333" s="43">
        <v>532969656</v>
      </c>
      <c r="AK333" s="44">
        <v>0</v>
      </c>
      <c r="AL333" s="44">
        <v>3349506</v>
      </c>
      <c r="AM333" s="43">
        <v>7792702</v>
      </c>
      <c r="AN333" s="44">
        <v>0</v>
      </c>
      <c r="AO333" s="43">
        <v>3349506</v>
      </c>
      <c r="AP333" s="43">
        <v>7792702</v>
      </c>
      <c r="AQ333" s="44">
        <v>0</v>
      </c>
      <c r="AR333" s="44">
        <v>3349506</v>
      </c>
      <c r="AS333" s="43">
        <v>7792702</v>
      </c>
      <c r="AT333" s="39">
        <f t="shared" si="360"/>
        <v>7792702</v>
      </c>
      <c r="AU333" s="18">
        <f t="shared" ref="AU333" si="387">AJ333-AM333</f>
        <v>525176954</v>
      </c>
      <c r="AV333" s="34">
        <f t="shared" ref="AV333" si="388">AM333-AP333</f>
        <v>0</v>
      </c>
      <c r="AW333" s="34">
        <f t="shared" ref="AW333" si="389">AP333-AT333</f>
        <v>0</v>
      </c>
      <c r="AX333" s="123">
        <f t="shared" ref="AX333" si="390">AP333/AJ333</f>
        <v>1.4621286432111625E-2</v>
      </c>
    </row>
    <row r="334" spans="1:50" ht="18.75" customHeight="1" x14ac:dyDescent="0.2">
      <c r="AA334" s="28" t="s">
        <v>288</v>
      </c>
      <c r="AB334" s="29" t="s">
        <v>76</v>
      </c>
      <c r="AC334" s="17"/>
      <c r="AD334" s="18"/>
      <c r="AE334" s="34"/>
      <c r="AF334" s="34"/>
      <c r="AG334" s="34"/>
      <c r="AH334" s="34"/>
      <c r="AI334" s="34"/>
      <c r="AJ334" s="18"/>
      <c r="AK334" s="34"/>
      <c r="AL334" s="18"/>
      <c r="AM334" s="18"/>
      <c r="AN334" s="34"/>
      <c r="AO334" s="18"/>
      <c r="AP334" s="18"/>
      <c r="AQ334" s="34"/>
      <c r="AR334" s="18"/>
      <c r="AS334" s="18"/>
      <c r="AT334" s="30"/>
      <c r="AU334" s="18"/>
      <c r="AV334" s="18"/>
      <c r="AW334" s="34"/>
      <c r="AX334" s="18"/>
    </row>
    <row r="335" spans="1:50" ht="18.75" customHeight="1" x14ac:dyDescent="0.2">
      <c r="A335" s="4" t="s">
        <v>325</v>
      </c>
      <c r="B335" s="4" t="s">
        <v>326</v>
      </c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1" t="s">
        <v>329</v>
      </c>
      <c r="AB335" s="42" t="s">
        <v>328</v>
      </c>
      <c r="AC335" s="43" t="s">
        <v>61</v>
      </c>
      <c r="AD335" s="43">
        <v>318686698</v>
      </c>
      <c r="AE335" s="44">
        <v>0</v>
      </c>
      <c r="AF335" s="44">
        <v>0</v>
      </c>
      <c r="AG335" s="44">
        <v>0</v>
      </c>
      <c r="AH335" s="44">
        <v>0</v>
      </c>
      <c r="AI335" s="44">
        <v>0</v>
      </c>
      <c r="AJ335" s="43">
        <v>318686698</v>
      </c>
      <c r="AK335" s="44">
        <v>0</v>
      </c>
      <c r="AL335" s="43">
        <v>12522921</v>
      </c>
      <c r="AM335" s="43">
        <v>107797643</v>
      </c>
      <c r="AN335" s="44">
        <v>0</v>
      </c>
      <c r="AO335" s="43">
        <v>12522921</v>
      </c>
      <c r="AP335" s="43">
        <v>107797643</v>
      </c>
      <c r="AQ335" s="44">
        <v>0</v>
      </c>
      <c r="AR335" s="44">
        <v>24778981</v>
      </c>
      <c r="AS335" s="43">
        <v>107797643</v>
      </c>
      <c r="AT335" s="39">
        <f t="shared" si="360"/>
        <v>107797643</v>
      </c>
      <c r="AU335" s="18">
        <f t="shared" ref="AU335" si="391">AJ335-AM335</f>
        <v>210889055</v>
      </c>
      <c r="AV335" s="34">
        <f t="shared" ref="AV335" si="392">AM335-AP335</f>
        <v>0</v>
      </c>
      <c r="AW335" s="34">
        <f t="shared" ref="AW335" si="393">AP335-AT335</f>
        <v>0</v>
      </c>
      <c r="AX335" s="123">
        <f t="shared" ref="AX335" si="394">AP335/AJ335</f>
        <v>0.3382558596782097</v>
      </c>
    </row>
    <row r="336" spans="1:50" ht="18.75" customHeight="1" x14ac:dyDescent="0.2">
      <c r="AA336" s="16"/>
      <c r="AB336" s="17"/>
      <c r="AC336" s="17"/>
      <c r="AD336" s="18"/>
      <c r="AE336" s="34"/>
      <c r="AF336" s="34"/>
      <c r="AG336" s="34"/>
      <c r="AH336" s="34"/>
      <c r="AI336" s="34"/>
      <c r="AJ336" s="18"/>
      <c r="AK336" s="18"/>
      <c r="AL336" s="18"/>
      <c r="AM336" s="18"/>
      <c r="AN336" s="34"/>
      <c r="AO336" s="18"/>
      <c r="AP336" s="18"/>
      <c r="AQ336" s="18"/>
      <c r="AR336" s="34"/>
      <c r="AS336" s="18"/>
      <c r="AT336" s="30"/>
      <c r="AU336" s="18"/>
      <c r="AV336" s="18"/>
      <c r="AW336" s="18"/>
      <c r="AX336" s="18"/>
    </row>
    <row r="337" spans="1:50" ht="18.75" customHeight="1" x14ac:dyDescent="0.2">
      <c r="AA337" s="16"/>
      <c r="AB337" s="29" t="s">
        <v>81</v>
      </c>
      <c r="AC337" s="17"/>
      <c r="AD337" s="18"/>
      <c r="AE337" s="34"/>
      <c r="AF337" s="34"/>
      <c r="AG337" s="34"/>
      <c r="AH337" s="34"/>
      <c r="AI337" s="34"/>
      <c r="AJ337" s="18"/>
      <c r="AK337" s="18"/>
      <c r="AL337" s="18"/>
      <c r="AM337" s="18"/>
      <c r="AN337" s="34"/>
      <c r="AO337" s="18"/>
      <c r="AP337" s="18"/>
      <c r="AQ337" s="18"/>
      <c r="AR337" s="34"/>
      <c r="AS337" s="18"/>
      <c r="AT337" s="30"/>
      <c r="AU337" s="18"/>
      <c r="AV337" s="18"/>
      <c r="AW337" s="18"/>
      <c r="AX337" s="18"/>
    </row>
    <row r="338" spans="1:50" ht="18.75" customHeight="1" x14ac:dyDescent="0.2">
      <c r="AA338" s="28" t="s">
        <v>288</v>
      </c>
      <c r="AB338" s="29" t="s">
        <v>83</v>
      </c>
      <c r="AC338" s="17"/>
      <c r="AD338" s="18"/>
      <c r="AE338" s="34"/>
      <c r="AF338" s="34"/>
      <c r="AG338" s="34"/>
      <c r="AH338" s="34"/>
      <c r="AI338" s="34"/>
      <c r="AJ338" s="18"/>
      <c r="AK338" s="18"/>
      <c r="AL338" s="18"/>
      <c r="AM338" s="18"/>
      <c r="AN338" s="34"/>
      <c r="AO338" s="18"/>
      <c r="AP338" s="18"/>
      <c r="AQ338" s="18"/>
      <c r="AR338" s="34"/>
      <c r="AS338" s="18"/>
      <c r="AT338" s="30"/>
      <c r="AU338" s="18"/>
      <c r="AV338" s="18"/>
      <c r="AW338" s="18"/>
      <c r="AX338" s="18"/>
    </row>
    <row r="339" spans="1:50" ht="18.75" customHeight="1" x14ac:dyDescent="0.2">
      <c r="A339" s="4" t="s">
        <v>325</v>
      </c>
      <c r="B339" s="4" t="s">
        <v>326</v>
      </c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1" t="s">
        <v>330</v>
      </c>
      <c r="AB339" s="42" t="s">
        <v>328</v>
      </c>
      <c r="AC339" s="43" t="s">
        <v>61</v>
      </c>
      <c r="AD339" s="43">
        <v>1177756920</v>
      </c>
      <c r="AE339" s="44">
        <v>0</v>
      </c>
      <c r="AF339" s="44">
        <v>0</v>
      </c>
      <c r="AG339" s="44">
        <v>0</v>
      </c>
      <c r="AH339" s="44">
        <v>0</v>
      </c>
      <c r="AI339" s="44">
        <v>0</v>
      </c>
      <c r="AJ339" s="43">
        <v>1177756920</v>
      </c>
      <c r="AK339" s="44">
        <v>0</v>
      </c>
      <c r="AL339" s="44">
        <v>2549469</v>
      </c>
      <c r="AM339" s="43">
        <v>4287554</v>
      </c>
      <c r="AN339" s="44">
        <v>0</v>
      </c>
      <c r="AO339" s="44">
        <v>2549469</v>
      </c>
      <c r="AP339" s="110">
        <v>4287554</v>
      </c>
      <c r="AQ339" s="34">
        <v>0</v>
      </c>
      <c r="AR339" s="133">
        <v>2549469</v>
      </c>
      <c r="AS339" s="110">
        <v>4287554</v>
      </c>
      <c r="AT339" s="39">
        <f t="shared" ref="AT339" si="395">AQ339+AS339</f>
        <v>4287554</v>
      </c>
      <c r="AU339" s="18">
        <f t="shared" ref="AU339" si="396">AJ339-AM339</f>
        <v>1173469366</v>
      </c>
      <c r="AV339" s="34">
        <f t="shared" ref="AV339" si="397">AM339-AP339</f>
        <v>0</v>
      </c>
      <c r="AW339" s="34">
        <f t="shared" ref="AW339" si="398">AP339-AT339</f>
        <v>0</v>
      </c>
      <c r="AX339" s="123">
        <f t="shared" ref="AX339" si="399">AP339/AJ339</f>
        <v>3.6404405078766171E-3</v>
      </c>
    </row>
    <row r="340" spans="1:50" ht="18.75" customHeight="1" x14ac:dyDescent="0.2">
      <c r="AA340" s="28" t="s">
        <v>288</v>
      </c>
      <c r="AB340" s="29" t="s">
        <v>88</v>
      </c>
      <c r="AC340" s="17"/>
      <c r="AD340" s="18"/>
      <c r="AE340" s="34"/>
      <c r="AF340" s="34"/>
      <c r="AG340" s="34"/>
      <c r="AH340" s="34"/>
      <c r="AI340" s="34"/>
      <c r="AJ340" s="18"/>
      <c r="AK340" s="34"/>
      <c r="AL340" s="34"/>
      <c r="AM340" s="18"/>
      <c r="AN340" s="34"/>
      <c r="AO340" s="34"/>
      <c r="AP340" s="18"/>
      <c r="AQ340" s="18"/>
      <c r="AR340" s="34"/>
      <c r="AS340" s="18"/>
      <c r="AT340" s="30"/>
      <c r="AU340" s="18"/>
      <c r="AV340" s="18"/>
      <c r="AW340" s="34"/>
      <c r="AX340" s="18"/>
    </row>
    <row r="341" spans="1:50" ht="18.75" customHeight="1" x14ac:dyDescent="0.2">
      <c r="A341" s="4" t="s">
        <v>325</v>
      </c>
      <c r="B341" s="4" t="s">
        <v>326</v>
      </c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1" t="s">
        <v>331</v>
      </c>
      <c r="AB341" s="42" t="s">
        <v>328</v>
      </c>
      <c r="AC341" s="43" t="s">
        <v>61</v>
      </c>
      <c r="AD341" s="43">
        <v>565323320</v>
      </c>
      <c r="AE341" s="44">
        <v>0</v>
      </c>
      <c r="AF341" s="44">
        <v>0</v>
      </c>
      <c r="AG341" s="44">
        <v>0</v>
      </c>
      <c r="AH341" s="44">
        <v>0</v>
      </c>
      <c r="AI341" s="44">
        <v>0</v>
      </c>
      <c r="AJ341" s="43">
        <v>565323320</v>
      </c>
      <c r="AK341" s="44">
        <v>0</v>
      </c>
      <c r="AL341" s="44">
        <v>0</v>
      </c>
      <c r="AM341" s="43">
        <v>1527575</v>
      </c>
      <c r="AN341" s="44">
        <v>0</v>
      </c>
      <c r="AO341" s="44">
        <v>0</v>
      </c>
      <c r="AP341" s="43">
        <v>1527575</v>
      </c>
      <c r="AQ341" s="44">
        <v>0</v>
      </c>
      <c r="AR341" s="44">
        <v>0</v>
      </c>
      <c r="AS341" s="43">
        <v>1527575</v>
      </c>
      <c r="AT341" s="39">
        <f t="shared" si="360"/>
        <v>1527575</v>
      </c>
      <c r="AU341" s="18">
        <f t="shared" ref="AU341" si="400">AJ341-AM341</f>
        <v>563795745</v>
      </c>
      <c r="AV341" s="34">
        <f t="shared" ref="AV341" si="401">AM341-AP341</f>
        <v>0</v>
      </c>
      <c r="AW341" s="34">
        <f t="shared" ref="AW341" si="402">AP341-AT341</f>
        <v>0</v>
      </c>
      <c r="AX341" s="123">
        <f t="shared" ref="AX341" si="403">AP341/AJ341</f>
        <v>2.7021262805857716E-3</v>
      </c>
    </row>
    <row r="342" spans="1:50" ht="18.75" customHeight="1" x14ac:dyDescent="0.2">
      <c r="AA342" s="16"/>
      <c r="AB342" s="17"/>
      <c r="AC342" s="17"/>
      <c r="AD342" s="18"/>
      <c r="AE342" s="34"/>
      <c r="AF342" s="34"/>
      <c r="AG342" s="34"/>
      <c r="AH342" s="34"/>
      <c r="AI342" s="34"/>
      <c r="AJ342" s="18"/>
      <c r="AK342" s="34"/>
      <c r="AL342" s="18"/>
      <c r="AM342" s="18"/>
      <c r="AN342" s="18"/>
      <c r="AO342" s="18"/>
      <c r="AP342" s="18"/>
      <c r="AQ342" s="34"/>
      <c r="AR342" s="18"/>
      <c r="AS342" s="18"/>
      <c r="AT342" s="30"/>
      <c r="AU342" s="18"/>
      <c r="AV342" s="18"/>
      <c r="AW342" s="18"/>
      <c r="AX342" s="18"/>
    </row>
    <row r="343" spans="1:50" ht="18.75" customHeight="1" x14ac:dyDescent="0.2">
      <c r="AA343" s="16"/>
      <c r="AB343" s="29" t="s">
        <v>103</v>
      </c>
      <c r="AC343" s="17"/>
      <c r="AD343" s="18"/>
      <c r="AE343" s="34"/>
      <c r="AF343" s="34"/>
      <c r="AG343" s="34"/>
      <c r="AH343" s="34"/>
      <c r="AI343" s="34"/>
      <c r="AJ343" s="18"/>
      <c r="AK343" s="34"/>
      <c r="AL343" s="18"/>
      <c r="AM343" s="18"/>
      <c r="AN343" s="18"/>
      <c r="AO343" s="18"/>
      <c r="AP343" s="18"/>
      <c r="AQ343" s="34"/>
      <c r="AR343" s="18"/>
      <c r="AS343" s="18"/>
      <c r="AT343" s="30"/>
      <c r="AU343" s="18"/>
      <c r="AV343" s="18"/>
      <c r="AW343" s="18"/>
      <c r="AX343" s="18"/>
    </row>
    <row r="344" spans="1:50" ht="24.75" customHeight="1" x14ac:dyDescent="0.2">
      <c r="AA344" s="28" t="s">
        <v>288</v>
      </c>
      <c r="AB344" s="29" t="s">
        <v>352</v>
      </c>
      <c r="AC344" s="17"/>
      <c r="AD344" s="18"/>
      <c r="AE344" s="34"/>
      <c r="AF344" s="34"/>
      <c r="AG344" s="34"/>
      <c r="AH344" s="34"/>
      <c r="AI344" s="34"/>
      <c r="AJ344" s="18"/>
      <c r="AK344" s="34"/>
      <c r="AL344" s="18"/>
      <c r="AM344" s="18"/>
      <c r="AN344" s="18"/>
      <c r="AO344" s="18"/>
      <c r="AP344" s="18"/>
      <c r="AQ344" s="34"/>
      <c r="AR344" s="18"/>
      <c r="AS344" s="18"/>
      <c r="AT344" s="39"/>
      <c r="AU344" s="18"/>
      <c r="AV344" s="18"/>
      <c r="AW344" s="18"/>
      <c r="AX344" s="18"/>
    </row>
    <row r="345" spans="1:50" ht="18.75" customHeight="1" x14ac:dyDescent="0.2">
      <c r="A345" s="4" t="s">
        <v>325</v>
      </c>
      <c r="B345" s="4" t="s">
        <v>326</v>
      </c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1" t="s">
        <v>332</v>
      </c>
      <c r="AB345" s="42" t="s">
        <v>328</v>
      </c>
      <c r="AC345" s="43" t="s">
        <v>61</v>
      </c>
      <c r="AD345" s="43">
        <v>1248245788</v>
      </c>
      <c r="AE345" s="44">
        <v>0</v>
      </c>
      <c r="AF345" s="44">
        <v>0</v>
      </c>
      <c r="AG345" s="44">
        <v>0</v>
      </c>
      <c r="AH345" s="44">
        <v>0</v>
      </c>
      <c r="AI345" s="44">
        <v>0</v>
      </c>
      <c r="AJ345" s="43">
        <v>1248245788</v>
      </c>
      <c r="AK345" s="44">
        <v>0</v>
      </c>
      <c r="AL345" s="43">
        <v>74463025.409999996</v>
      </c>
      <c r="AM345" s="43">
        <v>310587195.04000002</v>
      </c>
      <c r="AN345" s="44">
        <v>0</v>
      </c>
      <c r="AO345" s="43">
        <v>74463025.409999996</v>
      </c>
      <c r="AP345" s="43">
        <v>310587195.04000002</v>
      </c>
      <c r="AQ345" s="44">
        <v>0</v>
      </c>
      <c r="AR345" s="43">
        <v>148556496.81999999</v>
      </c>
      <c r="AS345" s="43">
        <v>310587195.04000002</v>
      </c>
      <c r="AT345" s="39">
        <f t="shared" ref="AT345" si="404">AQ345+AS345</f>
        <v>310587195.04000002</v>
      </c>
      <c r="AU345" s="18">
        <f t="shared" ref="AU345" si="405">AJ345-AM345</f>
        <v>937658592.96000004</v>
      </c>
      <c r="AV345" s="34">
        <f t="shared" ref="AV345" si="406">AM345-AP345</f>
        <v>0</v>
      </c>
      <c r="AW345" s="34">
        <f t="shared" ref="AW345" si="407">AP345-AT345</f>
        <v>0</v>
      </c>
      <c r="AX345" s="123">
        <f t="shared" ref="AX345" si="408">AP345/AJ345</f>
        <v>0.24881894096966103</v>
      </c>
    </row>
    <row r="346" spans="1:50" ht="18.75" customHeight="1" x14ac:dyDescent="0.2">
      <c r="AA346" s="28" t="s">
        <v>288</v>
      </c>
      <c r="AB346" s="29" t="s">
        <v>353</v>
      </c>
      <c r="AC346" s="17"/>
      <c r="AD346" s="18"/>
      <c r="AE346" s="34"/>
      <c r="AF346" s="34"/>
      <c r="AG346" s="34"/>
      <c r="AH346" s="34"/>
      <c r="AI346" s="34"/>
      <c r="AJ346" s="18"/>
      <c r="AK346" s="34"/>
      <c r="AL346" s="18"/>
      <c r="AM346" s="18"/>
      <c r="AN346" s="34"/>
      <c r="AO346" s="18"/>
      <c r="AP346" s="18"/>
      <c r="AQ346" s="18"/>
      <c r="AR346" s="18"/>
      <c r="AS346" s="18"/>
      <c r="AT346" s="39"/>
      <c r="AU346" s="18"/>
      <c r="AV346" s="18"/>
      <c r="AW346" s="34"/>
      <c r="AX346" s="18"/>
    </row>
    <row r="347" spans="1:50" ht="18.75" customHeight="1" x14ac:dyDescent="0.2">
      <c r="A347" s="4" t="s">
        <v>325</v>
      </c>
      <c r="B347" s="4" t="s">
        <v>326</v>
      </c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1" t="s">
        <v>334</v>
      </c>
      <c r="AB347" s="42" t="s">
        <v>328</v>
      </c>
      <c r="AC347" s="43" t="s">
        <v>61</v>
      </c>
      <c r="AD347" s="43">
        <v>918279775</v>
      </c>
      <c r="AE347" s="44">
        <v>0</v>
      </c>
      <c r="AF347" s="44">
        <v>0</v>
      </c>
      <c r="AG347" s="44">
        <v>0</v>
      </c>
      <c r="AH347" s="44">
        <v>0</v>
      </c>
      <c r="AI347" s="44">
        <v>0</v>
      </c>
      <c r="AJ347" s="43">
        <v>918279775</v>
      </c>
      <c r="AK347" s="44">
        <v>0</v>
      </c>
      <c r="AL347" s="43">
        <v>79116728.590000004</v>
      </c>
      <c r="AM347" s="43">
        <v>310748804.95999998</v>
      </c>
      <c r="AN347" s="44">
        <v>0</v>
      </c>
      <c r="AO347" s="43">
        <v>79116728.590000004</v>
      </c>
      <c r="AP347" s="43">
        <v>310748804.95999998</v>
      </c>
      <c r="AQ347" s="44">
        <v>0</v>
      </c>
      <c r="AR347" s="43">
        <v>157840815.18000001</v>
      </c>
      <c r="AS347" s="43">
        <v>310748804.95999998</v>
      </c>
      <c r="AT347" s="39">
        <f t="shared" si="360"/>
        <v>310748804.95999998</v>
      </c>
      <c r="AU347" s="18">
        <f t="shared" ref="AU347" si="409">AJ347-AM347</f>
        <v>607530970.03999996</v>
      </c>
      <c r="AV347" s="34">
        <f t="shared" ref="AV347" si="410">AM347-AP347</f>
        <v>0</v>
      </c>
      <c r="AW347" s="34">
        <f t="shared" ref="AW347" si="411">AP347-AT347</f>
        <v>0</v>
      </c>
      <c r="AX347" s="123">
        <f t="shared" ref="AX347" si="412">AP347/AJ347</f>
        <v>0.33840318976860834</v>
      </c>
    </row>
    <row r="348" spans="1:50" ht="18.75" customHeight="1" x14ac:dyDescent="0.2">
      <c r="AA348" s="28" t="s">
        <v>288</v>
      </c>
      <c r="AB348" s="29" t="s">
        <v>354</v>
      </c>
      <c r="AC348" s="17"/>
      <c r="AD348" s="18"/>
      <c r="AE348" s="34"/>
      <c r="AF348" s="34"/>
      <c r="AG348" s="34"/>
      <c r="AH348" s="34"/>
      <c r="AI348" s="34"/>
      <c r="AJ348" s="18"/>
      <c r="AK348" s="18"/>
      <c r="AL348" s="18"/>
      <c r="AM348" s="18"/>
      <c r="AN348" s="34"/>
      <c r="AO348" s="18"/>
      <c r="AP348" s="18"/>
      <c r="AQ348" s="34"/>
      <c r="AR348" s="18"/>
      <c r="AS348" s="18"/>
      <c r="AT348" s="39"/>
      <c r="AU348" s="18"/>
      <c r="AV348" s="18"/>
      <c r="AW348" s="34"/>
      <c r="AX348" s="18"/>
    </row>
    <row r="349" spans="1:50" ht="18.75" customHeight="1" x14ac:dyDescent="0.2">
      <c r="A349" s="4" t="s">
        <v>325</v>
      </c>
      <c r="B349" s="4" t="s">
        <v>326</v>
      </c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1" t="s">
        <v>335</v>
      </c>
      <c r="AB349" s="42" t="s">
        <v>328</v>
      </c>
      <c r="AC349" s="43" t="s">
        <v>61</v>
      </c>
      <c r="AD349" s="43">
        <v>956127578</v>
      </c>
      <c r="AE349" s="44">
        <v>0</v>
      </c>
      <c r="AF349" s="44">
        <v>0</v>
      </c>
      <c r="AG349" s="44">
        <v>0</v>
      </c>
      <c r="AH349" s="44">
        <v>0</v>
      </c>
      <c r="AI349" s="44">
        <v>0</v>
      </c>
      <c r="AJ349" s="43">
        <v>956127578</v>
      </c>
      <c r="AK349" s="44">
        <v>0</v>
      </c>
      <c r="AL349" s="43">
        <v>78053327</v>
      </c>
      <c r="AM349" s="43">
        <v>315176540</v>
      </c>
      <c r="AN349" s="44">
        <v>0</v>
      </c>
      <c r="AO349" s="43">
        <v>78053327</v>
      </c>
      <c r="AP349" s="43">
        <v>315176540</v>
      </c>
      <c r="AQ349" s="44">
        <v>0</v>
      </c>
      <c r="AR349" s="43">
        <v>155230275</v>
      </c>
      <c r="AS349" s="43">
        <v>315176540</v>
      </c>
      <c r="AT349" s="39">
        <f t="shared" si="360"/>
        <v>315176540</v>
      </c>
      <c r="AU349" s="18">
        <f t="shared" ref="AU349" si="413">AJ349-AM349</f>
        <v>640951038</v>
      </c>
      <c r="AV349" s="34">
        <f t="shared" ref="AV349" si="414">AM349-AP349</f>
        <v>0</v>
      </c>
      <c r="AW349" s="34">
        <f t="shared" ref="AW349" si="415">AP349-AT349</f>
        <v>0</v>
      </c>
      <c r="AX349" s="123">
        <f t="shared" ref="AX349" si="416">AP349/AJ349</f>
        <v>0.32963858302181509</v>
      </c>
    </row>
    <row r="350" spans="1:50" ht="18.75" customHeight="1" x14ac:dyDescent="0.2">
      <c r="AA350" s="28" t="s">
        <v>288</v>
      </c>
      <c r="AB350" s="29" t="s">
        <v>119</v>
      </c>
      <c r="AC350" s="17"/>
      <c r="AD350" s="18"/>
      <c r="AE350" s="34"/>
      <c r="AF350" s="34"/>
      <c r="AG350" s="34"/>
      <c r="AH350" s="34"/>
      <c r="AI350" s="34"/>
      <c r="AJ350" s="18"/>
      <c r="AK350" s="34"/>
      <c r="AL350" s="18"/>
      <c r="AM350" s="18"/>
      <c r="AN350" s="34"/>
      <c r="AO350" s="18"/>
      <c r="AP350" s="18"/>
      <c r="AQ350" s="18"/>
      <c r="AR350" s="18"/>
      <c r="AS350" s="18"/>
      <c r="AT350" s="39"/>
      <c r="AU350" s="18"/>
      <c r="AV350" s="18"/>
      <c r="AW350" s="34"/>
      <c r="AX350" s="18"/>
    </row>
    <row r="351" spans="1:50" ht="18.75" customHeight="1" x14ac:dyDescent="0.2">
      <c r="A351" s="4" t="s">
        <v>325</v>
      </c>
      <c r="B351" s="4" t="s">
        <v>326</v>
      </c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1" t="s">
        <v>336</v>
      </c>
      <c r="AB351" s="42" t="s">
        <v>328</v>
      </c>
      <c r="AC351" s="43" t="s">
        <v>61</v>
      </c>
      <c r="AD351" s="43">
        <v>527278620</v>
      </c>
      <c r="AE351" s="44">
        <v>0</v>
      </c>
      <c r="AF351" s="44">
        <v>0</v>
      </c>
      <c r="AG351" s="44">
        <v>0</v>
      </c>
      <c r="AH351" s="44">
        <v>0</v>
      </c>
      <c r="AI351" s="44">
        <v>0</v>
      </c>
      <c r="AJ351" s="43">
        <v>527278620</v>
      </c>
      <c r="AK351" s="44">
        <v>0</v>
      </c>
      <c r="AL351" s="43">
        <v>37020400</v>
      </c>
      <c r="AM351" s="43">
        <v>147135300</v>
      </c>
      <c r="AN351" s="44">
        <v>0</v>
      </c>
      <c r="AO351" s="43">
        <v>37020400</v>
      </c>
      <c r="AP351" s="43">
        <v>147135300</v>
      </c>
      <c r="AQ351" s="114">
        <v>37020400</v>
      </c>
      <c r="AR351" s="114">
        <v>36340700</v>
      </c>
      <c r="AS351" s="114">
        <v>110114900</v>
      </c>
      <c r="AT351" s="39">
        <f t="shared" si="360"/>
        <v>147135300</v>
      </c>
      <c r="AU351" s="18">
        <f t="shared" ref="AU351" si="417">AJ351-AM351</f>
        <v>380143320</v>
      </c>
      <c r="AV351" s="34">
        <f t="shared" ref="AV351" si="418">AM351-AP351</f>
        <v>0</v>
      </c>
      <c r="AW351" s="34">
        <f t="shared" ref="AW351" si="419">AP351-AT351</f>
        <v>0</v>
      </c>
      <c r="AX351" s="123">
        <f t="shared" ref="AX351" si="420">AP351/AJ351</f>
        <v>0.27904658831036994</v>
      </c>
    </row>
    <row r="352" spans="1:50" ht="18.75" customHeight="1" x14ac:dyDescent="0.2">
      <c r="AA352" s="28" t="s">
        <v>288</v>
      </c>
      <c r="AB352" s="29" t="s">
        <v>124</v>
      </c>
      <c r="AC352" s="17"/>
      <c r="AD352" s="18"/>
      <c r="AE352" s="34"/>
      <c r="AF352" s="34"/>
      <c r="AG352" s="34"/>
      <c r="AH352" s="34"/>
      <c r="AI352" s="34"/>
      <c r="AJ352" s="18"/>
      <c r="AK352" s="34"/>
      <c r="AL352" s="18"/>
      <c r="AM352" s="18"/>
      <c r="AN352" s="34"/>
      <c r="AO352" s="18"/>
      <c r="AP352" s="18"/>
      <c r="AQ352" s="34"/>
      <c r="AR352" s="34"/>
      <c r="AS352" s="34"/>
      <c r="AT352" s="40"/>
      <c r="AU352" s="18"/>
      <c r="AV352" s="18"/>
      <c r="AW352" s="18"/>
      <c r="AX352" s="18"/>
    </row>
    <row r="353" spans="1:50" ht="18.75" customHeight="1" x14ac:dyDescent="0.2">
      <c r="AA353" s="28" t="s">
        <v>288</v>
      </c>
      <c r="AB353" s="29" t="s">
        <v>129</v>
      </c>
      <c r="AC353" s="17"/>
      <c r="AD353" s="18"/>
      <c r="AE353" s="34"/>
      <c r="AF353" s="34"/>
      <c r="AG353" s="34"/>
      <c r="AH353" s="34"/>
      <c r="AI353" s="34"/>
      <c r="AJ353" s="18"/>
      <c r="AK353" s="34"/>
      <c r="AL353" s="18"/>
      <c r="AM353" s="18"/>
      <c r="AN353" s="34"/>
      <c r="AO353" s="18"/>
      <c r="AP353" s="18"/>
      <c r="AQ353" s="34"/>
      <c r="AR353" s="34"/>
      <c r="AS353" s="34"/>
      <c r="AT353" s="40"/>
      <c r="AU353" s="18"/>
      <c r="AV353" s="18"/>
      <c r="AW353" s="18"/>
      <c r="AX353" s="18"/>
    </row>
    <row r="354" spans="1:50" ht="18.75" customHeight="1" x14ac:dyDescent="0.2">
      <c r="A354" s="4" t="s">
        <v>325</v>
      </c>
      <c r="B354" s="4" t="s">
        <v>326</v>
      </c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1" t="s">
        <v>338</v>
      </c>
      <c r="AB354" s="42" t="s">
        <v>328</v>
      </c>
      <c r="AC354" s="43" t="s">
        <v>61</v>
      </c>
      <c r="AD354" s="43">
        <v>395516000</v>
      </c>
      <c r="AE354" s="44">
        <v>0</v>
      </c>
      <c r="AF354" s="44">
        <v>0</v>
      </c>
      <c r="AG354" s="44">
        <v>0</v>
      </c>
      <c r="AH354" s="44">
        <v>0</v>
      </c>
      <c r="AI354" s="44">
        <v>0</v>
      </c>
      <c r="AJ354" s="43">
        <v>395516000</v>
      </c>
      <c r="AK354" s="44">
        <v>0</v>
      </c>
      <c r="AL354" s="43">
        <v>27764500</v>
      </c>
      <c r="AM354" s="43">
        <v>110354200</v>
      </c>
      <c r="AN354" s="44">
        <v>0</v>
      </c>
      <c r="AO354" s="43">
        <v>27764500</v>
      </c>
      <c r="AP354" s="43">
        <v>110354200</v>
      </c>
      <c r="AQ354" s="114">
        <v>27764500</v>
      </c>
      <c r="AR354" s="114">
        <v>27254700</v>
      </c>
      <c r="AS354" s="114">
        <v>82589700</v>
      </c>
      <c r="AT354" s="39">
        <f t="shared" ref="AT354" si="421">AQ354+AS354</f>
        <v>110354200</v>
      </c>
      <c r="AU354" s="18">
        <f t="shared" ref="AU354" si="422">AJ354-AM354</f>
        <v>285161800</v>
      </c>
      <c r="AV354" s="34">
        <f t="shared" ref="AV354" si="423">AM354-AP354</f>
        <v>0</v>
      </c>
      <c r="AW354" s="34">
        <f t="shared" ref="AW354" si="424">AP354-AT354</f>
        <v>0</v>
      </c>
      <c r="AX354" s="123">
        <f t="shared" ref="AX354" si="425">AP354/AJ354</f>
        <v>0.27901323840249193</v>
      </c>
    </row>
    <row r="355" spans="1:50" ht="18.75" customHeight="1" x14ac:dyDescent="0.2">
      <c r="AA355" s="28" t="s">
        <v>288</v>
      </c>
      <c r="AB355" s="29" t="s">
        <v>133</v>
      </c>
      <c r="AC355" s="17"/>
      <c r="AD355" s="18"/>
      <c r="AE355" s="34"/>
      <c r="AF355" s="34"/>
      <c r="AG355" s="34"/>
      <c r="AH355" s="34"/>
      <c r="AI355" s="34"/>
      <c r="AJ355" s="18"/>
      <c r="AK355" s="34"/>
      <c r="AL355" s="18"/>
      <c r="AM355" s="18"/>
      <c r="AN355" s="34"/>
      <c r="AO355" s="18"/>
      <c r="AP355" s="18"/>
      <c r="AQ355" s="34"/>
      <c r="AR355" s="34"/>
      <c r="AS355" s="34"/>
      <c r="AT355" s="40"/>
      <c r="AU355" s="18"/>
      <c r="AV355" s="18"/>
      <c r="AW355" s="34"/>
      <c r="AX355" s="18"/>
    </row>
    <row r="356" spans="1:50" ht="18.75" customHeight="1" x14ac:dyDescent="0.2">
      <c r="A356" s="4" t="s">
        <v>325</v>
      </c>
      <c r="B356" s="4" t="s">
        <v>326</v>
      </c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1" t="s">
        <v>339</v>
      </c>
      <c r="AB356" s="42" t="s">
        <v>328</v>
      </c>
      <c r="AC356" s="43" t="s">
        <v>61</v>
      </c>
      <c r="AD356" s="43">
        <v>66047960</v>
      </c>
      <c r="AE356" s="44">
        <v>0</v>
      </c>
      <c r="AF356" s="44">
        <v>0</v>
      </c>
      <c r="AG356" s="44">
        <v>0</v>
      </c>
      <c r="AH356" s="44">
        <v>0</v>
      </c>
      <c r="AI356" s="44">
        <v>0</v>
      </c>
      <c r="AJ356" s="43">
        <v>66047960</v>
      </c>
      <c r="AK356" s="44">
        <v>0</v>
      </c>
      <c r="AL356" s="43">
        <v>4633700</v>
      </c>
      <c r="AM356" s="43">
        <v>18421700</v>
      </c>
      <c r="AN356" s="44">
        <v>0</v>
      </c>
      <c r="AO356" s="43">
        <v>4633700</v>
      </c>
      <c r="AP356" s="43">
        <v>18421700</v>
      </c>
      <c r="AQ356" s="114">
        <v>4633700</v>
      </c>
      <c r="AR356" s="114">
        <v>4548500</v>
      </c>
      <c r="AS356" s="114">
        <v>13788000</v>
      </c>
      <c r="AT356" s="39">
        <f t="shared" ref="AT356" si="426">AQ356+AS356</f>
        <v>18421700</v>
      </c>
      <c r="AU356" s="18">
        <f t="shared" ref="AU356" si="427">AJ356-AM356</f>
        <v>47626260</v>
      </c>
      <c r="AV356" s="34">
        <f t="shared" ref="AV356" si="428">AM356-AP356</f>
        <v>0</v>
      </c>
      <c r="AW356" s="34">
        <f t="shared" ref="AW356" si="429">AP356-AT356</f>
        <v>0</v>
      </c>
      <c r="AX356" s="123">
        <f t="shared" ref="AX356" si="430">AP356/AJ356</f>
        <v>0.27891398916787136</v>
      </c>
    </row>
    <row r="357" spans="1:50" ht="18.75" customHeight="1" x14ac:dyDescent="0.2">
      <c r="AA357" s="28" t="s">
        <v>288</v>
      </c>
      <c r="AB357" s="29" t="s">
        <v>138</v>
      </c>
      <c r="AC357" s="17"/>
      <c r="AD357" s="18"/>
      <c r="AE357" s="34"/>
      <c r="AF357" s="34"/>
      <c r="AG357" s="34"/>
      <c r="AH357" s="34"/>
      <c r="AI357" s="34"/>
      <c r="AJ357" s="18"/>
      <c r="AK357" s="34"/>
      <c r="AL357" s="18"/>
      <c r="AM357" s="18"/>
      <c r="AN357" s="34"/>
      <c r="AO357" s="18"/>
      <c r="AP357" s="18"/>
      <c r="AQ357" s="110"/>
      <c r="AR357" s="110"/>
      <c r="AS357" s="110"/>
      <c r="AT357" s="40"/>
      <c r="AU357" s="18"/>
      <c r="AV357" s="18"/>
      <c r="AW357" s="34"/>
      <c r="AX357" s="18"/>
    </row>
    <row r="358" spans="1:50" ht="18.75" customHeight="1" x14ac:dyDescent="0.2">
      <c r="A358" s="4" t="s">
        <v>325</v>
      </c>
      <c r="B358" s="4" t="s">
        <v>326</v>
      </c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1" t="s">
        <v>340</v>
      </c>
      <c r="AB358" s="42" t="s">
        <v>328</v>
      </c>
      <c r="AC358" s="43" t="s">
        <v>61</v>
      </c>
      <c r="AD358" s="43">
        <v>66047960</v>
      </c>
      <c r="AE358" s="44">
        <v>0</v>
      </c>
      <c r="AF358" s="44">
        <v>0</v>
      </c>
      <c r="AG358" s="44">
        <v>0</v>
      </c>
      <c r="AH358" s="44">
        <v>0</v>
      </c>
      <c r="AI358" s="44">
        <v>0</v>
      </c>
      <c r="AJ358" s="43">
        <v>66047960</v>
      </c>
      <c r="AK358" s="44">
        <v>0</v>
      </c>
      <c r="AL358" s="43">
        <v>4633700</v>
      </c>
      <c r="AM358" s="43">
        <v>18421700</v>
      </c>
      <c r="AN358" s="44">
        <v>0</v>
      </c>
      <c r="AO358" s="43">
        <v>4633700</v>
      </c>
      <c r="AP358" s="43">
        <v>18421700</v>
      </c>
      <c r="AQ358" s="114">
        <v>4633700</v>
      </c>
      <c r="AR358" s="114">
        <v>4548500</v>
      </c>
      <c r="AS358" s="114">
        <v>13788000</v>
      </c>
      <c r="AT358" s="39">
        <f t="shared" ref="AT358" si="431">AQ358+AS358</f>
        <v>18421700</v>
      </c>
      <c r="AU358" s="18">
        <f t="shared" ref="AU358" si="432">AJ358-AM358</f>
        <v>47626260</v>
      </c>
      <c r="AV358" s="34">
        <f t="shared" ref="AV358" si="433">AM358-AP358</f>
        <v>0</v>
      </c>
      <c r="AW358" s="34">
        <f t="shared" ref="AW358" si="434">AP358-AT358</f>
        <v>0</v>
      </c>
      <c r="AX358" s="123">
        <f t="shared" ref="AX358" si="435">AP358/AJ358</f>
        <v>0.27891398916787136</v>
      </c>
    </row>
    <row r="359" spans="1:50" x14ac:dyDescent="0.2">
      <c r="AA359" s="28" t="s">
        <v>288</v>
      </c>
      <c r="AB359" s="29" t="s">
        <v>145</v>
      </c>
      <c r="AC359" s="17"/>
      <c r="AD359" s="18"/>
      <c r="AE359" s="34"/>
      <c r="AF359" s="34"/>
      <c r="AG359" s="34"/>
      <c r="AH359" s="34"/>
      <c r="AI359" s="34"/>
      <c r="AJ359" s="18"/>
      <c r="AK359" s="34"/>
      <c r="AL359" s="18"/>
      <c r="AM359" s="18"/>
      <c r="AN359" s="34"/>
      <c r="AO359" s="18"/>
      <c r="AP359" s="18"/>
      <c r="AQ359" s="110"/>
      <c r="AR359" s="110"/>
      <c r="AS359" s="110"/>
      <c r="AT359" s="40"/>
      <c r="AU359" s="18"/>
      <c r="AV359" s="18"/>
      <c r="AW359" s="34"/>
      <c r="AX359" s="18"/>
    </row>
    <row r="360" spans="1:50" ht="18.75" customHeight="1" x14ac:dyDescent="0.2">
      <c r="A360" s="4" t="s">
        <v>325</v>
      </c>
      <c r="B360" s="4" t="s">
        <v>326</v>
      </c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1" t="s">
        <v>341</v>
      </c>
      <c r="AB360" s="42" t="s">
        <v>328</v>
      </c>
      <c r="AC360" s="43" t="s">
        <v>61</v>
      </c>
      <c r="AD360" s="43">
        <v>131938455</v>
      </c>
      <c r="AE360" s="44">
        <v>0</v>
      </c>
      <c r="AF360" s="44">
        <v>0</v>
      </c>
      <c r="AG360" s="44">
        <v>0</v>
      </c>
      <c r="AH360" s="44">
        <v>0</v>
      </c>
      <c r="AI360" s="44">
        <v>0</v>
      </c>
      <c r="AJ360" s="43">
        <v>131938455</v>
      </c>
      <c r="AK360" s="44">
        <v>0</v>
      </c>
      <c r="AL360" s="43">
        <v>9262000</v>
      </c>
      <c r="AM360" s="43">
        <v>36814800</v>
      </c>
      <c r="AN360" s="44">
        <v>0</v>
      </c>
      <c r="AO360" s="43">
        <v>9262000</v>
      </c>
      <c r="AP360" s="43">
        <v>36814800</v>
      </c>
      <c r="AQ360" s="114">
        <v>9262000</v>
      </c>
      <c r="AR360" s="114">
        <v>9092000</v>
      </c>
      <c r="AS360" s="114">
        <v>27552800</v>
      </c>
      <c r="AT360" s="39">
        <f t="shared" ref="AT360" si="436">AQ360+AS360</f>
        <v>36814800</v>
      </c>
      <c r="AU360" s="18">
        <f t="shared" ref="AU360" si="437">AJ360-AM360</f>
        <v>95123655</v>
      </c>
      <c r="AV360" s="34">
        <f t="shared" ref="AV360" si="438">AM360-AP360</f>
        <v>0</v>
      </c>
      <c r="AW360" s="34">
        <f t="shared" ref="AW360" si="439">AP360-AT360</f>
        <v>0</v>
      </c>
      <c r="AX360" s="123">
        <f t="shared" ref="AX360" si="440">AP360/AJ360</f>
        <v>0.27903009778309135</v>
      </c>
    </row>
    <row r="361" spans="1:50" ht="18.75" customHeight="1" x14ac:dyDescent="0.2">
      <c r="AA361" s="16"/>
      <c r="AB361" s="17"/>
      <c r="AC361" s="17"/>
      <c r="AD361" s="18"/>
      <c r="AE361" s="34"/>
      <c r="AF361" s="34"/>
      <c r="AG361" s="34"/>
      <c r="AH361" s="34"/>
      <c r="AI361" s="34"/>
      <c r="AJ361" s="18"/>
      <c r="AK361" s="34"/>
      <c r="AL361" s="18"/>
      <c r="AM361" s="18"/>
      <c r="AN361" s="34"/>
      <c r="AO361" s="18"/>
      <c r="AP361" s="18"/>
      <c r="AQ361" s="34"/>
      <c r="AR361" s="34"/>
      <c r="AS361" s="34"/>
      <c r="AT361" s="40"/>
      <c r="AU361" s="18"/>
      <c r="AV361" s="18"/>
      <c r="AW361" s="18"/>
      <c r="AX361" s="18"/>
    </row>
    <row r="362" spans="1:50" ht="18.75" customHeight="1" x14ac:dyDescent="0.2">
      <c r="AA362" s="16"/>
      <c r="AB362" s="29" t="s">
        <v>149</v>
      </c>
      <c r="AC362" s="17"/>
      <c r="AD362" s="18"/>
      <c r="AE362" s="34"/>
      <c r="AF362" s="34"/>
      <c r="AG362" s="34"/>
      <c r="AH362" s="34"/>
      <c r="AI362" s="34"/>
      <c r="AJ362" s="18"/>
      <c r="AK362" s="34"/>
      <c r="AL362" s="18"/>
      <c r="AM362" s="18"/>
      <c r="AN362" s="34"/>
      <c r="AO362" s="18"/>
      <c r="AP362" s="18"/>
      <c r="AQ362" s="34"/>
      <c r="AR362" s="34"/>
      <c r="AS362" s="34"/>
      <c r="AT362" s="40"/>
      <c r="AU362" s="18"/>
      <c r="AV362" s="18"/>
      <c r="AW362" s="18"/>
      <c r="AX362" s="18"/>
    </row>
    <row r="363" spans="1:50" ht="18.75" customHeight="1" x14ac:dyDescent="0.2">
      <c r="AA363" s="16"/>
      <c r="AB363" s="29" t="s">
        <v>81</v>
      </c>
      <c r="AC363" s="17"/>
      <c r="AD363" s="18"/>
      <c r="AE363" s="34"/>
      <c r="AF363" s="34"/>
      <c r="AG363" s="34"/>
      <c r="AH363" s="34"/>
      <c r="AI363" s="34"/>
      <c r="AJ363" s="18"/>
      <c r="AK363" s="34"/>
      <c r="AL363" s="18"/>
      <c r="AM363" s="18"/>
      <c r="AN363" s="34"/>
      <c r="AO363" s="18"/>
      <c r="AP363" s="18"/>
      <c r="AQ363" s="34"/>
      <c r="AR363" s="34"/>
      <c r="AS363" s="34"/>
      <c r="AT363" s="40"/>
      <c r="AU363" s="18"/>
      <c r="AV363" s="18"/>
      <c r="AW363" s="18"/>
      <c r="AX363" s="18"/>
    </row>
    <row r="364" spans="1:50" ht="18.75" customHeight="1" x14ac:dyDescent="0.2">
      <c r="AA364" s="28" t="s">
        <v>288</v>
      </c>
      <c r="AB364" s="29" t="s">
        <v>152</v>
      </c>
      <c r="AC364" s="17"/>
      <c r="AD364" s="18"/>
      <c r="AE364" s="34"/>
      <c r="AF364" s="34"/>
      <c r="AG364" s="34"/>
      <c r="AH364" s="34"/>
      <c r="AI364" s="34"/>
      <c r="AJ364" s="18"/>
      <c r="AK364" s="34"/>
      <c r="AL364" s="18"/>
      <c r="AM364" s="18"/>
      <c r="AN364" s="34"/>
      <c r="AO364" s="18"/>
      <c r="AP364" s="18"/>
      <c r="AQ364" s="34"/>
      <c r="AR364" s="34"/>
      <c r="AS364" s="34"/>
      <c r="AT364" s="40"/>
      <c r="AU364" s="18"/>
      <c r="AV364" s="18"/>
      <c r="AW364" s="18"/>
      <c r="AX364" s="18"/>
    </row>
    <row r="365" spans="1:50" ht="18.75" customHeight="1" x14ac:dyDescent="0.2">
      <c r="A365" s="4" t="s">
        <v>325</v>
      </c>
      <c r="B365" s="4" t="s">
        <v>326</v>
      </c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1" t="s">
        <v>342</v>
      </c>
      <c r="AB365" s="42" t="s">
        <v>328</v>
      </c>
      <c r="AC365" s="43" t="s">
        <v>61</v>
      </c>
      <c r="AD365" s="43">
        <v>1121217736</v>
      </c>
      <c r="AE365" s="44">
        <v>0</v>
      </c>
      <c r="AF365" s="44">
        <v>0</v>
      </c>
      <c r="AG365" s="44">
        <v>0</v>
      </c>
      <c r="AH365" s="44">
        <v>0</v>
      </c>
      <c r="AI365" s="44">
        <v>0</v>
      </c>
      <c r="AJ365" s="43">
        <v>1121217736</v>
      </c>
      <c r="AK365" s="44">
        <v>0</v>
      </c>
      <c r="AL365" s="44">
        <v>2689140</v>
      </c>
      <c r="AM365" s="43">
        <v>260473593</v>
      </c>
      <c r="AN365" s="44">
        <v>0</v>
      </c>
      <c r="AO365" s="44">
        <v>2689140</v>
      </c>
      <c r="AP365" s="43">
        <v>260473593</v>
      </c>
      <c r="AQ365" s="44">
        <v>0</v>
      </c>
      <c r="AR365" s="114">
        <v>2689140</v>
      </c>
      <c r="AS365" s="114">
        <v>260473593</v>
      </c>
      <c r="AT365" s="39">
        <f t="shared" ref="AT365" si="441">AQ365+AS365</f>
        <v>260473593</v>
      </c>
      <c r="AU365" s="18">
        <f t="shared" ref="AU365" si="442">AJ365-AM365</f>
        <v>860744143</v>
      </c>
      <c r="AV365" s="34">
        <f t="shared" ref="AV365" si="443">AM365-AP365</f>
        <v>0</v>
      </c>
      <c r="AW365" s="34">
        <f t="shared" ref="AW365" si="444">AP365-AT365</f>
        <v>0</v>
      </c>
      <c r="AX365" s="123">
        <f t="shared" ref="AX365" si="445">AP365/AJ365</f>
        <v>0.23231312227476217</v>
      </c>
    </row>
    <row r="366" spans="1:50" ht="18.75" customHeight="1" x14ac:dyDescent="0.2">
      <c r="AA366" s="28" t="s">
        <v>288</v>
      </c>
      <c r="AB366" s="29" t="s">
        <v>343</v>
      </c>
      <c r="AC366" s="17"/>
      <c r="AD366" s="18"/>
      <c r="AE366" s="34"/>
      <c r="AF366" s="34"/>
      <c r="AG366" s="34"/>
      <c r="AH366" s="34"/>
      <c r="AI366" s="34"/>
      <c r="AJ366" s="18"/>
      <c r="AK366" s="34"/>
      <c r="AL366" s="18"/>
      <c r="AM366" s="18"/>
      <c r="AN366" s="34"/>
      <c r="AO366" s="18"/>
      <c r="AP366" s="18"/>
      <c r="AQ366" s="18"/>
      <c r="AR366" s="18"/>
      <c r="AS366" s="18"/>
      <c r="AT366" s="39"/>
      <c r="AU366" s="18"/>
      <c r="AV366" s="18"/>
      <c r="AW366" s="34"/>
      <c r="AX366" s="18"/>
    </row>
    <row r="367" spans="1:50" ht="18.75" customHeight="1" x14ac:dyDescent="0.2">
      <c r="A367" s="4" t="s">
        <v>325</v>
      </c>
      <c r="B367" s="4" t="s">
        <v>326</v>
      </c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1" t="s">
        <v>344</v>
      </c>
      <c r="AB367" s="42" t="s">
        <v>328</v>
      </c>
      <c r="AC367" s="43" t="s">
        <v>61</v>
      </c>
      <c r="AD367" s="43">
        <v>10000000</v>
      </c>
      <c r="AE367" s="44">
        <v>0</v>
      </c>
      <c r="AF367" s="44">
        <v>0</v>
      </c>
      <c r="AG367" s="44">
        <v>0</v>
      </c>
      <c r="AH367" s="44">
        <v>0</v>
      </c>
      <c r="AI367" s="44">
        <v>0</v>
      </c>
      <c r="AJ367" s="43">
        <v>10000000</v>
      </c>
      <c r="AK367" s="44">
        <v>0</v>
      </c>
      <c r="AL367" s="44">
        <v>0</v>
      </c>
      <c r="AM367" s="44">
        <v>0</v>
      </c>
      <c r="AN367" s="44">
        <v>0</v>
      </c>
      <c r="AO367" s="44">
        <v>0</v>
      </c>
      <c r="AP367" s="44">
        <v>0</v>
      </c>
      <c r="AQ367" s="44">
        <v>0</v>
      </c>
      <c r="AR367" s="44">
        <v>0</v>
      </c>
      <c r="AS367" s="44">
        <v>0</v>
      </c>
      <c r="AT367" s="40">
        <f t="shared" ref="AT367:AT392" si="446">AQ367+AS367</f>
        <v>0</v>
      </c>
      <c r="AU367" s="18">
        <f t="shared" ref="AU367" si="447">AJ367-AM367</f>
        <v>10000000</v>
      </c>
      <c r="AV367" s="34">
        <f t="shared" ref="AV367" si="448">AM367-AP367</f>
        <v>0</v>
      </c>
      <c r="AW367" s="34">
        <f t="shared" ref="AW367" si="449">AP367-AT367</f>
        <v>0</v>
      </c>
      <c r="AX367" s="123">
        <f t="shared" ref="AX367" si="450">AP367/AJ367</f>
        <v>0</v>
      </c>
    </row>
    <row r="368" spans="1:50" ht="18.75" customHeight="1" x14ac:dyDescent="0.2">
      <c r="AA368" s="28" t="s">
        <v>288</v>
      </c>
      <c r="AB368" s="29" t="s">
        <v>162</v>
      </c>
      <c r="AC368" s="17"/>
      <c r="AD368" s="18"/>
      <c r="AE368" s="34"/>
      <c r="AF368" s="34"/>
      <c r="AG368" s="34"/>
      <c r="AH368" s="34"/>
      <c r="AI368" s="34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30"/>
      <c r="AU368" s="18"/>
      <c r="AV368" s="18"/>
      <c r="AW368" s="18"/>
      <c r="AX368" s="18"/>
    </row>
    <row r="369" spans="1:50" ht="18.75" customHeight="1" x14ac:dyDescent="0.2">
      <c r="AA369" s="16"/>
      <c r="AB369" s="17"/>
      <c r="AC369" s="17"/>
      <c r="AD369" s="18"/>
      <c r="AE369" s="34"/>
      <c r="AF369" s="34"/>
      <c r="AG369" s="34"/>
      <c r="AH369" s="34"/>
      <c r="AI369" s="34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30"/>
      <c r="AU369" s="18"/>
      <c r="AV369" s="18"/>
      <c r="AW369" s="18"/>
      <c r="AX369" s="18"/>
    </row>
    <row r="370" spans="1:50" ht="18.75" customHeight="1" x14ac:dyDescent="0.2">
      <c r="AA370" s="16"/>
      <c r="AB370" s="29" t="s">
        <v>356</v>
      </c>
      <c r="AC370" s="17"/>
      <c r="AD370" s="18"/>
      <c r="AE370" s="34"/>
      <c r="AF370" s="34"/>
      <c r="AG370" s="34"/>
      <c r="AH370" s="34"/>
      <c r="AI370" s="34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30"/>
      <c r="AU370" s="18"/>
      <c r="AV370" s="18"/>
      <c r="AW370" s="18"/>
      <c r="AX370" s="18"/>
    </row>
    <row r="371" spans="1:50" ht="18.75" customHeight="1" x14ac:dyDescent="0.2">
      <c r="AA371" s="16"/>
      <c r="AB371" s="29" t="s">
        <v>286</v>
      </c>
      <c r="AC371" s="17"/>
      <c r="AD371" s="18"/>
      <c r="AE371" s="34"/>
      <c r="AF371" s="34"/>
      <c r="AG371" s="34"/>
      <c r="AH371" s="34"/>
      <c r="AI371" s="34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30"/>
      <c r="AU371" s="18"/>
      <c r="AV371" s="18"/>
      <c r="AW371" s="18"/>
      <c r="AX371" s="18"/>
    </row>
    <row r="372" spans="1:50" ht="18.75" customHeight="1" x14ac:dyDescent="0.2">
      <c r="AA372" s="16"/>
      <c r="AB372" s="29" t="s">
        <v>179</v>
      </c>
      <c r="AC372" s="17"/>
      <c r="AD372" s="18"/>
      <c r="AE372" s="34"/>
      <c r="AF372" s="34"/>
      <c r="AG372" s="34"/>
      <c r="AH372" s="34"/>
      <c r="AI372" s="34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30"/>
      <c r="AU372" s="18"/>
      <c r="AV372" s="18"/>
      <c r="AW372" s="18"/>
      <c r="AX372" s="18"/>
    </row>
    <row r="373" spans="1:50" ht="18.75" customHeight="1" x14ac:dyDescent="0.2">
      <c r="AA373" s="16"/>
      <c r="AB373" s="29" t="s">
        <v>181</v>
      </c>
      <c r="AC373" s="17"/>
      <c r="AD373" s="18"/>
      <c r="AE373" s="34"/>
      <c r="AF373" s="34"/>
      <c r="AG373" s="34"/>
      <c r="AH373" s="34"/>
      <c r="AI373" s="34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30"/>
      <c r="AU373" s="18"/>
      <c r="AV373" s="18"/>
      <c r="AW373" s="18"/>
      <c r="AX373" s="18"/>
    </row>
    <row r="374" spans="1:50" ht="25.5" x14ac:dyDescent="0.2">
      <c r="AA374" s="16"/>
      <c r="AB374" s="29" t="s">
        <v>183</v>
      </c>
      <c r="AC374" s="17"/>
      <c r="AD374" s="18"/>
      <c r="AE374" s="34"/>
      <c r="AF374" s="34"/>
      <c r="AG374" s="34"/>
      <c r="AH374" s="34"/>
      <c r="AI374" s="34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30"/>
      <c r="AU374" s="18"/>
      <c r="AV374" s="18"/>
      <c r="AW374" s="18"/>
      <c r="AX374" s="18"/>
    </row>
    <row r="375" spans="1:50" ht="18.75" customHeight="1" x14ac:dyDescent="0.2">
      <c r="AA375" s="28" t="s">
        <v>288</v>
      </c>
      <c r="AB375" s="29" t="s">
        <v>320</v>
      </c>
      <c r="AC375" s="17"/>
      <c r="AD375" s="18"/>
      <c r="AE375" s="34"/>
      <c r="AF375" s="34"/>
      <c r="AG375" s="34"/>
      <c r="AH375" s="34"/>
      <c r="AI375" s="34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30"/>
      <c r="AU375" s="18"/>
      <c r="AV375" s="18"/>
      <c r="AW375" s="18"/>
      <c r="AX375" s="18"/>
    </row>
    <row r="376" spans="1:50" ht="18.75" customHeight="1" x14ac:dyDescent="0.2">
      <c r="A376" s="4" t="s">
        <v>55</v>
      </c>
      <c r="B376" s="4" t="s">
        <v>56</v>
      </c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1" t="s">
        <v>357</v>
      </c>
      <c r="AB376" s="42" t="s">
        <v>328</v>
      </c>
      <c r="AC376" s="43" t="s">
        <v>61</v>
      </c>
      <c r="AD376" s="43">
        <v>33040051</v>
      </c>
      <c r="AE376" s="44">
        <v>0</v>
      </c>
      <c r="AF376" s="44">
        <v>0</v>
      </c>
      <c r="AG376" s="44">
        <v>0</v>
      </c>
      <c r="AH376" s="44">
        <v>0</v>
      </c>
      <c r="AI376" s="44">
        <v>0</v>
      </c>
      <c r="AJ376" s="43">
        <v>33040051</v>
      </c>
      <c r="AK376" s="44">
        <v>0</v>
      </c>
      <c r="AL376" s="44">
        <v>0</v>
      </c>
      <c r="AM376" s="44">
        <v>0</v>
      </c>
      <c r="AN376" s="44">
        <v>0</v>
      </c>
      <c r="AO376" s="44">
        <v>0</v>
      </c>
      <c r="AP376" s="44">
        <v>0</v>
      </c>
      <c r="AQ376" s="44">
        <v>0</v>
      </c>
      <c r="AR376" s="44">
        <v>0</v>
      </c>
      <c r="AS376" s="44">
        <v>0</v>
      </c>
      <c r="AT376" s="40">
        <f t="shared" ref="AT376" si="451">AQ376+AS376</f>
        <v>0</v>
      </c>
      <c r="AU376" s="18">
        <f t="shared" ref="AU376" si="452">AJ376-AM376</f>
        <v>33040051</v>
      </c>
      <c r="AV376" s="34">
        <f t="shared" ref="AV376" si="453">AM376-AP376</f>
        <v>0</v>
      </c>
      <c r="AW376" s="34">
        <f t="shared" ref="AW376" si="454">AP376-AT376</f>
        <v>0</v>
      </c>
      <c r="AX376" s="123">
        <f t="shared" ref="AX376" si="455">AP376/AJ376</f>
        <v>0</v>
      </c>
    </row>
    <row r="377" spans="1:50" ht="18.75" customHeight="1" x14ac:dyDescent="0.2">
      <c r="AA377" s="16"/>
      <c r="AB377" s="17"/>
      <c r="AC377" s="17"/>
      <c r="AD377" s="18"/>
      <c r="AE377" s="34"/>
      <c r="AF377" s="34"/>
      <c r="AG377" s="34"/>
      <c r="AH377" s="34"/>
      <c r="AI377" s="34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31"/>
      <c r="AU377" s="18"/>
      <c r="AV377" s="18"/>
      <c r="AW377" s="34"/>
      <c r="AX377" s="18"/>
    </row>
    <row r="378" spans="1:50" ht="18.75" customHeight="1" x14ac:dyDescent="0.2">
      <c r="AA378" s="16"/>
      <c r="AB378" s="29" t="s">
        <v>187</v>
      </c>
      <c r="AC378" s="17"/>
      <c r="AD378" s="18"/>
      <c r="AE378" s="34"/>
      <c r="AF378" s="34"/>
      <c r="AG378" s="34"/>
      <c r="AH378" s="34"/>
      <c r="AI378" s="34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31"/>
      <c r="AU378" s="18"/>
      <c r="AV378" s="18"/>
      <c r="AW378" s="34"/>
      <c r="AX378" s="18"/>
    </row>
    <row r="379" spans="1:50" ht="25.5" x14ac:dyDescent="0.2">
      <c r="AA379" s="28" t="s">
        <v>288</v>
      </c>
      <c r="AB379" s="68" t="s">
        <v>358</v>
      </c>
      <c r="AC379" s="17"/>
      <c r="AD379" s="18"/>
      <c r="AE379" s="34"/>
      <c r="AF379" s="34"/>
      <c r="AG379" s="34"/>
      <c r="AH379" s="34"/>
      <c r="AI379" s="34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31"/>
      <c r="AU379" s="18"/>
      <c r="AV379" s="18"/>
      <c r="AW379" s="34"/>
      <c r="AX379" s="18"/>
    </row>
    <row r="380" spans="1:50" ht="18.75" customHeight="1" x14ac:dyDescent="0.2">
      <c r="A380" s="4" t="s">
        <v>55</v>
      </c>
      <c r="B380" s="4" t="s">
        <v>56</v>
      </c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134" t="s">
        <v>359</v>
      </c>
      <c r="AB380" s="69" t="s">
        <v>360</v>
      </c>
      <c r="AC380" s="43" t="s">
        <v>361</v>
      </c>
      <c r="AD380" s="43">
        <v>800000000</v>
      </c>
      <c r="AE380" s="44">
        <v>0</v>
      </c>
      <c r="AF380" s="44">
        <v>0</v>
      </c>
      <c r="AG380" s="44">
        <v>0</v>
      </c>
      <c r="AH380" s="44">
        <v>0</v>
      </c>
      <c r="AI380" s="44">
        <v>0</v>
      </c>
      <c r="AJ380" s="43">
        <v>800000000</v>
      </c>
      <c r="AK380" s="44">
        <v>0</v>
      </c>
      <c r="AL380" s="44">
        <v>0</v>
      </c>
      <c r="AM380" s="43">
        <v>800000000</v>
      </c>
      <c r="AN380" s="44">
        <v>0</v>
      </c>
      <c r="AO380" s="43">
        <v>800000000</v>
      </c>
      <c r="AP380" s="43">
        <v>800000000</v>
      </c>
      <c r="AQ380" s="44">
        <v>0</v>
      </c>
      <c r="AR380" s="44">
        <v>0</v>
      </c>
      <c r="AS380" s="44">
        <v>0</v>
      </c>
      <c r="AT380" s="40">
        <f t="shared" ref="AT380:AT381" si="456">AQ380+AS380</f>
        <v>0</v>
      </c>
      <c r="AU380" s="34">
        <f t="shared" ref="AU380:AU381" si="457">AJ380-AM380</f>
        <v>0</v>
      </c>
      <c r="AV380" s="110">
        <f t="shared" ref="AV380:AV381" si="458">AM380-AP380</f>
        <v>0</v>
      </c>
      <c r="AW380" s="18">
        <f t="shared" ref="AW380:AW381" si="459">AP380-AT380</f>
        <v>800000000</v>
      </c>
      <c r="AX380" s="123">
        <f t="shared" ref="AX380:AX381" si="460">AP380/AJ380</f>
        <v>1</v>
      </c>
    </row>
    <row r="381" spans="1:50" ht="18.75" customHeight="1" x14ac:dyDescent="0.2">
      <c r="AA381" s="41" t="s">
        <v>908</v>
      </c>
      <c r="AB381" s="69" t="s">
        <v>233</v>
      </c>
      <c r="AC381" s="17"/>
      <c r="AD381" s="34">
        <v>0</v>
      </c>
      <c r="AE381" s="34">
        <v>0</v>
      </c>
      <c r="AF381" s="34">
        <v>0</v>
      </c>
      <c r="AG381" s="18">
        <v>2000000000</v>
      </c>
      <c r="AH381" s="34"/>
      <c r="AI381" s="18">
        <f>AE381-AF381+AG381-AH381</f>
        <v>2000000000</v>
      </c>
      <c r="AJ381" s="18">
        <f>AD381+AI381</f>
        <v>2000000000</v>
      </c>
      <c r="AK381" s="34">
        <v>0</v>
      </c>
      <c r="AL381" s="34">
        <v>0</v>
      </c>
      <c r="AM381" s="18">
        <v>1998959930.71</v>
      </c>
      <c r="AN381" s="34">
        <v>0</v>
      </c>
      <c r="AO381" s="18">
        <v>1998371566.72</v>
      </c>
      <c r="AP381" s="18">
        <v>1998371566.72</v>
      </c>
      <c r="AQ381" s="34">
        <v>0</v>
      </c>
      <c r="AR381" s="34">
        <v>0</v>
      </c>
      <c r="AS381" s="34">
        <v>0</v>
      </c>
      <c r="AT381" s="40">
        <f t="shared" si="456"/>
        <v>0</v>
      </c>
      <c r="AU381" s="18">
        <f t="shared" si="457"/>
        <v>1040069.2899999619</v>
      </c>
      <c r="AV381" s="110">
        <f t="shared" si="458"/>
        <v>588363.99000000954</v>
      </c>
      <c r="AW381" s="18">
        <f t="shared" si="459"/>
        <v>1998371566.72</v>
      </c>
      <c r="AX381" s="123">
        <f t="shared" si="460"/>
        <v>0.99918578335999997</v>
      </c>
    </row>
    <row r="382" spans="1:50" ht="18.75" customHeight="1" x14ac:dyDescent="0.2">
      <c r="AA382" s="16"/>
      <c r="AB382" s="68" t="s">
        <v>189</v>
      </c>
      <c r="AC382" s="17"/>
      <c r="AD382" s="18"/>
      <c r="AE382" s="34"/>
      <c r="AF382" s="34"/>
      <c r="AG382" s="34"/>
      <c r="AH382" s="34"/>
      <c r="AI382" s="34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31"/>
      <c r="AU382" s="18"/>
      <c r="AV382" s="18"/>
      <c r="AW382" s="34"/>
      <c r="AX382" s="18"/>
    </row>
    <row r="383" spans="1:50" ht="18.75" customHeight="1" x14ac:dyDescent="0.2">
      <c r="AA383" s="16"/>
      <c r="AB383" s="68" t="s">
        <v>191</v>
      </c>
      <c r="AC383" s="17"/>
      <c r="AD383" s="18"/>
      <c r="AE383" s="34"/>
      <c r="AF383" s="34"/>
      <c r="AG383" s="34"/>
      <c r="AH383" s="34"/>
      <c r="AI383" s="34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31"/>
      <c r="AU383" s="18"/>
      <c r="AV383" s="18"/>
      <c r="AW383" s="34"/>
      <c r="AX383" s="18"/>
    </row>
    <row r="384" spans="1:50" ht="18.75" customHeight="1" x14ac:dyDescent="0.2">
      <c r="AA384" s="28" t="s">
        <v>288</v>
      </c>
      <c r="AB384" s="68" t="s">
        <v>362</v>
      </c>
      <c r="AC384" s="17"/>
      <c r="AD384" s="18"/>
      <c r="AE384" s="34"/>
      <c r="AF384" s="34"/>
      <c r="AG384" s="34"/>
      <c r="AH384" s="34"/>
      <c r="AI384" s="34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31"/>
      <c r="AU384" s="18"/>
      <c r="AV384" s="18"/>
      <c r="AW384" s="34"/>
      <c r="AX384" s="18"/>
    </row>
    <row r="385" spans="1:50" ht="18.75" customHeight="1" x14ac:dyDescent="0.2">
      <c r="A385" s="4" t="s">
        <v>55</v>
      </c>
      <c r="B385" s="4" t="s">
        <v>56</v>
      </c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1" t="s">
        <v>363</v>
      </c>
      <c r="AB385" s="69" t="s">
        <v>233</v>
      </c>
      <c r="AC385" s="43" t="s">
        <v>58</v>
      </c>
      <c r="AD385" s="43">
        <v>295200000</v>
      </c>
      <c r="AE385" s="44">
        <v>0</v>
      </c>
      <c r="AF385" s="44">
        <v>0</v>
      </c>
      <c r="AG385" s="44">
        <v>0</v>
      </c>
      <c r="AH385" s="44">
        <v>0</v>
      </c>
      <c r="AI385" s="44">
        <v>0</v>
      </c>
      <c r="AJ385" s="43">
        <v>295200000</v>
      </c>
      <c r="AK385" s="44">
        <v>0</v>
      </c>
      <c r="AL385" s="44">
        <v>0</v>
      </c>
      <c r="AM385" s="44">
        <v>0</v>
      </c>
      <c r="AN385" s="44">
        <v>0</v>
      </c>
      <c r="AO385" s="44">
        <v>0</v>
      </c>
      <c r="AP385" s="44">
        <v>0</v>
      </c>
      <c r="AQ385" s="44">
        <v>0</v>
      </c>
      <c r="AR385" s="44">
        <v>0</v>
      </c>
      <c r="AS385" s="44">
        <v>0</v>
      </c>
      <c r="AT385" s="40">
        <f t="shared" ref="AT385:AT386" si="461">AQ385+AS385</f>
        <v>0</v>
      </c>
      <c r="AU385" s="18">
        <f t="shared" ref="AU385:AU386" si="462">AJ385-AM385</f>
        <v>295200000</v>
      </c>
      <c r="AV385" s="34">
        <f t="shared" ref="AV385:AV386" si="463">AM385-AP385</f>
        <v>0</v>
      </c>
      <c r="AW385" s="34">
        <f t="shared" ref="AW385:AW386" si="464">AP385-AT385</f>
        <v>0</v>
      </c>
      <c r="AX385" s="123">
        <f t="shared" ref="AX385:AX386" si="465">AP385/AJ385</f>
        <v>0</v>
      </c>
    </row>
    <row r="386" spans="1:50" ht="18.75" customHeight="1" x14ac:dyDescent="0.2">
      <c r="A386" s="4" t="s">
        <v>55</v>
      </c>
      <c r="B386" s="4" t="s">
        <v>56</v>
      </c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1" t="s">
        <v>364</v>
      </c>
      <c r="AB386" s="69" t="s">
        <v>360</v>
      </c>
      <c r="AC386" s="43" t="s">
        <v>361</v>
      </c>
      <c r="AD386" s="43">
        <v>1948457402</v>
      </c>
      <c r="AE386" s="44">
        <v>0</v>
      </c>
      <c r="AF386" s="44">
        <v>0</v>
      </c>
      <c r="AG386" s="44">
        <v>0</v>
      </c>
      <c r="AH386" s="44">
        <v>0</v>
      </c>
      <c r="AI386" s="44">
        <v>0</v>
      </c>
      <c r="AJ386" s="43">
        <v>1948457402</v>
      </c>
      <c r="AK386" s="44">
        <v>0</v>
      </c>
      <c r="AL386" s="44">
        <v>0</v>
      </c>
      <c r="AM386" s="44">
        <v>0</v>
      </c>
      <c r="AN386" s="44">
        <v>0</v>
      </c>
      <c r="AO386" s="44">
        <v>0</v>
      </c>
      <c r="AP386" s="44">
        <v>0</v>
      </c>
      <c r="AQ386" s="44">
        <v>0</v>
      </c>
      <c r="AR386" s="44">
        <v>0</v>
      </c>
      <c r="AS386" s="44">
        <v>0</v>
      </c>
      <c r="AT386" s="40">
        <f t="shared" si="461"/>
        <v>0</v>
      </c>
      <c r="AU386" s="18">
        <f t="shared" si="462"/>
        <v>1948457402</v>
      </c>
      <c r="AV386" s="34">
        <f t="shared" si="463"/>
        <v>0</v>
      </c>
      <c r="AW386" s="34">
        <f t="shared" si="464"/>
        <v>0</v>
      </c>
      <c r="AX386" s="123">
        <f t="shared" si="465"/>
        <v>0</v>
      </c>
    </row>
    <row r="387" spans="1:50" ht="18.75" customHeight="1" x14ac:dyDescent="0.2">
      <c r="AA387" s="28" t="s">
        <v>288</v>
      </c>
      <c r="AB387" s="68" t="s">
        <v>365</v>
      </c>
      <c r="AC387" s="17"/>
      <c r="AD387" s="18"/>
      <c r="AE387" s="34"/>
      <c r="AF387" s="34"/>
      <c r="AG387" s="34"/>
      <c r="AH387" s="34"/>
      <c r="AI387" s="34"/>
      <c r="AJ387" s="18"/>
      <c r="AK387" s="34"/>
      <c r="AL387" s="34"/>
      <c r="AM387" s="34"/>
      <c r="AN387" s="34"/>
      <c r="AO387" s="34"/>
      <c r="AP387" s="34"/>
      <c r="AQ387" s="34"/>
      <c r="AR387" s="34"/>
      <c r="AS387" s="34"/>
      <c r="AT387" s="40"/>
      <c r="AU387" s="18"/>
      <c r="AV387" s="18"/>
      <c r="AW387" s="18"/>
      <c r="AX387" s="18"/>
    </row>
    <row r="388" spans="1:50" ht="18.75" customHeight="1" x14ac:dyDescent="0.2">
      <c r="A388" s="4" t="s">
        <v>55</v>
      </c>
      <c r="B388" s="4" t="s">
        <v>56</v>
      </c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1" t="s">
        <v>366</v>
      </c>
      <c r="AB388" s="69" t="s">
        <v>367</v>
      </c>
      <c r="AC388" s="43" t="s">
        <v>368</v>
      </c>
      <c r="AD388" s="43">
        <v>229393430</v>
      </c>
      <c r="AE388" s="44">
        <v>0</v>
      </c>
      <c r="AF388" s="44">
        <v>0</v>
      </c>
      <c r="AG388" s="44">
        <v>0</v>
      </c>
      <c r="AH388" s="44">
        <v>0</v>
      </c>
      <c r="AI388" s="44">
        <v>0</v>
      </c>
      <c r="AJ388" s="43">
        <v>229393430</v>
      </c>
      <c r="AK388" s="44">
        <v>0</v>
      </c>
      <c r="AL388" s="44">
        <v>0</v>
      </c>
      <c r="AM388" s="44">
        <v>0</v>
      </c>
      <c r="AN388" s="44">
        <v>0</v>
      </c>
      <c r="AO388" s="44">
        <v>0</v>
      </c>
      <c r="AP388" s="44">
        <v>0</v>
      </c>
      <c r="AQ388" s="44">
        <v>0</v>
      </c>
      <c r="AR388" s="44">
        <v>0</v>
      </c>
      <c r="AS388" s="44">
        <v>0</v>
      </c>
      <c r="AT388" s="40">
        <f t="shared" si="446"/>
        <v>0</v>
      </c>
      <c r="AU388" s="18">
        <f t="shared" ref="AU388" si="466">AJ388-AM388</f>
        <v>229393430</v>
      </c>
      <c r="AV388" s="34">
        <f t="shared" ref="AV388" si="467">AM388-AP388</f>
        <v>0</v>
      </c>
      <c r="AW388" s="34">
        <f t="shared" ref="AW388" si="468">AP388-AT388</f>
        <v>0</v>
      </c>
      <c r="AX388" s="123">
        <f t="shared" ref="AX388" si="469">AP388/AJ388</f>
        <v>0</v>
      </c>
    </row>
    <row r="389" spans="1:50" ht="18.75" customHeight="1" x14ac:dyDescent="0.2">
      <c r="AA389" s="28" t="s">
        <v>288</v>
      </c>
      <c r="AB389" s="68" t="s">
        <v>369</v>
      </c>
      <c r="AC389" s="17"/>
      <c r="AD389" s="18"/>
      <c r="AE389" s="34"/>
      <c r="AF389" s="34"/>
      <c r="AG389" s="34"/>
      <c r="AH389" s="34"/>
      <c r="AI389" s="34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40"/>
      <c r="AU389" s="18"/>
      <c r="AV389" s="18"/>
      <c r="AW389" s="18"/>
      <c r="AX389" s="18"/>
    </row>
    <row r="390" spans="1:50" ht="18.75" customHeight="1" x14ac:dyDescent="0.2">
      <c r="A390" s="4" t="s">
        <v>55</v>
      </c>
      <c r="B390" s="4" t="s">
        <v>56</v>
      </c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1" t="s">
        <v>370</v>
      </c>
      <c r="AB390" s="69" t="s">
        <v>233</v>
      </c>
      <c r="AC390" s="43" t="s">
        <v>58</v>
      </c>
      <c r="AD390" s="43">
        <v>209880000</v>
      </c>
      <c r="AE390" s="44">
        <v>0</v>
      </c>
      <c r="AF390" s="44">
        <v>0</v>
      </c>
      <c r="AG390" s="44">
        <v>0</v>
      </c>
      <c r="AH390" s="44">
        <v>0</v>
      </c>
      <c r="AI390" s="44">
        <v>0</v>
      </c>
      <c r="AJ390" s="43">
        <v>209880000</v>
      </c>
      <c r="AK390" s="44">
        <v>0</v>
      </c>
      <c r="AL390" s="44">
        <v>0</v>
      </c>
      <c r="AM390" s="43">
        <v>96000000</v>
      </c>
      <c r="AN390" s="44">
        <v>0</v>
      </c>
      <c r="AO390" s="44">
        <v>0</v>
      </c>
      <c r="AP390" s="43">
        <v>96000000</v>
      </c>
      <c r="AQ390" s="43">
        <v>14000000</v>
      </c>
      <c r="AR390" s="43">
        <v>10000000</v>
      </c>
      <c r="AS390" s="43">
        <v>21133331</v>
      </c>
      <c r="AT390" s="39">
        <f t="shared" si="446"/>
        <v>35133331</v>
      </c>
      <c r="AU390" s="18">
        <f t="shared" ref="AU390" si="470">AJ390-AM390</f>
        <v>113880000</v>
      </c>
      <c r="AV390" s="34">
        <f t="shared" ref="AV390" si="471">AM390-AP390</f>
        <v>0</v>
      </c>
      <c r="AW390" s="18">
        <f t="shared" ref="AW390" si="472">AP390-AT390</f>
        <v>60866669</v>
      </c>
      <c r="AX390" s="123">
        <f t="shared" ref="AX390" si="473">AP390/AJ390</f>
        <v>0.45740423098913663</v>
      </c>
    </row>
    <row r="391" spans="1:50" ht="18.75" customHeight="1" x14ac:dyDescent="0.2">
      <c r="AA391" s="28" t="s">
        <v>288</v>
      </c>
      <c r="AB391" s="68" t="s">
        <v>371</v>
      </c>
      <c r="AC391" s="17"/>
      <c r="AD391" s="18"/>
      <c r="AE391" s="34"/>
      <c r="AF391" s="34"/>
      <c r="AG391" s="34"/>
      <c r="AH391" s="34"/>
      <c r="AI391" s="34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40"/>
      <c r="AU391" s="18"/>
      <c r="AV391" s="18"/>
      <c r="AW391" s="18"/>
      <c r="AX391" s="18"/>
    </row>
    <row r="392" spans="1:50" ht="18.75" customHeight="1" x14ac:dyDescent="0.2">
      <c r="A392" s="4" t="s">
        <v>55</v>
      </c>
      <c r="B392" s="4" t="s">
        <v>56</v>
      </c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1" t="s">
        <v>372</v>
      </c>
      <c r="AB392" s="69" t="s">
        <v>233</v>
      </c>
      <c r="AC392" s="43" t="s">
        <v>58</v>
      </c>
      <c r="AD392" s="43">
        <v>290120000</v>
      </c>
      <c r="AE392" s="44">
        <v>0</v>
      </c>
      <c r="AF392" s="44">
        <v>0</v>
      </c>
      <c r="AG392" s="44">
        <v>0</v>
      </c>
      <c r="AH392" s="44">
        <v>0</v>
      </c>
      <c r="AI392" s="44">
        <v>0</v>
      </c>
      <c r="AJ392" s="43">
        <v>290120000</v>
      </c>
      <c r="AK392" s="44">
        <v>0</v>
      </c>
      <c r="AL392" s="44">
        <v>0</v>
      </c>
      <c r="AM392" s="44">
        <v>0</v>
      </c>
      <c r="AN392" s="44">
        <v>0</v>
      </c>
      <c r="AO392" s="44">
        <v>0</v>
      </c>
      <c r="AP392" s="44">
        <v>0</v>
      </c>
      <c r="AQ392" s="44">
        <v>0</v>
      </c>
      <c r="AR392" s="44">
        <v>0</v>
      </c>
      <c r="AS392" s="44">
        <v>0</v>
      </c>
      <c r="AT392" s="40">
        <f t="shared" si="446"/>
        <v>0</v>
      </c>
      <c r="AU392" s="18">
        <f t="shared" ref="AU392" si="474">AJ392-AM392</f>
        <v>290120000</v>
      </c>
      <c r="AV392" s="34">
        <f t="shared" ref="AV392" si="475">AM392-AP392</f>
        <v>0</v>
      </c>
      <c r="AW392" s="34">
        <f t="shared" ref="AW392" si="476">AP392-AT392</f>
        <v>0</v>
      </c>
      <c r="AX392" s="123">
        <f t="shared" ref="AX392" si="477">AP392/AJ392</f>
        <v>0</v>
      </c>
    </row>
    <row r="393" spans="1:50" ht="18.75" customHeight="1" x14ac:dyDescent="0.2">
      <c r="AA393" s="16"/>
      <c r="AB393" s="70"/>
      <c r="AC393" s="17"/>
      <c r="AD393" s="18"/>
      <c r="AE393" s="34"/>
      <c r="AF393" s="34"/>
      <c r="AG393" s="34"/>
      <c r="AH393" s="34"/>
      <c r="AI393" s="34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40"/>
      <c r="AU393" s="18"/>
      <c r="AV393" s="18"/>
      <c r="AW393" s="18"/>
      <c r="AX393" s="18"/>
    </row>
    <row r="394" spans="1:50" ht="38.25" x14ac:dyDescent="0.2">
      <c r="AA394" s="16"/>
      <c r="AB394" s="68" t="s">
        <v>373</v>
      </c>
      <c r="AC394" s="17"/>
      <c r="AD394" s="18"/>
      <c r="AE394" s="34"/>
      <c r="AF394" s="34"/>
      <c r="AG394" s="34"/>
      <c r="AH394" s="34"/>
      <c r="AI394" s="34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40"/>
      <c r="AU394" s="18"/>
      <c r="AV394" s="18"/>
      <c r="AW394" s="18"/>
      <c r="AX394" s="18"/>
    </row>
    <row r="395" spans="1:50" ht="25.5" x14ac:dyDescent="0.2">
      <c r="AA395" s="28"/>
      <c r="AB395" s="68" t="s">
        <v>374</v>
      </c>
      <c r="AC395" s="17"/>
      <c r="AD395" s="18"/>
      <c r="AE395" s="34"/>
      <c r="AF395" s="34"/>
      <c r="AG395" s="34"/>
      <c r="AH395" s="34"/>
      <c r="AI395" s="34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40"/>
      <c r="AU395" s="18"/>
      <c r="AV395" s="18"/>
      <c r="AW395" s="18"/>
      <c r="AX395" s="18"/>
    </row>
    <row r="396" spans="1:50" ht="25.5" x14ac:dyDescent="0.2">
      <c r="AA396" s="28" t="s">
        <v>288</v>
      </c>
      <c r="AB396" s="68" t="s">
        <v>375</v>
      </c>
      <c r="AC396" s="17"/>
      <c r="AD396" s="18"/>
      <c r="AE396" s="34"/>
      <c r="AF396" s="34"/>
      <c r="AG396" s="34"/>
      <c r="AH396" s="34"/>
      <c r="AI396" s="34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40"/>
      <c r="AU396" s="18"/>
      <c r="AV396" s="18"/>
      <c r="AW396" s="18"/>
      <c r="AX396" s="18"/>
    </row>
    <row r="397" spans="1:50" x14ac:dyDescent="0.2">
      <c r="A397" s="4" t="s">
        <v>55</v>
      </c>
      <c r="B397" s="4" t="s">
        <v>56</v>
      </c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1" t="s">
        <v>376</v>
      </c>
      <c r="AB397" s="69" t="s">
        <v>233</v>
      </c>
      <c r="AC397" s="43" t="s">
        <v>58</v>
      </c>
      <c r="AD397" s="43">
        <v>3416292195</v>
      </c>
      <c r="AE397" s="44">
        <v>0</v>
      </c>
      <c r="AF397" s="44">
        <v>0</v>
      </c>
      <c r="AG397" s="44">
        <v>0</v>
      </c>
      <c r="AH397" s="44">
        <v>0</v>
      </c>
      <c r="AI397" s="44">
        <v>0</v>
      </c>
      <c r="AJ397" s="43">
        <v>3416292195</v>
      </c>
      <c r="AK397" s="44">
        <v>0</v>
      </c>
      <c r="AL397" s="44">
        <v>0</v>
      </c>
      <c r="AM397" s="43">
        <v>3416292195</v>
      </c>
      <c r="AN397" s="44">
        <v>0</v>
      </c>
      <c r="AO397" s="44">
        <v>0</v>
      </c>
      <c r="AP397" s="43">
        <v>3321331218</v>
      </c>
      <c r="AQ397" s="44">
        <v>21176441</v>
      </c>
      <c r="AR397" s="44">
        <v>0</v>
      </c>
      <c r="AS397" s="44">
        <v>0</v>
      </c>
      <c r="AT397" s="40">
        <f t="shared" ref="AT397" si="478">AQ397+AS397</f>
        <v>21176441</v>
      </c>
      <c r="AU397" s="34">
        <f t="shared" ref="AU397" si="479">AJ397-AM397</f>
        <v>0</v>
      </c>
      <c r="AV397" s="110">
        <f t="shared" ref="AV397" si="480">AM397-AP397</f>
        <v>94960977</v>
      </c>
      <c r="AW397" s="18">
        <f t="shared" ref="AW397" si="481">AP397-AT397</f>
        <v>3300154777</v>
      </c>
      <c r="AX397" s="123">
        <f t="shared" ref="AX397" si="482">AP397/AJ397</f>
        <v>0.97220349677964246</v>
      </c>
    </row>
    <row r="398" spans="1:50" ht="18.75" customHeight="1" x14ac:dyDescent="0.2">
      <c r="AA398" s="28" t="s">
        <v>288</v>
      </c>
      <c r="AB398" s="29" t="s">
        <v>320</v>
      </c>
      <c r="AC398" s="17"/>
      <c r="AD398" s="18"/>
      <c r="AE398" s="34"/>
      <c r="AF398" s="34"/>
      <c r="AG398" s="34"/>
      <c r="AH398" s="34"/>
      <c r="AI398" s="34"/>
      <c r="AJ398" s="18"/>
      <c r="AK398" s="34"/>
      <c r="AL398" s="34"/>
      <c r="AM398" s="18"/>
      <c r="AN398" s="34"/>
      <c r="AO398" s="34"/>
      <c r="AP398" s="18"/>
      <c r="AQ398" s="34"/>
      <c r="AR398" s="34"/>
      <c r="AS398" s="34"/>
      <c r="AT398" s="40"/>
      <c r="AU398" s="18"/>
      <c r="AV398" s="18"/>
      <c r="AW398" s="18"/>
      <c r="AX398" s="18"/>
    </row>
    <row r="399" spans="1:50" ht="18.75" customHeight="1" x14ac:dyDescent="0.2">
      <c r="A399" s="4" t="s">
        <v>55</v>
      </c>
      <c r="B399" s="4" t="s">
        <v>56</v>
      </c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1" t="s">
        <v>377</v>
      </c>
      <c r="AB399" s="42" t="s">
        <v>328</v>
      </c>
      <c r="AC399" s="43" t="s">
        <v>61</v>
      </c>
      <c r="AD399" s="43">
        <v>10632000</v>
      </c>
      <c r="AE399" s="44">
        <v>0</v>
      </c>
      <c r="AF399" s="44">
        <v>0</v>
      </c>
      <c r="AG399" s="44">
        <v>0</v>
      </c>
      <c r="AH399" s="44">
        <v>0</v>
      </c>
      <c r="AI399" s="44">
        <v>0</v>
      </c>
      <c r="AJ399" s="43">
        <v>10632000</v>
      </c>
      <c r="AK399" s="44">
        <v>0</v>
      </c>
      <c r="AL399" s="44">
        <v>0</v>
      </c>
      <c r="AM399" s="43">
        <v>0</v>
      </c>
      <c r="AN399" s="44">
        <v>0</v>
      </c>
      <c r="AO399" s="44">
        <v>0</v>
      </c>
      <c r="AP399" s="43">
        <v>0</v>
      </c>
      <c r="AQ399" s="44">
        <v>0</v>
      </c>
      <c r="AR399" s="44">
        <v>0</v>
      </c>
      <c r="AS399" s="44">
        <v>0</v>
      </c>
      <c r="AT399" s="40">
        <f t="shared" ref="AT399:AT401" si="483">AQ399+AS399</f>
        <v>0</v>
      </c>
      <c r="AU399" s="18">
        <f t="shared" ref="AU399:AU401" si="484">AJ399-AM399</f>
        <v>10632000</v>
      </c>
      <c r="AV399" s="34">
        <f t="shared" ref="AV399:AV401" si="485">AM399-AP399</f>
        <v>0</v>
      </c>
      <c r="AW399" s="34">
        <f t="shared" ref="AW399:AW401" si="486">AP399-AT399</f>
        <v>0</v>
      </c>
      <c r="AX399" s="123">
        <f t="shared" ref="AX399:AX401" si="487">AP399/AJ399</f>
        <v>0</v>
      </c>
    </row>
    <row r="400" spans="1:50" ht="18.75" customHeight="1" x14ac:dyDescent="0.2">
      <c r="A400" s="4" t="s">
        <v>55</v>
      </c>
      <c r="B400" s="4" t="s">
        <v>56</v>
      </c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1" t="s">
        <v>378</v>
      </c>
      <c r="AB400" s="42" t="s">
        <v>379</v>
      </c>
      <c r="AC400" s="43" t="s">
        <v>380</v>
      </c>
      <c r="AD400" s="43">
        <v>2835585455</v>
      </c>
      <c r="AE400" s="44">
        <v>0</v>
      </c>
      <c r="AF400" s="44">
        <v>0</v>
      </c>
      <c r="AG400" s="44">
        <v>0</v>
      </c>
      <c r="AH400" s="44">
        <v>0</v>
      </c>
      <c r="AI400" s="44">
        <v>0</v>
      </c>
      <c r="AJ400" s="43">
        <v>2835585455</v>
      </c>
      <c r="AK400" s="44">
        <v>0</v>
      </c>
      <c r="AL400" s="43">
        <v>151729800</v>
      </c>
      <c r="AM400" s="43">
        <v>598908051</v>
      </c>
      <c r="AN400" s="44">
        <v>0</v>
      </c>
      <c r="AO400" s="43">
        <v>151729800</v>
      </c>
      <c r="AP400" s="43">
        <v>598908051</v>
      </c>
      <c r="AQ400" s="114">
        <v>58329950</v>
      </c>
      <c r="AR400" s="43">
        <v>93399850</v>
      </c>
      <c r="AS400" s="43">
        <v>540578101</v>
      </c>
      <c r="AT400" s="39">
        <f t="shared" si="483"/>
        <v>598908051</v>
      </c>
      <c r="AU400" s="18">
        <f t="shared" si="484"/>
        <v>2236677404</v>
      </c>
      <c r="AV400" s="34">
        <f t="shared" si="485"/>
        <v>0</v>
      </c>
      <c r="AW400" s="18">
        <f t="shared" si="486"/>
        <v>0</v>
      </c>
      <c r="AX400" s="123">
        <f t="shared" si="487"/>
        <v>0.21121142723593214</v>
      </c>
    </row>
    <row r="401" spans="1:50" ht="18.75" customHeight="1" x14ac:dyDescent="0.2">
      <c r="A401" s="4" t="s">
        <v>55</v>
      </c>
      <c r="B401" s="4" t="s">
        <v>56</v>
      </c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1" t="s">
        <v>381</v>
      </c>
      <c r="AB401" s="42" t="s">
        <v>382</v>
      </c>
      <c r="AC401" s="43" t="s">
        <v>383</v>
      </c>
      <c r="AD401" s="43">
        <v>1274304912</v>
      </c>
      <c r="AE401" s="44">
        <v>0</v>
      </c>
      <c r="AF401" s="44">
        <v>0</v>
      </c>
      <c r="AG401" s="44">
        <v>0</v>
      </c>
      <c r="AH401" s="44">
        <v>0</v>
      </c>
      <c r="AI401" s="44">
        <v>0</v>
      </c>
      <c r="AJ401" s="43">
        <v>1274304912</v>
      </c>
      <c r="AK401" s="44">
        <v>0</v>
      </c>
      <c r="AL401" s="44">
        <v>0</v>
      </c>
      <c r="AM401" s="44">
        <v>0</v>
      </c>
      <c r="AN401" s="44">
        <v>0</v>
      </c>
      <c r="AO401" s="44">
        <v>0</v>
      </c>
      <c r="AP401" s="44">
        <v>0</v>
      </c>
      <c r="AQ401" s="44">
        <v>0</v>
      </c>
      <c r="AR401" s="44">
        <v>0</v>
      </c>
      <c r="AS401" s="44">
        <v>0</v>
      </c>
      <c r="AT401" s="40">
        <f t="shared" si="483"/>
        <v>0</v>
      </c>
      <c r="AU401" s="18">
        <f t="shared" si="484"/>
        <v>1274304912</v>
      </c>
      <c r="AV401" s="34">
        <f t="shared" si="485"/>
        <v>0</v>
      </c>
      <c r="AW401" s="34">
        <f t="shared" si="486"/>
        <v>0</v>
      </c>
      <c r="AX401" s="123">
        <f t="shared" si="487"/>
        <v>0</v>
      </c>
    </row>
    <row r="402" spans="1:50" ht="38.25" x14ac:dyDescent="0.2">
      <c r="AA402" s="28" t="s">
        <v>288</v>
      </c>
      <c r="AB402" s="29" t="s">
        <v>384</v>
      </c>
      <c r="AC402" s="17"/>
      <c r="AD402" s="18"/>
      <c r="AE402" s="34"/>
      <c r="AF402" s="34"/>
      <c r="AG402" s="34"/>
      <c r="AH402" s="34"/>
      <c r="AI402" s="34"/>
      <c r="AJ402" s="18"/>
      <c r="AK402" s="18"/>
      <c r="AL402" s="18"/>
      <c r="AM402" s="18"/>
      <c r="AN402" s="34"/>
      <c r="AO402" s="34"/>
      <c r="AP402" s="18"/>
      <c r="AQ402" s="18"/>
      <c r="AR402" s="18"/>
      <c r="AS402" s="18"/>
      <c r="AT402" s="39"/>
      <c r="AU402" s="18"/>
      <c r="AV402" s="18"/>
      <c r="AW402" s="18"/>
      <c r="AX402" s="18"/>
    </row>
    <row r="403" spans="1:50" ht="18.75" customHeight="1" x14ac:dyDescent="0.2">
      <c r="A403" s="4" t="s">
        <v>55</v>
      </c>
      <c r="B403" s="4" t="s">
        <v>56</v>
      </c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1" t="s">
        <v>385</v>
      </c>
      <c r="AB403" s="42" t="s">
        <v>233</v>
      </c>
      <c r="AC403" s="43" t="s">
        <v>58</v>
      </c>
      <c r="AD403" s="43">
        <v>9793380820</v>
      </c>
      <c r="AE403" s="44">
        <v>0</v>
      </c>
      <c r="AF403" s="44">
        <v>0</v>
      </c>
      <c r="AG403" s="44">
        <v>0</v>
      </c>
      <c r="AH403" s="44">
        <v>0</v>
      </c>
      <c r="AI403" s="44">
        <v>0</v>
      </c>
      <c r="AJ403" s="43">
        <v>9793380820</v>
      </c>
      <c r="AK403" s="43">
        <v>0</v>
      </c>
      <c r="AL403" s="43">
        <v>0</v>
      </c>
      <c r="AM403" s="43">
        <v>9562080073</v>
      </c>
      <c r="AN403" s="44">
        <v>0</v>
      </c>
      <c r="AO403" s="44">
        <v>0</v>
      </c>
      <c r="AP403" s="43">
        <v>9521050100</v>
      </c>
      <c r="AQ403" s="43">
        <v>17000000</v>
      </c>
      <c r="AR403" s="43">
        <v>138901530</v>
      </c>
      <c r="AS403" s="43">
        <v>153568197</v>
      </c>
      <c r="AT403" s="39">
        <f t="shared" ref="AT403:AT407" si="488">AQ403+AS403</f>
        <v>170568197</v>
      </c>
      <c r="AU403" s="18">
        <f t="shared" ref="AU403:AU407" si="489">AJ403-AM403</f>
        <v>231300747</v>
      </c>
      <c r="AV403" s="110">
        <f t="shared" ref="AV403:AV407" si="490">AM403-AP403</f>
        <v>41029973</v>
      </c>
      <c r="AW403" s="110">
        <f t="shared" ref="AW403:AW407" si="491">AP403-AT403</f>
        <v>9350481903</v>
      </c>
      <c r="AX403" s="123">
        <f t="shared" ref="AX403:AX407" si="492">AP403/AJ403</f>
        <v>0.97219236900868311</v>
      </c>
    </row>
    <row r="404" spans="1:50" ht="18.75" customHeight="1" x14ac:dyDescent="0.2">
      <c r="A404" s="4" t="s">
        <v>55</v>
      </c>
      <c r="B404" s="4" t="s">
        <v>56</v>
      </c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1" t="s">
        <v>386</v>
      </c>
      <c r="AB404" s="42" t="s">
        <v>382</v>
      </c>
      <c r="AC404" s="43" t="s">
        <v>383</v>
      </c>
      <c r="AD404" s="43">
        <v>8000000000</v>
      </c>
      <c r="AE404" s="44">
        <v>0</v>
      </c>
      <c r="AF404" s="44">
        <v>0</v>
      </c>
      <c r="AG404" s="44">
        <v>0</v>
      </c>
      <c r="AH404" s="44">
        <v>0</v>
      </c>
      <c r="AI404" s="44">
        <v>0</v>
      </c>
      <c r="AJ404" s="43">
        <v>8000000000</v>
      </c>
      <c r="AK404" s="44">
        <v>0</v>
      </c>
      <c r="AL404" s="44">
        <v>0</v>
      </c>
      <c r="AM404" s="43">
        <v>8000000000</v>
      </c>
      <c r="AN404" s="44">
        <v>0</v>
      </c>
      <c r="AO404" s="44">
        <v>0</v>
      </c>
      <c r="AP404" s="43">
        <v>8000000000</v>
      </c>
      <c r="AQ404" s="44">
        <v>0</v>
      </c>
      <c r="AR404" s="44">
        <v>0</v>
      </c>
      <c r="AS404" s="44">
        <v>0</v>
      </c>
      <c r="AT404" s="40">
        <f t="shared" si="488"/>
        <v>0</v>
      </c>
      <c r="AU404" s="34">
        <f t="shared" si="489"/>
        <v>0</v>
      </c>
      <c r="AV404" s="34">
        <f t="shared" si="490"/>
        <v>0</v>
      </c>
      <c r="AW404" s="18">
        <f t="shared" si="491"/>
        <v>8000000000</v>
      </c>
      <c r="AX404" s="123">
        <f t="shared" si="492"/>
        <v>1</v>
      </c>
    </row>
    <row r="405" spans="1:50" ht="18.75" customHeight="1" x14ac:dyDescent="0.2">
      <c r="A405" s="4" t="s">
        <v>55</v>
      </c>
      <c r="B405" s="4" t="s">
        <v>56</v>
      </c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1" t="s">
        <v>387</v>
      </c>
      <c r="AB405" s="42" t="s">
        <v>388</v>
      </c>
      <c r="AC405" s="43" t="s">
        <v>389</v>
      </c>
      <c r="AD405" s="43">
        <v>951016677</v>
      </c>
      <c r="AE405" s="44">
        <v>0</v>
      </c>
      <c r="AF405" s="44">
        <v>0</v>
      </c>
      <c r="AG405" s="44">
        <v>0</v>
      </c>
      <c r="AH405" s="44">
        <v>0</v>
      </c>
      <c r="AI405" s="44">
        <v>0</v>
      </c>
      <c r="AJ405" s="43">
        <v>951016677</v>
      </c>
      <c r="AK405" s="44">
        <v>0</v>
      </c>
      <c r="AL405" s="44">
        <v>0</v>
      </c>
      <c r="AM405" s="43">
        <v>951016677</v>
      </c>
      <c r="AN405" s="44">
        <v>0</v>
      </c>
      <c r="AO405" s="44">
        <v>0</v>
      </c>
      <c r="AP405" s="43">
        <v>951016677</v>
      </c>
      <c r="AQ405" s="44">
        <v>0</v>
      </c>
      <c r="AR405" s="44">
        <v>0</v>
      </c>
      <c r="AS405" s="44">
        <v>0</v>
      </c>
      <c r="AT405" s="40">
        <f t="shared" si="488"/>
        <v>0</v>
      </c>
      <c r="AU405" s="34">
        <f t="shared" si="489"/>
        <v>0</v>
      </c>
      <c r="AV405" s="34">
        <f t="shared" si="490"/>
        <v>0</v>
      </c>
      <c r="AW405" s="18">
        <f t="shared" si="491"/>
        <v>951016677</v>
      </c>
      <c r="AX405" s="123">
        <f t="shared" si="492"/>
        <v>1</v>
      </c>
    </row>
    <row r="406" spans="1:50" ht="18.75" customHeight="1" x14ac:dyDescent="0.2">
      <c r="A406" s="4" t="s">
        <v>55</v>
      </c>
      <c r="B406" s="4" t="s">
        <v>56</v>
      </c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1" t="s">
        <v>390</v>
      </c>
      <c r="AB406" s="42" t="s">
        <v>391</v>
      </c>
      <c r="AC406" s="43" t="s">
        <v>392</v>
      </c>
      <c r="AD406" s="43">
        <v>2011708314</v>
      </c>
      <c r="AE406" s="44">
        <v>0</v>
      </c>
      <c r="AF406" s="44">
        <v>0</v>
      </c>
      <c r="AG406" s="44">
        <v>0</v>
      </c>
      <c r="AH406" s="44">
        <v>0</v>
      </c>
      <c r="AI406" s="44">
        <v>0</v>
      </c>
      <c r="AJ406" s="43">
        <v>2011708314</v>
      </c>
      <c r="AK406" s="44">
        <v>0</v>
      </c>
      <c r="AL406" s="44">
        <v>0</v>
      </c>
      <c r="AM406" s="43">
        <v>2011708314</v>
      </c>
      <c r="AN406" s="44">
        <v>0</v>
      </c>
      <c r="AO406" s="44">
        <v>0</v>
      </c>
      <c r="AP406" s="43">
        <v>2011708314</v>
      </c>
      <c r="AQ406" s="44">
        <v>0</v>
      </c>
      <c r="AR406" s="44">
        <v>0</v>
      </c>
      <c r="AS406" s="44">
        <v>0</v>
      </c>
      <c r="AT406" s="40">
        <f t="shared" si="488"/>
        <v>0</v>
      </c>
      <c r="AU406" s="34">
        <f t="shared" si="489"/>
        <v>0</v>
      </c>
      <c r="AV406" s="34">
        <f t="shared" si="490"/>
        <v>0</v>
      </c>
      <c r="AW406" s="18">
        <f t="shared" si="491"/>
        <v>2011708314</v>
      </c>
      <c r="AX406" s="123">
        <f t="shared" si="492"/>
        <v>1</v>
      </c>
    </row>
    <row r="407" spans="1:50" ht="18.75" customHeight="1" x14ac:dyDescent="0.2">
      <c r="A407" s="4" t="s">
        <v>55</v>
      </c>
      <c r="B407" s="4" t="s">
        <v>56</v>
      </c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1" t="s">
        <v>393</v>
      </c>
      <c r="AB407" s="42" t="s">
        <v>394</v>
      </c>
      <c r="AC407" s="43" t="s">
        <v>368</v>
      </c>
      <c r="AD407" s="43">
        <v>64817304.240000002</v>
      </c>
      <c r="AE407" s="44">
        <v>0</v>
      </c>
      <c r="AF407" s="44">
        <v>0</v>
      </c>
      <c r="AG407" s="44">
        <v>0</v>
      </c>
      <c r="AH407" s="44">
        <v>0</v>
      </c>
      <c r="AI407" s="44">
        <v>0</v>
      </c>
      <c r="AJ407" s="43">
        <v>64817304.240000002</v>
      </c>
      <c r="AK407" s="44">
        <v>0</v>
      </c>
      <c r="AL407" s="44">
        <v>0</v>
      </c>
      <c r="AM407" s="43">
        <v>64817304</v>
      </c>
      <c r="AN407" s="44">
        <v>0</v>
      </c>
      <c r="AO407" s="44">
        <v>0</v>
      </c>
      <c r="AP407" s="43">
        <v>64817304</v>
      </c>
      <c r="AQ407" s="44">
        <v>0</v>
      </c>
      <c r="AR407" s="44">
        <v>0</v>
      </c>
      <c r="AS407" s="44">
        <v>0</v>
      </c>
      <c r="AT407" s="40">
        <f t="shared" si="488"/>
        <v>0</v>
      </c>
      <c r="AU407" s="18">
        <f t="shared" si="489"/>
        <v>0.24000000208616257</v>
      </c>
      <c r="AV407" s="34">
        <f t="shared" si="490"/>
        <v>0</v>
      </c>
      <c r="AW407" s="18">
        <f t="shared" si="491"/>
        <v>64817304</v>
      </c>
      <c r="AX407" s="123">
        <f t="shared" si="492"/>
        <v>0.99999999629728509</v>
      </c>
    </row>
    <row r="408" spans="1:50" ht="18.75" customHeight="1" x14ac:dyDescent="0.2">
      <c r="AA408" s="16"/>
      <c r="AB408" s="17"/>
      <c r="AC408" s="17"/>
      <c r="AD408" s="18"/>
      <c r="AE408" s="34"/>
      <c r="AF408" s="34"/>
      <c r="AG408" s="34"/>
      <c r="AH408" s="34"/>
      <c r="AI408" s="34"/>
      <c r="AJ408" s="18"/>
      <c r="AK408" s="18"/>
      <c r="AL408" s="18"/>
      <c r="AM408" s="18"/>
      <c r="AN408" s="34"/>
      <c r="AO408" s="34"/>
      <c r="AP408" s="18"/>
      <c r="AQ408" s="18"/>
      <c r="AR408" s="18"/>
      <c r="AS408" s="18"/>
      <c r="AT408" s="40"/>
      <c r="AU408" s="18"/>
      <c r="AV408" s="18"/>
      <c r="AW408" s="18"/>
      <c r="AX408" s="18"/>
    </row>
    <row r="409" spans="1:50" ht="25.5" x14ac:dyDescent="0.2">
      <c r="AA409" s="16"/>
      <c r="AB409" s="29" t="s">
        <v>195</v>
      </c>
      <c r="AC409" s="17"/>
      <c r="AD409" s="18"/>
      <c r="AE409" s="34"/>
      <c r="AF409" s="34"/>
      <c r="AG409" s="34"/>
      <c r="AH409" s="34"/>
      <c r="AI409" s="34"/>
      <c r="AJ409" s="18"/>
      <c r="AK409" s="18"/>
      <c r="AL409" s="18"/>
      <c r="AM409" s="18"/>
      <c r="AN409" s="34"/>
      <c r="AO409" s="34"/>
      <c r="AP409" s="18"/>
      <c r="AQ409" s="18"/>
      <c r="AR409" s="18"/>
      <c r="AS409" s="18"/>
      <c r="AT409" s="40"/>
      <c r="AU409" s="18"/>
      <c r="AV409" s="18"/>
      <c r="AW409" s="18"/>
      <c r="AX409" s="18"/>
    </row>
    <row r="410" spans="1:50" ht="18.75" customHeight="1" x14ac:dyDescent="0.2">
      <c r="AA410" s="28" t="s">
        <v>288</v>
      </c>
      <c r="AB410" s="29" t="s">
        <v>320</v>
      </c>
      <c r="AC410" s="17"/>
      <c r="AD410" s="18"/>
      <c r="AE410" s="34"/>
      <c r="AF410" s="34"/>
      <c r="AG410" s="34"/>
      <c r="AH410" s="34"/>
      <c r="AI410" s="34"/>
      <c r="AJ410" s="18"/>
      <c r="AK410" s="18"/>
      <c r="AL410" s="18"/>
      <c r="AM410" s="18"/>
      <c r="AN410" s="34"/>
      <c r="AO410" s="34"/>
      <c r="AP410" s="18"/>
      <c r="AQ410" s="18"/>
      <c r="AR410" s="18"/>
      <c r="AS410" s="18"/>
      <c r="AT410" s="40"/>
      <c r="AU410" s="18"/>
      <c r="AV410" s="18"/>
      <c r="AW410" s="18"/>
      <c r="AX410" s="18"/>
    </row>
    <row r="411" spans="1:50" ht="18.75" customHeight="1" x14ac:dyDescent="0.2">
      <c r="A411" s="4" t="s">
        <v>55</v>
      </c>
      <c r="B411" s="4" t="s">
        <v>56</v>
      </c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1" t="s">
        <v>395</v>
      </c>
      <c r="AB411" s="42" t="s">
        <v>233</v>
      </c>
      <c r="AC411" s="43" t="s">
        <v>58</v>
      </c>
      <c r="AD411" s="43">
        <v>77302510</v>
      </c>
      <c r="AE411" s="44">
        <v>0</v>
      </c>
      <c r="AF411" s="44">
        <v>0</v>
      </c>
      <c r="AG411" s="44">
        <v>0</v>
      </c>
      <c r="AH411" s="44">
        <v>0</v>
      </c>
      <c r="AI411" s="44">
        <v>0</v>
      </c>
      <c r="AJ411" s="43">
        <v>77302510</v>
      </c>
      <c r="AK411" s="44">
        <v>0</v>
      </c>
      <c r="AL411" s="44">
        <v>0</v>
      </c>
      <c r="AM411" s="43">
        <v>76566312</v>
      </c>
      <c r="AN411" s="44">
        <v>0</v>
      </c>
      <c r="AO411" s="44">
        <v>0</v>
      </c>
      <c r="AP411" s="43">
        <v>76566312</v>
      </c>
      <c r="AQ411" s="43">
        <v>0</v>
      </c>
      <c r="AR411" s="43">
        <v>1538354</v>
      </c>
      <c r="AS411" s="43">
        <v>2730866</v>
      </c>
      <c r="AT411" s="40">
        <f t="shared" ref="AT411" si="493">AQ411+AS411</f>
        <v>2730866</v>
      </c>
      <c r="AU411" s="18">
        <f t="shared" ref="AU411" si="494">AJ411-AM411</f>
        <v>736198</v>
      </c>
      <c r="AV411" s="34">
        <f t="shared" ref="AV411" si="495">AM411-AP411</f>
        <v>0</v>
      </c>
      <c r="AW411" s="18">
        <f t="shared" ref="AW411" si="496">AP411-AT411</f>
        <v>73835446</v>
      </c>
      <c r="AX411" s="123">
        <f t="shared" ref="AX411" si="497">AP411/AJ411</f>
        <v>0.99047640238331203</v>
      </c>
    </row>
    <row r="412" spans="1:50" ht="18.75" customHeight="1" x14ac:dyDescent="0.2">
      <c r="AA412" s="16"/>
      <c r="AB412" s="17"/>
      <c r="AC412" s="17"/>
      <c r="AD412" s="18"/>
      <c r="AE412" s="34"/>
      <c r="AF412" s="34"/>
      <c r="AG412" s="34"/>
      <c r="AH412" s="34"/>
      <c r="AI412" s="34"/>
      <c r="AJ412" s="18"/>
      <c r="AK412" s="18"/>
      <c r="AL412" s="18"/>
      <c r="AM412" s="18"/>
      <c r="AN412" s="18"/>
      <c r="AO412" s="18"/>
      <c r="AP412" s="18"/>
      <c r="AQ412" s="34"/>
      <c r="AR412" s="34"/>
      <c r="AS412" s="34"/>
      <c r="AT412" s="40"/>
      <c r="AU412" s="18"/>
      <c r="AV412" s="18"/>
      <c r="AW412" s="18"/>
      <c r="AX412" s="18"/>
    </row>
    <row r="413" spans="1:50" ht="25.5" x14ac:dyDescent="0.2">
      <c r="AA413" s="16"/>
      <c r="AB413" s="29" t="s">
        <v>197</v>
      </c>
      <c r="AC413" s="17"/>
      <c r="AD413" s="18"/>
      <c r="AE413" s="34"/>
      <c r="AF413" s="34"/>
      <c r="AG413" s="34"/>
      <c r="AH413" s="34"/>
      <c r="AI413" s="34"/>
      <c r="AJ413" s="18"/>
      <c r="AK413" s="18"/>
      <c r="AL413" s="18"/>
      <c r="AM413" s="18"/>
      <c r="AN413" s="18"/>
      <c r="AO413" s="18"/>
      <c r="AP413" s="18"/>
      <c r="AQ413" s="34"/>
      <c r="AR413" s="34"/>
      <c r="AS413" s="34"/>
      <c r="AT413" s="40"/>
      <c r="AU413" s="18"/>
      <c r="AV413" s="18"/>
      <c r="AW413" s="18"/>
      <c r="AX413" s="18"/>
    </row>
    <row r="414" spans="1:50" ht="25.5" x14ac:dyDescent="0.2">
      <c r="AA414" s="28" t="s">
        <v>288</v>
      </c>
      <c r="AB414" s="29" t="s">
        <v>396</v>
      </c>
      <c r="AC414" s="17"/>
      <c r="AD414" s="18"/>
      <c r="AE414" s="34"/>
      <c r="AF414" s="34"/>
      <c r="AG414" s="34"/>
      <c r="AH414" s="34"/>
      <c r="AI414" s="34"/>
      <c r="AJ414" s="18"/>
      <c r="AK414" s="18"/>
      <c r="AL414" s="18"/>
      <c r="AM414" s="18"/>
      <c r="AN414" s="18"/>
      <c r="AO414" s="18"/>
      <c r="AP414" s="18"/>
      <c r="AQ414" s="34"/>
      <c r="AR414" s="34"/>
      <c r="AS414" s="34"/>
      <c r="AT414" s="40"/>
      <c r="AU414" s="18"/>
      <c r="AV414" s="18"/>
      <c r="AW414" s="18"/>
      <c r="AX414" s="18"/>
    </row>
    <row r="415" spans="1:50" ht="18.75" customHeight="1" x14ac:dyDescent="0.2">
      <c r="A415" s="4" t="s">
        <v>55</v>
      </c>
      <c r="B415" s="4" t="s">
        <v>56</v>
      </c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1" t="s">
        <v>397</v>
      </c>
      <c r="AB415" s="42" t="s">
        <v>328</v>
      </c>
      <c r="AC415" s="43" t="s">
        <v>61</v>
      </c>
      <c r="AD415" s="43">
        <v>838526678</v>
      </c>
      <c r="AE415" s="44">
        <v>0</v>
      </c>
      <c r="AF415" s="44">
        <v>0</v>
      </c>
      <c r="AG415" s="43">
        <v>27102938</v>
      </c>
      <c r="AH415" s="44">
        <v>0</v>
      </c>
      <c r="AI415" s="18">
        <f>AE415-AF415+AG415-AH415</f>
        <v>27102938</v>
      </c>
      <c r="AJ415" s="18">
        <f>AD415+AI415</f>
        <v>865629616</v>
      </c>
      <c r="AK415" s="44">
        <v>0</v>
      </c>
      <c r="AL415" s="44">
        <v>0</v>
      </c>
      <c r="AM415" s="44">
        <v>0</v>
      </c>
      <c r="AN415" s="44">
        <v>0</v>
      </c>
      <c r="AO415" s="44">
        <v>0</v>
      </c>
      <c r="AP415" s="43">
        <v>0</v>
      </c>
      <c r="AQ415" s="44">
        <v>0</v>
      </c>
      <c r="AR415" s="44">
        <v>0</v>
      </c>
      <c r="AS415" s="44">
        <v>0</v>
      </c>
      <c r="AT415" s="40">
        <f t="shared" ref="AT415" si="498">AQ415+AS415</f>
        <v>0</v>
      </c>
      <c r="AU415" s="18">
        <f t="shared" ref="AU415" si="499">AJ415-AM415</f>
        <v>865629616</v>
      </c>
      <c r="AV415" s="34">
        <f t="shared" ref="AV415" si="500">AM415-AP415</f>
        <v>0</v>
      </c>
      <c r="AW415" s="34">
        <f t="shared" ref="AW415" si="501">AP415-AT415</f>
        <v>0</v>
      </c>
      <c r="AX415" s="123">
        <f t="shared" ref="AX415" si="502">AP415/AJ415</f>
        <v>0</v>
      </c>
    </row>
    <row r="416" spans="1:50" ht="18.75" customHeight="1" x14ac:dyDescent="0.2">
      <c r="AA416" s="28" t="s">
        <v>288</v>
      </c>
      <c r="AB416" s="29" t="s">
        <v>320</v>
      </c>
      <c r="AC416" s="17"/>
      <c r="AD416" s="18"/>
      <c r="AE416" s="34"/>
      <c r="AF416" s="34"/>
      <c r="AG416" s="34"/>
      <c r="AH416" s="34"/>
      <c r="AI416" s="34"/>
      <c r="AJ416" s="18"/>
      <c r="AK416" s="18"/>
      <c r="AL416" s="18"/>
      <c r="AM416" s="18"/>
      <c r="AN416" s="34"/>
      <c r="AO416" s="18"/>
      <c r="AP416" s="18"/>
      <c r="AQ416" s="34"/>
      <c r="AR416" s="34"/>
      <c r="AS416" s="34"/>
      <c r="AT416" s="40"/>
      <c r="AU416" s="18"/>
      <c r="AV416" s="18"/>
      <c r="AW416" s="18"/>
      <c r="AX416" s="18"/>
    </row>
    <row r="417" spans="1:50" ht="18.75" customHeight="1" x14ac:dyDescent="0.2">
      <c r="A417" s="4" t="s">
        <v>55</v>
      </c>
      <c r="B417" s="4" t="s">
        <v>56</v>
      </c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1" t="s">
        <v>398</v>
      </c>
      <c r="AB417" s="42" t="s">
        <v>233</v>
      </c>
      <c r="AC417" s="43" t="s">
        <v>58</v>
      </c>
      <c r="AD417" s="43">
        <v>9048558947</v>
      </c>
      <c r="AE417" s="44">
        <v>0</v>
      </c>
      <c r="AF417" s="44">
        <v>0</v>
      </c>
      <c r="AG417" s="44">
        <v>0</v>
      </c>
      <c r="AH417" s="44">
        <v>0</v>
      </c>
      <c r="AI417" s="18">
        <f t="shared" ref="AI417:AI418" si="503">AE417-AF417+AG417-AH417</f>
        <v>0</v>
      </c>
      <c r="AJ417" s="18">
        <f t="shared" ref="AJ417:AJ418" si="504">AD417+AI417</f>
        <v>9048558947</v>
      </c>
      <c r="AK417" s="44">
        <v>0</v>
      </c>
      <c r="AL417" s="43">
        <v>94950145.359999999</v>
      </c>
      <c r="AM417" s="43">
        <v>8117507624.1800003</v>
      </c>
      <c r="AN417" s="44">
        <v>0</v>
      </c>
      <c r="AO417" s="44">
        <v>94950145.359999999</v>
      </c>
      <c r="AP417" s="43">
        <v>7866830800.1800003</v>
      </c>
      <c r="AQ417" s="44">
        <v>0</v>
      </c>
      <c r="AR417" s="44">
        <v>36958318</v>
      </c>
      <c r="AS417" s="44">
        <v>36958318</v>
      </c>
      <c r="AT417" s="40">
        <f t="shared" ref="AT417:AT418" si="505">AQ417+AS417</f>
        <v>36958318</v>
      </c>
      <c r="AU417" s="18">
        <f t="shared" ref="AU417:AU418" si="506">AJ417-AM417</f>
        <v>931051322.81999969</v>
      </c>
      <c r="AV417" s="110">
        <f t="shared" ref="AV417:AV418" si="507">AM417-AP417</f>
        <v>250676824</v>
      </c>
      <c r="AW417" s="18">
        <f t="shared" ref="AW417:AW418" si="508">AP417-AT417</f>
        <v>7829872482.1800003</v>
      </c>
      <c r="AX417" s="123">
        <f t="shared" ref="AX417:AX419" si="509">AP417/AJ417</f>
        <v>0.86940150871075494</v>
      </c>
    </row>
    <row r="418" spans="1:50" ht="18.75" customHeight="1" x14ac:dyDescent="0.2">
      <c r="A418" s="4" t="s">
        <v>55</v>
      </c>
      <c r="B418" s="4" t="s">
        <v>56</v>
      </c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1" t="s">
        <v>399</v>
      </c>
      <c r="AB418" s="42" t="s">
        <v>382</v>
      </c>
      <c r="AC418" s="43" t="s">
        <v>383</v>
      </c>
      <c r="AD418" s="43">
        <v>1274304910</v>
      </c>
      <c r="AE418" s="44">
        <v>0</v>
      </c>
      <c r="AF418" s="44">
        <v>0</v>
      </c>
      <c r="AG418" s="44">
        <v>0</v>
      </c>
      <c r="AH418" s="44">
        <v>0</v>
      </c>
      <c r="AI418" s="18">
        <f t="shared" si="503"/>
        <v>0</v>
      </c>
      <c r="AJ418" s="18">
        <f t="shared" si="504"/>
        <v>1274304910</v>
      </c>
      <c r="AK418" s="44">
        <v>0</v>
      </c>
      <c r="AL418" s="44">
        <v>0</v>
      </c>
      <c r="AM418" s="43">
        <v>1274304910</v>
      </c>
      <c r="AN418" s="44">
        <v>0</v>
      </c>
      <c r="AO418" s="44">
        <v>0</v>
      </c>
      <c r="AP418" s="43">
        <v>1274304910</v>
      </c>
      <c r="AQ418" s="44">
        <v>0</v>
      </c>
      <c r="AR418" s="44">
        <v>0</v>
      </c>
      <c r="AS418" s="44">
        <v>0</v>
      </c>
      <c r="AT418" s="40">
        <f t="shared" si="505"/>
        <v>0</v>
      </c>
      <c r="AU418" s="34">
        <f t="shared" si="506"/>
        <v>0</v>
      </c>
      <c r="AV418" s="34">
        <f t="shared" si="507"/>
        <v>0</v>
      </c>
      <c r="AW418" s="18">
        <f t="shared" si="508"/>
        <v>1274304910</v>
      </c>
      <c r="AX418" s="123">
        <f t="shared" si="509"/>
        <v>1</v>
      </c>
    </row>
    <row r="419" spans="1:50" ht="18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1" t="s">
        <v>986</v>
      </c>
      <c r="AB419" s="42" t="s">
        <v>987</v>
      </c>
      <c r="AC419" s="43"/>
      <c r="AD419" s="43">
        <v>0</v>
      </c>
      <c r="AE419" s="44">
        <v>0</v>
      </c>
      <c r="AF419" s="44">
        <v>0</v>
      </c>
      <c r="AG419" s="43">
        <v>417383651.70999998</v>
      </c>
      <c r="AH419" s="44">
        <v>0</v>
      </c>
      <c r="AI419" s="18">
        <f>AE419-AF419+AG419-AH419</f>
        <v>417383651.70999998</v>
      </c>
      <c r="AJ419" s="18">
        <f>AD419+AI419</f>
        <v>417383651.70999998</v>
      </c>
      <c r="AK419" s="44">
        <v>0</v>
      </c>
      <c r="AL419" s="44">
        <v>0</v>
      </c>
      <c r="AM419" s="43">
        <v>0</v>
      </c>
      <c r="AN419" s="44">
        <v>0</v>
      </c>
      <c r="AO419" s="44">
        <v>0</v>
      </c>
      <c r="AP419" s="43">
        <v>0</v>
      </c>
      <c r="AQ419" s="44">
        <v>0</v>
      </c>
      <c r="AR419" s="44">
        <v>0</v>
      </c>
      <c r="AS419" s="44">
        <v>0</v>
      </c>
      <c r="AT419" s="39">
        <f t="shared" ref="AT419" si="510">AQ419+AS419</f>
        <v>0</v>
      </c>
      <c r="AU419" s="18">
        <f t="shared" ref="AU419" si="511">AJ419-AM419</f>
        <v>417383651.70999998</v>
      </c>
      <c r="AV419" s="34">
        <f t="shared" ref="AV419" si="512">AM419-AP419</f>
        <v>0</v>
      </c>
      <c r="AW419" s="34">
        <f t="shared" ref="AW419" si="513">AP419-AT419</f>
        <v>0</v>
      </c>
      <c r="AX419" s="123">
        <f t="shared" si="509"/>
        <v>0</v>
      </c>
    </row>
    <row r="420" spans="1:50" ht="18.75" customHeight="1" x14ac:dyDescent="0.2">
      <c r="AA420" s="28" t="s">
        <v>288</v>
      </c>
      <c r="AB420" s="29" t="s">
        <v>400</v>
      </c>
      <c r="AC420" s="17"/>
      <c r="AD420" s="18"/>
      <c r="AE420" s="34"/>
      <c r="AF420" s="34"/>
      <c r="AG420" s="34"/>
      <c r="AH420" s="34"/>
      <c r="AI420" s="34"/>
      <c r="AJ420" s="18"/>
      <c r="AK420" s="18"/>
      <c r="AL420" s="18"/>
      <c r="AM420" s="18"/>
      <c r="AN420" s="34"/>
      <c r="AO420" s="18"/>
      <c r="AP420" s="18"/>
      <c r="AQ420" s="34"/>
      <c r="AR420" s="34"/>
      <c r="AS420" s="34"/>
      <c r="AT420" s="40"/>
      <c r="AU420" s="18"/>
      <c r="AV420" s="18"/>
      <c r="AW420" s="18"/>
      <c r="AX420" s="18"/>
    </row>
    <row r="421" spans="1:50" ht="18.75" customHeight="1" x14ac:dyDescent="0.2">
      <c r="A421" s="4" t="s">
        <v>55</v>
      </c>
      <c r="B421" s="4" t="s">
        <v>56</v>
      </c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1" t="s">
        <v>401</v>
      </c>
      <c r="AB421" s="42" t="s">
        <v>233</v>
      </c>
      <c r="AC421" s="43" t="s">
        <v>58</v>
      </c>
      <c r="AD421" s="43">
        <v>1000000000</v>
      </c>
      <c r="AE421" s="44">
        <v>0</v>
      </c>
      <c r="AF421" s="44">
        <v>0</v>
      </c>
      <c r="AG421" s="44">
        <v>0</v>
      </c>
      <c r="AH421" s="44">
        <v>0</v>
      </c>
      <c r="AI421" s="44">
        <v>0</v>
      </c>
      <c r="AJ421" s="43">
        <v>1000000000</v>
      </c>
      <c r="AK421" s="43">
        <v>0</v>
      </c>
      <c r="AL421" s="43">
        <v>2400000</v>
      </c>
      <c r="AM421" s="43">
        <v>724800000</v>
      </c>
      <c r="AN421" s="43">
        <v>0</v>
      </c>
      <c r="AO421" s="43">
        <v>26400000</v>
      </c>
      <c r="AP421" s="43">
        <v>706800000</v>
      </c>
      <c r="AQ421" s="114">
        <v>112186667</v>
      </c>
      <c r="AR421" s="114">
        <v>81740000</v>
      </c>
      <c r="AS421" s="114">
        <v>171596666</v>
      </c>
      <c r="AT421" s="39">
        <f t="shared" ref="AT421:AT453" si="514">AQ421+AS421</f>
        <v>283783333</v>
      </c>
      <c r="AU421" s="110">
        <f t="shared" ref="AU421" si="515">AJ421-AM421</f>
        <v>275200000</v>
      </c>
      <c r="AV421" s="110">
        <f t="shared" ref="AV421" si="516">AM421-AP421</f>
        <v>18000000</v>
      </c>
      <c r="AW421" s="18">
        <f t="shared" ref="AW421" si="517">AP421-AT421</f>
        <v>423016667</v>
      </c>
      <c r="AX421" s="123">
        <f t="shared" ref="AX421" si="518">AP421/AJ421</f>
        <v>0.70679999999999998</v>
      </c>
    </row>
    <row r="422" spans="1:50" ht="18.75" customHeight="1" x14ac:dyDescent="0.2">
      <c r="AA422" s="16"/>
      <c r="AB422" s="17"/>
      <c r="AC422" s="17"/>
      <c r="AD422" s="18"/>
      <c r="AE422" s="34"/>
      <c r="AF422" s="34"/>
      <c r="AG422" s="34"/>
      <c r="AH422" s="34"/>
      <c r="AI422" s="34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30"/>
      <c r="AU422" s="18"/>
      <c r="AV422" s="18"/>
      <c r="AW422" s="18"/>
      <c r="AX422" s="18"/>
    </row>
    <row r="423" spans="1:50" ht="26.25" customHeight="1" x14ac:dyDescent="0.2">
      <c r="AA423" s="164" t="s">
        <v>288</v>
      </c>
      <c r="AB423" s="165" t="s">
        <v>964</v>
      </c>
      <c r="AC423" s="161"/>
      <c r="AD423" s="18"/>
      <c r="AE423" s="34"/>
      <c r="AF423" s="34"/>
      <c r="AG423" s="34"/>
      <c r="AH423" s="34"/>
      <c r="AI423" s="34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30"/>
      <c r="AU423" s="18"/>
      <c r="AV423" s="18"/>
      <c r="AW423" s="18"/>
      <c r="AX423" s="18"/>
    </row>
    <row r="424" spans="1:50" ht="18.75" customHeight="1" x14ac:dyDescent="0.2">
      <c r="AA424" s="166" t="s">
        <v>965</v>
      </c>
      <c r="AB424" s="167" t="s">
        <v>966</v>
      </c>
      <c r="AC424" s="161"/>
      <c r="AD424" s="18">
        <v>0</v>
      </c>
      <c r="AE424" s="34">
        <v>0</v>
      </c>
      <c r="AF424" s="34">
        <v>0</v>
      </c>
      <c r="AG424" s="18">
        <v>155990000</v>
      </c>
      <c r="AH424" s="34">
        <v>0</v>
      </c>
      <c r="AI424" s="18">
        <f>AE424-AF424+AG424-AH424</f>
        <v>155990000</v>
      </c>
      <c r="AJ424" s="18">
        <f>AD424+AI424</f>
        <v>155990000</v>
      </c>
      <c r="AK424" s="34">
        <v>0</v>
      </c>
      <c r="AL424" s="34">
        <v>0</v>
      </c>
      <c r="AM424" s="34">
        <v>0</v>
      </c>
      <c r="AN424" s="34">
        <v>0</v>
      </c>
      <c r="AO424" s="34">
        <v>0</v>
      </c>
      <c r="AP424" s="34">
        <v>0</v>
      </c>
      <c r="AQ424" s="34">
        <v>0</v>
      </c>
      <c r="AR424" s="34">
        <v>0</v>
      </c>
      <c r="AS424" s="18">
        <v>0</v>
      </c>
      <c r="AT424" s="39">
        <f t="shared" ref="AT424" si="519">AQ424+AS424</f>
        <v>0</v>
      </c>
      <c r="AU424" s="110">
        <f t="shared" ref="AU424" si="520">AJ424-AM424</f>
        <v>155990000</v>
      </c>
      <c r="AV424" s="133">
        <f t="shared" ref="AV424" si="521">AM424-AP424</f>
        <v>0</v>
      </c>
      <c r="AW424" s="34">
        <f t="shared" ref="AW424" si="522">AP424-AT424</f>
        <v>0</v>
      </c>
      <c r="AX424" s="123">
        <f t="shared" ref="AX424" si="523">AP424/AJ424</f>
        <v>0</v>
      </c>
    </row>
    <row r="425" spans="1:50" ht="18.75" customHeight="1" x14ac:dyDescent="0.2">
      <c r="AA425" s="162"/>
      <c r="AB425" s="163" t="s">
        <v>199</v>
      </c>
      <c r="AC425" s="17"/>
      <c r="AD425" s="18"/>
      <c r="AE425" s="34"/>
      <c r="AF425" s="34"/>
      <c r="AG425" s="34"/>
      <c r="AH425" s="34"/>
      <c r="AI425" s="34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30"/>
      <c r="AU425" s="18"/>
      <c r="AV425" s="18"/>
      <c r="AW425" s="18"/>
      <c r="AX425" s="18"/>
    </row>
    <row r="426" spans="1:50" ht="25.5" x14ac:dyDescent="0.2">
      <c r="AA426" s="28" t="s">
        <v>288</v>
      </c>
      <c r="AB426" s="29" t="s">
        <v>402</v>
      </c>
      <c r="AC426" s="17"/>
      <c r="AD426" s="18"/>
      <c r="AE426" s="34"/>
      <c r="AF426" s="34"/>
      <c r="AG426" s="34"/>
      <c r="AH426" s="34"/>
      <c r="AI426" s="34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30"/>
      <c r="AU426" s="18"/>
      <c r="AV426" s="18"/>
      <c r="AW426" s="18"/>
      <c r="AX426" s="18"/>
    </row>
    <row r="427" spans="1:50" ht="18.75" customHeight="1" x14ac:dyDescent="0.2">
      <c r="A427" s="4" t="s">
        <v>55</v>
      </c>
      <c r="B427" s="4" t="s">
        <v>56</v>
      </c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1" t="s">
        <v>403</v>
      </c>
      <c r="AB427" s="42" t="s">
        <v>233</v>
      </c>
      <c r="AC427" s="43" t="s">
        <v>58</v>
      </c>
      <c r="AD427" s="43">
        <v>206000002.94</v>
      </c>
      <c r="AE427" s="44">
        <v>0</v>
      </c>
      <c r="AF427" s="44">
        <v>0</v>
      </c>
      <c r="AG427" s="44">
        <v>0</v>
      </c>
      <c r="AH427" s="44">
        <v>0</v>
      </c>
      <c r="AI427" s="44">
        <v>0</v>
      </c>
      <c r="AJ427" s="43">
        <v>206000002.94</v>
      </c>
      <c r="AK427" s="44">
        <v>0</v>
      </c>
      <c r="AL427" s="114">
        <v>17592000</v>
      </c>
      <c r="AM427" s="114">
        <v>45566400</v>
      </c>
      <c r="AN427" s="44">
        <v>0</v>
      </c>
      <c r="AO427" s="114">
        <v>17592000</v>
      </c>
      <c r="AP427" s="114">
        <v>45566400</v>
      </c>
      <c r="AQ427" s="115">
        <v>0</v>
      </c>
      <c r="AR427" s="44">
        <v>0</v>
      </c>
      <c r="AS427" s="43">
        <v>27974400</v>
      </c>
      <c r="AT427" s="39">
        <f t="shared" ref="AT427" si="524">AQ427+AS427</f>
        <v>27974400</v>
      </c>
      <c r="AU427" s="18">
        <f t="shared" ref="AU427" si="525">AJ427-AM427</f>
        <v>160433602.94</v>
      </c>
      <c r="AV427" s="34">
        <f t="shared" ref="AV427" si="526">AM427-AP427</f>
        <v>0</v>
      </c>
      <c r="AW427" s="18">
        <f t="shared" ref="AW427" si="527">AP427-AT427</f>
        <v>17592000</v>
      </c>
      <c r="AX427" s="123">
        <f t="shared" ref="AX427" si="528">AP427/AJ427</f>
        <v>0.22119611334797781</v>
      </c>
    </row>
    <row r="428" spans="1:50" ht="18.75" customHeight="1" x14ac:dyDescent="0.2">
      <c r="AA428" s="28" t="s">
        <v>288</v>
      </c>
      <c r="AB428" s="29" t="s">
        <v>404</v>
      </c>
      <c r="AC428" s="17"/>
      <c r="AD428" s="18"/>
      <c r="AE428" s="34"/>
      <c r="AF428" s="34"/>
      <c r="AG428" s="34"/>
      <c r="AH428" s="34"/>
      <c r="AI428" s="34"/>
      <c r="AJ428" s="18"/>
      <c r="AK428" s="34"/>
      <c r="AL428" s="34"/>
      <c r="AM428" s="34"/>
      <c r="AN428" s="34"/>
      <c r="AO428" s="34"/>
      <c r="AP428" s="34"/>
      <c r="AQ428" s="34"/>
      <c r="AR428" s="34"/>
      <c r="AS428" s="34"/>
      <c r="AT428" s="31"/>
      <c r="AU428" s="18"/>
      <c r="AV428" s="34"/>
      <c r="AW428" s="133"/>
      <c r="AX428" s="18"/>
    </row>
    <row r="429" spans="1:50" ht="18.75" customHeight="1" x14ac:dyDescent="0.2">
      <c r="A429" s="4" t="s">
        <v>55</v>
      </c>
      <c r="B429" s="4" t="s">
        <v>56</v>
      </c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1" t="s">
        <v>405</v>
      </c>
      <c r="AB429" s="42" t="s">
        <v>233</v>
      </c>
      <c r="AC429" s="43" t="s">
        <v>58</v>
      </c>
      <c r="AD429" s="43">
        <v>50000000</v>
      </c>
      <c r="AE429" s="44">
        <v>0</v>
      </c>
      <c r="AF429" s="44">
        <v>0</v>
      </c>
      <c r="AG429" s="44">
        <v>0</v>
      </c>
      <c r="AH429" s="44">
        <v>0</v>
      </c>
      <c r="AI429" s="44">
        <v>0</v>
      </c>
      <c r="AJ429" s="43">
        <v>50000000</v>
      </c>
      <c r="AK429" s="44">
        <v>0</v>
      </c>
      <c r="AL429" s="44">
        <v>0</v>
      </c>
      <c r="AM429" s="44">
        <v>0</v>
      </c>
      <c r="AN429" s="44">
        <v>0</v>
      </c>
      <c r="AO429" s="44">
        <v>0</v>
      </c>
      <c r="AP429" s="44">
        <v>0</v>
      </c>
      <c r="AQ429" s="44">
        <v>0</v>
      </c>
      <c r="AR429" s="44">
        <v>0</v>
      </c>
      <c r="AS429" s="44">
        <v>0</v>
      </c>
      <c r="AT429" s="40">
        <f t="shared" si="514"/>
        <v>0</v>
      </c>
      <c r="AU429" s="18">
        <f t="shared" ref="AU429" si="529">AJ429-AM429</f>
        <v>50000000</v>
      </c>
      <c r="AV429" s="34">
        <f t="shared" ref="AV429" si="530">AM429-AP429</f>
        <v>0</v>
      </c>
      <c r="AW429" s="133">
        <f t="shared" ref="AW429" si="531">AP429-AT429</f>
        <v>0</v>
      </c>
      <c r="AX429" s="123">
        <f t="shared" ref="AX429" si="532">AP429/AJ429</f>
        <v>0</v>
      </c>
    </row>
    <row r="430" spans="1:50" ht="18.75" customHeight="1" x14ac:dyDescent="0.2">
      <c r="AA430" s="28" t="s">
        <v>288</v>
      </c>
      <c r="AB430" s="29" t="s">
        <v>362</v>
      </c>
      <c r="AC430" s="17"/>
      <c r="AD430" s="18"/>
      <c r="AE430" s="34"/>
      <c r="AF430" s="34"/>
      <c r="AG430" s="34"/>
      <c r="AH430" s="34"/>
      <c r="AI430" s="34"/>
      <c r="AJ430" s="18"/>
      <c r="AK430" s="34"/>
      <c r="AL430" s="34"/>
      <c r="AM430" s="34"/>
      <c r="AN430" s="34"/>
      <c r="AO430" s="34"/>
      <c r="AP430" s="34"/>
      <c r="AQ430" s="34"/>
      <c r="AR430" s="34"/>
      <c r="AS430" s="34"/>
      <c r="AT430" s="31"/>
      <c r="AU430" s="18"/>
      <c r="AV430" s="34"/>
      <c r="AW430" s="133"/>
      <c r="AX430" s="18"/>
    </row>
    <row r="431" spans="1:50" ht="18.75" customHeight="1" x14ac:dyDescent="0.2">
      <c r="A431" s="4" t="s">
        <v>55</v>
      </c>
      <c r="B431" s="4" t="s">
        <v>56</v>
      </c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1" t="s">
        <v>406</v>
      </c>
      <c r="AB431" s="69" t="s">
        <v>379</v>
      </c>
      <c r="AC431" s="43" t="s">
        <v>380</v>
      </c>
      <c r="AD431" s="43">
        <v>155990000</v>
      </c>
      <c r="AE431" s="44">
        <v>0</v>
      </c>
      <c r="AF431" s="44">
        <v>0</v>
      </c>
      <c r="AG431" s="44">
        <v>0</v>
      </c>
      <c r="AH431" s="43">
        <v>155990000</v>
      </c>
      <c r="AI431" s="18">
        <f>AE431-AF431+AG431-AH431</f>
        <v>-155990000</v>
      </c>
      <c r="AJ431" s="18">
        <f>AD431+AI431</f>
        <v>0</v>
      </c>
      <c r="AK431" s="44">
        <v>0</v>
      </c>
      <c r="AL431" s="44">
        <v>0</v>
      </c>
      <c r="AM431" s="44">
        <v>0</v>
      </c>
      <c r="AN431" s="44">
        <v>0</v>
      </c>
      <c r="AO431" s="44">
        <v>0</v>
      </c>
      <c r="AP431" s="44">
        <v>0</v>
      </c>
      <c r="AQ431" s="44">
        <v>0</v>
      </c>
      <c r="AR431" s="44">
        <v>0</v>
      </c>
      <c r="AS431" s="44">
        <v>0</v>
      </c>
      <c r="AT431" s="40">
        <f t="shared" si="514"/>
        <v>0</v>
      </c>
      <c r="AU431" s="18">
        <f t="shared" ref="AU431" si="533">AJ431-AM431</f>
        <v>0</v>
      </c>
      <c r="AV431" s="34">
        <f t="shared" ref="AV431" si="534">AM431-AP431</f>
        <v>0</v>
      </c>
      <c r="AW431" s="133">
        <f t="shared" ref="AW431" si="535">AP431-AT431</f>
        <v>0</v>
      </c>
      <c r="AX431" s="123">
        <v>0</v>
      </c>
    </row>
    <row r="432" spans="1:50" ht="18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73" t="s">
        <v>288</v>
      </c>
      <c r="AB432" s="82" t="s">
        <v>365</v>
      </c>
      <c r="AC432" s="43"/>
      <c r="AD432" s="43"/>
      <c r="AE432" s="44"/>
      <c r="AF432" s="44"/>
      <c r="AG432" s="44"/>
      <c r="AH432" s="43"/>
      <c r="AI432" s="18"/>
      <c r="AJ432" s="18"/>
      <c r="AK432" s="44"/>
      <c r="AL432" s="44"/>
      <c r="AM432" s="44"/>
      <c r="AN432" s="44"/>
      <c r="AO432" s="44"/>
      <c r="AP432" s="44"/>
      <c r="AQ432" s="44"/>
      <c r="AR432" s="44"/>
      <c r="AS432" s="44"/>
      <c r="AT432" s="40"/>
      <c r="AU432" s="18"/>
      <c r="AV432" s="34"/>
      <c r="AW432" s="133"/>
      <c r="AX432" s="123"/>
    </row>
    <row r="433" spans="1:50" ht="18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1" t="s">
        <v>988</v>
      </c>
      <c r="AB433" s="69" t="s">
        <v>978</v>
      </c>
      <c r="AC433" s="43"/>
      <c r="AD433" s="43">
        <v>0</v>
      </c>
      <c r="AE433" s="44">
        <v>0</v>
      </c>
      <c r="AF433" s="44">
        <v>0</v>
      </c>
      <c r="AG433" s="43">
        <v>1227570664.1400001</v>
      </c>
      <c r="AH433" s="43">
        <v>0</v>
      </c>
      <c r="AI433" s="18">
        <f>AE433-AF433+AG433-AH433</f>
        <v>1227570664.1400001</v>
      </c>
      <c r="AJ433" s="18">
        <f>AD433+AI433</f>
        <v>1227570664.1400001</v>
      </c>
      <c r="AK433" s="44">
        <v>0</v>
      </c>
      <c r="AL433" s="44">
        <v>0</v>
      </c>
      <c r="AM433" s="44">
        <v>0</v>
      </c>
      <c r="AN433" s="44">
        <v>0</v>
      </c>
      <c r="AO433" s="44">
        <v>0</v>
      </c>
      <c r="AP433" s="44">
        <v>0</v>
      </c>
      <c r="AQ433" s="44">
        <v>0</v>
      </c>
      <c r="AR433" s="44">
        <v>0</v>
      </c>
      <c r="AS433" s="44">
        <v>0</v>
      </c>
      <c r="AT433" s="40">
        <f t="shared" ref="AT433" si="536">AQ433+AS433</f>
        <v>0</v>
      </c>
      <c r="AU433" s="18">
        <f t="shared" ref="AU433" si="537">AJ433-AM433</f>
        <v>1227570664.1400001</v>
      </c>
      <c r="AV433" s="34">
        <f t="shared" ref="AV433" si="538">AM433-AP433</f>
        <v>0</v>
      </c>
      <c r="AW433" s="133">
        <f t="shared" ref="AW433" si="539">AP433-AT433</f>
        <v>0</v>
      </c>
      <c r="AX433" s="123">
        <v>0</v>
      </c>
    </row>
    <row r="434" spans="1:50" ht="25.5" x14ac:dyDescent="0.2">
      <c r="AA434" s="28" t="s">
        <v>288</v>
      </c>
      <c r="AB434" s="29" t="s">
        <v>407</v>
      </c>
      <c r="AC434" s="17"/>
      <c r="AD434" s="18"/>
      <c r="AE434" s="34"/>
      <c r="AF434" s="34"/>
      <c r="AG434" s="34"/>
      <c r="AH434" s="34"/>
      <c r="AI434" s="34"/>
      <c r="AJ434" s="18"/>
      <c r="AK434" s="34"/>
      <c r="AL434" s="34"/>
      <c r="AM434" s="34"/>
      <c r="AN434" s="34"/>
      <c r="AO434" s="34"/>
      <c r="AP434" s="34"/>
      <c r="AQ434" s="34"/>
      <c r="AR434" s="34"/>
      <c r="AS434" s="34"/>
      <c r="AT434" s="31"/>
      <c r="AU434" s="18"/>
      <c r="AV434" s="34"/>
      <c r="AW434" s="133"/>
      <c r="AX434" s="18"/>
    </row>
    <row r="435" spans="1:50" ht="18.75" customHeight="1" x14ac:dyDescent="0.2">
      <c r="A435" s="4" t="s">
        <v>55</v>
      </c>
      <c r="B435" s="4" t="s">
        <v>56</v>
      </c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1" t="s">
        <v>408</v>
      </c>
      <c r="AB435" s="42" t="s">
        <v>233</v>
      </c>
      <c r="AC435" s="43" t="s">
        <v>58</v>
      </c>
      <c r="AD435" s="43">
        <v>126488672</v>
      </c>
      <c r="AE435" s="44">
        <v>0</v>
      </c>
      <c r="AF435" s="44">
        <v>0</v>
      </c>
      <c r="AG435" s="44">
        <v>0</v>
      </c>
      <c r="AH435" s="44">
        <v>0</v>
      </c>
      <c r="AI435" s="44">
        <v>0</v>
      </c>
      <c r="AJ435" s="43">
        <v>126488672</v>
      </c>
      <c r="AK435" s="44">
        <v>0</v>
      </c>
      <c r="AL435" s="43">
        <v>126488672</v>
      </c>
      <c r="AM435" s="43">
        <v>126488672</v>
      </c>
      <c r="AN435" s="44">
        <v>0</v>
      </c>
      <c r="AO435" s="44">
        <v>0</v>
      </c>
      <c r="AP435" s="44">
        <v>0</v>
      </c>
      <c r="AQ435" s="44">
        <v>0</v>
      </c>
      <c r="AR435" s="44">
        <v>0</v>
      </c>
      <c r="AS435" s="44">
        <v>0</v>
      </c>
      <c r="AT435" s="40">
        <f t="shared" ref="AT435:AT436" si="540">AQ435+AS435</f>
        <v>0</v>
      </c>
      <c r="AU435" s="34">
        <f t="shared" ref="AU435:AU436" si="541">AJ435-AM435</f>
        <v>0</v>
      </c>
      <c r="AV435" s="18">
        <f t="shared" ref="AV435:AV436" si="542">AM435-AP435</f>
        <v>126488672</v>
      </c>
      <c r="AW435" s="133">
        <f t="shared" ref="AW435:AW436" si="543">AP435-AT435</f>
        <v>0</v>
      </c>
      <c r="AX435" s="123">
        <f t="shared" ref="AX435:AX436" si="544">AP435/AJ435</f>
        <v>0</v>
      </c>
    </row>
    <row r="436" spans="1:50" ht="18.75" customHeight="1" x14ac:dyDescent="0.2">
      <c r="A436" s="4" t="s">
        <v>55</v>
      </c>
      <c r="B436" s="4" t="s">
        <v>56</v>
      </c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1" t="s">
        <v>409</v>
      </c>
      <c r="AB436" s="42" t="s">
        <v>379</v>
      </c>
      <c r="AC436" s="43" t="s">
        <v>380</v>
      </c>
      <c r="AD436" s="43">
        <v>373511328</v>
      </c>
      <c r="AE436" s="44">
        <v>0</v>
      </c>
      <c r="AF436" s="44">
        <v>0</v>
      </c>
      <c r="AG436" s="44">
        <v>0</v>
      </c>
      <c r="AH436" s="44">
        <v>0</v>
      </c>
      <c r="AI436" s="44">
        <v>0</v>
      </c>
      <c r="AJ436" s="43">
        <v>373511328</v>
      </c>
      <c r="AK436" s="44">
        <v>0</v>
      </c>
      <c r="AL436" s="43">
        <v>373511328</v>
      </c>
      <c r="AM436" s="43">
        <v>373511328</v>
      </c>
      <c r="AN436" s="44">
        <v>0</v>
      </c>
      <c r="AO436" s="44">
        <v>0</v>
      </c>
      <c r="AP436" s="44">
        <v>0</v>
      </c>
      <c r="AQ436" s="44">
        <v>0</v>
      </c>
      <c r="AR436" s="44">
        <v>0</v>
      </c>
      <c r="AS436" s="44">
        <v>0</v>
      </c>
      <c r="AT436" s="40">
        <f t="shared" si="540"/>
        <v>0</v>
      </c>
      <c r="AU436" s="34">
        <f t="shared" si="541"/>
        <v>0</v>
      </c>
      <c r="AV436" s="18">
        <f t="shared" si="542"/>
        <v>373511328</v>
      </c>
      <c r="AW436" s="133">
        <f t="shared" si="543"/>
        <v>0</v>
      </c>
      <c r="AX436" s="123">
        <f t="shared" si="544"/>
        <v>0</v>
      </c>
    </row>
    <row r="437" spans="1:50" x14ac:dyDescent="0.2">
      <c r="AA437" s="28" t="s">
        <v>288</v>
      </c>
      <c r="AB437" s="29" t="s">
        <v>410</v>
      </c>
      <c r="AC437" s="17"/>
      <c r="AD437" s="18"/>
      <c r="AE437" s="34"/>
      <c r="AF437" s="34"/>
      <c r="AG437" s="34"/>
      <c r="AH437" s="34"/>
      <c r="AI437" s="34"/>
      <c r="AJ437" s="18"/>
      <c r="AK437" s="34"/>
      <c r="AL437" s="34"/>
      <c r="AM437" s="34"/>
      <c r="AN437" s="34"/>
      <c r="AO437" s="34"/>
      <c r="AP437" s="34"/>
      <c r="AQ437" s="34"/>
      <c r="AR437" s="34"/>
      <c r="AS437" s="34"/>
      <c r="AT437" s="31"/>
      <c r="AU437" s="18"/>
      <c r="AV437" s="34"/>
      <c r="AW437" s="18"/>
      <c r="AX437" s="18"/>
    </row>
    <row r="438" spans="1:50" ht="18.75" customHeight="1" x14ac:dyDescent="0.2">
      <c r="A438" s="4" t="s">
        <v>55</v>
      </c>
      <c r="B438" s="4" t="s">
        <v>56</v>
      </c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1" t="s">
        <v>411</v>
      </c>
      <c r="AB438" s="42" t="s">
        <v>412</v>
      </c>
      <c r="AC438" s="43" t="s">
        <v>380</v>
      </c>
      <c r="AD438" s="43">
        <v>6161937303</v>
      </c>
      <c r="AE438" s="44">
        <v>0</v>
      </c>
      <c r="AF438" s="44">
        <v>0</v>
      </c>
      <c r="AG438" s="44">
        <v>0</v>
      </c>
      <c r="AH438" s="44">
        <v>0</v>
      </c>
      <c r="AI438" s="44">
        <v>0</v>
      </c>
      <c r="AJ438" s="43">
        <v>6161937303</v>
      </c>
      <c r="AK438" s="44">
        <v>0</v>
      </c>
      <c r="AL438" s="44">
        <v>0</v>
      </c>
      <c r="AM438" s="43">
        <v>4844629745</v>
      </c>
      <c r="AN438" s="44">
        <v>0</v>
      </c>
      <c r="AO438" s="44">
        <v>0</v>
      </c>
      <c r="AP438" s="44">
        <v>0</v>
      </c>
      <c r="AQ438" s="44">
        <v>0</v>
      </c>
      <c r="AR438" s="44">
        <v>0</v>
      </c>
      <c r="AS438" s="43">
        <v>0</v>
      </c>
      <c r="AT438" s="40">
        <f t="shared" ref="AT438:AT439" si="545">AQ438+AS438</f>
        <v>0</v>
      </c>
      <c r="AU438" s="18">
        <f t="shared" ref="AU438:AU439" si="546">AJ438-AM438</f>
        <v>1317307558</v>
      </c>
      <c r="AV438" s="18">
        <f t="shared" ref="AV438:AV439" si="547">AM438-AP438</f>
        <v>4844629745</v>
      </c>
      <c r="AW438" s="34">
        <f t="shared" ref="AW438:AW439" si="548">AP438-AT438</f>
        <v>0</v>
      </c>
      <c r="AX438" s="123">
        <f t="shared" ref="AX438:AX439" si="549">AP438/AJ438</f>
        <v>0</v>
      </c>
    </row>
    <row r="439" spans="1:50" ht="18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1" t="s">
        <v>977</v>
      </c>
      <c r="AB439" s="42" t="s">
        <v>978</v>
      </c>
      <c r="AC439" s="43"/>
      <c r="AD439" s="43"/>
      <c r="AE439" s="43">
        <v>2137085601</v>
      </c>
      <c r="AF439" s="44">
        <v>0</v>
      </c>
      <c r="AG439" s="44">
        <v>0</v>
      </c>
      <c r="AH439" s="43">
        <v>1644954315.8499999</v>
      </c>
      <c r="AI439" s="18">
        <f>AE439-AF439+AG439-AH439</f>
        <v>492131285.1500001</v>
      </c>
      <c r="AJ439" s="18">
        <f>AD439+AI439</f>
        <v>492131285.1500001</v>
      </c>
      <c r="AK439" s="44">
        <v>0</v>
      </c>
      <c r="AL439" s="44">
        <v>0</v>
      </c>
      <c r="AM439" s="43">
        <v>492131285.14999998</v>
      </c>
      <c r="AN439" s="44">
        <v>0</v>
      </c>
      <c r="AO439" s="43">
        <v>423802091.47000003</v>
      </c>
      <c r="AP439" s="43">
        <v>423802091.47000003</v>
      </c>
      <c r="AQ439" s="44">
        <v>0</v>
      </c>
      <c r="AR439" s="44">
        <v>0</v>
      </c>
      <c r="AS439" s="43">
        <v>0</v>
      </c>
      <c r="AT439" s="40">
        <f t="shared" si="545"/>
        <v>0</v>
      </c>
      <c r="AU439" s="18">
        <f t="shared" si="546"/>
        <v>0</v>
      </c>
      <c r="AV439" s="18">
        <f t="shared" si="547"/>
        <v>68329193.679999948</v>
      </c>
      <c r="AW439" s="18">
        <f t="shared" si="548"/>
        <v>423802091.47000003</v>
      </c>
      <c r="AX439" s="123">
        <f t="shared" si="549"/>
        <v>0.86115657398376222</v>
      </c>
    </row>
    <row r="440" spans="1:50" ht="18.75" customHeight="1" x14ac:dyDescent="0.2">
      <c r="AA440" s="28" t="s">
        <v>288</v>
      </c>
      <c r="AB440" s="29" t="s">
        <v>320</v>
      </c>
      <c r="AC440" s="17"/>
      <c r="AD440" s="18"/>
      <c r="AE440" s="34"/>
      <c r="AF440" s="34"/>
      <c r="AG440" s="34"/>
      <c r="AH440" s="34"/>
      <c r="AI440" s="34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31"/>
      <c r="AU440" s="18"/>
      <c r="AV440" s="34"/>
      <c r="AW440" s="18"/>
      <c r="AX440" s="18"/>
    </row>
    <row r="441" spans="1:50" ht="18.75" customHeight="1" x14ac:dyDescent="0.2">
      <c r="A441" s="4" t="s">
        <v>37</v>
      </c>
      <c r="B441" s="4" t="s">
        <v>37</v>
      </c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1" t="s">
        <v>413</v>
      </c>
      <c r="AB441" s="42" t="s">
        <v>233</v>
      </c>
      <c r="AC441" s="43" t="s">
        <v>58</v>
      </c>
      <c r="AD441" s="43">
        <v>1212000000</v>
      </c>
      <c r="AE441" s="44">
        <v>0</v>
      </c>
      <c r="AF441" s="44">
        <v>0</v>
      </c>
      <c r="AG441" s="44">
        <v>0</v>
      </c>
      <c r="AH441" s="44">
        <v>0</v>
      </c>
      <c r="AI441" s="44">
        <v>0</v>
      </c>
      <c r="AJ441" s="43">
        <v>1212000000</v>
      </c>
      <c r="AK441" s="44">
        <v>0</v>
      </c>
      <c r="AL441" s="44">
        <v>0</v>
      </c>
      <c r="AM441" s="43">
        <v>1161315332</v>
      </c>
      <c r="AN441" s="44">
        <v>0</v>
      </c>
      <c r="AO441" s="44">
        <v>0</v>
      </c>
      <c r="AP441" s="43">
        <v>1161315332</v>
      </c>
      <c r="AQ441" s="44">
        <v>0</v>
      </c>
      <c r="AR441" s="44">
        <v>0</v>
      </c>
      <c r="AS441" s="44">
        <v>0</v>
      </c>
      <c r="AT441" s="40">
        <f t="shared" ref="AT441:AT442" si="550">AQ441+AS441</f>
        <v>0</v>
      </c>
      <c r="AU441" s="18">
        <f t="shared" ref="AU441:AU442" si="551">AJ441-AM441</f>
        <v>50684668</v>
      </c>
      <c r="AV441" s="34">
        <f t="shared" ref="AV441:AV442" si="552">AM441-AP441</f>
        <v>0</v>
      </c>
      <c r="AW441" s="18">
        <f t="shared" ref="AW441:AW442" si="553">AP441-AT441</f>
        <v>1161315332</v>
      </c>
      <c r="AX441" s="123">
        <f t="shared" ref="AX441:AX442" si="554">AP441/AJ441</f>
        <v>0.95818096699669963</v>
      </c>
    </row>
    <row r="442" spans="1:50" ht="18.75" customHeight="1" x14ac:dyDescent="0.2">
      <c r="A442" s="4" t="s">
        <v>55</v>
      </c>
      <c r="B442" s="4" t="s">
        <v>56</v>
      </c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1" t="s">
        <v>414</v>
      </c>
      <c r="AB442" s="42" t="s">
        <v>328</v>
      </c>
      <c r="AC442" s="43" t="s">
        <v>61</v>
      </c>
      <c r="AD442" s="43">
        <v>13807166550</v>
      </c>
      <c r="AE442" s="44">
        <v>0</v>
      </c>
      <c r="AF442" s="44">
        <v>0</v>
      </c>
      <c r="AG442" s="44">
        <v>0</v>
      </c>
      <c r="AH442" s="43">
        <v>23257108</v>
      </c>
      <c r="AI442" s="18">
        <f>AE442-AF442+AG442-AH442</f>
        <v>-23257108</v>
      </c>
      <c r="AJ442" s="18">
        <f>AD442+AI442</f>
        <v>13783909442</v>
      </c>
      <c r="AK442" s="44">
        <v>0</v>
      </c>
      <c r="AL442" s="44">
        <v>0</v>
      </c>
      <c r="AM442" s="43">
        <v>12807972817</v>
      </c>
      <c r="AN442" s="44">
        <v>0</v>
      </c>
      <c r="AO442" s="44">
        <v>0</v>
      </c>
      <c r="AP442" s="43">
        <v>12807972817</v>
      </c>
      <c r="AQ442" s="44">
        <v>0</v>
      </c>
      <c r="AR442" s="44">
        <v>0</v>
      </c>
      <c r="AS442" s="44">
        <v>0</v>
      </c>
      <c r="AT442" s="40">
        <f t="shared" si="550"/>
        <v>0</v>
      </c>
      <c r="AU442" s="18">
        <f t="shared" si="551"/>
        <v>975936625</v>
      </c>
      <c r="AV442" s="34">
        <f t="shared" si="552"/>
        <v>0</v>
      </c>
      <c r="AW442" s="18">
        <f t="shared" si="553"/>
        <v>12807972817</v>
      </c>
      <c r="AX442" s="123">
        <f t="shared" si="554"/>
        <v>0.92919740012029606</v>
      </c>
    </row>
    <row r="443" spans="1:50" ht="25.5" x14ac:dyDescent="0.2">
      <c r="AA443" s="28" t="s">
        <v>288</v>
      </c>
      <c r="AB443" s="29" t="s">
        <v>415</v>
      </c>
      <c r="AC443" s="17"/>
      <c r="AD443" s="18"/>
      <c r="AE443" s="34"/>
      <c r="AF443" s="34"/>
      <c r="AG443" s="34"/>
      <c r="AH443" s="34"/>
      <c r="AI443" s="34"/>
      <c r="AJ443" s="18"/>
      <c r="AK443" s="34"/>
      <c r="AL443" s="34"/>
      <c r="AM443" s="18"/>
      <c r="AN443" s="18"/>
      <c r="AO443" s="18"/>
      <c r="AP443" s="18"/>
      <c r="AQ443" s="34"/>
      <c r="AR443" s="34"/>
      <c r="AS443" s="34"/>
      <c r="AT443" s="40"/>
      <c r="AU443" s="18"/>
      <c r="AV443" s="34"/>
      <c r="AW443" s="18"/>
      <c r="AX443" s="18"/>
    </row>
    <row r="444" spans="1:50" ht="18.75" customHeight="1" x14ac:dyDescent="0.2">
      <c r="A444" s="4" t="s">
        <v>55</v>
      </c>
      <c r="B444" s="4" t="s">
        <v>56</v>
      </c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1" t="s">
        <v>416</v>
      </c>
      <c r="AB444" s="42" t="s">
        <v>379</v>
      </c>
      <c r="AC444" s="43" t="s">
        <v>380</v>
      </c>
      <c r="AD444" s="43">
        <v>50000000</v>
      </c>
      <c r="AE444" s="44">
        <v>0</v>
      </c>
      <c r="AF444" s="44">
        <v>0</v>
      </c>
      <c r="AG444" s="44">
        <v>0</v>
      </c>
      <c r="AH444" s="44">
        <v>0</v>
      </c>
      <c r="AI444" s="44">
        <v>0</v>
      </c>
      <c r="AJ444" s="43">
        <v>50000000</v>
      </c>
      <c r="AK444" s="44">
        <v>0</v>
      </c>
      <c r="AL444" s="44">
        <v>0</v>
      </c>
      <c r="AM444" s="44">
        <v>0</v>
      </c>
      <c r="AN444" s="44">
        <v>0</v>
      </c>
      <c r="AO444" s="44">
        <v>0</v>
      </c>
      <c r="AP444" s="44">
        <v>0</v>
      </c>
      <c r="AQ444" s="44">
        <v>0</v>
      </c>
      <c r="AR444" s="44">
        <v>0</v>
      </c>
      <c r="AS444" s="44">
        <v>0</v>
      </c>
      <c r="AT444" s="40">
        <f t="shared" ref="AT444" si="555">AQ444+AS444</f>
        <v>0</v>
      </c>
      <c r="AU444" s="18">
        <f t="shared" ref="AU444" si="556">AJ444-AM444</f>
        <v>50000000</v>
      </c>
      <c r="AV444" s="34">
        <f t="shared" ref="AV444" si="557">AM444-AP444</f>
        <v>0</v>
      </c>
      <c r="AW444" s="34">
        <f t="shared" ref="AW444" si="558">AP444-AT444</f>
        <v>0</v>
      </c>
      <c r="AX444" s="123">
        <f t="shared" ref="AX444" si="559">AP444/AJ444</f>
        <v>0</v>
      </c>
    </row>
    <row r="445" spans="1:50" ht="25.5" x14ac:dyDescent="0.2">
      <c r="AA445" s="28" t="s">
        <v>288</v>
      </c>
      <c r="AB445" s="29" t="s">
        <v>418</v>
      </c>
      <c r="AC445" s="17"/>
      <c r="AD445" s="18"/>
      <c r="AE445" s="34"/>
      <c r="AF445" s="34"/>
      <c r="AG445" s="34"/>
      <c r="AH445" s="34"/>
      <c r="AI445" s="34"/>
      <c r="AJ445" s="18"/>
      <c r="AK445" s="34"/>
      <c r="AL445" s="34"/>
      <c r="AM445" s="34"/>
      <c r="AN445" s="34"/>
      <c r="AO445" s="34"/>
      <c r="AP445" s="34"/>
      <c r="AQ445" s="34"/>
      <c r="AR445" s="34"/>
      <c r="AS445" s="34"/>
      <c r="AT445" s="40"/>
      <c r="AU445" s="18"/>
      <c r="AV445" s="34"/>
      <c r="AW445" s="34"/>
      <c r="AX445" s="18"/>
    </row>
    <row r="446" spans="1:50" x14ac:dyDescent="0.2">
      <c r="A446" s="4" t="s">
        <v>55</v>
      </c>
      <c r="B446" s="4" t="s">
        <v>56</v>
      </c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1" t="s">
        <v>419</v>
      </c>
      <c r="AB446" s="42" t="s">
        <v>233</v>
      </c>
      <c r="AC446" s="43" t="s">
        <v>58</v>
      </c>
      <c r="AD446" s="43">
        <v>200000000</v>
      </c>
      <c r="AE446" s="44">
        <v>0</v>
      </c>
      <c r="AF446" s="44">
        <v>0</v>
      </c>
      <c r="AG446" s="44">
        <v>0</v>
      </c>
      <c r="AH446" s="44">
        <v>0</v>
      </c>
      <c r="AI446" s="44">
        <v>0</v>
      </c>
      <c r="AJ446" s="43">
        <v>200000000</v>
      </c>
      <c r="AK446" s="44">
        <v>0</v>
      </c>
      <c r="AL446" s="44">
        <v>0</v>
      </c>
      <c r="AM446" s="44">
        <v>0</v>
      </c>
      <c r="AN446" s="44">
        <v>0</v>
      </c>
      <c r="AO446" s="44">
        <v>0</v>
      </c>
      <c r="AP446" s="44">
        <v>0</v>
      </c>
      <c r="AQ446" s="44">
        <v>0</v>
      </c>
      <c r="AR446" s="44">
        <v>0</v>
      </c>
      <c r="AS446" s="44">
        <v>0</v>
      </c>
      <c r="AT446" s="40">
        <f t="shared" si="514"/>
        <v>0</v>
      </c>
      <c r="AU446" s="18">
        <f t="shared" ref="AU446" si="560">AJ446-AM446</f>
        <v>200000000</v>
      </c>
      <c r="AV446" s="34">
        <f t="shared" ref="AV446" si="561">AM446-AP446</f>
        <v>0</v>
      </c>
      <c r="AW446" s="34">
        <f t="shared" ref="AW446" si="562">AP446-AT446</f>
        <v>0</v>
      </c>
      <c r="AX446" s="123">
        <f t="shared" ref="AX446" si="563">AP446/AJ446</f>
        <v>0</v>
      </c>
    </row>
    <row r="447" spans="1:50" ht="51" x14ac:dyDescent="0.2">
      <c r="AA447" s="28" t="s">
        <v>288</v>
      </c>
      <c r="AB447" s="29" t="s">
        <v>420</v>
      </c>
      <c r="AC447" s="17"/>
      <c r="AD447" s="18"/>
      <c r="AE447" s="34"/>
      <c r="AF447" s="34"/>
      <c r="AG447" s="34"/>
      <c r="AH447" s="34"/>
      <c r="AI447" s="34"/>
      <c r="AJ447" s="18"/>
      <c r="AK447" s="34"/>
      <c r="AL447" s="18"/>
      <c r="AM447" s="18"/>
      <c r="AN447" s="18"/>
      <c r="AO447" s="18"/>
      <c r="AP447" s="18"/>
      <c r="AQ447" s="18"/>
      <c r="AR447" s="18"/>
      <c r="AS447" s="18"/>
      <c r="AT447" s="40"/>
      <c r="AU447" s="18"/>
      <c r="AV447" s="18"/>
      <c r="AW447" s="18"/>
      <c r="AX447" s="18"/>
    </row>
    <row r="448" spans="1:50" x14ac:dyDescent="0.2">
      <c r="A448" s="4" t="s">
        <v>55</v>
      </c>
      <c r="B448" s="4" t="s">
        <v>56</v>
      </c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1" t="s">
        <v>421</v>
      </c>
      <c r="AB448" s="42" t="s">
        <v>328</v>
      </c>
      <c r="AC448" s="43" t="s">
        <v>61</v>
      </c>
      <c r="AD448" s="43">
        <v>501573828</v>
      </c>
      <c r="AE448" s="44">
        <v>0</v>
      </c>
      <c r="AF448" s="44">
        <v>0</v>
      </c>
      <c r="AG448" s="43">
        <v>280746171.69999999</v>
      </c>
      <c r="AH448" s="43">
        <v>3845830</v>
      </c>
      <c r="AI448" s="18">
        <f>AE448-AF448+AG448-AH448</f>
        <v>276900341.69999999</v>
      </c>
      <c r="AJ448" s="18">
        <f>AD448+AI448</f>
        <v>778474169.70000005</v>
      </c>
      <c r="AK448" s="44">
        <v>0</v>
      </c>
      <c r="AL448" s="44">
        <v>0</v>
      </c>
      <c r="AM448" s="43">
        <v>492800000</v>
      </c>
      <c r="AN448" s="44">
        <v>0</v>
      </c>
      <c r="AO448" s="44">
        <v>0</v>
      </c>
      <c r="AP448" s="43">
        <v>492800000</v>
      </c>
      <c r="AQ448" s="114">
        <v>115360000</v>
      </c>
      <c r="AR448" s="114">
        <v>39013333</v>
      </c>
      <c r="AS448" s="114">
        <v>72799999</v>
      </c>
      <c r="AT448" s="39">
        <f t="shared" si="514"/>
        <v>188159999</v>
      </c>
      <c r="AU448" s="18">
        <f t="shared" ref="AU448:AU449" si="564">AJ448-AM448</f>
        <v>285674169.70000005</v>
      </c>
      <c r="AV448" s="34">
        <f t="shared" ref="AV448:AV449" si="565">AM448-AP448</f>
        <v>0</v>
      </c>
      <c r="AW448" s="18">
        <f t="shared" ref="AW448:AW449" si="566">AP448-AT448</f>
        <v>304640001</v>
      </c>
      <c r="AX448" s="123">
        <f t="shared" ref="AX448:AX449" si="567">AP448/AJ448</f>
        <v>0.6330332067278609</v>
      </c>
    </row>
    <row r="449" spans="1:50" x14ac:dyDescent="0.2">
      <c r="A449" s="4" t="s">
        <v>55</v>
      </c>
      <c r="B449" s="4" t="s">
        <v>56</v>
      </c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1" t="s">
        <v>422</v>
      </c>
      <c r="AB449" s="42" t="s">
        <v>423</v>
      </c>
      <c r="AC449" s="43" t="s">
        <v>424</v>
      </c>
      <c r="AD449" s="43">
        <v>370346171.69999999</v>
      </c>
      <c r="AE449" s="44">
        <v>0</v>
      </c>
      <c r="AF449" s="44">
        <v>0</v>
      </c>
      <c r="AG449" s="44">
        <v>0</v>
      </c>
      <c r="AH449" s="43">
        <v>280746171.69999999</v>
      </c>
      <c r="AI449" s="18">
        <f>AE449-AF449+AG449-AH449</f>
        <v>-280746171.69999999</v>
      </c>
      <c r="AJ449" s="18">
        <f>AD449+AI449</f>
        <v>89600000</v>
      </c>
      <c r="AK449" s="44">
        <v>0</v>
      </c>
      <c r="AL449" s="44">
        <v>0</v>
      </c>
      <c r="AM449" s="43">
        <v>89600000</v>
      </c>
      <c r="AN449" s="44">
        <v>0</v>
      </c>
      <c r="AO449" s="44">
        <v>0</v>
      </c>
      <c r="AP449" s="43">
        <v>89600000</v>
      </c>
      <c r="AQ449" s="43">
        <v>27813334</v>
      </c>
      <c r="AR449" s="43">
        <v>2706667</v>
      </c>
      <c r="AS449" s="43">
        <v>4853334</v>
      </c>
      <c r="AT449" s="39">
        <f t="shared" si="514"/>
        <v>32666668</v>
      </c>
      <c r="AU449" s="18">
        <f t="shared" si="564"/>
        <v>0</v>
      </c>
      <c r="AV449" s="34">
        <f t="shared" si="565"/>
        <v>0</v>
      </c>
      <c r="AW449" s="18">
        <f t="shared" si="566"/>
        <v>56933332</v>
      </c>
      <c r="AX449" s="123">
        <f t="shared" si="567"/>
        <v>1</v>
      </c>
    </row>
    <row r="450" spans="1:50" ht="18.75" customHeight="1" x14ac:dyDescent="0.2">
      <c r="AA450" s="28" t="s">
        <v>288</v>
      </c>
      <c r="AB450" s="29" t="s">
        <v>400</v>
      </c>
      <c r="AC450" s="17"/>
      <c r="AD450" s="18"/>
      <c r="AE450" s="34"/>
      <c r="AF450" s="34"/>
      <c r="AG450" s="34"/>
      <c r="AH450" s="34"/>
      <c r="AI450" s="34"/>
      <c r="AJ450" s="18"/>
      <c r="AK450" s="34"/>
      <c r="AL450" s="18"/>
      <c r="AM450" s="18"/>
      <c r="AN450" s="34"/>
      <c r="AO450" s="18"/>
      <c r="AP450" s="18"/>
      <c r="AQ450" s="34"/>
      <c r="AR450" s="34"/>
      <c r="AS450" s="34"/>
      <c r="AT450" s="40"/>
      <c r="AU450" s="18"/>
      <c r="AV450" s="18"/>
      <c r="AW450" s="18"/>
      <c r="AX450" s="18"/>
    </row>
    <row r="451" spans="1:50" ht="18.75" customHeight="1" x14ac:dyDescent="0.2">
      <c r="A451" s="4" t="s">
        <v>55</v>
      </c>
      <c r="B451" s="4" t="s">
        <v>56</v>
      </c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1" t="s">
        <v>425</v>
      </c>
      <c r="AB451" s="42" t="s">
        <v>233</v>
      </c>
      <c r="AC451" s="43" t="s">
        <v>58</v>
      </c>
      <c r="AD451" s="43">
        <v>318078211</v>
      </c>
      <c r="AE451" s="44">
        <v>0</v>
      </c>
      <c r="AF451" s="44">
        <v>0</v>
      </c>
      <c r="AG451" s="44">
        <v>0</v>
      </c>
      <c r="AH451" s="44">
        <v>0</v>
      </c>
      <c r="AI451" s="44">
        <v>0</v>
      </c>
      <c r="AJ451" s="43">
        <v>318078211</v>
      </c>
      <c r="AK451" s="44">
        <v>0</v>
      </c>
      <c r="AL451" s="44">
        <v>0</v>
      </c>
      <c r="AM451" s="43">
        <v>217200000</v>
      </c>
      <c r="AN451" s="44">
        <v>0</v>
      </c>
      <c r="AO451" s="44">
        <v>0</v>
      </c>
      <c r="AP451" s="43">
        <v>217200000</v>
      </c>
      <c r="AQ451" s="44">
        <v>27150000</v>
      </c>
      <c r="AR451" s="114">
        <v>27150000</v>
      </c>
      <c r="AS451" s="114">
        <v>57406667</v>
      </c>
      <c r="AT451" s="39">
        <f t="shared" si="514"/>
        <v>84556667</v>
      </c>
      <c r="AU451" s="18">
        <f t="shared" ref="AU451:AU453" si="568">AJ451-AM451</f>
        <v>100878211</v>
      </c>
      <c r="AV451" s="34">
        <f t="shared" ref="AV451:AV453" si="569">AM451-AP451</f>
        <v>0</v>
      </c>
      <c r="AW451" s="18">
        <f t="shared" ref="AW451:AW453" si="570">AP451-AT451</f>
        <v>132643333</v>
      </c>
      <c r="AX451" s="123">
        <f t="shared" ref="AX451:AX452" si="571">AP451/AJ451</f>
        <v>0.68285092310205431</v>
      </c>
    </row>
    <row r="452" spans="1:50" ht="18.75" customHeight="1" x14ac:dyDescent="0.2">
      <c r="A452" s="4" t="s">
        <v>55</v>
      </c>
      <c r="B452" s="4" t="s">
        <v>56</v>
      </c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1" t="s">
        <v>426</v>
      </c>
      <c r="AB452" s="42" t="s">
        <v>427</v>
      </c>
      <c r="AC452" s="43" t="s">
        <v>428</v>
      </c>
      <c r="AD452" s="43">
        <v>12674978.119999999</v>
      </c>
      <c r="AE452" s="44">
        <v>0</v>
      </c>
      <c r="AF452" s="44">
        <v>0</v>
      </c>
      <c r="AG452" s="44">
        <v>0</v>
      </c>
      <c r="AH452" s="44">
        <v>0</v>
      </c>
      <c r="AI452" s="44">
        <v>0</v>
      </c>
      <c r="AJ452" s="43">
        <v>12674978.119999999</v>
      </c>
      <c r="AK452" s="44">
        <v>0</v>
      </c>
      <c r="AL452" s="44">
        <v>0</v>
      </c>
      <c r="AM452" s="44">
        <v>0</v>
      </c>
      <c r="AN452" s="44">
        <v>0</v>
      </c>
      <c r="AO452" s="44">
        <v>0</v>
      </c>
      <c r="AP452" s="44">
        <v>0</v>
      </c>
      <c r="AQ452" s="44">
        <v>0</v>
      </c>
      <c r="AR452" s="44">
        <v>0</v>
      </c>
      <c r="AS452" s="44">
        <v>0</v>
      </c>
      <c r="AT452" s="40">
        <f t="shared" si="514"/>
        <v>0</v>
      </c>
      <c r="AU452" s="18">
        <f t="shared" si="568"/>
        <v>12674978.119999999</v>
      </c>
      <c r="AV452" s="34">
        <f t="shared" si="569"/>
        <v>0</v>
      </c>
      <c r="AW452" s="34">
        <f t="shared" si="570"/>
        <v>0</v>
      </c>
      <c r="AX452" s="123">
        <f t="shared" si="571"/>
        <v>0</v>
      </c>
    </row>
    <row r="453" spans="1:50" ht="28.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1" t="s">
        <v>991</v>
      </c>
      <c r="AB453" s="42" t="s">
        <v>992</v>
      </c>
      <c r="AC453" s="43"/>
      <c r="AD453" s="44">
        <v>0</v>
      </c>
      <c r="AE453" s="44"/>
      <c r="AF453" s="44"/>
      <c r="AG453" s="44"/>
      <c r="AH453" s="44"/>
      <c r="AI453" s="44"/>
      <c r="AJ453" s="44">
        <v>0</v>
      </c>
      <c r="AK453" s="44">
        <v>0</v>
      </c>
      <c r="AL453" s="44">
        <v>0</v>
      </c>
      <c r="AM453" s="44">
        <v>0</v>
      </c>
      <c r="AN453" s="44">
        <v>0</v>
      </c>
      <c r="AO453" s="44">
        <v>0</v>
      </c>
      <c r="AP453" s="44">
        <v>0</v>
      </c>
      <c r="AQ453" s="44">
        <v>0</v>
      </c>
      <c r="AR453" s="44">
        <v>0</v>
      </c>
      <c r="AS453" s="44">
        <v>0</v>
      </c>
      <c r="AT453" s="40">
        <f t="shared" si="514"/>
        <v>0</v>
      </c>
      <c r="AU453" s="18">
        <f t="shared" si="568"/>
        <v>0</v>
      </c>
      <c r="AV453" s="34">
        <f t="shared" si="569"/>
        <v>0</v>
      </c>
      <c r="AW453" s="34">
        <f t="shared" si="570"/>
        <v>0</v>
      </c>
      <c r="AX453" s="123">
        <v>0</v>
      </c>
    </row>
    <row r="454" spans="1:50" ht="18.75" customHeight="1" x14ac:dyDescent="0.2">
      <c r="AA454" s="16"/>
      <c r="AB454" s="17"/>
      <c r="AC454" s="17"/>
      <c r="AD454" s="18"/>
      <c r="AE454" s="34"/>
      <c r="AF454" s="34"/>
      <c r="AG454" s="34"/>
      <c r="AH454" s="34"/>
      <c r="AI454" s="34"/>
      <c r="AJ454" s="18"/>
      <c r="AK454" s="34"/>
      <c r="AL454" s="18"/>
      <c r="AM454" s="18"/>
      <c r="AN454" s="18"/>
      <c r="AO454" s="18"/>
      <c r="AP454" s="18"/>
      <c r="AQ454" s="18"/>
      <c r="AR454" s="18"/>
      <c r="AS454" s="18"/>
      <c r="AT454" s="40"/>
      <c r="AU454" s="18"/>
      <c r="AV454" s="18"/>
      <c r="AW454" s="18"/>
      <c r="AX454" s="18"/>
    </row>
    <row r="455" spans="1:50" ht="18.75" customHeight="1" x14ac:dyDescent="0.2">
      <c r="AA455" s="16"/>
      <c r="AB455" s="29" t="s">
        <v>429</v>
      </c>
      <c r="AC455" s="17"/>
      <c r="AD455" s="18"/>
      <c r="AE455" s="34"/>
      <c r="AF455" s="34"/>
      <c r="AG455" s="34"/>
      <c r="AH455" s="34"/>
      <c r="AI455" s="34"/>
      <c r="AJ455" s="18"/>
      <c r="AK455" s="34"/>
      <c r="AL455" s="18"/>
      <c r="AM455" s="18"/>
      <c r="AN455" s="18"/>
      <c r="AO455" s="18"/>
      <c r="AP455" s="18"/>
      <c r="AQ455" s="18"/>
      <c r="AR455" s="18"/>
      <c r="AS455" s="18"/>
      <c r="AT455" s="40"/>
      <c r="AU455" s="18"/>
      <c r="AV455" s="18"/>
      <c r="AW455" s="18"/>
      <c r="AX455" s="18"/>
    </row>
    <row r="456" spans="1:50" ht="18.75" customHeight="1" x14ac:dyDescent="0.2">
      <c r="AA456" s="16"/>
      <c r="AB456" s="29" t="s">
        <v>286</v>
      </c>
      <c r="AC456" s="17"/>
      <c r="AD456" s="18"/>
      <c r="AE456" s="34"/>
      <c r="AF456" s="34"/>
      <c r="AG456" s="34"/>
      <c r="AH456" s="34"/>
      <c r="AI456" s="34"/>
      <c r="AJ456" s="18"/>
      <c r="AK456" s="34"/>
      <c r="AL456" s="18"/>
      <c r="AM456" s="18"/>
      <c r="AN456" s="18"/>
      <c r="AO456" s="18"/>
      <c r="AP456" s="18"/>
      <c r="AQ456" s="18"/>
      <c r="AR456" s="18"/>
      <c r="AS456" s="18"/>
      <c r="AT456" s="40"/>
      <c r="AU456" s="18"/>
      <c r="AV456" s="18"/>
      <c r="AW456" s="18"/>
      <c r="AX456" s="18"/>
    </row>
    <row r="457" spans="1:50" ht="18.75" customHeight="1" x14ac:dyDescent="0.2">
      <c r="AA457" s="16"/>
      <c r="AB457" s="29" t="s">
        <v>179</v>
      </c>
      <c r="AC457" s="17"/>
      <c r="AD457" s="18"/>
      <c r="AE457" s="34"/>
      <c r="AF457" s="34"/>
      <c r="AG457" s="34"/>
      <c r="AH457" s="34"/>
      <c r="AI457" s="34"/>
      <c r="AJ457" s="18"/>
      <c r="AK457" s="34"/>
      <c r="AL457" s="18"/>
      <c r="AM457" s="18"/>
      <c r="AN457" s="18"/>
      <c r="AO457" s="18"/>
      <c r="AP457" s="18"/>
      <c r="AQ457" s="18"/>
      <c r="AR457" s="18"/>
      <c r="AS457" s="18"/>
      <c r="AT457" s="40"/>
      <c r="AU457" s="18"/>
      <c r="AV457" s="18"/>
      <c r="AW457" s="18"/>
      <c r="AX457" s="18"/>
    </row>
    <row r="458" spans="1:50" ht="18.75" customHeight="1" x14ac:dyDescent="0.2">
      <c r="AA458" s="16"/>
      <c r="AB458" s="29" t="s">
        <v>189</v>
      </c>
      <c r="AC458" s="17"/>
      <c r="AD458" s="18"/>
      <c r="AE458" s="34"/>
      <c r="AF458" s="34"/>
      <c r="AG458" s="34"/>
      <c r="AH458" s="34"/>
      <c r="AI458" s="34"/>
      <c r="AJ458" s="18"/>
      <c r="AK458" s="34"/>
      <c r="AL458" s="18"/>
      <c r="AM458" s="18"/>
      <c r="AN458" s="18"/>
      <c r="AO458" s="18"/>
      <c r="AP458" s="18"/>
      <c r="AQ458" s="18"/>
      <c r="AR458" s="18"/>
      <c r="AS458" s="18"/>
      <c r="AT458" s="40"/>
      <c r="AU458" s="18"/>
      <c r="AV458" s="18"/>
      <c r="AW458" s="18"/>
      <c r="AX458" s="18"/>
    </row>
    <row r="459" spans="1:50" ht="18.75" customHeight="1" x14ac:dyDescent="0.2">
      <c r="AA459" s="16"/>
      <c r="AB459" s="29" t="s">
        <v>199</v>
      </c>
      <c r="AC459" s="17"/>
      <c r="AD459" s="18"/>
      <c r="AE459" s="34"/>
      <c r="AF459" s="34"/>
      <c r="AG459" s="34"/>
      <c r="AH459" s="34"/>
      <c r="AI459" s="34"/>
      <c r="AJ459" s="18"/>
      <c r="AK459" s="34"/>
      <c r="AL459" s="18"/>
      <c r="AM459" s="18"/>
      <c r="AN459" s="18"/>
      <c r="AO459" s="18"/>
      <c r="AP459" s="18"/>
      <c r="AQ459" s="18"/>
      <c r="AR459" s="18"/>
      <c r="AS459" s="18"/>
      <c r="AT459" s="40"/>
      <c r="AU459" s="18"/>
      <c r="AV459" s="18"/>
      <c r="AW459" s="18"/>
      <c r="AX459" s="18"/>
    </row>
    <row r="460" spans="1:50" ht="25.5" x14ac:dyDescent="0.2">
      <c r="AA460" s="28" t="s">
        <v>288</v>
      </c>
      <c r="AB460" s="29" t="s">
        <v>418</v>
      </c>
      <c r="AC460" s="17"/>
      <c r="AD460" s="18"/>
      <c r="AE460" s="34"/>
      <c r="AF460" s="34"/>
      <c r="AG460" s="34"/>
      <c r="AH460" s="34"/>
      <c r="AI460" s="34"/>
      <c r="AJ460" s="18"/>
      <c r="AK460" s="34"/>
      <c r="AL460" s="18"/>
      <c r="AM460" s="18"/>
      <c r="AN460" s="18"/>
      <c r="AO460" s="18"/>
      <c r="AP460" s="18"/>
      <c r="AQ460" s="18"/>
      <c r="AR460" s="18"/>
      <c r="AS460" s="18"/>
      <c r="AT460" s="40"/>
      <c r="AU460" s="18"/>
      <c r="AV460" s="18"/>
      <c r="AW460" s="18"/>
      <c r="AX460" s="18"/>
    </row>
    <row r="461" spans="1:50" ht="18.75" customHeight="1" x14ac:dyDescent="0.2">
      <c r="A461" s="4" t="s">
        <v>55</v>
      </c>
      <c r="B461" s="4" t="s">
        <v>56</v>
      </c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1" t="s">
        <v>419</v>
      </c>
      <c r="AB461" s="42" t="s">
        <v>233</v>
      </c>
      <c r="AC461" s="43" t="s">
        <v>58</v>
      </c>
      <c r="AD461" s="43">
        <v>2364833525</v>
      </c>
      <c r="AE461" s="44">
        <v>0</v>
      </c>
      <c r="AF461" s="44">
        <v>0</v>
      </c>
      <c r="AG461" s="44">
        <v>0</v>
      </c>
      <c r="AH461" s="18">
        <v>1500000000</v>
      </c>
      <c r="AI461" s="18">
        <f>AE461-AF461+AG461-AH461</f>
        <v>-1500000000</v>
      </c>
      <c r="AJ461" s="18">
        <f>AD461+AI461</f>
        <v>864833525</v>
      </c>
      <c r="AK461" s="44">
        <v>0</v>
      </c>
      <c r="AL461" s="44">
        <v>0</v>
      </c>
      <c r="AM461" s="43">
        <v>798113570</v>
      </c>
      <c r="AN461" s="44">
        <v>0</v>
      </c>
      <c r="AO461" s="44">
        <v>0</v>
      </c>
      <c r="AP461" s="43">
        <v>798113570</v>
      </c>
      <c r="AQ461" s="44">
        <v>0</v>
      </c>
      <c r="AR461" s="43">
        <v>293958556</v>
      </c>
      <c r="AS461" s="43">
        <v>293958556</v>
      </c>
      <c r="AT461" s="39">
        <f t="shared" ref="AT461:AT463" si="572">AQ461+AS461</f>
        <v>293958556</v>
      </c>
      <c r="AU461" s="18">
        <f t="shared" ref="AU461:AU463" si="573">AJ461-AM461</f>
        <v>66719955</v>
      </c>
      <c r="AV461" s="34">
        <f t="shared" ref="AV461:AV463" si="574">AM461-AP461</f>
        <v>0</v>
      </c>
      <c r="AW461" s="18">
        <f t="shared" ref="AW461:AW463" si="575">AP461-AT461</f>
        <v>504155014</v>
      </c>
      <c r="AX461" s="123">
        <f t="shared" ref="AX461:AX467" si="576">AP461/AJ461</f>
        <v>0.92285225645016478</v>
      </c>
    </row>
    <row r="462" spans="1:50" ht="18.75" customHeight="1" x14ac:dyDescent="0.2">
      <c r="A462" s="4" t="s">
        <v>55</v>
      </c>
      <c r="B462" s="4" t="s">
        <v>56</v>
      </c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1" t="s">
        <v>430</v>
      </c>
      <c r="AB462" s="42" t="s">
        <v>431</v>
      </c>
      <c r="AC462" s="43" t="s">
        <v>432</v>
      </c>
      <c r="AD462" s="43">
        <v>1269842288</v>
      </c>
      <c r="AE462" s="44">
        <v>0</v>
      </c>
      <c r="AF462" s="44">
        <v>0</v>
      </c>
      <c r="AG462" s="44">
        <v>0</v>
      </c>
      <c r="AH462" s="44">
        <v>0</v>
      </c>
      <c r="AI462" s="44">
        <v>0</v>
      </c>
      <c r="AJ462" s="43">
        <v>1269842288</v>
      </c>
      <c r="AK462" s="44">
        <v>0</v>
      </c>
      <c r="AL462" s="44">
        <v>0</v>
      </c>
      <c r="AM462" s="43">
        <v>1269842288</v>
      </c>
      <c r="AN462" s="44">
        <v>0</v>
      </c>
      <c r="AO462" s="44">
        <v>0</v>
      </c>
      <c r="AP462" s="43">
        <v>1269842288</v>
      </c>
      <c r="AQ462" s="43">
        <v>0</v>
      </c>
      <c r="AR462" s="43">
        <v>135116596</v>
      </c>
      <c r="AS462" s="43">
        <v>135116596</v>
      </c>
      <c r="AT462" s="39">
        <f t="shared" si="572"/>
        <v>135116596</v>
      </c>
      <c r="AU462" s="34">
        <f t="shared" si="573"/>
        <v>0</v>
      </c>
      <c r="AV462" s="34">
        <f t="shared" si="574"/>
        <v>0</v>
      </c>
      <c r="AW462" s="18">
        <f t="shared" si="575"/>
        <v>1134725692</v>
      </c>
      <c r="AX462" s="123">
        <f t="shared" si="576"/>
        <v>1</v>
      </c>
    </row>
    <row r="463" spans="1:50" ht="18.75" customHeight="1" x14ac:dyDescent="0.2">
      <c r="A463" s="4" t="s">
        <v>55</v>
      </c>
      <c r="B463" s="4" t="s">
        <v>56</v>
      </c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1" t="s">
        <v>433</v>
      </c>
      <c r="AB463" s="42" t="s">
        <v>434</v>
      </c>
      <c r="AC463" s="43" t="s">
        <v>428</v>
      </c>
      <c r="AD463" s="43">
        <v>1185147617</v>
      </c>
      <c r="AE463" s="44">
        <v>0</v>
      </c>
      <c r="AF463" s="44">
        <v>0</v>
      </c>
      <c r="AG463" s="44">
        <v>0</v>
      </c>
      <c r="AH463" s="44">
        <v>0</v>
      </c>
      <c r="AI463" s="44">
        <v>0</v>
      </c>
      <c r="AJ463" s="43">
        <v>1185147617</v>
      </c>
      <c r="AK463" s="44">
        <v>0</v>
      </c>
      <c r="AL463" s="44">
        <v>0</v>
      </c>
      <c r="AM463" s="43">
        <v>358822174</v>
      </c>
      <c r="AN463" s="44">
        <v>0</v>
      </c>
      <c r="AO463" s="44">
        <v>0</v>
      </c>
      <c r="AP463" s="43">
        <v>358822174</v>
      </c>
      <c r="AQ463" s="44">
        <v>0</v>
      </c>
      <c r="AR463" s="44">
        <v>0</v>
      </c>
      <c r="AS463" s="44">
        <v>0</v>
      </c>
      <c r="AT463" s="40">
        <f t="shared" si="572"/>
        <v>0</v>
      </c>
      <c r="AU463" s="18">
        <f t="shared" si="573"/>
        <v>826325443</v>
      </c>
      <c r="AV463" s="34">
        <f t="shared" si="574"/>
        <v>0</v>
      </c>
      <c r="AW463" s="18">
        <f t="shared" si="575"/>
        <v>358822174</v>
      </c>
      <c r="AX463" s="123">
        <f t="shared" si="576"/>
        <v>0.3027658064303394</v>
      </c>
    </row>
    <row r="464" spans="1:50" ht="25.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73" t="s">
        <v>288</v>
      </c>
      <c r="AB464" s="74" t="s">
        <v>959</v>
      </c>
      <c r="AC464" s="43"/>
      <c r="AD464" s="43"/>
      <c r="AE464" s="44"/>
      <c r="AF464" s="44"/>
      <c r="AG464" s="44"/>
      <c r="AH464" s="44"/>
      <c r="AI464" s="44"/>
      <c r="AJ464" s="43"/>
      <c r="AK464" s="44"/>
      <c r="AL464" s="44"/>
      <c r="AM464" s="44"/>
      <c r="AN464" s="44"/>
      <c r="AO464" s="44"/>
      <c r="AP464" s="44"/>
      <c r="AQ464" s="44"/>
      <c r="AR464" s="44"/>
      <c r="AS464" s="44"/>
      <c r="AT464" s="40"/>
      <c r="AU464" s="18"/>
      <c r="AV464" s="34"/>
      <c r="AW464" s="34"/>
      <c r="AX464" s="123"/>
    </row>
    <row r="465" spans="1:50" ht="18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160" t="s">
        <v>960</v>
      </c>
      <c r="AB465" s="42" t="s">
        <v>961</v>
      </c>
      <c r="AC465" s="43"/>
      <c r="AD465" s="44">
        <v>0</v>
      </c>
      <c r="AE465" s="44">
        <v>0</v>
      </c>
      <c r="AF465" s="44">
        <v>0</v>
      </c>
      <c r="AG465" s="43">
        <v>1500000000</v>
      </c>
      <c r="AH465" s="44"/>
      <c r="AI465" s="18">
        <f>AE465-AF465+AG465-AH465</f>
        <v>1500000000</v>
      </c>
      <c r="AJ465" s="18">
        <f>AD465+AI465</f>
        <v>1500000000</v>
      </c>
      <c r="AK465" s="44">
        <v>0</v>
      </c>
      <c r="AL465" s="44">
        <v>0</v>
      </c>
      <c r="AM465" s="44">
        <v>0</v>
      </c>
      <c r="AN465" s="44">
        <v>0</v>
      </c>
      <c r="AO465" s="44">
        <v>0</v>
      </c>
      <c r="AP465" s="44">
        <v>0</v>
      </c>
      <c r="AQ465" s="44">
        <v>0</v>
      </c>
      <c r="AR465" s="44">
        <v>0</v>
      </c>
      <c r="AS465" s="44">
        <v>0</v>
      </c>
      <c r="AT465" s="40">
        <f t="shared" ref="AT465" si="577">AQ465+AS465</f>
        <v>0</v>
      </c>
      <c r="AU465" s="18">
        <f t="shared" ref="AU465" si="578">AJ465-AM465</f>
        <v>1500000000</v>
      </c>
      <c r="AV465" s="34">
        <f t="shared" ref="AV465" si="579">AM465-AP465</f>
        <v>0</v>
      </c>
      <c r="AW465" s="18">
        <f t="shared" ref="AW465" si="580">AP465-AT465</f>
        <v>0</v>
      </c>
      <c r="AX465" s="123">
        <f t="shared" ref="AX465" si="581">AP465/AJ465</f>
        <v>0</v>
      </c>
    </row>
    <row r="466" spans="1:50" ht="18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159"/>
      <c r="AB466" s="42"/>
      <c r="AC466" s="43"/>
      <c r="AD466" s="43"/>
      <c r="AE466" s="44"/>
      <c r="AF466" s="44"/>
      <c r="AG466" s="43"/>
      <c r="AH466" s="44"/>
      <c r="AI466" s="18"/>
      <c r="AJ466" s="18"/>
      <c r="AK466" s="44"/>
      <c r="AL466" s="44"/>
      <c r="AM466" s="44"/>
      <c r="AN466" s="44"/>
      <c r="AO466" s="44"/>
      <c r="AP466" s="44"/>
      <c r="AQ466" s="44"/>
      <c r="AR466" s="44"/>
      <c r="AS466" s="44"/>
      <c r="AT466" s="40"/>
      <c r="AU466" s="18"/>
      <c r="AV466" s="34"/>
      <c r="AW466" s="34"/>
      <c r="AX466" s="123"/>
    </row>
    <row r="467" spans="1:50" s="50" customFormat="1" ht="18.75" customHeight="1" x14ac:dyDescent="0.2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6"/>
      <c r="AB467" s="47" t="s">
        <v>435</v>
      </c>
      <c r="AC467" s="48"/>
      <c r="AD467" s="48">
        <f t="shared" ref="AD467:AW467" si="582">SUM(AD229:AD465)</f>
        <v>301961738926</v>
      </c>
      <c r="AE467" s="48">
        <f t="shared" si="582"/>
        <v>2137085601</v>
      </c>
      <c r="AF467" s="48">
        <f t="shared" si="582"/>
        <v>0</v>
      </c>
      <c r="AG467" s="48">
        <f t="shared" si="582"/>
        <v>5925733957.25</v>
      </c>
      <c r="AH467" s="48">
        <f t="shared" si="582"/>
        <v>3925733957.25</v>
      </c>
      <c r="AI467" s="48">
        <f t="shared" si="582"/>
        <v>4137085601.000001</v>
      </c>
      <c r="AJ467" s="48">
        <f t="shared" si="582"/>
        <v>306098824527.00006</v>
      </c>
      <c r="AK467" s="49">
        <f t="shared" si="582"/>
        <v>0</v>
      </c>
      <c r="AL467" s="48">
        <f t="shared" si="582"/>
        <v>15669814168.360001</v>
      </c>
      <c r="AM467" s="48">
        <f t="shared" si="582"/>
        <v>121694009299.29999</v>
      </c>
      <c r="AN467" s="48">
        <f t="shared" si="582"/>
        <v>0</v>
      </c>
      <c r="AO467" s="48">
        <f t="shared" si="582"/>
        <v>18411380872.550003</v>
      </c>
      <c r="AP467" s="48">
        <f t="shared" si="582"/>
        <v>115863046015.63</v>
      </c>
      <c r="AQ467" s="48">
        <f t="shared" si="582"/>
        <v>1584713425</v>
      </c>
      <c r="AR467" s="48">
        <f t="shared" si="582"/>
        <v>29468643921</v>
      </c>
      <c r="AS467" s="48">
        <f t="shared" si="582"/>
        <v>61231859491.260002</v>
      </c>
      <c r="AT467" s="48">
        <f t="shared" si="582"/>
        <v>62816572916.260002</v>
      </c>
      <c r="AU467" s="48">
        <f t="shared" si="582"/>
        <v>184404815227.70001</v>
      </c>
      <c r="AV467" s="48">
        <f t="shared" si="582"/>
        <v>5830963283.6700001</v>
      </c>
      <c r="AW467" s="48">
        <f t="shared" si="582"/>
        <v>53046473099.370003</v>
      </c>
      <c r="AX467" s="24">
        <f t="shared" si="576"/>
        <v>0.37851516154845632</v>
      </c>
    </row>
    <row r="468" spans="1:50" ht="18.75" customHeight="1" x14ac:dyDescent="0.2">
      <c r="AA468" s="16"/>
      <c r="AB468" s="17"/>
      <c r="AC468" s="17"/>
      <c r="AD468" s="18"/>
      <c r="AE468" s="34"/>
      <c r="AF468" s="34"/>
      <c r="AG468" s="34"/>
      <c r="AH468" s="34"/>
      <c r="AI468" s="34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</row>
    <row r="469" spans="1:50" s="25" customFormat="1" ht="18.75" customHeight="1" x14ac:dyDescent="0.2"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66"/>
      <c r="AB469" s="21" t="s">
        <v>436</v>
      </c>
      <c r="AC469" s="67"/>
      <c r="AD469" s="63"/>
      <c r="AE469" s="72"/>
      <c r="AF469" s="72"/>
      <c r="AG469" s="72"/>
      <c r="AH469" s="72"/>
      <c r="AI469" s="72"/>
      <c r="AJ469" s="63"/>
      <c r="AK469" s="63"/>
      <c r="AL469" s="63"/>
      <c r="AM469" s="63"/>
      <c r="AN469" s="63"/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</row>
    <row r="470" spans="1:50" ht="18.75" customHeight="1" x14ac:dyDescent="0.2">
      <c r="AA470" s="16"/>
      <c r="AB470" s="29" t="s">
        <v>38</v>
      </c>
      <c r="AC470" s="17"/>
      <c r="AD470" s="18"/>
      <c r="AE470" s="34"/>
      <c r="AF470" s="34"/>
      <c r="AG470" s="34"/>
      <c r="AH470" s="34"/>
      <c r="AI470" s="34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</row>
    <row r="471" spans="1:50" ht="18.75" customHeight="1" x14ac:dyDescent="0.2">
      <c r="AA471" s="16"/>
      <c r="AB471" s="29" t="s">
        <v>285</v>
      </c>
      <c r="AC471" s="17"/>
      <c r="AD471" s="18"/>
      <c r="AE471" s="34"/>
      <c r="AF471" s="34"/>
      <c r="AG471" s="34"/>
      <c r="AH471" s="34"/>
      <c r="AI471" s="34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</row>
    <row r="472" spans="1:50" ht="18.75" customHeight="1" x14ac:dyDescent="0.2">
      <c r="AA472" s="16"/>
      <c r="AB472" s="29" t="s">
        <v>286</v>
      </c>
      <c r="AC472" s="17"/>
      <c r="AD472" s="18"/>
      <c r="AE472" s="34"/>
      <c r="AF472" s="34"/>
      <c r="AG472" s="34"/>
      <c r="AH472" s="34"/>
      <c r="AI472" s="34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</row>
    <row r="473" spans="1:50" ht="18.75" customHeight="1" x14ac:dyDescent="0.2">
      <c r="AA473" s="16"/>
      <c r="AB473" s="29" t="s">
        <v>179</v>
      </c>
      <c r="AC473" s="17"/>
      <c r="AD473" s="18"/>
      <c r="AE473" s="34"/>
      <c r="AF473" s="34"/>
      <c r="AG473" s="34"/>
      <c r="AH473" s="34"/>
      <c r="AI473" s="34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</row>
    <row r="474" spans="1:50" ht="18.75" customHeight="1" x14ac:dyDescent="0.2">
      <c r="AA474" s="16"/>
      <c r="AB474" s="29" t="s">
        <v>181</v>
      </c>
      <c r="AC474" s="17"/>
      <c r="AD474" s="18"/>
      <c r="AE474" s="34"/>
      <c r="AF474" s="34"/>
      <c r="AG474" s="34"/>
      <c r="AH474" s="34"/>
      <c r="AI474" s="34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</row>
    <row r="475" spans="1:50" ht="25.5" x14ac:dyDescent="0.2">
      <c r="AA475" s="16"/>
      <c r="AB475" s="29" t="s">
        <v>437</v>
      </c>
      <c r="AC475" s="17"/>
      <c r="AD475" s="18"/>
      <c r="AE475" s="34"/>
      <c r="AF475" s="34"/>
      <c r="AG475" s="34"/>
      <c r="AH475" s="34"/>
      <c r="AI475" s="34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</row>
    <row r="476" spans="1:50" s="150" customFormat="1" ht="18.75" customHeight="1" x14ac:dyDescent="0.2">
      <c r="A476" s="140" t="s">
        <v>55</v>
      </c>
      <c r="B476" s="140" t="s">
        <v>56</v>
      </c>
      <c r="C476" s="140"/>
      <c r="D476" s="140"/>
      <c r="E476" s="140"/>
      <c r="F476" s="140"/>
      <c r="G476" s="140"/>
      <c r="H476" s="140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X476" s="140"/>
      <c r="Y476" s="140"/>
      <c r="Z476" s="140"/>
      <c r="AA476" s="134" t="s">
        <v>438</v>
      </c>
      <c r="AB476" s="69" t="s">
        <v>439</v>
      </c>
      <c r="AC476" s="142" t="s">
        <v>428</v>
      </c>
      <c r="AD476" s="142">
        <v>43946996</v>
      </c>
      <c r="AE476" s="143">
        <v>0</v>
      </c>
      <c r="AF476" s="143">
        <v>0</v>
      </c>
      <c r="AG476" s="143">
        <v>0</v>
      </c>
      <c r="AH476" s="143">
        <v>0</v>
      </c>
      <c r="AI476" s="143">
        <v>0</v>
      </c>
      <c r="AJ476" s="142">
        <v>43946996</v>
      </c>
      <c r="AK476" s="142">
        <v>0</v>
      </c>
      <c r="AL476" s="142">
        <v>2006443</v>
      </c>
      <c r="AM476" s="142">
        <v>8629643</v>
      </c>
      <c r="AN476" s="143">
        <v>0</v>
      </c>
      <c r="AO476" s="143">
        <v>0</v>
      </c>
      <c r="AP476" s="143">
        <v>0</v>
      </c>
      <c r="AQ476" s="143">
        <v>0</v>
      </c>
      <c r="AR476" s="143">
        <v>0</v>
      </c>
      <c r="AS476" s="143">
        <v>0</v>
      </c>
      <c r="AT476" s="146">
        <f t="shared" ref="AT476" si="583">AQ476+AS476</f>
        <v>0</v>
      </c>
      <c r="AU476" s="147">
        <f>AJ476-AM476</f>
        <v>35317353</v>
      </c>
      <c r="AV476" s="147">
        <f t="shared" ref="AV476" si="584">AM476-AP476</f>
        <v>8629643</v>
      </c>
      <c r="AW476" s="145">
        <f t="shared" ref="AW476" si="585">AP476-AT476</f>
        <v>0</v>
      </c>
      <c r="AX476" s="149">
        <f t="shared" ref="AX476" si="586">AP476/AJ476</f>
        <v>0</v>
      </c>
    </row>
    <row r="477" spans="1:50" ht="43.5" customHeight="1" x14ac:dyDescent="0.2">
      <c r="AA477" s="28" t="s">
        <v>288</v>
      </c>
      <c r="AB477" s="29" t="s">
        <v>440</v>
      </c>
      <c r="AC477" s="17"/>
      <c r="AD477" s="18"/>
      <c r="AE477" s="34"/>
      <c r="AF477" s="34"/>
      <c r="AG477" s="34"/>
      <c r="AH477" s="34"/>
      <c r="AI477" s="34"/>
      <c r="AJ477" s="18"/>
      <c r="AK477" s="34"/>
      <c r="AL477" s="34"/>
      <c r="AM477" s="34"/>
      <c r="AN477" s="34"/>
      <c r="AO477" s="34"/>
      <c r="AP477" s="34"/>
      <c r="AQ477" s="34"/>
      <c r="AR477" s="34"/>
      <c r="AS477" s="34"/>
      <c r="AT477" s="40"/>
      <c r="AU477" s="18"/>
      <c r="AV477" s="18"/>
      <c r="AW477" s="18"/>
      <c r="AX477" s="18"/>
    </row>
    <row r="478" spans="1:50" ht="18.75" customHeight="1" x14ac:dyDescent="0.2">
      <c r="A478" s="4" t="s">
        <v>55</v>
      </c>
      <c r="B478" s="4" t="s">
        <v>56</v>
      </c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1" t="s">
        <v>441</v>
      </c>
      <c r="AB478" s="42" t="s">
        <v>439</v>
      </c>
      <c r="AC478" s="43" t="s">
        <v>428</v>
      </c>
      <c r="AD478" s="43">
        <v>3500000</v>
      </c>
      <c r="AE478" s="44">
        <v>0</v>
      </c>
      <c r="AF478" s="44">
        <v>0</v>
      </c>
      <c r="AG478" s="44">
        <v>0</v>
      </c>
      <c r="AH478" s="44">
        <v>0</v>
      </c>
      <c r="AI478" s="44">
        <v>0</v>
      </c>
      <c r="AJ478" s="43">
        <v>3500000</v>
      </c>
      <c r="AK478" s="44">
        <v>0</v>
      </c>
      <c r="AL478" s="44">
        <v>0</v>
      </c>
      <c r="AM478" s="44">
        <v>0</v>
      </c>
      <c r="AN478" s="44">
        <v>0</v>
      </c>
      <c r="AO478" s="44">
        <v>0</v>
      </c>
      <c r="AP478" s="44">
        <v>0</v>
      </c>
      <c r="AQ478" s="44">
        <v>0</v>
      </c>
      <c r="AR478" s="44">
        <v>0</v>
      </c>
      <c r="AS478" s="44">
        <v>0</v>
      </c>
      <c r="AT478" s="40">
        <f>AQ478+AS478</f>
        <v>0</v>
      </c>
      <c r="AU478" s="18">
        <f t="shared" ref="AU478" si="587">AJ478-AM478</f>
        <v>3500000</v>
      </c>
      <c r="AV478" s="34">
        <f t="shared" ref="AV478" si="588">AM478-AP478</f>
        <v>0</v>
      </c>
      <c r="AW478" s="34">
        <f t="shared" ref="AW478" si="589">AP478-AT478</f>
        <v>0</v>
      </c>
      <c r="AX478" s="123">
        <f t="shared" ref="AX478" si="590">AP478/AJ478</f>
        <v>0</v>
      </c>
    </row>
    <row r="479" spans="1:50" ht="18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73" t="s">
        <v>288</v>
      </c>
      <c r="AB479" s="74" t="s">
        <v>291</v>
      </c>
      <c r="AC479" s="43"/>
      <c r="AD479" s="43"/>
      <c r="AE479" s="44"/>
      <c r="AF479" s="44"/>
      <c r="AG479" s="44"/>
      <c r="AH479" s="44"/>
      <c r="AI479" s="44"/>
      <c r="AJ479" s="43"/>
      <c r="AK479" s="43"/>
      <c r="AL479" s="43"/>
      <c r="AM479" s="43"/>
      <c r="AN479" s="43"/>
      <c r="AO479" s="43"/>
      <c r="AP479" s="43"/>
      <c r="AQ479" s="44"/>
      <c r="AR479" s="44"/>
      <c r="AS479" s="44"/>
      <c r="AT479" s="40"/>
      <c r="AU479" s="43"/>
      <c r="AV479" s="44"/>
      <c r="AW479" s="44"/>
      <c r="AX479" s="43"/>
    </row>
    <row r="480" spans="1:50" ht="18.75" customHeight="1" x14ac:dyDescent="0.2">
      <c r="A480" s="4" t="s">
        <v>55</v>
      </c>
      <c r="B480" s="4" t="s">
        <v>56</v>
      </c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1" t="s">
        <v>442</v>
      </c>
      <c r="AB480" s="42" t="s">
        <v>439</v>
      </c>
      <c r="AC480" s="43" t="s">
        <v>428</v>
      </c>
      <c r="AD480" s="43">
        <v>105900000</v>
      </c>
      <c r="AE480" s="44">
        <v>0</v>
      </c>
      <c r="AF480" s="44">
        <v>0</v>
      </c>
      <c r="AG480" s="44">
        <v>0</v>
      </c>
      <c r="AH480" s="44">
        <v>0</v>
      </c>
      <c r="AI480" s="44">
        <v>0</v>
      </c>
      <c r="AJ480" s="43">
        <v>105900000</v>
      </c>
      <c r="AK480" s="44">
        <v>0</v>
      </c>
      <c r="AL480" s="43">
        <v>289520</v>
      </c>
      <c r="AM480" s="44">
        <v>289520</v>
      </c>
      <c r="AN480" s="43">
        <v>0</v>
      </c>
      <c r="AO480" s="43">
        <v>0</v>
      </c>
      <c r="AP480" s="43">
        <v>0</v>
      </c>
      <c r="AQ480" s="44">
        <v>0</v>
      </c>
      <c r="AR480" s="44">
        <v>0</v>
      </c>
      <c r="AS480" s="44">
        <v>0</v>
      </c>
      <c r="AT480" s="40">
        <f>AQ480+AS480</f>
        <v>0</v>
      </c>
      <c r="AU480" s="18">
        <f t="shared" ref="AU480" si="591">AJ480-AM480</f>
        <v>105610480</v>
      </c>
      <c r="AV480" s="34">
        <f t="shared" ref="AV480" si="592">AM480-AP480</f>
        <v>289520</v>
      </c>
      <c r="AW480" s="34">
        <f t="shared" ref="AW480" si="593">AP480-AT480</f>
        <v>0</v>
      </c>
      <c r="AX480" s="123">
        <f t="shared" ref="AX480" si="594">AP480/AJ480</f>
        <v>0</v>
      </c>
    </row>
    <row r="481" spans="1:50" ht="18.75" customHeight="1" x14ac:dyDescent="0.2">
      <c r="AA481" s="16"/>
      <c r="AB481" s="29" t="s">
        <v>189</v>
      </c>
      <c r="AC481" s="17"/>
      <c r="AD481" s="18"/>
      <c r="AE481" s="34"/>
      <c r="AF481" s="34"/>
      <c r="AG481" s="34"/>
      <c r="AH481" s="34"/>
      <c r="AI481" s="34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39"/>
      <c r="AU481" s="18"/>
      <c r="AV481" s="34"/>
      <c r="AW481" s="18"/>
      <c r="AX481" s="18"/>
    </row>
    <row r="482" spans="1:50" ht="18.75" customHeight="1" x14ac:dyDescent="0.2">
      <c r="AA482" s="16"/>
      <c r="AB482" s="29" t="s">
        <v>191</v>
      </c>
      <c r="AC482" s="17"/>
      <c r="AD482" s="18"/>
      <c r="AE482" s="34"/>
      <c r="AF482" s="34"/>
      <c r="AG482" s="34"/>
      <c r="AH482" s="34"/>
      <c r="AI482" s="34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39"/>
      <c r="AU482" s="18"/>
      <c r="AV482" s="34"/>
      <c r="AW482" s="18"/>
      <c r="AX482" s="18"/>
    </row>
    <row r="483" spans="1:50" ht="18.75" customHeight="1" x14ac:dyDescent="0.2">
      <c r="AA483" s="28" t="s">
        <v>288</v>
      </c>
      <c r="AB483" s="29" t="s">
        <v>443</v>
      </c>
      <c r="AC483" s="17"/>
      <c r="AD483" s="18"/>
      <c r="AE483" s="34"/>
      <c r="AF483" s="34"/>
      <c r="AG483" s="34"/>
      <c r="AH483" s="34"/>
      <c r="AI483" s="34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39"/>
      <c r="AU483" s="18"/>
      <c r="AV483" s="34"/>
      <c r="AW483" s="18"/>
      <c r="AX483" s="18"/>
    </row>
    <row r="484" spans="1:50" ht="18.75" customHeight="1" x14ac:dyDescent="0.2">
      <c r="A484" s="4" t="s">
        <v>55</v>
      </c>
      <c r="B484" s="4" t="s">
        <v>56</v>
      </c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1" t="s">
        <v>444</v>
      </c>
      <c r="AB484" s="42" t="s">
        <v>233</v>
      </c>
      <c r="AC484" s="43" t="s">
        <v>58</v>
      </c>
      <c r="AD484" s="43">
        <v>530557116</v>
      </c>
      <c r="AE484" s="44">
        <v>0</v>
      </c>
      <c r="AF484" s="44">
        <v>0</v>
      </c>
      <c r="AG484" s="44">
        <v>0</v>
      </c>
      <c r="AH484" s="44">
        <v>0</v>
      </c>
      <c r="AI484" s="44">
        <v>0</v>
      </c>
      <c r="AJ484" s="43">
        <v>530557116</v>
      </c>
      <c r="AK484" s="44">
        <v>0</v>
      </c>
      <c r="AL484" s="44">
        <v>0</v>
      </c>
      <c r="AM484" s="44">
        <v>0</v>
      </c>
      <c r="AN484" s="44">
        <v>0</v>
      </c>
      <c r="AO484" s="44">
        <v>0</v>
      </c>
      <c r="AP484" s="44">
        <v>0</v>
      </c>
      <c r="AQ484" s="44">
        <v>0</v>
      </c>
      <c r="AR484" s="44">
        <v>0</v>
      </c>
      <c r="AS484" s="44">
        <v>0</v>
      </c>
      <c r="AT484" s="40">
        <f>AQ484+AS484</f>
        <v>0</v>
      </c>
      <c r="AU484" s="18">
        <f t="shared" ref="AU484" si="595">AJ484-AM484</f>
        <v>530557116</v>
      </c>
      <c r="AV484" s="34">
        <f t="shared" ref="AV484" si="596">AM484-AP484</f>
        <v>0</v>
      </c>
      <c r="AW484" s="34">
        <f t="shared" ref="AW484" si="597">AP484-AT484</f>
        <v>0</v>
      </c>
      <c r="AX484" s="123">
        <f t="shared" ref="AX484" si="598">AP484/AJ484</f>
        <v>0</v>
      </c>
    </row>
    <row r="485" spans="1:50" ht="18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73" t="s">
        <v>288</v>
      </c>
      <c r="AB485" s="74" t="s">
        <v>362</v>
      </c>
      <c r="AC485" s="43"/>
      <c r="AD485" s="43"/>
      <c r="AE485" s="44"/>
      <c r="AF485" s="44"/>
      <c r="AG485" s="44"/>
      <c r="AH485" s="44"/>
      <c r="AI485" s="44"/>
      <c r="AJ485" s="43"/>
      <c r="AK485" s="44"/>
      <c r="AL485" s="44"/>
      <c r="AM485" s="44"/>
      <c r="AN485" s="44"/>
      <c r="AO485" s="44"/>
      <c r="AP485" s="44"/>
      <c r="AQ485" s="44"/>
      <c r="AR485" s="44"/>
      <c r="AS485" s="44"/>
      <c r="AT485" s="40"/>
      <c r="AU485" s="18"/>
      <c r="AV485" s="34"/>
      <c r="AW485" s="34"/>
      <c r="AX485" s="123"/>
    </row>
    <row r="486" spans="1:50" ht="18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1" t="s">
        <v>975</v>
      </c>
      <c r="AB486" s="42" t="s">
        <v>453</v>
      </c>
      <c r="AC486" s="43"/>
      <c r="AD486" s="43">
        <v>0</v>
      </c>
      <c r="AE486" s="44">
        <v>0</v>
      </c>
      <c r="AF486" s="44">
        <v>0</v>
      </c>
      <c r="AG486" s="43">
        <v>11046667966</v>
      </c>
      <c r="AH486" s="44"/>
      <c r="AI486" s="43">
        <f>AE486-AF486+AG486-AH486</f>
        <v>11046667966</v>
      </c>
      <c r="AJ486" s="43">
        <f>AD486+AI486</f>
        <v>11046667966</v>
      </c>
      <c r="AK486" s="43">
        <v>0</v>
      </c>
      <c r="AL486" s="43">
        <v>0</v>
      </c>
      <c r="AM486" s="43">
        <v>11035245074</v>
      </c>
      <c r="AN486" s="44">
        <v>0</v>
      </c>
      <c r="AO486" s="44">
        <v>0</v>
      </c>
      <c r="AP486" s="44">
        <v>0</v>
      </c>
      <c r="AQ486" s="44">
        <v>0</v>
      </c>
      <c r="AR486" s="44">
        <v>0</v>
      </c>
      <c r="AS486" s="44">
        <v>0</v>
      </c>
      <c r="AT486" s="40">
        <f>AQ486+AS486</f>
        <v>0</v>
      </c>
      <c r="AU486" s="18">
        <f t="shared" ref="AU486" si="599">AJ486-AM486</f>
        <v>11422892</v>
      </c>
      <c r="AV486" s="18">
        <f t="shared" ref="AV486" si="600">AM486-AP486</f>
        <v>11035245074</v>
      </c>
      <c r="AW486" s="34">
        <f t="shared" ref="AW486" si="601">AP486-AT486</f>
        <v>0</v>
      </c>
      <c r="AX486" s="123">
        <f t="shared" ref="AX486" si="602">AP486/AJ486</f>
        <v>0</v>
      </c>
    </row>
    <row r="487" spans="1:50" ht="18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73" t="s">
        <v>288</v>
      </c>
      <c r="AB487" s="74" t="s">
        <v>296</v>
      </c>
      <c r="AC487" s="43"/>
      <c r="AD487" s="43"/>
      <c r="AE487" s="44"/>
      <c r="AF487" s="44"/>
      <c r="AG487" s="44"/>
      <c r="AH487" s="44"/>
      <c r="AI487" s="44"/>
      <c r="AJ487" s="43"/>
      <c r="AK487" s="44"/>
      <c r="AL487" s="44"/>
      <c r="AM487" s="44"/>
      <c r="AN487" s="44"/>
      <c r="AO487" s="44"/>
      <c r="AP487" s="44"/>
      <c r="AQ487" s="44"/>
      <c r="AR487" s="44"/>
      <c r="AS487" s="44"/>
      <c r="AT487" s="40"/>
      <c r="AU487" s="18"/>
      <c r="AV487" s="34"/>
      <c r="AW487" s="34"/>
      <c r="AX487" s="123"/>
    </row>
    <row r="488" spans="1:50" ht="18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1" t="s">
        <v>973</v>
      </c>
      <c r="AB488" s="42" t="s">
        <v>453</v>
      </c>
      <c r="AC488" s="43"/>
      <c r="AD488" s="43">
        <v>0</v>
      </c>
      <c r="AE488" s="43">
        <v>11046667966</v>
      </c>
      <c r="AF488" s="44">
        <v>0</v>
      </c>
      <c r="AG488" s="44">
        <v>0</v>
      </c>
      <c r="AH488" s="43">
        <v>11046667966</v>
      </c>
      <c r="AI488" s="43">
        <f>AE488-AF488+AG488-AH488</f>
        <v>0</v>
      </c>
      <c r="AJ488" s="43">
        <f>AD488+AI488</f>
        <v>0</v>
      </c>
      <c r="AK488" s="44">
        <v>0</v>
      </c>
      <c r="AL488" s="44">
        <v>0</v>
      </c>
      <c r="AM488" s="44">
        <v>0</v>
      </c>
      <c r="AN488" s="44">
        <v>0</v>
      </c>
      <c r="AO488" s="44">
        <v>0</v>
      </c>
      <c r="AP488" s="44">
        <v>0</v>
      </c>
      <c r="AQ488" s="44">
        <v>0</v>
      </c>
      <c r="AR488" s="44">
        <v>0</v>
      </c>
      <c r="AS488" s="44">
        <v>0</v>
      </c>
      <c r="AT488" s="40">
        <f>AQ488+AS488</f>
        <v>0</v>
      </c>
      <c r="AU488" s="34">
        <f t="shared" ref="AU488" si="603">AJ488-AM488</f>
        <v>0</v>
      </c>
      <c r="AV488" s="34">
        <f t="shared" ref="AV488" si="604">AM488-AP488</f>
        <v>0</v>
      </c>
      <c r="AW488" s="34">
        <f t="shared" ref="AW488" si="605">AP488-AT488</f>
        <v>0</v>
      </c>
      <c r="AX488" s="123">
        <v>0</v>
      </c>
    </row>
    <row r="489" spans="1:50" ht="18.75" customHeight="1" x14ac:dyDescent="0.2">
      <c r="AA489" s="28" t="s">
        <v>288</v>
      </c>
      <c r="AB489" s="29" t="s">
        <v>445</v>
      </c>
      <c r="AC489" s="17"/>
      <c r="AD489" s="18"/>
      <c r="AE489" s="18"/>
      <c r="AF489" s="18"/>
      <c r="AG489" s="18"/>
      <c r="AH489" s="18"/>
      <c r="AI489" s="18"/>
      <c r="AJ489" s="18"/>
      <c r="AK489" s="34"/>
      <c r="AL489" s="34"/>
      <c r="AM489" s="34"/>
      <c r="AN489" s="34"/>
      <c r="AO489" s="34"/>
      <c r="AP489" s="34"/>
      <c r="AQ489" s="34"/>
      <c r="AR489" s="34"/>
      <c r="AS489" s="34"/>
      <c r="AT489" s="40"/>
      <c r="AU489" s="18"/>
      <c r="AV489" s="34"/>
      <c r="AW489" s="18"/>
      <c r="AX489" s="18"/>
    </row>
    <row r="490" spans="1:50" ht="18.75" customHeight="1" x14ac:dyDescent="0.2">
      <c r="A490" s="4" t="s">
        <v>55</v>
      </c>
      <c r="B490" s="4" t="s">
        <v>56</v>
      </c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1" t="s">
        <v>446</v>
      </c>
      <c r="AB490" s="42" t="s">
        <v>233</v>
      </c>
      <c r="AC490" s="43" t="s">
        <v>58</v>
      </c>
      <c r="AD490" s="43">
        <v>1315360000</v>
      </c>
      <c r="AE490" s="44">
        <v>0</v>
      </c>
      <c r="AF490" s="44">
        <v>0</v>
      </c>
      <c r="AG490" s="43">
        <v>24165016</v>
      </c>
      <c r="AH490" s="75">
        <v>0</v>
      </c>
      <c r="AI490" s="43">
        <f>AE490-AF490+AG490-AH490</f>
        <v>24165016</v>
      </c>
      <c r="AJ490" s="43">
        <f>AD490+AI490</f>
        <v>1339525016</v>
      </c>
      <c r="AK490" s="44">
        <v>0</v>
      </c>
      <c r="AL490" s="114">
        <v>0</v>
      </c>
      <c r="AM490" s="114">
        <v>5134940.1100000003</v>
      </c>
      <c r="AN490" s="44">
        <v>0</v>
      </c>
      <c r="AO490" s="114">
        <v>0</v>
      </c>
      <c r="AP490" s="114">
        <v>5134940.1100000003</v>
      </c>
      <c r="AQ490" s="44">
        <v>0</v>
      </c>
      <c r="AR490" s="114">
        <v>0</v>
      </c>
      <c r="AS490" s="114">
        <v>5134940.1100000003</v>
      </c>
      <c r="AT490" s="111">
        <f>AQ490+AS490</f>
        <v>5134940.1100000003</v>
      </c>
      <c r="AU490" s="18">
        <f>AJ490-AM490</f>
        <v>1334390075.8900001</v>
      </c>
      <c r="AV490" s="34">
        <f t="shared" ref="AV490" si="606">AM490-AP490</f>
        <v>0</v>
      </c>
      <c r="AW490" s="34">
        <f t="shared" ref="AW490" si="607">AP490-AT490</f>
        <v>0</v>
      </c>
      <c r="AX490" s="123">
        <f t="shared" ref="AX490" si="608">AP490/AJ490</f>
        <v>3.8334036682148836E-3</v>
      </c>
    </row>
    <row r="491" spans="1:50" ht="18.75" customHeight="1" x14ac:dyDescent="0.2">
      <c r="AA491" s="28" t="s">
        <v>288</v>
      </c>
      <c r="AB491" s="29" t="s">
        <v>447</v>
      </c>
      <c r="AC491" s="17"/>
      <c r="AD491" s="18"/>
      <c r="AE491" s="34"/>
      <c r="AF491" s="34"/>
      <c r="AG491" s="18"/>
      <c r="AH491" s="76"/>
      <c r="AI491" s="18"/>
      <c r="AJ491" s="18"/>
      <c r="AK491" s="34"/>
      <c r="AL491" s="34"/>
      <c r="AM491" s="34"/>
      <c r="AN491" s="34"/>
      <c r="AO491" s="34"/>
      <c r="AP491" s="34"/>
      <c r="AQ491" s="34"/>
      <c r="AR491" s="34"/>
      <c r="AS491" s="34"/>
      <c r="AT491" s="40"/>
      <c r="AU491" s="18"/>
      <c r="AV491" s="34"/>
      <c r="AW491" s="34"/>
      <c r="AX491" s="18"/>
    </row>
    <row r="492" spans="1:50" ht="18.75" customHeight="1" x14ac:dyDescent="0.2">
      <c r="A492" s="4" t="s">
        <v>55</v>
      </c>
      <c r="B492" s="4" t="s">
        <v>56</v>
      </c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1" t="s">
        <v>448</v>
      </c>
      <c r="AB492" s="42" t="s">
        <v>449</v>
      </c>
      <c r="AC492" s="43" t="s">
        <v>428</v>
      </c>
      <c r="AD492" s="43">
        <v>1568183063</v>
      </c>
      <c r="AE492" s="44">
        <v>0</v>
      </c>
      <c r="AF492" s="44">
        <v>0</v>
      </c>
      <c r="AG492" s="75">
        <v>0</v>
      </c>
      <c r="AH492" s="43">
        <v>1200000000</v>
      </c>
      <c r="AI492" s="43">
        <f>AE492-AF492+AG492-AH492</f>
        <v>-1200000000</v>
      </c>
      <c r="AJ492" s="43">
        <f>AD492+AI492</f>
        <v>368183063</v>
      </c>
      <c r="AK492" s="44">
        <v>0</v>
      </c>
      <c r="AL492" s="44">
        <v>0</v>
      </c>
      <c r="AM492" s="44">
        <v>0</v>
      </c>
      <c r="AN492" s="44">
        <v>0</v>
      </c>
      <c r="AO492" s="44">
        <v>0</v>
      </c>
      <c r="AP492" s="44">
        <v>0</v>
      </c>
      <c r="AQ492" s="44">
        <v>0</v>
      </c>
      <c r="AR492" s="44">
        <v>0</v>
      </c>
      <c r="AS492" s="44">
        <v>0</v>
      </c>
      <c r="AT492" s="40">
        <f t="shared" ref="AT492:AT552" si="609">AQ492+AS492</f>
        <v>0</v>
      </c>
      <c r="AU492" s="18">
        <f t="shared" ref="AU492:AU494" si="610">AJ492-AM492</f>
        <v>368183063</v>
      </c>
      <c r="AV492" s="34">
        <f t="shared" ref="AV492:AV494" si="611">AM492-AP492</f>
        <v>0</v>
      </c>
      <c r="AW492" s="34">
        <f t="shared" ref="AW492:AW494" si="612">AP492-AT492</f>
        <v>0</v>
      </c>
      <c r="AX492" s="123">
        <f t="shared" ref="AX492:AX494" si="613">AP492/AJ492</f>
        <v>0</v>
      </c>
    </row>
    <row r="493" spans="1:50" ht="18.75" customHeight="1" x14ac:dyDescent="0.2">
      <c r="A493" s="4" t="s">
        <v>55</v>
      </c>
      <c r="B493" s="4" t="s">
        <v>56</v>
      </c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1" t="s">
        <v>450</v>
      </c>
      <c r="AB493" s="42" t="s">
        <v>451</v>
      </c>
      <c r="AC493" s="43" t="s">
        <v>428</v>
      </c>
      <c r="AD493" s="43">
        <v>54121641</v>
      </c>
      <c r="AE493" s="44">
        <v>0</v>
      </c>
      <c r="AF493" s="44">
        <v>0</v>
      </c>
      <c r="AG493" s="75">
        <v>0</v>
      </c>
      <c r="AH493" s="75">
        <v>0</v>
      </c>
      <c r="AI493" s="44">
        <v>0</v>
      </c>
      <c r="AJ493" s="43">
        <v>54121641</v>
      </c>
      <c r="AK493" s="44">
        <v>0</v>
      </c>
      <c r="AL493" s="44">
        <v>0</v>
      </c>
      <c r="AM493" s="44">
        <v>0</v>
      </c>
      <c r="AN493" s="44">
        <v>0</v>
      </c>
      <c r="AO493" s="44">
        <v>0</v>
      </c>
      <c r="AP493" s="44">
        <v>0</v>
      </c>
      <c r="AQ493" s="44">
        <v>0</v>
      </c>
      <c r="AR493" s="44">
        <v>0</v>
      </c>
      <c r="AS493" s="44">
        <v>0</v>
      </c>
      <c r="AT493" s="40">
        <f t="shared" si="609"/>
        <v>0</v>
      </c>
      <c r="AU493" s="18">
        <f t="shared" si="610"/>
        <v>54121641</v>
      </c>
      <c r="AV493" s="34">
        <f t="shared" si="611"/>
        <v>0</v>
      </c>
      <c r="AW493" s="34">
        <f t="shared" si="612"/>
        <v>0</v>
      </c>
      <c r="AX493" s="123">
        <f t="shared" si="613"/>
        <v>0</v>
      </c>
    </row>
    <row r="494" spans="1:50" ht="18.75" customHeight="1" x14ac:dyDescent="0.2">
      <c r="A494" s="4" t="s">
        <v>55</v>
      </c>
      <c r="B494" s="4" t="s">
        <v>56</v>
      </c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1" t="s">
        <v>452</v>
      </c>
      <c r="AB494" s="42" t="s">
        <v>453</v>
      </c>
      <c r="AC494" s="43" t="s">
        <v>454</v>
      </c>
      <c r="AD494" s="43">
        <v>13500000000</v>
      </c>
      <c r="AE494" s="44">
        <v>0</v>
      </c>
      <c r="AF494" s="44">
        <v>0</v>
      </c>
      <c r="AG494" s="75">
        <v>0</v>
      </c>
      <c r="AH494" s="43">
        <v>10658999538</v>
      </c>
      <c r="AI494" s="43">
        <f>AE494-AF494+AG494-AH494</f>
        <v>-10658999538</v>
      </c>
      <c r="AJ494" s="43">
        <f>AD494+AI494</f>
        <v>2841000462</v>
      </c>
      <c r="AK494" s="44">
        <v>0</v>
      </c>
      <c r="AL494" s="44">
        <v>0</v>
      </c>
      <c r="AM494" s="44">
        <v>0</v>
      </c>
      <c r="AN494" s="44">
        <v>0</v>
      </c>
      <c r="AO494" s="44">
        <v>0</v>
      </c>
      <c r="AP494" s="44">
        <v>0</v>
      </c>
      <c r="AQ494" s="44">
        <v>0</v>
      </c>
      <c r="AR494" s="44">
        <v>0</v>
      </c>
      <c r="AS494" s="44">
        <v>0</v>
      </c>
      <c r="AT494" s="40">
        <f t="shared" si="609"/>
        <v>0</v>
      </c>
      <c r="AU494" s="18">
        <f t="shared" si="610"/>
        <v>2841000462</v>
      </c>
      <c r="AV494" s="34">
        <f t="shared" si="611"/>
        <v>0</v>
      </c>
      <c r="AW494" s="34">
        <f t="shared" si="612"/>
        <v>0</v>
      </c>
      <c r="AX494" s="123">
        <f t="shared" si="613"/>
        <v>0</v>
      </c>
    </row>
    <row r="495" spans="1:50" ht="18.75" customHeight="1" x14ac:dyDescent="0.2">
      <c r="AA495" s="28" t="s">
        <v>288</v>
      </c>
      <c r="AB495" s="29" t="s">
        <v>455</v>
      </c>
      <c r="AC495" s="17"/>
      <c r="AD495" s="18"/>
      <c r="AE495" s="34"/>
      <c r="AF495" s="34"/>
      <c r="AG495" s="76"/>
      <c r="AH495" s="18"/>
      <c r="AI495" s="18"/>
      <c r="AJ495" s="18"/>
      <c r="AK495" s="34"/>
      <c r="AL495" s="34"/>
      <c r="AM495" s="34"/>
      <c r="AN495" s="34"/>
      <c r="AO495" s="34"/>
      <c r="AP495" s="34"/>
      <c r="AQ495" s="34"/>
      <c r="AR495" s="34"/>
      <c r="AS495" s="34"/>
      <c r="AT495" s="40"/>
      <c r="AU495" s="18"/>
      <c r="AV495" s="34"/>
      <c r="AW495" s="34"/>
      <c r="AX495" s="18"/>
    </row>
    <row r="496" spans="1:50" ht="18.75" customHeight="1" x14ac:dyDescent="0.2">
      <c r="A496" s="4" t="s">
        <v>55</v>
      </c>
      <c r="B496" s="4" t="s">
        <v>56</v>
      </c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1" t="s">
        <v>456</v>
      </c>
      <c r="AB496" s="42" t="s">
        <v>233</v>
      </c>
      <c r="AC496" s="43" t="s">
        <v>58</v>
      </c>
      <c r="AD496" s="43">
        <v>1983597115.25</v>
      </c>
      <c r="AE496" s="44">
        <v>0</v>
      </c>
      <c r="AF496" s="44">
        <v>0</v>
      </c>
      <c r="AG496" s="43">
        <v>15401381</v>
      </c>
      <c r="AH496" s="44">
        <v>0</v>
      </c>
      <c r="AI496" s="43">
        <f>AE496-AF496+AG496-AH496</f>
        <v>15401381</v>
      </c>
      <c r="AJ496" s="43">
        <f>AD496+AI496</f>
        <v>1998998496.25</v>
      </c>
      <c r="AK496" s="44">
        <v>0</v>
      </c>
      <c r="AL496" s="44">
        <v>0</v>
      </c>
      <c r="AM496" s="44">
        <v>0</v>
      </c>
      <c r="AN496" s="44">
        <v>0</v>
      </c>
      <c r="AO496" s="44">
        <v>0</v>
      </c>
      <c r="AP496" s="44">
        <v>0</v>
      </c>
      <c r="AQ496" s="44">
        <v>0</v>
      </c>
      <c r="AR496" s="44">
        <v>0</v>
      </c>
      <c r="AS496" s="44">
        <v>0</v>
      </c>
      <c r="AT496" s="40">
        <f t="shared" si="609"/>
        <v>0</v>
      </c>
      <c r="AU496" s="18">
        <f t="shared" ref="AU496:AU497" si="614">AJ496-AM496</f>
        <v>1998998496.25</v>
      </c>
      <c r="AV496" s="34">
        <f t="shared" ref="AV496:AV497" si="615">AM496-AP496</f>
        <v>0</v>
      </c>
      <c r="AW496" s="34">
        <f t="shared" ref="AW496:AW497" si="616">AP496-AT496</f>
        <v>0</v>
      </c>
      <c r="AX496" s="123">
        <f t="shared" ref="AX496:AX497" si="617">AP496/AJ496</f>
        <v>0</v>
      </c>
    </row>
    <row r="497" spans="1:50" ht="18.75" customHeight="1" x14ac:dyDescent="0.2">
      <c r="A497" s="4" t="s">
        <v>55</v>
      </c>
      <c r="B497" s="4" t="s">
        <v>56</v>
      </c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1" t="s">
        <v>457</v>
      </c>
      <c r="AB497" s="42" t="s">
        <v>458</v>
      </c>
      <c r="AC497" s="43" t="s">
        <v>454</v>
      </c>
      <c r="AD497" s="43">
        <v>0</v>
      </c>
      <c r="AE497" s="44">
        <v>0</v>
      </c>
      <c r="AF497" s="44">
        <v>0</v>
      </c>
      <c r="AG497" s="43">
        <v>20296364215</v>
      </c>
      <c r="AH497" s="44">
        <v>0</v>
      </c>
      <c r="AI497" s="43">
        <f>AE497-AF497+AG497-AH497</f>
        <v>20296364215</v>
      </c>
      <c r="AJ497" s="43">
        <f>AD497+AI497</f>
        <v>20296364215</v>
      </c>
      <c r="AK497" s="44">
        <v>0</v>
      </c>
      <c r="AL497" s="44">
        <v>0</v>
      </c>
      <c r="AM497" s="43">
        <v>20296361142</v>
      </c>
      <c r="AN497" s="44">
        <v>0</v>
      </c>
      <c r="AO497" s="44">
        <v>0</v>
      </c>
      <c r="AP497" s="44">
        <v>0</v>
      </c>
      <c r="AQ497" s="44">
        <v>0</v>
      </c>
      <c r="AR497" s="44">
        <v>0</v>
      </c>
      <c r="AS497" s="44">
        <v>0</v>
      </c>
      <c r="AT497" s="40">
        <f t="shared" si="609"/>
        <v>0</v>
      </c>
      <c r="AU497" s="18">
        <f t="shared" si="614"/>
        <v>3073</v>
      </c>
      <c r="AV497" s="110">
        <f t="shared" si="615"/>
        <v>20296361142</v>
      </c>
      <c r="AW497" s="34">
        <f t="shared" si="616"/>
        <v>0</v>
      </c>
      <c r="AX497" s="123">
        <f t="shared" si="617"/>
        <v>0</v>
      </c>
    </row>
    <row r="498" spans="1:50" ht="18.75" customHeight="1" x14ac:dyDescent="0.2">
      <c r="AA498" s="28" t="s">
        <v>288</v>
      </c>
      <c r="AB498" s="29" t="s">
        <v>459</v>
      </c>
      <c r="AC498" s="17"/>
      <c r="AD498" s="18"/>
      <c r="AE498" s="34"/>
      <c r="AF498" s="34"/>
      <c r="AG498" s="18"/>
      <c r="AH498" s="34"/>
      <c r="AI498" s="18"/>
      <c r="AJ498" s="18"/>
      <c r="AK498" s="34"/>
      <c r="AL498" s="34"/>
      <c r="AM498" s="18"/>
      <c r="AN498" s="34"/>
      <c r="AO498" s="34"/>
      <c r="AP498" s="18"/>
      <c r="AQ498" s="34"/>
      <c r="AR498" s="34"/>
      <c r="AS498" s="34"/>
      <c r="AT498" s="40"/>
      <c r="AU498" s="18"/>
      <c r="AV498" s="18"/>
      <c r="AW498" s="18"/>
      <c r="AX498" s="18"/>
    </row>
    <row r="499" spans="1:50" ht="18.75" customHeight="1" x14ac:dyDescent="0.2">
      <c r="A499" s="4" t="s">
        <v>55</v>
      </c>
      <c r="B499" s="4" t="s">
        <v>56</v>
      </c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1" t="s">
        <v>460</v>
      </c>
      <c r="AB499" s="42" t="s">
        <v>233</v>
      </c>
      <c r="AC499" s="43" t="s">
        <v>58</v>
      </c>
      <c r="AD499" s="43">
        <v>867728401</v>
      </c>
      <c r="AE499" s="44">
        <v>0</v>
      </c>
      <c r="AF499" s="44">
        <v>0</v>
      </c>
      <c r="AG499" s="44">
        <v>0</v>
      </c>
      <c r="AH499" s="44">
        <v>0</v>
      </c>
      <c r="AI499" s="44">
        <v>0</v>
      </c>
      <c r="AJ499" s="43">
        <v>867728401</v>
      </c>
      <c r="AK499" s="44">
        <v>0</v>
      </c>
      <c r="AL499" s="44">
        <v>0</v>
      </c>
      <c r="AM499" s="43">
        <v>829015863.20000005</v>
      </c>
      <c r="AN499" s="44">
        <v>0</v>
      </c>
      <c r="AO499" s="44">
        <v>0</v>
      </c>
      <c r="AP499" s="43">
        <v>829015863.20000005</v>
      </c>
      <c r="AQ499" s="44">
        <v>0</v>
      </c>
      <c r="AR499" s="44">
        <v>0</v>
      </c>
      <c r="AS499" s="44">
        <v>0</v>
      </c>
      <c r="AT499" s="40">
        <f t="shared" si="609"/>
        <v>0</v>
      </c>
      <c r="AU499" s="18">
        <f t="shared" ref="AU499:AU500" si="618">AJ499-AM499</f>
        <v>38712537.799999952</v>
      </c>
      <c r="AV499" s="34">
        <f t="shared" ref="AV499:AV500" si="619">AM499-AP499</f>
        <v>0</v>
      </c>
      <c r="AW499" s="18">
        <f t="shared" ref="AW499:AW500" si="620">AP499-AT499</f>
        <v>829015863.20000005</v>
      </c>
      <c r="AX499" s="123">
        <f t="shared" ref="AX499:AX500" si="621">AP499/AJ499</f>
        <v>0.95538634236774289</v>
      </c>
    </row>
    <row r="500" spans="1:50" ht="18.75" customHeight="1" x14ac:dyDescent="0.2">
      <c r="A500" s="4" t="s">
        <v>55</v>
      </c>
      <c r="B500" s="4" t="s">
        <v>56</v>
      </c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1" t="s">
        <v>461</v>
      </c>
      <c r="AB500" s="42" t="s">
        <v>462</v>
      </c>
      <c r="AC500" s="43" t="s">
        <v>428</v>
      </c>
      <c r="AD500" s="43">
        <v>208691582</v>
      </c>
      <c r="AE500" s="44">
        <v>0</v>
      </c>
      <c r="AF500" s="44">
        <v>0</v>
      </c>
      <c r="AG500" s="44">
        <v>0</v>
      </c>
      <c r="AH500" s="44">
        <v>0</v>
      </c>
      <c r="AI500" s="44">
        <v>0</v>
      </c>
      <c r="AJ500" s="43">
        <v>208691582</v>
      </c>
      <c r="AK500" s="44">
        <v>0</v>
      </c>
      <c r="AL500" s="44">
        <v>0</v>
      </c>
      <c r="AM500" s="44">
        <v>0</v>
      </c>
      <c r="AN500" s="44">
        <v>0</v>
      </c>
      <c r="AO500" s="44">
        <v>0</v>
      </c>
      <c r="AP500" s="44">
        <v>0</v>
      </c>
      <c r="AQ500" s="44">
        <v>0</v>
      </c>
      <c r="AR500" s="44">
        <v>0</v>
      </c>
      <c r="AS500" s="44">
        <v>0</v>
      </c>
      <c r="AT500" s="40">
        <f t="shared" si="609"/>
        <v>0</v>
      </c>
      <c r="AU500" s="18">
        <f t="shared" si="618"/>
        <v>208691582</v>
      </c>
      <c r="AV500" s="34">
        <f t="shared" si="619"/>
        <v>0</v>
      </c>
      <c r="AW500" s="34">
        <f t="shared" si="620"/>
        <v>0</v>
      </c>
      <c r="AX500" s="123">
        <f t="shared" si="621"/>
        <v>0</v>
      </c>
    </row>
    <row r="501" spans="1:50" ht="18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73" t="s">
        <v>288</v>
      </c>
      <c r="AB501" s="74" t="s">
        <v>463</v>
      </c>
      <c r="AC501" s="43"/>
      <c r="AD501" s="43"/>
      <c r="AE501" s="44"/>
      <c r="AF501" s="44"/>
      <c r="AG501" s="43"/>
      <c r="AH501" s="44"/>
      <c r="AI501" s="43"/>
      <c r="AJ501" s="43"/>
      <c r="AK501" s="44"/>
      <c r="AL501" s="44"/>
      <c r="AM501" s="44"/>
      <c r="AN501" s="44"/>
      <c r="AO501" s="44"/>
      <c r="AP501" s="44"/>
      <c r="AQ501" s="44"/>
      <c r="AR501" s="44"/>
      <c r="AS501" s="44"/>
      <c r="AT501" s="40"/>
      <c r="AU501" s="43"/>
      <c r="AV501" s="44"/>
      <c r="AW501" s="44"/>
      <c r="AX501" s="43"/>
    </row>
    <row r="502" spans="1:50" ht="18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134" t="s">
        <v>464</v>
      </c>
      <c r="AB502" s="17" t="s">
        <v>458</v>
      </c>
      <c r="AC502" s="43"/>
      <c r="AD502" s="44">
        <v>0</v>
      </c>
      <c r="AE502" s="44">
        <v>0</v>
      </c>
      <c r="AF502" s="44">
        <v>0</v>
      </c>
      <c r="AG502" s="43">
        <v>1555449996</v>
      </c>
      <c r="AH502" s="44">
        <v>0</v>
      </c>
      <c r="AI502" s="43">
        <f>AE502-AF502+AG502-AH502</f>
        <v>1555449996</v>
      </c>
      <c r="AJ502" s="43">
        <f>AD502+AI502</f>
        <v>1555449996</v>
      </c>
      <c r="AK502" s="44">
        <v>0</v>
      </c>
      <c r="AL502" s="44">
        <v>0</v>
      </c>
      <c r="AM502" s="44">
        <v>0</v>
      </c>
      <c r="AN502" s="44">
        <v>0</v>
      </c>
      <c r="AO502" s="44">
        <v>0</v>
      </c>
      <c r="AP502" s="44">
        <v>0</v>
      </c>
      <c r="AQ502" s="44">
        <v>0</v>
      </c>
      <c r="AR502" s="44">
        <v>0</v>
      </c>
      <c r="AS502" s="44">
        <v>0</v>
      </c>
      <c r="AT502" s="40">
        <f>AQ502+AS502</f>
        <v>0</v>
      </c>
      <c r="AU502" s="18">
        <f t="shared" ref="AU502" si="622">AJ502-AM502</f>
        <v>1555449996</v>
      </c>
      <c r="AV502" s="34">
        <f t="shared" ref="AV502" si="623">AM502-AP502</f>
        <v>0</v>
      </c>
      <c r="AW502" s="34">
        <f t="shared" ref="AW502" si="624">AP502-AT502</f>
        <v>0</v>
      </c>
      <c r="AX502" s="123">
        <f t="shared" ref="AX502" si="625">AP502/AJ502</f>
        <v>0</v>
      </c>
    </row>
    <row r="503" spans="1:50" ht="18.75" customHeight="1" x14ac:dyDescent="0.2">
      <c r="AA503" s="28" t="s">
        <v>288</v>
      </c>
      <c r="AB503" s="29" t="s">
        <v>465</v>
      </c>
      <c r="AC503" s="17"/>
      <c r="AD503" s="18"/>
      <c r="AE503" s="34"/>
      <c r="AF503" s="34"/>
      <c r="AG503" s="18"/>
      <c r="AH503" s="34"/>
      <c r="AI503" s="18"/>
      <c r="AJ503" s="18"/>
      <c r="AK503" s="34"/>
      <c r="AL503" s="34"/>
      <c r="AM503" s="34"/>
      <c r="AN503" s="34"/>
      <c r="AO503" s="34"/>
      <c r="AP503" s="34"/>
      <c r="AQ503" s="34"/>
      <c r="AR503" s="34"/>
      <c r="AS503" s="34"/>
      <c r="AT503" s="40"/>
      <c r="AU503" s="18"/>
      <c r="AV503" s="34"/>
      <c r="AW503" s="34"/>
      <c r="AX503" s="18"/>
    </row>
    <row r="504" spans="1:50" ht="18.75" customHeight="1" x14ac:dyDescent="0.2">
      <c r="A504" s="4" t="s">
        <v>55</v>
      </c>
      <c r="B504" s="4" t="s">
        <v>56</v>
      </c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1" t="s">
        <v>466</v>
      </c>
      <c r="AB504" s="42" t="s">
        <v>233</v>
      </c>
      <c r="AC504" s="43" t="s">
        <v>58</v>
      </c>
      <c r="AD504" s="44">
        <v>0</v>
      </c>
      <c r="AE504" s="44">
        <v>0</v>
      </c>
      <c r="AF504" s="44">
        <v>0</v>
      </c>
      <c r="AG504" s="43">
        <v>95000000</v>
      </c>
      <c r="AH504" s="44">
        <v>0</v>
      </c>
      <c r="AI504" s="43">
        <f>AE504-AF504+AG504-AH504</f>
        <v>95000000</v>
      </c>
      <c r="AJ504" s="43">
        <f>AD504+AI504</f>
        <v>95000000</v>
      </c>
      <c r="AK504" s="44">
        <v>0</v>
      </c>
      <c r="AL504" s="115">
        <v>0</v>
      </c>
      <c r="AM504" s="114">
        <v>94976390.849999994</v>
      </c>
      <c r="AN504" s="44">
        <v>0</v>
      </c>
      <c r="AO504" s="114">
        <v>0</v>
      </c>
      <c r="AP504" s="114">
        <v>94976390.849999994</v>
      </c>
      <c r="AQ504" s="44">
        <v>0</v>
      </c>
      <c r="AR504" s="44">
        <v>0</v>
      </c>
      <c r="AS504" s="44">
        <v>0</v>
      </c>
      <c r="AT504" s="40">
        <f>AQ504+AS504</f>
        <v>0</v>
      </c>
      <c r="AU504" s="18">
        <f t="shared" ref="AU504" si="626">AJ504-AM504</f>
        <v>23609.15000000596</v>
      </c>
      <c r="AV504" s="34">
        <f t="shared" ref="AV504" si="627">AM504-AP504</f>
        <v>0</v>
      </c>
      <c r="AW504" s="110">
        <f t="shared" ref="AW504" si="628">AP504-AT504</f>
        <v>94976390.849999994</v>
      </c>
      <c r="AX504" s="123">
        <f t="shared" ref="AX504" si="629">AP504/AJ504</f>
        <v>0.99975148263157887</v>
      </c>
    </row>
    <row r="505" spans="1:50" ht="18.75" customHeight="1" x14ac:dyDescent="0.2">
      <c r="AA505" s="16"/>
      <c r="AB505" s="29" t="s">
        <v>467</v>
      </c>
      <c r="AC505" s="17"/>
      <c r="AD505" s="34"/>
      <c r="AE505" s="34"/>
      <c r="AF505" s="34"/>
      <c r="AG505" s="18"/>
      <c r="AH505" s="34"/>
      <c r="AI505" s="18"/>
      <c r="AJ505" s="18"/>
      <c r="AK505" s="34"/>
      <c r="AL505" s="34"/>
      <c r="AM505" s="34"/>
      <c r="AN505" s="34"/>
      <c r="AO505" s="34"/>
      <c r="AP505" s="34"/>
      <c r="AQ505" s="34"/>
      <c r="AR505" s="34"/>
      <c r="AS505" s="34"/>
      <c r="AT505" s="40"/>
      <c r="AU505" s="18"/>
      <c r="AV505" s="34"/>
      <c r="AW505" s="34"/>
      <c r="AX505" s="18"/>
    </row>
    <row r="506" spans="1:50" ht="18.75" customHeight="1" x14ac:dyDescent="0.2">
      <c r="A506" s="4" t="s">
        <v>55</v>
      </c>
      <c r="B506" s="4" t="s">
        <v>56</v>
      </c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1" t="s">
        <v>468</v>
      </c>
      <c r="AB506" s="42" t="s">
        <v>458</v>
      </c>
      <c r="AC506" s="43" t="s">
        <v>454</v>
      </c>
      <c r="AD506" s="44">
        <v>0</v>
      </c>
      <c r="AE506" s="44">
        <v>0</v>
      </c>
      <c r="AF506" s="44">
        <v>0</v>
      </c>
      <c r="AG506" s="43">
        <v>1331864802</v>
      </c>
      <c r="AH506" s="44">
        <v>0</v>
      </c>
      <c r="AI506" s="43">
        <f>AE506-AF506+AG506-AH506</f>
        <v>1331864802</v>
      </c>
      <c r="AJ506" s="43">
        <f>AD506+AI506</f>
        <v>1331864802</v>
      </c>
      <c r="AK506" s="44">
        <v>0</v>
      </c>
      <c r="AL506" s="44">
        <v>0</v>
      </c>
      <c r="AM506" s="43">
        <v>1234550713.8599999</v>
      </c>
      <c r="AN506" s="44">
        <v>0</v>
      </c>
      <c r="AO506" s="44">
        <v>0</v>
      </c>
      <c r="AP506" s="44">
        <v>0</v>
      </c>
      <c r="AQ506" s="44">
        <v>0</v>
      </c>
      <c r="AR506" s="44">
        <v>0</v>
      </c>
      <c r="AS506" s="44">
        <v>0</v>
      </c>
      <c r="AT506" s="40">
        <f>AQ506+AS506</f>
        <v>0</v>
      </c>
      <c r="AU506" s="18">
        <f t="shared" ref="AU506" si="630">AJ506-AM506</f>
        <v>97314088.140000105</v>
      </c>
      <c r="AV506" s="18">
        <f t="shared" ref="AV506" si="631">AM506-AP506</f>
        <v>1234550713.8599999</v>
      </c>
      <c r="AW506" s="34">
        <f t="shared" ref="AW506" si="632">AP506-AT506</f>
        <v>0</v>
      </c>
      <c r="AX506" s="123">
        <f t="shared" ref="AX506" si="633">AP506/AJ506</f>
        <v>0</v>
      </c>
    </row>
    <row r="507" spans="1:50" ht="18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170" t="s">
        <v>288</v>
      </c>
      <c r="AB507" s="170" t="s">
        <v>970</v>
      </c>
      <c r="AC507" s="168"/>
      <c r="AD507" s="44"/>
      <c r="AE507" s="44"/>
      <c r="AF507" s="44"/>
      <c r="AG507" s="43"/>
      <c r="AH507" s="44"/>
      <c r="AI507" s="43"/>
      <c r="AJ507" s="43"/>
      <c r="AK507" s="44"/>
      <c r="AL507" s="44"/>
      <c r="AM507" s="44"/>
      <c r="AN507" s="44"/>
      <c r="AO507" s="44"/>
      <c r="AP507" s="44"/>
      <c r="AQ507" s="44"/>
      <c r="AR507" s="44"/>
      <c r="AS507" s="44"/>
      <c r="AT507" s="40"/>
      <c r="AU507" s="18"/>
      <c r="AV507" s="34"/>
      <c r="AW507" s="34"/>
      <c r="AX507" s="123"/>
    </row>
    <row r="508" spans="1:50" ht="18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166" t="s">
        <v>969</v>
      </c>
      <c r="AB508" s="166" t="s">
        <v>233</v>
      </c>
      <c r="AC508" s="168"/>
      <c r="AD508" s="44">
        <v>0</v>
      </c>
      <c r="AE508" s="44">
        <v>0</v>
      </c>
      <c r="AF508" s="44">
        <v>0</v>
      </c>
      <c r="AG508" s="43">
        <v>138279379</v>
      </c>
      <c r="AH508" s="44"/>
      <c r="AI508" s="43">
        <f>AE508-AF508+AG508-AH508</f>
        <v>138279379</v>
      </c>
      <c r="AJ508" s="43">
        <f>AD508+AI508</f>
        <v>138279379</v>
      </c>
      <c r="AK508" s="43">
        <v>0</v>
      </c>
      <c r="AL508" s="43">
        <f>AM508-'MARZO '!AM503</f>
        <v>133285804.41</v>
      </c>
      <c r="AM508" s="43">
        <v>133285804.41</v>
      </c>
      <c r="AN508" s="44">
        <v>0</v>
      </c>
      <c r="AO508" s="44">
        <v>0</v>
      </c>
      <c r="AP508" s="44">
        <v>0</v>
      </c>
      <c r="AQ508" s="44">
        <v>0</v>
      </c>
      <c r="AR508" s="44">
        <v>0</v>
      </c>
      <c r="AS508" s="44">
        <v>0</v>
      </c>
      <c r="AT508" s="40">
        <f>AQ508+AS508</f>
        <v>0</v>
      </c>
      <c r="AU508" s="18">
        <f t="shared" ref="AU508" si="634">AJ508-AM508</f>
        <v>4993574.5900000036</v>
      </c>
      <c r="AV508" s="18">
        <f t="shared" ref="AV508" si="635">AM508-AP508</f>
        <v>133285804.41</v>
      </c>
      <c r="AW508" s="34">
        <f t="shared" ref="AW508" si="636">AP508-AT508</f>
        <v>0</v>
      </c>
      <c r="AX508" s="123">
        <f t="shared" ref="AX508" si="637">AP508/AJ508</f>
        <v>0</v>
      </c>
    </row>
    <row r="509" spans="1:50" ht="18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171" t="s">
        <v>288</v>
      </c>
      <c r="AB509" s="171" t="s">
        <v>971</v>
      </c>
      <c r="AC509" s="168"/>
      <c r="AD509" s="44"/>
      <c r="AE509" s="44"/>
      <c r="AF509" s="44"/>
      <c r="AG509" s="43"/>
      <c r="AH509" s="44"/>
      <c r="AI509" s="43"/>
      <c r="AJ509" s="43"/>
      <c r="AK509" s="44"/>
      <c r="AL509" s="44"/>
      <c r="AM509" s="44"/>
      <c r="AN509" s="44"/>
      <c r="AO509" s="44"/>
      <c r="AP509" s="44"/>
      <c r="AQ509" s="44"/>
      <c r="AR509" s="44"/>
      <c r="AS509" s="44"/>
      <c r="AT509" s="40"/>
      <c r="AU509" s="18"/>
      <c r="AV509" s="34"/>
      <c r="AW509" s="34"/>
      <c r="AX509" s="123"/>
    </row>
    <row r="510" spans="1:50" ht="18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166" t="s">
        <v>968</v>
      </c>
      <c r="AB510" s="166" t="s">
        <v>233</v>
      </c>
      <c r="AC510" s="168"/>
      <c r="AD510" s="44">
        <v>0</v>
      </c>
      <c r="AE510" s="44">
        <v>0</v>
      </c>
      <c r="AF510" s="44">
        <v>0</v>
      </c>
      <c r="AG510" s="43">
        <v>610000000</v>
      </c>
      <c r="AH510" s="44"/>
      <c r="AI510" s="43">
        <f>AE510-AF510+AG510-AH510</f>
        <v>610000000</v>
      </c>
      <c r="AJ510" s="43">
        <f>AD510+AI510</f>
        <v>610000000</v>
      </c>
      <c r="AK510" s="44">
        <v>0</v>
      </c>
      <c r="AL510" s="43">
        <v>311711449.05000001</v>
      </c>
      <c r="AM510" s="43">
        <v>311711449.05000001</v>
      </c>
      <c r="AN510" s="44">
        <v>0</v>
      </c>
      <c r="AO510" s="44">
        <v>0</v>
      </c>
      <c r="AP510" s="44">
        <v>0</v>
      </c>
      <c r="AQ510" s="44">
        <v>0</v>
      </c>
      <c r="AR510" s="44">
        <v>0</v>
      </c>
      <c r="AS510" s="44">
        <v>0</v>
      </c>
      <c r="AT510" s="40">
        <f>AQ510+AS510</f>
        <v>0</v>
      </c>
      <c r="AU510" s="18">
        <f t="shared" ref="AU510" si="638">AJ510-AM510</f>
        <v>298288550.94999999</v>
      </c>
      <c r="AV510" s="18">
        <f t="shared" ref="AV510" si="639">AM510-AP510</f>
        <v>311711449.05000001</v>
      </c>
      <c r="AW510" s="34">
        <f t="shared" ref="AW510" si="640">AP510-AT510</f>
        <v>0</v>
      </c>
      <c r="AX510" s="123">
        <f t="shared" ref="AX510" si="641">AP510/AJ510</f>
        <v>0</v>
      </c>
    </row>
    <row r="511" spans="1:50" ht="18.75" customHeight="1" x14ac:dyDescent="0.2">
      <c r="AA511" s="169" t="s">
        <v>288</v>
      </c>
      <c r="AB511" s="163" t="s">
        <v>469</v>
      </c>
      <c r="AC511" s="17"/>
      <c r="AD511" s="18"/>
      <c r="AE511" s="18"/>
      <c r="AF511" s="18"/>
      <c r="AG511" s="18"/>
      <c r="AH511" s="34"/>
      <c r="AI511" s="18"/>
      <c r="AJ511" s="18"/>
      <c r="AK511" s="34"/>
      <c r="AL511" s="34"/>
      <c r="AM511" s="34"/>
      <c r="AN511" s="34"/>
      <c r="AO511" s="34"/>
      <c r="AP511" s="34"/>
      <c r="AQ511" s="34"/>
      <c r="AR511" s="34"/>
      <c r="AS511" s="34"/>
      <c r="AT511" s="40"/>
      <c r="AU511" s="18"/>
      <c r="AV511" s="34"/>
      <c r="AW511" s="18"/>
      <c r="AX511" s="18"/>
    </row>
    <row r="512" spans="1:50" ht="18.75" customHeight="1" x14ac:dyDescent="0.2">
      <c r="A512" s="4" t="s">
        <v>55</v>
      </c>
      <c r="B512" s="4" t="s">
        <v>56</v>
      </c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1" t="s">
        <v>470</v>
      </c>
      <c r="AB512" s="42" t="s">
        <v>233</v>
      </c>
      <c r="AC512" s="43" t="s">
        <v>58</v>
      </c>
      <c r="AD512" s="43">
        <v>128000000</v>
      </c>
      <c r="AE512" s="44">
        <v>0</v>
      </c>
      <c r="AF512" s="44">
        <v>0</v>
      </c>
      <c r="AG512" s="44">
        <v>0</v>
      </c>
      <c r="AH512" s="44">
        <v>0</v>
      </c>
      <c r="AI512" s="44">
        <v>0</v>
      </c>
      <c r="AJ512" s="43">
        <v>128000000</v>
      </c>
      <c r="AK512" s="44">
        <v>0</v>
      </c>
      <c r="AL512" s="44">
        <v>0</v>
      </c>
      <c r="AM512" s="44">
        <v>0</v>
      </c>
      <c r="AN512" s="44">
        <v>0</v>
      </c>
      <c r="AO512" s="44">
        <v>0</v>
      </c>
      <c r="AP512" s="44">
        <v>0</v>
      </c>
      <c r="AQ512" s="44">
        <v>0</v>
      </c>
      <c r="AR512" s="44">
        <v>0</v>
      </c>
      <c r="AS512" s="44">
        <v>0</v>
      </c>
      <c r="AT512" s="40">
        <f>AQ512+AS512</f>
        <v>0</v>
      </c>
      <c r="AU512" s="18">
        <f t="shared" ref="AU512" si="642">AJ512-AM512</f>
        <v>128000000</v>
      </c>
      <c r="AV512" s="34">
        <f t="shared" ref="AV512" si="643">AM512-AP512</f>
        <v>0</v>
      </c>
      <c r="AW512" s="34">
        <f t="shared" ref="AW512" si="644">AP512-AT512</f>
        <v>0</v>
      </c>
      <c r="AX512" s="123">
        <f t="shared" ref="AX512" si="645">AP512/AJ512</f>
        <v>0</v>
      </c>
    </row>
    <row r="513" spans="1:50" ht="18.75" customHeight="1" x14ac:dyDescent="0.2">
      <c r="AA513" s="28" t="s">
        <v>288</v>
      </c>
      <c r="AB513" s="29" t="s">
        <v>471</v>
      </c>
      <c r="AC513" s="17"/>
      <c r="AD513" s="18"/>
      <c r="AE513" s="34"/>
      <c r="AF513" s="34"/>
      <c r="AG513" s="34"/>
      <c r="AH513" s="18"/>
      <c r="AI513" s="18"/>
      <c r="AJ513" s="18"/>
      <c r="AK513" s="34"/>
      <c r="AL513" s="34"/>
      <c r="AM513" s="34"/>
      <c r="AN513" s="34"/>
      <c r="AO513" s="34"/>
      <c r="AP513" s="34"/>
      <c r="AQ513" s="34"/>
      <c r="AR513" s="34"/>
      <c r="AS513" s="34"/>
      <c r="AT513" s="40"/>
      <c r="AU513" s="18"/>
      <c r="AV513" s="34"/>
      <c r="AW513" s="34"/>
      <c r="AX513" s="18"/>
    </row>
    <row r="514" spans="1:50" ht="18.75" customHeight="1" x14ac:dyDescent="0.2">
      <c r="A514" s="4" t="s">
        <v>55</v>
      </c>
      <c r="B514" s="4" t="s">
        <v>56</v>
      </c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1" t="s">
        <v>472</v>
      </c>
      <c r="AB514" s="42" t="s">
        <v>453</v>
      </c>
      <c r="AC514" s="43" t="s">
        <v>454</v>
      </c>
      <c r="AD514" s="43">
        <v>16500000000</v>
      </c>
      <c r="AE514" s="44">
        <v>0</v>
      </c>
      <c r="AF514" s="44">
        <v>0</v>
      </c>
      <c r="AG514" s="44">
        <v>0</v>
      </c>
      <c r="AH514" s="43">
        <v>16500000000</v>
      </c>
      <c r="AI514" s="43">
        <f>AE514-AF514+AG514-AH514</f>
        <v>-16500000000</v>
      </c>
      <c r="AJ514" s="44">
        <f>AD514+AI514</f>
        <v>0</v>
      </c>
      <c r="AK514" s="44">
        <v>0</v>
      </c>
      <c r="AL514" s="44">
        <v>0</v>
      </c>
      <c r="AM514" s="44">
        <v>0</v>
      </c>
      <c r="AN514" s="44">
        <v>0</v>
      </c>
      <c r="AO514" s="44">
        <v>0</v>
      </c>
      <c r="AP514" s="44">
        <v>0</v>
      </c>
      <c r="AQ514" s="44">
        <v>0</v>
      </c>
      <c r="AR514" s="44">
        <v>0</v>
      </c>
      <c r="AS514" s="44">
        <v>0</v>
      </c>
      <c r="AT514" s="40">
        <f>AQ514+AS514</f>
        <v>0</v>
      </c>
      <c r="AU514" s="34">
        <f t="shared" ref="AU514" si="646">AJ514-AM514</f>
        <v>0</v>
      </c>
      <c r="AV514" s="34">
        <f t="shared" ref="AV514" si="647">AM514-AP514</f>
        <v>0</v>
      </c>
      <c r="AW514" s="34">
        <f t="shared" ref="AW514" si="648">AP514-AT514</f>
        <v>0</v>
      </c>
      <c r="AX514" s="123">
        <v>0</v>
      </c>
    </row>
    <row r="515" spans="1:50" x14ac:dyDescent="0.2">
      <c r="AA515" s="28" t="s">
        <v>288</v>
      </c>
      <c r="AB515" s="29" t="s">
        <v>473</v>
      </c>
      <c r="AC515" s="17"/>
      <c r="AD515" s="18"/>
      <c r="AE515" s="18"/>
      <c r="AF515" s="18"/>
      <c r="AG515" s="18"/>
      <c r="AH515" s="18"/>
      <c r="AI515" s="18"/>
      <c r="AJ515" s="18"/>
      <c r="AK515" s="34"/>
      <c r="AL515" s="34"/>
      <c r="AM515" s="34"/>
      <c r="AN515" s="34"/>
      <c r="AO515" s="34"/>
      <c r="AP515" s="34"/>
      <c r="AQ515" s="18"/>
      <c r="AR515" s="18"/>
      <c r="AS515" s="18"/>
      <c r="AT515" s="40"/>
      <c r="AU515" s="18"/>
      <c r="AV515" s="34"/>
      <c r="AW515" s="34"/>
      <c r="AX515" s="18"/>
    </row>
    <row r="516" spans="1:50" ht="18.75" customHeight="1" x14ac:dyDescent="0.2">
      <c r="A516" s="4" t="s">
        <v>55</v>
      </c>
      <c r="B516" s="4" t="s">
        <v>56</v>
      </c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1" t="s">
        <v>474</v>
      </c>
      <c r="AB516" s="42" t="s">
        <v>233</v>
      </c>
      <c r="AC516" s="43" t="s">
        <v>58</v>
      </c>
      <c r="AD516" s="44">
        <v>0</v>
      </c>
      <c r="AE516" s="44">
        <v>0</v>
      </c>
      <c r="AF516" s="44">
        <v>0</v>
      </c>
      <c r="AG516" s="43">
        <v>22204778</v>
      </c>
      <c r="AH516" s="44">
        <v>0</v>
      </c>
      <c r="AI516" s="43">
        <f>AE516-AF516+AG516-AH516</f>
        <v>22204778</v>
      </c>
      <c r="AJ516" s="43">
        <f>AD516+AI516</f>
        <v>22204778</v>
      </c>
      <c r="AK516" s="44">
        <v>0</v>
      </c>
      <c r="AL516" s="44">
        <v>0</v>
      </c>
      <c r="AM516" s="44">
        <v>0</v>
      </c>
      <c r="AN516" s="44">
        <v>0</v>
      </c>
      <c r="AO516" s="44">
        <v>0</v>
      </c>
      <c r="AP516" s="44">
        <v>0</v>
      </c>
      <c r="AQ516" s="44">
        <v>0</v>
      </c>
      <c r="AR516" s="44">
        <v>0</v>
      </c>
      <c r="AS516" s="44">
        <v>0</v>
      </c>
      <c r="AT516" s="40">
        <f>AQ516+AS516</f>
        <v>0</v>
      </c>
      <c r="AU516" s="18">
        <f t="shared" ref="AU516" si="649">AJ516-AM516</f>
        <v>22204778</v>
      </c>
      <c r="AV516" s="34">
        <f t="shared" ref="AV516" si="650">AM516-AP516</f>
        <v>0</v>
      </c>
      <c r="AW516" s="34">
        <f t="shared" ref="AW516" si="651">AP516-AT516</f>
        <v>0</v>
      </c>
      <c r="AX516" s="123">
        <f t="shared" ref="AX516" si="652">AP516/AJ516</f>
        <v>0</v>
      </c>
    </row>
    <row r="517" spans="1:50" x14ac:dyDescent="0.2">
      <c r="AA517" s="16"/>
      <c r="AB517" s="29" t="s">
        <v>475</v>
      </c>
      <c r="AC517" s="17"/>
      <c r="AD517" s="34"/>
      <c r="AE517" s="34"/>
      <c r="AF517" s="34"/>
      <c r="AG517" s="18"/>
      <c r="AH517" s="34"/>
      <c r="AI517" s="18"/>
      <c r="AJ517" s="18"/>
      <c r="AK517" s="34"/>
      <c r="AL517" s="34"/>
      <c r="AM517" s="34"/>
      <c r="AN517" s="34"/>
      <c r="AO517" s="34"/>
      <c r="AP517" s="34"/>
      <c r="AQ517" s="34"/>
      <c r="AR517" s="34"/>
      <c r="AS517" s="34"/>
      <c r="AT517" s="40"/>
      <c r="AU517" s="18"/>
      <c r="AV517" s="34"/>
      <c r="AW517" s="18"/>
      <c r="AX517" s="18"/>
    </row>
    <row r="518" spans="1:50" x14ac:dyDescent="0.2">
      <c r="A518" s="4" t="s">
        <v>55</v>
      </c>
      <c r="B518" s="4" t="s">
        <v>56</v>
      </c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1" t="s">
        <v>476</v>
      </c>
      <c r="AB518" s="42" t="s">
        <v>458</v>
      </c>
      <c r="AC518" s="43" t="s">
        <v>454</v>
      </c>
      <c r="AD518" s="44">
        <v>0</v>
      </c>
      <c r="AE518" s="44">
        <v>0</v>
      </c>
      <c r="AF518" s="44">
        <v>0</v>
      </c>
      <c r="AG518" s="43">
        <v>3975320525</v>
      </c>
      <c r="AH518" s="44">
        <v>0</v>
      </c>
      <c r="AI518" s="43">
        <f>AE518-AF518+AG518-AH518</f>
        <v>3975320525</v>
      </c>
      <c r="AJ518" s="43">
        <f>AD518+AI518</f>
        <v>3975320525</v>
      </c>
      <c r="AK518" s="115">
        <v>0</v>
      </c>
      <c r="AL518" s="115">
        <v>0</v>
      </c>
      <c r="AM518" s="114">
        <v>3726948730</v>
      </c>
      <c r="AN518" s="44">
        <v>0</v>
      </c>
      <c r="AO518" s="44">
        <v>0</v>
      </c>
      <c r="AP518" s="44">
        <v>0</v>
      </c>
      <c r="AQ518" s="44">
        <v>0</v>
      </c>
      <c r="AR518" s="44">
        <v>0</v>
      </c>
      <c r="AS518" s="44">
        <v>0</v>
      </c>
      <c r="AT518" s="40">
        <f>AQ518+AS518</f>
        <v>0</v>
      </c>
      <c r="AU518" s="18">
        <f t="shared" ref="AU518" si="653">AJ518-AM518</f>
        <v>248371795</v>
      </c>
      <c r="AV518" s="110">
        <f t="shared" ref="AV518" si="654">AM518-AP518</f>
        <v>3726948730</v>
      </c>
      <c r="AW518" s="34">
        <f t="shared" ref="AW518" si="655">AP518-AT518</f>
        <v>0</v>
      </c>
      <c r="AX518" s="123">
        <f t="shared" ref="AX518" si="656">AP518/AJ518</f>
        <v>0</v>
      </c>
    </row>
    <row r="519" spans="1:50" ht="25.5" x14ac:dyDescent="0.2">
      <c r="AA519" s="28" t="s">
        <v>288</v>
      </c>
      <c r="AB519" s="29" t="s">
        <v>477</v>
      </c>
      <c r="AC519" s="17"/>
      <c r="AD519" s="18"/>
      <c r="AE519" s="18"/>
      <c r="AF519" s="18"/>
      <c r="AG519" s="18"/>
      <c r="AH519" s="18"/>
      <c r="AI519" s="18"/>
      <c r="AJ519" s="18"/>
      <c r="AK519" s="34"/>
      <c r="AL519" s="34"/>
      <c r="AM519" s="18"/>
      <c r="AN519" s="18"/>
      <c r="AO519" s="18"/>
      <c r="AP519" s="18"/>
      <c r="AQ519" s="34"/>
      <c r="AR519" s="34"/>
      <c r="AS519" s="34"/>
      <c r="AT519" s="40"/>
      <c r="AU519" s="18"/>
      <c r="AV519" s="18"/>
      <c r="AW519" s="18"/>
      <c r="AX519" s="18"/>
    </row>
    <row r="520" spans="1:50" x14ac:dyDescent="0.2">
      <c r="A520" s="4" t="s">
        <v>55</v>
      </c>
      <c r="B520" s="4" t="s">
        <v>56</v>
      </c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1" t="s">
        <v>478</v>
      </c>
      <c r="AB520" s="42" t="s">
        <v>233</v>
      </c>
      <c r="AC520" s="43" t="s">
        <v>58</v>
      </c>
      <c r="AD520" s="43">
        <v>389814494</v>
      </c>
      <c r="AE520" s="44">
        <v>0</v>
      </c>
      <c r="AF520" s="44">
        <v>0</v>
      </c>
      <c r="AG520" s="44">
        <v>0</v>
      </c>
      <c r="AH520" s="44">
        <v>0</v>
      </c>
      <c r="AI520" s="44">
        <v>0</v>
      </c>
      <c r="AJ520" s="43">
        <v>389814494</v>
      </c>
      <c r="AK520" s="44">
        <v>0</v>
      </c>
      <c r="AL520" s="44">
        <v>0</v>
      </c>
      <c r="AM520" s="43">
        <v>355292091</v>
      </c>
      <c r="AN520" s="44">
        <v>0</v>
      </c>
      <c r="AO520" s="44">
        <v>0</v>
      </c>
      <c r="AP520" s="43">
        <v>355292091</v>
      </c>
      <c r="AQ520" s="44">
        <v>0</v>
      </c>
      <c r="AR520" s="44">
        <v>0</v>
      </c>
      <c r="AS520" s="44">
        <v>0</v>
      </c>
      <c r="AT520" s="40">
        <f>AQ520+AS520</f>
        <v>0</v>
      </c>
      <c r="AU520" s="18">
        <f t="shared" ref="AU520:AU521" si="657">AJ520-AM520</f>
        <v>34522403</v>
      </c>
      <c r="AV520" s="34">
        <f t="shared" ref="AV520:AV521" si="658">AM520-AP520</f>
        <v>0</v>
      </c>
      <c r="AW520" s="18">
        <f t="shared" ref="AW520:AW521" si="659">AP520-AT520</f>
        <v>355292091</v>
      </c>
      <c r="AX520" s="123">
        <f t="shared" ref="AX520:AX521" si="660">AP520/AJ520</f>
        <v>0.91143889329061223</v>
      </c>
    </row>
    <row r="521" spans="1:50" x14ac:dyDescent="0.2">
      <c r="A521" s="4" t="s">
        <v>55</v>
      </c>
      <c r="B521" s="4" t="s">
        <v>56</v>
      </c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1" t="s">
        <v>479</v>
      </c>
      <c r="AB521" s="42" t="s">
        <v>480</v>
      </c>
      <c r="AC521" s="43" t="s">
        <v>368</v>
      </c>
      <c r="AD521" s="43">
        <v>88687399.159999996</v>
      </c>
      <c r="AE521" s="44">
        <v>0</v>
      </c>
      <c r="AF521" s="44">
        <v>0</v>
      </c>
      <c r="AG521" s="44">
        <v>0</v>
      </c>
      <c r="AH521" s="44">
        <v>0</v>
      </c>
      <c r="AI521" s="44">
        <v>0</v>
      </c>
      <c r="AJ521" s="43">
        <v>88687399.159999996</v>
      </c>
      <c r="AK521" s="44">
        <v>0</v>
      </c>
      <c r="AL521" s="44">
        <v>0</v>
      </c>
      <c r="AM521" s="43">
        <v>56565934</v>
      </c>
      <c r="AN521" s="44">
        <v>0</v>
      </c>
      <c r="AO521" s="44">
        <v>0</v>
      </c>
      <c r="AP521" s="43">
        <v>56565934</v>
      </c>
      <c r="AQ521" s="44">
        <v>0</v>
      </c>
      <c r="AR521" s="43">
        <v>30903467</v>
      </c>
      <c r="AS521" s="43">
        <v>30903467</v>
      </c>
      <c r="AT521" s="39">
        <f>AQ521+AS521</f>
        <v>30903467</v>
      </c>
      <c r="AU521" s="18">
        <f t="shared" si="657"/>
        <v>32121465.159999996</v>
      </c>
      <c r="AV521" s="34">
        <f t="shared" si="658"/>
        <v>0</v>
      </c>
      <c r="AW521" s="18">
        <f t="shared" si="659"/>
        <v>25662467</v>
      </c>
      <c r="AX521" s="123">
        <f t="shared" si="660"/>
        <v>0.63781252506852748</v>
      </c>
    </row>
    <row r="522" spans="1:50" x14ac:dyDescent="0.2">
      <c r="AA522" s="28" t="s">
        <v>288</v>
      </c>
      <c r="AB522" s="29" t="s">
        <v>481</v>
      </c>
      <c r="AC522" s="17"/>
      <c r="AD522" s="18"/>
      <c r="AE522" s="18"/>
      <c r="AF522" s="18"/>
      <c r="AG522" s="18"/>
      <c r="AH522" s="18"/>
      <c r="AI522" s="18"/>
      <c r="AJ522" s="18"/>
      <c r="AK522" s="34"/>
      <c r="AL522" s="34"/>
      <c r="AM522" s="18"/>
      <c r="AN522" s="34"/>
      <c r="AO522" s="18"/>
      <c r="AP522" s="18"/>
      <c r="AQ522" s="34"/>
      <c r="AR522" s="34"/>
      <c r="AS522" s="34"/>
      <c r="AT522" s="40"/>
      <c r="AU522" s="18"/>
      <c r="AV522" s="18"/>
      <c r="AW522" s="18"/>
      <c r="AX522" s="18"/>
    </row>
    <row r="523" spans="1:50" x14ac:dyDescent="0.2">
      <c r="A523" s="4" t="s">
        <v>55</v>
      </c>
      <c r="B523" s="4" t="s">
        <v>56</v>
      </c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1" t="s">
        <v>482</v>
      </c>
      <c r="AB523" s="42" t="s">
        <v>233</v>
      </c>
      <c r="AC523" s="43" t="s">
        <v>58</v>
      </c>
      <c r="AD523" s="43">
        <v>732098782</v>
      </c>
      <c r="AE523" s="44">
        <v>0</v>
      </c>
      <c r="AF523" s="44">
        <v>0</v>
      </c>
      <c r="AG523" s="44">
        <v>0</v>
      </c>
      <c r="AH523" s="44">
        <v>0</v>
      </c>
      <c r="AI523" s="44">
        <v>0</v>
      </c>
      <c r="AJ523" s="43">
        <v>732098782</v>
      </c>
      <c r="AK523" s="44">
        <v>0</v>
      </c>
      <c r="AL523" s="44">
        <f>AM523-[1]ENERO!O501</f>
        <v>0</v>
      </c>
      <c r="AM523" s="43">
        <v>658085546</v>
      </c>
      <c r="AN523" s="44">
        <v>0</v>
      </c>
      <c r="AO523" s="44">
        <v>0</v>
      </c>
      <c r="AP523" s="43">
        <v>658085546</v>
      </c>
      <c r="AQ523" s="44">
        <v>0</v>
      </c>
      <c r="AR523" s="44">
        <v>0</v>
      </c>
      <c r="AS523" s="44">
        <v>0</v>
      </c>
      <c r="AT523" s="40">
        <f>AQ523+AS523</f>
        <v>0</v>
      </c>
      <c r="AU523" s="18">
        <f t="shared" ref="AU523" si="661">AJ523-AM523</f>
        <v>74013236</v>
      </c>
      <c r="AV523" s="34">
        <f t="shared" ref="AV523:AV524" si="662">AM523-AP523</f>
        <v>0</v>
      </c>
      <c r="AW523" s="18">
        <f t="shared" ref="AW523:AW524" si="663">AP523-AT523</f>
        <v>658085546</v>
      </c>
      <c r="AX523" s="123">
        <f t="shared" ref="AX523:AX524" si="664">AP523/AJ523</f>
        <v>0.89890266474995995</v>
      </c>
    </row>
    <row r="524" spans="1:50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1" t="s">
        <v>979</v>
      </c>
      <c r="AB524" s="42" t="s">
        <v>453</v>
      </c>
      <c r="AC524" s="43"/>
      <c r="AD524" s="43">
        <v>0</v>
      </c>
      <c r="AE524" s="43">
        <v>17804659196</v>
      </c>
      <c r="AF524" s="44">
        <v>0</v>
      </c>
      <c r="AG524" s="44">
        <v>0</v>
      </c>
      <c r="AH524" s="44">
        <v>0</v>
      </c>
      <c r="AI524" s="43">
        <f>AE524-AF524+AG524-AH524</f>
        <v>17804659196</v>
      </c>
      <c r="AJ524" s="43">
        <f>AD524+AI524</f>
        <v>17804659196</v>
      </c>
      <c r="AK524" s="44">
        <v>0</v>
      </c>
      <c r="AL524" s="44">
        <v>0</v>
      </c>
      <c r="AM524" s="43">
        <v>17240869934</v>
      </c>
      <c r="AN524" s="44">
        <v>0</v>
      </c>
      <c r="AO524" s="44">
        <v>0</v>
      </c>
      <c r="AP524" s="43">
        <v>0</v>
      </c>
      <c r="AQ524" s="44">
        <v>0</v>
      </c>
      <c r="AR524" s="44">
        <v>0</v>
      </c>
      <c r="AS524" s="44">
        <v>0</v>
      </c>
      <c r="AT524" s="39">
        <f>AQ524+AS524</f>
        <v>0</v>
      </c>
      <c r="AU524" s="18">
        <f>AJ524-AM524</f>
        <v>563789262</v>
      </c>
      <c r="AV524" s="18">
        <f t="shared" si="662"/>
        <v>17240869934</v>
      </c>
      <c r="AW524" s="34">
        <f t="shared" si="663"/>
        <v>0</v>
      </c>
      <c r="AX524" s="40">
        <f t="shared" si="664"/>
        <v>0</v>
      </c>
    </row>
    <row r="525" spans="1:50" x14ac:dyDescent="0.2">
      <c r="AA525" s="28" t="s">
        <v>288</v>
      </c>
      <c r="AB525" s="29" t="s">
        <v>483</v>
      </c>
      <c r="AC525" s="17"/>
      <c r="AD525" s="18"/>
      <c r="AE525" s="34"/>
      <c r="AF525" s="34"/>
      <c r="AG525" s="18"/>
      <c r="AH525" s="34"/>
      <c r="AI525" s="18"/>
      <c r="AJ525" s="18"/>
      <c r="AK525" s="34"/>
      <c r="AL525" s="34"/>
      <c r="AM525" s="18"/>
      <c r="AN525" s="34"/>
      <c r="AO525" s="34"/>
      <c r="AP525" s="18"/>
      <c r="AQ525" s="34"/>
      <c r="AR525" s="34"/>
      <c r="AS525" s="34"/>
      <c r="AT525" s="40"/>
      <c r="AU525" s="18"/>
      <c r="AV525" s="34"/>
      <c r="AW525" s="18"/>
      <c r="AX525" s="18"/>
    </row>
    <row r="526" spans="1:50" x14ac:dyDescent="0.2">
      <c r="A526" s="4" t="s">
        <v>55</v>
      </c>
      <c r="B526" s="4" t="s">
        <v>56</v>
      </c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1" t="s">
        <v>484</v>
      </c>
      <c r="AB526" s="42" t="s">
        <v>233</v>
      </c>
      <c r="AC526" s="43" t="s">
        <v>58</v>
      </c>
      <c r="AD526" s="44">
        <v>0</v>
      </c>
      <c r="AE526" s="44">
        <v>0</v>
      </c>
      <c r="AF526" s="44">
        <v>0</v>
      </c>
      <c r="AG526" s="43">
        <v>60325921.149999999</v>
      </c>
      <c r="AH526" s="44">
        <v>0</v>
      </c>
      <c r="AI526" s="43">
        <f>AE526-AF526+AG526-AH526</f>
        <v>60325921.149999999</v>
      </c>
      <c r="AJ526" s="43">
        <f>AD526+AI526</f>
        <v>60325921.149999999</v>
      </c>
      <c r="AK526" s="44">
        <v>0</v>
      </c>
      <c r="AL526" s="44">
        <v>0</v>
      </c>
      <c r="AM526" s="43">
        <v>48342740.119999997</v>
      </c>
      <c r="AN526" s="44">
        <v>0</v>
      </c>
      <c r="AO526" s="44">
        <v>0</v>
      </c>
      <c r="AP526" s="43">
        <v>48342740.119999997</v>
      </c>
      <c r="AQ526" s="44">
        <v>0</v>
      </c>
      <c r="AR526" s="44">
        <v>0</v>
      </c>
      <c r="AS526" s="44">
        <v>0</v>
      </c>
      <c r="AT526" s="40">
        <f>AQ526+AS526</f>
        <v>0</v>
      </c>
      <c r="AU526" s="18">
        <f t="shared" ref="AU526" si="665">AJ526-AM526</f>
        <v>11983181.030000001</v>
      </c>
      <c r="AV526" s="34">
        <f t="shared" ref="AV526" si="666">AM526-AP526</f>
        <v>0</v>
      </c>
      <c r="AW526" s="18">
        <f t="shared" ref="AW526" si="667">AP526-AT526</f>
        <v>48342740.119999997</v>
      </c>
      <c r="AX526" s="123">
        <f t="shared" ref="AX526" si="668">AP526/AJ526</f>
        <v>0.80135933606046561</v>
      </c>
    </row>
    <row r="527" spans="1:50" x14ac:dyDescent="0.2">
      <c r="AA527" s="28" t="s">
        <v>288</v>
      </c>
      <c r="AB527" s="29" t="s">
        <v>485</v>
      </c>
      <c r="AC527" s="17"/>
      <c r="AD527" s="18"/>
      <c r="AE527" s="34"/>
      <c r="AF527" s="34"/>
      <c r="AG527" s="18"/>
      <c r="AH527" s="34"/>
      <c r="AI527" s="18"/>
      <c r="AJ527" s="18"/>
      <c r="AK527" s="34"/>
      <c r="AL527" s="18"/>
      <c r="AM527" s="18"/>
      <c r="AN527" s="34"/>
      <c r="AO527" s="34"/>
      <c r="AP527" s="18"/>
      <c r="AQ527" s="34"/>
      <c r="AR527" s="34"/>
      <c r="AS527" s="34"/>
      <c r="AT527" s="40"/>
      <c r="AU527" s="18"/>
      <c r="AV527" s="34"/>
      <c r="AW527" s="34"/>
      <c r="AX527" s="18"/>
    </row>
    <row r="528" spans="1:50" x14ac:dyDescent="0.2">
      <c r="A528" s="4" t="s">
        <v>55</v>
      </c>
      <c r="B528" s="4" t="s">
        <v>56</v>
      </c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1" t="s">
        <v>972</v>
      </c>
      <c r="AB528" s="42" t="s">
        <v>233</v>
      </c>
      <c r="AC528" s="43" t="s">
        <v>58</v>
      </c>
      <c r="AD528" s="43">
        <v>530557116</v>
      </c>
      <c r="AE528" s="44">
        <v>0</v>
      </c>
      <c r="AF528" s="44">
        <v>0</v>
      </c>
      <c r="AG528" s="44">
        <v>0</v>
      </c>
      <c r="AH528" s="44">
        <v>0</v>
      </c>
      <c r="AI528" s="44">
        <v>0</v>
      </c>
      <c r="AJ528" s="43">
        <v>530557116</v>
      </c>
      <c r="AK528" s="44">
        <v>0</v>
      </c>
      <c r="AL528" s="44">
        <v>0</v>
      </c>
      <c r="AM528" s="44">
        <v>0</v>
      </c>
      <c r="AN528" s="44">
        <v>0</v>
      </c>
      <c r="AO528" s="44">
        <v>0</v>
      </c>
      <c r="AP528" s="43">
        <v>0</v>
      </c>
      <c r="AQ528" s="44">
        <v>0</v>
      </c>
      <c r="AR528" s="44">
        <v>0</v>
      </c>
      <c r="AS528" s="44">
        <v>0</v>
      </c>
      <c r="AT528" s="40">
        <f>AQ528+AS528</f>
        <v>0</v>
      </c>
      <c r="AU528" s="18">
        <f t="shared" ref="AU528" si="669">AJ528-AM528</f>
        <v>530557116</v>
      </c>
      <c r="AV528" s="34">
        <f t="shared" ref="AV528" si="670">AM528-AP528</f>
        <v>0</v>
      </c>
      <c r="AW528" s="34">
        <f t="shared" ref="AW528" si="671">AP528-AT528</f>
        <v>0</v>
      </c>
      <c r="AX528" s="123">
        <f t="shared" ref="AX528" si="672">AP528/AJ528</f>
        <v>0</v>
      </c>
    </row>
    <row r="529" spans="1:50" ht="38.25" x14ac:dyDescent="0.2">
      <c r="AA529" s="16"/>
      <c r="AB529" s="29" t="s">
        <v>193</v>
      </c>
      <c r="AC529" s="17"/>
      <c r="AD529" s="18"/>
      <c r="AE529" s="34"/>
      <c r="AF529" s="34"/>
      <c r="AG529" s="18"/>
      <c r="AH529" s="18"/>
      <c r="AI529" s="18"/>
      <c r="AJ529" s="18"/>
      <c r="AK529" s="34"/>
      <c r="AL529" s="34"/>
      <c r="AM529" s="34"/>
      <c r="AN529" s="34"/>
      <c r="AO529" s="34"/>
      <c r="AP529" s="34"/>
      <c r="AQ529" s="34"/>
      <c r="AR529" s="34"/>
      <c r="AS529" s="34"/>
      <c r="AT529" s="40"/>
      <c r="AU529" s="18"/>
      <c r="AV529" s="34"/>
      <c r="AW529" s="18"/>
      <c r="AX529" s="18"/>
    </row>
    <row r="530" spans="1:50" ht="18.75" customHeight="1" x14ac:dyDescent="0.2">
      <c r="AA530" s="28" t="s">
        <v>288</v>
      </c>
      <c r="AB530" s="29" t="s">
        <v>487</v>
      </c>
      <c r="AC530" s="17"/>
      <c r="AD530" s="18"/>
      <c r="AE530" s="34"/>
      <c r="AF530" s="34"/>
      <c r="AG530" s="18"/>
      <c r="AH530" s="18"/>
      <c r="AI530" s="18"/>
      <c r="AJ530" s="18"/>
      <c r="AK530" s="34"/>
      <c r="AL530" s="34"/>
      <c r="AM530" s="34"/>
      <c r="AN530" s="34"/>
      <c r="AO530" s="34"/>
      <c r="AP530" s="34"/>
      <c r="AQ530" s="34"/>
      <c r="AR530" s="34"/>
      <c r="AS530" s="34"/>
      <c r="AT530" s="40"/>
      <c r="AU530" s="18"/>
      <c r="AV530" s="34"/>
      <c r="AW530" s="18"/>
      <c r="AX530" s="18"/>
    </row>
    <row r="531" spans="1:50" ht="18.75" customHeight="1" x14ac:dyDescent="0.2">
      <c r="A531" s="4" t="s">
        <v>55</v>
      </c>
      <c r="B531" s="4" t="s">
        <v>56</v>
      </c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1" t="s">
        <v>488</v>
      </c>
      <c r="AB531" s="42" t="s">
        <v>439</v>
      </c>
      <c r="AC531" s="43" t="s">
        <v>428</v>
      </c>
      <c r="AD531" s="43">
        <v>14800000000</v>
      </c>
      <c r="AE531" s="44">
        <v>0</v>
      </c>
      <c r="AF531" s="44">
        <v>0</v>
      </c>
      <c r="AG531" s="44">
        <v>0</v>
      </c>
      <c r="AH531" s="43">
        <f>265538240+219103236.8</f>
        <v>484641476.80000001</v>
      </c>
      <c r="AI531" s="43">
        <f>AE531-AF531+AG531-AH531</f>
        <v>-484641476.80000001</v>
      </c>
      <c r="AJ531" s="43">
        <f>AD531+AI531</f>
        <v>14315358523.200001</v>
      </c>
      <c r="AK531" s="44">
        <v>0</v>
      </c>
      <c r="AL531" s="114">
        <f>AM531-'MARZO '!AM526</f>
        <v>909479133</v>
      </c>
      <c r="AM531" s="114">
        <v>3501257418</v>
      </c>
      <c r="AN531" s="44">
        <v>0</v>
      </c>
      <c r="AO531" s="114">
        <v>909479133</v>
      </c>
      <c r="AP531" s="114">
        <v>3501257418</v>
      </c>
      <c r="AQ531" s="44">
        <v>0</v>
      </c>
      <c r="AR531" s="114">
        <v>909479133</v>
      </c>
      <c r="AS531" s="114">
        <v>3501257418</v>
      </c>
      <c r="AT531" s="111">
        <f t="shared" si="609"/>
        <v>3501257418</v>
      </c>
      <c r="AU531" s="18">
        <f t="shared" ref="AU531:AU532" si="673">AJ531-AM531</f>
        <v>10814101105.200001</v>
      </c>
      <c r="AV531" s="34">
        <f t="shared" ref="AV531:AV532" si="674">AM531-AP531</f>
        <v>0</v>
      </c>
      <c r="AW531" s="34">
        <f t="shared" ref="AW531:AW532" si="675">AP531-AT531</f>
        <v>0</v>
      </c>
      <c r="AX531" s="123">
        <f t="shared" ref="AX531:AX532" si="676">AP531/AJ531</f>
        <v>0.24458049110860425</v>
      </c>
    </row>
    <row r="532" spans="1:50" ht="18.75" customHeight="1" x14ac:dyDescent="0.2">
      <c r="A532" s="4" t="s">
        <v>55</v>
      </c>
      <c r="B532" s="4" t="s">
        <v>56</v>
      </c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1" t="s">
        <v>489</v>
      </c>
      <c r="AB532" s="42" t="s">
        <v>490</v>
      </c>
      <c r="AC532" s="43" t="s">
        <v>368</v>
      </c>
      <c r="AD532" s="43">
        <v>28000000.199999999</v>
      </c>
      <c r="AE532" s="44">
        <v>0</v>
      </c>
      <c r="AF532" s="44">
        <v>0</v>
      </c>
      <c r="AG532" s="44">
        <v>0</v>
      </c>
      <c r="AH532" s="44">
        <v>0</v>
      </c>
      <c r="AI532" s="44">
        <v>0</v>
      </c>
      <c r="AJ532" s="43">
        <v>28000000.199999999</v>
      </c>
      <c r="AK532" s="44">
        <v>0</v>
      </c>
      <c r="AL532" s="114">
        <v>1717495</v>
      </c>
      <c r="AM532" s="114">
        <v>7340747</v>
      </c>
      <c r="AN532" s="44">
        <v>0</v>
      </c>
      <c r="AO532" s="114">
        <v>1717495</v>
      </c>
      <c r="AP532" s="114">
        <v>7340747</v>
      </c>
      <c r="AQ532" s="44">
        <v>0</v>
      </c>
      <c r="AR532" s="114">
        <v>3759141</v>
      </c>
      <c r="AS532" s="114">
        <v>7340747</v>
      </c>
      <c r="AT532" s="111">
        <f t="shared" si="609"/>
        <v>7340747</v>
      </c>
      <c r="AU532" s="18">
        <f t="shared" si="673"/>
        <v>20659253.199999999</v>
      </c>
      <c r="AV532" s="34">
        <f t="shared" si="674"/>
        <v>0</v>
      </c>
      <c r="AW532" s="18">
        <f t="shared" si="675"/>
        <v>0</v>
      </c>
      <c r="AX532" s="123">
        <f t="shared" si="676"/>
        <v>0.26216953384164621</v>
      </c>
    </row>
    <row r="533" spans="1:50" ht="25.5" x14ac:dyDescent="0.2">
      <c r="AA533" s="16"/>
      <c r="AB533" s="29" t="s">
        <v>195</v>
      </c>
      <c r="AC533" s="17"/>
      <c r="AD533" s="18"/>
      <c r="AE533" s="34"/>
      <c r="AF533" s="34"/>
      <c r="AG533" s="34"/>
      <c r="AH533" s="34"/>
      <c r="AI533" s="34"/>
      <c r="AJ533" s="18"/>
      <c r="AK533" s="34"/>
      <c r="AL533" s="18"/>
      <c r="AM533" s="18"/>
      <c r="AN533" s="34"/>
      <c r="AO533" s="18"/>
      <c r="AP533" s="18"/>
      <c r="AQ533" s="18"/>
      <c r="AR533" s="18"/>
      <c r="AS533" s="18"/>
      <c r="AT533" s="30"/>
      <c r="AU533" s="18"/>
      <c r="AV533" s="18"/>
      <c r="AW533" s="18"/>
      <c r="AX533" s="18"/>
    </row>
    <row r="534" spans="1:50" ht="18.75" customHeight="1" x14ac:dyDescent="0.2">
      <c r="AA534" s="28" t="s">
        <v>288</v>
      </c>
      <c r="AB534" s="29" t="s">
        <v>487</v>
      </c>
      <c r="AC534" s="17"/>
      <c r="AD534" s="18"/>
      <c r="AE534" s="34"/>
      <c r="AF534" s="34"/>
      <c r="AG534" s="34"/>
      <c r="AH534" s="34"/>
      <c r="AI534" s="34"/>
      <c r="AJ534" s="18"/>
      <c r="AK534" s="34"/>
      <c r="AL534" s="18"/>
      <c r="AM534" s="18"/>
      <c r="AN534" s="34"/>
      <c r="AO534" s="18"/>
      <c r="AP534" s="18"/>
      <c r="AQ534" s="18"/>
      <c r="AR534" s="18"/>
      <c r="AS534" s="18"/>
      <c r="AT534" s="30"/>
      <c r="AU534" s="18"/>
      <c r="AV534" s="18"/>
      <c r="AW534" s="18"/>
      <c r="AX534" s="18"/>
    </row>
    <row r="535" spans="1:50" ht="18.75" customHeight="1" x14ac:dyDescent="0.2">
      <c r="A535" s="4" t="s">
        <v>55</v>
      </c>
      <c r="B535" s="4" t="s">
        <v>56</v>
      </c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1" t="s">
        <v>491</v>
      </c>
      <c r="AB535" s="42" t="s">
        <v>490</v>
      </c>
      <c r="AC535" s="43" t="s">
        <v>368</v>
      </c>
      <c r="AD535" s="43">
        <v>192000000</v>
      </c>
      <c r="AE535" s="44">
        <v>0</v>
      </c>
      <c r="AF535" s="44">
        <v>0</v>
      </c>
      <c r="AG535" s="44">
        <v>0</v>
      </c>
      <c r="AH535" s="44">
        <v>0</v>
      </c>
      <c r="AI535" s="44">
        <v>0</v>
      </c>
      <c r="AJ535" s="43">
        <v>192000000</v>
      </c>
      <c r="AK535" s="44">
        <v>0</v>
      </c>
      <c r="AL535" s="44">
        <v>0</v>
      </c>
      <c r="AM535" s="43">
        <v>166971871</v>
      </c>
      <c r="AN535" s="44">
        <v>0</v>
      </c>
      <c r="AO535" s="43">
        <v>0</v>
      </c>
      <c r="AP535" s="43">
        <v>166971871</v>
      </c>
      <c r="AQ535" s="44">
        <v>0</v>
      </c>
      <c r="AR535" s="43">
        <v>29852547</v>
      </c>
      <c r="AS535" s="43">
        <v>29852547</v>
      </c>
      <c r="AT535" s="39">
        <f>AQ535+AS535</f>
        <v>29852547</v>
      </c>
      <c r="AU535" s="18">
        <f t="shared" ref="AU535" si="677">AJ535-AM535</f>
        <v>25028129</v>
      </c>
      <c r="AV535" s="34">
        <f t="shared" ref="AV535" si="678">AM535-AP535</f>
        <v>0</v>
      </c>
      <c r="AW535" s="18">
        <f t="shared" ref="AW535" si="679">AP535-AT535</f>
        <v>137119324</v>
      </c>
      <c r="AX535" s="123">
        <f t="shared" ref="AX535" si="680">AP535/AJ535</f>
        <v>0.86964516145833337</v>
      </c>
    </row>
    <row r="536" spans="1:50" ht="25.5" x14ac:dyDescent="0.2">
      <c r="AA536" s="16"/>
      <c r="AB536" s="29" t="s">
        <v>197</v>
      </c>
      <c r="AC536" s="17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34"/>
      <c r="AO536" s="18"/>
      <c r="AP536" s="18"/>
      <c r="AQ536" s="34"/>
      <c r="AR536" s="34"/>
      <c r="AS536" s="34"/>
      <c r="AT536" s="40"/>
      <c r="AU536" s="18"/>
      <c r="AV536" s="18"/>
      <c r="AW536" s="18"/>
      <c r="AX536" s="18"/>
    </row>
    <row r="537" spans="1:50" ht="18.75" customHeight="1" x14ac:dyDescent="0.2">
      <c r="AA537" s="16"/>
      <c r="AB537" s="29" t="s">
        <v>492</v>
      </c>
      <c r="AC537" s="17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34"/>
      <c r="AO537" s="18"/>
      <c r="AP537" s="18"/>
      <c r="AQ537" s="34"/>
      <c r="AR537" s="34"/>
      <c r="AS537" s="34"/>
      <c r="AT537" s="40"/>
      <c r="AU537" s="18"/>
      <c r="AV537" s="18"/>
      <c r="AW537" s="18"/>
      <c r="AX537" s="18"/>
    </row>
    <row r="538" spans="1:50" ht="18.75" customHeight="1" x14ac:dyDescent="0.2">
      <c r="A538" s="4" t="s">
        <v>55</v>
      </c>
      <c r="B538" s="4" t="s">
        <v>56</v>
      </c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1" t="s">
        <v>493</v>
      </c>
      <c r="AB538" s="42" t="s">
        <v>233</v>
      </c>
      <c r="AC538" s="43" t="s">
        <v>58</v>
      </c>
      <c r="AD538" s="44">
        <v>0</v>
      </c>
      <c r="AE538" s="44">
        <v>0</v>
      </c>
      <c r="AF538" s="44">
        <v>0</v>
      </c>
      <c r="AG538" s="43">
        <v>503000000</v>
      </c>
      <c r="AH538" s="44">
        <v>0</v>
      </c>
      <c r="AI538" s="43">
        <f>AE538-AF538+AG538-AH538</f>
        <v>503000000</v>
      </c>
      <c r="AJ538" s="43">
        <f>AD538+AI538</f>
        <v>503000000</v>
      </c>
      <c r="AK538" s="44">
        <v>0</v>
      </c>
      <c r="AL538" s="44">
        <v>0</v>
      </c>
      <c r="AM538" s="43">
        <v>481911706</v>
      </c>
      <c r="AN538" s="44">
        <v>0</v>
      </c>
      <c r="AO538" s="43">
        <v>481911706</v>
      </c>
      <c r="AP538" s="43">
        <v>481911706</v>
      </c>
      <c r="AQ538" s="44">
        <v>0</v>
      </c>
      <c r="AR538" s="44">
        <v>0</v>
      </c>
      <c r="AS538" s="44">
        <v>0</v>
      </c>
      <c r="AT538" s="40">
        <f>AQ538+AS538</f>
        <v>0</v>
      </c>
      <c r="AU538" s="18">
        <f t="shared" ref="AU538" si="681">AJ538-AM538</f>
        <v>21088294</v>
      </c>
      <c r="AV538" s="18">
        <f t="shared" ref="AV538" si="682">AM538-AP538</f>
        <v>0</v>
      </c>
      <c r="AW538" s="18">
        <f t="shared" ref="AW538" si="683">AP538-AT538</f>
        <v>481911706</v>
      </c>
      <c r="AX538" s="123">
        <f t="shared" ref="AX538" si="684">AP538/AJ538</f>
        <v>0.95807496222664013</v>
      </c>
    </row>
    <row r="539" spans="1:50" ht="18.75" customHeight="1" x14ac:dyDescent="0.2">
      <c r="AA539" s="28" t="s">
        <v>288</v>
      </c>
      <c r="AB539" s="29" t="s">
        <v>494</v>
      </c>
      <c r="AC539" s="17"/>
      <c r="AD539" s="18"/>
      <c r="AE539" s="34"/>
      <c r="AF539" s="34"/>
      <c r="AG539" s="18"/>
      <c r="AH539" s="34"/>
      <c r="AI539" s="18"/>
      <c r="AJ539" s="18"/>
      <c r="AK539" s="34"/>
      <c r="AL539" s="34"/>
      <c r="AM539" s="18"/>
      <c r="AN539" s="34"/>
      <c r="AO539" s="18"/>
      <c r="AP539" s="18"/>
      <c r="AQ539" s="34"/>
      <c r="AR539" s="34"/>
      <c r="AS539" s="34"/>
      <c r="AT539" s="40"/>
      <c r="AU539" s="18"/>
      <c r="AV539" s="18"/>
      <c r="AW539" s="18"/>
      <c r="AX539" s="18"/>
    </row>
    <row r="540" spans="1:50" ht="18.75" customHeight="1" x14ac:dyDescent="0.2">
      <c r="A540" s="4" t="s">
        <v>55</v>
      </c>
      <c r="B540" s="4" t="s">
        <v>56</v>
      </c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1" t="s">
        <v>495</v>
      </c>
      <c r="AB540" s="42" t="s">
        <v>233</v>
      </c>
      <c r="AC540" s="43" t="s">
        <v>58</v>
      </c>
      <c r="AD540" s="43">
        <v>100000000</v>
      </c>
      <c r="AE540" s="44">
        <v>0</v>
      </c>
      <c r="AF540" s="44">
        <v>0</v>
      </c>
      <c r="AG540" s="44">
        <v>0</v>
      </c>
      <c r="AH540" s="44">
        <v>0</v>
      </c>
      <c r="AI540" s="44">
        <f>AE540-AF540+AG540-AH540</f>
        <v>0</v>
      </c>
      <c r="AJ540" s="43">
        <f>AD540+AI540</f>
        <v>100000000</v>
      </c>
      <c r="AK540" s="44">
        <v>0</v>
      </c>
      <c r="AL540" s="44">
        <v>0</v>
      </c>
      <c r="AM540" s="43">
        <v>69408297</v>
      </c>
      <c r="AN540" s="44">
        <v>0</v>
      </c>
      <c r="AO540" s="44">
        <v>0</v>
      </c>
      <c r="AP540" s="43">
        <v>69408297</v>
      </c>
      <c r="AQ540" s="44">
        <v>0</v>
      </c>
      <c r="AR540" s="44">
        <v>62064152.5</v>
      </c>
      <c r="AS540" s="44">
        <v>62064152.5</v>
      </c>
      <c r="AT540" s="40">
        <f>AQ540+AS540</f>
        <v>62064152.5</v>
      </c>
      <c r="AU540" s="18">
        <f t="shared" ref="AU540:AU541" si="685">AJ540-AM540</f>
        <v>30591703</v>
      </c>
      <c r="AV540" s="34">
        <f t="shared" ref="AV540:AV541" si="686">AM540-AP540</f>
        <v>0</v>
      </c>
      <c r="AW540" s="18">
        <f t="shared" ref="AW540:AW541" si="687">AP540-AT540</f>
        <v>7344144.5</v>
      </c>
      <c r="AX540" s="123">
        <f t="shared" ref="AX540:AX541" si="688">AP540/AJ540</f>
        <v>0.69408296999999997</v>
      </c>
    </row>
    <row r="541" spans="1:50" ht="18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1" t="s">
        <v>976</v>
      </c>
      <c r="AB541" s="42" t="s">
        <v>449</v>
      </c>
      <c r="AC541" s="43"/>
      <c r="AD541" s="43">
        <v>0</v>
      </c>
      <c r="AE541" s="44">
        <v>0</v>
      </c>
      <c r="AF541" s="44">
        <v>0</v>
      </c>
      <c r="AG541" s="43">
        <v>1200000000</v>
      </c>
      <c r="AH541" s="44"/>
      <c r="AI541" s="43">
        <f>AE541-AF541+AG541-AH541</f>
        <v>1200000000</v>
      </c>
      <c r="AJ541" s="43">
        <f>AD541+AI541</f>
        <v>1200000000</v>
      </c>
      <c r="AK541" s="44">
        <v>0</v>
      </c>
      <c r="AL541" s="44">
        <v>0</v>
      </c>
      <c r="AM541" s="43">
        <v>1114130436</v>
      </c>
      <c r="AN541" s="44">
        <v>0</v>
      </c>
      <c r="AO541" s="44">
        <v>0</v>
      </c>
      <c r="AP541" s="43">
        <v>0</v>
      </c>
      <c r="AQ541" s="44">
        <v>0</v>
      </c>
      <c r="AR541" s="44">
        <v>0</v>
      </c>
      <c r="AS541" s="44">
        <v>0</v>
      </c>
      <c r="AT541" s="40">
        <f>AQ541+AS541</f>
        <v>0</v>
      </c>
      <c r="AU541" s="18">
        <f t="shared" si="685"/>
        <v>85869564</v>
      </c>
      <c r="AV541" s="18">
        <f t="shared" si="686"/>
        <v>1114130436</v>
      </c>
      <c r="AW541" s="18">
        <f t="shared" si="687"/>
        <v>0</v>
      </c>
      <c r="AX541" s="123">
        <f t="shared" si="688"/>
        <v>0</v>
      </c>
    </row>
    <row r="542" spans="1:50" ht="18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1" t="s">
        <v>288</v>
      </c>
      <c r="AB542" s="74" t="s">
        <v>463</v>
      </c>
      <c r="AC542" s="43"/>
      <c r="AD542" s="43"/>
      <c r="AE542" s="44"/>
      <c r="AF542" s="44"/>
      <c r="AG542" s="43"/>
      <c r="AH542" s="44"/>
      <c r="AI542" s="43"/>
      <c r="AJ542" s="43"/>
      <c r="AK542" s="44"/>
      <c r="AL542" s="44"/>
      <c r="AM542" s="43"/>
      <c r="AN542" s="44"/>
      <c r="AO542" s="44"/>
      <c r="AP542" s="43"/>
      <c r="AQ542" s="44"/>
      <c r="AR542" s="44"/>
      <c r="AS542" s="44"/>
      <c r="AT542" s="40"/>
      <c r="AU542" s="43"/>
      <c r="AV542" s="43"/>
      <c r="AW542" s="43"/>
      <c r="AX542" s="32"/>
    </row>
    <row r="543" spans="1:50" ht="18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139" t="s">
        <v>909</v>
      </c>
      <c r="AB543" s="42" t="s">
        <v>233</v>
      </c>
      <c r="AC543" s="43"/>
      <c r="AD543" s="44">
        <v>0</v>
      </c>
      <c r="AE543" s="44">
        <v>0</v>
      </c>
      <c r="AF543" s="44">
        <v>0</v>
      </c>
      <c r="AG543" s="43">
        <v>1556000000</v>
      </c>
      <c r="AH543" s="44">
        <v>0</v>
      </c>
      <c r="AI543" s="43">
        <f>AE543-AF543+AG543-AH543</f>
        <v>1556000000</v>
      </c>
      <c r="AJ543" s="43">
        <f>AD543+AI543</f>
        <v>1556000000</v>
      </c>
      <c r="AK543" s="44">
        <v>0</v>
      </c>
      <c r="AL543" s="44">
        <v>0</v>
      </c>
      <c r="AM543" s="43">
        <v>1555449996</v>
      </c>
      <c r="AN543" s="44">
        <v>0</v>
      </c>
      <c r="AO543" s="44">
        <v>0</v>
      </c>
      <c r="AP543" s="43">
        <v>1555449996</v>
      </c>
      <c r="AQ543" s="44">
        <v>0</v>
      </c>
      <c r="AR543" s="44">
        <v>0</v>
      </c>
      <c r="AS543" s="43">
        <v>1555449996</v>
      </c>
      <c r="AT543" s="39">
        <f>AQ543+AS543</f>
        <v>1555449996</v>
      </c>
      <c r="AU543" s="18">
        <f t="shared" ref="AU543" si="689">AJ543-AM543</f>
        <v>550004</v>
      </c>
      <c r="AV543" s="34">
        <f t="shared" ref="AV543" si="690">AM543-AP543</f>
        <v>0</v>
      </c>
      <c r="AW543" s="34">
        <f t="shared" ref="AW543" si="691">AP543-AT543</f>
        <v>0</v>
      </c>
      <c r="AX543" s="123">
        <f t="shared" ref="AX543" si="692">AP543/AJ543</f>
        <v>0.99964652699228795</v>
      </c>
    </row>
    <row r="544" spans="1:50" ht="18.75" customHeight="1" x14ac:dyDescent="0.2">
      <c r="AA544" s="28" t="s">
        <v>288</v>
      </c>
      <c r="AB544" s="29" t="s">
        <v>496</v>
      </c>
      <c r="AC544" s="17"/>
      <c r="AD544" s="34"/>
      <c r="AE544" s="34"/>
      <c r="AF544" s="34"/>
      <c r="AG544" s="18"/>
      <c r="AH544" s="34"/>
      <c r="AI544" s="18"/>
      <c r="AJ544" s="18"/>
      <c r="AK544" s="18"/>
      <c r="AL544" s="18"/>
      <c r="AM544" s="18"/>
      <c r="AN544" s="18"/>
      <c r="AO544" s="18"/>
      <c r="AP544" s="18"/>
      <c r="AQ544" s="34"/>
      <c r="AR544" s="34"/>
      <c r="AS544" s="34"/>
      <c r="AT544" s="40">
        <f t="shared" si="609"/>
        <v>0</v>
      </c>
      <c r="AU544" s="18"/>
      <c r="AV544" s="18"/>
      <c r="AW544" s="18"/>
      <c r="AX544" s="18"/>
    </row>
    <row r="545" spans="1:50" ht="18.75" customHeight="1" x14ac:dyDescent="0.2">
      <c r="A545" s="4" t="s">
        <v>55</v>
      </c>
      <c r="B545" s="4" t="s">
        <v>56</v>
      </c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1" t="s">
        <v>497</v>
      </c>
      <c r="AB545" s="42" t="s">
        <v>233</v>
      </c>
      <c r="AC545" s="43" t="s">
        <v>58</v>
      </c>
      <c r="AD545" s="44">
        <v>0</v>
      </c>
      <c r="AE545" s="44">
        <v>0</v>
      </c>
      <c r="AF545" s="44">
        <v>0</v>
      </c>
      <c r="AG545" s="43">
        <f>91680424+36720621</f>
        <v>128401045</v>
      </c>
      <c r="AH545" s="44">
        <v>0</v>
      </c>
      <c r="AI545" s="43">
        <f>AE545-AF545+AG545-AH545</f>
        <v>128401045</v>
      </c>
      <c r="AJ545" s="43">
        <f>AD545+AI545</f>
        <v>128401045</v>
      </c>
      <c r="AK545" s="44">
        <v>0</v>
      </c>
      <c r="AL545" s="114">
        <v>36720621</v>
      </c>
      <c r="AM545" s="114">
        <v>116981864</v>
      </c>
      <c r="AN545" s="44">
        <v>0</v>
      </c>
      <c r="AO545" s="44">
        <v>0</v>
      </c>
      <c r="AP545" s="114">
        <v>80261243</v>
      </c>
      <c r="AQ545" s="44">
        <v>0</v>
      </c>
      <c r="AR545" s="115">
        <v>0</v>
      </c>
      <c r="AS545" s="114">
        <v>80261243</v>
      </c>
      <c r="AT545" s="39">
        <f>AQ545+AS545</f>
        <v>80261243</v>
      </c>
      <c r="AU545" s="18">
        <f t="shared" ref="AU545" si="693">AJ545-AM545</f>
        <v>11419181</v>
      </c>
      <c r="AV545" s="18">
        <f t="shared" ref="AV545" si="694">AM545-AP545</f>
        <v>36720621</v>
      </c>
      <c r="AW545" s="34">
        <f t="shared" ref="AW545" si="695">AP545-AT545</f>
        <v>0</v>
      </c>
      <c r="AX545" s="123">
        <f t="shared" ref="AX545" si="696">AP545/AJ545</f>
        <v>0.62508247499076042</v>
      </c>
    </row>
    <row r="546" spans="1:50" ht="18.75" customHeight="1" x14ac:dyDescent="0.2">
      <c r="AA546" s="28" t="s">
        <v>288</v>
      </c>
      <c r="AB546" s="29" t="s">
        <v>498</v>
      </c>
      <c r="AC546" s="17"/>
      <c r="AD546" s="18"/>
      <c r="AE546" s="34"/>
      <c r="AF546" s="34"/>
      <c r="AG546" s="18"/>
      <c r="AH546" s="18"/>
      <c r="AI546" s="18"/>
      <c r="AJ546" s="18"/>
      <c r="AK546" s="34"/>
      <c r="AL546" s="34"/>
      <c r="AM546" s="34"/>
      <c r="AN546" s="34"/>
      <c r="AO546" s="34"/>
      <c r="AP546" s="34"/>
      <c r="AQ546" s="34"/>
      <c r="AR546" s="34"/>
      <c r="AS546" s="34"/>
      <c r="AT546" s="40">
        <f t="shared" si="609"/>
        <v>0</v>
      </c>
      <c r="AU546" s="18"/>
      <c r="AV546" s="18"/>
      <c r="AW546" s="18"/>
      <c r="AX546" s="18"/>
    </row>
    <row r="547" spans="1:50" ht="18.75" customHeight="1" x14ac:dyDescent="0.2">
      <c r="A547" s="4" t="s">
        <v>55</v>
      </c>
      <c r="B547" s="4" t="s">
        <v>56</v>
      </c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1" t="s">
        <v>499</v>
      </c>
      <c r="AB547" s="42" t="s">
        <v>233</v>
      </c>
      <c r="AC547" s="43" t="s">
        <v>58</v>
      </c>
      <c r="AD547" s="43">
        <v>5000000000</v>
      </c>
      <c r="AE547" s="44">
        <v>0</v>
      </c>
      <c r="AF547" s="44">
        <v>0</v>
      </c>
      <c r="AG547" s="44">
        <v>0</v>
      </c>
      <c r="AH547" s="43">
        <f>2332895811.15+800401381</f>
        <v>3133297192.1500001</v>
      </c>
      <c r="AI547" s="43">
        <f>AE547-AF547+AG547-AH547</f>
        <v>-3133297192.1500001</v>
      </c>
      <c r="AJ547" s="43">
        <f>AD547+AI547</f>
        <v>1866702807.8499999</v>
      </c>
      <c r="AK547" s="44">
        <v>0</v>
      </c>
      <c r="AL547" s="114">
        <v>47275661.740000002</v>
      </c>
      <c r="AM547" s="114">
        <v>1746983198.74</v>
      </c>
      <c r="AN547" s="44">
        <v>0</v>
      </c>
      <c r="AO547" s="44">
        <v>0</v>
      </c>
      <c r="AP547" s="44">
        <v>1434700926</v>
      </c>
      <c r="AQ547" s="44">
        <v>0</v>
      </c>
      <c r="AR547" s="43">
        <v>358675231.5</v>
      </c>
      <c r="AS547" s="43">
        <v>358675231.5</v>
      </c>
      <c r="AT547" s="39">
        <f>AQ547+AS547</f>
        <v>358675231.5</v>
      </c>
      <c r="AU547" s="18">
        <f t="shared" ref="AU547" si="697">AJ547-AM547</f>
        <v>119719609.1099999</v>
      </c>
      <c r="AV547" s="18">
        <f t="shared" ref="AV547" si="698">AM547-AP547</f>
        <v>312282272.74000001</v>
      </c>
      <c r="AW547" s="18">
        <f t="shared" ref="AW547" si="699">AP547-AT547</f>
        <v>1076025694.5</v>
      </c>
      <c r="AX547" s="123">
        <f t="shared" ref="AX547" si="700">AP547/AJ547</f>
        <v>0.76857490113942462</v>
      </c>
    </row>
    <row r="548" spans="1:50" ht="18.75" customHeight="1" x14ac:dyDescent="0.2">
      <c r="AA548" s="28" t="s">
        <v>288</v>
      </c>
      <c r="AB548" s="29" t="s">
        <v>483</v>
      </c>
      <c r="AC548" s="17"/>
      <c r="AD548" s="18"/>
      <c r="AE548" s="34"/>
      <c r="AF548" s="34"/>
      <c r="AG548" s="18"/>
      <c r="AH548" s="18"/>
      <c r="AI548" s="18"/>
      <c r="AJ548" s="18"/>
      <c r="AK548" s="34"/>
      <c r="AL548" s="34"/>
      <c r="AM548" s="34"/>
      <c r="AN548" s="34"/>
      <c r="AO548" s="34"/>
      <c r="AP548" s="34"/>
      <c r="AQ548" s="34"/>
      <c r="AR548" s="34"/>
      <c r="AS548" s="34"/>
      <c r="AT548" s="40"/>
      <c r="AU548" s="18"/>
      <c r="AV548" s="18"/>
      <c r="AW548" s="18"/>
      <c r="AX548" s="18"/>
    </row>
    <row r="549" spans="1:50" ht="18.75" customHeight="1" x14ac:dyDescent="0.2">
      <c r="A549" s="4" t="s">
        <v>55</v>
      </c>
      <c r="B549" s="4" t="s">
        <v>56</v>
      </c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1" t="s">
        <v>500</v>
      </c>
      <c r="AB549" s="42" t="s">
        <v>233</v>
      </c>
      <c r="AC549" s="43" t="s">
        <v>58</v>
      </c>
      <c r="AD549" s="44">
        <v>0</v>
      </c>
      <c r="AE549" s="44">
        <v>0</v>
      </c>
      <c r="AF549" s="44">
        <v>0</v>
      </c>
      <c r="AG549" s="43">
        <v>36519672</v>
      </c>
      <c r="AH549" s="44">
        <v>0</v>
      </c>
      <c r="AI549" s="43">
        <f>AE549-AF549+AG549-AH549</f>
        <v>36519672</v>
      </c>
      <c r="AJ549" s="43">
        <f>AD549+AI549</f>
        <v>36519672</v>
      </c>
      <c r="AK549" s="43">
        <v>0</v>
      </c>
      <c r="AL549" s="43">
        <v>0</v>
      </c>
      <c r="AM549" s="43">
        <v>36519672</v>
      </c>
      <c r="AN549" s="44">
        <v>0</v>
      </c>
      <c r="AO549" s="43">
        <v>0</v>
      </c>
      <c r="AP549" s="43">
        <v>36519672</v>
      </c>
      <c r="AQ549" s="44">
        <v>0</v>
      </c>
      <c r="AR549" s="44">
        <v>0</v>
      </c>
      <c r="AS549" s="44">
        <v>0</v>
      </c>
      <c r="AT549" s="40">
        <f>AQ549+AS549</f>
        <v>0</v>
      </c>
      <c r="AU549" s="18">
        <f t="shared" ref="AU549" si="701">AJ549-AM549</f>
        <v>0</v>
      </c>
      <c r="AV549" s="34">
        <f t="shared" ref="AV549" si="702">AM549-AP549</f>
        <v>0</v>
      </c>
      <c r="AW549" s="18">
        <f t="shared" ref="AW549" si="703">AP549-AT549</f>
        <v>36519672</v>
      </c>
      <c r="AX549" s="123">
        <f t="shared" ref="AX549" si="704">AP549/AJ549</f>
        <v>1</v>
      </c>
    </row>
    <row r="550" spans="1:50" ht="18.75" customHeight="1" x14ac:dyDescent="0.2">
      <c r="AA550" s="28" t="s">
        <v>288</v>
      </c>
      <c r="AB550" s="29" t="s">
        <v>487</v>
      </c>
      <c r="AC550" s="17"/>
      <c r="AD550" s="18"/>
      <c r="AE550" s="34"/>
      <c r="AF550" s="34"/>
      <c r="AG550" s="18"/>
      <c r="AH550" s="18"/>
      <c r="AI550" s="18"/>
      <c r="AJ550" s="18"/>
      <c r="AK550" s="18"/>
      <c r="AL550" s="18"/>
      <c r="AM550" s="18"/>
      <c r="AN550" s="34"/>
      <c r="AO550" s="18"/>
      <c r="AP550" s="18"/>
      <c r="AQ550" s="18"/>
      <c r="AR550" s="18"/>
      <c r="AS550" s="18"/>
      <c r="AT550" s="39"/>
      <c r="AU550" s="18"/>
      <c r="AV550" s="18"/>
      <c r="AW550" s="18"/>
      <c r="AX550" s="18"/>
    </row>
    <row r="551" spans="1:50" ht="18.75" customHeight="1" x14ac:dyDescent="0.2">
      <c r="A551" s="4" t="s">
        <v>55</v>
      </c>
      <c r="B551" s="4" t="s">
        <v>56</v>
      </c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1" t="s">
        <v>501</v>
      </c>
      <c r="AB551" s="42" t="s">
        <v>439</v>
      </c>
      <c r="AC551" s="43" t="s">
        <v>428</v>
      </c>
      <c r="AD551" s="43">
        <v>4549743506</v>
      </c>
      <c r="AE551" s="44">
        <v>0</v>
      </c>
      <c r="AF551" s="44">
        <v>0</v>
      </c>
      <c r="AG551" s="43">
        <v>265538240</v>
      </c>
      <c r="AH551" s="44">
        <v>0</v>
      </c>
      <c r="AI551" s="43">
        <f>AE551-AF551+AG551-AH551</f>
        <v>265538240</v>
      </c>
      <c r="AJ551" s="43">
        <f>AD551+AI551</f>
        <v>4815281746</v>
      </c>
      <c r="AK551" s="44">
        <v>0</v>
      </c>
      <c r="AL551" s="43">
        <f>AM551-'MARZO '!AM546</f>
        <v>-1371990079.73</v>
      </c>
      <c r="AM551" s="43">
        <v>2158774882.4000001</v>
      </c>
      <c r="AN551" s="44">
        <v>0</v>
      </c>
      <c r="AO551" s="43">
        <f>AP551-'MARZO '!AP546</f>
        <v>490022343.00000012</v>
      </c>
      <c r="AP551" s="43">
        <v>1404364186.6300001</v>
      </c>
      <c r="AQ551" s="44">
        <v>0</v>
      </c>
      <c r="AR551" s="44">
        <v>147097660.03</v>
      </c>
      <c r="AS551" s="44">
        <v>147097660.03</v>
      </c>
      <c r="AT551" s="40">
        <f t="shared" si="609"/>
        <v>147097660.03</v>
      </c>
      <c r="AU551" s="18">
        <f t="shared" ref="AU551:AU552" si="705">AJ551-AM551</f>
        <v>2656506863.5999999</v>
      </c>
      <c r="AV551" s="110">
        <f t="shared" ref="AV551:AV552" si="706">AM551-AP551</f>
        <v>754410695.76999998</v>
      </c>
      <c r="AW551" s="18">
        <f t="shared" ref="AW551:AW552" si="707">AP551-AT551</f>
        <v>1257266526.6000001</v>
      </c>
      <c r="AX551" s="123">
        <f t="shared" ref="AX551:AX552" si="708">AP551/AJ551</f>
        <v>0.2916473553798985</v>
      </c>
    </row>
    <row r="552" spans="1:50" ht="18.75" customHeight="1" x14ac:dyDescent="0.2">
      <c r="A552" s="4" t="s">
        <v>55</v>
      </c>
      <c r="B552" s="4" t="s">
        <v>56</v>
      </c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1" t="s">
        <v>502</v>
      </c>
      <c r="AB552" s="42" t="s">
        <v>490</v>
      </c>
      <c r="AC552" s="43" t="s">
        <v>368</v>
      </c>
      <c r="AD552" s="43">
        <v>104829219</v>
      </c>
      <c r="AE552" s="44">
        <v>0</v>
      </c>
      <c r="AF552" s="44">
        <v>0</v>
      </c>
      <c r="AG552" s="44">
        <v>0</v>
      </c>
      <c r="AH552" s="44">
        <v>0</v>
      </c>
      <c r="AI552" s="44">
        <v>0</v>
      </c>
      <c r="AJ552" s="43">
        <v>104829219</v>
      </c>
      <c r="AK552" s="44">
        <v>0</v>
      </c>
      <c r="AL552" s="43">
        <v>6858356.4000000004</v>
      </c>
      <c r="AM552" s="43">
        <v>27221419.579999998</v>
      </c>
      <c r="AN552" s="44">
        <v>0</v>
      </c>
      <c r="AO552" s="43">
        <v>6858356.4000000004</v>
      </c>
      <c r="AP552" s="43">
        <v>27221419.579999998</v>
      </c>
      <c r="AQ552" s="44">
        <v>0</v>
      </c>
      <c r="AR552" s="43">
        <v>6858356.4000000004</v>
      </c>
      <c r="AS552" s="43">
        <v>27221419.579999998</v>
      </c>
      <c r="AT552" s="39">
        <f t="shared" si="609"/>
        <v>27221419.579999998</v>
      </c>
      <c r="AU552" s="18">
        <f t="shared" si="705"/>
        <v>77607799.420000002</v>
      </c>
      <c r="AV552" s="34">
        <f t="shared" si="706"/>
        <v>0</v>
      </c>
      <c r="AW552" s="34">
        <f t="shared" si="707"/>
        <v>0</v>
      </c>
      <c r="AX552" s="123">
        <f t="shared" si="708"/>
        <v>0.25967397105190682</v>
      </c>
    </row>
    <row r="553" spans="1:50" ht="18.75" customHeight="1" x14ac:dyDescent="0.2">
      <c r="AA553" s="28" t="s">
        <v>288</v>
      </c>
      <c r="AB553" s="29" t="s">
        <v>400</v>
      </c>
      <c r="AC553" s="17"/>
      <c r="AD553" s="18"/>
      <c r="AE553" s="34"/>
      <c r="AF553" s="34"/>
      <c r="AG553" s="18"/>
      <c r="AH553" s="18"/>
      <c r="AI553" s="18"/>
      <c r="AJ553" s="18"/>
      <c r="AK553" s="34"/>
      <c r="AL553" s="18"/>
      <c r="AM553" s="18"/>
      <c r="AN553" s="18"/>
      <c r="AO553" s="18"/>
      <c r="AP553" s="18"/>
      <c r="AQ553" s="18"/>
      <c r="AR553" s="18"/>
      <c r="AS553" s="18"/>
      <c r="AT553" s="39"/>
      <c r="AU553" s="18"/>
      <c r="AV553" s="18"/>
      <c r="AW553" s="18"/>
      <c r="AX553" s="18"/>
    </row>
    <row r="554" spans="1:50" ht="18.75" customHeight="1" x14ac:dyDescent="0.2">
      <c r="A554" s="4" t="s">
        <v>55</v>
      </c>
      <c r="B554" s="4" t="s">
        <v>56</v>
      </c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1" t="s">
        <v>401</v>
      </c>
      <c r="AB554" s="42" t="s">
        <v>233</v>
      </c>
      <c r="AC554" s="43" t="s">
        <v>58</v>
      </c>
      <c r="AD554" s="43">
        <v>2673811725</v>
      </c>
      <c r="AE554" s="44">
        <v>0</v>
      </c>
      <c r="AF554" s="44">
        <v>0</v>
      </c>
      <c r="AG554" s="43">
        <v>1500000000</v>
      </c>
      <c r="AH554" s="44">
        <v>0</v>
      </c>
      <c r="AI554" s="43">
        <f>AE554-AF554+AG554-AH554</f>
        <v>1500000000</v>
      </c>
      <c r="AJ554" s="43">
        <f>AD554+AI554</f>
        <v>4173811725</v>
      </c>
      <c r="AK554" s="44">
        <v>0</v>
      </c>
      <c r="AL554" s="43">
        <f>AM554-'MARZO '!AM549</f>
        <v>251833333</v>
      </c>
      <c r="AM554" s="43">
        <v>4028033333</v>
      </c>
      <c r="AN554" s="43">
        <v>17500000</v>
      </c>
      <c r="AO554" s="43">
        <v>271083333</v>
      </c>
      <c r="AP554" s="43">
        <v>4006033333</v>
      </c>
      <c r="AQ554" s="114">
        <v>618146664</v>
      </c>
      <c r="AR554" s="114">
        <v>399083332</v>
      </c>
      <c r="AS554" s="114">
        <v>814773331</v>
      </c>
      <c r="AT554" s="111">
        <f t="shared" ref="AT554:AT563" si="709">AQ554+AS554</f>
        <v>1432919995</v>
      </c>
      <c r="AU554" s="18">
        <f t="shared" ref="AU554:AU555" si="710">AJ554-AM554</f>
        <v>145778392</v>
      </c>
      <c r="AV554" s="110">
        <f t="shared" ref="AV554:AV555" si="711">AM554-AP554</f>
        <v>22000000</v>
      </c>
      <c r="AW554" s="18">
        <f t="shared" ref="AW554:AW555" si="712">AP554-AT554</f>
        <v>2573113338</v>
      </c>
      <c r="AX554" s="123">
        <f t="shared" ref="AX554:AX555" si="713">AP554/AJ554</f>
        <v>0.95980211781114777</v>
      </c>
    </row>
    <row r="555" spans="1:50" ht="18.75" customHeight="1" x14ac:dyDescent="0.2">
      <c r="A555" s="4" t="s">
        <v>55</v>
      </c>
      <c r="B555" s="4" t="s">
        <v>56</v>
      </c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1" t="s">
        <v>503</v>
      </c>
      <c r="AB555" s="42" t="s">
        <v>439</v>
      </c>
      <c r="AC555" s="43" t="s">
        <v>428</v>
      </c>
      <c r="AD555" s="43">
        <v>1237500000</v>
      </c>
      <c r="AE555" s="44">
        <v>0</v>
      </c>
      <c r="AF555" s="44">
        <v>0</v>
      </c>
      <c r="AG555" s="44">
        <v>0</v>
      </c>
      <c r="AH555" s="44">
        <v>0</v>
      </c>
      <c r="AI555" s="44">
        <v>0</v>
      </c>
      <c r="AJ555" s="43">
        <v>1237500000</v>
      </c>
      <c r="AK555" s="44">
        <v>0</v>
      </c>
      <c r="AL555" s="43">
        <f>AM555-'MARZO '!AM550</f>
        <v>74500000</v>
      </c>
      <c r="AM555" s="43">
        <v>1094700000</v>
      </c>
      <c r="AN555" s="43">
        <v>0</v>
      </c>
      <c r="AO555" s="43">
        <v>74500000</v>
      </c>
      <c r="AP555" s="43">
        <v>1078700000</v>
      </c>
      <c r="AQ555" s="114">
        <v>138233333</v>
      </c>
      <c r="AR555" s="114">
        <v>112730000</v>
      </c>
      <c r="AS555" s="114">
        <v>248936668</v>
      </c>
      <c r="AT555" s="111">
        <f t="shared" si="709"/>
        <v>387170001</v>
      </c>
      <c r="AU555" s="18">
        <f t="shared" si="710"/>
        <v>142800000</v>
      </c>
      <c r="AV555" s="110">
        <f t="shared" si="711"/>
        <v>16000000</v>
      </c>
      <c r="AW555" s="18">
        <f t="shared" si="712"/>
        <v>691529999</v>
      </c>
      <c r="AX555" s="123">
        <f t="shared" si="713"/>
        <v>0.87167676767676772</v>
      </c>
    </row>
    <row r="556" spans="1:50" ht="18.75" customHeight="1" x14ac:dyDescent="0.2">
      <c r="AA556" s="16"/>
      <c r="AB556" s="29" t="s">
        <v>199</v>
      </c>
      <c r="AC556" s="17"/>
      <c r="AD556" s="18"/>
      <c r="AE556" s="34"/>
      <c r="AF556" s="34"/>
      <c r="AG556" s="34"/>
      <c r="AH556" s="34"/>
      <c r="AI556" s="34"/>
      <c r="AJ556" s="18"/>
      <c r="AK556" s="18"/>
      <c r="AL556" s="18"/>
      <c r="AM556" s="18"/>
      <c r="AN556" s="18"/>
      <c r="AO556" s="18"/>
      <c r="AP556" s="18"/>
      <c r="AQ556" s="34"/>
      <c r="AR556" s="34"/>
      <c r="AS556" s="34"/>
      <c r="AT556" s="40"/>
      <c r="AU556" s="18"/>
      <c r="AV556" s="18"/>
      <c r="AW556" s="18"/>
      <c r="AX556" s="18"/>
    </row>
    <row r="557" spans="1:50" ht="18.75" customHeight="1" x14ac:dyDescent="0.2">
      <c r="AA557" s="28" t="s">
        <v>288</v>
      </c>
      <c r="AB557" s="29" t="s">
        <v>504</v>
      </c>
      <c r="AC557" s="17"/>
      <c r="AD557" s="18"/>
      <c r="AE557" s="34"/>
      <c r="AF557" s="34"/>
      <c r="AG557" s="34"/>
      <c r="AH557" s="34"/>
      <c r="AI557" s="34"/>
      <c r="AJ557" s="18"/>
      <c r="AK557" s="18"/>
      <c r="AL557" s="18"/>
      <c r="AM557" s="18"/>
      <c r="AN557" s="18"/>
      <c r="AO557" s="18"/>
      <c r="AP557" s="18"/>
      <c r="AQ557" s="34"/>
      <c r="AR557" s="34"/>
      <c r="AS557" s="34"/>
      <c r="AT557" s="40"/>
      <c r="AU557" s="18"/>
      <c r="AV557" s="18"/>
      <c r="AW557" s="18"/>
      <c r="AX557" s="18"/>
    </row>
    <row r="558" spans="1:50" ht="18.75" customHeight="1" x14ac:dyDescent="0.2">
      <c r="A558" s="4" t="s">
        <v>55</v>
      </c>
      <c r="B558" s="4" t="s">
        <v>56</v>
      </c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1" t="s">
        <v>505</v>
      </c>
      <c r="AB558" s="42" t="s">
        <v>439</v>
      </c>
      <c r="AC558" s="43" t="s">
        <v>428</v>
      </c>
      <c r="AD558" s="43">
        <v>1896134100.8599999</v>
      </c>
      <c r="AE558" s="44">
        <v>0</v>
      </c>
      <c r="AF558" s="44">
        <v>0</v>
      </c>
      <c r="AG558" s="44">
        <v>0</v>
      </c>
      <c r="AH558" s="44">
        <v>0</v>
      </c>
      <c r="AI558" s="44">
        <v>0</v>
      </c>
      <c r="AJ558" s="43">
        <v>1896134100.8599999</v>
      </c>
      <c r="AK558" s="44">
        <v>0</v>
      </c>
      <c r="AL558" s="115">
        <f>AM558-'MARZO '!AM553</f>
        <v>0</v>
      </c>
      <c r="AM558" s="114">
        <v>1876213086</v>
      </c>
      <c r="AN558" s="44">
        <v>0</v>
      </c>
      <c r="AO558" s="44">
        <v>0</v>
      </c>
      <c r="AP558" s="44">
        <v>0</v>
      </c>
      <c r="AQ558" s="44">
        <v>0</v>
      </c>
      <c r="AR558" s="44">
        <v>0</v>
      </c>
      <c r="AS558" s="44">
        <v>0</v>
      </c>
      <c r="AT558" s="40">
        <f>AQ558+AS558</f>
        <v>0</v>
      </c>
      <c r="AU558" s="18">
        <f t="shared" ref="AU558" si="714">AJ558-AM558</f>
        <v>19921014.859999895</v>
      </c>
      <c r="AV558" s="110">
        <f t="shared" ref="AV558" si="715">AM558-AP558</f>
        <v>1876213086</v>
      </c>
      <c r="AW558" s="34">
        <f t="shared" ref="AW558" si="716">AP558-AT558</f>
        <v>0</v>
      </c>
      <c r="AX558" s="123">
        <f t="shared" ref="AX558" si="717">AP558/AJ558</f>
        <v>0</v>
      </c>
    </row>
    <row r="559" spans="1:50" ht="18.75" customHeight="1" x14ac:dyDescent="0.2">
      <c r="AA559" s="28" t="s">
        <v>288</v>
      </c>
      <c r="AB559" s="29" t="s">
        <v>506</v>
      </c>
      <c r="AC559" s="17"/>
      <c r="AD559" s="18"/>
      <c r="AE559" s="34"/>
      <c r="AF559" s="34"/>
      <c r="AG559" s="34"/>
      <c r="AH559" s="34"/>
      <c r="AI559" s="34"/>
      <c r="AJ559" s="18"/>
      <c r="AK559" s="34"/>
      <c r="AL559" s="133"/>
      <c r="AM559" s="110"/>
      <c r="AN559" s="34"/>
      <c r="AO559" s="34"/>
      <c r="AP559" s="34"/>
      <c r="AQ559" s="34"/>
      <c r="AR559" s="34"/>
      <c r="AS559" s="34"/>
      <c r="AT559" s="40"/>
      <c r="AU559" s="18"/>
      <c r="AV559" s="34"/>
      <c r="AW559" s="18"/>
      <c r="AX559" s="18"/>
    </row>
    <row r="560" spans="1:50" ht="18.75" customHeight="1" x14ac:dyDescent="0.2">
      <c r="A560" s="4" t="s">
        <v>55</v>
      </c>
      <c r="B560" s="4" t="s">
        <v>56</v>
      </c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1" t="s">
        <v>507</v>
      </c>
      <c r="AB560" s="42" t="s">
        <v>439</v>
      </c>
      <c r="AC560" s="43" t="s">
        <v>428</v>
      </c>
      <c r="AD560" s="43">
        <v>6191009183.8000002</v>
      </c>
      <c r="AE560" s="44">
        <v>0</v>
      </c>
      <c r="AF560" s="44">
        <v>0</v>
      </c>
      <c r="AG560" s="44">
        <v>0</v>
      </c>
      <c r="AH560" s="43">
        <f>4680084481.8+76000000+907367029.2</f>
        <v>5663451511</v>
      </c>
      <c r="AI560" s="43">
        <f>AE560-AF560+AG560-AH560</f>
        <v>-5663451511</v>
      </c>
      <c r="AJ560" s="43">
        <f>AD560+AI560</f>
        <v>527557672.80000019</v>
      </c>
      <c r="AK560" s="44">
        <v>0</v>
      </c>
      <c r="AL560" s="115">
        <v>0</v>
      </c>
      <c r="AM560" s="114">
        <v>527557672.80000001</v>
      </c>
      <c r="AN560" s="44">
        <v>0</v>
      </c>
      <c r="AO560" s="44">
        <v>0</v>
      </c>
      <c r="AP560" s="114">
        <v>527557672.80000001</v>
      </c>
      <c r="AQ560" s="44">
        <v>0</v>
      </c>
      <c r="AR560" s="44">
        <v>0</v>
      </c>
      <c r="AS560" s="44">
        <v>0</v>
      </c>
      <c r="AT560" s="40">
        <f>AQ560+AS560</f>
        <v>0</v>
      </c>
      <c r="AU560" s="18">
        <f t="shared" ref="AU560" si="718">AJ560-AM560</f>
        <v>0</v>
      </c>
      <c r="AV560" s="34">
        <f t="shared" ref="AV560" si="719">AM560-AP560</f>
        <v>0</v>
      </c>
      <c r="AW560" s="18">
        <f t="shared" ref="AW560" si="720">AP560-AT560</f>
        <v>527557672.80000001</v>
      </c>
      <c r="AX560" s="123">
        <f t="shared" ref="AX560" si="721">AP560/AJ560</f>
        <v>0.99999999999999967</v>
      </c>
    </row>
    <row r="561" spans="1:50" ht="18.75" customHeight="1" x14ac:dyDescent="0.2">
      <c r="AA561" s="28" t="s">
        <v>288</v>
      </c>
      <c r="AB561" s="29" t="s">
        <v>508</v>
      </c>
      <c r="AC561" s="17"/>
      <c r="AD561" s="18"/>
      <c r="AE561" s="34"/>
      <c r="AF561" s="34"/>
      <c r="AG561" s="34"/>
      <c r="AH561" s="34"/>
      <c r="AI561" s="34"/>
      <c r="AJ561" s="18"/>
      <c r="AK561" s="34"/>
      <c r="AL561" s="34"/>
      <c r="AM561" s="34"/>
      <c r="AN561" s="34"/>
      <c r="AO561" s="34"/>
      <c r="AP561" s="34"/>
      <c r="AQ561" s="34"/>
      <c r="AR561" s="34"/>
      <c r="AS561" s="34"/>
      <c r="AT561" s="40"/>
      <c r="AU561" s="18"/>
      <c r="AV561" s="34"/>
      <c r="AW561" s="18"/>
      <c r="AX561" s="18"/>
    </row>
    <row r="562" spans="1:50" ht="18.75" customHeight="1" x14ac:dyDescent="0.2">
      <c r="A562" s="4" t="s">
        <v>55</v>
      </c>
      <c r="B562" s="4" t="s">
        <v>56</v>
      </c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1" t="s">
        <v>509</v>
      </c>
      <c r="AB562" s="42" t="s">
        <v>439</v>
      </c>
      <c r="AC562" s="43" t="s">
        <v>428</v>
      </c>
      <c r="AD562" s="43">
        <v>9340881185.3400002</v>
      </c>
      <c r="AE562" s="44">
        <v>0</v>
      </c>
      <c r="AF562" s="44">
        <v>0</v>
      </c>
      <c r="AG562" s="43">
        <f>4680084481.8+1126470266</f>
        <v>5806554747.8000002</v>
      </c>
      <c r="AH562" s="44">
        <v>0</v>
      </c>
      <c r="AI562" s="43">
        <f>AE562-AF562+AG562-AH562</f>
        <v>5806554747.8000002</v>
      </c>
      <c r="AJ562" s="43">
        <f>AD562+AI562</f>
        <v>15147435933.139999</v>
      </c>
      <c r="AK562" s="44">
        <v>0</v>
      </c>
      <c r="AL562" s="44">
        <v>0</v>
      </c>
      <c r="AM562" s="44">
        <v>0</v>
      </c>
      <c r="AN562" s="44">
        <v>0</v>
      </c>
      <c r="AO562" s="44">
        <v>0</v>
      </c>
      <c r="AP562" s="44">
        <v>0</v>
      </c>
      <c r="AQ562" s="44">
        <v>0</v>
      </c>
      <c r="AR562" s="44">
        <v>0</v>
      </c>
      <c r="AS562" s="44">
        <v>0</v>
      </c>
      <c r="AT562" s="40">
        <f t="shared" si="709"/>
        <v>0</v>
      </c>
      <c r="AU562" s="18">
        <f t="shared" ref="AU562:AU563" si="722">AJ562-AM562</f>
        <v>15147435933.139999</v>
      </c>
      <c r="AV562" s="34">
        <f t="shared" ref="AV562:AV563" si="723">AM562-AP562</f>
        <v>0</v>
      </c>
      <c r="AW562" s="34">
        <f t="shared" ref="AW562:AW563" si="724">AP562-AT562</f>
        <v>0</v>
      </c>
      <c r="AX562" s="123">
        <f t="shared" ref="AX562:AX563" si="725">AP562/AJ562</f>
        <v>0</v>
      </c>
    </row>
    <row r="563" spans="1:50" ht="18.75" customHeight="1" x14ac:dyDescent="0.2">
      <c r="A563" s="4" t="s">
        <v>55</v>
      </c>
      <c r="B563" s="4" t="s">
        <v>56</v>
      </c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1" t="s">
        <v>510</v>
      </c>
      <c r="AB563" s="42" t="s">
        <v>490</v>
      </c>
      <c r="AC563" s="43" t="s">
        <v>368</v>
      </c>
      <c r="AD563" s="43">
        <v>659690762</v>
      </c>
      <c r="AE563" s="44">
        <v>0</v>
      </c>
      <c r="AF563" s="44">
        <v>0</v>
      </c>
      <c r="AG563" s="44">
        <v>0</v>
      </c>
      <c r="AH563" s="44">
        <v>0</v>
      </c>
      <c r="AI563" s="44">
        <v>0</v>
      </c>
      <c r="AJ563" s="43">
        <v>659690762</v>
      </c>
      <c r="AK563" s="44">
        <v>0</v>
      </c>
      <c r="AL563" s="44">
        <v>0</v>
      </c>
      <c r="AM563" s="44">
        <v>0</v>
      </c>
      <c r="AN563" s="44">
        <v>0</v>
      </c>
      <c r="AO563" s="44">
        <v>0</v>
      </c>
      <c r="AP563" s="44">
        <v>0</v>
      </c>
      <c r="AQ563" s="44">
        <v>0</v>
      </c>
      <c r="AR563" s="44">
        <v>0</v>
      </c>
      <c r="AS563" s="44">
        <v>0</v>
      </c>
      <c r="AT563" s="40">
        <f t="shared" si="709"/>
        <v>0</v>
      </c>
      <c r="AU563" s="18">
        <f t="shared" si="722"/>
        <v>659690762</v>
      </c>
      <c r="AV563" s="34">
        <f t="shared" si="723"/>
        <v>0</v>
      </c>
      <c r="AW563" s="34">
        <f t="shared" si="724"/>
        <v>0</v>
      </c>
      <c r="AX563" s="123">
        <f t="shared" si="725"/>
        <v>0</v>
      </c>
    </row>
    <row r="564" spans="1:50" ht="24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73" t="s">
        <v>288</v>
      </c>
      <c r="AB564" s="74" t="s">
        <v>197</v>
      </c>
      <c r="AC564" s="43"/>
      <c r="AD564" s="43"/>
      <c r="AE564" s="44"/>
      <c r="AF564" s="44"/>
      <c r="AG564" s="44"/>
      <c r="AH564" s="44"/>
      <c r="AI564" s="44"/>
      <c r="AJ564" s="43"/>
      <c r="AK564" s="44"/>
      <c r="AL564" s="44"/>
      <c r="AM564" s="44"/>
      <c r="AN564" s="44"/>
      <c r="AO564" s="44"/>
      <c r="AP564" s="44"/>
      <c r="AQ564" s="44"/>
      <c r="AR564" s="44"/>
      <c r="AS564" s="44"/>
      <c r="AT564" s="40"/>
      <c r="AU564" s="18"/>
      <c r="AV564" s="34"/>
      <c r="AW564" s="34"/>
      <c r="AX564" s="123"/>
    </row>
    <row r="565" spans="1:50" ht="18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159" t="s">
        <v>967</v>
      </c>
      <c r="AB565" s="42" t="s">
        <v>439</v>
      </c>
      <c r="AC565" s="43"/>
      <c r="AD565" s="43">
        <v>0</v>
      </c>
      <c r="AE565" s="44">
        <v>0</v>
      </c>
      <c r="AF565" s="44">
        <v>0</v>
      </c>
      <c r="AG565" s="43">
        <v>76000000</v>
      </c>
      <c r="AH565" s="44"/>
      <c r="AI565" s="43">
        <f>AE565-AF565+AG565-AH565</f>
        <v>76000000</v>
      </c>
      <c r="AJ565" s="43">
        <f>AD565+AI565</f>
        <v>76000000</v>
      </c>
      <c r="AK565" s="43">
        <v>0</v>
      </c>
      <c r="AL565" s="43">
        <v>76000000</v>
      </c>
      <c r="AM565" s="43">
        <v>76000000</v>
      </c>
      <c r="AN565" s="44">
        <v>0</v>
      </c>
      <c r="AO565" s="44">
        <v>0</v>
      </c>
      <c r="AP565" s="44">
        <v>0</v>
      </c>
      <c r="AQ565" s="44">
        <v>0</v>
      </c>
      <c r="AR565" s="44">
        <v>0</v>
      </c>
      <c r="AS565" s="44">
        <v>0</v>
      </c>
      <c r="AT565" s="40">
        <f t="shared" ref="AT565" si="726">AQ565+AS565</f>
        <v>0</v>
      </c>
      <c r="AU565" s="18">
        <f t="shared" ref="AU565" si="727">AJ565-AM565</f>
        <v>0</v>
      </c>
      <c r="AV565" s="18">
        <f t="shared" ref="AV565" si="728">AM565-AP565</f>
        <v>76000000</v>
      </c>
      <c r="AW565" s="34">
        <f t="shared" ref="AW565" si="729">AP565-AT565</f>
        <v>0</v>
      </c>
      <c r="AX565" s="123">
        <f t="shared" ref="AX565" si="730">AP565/AJ565</f>
        <v>0</v>
      </c>
    </row>
    <row r="566" spans="1:50" x14ac:dyDescent="0.2">
      <c r="AA566" s="16"/>
      <c r="AB566" s="29" t="s">
        <v>511</v>
      </c>
      <c r="AC566" s="17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34"/>
      <c r="AR566" s="34"/>
      <c r="AS566" s="34"/>
      <c r="AT566" s="40"/>
      <c r="AU566" s="18"/>
      <c r="AV566" s="18"/>
      <c r="AW566" s="18"/>
      <c r="AX566" s="18"/>
    </row>
    <row r="567" spans="1:50" ht="18.75" customHeight="1" x14ac:dyDescent="0.2">
      <c r="AA567" s="16"/>
      <c r="AB567" s="29" t="s">
        <v>285</v>
      </c>
      <c r="AC567" s="17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30"/>
      <c r="AU567" s="18"/>
      <c r="AV567" s="18"/>
      <c r="AW567" s="18"/>
      <c r="AX567" s="18"/>
    </row>
    <row r="568" spans="1:50" ht="18.75" customHeight="1" x14ac:dyDescent="0.2">
      <c r="AA568" s="16"/>
      <c r="AB568" s="29" t="s">
        <v>286</v>
      </c>
      <c r="AC568" s="17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30"/>
      <c r="AU568" s="18"/>
      <c r="AV568" s="18"/>
      <c r="AW568" s="18"/>
      <c r="AX568" s="18"/>
    </row>
    <row r="569" spans="1:50" ht="18.75" customHeight="1" x14ac:dyDescent="0.2">
      <c r="AA569" s="16"/>
      <c r="AB569" s="29" t="s">
        <v>179</v>
      </c>
      <c r="AC569" s="17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30"/>
      <c r="AU569" s="18"/>
      <c r="AV569" s="18"/>
      <c r="AW569" s="18"/>
      <c r="AX569" s="18"/>
    </row>
    <row r="570" spans="1:50" ht="18.75" customHeight="1" x14ac:dyDescent="0.2">
      <c r="AA570" s="16"/>
      <c r="AB570" s="29" t="s">
        <v>189</v>
      </c>
      <c r="AC570" s="17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30"/>
      <c r="AU570" s="18"/>
      <c r="AV570" s="18"/>
      <c r="AW570" s="18"/>
      <c r="AX570" s="18"/>
    </row>
    <row r="571" spans="1:50" ht="18.75" customHeight="1" x14ac:dyDescent="0.2">
      <c r="AA571" s="16"/>
      <c r="AB571" s="29" t="s">
        <v>199</v>
      </c>
      <c r="AC571" s="17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30"/>
      <c r="AU571" s="18"/>
      <c r="AV571" s="18"/>
      <c r="AW571" s="18"/>
      <c r="AX571" s="18"/>
    </row>
    <row r="572" spans="1:50" ht="25.5" x14ac:dyDescent="0.2">
      <c r="AA572" s="28" t="s">
        <v>288</v>
      </c>
      <c r="AB572" s="29" t="s">
        <v>512</v>
      </c>
      <c r="AC572" s="17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30"/>
      <c r="AU572" s="18"/>
      <c r="AV572" s="18"/>
      <c r="AW572" s="18"/>
      <c r="AX572" s="18"/>
    </row>
    <row r="573" spans="1:50" ht="18.75" customHeight="1" x14ac:dyDescent="0.2">
      <c r="A573" s="4" t="s">
        <v>55</v>
      </c>
      <c r="B573" s="4" t="s">
        <v>56</v>
      </c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1" t="s">
        <v>513</v>
      </c>
      <c r="AB573" s="42" t="s">
        <v>233</v>
      </c>
      <c r="AC573" s="43" t="s">
        <v>58</v>
      </c>
      <c r="AD573" s="43">
        <v>331060322</v>
      </c>
      <c r="AE573" s="44">
        <v>0</v>
      </c>
      <c r="AF573" s="44">
        <v>0</v>
      </c>
      <c r="AG573" s="44">
        <v>0</v>
      </c>
      <c r="AH573" s="44">
        <v>0</v>
      </c>
      <c r="AI573" s="44">
        <v>0</v>
      </c>
      <c r="AJ573" s="43">
        <v>331060322</v>
      </c>
      <c r="AK573" s="44">
        <v>0</v>
      </c>
      <c r="AL573" s="44">
        <v>0</v>
      </c>
      <c r="AM573" s="44">
        <v>0</v>
      </c>
      <c r="AN573" s="44">
        <v>0</v>
      </c>
      <c r="AO573" s="44">
        <v>0</v>
      </c>
      <c r="AP573" s="44">
        <v>0</v>
      </c>
      <c r="AQ573" s="34">
        <v>0</v>
      </c>
      <c r="AR573" s="34">
        <v>0</v>
      </c>
      <c r="AS573" s="34">
        <v>0</v>
      </c>
      <c r="AT573" s="40">
        <f t="shared" ref="AT573:AT577" si="731">AQ573+AS573</f>
        <v>0</v>
      </c>
      <c r="AU573" s="18">
        <f t="shared" ref="AU573:AU577" si="732">AJ573-AM573</f>
        <v>331060322</v>
      </c>
      <c r="AV573" s="34">
        <f t="shared" ref="AV573:AV577" si="733">AM573-AP573</f>
        <v>0</v>
      </c>
      <c r="AW573" s="34">
        <f t="shared" ref="AW573:AW577" si="734">AP573-AT573</f>
        <v>0</v>
      </c>
      <c r="AX573" s="123">
        <f t="shared" ref="AX573:AX577" si="735">AP573/AJ573</f>
        <v>0</v>
      </c>
    </row>
    <row r="574" spans="1:50" ht="18.75" customHeight="1" x14ac:dyDescent="0.2">
      <c r="A574" s="4" t="s">
        <v>55</v>
      </c>
      <c r="B574" s="4" t="s">
        <v>56</v>
      </c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1" t="s">
        <v>514</v>
      </c>
      <c r="AB574" s="42" t="s">
        <v>515</v>
      </c>
      <c r="AC574" s="43" t="s">
        <v>516</v>
      </c>
      <c r="AD574" s="43">
        <v>6887333116</v>
      </c>
      <c r="AE574" s="44">
        <v>0</v>
      </c>
      <c r="AF574" s="44">
        <v>0</v>
      </c>
      <c r="AG574" s="44">
        <v>0</v>
      </c>
      <c r="AH574" s="44">
        <v>0</v>
      </c>
      <c r="AI574" s="44">
        <v>0</v>
      </c>
      <c r="AJ574" s="43">
        <v>6887333116</v>
      </c>
      <c r="AK574" s="115">
        <v>0</v>
      </c>
      <c r="AL574" s="114">
        <f>AM574-'MARZO '!AM569</f>
        <v>669410446</v>
      </c>
      <c r="AM574" s="114">
        <v>2549270045</v>
      </c>
      <c r="AN574" s="114">
        <v>0</v>
      </c>
      <c r="AO574" s="114">
        <v>669410446</v>
      </c>
      <c r="AP574" s="114">
        <v>2549270045</v>
      </c>
      <c r="AQ574" s="133">
        <v>0</v>
      </c>
      <c r="AR574" s="110">
        <v>669410446</v>
      </c>
      <c r="AS574" s="110">
        <v>2549270045</v>
      </c>
      <c r="AT574" s="39">
        <f t="shared" si="731"/>
        <v>2549270045</v>
      </c>
      <c r="AU574" s="18">
        <f t="shared" si="732"/>
        <v>4338063071</v>
      </c>
      <c r="AV574" s="34">
        <f t="shared" si="733"/>
        <v>0</v>
      </c>
      <c r="AW574" s="18">
        <f t="shared" si="734"/>
        <v>0</v>
      </c>
      <c r="AX574" s="123">
        <f t="shared" si="735"/>
        <v>0.3701389205464416</v>
      </c>
    </row>
    <row r="575" spans="1:50" x14ac:dyDescent="0.2">
      <c r="A575" s="4" t="s">
        <v>55</v>
      </c>
      <c r="B575" s="4" t="s">
        <v>56</v>
      </c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1" t="s">
        <v>517</v>
      </c>
      <c r="AB575" s="42" t="s">
        <v>518</v>
      </c>
      <c r="AC575" s="43" t="s">
        <v>428</v>
      </c>
      <c r="AD575" s="43">
        <v>263626220</v>
      </c>
      <c r="AE575" s="44">
        <v>0</v>
      </c>
      <c r="AF575" s="44">
        <v>0</v>
      </c>
      <c r="AG575" s="44">
        <v>0</v>
      </c>
      <c r="AH575" s="44">
        <v>0</v>
      </c>
      <c r="AI575" s="44">
        <v>0</v>
      </c>
      <c r="AJ575" s="43">
        <v>263626220</v>
      </c>
      <c r="AK575" s="44">
        <v>0</v>
      </c>
      <c r="AL575" s="44">
        <v>0</v>
      </c>
      <c r="AM575" s="44">
        <v>0</v>
      </c>
      <c r="AN575" s="44">
        <v>0</v>
      </c>
      <c r="AO575" s="44">
        <v>0</v>
      </c>
      <c r="AP575" s="44">
        <v>0</v>
      </c>
      <c r="AQ575" s="34">
        <v>0</v>
      </c>
      <c r="AR575" s="34">
        <v>0</v>
      </c>
      <c r="AS575" s="34">
        <v>0</v>
      </c>
      <c r="AT575" s="40">
        <f t="shared" si="731"/>
        <v>0</v>
      </c>
      <c r="AU575" s="18">
        <f t="shared" si="732"/>
        <v>263626220</v>
      </c>
      <c r="AV575" s="34">
        <f t="shared" si="733"/>
        <v>0</v>
      </c>
      <c r="AW575" s="34">
        <f t="shared" si="734"/>
        <v>0</v>
      </c>
      <c r="AX575" s="123">
        <f t="shared" si="735"/>
        <v>0</v>
      </c>
    </row>
    <row r="576" spans="1:50" ht="25.5" x14ac:dyDescent="0.2">
      <c r="A576" s="4" t="s">
        <v>55</v>
      </c>
      <c r="B576" s="4" t="s">
        <v>56</v>
      </c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1" t="s">
        <v>519</v>
      </c>
      <c r="AB576" s="42" t="s">
        <v>520</v>
      </c>
      <c r="AC576" s="43" t="s">
        <v>368</v>
      </c>
      <c r="AD576" s="43">
        <v>6200094.4000000004</v>
      </c>
      <c r="AE576" s="44">
        <v>0</v>
      </c>
      <c r="AF576" s="44">
        <v>0</v>
      </c>
      <c r="AG576" s="44">
        <v>0</v>
      </c>
      <c r="AH576" s="44">
        <v>0</v>
      </c>
      <c r="AI576" s="44">
        <v>0</v>
      </c>
      <c r="AJ576" s="43">
        <v>6200094.4000000004</v>
      </c>
      <c r="AK576" s="44">
        <v>0</v>
      </c>
      <c r="AL576" s="44">
        <v>0</v>
      </c>
      <c r="AM576" s="44">
        <v>0</v>
      </c>
      <c r="AN576" s="44">
        <v>0</v>
      </c>
      <c r="AO576" s="44">
        <v>0</v>
      </c>
      <c r="AP576" s="44">
        <v>0</v>
      </c>
      <c r="AQ576" s="34">
        <v>0</v>
      </c>
      <c r="AR576" s="34">
        <v>0</v>
      </c>
      <c r="AS576" s="34">
        <v>0</v>
      </c>
      <c r="AT576" s="40">
        <f t="shared" si="731"/>
        <v>0</v>
      </c>
      <c r="AU576" s="18">
        <f t="shared" si="732"/>
        <v>6200094.4000000004</v>
      </c>
      <c r="AV576" s="34">
        <f t="shared" si="733"/>
        <v>0</v>
      </c>
      <c r="AW576" s="34">
        <f t="shared" si="734"/>
        <v>0</v>
      </c>
      <c r="AX576" s="123">
        <f t="shared" si="735"/>
        <v>0</v>
      </c>
    </row>
    <row r="577" spans="1:50" ht="25.5" x14ac:dyDescent="0.2">
      <c r="A577" s="4" t="s">
        <v>55</v>
      </c>
      <c r="B577" s="4" t="s">
        <v>56</v>
      </c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1" t="s">
        <v>521</v>
      </c>
      <c r="AB577" s="42" t="s">
        <v>522</v>
      </c>
      <c r="AC577" s="43" t="s">
        <v>368</v>
      </c>
      <c r="AD577" s="43">
        <v>112310609.13</v>
      </c>
      <c r="AE577" s="44">
        <v>0</v>
      </c>
      <c r="AF577" s="44">
        <v>0</v>
      </c>
      <c r="AG577" s="44">
        <v>0</v>
      </c>
      <c r="AH577" s="44">
        <v>0</v>
      </c>
      <c r="AI577" s="44">
        <v>0</v>
      </c>
      <c r="AJ577" s="43">
        <v>112310609.13</v>
      </c>
      <c r="AK577" s="44">
        <v>0</v>
      </c>
      <c r="AL577" s="44">
        <v>0</v>
      </c>
      <c r="AM577" s="44">
        <v>0</v>
      </c>
      <c r="AN577" s="44">
        <v>0</v>
      </c>
      <c r="AO577" s="44">
        <v>0</v>
      </c>
      <c r="AP577" s="44">
        <v>0</v>
      </c>
      <c r="AQ577" s="34">
        <v>0</v>
      </c>
      <c r="AR577" s="34">
        <v>0</v>
      </c>
      <c r="AS577" s="34">
        <v>0</v>
      </c>
      <c r="AT577" s="40">
        <f t="shared" si="731"/>
        <v>0</v>
      </c>
      <c r="AU577" s="18">
        <f t="shared" si="732"/>
        <v>112310609.13</v>
      </c>
      <c r="AV577" s="34">
        <f t="shared" si="733"/>
        <v>0</v>
      </c>
      <c r="AW577" s="34">
        <f t="shared" si="734"/>
        <v>0</v>
      </c>
      <c r="AX577" s="123">
        <f t="shared" si="735"/>
        <v>0</v>
      </c>
    </row>
    <row r="578" spans="1:50" ht="18.75" customHeight="1" x14ac:dyDescent="0.2">
      <c r="AA578" s="16"/>
      <c r="AB578" s="17"/>
      <c r="AC578" s="17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34"/>
      <c r="AR578" s="34"/>
      <c r="AS578" s="34"/>
      <c r="AT578" s="40"/>
      <c r="AU578" s="18"/>
      <c r="AV578" s="18"/>
      <c r="AW578" s="18"/>
      <c r="AX578" s="18"/>
    </row>
    <row r="579" spans="1:50" ht="18.75" customHeight="1" x14ac:dyDescent="0.2">
      <c r="AA579" s="16"/>
      <c r="AB579" s="29" t="s">
        <v>523</v>
      </c>
      <c r="AC579" s="17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34"/>
      <c r="AR579" s="34"/>
      <c r="AS579" s="34"/>
      <c r="AT579" s="40"/>
      <c r="AU579" s="18"/>
      <c r="AV579" s="18"/>
      <c r="AW579" s="18"/>
      <c r="AX579" s="18"/>
    </row>
    <row r="580" spans="1:50" ht="18.75" customHeight="1" x14ac:dyDescent="0.2">
      <c r="AA580" s="16"/>
      <c r="AB580" s="29" t="s">
        <v>285</v>
      </c>
      <c r="AC580" s="17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34"/>
      <c r="AR580" s="34"/>
      <c r="AS580" s="34"/>
      <c r="AT580" s="40"/>
      <c r="AU580" s="18"/>
      <c r="AV580" s="18"/>
      <c r="AW580" s="18"/>
      <c r="AX580" s="18"/>
    </row>
    <row r="581" spans="1:50" ht="18.75" customHeight="1" x14ac:dyDescent="0.2">
      <c r="AA581" s="16"/>
      <c r="AB581" s="29" t="s">
        <v>286</v>
      </c>
      <c r="AC581" s="17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34"/>
      <c r="AR581" s="34"/>
      <c r="AS581" s="34"/>
      <c r="AT581" s="40"/>
      <c r="AU581" s="18"/>
      <c r="AV581" s="18"/>
      <c r="AW581" s="18"/>
      <c r="AX581" s="18"/>
    </row>
    <row r="582" spans="1:50" ht="18.75" customHeight="1" x14ac:dyDescent="0.2">
      <c r="AA582" s="16"/>
      <c r="AB582" s="29" t="s">
        <v>179</v>
      </c>
      <c r="AC582" s="17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34"/>
      <c r="AR582" s="34"/>
      <c r="AS582" s="34"/>
      <c r="AT582" s="40"/>
      <c r="AU582" s="18"/>
      <c r="AV582" s="18"/>
      <c r="AW582" s="18"/>
      <c r="AX582" s="18"/>
    </row>
    <row r="583" spans="1:50" ht="18.75" customHeight="1" x14ac:dyDescent="0.2">
      <c r="AA583" s="16"/>
      <c r="AB583" s="29" t="s">
        <v>189</v>
      </c>
      <c r="AC583" s="17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34"/>
      <c r="AR583" s="34"/>
      <c r="AS583" s="34"/>
      <c r="AT583" s="40"/>
      <c r="AU583" s="18"/>
      <c r="AV583" s="18"/>
      <c r="AW583" s="18"/>
      <c r="AX583" s="18"/>
    </row>
    <row r="584" spans="1:50" ht="18.75" customHeight="1" x14ac:dyDescent="0.2">
      <c r="AA584" s="16"/>
      <c r="AB584" s="29" t="s">
        <v>191</v>
      </c>
      <c r="AC584" s="17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34"/>
      <c r="AR584" s="34"/>
      <c r="AS584" s="34"/>
      <c r="AT584" s="40"/>
      <c r="AU584" s="18"/>
      <c r="AV584" s="18"/>
      <c r="AW584" s="18"/>
      <c r="AX584" s="18"/>
    </row>
    <row r="585" spans="1:50" ht="18.75" customHeight="1" x14ac:dyDescent="0.2">
      <c r="AA585" s="28" t="s">
        <v>288</v>
      </c>
      <c r="AB585" s="29" t="s">
        <v>459</v>
      </c>
      <c r="AC585" s="17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34"/>
      <c r="AR585" s="34"/>
      <c r="AS585" s="34"/>
      <c r="AT585" s="40"/>
      <c r="AU585" s="18"/>
      <c r="AV585" s="18"/>
      <c r="AW585" s="18"/>
      <c r="AX585" s="18"/>
    </row>
    <row r="586" spans="1:50" ht="25.5" x14ac:dyDescent="0.2">
      <c r="A586" s="4" t="s">
        <v>55</v>
      </c>
      <c r="B586" s="4" t="s">
        <v>56</v>
      </c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1" t="s">
        <v>524</v>
      </c>
      <c r="AB586" s="42" t="s">
        <v>525</v>
      </c>
      <c r="AC586" s="43" t="s">
        <v>428</v>
      </c>
      <c r="AD586" s="43">
        <v>47990790</v>
      </c>
      <c r="AE586" s="44">
        <v>0</v>
      </c>
      <c r="AF586" s="44">
        <v>0</v>
      </c>
      <c r="AG586" s="44">
        <v>0</v>
      </c>
      <c r="AH586" s="44">
        <v>0</v>
      </c>
      <c r="AI586" s="44">
        <v>0</v>
      </c>
      <c r="AJ586" s="43">
        <v>47990790</v>
      </c>
      <c r="AK586" s="44">
        <v>0</v>
      </c>
      <c r="AL586" s="44">
        <v>0</v>
      </c>
      <c r="AM586" s="44">
        <v>0</v>
      </c>
      <c r="AN586" s="44">
        <v>0</v>
      </c>
      <c r="AO586" s="44">
        <v>0</v>
      </c>
      <c r="AP586" s="44">
        <v>0</v>
      </c>
      <c r="AQ586" s="34">
        <v>0</v>
      </c>
      <c r="AR586" s="34">
        <v>0</v>
      </c>
      <c r="AS586" s="34">
        <v>0</v>
      </c>
      <c r="AT586" s="40">
        <f t="shared" ref="AT586:AT587" si="736">AQ586+AS586</f>
        <v>0</v>
      </c>
      <c r="AU586" s="18">
        <f t="shared" ref="AU586:AU587" si="737">AJ586-AM586</f>
        <v>47990790</v>
      </c>
      <c r="AV586" s="34">
        <f t="shared" ref="AV586:AV587" si="738">AM586-AP586</f>
        <v>0</v>
      </c>
      <c r="AW586" s="34">
        <f t="shared" ref="AW586:AW587" si="739">AP586-AT586</f>
        <v>0</v>
      </c>
      <c r="AX586" s="123">
        <f t="shared" ref="AX586:AX587" si="740">AP586/AJ586</f>
        <v>0</v>
      </c>
    </row>
    <row r="587" spans="1:50" ht="25.5" x14ac:dyDescent="0.2">
      <c r="A587" s="4" t="s">
        <v>55</v>
      </c>
      <c r="B587" s="4" t="s">
        <v>56</v>
      </c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1" t="s">
        <v>526</v>
      </c>
      <c r="AB587" s="42" t="s">
        <v>527</v>
      </c>
      <c r="AC587" s="43" t="s">
        <v>428</v>
      </c>
      <c r="AD587" s="43">
        <v>1098509998.8599999</v>
      </c>
      <c r="AE587" s="44">
        <v>0</v>
      </c>
      <c r="AF587" s="44">
        <v>0</v>
      </c>
      <c r="AG587" s="44">
        <v>0</v>
      </c>
      <c r="AH587" s="44">
        <v>0</v>
      </c>
      <c r="AI587" s="44">
        <v>0</v>
      </c>
      <c r="AJ587" s="43">
        <v>1098509998.8599999</v>
      </c>
      <c r="AK587" s="44">
        <v>0</v>
      </c>
      <c r="AL587" s="44">
        <v>0</v>
      </c>
      <c r="AM587" s="44">
        <v>0</v>
      </c>
      <c r="AN587" s="44">
        <v>0</v>
      </c>
      <c r="AO587" s="44">
        <v>0</v>
      </c>
      <c r="AP587" s="44">
        <v>0</v>
      </c>
      <c r="AQ587" s="34">
        <v>0</v>
      </c>
      <c r="AR587" s="34">
        <v>0</v>
      </c>
      <c r="AS587" s="34">
        <v>0</v>
      </c>
      <c r="AT587" s="40">
        <f t="shared" si="736"/>
        <v>0</v>
      </c>
      <c r="AU587" s="18">
        <f t="shared" si="737"/>
        <v>1098509998.8599999</v>
      </c>
      <c r="AV587" s="34">
        <f t="shared" si="738"/>
        <v>0</v>
      </c>
      <c r="AW587" s="34">
        <f t="shared" si="739"/>
        <v>0</v>
      </c>
      <c r="AX587" s="123">
        <f t="shared" si="740"/>
        <v>0</v>
      </c>
    </row>
    <row r="588" spans="1:50" x14ac:dyDescent="0.2">
      <c r="AA588" s="16"/>
      <c r="AB588" s="17"/>
      <c r="AC588" s="17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30"/>
      <c r="AU588" s="18"/>
      <c r="AV588" s="18"/>
      <c r="AW588" s="18"/>
      <c r="AX588" s="18"/>
    </row>
    <row r="589" spans="1:50" s="50" customFormat="1" ht="18.75" customHeight="1" x14ac:dyDescent="0.2"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46"/>
      <c r="AB589" s="47" t="s">
        <v>528</v>
      </c>
      <c r="AC589" s="47"/>
      <c r="AD589" s="48">
        <f t="shared" ref="AD589:AS589" si="741">SUM(AD475:AD587)</f>
        <v>94071374538</v>
      </c>
      <c r="AE589" s="49">
        <f t="shared" si="741"/>
        <v>28851327162</v>
      </c>
      <c r="AF589" s="49">
        <f t="shared" si="741"/>
        <v>0</v>
      </c>
      <c r="AG589" s="48">
        <f t="shared" si="741"/>
        <v>50243057683.950005</v>
      </c>
      <c r="AH589" s="48">
        <f t="shared" si="741"/>
        <v>48687057683.950005</v>
      </c>
      <c r="AI589" s="48">
        <f t="shared" si="741"/>
        <v>30407327162</v>
      </c>
      <c r="AJ589" s="48">
        <f t="shared" si="741"/>
        <v>124478701700.00002</v>
      </c>
      <c r="AK589" s="49">
        <f t="shared" si="741"/>
        <v>0</v>
      </c>
      <c r="AL589" s="48">
        <f t="shared" si="741"/>
        <v>1149098182.8699999</v>
      </c>
      <c r="AM589" s="48">
        <f>SUM(AM475:AM587)</f>
        <v>77170031160.12001</v>
      </c>
      <c r="AN589" s="48">
        <f t="shared" si="741"/>
        <v>17500000</v>
      </c>
      <c r="AO589" s="48">
        <f t="shared" si="741"/>
        <v>2904982812.4000001</v>
      </c>
      <c r="AP589" s="48">
        <f t="shared" si="741"/>
        <v>18974382038.290001</v>
      </c>
      <c r="AQ589" s="48">
        <f t="shared" si="741"/>
        <v>756379997</v>
      </c>
      <c r="AR589" s="48">
        <f t="shared" si="741"/>
        <v>2729913466.4300003</v>
      </c>
      <c r="AS589" s="48">
        <f t="shared" si="741"/>
        <v>9418238865.7200012</v>
      </c>
      <c r="AT589" s="22">
        <f>AQ589+AS589</f>
        <v>10174618862.720001</v>
      </c>
      <c r="AU589" s="48">
        <f>SUM(AU475:AU587)</f>
        <v>47308670539.880005</v>
      </c>
      <c r="AV589" s="48">
        <f>SUM(AV475:AV587)</f>
        <v>58195649121.829994</v>
      </c>
      <c r="AW589" s="48">
        <f>SUM(AW475:AW587)</f>
        <v>8799763175.5699997</v>
      </c>
      <c r="AX589" s="24">
        <f t="shared" ref="AX589" si="742">AP589/AJ589</f>
        <v>0.15243075143906323</v>
      </c>
    </row>
    <row r="590" spans="1:50" ht="18.75" customHeight="1" x14ac:dyDescent="0.2">
      <c r="AA590" s="16"/>
      <c r="AB590" s="17"/>
      <c r="AC590" s="17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</row>
    <row r="591" spans="1:50" s="25" customFormat="1" ht="18.75" customHeight="1" x14ac:dyDescent="0.2"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66"/>
      <c r="AB591" s="21" t="s">
        <v>529</v>
      </c>
      <c r="AC591" s="67"/>
      <c r="AD591" s="63"/>
      <c r="AE591" s="63"/>
      <c r="AF591" s="63"/>
      <c r="AG591" s="63"/>
      <c r="AH591" s="63"/>
      <c r="AI591" s="63"/>
      <c r="AJ591" s="63"/>
      <c r="AK591" s="63"/>
      <c r="AL591" s="63"/>
      <c r="AM591" s="63"/>
      <c r="AN591" s="63"/>
      <c r="AO591" s="63"/>
      <c r="AP591" s="63"/>
      <c r="AQ591" s="63"/>
      <c r="AR591" s="63"/>
      <c r="AS591" s="63"/>
      <c r="AT591" s="63"/>
      <c r="AU591" s="63"/>
      <c r="AV591" s="63"/>
      <c r="AW591" s="63"/>
      <c r="AX591" s="63"/>
    </row>
    <row r="592" spans="1:50" ht="18.75" customHeight="1" x14ac:dyDescent="0.2">
      <c r="AA592" s="16"/>
      <c r="AB592" s="29" t="s">
        <v>286</v>
      </c>
      <c r="AC592" s="17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</row>
    <row r="593" spans="1:50" ht="18.75" customHeight="1" x14ac:dyDescent="0.2">
      <c r="AA593" s="16"/>
      <c r="AB593" s="29" t="s">
        <v>179</v>
      </c>
      <c r="AC593" s="17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</row>
    <row r="594" spans="1:50" ht="18.75" customHeight="1" x14ac:dyDescent="0.2">
      <c r="AA594" s="16"/>
      <c r="AB594" s="29" t="s">
        <v>181</v>
      </c>
      <c r="AC594" s="17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</row>
    <row r="595" spans="1:50" x14ac:dyDescent="0.2">
      <c r="AA595" s="16"/>
      <c r="AB595" s="29" t="s">
        <v>530</v>
      </c>
      <c r="AC595" s="17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30"/>
      <c r="AU595" s="18"/>
      <c r="AV595" s="18"/>
      <c r="AW595" s="18"/>
      <c r="AX595" s="18"/>
    </row>
    <row r="596" spans="1:50" ht="25.5" x14ac:dyDescent="0.2">
      <c r="AA596" s="28" t="s">
        <v>288</v>
      </c>
      <c r="AB596" s="29" t="s">
        <v>531</v>
      </c>
      <c r="AC596" s="17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30"/>
      <c r="AU596" s="18"/>
      <c r="AV596" s="18"/>
      <c r="AW596" s="18"/>
      <c r="AX596" s="18"/>
    </row>
    <row r="597" spans="1:50" x14ac:dyDescent="0.2">
      <c r="A597" s="4" t="s">
        <v>55</v>
      </c>
      <c r="B597" s="4" t="s">
        <v>56</v>
      </c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1" t="s">
        <v>532</v>
      </c>
      <c r="AB597" s="42" t="s">
        <v>233</v>
      </c>
      <c r="AC597" s="43" t="s">
        <v>58</v>
      </c>
      <c r="AD597" s="43">
        <v>40000000.659999996</v>
      </c>
      <c r="AE597" s="44">
        <v>0</v>
      </c>
      <c r="AF597" s="44">
        <v>0</v>
      </c>
      <c r="AG597" s="43">
        <v>250000000</v>
      </c>
      <c r="AH597" s="44">
        <v>0</v>
      </c>
      <c r="AI597" s="43">
        <f>AE597-AF597+AG597-AH597</f>
        <v>250000000</v>
      </c>
      <c r="AJ597" s="43">
        <f>AD597+AI597</f>
        <v>290000000.65999997</v>
      </c>
      <c r="AK597" s="44">
        <v>0</v>
      </c>
      <c r="AL597" s="44">
        <v>0</v>
      </c>
      <c r="AM597" s="44">
        <v>0</v>
      </c>
      <c r="AN597" s="44">
        <v>0</v>
      </c>
      <c r="AO597" s="44">
        <v>0</v>
      </c>
      <c r="AP597" s="44">
        <v>0</v>
      </c>
      <c r="AQ597" s="34">
        <v>0</v>
      </c>
      <c r="AR597" s="34">
        <v>0</v>
      </c>
      <c r="AS597" s="34">
        <v>0</v>
      </c>
      <c r="AT597" s="40">
        <f t="shared" ref="AT597:AT599" si="743">AQ597+AS597</f>
        <v>0</v>
      </c>
      <c r="AU597" s="18">
        <f t="shared" ref="AU597:AU599" si="744">AJ597-AM597</f>
        <v>290000000.65999997</v>
      </c>
      <c r="AV597" s="34">
        <f t="shared" ref="AV597:AV599" si="745">AM597-AP597</f>
        <v>0</v>
      </c>
      <c r="AW597" s="34">
        <f t="shared" ref="AW597:AW599" si="746">AP597-AT597</f>
        <v>0</v>
      </c>
      <c r="AX597" s="123">
        <f t="shared" ref="AX597:AX599" si="747">AP597/AJ597</f>
        <v>0</v>
      </c>
    </row>
    <row r="598" spans="1:50" ht="25.5" x14ac:dyDescent="0.2">
      <c r="AA598" s="28" t="s">
        <v>288</v>
      </c>
      <c r="AB598" s="29" t="s">
        <v>533</v>
      </c>
      <c r="AC598" s="17"/>
      <c r="AD598" s="18"/>
      <c r="AE598" s="34"/>
      <c r="AF598" s="34"/>
      <c r="AG598" s="34"/>
      <c r="AH598" s="34"/>
      <c r="AI598" s="34"/>
      <c r="AJ598" s="18"/>
      <c r="AK598" s="18"/>
      <c r="AL598" s="18"/>
      <c r="AM598" s="18"/>
      <c r="AN598" s="18"/>
      <c r="AO598" s="18"/>
      <c r="AP598" s="18"/>
      <c r="AQ598" s="34"/>
      <c r="AR598" s="34"/>
      <c r="AS598" s="34"/>
      <c r="AT598" s="40"/>
      <c r="AU598" s="18"/>
      <c r="AV598" s="34"/>
      <c r="AW598" s="34"/>
      <c r="AX598" s="123"/>
    </row>
    <row r="599" spans="1:50" x14ac:dyDescent="0.2">
      <c r="A599" s="4" t="s">
        <v>55</v>
      </c>
      <c r="B599" s="4" t="s">
        <v>56</v>
      </c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1" t="s">
        <v>534</v>
      </c>
      <c r="AB599" s="42" t="s">
        <v>233</v>
      </c>
      <c r="AC599" s="43" t="s">
        <v>58</v>
      </c>
      <c r="AD599" s="43">
        <v>100000000</v>
      </c>
      <c r="AE599" s="44">
        <v>0</v>
      </c>
      <c r="AF599" s="44">
        <v>0</v>
      </c>
      <c r="AG599" s="44">
        <v>0</v>
      </c>
      <c r="AH599" s="44">
        <v>0</v>
      </c>
      <c r="AI599" s="44">
        <v>0</v>
      </c>
      <c r="AJ599" s="43">
        <v>100000000</v>
      </c>
      <c r="AK599" s="44">
        <v>0</v>
      </c>
      <c r="AL599" s="44">
        <v>0</v>
      </c>
      <c r="AM599" s="44">
        <v>0</v>
      </c>
      <c r="AN599" s="44">
        <v>0</v>
      </c>
      <c r="AO599" s="44">
        <v>0</v>
      </c>
      <c r="AP599" s="44">
        <v>0</v>
      </c>
      <c r="AQ599" s="34">
        <v>0</v>
      </c>
      <c r="AR599" s="34">
        <v>0</v>
      </c>
      <c r="AS599" s="34">
        <v>0</v>
      </c>
      <c r="AT599" s="40">
        <f t="shared" si="743"/>
        <v>0</v>
      </c>
      <c r="AU599" s="18">
        <f t="shared" si="744"/>
        <v>100000000</v>
      </c>
      <c r="AV599" s="34">
        <f t="shared" si="745"/>
        <v>0</v>
      </c>
      <c r="AW599" s="34">
        <f t="shared" si="746"/>
        <v>0</v>
      </c>
      <c r="AX599" s="123">
        <f t="shared" si="747"/>
        <v>0</v>
      </c>
    </row>
    <row r="600" spans="1:50" x14ac:dyDescent="0.2">
      <c r="AA600" s="16"/>
      <c r="AB600" s="17"/>
      <c r="AC600" s="17"/>
      <c r="AD600" s="18"/>
      <c r="AE600" s="34"/>
      <c r="AF600" s="34"/>
      <c r="AG600" s="34"/>
      <c r="AH600" s="34"/>
      <c r="AI600" s="34"/>
      <c r="AJ600" s="18"/>
      <c r="AK600" s="34"/>
      <c r="AL600" s="34"/>
      <c r="AM600" s="34"/>
      <c r="AN600" s="34"/>
      <c r="AO600" s="34"/>
      <c r="AP600" s="34"/>
      <c r="AQ600" s="18"/>
      <c r="AR600" s="18"/>
      <c r="AS600" s="18"/>
      <c r="AT600" s="31"/>
      <c r="AU600" s="18"/>
      <c r="AV600" s="18"/>
      <c r="AW600" s="34"/>
      <c r="AX600" s="18"/>
    </row>
    <row r="601" spans="1:50" ht="25.5" x14ac:dyDescent="0.2">
      <c r="AA601" s="16"/>
      <c r="AB601" s="29" t="s">
        <v>183</v>
      </c>
      <c r="AC601" s="17"/>
      <c r="AD601" s="18"/>
      <c r="AE601" s="34"/>
      <c r="AF601" s="34"/>
      <c r="AG601" s="34"/>
      <c r="AH601" s="34"/>
      <c r="AI601" s="34"/>
      <c r="AJ601" s="18"/>
      <c r="AK601" s="34"/>
      <c r="AL601" s="34"/>
      <c r="AM601" s="34"/>
      <c r="AN601" s="34"/>
      <c r="AO601" s="34"/>
      <c r="AP601" s="34"/>
      <c r="AQ601" s="18"/>
      <c r="AR601" s="18"/>
      <c r="AS601" s="18"/>
      <c r="AT601" s="31"/>
      <c r="AU601" s="18"/>
      <c r="AV601" s="18"/>
      <c r="AW601" s="34"/>
      <c r="AX601" s="18"/>
    </row>
    <row r="602" spans="1:50" ht="25.5" x14ac:dyDescent="0.2">
      <c r="AA602" s="28" t="s">
        <v>288</v>
      </c>
      <c r="AB602" s="29" t="s">
        <v>535</v>
      </c>
      <c r="AC602" s="17"/>
      <c r="AD602" s="18"/>
      <c r="AE602" s="34"/>
      <c r="AF602" s="34"/>
      <c r="AG602" s="34"/>
      <c r="AH602" s="34"/>
      <c r="AI602" s="34"/>
      <c r="AJ602" s="18"/>
      <c r="AK602" s="34"/>
      <c r="AL602" s="34"/>
      <c r="AM602" s="34"/>
      <c r="AN602" s="34"/>
      <c r="AO602" s="34"/>
      <c r="AP602" s="34"/>
      <c r="AQ602" s="18"/>
      <c r="AR602" s="18"/>
      <c r="AS602" s="18"/>
      <c r="AT602" s="31"/>
      <c r="AU602" s="18"/>
      <c r="AV602" s="18"/>
      <c r="AW602" s="34"/>
      <c r="AX602" s="18"/>
    </row>
    <row r="603" spans="1:50" x14ac:dyDescent="0.2">
      <c r="A603" s="4" t="s">
        <v>55</v>
      </c>
      <c r="B603" s="4" t="s">
        <v>56</v>
      </c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1" t="s">
        <v>536</v>
      </c>
      <c r="AB603" s="42" t="s">
        <v>233</v>
      </c>
      <c r="AC603" s="43" t="s">
        <v>58</v>
      </c>
      <c r="AD603" s="43">
        <v>246000000</v>
      </c>
      <c r="AE603" s="44">
        <v>0</v>
      </c>
      <c r="AF603" s="44">
        <v>0</v>
      </c>
      <c r="AG603" s="43">
        <v>200000000</v>
      </c>
      <c r="AH603" s="44">
        <v>0</v>
      </c>
      <c r="AI603" s="43">
        <f>AE603-AF603+AG603-AH603</f>
        <v>200000000</v>
      </c>
      <c r="AJ603" s="43">
        <f>AD603+AI603</f>
        <v>446000000</v>
      </c>
      <c r="AK603" s="44">
        <v>0</v>
      </c>
      <c r="AL603" s="43">
        <f>AM603-'MARZO '!AM598</f>
        <v>446000000</v>
      </c>
      <c r="AM603" s="43">
        <v>446000000</v>
      </c>
      <c r="AN603" s="44">
        <v>0</v>
      </c>
      <c r="AO603" s="44">
        <v>0</v>
      </c>
      <c r="AP603" s="44">
        <v>0</v>
      </c>
      <c r="AQ603" s="44">
        <v>0</v>
      </c>
      <c r="AR603" s="44">
        <v>0</v>
      </c>
      <c r="AS603" s="44">
        <v>0</v>
      </c>
      <c r="AT603" s="40">
        <f t="shared" ref="AT603:AT605" si="748">AQ603+AS603</f>
        <v>0</v>
      </c>
      <c r="AU603" s="18">
        <f t="shared" ref="AU603:AU605" si="749">AJ603-AM603</f>
        <v>0</v>
      </c>
      <c r="AV603" s="18">
        <f t="shared" ref="AV603:AV605" si="750">AM603-AP603</f>
        <v>446000000</v>
      </c>
      <c r="AW603" s="34">
        <f t="shared" ref="AW603:AW605" si="751">AP603-AT603</f>
        <v>0</v>
      </c>
      <c r="AX603" s="123">
        <f t="shared" ref="AX603:AX605" si="752">AP603/AJ603</f>
        <v>0</v>
      </c>
    </row>
    <row r="604" spans="1:50" x14ac:dyDescent="0.2">
      <c r="A604" s="4" t="s">
        <v>55</v>
      </c>
      <c r="B604" s="4" t="s">
        <v>56</v>
      </c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1" t="s">
        <v>537</v>
      </c>
      <c r="AB604" s="42" t="s">
        <v>538</v>
      </c>
      <c r="AC604" s="43" t="s">
        <v>253</v>
      </c>
      <c r="AD604" s="43">
        <v>603350727</v>
      </c>
      <c r="AE604" s="44">
        <v>0</v>
      </c>
      <c r="AF604" s="44">
        <v>0</v>
      </c>
      <c r="AG604" s="44">
        <v>0</v>
      </c>
      <c r="AH604" s="44">
        <v>0</v>
      </c>
      <c r="AI604" s="44">
        <v>0</v>
      </c>
      <c r="AJ604" s="43">
        <v>603350727</v>
      </c>
      <c r="AK604" s="44">
        <v>0</v>
      </c>
      <c r="AL604" s="43">
        <f>AM604-'MARZO '!AM599</f>
        <v>603350726</v>
      </c>
      <c r="AM604" s="43">
        <v>603350726</v>
      </c>
      <c r="AN604" s="44">
        <v>0</v>
      </c>
      <c r="AO604" s="44">
        <v>0</v>
      </c>
      <c r="AP604" s="44">
        <v>0</v>
      </c>
      <c r="AQ604" s="44">
        <v>0</v>
      </c>
      <c r="AR604" s="44">
        <v>0</v>
      </c>
      <c r="AS604" s="44">
        <v>0</v>
      </c>
      <c r="AT604" s="40">
        <f t="shared" si="748"/>
        <v>0</v>
      </c>
      <c r="AU604" s="18">
        <f t="shared" si="749"/>
        <v>1</v>
      </c>
      <c r="AV604" s="18">
        <f t="shared" si="750"/>
        <v>603350726</v>
      </c>
      <c r="AW604" s="34">
        <f t="shared" si="751"/>
        <v>0</v>
      </c>
      <c r="AX604" s="123">
        <f t="shared" si="752"/>
        <v>0</v>
      </c>
    </row>
    <row r="605" spans="1:50" ht="25.5" x14ac:dyDescent="0.2">
      <c r="A605" s="4" t="s">
        <v>55</v>
      </c>
      <c r="B605" s="4" t="s">
        <v>56</v>
      </c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1" t="s">
        <v>539</v>
      </c>
      <c r="AB605" s="42" t="s">
        <v>540</v>
      </c>
      <c r="AC605" s="43" t="s">
        <v>253</v>
      </c>
      <c r="AD605" s="43">
        <v>850649274</v>
      </c>
      <c r="AE605" s="44">
        <v>0</v>
      </c>
      <c r="AF605" s="44">
        <v>0</v>
      </c>
      <c r="AG605" s="44">
        <v>0</v>
      </c>
      <c r="AH605" s="44">
        <v>0</v>
      </c>
      <c r="AI605" s="44">
        <v>0</v>
      </c>
      <c r="AJ605" s="43">
        <v>850649274</v>
      </c>
      <c r="AK605" s="44">
        <v>0</v>
      </c>
      <c r="AL605" s="43">
        <f>AM605-'MARZO '!AM600</f>
        <v>824092994</v>
      </c>
      <c r="AM605" s="43">
        <v>824092994</v>
      </c>
      <c r="AN605" s="44">
        <v>0</v>
      </c>
      <c r="AO605" s="44">
        <v>0</v>
      </c>
      <c r="AP605" s="44">
        <v>0</v>
      </c>
      <c r="AQ605" s="44">
        <v>0</v>
      </c>
      <c r="AR605" s="44">
        <v>0</v>
      </c>
      <c r="AS605" s="44">
        <v>0</v>
      </c>
      <c r="AT605" s="40">
        <f t="shared" si="748"/>
        <v>0</v>
      </c>
      <c r="AU605" s="18">
        <f t="shared" si="749"/>
        <v>26556280</v>
      </c>
      <c r="AV605" s="18">
        <f t="shared" si="750"/>
        <v>824092994</v>
      </c>
      <c r="AW605" s="34">
        <f t="shared" si="751"/>
        <v>0</v>
      </c>
      <c r="AX605" s="123">
        <f t="shared" si="752"/>
        <v>0</v>
      </c>
    </row>
    <row r="606" spans="1:50" x14ac:dyDescent="0.2">
      <c r="AA606" s="16"/>
      <c r="AB606" s="17"/>
      <c r="AC606" s="17"/>
      <c r="AD606" s="18"/>
      <c r="AE606" s="34"/>
      <c r="AF606" s="34"/>
      <c r="AG606" s="34"/>
      <c r="AH606" s="34"/>
      <c r="AI606" s="34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30"/>
      <c r="AU606" s="18"/>
      <c r="AV606" s="18"/>
      <c r="AW606" s="18"/>
      <c r="AX606" s="18"/>
    </row>
    <row r="607" spans="1:50" x14ac:dyDescent="0.2">
      <c r="AA607" s="16"/>
      <c r="AB607" s="29" t="s">
        <v>199</v>
      </c>
      <c r="AC607" s="17"/>
      <c r="AD607" s="18"/>
      <c r="AE607" s="34"/>
      <c r="AF607" s="34"/>
      <c r="AG607" s="34"/>
      <c r="AH607" s="34"/>
      <c r="AI607" s="34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30"/>
      <c r="AU607" s="18"/>
      <c r="AV607" s="18"/>
      <c r="AW607" s="18"/>
      <c r="AX607" s="18"/>
    </row>
    <row r="608" spans="1:50" ht="25.5" x14ac:dyDescent="0.2">
      <c r="AA608" s="28" t="s">
        <v>288</v>
      </c>
      <c r="AB608" s="29" t="s">
        <v>531</v>
      </c>
      <c r="AC608" s="17"/>
      <c r="AD608" s="18"/>
      <c r="AE608" s="34"/>
      <c r="AF608" s="34"/>
      <c r="AG608" s="34"/>
      <c r="AH608" s="34"/>
      <c r="AI608" s="34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30"/>
      <c r="AU608" s="18"/>
      <c r="AV608" s="18"/>
      <c r="AW608" s="18"/>
      <c r="AX608" s="18"/>
    </row>
    <row r="609" spans="1:50" x14ac:dyDescent="0.2">
      <c r="A609" s="4" t="s">
        <v>55</v>
      </c>
      <c r="B609" s="4" t="s">
        <v>56</v>
      </c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1" t="s">
        <v>541</v>
      </c>
      <c r="AB609" s="42" t="s">
        <v>233</v>
      </c>
      <c r="AC609" s="43" t="s">
        <v>58</v>
      </c>
      <c r="AD609" s="43">
        <v>190000000</v>
      </c>
      <c r="AE609" s="44">
        <v>0</v>
      </c>
      <c r="AF609" s="44">
        <v>0</v>
      </c>
      <c r="AG609" s="44">
        <v>0</v>
      </c>
      <c r="AH609" s="44">
        <v>0</v>
      </c>
      <c r="AI609" s="44">
        <v>0</v>
      </c>
      <c r="AJ609" s="43">
        <v>190000000</v>
      </c>
      <c r="AK609" s="115">
        <v>0</v>
      </c>
      <c r="AL609" s="114">
        <v>0</v>
      </c>
      <c r="AM609" s="114">
        <v>88000000</v>
      </c>
      <c r="AN609" s="114">
        <v>0</v>
      </c>
      <c r="AO609" s="114">
        <f>AP609-'MARZO '!AP604</f>
        <v>0</v>
      </c>
      <c r="AP609" s="114">
        <v>88000000</v>
      </c>
      <c r="AQ609" s="43">
        <v>11000000</v>
      </c>
      <c r="AR609" s="43">
        <v>9433334</v>
      </c>
      <c r="AS609" s="43">
        <v>9433334</v>
      </c>
      <c r="AT609" s="40">
        <f t="shared" ref="AT609" si="753">AQ609+AS609</f>
        <v>20433334</v>
      </c>
      <c r="AU609" s="18">
        <f t="shared" ref="AU609" si="754">AJ609-AM609</f>
        <v>102000000</v>
      </c>
      <c r="AV609" s="110">
        <f t="shared" ref="AV609" si="755">AM609-AP609</f>
        <v>0</v>
      </c>
      <c r="AW609" s="18">
        <f t="shared" ref="AW609" si="756">AP609-AT609</f>
        <v>67566666</v>
      </c>
      <c r="AX609" s="123">
        <f t="shared" ref="AX609" si="757">AP609/AJ609</f>
        <v>0.4631578947368421</v>
      </c>
    </row>
    <row r="610" spans="1:50" x14ac:dyDescent="0.2">
      <c r="AA610" s="28" t="s">
        <v>288</v>
      </c>
      <c r="AB610" s="29" t="s">
        <v>542</v>
      </c>
      <c r="AC610" s="17"/>
      <c r="AD610" s="18"/>
      <c r="AE610" s="34"/>
      <c r="AF610" s="34"/>
      <c r="AG610" s="34"/>
      <c r="AH610" s="34"/>
      <c r="AI610" s="34"/>
      <c r="AJ610" s="18"/>
      <c r="AK610" s="34"/>
      <c r="AL610" s="34"/>
      <c r="AM610" s="34"/>
      <c r="AN610" s="34"/>
      <c r="AO610" s="34"/>
      <c r="AP610" s="34"/>
      <c r="AQ610" s="34"/>
      <c r="AR610" s="34"/>
      <c r="AS610" s="34"/>
      <c r="AT610" s="31"/>
      <c r="AU610" s="18"/>
      <c r="AV610" s="18"/>
      <c r="AW610" s="18"/>
      <c r="AX610" s="18"/>
    </row>
    <row r="611" spans="1:50" x14ac:dyDescent="0.2">
      <c r="A611" s="4" t="s">
        <v>55</v>
      </c>
      <c r="B611" s="4" t="s">
        <v>56</v>
      </c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1" t="s">
        <v>543</v>
      </c>
      <c r="AB611" s="42" t="s">
        <v>233</v>
      </c>
      <c r="AC611" s="43" t="s">
        <v>58</v>
      </c>
      <c r="AD611" s="43">
        <v>229000000</v>
      </c>
      <c r="AE611" s="44">
        <v>0</v>
      </c>
      <c r="AF611" s="44">
        <v>0</v>
      </c>
      <c r="AG611" s="44">
        <v>0</v>
      </c>
      <c r="AH611" s="44">
        <v>0</v>
      </c>
      <c r="AI611" s="44">
        <v>0</v>
      </c>
      <c r="AJ611" s="43">
        <v>229000000</v>
      </c>
      <c r="AK611" s="44">
        <v>0</v>
      </c>
      <c r="AL611" s="44">
        <v>0</v>
      </c>
      <c r="AM611" s="44">
        <v>0</v>
      </c>
      <c r="AN611" s="44">
        <v>0</v>
      </c>
      <c r="AO611" s="44">
        <v>0</v>
      </c>
      <c r="AP611" s="44">
        <v>0</v>
      </c>
      <c r="AQ611" s="44">
        <v>0</v>
      </c>
      <c r="AR611" s="44">
        <v>0</v>
      </c>
      <c r="AS611" s="44">
        <v>0</v>
      </c>
      <c r="AT611" s="40">
        <f t="shared" ref="AT611" si="758">AQ611+AS611</f>
        <v>0</v>
      </c>
      <c r="AU611" s="18">
        <f t="shared" ref="AU611" si="759">AJ611-AM611</f>
        <v>229000000</v>
      </c>
      <c r="AV611" s="34">
        <f t="shared" ref="AV611" si="760">AM611-AP611</f>
        <v>0</v>
      </c>
      <c r="AW611" s="34">
        <f t="shared" ref="AW611" si="761">AP611-AT611</f>
        <v>0</v>
      </c>
      <c r="AX611" s="123">
        <f t="shared" ref="AX611" si="762">AP611/AJ611</f>
        <v>0</v>
      </c>
    </row>
    <row r="612" spans="1:50" ht="25.5" x14ac:dyDescent="0.2">
      <c r="AA612" s="28" t="s">
        <v>288</v>
      </c>
      <c r="AB612" s="29" t="s">
        <v>544</v>
      </c>
      <c r="AC612" s="17"/>
      <c r="AD612" s="18"/>
      <c r="AE612" s="34"/>
      <c r="AF612" s="34"/>
      <c r="AG612" s="34"/>
      <c r="AH612" s="34"/>
      <c r="AI612" s="34"/>
      <c r="AJ612" s="18"/>
      <c r="AK612" s="34"/>
      <c r="AL612" s="34"/>
      <c r="AM612" s="34"/>
      <c r="AN612" s="34"/>
      <c r="AO612" s="34"/>
      <c r="AP612" s="34"/>
      <c r="AQ612" s="34"/>
      <c r="AR612" s="34"/>
      <c r="AS612" s="34"/>
      <c r="AT612" s="31"/>
      <c r="AU612" s="18"/>
      <c r="AV612" s="18"/>
      <c r="AW612" s="34"/>
      <c r="AX612" s="18"/>
    </row>
    <row r="613" spans="1:50" x14ac:dyDescent="0.2">
      <c r="A613" s="4" t="s">
        <v>55</v>
      </c>
      <c r="B613" s="4" t="s">
        <v>56</v>
      </c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1" t="s">
        <v>545</v>
      </c>
      <c r="AB613" s="42" t="s">
        <v>233</v>
      </c>
      <c r="AC613" s="43" t="s">
        <v>58</v>
      </c>
      <c r="AD613" s="43">
        <v>150000000</v>
      </c>
      <c r="AE613" s="44">
        <v>0</v>
      </c>
      <c r="AF613" s="44">
        <v>0</v>
      </c>
      <c r="AG613" s="44">
        <v>0</v>
      </c>
      <c r="AH613" s="44">
        <v>0</v>
      </c>
      <c r="AI613" s="44">
        <v>0</v>
      </c>
      <c r="AJ613" s="43">
        <v>150000000</v>
      </c>
      <c r="AK613" s="44">
        <v>0</v>
      </c>
      <c r="AL613" s="44">
        <v>0</v>
      </c>
      <c r="AM613" s="44">
        <v>0</v>
      </c>
      <c r="AN613" s="44">
        <v>0</v>
      </c>
      <c r="AO613" s="44">
        <v>0</v>
      </c>
      <c r="AP613" s="44">
        <v>0</v>
      </c>
      <c r="AQ613" s="44">
        <v>0</v>
      </c>
      <c r="AR613" s="44">
        <v>0</v>
      </c>
      <c r="AS613" s="44">
        <v>0</v>
      </c>
      <c r="AT613" s="40">
        <f t="shared" ref="AT613" si="763">AQ613+AS613</f>
        <v>0</v>
      </c>
      <c r="AU613" s="18">
        <f t="shared" ref="AU613" si="764">AJ613-AM613</f>
        <v>150000000</v>
      </c>
      <c r="AV613" s="34">
        <f t="shared" ref="AV613" si="765">AM613-AP613</f>
        <v>0</v>
      </c>
      <c r="AW613" s="34">
        <f t="shared" ref="AW613" si="766">AP613-AT613</f>
        <v>0</v>
      </c>
      <c r="AX613" s="123">
        <f t="shared" ref="AX613" si="767">AP613/AJ613</f>
        <v>0</v>
      </c>
    </row>
    <row r="614" spans="1:50" ht="38.25" x14ac:dyDescent="0.2">
      <c r="AA614" s="28" t="s">
        <v>288</v>
      </c>
      <c r="AB614" s="29" t="s">
        <v>546</v>
      </c>
      <c r="AC614" s="17"/>
      <c r="AD614" s="18"/>
      <c r="AE614" s="34"/>
      <c r="AF614" s="34"/>
      <c r="AG614" s="34"/>
      <c r="AH614" s="34"/>
      <c r="AI614" s="34"/>
      <c r="AJ614" s="18"/>
      <c r="AK614" s="34"/>
      <c r="AL614" s="18"/>
      <c r="AM614" s="18"/>
      <c r="AN614" s="18"/>
      <c r="AO614" s="18"/>
      <c r="AP614" s="18"/>
      <c r="AQ614" s="18"/>
      <c r="AR614" s="18"/>
      <c r="AS614" s="18"/>
      <c r="AT614" s="30"/>
      <c r="AU614" s="18"/>
      <c r="AV614" s="18"/>
      <c r="AW614" s="18"/>
      <c r="AX614" s="18"/>
    </row>
    <row r="615" spans="1:50" x14ac:dyDescent="0.2">
      <c r="A615" s="4" t="s">
        <v>55</v>
      </c>
      <c r="B615" s="4" t="s">
        <v>56</v>
      </c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1" t="s">
        <v>547</v>
      </c>
      <c r="AB615" s="42" t="s">
        <v>233</v>
      </c>
      <c r="AC615" s="43" t="s">
        <v>58</v>
      </c>
      <c r="AD615" s="43">
        <v>80000000</v>
      </c>
      <c r="AE615" s="44">
        <v>0</v>
      </c>
      <c r="AF615" s="44">
        <v>0</v>
      </c>
      <c r="AG615" s="44">
        <v>0</v>
      </c>
      <c r="AH615" s="44">
        <v>0</v>
      </c>
      <c r="AI615" s="44">
        <v>0</v>
      </c>
      <c r="AJ615" s="43">
        <v>80000000</v>
      </c>
      <c r="AK615" s="44">
        <v>0</v>
      </c>
      <c r="AL615" s="44">
        <v>0</v>
      </c>
      <c r="AM615" s="43">
        <v>80000000</v>
      </c>
      <c r="AN615" s="44">
        <v>0</v>
      </c>
      <c r="AO615" s="44">
        <f>AP615-'MARZO '!AP610</f>
        <v>0</v>
      </c>
      <c r="AP615" s="110">
        <v>80000000</v>
      </c>
      <c r="AQ615" s="18">
        <v>7000000</v>
      </c>
      <c r="AR615" s="18">
        <v>12000000</v>
      </c>
      <c r="AS615" s="18">
        <v>16666666</v>
      </c>
      <c r="AT615" s="39">
        <f t="shared" ref="AT615:AT637" si="768">AQ615+AS615</f>
        <v>23666666</v>
      </c>
      <c r="AU615" s="34">
        <f t="shared" ref="AU615" si="769">AJ615-AM615</f>
        <v>0</v>
      </c>
      <c r="AV615" s="34">
        <f t="shared" ref="AV615" si="770">AM615-AP615</f>
        <v>0</v>
      </c>
      <c r="AW615" s="18">
        <f t="shared" ref="AW615" si="771">AP615-AT615</f>
        <v>56333334</v>
      </c>
      <c r="AX615" s="123">
        <f t="shared" ref="AX615" si="772">AP615/AJ615</f>
        <v>1</v>
      </c>
    </row>
    <row r="616" spans="1:50" ht="38.25" x14ac:dyDescent="0.2">
      <c r="AA616" s="28" t="s">
        <v>288</v>
      </c>
      <c r="AB616" s="29" t="s">
        <v>548</v>
      </c>
      <c r="AC616" s="17"/>
      <c r="AD616" s="18"/>
      <c r="AE616" s="34"/>
      <c r="AF616" s="34"/>
      <c r="AG616" s="34"/>
      <c r="AH616" s="34"/>
      <c r="AI616" s="34"/>
      <c r="AJ616" s="18"/>
      <c r="AK616" s="18"/>
      <c r="AL616" s="18"/>
      <c r="AM616" s="18"/>
      <c r="AN616" s="18"/>
      <c r="AO616" s="18"/>
      <c r="AP616" s="34"/>
      <c r="AQ616" s="34"/>
      <c r="AR616" s="34"/>
      <c r="AS616" s="34"/>
      <c r="AT616" s="40"/>
      <c r="AU616" s="18"/>
      <c r="AV616" s="18"/>
      <c r="AW616" s="18"/>
      <c r="AX616" s="18"/>
    </row>
    <row r="617" spans="1:50" x14ac:dyDescent="0.2">
      <c r="A617" s="4" t="s">
        <v>55</v>
      </c>
      <c r="B617" s="4" t="s">
        <v>56</v>
      </c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1" t="s">
        <v>549</v>
      </c>
      <c r="AB617" s="42" t="s">
        <v>233</v>
      </c>
      <c r="AC617" s="43" t="s">
        <v>58</v>
      </c>
      <c r="AD617" s="43">
        <v>40000000</v>
      </c>
      <c r="AE617" s="44">
        <v>0</v>
      </c>
      <c r="AF617" s="44">
        <v>0</v>
      </c>
      <c r="AG617" s="44">
        <v>0</v>
      </c>
      <c r="AH617" s="44">
        <v>0</v>
      </c>
      <c r="AI617" s="44">
        <v>0</v>
      </c>
      <c r="AJ617" s="43">
        <v>40000000</v>
      </c>
      <c r="AK617" s="44">
        <v>0</v>
      </c>
      <c r="AL617" s="43">
        <f>AM617-'MARZO '!AM612</f>
        <v>40000000</v>
      </c>
      <c r="AM617" s="43">
        <v>40000000</v>
      </c>
      <c r="AN617" s="44">
        <v>0</v>
      </c>
      <c r="AO617" s="44">
        <v>0</v>
      </c>
      <c r="AP617" s="34">
        <v>0</v>
      </c>
      <c r="AQ617" s="34">
        <v>0</v>
      </c>
      <c r="AR617" s="34">
        <v>0</v>
      </c>
      <c r="AS617" s="34">
        <v>0</v>
      </c>
      <c r="AT617" s="40">
        <f t="shared" si="768"/>
        <v>0</v>
      </c>
      <c r="AU617" s="18">
        <f t="shared" ref="AU617" si="773">AJ617-AM617</f>
        <v>0</v>
      </c>
      <c r="AV617" s="18">
        <f t="shared" ref="AV617" si="774">AM617-AP617</f>
        <v>40000000</v>
      </c>
      <c r="AW617" s="18">
        <f t="shared" ref="AW617" si="775">AP617-AT617</f>
        <v>0</v>
      </c>
      <c r="AX617" s="123">
        <f t="shared" ref="AX617" si="776">AP617/AJ617</f>
        <v>0</v>
      </c>
    </row>
    <row r="618" spans="1:50" ht="25.5" x14ac:dyDescent="0.2">
      <c r="AA618" s="28" t="s">
        <v>288</v>
      </c>
      <c r="AB618" s="29" t="s">
        <v>550</v>
      </c>
      <c r="AC618" s="17"/>
      <c r="AD618" s="18"/>
      <c r="AE618" s="34"/>
      <c r="AF618" s="34"/>
      <c r="AG618" s="34"/>
      <c r="AH618" s="34"/>
      <c r="AI618" s="34"/>
      <c r="AJ618" s="18"/>
      <c r="AK618" s="34"/>
      <c r="AL618" s="18"/>
      <c r="AM618" s="18"/>
      <c r="AN618" s="34"/>
      <c r="AO618" s="34"/>
      <c r="AP618" s="34"/>
      <c r="AQ618" s="34"/>
      <c r="AR618" s="34"/>
      <c r="AS618" s="34"/>
      <c r="AT618" s="40"/>
      <c r="AU618" s="18"/>
      <c r="AV618" s="18"/>
      <c r="AW618" s="18"/>
      <c r="AX618" s="18"/>
    </row>
    <row r="619" spans="1:50" x14ac:dyDescent="0.2">
      <c r="A619" s="4" t="s">
        <v>55</v>
      </c>
      <c r="B619" s="4" t="s">
        <v>56</v>
      </c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1" t="s">
        <v>551</v>
      </c>
      <c r="AB619" s="42" t="s">
        <v>233</v>
      </c>
      <c r="AC619" s="43" t="s">
        <v>58</v>
      </c>
      <c r="AD619" s="43">
        <v>670000000</v>
      </c>
      <c r="AE619" s="44">
        <v>0</v>
      </c>
      <c r="AF619" s="44">
        <v>0</v>
      </c>
      <c r="AG619" s="43">
        <v>932000000</v>
      </c>
      <c r="AH619" s="44">
        <v>0</v>
      </c>
      <c r="AI619" s="43">
        <f>AE619-AF619+AG619-AH619</f>
        <v>932000000</v>
      </c>
      <c r="AJ619" s="43">
        <f>AD619+AI619</f>
        <v>1602000000</v>
      </c>
      <c r="AK619" s="44">
        <v>0</v>
      </c>
      <c r="AL619" s="43">
        <f>AM619-'MARZO '!AM614</f>
        <v>19673853</v>
      </c>
      <c r="AM619" s="43">
        <v>394973853</v>
      </c>
      <c r="AN619" s="44">
        <v>0</v>
      </c>
      <c r="AO619" s="44">
        <f>AP619-'MARZO '!AP614</f>
        <v>0</v>
      </c>
      <c r="AP619" s="18">
        <v>355300000</v>
      </c>
      <c r="AQ619" s="18">
        <v>40620000</v>
      </c>
      <c r="AR619" s="18">
        <v>37600000</v>
      </c>
      <c r="AS619" s="18">
        <v>72436668</v>
      </c>
      <c r="AT619" s="39">
        <f t="shared" ref="AT619:AT620" si="777">AQ619+AS619</f>
        <v>113056668</v>
      </c>
      <c r="AU619" s="18">
        <f t="shared" ref="AU619:AU620" si="778">AJ619-AM619</f>
        <v>1207026147</v>
      </c>
      <c r="AV619" s="18">
        <f t="shared" ref="AV619:AV620" si="779">AM619-AP619</f>
        <v>39673853</v>
      </c>
      <c r="AW619" s="18">
        <f t="shared" ref="AW619:AW620" si="780">AP619-AT619</f>
        <v>242243332</v>
      </c>
      <c r="AX619" s="123">
        <f t="shared" ref="AX619:AX620" si="781">AP619/AJ619</f>
        <v>0.2217852684144819</v>
      </c>
    </row>
    <row r="620" spans="1:50" x14ac:dyDescent="0.2">
      <c r="A620" s="4" t="s">
        <v>55</v>
      </c>
      <c r="B620" s="4" t="s">
        <v>56</v>
      </c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1" t="s">
        <v>552</v>
      </c>
      <c r="AB620" s="42" t="s">
        <v>382</v>
      </c>
      <c r="AC620" s="43" t="s">
        <v>383</v>
      </c>
      <c r="AD620" s="43">
        <v>120000000</v>
      </c>
      <c r="AE620" s="44">
        <v>0</v>
      </c>
      <c r="AF620" s="44">
        <v>0</v>
      </c>
      <c r="AG620" s="44">
        <v>0</v>
      </c>
      <c r="AH620" s="44">
        <v>0</v>
      </c>
      <c r="AI620" s="44">
        <v>0</v>
      </c>
      <c r="AJ620" s="43">
        <v>120000000</v>
      </c>
      <c r="AK620" s="44">
        <v>0</v>
      </c>
      <c r="AL620" s="43">
        <v>3592815</v>
      </c>
      <c r="AM620" s="43">
        <v>3592815</v>
      </c>
      <c r="AN620" s="44">
        <v>0</v>
      </c>
      <c r="AO620" s="44">
        <v>0</v>
      </c>
      <c r="AP620" s="34">
        <v>0</v>
      </c>
      <c r="AQ620" s="34">
        <v>0</v>
      </c>
      <c r="AR620" s="34">
        <v>0</v>
      </c>
      <c r="AS620" s="34">
        <v>0</v>
      </c>
      <c r="AT620" s="40">
        <f t="shared" si="777"/>
        <v>0</v>
      </c>
      <c r="AU620" s="18">
        <f t="shared" si="778"/>
        <v>116407185</v>
      </c>
      <c r="AV620" s="18">
        <f t="shared" si="779"/>
        <v>3592815</v>
      </c>
      <c r="AW620" s="18">
        <f t="shared" si="780"/>
        <v>0</v>
      </c>
      <c r="AX620" s="123">
        <f t="shared" si="781"/>
        <v>0</v>
      </c>
    </row>
    <row r="621" spans="1:50" ht="25.5" x14ac:dyDescent="0.2">
      <c r="AA621" s="28" t="s">
        <v>288</v>
      </c>
      <c r="AB621" s="29" t="s">
        <v>553</v>
      </c>
      <c r="AC621" s="17"/>
      <c r="AD621" s="18"/>
      <c r="AE621" s="34"/>
      <c r="AF621" s="34"/>
      <c r="AG621" s="34"/>
      <c r="AH621" s="34"/>
      <c r="AI621" s="34"/>
      <c r="AJ621" s="18"/>
      <c r="AK621" s="34"/>
      <c r="AL621" s="18"/>
      <c r="AM621" s="18"/>
      <c r="AN621" s="18"/>
      <c r="AO621" s="18"/>
      <c r="AP621" s="18"/>
      <c r="AQ621" s="18"/>
      <c r="AR621" s="18"/>
      <c r="AS621" s="18"/>
      <c r="AT621" s="30"/>
      <c r="AU621" s="18"/>
      <c r="AV621" s="18"/>
      <c r="AW621" s="18"/>
      <c r="AX621" s="18"/>
    </row>
    <row r="622" spans="1:50" x14ac:dyDescent="0.2">
      <c r="A622" s="4" t="s">
        <v>55</v>
      </c>
      <c r="B622" s="4" t="s">
        <v>56</v>
      </c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1" t="s">
        <v>554</v>
      </c>
      <c r="AB622" s="42" t="s">
        <v>233</v>
      </c>
      <c r="AC622" s="43" t="s">
        <v>58</v>
      </c>
      <c r="AD622" s="43">
        <v>200000000</v>
      </c>
      <c r="AE622" s="44">
        <v>0</v>
      </c>
      <c r="AF622" s="44">
        <v>0</v>
      </c>
      <c r="AG622" s="44">
        <v>0</v>
      </c>
      <c r="AH622" s="44">
        <v>0</v>
      </c>
      <c r="AI622" s="44">
        <v>0</v>
      </c>
      <c r="AJ622" s="43">
        <v>200000000</v>
      </c>
      <c r="AK622" s="44">
        <v>0</v>
      </c>
      <c r="AL622" s="43">
        <v>3770373.77</v>
      </c>
      <c r="AM622" s="43">
        <v>154447043.08000001</v>
      </c>
      <c r="AN622" s="44">
        <v>0</v>
      </c>
      <c r="AO622" s="43">
        <f>AP622-'MARZO '!AP617</f>
        <v>45667.770000010729</v>
      </c>
      <c r="AP622" s="43">
        <v>150722337.08000001</v>
      </c>
      <c r="AQ622" s="43">
        <v>17700000</v>
      </c>
      <c r="AR622" s="43">
        <v>20145667.77</v>
      </c>
      <c r="AS622" s="43">
        <v>27952338.079999998</v>
      </c>
      <c r="AT622" s="39">
        <f t="shared" si="768"/>
        <v>45652338.079999998</v>
      </c>
      <c r="AU622" s="18">
        <f t="shared" ref="AU622" si="782">AJ622-AM622</f>
        <v>45552956.919999987</v>
      </c>
      <c r="AV622" s="18">
        <f t="shared" ref="AV622" si="783">AM622-AP622</f>
        <v>3724706</v>
      </c>
      <c r="AW622" s="18">
        <f t="shared" ref="AW622" si="784">AP622-AT622</f>
        <v>105069999.00000001</v>
      </c>
      <c r="AX622" s="123">
        <f t="shared" ref="AX622" si="785">AP622/AJ622</f>
        <v>0.75361168540000012</v>
      </c>
    </row>
    <row r="623" spans="1:50" ht="25.5" x14ac:dyDescent="0.2">
      <c r="AA623" s="28" t="s">
        <v>288</v>
      </c>
      <c r="AB623" s="29" t="s">
        <v>535</v>
      </c>
      <c r="AC623" s="17"/>
      <c r="AD623" s="18"/>
      <c r="AE623" s="34"/>
      <c r="AF623" s="34"/>
      <c r="AG623" s="34"/>
      <c r="AH623" s="34"/>
      <c r="AI623" s="34"/>
      <c r="AJ623" s="18"/>
      <c r="AK623" s="34"/>
      <c r="AL623" s="18"/>
      <c r="AM623" s="18"/>
      <c r="AN623" s="34"/>
      <c r="AO623" s="18"/>
      <c r="AP623" s="18"/>
      <c r="AQ623" s="18"/>
      <c r="AR623" s="18"/>
      <c r="AS623" s="18"/>
      <c r="AT623" s="30"/>
      <c r="AU623" s="18"/>
      <c r="AV623" s="18"/>
      <c r="AW623" s="18"/>
      <c r="AX623" s="18"/>
    </row>
    <row r="624" spans="1:50" x14ac:dyDescent="0.2">
      <c r="A624" s="4" t="s">
        <v>55</v>
      </c>
      <c r="B624" s="4" t="s">
        <v>56</v>
      </c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1" t="s">
        <v>555</v>
      </c>
      <c r="AB624" s="42" t="s">
        <v>233</v>
      </c>
      <c r="AC624" s="43" t="s">
        <v>58</v>
      </c>
      <c r="AD624" s="43">
        <v>1154000000</v>
      </c>
      <c r="AE624" s="44">
        <v>0</v>
      </c>
      <c r="AF624" s="44">
        <v>0</v>
      </c>
      <c r="AG624" s="44">
        <v>0</v>
      </c>
      <c r="AH624" s="44">
        <v>0</v>
      </c>
      <c r="AI624" s="44">
        <v>0</v>
      </c>
      <c r="AJ624" s="43">
        <v>1154000000</v>
      </c>
      <c r="AK624" s="44">
        <v>0</v>
      </c>
      <c r="AL624" s="43">
        <f>AM624-'MARZO '!AM619</f>
        <v>0</v>
      </c>
      <c r="AM624" s="43">
        <v>911454761</v>
      </c>
      <c r="AN624" s="44">
        <v>0</v>
      </c>
      <c r="AO624" s="43">
        <f>AP624-'MARZO '!AP619</f>
        <v>14400000</v>
      </c>
      <c r="AP624" s="43">
        <v>911454761</v>
      </c>
      <c r="AQ624" s="43">
        <v>25700000</v>
      </c>
      <c r="AR624" s="43">
        <v>100511140</v>
      </c>
      <c r="AS624" s="43">
        <v>122320786</v>
      </c>
      <c r="AT624" s="39">
        <f t="shared" si="768"/>
        <v>148020786</v>
      </c>
      <c r="AU624" s="18">
        <f t="shared" ref="AU624:AU627" si="786">AJ624-AM624</f>
        <v>242545239</v>
      </c>
      <c r="AV624" s="133">
        <f t="shared" ref="AV624:AV627" si="787">AM624-AP624</f>
        <v>0</v>
      </c>
      <c r="AW624" s="18">
        <f t="shared" ref="AW624:AW627" si="788">AP624-AT624</f>
        <v>763433975</v>
      </c>
      <c r="AX624" s="123">
        <f t="shared" ref="AX624:AX627" si="789">AP624/AJ624</f>
        <v>0.78982214991334487</v>
      </c>
    </row>
    <row r="625" spans="1:50" ht="25.5" x14ac:dyDescent="0.2">
      <c r="A625" s="4" t="s">
        <v>55</v>
      </c>
      <c r="B625" s="4" t="s">
        <v>56</v>
      </c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1" t="s">
        <v>556</v>
      </c>
      <c r="AB625" s="42" t="s">
        <v>279</v>
      </c>
      <c r="AC625" s="43" t="s">
        <v>253</v>
      </c>
      <c r="AD625" s="43">
        <v>3243996468</v>
      </c>
      <c r="AE625" s="44">
        <v>0</v>
      </c>
      <c r="AF625" s="44">
        <v>0</v>
      </c>
      <c r="AG625" s="44">
        <v>0</v>
      </c>
      <c r="AH625" s="44">
        <v>0</v>
      </c>
      <c r="AI625" s="44">
        <v>0</v>
      </c>
      <c r="AJ625" s="43">
        <v>3243996468</v>
      </c>
      <c r="AK625" s="44">
        <v>0</v>
      </c>
      <c r="AL625" s="43">
        <f>AM625-'MARZO '!AM620</f>
        <v>2188578.9299998283</v>
      </c>
      <c r="AM625" s="43">
        <v>3065205475.7199998</v>
      </c>
      <c r="AN625" s="44">
        <v>0</v>
      </c>
      <c r="AO625" s="43">
        <f>AP625-'MARZO '!AP620</f>
        <v>2188578.9299998283</v>
      </c>
      <c r="AP625" s="43">
        <v>3065205475.7199998</v>
      </c>
      <c r="AQ625" s="43">
        <v>34200000</v>
      </c>
      <c r="AR625" s="43">
        <v>174511213.93000001</v>
      </c>
      <c r="AS625" s="43">
        <v>221977279.72</v>
      </c>
      <c r="AT625" s="39">
        <f t="shared" si="768"/>
        <v>256177279.72</v>
      </c>
      <c r="AU625" s="18">
        <f t="shared" si="786"/>
        <v>178790992.28000021</v>
      </c>
      <c r="AV625" s="133">
        <f t="shared" si="787"/>
        <v>0</v>
      </c>
      <c r="AW625" s="18">
        <f t="shared" si="788"/>
        <v>2809028196</v>
      </c>
      <c r="AX625" s="123">
        <f t="shared" si="789"/>
        <v>0.94488557739083201</v>
      </c>
    </row>
    <row r="626" spans="1:50" ht="38.25" x14ac:dyDescent="0.2">
      <c r="A626" s="4" t="s">
        <v>55</v>
      </c>
      <c r="B626" s="4" t="s">
        <v>56</v>
      </c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1" t="s">
        <v>557</v>
      </c>
      <c r="AB626" s="42" t="s">
        <v>558</v>
      </c>
      <c r="AC626" s="43" t="s">
        <v>368</v>
      </c>
      <c r="AD626" s="43">
        <v>101429564.34</v>
      </c>
      <c r="AE626" s="44">
        <v>0</v>
      </c>
      <c r="AF626" s="44">
        <v>0</v>
      </c>
      <c r="AG626" s="44">
        <v>0</v>
      </c>
      <c r="AH626" s="44">
        <v>0</v>
      </c>
      <c r="AI626" s="44">
        <v>0</v>
      </c>
      <c r="AJ626" s="43">
        <v>101429564.34</v>
      </c>
      <c r="AK626" s="44">
        <v>0</v>
      </c>
      <c r="AL626" s="44">
        <v>0</v>
      </c>
      <c r="AM626" s="44">
        <v>0</v>
      </c>
      <c r="AN626" s="44">
        <v>0</v>
      </c>
      <c r="AO626" s="44">
        <v>0</v>
      </c>
      <c r="AP626" s="44">
        <v>0</v>
      </c>
      <c r="AQ626" s="44">
        <v>0</v>
      </c>
      <c r="AR626" s="44">
        <v>0</v>
      </c>
      <c r="AS626" s="44">
        <v>0</v>
      </c>
      <c r="AT626" s="40">
        <f t="shared" si="768"/>
        <v>0</v>
      </c>
      <c r="AU626" s="18">
        <f t="shared" si="786"/>
        <v>101429564.34</v>
      </c>
      <c r="AV626" s="34">
        <f t="shared" si="787"/>
        <v>0</v>
      </c>
      <c r="AW626" s="34">
        <f t="shared" si="788"/>
        <v>0</v>
      </c>
      <c r="AX626" s="123">
        <f t="shared" si="789"/>
        <v>0</v>
      </c>
    </row>
    <row r="627" spans="1:50" ht="25.5" x14ac:dyDescent="0.2">
      <c r="A627" s="4" t="s">
        <v>55</v>
      </c>
      <c r="B627" s="4" t="s">
        <v>56</v>
      </c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1" t="s">
        <v>559</v>
      </c>
      <c r="AB627" s="42" t="s">
        <v>540</v>
      </c>
      <c r="AC627" s="43" t="s">
        <v>253</v>
      </c>
      <c r="AD627" s="43">
        <v>1690003316</v>
      </c>
      <c r="AE627" s="44">
        <v>0</v>
      </c>
      <c r="AF627" s="44">
        <v>0</v>
      </c>
      <c r="AG627" s="44">
        <v>0</v>
      </c>
      <c r="AH627" s="44">
        <v>0</v>
      </c>
      <c r="AI627" s="44">
        <v>0</v>
      </c>
      <c r="AJ627" s="43">
        <v>1690003316</v>
      </c>
      <c r="AK627" s="44">
        <v>0</v>
      </c>
      <c r="AL627" s="44">
        <f>AM627-'MARZO '!AM622</f>
        <v>0</v>
      </c>
      <c r="AM627" s="43">
        <v>1661510016</v>
      </c>
      <c r="AN627" s="44">
        <v>0</v>
      </c>
      <c r="AO627" s="44">
        <f>AP627-'MARZO '!AP622</f>
        <v>0</v>
      </c>
      <c r="AP627" s="43">
        <v>1661510016</v>
      </c>
      <c r="AQ627" s="34">
        <v>0</v>
      </c>
      <c r="AR627" s="18">
        <v>238149708</v>
      </c>
      <c r="AS627" s="18">
        <v>299897808</v>
      </c>
      <c r="AT627" s="39">
        <f t="shared" si="768"/>
        <v>299897808</v>
      </c>
      <c r="AU627" s="18">
        <f t="shared" si="786"/>
        <v>28493300</v>
      </c>
      <c r="AV627" s="34">
        <f t="shared" si="787"/>
        <v>0</v>
      </c>
      <c r="AW627" s="18">
        <f t="shared" si="788"/>
        <v>1361612208</v>
      </c>
      <c r="AX627" s="123">
        <f t="shared" si="789"/>
        <v>0.98314009225293142</v>
      </c>
    </row>
    <row r="628" spans="1:50" ht="25.5" x14ac:dyDescent="0.2">
      <c r="AA628" s="28" t="s">
        <v>288</v>
      </c>
      <c r="AB628" s="29" t="s">
        <v>560</v>
      </c>
      <c r="AC628" s="17"/>
      <c r="AD628" s="18"/>
      <c r="AE628" s="34"/>
      <c r="AF628" s="34"/>
      <c r="AG628" s="34"/>
      <c r="AH628" s="34"/>
      <c r="AI628" s="34"/>
      <c r="AJ628" s="18"/>
      <c r="AK628" s="18"/>
      <c r="AL628" s="18"/>
      <c r="AM628" s="18"/>
      <c r="AN628" s="34"/>
      <c r="AO628" s="34"/>
      <c r="AP628" s="18"/>
      <c r="AQ628" s="34"/>
      <c r="AR628" s="34"/>
      <c r="AS628" s="34"/>
      <c r="AT628" s="40"/>
      <c r="AU628" s="18"/>
      <c r="AV628" s="18"/>
      <c r="AW628" s="18"/>
      <c r="AX628" s="18"/>
    </row>
    <row r="629" spans="1:50" x14ac:dyDescent="0.2">
      <c r="A629" s="4" t="s">
        <v>55</v>
      </c>
      <c r="B629" s="4" t="s">
        <v>56</v>
      </c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1" t="s">
        <v>561</v>
      </c>
      <c r="AB629" s="42" t="s">
        <v>233</v>
      </c>
      <c r="AC629" s="43" t="s">
        <v>58</v>
      </c>
      <c r="AD629" s="43">
        <v>510000000</v>
      </c>
      <c r="AE629" s="44">
        <v>0</v>
      </c>
      <c r="AF629" s="44">
        <v>0</v>
      </c>
      <c r="AG629" s="43">
        <v>20000000</v>
      </c>
      <c r="AH629" s="44">
        <v>0</v>
      </c>
      <c r="AI629" s="43">
        <f>AE629-AF629+AG629-AH629</f>
        <v>20000000</v>
      </c>
      <c r="AJ629" s="43">
        <f>AD629+AI629</f>
        <v>530000000</v>
      </c>
      <c r="AK629" s="44">
        <v>0</v>
      </c>
      <c r="AL629" s="44">
        <v>0</v>
      </c>
      <c r="AM629" s="43">
        <v>168800000</v>
      </c>
      <c r="AN629" s="44">
        <v>0</v>
      </c>
      <c r="AO629" s="44">
        <f>AP629-'MARZO '!AP624</f>
        <v>0</v>
      </c>
      <c r="AP629" s="114">
        <v>168800000</v>
      </c>
      <c r="AQ629" s="18">
        <v>20600000</v>
      </c>
      <c r="AR629" s="18">
        <v>20500000</v>
      </c>
      <c r="AS629" s="18">
        <v>25823333</v>
      </c>
      <c r="AT629" s="39">
        <f t="shared" ref="AT629:AT630" si="790">AQ629+AS629</f>
        <v>46423333</v>
      </c>
      <c r="AU629" s="18">
        <f t="shared" ref="AU629:AU630" si="791">AJ629-AM629</f>
        <v>361200000</v>
      </c>
      <c r="AV629" s="110">
        <f t="shared" ref="AV629:AV630" si="792">AM629-AP629</f>
        <v>0</v>
      </c>
      <c r="AW629" s="18">
        <f t="shared" ref="AW629:AW630" si="793">AP629-AT629</f>
        <v>122376667</v>
      </c>
      <c r="AX629" s="123">
        <f t="shared" ref="AX629:AX630" si="794">AP629/AJ629</f>
        <v>0.31849056603773584</v>
      </c>
    </row>
    <row r="630" spans="1:50" ht="18.75" customHeight="1" x14ac:dyDescent="0.2">
      <c r="A630" s="4" t="s">
        <v>55</v>
      </c>
      <c r="B630" s="4" t="s">
        <v>56</v>
      </c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1" t="s">
        <v>562</v>
      </c>
      <c r="AB630" s="42" t="s">
        <v>382</v>
      </c>
      <c r="AC630" s="43" t="s">
        <v>383</v>
      </c>
      <c r="AD630" s="43">
        <v>770000000</v>
      </c>
      <c r="AE630" s="44">
        <v>0</v>
      </c>
      <c r="AF630" s="44">
        <v>0</v>
      </c>
      <c r="AG630" s="44">
        <v>0</v>
      </c>
      <c r="AH630" s="44">
        <v>0</v>
      </c>
      <c r="AI630" s="44">
        <v>0</v>
      </c>
      <c r="AJ630" s="43">
        <v>770000000</v>
      </c>
      <c r="AK630" s="44">
        <v>0</v>
      </c>
      <c r="AL630" s="44">
        <v>0</v>
      </c>
      <c r="AM630" s="43">
        <v>0</v>
      </c>
      <c r="AN630" s="44">
        <v>0</v>
      </c>
      <c r="AO630" s="44">
        <v>0</v>
      </c>
      <c r="AP630" s="114">
        <v>0</v>
      </c>
      <c r="AQ630" s="34">
        <v>0</v>
      </c>
      <c r="AR630" s="34">
        <v>0</v>
      </c>
      <c r="AS630" s="34">
        <v>0</v>
      </c>
      <c r="AT630" s="40">
        <f t="shared" si="790"/>
        <v>0</v>
      </c>
      <c r="AU630" s="18">
        <f t="shared" si="791"/>
        <v>770000000</v>
      </c>
      <c r="AV630" s="34">
        <f t="shared" si="792"/>
        <v>0</v>
      </c>
      <c r="AW630" s="34">
        <f t="shared" si="793"/>
        <v>0</v>
      </c>
      <c r="AX630" s="123">
        <f t="shared" si="794"/>
        <v>0</v>
      </c>
    </row>
    <row r="631" spans="1:50" ht="25.5" customHeight="1" x14ac:dyDescent="0.2">
      <c r="AA631" s="28" t="s">
        <v>288</v>
      </c>
      <c r="AB631" s="29" t="s">
        <v>563</v>
      </c>
      <c r="AC631" s="17"/>
      <c r="AD631" s="18"/>
      <c r="AE631" s="34"/>
      <c r="AF631" s="34"/>
      <c r="AG631" s="34"/>
      <c r="AH631" s="34"/>
      <c r="AI631" s="34"/>
      <c r="AJ631" s="18"/>
      <c r="AK631" s="18"/>
      <c r="AL631" s="18"/>
      <c r="AM631" s="18"/>
      <c r="AN631" s="18"/>
      <c r="AO631" s="18"/>
      <c r="AP631" s="110"/>
      <c r="AQ631" s="34"/>
      <c r="AR631" s="34"/>
      <c r="AS631" s="34"/>
      <c r="AT631" s="40"/>
      <c r="AU631" s="18"/>
      <c r="AV631" s="18"/>
      <c r="AW631" s="18"/>
      <c r="AX631" s="18"/>
    </row>
    <row r="632" spans="1:50" ht="18.75" customHeight="1" x14ac:dyDescent="0.2">
      <c r="A632" s="4" t="s">
        <v>55</v>
      </c>
      <c r="B632" s="4" t="s">
        <v>56</v>
      </c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1" t="s">
        <v>564</v>
      </c>
      <c r="AB632" s="42" t="s">
        <v>233</v>
      </c>
      <c r="AC632" s="43" t="s">
        <v>58</v>
      </c>
      <c r="AD632" s="43">
        <v>150000000</v>
      </c>
      <c r="AE632" s="44">
        <v>0</v>
      </c>
      <c r="AF632" s="44">
        <v>0</v>
      </c>
      <c r="AG632" s="43">
        <v>200000000</v>
      </c>
      <c r="AH632" s="44">
        <v>0</v>
      </c>
      <c r="AI632" s="43">
        <f>AE632-AF632+AG632-AH632</f>
        <v>200000000</v>
      </c>
      <c r="AJ632" s="43">
        <f>AD632+AI632</f>
        <v>350000000</v>
      </c>
      <c r="AK632" s="44">
        <v>0</v>
      </c>
      <c r="AL632" s="114">
        <f>AM632-'MARZO '!AM627</f>
        <v>-207505530</v>
      </c>
      <c r="AM632" s="114">
        <v>142400000</v>
      </c>
      <c r="AN632" s="44">
        <v>0</v>
      </c>
      <c r="AO632" s="43">
        <v>0</v>
      </c>
      <c r="AP632" s="43">
        <v>118400000</v>
      </c>
      <c r="AQ632" s="18">
        <v>14800000</v>
      </c>
      <c r="AR632" s="18">
        <v>13300000</v>
      </c>
      <c r="AS632" s="18">
        <v>15613333</v>
      </c>
      <c r="AT632" s="39">
        <f t="shared" ref="AT632:AT633" si="795">AQ632+AS632</f>
        <v>30413333</v>
      </c>
      <c r="AU632" s="18">
        <f t="shared" ref="AU632:AU633" si="796">AJ632-AM632</f>
        <v>207600000</v>
      </c>
      <c r="AV632" s="18">
        <f t="shared" ref="AV632:AV633" si="797">AM632-AP632</f>
        <v>24000000</v>
      </c>
      <c r="AW632" s="110">
        <f t="shared" ref="AW632:AW633" si="798">AP632-AT632</f>
        <v>87986667</v>
      </c>
      <c r="AX632" s="123">
        <f t="shared" ref="AX632:AX633" si="799">AP632/AJ632</f>
        <v>0.3382857142857143</v>
      </c>
    </row>
    <row r="633" spans="1:50" ht="18.75" customHeight="1" x14ac:dyDescent="0.2">
      <c r="A633" s="4" t="s">
        <v>55</v>
      </c>
      <c r="B633" s="4" t="s">
        <v>56</v>
      </c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1" t="s">
        <v>565</v>
      </c>
      <c r="AB633" s="42" t="s">
        <v>382</v>
      </c>
      <c r="AC633" s="43" t="s">
        <v>383</v>
      </c>
      <c r="AD633" s="43">
        <v>1110000000</v>
      </c>
      <c r="AE633" s="44">
        <v>0</v>
      </c>
      <c r="AF633" s="44">
        <v>0</v>
      </c>
      <c r="AG633" s="44">
        <v>0</v>
      </c>
      <c r="AH633" s="44">
        <v>0</v>
      </c>
      <c r="AI633" s="44">
        <v>0</v>
      </c>
      <c r="AJ633" s="43">
        <v>1110000000</v>
      </c>
      <c r="AK633" s="44">
        <v>0</v>
      </c>
      <c r="AL633" s="114">
        <f>AM633-'MARZO '!AM628</f>
        <v>-93765809</v>
      </c>
      <c r="AM633" s="114">
        <v>1016234191</v>
      </c>
      <c r="AN633" s="44">
        <v>0</v>
      </c>
      <c r="AO633" s="43">
        <v>116814858</v>
      </c>
      <c r="AP633" s="43">
        <v>176814858</v>
      </c>
      <c r="AQ633" s="18">
        <v>7830000</v>
      </c>
      <c r="AR633" s="18">
        <v>0</v>
      </c>
      <c r="AS633" s="18">
        <v>2610000</v>
      </c>
      <c r="AT633" s="39">
        <f t="shared" si="795"/>
        <v>10440000</v>
      </c>
      <c r="AU633" s="18">
        <f t="shared" si="796"/>
        <v>93765809</v>
      </c>
      <c r="AV633" s="18">
        <f t="shared" si="797"/>
        <v>839419333</v>
      </c>
      <c r="AW633" s="110">
        <f t="shared" si="798"/>
        <v>166374858</v>
      </c>
      <c r="AX633" s="123">
        <f t="shared" si="799"/>
        <v>0.15929266486486487</v>
      </c>
    </row>
    <row r="634" spans="1:50" ht="18.75" customHeight="1" x14ac:dyDescent="0.2">
      <c r="AA634" s="28" t="s">
        <v>288</v>
      </c>
      <c r="AB634" s="29" t="s">
        <v>566</v>
      </c>
      <c r="AC634" s="17"/>
      <c r="AD634" s="18"/>
      <c r="AE634" s="34"/>
      <c r="AF634" s="34"/>
      <c r="AG634" s="34"/>
      <c r="AH634" s="34"/>
      <c r="AI634" s="34"/>
      <c r="AJ634" s="18"/>
      <c r="AK634" s="18"/>
      <c r="AL634" s="18"/>
      <c r="AM634" s="18"/>
      <c r="AN634" s="18"/>
      <c r="AO634" s="18"/>
      <c r="AP634" s="110"/>
      <c r="AQ634" s="18"/>
      <c r="AR634" s="18"/>
      <c r="AS634" s="18"/>
      <c r="AT634" s="30"/>
      <c r="AU634" s="18"/>
      <c r="AV634" s="18"/>
      <c r="AW634" s="18"/>
      <c r="AX634" s="18"/>
    </row>
    <row r="635" spans="1:50" ht="18.75" customHeight="1" x14ac:dyDescent="0.2">
      <c r="A635" s="4" t="s">
        <v>55</v>
      </c>
      <c r="B635" s="4" t="s">
        <v>56</v>
      </c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1" t="s">
        <v>567</v>
      </c>
      <c r="AB635" s="42" t="s">
        <v>233</v>
      </c>
      <c r="AC635" s="43" t="s">
        <v>58</v>
      </c>
      <c r="AD635" s="43">
        <v>771000000</v>
      </c>
      <c r="AE635" s="44">
        <v>0</v>
      </c>
      <c r="AF635" s="44">
        <v>0</v>
      </c>
      <c r="AG635" s="44">
        <v>0</v>
      </c>
      <c r="AH635" s="44">
        <v>0</v>
      </c>
      <c r="AI635" s="44">
        <v>0</v>
      </c>
      <c r="AJ635" s="43">
        <v>771000000</v>
      </c>
      <c r="AK635" s="44">
        <v>0</v>
      </c>
      <c r="AL635" s="43">
        <v>14253667.77</v>
      </c>
      <c r="AM635" s="43">
        <v>441933071.07999998</v>
      </c>
      <c r="AN635" s="43">
        <v>0</v>
      </c>
      <c r="AO635" s="114">
        <v>14253667.77</v>
      </c>
      <c r="AP635" s="114">
        <v>441933071.07999998</v>
      </c>
      <c r="AQ635" s="43">
        <v>49600000</v>
      </c>
      <c r="AR635" s="43">
        <v>60853667.770000003</v>
      </c>
      <c r="AS635" s="43">
        <v>135653072.08000001</v>
      </c>
      <c r="AT635" s="39">
        <f t="shared" si="768"/>
        <v>185253072.08000001</v>
      </c>
      <c r="AU635" s="18">
        <f t="shared" ref="AU635" si="800">AJ635-AM635</f>
        <v>329066928.92000002</v>
      </c>
      <c r="AV635" s="34">
        <f t="shared" ref="AV635" si="801">AM635-AP635</f>
        <v>0</v>
      </c>
      <c r="AW635" s="18">
        <f t="shared" ref="AW635" si="802">AP635-AT635</f>
        <v>256679998.99999997</v>
      </c>
      <c r="AX635" s="123">
        <f t="shared" ref="AX635" si="803">AP635/AJ635</f>
        <v>0.57319464472114134</v>
      </c>
    </row>
    <row r="636" spans="1:50" ht="18.75" customHeight="1" x14ac:dyDescent="0.2">
      <c r="AA636" s="28" t="s">
        <v>288</v>
      </c>
      <c r="AB636" s="29" t="s">
        <v>568</v>
      </c>
      <c r="AC636" s="17"/>
      <c r="AD636" s="18"/>
      <c r="AE636" s="34"/>
      <c r="AF636" s="34"/>
      <c r="AG636" s="34"/>
      <c r="AH636" s="34"/>
      <c r="AI636" s="34"/>
      <c r="AJ636" s="18"/>
      <c r="AK636" s="34"/>
      <c r="AL636" s="18"/>
      <c r="AM636" s="18"/>
      <c r="AN636" s="18"/>
      <c r="AO636" s="110"/>
      <c r="AP636" s="110"/>
      <c r="AQ636" s="18"/>
      <c r="AR636" s="18"/>
      <c r="AS636" s="18"/>
      <c r="AT636" s="30"/>
      <c r="AU636" s="18"/>
      <c r="AV636" s="18"/>
      <c r="AW636" s="18"/>
      <c r="AX636" s="18"/>
    </row>
    <row r="637" spans="1:50" ht="18.75" customHeight="1" x14ac:dyDescent="0.2">
      <c r="A637" s="4" t="s">
        <v>55</v>
      </c>
      <c r="B637" s="4" t="s">
        <v>56</v>
      </c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1" t="s">
        <v>569</v>
      </c>
      <c r="AB637" s="42" t="s">
        <v>233</v>
      </c>
      <c r="AC637" s="43" t="s">
        <v>58</v>
      </c>
      <c r="AD637" s="43">
        <v>230000000</v>
      </c>
      <c r="AE637" s="44">
        <v>0</v>
      </c>
      <c r="AF637" s="44">
        <v>0</v>
      </c>
      <c r="AG637" s="44">
        <v>0</v>
      </c>
      <c r="AH637" s="44">
        <v>0</v>
      </c>
      <c r="AI637" s="44">
        <v>0</v>
      </c>
      <c r="AJ637" s="43">
        <v>230000000</v>
      </c>
      <c r="AK637" s="44">
        <v>0</v>
      </c>
      <c r="AL637" s="43">
        <v>26156149</v>
      </c>
      <c r="AM637" s="43">
        <v>190156149</v>
      </c>
      <c r="AN637" s="44">
        <v>0</v>
      </c>
      <c r="AO637" s="114">
        <v>0</v>
      </c>
      <c r="AP637" s="114">
        <v>164000000</v>
      </c>
      <c r="AQ637" s="18">
        <v>20500000</v>
      </c>
      <c r="AR637" s="18">
        <v>20500000</v>
      </c>
      <c r="AS637" s="18">
        <v>33366667</v>
      </c>
      <c r="AT637" s="39">
        <f t="shared" si="768"/>
        <v>53866667</v>
      </c>
      <c r="AU637" s="18">
        <f t="shared" ref="AU637" si="804">AJ637-AM637</f>
        <v>39843851</v>
      </c>
      <c r="AV637" s="34">
        <f t="shared" ref="AV637" si="805">AM637-AP637</f>
        <v>26156149</v>
      </c>
      <c r="AW637" s="18">
        <f t="shared" ref="AW637" si="806">AP637-AT637</f>
        <v>110133333</v>
      </c>
      <c r="AX637" s="123">
        <f t="shared" ref="AX637" si="807">AP637/AJ637</f>
        <v>0.71304347826086956</v>
      </c>
    </row>
    <row r="638" spans="1:50" ht="18.75" customHeight="1" x14ac:dyDescent="0.2">
      <c r="AA638" s="28" t="s">
        <v>288</v>
      </c>
      <c r="AB638" s="29" t="s">
        <v>570</v>
      </c>
      <c r="AC638" s="17"/>
      <c r="AD638" s="18"/>
      <c r="AE638" s="34"/>
      <c r="AF638" s="34"/>
      <c r="AG638" s="34"/>
      <c r="AH638" s="34"/>
      <c r="AI638" s="34"/>
      <c r="AJ638" s="18"/>
      <c r="AK638" s="34"/>
      <c r="AL638" s="18"/>
      <c r="AM638" s="18"/>
      <c r="AN638" s="34"/>
      <c r="AO638" s="110"/>
      <c r="AP638" s="110"/>
      <c r="AQ638" s="18"/>
      <c r="AR638" s="18"/>
      <c r="AS638" s="18"/>
      <c r="AT638" s="39"/>
      <c r="AU638" s="18"/>
      <c r="AV638" s="18"/>
      <c r="AW638" s="18"/>
      <c r="AX638" s="18"/>
    </row>
    <row r="639" spans="1:50" ht="18.75" customHeight="1" x14ac:dyDescent="0.2">
      <c r="A639" s="4" t="s">
        <v>55</v>
      </c>
      <c r="B639" s="4" t="s">
        <v>56</v>
      </c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1" t="s">
        <v>571</v>
      </c>
      <c r="AB639" s="42" t="s">
        <v>233</v>
      </c>
      <c r="AC639" s="43" t="s">
        <v>58</v>
      </c>
      <c r="AD639" s="43">
        <v>300000000</v>
      </c>
      <c r="AE639" s="44">
        <v>0</v>
      </c>
      <c r="AF639" s="44">
        <v>0</v>
      </c>
      <c r="AG639" s="44">
        <v>0</v>
      </c>
      <c r="AH639" s="44">
        <v>0</v>
      </c>
      <c r="AI639" s="44">
        <v>0</v>
      </c>
      <c r="AJ639" s="43">
        <v>300000000</v>
      </c>
      <c r="AK639" s="44">
        <v>0</v>
      </c>
      <c r="AL639" s="44">
        <v>0</v>
      </c>
      <c r="AM639" s="43">
        <v>152000000</v>
      </c>
      <c r="AN639" s="44">
        <v>0</v>
      </c>
      <c r="AO639" s="114">
        <v>0</v>
      </c>
      <c r="AP639" s="114">
        <v>152000000</v>
      </c>
      <c r="AQ639" s="18">
        <v>19000000</v>
      </c>
      <c r="AR639" s="18">
        <v>19000000</v>
      </c>
      <c r="AS639" s="18">
        <v>36149999</v>
      </c>
      <c r="AT639" s="39">
        <f t="shared" ref="AT639" si="808">AQ639+AS639</f>
        <v>55149999</v>
      </c>
      <c r="AU639" s="18">
        <f t="shared" ref="AU639" si="809">AJ639-AM639</f>
        <v>148000000</v>
      </c>
      <c r="AV639" s="133">
        <f t="shared" ref="AV639" si="810">AM639-AP639</f>
        <v>0</v>
      </c>
      <c r="AW639" s="18">
        <f t="shared" ref="AW639" si="811">AP639-AT639</f>
        <v>96850001</v>
      </c>
      <c r="AX639" s="123">
        <f t="shared" ref="AX639" si="812">AP639/AJ639</f>
        <v>0.50666666666666671</v>
      </c>
    </row>
    <row r="640" spans="1:50" ht="18.75" customHeight="1" x14ac:dyDescent="0.2">
      <c r="AA640" s="28" t="s">
        <v>288</v>
      </c>
      <c r="AB640" s="29" t="s">
        <v>400</v>
      </c>
      <c r="AC640" s="17"/>
      <c r="AD640" s="18"/>
      <c r="AE640" s="34"/>
      <c r="AF640" s="34"/>
      <c r="AG640" s="34"/>
      <c r="AH640" s="34"/>
      <c r="AI640" s="34"/>
      <c r="AJ640" s="18"/>
      <c r="AK640" s="34"/>
      <c r="AL640" s="18"/>
      <c r="AM640" s="18"/>
      <c r="AN640" s="34"/>
      <c r="AO640" s="110"/>
      <c r="AP640" s="110"/>
      <c r="AQ640" s="18"/>
      <c r="AR640" s="18"/>
      <c r="AS640" s="18"/>
      <c r="AT640" s="39"/>
      <c r="AU640" s="18"/>
      <c r="AV640" s="110"/>
      <c r="AW640" s="18"/>
      <c r="AX640" s="18"/>
    </row>
    <row r="641" spans="1:50" ht="18.75" customHeight="1" x14ac:dyDescent="0.2">
      <c r="A641" s="4" t="s">
        <v>55</v>
      </c>
      <c r="B641" s="4" t="s">
        <v>56</v>
      </c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1" t="s">
        <v>425</v>
      </c>
      <c r="AB641" s="42" t="s">
        <v>233</v>
      </c>
      <c r="AC641" s="43" t="s">
        <v>58</v>
      </c>
      <c r="AD641" s="43">
        <v>440000000</v>
      </c>
      <c r="AE641" s="44">
        <v>0</v>
      </c>
      <c r="AF641" s="44">
        <v>0</v>
      </c>
      <c r="AG641" s="43">
        <v>42000000</v>
      </c>
      <c r="AH641" s="44">
        <v>0</v>
      </c>
      <c r="AI641" s="43">
        <f>AE641-AF641+AG641-AH641</f>
        <v>42000000</v>
      </c>
      <c r="AJ641" s="43">
        <f>AD641+AI641</f>
        <v>482000000</v>
      </c>
      <c r="AK641" s="44">
        <v>0</v>
      </c>
      <c r="AL641" s="43">
        <v>38000000</v>
      </c>
      <c r="AM641" s="43">
        <v>416400000</v>
      </c>
      <c r="AN641" s="44">
        <v>0</v>
      </c>
      <c r="AO641" s="114">
        <v>38000000</v>
      </c>
      <c r="AP641" s="114">
        <v>416400000</v>
      </c>
      <c r="AQ641" s="18">
        <v>42166666</v>
      </c>
      <c r="AR641" s="18">
        <v>45366667</v>
      </c>
      <c r="AS641" s="18">
        <v>75183334</v>
      </c>
      <c r="AT641" s="39">
        <f t="shared" ref="AT641" si="813">AQ641+AS641</f>
        <v>117350000</v>
      </c>
      <c r="AU641" s="18">
        <f t="shared" ref="AU641" si="814">AJ641-AM641</f>
        <v>65600000</v>
      </c>
      <c r="AV641" s="110">
        <f t="shared" ref="AV641" si="815">AM641-AP641</f>
        <v>0</v>
      </c>
      <c r="AW641" s="18">
        <f t="shared" ref="AW641" si="816">AP641-AT641</f>
        <v>299050000</v>
      </c>
      <c r="AX641" s="123">
        <f t="shared" ref="AX641" si="817">AP641/AJ641</f>
        <v>0.86390041493775938</v>
      </c>
    </row>
    <row r="642" spans="1:50" ht="18.75" customHeight="1" x14ac:dyDescent="0.2">
      <c r="AA642" s="16"/>
      <c r="AB642" s="17"/>
      <c r="AC642" s="17"/>
      <c r="AD642" s="18"/>
      <c r="AE642" s="34"/>
      <c r="AF642" s="34"/>
      <c r="AG642" s="34"/>
      <c r="AH642" s="34"/>
      <c r="AI642" s="34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30"/>
      <c r="AU642" s="18"/>
      <c r="AV642" s="18"/>
      <c r="AW642" s="18"/>
      <c r="AX642" s="18"/>
    </row>
    <row r="643" spans="1:50" s="50" customFormat="1" ht="18.75" customHeight="1" x14ac:dyDescent="0.2"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46"/>
      <c r="AB643" s="47" t="s">
        <v>572</v>
      </c>
      <c r="AC643" s="47"/>
      <c r="AD643" s="48">
        <f>SUM(AD594:AD642)</f>
        <v>13989429350</v>
      </c>
      <c r="AE643" s="49">
        <f t="shared" ref="AE643:AW643" si="818">SUM(AE594:AE642)</f>
        <v>0</v>
      </c>
      <c r="AF643" s="49">
        <f t="shared" si="818"/>
        <v>0</v>
      </c>
      <c r="AG643" s="48">
        <f t="shared" si="818"/>
        <v>1644000000</v>
      </c>
      <c r="AH643" s="49">
        <f t="shared" si="818"/>
        <v>0</v>
      </c>
      <c r="AI643" s="48">
        <f t="shared" si="818"/>
        <v>1644000000</v>
      </c>
      <c r="AJ643" s="48">
        <f t="shared" si="818"/>
        <v>15633429350</v>
      </c>
      <c r="AK643" s="49">
        <f t="shared" si="818"/>
        <v>0</v>
      </c>
      <c r="AL643" s="48">
        <f t="shared" si="818"/>
        <v>1719807818.4699998</v>
      </c>
      <c r="AM643" s="48">
        <f t="shared" si="818"/>
        <v>10800551094.879999</v>
      </c>
      <c r="AN643" s="48">
        <f t="shared" si="818"/>
        <v>0</v>
      </c>
      <c r="AO643" s="48">
        <f t="shared" si="818"/>
        <v>185702772.46999985</v>
      </c>
      <c r="AP643" s="48">
        <f t="shared" si="818"/>
        <v>7950540518.8799992</v>
      </c>
      <c r="AQ643" s="48">
        <f t="shared" si="818"/>
        <v>310716666</v>
      </c>
      <c r="AR643" s="48">
        <f t="shared" si="818"/>
        <v>771871398.47000003</v>
      </c>
      <c r="AS643" s="48">
        <f t="shared" si="818"/>
        <v>1095084617.8800001</v>
      </c>
      <c r="AT643" s="22">
        <f>AQ643+AS643</f>
        <v>1405801283.8800001</v>
      </c>
      <c r="AU643" s="48">
        <f t="shared" si="818"/>
        <v>4832878255.1199999</v>
      </c>
      <c r="AV643" s="48">
        <f t="shared" si="818"/>
        <v>2850010576</v>
      </c>
      <c r="AW643" s="48">
        <f t="shared" si="818"/>
        <v>6544739235</v>
      </c>
      <c r="AX643" s="24">
        <f t="shared" ref="AX643" si="819">AP643/AJ643</f>
        <v>0.50856023594592825</v>
      </c>
    </row>
    <row r="644" spans="1:50" ht="18.75" customHeight="1" x14ac:dyDescent="0.2">
      <c r="AA644" s="16"/>
      <c r="AB644" s="17"/>
      <c r="AC644" s="17"/>
      <c r="AD644" s="18"/>
      <c r="AE644" s="34"/>
      <c r="AF644" s="34"/>
      <c r="AG644" s="34"/>
      <c r="AH644" s="34"/>
      <c r="AI644" s="34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</row>
    <row r="645" spans="1:50" s="25" customFormat="1" ht="18.75" customHeight="1" x14ac:dyDescent="0.2"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66"/>
      <c r="AB645" s="21" t="s">
        <v>573</v>
      </c>
      <c r="AC645" s="67"/>
      <c r="AD645" s="63"/>
      <c r="AE645" s="72"/>
      <c r="AF645" s="72"/>
      <c r="AG645" s="72"/>
      <c r="AH645" s="72"/>
      <c r="AI645" s="72"/>
      <c r="AJ645" s="63"/>
      <c r="AK645" s="63"/>
      <c r="AL645" s="63"/>
      <c r="AM645" s="63"/>
      <c r="AN645" s="63"/>
      <c r="AO645" s="63"/>
      <c r="AP645" s="63"/>
      <c r="AQ645" s="63"/>
      <c r="AR645" s="63"/>
      <c r="AS645" s="63"/>
      <c r="AT645" s="63"/>
      <c r="AU645" s="63"/>
      <c r="AV645" s="63"/>
      <c r="AW645" s="63"/>
      <c r="AX645" s="63"/>
    </row>
    <row r="646" spans="1:50" ht="18.75" customHeight="1" x14ac:dyDescent="0.2">
      <c r="AA646" s="16"/>
      <c r="AB646" s="29" t="s">
        <v>286</v>
      </c>
      <c r="AC646" s="17"/>
      <c r="AD646" s="18"/>
      <c r="AE646" s="34"/>
      <c r="AF646" s="34"/>
      <c r="AG646" s="34"/>
      <c r="AH646" s="34"/>
      <c r="AI646" s="34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</row>
    <row r="647" spans="1:50" ht="18.75" customHeight="1" x14ac:dyDescent="0.2">
      <c r="AA647" s="16"/>
      <c r="AB647" s="29" t="s">
        <v>574</v>
      </c>
      <c r="AC647" s="17"/>
      <c r="AD647" s="18"/>
      <c r="AE647" s="34"/>
      <c r="AF647" s="34"/>
      <c r="AG647" s="34"/>
      <c r="AH647" s="34"/>
      <c r="AI647" s="34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</row>
    <row r="648" spans="1:50" ht="18.75" customHeight="1" x14ac:dyDescent="0.2">
      <c r="AA648" s="16"/>
      <c r="AB648" s="29" t="s">
        <v>575</v>
      </c>
      <c r="AC648" s="17"/>
      <c r="AD648" s="18"/>
      <c r="AE648" s="34"/>
      <c r="AF648" s="34"/>
      <c r="AG648" s="34"/>
      <c r="AH648" s="34"/>
      <c r="AI648" s="34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</row>
    <row r="649" spans="1:50" ht="18.75" customHeight="1" x14ac:dyDescent="0.2">
      <c r="AA649" s="16"/>
      <c r="AB649" s="29" t="s">
        <v>576</v>
      </c>
      <c r="AC649" s="17"/>
      <c r="AD649" s="18"/>
      <c r="AE649" s="34"/>
      <c r="AF649" s="34"/>
      <c r="AG649" s="34"/>
      <c r="AH649" s="34"/>
      <c r="AI649" s="34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</row>
    <row r="650" spans="1:50" x14ac:dyDescent="0.2">
      <c r="AA650" s="16"/>
      <c r="AB650" s="29" t="s">
        <v>577</v>
      </c>
      <c r="AC650" s="17"/>
      <c r="AD650" s="18"/>
      <c r="AE650" s="34"/>
      <c r="AF650" s="34"/>
      <c r="AG650" s="34"/>
      <c r="AH650" s="34"/>
      <c r="AI650" s="34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</row>
    <row r="651" spans="1:50" ht="25.5" x14ac:dyDescent="0.2">
      <c r="AA651" s="16"/>
      <c r="AB651" s="29" t="s">
        <v>578</v>
      </c>
      <c r="AC651" s="17"/>
      <c r="AD651" s="18"/>
      <c r="AE651" s="34"/>
      <c r="AF651" s="34"/>
      <c r="AG651" s="34"/>
      <c r="AH651" s="34"/>
      <c r="AI651" s="34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30"/>
      <c r="AU651" s="18"/>
      <c r="AV651" s="18"/>
      <c r="AW651" s="18"/>
      <c r="AX651" s="18"/>
    </row>
    <row r="652" spans="1:50" ht="25.5" x14ac:dyDescent="0.2">
      <c r="AA652" s="16"/>
      <c r="AB652" s="29" t="s">
        <v>579</v>
      </c>
      <c r="AC652" s="17"/>
      <c r="AD652" s="18"/>
      <c r="AE652" s="34"/>
      <c r="AF652" s="34"/>
      <c r="AG652" s="34"/>
      <c r="AH652" s="34"/>
      <c r="AI652" s="34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30"/>
      <c r="AU652" s="18"/>
      <c r="AV652" s="18"/>
      <c r="AW652" s="18"/>
      <c r="AX652" s="18"/>
    </row>
    <row r="653" spans="1:50" x14ac:dyDescent="0.2">
      <c r="A653" s="4" t="s">
        <v>55</v>
      </c>
      <c r="B653" s="4" t="s">
        <v>56</v>
      </c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1" t="s">
        <v>580</v>
      </c>
      <c r="AB653" s="42" t="s">
        <v>233</v>
      </c>
      <c r="AC653" s="43" t="s">
        <v>58</v>
      </c>
      <c r="AD653" s="43">
        <v>50000000</v>
      </c>
      <c r="AE653" s="44">
        <v>0</v>
      </c>
      <c r="AF653" s="44">
        <v>0</v>
      </c>
      <c r="AG653" s="44">
        <v>0</v>
      </c>
      <c r="AH653" s="44">
        <v>0</v>
      </c>
      <c r="AI653" s="44">
        <v>0</v>
      </c>
      <c r="AJ653" s="43">
        <v>50000000</v>
      </c>
      <c r="AK653" s="44">
        <v>0</v>
      </c>
      <c r="AL653" s="44">
        <v>0</v>
      </c>
      <c r="AM653" s="44">
        <v>0</v>
      </c>
      <c r="AN653" s="44">
        <v>0</v>
      </c>
      <c r="AO653" s="44">
        <v>0</v>
      </c>
      <c r="AP653" s="44">
        <v>0</v>
      </c>
      <c r="AQ653" s="34">
        <v>0</v>
      </c>
      <c r="AR653" s="34">
        <v>0</v>
      </c>
      <c r="AS653" s="34">
        <v>0</v>
      </c>
      <c r="AT653" s="40">
        <f t="shared" ref="AT653:AT694" si="820">AQ653+AS653</f>
        <v>0</v>
      </c>
      <c r="AU653" s="18">
        <f t="shared" ref="AU653" si="821">AJ653-AM653</f>
        <v>50000000</v>
      </c>
      <c r="AV653" s="133">
        <f t="shared" ref="AV653" si="822">AM653-AP653</f>
        <v>0</v>
      </c>
      <c r="AW653" s="34">
        <f t="shared" ref="AW653" si="823">AP653-AT653</f>
        <v>0</v>
      </c>
      <c r="AX653" s="123">
        <f t="shared" ref="AX653" si="824">AP653/AJ653</f>
        <v>0</v>
      </c>
    </row>
    <row r="654" spans="1:50" ht="25.5" x14ac:dyDescent="0.2">
      <c r="AA654" s="28" t="s">
        <v>288</v>
      </c>
      <c r="AB654" s="29" t="s">
        <v>581</v>
      </c>
      <c r="AC654" s="17"/>
      <c r="AD654" s="18"/>
      <c r="AE654" s="18"/>
      <c r="AF654" s="18"/>
      <c r="AG654" s="18"/>
      <c r="AH654" s="18"/>
      <c r="AI654" s="18"/>
      <c r="AJ654" s="18"/>
      <c r="AK654" s="34"/>
      <c r="AL654" s="34"/>
      <c r="AM654" s="34"/>
      <c r="AN654" s="34"/>
      <c r="AO654" s="34"/>
      <c r="AP654" s="34"/>
      <c r="AQ654" s="34"/>
      <c r="AR654" s="34"/>
      <c r="AS654" s="34"/>
      <c r="AT654" s="40"/>
      <c r="AU654" s="18"/>
      <c r="AV654" s="34"/>
      <c r="AW654" s="34"/>
      <c r="AX654" s="18"/>
    </row>
    <row r="655" spans="1:50" x14ac:dyDescent="0.2">
      <c r="A655" s="4" t="s">
        <v>55</v>
      </c>
      <c r="B655" s="4" t="s">
        <v>56</v>
      </c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1" t="s">
        <v>582</v>
      </c>
      <c r="AB655" s="42" t="s">
        <v>233</v>
      </c>
      <c r="AC655" s="43" t="s">
        <v>58</v>
      </c>
      <c r="AD655" s="43">
        <v>75000000</v>
      </c>
      <c r="AE655" s="44">
        <v>0</v>
      </c>
      <c r="AF655" s="44">
        <v>0</v>
      </c>
      <c r="AG655" s="44">
        <v>0</v>
      </c>
      <c r="AH655" s="43">
        <v>75000000</v>
      </c>
      <c r="AI655" s="43">
        <f>AE655-AF655+AG655-AH655</f>
        <v>-75000000</v>
      </c>
      <c r="AJ655" s="44">
        <f>AD655+AI655</f>
        <v>0</v>
      </c>
      <c r="AK655" s="44">
        <v>0</v>
      </c>
      <c r="AL655" s="44">
        <v>0</v>
      </c>
      <c r="AM655" s="44">
        <v>0</v>
      </c>
      <c r="AN655" s="44">
        <v>0</v>
      </c>
      <c r="AO655" s="44">
        <v>0</v>
      </c>
      <c r="AP655" s="44">
        <v>0</v>
      </c>
      <c r="AQ655" s="34">
        <v>0</v>
      </c>
      <c r="AR655" s="34">
        <v>0</v>
      </c>
      <c r="AS655" s="34">
        <v>0</v>
      </c>
      <c r="AT655" s="40">
        <f t="shared" ref="AT655" si="825">AQ655+AS655</f>
        <v>0</v>
      </c>
      <c r="AU655" s="34">
        <f t="shared" ref="AU655" si="826">AJ655-AM655</f>
        <v>0</v>
      </c>
      <c r="AV655" s="133">
        <f t="shared" ref="AV655" si="827">AM655-AP655</f>
        <v>0</v>
      </c>
      <c r="AW655" s="34">
        <f t="shared" ref="AW655" si="828">AP655-AT655</f>
        <v>0</v>
      </c>
      <c r="AX655" s="123">
        <v>0</v>
      </c>
    </row>
    <row r="656" spans="1:50" ht="25.5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73" t="s">
        <v>288</v>
      </c>
      <c r="AB656" s="74" t="s">
        <v>910</v>
      </c>
      <c r="AC656" s="43"/>
      <c r="AD656" s="43"/>
      <c r="AE656" s="44"/>
      <c r="AF656" s="44"/>
      <c r="AH656" s="43"/>
      <c r="AK656" s="44"/>
      <c r="AL656" s="44"/>
      <c r="AM656" s="44"/>
      <c r="AN656" s="44"/>
      <c r="AO656" s="44"/>
      <c r="AP656" s="44"/>
      <c r="AQ656" s="34"/>
      <c r="AR656" s="34"/>
      <c r="AS656" s="34"/>
      <c r="AT656" s="40"/>
      <c r="AU656" s="43"/>
      <c r="AV656" s="44"/>
      <c r="AW656" s="44"/>
      <c r="AX656" s="32"/>
    </row>
    <row r="657" spans="1:50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1" t="s">
        <v>911</v>
      </c>
      <c r="AB657" s="42" t="s">
        <v>233</v>
      </c>
      <c r="AC657" s="43"/>
      <c r="AD657" s="44">
        <v>0</v>
      </c>
      <c r="AE657" s="44">
        <v>0</v>
      </c>
      <c r="AF657" s="44">
        <v>0</v>
      </c>
      <c r="AG657" s="43">
        <f>31295090+46856431.35</f>
        <v>78151521.349999994</v>
      </c>
      <c r="AH657" s="44">
        <v>0</v>
      </c>
      <c r="AI657" s="43">
        <f>AE656-AF656+AG657-AH656</f>
        <v>78151521.349999994</v>
      </c>
      <c r="AJ657" s="43">
        <f>AD656+AI657</f>
        <v>78151521.349999994</v>
      </c>
      <c r="AK657" s="44">
        <v>0</v>
      </c>
      <c r="AL657" s="44">
        <v>0</v>
      </c>
      <c r="AM657" s="44">
        <v>0</v>
      </c>
      <c r="AN657" s="44">
        <v>0</v>
      </c>
      <c r="AO657" s="44">
        <v>0</v>
      </c>
      <c r="AP657" s="44">
        <v>0</v>
      </c>
      <c r="AQ657" s="34">
        <v>0</v>
      </c>
      <c r="AR657" s="34">
        <v>0</v>
      </c>
      <c r="AS657" s="34">
        <v>0</v>
      </c>
      <c r="AT657" s="40">
        <f t="shared" ref="AT657" si="829">AQ657+AS657</f>
        <v>0</v>
      </c>
      <c r="AU657" s="18">
        <f t="shared" ref="AU657" si="830">AJ657-AM657</f>
        <v>78151521.349999994</v>
      </c>
      <c r="AV657" s="133">
        <f t="shared" ref="AV657" si="831">AM657-AP657</f>
        <v>0</v>
      </c>
      <c r="AW657" s="34">
        <f t="shared" ref="AW657" si="832">AP657-AT657</f>
        <v>0</v>
      </c>
      <c r="AX657" s="123">
        <f t="shared" ref="AX657" si="833">AP657/AJ657</f>
        <v>0</v>
      </c>
    </row>
    <row r="658" spans="1:50" x14ac:dyDescent="0.2">
      <c r="AA658" s="16"/>
      <c r="AB658" s="17"/>
      <c r="AC658" s="17"/>
      <c r="AD658" s="18"/>
      <c r="AE658" s="34"/>
      <c r="AF658" s="34"/>
      <c r="AG658" s="34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30"/>
      <c r="AU658" s="18"/>
      <c r="AV658" s="18"/>
      <c r="AW658" s="18"/>
      <c r="AX658" s="18"/>
    </row>
    <row r="659" spans="1:50" x14ac:dyDescent="0.2">
      <c r="AA659" s="16"/>
      <c r="AB659" s="29" t="s">
        <v>179</v>
      </c>
      <c r="AC659" s="17"/>
      <c r="AD659" s="18"/>
      <c r="AE659" s="34"/>
      <c r="AF659" s="34"/>
      <c r="AG659" s="34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30"/>
      <c r="AU659" s="18"/>
      <c r="AV659" s="18"/>
      <c r="AW659" s="18"/>
      <c r="AX659" s="18"/>
    </row>
    <row r="660" spans="1:50" x14ac:dyDescent="0.2">
      <c r="AA660" s="16"/>
      <c r="AB660" s="29" t="s">
        <v>181</v>
      </c>
      <c r="AC660" s="17"/>
      <c r="AD660" s="18"/>
      <c r="AE660" s="34"/>
      <c r="AF660" s="34"/>
      <c r="AG660" s="34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30"/>
      <c r="AU660" s="18"/>
      <c r="AV660" s="18"/>
      <c r="AW660" s="18"/>
      <c r="AX660" s="18"/>
    </row>
    <row r="661" spans="1:50" ht="25.5" x14ac:dyDescent="0.2">
      <c r="AA661" s="16"/>
      <c r="AB661" s="29" t="s">
        <v>185</v>
      </c>
      <c r="AC661" s="17"/>
      <c r="AD661" s="18"/>
      <c r="AE661" s="34"/>
      <c r="AF661" s="34"/>
      <c r="AG661" s="34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30"/>
      <c r="AU661" s="18"/>
      <c r="AV661" s="18"/>
      <c r="AW661" s="18"/>
      <c r="AX661" s="18"/>
    </row>
    <row r="662" spans="1:50" x14ac:dyDescent="0.2">
      <c r="AA662" s="28" t="s">
        <v>288</v>
      </c>
      <c r="AB662" s="29" t="s">
        <v>583</v>
      </c>
      <c r="AC662" s="17"/>
      <c r="AD662" s="18"/>
      <c r="AE662" s="34"/>
      <c r="AF662" s="34"/>
      <c r="AG662" s="34"/>
      <c r="AH662" s="18"/>
      <c r="AI662" s="18"/>
      <c r="AJ662" s="18"/>
      <c r="AK662" s="34"/>
      <c r="AL662" s="34"/>
      <c r="AM662" s="34"/>
      <c r="AN662" s="34"/>
      <c r="AO662" s="34"/>
      <c r="AP662" s="34"/>
      <c r="AQ662" s="18"/>
      <c r="AR662" s="18"/>
      <c r="AS662" s="18"/>
      <c r="AT662" s="30"/>
      <c r="AU662" s="18"/>
      <c r="AV662" s="18"/>
      <c r="AW662" s="18"/>
      <c r="AX662" s="18"/>
    </row>
    <row r="663" spans="1:50" x14ac:dyDescent="0.2">
      <c r="A663" s="4" t="s">
        <v>55</v>
      </c>
      <c r="B663" s="4" t="s">
        <v>56</v>
      </c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1" t="s">
        <v>584</v>
      </c>
      <c r="AB663" s="42" t="s">
        <v>233</v>
      </c>
      <c r="AC663" s="43" t="s">
        <v>58</v>
      </c>
      <c r="AD663" s="43">
        <v>50000000</v>
      </c>
      <c r="AE663" s="44">
        <v>0</v>
      </c>
      <c r="AF663" s="44">
        <v>0</v>
      </c>
      <c r="AG663" s="44">
        <v>0</v>
      </c>
      <c r="AH663" s="44">
        <v>0</v>
      </c>
      <c r="AI663" s="44">
        <v>0</v>
      </c>
      <c r="AJ663" s="43">
        <v>50000000</v>
      </c>
      <c r="AK663" s="43">
        <v>0</v>
      </c>
      <c r="AL663" s="43">
        <f>AM663-'MARZO '!AM658</f>
        <v>-4399143.8900000006</v>
      </c>
      <c r="AM663" s="43">
        <v>43169856.109999999</v>
      </c>
      <c r="AN663" s="43">
        <v>0</v>
      </c>
      <c r="AO663" s="43">
        <v>43169856.109999999</v>
      </c>
      <c r="AP663" s="43">
        <v>43169856.109999999</v>
      </c>
      <c r="AQ663" s="44">
        <v>0</v>
      </c>
      <c r="AR663" s="44">
        <v>0</v>
      </c>
      <c r="AS663" s="44">
        <v>0</v>
      </c>
      <c r="AT663" s="40">
        <f t="shared" si="820"/>
        <v>0</v>
      </c>
      <c r="AU663" s="18">
        <f t="shared" ref="AU663" si="834">AJ663-AM663</f>
        <v>6830143.8900000006</v>
      </c>
      <c r="AV663" s="34">
        <f t="shared" ref="AV663" si="835">AM663-AP663</f>
        <v>0</v>
      </c>
      <c r="AW663" s="18">
        <f t="shared" ref="AW663" si="836">AP663-AT663</f>
        <v>43169856.109999999</v>
      </c>
      <c r="AX663" s="123">
        <f t="shared" ref="AX663" si="837">AP663/AJ663</f>
        <v>0.86339712219999998</v>
      </c>
    </row>
    <row r="664" spans="1:50" x14ac:dyDescent="0.2">
      <c r="AA664" s="16"/>
      <c r="AB664" s="17"/>
      <c r="AC664" s="17"/>
      <c r="AD664" s="18"/>
      <c r="AE664" s="34"/>
      <c r="AF664" s="34"/>
      <c r="AG664" s="34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30"/>
      <c r="AU664" s="18"/>
      <c r="AV664" s="18"/>
      <c r="AW664" s="18"/>
      <c r="AX664" s="18"/>
    </row>
    <row r="665" spans="1:50" x14ac:dyDescent="0.2">
      <c r="AA665" s="16"/>
      <c r="AB665" s="29" t="s">
        <v>189</v>
      </c>
      <c r="AC665" s="17"/>
      <c r="AD665" s="18"/>
      <c r="AE665" s="34"/>
      <c r="AF665" s="34"/>
      <c r="AG665" s="34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30"/>
      <c r="AU665" s="18"/>
      <c r="AV665" s="18"/>
      <c r="AW665" s="18"/>
      <c r="AX665" s="18"/>
    </row>
    <row r="666" spans="1:50" ht="38.25" x14ac:dyDescent="0.2">
      <c r="AA666" s="16"/>
      <c r="AB666" s="29" t="s">
        <v>373</v>
      </c>
      <c r="AC666" s="17"/>
      <c r="AD666" s="18"/>
      <c r="AE666" s="34"/>
      <c r="AF666" s="34"/>
      <c r="AG666" s="34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30"/>
      <c r="AU666" s="18"/>
      <c r="AV666" s="18"/>
      <c r="AW666" s="18"/>
      <c r="AX666" s="18"/>
    </row>
    <row r="667" spans="1:50" ht="25.5" x14ac:dyDescent="0.2">
      <c r="AA667" s="28" t="s">
        <v>288</v>
      </c>
      <c r="AB667" s="29" t="s">
        <v>585</v>
      </c>
      <c r="AC667" s="17"/>
      <c r="AD667" s="18"/>
      <c r="AE667" s="34"/>
      <c r="AF667" s="34"/>
      <c r="AG667" s="34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30"/>
      <c r="AU667" s="18"/>
      <c r="AV667" s="18"/>
      <c r="AW667" s="18"/>
      <c r="AX667" s="18"/>
    </row>
    <row r="668" spans="1:50" x14ac:dyDescent="0.2">
      <c r="A668" s="4" t="s">
        <v>55</v>
      </c>
      <c r="B668" s="4" t="s">
        <v>56</v>
      </c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1" t="s">
        <v>586</v>
      </c>
      <c r="AB668" s="42" t="s">
        <v>233</v>
      </c>
      <c r="AC668" s="43" t="s">
        <v>58</v>
      </c>
      <c r="AD668" s="43">
        <v>165000000</v>
      </c>
      <c r="AE668" s="44">
        <v>0</v>
      </c>
      <c r="AF668" s="44">
        <v>0</v>
      </c>
      <c r="AG668" s="44">
        <v>0</v>
      </c>
      <c r="AH668" s="44">
        <v>0</v>
      </c>
      <c r="AI668" s="44">
        <v>0</v>
      </c>
      <c r="AJ668" s="43">
        <v>165000000</v>
      </c>
      <c r="AK668" s="44">
        <v>0</v>
      </c>
      <c r="AL668" s="44">
        <v>0</v>
      </c>
      <c r="AM668" s="43">
        <v>142500000</v>
      </c>
      <c r="AN668" s="44">
        <v>0</v>
      </c>
      <c r="AO668" s="44">
        <v>0</v>
      </c>
      <c r="AP668" s="18">
        <v>142500000</v>
      </c>
      <c r="AQ668" s="34">
        <v>0</v>
      </c>
      <c r="AR668" s="34">
        <v>0</v>
      </c>
      <c r="AS668" s="34">
        <v>0</v>
      </c>
      <c r="AT668" s="40">
        <f t="shared" ref="AT668" si="838">AQ668+AS668</f>
        <v>0</v>
      </c>
      <c r="AU668" s="18">
        <f t="shared" ref="AU668" si="839">AJ668-AM668</f>
        <v>22500000</v>
      </c>
      <c r="AV668" s="133">
        <f t="shared" ref="AV668" si="840">AM668-AP668</f>
        <v>0</v>
      </c>
      <c r="AW668" s="18">
        <f t="shared" ref="AW668" si="841">AP668-AT668</f>
        <v>142500000</v>
      </c>
      <c r="AX668" s="123">
        <f t="shared" ref="AX668" si="842">AP668/AJ668</f>
        <v>0.86363636363636365</v>
      </c>
    </row>
    <row r="669" spans="1:50" ht="25.5" x14ac:dyDescent="0.2">
      <c r="AA669" s="28" t="s">
        <v>288</v>
      </c>
      <c r="AB669" s="29" t="s">
        <v>587</v>
      </c>
      <c r="AC669" s="17"/>
      <c r="AD669" s="18"/>
      <c r="AE669" s="34"/>
      <c r="AF669" s="34"/>
      <c r="AG669" s="34"/>
      <c r="AH669" s="34"/>
      <c r="AI669" s="34"/>
      <c r="AJ669" s="18"/>
      <c r="AK669" s="18"/>
      <c r="AL669" s="18"/>
      <c r="AM669" s="18"/>
      <c r="AN669" s="34"/>
      <c r="AO669" s="34"/>
      <c r="AP669" s="18"/>
      <c r="AQ669" s="34"/>
      <c r="AR669" s="34"/>
      <c r="AS669" s="34"/>
      <c r="AT669" s="40"/>
      <c r="AU669" s="18"/>
      <c r="AV669" s="34"/>
      <c r="AW669" s="18"/>
      <c r="AX669" s="18"/>
    </row>
    <row r="670" spans="1:50" x14ac:dyDescent="0.2">
      <c r="A670" s="4" t="s">
        <v>55</v>
      </c>
      <c r="B670" s="4" t="s">
        <v>56</v>
      </c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1" t="s">
        <v>588</v>
      </c>
      <c r="AB670" s="42" t="s">
        <v>233</v>
      </c>
      <c r="AC670" s="43" t="s">
        <v>58</v>
      </c>
      <c r="AD670" s="43">
        <v>360000000</v>
      </c>
      <c r="AE670" s="44">
        <v>0</v>
      </c>
      <c r="AF670" s="44">
        <v>0</v>
      </c>
      <c r="AG670" s="44">
        <v>0</v>
      </c>
      <c r="AH670" s="44">
        <v>0</v>
      </c>
      <c r="AI670" s="44">
        <v>0</v>
      </c>
      <c r="AJ670" s="43">
        <v>360000000</v>
      </c>
      <c r="AK670" s="44">
        <v>0</v>
      </c>
      <c r="AL670" s="114">
        <v>0</v>
      </c>
      <c r="AM670" s="114">
        <v>320207103</v>
      </c>
      <c r="AN670" s="44">
        <v>0</v>
      </c>
      <c r="AO670" s="44">
        <v>0</v>
      </c>
      <c r="AP670" s="18">
        <v>320207103</v>
      </c>
      <c r="AQ670" s="34">
        <v>0</v>
      </c>
      <c r="AR670" s="34">
        <v>35578567</v>
      </c>
      <c r="AS670" s="34">
        <v>35578567</v>
      </c>
      <c r="AT670" s="40">
        <f t="shared" ref="AT670" si="843">AQ670+AS670</f>
        <v>35578567</v>
      </c>
      <c r="AU670" s="18">
        <f t="shared" ref="AU670" si="844">AJ670-AM670</f>
        <v>39792897</v>
      </c>
      <c r="AV670" s="133">
        <f t="shared" ref="AV670" si="845">AM670-AP670</f>
        <v>0</v>
      </c>
      <c r="AW670" s="18">
        <f t="shared" ref="AW670" si="846">AP670-AT670</f>
        <v>284628536</v>
      </c>
      <c r="AX670" s="123">
        <f t="shared" ref="AX670" si="847">AP670/AJ670</f>
        <v>0.88946417499999997</v>
      </c>
    </row>
    <row r="671" spans="1:50" ht="25.5" x14ac:dyDescent="0.2">
      <c r="AA671" s="28" t="s">
        <v>288</v>
      </c>
      <c r="AB671" s="29" t="s">
        <v>589</v>
      </c>
      <c r="AC671" s="17"/>
      <c r="AD671" s="18"/>
      <c r="AE671" s="34"/>
      <c r="AF671" s="34"/>
      <c r="AG671" s="34"/>
      <c r="AH671" s="34"/>
      <c r="AI671" s="34"/>
      <c r="AJ671" s="18"/>
      <c r="AK671" s="34"/>
      <c r="AL671" s="34"/>
      <c r="AM671" s="34"/>
      <c r="AN671" s="34"/>
      <c r="AO671" s="34"/>
      <c r="AP671" s="34"/>
      <c r="AQ671" s="34"/>
      <c r="AR671" s="34"/>
      <c r="AS671" s="34"/>
      <c r="AT671" s="40"/>
      <c r="AU671" s="18"/>
      <c r="AV671" s="18"/>
      <c r="AW671" s="34"/>
      <c r="AX671" s="18"/>
    </row>
    <row r="672" spans="1:50" x14ac:dyDescent="0.2">
      <c r="A672" s="4" t="s">
        <v>55</v>
      </c>
      <c r="B672" s="4" t="s">
        <v>56</v>
      </c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1" t="s">
        <v>590</v>
      </c>
      <c r="AB672" s="42" t="s">
        <v>233</v>
      </c>
      <c r="AC672" s="43" t="s">
        <v>58</v>
      </c>
      <c r="AD672" s="43">
        <v>2564591998.2600002</v>
      </c>
      <c r="AE672" s="44">
        <v>0</v>
      </c>
      <c r="AF672" s="44">
        <v>0</v>
      </c>
      <c r="AG672" s="44">
        <v>0</v>
      </c>
      <c r="AH672" s="44">
        <v>0</v>
      </c>
      <c r="AI672" s="44">
        <v>0</v>
      </c>
      <c r="AJ672" s="43">
        <v>2564591998.2600002</v>
      </c>
      <c r="AK672" s="44">
        <v>0</v>
      </c>
      <c r="AL672" s="44">
        <v>0</v>
      </c>
      <c r="AM672" s="44">
        <v>0</v>
      </c>
      <c r="AN672" s="44">
        <v>0</v>
      </c>
      <c r="AO672" s="44">
        <v>0</v>
      </c>
      <c r="AP672" s="34">
        <v>0</v>
      </c>
      <c r="AQ672" s="34">
        <v>0</v>
      </c>
      <c r="AR672" s="34">
        <v>0</v>
      </c>
      <c r="AS672" s="34">
        <v>0</v>
      </c>
      <c r="AT672" s="40">
        <f t="shared" ref="AT672" si="848">AQ672+AS672</f>
        <v>0</v>
      </c>
      <c r="AU672" s="18">
        <f t="shared" ref="AU672" si="849">AJ672-AM672</f>
        <v>2564591998.2600002</v>
      </c>
      <c r="AV672" s="133">
        <f t="shared" ref="AV672" si="850">AM672-AP672</f>
        <v>0</v>
      </c>
      <c r="AW672" s="34">
        <f t="shared" ref="AW672" si="851">AP672-AT672</f>
        <v>0</v>
      </c>
      <c r="AX672" s="123">
        <f t="shared" ref="AX672" si="852">AP672/AJ672</f>
        <v>0</v>
      </c>
    </row>
    <row r="673" spans="1:50" x14ac:dyDescent="0.2">
      <c r="AA673" s="16"/>
      <c r="AB673" s="17"/>
      <c r="AC673" s="17"/>
      <c r="AD673" s="18"/>
      <c r="AE673" s="34"/>
      <c r="AF673" s="34"/>
      <c r="AG673" s="34"/>
      <c r="AH673" s="34"/>
      <c r="AI673" s="34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30"/>
      <c r="AU673" s="18"/>
      <c r="AV673" s="18"/>
      <c r="AW673" s="18"/>
      <c r="AX673" s="18"/>
    </row>
    <row r="674" spans="1:50" ht="25.5" x14ac:dyDescent="0.2">
      <c r="AA674" s="16"/>
      <c r="AB674" s="29" t="s">
        <v>197</v>
      </c>
      <c r="AC674" s="17"/>
      <c r="AD674" s="18"/>
      <c r="AE674" s="34"/>
      <c r="AF674" s="34"/>
      <c r="AG674" s="34"/>
      <c r="AH674" s="34"/>
      <c r="AI674" s="34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30"/>
      <c r="AU674" s="18"/>
      <c r="AV674" s="18"/>
      <c r="AW674" s="18"/>
      <c r="AX674" s="18"/>
    </row>
    <row r="675" spans="1:50" x14ac:dyDescent="0.2">
      <c r="AA675" s="28" t="s">
        <v>288</v>
      </c>
      <c r="AB675" s="29" t="s">
        <v>591</v>
      </c>
      <c r="AC675" s="17"/>
      <c r="AD675" s="18"/>
      <c r="AE675" s="34"/>
      <c r="AF675" s="34"/>
      <c r="AG675" s="34"/>
      <c r="AH675" s="34"/>
      <c r="AI675" s="34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30"/>
      <c r="AU675" s="18"/>
      <c r="AV675" s="18"/>
      <c r="AW675" s="18"/>
      <c r="AX675" s="18"/>
    </row>
    <row r="676" spans="1:50" x14ac:dyDescent="0.2">
      <c r="A676" s="4" t="s">
        <v>55</v>
      </c>
      <c r="B676" s="4" t="s">
        <v>56</v>
      </c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1" t="s">
        <v>592</v>
      </c>
      <c r="AB676" s="42" t="s">
        <v>233</v>
      </c>
      <c r="AC676" s="43" t="s">
        <v>58</v>
      </c>
      <c r="AD676" s="43">
        <v>458060751</v>
      </c>
      <c r="AE676" s="44">
        <v>0</v>
      </c>
      <c r="AF676" s="44">
        <v>0</v>
      </c>
      <c r="AG676" s="43">
        <v>118300000</v>
      </c>
      <c r="AH676" s="44">
        <v>0</v>
      </c>
      <c r="AI676" s="43">
        <f>AE676-AF676+AG676-AH676</f>
        <v>118300000</v>
      </c>
      <c r="AJ676" s="43">
        <f>AD676+AI676</f>
        <v>576360751</v>
      </c>
      <c r="AK676" s="44">
        <v>0</v>
      </c>
      <c r="AL676" s="43">
        <v>0</v>
      </c>
      <c r="AM676" s="43">
        <v>332660751</v>
      </c>
      <c r="AN676" s="44">
        <v>0</v>
      </c>
      <c r="AO676" s="43">
        <v>0</v>
      </c>
      <c r="AP676" s="43">
        <v>332660751</v>
      </c>
      <c r="AQ676" s="110">
        <v>56916666</v>
      </c>
      <c r="AR676" s="110">
        <v>33550000</v>
      </c>
      <c r="AS676" s="110">
        <v>75666669</v>
      </c>
      <c r="AT676" s="111">
        <f t="shared" ref="AT676" si="853">AQ676+AS676</f>
        <v>132583335</v>
      </c>
      <c r="AU676" s="18">
        <f t="shared" ref="AU676" si="854">AJ676-AM676</f>
        <v>243700000</v>
      </c>
      <c r="AV676" s="133">
        <f t="shared" ref="AV676" si="855">AM676-AP676</f>
        <v>0</v>
      </c>
      <c r="AW676" s="18">
        <f t="shared" ref="AW676" si="856">AP676-AT676</f>
        <v>200077416</v>
      </c>
      <c r="AX676" s="123">
        <f t="shared" ref="AX676" si="857">AP676/AJ676</f>
        <v>0.5771745394231399</v>
      </c>
    </row>
    <row r="677" spans="1:50" ht="25.5" x14ac:dyDescent="0.2">
      <c r="AA677" s="28" t="s">
        <v>288</v>
      </c>
      <c r="AB677" s="29" t="s">
        <v>593</v>
      </c>
      <c r="AC677" s="17"/>
      <c r="AD677" s="18"/>
      <c r="AE677" s="34"/>
      <c r="AF677" s="34"/>
      <c r="AG677" s="34"/>
      <c r="AH677" s="34"/>
      <c r="AI677" s="34"/>
      <c r="AJ677" s="18"/>
      <c r="AK677" s="34"/>
      <c r="AL677" s="18"/>
      <c r="AM677" s="18"/>
      <c r="AN677" s="34"/>
      <c r="AO677" s="18"/>
      <c r="AP677" s="18"/>
      <c r="AQ677" s="110"/>
      <c r="AR677" s="110"/>
      <c r="AS677" s="110"/>
      <c r="AT677" s="111"/>
      <c r="AU677" s="18"/>
      <c r="AV677" s="34"/>
      <c r="AW677" s="18"/>
      <c r="AX677" s="18"/>
    </row>
    <row r="678" spans="1:50" x14ac:dyDescent="0.2">
      <c r="A678" s="4" t="s">
        <v>55</v>
      </c>
      <c r="B678" s="4" t="s">
        <v>56</v>
      </c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1" t="s">
        <v>594</v>
      </c>
      <c r="AB678" s="42" t="s">
        <v>233</v>
      </c>
      <c r="AC678" s="43" t="s">
        <v>58</v>
      </c>
      <c r="AD678" s="43">
        <v>522500000</v>
      </c>
      <c r="AE678" s="44">
        <v>0</v>
      </c>
      <c r="AF678" s="44">
        <v>0</v>
      </c>
      <c r="AG678" s="43">
        <v>140000000</v>
      </c>
      <c r="AH678" s="44">
        <v>0</v>
      </c>
      <c r="AI678" s="43">
        <f>AE678-AF678+AG678-AH678</f>
        <v>140000000</v>
      </c>
      <c r="AJ678" s="43">
        <f>AD678+AI678</f>
        <v>662500000</v>
      </c>
      <c r="AK678" s="44">
        <v>0</v>
      </c>
      <c r="AL678" s="43">
        <f>AM678-'MARZO '!AM673</f>
        <v>20000000</v>
      </c>
      <c r="AM678" s="43">
        <v>380000000</v>
      </c>
      <c r="AN678" s="44">
        <v>0</v>
      </c>
      <c r="AO678" s="43">
        <f>AP678-'MARZO '!AP673</f>
        <v>40000000</v>
      </c>
      <c r="AP678" s="43">
        <v>380000000</v>
      </c>
      <c r="AQ678" s="110">
        <v>50000000</v>
      </c>
      <c r="AR678" s="110">
        <v>43833333</v>
      </c>
      <c r="AS678" s="110">
        <v>91700001</v>
      </c>
      <c r="AT678" s="111">
        <f t="shared" ref="AT678" si="858">AQ678+AS678</f>
        <v>141700001</v>
      </c>
      <c r="AU678" s="18">
        <f t="shared" ref="AU678" si="859">AJ678-AM678</f>
        <v>282500000</v>
      </c>
      <c r="AV678" s="133">
        <f t="shared" ref="AV678" si="860">AM678-AP678</f>
        <v>0</v>
      </c>
      <c r="AW678" s="18">
        <f t="shared" ref="AW678" si="861">AP678-AT678</f>
        <v>238299999</v>
      </c>
      <c r="AX678" s="123">
        <f t="shared" ref="AX678" si="862">AP678/AJ678</f>
        <v>0.57358490566037734</v>
      </c>
    </row>
    <row r="679" spans="1:50" x14ac:dyDescent="0.2">
      <c r="AA679" s="28" t="s">
        <v>288</v>
      </c>
      <c r="AB679" s="29" t="s">
        <v>583</v>
      </c>
      <c r="AC679" s="17"/>
      <c r="AD679" s="18"/>
      <c r="AE679" s="34"/>
      <c r="AF679" s="34"/>
      <c r="AG679" s="34"/>
      <c r="AH679" s="34"/>
      <c r="AI679" s="34"/>
      <c r="AJ679" s="18"/>
      <c r="AK679" s="18"/>
      <c r="AL679" s="18"/>
      <c r="AM679" s="18"/>
      <c r="AN679" s="34"/>
      <c r="AO679" s="18"/>
      <c r="AP679" s="18"/>
      <c r="AQ679" s="34"/>
      <c r="AR679" s="34"/>
      <c r="AS679" s="34"/>
      <c r="AT679" s="40"/>
      <c r="AU679" s="18"/>
      <c r="AV679" s="18"/>
      <c r="AW679" s="18"/>
      <c r="AX679" s="18"/>
    </row>
    <row r="680" spans="1:50" x14ac:dyDescent="0.2">
      <c r="A680" s="4" t="s">
        <v>55</v>
      </c>
      <c r="B680" s="4" t="s">
        <v>56</v>
      </c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1" t="s">
        <v>595</v>
      </c>
      <c r="AB680" s="42" t="s">
        <v>233</v>
      </c>
      <c r="AC680" s="43" t="s">
        <v>58</v>
      </c>
      <c r="AD680" s="43">
        <v>100000000</v>
      </c>
      <c r="AE680" s="44">
        <v>0</v>
      </c>
      <c r="AF680" s="44">
        <v>0</v>
      </c>
      <c r="AG680" s="44">
        <v>0</v>
      </c>
      <c r="AH680" s="44">
        <v>0</v>
      </c>
      <c r="AI680" s="44">
        <v>0</v>
      </c>
      <c r="AJ680" s="43">
        <v>100000000</v>
      </c>
      <c r="AK680" s="44">
        <v>0</v>
      </c>
      <c r="AL680" s="43">
        <f>AM680-'MARZO '!AM675</f>
        <v>21000000</v>
      </c>
      <c r="AM680" s="43">
        <v>54000000</v>
      </c>
      <c r="AN680" s="44">
        <v>0</v>
      </c>
      <c r="AO680" s="43">
        <f>AP680-'MARZO '!AP675</f>
        <v>33000000</v>
      </c>
      <c r="AP680" s="43">
        <v>33000000</v>
      </c>
      <c r="AQ680" s="18">
        <v>3333333</v>
      </c>
      <c r="AR680" s="34">
        <v>0</v>
      </c>
      <c r="AS680" s="34">
        <v>0</v>
      </c>
      <c r="AT680" s="39">
        <f t="shared" ref="AT680" si="863">AQ680+AS680</f>
        <v>3333333</v>
      </c>
      <c r="AU680" s="18">
        <f t="shared" ref="AU680" si="864">AJ680-AM680</f>
        <v>46000000</v>
      </c>
      <c r="AV680" s="18">
        <f t="shared" ref="AV680" si="865">AM680-AP680</f>
        <v>21000000</v>
      </c>
      <c r="AW680" s="18">
        <f t="shared" ref="AW680" si="866">AP680-AT680</f>
        <v>29666667</v>
      </c>
      <c r="AX680" s="123">
        <f t="shared" ref="AX680" si="867">AP680/AJ680</f>
        <v>0.33</v>
      </c>
    </row>
    <row r="681" spans="1:50" ht="25.5" x14ac:dyDescent="0.2">
      <c r="AA681" s="28" t="s">
        <v>288</v>
      </c>
      <c r="AB681" s="29" t="s">
        <v>596</v>
      </c>
      <c r="AC681" s="17"/>
      <c r="AD681" s="18"/>
      <c r="AE681" s="34"/>
      <c r="AF681" s="34"/>
      <c r="AG681" s="34"/>
      <c r="AH681" s="34"/>
      <c r="AI681" s="34"/>
      <c r="AJ681" s="18"/>
      <c r="AK681" s="34"/>
      <c r="AL681" s="110"/>
      <c r="AM681" s="110"/>
      <c r="AN681" s="34"/>
      <c r="AO681" s="34"/>
      <c r="AP681" s="34"/>
      <c r="AQ681" s="34"/>
      <c r="AR681" s="34"/>
      <c r="AS681" s="34"/>
      <c r="AT681" s="40"/>
      <c r="AU681" s="18"/>
      <c r="AV681" s="18"/>
      <c r="AW681" s="18"/>
      <c r="AX681" s="18"/>
    </row>
    <row r="682" spans="1:50" x14ac:dyDescent="0.2">
      <c r="A682" s="4" t="s">
        <v>55</v>
      </c>
      <c r="B682" s="4" t="s">
        <v>56</v>
      </c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1" t="s">
        <v>597</v>
      </c>
      <c r="AB682" s="42" t="s">
        <v>233</v>
      </c>
      <c r="AC682" s="43" t="s">
        <v>58</v>
      </c>
      <c r="AD682" s="43">
        <v>279700000</v>
      </c>
      <c r="AE682" s="44">
        <v>0</v>
      </c>
      <c r="AF682" s="44">
        <v>0</v>
      </c>
      <c r="AG682" s="44">
        <v>0</v>
      </c>
      <c r="AH682" s="44">
        <v>0</v>
      </c>
      <c r="AI682" s="44">
        <v>0</v>
      </c>
      <c r="AJ682" s="43">
        <v>279700000</v>
      </c>
      <c r="AK682" s="44">
        <v>0</v>
      </c>
      <c r="AL682" s="114">
        <f>AM682-'MARZO '!AM677</f>
        <v>24000000</v>
      </c>
      <c r="AM682" s="114">
        <v>193600000</v>
      </c>
      <c r="AN682" s="44">
        <v>0</v>
      </c>
      <c r="AO682" s="43">
        <f>AP682-'MARZO '!AP677</f>
        <v>24000000</v>
      </c>
      <c r="AP682" s="114">
        <v>193600000</v>
      </c>
      <c r="AQ682" s="34">
        <v>25250000</v>
      </c>
      <c r="AR682" s="18">
        <v>18700000</v>
      </c>
      <c r="AS682" s="18">
        <v>31223333</v>
      </c>
      <c r="AT682" s="39">
        <f t="shared" ref="AT682" si="868">AQ682+AS682</f>
        <v>56473333</v>
      </c>
      <c r="AU682" s="18">
        <f t="shared" ref="AU682" si="869">AJ682-AM682</f>
        <v>86100000</v>
      </c>
      <c r="AV682" s="110">
        <f t="shared" ref="AV682" si="870">AM682-AP682</f>
        <v>0</v>
      </c>
      <c r="AW682" s="18">
        <f t="shared" ref="AW682" si="871">AP682-AT682</f>
        <v>137126667</v>
      </c>
      <c r="AX682" s="123">
        <f t="shared" ref="AX682" si="872">AP682/AJ682</f>
        <v>0.69217018233821948</v>
      </c>
    </row>
    <row r="683" spans="1:50" ht="38.25" x14ac:dyDescent="0.2">
      <c r="AA683" s="28" t="s">
        <v>288</v>
      </c>
      <c r="AB683" s="29" t="s">
        <v>598</v>
      </c>
      <c r="AC683" s="17"/>
      <c r="AD683" s="18"/>
      <c r="AE683" s="34"/>
      <c r="AF683" s="34"/>
      <c r="AG683" s="34"/>
      <c r="AH683" s="34"/>
      <c r="AI683" s="34"/>
      <c r="AJ683" s="18"/>
      <c r="AK683" s="18"/>
      <c r="AL683" s="18"/>
      <c r="AM683" s="18"/>
      <c r="AN683" s="18"/>
      <c r="AO683" s="18"/>
      <c r="AP683" s="18"/>
      <c r="AQ683" s="110"/>
      <c r="AR683" s="110"/>
      <c r="AS683" s="110"/>
      <c r="AT683" s="109"/>
      <c r="AU683" s="18"/>
      <c r="AV683" s="18"/>
      <c r="AW683" s="18"/>
      <c r="AX683" s="18"/>
    </row>
    <row r="684" spans="1:50" x14ac:dyDescent="0.2">
      <c r="A684" s="4" t="s">
        <v>55</v>
      </c>
      <c r="B684" s="4" t="s">
        <v>56</v>
      </c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1" t="s">
        <v>599</v>
      </c>
      <c r="AB684" s="42" t="s">
        <v>233</v>
      </c>
      <c r="AC684" s="43" t="s">
        <v>58</v>
      </c>
      <c r="AD684" s="43">
        <v>418000000</v>
      </c>
      <c r="AE684" s="44">
        <v>0</v>
      </c>
      <c r="AF684" s="44">
        <v>0</v>
      </c>
      <c r="AG684" s="44">
        <v>0</v>
      </c>
      <c r="AH684" s="44">
        <v>0</v>
      </c>
      <c r="AI684" s="44">
        <v>0</v>
      </c>
      <c r="AJ684" s="43">
        <v>418000000</v>
      </c>
      <c r="AK684" s="43">
        <v>0</v>
      </c>
      <c r="AL684" s="43">
        <v>0</v>
      </c>
      <c r="AM684" s="43">
        <v>300000000</v>
      </c>
      <c r="AN684" s="44">
        <v>0</v>
      </c>
      <c r="AO684" s="44">
        <v>0</v>
      </c>
      <c r="AP684" s="43">
        <v>300000000</v>
      </c>
      <c r="AQ684" s="110">
        <v>37500000</v>
      </c>
      <c r="AR684" s="110">
        <v>38033333</v>
      </c>
      <c r="AS684" s="110">
        <v>75866670</v>
      </c>
      <c r="AT684" s="111">
        <f t="shared" si="820"/>
        <v>113366670</v>
      </c>
      <c r="AU684" s="18">
        <f t="shared" ref="AU684" si="873">AJ684-AM684</f>
        <v>118000000</v>
      </c>
      <c r="AV684" s="133">
        <f t="shared" ref="AV684" si="874">AM684-AP684</f>
        <v>0</v>
      </c>
      <c r="AW684" s="18">
        <f t="shared" ref="AW684" si="875">AP684-AT684</f>
        <v>186633330</v>
      </c>
      <c r="AX684" s="123">
        <f t="shared" ref="AX684" si="876">AP684/AJ684</f>
        <v>0.71770334928229662</v>
      </c>
    </row>
    <row r="685" spans="1:50" x14ac:dyDescent="0.2">
      <c r="AA685" s="28" t="s">
        <v>288</v>
      </c>
      <c r="AB685" s="29" t="s">
        <v>600</v>
      </c>
      <c r="AC685" s="17"/>
      <c r="AD685" s="18"/>
      <c r="AE685" s="34"/>
      <c r="AF685" s="34"/>
      <c r="AG685" s="34"/>
      <c r="AH685" s="34"/>
      <c r="AI685" s="34"/>
      <c r="AJ685" s="18"/>
      <c r="AK685" s="18"/>
      <c r="AL685" s="18"/>
      <c r="AM685" s="18"/>
      <c r="AN685" s="34"/>
      <c r="AO685" s="34"/>
      <c r="AP685" s="18"/>
      <c r="AQ685" s="34"/>
      <c r="AR685" s="34"/>
      <c r="AS685" s="34"/>
      <c r="AT685" s="40"/>
      <c r="AU685" s="18"/>
      <c r="AV685" s="18"/>
      <c r="AW685" s="18"/>
      <c r="AX685" s="18"/>
    </row>
    <row r="686" spans="1:50" s="150" customFormat="1" x14ac:dyDescent="0.2">
      <c r="A686" s="140" t="s">
        <v>55</v>
      </c>
      <c r="B686" s="140" t="s">
        <v>56</v>
      </c>
      <c r="C686" s="140"/>
      <c r="D686" s="140"/>
      <c r="E686" s="140"/>
      <c r="F686" s="140"/>
      <c r="G686" s="140"/>
      <c r="H686" s="140"/>
      <c r="I686" s="140"/>
      <c r="J686" s="140"/>
      <c r="K686" s="140"/>
      <c r="L686" s="140"/>
      <c r="M686" s="140"/>
      <c r="N686" s="140"/>
      <c r="O686" s="140"/>
      <c r="P686" s="140"/>
      <c r="Q686" s="140"/>
      <c r="R686" s="140"/>
      <c r="S686" s="140"/>
      <c r="T686" s="140"/>
      <c r="U686" s="140"/>
      <c r="V686" s="140"/>
      <c r="W686" s="140"/>
      <c r="X686" s="140"/>
      <c r="Y686" s="140"/>
      <c r="Z686" s="140"/>
      <c r="AA686" s="134" t="s">
        <v>601</v>
      </c>
      <c r="AB686" s="69" t="s">
        <v>233</v>
      </c>
      <c r="AC686" s="142" t="s">
        <v>58</v>
      </c>
      <c r="AD686" s="142">
        <v>337300000</v>
      </c>
      <c r="AE686" s="143">
        <v>0</v>
      </c>
      <c r="AF686" s="143">
        <v>0</v>
      </c>
      <c r="AG686" s="143">
        <v>0</v>
      </c>
      <c r="AH686" s="142">
        <f>31295090+46856431.35</f>
        <v>78151521.349999994</v>
      </c>
      <c r="AI686" s="142">
        <f>AE686-AF686+AG686-AH686</f>
        <v>-78151521.349999994</v>
      </c>
      <c r="AJ686" s="142">
        <f>AD686+AI686</f>
        <v>259148478.65000001</v>
      </c>
      <c r="AK686" s="143">
        <v>0</v>
      </c>
      <c r="AL686" s="144">
        <v>0</v>
      </c>
      <c r="AM686" s="144">
        <v>259148478.65000001</v>
      </c>
      <c r="AN686" s="143">
        <v>0</v>
      </c>
      <c r="AO686" s="143">
        <v>0</v>
      </c>
      <c r="AP686" s="142">
        <v>259148478.65000001</v>
      </c>
      <c r="AQ686" s="145">
        <v>0</v>
      </c>
      <c r="AR686" s="145">
        <v>0</v>
      </c>
      <c r="AS686" s="145">
        <v>0</v>
      </c>
      <c r="AT686" s="146">
        <f t="shared" ref="AT686" si="877">AQ686+AS686</f>
        <v>0</v>
      </c>
      <c r="AU686" s="145">
        <f t="shared" ref="AU686" si="878">AJ686-AM686</f>
        <v>0</v>
      </c>
      <c r="AV686" s="175">
        <f t="shared" ref="AV686" si="879">AM686-AP686</f>
        <v>0</v>
      </c>
      <c r="AW686" s="147">
        <f t="shared" ref="AW686" si="880">AP686-AT686</f>
        <v>259148478.65000001</v>
      </c>
      <c r="AX686" s="149">
        <f t="shared" ref="AX686" si="881">AP686/AJ686</f>
        <v>1</v>
      </c>
    </row>
    <row r="687" spans="1:50" x14ac:dyDescent="0.2">
      <c r="AA687" s="28" t="s">
        <v>288</v>
      </c>
      <c r="AB687" s="29" t="s">
        <v>602</v>
      </c>
      <c r="AC687" s="17"/>
      <c r="AD687" s="18"/>
      <c r="AE687" s="18"/>
      <c r="AF687" s="18"/>
      <c r="AG687" s="18"/>
      <c r="AH687" s="18"/>
      <c r="AI687" s="18"/>
      <c r="AJ687" s="18"/>
      <c r="AK687" s="34"/>
      <c r="AL687" s="34"/>
      <c r="AM687" s="34"/>
      <c r="AN687" s="34"/>
      <c r="AO687" s="34"/>
      <c r="AP687" s="34"/>
      <c r="AQ687" s="34"/>
      <c r="AR687" s="34"/>
      <c r="AS687" s="34"/>
      <c r="AT687" s="40"/>
      <c r="AU687" s="18"/>
      <c r="AV687" s="18"/>
      <c r="AW687" s="18"/>
      <c r="AX687" s="18"/>
    </row>
    <row r="688" spans="1:50" x14ac:dyDescent="0.2">
      <c r="A688" s="4" t="s">
        <v>55</v>
      </c>
      <c r="B688" s="4" t="s">
        <v>56</v>
      </c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1" t="s">
        <v>603</v>
      </c>
      <c r="AB688" s="42" t="s">
        <v>233</v>
      </c>
      <c r="AC688" s="43" t="s">
        <v>58</v>
      </c>
      <c r="AD688" s="44">
        <v>0</v>
      </c>
      <c r="AE688" s="44">
        <v>0</v>
      </c>
      <c r="AF688" s="44">
        <v>0</v>
      </c>
      <c r="AG688" s="43">
        <v>4400000</v>
      </c>
      <c r="AH688" s="44">
        <v>0</v>
      </c>
      <c r="AI688" s="43">
        <f>AE688-AF688+AG688-AH688</f>
        <v>4400000</v>
      </c>
      <c r="AJ688" s="43">
        <f>AD688+AI688</f>
        <v>4400000</v>
      </c>
      <c r="AK688" s="44">
        <v>0</v>
      </c>
      <c r="AL688" s="44">
        <v>0</v>
      </c>
      <c r="AM688" s="44">
        <v>0</v>
      </c>
      <c r="AN688" s="44">
        <v>0</v>
      </c>
      <c r="AO688" s="44">
        <v>0</v>
      </c>
      <c r="AP688" s="44">
        <v>0</v>
      </c>
      <c r="AQ688" s="34">
        <v>0</v>
      </c>
      <c r="AR688" s="34">
        <v>0</v>
      </c>
      <c r="AS688" s="34">
        <v>0</v>
      </c>
      <c r="AT688" s="40">
        <f t="shared" ref="AT688" si="882">AQ688+AS688</f>
        <v>0</v>
      </c>
      <c r="AU688" s="18">
        <f t="shared" ref="AU688" si="883">AJ688-AM688</f>
        <v>4400000</v>
      </c>
      <c r="AV688" s="133">
        <f t="shared" ref="AV688" si="884">AM688-AP688</f>
        <v>0</v>
      </c>
      <c r="AW688" s="34">
        <f t="shared" ref="AW688" si="885">AP688-AT688</f>
        <v>0</v>
      </c>
      <c r="AX688" s="123">
        <f t="shared" ref="AX688" si="886">AP688/AJ688</f>
        <v>0</v>
      </c>
    </row>
    <row r="689" spans="1:50" ht="25.5" x14ac:dyDescent="0.2">
      <c r="AA689" s="28" t="s">
        <v>288</v>
      </c>
      <c r="AB689" s="29" t="s">
        <v>197</v>
      </c>
      <c r="AC689" s="17"/>
      <c r="AD689" s="34"/>
      <c r="AE689" s="34"/>
      <c r="AF689" s="34"/>
      <c r="AG689" s="18"/>
      <c r="AH689" s="34"/>
      <c r="AI689" s="18"/>
      <c r="AJ689" s="18"/>
      <c r="AK689" s="34"/>
      <c r="AL689" s="34"/>
      <c r="AM689" s="34"/>
      <c r="AN689" s="34"/>
      <c r="AO689" s="34"/>
      <c r="AP689" s="34"/>
      <c r="AQ689" s="34"/>
      <c r="AR689" s="34"/>
      <c r="AS689" s="34"/>
      <c r="AT689" s="40"/>
      <c r="AU689" s="18"/>
      <c r="AV689" s="34"/>
      <c r="AW689" s="34"/>
      <c r="AX689" s="18"/>
    </row>
    <row r="690" spans="1:50" ht="25.5" x14ac:dyDescent="0.2">
      <c r="A690" s="4" t="s">
        <v>55</v>
      </c>
      <c r="B690" s="4" t="s">
        <v>56</v>
      </c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1" t="s">
        <v>604</v>
      </c>
      <c r="AB690" s="42" t="s">
        <v>605</v>
      </c>
      <c r="AC690" s="43" t="s">
        <v>58</v>
      </c>
      <c r="AD690" s="44">
        <v>0</v>
      </c>
      <c r="AE690" s="44">
        <v>0</v>
      </c>
      <c r="AF690" s="44">
        <v>0</v>
      </c>
      <c r="AG690" s="43">
        <v>88500000</v>
      </c>
      <c r="AH690" s="43">
        <v>20700000</v>
      </c>
      <c r="AI690" s="43">
        <f>AE690-AF690+AG690-AH690</f>
        <v>67800000</v>
      </c>
      <c r="AJ690" s="43">
        <f>AD690+AI690</f>
        <v>67800000</v>
      </c>
      <c r="AK690" s="44">
        <v>0</v>
      </c>
      <c r="AL690" s="44">
        <v>0</v>
      </c>
      <c r="AM690" s="44">
        <v>0</v>
      </c>
      <c r="AN690" s="44">
        <v>0</v>
      </c>
      <c r="AO690" s="44">
        <v>0</v>
      </c>
      <c r="AP690" s="44">
        <v>0</v>
      </c>
      <c r="AQ690" s="34">
        <v>0</v>
      </c>
      <c r="AR690" s="34">
        <v>0</v>
      </c>
      <c r="AS690" s="34">
        <v>0</v>
      </c>
      <c r="AT690" s="40">
        <f t="shared" ref="AT690" si="887">AQ690+AS690</f>
        <v>0</v>
      </c>
      <c r="AU690" s="18">
        <f t="shared" ref="AU690" si="888">AJ690-AM690</f>
        <v>67800000</v>
      </c>
      <c r="AV690" s="133">
        <f t="shared" ref="AV690" si="889">AM690-AP690</f>
        <v>0</v>
      </c>
      <c r="AW690" s="34">
        <f t="shared" ref="AW690" si="890">AP690-AT690</f>
        <v>0</v>
      </c>
      <c r="AX690" s="123">
        <f t="shared" ref="AX690" si="891">AP690/AJ690</f>
        <v>0</v>
      </c>
    </row>
    <row r="691" spans="1:50" ht="25.5" x14ac:dyDescent="0.2">
      <c r="AA691" s="28" t="s">
        <v>288</v>
      </c>
      <c r="AB691" s="29" t="s">
        <v>606</v>
      </c>
      <c r="AC691" s="17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30"/>
      <c r="AU691" s="18"/>
      <c r="AV691" s="34"/>
      <c r="AW691" s="18"/>
      <c r="AX691" s="18"/>
    </row>
    <row r="692" spans="1:50" x14ac:dyDescent="0.2">
      <c r="A692" s="4" t="s">
        <v>55</v>
      </c>
      <c r="B692" s="4" t="s">
        <v>56</v>
      </c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1" t="s">
        <v>607</v>
      </c>
      <c r="AB692" s="42" t="s">
        <v>233</v>
      </c>
      <c r="AC692" s="43" t="s">
        <v>58</v>
      </c>
      <c r="AD692" s="43">
        <v>859800000</v>
      </c>
      <c r="AE692" s="44">
        <v>0</v>
      </c>
      <c r="AF692" s="44">
        <v>0</v>
      </c>
      <c r="AG692" s="43">
        <v>300000000</v>
      </c>
      <c r="AH692" s="43">
        <f>900000+258300000</f>
        <v>259200000</v>
      </c>
      <c r="AI692" s="43">
        <f>AE692-AF692+AG692-AH692</f>
        <v>40800000</v>
      </c>
      <c r="AJ692" s="43">
        <f>AD692+AI692</f>
        <v>900600000</v>
      </c>
      <c r="AK692" s="44">
        <v>0</v>
      </c>
      <c r="AL692" s="43">
        <f>AM692-'MARZO '!AM687</f>
        <v>-7083701</v>
      </c>
      <c r="AM692" s="43">
        <v>542776966</v>
      </c>
      <c r="AN692" s="44">
        <v>0</v>
      </c>
      <c r="AO692" s="43">
        <f>AP692-'MARZO '!AP687</f>
        <v>22576966</v>
      </c>
      <c r="AP692" s="43">
        <v>542776966</v>
      </c>
      <c r="AQ692" s="34">
        <v>71566667</v>
      </c>
      <c r="AR692" s="110">
        <v>60400000</v>
      </c>
      <c r="AS692" s="110">
        <v>135343334</v>
      </c>
      <c r="AT692" s="111">
        <f t="shared" si="820"/>
        <v>206910001</v>
      </c>
      <c r="AU692" s="18">
        <f t="shared" ref="AU692" si="892">AJ692-AM692</f>
        <v>357823034</v>
      </c>
      <c r="AV692" s="34">
        <f t="shared" ref="AV692" si="893">AM692-AP692</f>
        <v>0</v>
      </c>
      <c r="AW692" s="18">
        <f t="shared" ref="AW692" si="894">AP692-AT692</f>
        <v>335866965</v>
      </c>
      <c r="AX692" s="123">
        <f t="shared" ref="AX692" si="895">AP692/AJ692</f>
        <v>0.6026837286253609</v>
      </c>
    </row>
    <row r="693" spans="1:50" ht="25.5" x14ac:dyDescent="0.2">
      <c r="AA693" s="28" t="s">
        <v>288</v>
      </c>
      <c r="AB693" s="29" t="s">
        <v>608</v>
      </c>
      <c r="AC693" s="17"/>
      <c r="AD693" s="18"/>
      <c r="AE693" s="34"/>
      <c r="AF693" s="34"/>
      <c r="AG693" s="34"/>
      <c r="AH693" s="18"/>
      <c r="AI693" s="18"/>
      <c r="AJ693" s="18"/>
      <c r="AK693" s="34"/>
      <c r="AL693" s="18"/>
      <c r="AM693" s="18"/>
      <c r="AN693" s="34"/>
      <c r="AO693" s="18"/>
      <c r="AP693" s="18"/>
      <c r="AQ693" s="34"/>
      <c r="AR693" s="34"/>
      <c r="AS693" s="34"/>
      <c r="AT693" s="40">
        <f t="shared" si="820"/>
        <v>0</v>
      </c>
      <c r="AU693" s="18"/>
      <c r="AV693" s="34"/>
      <c r="AW693" s="18"/>
      <c r="AX693" s="18"/>
    </row>
    <row r="694" spans="1:50" x14ac:dyDescent="0.2">
      <c r="A694" s="4" t="s">
        <v>55</v>
      </c>
      <c r="B694" s="4" t="s">
        <v>56</v>
      </c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1" t="s">
        <v>609</v>
      </c>
      <c r="AB694" s="42" t="s">
        <v>233</v>
      </c>
      <c r="AC694" s="43" t="s">
        <v>58</v>
      </c>
      <c r="AD694" s="43">
        <v>20000000</v>
      </c>
      <c r="AE694" s="44">
        <v>0</v>
      </c>
      <c r="AF694" s="44">
        <v>0</v>
      </c>
      <c r="AG694" s="44">
        <v>0</v>
      </c>
      <c r="AH694" s="44">
        <v>0</v>
      </c>
      <c r="AI694" s="44">
        <v>0</v>
      </c>
      <c r="AJ694" s="43">
        <v>20000000</v>
      </c>
      <c r="AK694" s="44">
        <v>0</v>
      </c>
      <c r="AL694" s="44">
        <v>0</v>
      </c>
      <c r="AM694" s="44">
        <v>0</v>
      </c>
      <c r="AN694" s="44">
        <v>0</v>
      </c>
      <c r="AO694" s="44">
        <f>AP694-'MARZO '!AP689</f>
        <v>0</v>
      </c>
      <c r="AP694" s="44">
        <v>0</v>
      </c>
      <c r="AQ694" s="34">
        <v>0</v>
      </c>
      <c r="AR694" s="34">
        <v>0</v>
      </c>
      <c r="AS694" s="34">
        <v>0</v>
      </c>
      <c r="AT694" s="40">
        <f t="shared" si="820"/>
        <v>0</v>
      </c>
      <c r="AU694" s="18">
        <f t="shared" ref="AU694" si="896">AJ694-AM694</f>
        <v>20000000</v>
      </c>
      <c r="AV694" s="133">
        <f t="shared" ref="AV694" si="897">AM694-AP694</f>
        <v>0</v>
      </c>
      <c r="AW694" s="34">
        <f t="shared" ref="AW694" si="898">AP694-AT694</f>
        <v>0</v>
      </c>
      <c r="AX694" s="123">
        <f t="shared" ref="AX694" si="899">AP694/AJ694</f>
        <v>0</v>
      </c>
    </row>
    <row r="695" spans="1:50" x14ac:dyDescent="0.2">
      <c r="AA695" s="28" t="s">
        <v>288</v>
      </c>
      <c r="AB695" s="29" t="s">
        <v>400</v>
      </c>
      <c r="AC695" s="17"/>
      <c r="AD695" s="18"/>
      <c r="AE695" s="34"/>
      <c r="AF695" s="34"/>
      <c r="AG695" s="34"/>
      <c r="AH695" s="34"/>
      <c r="AI695" s="34"/>
      <c r="AJ695" s="18"/>
      <c r="AK695" s="34"/>
      <c r="AL695" s="18"/>
      <c r="AM695" s="18"/>
      <c r="AN695" s="34"/>
      <c r="AO695" s="34"/>
      <c r="AP695" s="18"/>
      <c r="AQ695" s="34"/>
      <c r="AR695" s="34"/>
      <c r="AS695" s="34"/>
      <c r="AT695" s="40"/>
      <c r="AU695" s="18"/>
      <c r="AV695" s="34"/>
      <c r="AW695" s="18"/>
      <c r="AX695" s="18"/>
    </row>
    <row r="696" spans="1:50" x14ac:dyDescent="0.2">
      <c r="A696" s="4" t="s">
        <v>55</v>
      </c>
      <c r="B696" s="4" t="s">
        <v>56</v>
      </c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1" t="s">
        <v>610</v>
      </c>
      <c r="AB696" s="42" t="s">
        <v>233</v>
      </c>
      <c r="AC696" s="43" t="s">
        <v>58</v>
      </c>
      <c r="AD696" s="43">
        <v>379500000</v>
      </c>
      <c r="AE696" s="44">
        <v>0</v>
      </c>
      <c r="AF696" s="44">
        <v>0</v>
      </c>
      <c r="AG696" s="44">
        <v>0</v>
      </c>
      <c r="AH696" s="44">
        <v>0</v>
      </c>
      <c r="AI696" s="44">
        <v>0</v>
      </c>
      <c r="AJ696" s="43">
        <v>379500000</v>
      </c>
      <c r="AK696" s="44">
        <v>0</v>
      </c>
      <c r="AL696" s="43">
        <f>AM696-FEBRERO!P670</f>
        <v>0</v>
      </c>
      <c r="AM696" s="43">
        <v>244000000</v>
      </c>
      <c r="AN696" s="44">
        <v>0</v>
      </c>
      <c r="AO696" s="44">
        <f>AP696-'MARZO '!AP691</f>
        <v>0</v>
      </c>
      <c r="AP696" s="43">
        <v>244000000</v>
      </c>
      <c r="AQ696" s="18">
        <v>30500000</v>
      </c>
      <c r="AR696" s="18">
        <v>28400000</v>
      </c>
      <c r="AS696" s="18">
        <v>62450000</v>
      </c>
      <c r="AT696" s="111">
        <f t="shared" ref="AT696" si="900">AQ696+AS696</f>
        <v>92950000</v>
      </c>
      <c r="AU696" s="18">
        <f t="shared" ref="AU696" si="901">AJ696-AM696</f>
        <v>135500000</v>
      </c>
      <c r="AV696" s="133">
        <f t="shared" ref="AV696" si="902">AM696-AP696</f>
        <v>0</v>
      </c>
      <c r="AW696" s="18">
        <f t="shared" ref="AW696" si="903">AP696-AT696</f>
        <v>151050000</v>
      </c>
      <c r="AX696" s="123">
        <f t="shared" ref="AX696" si="904">AP696/AJ696</f>
        <v>0.64295125164690381</v>
      </c>
    </row>
    <row r="697" spans="1:50" x14ac:dyDescent="0.2">
      <c r="AA697" s="16"/>
      <c r="AB697" s="17"/>
      <c r="AC697" s="17"/>
      <c r="AD697" s="18"/>
      <c r="AE697" s="34"/>
      <c r="AF697" s="34"/>
      <c r="AG697" s="34"/>
      <c r="AH697" s="18"/>
      <c r="AI697" s="18"/>
      <c r="AJ697" s="18"/>
      <c r="AK697" s="34"/>
      <c r="AL697" s="18"/>
      <c r="AM697" s="18"/>
      <c r="AN697" s="18"/>
      <c r="AO697" s="18"/>
      <c r="AP697" s="18"/>
      <c r="AQ697" s="34"/>
      <c r="AR697" s="34"/>
      <c r="AS697" s="34"/>
      <c r="AT697" s="40"/>
      <c r="AU697" s="18"/>
      <c r="AV697" s="34"/>
      <c r="AW697" s="18"/>
      <c r="AX697" s="18"/>
    </row>
    <row r="698" spans="1:50" x14ac:dyDescent="0.2">
      <c r="AA698" s="16"/>
      <c r="AB698" s="29" t="s">
        <v>199</v>
      </c>
      <c r="AC698" s="17"/>
      <c r="AD698" s="18"/>
      <c r="AE698" s="34"/>
      <c r="AF698" s="34"/>
      <c r="AG698" s="34"/>
      <c r="AH698" s="18"/>
      <c r="AI698" s="18"/>
      <c r="AJ698" s="18"/>
      <c r="AK698" s="34"/>
      <c r="AL698" s="18"/>
      <c r="AM698" s="18"/>
      <c r="AN698" s="18"/>
      <c r="AO698" s="18"/>
      <c r="AP698" s="18"/>
      <c r="AQ698" s="34"/>
      <c r="AR698" s="34"/>
      <c r="AS698" s="34"/>
      <c r="AT698" s="40"/>
      <c r="AU698" s="18"/>
      <c r="AV698" s="18"/>
      <c r="AW698" s="18"/>
      <c r="AX698" s="18"/>
    </row>
    <row r="699" spans="1:50" ht="25.5" x14ac:dyDescent="0.2">
      <c r="AA699" s="28" t="s">
        <v>288</v>
      </c>
      <c r="AB699" s="29" t="s">
        <v>611</v>
      </c>
      <c r="AC699" s="17"/>
      <c r="AD699" s="18"/>
      <c r="AE699" s="34"/>
      <c r="AF699" s="34"/>
      <c r="AG699" s="34"/>
      <c r="AH699" s="18"/>
      <c r="AI699" s="18"/>
      <c r="AJ699" s="18"/>
      <c r="AK699" s="34"/>
      <c r="AL699" s="18"/>
      <c r="AM699" s="18"/>
      <c r="AN699" s="18"/>
      <c r="AO699" s="18"/>
      <c r="AP699" s="18"/>
      <c r="AQ699" s="34"/>
      <c r="AR699" s="34"/>
      <c r="AS699" s="34"/>
      <c r="AT699" s="40"/>
      <c r="AU699" s="18"/>
      <c r="AV699" s="18"/>
      <c r="AW699" s="18"/>
      <c r="AX699" s="18"/>
    </row>
    <row r="700" spans="1:50" x14ac:dyDescent="0.2">
      <c r="A700" s="4" t="s">
        <v>55</v>
      </c>
      <c r="B700" s="4" t="s">
        <v>56</v>
      </c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1" t="s">
        <v>612</v>
      </c>
      <c r="AB700" s="42" t="s">
        <v>233</v>
      </c>
      <c r="AC700" s="43" t="s">
        <v>58</v>
      </c>
      <c r="AD700" s="43">
        <v>725000000</v>
      </c>
      <c r="AE700" s="44">
        <v>0</v>
      </c>
      <c r="AF700" s="44">
        <v>0</v>
      </c>
      <c r="AG700" s="43">
        <v>20700000</v>
      </c>
      <c r="AH700" s="43">
        <v>17000000</v>
      </c>
      <c r="AI700" s="43">
        <f>AE700-AF700+AG700-AH700</f>
        <v>3700000</v>
      </c>
      <c r="AJ700" s="43">
        <f>AD700+AI700</f>
        <v>728700000</v>
      </c>
      <c r="AK700" s="44">
        <v>0</v>
      </c>
      <c r="AL700" s="43">
        <v>0</v>
      </c>
      <c r="AM700" s="43">
        <v>395000000</v>
      </c>
      <c r="AN700" s="43">
        <v>0</v>
      </c>
      <c r="AO700" s="43">
        <f>AP700-'MARZO '!AP695</f>
        <v>15992997</v>
      </c>
      <c r="AP700" s="114">
        <v>107495221</v>
      </c>
      <c r="AQ700" s="110">
        <v>547372</v>
      </c>
      <c r="AR700" s="110">
        <v>12518002</v>
      </c>
      <c r="AS700" s="110">
        <v>34020226</v>
      </c>
      <c r="AT700" s="111">
        <f t="shared" ref="AT700" si="905">AQ700+AS700</f>
        <v>34567598</v>
      </c>
      <c r="AU700" s="110">
        <f t="shared" ref="AU700" si="906">AJ700-AM700</f>
        <v>333700000</v>
      </c>
      <c r="AV700" s="110">
        <f t="shared" ref="AV700" si="907">AM700-AP700</f>
        <v>287504779</v>
      </c>
      <c r="AW700" s="18">
        <f t="shared" ref="AW700" si="908">AP700-AT700</f>
        <v>72927623</v>
      </c>
      <c r="AX700" s="123">
        <f t="shared" ref="AX700" si="909">AP700/AJ700</f>
        <v>0.14751642788527514</v>
      </c>
    </row>
    <row r="701" spans="1:50" x14ac:dyDescent="0.2">
      <c r="AA701" s="16"/>
      <c r="AB701" s="17"/>
      <c r="AC701" s="17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34"/>
      <c r="AR701" s="34"/>
      <c r="AS701" s="34"/>
      <c r="AT701" s="40"/>
      <c r="AU701" s="18"/>
      <c r="AV701" s="18"/>
      <c r="AW701" s="18"/>
      <c r="AX701" s="18"/>
    </row>
    <row r="702" spans="1:50" ht="25.5" x14ac:dyDescent="0.2">
      <c r="AA702" s="16"/>
      <c r="AB702" s="29" t="s">
        <v>613</v>
      </c>
      <c r="AC702" s="17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30"/>
      <c r="AU702" s="18"/>
      <c r="AV702" s="18"/>
      <c r="AW702" s="18"/>
      <c r="AX702" s="18"/>
    </row>
    <row r="703" spans="1:50" x14ac:dyDescent="0.2">
      <c r="AA703" s="16"/>
      <c r="AB703" s="29" t="s">
        <v>614</v>
      </c>
      <c r="AC703" s="17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30"/>
      <c r="AU703" s="18"/>
      <c r="AV703" s="18"/>
      <c r="AW703" s="18"/>
      <c r="AX703" s="18"/>
    </row>
    <row r="704" spans="1:50" x14ac:dyDescent="0.2">
      <c r="AA704" s="16"/>
      <c r="AB704" s="29" t="s">
        <v>286</v>
      </c>
      <c r="AC704" s="17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30"/>
      <c r="AU704" s="18"/>
      <c r="AV704" s="18"/>
      <c r="AW704" s="18"/>
      <c r="AX704" s="18"/>
    </row>
    <row r="705" spans="1:50" x14ac:dyDescent="0.2">
      <c r="AA705" s="16"/>
      <c r="AB705" s="29" t="s">
        <v>574</v>
      </c>
      <c r="AC705" s="17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30"/>
      <c r="AU705" s="18"/>
      <c r="AV705" s="18"/>
      <c r="AW705" s="18"/>
      <c r="AX705" s="18"/>
    </row>
    <row r="706" spans="1:50" x14ac:dyDescent="0.2">
      <c r="AA706" s="16"/>
      <c r="AB706" s="29" t="s">
        <v>575</v>
      </c>
      <c r="AC706" s="17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30"/>
      <c r="AU706" s="18"/>
      <c r="AV706" s="18"/>
      <c r="AW706" s="18"/>
      <c r="AX706" s="18"/>
    </row>
    <row r="707" spans="1:50" x14ac:dyDescent="0.2">
      <c r="AA707" s="16"/>
      <c r="AB707" s="29" t="s">
        <v>576</v>
      </c>
      <c r="AC707" s="17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30"/>
      <c r="AU707" s="18"/>
      <c r="AV707" s="18"/>
      <c r="AW707" s="18"/>
      <c r="AX707" s="18"/>
    </row>
    <row r="708" spans="1:50" x14ac:dyDescent="0.2">
      <c r="AA708" s="16"/>
      <c r="AB708" s="29" t="s">
        <v>615</v>
      </c>
      <c r="AC708" s="17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30"/>
      <c r="AU708" s="18"/>
      <c r="AV708" s="18"/>
      <c r="AW708" s="18"/>
      <c r="AX708" s="18"/>
    </row>
    <row r="709" spans="1:50" ht="25.5" x14ac:dyDescent="0.2">
      <c r="AA709" s="16"/>
      <c r="AB709" s="29" t="s">
        <v>579</v>
      </c>
      <c r="AC709" s="17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30"/>
      <c r="AU709" s="18"/>
      <c r="AV709" s="18"/>
      <c r="AW709" s="18"/>
      <c r="AX709" s="18"/>
    </row>
    <row r="710" spans="1:50" x14ac:dyDescent="0.2">
      <c r="AA710" s="28" t="s">
        <v>288</v>
      </c>
      <c r="AB710" s="29" t="s">
        <v>616</v>
      </c>
      <c r="AC710" s="17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30"/>
      <c r="AU710" s="18"/>
      <c r="AV710" s="18"/>
      <c r="AW710" s="18"/>
      <c r="AX710" s="18"/>
    </row>
    <row r="711" spans="1:50" x14ac:dyDescent="0.2">
      <c r="A711" s="4" t="s">
        <v>55</v>
      </c>
      <c r="B711" s="4" t="s">
        <v>56</v>
      </c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1" t="s">
        <v>617</v>
      </c>
      <c r="AB711" s="42" t="s">
        <v>618</v>
      </c>
      <c r="AC711" s="43" t="s">
        <v>619</v>
      </c>
      <c r="AD711" s="43">
        <v>100000000</v>
      </c>
      <c r="AE711" s="44">
        <v>0</v>
      </c>
      <c r="AF711" s="44">
        <v>0</v>
      </c>
      <c r="AG711" s="43">
        <f>770000000+704534301</f>
        <v>1474534301</v>
      </c>
      <c r="AH711" s="137">
        <v>0</v>
      </c>
      <c r="AI711" s="43">
        <f>AE711-AF711+AG711-AH711</f>
        <v>1474534301</v>
      </c>
      <c r="AJ711" s="43">
        <f>AD711+AI711</f>
        <v>1574534301</v>
      </c>
      <c r="AK711" s="44">
        <v>0</v>
      </c>
      <c r="AL711" s="114">
        <f>AM711-'MARZO '!AM706</f>
        <v>1549399099</v>
      </c>
      <c r="AM711" s="114">
        <v>1566030539</v>
      </c>
      <c r="AN711" s="44">
        <v>0</v>
      </c>
      <c r="AO711" s="44">
        <v>0</v>
      </c>
      <c r="AP711" s="44">
        <v>16631440</v>
      </c>
      <c r="AQ711" s="44">
        <v>0</v>
      </c>
      <c r="AR711" s="44">
        <v>0</v>
      </c>
      <c r="AS711" s="44">
        <v>0</v>
      </c>
      <c r="AT711" s="40">
        <f t="shared" ref="AT711" si="910">AQ711+AS711</f>
        <v>0</v>
      </c>
      <c r="AU711" s="18">
        <f t="shared" ref="AU711" si="911">AJ711-AM711</f>
        <v>8503762</v>
      </c>
      <c r="AV711" s="110">
        <f t="shared" ref="AV711" si="912">AM711-AP711</f>
        <v>1549399099</v>
      </c>
      <c r="AW711" s="18">
        <f t="shared" ref="AW711" si="913">AP711-AT711</f>
        <v>16631440</v>
      </c>
      <c r="AX711" s="123">
        <f t="shared" ref="AX711" si="914">AP711/AJ711</f>
        <v>1.0562767663706807E-2</v>
      </c>
    </row>
    <row r="712" spans="1:50" x14ac:dyDescent="0.2">
      <c r="AA712" s="16"/>
      <c r="AB712" s="17"/>
      <c r="AC712" s="17"/>
      <c r="AD712" s="18"/>
      <c r="AE712" s="34"/>
      <c r="AF712" s="34"/>
      <c r="AG712" s="34"/>
      <c r="AH712" s="34"/>
      <c r="AI712" s="34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30"/>
      <c r="AU712" s="18"/>
      <c r="AV712" s="18"/>
      <c r="AW712" s="18"/>
      <c r="AX712" s="18"/>
    </row>
    <row r="713" spans="1:50" x14ac:dyDescent="0.2">
      <c r="AA713" s="16"/>
      <c r="AB713" s="29" t="s">
        <v>620</v>
      </c>
      <c r="AC713" s="17"/>
      <c r="AD713" s="18"/>
      <c r="AE713" s="34"/>
      <c r="AF713" s="34"/>
      <c r="AG713" s="34"/>
      <c r="AH713" s="34"/>
      <c r="AI713" s="34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30"/>
      <c r="AU713" s="18"/>
      <c r="AV713" s="18"/>
      <c r="AW713" s="18"/>
      <c r="AX713" s="18"/>
    </row>
    <row r="714" spans="1:50" ht="25.5" x14ac:dyDescent="0.2">
      <c r="AA714" s="16"/>
      <c r="AB714" s="29" t="s">
        <v>621</v>
      </c>
      <c r="AC714" s="17"/>
      <c r="AD714" s="18"/>
      <c r="AE714" s="34"/>
      <c r="AF714" s="34"/>
      <c r="AG714" s="34"/>
      <c r="AH714" s="34"/>
      <c r="AI714" s="34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30"/>
      <c r="AU714" s="18"/>
      <c r="AV714" s="18"/>
      <c r="AW714" s="18"/>
      <c r="AX714" s="18"/>
    </row>
    <row r="715" spans="1:50" x14ac:dyDescent="0.2">
      <c r="AA715" s="28" t="s">
        <v>288</v>
      </c>
      <c r="AB715" s="29" t="s">
        <v>616</v>
      </c>
      <c r="AC715" s="17"/>
      <c r="AD715" s="18"/>
      <c r="AE715" s="34"/>
      <c r="AF715" s="34"/>
      <c r="AG715" s="34"/>
      <c r="AH715" s="34"/>
      <c r="AI715" s="34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30"/>
      <c r="AU715" s="18"/>
      <c r="AV715" s="18"/>
      <c r="AW715" s="18"/>
      <c r="AX715" s="18"/>
    </row>
    <row r="716" spans="1:50" x14ac:dyDescent="0.2">
      <c r="A716" s="4" t="s">
        <v>55</v>
      </c>
      <c r="B716" s="4" t="s">
        <v>56</v>
      </c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1" t="s">
        <v>622</v>
      </c>
      <c r="AB716" s="42" t="s">
        <v>618</v>
      </c>
      <c r="AC716" s="43" t="s">
        <v>619</v>
      </c>
      <c r="AD716" s="43">
        <v>162000000</v>
      </c>
      <c r="AE716" s="44">
        <v>0</v>
      </c>
      <c r="AF716" s="44">
        <v>0</v>
      </c>
      <c r="AG716" s="43">
        <f>24729623+163270377</f>
        <v>188000000</v>
      </c>
      <c r="AH716" s="44">
        <v>0</v>
      </c>
      <c r="AI716" s="43">
        <f>AE716-AF716+AG716-AH716</f>
        <v>188000000</v>
      </c>
      <c r="AJ716" s="43">
        <f>AD716+AI716</f>
        <v>350000000</v>
      </c>
      <c r="AK716" s="43">
        <v>0</v>
      </c>
      <c r="AL716" s="43">
        <f>AM716-'MARZO '!AM711</f>
        <v>-49580899</v>
      </c>
      <c r="AM716" s="43">
        <v>297576901</v>
      </c>
      <c r="AN716" s="43">
        <v>0</v>
      </c>
      <c r="AO716" s="43">
        <f>AP716-'MARZO '!AP711</f>
        <v>297576901</v>
      </c>
      <c r="AP716" s="43">
        <v>297576901</v>
      </c>
      <c r="AQ716" s="44">
        <v>0</v>
      </c>
      <c r="AR716" s="44">
        <v>0</v>
      </c>
      <c r="AS716" s="44">
        <v>0</v>
      </c>
      <c r="AT716" s="40">
        <f t="shared" ref="AT716" si="915">AQ716+AS716</f>
        <v>0</v>
      </c>
      <c r="AU716" s="18">
        <f t="shared" ref="AU716" si="916">AJ716-AM716</f>
        <v>52423099</v>
      </c>
      <c r="AV716" s="133">
        <f t="shared" ref="AV716" si="917">AM716-AP716</f>
        <v>0</v>
      </c>
      <c r="AW716" s="18">
        <f t="shared" ref="AW716" si="918">AP716-AT716</f>
        <v>297576901</v>
      </c>
      <c r="AX716" s="123">
        <f t="shared" ref="AX716" si="919">AP716/AJ716</f>
        <v>0.85021971714285716</v>
      </c>
    </row>
    <row r="717" spans="1:50" x14ac:dyDescent="0.2">
      <c r="AA717" s="16"/>
      <c r="AB717" s="17"/>
      <c r="AC717" s="17"/>
      <c r="AD717" s="18"/>
      <c r="AE717" s="34"/>
      <c r="AF717" s="34"/>
      <c r="AG717" s="34"/>
      <c r="AH717" s="34"/>
      <c r="AI717" s="34"/>
      <c r="AJ717" s="18"/>
      <c r="AK717" s="34"/>
      <c r="AL717" s="34"/>
      <c r="AM717" s="34"/>
      <c r="AN717" s="34"/>
      <c r="AO717" s="34"/>
      <c r="AP717" s="34"/>
      <c r="AQ717" s="34"/>
      <c r="AR717" s="34"/>
      <c r="AS717" s="34"/>
      <c r="AT717" s="31"/>
      <c r="AU717" s="18"/>
      <c r="AV717" s="18"/>
      <c r="AW717" s="18"/>
      <c r="AX717" s="18"/>
    </row>
    <row r="718" spans="1:50" x14ac:dyDescent="0.2">
      <c r="AA718" s="16"/>
      <c r="AB718" s="29" t="s">
        <v>623</v>
      </c>
      <c r="AC718" s="17"/>
      <c r="AD718" s="18"/>
      <c r="AE718" s="34"/>
      <c r="AF718" s="34"/>
      <c r="AG718" s="34"/>
      <c r="AH718" s="34"/>
      <c r="AI718" s="34"/>
      <c r="AJ718" s="18"/>
      <c r="AK718" s="34"/>
      <c r="AL718" s="34"/>
      <c r="AM718" s="34"/>
      <c r="AN718" s="34"/>
      <c r="AO718" s="34"/>
      <c r="AP718" s="34"/>
      <c r="AQ718" s="34"/>
      <c r="AR718" s="34"/>
      <c r="AS718" s="34"/>
      <c r="AT718" s="31"/>
      <c r="AU718" s="18"/>
      <c r="AV718" s="18"/>
      <c r="AW718" s="18"/>
      <c r="AX718" s="18"/>
    </row>
    <row r="719" spans="1:50" ht="25.5" x14ac:dyDescent="0.2">
      <c r="AA719" s="16"/>
      <c r="AB719" s="29" t="s">
        <v>624</v>
      </c>
      <c r="AC719" s="17"/>
      <c r="AD719" s="18"/>
      <c r="AE719" s="34"/>
      <c r="AF719" s="34"/>
      <c r="AG719" s="34"/>
      <c r="AH719" s="34"/>
      <c r="AI719" s="34"/>
      <c r="AJ719" s="18"/>
      <c r="AK719" s="34"/>
      <c r="AL719" s="34"/>
      <c r="AM719" s="34"/>
      <c r="AN719" s="34"/>
      <c r="AO719" s="34"/>
      <c r="AP719" s="34"/>
      <c r="AQ719" s="34"/>
      <c r="AR719" s="34"/>
      <c r="AS719" s="34"/>
      <c r="AT719" s="31"/>
      <c r="AU719" s="18"/>
      <c r="AV719" s="18"/>
      <c r="AW719" s="18"/>
      <c r="AX719" s="18"/>
    </row>
    <row r="720" spans="1:50" x14ac:dyDescent="0.2">
      <c r="AA720" s="28" t="s">
        <v>288</v>
      </c>
      <c r="AB720" s="29" t="s">
        <v>616</v>
      </c>
      <c r="AC720" s="17"/>
      <c r="AD720" s="18"/>
      <c r="AE720" s="34"/>
      <c r="AF720" s="34"/>
      <c r="AG720" s="34"/>
      <c r="AH720" s="34"/>
      <c r="AI720" s="34"/>
      <c r="AJ720" s="18"/>
      <c r="AK720" s="34"/>
      <c r="AL720" s="34"/>
      <c r="AM720" s="34"/>
      <c r="AN720" s="34"/>
      <c r="AO720" s="34"/>
      <c r="AP720" s="34"/>
      <c r="AQ720" s="34"/>
      <c r="AR720" s="34"/>
      <c r="AS720" s="34"/>
      <c r="AT720" s="31"/>
      <c r="AU720" s="18"/>
      <c r="AV720" s="18"/>
      <c r="AW720" s="18"/>
      <c r="AX720" s="18"/>
    </row>
    <row r="721" spans="1:50" x14ac:dyDescent="0.2">
      <c r="A721" s="4" t="s">
        <v>55</v>
      </c>
      <c r="B721" s="4" t="s">
        <v>56</v>
      </c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1" t="s">
        <v>625</v>
      </c>
      <c r="AB721" s="42" t="s">
        <v>618</v>
      </c>
      <c r="AC721" s="43" t="s">
        <v>619</v>
      </c>
      <c r="AD721" s="43">
        <v>163270377</v>
      </c>
      <c r="AE721" s="44">
        <v>0</v>
      </c>
      <c r="AF721" s="44">
        <v>0</v>
      </c>
      <c r="AG721" s="44">
        <v>0</v>
      </c>
      <c r="AH721" s="43">
        <v>163270377</v>
      </c>
      <c r="AI721" s="43">
        <f>AE721-AF721+AG721-AH721</f>
        <v>-163270377</v>
      </c>
      <c r="AJ721" s="44">
        <f>AD721+AI721</f>
        <v>0</v>
      </c>
      <c r="AK721" s="44">
        <v>0</v>
      </c>
      <c r="AL721" s="44">
        <v>0</v>
      </c>
      <c r="AM721" s="44">
        <v>0</v>
      </c>
      <c r="AN721" s="44">
        <v>0</v>
      </c>
      <c r="AO721" s="44">
        <v>0</v>
      </c>
      <c r="AP721" s="44">
        <v>0</v>
      </c>
      <c r="AQ721" s="44">
        <v>0</v>
      </c>
      <c r="AR721" s="44">
        <v>0</v>
      </c>
      <c r="AS721" s="44">
        <v>0</v>
      </c>
      <c r="AT721" s="40">
        <f t="shared" ref="AT721" si="920">AQ721+AS721</f>
        <v>0</v>
      </c>
      <c r="AU721" s="34">
        <f t="shared" ref="AU721" si="921">AJ721-AM721</f>
        <v>0</v>
      </c>
      <c r="AV721" s="133">
        <f t="shared" ref="AV721" si="922">AM721-AP721</f>
        <v>0</v>
      </c>
      <c r="AW721" s="34">
        <f t="shared" ref="AW721" si="923">AP721-AT721</f>
        <v>0</v>
      </c>
      <c r="AX721" s="123">
        <v>0</v>
      </c>
    </row>
    <row r="722" spans="1:50" x14ac:dyDescent="0.2">
      <c r="AA722" s="16"/>
      <c r="AB722" s="17"/>
      <c r="AC722" s="17"/>
      <c r="AD722" s="18"/>
      <c r="AE722" s="18"/>
      <c r="AF722" s="18"/>
      <c r="AG722" s="18"/>
      <c r="AH722" s="18"/>
      <c r="AI722" s="18"/>
      <c r="AJ722" s="18"/>
      <c r="AK722" s="34"/>
      <c r="AL722" s="34"/>
      <c r="AM722" s="34"/>
      <c r="AN722" s="34"/>
      <c r="AO722" s="34"/>
      <c r="AP722" s="34"/>
      <c r="AQ722" s="18"/>
      <c r="AR722" s="18"/>
      <c r="AS722" s="18"/>
      <c r="AT722" s="30"/>
      <c r="AU722" s="18"/>
      <c r="AV722" s="18"/>
      <c r="AW722" s="18"/>
      <c r="AX722" s="18"/>
    </row>
    <row r="723" spans="1:50" x14ac:dyDescent="0.2">
      <c r="AA723" s="16"/>
      <c r="AB723" s="29" t="s">
        <v>626</v>
      </c>
      <c r="AC723" s="17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30"/>
      <c r="AU723" s="18"/>
      <c r="AV723" s="18"/>
      <c r="AW723" s="18"/>
      <c r="AX723" s="18"/>
    </row>
    <row r="724" spans="1:50" ht="25.5" x14ac:dyDescent="0.2">
      <c r="AA724" s="16"/>
      <c r="AB724" s="29" t="s">
        <v>627</v>
      </c>
      <c r="AC724" s="17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30"/>
      <c r="AU724" s="18"/>
      <c r="AV724" s="18"/>
      <c r="AW724" s="18"/>
      <c r="AX724" s="18"/>
    </row>
    <row r="725" spans="1:50" x14ac:dyDescent="0.2">
      <c r="AA725" s="16"/>
      <c r="AB725" s="29" t="s">
        <v>628</v>
      </c>
      <c r="AC725" s="17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30"/>
      <c r="AU725" s="18"/>
      <c r="AV725" s="18"/>
      <c r="AW725" s="18"/>
      <c r="AX725" s="18"/>
    </row>
    <row r="726" spans="1:50" x14ac:dyDescent="0.2">
      <c r="AA726" s="16"/>
      <c r="AB726" s="29" t="s">
        <v>629</v>
      </c>
      <c r="AC726" s="17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30"/>
      <c r="AU726" s="18"/>
      <c r="AV726" s="18"/>
      <c r="AW726" s="18"/>
      <c r="AX726" s="18"/>
    </row>
    <row r="727" spans="1:50" x14ac:dyDescent="0.2">
      <c r="AA727" s="28" t="s">
        <v>288</v>
      </c>
      <c r="AB727" s="29" t="s">
        <v>616</v>
      </c>
      <c r="AC727" s="17"/>
      <c r="AD727" s="18"/>
      <c r="AE727" s="34"/>
      <c r="AF727" s="34"/>
      <c r="AG727" s="34"/>
      <c r="AH727" s="34"/>
      <c r="AI727" s="34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30"/>
      <c r="AU727" s="18"/>
      <c r="AV727" s="18"/>
      <c r="AW727" s="18"/>
      <c r="AX727" s="18"/>
    </row>
    <row r="728" spans="1:50" x14ac:dyDescent="0.2">
      <c r="A728" s="4" t="s">
        <v>55</v>
      </c>
      <c r="B728" s="4" t="s">
        <v>56</v>
      </c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1" t="s">
        <v>630</v>
      </c>
      <c r="AB728" s="42" t="s">
        <v>618</v>
      </c>
      <c r="AC728" s="43" t="s">
        <v>619</v>
      </c>
      <c r="AD728" s="43">
        <v>100000000</v>
      </c>
      <c r="AE728" s="44">
        <v>0</v>
      </c>
      <c r="AF728" s="44">
        <v>0</v>
      </c>
      <c r="AG728" s="43">
        <v>222721043</v>
      </c>
      <c r="AH728" s="43">
        <v>74931884</v>
      </c>
      <c r="AI728" s="43">
        <f>AE728-AF728+AG728-AH728</f>
        <v>147789159</v>
      </c>
      <c r="AJ728" s="43">
        <f>AD728+AI728</f>
        <v>247789159</v>
      </c>
      <c r="AK728" s="44">
        <v>0</v>
      </c>
      <c r="AL728" s="43">
        <v>7410000</v>
      </c>
      <c r="AM728" s="43">
        <v>17037100</v>
      </c>
      <c r="AN728" s="44">
        <v>0</v>
      </c>
      <c r="AO728" s="44">
        <f>AP728-'MARZO '!AP723</f>
        <v>0</v>
      </c>
      <c r="AP728" s="43">
        <v>9627100</v>
      </c>
      <c r="AQ728" s="44">
        <v>0</v>
      </c>
      <c r="AR728" s="44">
        <v>0</v>
      </c>
      <c r="AS728" s="44">
        <v>0</v>
      </c>
      <c r="AT728" s="40">
        <f t="shared" ref="AT728" si="924">AQ728+AS728</f>
        <v>0</v>
      </c>
      <c r="AU728" s="18">
        <f t="shared" ref="AU728" si="925">AJ728-AM728</f>
        <v>230752059</v>
      </c>
      <c r="AV728" s="110">
        <f t="shared" ref="AV728" si="926">AM728-AP728</f>
        <v>7410000</v>
      </c>
      <c r="AW728" s="18">
        <f t="shared" ref="AW728" si="927">AP728-AT728</f>
        <v>9627100</v>
      </c>
      <c r="AX728" s="123">
        <f t="shared" ref="AX728" si="928">AP728/AJ728</f>
        <v>3.8851982220900957E-2</v>
      </c>
    </row>
    <row r="729" spans="1:50" x14ac:dyDescent="0.2">
      <c r="AA729" s="16"/>
      <c r="AB729" s="17"/>
      <c r="AC729" s="17"/>
      <c r="AD729" s="18"/>
      <c r="AE729" s="34"/>
      <c r="AF729" s="34"/>
      <c r="AG729" s="34"/>
      <c r="AH729" s="34"/>
      <c r="AI729" s="34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30"/>
      <c r="AU729" s="18"/>
      <c r="AV729" s="18"/>
      <c r="AW729" s="18"/>
      <c r="AX729" s="18"/>
    </row>
    <row r="730" spans="1:50" x14ac:dyDescent="0.2">
      <c r="AA730" s="16"/>
      <c r="AB730" s="29" t="s">
        <v>631</v>
      </c>
      <c r="AC730" s="17"/>
      <c r="AD730" s="18"/>
      <c r="AE730" s="34"/>
      <c r="AF730" s="34"/>
      <c r="AG730" s="34"/>
      <c r="AH730" s="34"/>
      <c r="AI730" s="34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30"/>
      <c r="AU730" s="18"/>
      <c r="AV730" s="18"/>
      <c r="AW730" s="18"/>
      <c r="AX730" s="18"/>
    </row>
    <row r="731" spans="1:50" x14ac:dyDescent="0.2">
      <c r="AA731" s="16"/>
      <c r="AB731" s="29" t="s">
        <v>632</v>
      </c>
      <c r="AC731" s="17"/>
      <c r="AD731" s="18"/>
      <c r="AE731" s="34"/>
      <c r="AF731" s="34"/>
      <c r="AG731" s="34"/>
      <c r="AH731" s="34"/>
      <c r="AI731" s="34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30"/>
      <c r="AU731" s="18"/>
      <c r="AV731" s="18"/>
      <c r="AW731" s="18"/>
      <c r="AX731" s="18"/>
    </row>
    <row r="732" spans="1:50" x14ac:dyDescent="0.2">
      <c r="AA732" s="16"/>
      <c r="AB732" s="29" t="s">
        <v>633</v>
      </c>
      <c r="AC732" s="17"/>
      <c r="AD732" s="18"/>
      <c r="AE732" s="34"/>
      <c r="AF732" s="34"/>
      <c r="AG732" s="34"/>
      <c r="AH732" s="34"/>
      <c r="AI732" s="34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30"/>
      <c r="AU732" s="18"/>
      <c r="AV732" s="18"/>
      <c r="AW732" s="18"/>
      <c r="AX732" s="18"/>
    </row>
    <row r="733" spans="1:50" x14ac:dyDescent="0.2">
      <c r="AA733" s="16"/>
      <c r="AB733" s="29" t="s">
        <v>634</v>
      </c>
      <c r="AC733" s="17"/>
      <c r="AD733" s="18"/>
      <c r="AE733" s="34"/>
      <c r="AF733" s="34"/>
      <c r="AG733" s="34"/>
      <c r="AH733" s="34"/>
      <c r="AI733" s="34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30"/>
      <c r="AU733" s="18"/>
      <c r="AV733" s="18"/>
      <c r="AW733" s="18"/>
      <c r="AX733" s="18"/>
    </row>
    <row r="734" spans="1:50" x14ac:dyDescent="0.2">
      <c r="AA734" s="16"/>
      <c r="AB734" s="29" t="s">
        <v>635</v>
      </c>
      <c r="AC734" s="17"/>
      <c r="AD734" s="18"/>
      <c r="AE734" s="34"/>
      <c r="AF734" s="34"/>
      <c r="AG734" s="34"/>
      <c r="AH734" s="34"/>
      <c r="AI734" s="34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30"/>
      <c r="AU734" s="18"/>
      <c r="AV734" s="18"/>
      <c r="AW734" s="18"/>
      <c r="AX734" s="18"/>
    </row>
    <row r="735" spans="1:50" x14ac:dyDescent="0.2">
      <c r="AA735" s="28" t="s">
        <v>288</v>
      </c>
      <c r="AB735" s="29" t="s">
        <v>616</v>
      </c>
      <c r="AC735" s="17"/>
      <c r="AD735" s="18"/>
      <c r="AE735" s="34"/>
      <c r="AF735" s="34"/>
      <c r="AG735" s="34"/>
      <c r="AH735" s="34"/>
      <c r="AI735" s="34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30"/>
      <c r="AU735" s="18"/>
      <c r="AV735" s="18"/>
      <c r="AW735" s="18"/>
      <c r="AX735" s="18"/>
    </row>
    <row r="736" spans="1:50" ht="18.75" customHeight="1" x14ac:dyDescent="0.2">
      <c r="A736" s="4" t="s">
        <v>55</v>
      </c>
      <c r="B736" s="4" t="s">
        <v>56</v>
      </c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1" t="s">
        <v>636</v>
      </c>
      <c r="AB736" s="42" t="s">
        <v>618</v>
      </c>
      <c r="AC736" s="43" t="s">
        <v>619</v>
      </c>
      <c r="AD736" s="43">
        <v>80000000</v>
      </c>
      <c r="AE736" s="44">
        <v>0</v>
      </c>
      <c r="AF736" s="44">
        <v>0</v>
      </c>
      <c r="AG736" s="44">
        <v>0</v>
      </c>
      <c r="AH736" s="44">
        <v>0</v>
      </c>
      <c r="AI736" s="44">
        <v>0</v>
      </c>
      <c r="AJ736" s="43">
        <v>80000000</v>
      </c>
      <c r="AK736" s="44">
        <v>0</v>
      </c>
      <c r="AL736" s="44">
        <v>0</v>
      </c>
      <c r="AM736" s="44">
        <v>0</v>
      </c>
      <c r="AN736" s="44">
        <v>0</v>
      </c>
      <c r="AO736" s="44">
        <v>0</v>
      </c>
      <c r="AP736" s="44">
        <v>0</v>
      </c>
      <c r="AQ736" s="44">
        <v>0</v>
      </c>
      <c r="AR736" s="44">
        <v>0</v>
      </c>
      <c r="AS736" s="44">
        <v>0</v>
      </c>
      <c r="AT736" s="40">
        <f t="shared" ref="AT736" si="929">AQ736+AS736</f>
        <v>0</v>
      </c>
      <c r="AU736" s="18">
        <f t="shared" ref="AU736" si="930">AJ736-AM736</f>
        <v>80000000</v>
      </c>
      <c r="AV736" s="133">
        <f t="shared" ref="AV736" si="931">AM736-AP736</f>
        <v>0</v>
      </c>
      <c r="AW736" s="34">
        <f t="shared" ref="AW736" si="932">AP736-AT736</f>
        <v>0</v>
      </c>
      <c r="AX736" s="123">
        <f t="shared" ref="AX736" si="933">AP736/AJ736</f>
        <v>0</v>
      </c>
    </row>
    <row r="737" spans="1:50" ht="18.75" customHeight="1" x14ac:dyDescent="0.2">
      <c r="AA737" s="16"/>
      <c r="AB737" s="17"/>
      <c r="AC737" s="17"/>
      <c r="AD737" s="18"/>
      <c r="AE737" s="34"/>
      <c r="AF737" s="34"/>
      <c r="AG737" s="34"/>
      <c r="AH737" s="34"/>
      <c r="AI737" s="34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30"/>
      <c r="AU737" s="18"/>
      <c r="AV737" s="18"/>
      <c r="AW737" s="18"/>
      <c r="AX737" s="18"/>
    </row>
    <row r="738" spans="1:50" ht="18.75" customHeight="1" x14ac:dyDescent="0.2">
      <c r="AA738" s="16"/>
      <c r="AB738" s="29" t="s">
        <v>179</v>
      </c>
      <c r="AC738" s="17"/>
      <c r="AD738" s="18"/>
      <c r="AE738" s="34"/>
      <c r="AF738" s="34"/>
      <c r="AG738" s="34"/>
      <c r="AH738" s="34"/>
      <c r="AI738" s="34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30"/>
      <c r="AU738" s="18"/>
      <c r="AV738" s="18"/>
      <c r="AW738" s="18"/>
      <c r="AX738" s="18"/>
    </row>
    <row r="739" spans="1:50" ht="18.75" customHeight="1" x14ac:dyDescent="0.2">
      <c r="AA739" s="16"/>
      <c r="AB739" s="29" t="s">
        <v>181</v>
      </c>
      <c r="AC739" s="17"/>
      <c r="AD739" s="18"/>
      <c r="AE739" s="34"/>
      <c r="AF739" s="34"/>
      <c r="AG739" s="34"/>
      <c r="AH739" s="34"/>
      <c r="AI739" s="34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30"/>
      <c r="AU739" s="18"/>
      <c r="AV739" s="18"/>
      <c r="AW739" s="18"/>
      <c r="AX739" s="18"/>
    </row>
    <row r="740" spans="1:50" ht="25.5" x14ac:dyDescent="0.2">
      <c r="AA740" s="16"/>
      <c r="AB740" s="29" t="s">
        <v>637</v>
      </c>
      <c r="AC740" s="17"/>
      <c r="AD740" s="18"/>
      <c r="AE740" s="34"/>
      <c r="AF740" s="34"/>
      <c r="AG740" s="34"/>
      <c r="AH740" s="34"/>
      <c r="AI740" s="34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30"/>
      <c r="AU740" s="18"/>
      <c r="AV740" s="18"/>
      <c r="AW740" s="18"/>
      <c r="AX740" s="18"/>
    </row>
    <row r="741" spans="1:50" ht="18.75" customHeight="1" x14ac:dyDescent="0.2">
      <c r="AA741" s="28" t="s">
        <v>288</v>
      </c>
      <c r="AB741" s="29" t="s">
        <v>638</v>
      </c>
      <c r="AC741" s="17"/>
      <c r="AD741" s="18"/>
      <c r="AE741" s="34"/>
      <c r="AF741" s="34"/>
      <c r="AG741" s="34"/>
      <c r="AH741" s="34"/>
      <c r="AI741" s="34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30"/>
      <c r="AU741" s="18"/>
      <c r="AV741" s="18"/>
      <c r="AW741" s="18"/>
      <c r="AX741" s="18"/>
    </row>
    <row r="742" spans="1:50" x14ac:dyDescent="0.2">
      <c r="AA742" s="28" t="s">
        <v>288</v>
      </c>
      <c r="AB742" s="29" t="s">
        <v>616</v>
      </c>
      <c r="AC742" s="17"/>
      <c r="AD742" s="18"/>
      <c r="AE742" s="34"/>
      <c r="AF742" s="34"/>
      <c r="AG742" s="34"/>
      <c r="AH742" s="34"/>
      <c r="AI742" s="34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30"/>
      <c r="AU742" s="18"/>
      <c r="AV742" s="18"/>
      <c r="AW742" s="18"/>
      <c r="AX742" s="18"/>
    </row>
    <row r="743" spans="1:50" x14ac:dyDescent="0.2">
      <c r="A743" s="4" t="s">
        <v>55</v>
      </c>
      <c r="B743" s="4" t="s">
        <v>56</v>
      </c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1" t="s">
        <v>639</v>
      </c>
      <c r="AB743" s="42" t="s">
        <v>618</v>
      </c>
      <c r="AC743" s="43" t="s">
        <v>619</v>
      </c>
      <c r="AD743" s="43">
        <v>1601743650</v>
      </c>
      <c r="AE743" s="44">
        <v>0</v>
      </c>
      <c r="AF743" s="44">
        <v>0</v>
      </c>
      <c r="AG743" s="44">
        <v>0</v>
      </c>
      <c r="AH743" s="43">
        <v>794729623</v>
      </c>
      <c r="AI743" s="43">
        <f>AE743-AF743+AG743-AH743</f>
        <v>-794729623</v>
      </c>
      <c r="AJ743" s="43">
        <f>AD743+AI743</f>
        <v>807014027</v>
      </c>
      <c r="AK743" s="44">
        <v>0</v>
      </c>
      <c r="AL743" s="44">
        <v>0</v>
      </c>
      <c r="AM743" s="44">
        <v>0</v>
      </c>
      <c r="AN743" s="44">
        <v>0</v>
      </c>
      <c r="AO743" s="44">
        <v>0</v>
      </c>
      <c r="AP743" s="44">
        <v>0</v>
      </c>
      <c r="AQ743" s="44">
        <v>0</v>
      </c>
      <c r="AR743" s="44">
        <v>0</v>
      </c>
      <c r="AS743" s="44">
        <v>0</v>
      </c>
      <c r="AT743" s="40">
        <f t="shared" ref="AT743:AT744" si="934">AQ743+AS743</f>
        <v>0</v>
      </c>
      <c r="AU743" s="18">
        <f t="shared" ref="AU743:AU744" si="935">AJ743-AM743</f>
        <v>807014027</v>
      </c>
      <c r="AV743" s="133">
        <f t="shared" ref="AV743:AV744" si="936">AM743-AP743</f>
        <v>0</v>
      </c>
      <c r="AW743" s="34">
        <f t="shared" ref="AW743:AW744" si="937">AP743-AT743</f>
        <v>0</v>
      </c>
      <c r="AX743" s="123">
        <f t="shared" ref="AX743:AX744" si="938">AP743/AJ743</f>
        <v>0</v>
      </c>
    </row>
    <row r="744" spans="1:50" ht="23.25" customHeight="1" x14ac:dyDescent="0.2">
      <c r="A744" s="4" t="s">
        <v>55</v>
      </c>
      <c r="B744" s="4" t="s">
        <v>56</v>
      </c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1" t="s">
        <v>640</v>
      </c>
      <c r="AB744" s="42" t="s">
        <v>641</v>
      </c>
      <c r="AC744" s="43" t="s">
        <v>642</v>
      </c>
      <c r="AD744" s="43">
        <v>20790000</v>
      </c>
      <c r="AE744" s="44">
        <v>0</v>
      </c>
      <c r="AF744" s="44">
        <v>0</v>
      </c>
      <c r="AG744" s="44">
        <v>0</v>
      </c>
      <c r="AH744" s="44">
        <v>0</v>
      </c>
      <c r="AI744" s="44">
        <v>0</v>
      </c>
      <c r="AJ744" s="43">
        <v>20790000</v>
      </c>
      <c r="AK744" s="44">
        <v>0</v>
      </c>
      <c r="AL744" s="44">
        <v>0</v>
      </c>
      <c r="AM744" s="44">
        <v>0</v>
      </c>
      <c r="AN744" s="44">
        <v>0</v>
      </c>
      <c r="AO744" s="44">
        <v>0</v>
      </c>
      <c r="AP744" s="44">
        <v>0</v>
      </c>
      <c r="AQ744" s="44">
        <v>0</v>
      </c>
      <c r="AR744" s="44">
        <v>0</v>
      </c>
      <c r="AS744" s="44">
        <v>0</v>
      </c>
      <c r="AT744" s="40">
        <f t="shared" si="934"/>
        <v>0</v>
      </c>
      <c r="AU744" s="18">
        <f t="shared" si="935"/>
        <v>20790000</v>
      </c>
      <c r="AV744" s="133">
        <f t="shared" si="936"/>
        <v>0</v>
      </c>
      <c r="AW744" s="34">
        <f t="shared" si="937"/>
        <v>0</v>
      </c>
      <c r="AX744" s="123">
        <f t="shared" si="938"/>
        <v>0</v>
      </c>
    </row>
    <row r="745" spans="1:50" ht="18.75" customHeight="1" x14ac:dyDescent="0.2">
      <c r="AA745" s="16"/>
      <c r="AB745" s="17"/>
      <c r="AC745" s="17"/>
      <c r="AD745" s="18"/>
      <c r="AE745" s="34"/>
      <c r="AF745" s="34"/>
      <c r="AG745" s="34"/>
      <c r="AH745" s="34"/>
      <c r="AI745" s="34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30"/>
      <c r="AU745" s="18"/>
      <c r="AV745" s="18"/>
      <c r="AW745" s="18"/>
      <c r="AX745" s="18"/>
    </row>
    <row r="746" spans="1:50" ht="26.25" customHeight="1" x14ac:dyDescent="0.2">
      <c r="AA746" s="16"/>
      <c r="AB746" s="29" t="s">
        <v>197</v>
      </c>
      <c r="AC746" s="17"/>
      <c r="AD746" s="18"/>
      <c r="AE746" s="34"/>
      <c r="AF746" s="34"/>
      <c r="AG746" s="34"/>
      <c r="AH746" s="34"/>
      <c r="AI746" s="34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30"/>
      <c r="AU746" s="18"/>
      <c r="AV746" s="18"/>
      <c r="AW746" s="18"/>
      <c r="AX746" s="18"/>
    </row>
    <row r="747" spans="1:50" ht="26.25" customHeight="1" x14ac:dyDescent="0.2">
      <c r="AA747" s="28" t="s">
        <v>288</v>
      </c>
      <c r="AB747" s="29" t="s">
        <v>643</v>
      </c>
      <c r="AC747" s="17"/>
      <c r="AD747" s="18"/>
      <c r="AE747" s="34"/>
      <c r="AF747" s="34"/>
      <c r="AG747" s="34"/>
      <c r="AH747" s="34"/>
      <c r="AI747" s="34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30"/>
      <c r="AU747" s="18"/>
      <c r="AV747" s="18"/>
      <c r="AW747" s="18"/>
      <c r="AX747" s="18"/>
    </row>
    <row r="748" spans="1:50" x14ac:dyDescent="0.2">
      <c r="A748" s="4" t="s">
        <v>55</v>
      </c>
      <c r="B748" s="4" t="s">
        <v>56</v>
      </c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1" t="s">
        <v>644</v>
      </c>
      <c r="AB748" s="42" t="s">
        <v>618</v>
      </c>
      <c r="AC748" s="43" t="s">
        <v>619</v>
      </c>
      <c r="AD748" s="43">
        <v>530000000</v>
      </c>
      <c r="AE748" s="44">
        <v>0</v>
      </c>
      <c r="AF748" s="44">
        <v>0</v>
      </c>
      <c r="AG748" s="44">
        <v>0</v>
      </c>
      <c r="AH748" s="44">
        <v>0</v>
      </c>
      <c r="AI748" s="44">
        <v>0</v>
      </c>
      <c r="AJ748" s="43">
        <v>530000000</v>
      </c>
      <c r="AK748" s="44">
        <v>0</v>
      </c>
      <c r="AL748" s="43">
        <v>-30666668</v>
      </c>
      <c r="AM748" s="43">
        <v>434933332</v>
      </c>
      <c r="AN748" s="44">
        <v>0</v>
      </c>
      <c r="AO748" s="43">
        <f>AP748-'MARZO '!AP743</f>
        <v>-30666668</v>
      </c>
      <c r="AP748" s="43">
        <v>434933332</v>
      </c>
      <c r="AQ748" s="114">
        <v>50033333</v>
      </c>
      <c r="AR748" s="114">
        <v>54033333</v>
      </c>
      <c r="AS748" s="114">
        <v>117176663</v>
      </c>
      <c r="AT748" s="111">
        <f t="shared" ref="AT748" si="939">AQ748+AS748</f>
        <v>167209996</v>
      </c>
      <c r="AU748" s="18">
        <f t="shared" ref="AU748" si="940">AJ748-AM748</f>
        <v>95066668</v>
      </c>
      <c r="AV748" s="110">
        <f t="shared" ref="AV748" si="941">AM748-AP748</f>
        <v>0</v>
      </c>
      <c r="AW748" s="18">
        <f t="shared" ref="AW748" si="942">AP748-AT748</f>
        <v>267723336</v>
      </c>
      <c r="AX748" s="123">
        <f t="shared" ref="AX748" si="943">AP748/AJ748</f>
        <v>0.82062892830188683</v>
      </c>
    </row>
    <row r="749" spans="1:50" x14ac:dyDescent="0.2">
      <c r="AA749" s="28" t="s">
        <v>288</v>
      </c>
      <c r="AB749" s="29" t="s">
        <v>616</v>
      </c>
      <c r="AC749" s="17"/>
      <c r="AD749" s="18"/>
      <c r="AE749" s="34"/>
      <c r="AF749" s="34"/>
      <c r="AG749" s="34"/>
      <c r="AH749" s="34"/>
      <c r="AI749" s="34"/>
      <c r="AJ749" s="18"/>
      <c r="AK749" s="18"/>
      <c r="AL749" s="18"/>
      <c r="AM749" s="18"/>
      <c r="AN749" s="34"/>
      <c r="AO749" s="18"/>
      <c r="AP749" s="18"/>
      <c r="AQ749" s="18"/>
      <c r="AR749" s="18"/>
      <c r="AS749" s="18"/>
      <c r="AT749" s="30"/>
      <c r="AU749" s="18"/>
      <c r="AV749" s="18"/>
      <c r="AW749" s="18"/>
      <c r="AX749" s="18"/>
    </row>
    <row r="750" spans="1:50" x14ac:dyDescent="0.2">
      <c r="A750" s="4" t="s">
        <v>55</v>
      </c>
      <c r="B750" s="4" t="s">
        <v>56</v>
      </c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1" t="s">
        <v>645</v>
      </c>
      <c r="AB750" s="42" t="s">
        <v>618</v>
      </c>
      <c r="AC750" s="43" t="s">
        <v>619</v>
      </c>
      <c r="AD750" s="43">
        <v>2879425052</v>
      </c>
      <c r="AE750" s="44">
        <v>0</v>
      </c>
      <c r="AF750" s="44">
        <v>0</v>
      </c>
      <c r="AG750" s="44">
        <v>0</v>
      </c>
      <c r="AH750" s="43">
        <f>221572545+222721043</f>
        <v>444293588</v>
      </c>
      <c r="AI750" s="43">
        <f>AE750-AF750+AG750-AH750</f>
        <v>-444293588</v>
      </c>
      <c r="AJ750" s="43">
        <f>AD750+AI750</f>
        <v>2435131464</v>
      </c>
      <c r="AK750" s="43">
        <v>0</v>
      </c>
      <c r="AL750" s="43">
        <f>AM750-'MARZO '!AM745</f>
        <v>85114268</v>
      </c>
      <c r="AM750" s="114">
        <v>1061393181.62</v>
      </c>
      <c r="AN750" s="115">
        <v>0</v>
      </c>
      <c r="AO750" s="43">
        <f>AP750-'MARZO '!AP745</f>
        <v>0</v>
      </c>
      <c r="AP750" s="43">
        <v>149999956</v>
      </c>
      <c r="AQ750" s="43">
        <v>0</v>
      </c>
      <c r="AR750" s="43">
        <v>0</v>
      </c>
      <c r="AS750" s="44">
        <v>0</v>
      </c>
      <c r="AT750" s="40">
        <f t="shared" ref="AT750:AT752" si="944">AQ750+AS750</f>
        <v>0</v>
      </c>
      <c r="AU750" s="18">
        <f t="shared" ref="AU750:AU752" si="945">AJ750-AM750</f>
        <v>1373738282.3800001</v>
      </c>
      <c r="AV750" s="110">
        <f t="shared" ref="AV750:AV752" si="946">AM750-AP750</f>
        <v>911393225.62</v>
      </c>
      <c r="AW750" s="18">
        <f t="shared" ref="AW750:AW752" si="947">AP750-AT750</f>
        <v>149999956</v>
      </c>
      <c r="AX750" s="123">
        <f t="shared" ref="AX750:AX752" si="948">AP750/AJ750</f>
        <v>6.1598298990234723E-2</v>
      </c>
    </row>
    <row r="751" spans="1:50" ht="25.5" x14ac:dyDescent="0.2">
      <c r="A751" s="4" t="s">
        <v>55</v>
      </c>
      <c r="B751" s="4" t="s">
        <v>56</v>
      </c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1" t="s">
        <v>646</v>
      </c>
      <c r="AB751" s="42" t="s">
        <v>647</v>
      </c>
      <c r="AC751" s="43" t="s">
        <v>642</v>
      </c>
      <c r="AD751" s="43">
        <v>404210000</v>
      </c>
      <c r="AE751" s="44">
        <v>0</v>
      </c>
      <c r="AF751" s="44">
        <v>0</v>
      </c>
      <c r="AG751" s="44">
        <v>0</v>
      </c>
      <c r="AH751" s="44">
        <v>0</v>
      </c>
      <c r="AI751" s="44">
        <v>0</v>
      </c>
      <c r="AJ751" s="43">
        <v>404210000</v>
      </c>
      <c r="AK751" s="44">
        <v>0</v>
      </c>
      <c r="AL751" s="43">
        <f>AM751-'MARZO '!AM746</f>
        <v>-9600000</v>
      </c>
      <c r="AM751" s="114">
        <v>249600000</v>
      </c>
      <c r="AN751" s="115">
        <v>0</v>
      </c>
      <c r="AO751" s="43">
        <f>AP751-'MARZO '!AP746</f>
        <v>-9600000</v>
      </c>
      <c r="AP751" s="43">
        <v>249600000</v>
      </c>
      <c r="AQ751" s="43">
        <v>18700000</v>
      </c>
      <c r="AR751" s="43">
        <v>17260000</v>
      </c>
      <c r="AS751" s="43">
        <v>27346666</v>
      </c>
      <c r="AT751" s="39">
        <f t="shared" si="944"/>
        <v>46046666</v>
      </c>
      <c r="AU751" s="18">
        <f t="shared" si="945"/>
        <v>154610000</v>
      </c>
      <c r="AV751" s="133">
        <f t="shared" si="946"/>
        <v>0</v>
      </c>
      <c r="AW751" s="18">
        <f t="shared" si="947"/>
        <v>203553334</v>
      </c>
      <c r="AX751" s="123">
        <f t="shared" si="948"/>
        <v>0.61750080403750529</v>
      </c>
    </row>
    <row r="752" spans="1:50" ht="25.5" x14ac:dyDescent="0.2">
      <c r="A752" s="4" t="s">
        <v>55</v>
      </c>
      <c r="B752" s="4" t="s">
        <v>56</v>
      </c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1" t="s">
        <v>648</v>
      </c>
      <c r="AB752" s="42" t="s">
        <v>649</v>
      </c>
      <c r="AC752" s="43" t="s">
        <v>650</v>
      </c>
      <c r="AD752" s="43">
        <v>425000000</v>
      </c>
      <c r="AE752" s="44">
        <v>0</v>
      </c>
      <c r="AF752" s="44">
        <v>0</v>
      </c>
      <c r="AG752" s="44">
        <v>0</v>
      </c>
      <c r="AH752" s="44">
        <v>0</v>
      </c>
      <c r="AI752" s="44">
        <v>0</v>
      </c>
      <c r="AJ752" s="43">
        <v>425000000</v>
      </c>
      <c r="AK752" s="44">
        <v>0</v>
      </c>
      <c r="AL752" s="43">
        <f>AM752-'MARZO '!AM747</f>
        <v>0</v>
      </c>
      <c r="AM752" s="114">
        <v>145600000</v>
      </c>
      <c r="AN752" s="114">
        <v>0</v>
      </c>
      <c r="AO752" s="43">
        <f>AP752-'MARZO '!AP747</f>
        <v>0</v>
      </c>
      <c r="AP752" s="43">
        <v>145600000</v>
      </c>
      <c r="AQ752" s="43">
        <v>17780000</v>
      </c>
      <c r="AR752" s="43">
        <v>15440000</v>
      </c>
      <c r="AS752" s="43">
        <v>26146668</v>
      </c>
      <c r="AT752" s="39">
        <f t="shared" si="944"/>
        <v>43926668</v>
      </c>
      <c r="AU752" s="18">
        <f t="shared" si="945"/>
        <v>279400000</v>
      </c>
      <c r="AV752" s="133">
        <f t="shared" si="946"/>
        <v>0</v>
      </c>
      <c r="AW752" s="18">
        <f t="shared" si="947"/>
        <v>101673332</v>
      </c>
      <c r="AX752" s="123">
        <f t="shared" si="948"/>
        <v>0.34258823529411764</v>
      </c>
    </row>
    <row r="753" spans="1:50" x14ac:dyDescent="0.2">
      <c r="AA753" s="16"/>
      <c r="AB753" s="17"/>
      <c r="AC753" s="17"/>
      <c r="AD753" s="18"/>
      <c r="AE753" s="34"/>
      <c r="AF753" s="34"/>
      <c r="AG753" s="34"/>
      <c r="AH753" s="34"/>
      <c r="AI753" s="34"/>
      <c r="AJ753" s="18"/>
      <c r="AK753" s="34"/>
      <c r="AL753" s="34"/>
      <c r="AM753" s="34"/>
      <c r="AN753" s="34"/>
      <c r="AO753" s="34"/>
      <c r="AP753" s="34"/>
      <c r="AQ753" s="18"/>
      <c r="AR753" s="18"/>
      <c r="AS753" s="18"/>
      <c r="AT753" s="30"/>
      <c r="AU753" s="18"/>
      <c r="AV753" s="18"/>
      <c r="AW753" s="18"/>
      <c r="AX753" s="18"/>
    </row>
    <row r="754" spans="1:50" x14ac:dyDescent="0.2">
      <c r="AA754" s="16"/>
      <c r="AB754" s="29" t="s">
        <v>199</v>
      </c>
      <c r="AC754" s="17"/>
      <c r="AD754" s="18"/>
      <c r="AE754" s="34"/>
      <c r="AF754" s="34"/>
      <c r="AG754" s="34"/>
      <c r="AH754" s="34"/>
      <c r="AI754" s="34"/>
      <c r="AJ754" s="18"/>
      <c r="AK754" s="34"/>
      <c r="AL754" s="34"/>
      <c r="AM754" s="34"/>
      <c r="AN754" s="34"/>
      <c r="AO754" s="34"/>
      <c r="AP754" s="34"/>
      <c r="AQ754" s="18"/>
      <c r="AR754" s="18"/>
      <c r="AS754" s="18"/>
      <c r="AT754" s="30"/>
      <c r="AU754" s="18"/>
      <c r="AV754" s="18"/>
      <c r="AW754" s="18"/>
      <c r="AX754" s="18"/>
    </row>
    <row r="755" spans="1:50" x14ac:dyDescent="0.2">
      <c r="AA755" s="28" t="s">
        <v>288</v>
      </c>
      <c r="AB755" s="29" t="s">
        <v>616</v>
      </c>
      <c r="AC755" s="17"/>
      <c r="AD755" s="18"/>
      <c r="AE755" s="34"/>
      <c r="AF755" s="34"/>
      <c r="AG755" s="34"/>
      <c r="AH755" s="34"/>
      <c r="AI755" s="34"/>
      <c r="AJ755" s="18"/>
      <c r="AK755" s="34"/>
      <c r="AL755" s="34"/>
      <c r="AM755" s="34"/>
      <c r="AN755" s="34"/>
      <c r="AO755" s="34"/>
      <c r="AP755" s="34"/>
      <c r="AQ755" s="18"/>
      <c r="AR755" s="18"/>
      <c r="AS755" s="18"/>
      <c r="AT755" s="30"/>
      <c r="AU755" s="18"/>
      <c r="AV755" s="18"/>
      <c r="AW755" s="18"/>
      <c r="AX755" s="18"/>
    </row>
    <row r="756" spans="1:50" x14ac:dyDescent="0.2">
      <c r="A756" s="4" t="s">
        <v>55</v>
      </c>
      <c r="B756" s="4" t="s">
        <v>56</v>
      </c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134" t="s">
        <v>651</v>
      </c>
      <c r="AB756" s="42" t="s">
        <v>618</v>
      </c>
      <c r="AC756" s="43" t="s">
        <v>619</v>
      </c>
      <c r="AD756" s="43">
        <v>408029872</v>
      </c>
      <c r="AE756" s="44">
        <v>0</v>
      </c>
      <c r="AF756" s="44">
        <v>0</v>
      </c>
      <c r="AG756" s="44">
        <v>0</v>
      </c>
      <c r="AH756" s="43">
        <v>408029872</v>
      </c>
      <c r="AI756" s="43">
        <f>AE756-AF756+AG756-AH756</f>
        <v>-408029872</v>
      </c>
      <c r="AJ756" s="43">
        <f>AD756+AI756</f>
        <v>0</v>
      </c>
      <c r="AK756" s="44">
        <v>0</v>
      </c>
      <c r="AL756" s="44">
        <v>0</v>
      </c>
      <c r="AM756" s="44">
        <v>0</v>
      </c>
      <c r="AN756" s="44">
        <v>0</v>
      </c>
      <c r="AO756" s="44">
        <v>0</v>
      </c>
      <c r="AP756" s="44">
        <v>0</v>
      </c>
      <c r="AQ756" s="44">
        <v>0</v>
      </c>
      <c r="AR756" s="44">
        <v>0</v>
      </c>
      <c r="AS756" s="44">
        <v>0</v>
      </c>
      <c r="AT756" s="40">
        <f t="shared" ref="AT756:AT757" si="949">AQ756+AS756</f>
        <v>0</v>
      </c>
      <c r="AU756" s="34">
        <f t="shared" ref="AU756:AU757" si="950">AJ756-AM756</f>
        <v>0</v>
      </c>
      <c r="AV756" s="133">
        <f t="shared" ref="AV756:AV757" si="951">AM756-AP756</f>
        <v>0</v>
      </c>
      <c r="AW756" s="34">
        <f t="shared" ref="AW756:AW757" si="952">AP756-AT756</f>
        <v>0</v>
      </c>
      <c r="AX756" s="123">
        <v>0</v>
      </c>
    </row>
    <row r="757" spans="1:50" ht="25.5" x14ac:dyDescent="0.2">
      <c r="A757" s="4" t="s">
        <v>55</v>
      </c>
      <c r="B757" s="4" t="s">
        <v>56</v>
      </c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1" t="s">
        <v>652</v>
      </c>
      <c r="AB757" s="42" t="s">
        <v>653</v>
      </c>
      <c r="AC757" s="43" t="s">
        <v>368</v>
      </c>
      <c r="AD757" s="43">
        <v>159146685.47999999</v>
      </c>
      <c r="AE757" s="44">
        <v>0</v>
      </c>
      <c r="AF757" s="44">
        <v>0</v>
      </c>
      <c r="AG757" s="44">
        <v>0</v>
      </c>
      <c r="AH757" s="44">
        <v>0</v>
      </c>
      <c r="AI757" s="44">
        <v>0</v>
      </c>
      <c r="AJ757" s="43">
        <v>159146685.47999999</v>
      </c>
      <c r="AK757" s="44">
        <v>0</v>
      </c>
      <c r="AL757" s="44">
        <v>0</v>
      </c>
      <c r="AM757" s="44">
        <v>0</v>
      </c>
      <c r="AN757" s="44">
        <v>0</v>
      </c>
      <c r="AO757" s="44">
        <v>0</v>
      </c>
      <c r="AP757" s="44">
        <v>0</v>
      </c>
      <c r="AQ757" s="44">
        <v>0</v>
      </c>
      <c r="AR757" s="44">
        <v>0</v>
      </c>
      <c r="AS757" s="44">
        <v>0</v>
      </c>
      <c r="AT757" s="40">
        <f t="shared" si="949"/>
        <v>0</v>
      </c>
      <c r="AU757" s="18">
        <f t="shared" si="950"/>
        <v>159146685.47999999</v>
      </c>
      <c r="AV757" s="133">
        <f t="shared" si="951"/>
        <v>0</v>
      </c>
      <c r="AW757" s="34">
        <f t="shared" si="952"/>
        <v>0</v>
      </c>
      <c r="AX757" s="123">
        <f t="shared" ref="AX757" si="953">AP757/AJ757</f>
        <v>0</v>
      </c>
    </row>
    <row r="758" spans="1:50" x14ac:dyDescent="0.2">
      <c r="AA758" s="16"/>
      <c r="AB758" s="17"/>
      <c r="AC758" s="17"/>
      <c r="AD758" s="18"/>
      <c r="AE758" s="34"/>
      <c r="AF758" s="34"/>
      <c r="AG758" s="34"/>
      <c r="AH758" s="34"/>
      <c r="AI758" s="34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30"/>
      <c r="AU758" s="18"/>
      <c r="AV758" s="18"/>
      <c r="AW758" s="18"/>
      <c r="AX758" s="18"/>
    </row>
    <row r="759" spans="1:50" x14ac:dyDescent="0.2">
      <c r="AA759" s="16"/>
      <c r="AB759" s="29" t="s">
        <v>654</v>
      </c>
      <c r="AC759" s="17"/>
      <c r="AD759" s="18"/>
      <c r="AE759" s="34"/>
      <c r="AF759" s="34"/>
      <c r="AG759" s="34"/>
      <c r="AH759" s="34"/>
      <c r="AI759" s="34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30"/>
      <c r="AU759" s="18"/>
      <c r="AV759" s="18"/>
      <c r="AW759" s="18"/>
      <c r="AX759" s="18"/>
    </row>
    <row r="760" spans="1:50" x14ac:dyDescent="0.2">
      <c r="AA760" s="16"/>
      <c r="AB760" s="29" t="s">
        <v>614</v>
      </c>
      <c r="AC760" s="17"/>
      <c r="AD760" s="18"/>
      <c r="AE760" s="34"/>
      <c r="AF760" s="34"/>
      <c r="AG760" s="34"/>
      <c r="AH760" s="34"/>
      <c r="AI760" s="34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30"/>
      <c r="AU760" s="18"/>
      <c r="AV760" s="18"/>
      <c r="AW760" s="18"/>
      <c r="AX760" s="18"/>
    </row>
    <row r="761" spans="1:50" x14ac:dyDescent="0.2">
      <c r="AA761" s="16"/>
      <c r="AB761" s="29" t="s">
        <v>286</v>
      </c>
      <c r="AC761" s="17"/>
      <c r="AD761" s="18"/>
      <c r="AE761" s="34"/>
      <c r="AF761" s="34"/>
      <c r="AG761" s="34"/>
      <c r="AH761" s="34"/>
      <c r="AI761" s="34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30"/>
      <c r="AU761" s="18"/>
      <c r="AV761" s="18"/>
      <c r="AW761" s="18"/>
      <c r="AX761" s="18"/>
    </row>
    <row r="762" spans="1:50" x14ac:dyDescent="0.2">
      <c r="AA762" s="16"/>
      <c r="AB762" s="29" t="s">
        <v>181</v>
      </c>
      <c r="AC762" s="17"/>
      <c r="AD762" s="18"/>
      <c r="AE762" s="34"/>
      <c r="AF762" s="34"/>
      <c r="AG762" s="34"/>
      <c r="AH762" s="34"/>
      <c r="AI762" s="34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30"/>
      <c r="AU762" s="18"/>
      <c r="AV762" s="18"/>
      <c r="AW762" s="18"/>
      <c r="AX762" s="18"/>
    </row>
    <row r="763" spans="1:50" ht="25.5" x14ac:dyDescent="0.2">
      <c r="AA763" s="16"/>
      <c r="AB763" s="29" t="s">
        <v>637</v>
      </c>
      <c r="AC763" s="17"/>
      <c r="AD763" s="18"/>
      <c r="AE763" s="34"/>
      <c r="AF763" s="34"/>
      <c r="AG763" s="34"/>
      <c r="AH763" s="34"/>
      <c r="AI763" s="34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30"/>
      <c r="AU763" s="18"/>
      <c r="AV763" s="18"/>
      <c r="AW763" s="18"/>
      <c r="AX763" s="18"/>
    </row>
    <row r="764" spans="1:50" ht="25.5" x14ac:dyDescent="0.2">
      <c r="AA764" s="28" t="s">
        <v>288</v>
      </c>
      <c r="AB764" s="29" t="s">
        <v>655</v>
      </c>
      <c r="AC764" s="17"/>
      <c r="AD764" s="18"/>
      <c r="AE764" s="34"/>
      <c r="AF764" s="34"/>
      <c r="AG764" s="34"/>
      <c r="AH764" s="34"/>
      <c r="AI764" s="34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30"/>
      <c r="AU764" s="18"/>
      <c r="AV764" s="18"/>
      <c r="AW764" s="18"/>
      <c r="AX764" s="18"/>
    </row>
    <row r="765" spans="1:50" x14ac:dyDescent="0.2">
      <c r="A765" s="4" t="s">
        <v>55</v>
      </c>
      <c r="B765" s="4" t="s">
        <v>56</v>
      </c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1" t="s">
        <v>656</v>
      </c>
      <c r="AB765" s="42" t="s">
        <v>233</v>
      </c>
      <c r="AC765" s="43" t="s">
        <v>58</v>
      </c>
      <c r="AD765" s="43">
        <v>800000000</v>
      </c>
      <c r="AE765" s="44">
        <v>0</v>
      </c>
      <c r="AF765" s="44">
        <v>0</v>
      </c>
      <c r="AG765" s="44">
        <v>0</v>
      </c>
      <c r="AH765" s="44">
        <v>0</v>
      </c>
      <c r="AI765" s="44">
        <v>0</v>
      </c>
      <c r="AJ765" s="43">
        <v>800000000</v>
      </c>
      <c r="AK765" s="44">
        <v>0</v>
      </c>
      <c r="AL765" s="44">
        <v>0</v>
      </c>
      <c r="AM765" s="44">
        <v>0</v>
      </c>
      <c r="AN765" s="44">
        <v>0</v>
      </c>
      <c r="AO765" s="44">
        <v>0</v>
      </c>
      <c r="AP765" s="44">
        <v>0</v>
      </c>
      <c r="AQ765" s="44">
        <v>0</v>
      </c>
      <c r="AR765" s="44">
        <v>0</v>
      </c>
      <c r="AS765" s="44">
        <v>0</v>
      </c>
      <c r="AT765" s="40">
        <f t="shared" ref="AT765" si="954">AQ765+AS765</f>
        <v>0</v>
      </c>
      <c r="AU765" s="18">
        <f t="shared" ref="AU765" si="955">AJ765-AM765</f>
        <v>800000000</v>
      </c>
      <c r="AV765" s="133">
        <f t="shared" ref="AV765" si="956">AM765-AP765</f>
        <v>0</v>
      </c>
      <c r="AW765" s="34">
        <f t="shared" ref="AW765" si="957">AP765-AT765</f>
        <v>0</v>
      </c>
      <c r="AX765" s="123">
        <f t="shared" ref="AX765" si="958">AP765/AJ765</f>
        <v>0</v>
      </c>
    </row>
    <row r="766" spans="1:50" x14ac:dyDescent="0.2">
      <c r="AA766" s="28" t="s">
        <v>288</v>
      </c>
      <c r="AB766" s="29" t="s">
        <v>616</v>
      </c>
      <c r="AC766" s="17"/>
      <c r="AD766" s="18"/>
      <c r="AE766" s="34"/>
      <c r="AF766" s="34"/>
      <c r="AG766" s="34"/>
      <c r="AH766" s="34"/>
      <c r="AI766" s="34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30"/>
      <c r="AU766" s="18"/>
      <c r="AV766" s="18"/>
      <c r="AW766" s="18"/>
      <c r="AX766" s="18"/>
    </row>
    <row r="767" spans="1:50" x14ac:dyDescent="0.2">
      <c r="AA767" s="16"/>
      <c r="AB767" s="17"/>
      <c r="AC767" s="17"/>
      <c r="AD767" s="18"/>
      <c r="AE767" s="34"/>
      <c r="AF767" s="34"/>
      <c r="AG767" s="34"/>
      <c r="AH767" s="34"/>
      <c r="AI767" s="34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30"/>
      <c r="AU767" s="18"/>
      <c r="AV767" s="18"/>
      <c r="AW767" s="18"/>
      <c r="AX767" s="18"/>
    </row>
    <row r="768" spans="1:50" ht="18.75" customHeight="1" x14ac:dyDescent="0.2">
      <c r="AA768" s="16"/>
      <c r="AB768" s="29" t="s">
        <v>189</v>
      </c>
      <c r="AC768" s="17"/>
      <c r="AD768" s="18"/>
      <c r="AE768" s="34"/>
      <c r="AF768" s="34"/>
      <c r="AG768" s="34"/>
      <c r="AH768" s="34"/>
      <c r="AI768" s="34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30"/>
      <c r="AU768" s="18"/>
      <c r="AV768" s="18"/>
      <c r="AW768" s="18"/>
      <c r="AX768" s="18"/>
    </row>
    <row r="769" spans="1:50" ht="38.25" x14ac:dyDescent="0.2">
      <c r="AA769" s="16"/>
      <c r="AB769" s="29" t="s">
        <v>193</v>
      </c>
      <c r="AC769" s="17"/>
      <c r="AD769" s="18"/>
      <c r="AE769" s="34"/>
      <c r="AF769" s="34"/>
      <c r="AG769" s="34"/>
      <c r="AH769" s="34"/>
      <c r="AI769" s="34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30"/>
      <c r="AU769" s="18"/>
      <c r="AV769" s="18"/>
      <c r="AW769" s="18"/>
      <c r="AX769" s="18"/>
    </row>
    <row r="770" spans="1:50" x14ac:dyDescent="0.2">
      <c r="AA770" s="28" t="s">
        <v>288</v>
      </c>
      <c r="AB770" s="29" t="s">
        <v>616</v>
      </c>
      <c r="AC770" s="17"/>
      <c r="AD770" s="18"/>
      <c r="AE770" s="34"/>
      <c r="AF770" s="34"/>
      <c r="AG770" s="34"/>
      <c r="AH770" s="34"/>
      <c r="AI770" s="34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30"/>
      <c r="AU770" s="18"/>
      <c r="AV770" s="18"/>
      <c r="AW770" s="18"/>
      <c r="AX770" s="18"/>
    </row>
    <row r="771" spans="1:50" x14ac:dyDescent="0.2">
      <c r="A771" s="4" t="s">
        <v>37</v>
      </c>
      <c r="B771" s="4" t="s">
        <v>37</v>
      </c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1" t="s">
        <v>657</v>
      </c>
      <c r="AB771" s="42" t="s">
        <v>233</v>
      </c>
      <c r="AC771" s="43" t="s">
        <v>58</v>
      </c>
      <c r="AD771" s="43">
        <v>400000000</v>
      </c>
      <c r="AE771" s="44">
        <v>0</v>
      </c>
      <c r="AF771" s="44">
        <v>0</v>
      </c>
      <c r="AG771" s="44">
        <v>0</v>
      </c>
      <c r="AH771" s="44">
        <v>0</v>
      </c>
      <c r="AI771" s="44">
        <v>0</v>
      </c>
      <c r="AJ771" s="43">
        <v>400000000</v>
      </c>
      <c r="AK771" s="43">
        <v>0</v>
      </c>
      <c r="AL771" s="43">
        <v>-6496</v>
      </c>
      <c r="AM771" s="43">
        <v>399068768</v>
      </c>
      <c r="AN771" s="43">
        <v>0</v>
      </c>
      <c r="AO771" s="43">
        <v>399068768</v>
      </c>
      <c r="AP771" s="43">
        <v>399068768</v>
      </c>
      <c r="AQ771" s="44">
        <v>0</v>
      </c>
      <c r="AR771" s="44">
        <v>0</v>
      </c>
      <c r="AS771" s="44">
        <v>0</v>
      </c>
      <c r="AT771" s="40">
        <f t="shared" ref="AT771" si="959">AQ771+AS771</f>
        <v>0</v>
      </c>
      <c r="AU771" s="18">
        <f t="shared" ref="AU771" si="960">AJ771-AM771</f>
        <v>931232</v>
      </c>
      <c r="AV771" s="18">
        <f t="shared" ref="AV771" si="961">AM771-AP771</f>
        <v>0</v>
      </c>
      <c r="AW771" s="18">
        <f t="shared" ref="AW771" si="962">AP771-AT771</f>
        <v>399068768</v>
      </c>
      <c r="AX771" s="123">
        <f t="shared" ref="AX771" si="963">AP771/AJ771</f>
        <v>0.99767192000000005</v>
      </c>
    </row>
    <row r="772" spans="1:50" x14ac:dyDescent="0.2">
      <c r="AA772" s="16"/>
      <c r="AB772" s="17"/>
      <c r="AC772" s="17"/>
      <c r="AD772" s="18"/>
      <c r="AE772" s="34"/>
      <c r="AF772" s="34"/>
      <c r="AG772" s="34"/>
      <c r="AH772" s="34"/>
      <c r="AI772" s="34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30"/>
      <c r="AU772" s="18"/>
      <c r="AV772" s="34"/>
      <c r="AW772" s="34"/>
      <c r="AX772" s="18"/>
    </row>
    <row r="773" spans="1:50" ht="25.5" x14ac:dyDescent="0.2">
      <c r="AA773" s="16"/>
      <c r="AB773" s="29" t="s">
        <v>197</v>
      </c>
      <c r="AC773" s="17"/>
      <c r="AD773" s="18"/>
      <c r="AE773" s="34"/>
      <c r="AF773" s="34"/>
      <c r="AG773" s="34"/>
      <c r="AH773" s="34"/>
      <c r="AI773" s="34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30"/>
      <c r="AU773" s="18"/>
      <c r="AV773" s="34"/>
      <c r="AW773" s="34"/>
      <c r="AX773" s="18"/>
    </row>
    <row r="774" spans="1:50" x14ac:dyDescent="0.2">
      <c r="AA774" s="28" t="s">
        <v>288</v>
      </c>
      <c r="AB774" s="29" t="s">
        <v>616</v>
      </c>
      <c r="AC774" s="17"/>
      <c r="AD774" s="18"/>
      <c r="AE774" s="34"/>
      <c r="AF774" s="34"/>
      <c r="AG774" s="34"/>
      <c r="AH774" s="34"/>
      <c r="AI774" s="34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30"/>
      <c r="AU774" s="18"/>
      <c r="AV774" s="34"/>
      <c r="AW774" s="34"/>
      <c r="AX774" s="18"/>
    </row>
    <row r="775" spans="1:50" x14ac:dyDescent="0.2">
      <c r="A775" s="4" t="s">
        <v>55</v>
      </c>
      <c r="B775" s="4" t="s">
        <v>56</v>
      </c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1" t="s">
        <v>658</v>
      </c>
      <c r="AB775" s="42" t="s">
        <v>233</v>
      </c>
      <c r="AC775" s="43" t="s">
        <v>58</v>
      </c>
      <c r="AD775" s="43">
        <v>80000001.5</v>
      </c>
      <c r="AE775" s="44">
        <v>0</v>
      </c>
      <c r="AF775" s="44">
        <v>0</v>
      </c>
      <c r="AG775" s="44">
        <v>0</v>
      </c>
      <c r="AH775" s="44">
        <v>0</v>
      </c>
      <c r="AI775" s="44">
        <v>0</v>
      </c>
      <c r="AJ775" s="43">
        <v>80000001.5</v>
      </c>
      <c r="AK775" s="44">
        <v>0</v>
      </c>
      <c r="AL775" s="44">
        <v>0</v>
      </c>
      <c r="AM775" s="44">
        <v>0</v>
      </c>
      <c r="AN775" s="44">
        <v>0</v>
      </c>
      <c r="AO775" s="44">
        <v>0</v>
      </c>
      <c r="AP775" s="44">
        <v>0</v>
      </c>
      <c r="AQ775" s="44">
        <v>0</v>
      </c>
      <c r="AR775" s="44">
        <v>0</v>
      </c>
      <c r="AS775" s="44">
        <v>0</v>
      </c>
      <c r="AT775" s="40">
        <f t="shared" ref="AT775:AT776" si="964">AQ775+AS775</f>
        <v>0</v>
      </c>
      <c r="AU775" s="18">
        <f t="shared" ref="AU775:AU776" si="965">AJ775-AM775</f>
        <v>80000001.5</v>
      </c>
      <c r="AV775" s="133">
        <f t="shared" ref="AV775:AV776" si="966">AM775-AP775</f>
        <v>0</v>
      </c>
      <c r="AW775" s="34">
        <f t="shared" ref="AW775:AW776" si="967">AP775-AT775</f>
        <v>0</v>
      </c>
      <c r="AX775" s="123">
        <f t="shared" ref="AX775:AX776" si="968">AP775/AJ775</f>
        <v>0</v>
      </c>
    </row>
    <row r="776" spans="1:50" ht="25.5" x14ac:dyDescent="0.2">
      <c r="A776" s="4" t="s">
        <v>55</v>
      </c>
      <c r="B776" s="4" t="s">
        <v>56</v>
      </c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1" t="s">
        <v>659</v>
      </c>
      <c r="AB776" s="42" t="s">
        <v>660</v>
      </c>
      <c r="AC776" s="43" t="s">
        <v>368</v>
      </c>
      <c r="AD776" s="43">
        <v>18064798.5</v>
      </c>
      <c r="AE776" s="44">
        <v>0</v>
      </c>
      <c r="AF776" s="44">
        <v>0</v>
      </c>
      <c r="AG776" s="44">
        <v>0</v>
      </c>
      <c r="AH776" s="44">
        <v>0</v>
      </c>
      <c r="AI776" s="44">
        <v>0</v>
      </c>
      <c r="AJ776" s="43">
        <v>18064798.5</v>
      </c>
      <c r="AK776" s="44">
        <v>0</v>
      </c>
      <c r="AL776" s="44">
        <v>0</v>
      </c>
      <c r="AM776" s="44">
        <v>0</v>
      </c>
      <c r="AN776" s="44">
        <v>0</v>
      </c>
      <c r="AO776" s="44">
        <v>0</v>
      </c>
      <c r="AP776" s="44">
        <v>0</v>
      </c>
      <c r="AQ776" s="44">
        <v>0</v>
      </c>
      <c r="AR776" s="44">
        <v>0</v>
      </c>
      <c r="AS776" s="44">
        <v>0</v>
      </c>
      <c r="AT776" s="40">
        <f t="shared" si="964"/>
        <v>0</v>
      </c>
      <c r="AU776" s="18">
        <f t="shared" si="965"/>
        <v>18064798.5</v>
      </c>
      <c r="AV776" s="133">
        <f t="shared" si="966"/>
        <v>0</v>
      </c>
      <c r="AW776" s="34">
        <f t="shared" si="967"/>
        <v>0</v>
      </c>
      <c r="AX776" s="123">
        <f t="shared" si="968"/>
        <v>0</v>
      </c>
    </row>
    <row r="777" spans="1:50" x14ac:dyDescent="0.2">
      <c r="AA777" s="16"/>
      <c r="AB777" s="17"/>
      <c r="AC777" s="17"/>
      <c r="AD777" s="18"/>
      <c r="AE777" s="34"/>
      <c r="AF777" s="34"/>
      <c r="AG777" s="34"/>
      <c r="AH777" s="34"/>
      <c r="AI777" s="34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30"/>
      <c r="AU777" s="18"/>
      <c r="AV777" s="18"/>
      <c r="AW777" s="18"/>
      <c r="AX777" s="18"/>
    </row>
    <row r="778" spans="1:50" x14ac:dyDescent="0.2">
      <c r="AA778" s="16"/>
      <c r="AB778" s="29" t="s">
        <v>661</v>
      </c>
      <c r="AC778" s="17"/>
      <c r="AD778" s="18"/>
      <c r="AE778" s="34"/>
      <c r="AF778" s="34"/>
      <c r="AG778" s="34"/>
      <c r="AH778" s="34"/>
      <c r="AI778" s="34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30"/>
      <c r="AU778" s="18"/>
      <c r="AV778" s="18"/>
      <c r="AW778" s="18"/>
      <c r="AX778" s="18"/>
    </row>
    <row r="779" spans="1:50" x14ac:dyDescent="0.2">
      <c r="AA779" s="16"/>
      <c r="AB779" s="29" t="s">
        <v>614</v>
      </c>
      <c r="AC779" s="17"/>
      <c r="AD779" s="18"/>
      <c r="AE779" s="34"/>
      <c r="AF779" s="34"/>
      <c r="AG779" s="34"/>
      <c r="AH779" s="34"/>
      <c r="AI779" s="34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30"/>
      <c r="AU779" s="18"/>
      <c r="AV779" s="18"/>
      <c r="AW779" s="18"/>
      <c r="AX779" s="18"/>
    </row>
    <row r="780" spans="1:50" x14ac:dyDescent="0.2">
      <c r="AA780" s="16"/>
      <c r="AB780" s="29" t="s">
        <v>286</v>
      </c>
      <c r="AC780" s="17"/>
      <c r="AD780" s="18"/>
      <c r="AE780" s="34"/>
      <c r="AF780" s="34"/>
      <c r="AG780" s="34"/>
      <c r="AH780" s="34"/>
      <c r="AI780" s="34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30"/>
      <c r="AU780" s="18"/>
      <c r="AV780" s="18"/>
      <c r="AW780" s="18"/>
      <c r="AX780" s="18"/>
    </row>
    <row r="781" spans="1:50" x14ac:dyDescent="0.2">
      <c r="AA781" s="16"/>
      <c r="AB781" s="29" t="s">
        <v>179</v>
      </c>
      <c r="AC781" s="17"/>
      <c r="AD781" s="18"/>
      <c r="AE781" s="34"/>
      <c r="AF781" s="34"/>
      <c r="AG781" s="34"/>
      <c r="AH781" s="34"/>
      <c r="AI781" s="34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30"/>
      <c r="AU781" s="18"/>
      <c r="AV781" s="18"/>
      <c r="AW781" s="18"/>
      <c r="AX781" s="18"/>
    </row>
    <row r="782" spans="1:50" x14ac:dyDescent="0.2">
      <c r="AA782" s="16"/>
      <c r="AB782" s="29" t="s">
        <v>189</v>
      </c>
      <c r="AC782" s="17"/>
      <c r="AD782" s="18"/>
      <c r="AE782" s="34"/>
      <c r="AF782" s="34"/>
      <c r="AG782" s="34"/>
      <c r="AH782" s="34"/>
      <c r="AI782" s="34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30"/>
      <c r="AU782" s="18"/>
      <c r="AV782" s="18"/>
      <c r="AW782" s="18"/>
      <c r="AX782" s="18"/>
    </row>
    <row r="783" spans="1:50" ht="25.5" x14ac:dyDescent="0.2">
      <c r="AA783" s="16"/>
      <c r="AB783" s="29" t="s">
        <v>197</v>
      </c>
      <c r="AC783" s="17"/>
      <c r="AD783" s="18"/>
      <c r="AE783" s="34"/>
      <c r="AF783" s="34"/>
      <c r="AG783" s="34"/>
      <c r="AH783" s="34"/>
      <c r="AI783" s="34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30"/>
      <c r="AU783" s="18"/>
      <c r="AV783" s="18"/>
      <c r="AW783" s="18"/>
      <c r="AX783" s="18"/>
    </row>
    <row r="784" spans="1:50" x14ac:dyDescent="0.2">
      <c r="AA784" s="28" t="s">
        <v>288</v>
      </c>
      <c r="AB784" s="29" t="s">
        <v>591</v>
      </c>
      <c r="AC784" s="17"/>
      <c r="AD784" s="18"/>
      <c r="AE784" s="34"/>
      <c r="AF784" s="34"/>
      <c r="AG784" s="34"/>
      <c r="AH784" s="34"/>
      <c r="AI784" s="34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30"/>
      <c r="AU784" s="18"/>
      <c r="AV784" s="18"/>
      <c r="AW784" s="18"/>
      <c r="AX784" s="18"/>
    </row>
    <row r="785" spans="1:50" ht="25.5" x14ac:dyDescent="0.2">
      <c r="A785" s="4" t="s">
        <v>55</v>
      </c>
      <c r="B785" s="4" t="s">
        <v>56</v>
      </c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1" t="s">
        <v>662</v>
      </c>
      <c r="AB785" s="42" t="s">
        <v>660</v>
      </c>
      <c r="AC785" s="43" t="s">
        <v>368</v>
      </c>
      <c r="AD785" s="43">
        <v>3179405.26</v>
      </c>
      <c r="AE785" s="44">
        <v>0</v>
      </c>
      <c r="AF785" s="44">
        <v>0</v>
      </c>
      <c r="AG785" s="44">
        <v>0</v>
      </c>
      <c r="AH785" s="44">
        <v>0</v>
      </c>
      <c r="AI785" s="44">
        <v>0</v>
      </c>
      <c r="AJ785" s="43">
        <v>3179405.26</v>
      </c>
      <c r="AK785" s="44">
        <v>0</v>
      </c>
      <c r="AL785" s="44">
        <v>0</v>
      </c>
      <c r="AM785" s="43">
        <v>1739249</v>
      </c>
      <c r="AN785" s="44">
        <v>0</v>
      </c>
      <c r="AO785" s="44">
        <v>0</v>
      </c>
      <c r="AP785" s="43">
        <v>1739249</v>
      </c>
      <c r="AQ785" s="44">
        <v>0</v>
      </c>
      <c r="AR785" s="44">
        <v>0</v>
      </c>
      <c r="AS785" s="44">
        <v>0</v>
      </c>
      <c r="AT785" s="40">
        <f t="shared" ref="AT785" si="969">AQ785+AS785</f>
        <v>0</v>
      </c>
      <c r="AU785" s="18">
        <f t="shared" ref="AU785" si="970">AJ785-AM785</f>
        <v>1440156.2599999998</v>
      </c>
      <c r="AV785" s="133">
        <f t="shared" ref="AV785" si="971">AM785-AP785</f>
        <v>0</v>
      </c>
      <c r="AW785" s="18">
        <f t="shared" ref="AW785" si="972">AP785-AT785</f>
        <v>1739249</v>
      </c>
      <c r="AX785" s="123">
        <f t="shared" ref="AX785" si="973">AP785/AJ785</f>
        <v>0.54703595728466525</v>
      </c>
    </row>
    <row r="786" spans="1:50" x14ac:dyDescent="0.2">
      <c r="AA786" s="16"/>
      <c r="AB786" s="17"/>
      <c r="AC786" s="17"/>
      <c r="AD786" s="18"/>
      <c r="AE786" s="34"/>
      <c r="AF786" s="34"/>
      <c r="AG786" s="34"/>
      <c r="AH786" s="34"/>
      <c r="AI786" s="34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30"/>
      <c r="AU786" s="18"/>
      <c r="AV786" s="18"/>
      <c r="AW786" s="18"/>
      <c r="AX786" s="18"/>
    </row>
    <row r="787" spans="1:50" ht="25.5" x14ac:dyDescent="0.2">
      <c r="AA787" s="16"/>
      <c r="AB787" s="29" t="s">
        <v>663</v>
      </c>
      <c r="AC787" s="17"/>
      <c r="AD787" s="18"/>
      <c r="AE787" s="34"/>
      <c r="AF787" s="34"/>
      <c r="AG787" s="34"/>
      <c r="AH787" s="34"/>
      <c r="AI787" s="34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30"/>
      <c r="AU787" s="18"/>
      <c r="AV787" s="18"/>
      <c r="AW787" s="18"/>
      <c r="AX787" s="18"/>
    </row>
    <row r="788" spans="1:50" x14ac:dyDescent="0.2">
      <c r="AA788" s="16"/>
      <c r="AB788" s="29" t="s">
        <v>614</v>
      </c>
      <c r="AC788" s="17"/>
      <c r="AD788" s="18"/>
      <c r="AE788" s="34"/>
      <c r="AF788" s="34"/>
      <c r="AG788" s="34"/>
      <c r="AH788" s="34"/>
      <c r="AI788" s="34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30"/>
      <c r="AU788" s="18"/>
      <c r="AV788" s="18"/>
      <c r="AW788" s="18"/>
      <c r="AX788" s="18"/>
    </row>
    <row r="789" spans="1:50" x14ac:dyDescent="0.2">
      <c r="AA789" s="16"/>
      <c r="AB789" s="29" t="s">
        <v>286</v>
      </c>
      <c r="AC789" s="17"/>
      <c r="AD789" s="18"/>
      <c r="AE789" s="34"/>
      <c r="AF789" s="34"/>
      <c r="AG789" s="34"/>
      <c r="AH789" s="34"/>
      <c r="AI789" s="34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30"/>
      <c r="AU789" s="18"/>
      <c r="AV789" s="18"/>
      <c r="AW789" s="18"/>
      <c r="AX789" s="18"/>
    </row>
    <row r="790" spans="1:50" ht="18.75" customHeight="1" x14ac:dyDescent="0.2">
      <c r="AA790" s="16"/>
      <c r="AB790" s="29" t="s">
        <v>664</v>
      </c>
      <c r="AC790" s="17"/>
      <c r="AD790" s="18"/>
      <c r="AE790" s="34"/>
      <c r="AF790" s="34"/>
      <c r="AG790" s="34"/>
      <c r="AH790" s="34"/>
      <c r="AI790" s="34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30"/>
      <c r="AU790" s="18"/>
      <c r="AV790" s="18"/>
      <c r="AW790" s="18"/>
      <c r="AX790" s="18"/>
    </row>
    <row r="791" spans="1:50" ht="18.75" customHeight="1" x14ac:dyDescent="0.2">
      <c r="AA791" s="16"/>
      <c r="AB791" s="29" t="s">
        <v>575</v>
      </c>
      <c r="AC791" s="17"/>
      <c r="AD791" s="18"/>
      <c r="AE791" s="34"/>
      <c r="AF791" s="34"/>
      <c r="AG791" s="34"/>
      <c r="AH791" s="34"/>
      <c r="AI791" s="34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30"/>
      <c r="AU791" s="18"/>
      <c r="AV791" s="18"/>
      <c r="AW791" s="18"/>
      <c r="AX791" s="18"/>
    </row>
    <row r="792" spans="1:50" ht="18.75" customHeight="1" x14ac:dyDescent="0.2">
      <c r="AA792" s="16"/>
      <c r="AB792" s="29" t="s">
        <v>631</v>
      </c>
      <c r="AC792" s="17"/>
      <c r="AD792" s="18"/>
      <c r="AE792" s="34"/>
      <c r="AF792" s="34"/>
      <c r="AG792" s="34"/>
      <c r="AH792" s="34"/>
      <c r="AI792" s="34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30"/>
      <c r="AU792" s="18"/>
      <c r="AV792" s="18"/>
      <c r="AW792" s="18"/>
      <c r="AX792" s="18"/>
    </row>
    <row r="793" spans="1:50" ht="18.75" customHeight="1" x14ac:dyDescent="0.2">
      <c r="AA793" s="16"/>
      <c r="AB793" s="29" t="s">
        <v>632</v>
      </c>
      <c r="AC793" s="17"/>
      <c r="AD793" s="18"/>
      <c r="AE793" s="34"/>
      <c r="AF793" s="34"/>
      <c r="AG793" s="34"/>
      <c r="AH793" s="34"/>
      <c r="AI793" s="34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30"/>
      <c r="AU793" s="18"/>
      <c r="AV793" s="18"/>
      <c r="AW793" s="18"/>
      <c r="AX793" s="18"/>
    </row>
    <row r="794" spans="1:50" ht="18.75" customHeight="1" x14ac:dyDescent="0.2">
      <c r="AA794" s="16"/>
      <c r="AB794" s="29" t="s">
        <v>633</v>
      </c>
      <c r="AC794" s="17"/>
      <c r="AD794" s="18"/>
      <c r="AE794" s="34"/>
      <c r="AF794" s="34"/>
      <c r="AG794" s="34"/>
      <c r="AH794" s="34"/>
      <c r="AI794" s="34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30"/>
      <c r="AU794" s="18"/>
      <c r="AV794" s="18"/>
      <c r="AW794" s="18"/>
      <c r="AX794" s="18"/>
    </row>
    <row r="795" spans="1:50" ht="18.75" customHeight="1" x14ac:dyDescent="0.2">
      <c r="AA795" s="16"/>
      <c r="AB795" s="29" t="s">
        <v>634</v>
      </c>
      <c r="AC795" s="17"/>
      <c r="AD795" s="18"/>
      <c r="AE795" s="34"/>
      <c r="AF795" s="34"/>
      <c r="AG795" s="34"/>
      <c r="AH795" s="34"/>
      <c r="AI795" s="34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30"/>
      <c r="AU795" s="18"/>
      <c r="AV795" s="18"/>
      <c r="AW795" s="18"/>
      <c r="AX795" s="18"/>
    </row>
    <row r="796" spans="1:50" ht="18.75" customHeight="1" x14ac:dyDescent="0.2">
      <c r="AA796" s="16"/>
      <c r="AB796" s="29" t="s">
        <v>635</v>
      </c>
      <c r="AC796" s="17"/>
      <c r="AD796" s="18"/>
      <c r="AE796" s="34"/>
      <c r="AF796" s="34"/>
      <c r="AG796" s="34"/>
      <c r="AH796" s="34"/>
      <c r="AI796" s="34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30"/>
      <c r="AU796" s="18"/>
      <c r="AV796" s="18"/>
      <c r="AW796" s="18"/>
      <c r="AX796" s="18"/>
    </row>
    <row r="797" spans="1:50" ht="18.75" customHeight="1" x14ac:dyDescent="0.2">
      <c r="AA797" s="28" t="s">
        <v>288</v>
      </c>
      <c r="AB797" s="29" t="s">
        <v>665</v>
      </c>
      <c r="AC797" s="17"/>
      <c r="AD797" s="18"/>
      <c r="AE797" s="34"/>
      <c r="AF797" s="34"/>
      <c r="AG797" s="34"/>
      <c r="AH797" s="34"/>
      <c r="AI797" s="34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30"/>
      <c r="AU797" s="18"/>
      <c r="AV797" s="18"/>
      <c r="AW797" s="18"/>
      <c r="AX797" s="18"/>
    </row>
    <row r="798" spans="1:50" ht="18.75" customHeight="1" x14ac:dyDescent="0.2">
      <c r="A798" s="4" t="s">
        <v>37</v>
      </c>
      <c r="B798" s="4" t="s">
        <v>37</v>
      </c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1" t="s">
        <v>666</v>
      </c>
      <c r="AB798" s="42" t="s">
        <v>233</v>
      </c>
      <c r="AC798" s="43" t="s">
        <v>58</v>
      </c>
      <c r="AD798" s="43">
        <v>22000000</v>
      </c>
      <c r="AE798" s="44">
        <v>0</v>
      </c>
      <c r="AF798" s="44">
        <v>0</v>
      </c>
      <c r="AG798" s="44">
        <v>0</v>
      </c>
      <c r="AH798" s="44">
        <v>0</v>
      </c>
      <c r="AI798" s="44">
        <v>0</v>
      </c>
      <c r="AJ798" s="43">
        <v>22000000</v>
      </c>
      <c r="AK798" s="44">
        <v>0</v>
      </c>
      <c r="AL798" s="44">
        <v>0</v>
      </c>
      <c r="AM798" s="44">
        <v>0</v>
      </c>
      <c r="AN798" s="44">
        <v>0</v>
      </c>
      <c r="AO798" s="44">
        <v>0</v>
      </c>
      <c r="AP798" s="44">
        <v>0</v>
      </c>
      <c r="AQ798" s="44">
        <v>0</v>
      </c>
      <c r="AR798" s="44">
        <v>0</v>
      </c>
      <c r="AS798" s="44">
        <v>0</v>
      </c>
      <c r="AT798" s="40">
        <f t="shared" ref="AT798" si="974">AQ798+AS798</f>
        <v>0</v>
      </c>
      <c r="AU798" s="18">
        <f t="shared" ref="AU798" si="975">AJ798-AM798</f>
        <v>22000000</v>
      </c>
      <c r="AV798" s="133">
        <f t="shared" ref="AV798" si="976">AM798-AP798</f>
        <v>0</v>
      </c>
      <c r="AW798" s="34">
        <f t="shared" ref="AW798" si="977">AP798-AT798</f>
        <v>0</v>
      </c>
      <c r="AX798" s="123">
        <f t="shared" ref="AX798" si="978">AP798/AJ798</f>
        <v>0</v>
      </c>
    </row>
    <row r="799" spans="1:50" ht="18.75" customHeight="1" x14ac:dyDescent="0.2">
      <c r="AA799" s="16"/>
      <c r="AB799" s="17"/>
      <c r="AC799" s="17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30"/>
      <c r="AU799" s="18"/>
      <c r="AV799" s="34"/>
      <c r="AW799" s="34"/>
      <c r="AX799" s="18"/>
    </row>
    <row r="800" spans="1:50" ht="18.75" customHeight="1" x14ac:dyDescent="0.2">
      <c r="AA800" s="16"/>
      <c r="AB800" s="29" t="s">
        <v>179</v>
      </c>
      <c r="AC800" s="17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30"/>
      <c r="AU800" s="18"/>
      <c r="AV800" s="34"/>
      <c r="AW800" s="34"/>
      <c r="AX800" s="18"/>
    </row>
    <row r="801" spans="1:50" ht="18.75" customHeight="1" x14ac:dyDescent="0.2">
      <c r="AA801" s="16"/>
      <c r="AB801" s="29" t="s">
        <v>181</v>
      </c>
      <c r="AC801" s="17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30"/>
      <c r="AU801" s="18"/>
      <c r="AV801" s="34"/>
      <c r="AW801" s="34"/>
      <c r="AX801" s="18"/>
    </row>
    <row r="802" spans="1:50" ht="25.5" x14ac:dyDescent="0.2">
      <c r="AA802" s="16"/>
      <c r="AB802" s="29" t="s">
        <v>183</v>
      </c>
      <c r="AC802" s="17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30"/>
      <c r="AU802" s="18"/>
      <c r="AV802" s="34"/>
      <c r="AW802" s="34"/>
      <c r="AX802" s="18"/>
    </row>
    <row r="803" spans="1:50" ht="18.75" customHeight="1" x14ac:dyDescent="0.2">
      <c r="AA803" s="28" t="s">
        <v>288</v>
      </c>
      <c r="AB803" s="29" t="s">
        <v>667</v>
      </c>
      <c r="AC803" s="17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30"/>
      <c r="AU803" s="18"/>
      <c r="AV803" s="34"/>
      <c r="AW803" s="34"/>
      <c r="AX803" s="18"/>
    </row>
    <row r="804" spans="1:50" ht="18.75" customHeight="1" x14ac:dyDescent="0.2">
      <c r="A804" s="4" t="s">
        <v>668</v>
      </c>
      <c r="B804" s="4" t="s">
        <v>669</v>
      </c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1" t="s">
        <v>670</v>
      </c>
      <c r="AB804" s="42" t="s">
        <v>233</v>
      </c>
      <c r="AC804" s="43" t="s">
        <v>58</v>
      </c>
      <c r="AD804" s="43">
        <v>1000000000</v>
      </c>
      <c r="AE804" s="44">
        <v>0</v>
      </c>
      <c r="AF804" s="44">
        <v>0</v>
      </c>
      <c r="AG804" s="44">
        <v>0</v>
      </c>
      <c r="AH804" s="44">
        <v>0</v>
      </c>
      <c r="AI804" s="44">
        <v>0</v>
      </c>
      <c r="AJ804" s="43">
        <v>1000000000</v>
      </c>
      <c r="AK804" s="44">
        <v>0</v>
      </c>
      <c r="AL804" s="44">
        <v>0</v>
      </c>
      <c r="AM804" s="44">
        <v>0</v>
      </c>
      <c r="AN804" s="44">
        <v>0</v>
      </c>
      <c r="AO804" s="44">
        <v>0</v>
      </c>
      <c r="AP804" s="44">
        <v>0</v>
      </c>
      <c r="AQ804" s="44">
        <v>0</v>
      </c>
      <c r="AR804" s="44">
        <v>0</v>
      </c>
      <c r="AS804" s="44">
        <v>0</v>
      </c>
      <c r="AT804" s="40">
        <f t="shared" ref="AT804" si="979">AQ804+AS804</f>
        <v>0</v>
      </c>
      <c r="AU804" s="18">
        <f t="shared" ref="AU804" si="980">AJ804-AM804</f>
        <v>1000000000</v>
      </c>
      <c r="AV804" s="133">
        <f t="shared" ref="AV804" si="981">AM804-AP804</f>
        <v>0</v>
      </c>
      <c r="AW804" s="34">
        <f t="shared" ref="AW804" si="982">AP804-AT804</f>
        <v>0</v>
      </c>
      <c r="AX804" s="123">
        <f t="shared" ref="AX804" si="983">AP804/AJ804</f>
        <v>0</v>
      </c>
    </row>
    <row r="805" spans="1:50" ht="18.75" customHeight="1" x14ac:dyDescent="0.2">
      <c r="AA805" s="16"/>
      <c r="AB805" s="17"/>
      <c r="AC805" s="17"/>
      <c r="AD805" s="18"/>
      <c r="AE805" s="34"/>
      <c r="AF805" s="34"/>
      <c r="AG805" s="34"/>
      <c r="AH805" s="34"/>
      <c r="AI805" s="34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30"/>
      <c r="AU805" s="18"/>
      <c r="AV805" s="34"/>
      <c r="AW805" s="34"/>
      <c r="AX805" s="18"/>
    </row>
    <row r="806" spans="1:50" ht="25.5" x14ac:dyDescent="0.2">
      <c r="AA806" s="16"/>
      <c r="AB806" s="29" t="s">
        <v>637</v>
      </c>
      <c r="AC806" s="17"/>
      <c r="AD806" s="18"/>
      <c r="AE806" s="34"/>
      <c r="AF806" s="34"/>
      <c r="AG806" s="34"/>
      <c r="AH806" s="34"/>
      <c r="AI806" s="34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30"/>
      <c r="AU806" s="18"/>
      <c r="AV806" s="34"/>
      <c r="AW806" s="34"/>
      <c r="AX806" s="18"/>
    </row>
    <row r="807" spans="1:50" ht="18.75" customHeight="1" x14ac:dyDescent="0.2">
      <c r="AA807" s="28" t="s">
        <v>288</v>
      </c>
      <c r="AB807" s="29" t="s">
        <v>667</v>
      </c>
      <c r="AC807" s="17"/>
      <c r="AD807" s="18"/>
      <c r="AE807" s="34"/>
      <c r="AF807" s="34"/>
      <c r="AG807" s="34"/>
      <c r="AH807" s="34"/>
      <c r="AI807" s="34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30"/>
      <c r="AU807" s="18"/>
      <c r="AV807" s="34"/>
      <c r="AW807" s="34"/>
      <c r="AX807" s="18"/>
    </row>
    <row r="808" spans="1:50" ht="18.75" customHeight="1" x14ac:dyDescent="0.2">
      <c r="A808" s="4" t="s">
        <v>55</v>
      </c>
      <c r="B808" s="4" t="s">
        <v>56</v>
      </c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1" t="s">
        <v>671</v>
      </c>
      <c r="AB808" s="42" t="s">
        <v>233</v>
      </c>
      <c r="AC808" s="43" t="s">
        <v>58</v>
      </c>
      <c r="AD808" s="43">
        <v>856200000</v>
      </c>
      <c r="AE808" s="44">
        <v>0</v>
      </c>
      <c r="AF808" s="44">
        <v>0</v>
      </c>
      <c r="AG808" s="44">
        <v>0</v>
      </c>
      <c r="AH808" s="44">
        <v>0</v>
      </c>
      <c r="AI808" s="44">
        <v>0</v>
      </c>
      <c r="AJ808" s="43">
        <v>856200000</v>
      </c>
      <c r="AK808" s="44">
        <v>0</v>
      </c>
      <c r="AL808" s="44">
        <v>0</v>
      </c>
      <c r="AM808" s="44">
        <v>0</v>
      </c>
      <c r="AN808" s="44">
        <v>0</v>
      </c>
      <c r="AO808" s="44">
        <v>0</v>
      </c>
      <c r="AP808" s="44">
        <v>0</v>
      </c>
      <c r="AQ808" s="44">
        <v>0</v>
      </c>
      <c r="AR808" s="44">
        <v>0</v>
      </c>
      <c r="AS808" s="44">
        <v>0</v>
      </c>
      <c r="AT808" s="40">
        <f t="shared" ref="AT808" si="984">AQ808+AS808</f>
        <v>0</v>
      </c>
      <c r="AU808" s="18">
        <f t="shared" ref="AU808" si="985">AJ808-AM808</f>
        <v>856200000</v>
      </c>
      <c r="AV808" s="133">
        <f t="shared" ref="AV808" si="986">AM808-AP808</f>
        <v>0</v>
      </c>
      <c r="AW808" s="34">
        <f t="shared" ref="AW808" si="987">AP808-AT808</f>
        <v>0</v>
      </c>
      <c r="AX808" s="123">
        <f t="shared" ref="AX808" si="988">AP808/AJ808</f>
        <v>0</v>
      </c>
    </row>
    <row r="809" spans="1:50" ht="18.75" customHeight="1" x14ac:dyDescent="0.2">
      <c r="AA809" s="16"/>
      <c r="AB809" s="17"/>
      <c r="AC809" s="17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30"/>
      <c r="AU809" s="18"/>
      <c r="AV809" s="34"/>
      <c r="AW809" s="34"/>
      <c r="AX809" s="18"/>
    </row>
    <row r="810" spans="1:50" ht="18.75" customHeight="1" x14ac:dyDescent="0.2">
      <c r="AA810" s="16"/>
      <c r="AB810" s="29" t="s">
        <v>189</v>
      </c>
      <c r="AC810" s="17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30"/>
      <c r="AU810" s="18"/>
      <c r="AV810" s="34"/>
      <c r="AW810" s="34"/>
      <c r="AX810" s="18"/>
    </row>
    <row r="811" spans="1:50" ht="25.5" x14ac:dyDescent="0.2">
      <c r="AA811" s="16"/>
      <c r="AB811" s="29" t="s">
        <v>197</v>
      </c>
      <c r="AC811" s="17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30"/>
      <c r="AU811" s="18"/>
      <c r="AV811" s="34"/>
      <c r="AW811" s="34"/>
      <c r="AX811" s="18"/>
    </row>
    <row r="812" spans="1:50" ht="18.75" customHeight="1" x14ac:dyDescent="0.2">
      <c r="AA812" s="28" t="s">
        <v>288</v>
      </c>
      <c r="AB812" s="29" t="s">
        <v>667</v>
      </c>
      <c r="AC812" s="17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30"/>
      <c r="AU812" s="18"/>
      <c r="AV812" s="18"/>
      <c r="AW812" s="18"/>
      <c r="AX812" s="18"/>
    </row>
    <row r="813" spans="1:50" ht="18.75" customHeight="1" x14ac:dyDescent="0.2">
      <c r="A813" s="4" t="s">
        <v>55</v>
      </c>
      <c r="B813" s="4" t="s">
        <v>56</v>
      </c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1" t="s">
        <v>672</v>
      </c>
      <c r="AB813" s="42" t="s">
        <v>233</v>
      </c>
      <c r="AC813" s="43" t="s">
        <v>58</v>
      </c>
      <c r="AD813" s="43">
        <v>500000000</v>
      </c>
      <c r="AE813" s="44">
        <v>0</v>
      </c>
      <c r="AF813" s="44">
        <v>0</v>
      </c>
      <c r="AG813" s="44">
        <v>0</v>
      </c>
      <c r="AH813" s="44">
        <v>0</v>
      </c>
      <c r="AI813" s="44">
        <v>0</v>
      </c>
      <c r="AJ813" s="43">
        <v>500000000</v>
      </c>
      <c r="AK813" s="44">
        <v>0</v>
      </c>
      <c r="AL813" s="43">
        <v>0</v>
      </c>
      <c r="AM813" s="43">
        <v>148000000</v>
      </c>
      <c r="AN813" s="44">
        <v>0</v>
      </c>
      <c r="AO813" s="44">
        <v>0</v>
      </c>
      <c r="AP813" s="114">
        <v>148000000</v>
      </c>
      <c r="AQ813" s="43">
        <v>15833333</v>
      </c>
      <c r="AR813" s="43">
        <v>12100000</v>
      </c>
      <c r="AS813" s="43">
        <v>18200000</v>
      </c>
      <c r="AT813" s="111">
        <f t="shared" ref="AT813" si="989">AQ813+AS813</f>
        <v>34033333</v>
      </c>
      <c r="AU813" s="18">
        <f t="shared" ref="AU813" si="990">AJ813-AM813</f>
        <v>352000000</v>
      </c>
      <c r="AV813" s="110">
        <f t="shared" ref="AV813" si="991">AM813-AP813</f>
        <v>0</v>
      </c>
      <c r="AW813" s="18">
        <f t="shared" ref="AW813" si="992">AP813-AT813</f>
        <v>113966667</v>
      </c>
      <c r="AX813" s="123">
        <f t="shared" ref="AX813" si="993">AP813/AJ813</f>
        <v>0.29599999999999999</v>
      </c>
    </row>
    <row r="814" spans="1:50" ht="18.75" customHeight="1" x14ac:dyDescent="0.2">
      <c r="AA814" s="16"/>
      <c r="AB814" s="17"/>
      <c r="AC814" s="17"/>
      <c r="AD814" s="18"/>
      <c r="AE814" s="34"/>
      <c r="AF814" s="34"/>
      <c r="AG814" s="34"/>
      <c r="AH814" s="34"/>
      <c r="AI814" s="34"/>
      <c r="AJ814" s="18"/>
      <c r="AK814" s="18"/>
      <c r="AL814" s="18"/>
      <c r="AM814" s="18"/>
      <c r="AN814" s="18"/>
      <c r="AO814" s="18"/>
      <c r="AP814" s="18"/>
      <c r="AQ814" s="34"/>
      <c r="AR814" s="34"/>
      <c r="AS814" s="34"/>
      <c r="AT814" s="31"/>
      <c r="AU814" s="18"/>
      <c r="AV814" s="18"/>
      <c r="AW814" s="18"/>
      <c r="AX814" s="18"/>
    </row>
    <row r="815" spans="1:50" ht="18.75" customHeight="1" x14ac:dyDescent="0.2">
      <c r="AA815" s="16"/>
      <c r="AB815" s="29" t="s">
        <v>199</v>
      </c>
      <c r="AC815" s="17"/>
      <c r="AD815" s="18"/>
      <c r="AE815" s="34"/>
      <c r="AF815" s="34"/>
      <c r="AG815" s="34"/>
      <c r="AH815" s="34"/>
      <c r="AI815" s="34"/>
      <c r="AJ815" s="18"/>
      <c r="AK815" s="18"/>
      <c r="AL815" s="18"/>
      <c r="AM815" s="18"/>
      <c r="AN815" s="18"/>
      <c r="AO815" s="18"/>
      <c r="AP815" s="18"/>
      <c r="AQ815" s="34"/>
      <c r="AR815" s="34"/>
      <c r="AS815" s="34"/>
      <c r="AT815" s="31"/>
      <c r="AU815" s="18"/>
      <c r="AV815" s="18"/>
      <c r="AW815" s="18"/>
      <c r="AX815" s="18"/>
    </row>
    <row r="816" spans="1:50" ht="18.75" customHeight="1" x14ac:dyDescent="0.2">
      <c r="AA816" s="28" t="s">
        <v>288</v>
      </c>
      <c r="AB816" s="29" t="s">
        <v>667</v>
      </c>
      <c r="AC816" s="17"/>
      <c r="AD816" s="18"/>
      <c r="AE816" s="34"/>
      <c r="AF816" s="34"/>
      <c r="AG816" s="34"/>
      <c r="AH816" s="34"/>
      <c r="AI816" s="34"/>
      <c r="AJ816" s="18"/>
      <c r="AK816" s="18"/>
      <c r="AL816" s="18"/>
      <c r="AM816" s="18"/>
      <c r="AN816" s="18"/>
      <c r="AO816" s="18"/>
      <c r="AP816" s="18"/>
      <c r="AQ816" s="34"/>
      <c r="AR816" s="34"/>
      <c r="AS816" s="34"/>
      <c r="AT816" s="31"/>
      <c r="AU816" s="18"/>
      <c r="AV816" s="18"/>
      <c r="AW816" s="18"/>
      <c r="AX816" s="18"/>
    </row>
    <row r="817" spans="1:50" ht="18.75" customHeight="1" x14ac:dyDescent="0.2">
      <c r="A817" s="4" t="s">
        <v>55</v>
      </c>
      <c r="B817" s="4" t="s">
        <v>56</v>
      </c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1" t="s">
        <v>673</v>
      </c>
      <c r="AB817" s="42" t="s">
        <v>233</v>
      </c>
      <c r="AC817" s="43" t="s">
        <v>58</v>
      </c>
      <c r="AD817" s="43">
        <v>121800000</v>
      </c>
      <c r="AE817" s="44">
        <v>0</v>
      </c>
      <c r="AF817" s="44">
        <v>0</v>
      </c>
      <c r="AG817" s="44">
        <v>0</v>
      </c>
      <c r="AH817" s="44">
        <v>0</v>
      </c>
      <c r="AI817" s="44">
        <v>0</v>
      </c>
      <c r="AJ817" s="43">
        <v>121800000</v>
      </c>
      <c r="AK817" s="44">
        <v>0</v>
      </c>
      <c r="AL817" s="44">
        <v>0</v>
      </c>
      <c r="AM817" s="44">
        <v>0</v>
      </c>
      <c r="AN817" s="44">
        <v>0</v>
      </c>
      <c r="AO817" s="44">
        <v>0</v>
      </c>
      <c r="AP817" s="44">
        <v>0</v>
      </c>
      <c r="AQ817" s="44">
        <v>0</v>
      </c>
      <c r="AR817" s="44">
        <v>0</v>
      </c>
      <c r="AS817" s="44">
        <v>0</v>
      </c>
      <c r="AT817" s="40">
        <f t="shared" ref="AT817" si="994">AQ817+AS817</f>
        <v>0</v>
      </c>
      <c r="AU817" s="18">
        <f t="shared" ref="AU817" si="995">AJ817-AM817</f>
        <v>121800000</v>
      </c>
      <c r="AV817" s="133">
        <f t="shared" ref="AV817" si="996">AM817-AP817</f>
        <v>0</v>
      </c>
      <c r="AW817" s="34">
        <f t="shared" ref="AW817" si="997">AP817-AT817</f>
        <v>0</v>
      </c>
      <c r="AX817" s="123">
        <f t="shared" ref="AX817" si="998">AP817/AJ817</f>
        <v>0</v>
      </c>
    </row>
    <row r="818" spans="1:50" ht="18.75" customHeight="1" x14ac:dyDescent="0.2">
      <c r="AA818" s="16"/>
      <c r="AB818" s="17"/>
      <c r="AC818" s="17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34"/>
      <c r="AR818" s="34"/>
      <c r="AS818" s="34"/>
      <c r="AT818" s="31"/>
      <c r="AU818" s="18"/>
      <c r="AV818" s="18"/>
      <c r="AW818" s="18"/>
      <c r="AX818" s="18"/>
    </row>
    <row r="819" spans="1:50" s="50" customFormat="1" ht="18.75" customHeight="1" x14ac:dyDescent="0.2"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46"/>
      <c r="AB819" s="47" t="s">
        <v>674</v>
      </c>
      <c r="AC819" s="47"/>
      <c r="AD819" s="48">
        <f t="shared" ref="AD819:AS819" si="999">SUM(AD651:AD818)</f>
        <v>18199312591</v>
      </c>
      <c r="AE819" s="49">
        <f t="shared" si="999"/>
        <v>0</v>
      </c>
      <c r="AF819" s="49">
        <f t="shared" si="999"/>
        <v>0</v>
      </c>
      <c r="AG819" s="48">
        <f t="shared" si="999"/>
        <v>2635306865.3499999</v>
      </c>
      <c r="AH819" s="48">
        <f t="shared" si="999"/>
        <v>2335306865.3499999</v>
      </c>
      <c r="AI819" s="49">
        <f t="shared" si="999"/>
        <v>300000000</v>
      </c>
      <c r="AJ819" s="48">
        <f t="shared" si="999"/>
        <v>18499312591</v>
      </c>
      <c r="AK819" s="49">
        <f t="shared" si="999"/>
        <v>0</v>
      </c>
      <c r="AL819" s="48">
        <f t="shared" si="999"/>
        <v>1605586459.1099999</v>
      </c>
      <c r="AM819" s="48">
        <f t="shared" si="999"/>
        <v>7528042225.3800001</v>
      </c>
      <c r="AN819" s="49">
        <f t="shared" si="999"/>
        <v>0</v>
      </c>
      <c r="AO819" s="48">
        <f t="shared" si="999"/>
        <v>835118820.11000001</v>
      </c>
      <c r="AP819" s="48">
        <f t="shared" si="999"/>
        <v>4751335121.7600002</v>
      </c>
      <c r="AQ819" s="121">
        <f t="shared" si="999"/>
        <v>377960704</v>
      </c>
      <c r="AR819" s="121">
        <f t="shared" si="999"/>
        <v>369846568</v>
      </c>
      <c r="AS819" s="121">
        <f t="shared" si="999"/>
        <v>730718797</v>
      </c>
      <c r="AT819" s="108">
        <f>AQ819+AS819</f>
        <v>1108679501</v>
      </c>
      <c r="AU819" s="48">
        <f>SUM(AU651:AU818)</f>
        <v>10971270365.620001</v>
      </c>
      <c r="AV819" s="48">
        <f>SUM(AV651:AV818)</f>
        <v>2776707103.6199999</v>
      </c>
      <c r="AW819" s="48">
        <f>SUM(AW651:AW818)</f>
        <v>3642655620.7600002</v>
      </c>
      <c r="AX819" s="24">
        <f t="shared" ref="AX819" si="1000">AP819/AJ819</f>
        <v>0.25683846891000406</v>
      </c>
    </row>
    <row r="820" spans="1:50" s="79" customFormat="1" ht="18.75" customHeight="1" x14ac:dyDescent="0.2"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  <c r="AA820" s="81"/>
      <c r="AB820" s="82"/>
      <c r="AC820" s="82"/>
      <c r="AD820" s="83"/>
      <c r="AE820" s="83"/>
      <c r="AF820" s="83"/>
      <c r="AG820" s="83"/>
      <c r="AH820" s="83"/>
      <c r="AI820" s="83"/>
      <c r="AJ820" s="83"/>
      <c r="AK820" s="83"/>
      <c r="AL820" s="83"/>
      <c r="AM820" s="83"/>
      <c r="AN820" s="83"/>
      <c r="AO820" s="83"/>
      <c r="AP820" s="83"/>
      <c r="AQ820" s="83"/>
      <c r="AR820" s="83"/>
      <c r="AS820" s="83"/>
      <c r="AT820" s="83"/>
      <c r="AU820" s="83"/>
      <c r="AV820" s="83"/>
      <c r="AW820" s="83"/>
      <c r="AX820" s="83"/>
    </row>
    <row r="821" spans="1:50" s="25" customFormat="1" ht="18.75" customHeight="1" x14ac:dyDescent="0.2"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66"/>
      <c r="AB821" s="21" t="s">
        <v>675</v>
      </c>
      <c r="AC821" s="67"/>
      <c r="AD821" s="63"/>
      <c r="AE821" s="63"/>
      <c r="AF821" s="63"/>
      <c r="AG821" s="63"/>
      <c r="AH821" s="63"/>
      <c r="AI821" s="63"/>
      <c r="AJ821" s="63"/>
      <c r="AK821" s="63"/>
      <c r="AL821" s="63"/>
      <c r="AM821" s="63"/>
      <c r="AN821" s="63"/>
      <c r="AO821" s="63"/>
      <c r="AP821" s="63"/>
      <c r="AQ821" s="63"/>
      <c r="AR821" s="63"/>
      <c r="AS821" s="63"/>
      <c r="AT821" s="63"/>
      <c r="AU821" s="63"/>
      <c r="AV821" s="63"/>
      <c r="AW821" s="63"/>
      <c r="AX821" s="63"/>
    </row>
    <row r="822" spans="1:50" ht="18.75" customHeight="1" x14ac:dyDescent="0.2">
      <c r="AA822" s="16"/>
      <c r="AB822" s="29" t="s">
        <v>676</v>
      </c>
      <c r="AC822" s="17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</row>
    <row r="823" spans="1:50" ht="18.75" customHeight="1" x14ac:dyDescent="0.2">
      <c r="AA823" s="16"/>
      <c r="AB823" s="29" t="s">
        <v>286</v>
      </c>
      <c r="AC823" s="17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</row>
    <row r="824" spans="1:50" ht="18.75" customHeight="1" x14ac:dyDescent="0.2">
      <c r="AA824" s="16"/>
      <c r="AB824" s="29" t="s">
        <v>179</v>
      </c>
      <c r="AC824" s="17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</row>
    <row r="825" spans="1:50" ht="18.75" customHeight="1" x14ac:dyDescent="0.2">
      <c r="AA825" s="16"/>
      <c r="AB825" s="29" t="s">
        <v>181</v>
      </c>
      <c r="AC825" s="17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</row>
    <row r="826" spans="1:50" ht="18.75" customHeight="1" x14ac:dyDescent="0.2">
      <c r="AA826" s="16"/>
      <c r="AB826" s="29" t="s">
        <v>187</v>
      </c>
      <c r="AC826" s="17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30"/>
      <c r="AU826" s="18"/>
      <c r="AV826" s="18"/>
      <c r="AW826" s="18"/>
      <c r="AX826" s="18"/>
    </row>
    <row r="827" spans="1:50" ht="18.75" customHeight="1" x14ac:dyDescent="0.2">
      <c r="AA827" s="28" t="s">
        <v>288</v>
      </c>
      <c r="AB827" s="29" t="s">
        <v>292</v>
      </c>
      <c r="AC827" s="17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30"/>
      <c r="AU827" s="18"/>
      <c r="AV827" s="18"/>
      <c r="AW827" s="18"/>
      <c r="AX827" s="18"/>
    </row>
    <row r="828" spans="1:50" ht="18.75" customHeight="1" x14ac:dyDescent="0.2">
      <c r="A828" s="4" t="s">
        <v>55</v>
      </c>
      <c r="B828" s="4" t="s">
        <v>56</v>
      </c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1" t="s">
        <v>677</v>
      </c>
      <c r="AB828" s="42" t="s">
        <v>233</v>
      </c>
      <c r="AC828" s="43" t="s">
        <v>58</v>
      </c>
      <c r="AD828" s="43">
        <v>10000000</v>
      </c>
      <c r="AE828" s="44">
        <v>0</v>
      </c>
      <c r="AF828" s="44">
        <v>0</v>
      </c>
      <c r="AG828" s="44">
        <v>0</v>
      </c>
      <c r="AH828" s="44">
        <v>0</v>
      </c>
      <c r="AI828" s="44">
        <v>0</v>
      </c>
      <c r="AJ828" s="43">
        <v>10000000</v>
      </c>
      <c r="AK828" s="44">
        <v>0</v>
      </c>
      <c r="AL828" s="44">
        <v>0</v>
      </c>
      <c r="AM828" s="44">
        <v>0</v>
      </c>
      <c r="AN828" s="44">
        <v>0</v>
      </c>
      <c r="AO828" s="44">
        <v>0</v>
      </c>
      <c r="AP828" s="44">
        <v>0</v>
      </c>
      <c r="AQ828" s="44">
        <v>0</v>
      </c>
      <c r="AR828" s="44">
        <v>0</v>
      </c>
      <c r="AS828" s="44">
        <v>0</v>
      </c>
      <c r="AT828" s="40">
        <f t="shared" ref="AT828" si="1001">AQ828+AS828</f>
        <v>0</v>
      </c>
      <c r="AU828" s="18">
        <f t="shared" ref="AU828" si="1002">AJ828-AM828</f>
        <v>10000000</v>
      </c>
      <c r="AV828" s="133">
        <f t="shared" ref="AV828" si="1003">AM828-AP828</f>
        <v>0</v>
      </c>
      <c r="AW828" s="34">
        <f t="shared" ref="AW828" si="1004">AP828-AT828</f>
        <v>0</v>
      </c>
      <c r="AX828" s="123">
        <f t="shared" ref="AX828" si="1005">AP828/AJ828</f>
        <v>0</v>
      </c>
    </row>
    <row r="829" spans="1:50" ht="25.5" x14ac:dyDescent="0.2">
      <c r="AA829" s="28" t="s">
        <v>288</v>
      </c>
      <c r="AB829" s="29" t="s">
        <v>678</v>
      </c>
      <c r="AC829" s="17"/>
      <c r="AD829" s="18"/>
      <c r="AE829" s="18"/>
      <c r="AF829" s="18"/>
      <c r="AG829" s="18"/>
      <c r="AH829" s="18"/>
      <c r="AI829" s="18"/>
      <c r="AJ829" s="18"/>
      <c r="AK829" s="34"/>
      <c r="AL829" s="34"/>
      <c r="AM829" s="34"/>
      <c r="AN829" s="34"/>
      <c r="AO829" s="34"/>
      <c r="AP829" s="34"/>
      <c r="AQ829" s="34"/>
      <c r="AR829" s="34"/>
      <c r="AS829" s="34"/>
      <c r="AT829" s="40"/>
      <c r="AU829" s="18"/>
      <c r="AV829" s="34"/>
      <c r="AW829" s="34"/>
      <c r="AX829" s="18"/>
    </row>
    <row r="830" spans="1:50" x14ac:dyDescent="0.2">
      <c r="A830" s="4" t="s">
        <v>55</v>
      </c>
      <c r="B830" s="4" t="s">
        <v>56</v>
      </c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1" t="s">
        <v>981</v>
      </c>
      <c r="AB830" s="42" t="s">
        <v>233</v>
      </c>
      <c r="AC830" s="43" t="s">
        <v>58</v>
      </c>
      <c r="AD830" s="43">
        <v>14000000</v>
      </c>
      <c r="AE830" s="44">
        <v>0</v>
      </c>
      <c r="AF830" s="44">
        <v>0</v>
      </c>
      <c r="AG830" s="44">
        <v>0</v>
      </c>
      <c r="AH830" s="44">
        <v>0</v>
      </c>
      <c r="AI830" s="44">
        <v>0</v>
      </c>
      <c r="AJ830" s="43">
        <v>14000000</v>
      </c>
      <c r="AK830" s="44">
        <v>0</v>
      </c>
      <c r="AL830" s="44">
        <v>0</v>
      </c>
      <c r="AM830" s="44">
        <v>0</v>
      </c>
      <c r="AN830" s="44">
        <v>0</v>
      </c>
      <c r="AO830" s="44">
        <v>0</v>
      </c>
      <c r="AP830" s="44">
        <v>0</v>
      </c>
      <c r="AQ830" s="44">
        <v>0</v>
      </c>
      <c r="AR830" s="44">
        <v>0</v>
      </c>
      <c r="AS830" s="44">
        <v>0</v>
      </c>
      <c r="AT830" s="40">
        <f t="shared" ref="AT830:AT853" si="1006">AQ830+AS830</f>
        <v>0</v>
      </c>
      <c r="AU830" s="18">
        <f t="shared" ref="AU830" si="1007">AJ830-AM830</f>
        <v>14000000</v>
      </c>
      <c r="AV830" s="133">
        <f t="shared" ref="AV830" si="1008">AM830-AP830</f>
        <v>0</v>
      </c>
      <c r="AW830" s="34">
        <f t="shared" ref="AW830" si="1009">AP830-AT830</f>
        <v>0</v>
      </c>
      <c r="AX830" s="123">
        <f t="shared" ref="AX830" si="1010">AP830/AJ830</f>
        <v>0</v>
      </c>
    </row>
    <row r="831" spans="1:50" x14ac:dyDescent="0.2">
      <c r="AA831" s="16"/>
      <c r="AB831" s="17"/>
      <c r="AC831" s="17"/>
      <c r="AD831" s="18"/>
      <c r="AE831" s="34"/>
      <c r="AF831" s="34"/>
      <c r="AG831" s="34"/>
      <c r="AH831" s="34"/>
      <c r="AI831" s="34"/>
      <c r="AJ831" s="18"/>
      <c r="AK831" s="34"/>
      <c r="AL831" s="34"/>
      <c r="AM831" s="34"/>
      <c r="AN831" s="34"/>
      <c r="AO831" s="34"/>
      <c r="AP831" s="34"/>
      <c r="AQ831" s="18"/>
      <c r="AR831" s="18"/>
      <c r="AS831" s="18"/>
      <c r="AT831" s="30"/>
      <c r="AU831" s="18"/>
      <c r="AV831" s="18"/>
      <c r="AW831" s="18"/>
      <c r="AX831" s="18"/>
    </row>
    <row r="832" spans="1:50" x14ac:dyDescent="0.2">
      <c r="AA832" s="16"/>
      <c r="AB832" s="29" t="s">
        <v>189</v>
      </c>
      <c r="AC832" s="17"/>
      <c r="AD832" s="18"/>
      <c r="AE832" s="34"/>
      <c r="AF832" s="34"/>
      <c r="AG832" s="34"/>
      <c r="AH832" s="34"/>
      <c r="AI832" s="34"/>
      <c r="AJ832" s="18"/>
      <c r="AK832" s="34"/>
      <c r="AL832" s="34"/>
      <c r="AM832" s="34"/>
      <c r="AN832" s="34"/>
      <c r="AO832" s="34"/>
      <c r="AP832" s="34"/>
      <c r="AQ832" s="18"/>
      <c r="AR832" s="18"/>
      <c r="AS832" s="18"/>
      <c r="AT832" s="30"/>
      <c r="AU832" s="18"/>
      <c r="AV832" s="18"/>
      <c r="AW832" s="18"/>
      <c r="AX832" s="18"/>
    </row>
    <row r="833" spans="1:50" ht="25.5" x14ac:dyDescent="0.2">
      <c r="AA833" s="16"/>
      <c r="AB833" s="29" t="s">
        <v>197</v>
      </c>
      <c r="AC833" s="17"/>
      <c r="AD833" s="18"/>
      <c r="AE833" s="34"/>
      <c r="AF833" s="34"/>
      <c r="AG833" s="34"/>
      <c r="AH833" s="34"/>
      <c r="AI833" s="34"/>
      <c r="AJ833" s="18"/>
      <c r="AK833" s="34"/>
      <c r="AL833" s="34"/>
      <c r="AM833" s="34"/>
      <c r="AN833" s="34"/>
      <c r="AO833" s="34"/>
      <c r="AP833" s="34"/>
      <c r="AQ833" s="18"/>
      <c r="AR833" s="18"/>
      <c r="AS833" s="18"/>
      <c r="AT833" s="30"/>
      <c r="AU833" s="18"/>
      <c r="AV833" s="18"/>
      <c r="AW833" s="18"/>
      <c r="AX833" s="18"/>
    </row>
    <row r="834" spans="1:50" x14ac:dyDescent="0.2">
      <c r="AA834" s="28" t="s">
        <v>288</v>
      </c>
      <c r="AB834" s="29" t="s">
        <v>292</v>
      </c>
      <c r="AC834" s="17"/>
      <c r="AD834" s="18"/>
      <c r="AE834" s="34"/>
      <c r="AF834" s="34"/>
      <c r="AG834" s="34"/>
      <c r="AH834" s="34"/>
      <c r="AI834" s="34"/>
      <c r="AJ834" s="18"/>
      <c r="AK834" s="34"/>
      <c r="AL834" s="34"/>
      <c r="AM834" s="34"/>
      <c r="AN834" s="34"/>
      <c r="AO834" s="34"/>
      <c r="AP834" s="34"/>
      <c r="AQ834" s="18"/>
      <c r="AR834" s="18"/>
      <c r="AS834" s="18"/>
      <c r="AT834" s="30"/>
      <c r="AU834" s="18"/>
      <c r="AV834" s="18"/>
      <c r="AW834" s="18"/>
      <c r="AX834" s="18"/>
    </row>
    <row r="835" spans="1:50" x14ac:dyDescent="0.2">
      <c r="A835" s="4" t="s">
        <v>55</v>
      </c>
      <c r="B835" s="4" t="s">
        <v>56</v>
      </c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1" t="s">
        <v>680</v>
      </c>
      <c r="AB835" s="42" t="s">
        <v>233</v>
      </c>
      <c r="AC835" s="43" t="s">
        <v>58</v>
      </c>
      <c r="AD835" s="43">
        <v>90000000</v>
      </c>
      <c r="AE835" s="44">
        <v>0</v>
      </c>
      <c r="AF835" s="44">
        <v>0</v>
      </c>
      <c r="AG835" s="44">
        <v>0</v>
      </c>
      <c r="AH835" s="44">
        <v>0</v>
      </c>
      <c r="AI835" s="44">
        <v>0</v>
      </c>
      <c r="AJ835" s="43">
        <v>90000000</v>
      </c>
      <c r="AK835" s="44">
        <v>0</v>
      </c>
      <c r="AL835" s="44">
        <v>0</v>
      </c>
      <c r="AM835" s="44">
        <v>0</v>
      </c>
      <c r="AN835" s="44">
        <v>0</v>
      </c>
      <c r="AO835" s="44">
        <v>0</v>
      </c>
      <c r="AP835" s="44">
        <v>0</v>
      </c>
      <c r="AQ835" s="44">
        <v>0</v>
      </c>
      <c r="AR835" s="44">
        <v>0</v>
      </c>
      <c r="AS835" s="44">
        <v>0</v>
      </c>
      <c r="AT835" s="40">
        <f t="shared" ref="AT835" si="1011">AQ835+AS835</f>
        <v>0</v>
      </c>
      <c r="AU835" s="18">
        <f t="shared" ref="AU835" si="1012">AJ835-AM835</f>
        <v>90000000</v>
      </c>
      <c r="AV835" s="133">
        <f t="shared" ref="AV835" si="1013">AM835-AP835</f>
        <v>0</v>
      </c>
      <c r="AW835" s="34">
        <f t="shared" ref="AW835" si="1014">AP835-AT835</f>
        <v>0</v>
      </c>
      <c r="AX835" s="123">
        <f t="shared" ref="AX835" si="1015">AP835/AJ835</f>
        <v>0</v>
      </c>
    </row>
    <row r="836" spans="1:50" ht="25.5" x14ac:dyDescent="0.2">
      <c r="AA836" s="28" t="s">
        <v>288</v>
      </c>
      <c r="AB836" s="29" t="s">
        <v>678</v>
      </c>
      <c r="AC836" s="17"/>
      <c r="AD836" s="18"/>
      <c r="AE836" s="34"/>
      <c r="AF836" s="34"/>
      <c r="AG836" s="34"/>
      <c r="AH836" s="34"/>
      <c r="AI836" s="34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30"/>
      <c r="AU836" s="18"/>
      <c r="AV836" s="18"/>
      <c r="AW836" s="18"/>
      <c r="AX836" s="18"/>
    </row>
    <row r="837" spans="1:50" x14ac:dyDescent="0.2">
      <c r="A837" s="4" t="s">
        <v>55</v>
      </c>
      <c r="B837" s="4" t="s">
        <v>56</v>
      </c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1" t="s">
        <v>681</v>
      </c>
      <c r="AB837" s="42" t="s">
        <v>233</v>
      </c>
      <c r="AC837" s="43" t="s">
        <v>58</v>
      </c>
      <c r="AD837" s="43">
        <v>4085500000</v>
      </c>
      <c r="AE837" s="44">
        <v>0</v>
      </c>
      <c r="AF837" s="44">
        <v>0</v>
      </c>
      <c r="AG837" s="43">
        <v>2080000000</v>
      </c>
      <c r="AH837" s="43">
        <v>1800000000</v>
      </c>
      <c r="AI837" s="43">
        <f>AE837-AF837+AG837-AH837</f>
        <v>280000000</v>
      </c>
      <c r="AJ837" s="43">
        <f>AD837+AI837</f>
        <v>4365500000</v>
      </c>
      <c r="AK837" s="43">
        <v>0</v>
      </c>
      <c r="AL837" s="43">
        <v>99960000</v>
      </c>
      <c r="AM837" s="43">
        <v>1038110000</v>
      </c>
      <c r="AN837" s="43">
        <v>0</v>
      </c>
      <c r="AO837" s="43">
        <v>99960000</v>
      </c>
      <c r="AP837" s="43">
        <v>1038110000</v>
      </c>
      <c r="AQ837" s="43">
        <v>116000000</v>
      </c>
      <c r="AR837" s="43">
        <v>115250000</v>
      </c>
      <c r="AS837" s="43">
        <v>196173332</v>
      </c>
      <c r="AT837" s="111">
        <f t="shared" ref="AT837" si="1016">AQ837+AS837</f>
        <v>312173332</v>
      </c>
      <c r="AU837" s="18">
        <f t="shared" ref="AU837" si="1017">AJ837-AM837</f>
        <v>3327390000</v>
      </c>
      <c r="AV837" s="110">
        <f t="shared" ref="AV837" si="1018">AM837-AP837</f>
        <v>0</v>
      </c>
      <c r="AW837" s="18">
        <f t="shared" ref="AW837" si="1019">AP837-AT837</f>
        <v>725936668</v>
      </c>
      <c r="AX837" s="123">
        <f t="shared" ref="AX837" si="1020">AP837/AJ837</f>
        <v>0.23779864849387242</v>
      </c>
    </row>
    <row r="838" spans="1:50" ht="25.5" x14ac:dyDescent="0.2">
      <c r="AA838" s="28" t="s">
        <v>288</v>
      </c>
      <c r="AB838" s="29" t="s">
        <v>682</v>
      </c>
      <c r="AC838" s="17"/>
      <c r="AD838" s="18"/>
      <c r="AE838" s="34"/>
      <c r="AF838" s="34"/>
      <c r="AG838" s="34"/>
      <c r="AH838" s="34"/>
      <c r="AI838" s="34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31"/>
      <c r="AU838" s="18"/>
      <c r="AV838" s="18"/>
      <c r="AW838" s="18"/>
      <c r="AX838" s="18"/>
    </row>
    <row r="839" spans="1:50" x14ac:dyDescent="0.2">
      <c r="A839" s="4" t="s">
        <v>55</v>
      </c>
      <c r="B839" s="4" t="s">
        <v>56</v>
      </c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1" t="s">
        <v>683</v>
      </c>
      <c r="AB839" s="42" t="s">
        <v>233</v>
      </c>
      <c r="AC839" s="43" t="s">
        <v>58</v>
      </c>
      <c r="AD839" s="43">
        <v>467600000</v>
      </c>
      <c r="AE839" s="44">
        <v>0</v>
      </c>
      <c r="AF839" s="44">
        <v>0</v>
      </c>
      <c r="AG839" s="43">
        <v>2580000000</v>
      </c>
      <c r="AH839" s="43">
        <v>2240000000</v>
      </c>
      <c r="AI839" s="43">
        <f>AE839-AF839+AG839-AH839</f>
        <v>340000000</v>
      </c>
      <c r="AJ839" s="43">
        <f>AD839+AI839</f>
        <v>807600000</v>
      </c>
      <c r="AK839" s="43">
        <v>0</v>
      </c>
      <c r="AL839" s="43">
        <v>28000000</v>
      </c>
      <c r="AM839" s="43">
        <v>456050000</v>
      </c>
      <c r="AN839" s="44">
        <v>0</v>
      </c>
      <c r="AO839" s="44">
        <v>0</v>
      </c>
      <c r="AP839" s="43">
        <v>396550000</v>
      </c>
      <c r="AQ839" s="43">
        <v>66800000</v>
      </c>
      <c r="AR839" s="43">
        <v>54500000</v>
      </c>
      <c r="AS839" s="43">
        <v>89300000</v>
      </c>
      <c r="AT839" s="111">
        <f t="shared" ref="AT839" si="1021">AQ839+AS839</f>
        <v>156100000</v>
      </c>
      <c r="AU839" s="18">
        <f t="shared" ref="AU839" si="1022">AJ839-AM839</f>
        <v>351550000</v>
      </c>
      <c r="AV839" s="110">
        <f t="shared" ref="AV839" si="1023">AM839-AP839</f>
        <v>59500000</v>
      </c>
      <c r="AW839" s="18">
        <f t="shared" ref="AW839" si="1024">AP839-AT839</f>
        <v>240450000</v>
      </c>
      <c r="AX839" s="123">
        <f t="shared" ref="AX839" si="1025">AP839/AJ839</f>
        <v>0.49102278355621592</v>
      </c>
    </row>
    <row r="840" spans="1:50" ht="25.5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73" t="s">
        <v>288</v>
      </c>
      <c r="AB840" s="74" t="s">
        <v>197</v>
      </c>
      <c r="AC840" s="43"/>
      <c r="AD840" s="43"/>
      <c r="AE840" s="44"/>
      <c r="AF840" s="44"/>
      <c r="AG840" s="43"/>
      <c r="AH840" s="43"/>
      <c r="AI840" s="43"/>
      <c r="AJ840" s="43"/>
      <c r="AK840" s="44"/>
      <c r="AL840" s="43"/>
      <c r="AM840" s="43"/>
      <c r="AN840" s="44"/>
      <c r="AO840" s="44"/>
      <c r="AP840" s="43"/>
      <c r="AQ840" s="44"/>
      <c r="AR840" s="114"/>
      <c r="AS840" s="114"/>
      <c r="AT840" s="111"/>
      <c r="AU840" s="18"/>
      <c r="AV840" s="110"/>
      <c r="AW840" s="18"/>
      <c r="AX840" s="123"/>
    </row>
    <row r="841" spans="1:50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1" t="s">
        <v>305</v>
      </c>
      <c r="AB841" s="42" t="s">
        <v>233</v>
      </c>
      <c r="AC841" s="43"/>
      <c r="AD841" s="43">
        <v>0</v>
      </c>
      <c r="AE841" s="44">
        <v>0</v>
      </c>
      <c r="AF841" s="44">
        <v>0</v>
      </c>
      <c r="AG841" s="43">
        <v>1800000000</v>
      </c>
      <c r="AH841" s="43">
        <v>0</v>
      </c>
      <c r="AI841" s="43">
        <f>AE841-AF841+AG841-AH841</f>
        <v>1800000000</v>
      </c>
      <c r="AJ841" s="43">
        <f>AD841+AI841</f>
        <v>1800000000</v>
      </c>
      <c r="AK841" s="44">
        <v>0</v>
      </c>
      <c r="AL841" s="43">
        <v>0</v>
      </c>
      <c r="AM841" s="43">
        <v>1800000000</v>
      </c>
      <c r="AN841" s="44">
        <v>0</v>
      </c>
      <c r="AO841" s="44">
        <v>0</v>
      </c>
      <c r="AP841" s="43">
        <v>1800000000</v>
      </c>
      <c r="AQ841" s="44">
        <v>0</v>
      </c>
      <c r="AR841" s="114">
        <v>1800000000</v>
      </c>
      <c r="AS841" s="114">
        <v>1800000000</v>
      </c>
      <c r="AT841" s="111">
        <f t="shared" ref="AT841" si="1026">AQ841+AS841</f>
        <v>1800000000</v>
      </c>
      <c r="AU841" s="34">
        <f t="shared" ref="AU841" si="1027">AJ841-AM841</f>
        <v>0</v>
      </c>
      <c r="AV841" s="133">
        <f t="shared" ref="AV841" si="1028">AM841-AP841</f>
        <v>0</v>
      </c>
      <c r="AW841" s="34">
        <f t="shared" ref="AW841" si="1029">AP841-AT841</f>
        <v>0</v>
      </c>
      <c r="AX841" s="123">
        <f t="shared" ref="AX841" si="1030">AP841/AJ841</f>
        <v>1</v>
      </c>
    </row>
    <row r="842" spans="1:50" x14ac:dyDescent="0.2">
      <c r="AA842" s="28" t="s">
        <v>288</v>
      </c>
      <c r="AB842" s="68" t="s">
        <v>684</v>
      </c>
      <c r="AC842" s="17"/>
      <c r="AD842" s="18"/>
      <c r="AE842" s="34"/>
      <c r="AF842" s="34"/>
      <c r="AG842" s="34"/>
      <c r="AH842" s="34"/>
      <c r="AI842" s="34"/>
      <c r="AJ842" s="18"/>
      <c r="AK842" s="34"/>
      <c r="AL842" s="18"/>
      <c r="AM842" s="18"/>
      <c r="AN842" s="34"/>
      <c r="AO842" s="34"/>
      <c r="AP842" s="18"/>
      <c r="AQ842" s="34"/>
      <c r="AR842" s="34"/>
      <c r="AS842" s="34"/>
      <c r="AT842" s="31"/>
      <c r="AU842" s="18"/>
      <c r="AV842" s="18"/>
      <c r="AW842" s="18"/>
      <c r="AX842" s="18"/>
    </row>
    <row r="843" spans="1:50" x14ac:dyDescent="0.2">
      <c r="A843" s="4" t="s">
        <v>55</v>
      </c>
      <c r="B843" s="4" t="s">
        <v>56</v>
      </c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1" t="s">
        <v>685</v>
      </c>
      <c r="AB843" s="69" t="s">
        <v>233</v>
      </c>
      <c r="AC843" s="43" t="s">
        <v>58</v>
      </c>
      <c r="AD843" s="43">
        <v>6107898530</v>
      </c>
      <c r="AE843" s="44">
        <v>0</v>
      </c>
      <c r="AF843" s="44">
        <v>0</v>
      </c>
      <c r="AG843" s="44">
        <v>0</v>
      </c>
      <c r="AH843" s="44">
        <v>0</v>
      </c>
      <c r="AI843" s="44">
        <v>0</v>
      </c>
      <c r="AJ843" s="43">
        <v>6107898530</v>
      </c>
      <c r="AK843" s="44">
        <v>0</v>
      </c>
      <c r="AL843" s="44">
        <v>0</v>
      </c>
      <c r="AM843" s="44">
        <v>0</v>
      </c>
      <c r="AN843" s="44">
        <v>0</v>
      </c>
      <c r="AO843" s="44">
        <v>0</v>
      </c>
      <c r="AP843" s="43">
        <v>0</v>
      </c>
      <c r="AQ843" s="44">
        <v>0</v>
      </c>
      <c r="AR843" s="44">
        <v>0</v>
      </c>
      <c r="AS843" s="44">
        <v>0</v>
      </c>
      <c r="AT843" s="40">
        <f t="shared" ref="AT843" si="1031">AQ843+AS843</f>
        <v>0</v>
      </c>
      <c r="AU843" s="18">
        <f t="shared" ref="AU843" si="1032">AJ843-AM843</f>
        <v>6107898530</v>
      </c>
      <c r="AV843" s="133">
        <f t="shared" ref="AV843" si="1033">AM843-AP843</f>
        <v>0</v>
      </c>
      <c r="AW843" s="34">
        <f t="shared" ref="AW843" si="1034">AP843-AT843</f>
        <v>0</v>
      </c>
      <c r="AX843" s="123">
        <f t="shared" ref="AX843" si="1035">AP843/AJ843</f>
        <v>0</v>
      </c>
    </row>
    <row r="844" spans="1:50" ht="25.5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73" t="s">
        <v>288</v>
      </c>
      <c r="AB844" s="82" t="s">
        <v>197</v>
      </c>
      <c r="AC844" s="43"/>
      <c r="AD844" s="43"/>
      <c r="AE844" s="44"/>
      <c r="AF844" s="44"/>
      <c r="AG844" s="44"/>
      <c r="AH844" s="44"/>
      <c r="AI844" s="44"/>
      <c r="AJ844" s="43"/>
      <c r="AK844" s="44"/>
      <c r="AL844" s="44"/>
      <c r="AM844" s="44"/>
      <c r="AN844" s="43"/>
      <c r="AO844" s="43"/>
      <c r="AP844" s="43"/>
      <c r="AQ844" s="44"/>
      <c r="AR844" s="44"/>
      <c r="AS844" s="44"/>
      <c r="AT844" s="40"/>
      <c r="AU844" s="18"/>
      <c r="AV844" s="133"/>
      <c r="AW844" s="34"/>
      <c r="AX844" s="123"/>
    </row>
    <row r="845" spans="1:50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1" t="s">
        <v>974</v>
      </c>
      <c r="AB845" s="69" t="s">
        <v>233</v>
      </c>
      <c r="AC845" s="43"/>
      <c r="AD845" s="43">
        <v>0</v>
      </c>
      <c r="AE845" s="44">
        <v>0</v>
      </c>
      <c r="AF845" s="44">
        <v>0</v>
      </c>
      <c r="AG845" s="43">
        <v>2240000000</v>
      </c>
      <c r="AH845" s="44"/>
      <c r="AI845" s="43">
        <f>AE845-AF845+AG845-AH845</f>
        <v>2240000000</v>
      </c>
      <c r="AJ845" s="43">
        <f>AD845+AI845</f>
        <v>2240000000</v>
      </c>
      <c r="AK845" s="44">
        <v>0</v>
      </c>
      <c r="AL845" s="44">
        <v>0</v>
      </c>
      <c r="AM845" s="44">
        <v>320123215</v>
      </c>
      <c r="AN845" s="44">
        <v>0</v>
      </c>
      <c r="AO845" s="44">
        <v>0</v>
      </c>
      <c r="AP845" s="43">
        <v>0</v>
      </c>
      <c r="AQ845" s="44">
        <v>0</v>
      </c>
      <c r="AR845" s="44">
        <v>0</v>
      </c>
      <c r="AS845" s="44">
        <v>0</v>
      </c>
      <c r="AT845" s="111">
        <f t="shared" ref="AT845" si="1036">AQ845+AS845</f>
        <v>0</v>
      </c>
      <c r="AU845" s="110">
        <f t="shared" ref="AU845" si="1037">AJ845-AM845</f>
        <v>1919876785</v>
      </c>
      <c r="AV845" s="18">
        <f t="shared" ref="AV845" si="1038">AM845-AP845</f>
        <v>320123215</v>
      </c>
      <c r="AW845" s="18">
        <f t="shared" ref="AW845" si="1039">AP845-AT845</f>
        <v>0</v>
      </c>
      <c r="AX845" s="123">
        <f t="shared" ref="AX845" si="1040">AP845/AJ845</f>
        <v>0</v>
      </c>
    </row>
    <row r="846" spans="1:50" x14ac:dyDescent="0.2">
      <c r="AA846" s="28" t="s">
        <v>288</v>
      </c>
      <c r="AB846" s="29" t="s">
        <v>306</v>
      </c>
      <c r="AC846" s="17"/>
      <c r="AD846" s="18"/>
      <c r="AE846" s="34"/>
      <c r="AF846" s="34"/>
      <c r="AG846" s="34"/>
      <c r="AH846" s="34"/>
      <c r="AI846" s="34"/>
      <c r="AJ846" s="18"/>
      <c r="AK846" s="34"/>
      <c r="AL846" s="18"/>
      <c r="AM846" s="18"/>
      <c r="AN846" s="34"/>
      <c r="AO846" s="34"/>
      <c r="AP846" s="18"/>
      <c r="AQ846" s="34"/>
      <c r="AR846" s="34"/>
      <c r="AS846" s="34"/>
      <c r="AT846" s="31"/>
      <c r="AU846" s="18"/>
      <c r="AV846" s="34"/>
      <c r="AW846" s="18"/>
      <c r="AX846" s="18"/>
    </row>
    <row r="847" spans="1:50" x14ac:dyDescent="0.2">
      <c r="A847" s="4" t="s">
        <v>55</v>
      </c>
      <c r="B847" s="4" t="s">
        <v>56</v>
      </c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1" t="s">
        <v>307</v>
      </c>
      <c r="AB847" s="42" t="s">
        <v>233</v>
      </c>
      <c r="AC847" s="43" t="s">
        <v>58</v>
      </c>
      <c r="AD847" s="43">
        <v>147500000</v>
      </c>
      <c r="AE847" s="44">
        <v>0</v>
      </c>
      <c r="AF847" s="44">
        <v>0</v>
      </c>
      <c r="AG847" s="44">
        <v>0</v>
      </c>
      <c r="AH847" s="44">
        <v>0</v>
      </c>
      <c r="AI847" s="44">
        <v>0</v>
      </c>
      <c r="AJ847" s="43">
        <v>147500000</v>
      </c>
      <c r="AK847" s="44">
        <v>0</v>
      </c>
      <c r="AL847" s="44">
        <v>0</v>
      </c>
      <c r="AM847" s="43">
        <v>127700000</v>
      </c>
      <c r="AN847" s="44">
        <v>0</v>
      </c>
      <c r="AO847" s="44">
        <v>0</v>
      </c>
      <c r="AP847" s="43">
        <v>127700000</v>
      </c>
      <c r="AQ847" s="43">
        <v>16100000</v>
      </c>
      <c r="AR847" s="114">
        <v>12500000</v>
      </c>
      <c r="AS847" s="114">
        <v>28283333</v>
      </c>
      <c r="AT847" s="111">
        <f t="shared" ref="AT847" si="1041">AQ847+AS847</f>
        <v>44383333</v>
      </c>
      <c r="AU847" s="110">
        <f t="shared" ref="AU847" si="1042">AJ847-AM847</f>
        <v>19800000</v>
      </c>
      <c r="AV847" s="133">
        <f t="shared" ref="AV847" si="1043">AM847-AP847</f>
        <v>0</v>
      </c>
      <c r="AW847" s="18">
        <f t="shared" ref="AW847" si="1044">AP847-AT847</f>
        <v>83316667</v>
      </c>
      <c r="AX847" s="123">
        <f t="shared" ref="AX847" si="1045">AP847/AJ847</f>
        <v>0.86576271186440679</v>
      </c>
    </row>
    <row r="848" spans="1:50" x14ac:dyDescent="0.2">
      <c r="AA848" s="28" t="s">
        <v>288</v>
      </c>
      <c r="AB848" s="29" t="s">
        <v>400</v>
      </c>
      <c r="AC848" s="17"/>
      <c r="AD848" s="18"/>
      <c r="AE848" s="34"/>
      <c r="AF848" s="34"/>
      <c r="AG848" s="34"/>
      <c r="AH848" s="34"/>
      <c r="AI848" s="34"/>
      <c r="AJ848" s="18"/>
      <c r="AK848" s="34"/>
      <c r="AL848" s="34"/>
      <c r="AM848" s="18"/>
      <c r="AN848" s="34"/>
      <c r="AO848" s="34"/>
      <c r="AP848" s="18"/>
      <c r="AQ848" s="18"/>
      <c r="AR848" s="110"/>
      <c r="AS848" s="110"/>
      <c r="AT848" s="109"/>
      <c r="AU848" s="110"/>
      <c r="AV848" s="18"/>
      <c r="AW848" s="18"/>
      <c r="AX848" s="18"/>
    </row>
    <row r="849" spans="1:50" x14ac:dyDescent="0.2">
      <c r="A849" s="4" t="s">
        <v>55</v>
      </c>
      <c r="B849" s="4" t="s">
        <v>56</v>
      </c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1" t="s">
        <v>401</v>
      </c>
      <c r="AB849" s="42" t="s">
        <v>233</v>
      </c>
      <c r="AC849" s="43" t="s">
        <v>58</v>
      </c>
      <c r="AD849" s="43">
        <v>996500000</v>
      </c>
      <c r="AE849" s="44">
        <v>0</v>
      </c>
      <c r="AF849" s="44">
        <v>0</v>
      </c>
      <c r="AG849" s="43">
        <v>140000000</v>
      </c>
      <c r="AH849" s="44">
        <v>0</v>
      </c>
      <c r="AI849" s="43">
        <f>AE849-AF849+AG849-AH849</f>
        <v>140000000</v>
      </c>
      <c r="AJ849" s="43">
        <f>AD849+AI849</f>
        <v>1136500000</v>
      </c>
      <c r="AK849" s="44">
        <v>0</v>
      </c>
      <c r="AL849" s="44">
        <v>0</v>
      </c>
      <c r="AM849" s="43">
        <v>683750000</v>
      </c>
      <c r="AN849" s="44">
        <v>0</v>
      </c>
      <c r="AO849" s="44">
        <v>0</v>
      </c>
      <c r="AP849" s="43">
        <v>683750000</v>
      </c>
      <c r="AQ849" s="18">
        <v>93800000</v>
      </c>
      <c r="AR849" s="110">
        <v>85650000</v>
      </c>
      <c r="AS849" s="110">
        <v>179690001</v>
      </c>
      <c r="AT849" s="111">
        <f t="shared" ref="AT849:AT851" si="1046">AQ849+AS849</f>
        <v>273490001</v>
      </c>
      <c r="AU849" s="110">
        <f t="shared" ref="AU849:AU851" si="1047">AJ849-AM849</f>
        <v>452750000</v>
      </c>
      <c r="AV849" s="133">
        <f t="shared" ref="AV849:AV851" si="1048">AM849-AP849</f>
        <v>0</v>
      </c>
      <c r="AW849" s="18">
        <f t="shared" ref="AW849:AW851" si="1049">AP849-AT849</f>
        <v>410259999</v>
      </c>
      <c r="AX849" s="123">
        <f t="shared" ref="AX849:AX851" si="1050">AP849/AJ849</f>
        <v>0.60162780466344035</v>
      </c>
    </row>
    <row r="850" spans="1:50" x14ac:dyDescent="0.2">
      <c r="A850" s="4" t="s">
        <v>55</v>
      </c>
      <c r="B850" s="4" t="s">
        <v>56</v>
      </c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1" t="s">
        <v>686</v>
      </c>
      <c r="AB850" s="42" t="s">
        <v>687</v>
      </c>
      <c r="AC850" s="43" t="s">
        <v>428</v>
      </c>
      <c r="AD850" s="43">
        <v>51500000</v>
      </c>
      <c r="AE850" s="44">
        <v>0</v>
      </c>
      <c r="AF850" s="44">
        <v>0</v>
      </c>
      <c r="AG850" s="44">
        <v>0</v>
      </c>
      <c r="AH850" s="44">
        <v>0</v>
      </c>
      <c r="AI850" s="44">
        <v>0</v>
      </c>
      <c r="AJ850" s="43">
        <v>51500000</v>
      </c>
      <c r="AK850" s="44">
        <v>0</v>
      </c>
      <c r="AL850" s="44">
        <v>0</v>
      </c>
      <c r="AM850" s="43">
        <v>51400000</v>
      </c>
      <c r="AN850" s="44">
        <v>0</v>
      </c>
      <c r="AO850" s="44">
        <v>0</v>
      </c>
      <c r="AP850" s="43">
        <v>51400000</v>
      </c>
      <c r="AQ850" s="18">
        <v>7800000</v>
      </c>
      <c r="AR850" s="18">
        <v>7800000</v>
      </c>
      <c r="AS850" s="18">
        <v>14040000</v>
      </c>
      <c r="AT850" s="39">
        <f t="shared" si="1046"/>
        <v>21840000</v>
      </c>
      <c r="AU850" s="18">
        <f t="shared" si="1047"/>
        <v>100000</v>
      </c>
      <c r="AV850" s="133">
        <f t="shared" si="1048"/>
        <v>0</v>
      </c>
      <c r="AW850" s="18">
        <f t="shared" si="1049"/>
        <v>29560000</v>
      </c>
      <c r="AX850" s="123">
        <f t="shared" si="1050"/>
        <v>0.99805825242718449</v>
      </c>
    </row>
    <row r="851" spans="1:50" ht="25.5" x14ac:dyDescent="0.2">
      <c r="A851" s="4" t="s">
        <v>55</v>
      </c>
      <c r="B851" s="4" t="s">
        <v>56</v>
      </c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1" t="s">
        <v>688</v>
      </c>
      <c r="AB851" s="42" t="s">
        <v>689</v>
      </c>
      <c r="AC851" s="43" t="s">
        <v>368</v>
      </c>
      <c r="AD851" s="43">
        <v>6785951</v>
      </c>
      <c r="AE851" s="44">
        <v>0</v>
      </c>
      <c r="AF851" s="44">
        <v>0</v>
      </c>
      <c r="AG851" s="44">
        <v>0</v>
      </c>
      <c r="AH851" s="44">
        <v>0</v>
      </c>
      <c r="AI851" s="44">
        <v>0</v>
      </c>
      <c r="AJ851" s="43">
        <v>6785951</v>
      </c>
      <c r="AK851" s="44">
        <v>0</v>
      </c>
      <c r="AL851" s="44">
        <v>0</v>
      </c>
      <c r="AM851" s="44">
        <v>0</v>
      </c>
      <c r="AN851" s="44">
        <v>0</v>
      </c>
      <c r="AO851" s="44">
        <v>0</v>
      </c>
      <c r="AP851" s="44">
        <v>0</v>
      </c>
      <c r="AQ851" s="18">
        <v>0</v>
      </c>
      <c r="AR851" s="34">
        <v>0</v>
      </c>
      <c r="AS851" s="34">
        <v>0</v>
      </c>
      <c r="AT851" s="40">
        <f t="shared" si="1046"/>
        <v>0</v>
      </c>
      <c r="AU851" s="18">
        <f t="shared" si="1047"/>
        <v>6785951</v>
      </c>
      <c r="AV851" s="133">
        <f t="shared" si="1048"/>
        <v>0</v>
      </c>
      <c r="AW851" s="34">
        <f t="shared" si="1049"/>
        <v>0</v>
      </c>
      <c r="AX851" s="123">
        <f t="shared" si="1050"/>
        <v>0</v>
      </c>
    </row>
    <row r="852" spans="1:50" ht="25.5" x14ac:dyDescent="0.2">
      <c r="AA852" s="28" t="s">
        <v>288</v>
      </c>
      <c r="AB852" s="29" t="s">
        <v>690</v>
      </c>
      <c r="AC852" s="17"/>
      <c r="AD852" s="18"/>
      <c r="AE852" s="34"/>
      <c r="AF852" s="34"/>
      <c r="AG852" s="34"/>
      <c r="AH852" s="34"/>
      <c r="AI852" s="34"/>
      <c r="AJ852" s="18"/>
      <c r="AK852" s="34"/>
      <c r="AL852" s="34"/>
      <c r="AM852" s="34"/>
      <c r="AN852" s="34"/>
      <c r="AO852" s="34"/>
      <c r="AP852" s="34"/>
      <c r="AQ852" s="18"/>
      <c r="AR852" s="34"/>
      <c r="AS852" s="34"/>
      <c r="AT852" s="40"/>
      <c r="AU852" s="18"/>
      <c r="AV852" s="34"/>
      <c r="AW852" s="18"/>
      <c r="AX852" s="18"/>
    </row>
    <row r="853" spans="1:50" x14ac:dyDescent="0.2">
      <c r="A853" s="4" t="s">
        <v>55</v>
      </c>
      <c r="B853" s="4" t="s">
        <v>56</v>
      </c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1" t="s">
        <v>691</v>
      </c>
      <c r="AB853" s="42" t="s">
        <v>233</v>
      </c>
      <c r="AC853" s="43" t="s">
        <v>58</v>
      </c>
      <c r="AD853" s="43">
        <v>368900000</v>
      </c>
      <c r="AE853" s="44">
        <v>0</v>
      </c>
      <c r="AF853" s="44">
        <v>0</v>
      </c>
      <c r="AG853" s="44">
        <v>0</v>
      </c>
      <c r="AH853" s="44">
        <v>0</v>
      </c>
      <c r="AI853" s="44">
        <v>0</v>
      </c>
      <c r="AJ853" s="43">
        <v>368900000</v>
      </c>
      <c r="AK853" s="44">
        <v>0</v>
      </c>
      <c r="AL853" s="114">
        <v>9000000</v>
      </c>
      <c r="AM853" s="114">
        <v>256800000</v>
      </c>
      <c r="AN853" s="115">
        <v>0</v>
      </c>
      <c r="AO853" s="114">
        <v>9000000</v>
      </c>
      <c r="AP853" s="114">
        <v>256800000</v>
      </c>
      <c r="AQ853" s="18">
        <v>36133333</v>
      </c>
      <c r="AR853" s="18">
        <v>29400000</v>
      </c>
      <c r="AS853" s="18">
        <v>36300000</v>
      </c>
      <c r="AT853" s="39">
        <f t="shared" si="1006"/>
        <v>72433333</v>
      </c>
      <c r="AU853" s="18">
        <f t="shared" ref="AU853" si="1051">AJ853-AM853</f>
        <v>112100000</v>
      </c>
      <c r="AV853" s="133">
        <f t="shared" ref="AV853" si="1052">AM853-AP853</f>
        <v>0</v>
      </c>
      <c r="AW853" s="18">
        <f t="shared" ref="AW853" si="1053">AP853-AT853</f>
        <v>184366667</v>
      </c>
      <c r="AX853" s="123">
        <f t="shared" ref="AX853" si="1054">AP853/AJ853</f>
        <v>0.69612361073461648</v>
      </c>
    </row>
    <row r="854" spans="1:50" x14ac:dyDescent="0.2">
      <c r="AA854" s="16"/>
      <c r="AB854" s="17"/>
      <c r="AC854" s="17"/>
      <c r="AD854" s="18"/>
      <c r="AE854" s="34"/>
      <c r="AF854" s="34"/>
      <c r="AG854" s="34"/>
      <c r="AH854" s="34"/>
      <c r="AI854" s="34"/>
      <c r="AJ854" s="18"/>
      <c r="AK854" s="18"/>
      <c r="AL854" s="18"/>
      <c r="AM854" s="18"/>
      <c r="AN854" s="34"/>
      <c r="AO854" s="18"/>
      <c r="AP854" s="18"/>
      <c r="AQ854" s="18"/>
      <c r="AR854" s="34"/>
      <c r="AS854" s="34"/>
      <c r="AT854" s="40"/>
      <c r="AU854" s="18"/>
      <c r="AV854" s="18"/>
      <c r="AW854" s="18"/>
      <c r="AX854" s="18"/>
    </row>
    <row r="855" spans="1:50" ht="18.75" customHeight="1" x14ac:dyDescent="0.2">
      <c r="AA855" s="46"/>
      <c r="AB855" s="47" t="s">
        <v>692</v>
      </c>
      <c r="AC855" s="47"/>
      <c r="AD855" s="48">
        <f>SUM(AD824:AD854)</f>
        <v>12346184481</v>
      </c>
      <c r="AE855" s="49">
        <f t="shared" ref="AE855:AW855" si="1055">SUM(AE824:AE854)</f>
        <v>0</v>
      </c>
      <c r="AF855" s="49">
        <f t="shared" si="1055"/>
        <v>0</v>
      </c>
      <c r="AG855" s="48">
        <f t="shared" si="1055"/>
        <v>8840000000</v>
      </c>
      <c r="AH855" s="49">
        <f t="shared" si="1055"/>
        <v>4040000000</v>
      </c>
      <c r="AI855" s="48">
        <f t="shared" si="1055"/>
        <v>4800000000</v>
      </c>
      <c r="AJ855" s="48">
        <f t="shared" si="1055"/>
        <v>17146184481</v>
      </c>
      <c r="AK855" s="49">
        <f t="shared" si="1055"/>
        <v>0</v>
      </c>
      <c r="AL855" s="48">
        <f t="shared" si="1055"/>
        <v>136960000</v>
      </c>
      <c r="AM855" s="48">
        <f t="shared" si="1055"/>
        <v>4733933215</v>
      </c>
      <c r="AN855" s="49">
        <f t="shared" si="1055"/>
        <v>0</v>
      </c>
      <c r="AO855" s="48">
        <f t="shared" si="1055"/>
        <v>108960000</v>
      </c>
      <c r="AP855" s="48">
        <f t="shared" si="1055"/>
        <v>4354310000</v>
      </c>
      <c r="AQ855" s="48">
        <f t="shared" si="1055"/>
        <v>336633333</v>
      </c>
      <c r="AR855" s="121">
        <f t="shared" si="1055"/>
        <v>2105100000</v>
      </c>
      <c r="AS855" s="121">
        <f t="shared" si="1055"/>
        <v>2343786666</v>
      </c>
      <c r="AT855" s="108">
        <f>AQ855+AS855</f>
        <v>2680419999</v>
      </c>
      <c r="AU855" s="48">
        <f t="shared" si="1055"/>
        <v>12412251266</v>
      </c>
      <c r="AV855" s="48">
        <f t="shared" si="1055"/>
        <v>379623215</v>
      </c>
      <c r="AW855" s="48">
        <f t="shared" si="1055"/>
        <v>1673890001</v>
      </c>
      <c r="AX855" s="24">
        <f t="shared" ref="AX855" si="1056">AP855/AJ855</f>
        <v>0.2539521258986272</v>
      </c>
    </row>
    <row r="856" spans="1:50" ht="18.75" customHeight="1" x14ac:dyDescent="0.2">
      <c r="AA856" s="16"/>
      <c r="AB856" s="17"/>
      <c r="AC856" s="17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</row>
    <row r="857" spans="1:50" s="25" customFormat="1" ht="18.75" customHeight="1" x14ac:dyDescent="0.2"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66"/>
      <c r="AB857" s="21" t="s">
        <v>693</v>
      </c>
      <c r="AC857" s="67"/>
      <c r="AD857" s="63"/>
      <c r="AE857" s="63"/>
      <c r="AF857" s="63"/>
      <c r="AG857" s="63"/>
      <c r="AH857" s="63"/>
      <c r="AI857" s="63"/>
      <c r="AJ857" s="63"/>
      <c r="AK857" s="63"/>
      <c r="AL857" s="63"/>
      <c r="AM857" s="63"/>
      <c r="AN857" s="63"/>
      <c r="AO857" s="63"/>
      <c r="AP857" s="63"/>
      <c r="AQ857" s="63"/>
      <c r="AR857" s="63"/>
      <c r="AS857" s="63"/>
      <c r="AT857" s="63"/>
      <c r="AU857" s="63"/>
      <c r="AV857" s="63"/>
      <c r="AW857" s="63"/>
      <c r="AX857" s="63"/>
    </row>
    <row r="858" spans="1:50" ht="18.75" customHeight="1" x14ac:dyDescent="0.2">
      <c r="AA858" s="16"/>
      <c r="AB858" s="29" t="s">
        <v>285</v>
      </c>
      <c r="AC858" s="17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</row>
    <row r="859" spans="1:50" ht="18.75" customHeight="1" x14ac:dyDescent="0.2">
      <c r="AA859" s="16"/>
      <c r="AB859" s="29" t="s">
        <v>286</v>
      </c>
      <c r="AC859" s="17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</row>
    <row r="860" spans="1:50" ht="18.75" customHeight="1" x14ac:dyDescent="0.2">
      <c r="AA860" s="16"/>
      <c r="AB860" s="29" t="s">
        <v>179</v>
      </c>
      <c r="AC860" s="17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</row>
    <row r="861" spans="1:50" x14ac:dyDescent="0.2">
      <c r="AA861" s="16"/>
      <c r="AB861" s="29" t="s">
        <v>189</v>
      </c>
      <c r="AC861" s="17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</row>
    <row r="862" spans="1:50" ht="38.25" x14ac:dyDescent="0.2">
      <c r="AA862" s="16"/>
      <c r="AB862" s="29" t="s">
        <v>193</v>
      </c>
      <c r="AC862" s="17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30"/>
      <c r="AU862" s="18"/>
      <c r="AV862" s="18"/>
      <c r="AW862" s="18"/>
      <c r="AX862" s="18"/>
    </row>
    <row r="863" spans="1:50" ht="25.5" x14ac:dyDescent="0.2">
      <c r="AA863" s="28" t="s">
        <v>288</v>
      </c>
      <c r="AB863" s="29" t="s">
        <v>694</v>
      </c>
      <c r="AC863" s="17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30"/>
      <c r="AU863" s="18"/>
      <c r="AV863" s="18"/>
      <c r="AW863" s="18"/>
      <c r="AX863" s="18"/>
    </row>
    <row r="864" spans="1:50" x14ac:dyDescent="0.2">
      <c r="A864" s="4" t="s">
        <v>55</v>
      </c>
      <c r="B864" s="4" t="s">
        <v>56</v>
      </c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1" t="s">
        <v>695</v>
      </c>
      <c r="AB864" s="42" t="s">
        <v>233</v>
      </c>
      <c r="AC864" s="43" t="s">
        <v>58</v>
      </c>
      <c r="AD864" s="43">
        <v>20000000000</v>
      </c>
      <c r="AE864" s="44">
        <v>0</v>
      </c>
      <c r="AF864" s="44">
        <v>0</v>
      </c>
      <c r="AG864" s="44">
        <v>0</v>
      </c>
      <c r="AH864" s="43">
        <f>10000000000+500000000+431000000</f>
        <v>10931000000</v>
      </c>
      <c r="AI864" s="43">
        <f>AE864-AF864+AG864-AH864</f>
        <v>-10931000000</v>
      </c>
      <c r="AJ864" s="43">
        <f>AD864+AI864</f>
        <v>9069000000</v>
      </c>
      <c r="AK864" s="115">
        <v>0</v>
      </c>
      <c r="AL864" s="114">
        <v>0</v>
      </c>
      <c r="AM864" s="114">
        <v>8927500500</v>
      </c>
      <c r="AN864" s="115">
        <v>0</v>
      </c>
      <c r="AO864" s="115">
        <v>0</v>
      </c>
      <c r="AP864" s="114">
        <v>8927500500</v>
      </c>
      <c r="AQ864" s="115">
        <v>0</v>
      </c>
      <c r="AR864" s="114">
        <v>2112396052</v>
      </c>
      <c r="AS864" s="114">
        <v>8000000000</v>
      </c>
      <c r="AT864" s="111">
        <f t="shared" ref="AT864:AT876" si="1057">AQ864+AS864</f>
        <v>8000000000</v>
      </c>
      <c r="AU864" s="18">
        <f t="shared" ref="AU864" si="1058">AJ864-AM864</f>
        <v>141499500</v>
      </c>
      <c r="AV864" s="133">
        <f t="shared" ref="AV864" si="1059">AM864-AP864</f>
        <v>0</v>
      </c>
      <c r="AW864" s="18">
        <f t="shared" ref="AW864" si="1060">AP864-AT864</f>
        <v>927500500</v>
      </c>
      <c r="AX864" s="123">
        <f t="shared" ref="AX864" si="1061">AP864/AJ864</f>
        <v>0.98439745286139602</v>
      </c>
    </row>
    <row r="865" spans="1:50" x14ac:dyDescent="0.2">
      <c r="AA865" s="16"/>
      <c r="AB865" s="17"/>
      <c r="AC865" s="17"/>
      <c r="AD865" s="18"/>
      <c r="AE865" s="34"/>
      <c r="AF865" s="34"/>
      <c r="AG865" s="34"/>
      <c r="AH865" s="34"/>
      <c r="AI865" s="34"/>
      <c r="AJ865" s="18"/>
      <c r="AK865" s="18"/>
      <c r="AL865" s="18"/>
      <c r="AM865" s="18"/>
      <c r="AN865" s="18"/>
      <c r="AO865" s="18"/>
      <c r="AP865" s="34"/>
      <c r="AQ865" s="34"/>
      <c r="AR865" s="34"/>
      <c r="AS865" s="34"/>
      <c r="AT865" s="40">
        <f t="shared" si="1057"/>
        <v>0</v>
      </c>
      <c r="AU865" s="18"/>
      <c r="AV865" s="18"/>
      <c r="AW865" s="18"/>
      <c r="AX865" s="18"/>
    </row>
    <row r="866" spans="1:50" ht="25.5" x14ac:dyDescent="0.2">
      <c r="AA866" s="16"/>
      <c r="AB866" s="29" t="s">
        <v>195</v>
      </c>
      <c r="AC866" s="17"/>
      <c r="AD866" s="18"/>
      <c r="AE866" s="34"/>
      <c r="AF866" s="34"/>
      <c r="AG866" s="34"/>
      <c r="AH866" s="34"/>
      <c r="AI866" s="34"/>
      <c r="AJ866" s="18"/>
      <c r="AK866" s="18"/>
      <c r="AL866" s="18"/>
      <c r="AM866" s="18"/>
      <c r="AN866" s="18"/>
      <c r="AO866" s="18"/>
      <c r="AP866" s="34"/>
      <c r="AQ866" s="34"/>
      <c r="AR866" s="34"/>
      <c r="AS866" s="34"/>
      <c r="AT866" s="40"/>
      <c r="AU866" s="18"/>
      <c r="AV866" s="18"/>
      <c r="AW866" s="18"/>
      <c r="AX866" s="18"/>
    </row>
    <row r="867" spans="1:50" ht="25.5" x14ac:dyDescent="0.2">
      <c r="AA867" s="28" t="s">
        <v>288</v>
      </c>
      <c r="AB867" s="29" t="s">
        <v>696</v>
      </c>
      <c r="AC867" s="17"/>
      <c r="AD867" s="18"/>
      <c r="AE867" s="34"/>
      <c r="AF867" s="34"/>
      <c r="AG867" s="34"/>
      <c r="AH867" s="34"/>
      <c r="AI867" s="34"/>
      <c r="AJ867" s="18"/>
      <c r="AK867" s="18"/>
      <c r="AL867" s="18"/>
      <c r="AM867" s="18"/>
      <c r="AN867" s="18"/>
      <c r="AO867" s="18"/>
      <c r="AP867" s="34"/>
      <c r="AQ867" s="34"/>
      <c r="AR867" s="34"/>
      <c r="AS867" s="34"/>
      <c r="AT867" s="40"/>
      <c r="AU867" s="18"/>
      <c r="AV867" s="18"/>
      <c r="AW867" s="18"/>
      <c r="AX867" s="18"/>
    </row>
    <row r="868" spans="1:50" x14ac:dyDescent="0.2">
      <c r="A868" s="4" t="s">
        <v>55</v>
      </c>
      <c r="B868" s="4" t="s">
        <v>56</v>
      </c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1" t="s">
        <v>697</v>
      </c>
      <c r="AB868" s="42" t="s">
        <v>233</v>
      </c>
      <c r="AC868" s="43" t="s">
        <v>58</v>
      </c>
      <c r="AD868" s="43">
        <v>5000000000</v>
      </c>
      <c r="AE868" s="44">
        <v>0</v>
      </c>
      <c r="AF868" s="44">
        <v>0</v>
      </c>
      <c r="AG868" s="44">
        <v>0</v>
      </c>
      <c r="AH868" s="44">
        <v>0</v>
      </c>
      <c r="AI868" s="44">
        <v>0</v>
      </c>
      <c r="AJ868" s="43">
        <v>5000000000</v>
      </c>
      <c r="AK868" s="44">
        <v>0</v>
      </c>
      <c r="AL868" s="44">
        <v>0</v>
      </c>
      <c r="AM868" s="44">
        <v>0</v>
      </c>
      <c r="AN868" s="44">
        <v>0</v>
      </c>
      <c r="AO868" s="44">
        <v>0</v>
      </c>
      <c r="AP868" s="44">
        <v>0</v>
      </c>
      <c r="AQ868" s="44">
        <v>0</v>
      </c>
      <c r="AR868" s="44">
        <v>0</v>
      </c>
      <c r="AS868" s="44">
        <v>0</v>
      </c>
      <c r="AT868" s="40">
        <f t="shared" ref="AT868" si="1062">AQ868+AS868</f>
        <v>0</v>
      </c>
      <c r="AU868" s="18">
        <f t="shared" ref="AU868" si="1063">AJ868-AM868</f>
        <v>5000000000</v>
      </c>
      <c r="AV868" s="133">
        <f t="shared" ref="AV868" si="1064">AM868-AP868</f>
        <v>0</v>
      </c>
      <c r="AW868" s="34">
        <f t="shared" ref="AW868" si="1065">AP868-AT868</f>
        <v>0</v>
      </c>
      <c r="AX868" s="123">
        <f t="shared" ref="AX868" si="1066">AP868/AJ868</f>
        <v>0</v>
      </c>
    </row>
    <row r="869" spans="1:50" ht="25.5" x14ac:dyDescent="0.2">
      <c r="AA869" s="28" t="s">
        <v>288</v>
      </c>
      <c r="AB869" s="29" t="s">
        <v>698</v>
      </c>
      <c r="AC869" s="17"/>
      <c r="AD869" s="18"/>
      <c r="AE869" s="18"/>
      <c r="AF869" s="18"/>
      <c r="AG869" s="18"/>
      <c r="AH869" s="18"/>
      <c r="AI869" s="18"/>
      <c r="AJ869" s="18"/>
      <c r="AK869" s="34"/>
      <c r="AL869" s="34"/>
      <c r="AM869" s="34"/>
      <c r="AN869" s="34"/>
      <c r="AO869" s="34"/>
      <c r="AP869" s="34"/>
      <c r="AQ869" s="18"/>
      <c r="AR869" s="18"/>
      <c r="AS869" s="18"/>
      <c r="AT869" s="39"/>
      <c r="AU869" s="18"/>
      <c r="AV869" s="34"/>
      <c r="AW869" s="34"/>
      <c r="AX869" s="18"/>
    </row>
    <row r="870" spans="1:50" x14ac:dyDescent="0.2">
      <c r="A870" s="4" t="s">
        <v>55</v>
      </c>
      <c r="B870" s="4" t="s">
        <v>56</v>
      </c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1" t="s">
        <v>699</v>
      </c>
      <c r="AB870" s="42" t="s">
        <v>233</v>
      </c>
      <c r="AC870" s="43" t="s">
        <v>58</v>
      </c>
      <c r="AD870" s="43">
        <v>4500000000</v>
      </c>
      <c r="AE870" s="44">
        <v>0</v>
      </c>
      <c r="AF870" s="44">
        <v>0</v>
      </c>
      <c r="AG870" s="44">
        <v>0</v>
      </c>
      <c r="AH870" s="44">
        <v>0</v>
      </c>
      <c r="AI870" s="44">
        <v>0</v>
      </c>
      <c r="AJ870" s="43">
        <v>4500000000</v>
      </c>
      <c r="AK870" s="44">
        <v>0</v>
      </c>
      <c r="AL870" s="44">
        <v>0</v>
      </c>
      <c r="AM870" s="44">
        <v>0</v>
      </c>
      <c r="AN870" s="44">
        <v>0</v>
      </c>
      <c r="AO870" s="44">
        <v>0</v>
      </c>
      <c r="AP870" s="44">
        <v>0</v>
      </c>
      <c r="AQ870" s="44">
        <v>0</v>
      </c>
      <c r="AR870" s="44">
        <v>0</v>
      </c>
      <c r="AS870" s="44">
        <v>0</v>
      </c>
      <c r="AT870" s="40">
        <f t="shared" si="1057"/>
        <v>0</v>
      </c>
      <c r="AU870" s="18">
        <f t="shared" ref="AU870" si="1067">AJ870-AM870</f>
        <v>4500000000</v>
      </c>
      <c r="AV870" s="133">
        <f t="shared" ref="AV870" si="1068">AM870-AP870</f>
        <v>0</v>
      </c>
      <c r="AW870" s="34">
        <f t="shared" ref="AW870" si="1069">AP870-AT870</f>
        <v>0</v>
      </c>
      <c r="AX870" s="123">
        <f t="shared" ref="AX870" si="1070">AP870/AJ870</f>
        <v>0</v>
      </c>
    </row>
    <row r="871" spans="1:50" x14ac:dyDescent="0.2">
      <c r="AA871" s="16"/>
      <c r="AB871" s="17"/>
      <c r="AC871" s="17"/>
      <c r="AD871" s="18"/>
      <c r="AE871" s="34"/>
      <c r="AF871" s="34"/>
      <c r="AG871" s="34"/>
      <c r="AH871" s="34"/>
      <c r="AI871" s="34"/>
      <c r="AJ871" s="18"/>
      <c r="AK871" s="34"/>
      <c r="AL871" s="34"/>
      <c r="AM871" s="34"/>
      <c r="AN871" s="34"/>
      <c r="AO871" s="34"/>
      <c r="AP871" s="34"/>
      <c r="AQ871" s="34"/>
      <c r="AR871" s="34"/>
      <c r="AS871" s="34"/>
      <c r="AT871" s="31"/>
      <c r="AU871" s="18"/>
      <c r="AV871" s="34"/>
      <c r="AW871" s="34"/>
      <c r="AX871" s="18"/>
    </row>
    <row r="872" spans="1:50" ht="25.5" x14ac:dyDescent="0.2">
      <c r="AA872" s="16"/>
      <c r="AB872" s="29" t="s">
        <v>197</v>
      </c>
      <c r="AC872" s="17"/>
      <c r="AD872" s="18"/>
      <c r="AE872" s="34"/>
      <c r="AF872" s="34"/>
      <c r="AG872" s="34"/>
      <c r="AH872" s="34"/>
      <c r="AI872" s="34"/>
      <c r="AJ872" s="18"/>
      <c r="AK872" s="34"/>
      <c r="AL872" s="34"/>
      <c r="AM872" s="34"/>
      <c r="AN872" s="34"/>
      <c r="AO872" s="34"/>
      <c r="AP872" s="34"/>
      <c r="AQ872" s="34"/>
      <c r="AR872" s="34"/>
      <c r="AS872" s="34"/>
      <c r="AT872" s="31"/>
      <c r="AU872" s="18"/>
      <c r="AV872" s="34"/>
      <c r="AW872" s="34"/>
      <c r="AX872" s="18"/>
    </row>
    <row r="873" spans="1:50" ht="25.5" x14ac:dyDescent="0.2">
      <c r="AA873" s="28" t="s">
        <v>288</v>
      </c>
      <c r="AB873" s="29" t="s">
        <v>700</v>
      </c>
      <c r="AC873" s="17"/>
      <c r="AD873" s="18"/>
      <c r="AE873" s="34"/>
      <c r="AF873" s="34"/>
      <c r="AG873" s="34"/>
      <c r="AH873" s="34"/>
      <c r="AI873" s="34"/>
      <c r="AJ873" s="18"/>
      <c r="AK873" s="34"/>
      <c r="AL873" s="34"/>
      <c r="AM873" s="34"/>
      <c r="AN873" s="34"/>
      <c r="AO873" s="34"/>
      <c r="AP873" s="34"/>
      <c r="AQ873" s="34"/>
      <c r="AR873" s="34"/>
      <c r="AS873" s="34"/>
      <c r="AT873" s="31"/>
      <c r="AU873" s="18"/>
      <c r="AV873" s="34"/>
      <c r="AW873" s="34"/>
      <c r="AX873" s="18"/>
    </row>
    <row r="874" spans="1:50" x14ac:dyDescent="0.2">
      <c r="A874" s="4" t="s">
        <v>55</v>
      </c>
      <c r="B874" s="4" t="s">
        <v>56</v>
      </c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1" t="s">
        <v>701</v>
      </c>
      <c r="AB874" s="42" t="s">
        <v>233</v>
      </c>
      <c r="AC874" s="43" t="s">
        <v>58</v>
      </c>
      <c r="AD874" s="43">
        <v>4500000000</v>
      </c>
      <c r="AE874" s="44">
        <v>0</v>
      </c>
      <c r="AF874" s="44">
        <v>0</v>
      </c>
      <c r="AG874" s="44">
        <v>0</v>
      </c>
      <c r="AH874" s="44">
        <v>0</v>
      </c>
      <c r="AI874" s="44">
        <v>0</v>
      </c>
      <c r="AJ874" s="43">
        <v>4500000000</v>
      </c>
      <c r="AK874" s="44">
        <v>0</v>
      </c>
      <c r="AL874" s="44">
        <v>0</v>
      </c>
      <c r="AM874" s="43">
        <v>1755606000</v>
      </c>
      <c r="AN874" s="44">
        <v>0</v>
      </c>
      <c r="AO874" s="44">
        <v>0</v>
      </c>
      <c r="AP874" s="44">
        <v>0</v>
      </c>
      <c r="AQ874" s="44">
        <v>0</v>
      </c>
      <c r="AR874" s="44">
        <v>0</v>
      </c>
      <c r="AS874" s="44">
        <v>0</v>
      </c>
      <c r="AT874" s="40">
        <f t="shared" si="1057"/>
        <v>0</v>
      </c>
      <c r="AU874" s="18">
        <f t="shared" ref="AU874" si="1071">AJ874-AM874</f>
        <v>2744394000</v>
      </c>
      <c r="AV874" s="18">
        <f t="shared" ref="AV874" si="1072">AM874-AP874</f>
        <v>1755606000</v>
      </c>
      <c r="AW874" s="34">
        <f t="shared" ref="AW874" si="1073">AP874-AT874</f>
        <v>0</v>
      </c>
      <c r="AX874" s="123">
        <f t="shared" ref="AX874" si="1074">AP874/AJ874</f>
        <v>0</v>
      </c>
    </row>
    <row r="875" spans="1:50" x14ac:dyDescent="0.2">
      <c r="AA875" s="28" t="s">
        <v>288</v>
      </c>
      <c r="AB875" s="29" t="s">
        <v>400</v>
      </c>
      <c r="AC875" s="17"/>
      <c r="AD875" s="18"/>
      <c r="AE875" s="34"/>
      <c r="AF875" s="34"/>
      <c r="AG875" s="34"/>
      <c r="AH875" s="34"/>
      <c r="AI875" s="34"/>
      <c r="AJ875" s="18"/>
      <c r="AK875" s="34"/>
      <c r="AL875" s="34"/>
      <c r="AM875" s="18"/>
      <c r="AN875" s="34"/>
      <c r="AO875" s="34"/>
      <c r="AP875" s="18"/>
      <c r="AQ875" s="18"/>
      <c r="AR875" s="18"/>
      <c r="AS875" s="18"/>
      <c r="AT875" s="31"/>
      <c r="AU875" s="18"/>
      <c r="AV875" s="18"/>
      <c r="AW875" s="18"/>
      <c r="AX875" s="18"/>
    </row>
    <row r="876" spans="1:50" x14ac:dyDescent="0.2">
      <c r="A876" s="4" t="s">
        <v>55</v>
      </c>
      <c r="B876" s="4" t="s">
        <v>56</v>
      </c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1" t="s">
        <v>401</v>
      </c>
      <c r="AB876" s="42" t="s">
        <v>233</v>
      </c>
      <c r="AC876" s="43" t="s">
        <v>58</v>
      </c>
      <c r="AD876" s="43">
        <v>4899360013</v>
      </c>
      <c r="AE876" s="44">
        <v>0</v>
      </c>
      <c r="AF876" s="44">
        <v>0</v>
      </c>
      <c r="AG876" s="44">
        <v>0</v>
      </c>
      <c r="AH876" s="44">
        <v>0</v>
      </c>
      <c r="AI876" s="44">
        <v>0</v>
      </c>
      <c r="AJ876" s="43">
        <v>4899360013</v>
      </c>
      <c r="AK876" s="44">
        <v>0</v>
      </c>
      <c r="AL876" s="44">
        <v>0</v>
      </c>
      <c r="AM876" s="43">
        <v>1752452618</v>
      </c>
      <c r="AN876" s="44">
        <v>0</v>
      </c>
      <c r="AO876" s="44">
        <v>0</v>
      </c>
      <c r="AP876" s="43">
        <v>1737152618</v>
      </c>
      <c r="AQ876" s="43">
        <v>136966667</v>
      </c>
      <c r="AR876" s="43">
        <v>153966906</v>
      </c>
      <c r="AS876" s="43">
        <v>315340477</v>
      </c>
      <c r="AT876" s="111">
        <f t="shared" si="1057"/>
        <v>452307144</v>
      </c>
      <c r="AU876" s="18">
        <f t="shared" ref="AU876" si="1075">AJ876-AM876</f>
        <v>3146907395</v>
      </c>
      <c r="AV876" s="18">
        <f t="shared" ref="AV876" si="1076">AM876-AP876</f>
        <v>15300000</v>
      </c>
      <c r="AW876" s="18">
        <f t="shared" ref="AW876" si="1077">AP876-AT876</f>
        <v>1284845474</v>
      </c>
      <c r="AX876" s="123">
        <f t="shared" ref="AX876" si="1078">AP876/AJ876</f>
        <v>0.3545672523330855</v>
      </c>
    </row>
    <row r="877" spans="1:50" x14ac:dyDescent="0.2">
      <c r="AA877" s="16"/>
      <c r="AB877" s="17"/>
      <c r="AC877" s="17"/>
      <c r="AD877" s="18"/>
      <c r="AE877" s="34"/>
      <c r="AF877" s="34"/>
      <c r="AG877" s="34"/>
      <c r="AH877" s="34"/>
      <c r="AI877" s="34"/>
      <c r="AJ877" s="18"/>
      <c r="AK877" s="34"/>
      <c r="AL877" s="34"/>
      <c r="AM877" s="18"/>
      <c r="AN877" s="34"/>
      <c r="AO877" s="34"/>
      <c r="AP877" s="18"/>
      <c r="AQ877" s="34"/>
      <c r="AR877" s="34"/>
      <c r="AS877" s="34"/>
      <c r="AT877" s="31"/>
      <c r="AU877" s="18"/>
      <c r="AV877" s="18"/>
      <c r="AW877" s="18"/>
      <c r="AX877" s="18"/>
    </row>
    <row r="878" spans="1:50" s="50" customFormat="1" x14ac:dyDescent="0.2"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46"/>
      <c r="AB878" s="47" t="s">
        <v>702</v>
      </c>
      <c r="AC878" s="47"/>
      <c r="AD878" s="48">
        <f>SUM(AD861:AD876)</f>
        <v>38899360013</v>
      </c>
      <c r="AE878" s="49">
        <f t="shared" ref="AE878:AW878" si="1079">SUM(AE861:AE876)</f>
        <v>0</v>
      </c>
      <c r="AF878" s="49">
        <f t="shared" si="1079"/>
        <v>0</v>
      </c>
      <c r="AG878" s="49">
        <f t="shared" si="1079"/>
        <v>0</v>
      </c>
      <c r="AH878" s="48">
        <f t="shared" si="1079"/>
        <v>10931000000</v>
      </c>
      <c r="AI878" s="48">
        <f t="shared" si="1079"/>
        <v>-10931000000</v>
      </c>
      <c r="AJ878" s="48">
        <f t="shared" si="1079"/>
        <v>27968360013</v>
      </c>
      <c r="AK878" s="49">
        <f t="shared" si="1079"/>
        <v>0</v>
      </c>
      <c r="AL878" s="49">
        <f t="shared" si="1079"/>
        <v>0</v>
      </c>
      <c r="AM878" s="48">
        <f t="shared" si="1079"/>
        <v>12435559118</v>
      </c>
      <c r="AN878" s="49">
        <f t="shared" si="1079"/>
        <v>0</v>
      </c>
      <c r="AO878" s="49">
        <f t="shared" si="1079"/>
        <v>0</v>
      </c>
      <c r="AP878" s="48">
        <f t="shared" si="1079"/>
        <v>10664653118</v>
      </c>
      <c r="AQ878" s="121">
        <f t="shared" si="1079"/>
        <v>136966667</v>
      </c>
      <c r="AR878" s="121">
        <f t="shared" si="1079"/>
        <v>2266362958</v>
      </c>
      <c r="AS878" s="121">
        <f t="shared" si="1079"/>
        <v>8315340477</v>
      </c>
      <c r="AT878" s="108">
        <f>AQ878+AS878</f>
        <v>8452307144</v>
      </c>
      <c r="AU878" s="48">
        <f t="shared" si="1079"/>
        <v>15532800895</v>
      </c>
      <c r="AV878" s="48">
        <f t="shared" si="1079"/>
        <v>1770906000</v>
      </c>
      <c r="AW878" s="48">
        <f t="shared" si="1079"/>
        <v>2212345974</v>
      </c>
      <c r="AX878" s="24">
        <f t="shared" ref="AX878" si="1080">AP878/AJ878</f>
        <v>0.38131135014863055</v>
      </c>
    </row>
    <row r="879" spans="1:50" x14ac:dyDescent="0.2">
      <c r="AA879" s="16"/>
      <c r="AB879" s="17"/>
      <c r="AC879" s="17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</row>
    <row r="880" spans="1:50" s="25" customFormat="1" x14ac:dyDescent="0.2"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66"/>
      <c r="AB880" s="21" t="s">
        <v>703</v>
      </c>
      <c r="AC880" s="67"/>
      <c r="AD880" s="63"/>
      <c r="AE880" s="63"/>
      <c r="AF880" s="63"/>
      <c r="AG880" s="63"/>
      <c r="AH880" s="63"/>
      <c r="AI880" s="63"/>
      <c r="AJ880" s="63"/>
      <c r="AK880" s="63"/>
      <c r="AL880" s="63"/>
      <c r="AM880" s="63"/>
      <c r="AN880" s="63"/>
      <c r="AO880" s="63"/>
      <c r="AP880" s="63"/>
      <c r="AQ880" s="63"/>
      <c r="AR880" s="63"/>
      <c r="AS880" s="63"/>
      <c r="AT880" s="63"/>
      <c r="AU880" s="63"/>
      <c r="AV880" s="63"/>
      <c r="AW880" s="63"/>
      <c r="AX880" s="63"/>
    </row>
    <row r="881" spans="1:50" x14ac:dyDescent="0.2">
      <c r="AA881" s="16"/>
      <c r="AB881" s="29" t="s">
        <v>676</v>
      </c>
      <c r="AC881" s="17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</row>
    <row r="882" spans="1:50" ht="18.75" customHeight="1" x14ac:dyDescent="0.2">
      <c r="AA882" s="16"/>
      <c r="AB882" s="29" t="s">
        <v>286</v>
      </c>
      <c r="AC882" s="17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</row>
    <row r="883" spans="1:50" ht="18.75" customHeight="1" x14ac:dyDescent="0.2">
      <c r="AA883" s="16"/>
      <c r="AB883" s="29" t="s">
        <v>179</v>
      </c>
      <c r="AC883" s="17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</row>
    <row r="884" spans="1:50" ht="18.75" customHeight="1" x14ac:dyDescent="0.2">
      <c r="AA884" s="16"/>
      <c r="AB884" s="29" t="s">
        <v>189</v>
      </c>
      <c r="AC884" s="17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</row>
    <row r="885" spans="1:50" ht="18.75" customHeight="1" x14ac:dyDescent="0.2">
      <c r="AA885" s="16"/>
      <c r="AB885" s="29" t="s">
        <v>199</v>
      </c>
      <c r="AC885" s="17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30"/>
      <c r="AU885" s="18"/>
      <c r="AV885" s="18"/>
      <c r="AW885" s="18"/>
      <c r="AX885" s="18"/>
    </row>
    <row r="886" spans="1:50" x14ac:dyDescent="0.2">
      <c r="AA886" s="28" t="s">
        <v>288</v>
      </c>
      <c r="AB886" s="29" t="s">
        <v>704</v>
      </c>
      <c r="AC886" s="17"/>
      <c r="AD886" s="18"/>
      <c r="AE886" s="18"/>
      <c r="AF886" s="18"/>
      <c r="AG886" s="18"/>
      <c r="AH886" s="18"/>
      <c r="AI886" s="18"/>
      <c r="AJ886" s="18"/>
      <c r="AK886" s="34"/>
      <c r="AL886" s="34"/>
      <c r="AM886" s="34"/>
      <c r="AN886" s="34"/>
      <c r="AO886" s="34"/>
      <c r="AP886" s="34"/>
      <c r="AQ886" s="34"/>
      <c r="AR886" s="34"/>
      <c r="AS886" s="34"/>
      <c r="AT886" s="31"/>
      <c r="AU886" s="18"/>
      <c r="AV886" s="18"/>
      <c r="AW886" s="18"/>
      <c r="AX886" s="18"/>
    </row>
    <row r="887" spans="1:50" x14ac:dyDescent="0.2">
      <c r="A887" s="4" t="s">
        <v>55</v>
      </c>
      <c r="B887" s="4" t="s">
        <v>56</v>
      </c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1" t="s">
        <v>705</v>
      </c>
      <c r="AB887" s="42" t="s">
        <v>233</v>
      </c>
      <c r="AC887" s="43" t="s">
        <v>58</v>
      </c>
      <c r="AD887" s="43">
        <v>221000000</v>
      </c>
      <c r="AE887" s="44">
        <v>0</v>
      </c>
      <c r="AF887" s="44">
        <v>0</v>
      </c>
      <c r="AG887" s="44">
        <v>0</v>
      </c>
      <c r="AH887" s="43">
        <v>221000000</v>
      </c>
      <c r="AI887" s="136">
        <f>AE887-AF887+AG887-AH887</f>
        <v>-221000000</v>
      </c>
      <c r="AJ887" s="44">
        <f>AD887+AI887</f>
        <v>0</v>
      </c>
      <c r="AK887" s="44">
        <v>0</v>
      </c>
      <c r="AL887" s="44">
        <v>0</v>
      </c>
      <c r="AM887" s="44">
        <v>0</v>
      </c>
      <c r="AN887" s="44">
        <v>0</v>
      </c>
      <c r="AO887" s="44">
        <v>0</v>
      </c>
      <c r="AP887" s="44">
        <v>0</v>
      </c>
      <c r="AQ887" s="44">
        <v>0</v>
      </c>
      <c r="AR887" s="44">
        <v>0</v>
      </c>
      <c r="AS887" s="44">
        <v>0</v>
      </c>
      <c r="AT887" s="40">
        <f t="shared" ref="AT887:AT891" si="1081">AQ887+AS887</f>
        <v>0</v>
      </c>
      <c r="AU887" s="34">
        <f t="shared" ref="AU887" si="1082">AJ887-AM887</f>
        <v>0</v>
      </c>
      <c r="AV887" s="133">
        <f t="shared" ref="AV887" si="1083">AM887-AP887</f>
        <v>0</v>
      </c>
      <c r="AW887" s="34">
        <f t="shared" ref="AW887" si="1084">AP887-AT887</f>
        <v>0</v>
      </c>
      <c r="AX887" s="123">
        <v>0</v>
      </c>
    </row>
    <row r="888" spans="1:50" ht="25.5" x14ac:dyDescent="0.2">
      <c r="AA888" s="28" t="s">
        <v>288</v>
      </c>
      <c r="AB888" s="29" t="s">
        <v>706</v>
      </c>
      <c r="AC888" s="17"/>
      <c r="AD888" s="18"/>
      <c r="AE888" s="34"/>
      <c r="AF888" s="34"/>
      <c r="AG888" s="34"/>
      <c r="AH888" s="18"/>
      <c r="AI888" s="18"/>
      <c r="AJ888" s="18"/>
      <c r="AK888" s="34"/>
      <c r="AL888" s="18"/>
      <c r="AM888" s="18"/>
      <c r="AN888" s="18"/>
      <c r="AO888" s="18"/>
      <c r="AP888" s="18"/>
      <c r="AQ888" s="18"/>
      <c r="AR888" s="18"/>
      <c r="AS888" s="18"/>
      <c r="AT888" s="31"/>
      <c r="AU888" s="18"/>
      <c r="AV888" s="18"/>
      <c r="AW888" s="18"/>
      <c r="AX888" s="18"/>
    </row>
    <row r="889" spans="1:50" x14ac:dyDescent="0.2">
      <c r="A889" s="4" t="s">
        <v>55</v>
      </c>
      <c r="B889" s="4" t="s">
        <v>56</v>
      </c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1" t="s">
        <v>982</v>
      </c>
      <c r="AB889" s="42" t="s">
        <v>233</v>
      </c>
      <c r="AC889" s="43" t="s">
        <v>58</v>
      </c>
      <c r="AD889" s="43">
        <v>2458264706</v>
      </c>
      <c r="AE889" s="44">
        <v>0</v>
      </c>
      <c r="AF889" s="44">
        <v>0</v>
      </c>
      <c r="AG889" s="44">
        <v>0</v>
      </c>
      <c r="AH889" s="44">
        <v>0</v>
      </c>
      <c r="AI889" s="97">
        <f>AE889-AF889+AG889-AH889</f>
        <v>0</v>
      </c>
      <c r="AJ889" s="43">
        <f>AD889+AI889</f>
        <v>2458264706</v>
      </c>
      <c r="AK889" s="44">
        <v>0</v>
      </c>
      <c r="AL889" s="43">
        <v>0</v>
      </c>
      <c r="AM889" s="43">
        <v>2079364706</v>
      </c>
      <c r="AN889" s="44">
        <v>0</v>
      </c>
      <c r="AO889" s="43">
        <v>0</v>
      </c>
      <c r="AP889" s="43">
        <v>2079364706</v>
      </c>
      <c r="AQ889" s="43">
        <v>66920000</v>
      </c>
      <c r="AR889" s="43">
        <v>27320000</v>
      </c>
      <c r="AS889" s="43">
        <v>43658667</v>
      </c>
      <c r="AT889" s="111">
        <f t="shared" si="1081"/>
        <v>110578667</v>
      </c>
      <c r="AU889" s="18">
        <f t="shared" ref="AU889" si="1085">AJ889-AM889</f>
        <v>378900000</v>
      </c>
      <c r="AV889" s="133">
        <f t="shared" ref="AV889" si="1086">AM889-AP889</f>
        <v>0</v>
      </c>
      <c r="AW889" s="18">
        <f t="shared" ref="AW889" si="1087">AP889-AT889</f>
        <v>1968786039</v>
      </c>
      <c r="AX889" s="123">
        <f t="shared" ref="AX889" si="1088">AP889/AJ889</f>
        <v>0.84586688362925222</v>
      </c>
    </row>
    <row r="890" spans="1:50" ht="25.5" x14ac:dyDescent="0.2">
      <c r="AA890" s="28" t="s">
        <v>288</v>
      </c>
      <c r="AB890" s="29" t="s">
        <v>708</v>
      </c>
      <c r="AC890" s="17"/>
      <c r="AD890" s="18"/>
      <c r="AE890" s="34"/>
      <c r="AF890" s="34"/>
      <c r="AG890" s="34"/>
      <c r="AH890" s="18"/>
      <c r="AI890" s="18"/>
      <c r="AJ890" s="18"/>
      <c r="AK890" s="34"/>
      <c r="AL890" s="18"/>
      <c r="AM890" s="18"/>
      <c r="AN890" s="34"/>
      <c r="AO890" s="18"/>
      <c r="AP890" s="18"/>
      <c r="AQ890" s="18"/>
      <c r="AR890" s="18"/>
      <c r="AS890" s="18"/>
      <c r="AT890" s="31"/>
      <c r="AU890" s="18"/>
      <c r="AV890" s="18"/>
      <c r="AW890" s="18"/>
      <c r="AX890" s="18"/>
    </row>
    <row r="891" spans="1:50" x14ac:dyDescent="0.2">
      <c r="A891" s="4" t="s">
        <v>55</v>
      </c>
      <c r="B891" s="4" t="s">
        <v>56</v>
      </c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1" t="s">
        <v>709</v>
      </c>
      <c r="AB891" s="42" t="s">
        <v>233</v>
      </c>
      <c r="AC891" s="43" t="s">
        <v>58</v>
      </c>
      <c r="AD891" s="43">
        <v>501500000</v>
      </c>
      <c r="AE891" s="44">
        <v>0</v>
      </c>
      <c r="AF891" s="44">
        <v>0</v>
      </c>
      <c r="AG891" s="43">
        <v>204500000</v>
      </c>
      <c r="AH891" s="43">
        <v>501500000</v>
      </c>
      <c r="AI891" s="136">
        <f>AE891-AF891+AG891-AH891</f>
        <v>-297000000</v>
      </c>
      <c r="AJ891" s="43">
        <f>AD891+AI891</f>
        <v>204500000</v>
      </c>
      <c r="AK891" s="44">
        <v>0</v>
      </c>
      <c r="AL891" s="43">
        <v>-3966667</v>
      </c>
      <c r="AM891" s="43">
        <v>192393333</v>
      </c>
      <c r="AN891" s="44">
        <v>0</v>
      </c>
      <c r="AO891" s="43">
        <v>72533333</v>
      </c>
      <c r="AP891" s="43">
        <v>192393333</v>
      </c>
      <c r="AQ891" s="43">
        <v>24783334</v>
      </c>
      <c r="AR891" s="43">
        <v>0</v>
      </c>
      <c r="AS891" s="43">
        <v>0</v>
      </c>
      <c r="AT891" s="39">
        <f t="shared" si="1081"/>
        <v>24783334</v>
      </c>
      <c r="AU891" s="18">
        <f t="shared" ref="AU891" si="1089">AJ891-AM891</f>
        <v>12106667</v>
      </c>
      <c r="AV891" s="18">
        <f t="shared" ref="AV891" si="1090">AM891-AP891</f>
        <v>0</v>
      </c>
      <c r="AW891" s="18">
        <f t="shared" ref="AW891" si="1091">AP891-AT891</f>
        <v>167609999</v>
      </c>
      <c r="AX891" s="123">
        <f t="shared" ref="AX891" si="1092">AP891/AJ891</f>
        <v>0.94079869437652808</v>
      </c>
    </row>
    <row r="892" spans="1:50" x14ac:dyDescent="0.2">
      <c r="AA892" s="28" t="s">
        <v>288</v>
      </c>
      <c r="AB892" s="29" t="s">
        <v>710</v>
      </c>
      <c r="AC892" s="17"/>
      <c r="AD892" s="18"/>
      <c r="AE892" s="18"/>
      <c r="AF892" s="18"/>
      <c r="AG892" s="18"/>
      <c r="AH892" s="18"/>
      <c r="AI892" s="18"/>
      <c r="AJ892" s="18"/>
      <c r="AK892" s="34"/>
      <c r="AL892" s="18"/>
      <c r="AM892" s="18"/>
      <c r="AN892" s="34"/>
      <c r="AO892" s="18"/>
      <c r="AP892" s="18"/>
      <c r="AQ892" s="18"/>
      <c r="AR892" s="18"/>
      <c r="AS892" s="18"/>
      <c r="AT892" s="31"/>
      <c r="AU892" s="18"/>
      <c r="AV892" s="34"/>
      <c r="AW892" s="34"/>
      <c r="AX892" s="18"/>
    </row>
    <row r="893" spans="1:50" x14ac:dyDescent="0.2">
      <c r="A893" s="4" t="s">
        <v>55</v>
      </c>
      <c r="B893" s="4" t="s">
        <v>56</v>
      </c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1" t="s">
        <v>711</v>
      </c>
      <c r="AB893" s="17" t="s">
        <v>233</v>
      </c>
      <c r="AC893" s="43" t="s">
        <v>58</v>
      </c>
      <c r="AD893" s="44">
        <v>0</v>
      </c>
      <c r="AE893" s="44">
        <v>0</v>
      </c>
      <c r="AF893" s="44">
        <v>0</v>
      </c>
      <c r="AG893" s="43">
        <v>3086332698</v>
      </c>
      <c r="AH893" s="43">
        <v>0</v>
      </c>
      <c r="AI893" s="136">
        <f>AE893-AF893+AG893-AH893</f>
        <v>3086332698</v>
      </c>
      <c r="AJ893" s="43">
        <f>AD893+AI893</f>
        <v>3086332698</v>
      </c>
      <c r="AK893" s="44">
        <v>0</v>
      </c>
      <c r="AL893" s="43">
        <v>0</v>
      </c>
      <c r="AM893" s="43">
        <v>0</v>
      </c>
      <c r="AN893" s="44">
        <v>0</v>
      </c>
      <c r="AO893" s="44">
        <v>0</v>
      </c>
      <c r="AP893" s="44">
        <v>0</v>
      </c>
      <c r="AQ893" s="44">
        <v>0</v>
      </c>
      <c r="AR893" s="44">
        <v>0</v>
      </c>
      <c r="AS893" s="44">
        <v>0</v>
      </c>
      <c r="AT893" s="40">
        <f t="shared" ref="AT893" si="1093">AQ893+AS893</f>
        <v>0</v>
      </c>
      <c r="AU893" s="18">
        <f t="shared" ref="AU893" si="1094">AJ893-AM893</f>
        <v>3086332698</v>
      </c>
      <c r="AV893" s="133">
        <f t="shared" ref="AV893" si="1095">AM893-AP893</f>
        <v>0</v>
      </c>
      <c r="AW893" s="34">
        <f t="shared" ref="AW893" si="1096">AP893-AT893</f>
        <v>0</v>
      </c>
      <c r="AX893" s="123">
        <f t="shared" ref="AX893" si="1097">AP893/AJ893</f>
        <v>0</v>
      </c>
    </row>
    <row r="894" spans="1:50" x14ac:dyDescent="0.2">
      <c r="AA894" s="28" t="s">
        <v>288</v>
      </c>
      <c r="AB894" s="29" t="s">
        <v>712</v>
      </c>
      <c r="AC894" s="17"/>
      <c r="AD894" s="34"/>
      <c r="AE894" s="34"/>
      <c r="AF894" s="34"/>
      <c r="AG894" s="18"/>
      <c r="AH894" s="18"/>
      <c r="AI894" s="18"/>
      <c r="AJ894" s="18"/>
      <c r="AK894" s="34"/>
      <c r="AL894" s="34"/>
      <c r="AM894" s="34"/>
      <c r="AN894" s="34"/>
      <c r="AO894" s="34"/>
      <c r="AP894" s="34"/>
      <c r="AQ894" s="18"/>
      <c r="AR894" s="18"/>
      <c r="AS894" s="34"/>
      <c r="AT894" s="31"/>
      <c r="AU894" s="18"/>
      <c r="AV894" s="34"/>
      <c r="AW894" s="34"/>
      <c r="AX894" s="18"/>
    </row>
    <row r="895" spans="1:50" x14ac:dyDescent="0.2">
      <c r="A895" s="4" t="s">
        <v>55</v>
      </c>
      <c r="B895" s="4" t="s">
        <v>56</v>
      </c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1" t="s">
        <v>713</v>
      </c>
      <c r="AB895" s="17" t="s">
        <v>233</v>
      </c>
      <c r="AC895" s="43" t="s">
        <v>58</v>
      </c>
      <c r="AD895" s="44">
        <v>0</v>
      </c>
      <c r="AE895" s="44">
        <v>0</v>
      </c>
      <c r="AF895" s="44">
        <v>0</v>
      </c>
      <c r="AG895" s="43">
        <v>501500000</v>
      </c>
      <c r="AH895" s="43">
        <v>204500000</v>
      </c>
      <c r="AI895" s="136">
        <f>AE895-AF895+AG895-AH895</f>
        <v>297000000</v>
      </c>
      <c r="AJ895" s="43">
        <f>AD895+AI895</f>
        <v>297000000</v>
      </c>
      <c r="AK895" s="44">
        <v>0</v>
      </c>
      <c r="AL895" s="114">
        <v>0</v>
      </c>
      <c r="AM895" s="114">
        <v>259500000</v>
      </c>
      <c r="AN895" s="44">
        <v>0</v>
      </c>
      <c r="AO895" s="114">
        <v>0</v>
      </c>
      <c r="AP895" s="114">
        <v>259500000</v>
      </c>
      <c r="AQ895" s="43">
        <v>39000000</v>
      </c>
      <c r="AR895" s="43">
        <v>20266667</v>
      </c>
      <c r="AS895" s="43">
        <v>28133334</v>
      </c>
      <c r="AT895" s="39">
        <f t="shared" ref="AT895" si="1098">AQ895+AS895</f>
        <v>67133334</v>
      </c>
      <c r="AU895" s="18">
        <f t="shared" ref="AU895" si="1099">AJ895-AM895</f>
        <v>37500000</v>
      </c>
      <c r="AV895" s="133">
        <f t="shared" ref="AV895" si="1100">AM895-AP895</f>
        <v>0</v>
      </c>
      <c r="AW895" s="18">
        <f t="shared" ref="AW895" si="1101">AP895-AT895</f>
        <v>192366666</v>
      </c>
      <c r="AX895" s="123">
        <f t="shared" ref="AX895" si="1102">AP895/AJ895</f>
        <v>0.8737373737373737</v>
      </c>
    </row>
    <row r="896" spans="1:50" ht="25.5" x14ac:dyDescent="0.2">
      <c r="AA896" s="28" t="s">
        <v>288</v>
      </c>
      <c r="AB896" s="29" t="s">
        <v>714</v>
      </c>
      <c r="AC896" s="17"/>
      <c r="AD896" s="18"/>
      <c r="AE896" s="18"/>
      <c r="AF896" s="18"/>
      <c r="AG896" s="18"/>
      <c r="AH896" s="18"/>
      <c r="AI896" s="18"/>
      <c r="AJ896" s="18"/>
      <c r="AK896" s="34"/>
      <c r="AL896" s="34"/>
      <c r="AM896" s="34"/>
      <c r="AN896" s="34"/>
      <c r="AO896" s="34"/>
      <c r="AP896" s="34"/>
      <c r="AQ896" s="34"/>
      <c r="AR896" s="34"/>
      <c r="AS896" s="34"/>
      <c r="AT896" s="31"/>
      <c r="AU896" s="18"/>
      <c r="AV896" s="34"/>
      <c r="AW896" s="34"/>
      <c r="AX896" s="18"/>
    </row>
    <row r="897" spans="1:50" x14ac:dyDescent="0.2">
      <c r="A897" s="4" t="s">
        <v>55</v>
      </c>
      <c r="B897" s="4" t="s">
        <v>56</v>
      </c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1" t="s">
        <v>715</v>
      </c>
      <c r="AB897" s="17" t="s">
        <v>233</v>
      </c>
      <c r="AC897" s="43" t="s">
        <v>58</v>
      </c>
      <c r="AD897" s="43">
        <v>3086332698</v>
      </c>
      <c r="AE897" s="44">
        <v>0</v>
      </c>
      <c r="AF897" s="44">
        <v>0</v>
      </c>
      <c r="AG897" s="44">
        <v>0</v>
      </c>
      <c r="AH897" s="43">
        <v>3086332698</v>
      </c>
      <c r="AI897" s="136">
        <f>AE897-AF897+AG897-AH897</f>
        <v>-3086332698</v>
      </c>
      <c r="AJ897" s="44">
        <f>AD897+AI897</f>
        <v>0</v>
      </c>
      <c r="AK897" s="44">
        <v>0</v>
      </c>
      <c r="AL897" s="44">
        <v>0</v>
      </c>
      <c r="AM897" s="44">
        <v>0</v>
      </c>
      <c r="AN897" s="44">
        <v>0</v>
      </c>
      <c r="AO897" s="44">
        <v>0</v>
      </c>
      <c r="AP897" s="44">
        <v>0</v>
      </c>
      <c r="AQ897" s="44">
        <v>0</v>
      </c>
      <c r="AR897" s="44">
        <v>0</v>
      </c>
      <c r="AS897" s="44">
        <v>0</v>
      </c>
      <c r="AT897" s="40">
        <f t="shared" ref="AT897" si="1103">AQ897+AS897</f>
        <v>0</v>
      </c>
      <c r="AU897" s="34">
        <f t="shared" ref="AU897" si="1104">AJ897-AM897</f>
        <v>0</v>
      </c>
      <c r="AV897" s="133">
        <f t="shared" ref="AV897" si="1105">AM897-AP897</f>
        <v>0</v>
      </c>
      <c r="AW897" s="34">
        <f t="shared" ref="AW897" si="1106">AP897-AT897</f>
        <v>0</v>
      </c>
      <c r="AX897" s="123">
        <v>0</v>
      </c>
    </row>
    <row r="898" spans="1:50" ht="25.5" x14ac:dyDescent="0.2">
      <c r="AA898" s="28" t="s">
        <v>288</v>
      </c>
      <c r="AB898" s="29" t="s">
        <v>716</v>
      </c>
      <c r="AC898" s="17"/>
      <c r="AD898" s="18"/>
      <c r="AE898" s="34"/>
      <c r="AF898" s="34"/>
      <c r="AG898" s="18"/>
      <c r="AH898" s="18"/>
      <c r="AI898" s="18"/>
      <c r="AJ898" s="18"/>
      <c r="AK898" s="34"/>
      <c r="AL898" s="34"/>
      <c r="AM898" s="34"/>
      <c r="AN898" s="34"/>
      <c r="AO898" s="34"/>
      <c r="AP898" s="34"/>
      <c r="AQ898" s="34"/>
      <c r="AR898" s="34"/>
      <c r="AS898" s="34"/>
      <c r="AT898" s="31"/>
      <c r="AU898" s="18"/>
      <c r="AV898" s="34"/>
      <c r="AW898" s="18"/>
      <c r="AX898" s="18"/>
    </row>
    <row r="899" spans="1:50" x14ac:dyDescent="0.2">
      <c r="A899" s="4" t="s">
        <v>55</v>
      </c>
      <c r="B899" s="4" t="s">
        <v>56</v>
      </c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1" t="s">
        <v>717</v>
      </c>
      <c r="AB899" s="17" t="s">
        <v>233</v>
      </c>
      <c r="AC899" s="43" t="s">
        <v>58</v>
      </c>
      <c r="AD899" s="44">
        <v>0</v>
      </c>
      <c r="AE899" s="44">
        <v>0</v>
      </c>
      <c r="AF899" s="44">
        <v>0</v>
      </c>
      <c r="AG899" s="43">
        <v>221000000</v>
      </c>
      <c r="AH899" s="44">
        <v>0</v>
      </c>
      <c r="AI899" s="136">
        <f>AE899-AF899+AG899-AH899</f>
        <v>221000000</v>
      </c>
      <c r="AJ899" s="43">
        <f>AD899+AI899</f>
        <v>221000000</v>
      </c>
      <c r="AK899" s="44">
        <v>0</v>
      </c>
      <c r="AL899" s="43">
        <v>-15200000</v>
      </c>
      <c r="AM899" s="43">
        <v>145300000</v>
      </c>
      <c r="AN899" s="44">
        <v>0</v>
      </c>
      <c r="AO899" s="43">
        <v>95800000</v>
      </c>
      <c r="AP899" s="43">
        <v>95800000</v>
      </c>
      <c r="AQ899" s="43">
        <v>8463333</v>
      </c>
      <c r="AR899" s="43">
        <v>0</v>
      </c>
      <c r="AS899" s="43">
        <v>0</v>
      </c>
      <c r="AT899" s="40">
        <f t="shared" ref="AT899" si="1107">AQ899+AS899</f>
        <v>8463333</v>
      </c>
      <c r="AU899" s="18">
        <f t="shared" ref="AU899" si="1108">AJ899-AM899</f>
        <v>75700000</v>
      </c>
      <c r="AV899" s="18">
        <f t="shared" ref="AV899" si="1109">AM899-AP899</f>
        <v>49500000</v>
      </c>
      <c r="AW899" s="18">
        <f t="shared" ref="AW899" si="1110">AP899-AT899</f>
        <v>87336667</v>
      </c>
      <c r="AX899" s="123">
        <f t="shared" ref="AX899" si="1111">AP899/AJ899</f>
        <v>0.43348416289592762</v>
      </c>
    </row>
    <row r="900" spans="1:50" x14ac:dyDescent="0.2">
      <c r="AA900" s="28" t="s">
        <v>288</v>
      </c>
      <c r="AB900" s="29" t="s">
        <v>718</v>
      </c>
      <c r="AC900" s="17"/>
      <c r="AD900" s="18"/>
      <c r="AE900" s="34"/>
      <c r="AF900" s="34"/>
      <c r="AG900" s="18"/>
      <c r="AH900" s="18"/>
      <c r="AI900" s="18"/>
      <c r="AJ900" s="18"/>
      <c r="AK900" s="34"/>
      <c r="AL900" s="18"/>
      <c r="AM900" s="18"/>
      <c r="AN900" s="34"/>
      <c r="AO900" s="18"/>
      <c r="AP900" s="18"/>
      <c r="AQ900" s="18"/>
      <c r="AR900" s="18"/>
      <c r="AS900" s="18"/>
      <c r="AT900" s="31"/>
      <c r="AU900" s="18"/>
      <c r="AV900" s="18"/>
      <c r="AW900" s="18"/>
      <c r="AX900" s="18"/>
    </row>
    <row r="901" spans="1:50" x14ac:dyDescent="0.2">
      <c r="A901" s="4" t="s">
        <v>55</v>
      </c>
      <c r="B901" s="4" t="s">
        <v>56</v>
      </c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1" t="s">
        <v>719</v>
      </c>
      <c r="AB901" s="42" t="s">
        <v>233</v>
      </c>
      <c r="AC901" s="43" t="s">
        <v>58</v>
      </c>
      <c r="AD901" s="43">
        <v>546100000</v>
      </c>
      <c r="AE901" s="44">
        <v>0</v>
      </c>
      <c r="AF901" s="44">
        <v>0</v>
      </c>
      <c r="AG901" s="44">
        <v>0</v>
      </c>
      <c r="AH901" s="44">
        <v>0</v>
      </c>
      <c r="AI901" s="44">
        <v>0</v>
      </c>
      <c r="AJ901" s="43">
        <v>546100000</v>
      </c>
      <c r="AK901" s="44">
        <v>0</v>
      </c>
      <c r="AL901" s="43">
        <v>0</v>
      </c>
      <c r="AM901" s="43">
        <v>521700000</v>
      </c>
      <c r="AN901" s="44">
        <v>0</v>
      </c>
      <c r="AO901" s="43">
        <v>0</v>
      </c>
      <c r="AP901" s="43">
        <v>488700000</v>
      </c>
      <c r="AQ901" s="43">
        <v>59000000</v>
      </c>
      <c r="AR901" s="43">
        <v>46366667</v>
      </c>
      <c r="AS901" s="43">
        <v>70550000</v>
      </c>
      <c r="AT901" s="39">
        <f t="shared" ref="AT901" si="1112">AQ901+AS901</f>
        <v>129550000</v>
      </c>
      <c r="AU901" s="18">
        <f t="shared" ref="AU901" si="1113">AJ901-AM901</f>
        <v>24400000</v>
      </c>
      <c r="AV901" s="110">
        <f t="shared" ref="AV901" si="1114">AM901-AP901</f>
        <v>33000000</v>
      </c>
      <c r="AW901" s="18">
        <f t="shared" ref="AW901" si="1115">AP901-AT901</f>
        <v>359150000</v>
      </c>
      <c r="AX901" s="123">
        <f t="shared" ref="AX901" si="1116">AP901/AJ901</f>
        <v>0.89489104559604471</v>
      </c>
    </row>
    <row r="902" spans="1:50" x14ac:dyDescent="0.2">
      <c r="AA902" s="16"/>
      <c r="AB902" s="17"/>
      <c r="AC902" s="17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34"/>
      <c r="AQ902" s="34"/>
      <c r="AR902" s="34"/>
      <c r="AS902" s="34"/>
      <c r="AT902" s="31"/>
      <c r="AU902" s="18"/>
      <c r="AV902" s="18"/>
      <c r="AW902" s="18"/>
      <c r="AX902" s="18"/>
    </row>
    <row r="903" spans="1:50" x14ac:dyDescent="0.2">
      <c r="AA903" s="16"/>
      <c r="AB903" s="29" t="s">
        <v>720</v>
      </c>
      <c r="AC903" s="17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30"/>
      <c r="AU903" s="18"/>
      <c r="AV903" s="18"/>
      <c r="AW903" s="18"/>
      <c r="AX903" s="18"/>
    </row>
    <row r="904" spans="1:50" x14ac:dyDescent="0.2">
      <c r="AA904" s="16"/>
      <c r="AB904" s="29" t="s">
        <v>676</v>
      </c>
      <c r="AC904" s="17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30"/>
      <c r="AU904" s="18"/>
      <c r="AV904" s="18"/>
      <c r="AW904" s="18"/>
      <c r="AX904" s="18"/>
    </row>
    <row r="905" spans="1:50" x14ac:dyDescent="0.2">
      <c r="AA905" s="16"/>
      <c r="AB905" s="29" t="s">
        <v>286</v>
      </c>
      <c r="AC905" s="17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30"/>
      <c r="AU905" s="18"/>
      <c r="AV905" s="18"/>
      <c r="AW905" s="18"/>
      <c r="AX905" s="18"/>
    </row>
    <row r="906" spans="1:50" x14ac:dyDescent="0.2">
      <c r="AA906" s="16"/>
      <c r="AB906" s="29" t="s">
        <v>179</v>
      </c>
      <c r="AC906" s="17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30"/>
      <c r="AU906" s="18"/>
      <c r="AV906" s="18"/>
      <c r="AW906" s="18"/>
      <c r="AX906" s="18"/>
    </row>
    <row r="907" spans="1:50" x14ac:dyDescent="0.2">
      <c r="AA907" s="16"/>
      <c r="AB907" s="29" t="s">
        <v>189</v>
      </c>
      <c r="AC907" s="17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30"/>
      <c r="AU907" s="18"/>
      <c r="AV907" s="18"/>
      <c r="AW907" s="18"/>
      <c r="AX907" s="18"/>
    </row>
    <row r="908" spans="1:50" x14ac:dyDescent="0.2">
      <c r="AA908" s="16"/>
      <c r="AB908" s="29" t="s">
        <v>199</v>
      </c>
      <c r="AC908" s="17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30"/>
      <c r="AU908" s="18"/>
      <c r="AV908" s="18"/>
      <c r="AW908" s="18"/>
      <c r="AX908" s="18"/>
    </row>
    <row r="909" spans="1:50" x14ac:dyDescent="0.2">
      <c r="AA909" s="28" t="s">
        <v>288</v>
      </c>
      <c r="AB909" s="29" t="s">
        <v>718</v>
      </c>
      <c r="AC909" s="17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30"/>
      <c r="AU909" s="18"/>
      <c r="AV909" s="18"/>
      <c r="AW909" s="18"/>
      <c r="AX909" s="18"/>
    </row>
    <row r="910" spans="1:50" x14ac:dyDescent="0.2">
      <c r="A910" s="4" t="s">
        <v>55</v>
      </c>
      <c r="B910" s="4" t="s">
        <v>56</v>
      </c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1" t="s">
        <v>721</v>
      </c>
      <c r="AB910" s="42" t="s">
        <v>722</v>
      </c>
      <c r="AC910" s="43" t="s">
        <v>723</v>
      </c>
      <c r="AD910" s="43">
        <v>7643630</v>
      </c>
      <c r="AE910" s="44">
        <v>0</v>
      </c>
      <c r="AF910" s="44">
        <v>0</v>
      </c>
      <c r="AG910" s="44">
        <v>0</v>
      </c>
      <c r="AH910" s="44">
        <v>0</v>
      </c>
      <c r="AI910" s="44">
        <v>0</v>
      </c>
      <c r="AJ910" s="43">
        <v>7643630</v>
      </c>
      <c r="AK910" s="44">
        <v>0</v>
      </c>
      <c r="AL910" s="44">
        <v>0</v>
      </c>
      <c r="AM910" s="44">
        <v>0</v>
      </c>
      <c r="AN910" s="44">
        <v>0</v>
      </c>
      <c r="AO910" s="44">
        <v>0</v>
      </c>
      <c r="AP910" s="44">
        <v>0</v>
      </c>
      <c r="AQ910" s="44">
        <v>0</v>
      </c>
      <c r="AR910" s="44">
        <v>0</v>
      </c>
      <c r="AS910" s="44">
        <v>0</v>
      </c>
      <c r="AT910" s="40">
        <f t="shared" ref="AT910:AT911" si="1117">AQ910+AS910</f>
        <v>0</v>
      </c>
      <c r="AU910" s="18">
        <f t="shared" ref="AU910:AU911" si="1118">AJ910-AM910</f>
        <v>7643630</v>
      </c>
      <c r="AV910" s="133">
        <f t="shared" ref="AV910:AV911" si="1119">AM910-AP910</f>
        <v>0</v>
      </c>
      <c r="AW910" s="34">
        <f t="shared" ref="AW910:AW911" si="1120">AP910-AT910</f>
        <v>0</v>
      </c>
      <c r="AX910" s="123">
        <f t="shared" ref="AX910" si="1121">AP910/AJ910</f>
        <v>0</v>
      </c>
    </row>
    <row r="911" spans="1:50" x14ac:dyDescent="0.2">
      <c r="A911" s="4" t="s">
        <v>55</v>
      </c>
      <c r="B911" s="4" t="s">
        <v>56</v>
      </c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1" t="s">
        <v>724</v>
      </c>
      <c r="AB911" s="42" t="s">
        <v>725</v>
      </c>
      <c r="AC911" s="43" t="s">
        <v>428</v>
      </c>
      <c r="AD911" s="43">
        <v>56100000</v>
      </c>
      <c r="AE911" s="44">
        <v>0</v>
      </c>
      <c r="AF911" s="44">
        <v>0</v>
      </c>
      <c r="AG911" s="44">
        <v>0</v>
      </c>
      <c r="AH911" s="44">
        <v>0</v>
      </c>
      <c r="AI911" s="44">
        <v>0</v>
      </c>
      <c r="AJ911" s="43">
        <v>56100000</v>
      </c>
      <c r="AK911" s="44">
        <v>0</v>
      </c>
      <c r="AL911" s="44">
        <v>0</v>
      </c>
      <c r="AM911" s="44">
        <v>0</v>
      </c>
      <c r="AN911" s="44">
        <v>0</v>
      </c>
      <c r="AO911" s="44">
        <v>0</v>
      </c>
      <c r="AP911" s="44">
        <v>0</v>
      </c>
      <c r="AQ911" s="44">
        <v>0</v>
      </c>
      <c r="AR911" s="44">
        <v>0</v>
      </c>
      <c r="AS911" s="44">
        <v>0</v>
      </c>
      <c r="AT911" s="40">
        <f t="shared" si="1117"/>
        <v>0</v>
      </c>
      <c r="AU911" s="18">
        <f t="shared" si="1118"/>
        <v>56100000</v>
      </c>
      <c r="AV911" s="133">
        <f t="shared" si="1119"/>
        <v>0</v>
      </c>
      <c r="AW911" s="34">
        <f t="shared" si="1120"/>
        <v>0</v>
      </c>
      <c r="AX911" s="123">
        <f>AP911/AJ911</f>
        <v>0</v>
      </c>
    </row>
    <row r="912" spans="1:50" x14ac:dyDescent="0.2">
      <c r="AA912" s="16"/>
      <c r="AB912" s="17"/>
      <c r="AC912" s="17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34"/>
      <c r="AR912" s="34"/>
      <c r="AS912" s="34"/>
      <c r="AT912" s="31"/>
      <c r="AU912" s="18"/>
      <c r="AV912" s="18"/>
      <c r="AW912" s="18"/>
      <c r="AX912" s="18"/>
    </row>
    <row r="913" spans="1:50" s="50" customFormat="1" ht="18.75" customHeight="1" x14ac:dyDescent="0.2"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46"/>
      <c r="AB913" s="47" t="s">
        <v>726</v>
      </c>
      <c r="AC913" s="47"/>
      <c r="AD913" s="48">
        <f>SUM(AD885:AD911)</f>
        <v>6876941034</v>
      </c>
      <c r="AE913" s="49">
        <f t="shared" ref="AE913:AW913" si="1122">SUM(AE885:AE911)</f>
        <v>0</v>
      </c>
      <c r="AF913" s="49">
        <f t="shared" si="1122"/>
        <v>0</v>
      </c>
      <c r="AG913" s="48">
        <f t="shared" si="1122"/>
        <v>4013332698</v>
      </c>
      <c r="AH913" s="48">
        <f t="shared" si="1122"/>
        <v>4013332698</v>
      </c>
      <c r="AI913" s="151">
        <f t="shared" si="1122"/>
        <v>0</v>
      </c>
      <c r="AJ913" s="48">
        <f t="shared" si="1122"/>
        <v>6876941034</v>
      </c>
      <c r="AK913" s="49">
        <f t="shared" si="1122"/>
        <v>0</v>
      </c>
      <c r="AL913" s="48">
        <f t="shared" si="1122"/>
        <v>-19166667</v>
      </c>
      <c r="AM913" s="48">
        <f t="shared" si="1122"/>
        <v>3198258039</v>
      </c>
      <c r="AN913" s="49">
        <f t="shared" si="1122"/>
        <v>0</v>
      </c>
      <c r="AO913" s="48">
        <f t="shared" si="1122"/>
        <v>168333333</v>
      </c>
      <c r="AP913" s="48">
        <f t="shared" si="1122"/>
        <v>3115758039</v>
      </c>
      <c r="AQ913" s="48">
        <f t="shared" si="1122"/>
        <v>198166667</v>
      </c>
      <c r="AR913" s="48">
        <f t="shared" si="1122"/>
        <v>93953334</v>
      </c>
      <c r="AS913" s="48">
        <f t="shared" si="1122"/>
        <v>142342001</v>
      </c>
      <c r="AT913" s="108">
        <f>AQ913+AS913</f>
        <v>340508668</v>
      </c>
      <c r="AU913" s="48">
        <f>SUM(AU885:AU911)</f>
        <v>3678682995</v>
      </c>
      <c r="AV913" s="48">
        <f t="shared" si="1122"/>
        <v>82500000</v>
      </c>
      <c r="AW913" s="48">
        <f t="shared" si="1122"/>
        <v>2775249371</v>
      </c>
      <c r="AX913" s="24">
        <f t="shared" ref="AX913" si="1123">AP913/AJ913</f>
        <v>0.45307325213281741</v>
      </c>
    </row>
    <row r="914" spans="1:50" ht="18.75" customHeight="1" x14ac:dyDescent="0.2">
      <c r="AA914" s="16"/>
      <c r="AB914" s="17"/>
      <c r="AC914" s="17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</row>
    <row r="915" spans="1:50" s="25" customFormat="1" ht="18.75" customHeight="1" x14ac:dyDescent="0.2"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66"/>
      <c r="AB915" s="21" t="s">
        <v>727</v>
      </c>
      <c r="AC915" s="67"/>
      <c r="AD915" s="63"/>
      <c r="AE915" s="63"/>
      <c r="AF915" s="63"/>
      <c r="AG915" s="63"/>
      <c r="AH915" s="63"/>
      <c r="AI915" s="63"/>
      <c r="AJ915" s="63"/>
      <c r="AK915" s="63"/>
      <c r="AL915" s="63"/>
      <c r="AM915" s="63"/>
      <c r="AN915" s="63"/>
      <c r="AO915" s="63"/>
      <c r="AP915" s="63"/>
      <c r="AQ915" s="63"/>
      <c r="AR915" s="63"/>
      <c r="AS915" s="63"/>
      <c r="AT915" s="63"/>
      <c r="AU915" s="63"/>
      <c r="AV915" s="63"/>
      <c r="AW915" s="63"/>
      <c r="AX915" s="63"/>
    </row>
    <row r="916" spans="1:50" ht="18.75" customHeight="1" x14ac:dyDescent="0.2">
      <c r="AA916" s="16"/>
      <c r="AB916" s="29" t="s">
        <v>285</v>
      </c>
      <c r="AC916" s="17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</row>
    <row r="917" spans="1:50" ht="18.75" customHeight="1" x14ac:dyDescent="0.2">
      <c r="AA917" s="16"/>
      <c r="AB917" s="29" t="s">
        <v>202</v>
      </c>
      <c r="AC917" s="17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</row>
    <row r="918" spans="1:50" ht="18.75" customHeight="1" x14ac:dyDescent="0.2">
      <c r="AA918" s="16"/>
      <c r="AB918" s="29" t="s">
        <v>203</v>
      </c>
      <c r="AC918" s="17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</row>
    <row r="919" spans="1:50" x14ac:dyDescent="0.2">
      <c r="AA919" s="16"/>
      <c r="AB919" s="29" t="s">
        <v>204</v>
      </c>
      <c r="AC919" s="17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</row>
    <row r="920" spans="1:50" ht="25.5" x14ac:dyDescent="0.2">
      <c r="AA920" s="16"/>
      <c r="AB920" s="29" t="s">
        <v>205</v>
      </c>
      <c r="AC920" s="17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</row>
    <row r="921" spans="1:50" ht="25.5" x14ac:dyDescent="0.2">
      <c r="AA921" s="16"/>
      <c r="AB921" s="29" t="s">
        <v>205</v>
      </c>
      <c r="AC921" s="17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</row>
    <row r="922" spans="1:50" x14ac:dyDescent="0.2">
      <c r="AA922" s="28" t="s">
        <v>288</v>
      </c>
      <c r="AB922" s="29" t="s">
        <v>728</v>
      </c>
      <c r="AC922" s="17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30">
        <f t="shared" ref="AT922:AT926" si="1124">AQ922+AS922</f>
        <v>0</v>
      </c>
      <c r="AU922" s="18"/>
      <c r="AV922" s="18"/>
      <c r="AW922" s="18"/>
      <c r="AX922" s="18"/>
    </row>
    <row r="923" spans="1:50" x14ac:dyDescent="0.2">
      <c r="A923" s="4" t="s">
        <v>55</v>
      </c>
      <c r="B923" s="4" t="s">
        <v>56</v>
      </c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1" t="s">
        <v>729</v>
      </c>
      <c r="AB923" s="42" t="s">
        <v>233</v>
      </c>
      <c r="AC923" s="43" t="s">
        <v>58</v>
      </c>
      <c r="AD923" s="43">
        <v>1500000000</v>
      </c>
      <c r="AE923" s="44">
        <v>0</v>
      </c>
      <c r="AF923" s="44">
        <v>0</v>
      </c>
      <c r="AG923" s="44">
        <v>0</v>
      </c>
      <c r="AH923" s="44">
        <v>0</v>
      </c>
      <c r="AI923" s="44">
        <v>0</v>
      </c>
      <c r="AJ923" s="43">
        <v>1500000000</v>
      </c>
      <c r="AK923" s="44">
        <v>0</v>
      </c>
      <c r="AL923" s="114">
        <v>125000000</v>
      </c>
      <c r="AM923" s="114">
        <v>500000000</v>
      </c>
      <c r="AN923" s="44">
        <v>0</v>
      </c>
      <c r="AO923" s="114">
        <v>125000000</v>
      </c>
      <c r="AP923" s="114">
        <v>500000000</v>
      </c>
      <c r="AQ923" s="44">
        <v>0</v>
      </c>
      <c r="AR923" s="114">
        <v>125000000</v>
      </c>
      <c r="AS923" s="114">
        <v>500000000</v>
      </c>
      <c r="AT923" s="111">
        <f t="shared" si="1124"/>
        <v>500000000</v>
      </c>
      <c r="AU923" s="18">
        <f t="shared" ref="AU923:AU926" si="1125">AJ923-AM923</f>
        <v>1000000000</v>
      </c>
      <c r="AV923" s="133">
        <f t="shared" ref="AV923:AV926" si="1126">AM923-AP923</f>
        <v>0</v>
      </c>
      <c r="AW923" s="34">
        <f t="shared" ref="AW923:AW926" si="1127">AP923-AT923</f>
        <v>0</v>
      </c>
      <c r="AX923" s="123">
        <f t="shared" ref="AX923:AX926" si="1128">AP923/AJ923</f>
        <v>0.33333333333333331</v>
      </c>
    </row>
    <row r="924" spans="1:50" x14ac:dyDescent="0.2">
      <c r="A924" s="4" t="s">
        <v>55</v>
      </c>
      <c r="B924" s="4" t="s">
        <v>56</v>
      </c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1" t="s">
        <v>730</v>
      </c>
      <c r="AB924" s="42" t="s">
        <v>731</v>
      </c>
      <c r="AC924" s="43" t="s">
        <v>732</v>
      </c>
      <c r="AD924" s="43">
        <v>1531432613</v>
      </c>
      <c r="AE924" s="44">
        <v>0</v>
      </c>
      <c r="AF924" s="44">
        <v>0</v>
      </c>
      <c r="AG924" s="44">
        <v>0</v>
      </c>
      <c r="AH924" s="44">
        <v>0</v>
      </c>
      <c r="AI924" s="44">
        <v>0</v>
      </c>
      <c r="AJ924" s="43">
        <v>1531432613</v>
      </c>
      <c r="AK924" s="44">
        <v>0</v>
      </c>
      <c r="AL924" s="114">
        <v>127619384</v>
      </c>
      <c r="AM924" s="114">
        <v>510477536</v>
      </c>
      <c r="AN924" s="44">
        <v>0</v>
      </c>
      <c r="AO924" s="114">
        <v>127619384</v>
      </c>
      <c r="AP924" s="114">
        <v>510477536</v>
      </c>
      <c r="AQ924" s="44">
        <v>0</v>
      </c>
      <c r="AR924" s="114">
        <v>127619384</v>
      </c>
      <c r="AS924" s="114">
        <v>510477536</v>
      </c>
      <c r="AT924" s="111">
        <f t="shared" si="1124"/>
        <v>510477536</v>
      </c>
      <c r="AU924" s="18">
        <f t="shared" si="1125"/>
        <v>1020955077</v>
      </c>
      <c r="AV924" s="133">
        <f t="shared" si="1126"/>
        <v>0</v>
      </c>
      <c r="AW924" s="34">
        <f t="shared" si="1127"/>
        <v>0</v>
      </c>
      <c r="AX924" s="123">
        <f t="shared" si="1128"/>
        <v>0.33333333224502776</v>
      </c>
    </row>
    <row r="925" spans="1:50" x14ac:dyDescent="0.2">
      <c r="A925" s="4" t="s">
        <v>55</v>
      </c>
      <c r="B925" s="4" t="s">
        <v>56</v>
      </c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1" t="s">
        <v>733</v>
      </c>
      <c r="AB925" s="42" t="s">
        <v>734</v>
      </c>
      <c r="AC925" s="43" t="s">
        <v>383</v>
      </c>
      <c r="AD925" s="43">
        <v>2000000000</v>
      </c>
      <c r="AE925" s="44">
        <v>0</v>
      </c>
      <c r="AF925" s="44">
        <v>0</v>
      </c>
      <c r="AG925" s="44">
        <v>0</v>
      </c>
      <c r="AH925" s="44">
        <v>0</v>
      </c>
      <c r="AI925" s="44">
        <v>0</v>
      </c>
      <c r="AJ925" s="43">
        <v>2000000000</v>
      </c>
      <c r="AK925" s="44">
        <v>0</v>
      </c>
      <c r="AL925" s="114">
        <v>166666667</v>
      </c>
      <c r="AM925" s="114">
        <v>666666668</v>
      </c>
      <c r="AN925" s="44">
        <v>0</v>
      </c>
      <c r="AO925" s="114">
        <v>166666667</v>
      </c>
      <c r="AP925" s="114">
        <v>666666668</v>
      </c>
      <c r="AQ925" s="44">
        <v>0</v>
      </c>
      <c r="AR925" s="114">
        <v>166666667</v>
      </c>
      <c r="AS925" s="114">
        <v>666666668</v>
      </c>
      <c r="AT925" s="111">
        <f t="shared" si="1124"/>
        <v>666666668</v>
      </c>
      <c r="AU925" s="18">
        <f t="shared" si="1125"/>
        <v>1333333332</v>
      </c>
      <c r="AV925" s="133">
        <f t="shared" si="1126"/>
        <v>0</v>
      </c>
      <c r="AW925" s="34">
        <f t="shared" si="1127"/>
        <v>0</v>
      </c>
      <c r="AX925" s="123">
        <f t="shared" si="1128"/>
        <v>0.33333333399999998</v>
      </c>
    </row>
    <row r="926" spans="1:50" ht="25.5" x14ac:dyDescent="0.2">
      <c r="A926" s="4" t="s">
        <v>55</v>
      </c>
      <c r="B926" s="4" t="s">
        <v>56</v>
      </c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1" t="s">
        <v>735</v>
      </c>
      <c r="AB926" s="42" t="s">
        <v>736</v>
      </c>
      <c r="AC926" s="43" t="s">
        <v>428</v>
      </c>
      <c r="AD926" s="43">
        <v>24512970</v>
      </c>
      <c r="AE926" s="44">
        <v>0</v>
      </c>
      <c r="AF926" s="44">
        <v>0</v>
      </c>
      <c r="AG926" s="44">
        <v>0</v>
      </c>
      <c r="AH926" s="44">
        <v>0</v>
      </c>
      <c r="AI926" s="44">
        <v>0</v>
      </c>
      <c r="AJ926" s="43">
        <v>24512970</v>
      </c>
      <c r="AK926" s="44">
        <v>0</v>
      </c>
      <c r="AL926" s="44">
        <v>0</v>
      </c>
      <c r="AM926" s="44">
        <v>0</v>
      </c>
      <c r="AN926" s="44">
        <v>0</v>
      </c>
      <c r="AO926" s="44">
        <v>0</v>
      </c>
      <c r="AP926" s="44">
        <v>0</v>
      </c>
      <c r="AQ926" s="44">
        <v>0</v>
      </c>
      <c r="AR926" s="44">
        <v>0</v>
      </c>
      <c r="AS926" s="44">
        <v>0</v>
      </c>
      <c r="AT926" s="40">
        <f t="shared" si="1124"/>
        <v>0</v>
      </c>
      <c r="AU926" s="18">
        <f t="shared" si="1125"/>
        <v>24512970</v>
      </c>
      <c r="AV926" s="133">
        <f t="shared" si="1126"/>
        <v>0</v>
      </c>
      <c r="AW926" s="34">
        <f t="shared" si="1127"/>
        <v>0</v>
      </c>
      <c r="AX926" s="123">
        <f t="shared" si="1128"/>
        <v>0</v>
      </c>
    </row>
    <row r="927" spans="1:50" x14ac:dyDescent="0.2">
      <c r="AA927" s="16"/>
      <c r="AB927" s="17"/>
      <c r="AC927" s="17"/>
      <c r="AD927" s="18"/>
      <c r="AE927" s="34"/>
      <c r="AF927" s="34"/>
      <c r="AG927" s="34"/>
      <c r="AH927" s="34"/>
      <c r="AI927" s="34"/>
      <c r="AJ927" s="18"/>
      <c r="AK927" s="34"/>
      <c r="AL927" s="34"/>
      <c r="AM927" s="34"/>
      <c r="AN927" s="34"/>
      <c r="AO927" s="34"/>
      <c r="AP927" s="34"/>
      <c r="AQ927" s="34"/>
      <c r="AR927" s="34"/>
      <c r="AS927" s="34"/>
      <c r="AT927" s="31"/>
      <c r="AU927" s="18"/>
      <c r="AV927" s="18"/>
      <c r="AW927" s="18"/>
      <c r="AX927" s="18"/>
    </row>
    <row r="928" spans="1:50" s="50" customFormat="1" x14ac:dyDescent="0.2"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46"/>
      <c r="AB928" s="47" t="s">
        <v>737</v>
      </c>
      <c r="AC928" s="47"/>
      <c r="AD928" s="48">
        <f>SUM(AD923:AD927)</f>
        <v>5055945583</v>
      </c>
      <c r="AE928" s="49">
        <f t="shared" ref="AE928:AW928" si="1129">SUM(AE923:AE927)</f>
        <v>0</v>
      </c>
      <c r="AF928" s="49">
        <f t="shared" si="1129"/>
        <v>0</v>
      </c>
      <c r="AG928" s="49">
        <f t="shared" si="1129"/>
        <v>0</v>
      </c>
      <c r="AH928" s="49">
        <f t="shared" si="1129"/>
        <v>0</v>
      </c>
      <c r="AI928" s="49">
        <f t="shared" si="1129"/>
        <v>0</v>
      </c>
      <c r="AJ928" s="48">
        <f t="shared" si="1129"/>
        <v>5055945583</v>
      </c>
      <c r="AK928" s="49">
        <f t="shared" si="1129"/>
        <v>0</v>
      </c>
      <c r="AL928" s="121">
        <f t="shared" si="1129"/>
        <v>419286051</v>
      </c>
      <c r="AM928" s="121">
        <f t="shared" si="1129"/>
        <v>1677144204</v>
      </c>
      <c r="AN928" s="49">
        <f t="shared" si="1129"/>
        <v>0</v>
      </c>
      <c r="AO928" s="121">
        <f t="shared" si="1129"/>
        <v>419286051</v>
      </c>
      <c r="AP928" s="121">
        <f t="shared" si="1129"/>
        <v>1677144204</v>
      </c>
      <c r="AQ928" s="49">
        <f t="shared" si="1129"/>
        <v>0</v>
      </c>
      <c r="AR928" s="121">
        <f t="shared" si="1129"/>
        <v>419286051</v>
      </c>
      <c r="AS928" s="121">
        <f t="shared" si="1129"/>
        <v>1677144204</v>
      </c>
      <c r="AT928" s="108">
        <f>AQ928+AS928</f>
        <v>1677144204</v>
      </c>
      <c r="AU928" s="48">
        <f t="shared" si="1129"/>
        <v>3378801379</v>
      </c>
      <c r="AV928" s="49">
        <f t="shared" si="1129"/>
        <v>0</v>
      </c>
      <c r="AW928" s="49">
        <f t="shared" si="1129"/>
        <v>0</v>
      </c>
      <c r="AX928" s="24">
        <f t="shared" ref="AX928" si="1130">AP928/AJ928</f>
        <v>0.33171721816769401</v>
      </c>
    </row>
    <row r="929" spans="1:50" x14ac:dyDescent="0.2">
      <c r="AA929" s="16"/>
      <c r="AB929" s="17"/>
      <c r="AC929" s="17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</row>
    <row r="930" spans="1:50" s="25" customFormat="1" x14ac:dyDescent="0.2"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66"/>
      <c r="AB930" s="21" t="s">
        <v>738</v>
      </c>
      <c r="AC930" s="67"/>
      <c r="AD930" s="63"/>
      <c r="AE930" s="63"/>
      <c r="AF930" s="63"/>
      <c r="AG930" s="63"/>
      <c r="AH930" s="63"/>
      <c r="AI930" s="63"/>
      <c r="AJ930" s="63"/>
      <c r="AK930" s="63"/>
      <c r="AL930" s="63"/>
      <c r="AM930" s="63"/>
      <c r="AN930" s="63"/>
      <c r="AO930" s="63"/>
      <c r="AP930" s="63"/>
      <c r="AQ930" s="63"/>
      <c r="AR930" s="63"/>
      <c r="AS930" s="63"/>
      <c r="AT930" s="63"/>
      <c r="AU930" s="63"/>
      <c r="AV930" s="63"/>
      <c r="AW930" s="63"/>
      <c r="AX930" s="63"/>
    </row>
    <row r="931" spans="1:50" x14ac:dyDescent="0.2">
      <c r="AA931" s="16"/>
      <c r="AB931" s="29" t="s">
        <v>285</v>
      </c>
      <c r="AC931" s="17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</row>
    <row r="932" spans="1:50" x14ac:dyDescent="0.2">
      <c r="AA932" s="16"/>
      <c r="AB932" s="29" t="s">
        <v>202</v>
      </c>
      <c r="AC932" s="17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</row>
    <row r="933" spans="1:50" x14ac:dyDescent="0.2">
      <c r="AA933" s="16"/>
      <c r="AB933" s="29" t="s">
        <v>203</v>
      </c>
      <c r="AC933" s="17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</row>
    <row r="934" spans="1:50" x14ac:dyDescent="0.2">
      <c r="AA934" s="16"/>
      <c r="AB934" s="29" t="s">
        <v>204</v>
      </c>
      <c r="AC934" s="17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</row>
    <row r="935" spans="1:50" x14ac:dyDescent="0.2">
      <c r="AA935" s="16"/>
      <c r="AB935" s="29" t="s">
        <v>739</v>
      </c>
      <c r="AC935" s="17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</row>
    <row r="936" spans="1:50" ht="25.5" x14ac:dyDescent="0.2">
      <c r="AA936" s="16"/>
      <c r="AB936" s="29" t="s">
        <v>205</v>
      </c>
      <c r="AC936" s="17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30"/>
      <c r="AU936" s="18"/>
      <c r="AV936" s="18"/>
      <c r="AW936" s="18"/>
      <c r="AX936" s="18"/>
    </row>
    <row r="937" spans="1:50" ht="25.5" x14ac:dyDescent="0.2">
      <c r="AA937" s="28" t="s">
        <v>288</v>
      </c>
      <c r="AB937" s="29" t="s">
        <v>740</v>
      </c>
      <c r="AC937" s="17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30"/>
      <c r="AU937" s="18"/>
      <c r="AV937" s="18"/>
      <c r="AW937" s="18"/>
      <c r="AX937" s="18"/>
    </row>
    <row r="938" spans="1:50" x14ac:dyDescent="0.2">
      <c r="A938" s="4" t="s">
        <v>55</v>
      </c>
      <c r="B938" s="4" t="s">
        <v>56</v>
      </c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1" t="s">
        <v>741</v>
      </c>
      <c r="AB938" s="42" t="s">
        <v>233</v>
      </c>
      <c r="AC938" s="43" t="s">
        <v>58</v>
      </c>
      <c r="AD938" s="43">
        <v>9645837227</v>
      </c>
      <c r="AE938" s="44">
        <v>0</v>
      </c>
      <c r="AF938" s="44">
        <v>0</v>
      </c>
      <c r="AG938" s="44">
        <v>0</v>
      </c>
      <c r="AH938" s="44">
        <v>0</v>
      </c>
      <c r="AI938" s="44">
        <v>0</v>
      </c>
      <c r="AJ938" s="43">
        <v>9645837227</v>
      </c>
      <c r="AK938" s="44">
        <v>0</v>
      </c>
      <c r="AL938" s="43">
        <v>803819769</v>
      </c>
      <c r="AM938" s="43">
        <v>3215279076</v>
      </c>
      <c r="AN938" s="44">
        <v>0</v>
      </c>
      <c r="AO938" s="43">
        <v>803819769</v>
      </c>
      <c r="AP938" s="43">
        <v>3215279076</v>
      </c>
      <c r="AQ938" s="44">
        <v>0</v>
      </c>
      <c r="AR938" s="114">
        <v>803819769</v>
      </c>
      <c r="AS938" s="114">
        <v>3215279076</v>
      </c>
      <c r="AT938" s="111">
        <f t="shared" ref="AT938:AT942" si="1131">AQ938+AS938</f>
        <v>3215279076</v>
      </c>
      <c r="AU938" s="110">
        <f t="shared" ref="AU938:AU942" si="1132">AJ938-AM938</f>
        <v>6430558151</v>
      </c>
      <c r="AV938" s="133">
        <f t="shared" ref="AV938:AV942" si="1133">AM938-AP938</f>
        <v>0</v>
      </c>
      <c r="AW938" s="34">
        <f t="shared" ref="AW938:AW942" si="1134">AP938-AT938</f>
        <v>0</v>
      </c>
      <c r="AX938" s="123">
        <f t="shared" ref="AX938:AX942" si="1135">AP938/AJ938</f>
        <v>0.33333333336789056</v>
      </c>
    </row>
    <row r="939" spans="1:50" x14ac:dyDescent="0.2">
      <c r="A939" s="4" t="s">
        <v>55</v>
      </c>
      <c r="B939" s="4" t="s">
        <v>56</v>
      </c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134" t="s">
        <v>742</v>
      </c>
      <c r="AB939" s="69" t="s">
        <v>743</v>
      </c>
      <c r="AC939" s="43" t="s">
        <v>744</v>
      </c>
      <c r="AD939" s="43">
        <v>1148574460</v>
      </c>
      <c r="AE939" s="44">
        <v>0</v>
      </c>
      <c r="AF939" s="44">
        <v>0</v>
      </c>
      <c r="AG939" s="44">
        <v>0</v>
      </c>
      <c r="AH939" s="44">
        <v>0</v>
      </c>
      <c r="AI939" s="44">
        <v>0</v>
      </c>
      <c r="AJ939" s="43">
        <v>1148574460</v>
      </c>
      <c r="AK939" s="44">
        <v>0</v>
      </c>
      <c r="AL939" s="43">
        <v>95714538</v>
      </c>
      <c r="AM939" s="43">
        <v>382858152</v>
      </c>
      <c r="AN939" s="44">
        <v>0</v>
      </c>
      <c r="AO939" s="43">
        <v>95714538</v>
      </c>
      <c r="AP939" s="43">
        <v>382858152</v>
      </c>
      <c r="AQ939" s="44">
        <v>0</v>
      </c>
      <c r="AR939" s="114">
        <v>95714538</v>
      </c>
      <c r="AS939" s="114">
        <v>382858152</v>
      </c>
      <c r="AT939" s="111">
        <f t="shared" si="1131"/>
        <v>382858152</v>
      </c>
      <c r="AU939" s="110">
        <f t="shared" si="1132"/>
        <v>765716308</v>
      </c>
      <c r="AV939" s="133">
        <f t="shared" si="1133"/>
        <v>0</v>
      </c>
      <c r="AW939" s="34">
        <f t="shared" si="1134"/>
        <v>0</v>
      </c>
      <c r="AX939" s="123">
        <f t="shared" si="1135"/>
        <v>0.33333333217247402</v>
      </c>
    </row>
    <row r="940" spans="1:50" x14ac:dyDescent="0.2">
      <c r="A940" s="4" t="s">
        <v>55</v>
      </c>
      <c r="B940" s="4" t="s">
        <v>56</v>
      </c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134" t="s">
        <v>745</v>
      </c>
      <c r="AB940" s="69" t="s">
        <v>281</v>
      </c>
      <c r="AC940" s="43" t="s">
        <v>253</v>
      </c>
      <c r="AD940" s="43">
        <v>3200000000</v>
      </c>
      <c r="AE940" s="44">
        <v>0</v>
      </c>
      <c r="AF940" s="44">
        <v>0</v>
      </c>
      <c r="AG940" s="44">
        <v>0</v>
      </c>
      <c r="AH940" s="44">
        <v>0</v>
      </c>
      <c r="AI940" s="44">
        <v>0</v>
      </c>
      <c r="AJ940" s="43">
        <v>3200000000</v>
      </c>
      <c r="AK940" s="44">
        <v>0</v>
      </c>
      <c r="AL940" s="43">
        <v>293304652</v>
      </c>
      <c r="AM940" s="43">
        <v>633304652</v>
      </c>
      <c r="AN940" s="44">
        <v>0</v>
      </c>
      <c r="AO940" s="43">
        <v>293304652</v>
      </c>
      <c r="AP940" s="43">
        <v>633304652</v>
      </c>
      <c r="AQ940" s="44">
        <v>0</v>
      </c>
      <c r="AR940" s="114">
        <v>293304652</v>
      </c>
      <c r="AS940" s="114">
        <v>633304652</v>
      </c>
      <c r="AT940" s="111">
        <f t="shared" si="1131"/>
        <v>633304652</v>
      </c>
      <c r="AU940" s="110">
        <f t="shared" si="1132"/>
        <v>2566695348</v>
      </c>
      <c r="AV940" s="133">
        <f t="shared" si="1133"/>
        <v>0</v>
      </c>
      <c r="AW940" s="34">
        <f t="shared" si="1134"/>
        <v>0</v>
      </c>
      <c r="AX940" s="123">
        <f t="shared" si="1135"/>
        <v>0.19790770375</v>
      </c>
    </row>
    <row r="941" spans="1:50" x14ac:dyDescent="0.2">
      <c r="A941" s="4" t="s">
        <v>55</v>
      </c>
      <c r="B941" s="4" t="s">
        <v>56</v>
      </c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1" t="s">
        <v>746</v>
      </c>
      <c r="AB941" s="42" t="s">
        <v>747</v>
      </c>
      <c r="AC941" s="43" t="s">
        <v>258</v>
      </c>
      <c r="AD941" s="43">
        <v>35443183</v>
      </c>
      <c r="AE941" s="44">
        <v>0</v>
      </c>
      <c r="AF941" s="44">
        <v>0</v>
      </c>
      <c r="AG941" s="44">
        <v>0</v>
      </c>
      <c r="AH941" s="44">
        <v>0</v>
      </c>
      <c r="AI941" s="44">
        <v>0</v>
      </c>
      <c r="AJ941" s="43">
        <v>35443183</v>
      </c>
      <c r="AK941" s="44">
        <v>0</v>
      </c>
      <c r="AL941" s="44">
        <v>0</v>
      </c>
      <c r="AM941" s="44">
        <v>0</v>
      </c>
      <c r="AN941" s="44">
        <v>0</v>
      </c>
      <c r="AO941" s="44">
        <v>0</v>
      </c>
      <c r="AP941" s="44">
        <v>0</v>
      </c>
      <c r="AQ941" s="44">
        <v>0</v>
      </c>
      <c r="AR941" s="44">
        <v>0</v>
      </c>
      <c r="AS941" s="44">
        <v>0</v>
      </c>
      <c r="AT941" s="135">
        <f t="shared" si="1131"/>
        <v>0</v>
      </c>
      <c r="AU941" s="110">
        <f t="shared" si="1132"/>
        <v>35443183</v>
      </c>
      <c r="AV941" s="133">
        <f t="shared" si="1133"/>
        <v>0</v>
      </c>
      <c r="AW941" s="34">
        <f t="shared" si="1134"/>
        <v>0</v>
      </c>
      <c r="AX941" s="123">
        <f t="shared" si="1135"/>
        <v>0</v>
      </c>
    </row>
    <row r="942" spans="1:50" x14ac:dyDescent="0.2">
      <c r="A942" s="4" t="s">
        <v>55</v>
      </c>
      <c r="B942" s="4" t="s">
        <v>56</v>
      </c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1" t="s">
        <v>748</v>
      </c>
      <c r="AB942" s="42" t="s">
        <v>749</v>
      </c>
      <c r="AC942" s="43" t="s">
        <v>368</v>
      </c>
      <c r="AD942" s="43">
        <v>30000000</v>
      </c>
      <c r="AE942" s="44">
        <v>0</v>
      </c>
      <c r="AF942" s="44">
        <v>0</v>
      </c>
      <c r="AG942" s="44">
        <v>0</v>
      </c>
      <c r="AH942" s="44">
        <v>0</v>
      </c>
      <c r="AI942" s="44">
        <v>0</v>
      </c>
      <c r="AJ942" s="43">
        <v>30000000</v>
      </c>
      <c r="AK942" s="44">
        <v>0</v>
      </c>
      <c r="AL942" s="44">
        <v>0</v>
      </c>
      <c r="AM942" s="44">
        <v>0</v>
      </c>
      <c r="AN942" s="44">
        <v>0</v>
      </c>
      <c r="AO942" s="44">
        <v>0</v>
      </c>
      <c r="AP942" s="44">
        <v>0</v>
      </c>
      <c r="AQ942" s="44">
        <v>0</v>
      </c>
      <c r="AR942" s="44">
        <v>0</v>
      </c>
      <c r="AS942" s="44">
        <v>0</v>
      </c>
      <c r="AT942" s="135">
        <f t="shared" si="1131"/>
        <v>0</v>
      </c>
      <c r="AU942" s="110">
        <f t="shared" si="1132"/>
        <v>30000000</v>
      </c>
      <c r="AV942" s="133">
        <f t="shared" si="1133"/>
        <v>0</v>
      </c>
      <c r="AW942" s="34">
        <f t="shared" si="1134"/>
        <v>0</v>
      </c>
      <c r="AX942" s="123">
        <f t="shared" si="1135"/>
        <v>0</v>
      </c>
    </row>
    <row r="943" spans="1:50" x14ac:dyDescent="0.2">
      <c r="AA943" s="16"/>
      <c r="AB943" s="17"/>
      <c r="AC943" s="17"/>
      <c r="AD943" s="18"/>
      <c r="AE943" s="34"/>
      <c r="AF943" s="34"/>
      <c r="AG943" s="34"/>
      <c r="AH943" s="34"/>
      <c r="AI943" s="34"/>
      <c r="AJ943" s="18"/>
      <c r="AK943" s="34"/>
      <c r="AL943" s="18"/>
      <c r="AM943" s="18"/>
      <c r="AN943" s="34"/>
      <c r="AO943" s="18"/>
      <c r="AP943" s="18"/>
      <c r="AQ943" s="18"/>
      <c r="AR943" s="18"/>
      <c r="AS943" s="18"/>
      <c r="AT943" s="30"/>
      <c r="AU943" s="18"/>
      <c r="AV943" s="18"/>
      <c r="AW943" s="18"/>
      <c r="AX943" s="18"/>
    </row>
    <row r="944" spans="1:50" s="50" customFormat="1" x14ac:dyDescent="0.2"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46"/>
      <c r="AB944" s="47" t="s">
        <v>750</v>
      </c>
      <c r="AC944" s="22" t="s">
        <v>751</v>
      </c>
      <c r="AD944" s="22">
        <f>SUM(AD938:AD943)</f>
        <v>14059854870</v>
      </c>
      <c r="AE944" s="23">
        <f t="shared" ref="AE944:AW944" si="1136">SUM(AE938:AE943)</f>
        <v>0</v>
      </c>
      <c r="AF944" s="23">
        <f t="shared" si="1136"/>
        <v>0</v>
      </c>
      <c r="AG944" s="23">
        <f t="shared" si="1136"/>
        <v>0</v>
      </c>
      <c r="AH944" s="23">
        <f t="shared" si="1136"/>
        <v>0</v>
      </c>
      <c r="AI944" s="23">
        <f t="shared" si="1136"/>
        <v>0</v>
      </c>
      <c r="AJ944" s="22">
        <f t="shared" si="1136"/>
        <v>14059854870</v>
      </c>
      <c r="AK944" s="23">
        <f t="shared" si="1136"/>
        <v>0</v>
      </c>
      <c r="AL944" s="22">
        <f t="shared" si="1136"/>
        <v>1192838959</v>
      </c>
      <c r="AM944" s="22">
        <f t="shared" si="1136"/>
        <v>4231441880</v>
      </c>
      <c r="AN944" s="23">
        <f t="shared" si="1136"/>
        <v>0</v>
      </c>
      <c r="AO944" s="22">
        <f t="shared" si="1136"/>
        <v>1192838959</v>
      </c>
      <c r="AP944" s="22">
        <f t="shared" si="1136"/>
        <v>4231441880</v>
      </c>
      <c r="AQ944" s="23">
        <f t="shared" si="1136"/>
        <v>0</v>
      </c>
      <c r="AR944" s="22">
        <f t="shared" si="1136"/>
        <v>1192838959</v>
      </c>
      <c r="AS944" s="22">
        <f t="shared" si="1136"/>
        <v>4231441880</v>
      </c>
      <c r="AT944" s="22">
        <f>AQ944+AS944</f>
        <v>4231441880</v>
      </c>
      <c r="AU944" s="22">
        <f t="shared" si="1136"/>
        <v>9828412990</v>
      </c>
      <c r="AV944" s="23">
        <f t="shared" si="1136"/>
        <v>0</v>
      </c>
      <c r="AW944" s="23">
        <f t="shared" si="1136"/>
        <v>0</v>
      </c>
      <c r="AX944" s="24">
        <f t="shared" ref="AX944" si="1137">AP944/AJ944</f>
        <v>0.30095914354199876</v>
      </c>
    </row>
    <row r="945" spans="1:50" x14ac:dyDescent="0.2">
      <c r="AA945" s="16"/>
      <c r="AB945" s="17"/>
      <c r="AC945" s="17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</row>
    <row r="946" spans="1:50" x14ac:dyDescent="0.2">
      <c r="AA946" s="16"/>
      <c r="AB946" s="29" t="s">
        <v>207</v>
      </c>
      <c r="AC946" s="17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</row>
    <row r="947" spans="1:50" x14ac:dyDescent="0.2">
      <c r="AA947" s="16"/>
      <c r="AB947" s="29" t="s">
        <v>285</v>
      </c>
      <c r="AC947" s="17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</row>
    <row r="948" spans="1:50" x14ac:dyDescent="0.2">
      <c r="AA948" s="16"/>
      <c r="AB948" s="29" t="s">
        <v>202</v>
      </c>
      <c r="AC948" s="17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</row>
    <row r="949" spans="1:50" x14ac:dyDescent="0.2">
      <c r="AA949" s="16"/>
      <c r="AB949" s="29" t="s">
        <v>203</v>
      </c>
      <c r="AC949" s="17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</row>
    <row r="950" spans="1:50" x14ac:dyDescent="0.2">
      <c r="AA950" s="16"/>
      <c r="AB950" s="29" t="s">
        <v>752</v>
      </c>
      <c r="AC950" s="17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</row>
    <row r="951" spans="1:50" ht="25.5" x14ac:dyDescent="0.2">
      <c r="AA951" s="16"/>
      <c r="AB951" s="29" t="s">
        <v>205</v>
      </c>
      <c r="AC951" s="17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</row>
    <row r="952" spans="1:50" ht="25.5" x14ac:dyDescent="0.2">
      <c r="AA952" s="16"/>
      <c r="AB952" s="29" t="s">
        <v>205</v>
      </c>
      <c r="AC952" s="17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30"/>
      <c r="AU952" s="18"/>
      <c r="AV952" s="18"/>
      <c r="AW952" s="18"/>
      <c r="AX952" s="18"/>
    </row>
    <row r="953" spans="1:50" x14ac:dyDescent="0.2">
      <c r="AA953" s="28" t="s">
        <v>288</v>
      </c>
      <c r="AB953" s="29" t="s">
        <v>753</v>
      </c>
      <c r="AC953" s="17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30"/>
      <c r="AU953" s="18"/>
      <c r="AV953" s="18"/>
      <c r="AW953" s="18"/>
      <c r="AX953" s="18"/>
    </row>
    <row r="954" spans="1:50" x14ac:dyDescent="0.2">
      <c r="A954" s="4" t="s">
        <v>55</v>
      </c>
      <c r="B954" s="4" t="s">
        <v>56</v>
      </c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1" t="s">
        <v>754</v>
      </c>
      <c r="AB954" s="42" t="s">
        <v>233</v>
      </c>
      <c r="AC954" s="43" t="s">
        <v>58</v>
      </c>
      <c r="AD954" s="43">
        <v>3500000000</v>
      </c>
      <c r="AE954" s="44">
        <v>0</v>
      </c>
      <c r="AF954" s="44">
        <v>0</v>
      </c>
      <c r="AG954" s="44">
        <v>0</v>
      </c>
      <c r="AH954" s="44">
        <v>0</v>
      </c>
      <c r="AI954" s="44">
        <v>0</v>
      </c>
      <c r="AJ954" s="43">
        <v>3500000000</v>
      </c>
      <c r="AK954" s="44">
        <v>0</v>
      </c>
      <c r="AL954" s="43">
        <v>291666667</v>
      </c>
      <c r="AM954" s="43">
        <v>1166666668</v>
      </c>
      <c r="AN954" s="44">
        <v>0</v>
      </c>
      <c r="AO954" s="43">
        <v>291666667</v>
      </c>
      <c r="AP954" s="43">
        <v>1166666668</v>
      </c>
      <c r="AQ954" s="44">
        <v>0</v>
      </c>
      <c r="AR954" s="43">
        <v>291666667</v>
      </c>
      <c r="AS954" s="43">
        <v>1166666668</v>
      </c>
      <c r="AT954" s="111">
        <f t="shared" ref="AT954:AT955" si="1138">AQ954+AS954</f>
        <v>1166666668</v>
      </c>
      <c r="AU954" s="110">
        <f t="shared" ref="AU954:AU955" si="1139">AJ954-AM954</f>
        <v>2333333332</v>
      </c>
      <c r="AV954" s="133">
        <f t="shared" ref="AV954:AV955" si="1140">AM954-AP954</f>
        <v>0</v>
      </c>
      <c r="AW954" s="34">
        <f t="shared" ref="AW954:AW955" si="1141">AP954-AT954</f>
        <v>0</v>
      </c>
      <c r="AX954" s="123">
        <f t="shared" ref="AX954:AX955" si="1142">AP954/AJ954</f>
        <v>0.3333333337142857</v>
      </c>
    </row>
    <row r="955" spans="1:50" x14ac:dyDescent="0.2">
      <c r="A955" s="4" t="s">
        <v>55</v>
      </c>
      <c r="B955" s="4" t="s">
        <v>56</v>
      </c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1" t="s">
        <v>755</v>
      </c>
      <c r="AB955" s="42" t="s">
        <v>756</v>
      </c>
      <c r="AC955" s="43" t="s">
        <v>757</v>
      </c>
      <c r="AD955" s="43">
        <v>103000000</v>
      </c>
      <c r="AE955" s="44">
        <v>0</v>
      </c>
      <c r="AF955" s="44">
        <v>0</v>
      </c>
      <c r="AG955" s="44">
        <v>0</v>
      </c>
      <c r="AH955" s="44">
        <v>0</v>
      </c>
      <c r="AI955" s="44">
        <v>0</v>
      </c>
      <c r="AJ955" s="43">
        <v>103000000</v>
      </c>
      <c r="AK955" s="44">
        <v>0</v>
      </c>
      <c r="AL955" s="43">
        <v>0</v>
      </c>
      <c r="AM955" s="43">
        <v>11617249</v>
      </c>
      <c r="AN955" s="44">
        <v>0</v>
      </c>
      <c r="AO955" s="43">
        <v>0</v>
      </c>
      <c r="AP955" s="43">
        <v>11617249</v>
      </c>
      <c r="AQ955" s="44">
        <v>0</v>
      </c>
      <c r="AR955" s="44">
        <v>0</v>
      </c>
      <c r="AS955" s="44">
        <v>11617249</v>
      </c>
      <c r="AT955" s="135">
        <f t="shared" si="1138"/>
        <v>11617249</v>
      </c>
      <c r="AU955" s="110">
        <f t="shared" si="1139"/>
        <v>91382751</v>
      </c>
      <c r="AV955" s="133">
        <f t="shared" si="1140"/>
        <v>0</v>
      </c>
      <c r="AW955" s="34">
        <f t="shared" si="1141"/>
        <v>0</v>
      </c>
      <c r="AX955" s="123">
        <f t="shared" si="1142"/>
        <v>0.11278882524271845</v>
      </c>
    </row>
    <row r="956" spans="1:50" x14ac:dyDescent="0.2">
      <c r="AA956" s="16"/>
      <c r="AB956" s="17"/>
      <c r="AC956" s="17"/>
      <c r="AD956" s="18"/>
      <c r="AE956" s="34"/>
      <c r="AF956" s="34"/>
      <c r="AG956" s="34"/>
      <c r="AH956" s="34"/>
      <c r="AI956" s="34"/>
      <c r="AJ956" s="18"/>
      <c r="AK956" s="34"/>
      <c r="AL956" s="18"/>
      <c r="AM956" s="18"/>
      <c r="AN956" s="34"/>
      <c r="AO956" s="18"/>
      <c r="AP956" s="18"/>
      <c r="AQ956" s="34"/>
      <c r="AR956" s="18"/>
      <c r="AS956" s="18"/>
      <c r="AT956" s="30"/>
      <c r="AU956" s="18"/>
      <c r="AV956" s="18"/>
      <c r="AW956" s="18"/>
      <c r="AX956" s="18"/>
    </row>
    <row r="957" spans="1:50" s="50" customFormat="1" x14ac:dyDescent="0.2"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46"/>
      <c r="AB957" s="47" t="s">
        <v>758</v>
      </c>
      <c r="AC957" s="22" t="s">
        <v>759</v>
      </c>
      <c r="AD957" s="22">
        <f>SUM(AD954:AD956)</f>
        <v>3603000000</v>
      </c>
      <c r="AE957" s="23">
        <f t="shared" ref="AE957:AX957" si="1143">SUM(AE954:AE956)</f>
        <v>0</v>
      </c>
      <c r="AF957" s="23">
        <f t="shared" si="1143"/>
        <v>0</v>
      </c>
      <c r="AG957" s="23">
        <f t="shared" si="1143"/>
        <v>0</v>
      </c>
      <c r="AH957" s="23">
        <f t="shared" si="1143"/>
        <v>0</v>
      </c>
      <c r="AI957" s="23">
        <f t="shared" si="1143"/>
        <v>0</v>
      </c>
      <c r="AJ957" s="22">
        <f t="shared" si="1143"/>
        <v>3603000000</v>
      </c>
      <c r="AK957" s="23">
        <f t="shared" si="1143"/>
        <v>0</v>
      </c>
      <c r="AL957" s="22">
        <f t="shared" si="1143"/>
        <v>291666667</v>
      </c>
      <c r="AM957" s="22">
        <f t="shared" si="1143"/>
        <v>1178283917</v>
      </c>
      <c r="AN957" s="23">
        <f t="shared" si="1143"/>
        <v>0</v>
      </c>
      <c r="AO957" s="22">
        <f t="shared" si="1143"/>
        <v>291666667</v>
      </c>
      <c r="AP957" s="22">
        <f t="shared" si="1143"/>
        <v>1178283917</v>
      </c>
      <c r="AQ957" s="23">
        <f t="shared" si="1143"/>
        <v>0</v>
      </c>
      <c r="AR957" s="22">
        <f t="shared" si="1143"/>
        <v>291666667</v>
      </c>
      <c r="AS957" s="22">
        <f t="shared" si="1143"/>
        <v>1178283917</v>
      </c>
      <c r="AT957" s="22">
        <f>AQ957+AS957</f>
        <v>1178283917</v>
      </c>
      <c r="AU957" s="22">
        <f t="shared" si="1143"/>
        <v>2424716083</v>
      </c>
      <c r="AV957" s="23">
        <f t="shared" si="1143"/>
        <v>0</v>
      </c>
      <c r="AW957" s="23">
        <f t="shared" si="1143"/>
        <v>0</v>
      </c>
      <c r="AX957" s="22">
        <f t="shared" si="1143"/>
        <v>0.44612215895700413</v>
      </c>
    </row>
    <row r="958" spans="1:50" x14ac:dyDescent="0.2">
      <c r="AA958" s="16"/>
      <c r="AB958" s="17"/>
      <c r="AC958" s="17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</row>
    <row r="959" spans="1:50" s="25" customFormat="1" x14ac:dyDescent="0.2"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66"/>
      <c r="AB959" s="21" t="s">
        <v>760</v>
      </c>
      <c r="AC959" s="67"/>
      <c r="AD959" s="63"/>
      <c r="AE959" s="63"/>
      <c r="AF959" s="63"/>
      <c r="AG959" s="63"/>
      <c r="AH959" s="63"/>
      <c r="AI959" s="63"/>
      <c r="AJ959" s="63"/>
      <c r="AK959" s="63"/>
      <c r="AL959" s="63"/>
      <c r="AM959" s="63"/>
      <c r="AN959" s="63"/>
      <c r="AO959" s="63"/>
      <c r="AP959" s="63"/>
      <c r="AQ959" s="63"/>
      <c r="AR959" s="63"/>
      <c r="AS959" s="63"/>
      <c r="AT959" s="63"/>
      <c r="AU959" s="63"/>
      <c r="AV959" s="63"/>
      <c r="AW959" s="63"/>
      <c r="AX959" s="63"/>
    </row>
    <row r="960" spans="1:50" x14ac:dyDescent="0.2">
      <c r="AA960" s="16"/>
      <c r="AB960" s="29" t="s">
        <v>285</v>
      </c>
      <c r="AC960" s="17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</row>
    <row r="961" spans="1:50" x14ac:dyDescent="0.2">
      <c r="AA961" s="16"/>
      <c r="AB961" s="29" t="s">
        <v>177</v>
      </c>
      <c r="AC961" s="17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</row>
    <row r="962" spans="1:50" x14ac:dyDescent="0.2">
      <c r="AA962" s="16"/>
      <c r="AB962" s="29" t="s">
        <v>179</v>
      </c>
      <c r="AC962" s="17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</row>
    <row r="963" spans="1:50" x14ac:dyDescent="0.2">
      <c r="AA963" s="16"/>
      <c r="AB963" s="29" t="s">
        <v>761</v>
      </c>
      <c r="AC963" s="17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</row>
    <row r="964" spans="1:50" ht="25.5" x14ac:dyDescent="0.2">
      <c r="AA964" s="16"/>
      <c r="AB964" s="29" t="s">
        <v>298</v>
      </c>
      <c r="AC964" s="17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</row>
    <row r="965" spans="1:50" x14ac:dyDescent="0.2">
      <c r="AA965" s="28" t="s">
        <v>288</v>
      </c>
      <c r="AB965" s="29">
        <v>0</v>
      </c>
      <c r="AC965" s="17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30"/>
      <c r="AU965" s="18"/>
      <c r="AV965" s="18"/>
      <c r="AW965" s="18"/>
      <c r="AX965" s="18"/>
    </row>
    <row r="966" spans="1:50" x14ac:dyDescent="0.2">
      <c r="A966" s="4" t="s">
        <v>55</v>
      </c>
      <c r="B966" s="4" t="s">
        <v>56</v>
      </c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1" t="s">
        <v>763</v>
      </c>
      <c r="AB966" s="42" t="s">
        <v>233</v>
      </c>
      <c r="AC966" s="43" t="s">
        <v>58</v>
      </c>
      <c r="AD966" s="43">
        <v>123000000</v>
      </c>
      <c r="AE966" s="44">
        <v>0</v>
      </c>
      <c r="AF966" s="44">
        <v>0</v>
      </c>
      <c r="AG966" s="43">
        <v>431000000</v>
      </c>
      <c r="AH966" s="43">
        <v>431000000</v>
      </c>
      <c r="AI966" s="43">
        <f>AE966-AF966+AG966-AH966</f>
        <v>0</v>
      </c>
      <c r="AJ966" s="43">
        <f>AD966+AI966</f>
        <v>123000000</v>
      </c>
      <c r="AK966" s="44">
        <v>0</v>
      </c>
      <c r="AL966" s="44">
        <v>0</v>
      </c>
      <c r="AM966" s="43">
        <v>111780000</v>
      </c>
      <c r="AN966" s="44">
        <v>0</v>
      </c>
      <c r="AO966" s="44">
        <v>0</v>
      </c>
      <c r="AP966" s="43">
        <v>111780000</v>
      </c>
      <c r="AQ966" s="43">
        <v>11180000</v>
      </c>
      <c r="AR966" s="43">
        <v>11180000</v>
      </c>
      <c r="AS966" s="114">
        <v>24416666</v>
      </c>
      <c r="AT966" s="111">
        <f t="shared" ref="AT966:AT970" si="1144">AQ966+AS966</f>
        <v>35596666</v>
      </c>
      <c r="AU966" s="110">
        <f t="shared" ref="AU966" si="1145">AJ966-AM966</f>
        <v>11220000</v>
      </c>
      <c r="AV966" s="133">
        <f t="shared" ref="AV966" si="1146">AM966-AP966</f>
        <v>0</v>
      </c>
      <c r="AW966" s="110">
        <f t="shared" ref="AW966" si="1147">AP966-AT966</f>
        <v>76183334</v>
      </c>
      <c r="AX966" s="123">
        <f t="shared" ref="AX966" si="1148">AP966/AJ966</f>
        <v>0.90878048780487808</v>
      </c>
    </row>
    <row r="967" spans="1:50" ht="25.5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1" t="s">
        <v>288</v>
      </c>
      <c r="AB967" s="74" t="s">
        <v>990</v>
      </c>
      <c r="AC967" s="43"/>
      <c r="AD967" s="43"/>
      <c r="AE967" s="44"/>
      <c r="AF967" s="44"/>
      <c r="AG967" s="43"/>
      <c r="AH967" s="44"/>
      <c r="AI967" s="43"/>
      <c r="AJ967" s="43"/>
      <c r="AK967" s="44"/>
      <c r="AL967" s="44"/>
      <c r="AM967" s="43"/>
      <c r="AN967" s="44"/>
      <c r="AO967" s="44"/>
      <c r="AP967" s="43"/>
      <c r="AQ967" s="43"/>
      <c r="AR967" s="43"/>
      <c r="AS967" s="190"/>
      <c r="AT967" s="191"/>
      <c r="AU967" s="110"/>
      <c r="AV967" s="133"/>
      <c r="AW967" s="110"/>
      <c r="AX967" s="123"/>
    </row>
    <row r="968" spans="1:50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1" t="s">
        <v>989</v>
      </c>
      <c r="AB968" s="42" t="s">
        <v>233</v>
      </c>
      <c r="AC968" s="43"/>
      <c r="AD968" s="43">
        <v>0</v>
      </c>
      <c r="AE968" s="44">
        <v>0</v>
      </c>
      <c r="AF968" s="44">
        <v>0</v>
      </c>
      <c r="AG968" s="43">
        <v>431000000</v>
      </c>
      <c r="AH968" s="44"/>
      <c r="AI968" s="43">
        <f>AE968-AF968+AG968-AH968</f>
        <v>431000000</v>
      </c>
      <c r="AJ968" s="43">
        <f>AD968+AI968</f>
        <v>431000000</v>
      </c>
      <c r="AK968" s="44">
        <v>0</v>
      </c>
      <c r="AL968" s="44">
        <v>0</v>
      </c>
      <c r="AM968" s="43">
        <v>0</v>
      </c>
      <c r="AN968" s="44">
        <v>0</v>
      </c>
      <c r="AO968" s="44">
        <v>0</v>
      </c>
      <c r="AP968" s="44">
        <v>0</v>
      </c>
      <c r="AQ968" s="44">
        <v>0</v>
      </c>
      <c r="AR968" s="44">
        <v>0</v>
      </c>
      <c r="AS968" s="190">
        <v>0</v>
      </c>
      <c r="AT968" s="191">
        <f t="shared" ref="AT968" si="1149">AQ968+AS968</f>
        <v>0</v>
      </c>
      <c r="AU968" s="110">
        <f t="shared" ref="AU968" si="1150">AJ968-AM968</f>
        <v>431000000</v>
      </c>
      <c r="AV968" s="133">
        <f t="shared" ref="AV968" si="1151">AM968-AP968</f>
        <v>0</v>
      </c>
      <c r="AW968" s="133">
        <f t="shared" ref="AW968" si="1152">AP968-AT968</f>
        <v>0</v>
      </c>
      <c r="AX968" s="123">
        <f t="shared" ref="AX968" si="1153">AP968/AJ968</f>
        <v>0</v>
      </c>
    </row>
    <row r="969" spans="1:50" x14ac:dyDescent="0.2">
      <c r="AA969" s="28" t="s">
        <v>288</v>
      </c>
      <c r="AB969" s="29" t="s">
        <v>764</v>
      </c>
      <c r="AC969" s="17"/>
      <c r="AD969" s="18"/>
      <c r="AE969" s="18"/>
      <c r="AF969" s="18"/>
      <c r="AG969" s="18"/>
      <c r="AH969" s="18"/>
      <c r="AI969" s="18"/>
      <c r="AJ969" s="18"/>
      <c r="AK969" s="34"/>
      <c r="AL969" s="34"/>
      <c r="AM969" s="18"/>
      <c r="AN969" s="34"/>
      <c r="AO969" s="34"/>
      <c r="AP969" s="18"/>
      <c r="AQ969" s="18"/>
      <c r="AR969" s="18"/>
      <c r="AS969" s="34"/>
      <c r="AT969" s="31"/>
      <c r="AU969" s="18"/>
      <c r="AV969" s="18"/>
      <c r="AW969" s="110"/>
      <c r="AX969" s="18"/>
    </row>
    <row r="970" spans="1:50" x14ac:dyDescent="0.2">
      <c r="A970" s="4" t="s">
        <v>55</v>
      </c>
      <c r="B970" s="4" t="s">
        <v>56</v>
      </c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1" t="s">
        <v>765</v>
      </c>
      <c r="AB970" s="42" t="s">
        <v>233</v>
      </c>
      <c r="AC970" s="43" t="s">
        <v>58</v>
      </c>
      <c r="AD970" s="43">
        <v>77000000</v>
      </c>
      <c r="AE970" s="44">
        <v>0</v>
      </c>
      <c r="AF970" s="44">
        <v>0</v>
      </c>
      <c r="AG970" s="44">
        <v>0</v>
      </c>
      <c r="AH970" s="44">
        <v>0</v>
      </c>
      <c r="AI970" s="44">
        <v>0</v>
      </c>
      <c r="AJ970" s="43">
        <v>77000000</v>
      </c>
      <c r="AK970" s="44">
        <v>0</v>
      </c>
      <c r="AL970" s="44">
        <v>0</v>
      </c>
      <c r="AM970" s="43">
        <v>65000000</v>
      </c>
      <c r="AN970" s="44">
        <v>0</v>
      </c>
      <c r="AO970" s="44">
        <v>0</v>
      </c>
      <c r="AP970" s="43">
        <v>65000000</v>
      </c>
      <c r="AQ970" s="43">
        <v>7000000</v>
      </c>
      <c r="AR970" s="43">
        <v>7000000</v>
      </c>
      <c r="AS970" s="43">
        <v>13733333</v>
      </c>
      <c r="AT970" s="39">
        <f t="shared" si="1144"/>
        <v>20733333</v>
      </c>
      <c r="AU970" s="110">
        <f t="shared" ref="AU970" si="1154">AJ970-AM970</f>
        <v>12000000</v>
      </c>
      <c r="AV970" s="133">
        <f t="shared" ref="AV970" si="1155">AM970-AP970</f>
        <v>0</v>
      </c>
      <c r="AW970" s="110">
        <f t="shared" ref="AW970" si="1156">AP970-AT970</f>
        <v>44266667</v>
      </c>
      <c r="AX970" s="123">
        <f t="shared" ref="AX970" si="1157">AP970/AJ970</f>
        <v>0.8441558441558441</v>
      </c>
    </row>
    <row r="971" spans="1:50" x14ac:dyDescent="0.2">
      <c r="AA971" s="16"/>
      <c r="AB971" s="17"/>
      <c r="AC971" s="17"/>
      <c r="AD971" s="18"/>
      <c r="AE971" s="34"/>
      <c r="AF971" s="34"/>
      <c r="AG971" s="34"/>
      <c r="AH971" s="34"/>
      <c r="AI971" s="34"/>
      <c r="AJ971" s="18"/>
      <c r="AK971" s="34"/>
      <c r="AL971" s="34"/>
      <c r="AM971" s="18"/>
      <c r="AN971" s="34"/>
      <c r="AO971" s="34"/>
      <c r="AP971" s="18"/>
      <c r="AQ971" s="34"/>
      <c r="AR971" s="34"/>
      <c r="AS971" s="34"/>
      <c r="AT971" s="31"/>
      <c r="AU971" s="18"/>
      <c r="AV971" s="18"/>
      <c r="AW971" s="18"/>
      <c r="AX971" s="18"/>
    </row>
    <row r="972" spans="1:50" s="50" customFormat="1" x14ac:dyDescent="0.2"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46"/>
      <c r="AB972" s="47" t="s">
        <v>766</v>
      </c>
      <c r="AC972" s="22" t="s">
        <v>767</v>
      </c>
      <c r="AD972" s="22">
        <f>SUM(AD965:AD970)</f>
        <v>200000000</v>
      </c>
      <c r="AE972" s="23">
        <f t="shared" ref="AE972:AW972" si="1158">SUM(AE965:AE970)</f>
        <v>0</v>
      </c>
      <c r="AF972" s="23">
        <f t="shared" si="1158"/>
        <v>0</v>
      </c>
      <c r="AG972" s="22">
        <f t="shared" si="1158"/>
        <v>862000000</v>
      </c>
      <c r="AH972" s="22">
        <f t="shared" si="1158"/>
        <v>431000000</v>
      </c>
      <c r="AI972" s="189">
        <f t="shared" si="1158"/>
        <v>431000000</v>
      </c>
      <c r="AJ972" s="22">
        <f t="shared" si="1158"/>
        <v>631000000</v>
      </c>
      <c r="AK972" s="23">
        <f t="shared" si="1158"/>
        <v>0</v>
      </c>
      <c r="AL972" s="23">
        <f t="shared" si="1158"/>
        <v>0</v>
      </c>
      <c r="AM972" s="22">
        <f t="shared" si="1158"/>
        <v>176780000</v>
      </c>
      <c r="AN972" s="23">
        <f t="shared" si="1158"/>
        <v>0</v>
      </c>
      <c r="AO972" s="23">
        <f t="shared" si="1158"/>
        <v>0</v>
      </c>
      <c r="AP972" s="22">
        <f t="shared" si="1158"/>
        <v>176780000</v>
      </c>
      <c r="AQ972" s="22">
        <f t="shared" si="1158"/>
        <v>18180000</v>
      </c>
      <c r="AR972" s="108">
        <f t="shared" si="1158"/>
        <v>18180000</v>
      </c>
      <c r="AS972" s="108">
        <f t="shared" si="1158"/>
        <v>38149999</v>
      </c>
      <c r="AT972" s="108">
        <f>AQ972+AS972</f>
        <v>56329999</v>
      </c>
      <c r="AU972" s="22">
        <f t="shared" si="1158"/>
        <v>454220000</v>
      </c>
      <c r="AV972" s="23">
        <f t="shared" si="1158"/>
        <v>0</v>
      </c>
      <c r="AW972" s="22">
        <f t="shared" si="1158"/>
        <v>120450001</v>
      </c>
      <c r="AX972" s="24">
        <f t="shared" ref="AX972" si="1159">AP972/AJ972</f>
        <v>0.28015847860538828</v>
      </c>
    </row>
    <row r="973" spans="1:50" x14ac:dyDescent="0.2">
      <c r="AA973" s="16"/>
      <c r="AB973" s="17"/>
      <c r="AC973" s="17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</row>
    <row r="974" spans="1:50" s="25" customFormat="1" x14ac:dyDescent="0.2"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66"/>
      <c r="AB974" s="21" t="s">
        <v>768</v>
      </c>
      <c r="AC974" s="67"/>
      <c r="AD974" s="63"/>
      <c r="AE974" s="63"/>
      <c r="AF974" s="63"/>
      <c r="AG974" s="63"/>
      <c r="AH974" s="63"/>
      <c r="AI974" s="63"/>
      <c r="AJ974" s="63"/>
      <c r="AK974" s="63"/>
      <c r="AL974" s="63"/>
      <c r="AM974" s="63"/>
      <c r="AN974" s="63"/>
      <c r="AO974" s="63"/>
      <c r="AP974" s="63"/>
      <c r="AQ974" s="63"/>
      <c r="AR974" s="63"/>
      <c r="AS974" s="63"/>
      <c r="AT974" s="63"/>
      <c r="AU974" s="63"/>
      <c r="AV974" s="63"/>
      <c r="AW974" s="63"/>
      <c r="AX974" s="63"/>
    </row>
    <row r="975" spans="1:50" x14ac:dyDescent="0.2">
      <c r="AA975" s="16"/>
      <c r="AB975" s="29" t="s">
        <v>285</v>
      </c>
      <c r="AC975" s="17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</row>
    <row r="976" spans="1:50" x14ac:dyDescent="0.2">
      <c r="AA976" s="16"/>
      <c r="AB976" s="29" t="s">
        <v>202</v>
      </c>
      <c r="AC976" s="17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</row>
    <row r="977" spans="1:50" x14ac:dyDescent="0.2">
      <c r="AA977" s="16"/>
      <c r="AB977" s="29" t="s">
        <v>203</v>
      </c>
      <c r="AC977" s="17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</row>
    <row r="978" spans="1:50" x14ac:dyDescent="0.2">
      <c r="AA978" s="16"/>
      <c r="AB978" s="29" t="s">
        <v>204</v>
      </c>
      <c r="AC978" s="17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</row>
    <row r="979" spans="1:50" ht="25.5" x14ac:dyDescent="0.2">
      <c r="AA979" s="16"/>
      <c r="AB979" s="29" t="s">
        <v>205</v>
      </c>
      <c r="AC979" s="17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</row>
    <row r="980" spans="1:50" ht="25.5" x14ac:dyDescent="0.2">
      <c r="AA980" s="28" t="s">
        <v>288</v>
      </c>
      <c r="AB980" s="29" t="s">
        <v>769</v>
      </c>
      <c r="AC980" s="17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30"/>
      <c r="AU980" s="18"/>
      <c r="AV980" s="18"/>
      <c r="AW980" s="18"/>
      <c r="AX980" s="18"/>
    </row>
    <row r="981" spans="1:50" s="150" customFormat="1" x14ac:dyDescent="0.2">
      <c r="A981" s="140" t="s">
        <v>55</v>
      </c>
      <c r="B981" s="140" t="s">
        <v>56</v>
      </c>
      <c r="C981" s="140"/>
      <c r="D981" s="140"/>
      <c r="E981" s="140"/>
      <c r="F981" s="140"/>
      <c r="G981" s="140"/>
      <c r="H981" s="140"/>
      <c r="I981" s="140"/>
      <c r="J981" s="140"/>
      <c r="K981" s="140"/>
      <c r="L981" s="140"/>
      <c r="M981" s="140"/>
      <c r="N981" s="140"/>
      <c r="O981" s="140"/>
      <c r="P981" s="140"/>
      <c r="Q981" s="140"/>
      <c r="R981" s="140"/>
      <c r="S981" s="140"/>
      <c r="T981" s="140"/>
      <c r="U981" s="140"/>
      <c r="V981" s="140"/>
      <c r="W981" s="140"/>
      <c r="X981" s="140"/>
      <c r="Y981" s="140"/>
      <c r="Z981" s="140"/>
      <c r="AA981" s="134" t="s">
        <v>770</v>
      </c>
      <c r="AB981" s="69" t="s">
        <v>233</v>
      </c>
      <c r="AC981" s="142" t="s">
        <v>58</v>
      </c>
      <c r="AD981" s="142">
        <v>4000000000</v>
      </c>
      <c r="AE981" s="143">
        <v>0</v>
      </c>
      <c r="AF981" s="143">
        <v>0</v>
      </c>
      <c r="AG981" s="143">
        <v>0</v>
      </c>
      <c r="AH981" s="143">
        <v>0</v>
      </c>
      <c r="AI981" s="143">
        <v>0</v>
      </c>
      <c r="AJ981" s="142">
        <v>4000000000</v>
      </c>
      <c r="AK981" s="143">
        <v>0</v>
      </c>
      <c r="AL981" s="142">
        <v>333333333</v>
      </c>
      <c r="AM981" s="142">
        <v>1333333332</v>
      </c>
      <c r="AN981" s="143">
        <v>0</v>
      </c>
      <c r="AO981" s="142">
        <v>333333333</v>
      </c>
      <c r="AP981" s="142">
        <v>1333333332</v>
      </c>
      <c r="AQ981" s="143">
        <v>0</v>
      </c>
      <c r="AR981" s="142">
        <v>333333333</v>
      </c>
      <c r="AS981" s="142">
        <v>1333333332</v>
      </c>
      <c r="AT981" s="174">
        <f t="shared" ref="AT981" si="1160">AQ981+AS981</f>
        <v>1333333332</v>
      </c>
      <c r="AU981" s="148">
        <f t="shared" ref="AU981" si="1161">AJ981-AM981</f>
        <v>2666666668</v>
      </c>
      <c r="AV981" s="175">
        <f t="shared" ref="AV981" si="1162">AM981-AP981</f>
        <v>0</v>
      </c>
      <c r="AW981" s="175">
        <f t="shared" ref="AW981" si="1163">AP981-AT981</f>
        <v>0</v>
      </c>
      <c r="AX981" s="149">
        <f t="shared" ref="AX981" si="1164">AP981/AJ981</f>
        <v>0.33333333300000001</v>
      </c>
    </row>
    <row r="982" spans="1:50" x14ac:dyDescent="0.2">
      <c r="AA982" s="16"/>
      <c r="AB982" s="17"/>
      <c r="AC982" s="17"/>
      <c r="AD982" s="18"/>
      <c r="AE982" s="34"/>
      <c r="AF982" s="34"/>
      <c r="AG982" s="34"/>
      <c r="AH982" s="34"/>
      <c r="AI982" s="34"/>
      <c r="AJ982" s="18"/>
      <c r="AK982" s="34"/>
      <c r="AL982" s="18"/>
      <c r="AM982" s="18"/>
      <c r="AN982" s="34"/>
      <c r="AO982" s="18"/>
      <c r="AP982" s="18"/>
      <c r="AQ982" s="34"/>
      <c r="AR982" s="18"/>
      <c r="AS982" s="18"/>
      <c r="AT982" s="30"/>
      <c r="AU982" s="18"/>
      <c r="AV982" s="34"/>
      <c r="AW982" s="34"/>
      <c r="AX982" s="18"/>
    </row>
    <row r="983" spans="1:50" s="50" customFormat="1" x14ac:dyDescent="0.2"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46"/>
      <c r="AB983" s="47" t="s">
        <v>771</v>
      </c>
      <c r="AC983" s="22" t="s">
        <v>772</v>
      </c>
      <c r="AD983" s="22">
        <f>SUM(AD981:AD982)</f>
        <v>4000000000</v>
      </c>
      <c r="AE983" s="23">
        <f t="shared" ref="AE983:AW983" si="1165">SUM(AE981:AE982)</f>
        <v>0</v>
      </c>
      <c r="AF983" s="23">
        <f t="shared" si="1165"/>
        <v>0</v>
      </c>
      <c r="AG983" s="23">
        <f t="shared" si="1165"/>
        <v>0</v>
      </c>
      <c r="AH983" s="23">
        <f t="shared" si="1165"/>
        <v>0</v>
      </c>
      <c r="AI983" s="23">
        <f t="shared" si="1165"/>
        <v>0</v>
      </c>
      <c r="AJ983" s="22">
        <f t="shared" si="1165"/>
        <v>4000000000</v>
      </c>
      <c r="AK983" s="23">
        <f t="shared" si="1165"/>
        <v>0</v>
      </c>
      <c r="AL983" s="22">
        <f t="shared" si="1165"/>
        <v>333333333</v>
      </c>
      <c r="AM983" s="22">
        <f t="shared" si="1165"/>
        <v>1333333332</v>
      </c>
      <c r="AN983" s="23">
        <f t="shared" si="1165"/>
        <v>0</v>
      </c>
      <c r="AO983" s="22">
        <f t="shared" si="1165"/>
        <v>333333333</v>
      </c>
      <c r="AP983" s="22">
        <f t="shared" si="1165"/>
        <v>1333333332</v>
      </c>
      <c r="AQ983" s="23">
        <f t="shared" si="1165"/>
        <v>0</v>
      </c>
      <c r="AR983" s="22">
        <f t="shared" si="1165"/>
        <v>333333333</v>
      </c>
      <c r="AS983" s="22">
        <f t="shared" si="1165"/>
        <v>1333333332</v>
      </c>
      <c r="AT983" s="22">
        <f>AQ983+AS983</f>
        <v>1333333332</v>
      </c>
      <c r="AU983" s="22">
        <f t="shared" si="1165"/>
        <v>2666666668</v>
      </c>
      <c r="AV983" s="23">
        <f t="shared" si="1165"/>
        <v>0</v>
      </c>
      <c r="AW983" s="23">
        <f t="shared" si="1165"/>
        <v>0</v>
      </c>
      <c r="AX983" s="24">
        <f t="shared" ref="AX983" si="1166">AP983/AJ983</f>
        <v>0.33333333300000001</v>
      </c>
    </row>
    <row r="984" spans="1:50" x14ac:dyDescent="0.2">
      <c r="AA984" s="16"/>
      <c r="AB984" s="17"/>
      <c r="AC984" s="17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34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</row>
    <row r="985" spans="1:50" s="25" customFormat="1" x14ac:dyDescent="0.2"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85"/>
      <c r="AB985" s="86" t="s">
        <v>773</v>
      </c>
      <c r="AC985" s="87"/>
      <c r="AD985" s="63"/>
      <c r="AE985" s="88"/>
      <c r="AF985" s="88"/>
      <c r="AG985" s="88"/>
      <c r="AH985" s="88"/>
      <c r="AI985" s="88"/>
      <c r="AJ985" s="88"/>
      <c r="AK985" s="88"/>
      <c r="AL985" s="88"/>
      <c r="AM985" s="88"/>
      <c r="AN985" s="88"/>
      <c r="AO985" s="88"/>
      <c r="AP985" s="88"/>
      <c r="AQ985" s="88"/>
      <c r="AR985" s="88"/>
      <c r="AS985" s="88"/>
      <c r="AT985" s="88"/>
      <c r="AU985" s="88"/>
      <c r="AV985" s="88"/>
      <c r="AW985" s="88"/>
      <c r="AX985" s="88"/>
    </row>
    <row r="986" spans="1:50" x14ac:dyDescent="0.2">
      <c r="AA986" s="89"/>
      <c r="AB986" s="90" t="s">
        <v>676</v>
      </c>
      <c r="AC986" s="91"/>
      <c r="AD986" s="18"/>
      <c r="AE986" s="92"/>
      <c r="AF986" s="92"/>
      <c r="AG986" s="92"/>
      <c r="AH986" s="92"/>
      <c r="AI986" s="92"/>
      <c r="AJ986" s="92"/>
      <c r="AK986" s="92"/>
      <c r="AL986" s="92"/>
      <c r="AM986" s="92"/>
      <c r="AN986" s="92"/>
      <c r="AO986" s="92"/>
      <c r="AP986" s="92"/>
      <c r="AQ986" s="92"/>
      <c r="AR986" s="92"/>
      <c r="AS986" s="92"/>
      <c r="AT986" s="92"/>
      <c r="AU986" s="92"/>
      <c r="AV986" s="92"/>
      <c r="AW986" s="92"/>
      <c r="AX986" s="92"/>
    </row>
    <row r="987" spans="1:50" x14ac:dyDescent="0.2">
      <c r="AA987" s="89"/>
      <c r="AB987" s="90" t="s">
        <v>286</v>
      </c>
      <c r="AC987" s="91"/>
      <c r="AD987" s="18"/>
      <c r="AE987" s="92"/>
      <c r="AF987" s="92"/>
      <c r="AG987" s="92"/>
      <c r="AH987" s="92"/>
      <c r="AI987" s="92"/>
      <c r="AJ987" s="92"/>
      <c r="AK987" s="92"/>
      <c r="AL987" s="92"/>
      <c r="AM987" s="92"/>
      <c r="AN987" s="92"/>
      <c r="AO987" s="92"/>
      <c r="AP987" s="92"/>
      <c r="AQ987" s="92"/>
      <c r="AR987" s="92"/>
      <c r="AS987" s="92"/>
      <c r="AT987" s="92"/>
      <c r="AU987" s="92"/>
      <c r="AV987" s="92"/>
      <c r="AW987" s="92"/>
      <c r="AX987" s="92"/>
    </row>
    <row r="988" spans="1:50" x14ac:dyDescent="0.2">
      <c r="AA988" s="89"/>
      <c r="AB988" s="90" t="s">
        <v>179</v>
      </c>
      <c r="AC988" s="91"/>
      <c r="AD988" s="18"/>
      <c r="AE988" s="92"/>
      <c r="AF988" s="92"/>
      <c r="AG988" s="92"/>
      <c r="AH988" s="92"/>
      <c r="AI988" s="92"/>
      <c r="AJ988" s="92"/>
      <c r="AK988" s="92"/>
      <c r="AL988" s="92"/>
      <c r="AM988" s="92"/>
      <c r="AN988" s="92"/>
      <c r="AO988" s="92"/>
      <c r="AP988" s="92"/>
      <c r="AQ988" s="92"/>
      <c r="AR988" s="92"/>
      <c r="AS988" s="92"/>
      <c r="AT988" s="92"/>
      <c r="AU988" s="92"/>
      <c r="AV988" s="92"/>
      <c r="AW988" s="92"/>
      <c r="AX988" s="92"/>
    </row>
    <row r="989" spans="1:50" x14ac:dyDescent="0.2">
      <c r="AA989" s="89"/>
      <c r="AB989" s="90" t="s">
        <v>189</v>
      </c>
      <c r="AC989" s="91"/>
      <c r="AD989" s="18"/>
      <c r="AE989" s="92"/>
      <c r="AF989" s="92"/>
      <c r="AG989" s="92"/>
      <c r="AH989" s="92"/>
      <c r="AI989" s="92"/>
      <c r="AJ989" s="92"/>
      <c r="AK989" s="92"/>
      <c r="AL989" s="92"/>
      <c r="AM989" s="92"/>
      <c r="AN989" s="92"/>
      <c r="AO989" s="92"/>
      <c r="AP989" s="92"/>
      <c r="AQ989" s="92"/>
      <c r="AR989" s="92"/>
      <c r="AS989" s="92"/>
      <c r="AT989" s="92"/>
      <c r="AU989" s="92"/>
      <c r="AV989" s="92"/>
      <c r="AW989" s="92"/>
      <c r="AX989" s="92"/>
    </row>
    <row r="990" spans="1:50" x14ac:dyDescent="0.2">
      <c r="AA990" s="89"/>
      <c r="AB990" s="90" t="s">
        <v>191</v>
      </c>
      <c r="AC990" s="91"/>
      <c r="AD990" s="18"/>
      <c r="AE990" s="92"/>
      <c r="AF990" s="92"/>
      <c r="AG990" s="92"/>
      <c r="AH990" s="92"/>
      <c r="AI990" s="92"/>
      <c r="AJ990" s="92"/>
      <c r="AK990" s="92"/>
      <c r="AL990" s="92"/>
      <c r="AM990" s="92"/>
      <c r="AN990" s="92"/>
      <c r="AO990" s="92"/>
      <c r="AP990" s="92"/>
      <c r="AQ990" s="92"/>
      <c r="AR990" s="92"/>
      <c r="AS990" s="92"/>
      <c r="AT990" s="92"/>
      <c r="AU990" s="92"/>
      <c r="AV990" s="92"/>
      <c r="AW990" s="92"/>
      <c r="AX990" s="92"/>
    </row>
    <row r="991" spans="1:50" ht="38.25" x14ac:dyDescent="0.2">
      <c r="AA991" s="93" t="s">
        <v>288</v>
      </c>
      <c r="AB991" s="90" t="s">
        <v>774</v>
      </c>
      <c r="AC991" s="91"/>
      <c r="AD991" s="18"/>
      <c r="AE991" s="92"/>
      <c r="AF991" s="92"/>
      <c r="AG991" s="92"/>
      <c r="AH991" s="92"/>
      <c r="AI991" s="92"/>
      <c r="AJ991" s="92"/>
      <c r="AK991" s="92"/>
      <c r="AL991" s="92"/>
      <c r="AM991" s="92"/>
      <c r="AN991" s="92"/>
      <c r="AO991" s="92"/>
      <c r="AP991" s="92"/>
      <c r="AQ991" s="92"/>
      <c r="AR991" s="92"/>
      <c r="AS991" s="92"/>
      <c r="AT991" s="30"/>
      <c r="AU991" s="92"/>
      <c r="AV991" s="92"/>
      <c r="AW991" s="92"/>
      <c r="AX991" s="92"/>
    </row>
    <row r="992" spans="1:50" ht="25.5" x14ac:dyDescent="0.2">
      <c r="AA992" s="94" t="s">
        <v>775</v>
      </c>
      <c r="AB992" s="95" t="s">
        <v>776</v>
      </c>
      <c r="AC992" s="96" t="s">
        <v>777</v>
      </c>
      <c r="AD992" s="44">
        <v>0</v>
      </c>
      <c r="AE992" s="97">
        <v>0</v>
      </c>
      <c r="AF992" s="97">
        <v>0</v>
      </c>
      <c r="AG992" s="43">
        <v>5536570240</v>
      </c>
      <c r="AH992" s="96">
        <v>0</v>
      </c>
      <c r="AI992" s="136">
        <f>AE992-AF992+AG992-AH992</f>
        <v>5536570240</v>
      </c>
      <c r="AJ992" s="43">
        <f>AD992+AI992</f>
        <v>5536570240</v>
      </c>
      <c r="AK992" s="97">
        <v>0</v>
      </c>
      <c r="AL992" s="114">
        <f>AM992-'MARZO '!AM985</f>
        <v>-40383334</v>
      </c>
      <c r="AM992" s="114">
        <v>2048731500</v>
      </c>
      <c r="AN992" s="43">
        <v>0</v>
      </c>
      <c r="AO992" s="114">
        <v>77216666</v>
      </c>
      <c r="AP992" s="114">
        <v>1821016666</v>
      </c>
      <c r="AQ992" s="43">
        <v>110623334</v>
      </c>
      <c r="AR992" s="43">
        <v>117323332</v>
      </c>
      <c r="AS992" s="43">
        <v>141046664</v>
      </c>
      <c r="AT992" s="39">
        <f t="shared" ref="AT992" si="1167">AQ992+AS992</f>
        <v>251669998</v>
      </c>
      <c r="AU992" s="18">
        <f t="shared" ref="AU992" si="1168">AJ992-AM992</f>
        <v>3487838740</v>
      </c>
      <c r="AV992" s="18">
        <f t="shared" ref="AV992" si="1169">AM992-AP992</f>
        <v>227714834</v>
      </c>
      <c r="AW992" s="110">
        <f t="shared" ref="AW992" si="1170">AP992-AT992</f>
        <v>1569346668</v>
      </c>
      <c r="AX992" s="123">
        <f t="shared" ref="AX992" si="1171">AP992/AJ992</f>
        <v>0.32890699242713844</v>
      </c>
    </row>
    <row r="993" spans="27:50" ht="25.5" x14ac:dyDescent="0.2">
      <c r="AA993" s="93" t="s">
        <v>288</v>
      </c>
      <c r="AB993" s="90" t="s">
        <v>778</v>
      </c>
      <c r="AC993" s="91"/>
      <c r="AD993" s="18"/>
      <c r="AE993" s="98"/>
      <c r="AF993" s="98"/>
      <c r="AG993" s="92"/>
      <c r="AH993" s="92"/>
      <c r="AI993" s="92"/>
      <c r="AJ993" s="18"/>
      <c r="AK993" s="98"/>
      <c r="AL993" s="98"/>
      <c r="AM993" s="98"/>
      <c r="AN993" s="98"/>
      <c r="AO993" s="98"/>
      <c r="AP993" s="98"/>
      <c r="AQ993" s="98"/>
      <c r="AR993" s="98"/>
      <c r="AS993" s="98"/>
      <c r="AT993" s="31"/>
      <c r="AU993" s="18"/>
      <c r="AV993" s="34"/>
      <c r="AW993" s="34"/>
      <c r="AX993" s="92"/>
    </row>
    <row r="994" spans="27:50" x14ac:dyDescent="0.2">
      <c r="AA994" s="94" t="s">
        <v>779</v>
      </c>
      <c r="AB994" s="95" t="s">
        <v>780</v>
      </c>
      <c r="AC994" s="96" t="s">
        <v>368</v>
      </c>
      <c r="AD994" s="43">
        <v>920421961</v>
      </c>
      <c r="AE994" s="97">
        <v>0</v>
      </c>
      <c r="AF994" s="97">
        <v>0</v>
      </c>
      <c r="AG994" s="96">
        <v>0</v>
      </c>
      <c r="AH994" s="96">
        <v>0</v>
      </c>
      <c r="AI994" s="96">
        <v>0</v>
      </c>
      <c r="AJ994" s="43">
        <v>920421961</v>
      </c>
      <c r="AK994" s="97">
        <v>0</v>
      </c>
      <c r="AL994" s="97">
        <v>0</v>
      </c>
      <c r="AM994" s="97">
        <v>0</v>
      </c>
      <c r="AN994" s="97">
        <v>0</v>
      </c>
      <c r="AO994" s="97">
        <v>0</v>
      </c>
      <c r="AP994" s="97">
        <v>0</v>
      </c>
      <c r="AQ994" s="97">
        <v>0</v>
      </c>
      <c r="AR994" s="97">
        <v>0</v>
      </c>
      <c r="AS994" s="97">
        <v>0</v>
      </c>
      <c r="AT994" s="135">
        <f t="shared" ref="AT994:AT995" si="1172">AQ994+AS994</f>
        <v>0</v>
      </c>
      <c r="AU994" s="110">
        <f t="shared" ref="AU994:AU995" si="1173">AJ994-AM994</f>
        <v>920421961</v>
      </c>
      <c r="AV994" s="133">
        <f t="shared" ref="AV994:AV995" si="1174">AM994-AP994</f>
        <v>0</v>
      </c>
      <c r="AW994" s="133">
        <f t="shared" ref="AW994:AW995" si="1175">AP994-AT994</f>
        <v>0</v>
      </c>
      <c r="AX994" s="123">
        <f t="shared" ref="AX994:AX995" si="1176">AP994/AJ994</f>
        <v>0</v>
      </c>
    </row>
    <row r="995" spans="27:50" ht="25.5" x14ac:dyDescent="0.2">
      <c r="AA995" s="94" t="s">
        <v>781</v>
      </c>
      <c r="AB995" s="95" t="s">
        <v>776</v>
      </c>
      <c r="AC995" s="96" t="s">
        <v>777</v>
      </c>
      <c r="AD995" s="43">
        <v>23813351805</v>
      </c>
      <c r="AE995" s="97">
        <v>0</v>
      </c>
      <c r="AF995" s="97">
        <v>0</v>
      </c>
      <c r="AG995" s="96">
        <v>0</v>
      </c>
      <c r="AH995" s="43">
        <v>5536570240</v>
      </c>
      <c r="AI995" s="136">
        <f>AE995-AF995+AG995-AH995</f>
        <v>-5536570240</v>
      </c>
      <c r="AJ995" s="43">
        <f>AD995+AI995</f>
        <v>18276781565</v>
      </c>
      <c r="AK995" s="97">
        <v>0</v>
      </c>
      <c r="AL995" s="97">
        <v>0</v>
      </c>
      <c r="AM995" s="97">
        <v>0</v>
      </c>
      <c r="AN995" s="97">
        <v>0</v>
      </c>
      <c r="AO995" s="97">
        <v>0</v>
      </c>
      <c r="AP995" s="97">
        <v>0</v>
      </c>
      <c r="AQ995" s="97">
        <v>0</v>
      </c>
      <c r="AR995" s="97">
        <v>0</v>
      </c>
      <c r="AS995" s="97">
        <v>0</v>
      </c>
      <c r="AT995" s="135">
        <f t="shared" si="1172"/>
        <v>0</v>
      </c>
      <c r="AU995" s="110">
        <f t="shared" si="1173"/>
        <v>18276781565</v>
      </c>
      <c r="AV995" s="133">
        <f t="shared" si="1174"/>
        <v>0</v>
      </c>
      <c r="AW995" s="133">
        <f t="shared" si="1175"/>
        <v>0</v>
      </c>
      <c r="AX995" s="123">
        <f t="shared" si="1176"/>
        <v>0</v>
      </c>
    </row>
    <row r="996" spans="27:50" x14ac:dyDescent="0.2">
      <c r="AA996" s="89"/>
      <c r="AB996" s="91"/>
      <c r="AC996" s="91"/>
      <c r="AD996" s="18"/>
      <c r="AE996" s="92"/>
      <c r="AF996" s="92"/>
      <c r="AG996" s="92"/>
      <c r="AH996" s="92"/>
      <c r="AI996" s="92"/>
      <c r="AJ996" s="18"/>
      <c r="AK996" s="98"/>
      <c r="AL996" s="98"/>
      <c r="AM996" s="98"/>
      <c r="AN996" s="98"/>
      <c r="AO996" s="98"/>
      <c r="AP996" s="98"/>
      <c r="AQ996" s="98"/>
      <c r="AR996" s="98"/>
      <c r="AS996" s="92"/>
      <c r="AT996" s="30"/>
      <c r="AU996" s="18"/>
      <c r="AV996" s="18"/>
      <c r="AW996" s="18"/>
      <c r="AX996" s="92"/>
    </row>
    <row r="997" spans="27:50" x14ac:dyDescent="0.2">
      <c r="AA997" s="89"/>
      <c r="AB997" s="90" t="s">
        <v>199</v>
      </c>
      <c r="AC997" s="91"/>
      <c r="AD997" s="18"/>
      <c r="AE997" s="92"/>
      <c r="AF997" s="92"/>
      <c r="AG997" s="92"/>
      <c r="AH997" s="92"/>
      <c r="AI997" s="92"/>
      <c r="AJ997" s="18"/>
      <c r="AK997" s="98"/>
      <c r="AL997" s="98"/>
      <c r="AM997" s="98"/>
      <c r="AN997" s="98"/>
      <c r="AO997" s="98"/>
      <c r="AP997" s="98"/>
      <c r="AQ997" s="98"/>
      <c r="AR997" s="98"/>
      <c r="AS997" s="92"/>
      <c r="AT997" s="30"/>
      <c r="AU997" s="18"/>
      <c r="AV997" s="18"/>
      <c r="AW997" s="18"/>
      <c r="AX997" s="92"/>
    </row>
    <row r="998" spans="27:50" x14ac:dyDescent="0.2">
      <c r="AA998" s="93" t="s">
        <v>288</v>
      </c>
      <c r="AB998" s="90" t="s">
        <v>782</v>
      </c>
      <c r="AC998" s="91"/>
      <c r="AD998" s="18"/>
      <c r="AE998" s="92"/>
      <c r="AF998" s="92"/>
      <c r="AG998" s="92"/>
      <c r="AH998" s="92"/>
      <c r="AI998" s="92"/>
      <c r="AJ998" s="18"/>
      <c r="AK998" s="98"/>
      <c r="AL998" s="98"/>
      <c r="AM998" s="98"/>
      <c r="AN998" s="98"/>
      <c r="AO998" s="98"/>
      <c r="AP998" s="98"/>
      <c r="AQ998" s="98"/>
      <c r="AR998" s="98"/>
      <c r="AS998" s="92"/>
      <c r="AT998" s="30"/>
      <c r="AU998" s="18"/>
      <c r="AV998" s="18"/>
      <c r="AW998" s="18"/>
      <c r="AX998" s="92"/>
    </row>
    <row r="999" spans="27:50" ht="25.5" x14ac:dyDescent="0.2">
      <c r="AA999" s="94" t="s">
        <v>783</v>
      </c>
      <c r="AB999" s="95" t="s">
        <v>784</v>
      </c>
      <c r="AC999" s="96" t="s">
        <v>368</v>
      </c>
      <c r="AD999" s="43">
        <v>40000000</v>
      </c>
      <c r="AE999" s="96">
        <v>0</v>
      </c>
      <c r="AF999" s="96">
        <v>0</v>
      </c>
      <c r="AG999" s="96">
        <v>0</v>
      </c>
      <c r="AH999" s="96">
        <v>0</v>
      </c>
      <c r="AI999" s="96">
        <v>0</v>
      </c>
      <c r="AJ999" s="43">
        <v>40000000</v>
      </c>
      <c r="AK999" s="97">
        <v>0</v>
      </c>
      <c r="AL999" s="34">
        <v>0</v>
      </c>
      <c r="AM999" s="137">
        <v>0</v>
      </c>
      <c r="AN999" s="97">
        <v>0</v>
      </c>
      <c r="AO999" s="97">
        <v>0</v>
      </c>
      <c r="AP999" s="97">
        <v>0</v>
      </c>
      <c r="AQ999" s="97">
        <v>0</v>
      </c>
      <c r="AR999" s="97">
        <v>0</v>
      </c>
      <c r="AS999" s="97">
        <v>0</v>
      </c>
      <c r="AT999" s="135">
        <f t="shared" ref="AT999:AT1001" si="1177">AQ999+AS999</f>
        <v>0</v>
      </c>
      <c r="AU999" s="110">
        <f t="shared" ref="AU999:AU1001" si="1178">AJ999-AM999</f>
        <v>40000000</v>
      </c>
      <c r="AV999" s="133">
        <f t="shared" ref="AV999:AV1001" si="1179">AM999-AP999</f>
        <v>0</v>
      </c>
      <c r="AW999" s="133">
        <f t="shared" ref="AW999:AW1001" si="1180">AP999-AT999</f>
        <v>0</v>
      </c>
      <c r="AX999" s="123">
        <f t="shared" ref="AX999:AX1001" si="1181">AP999/AJ999</f>
        <v>0</v>
      </c>
    </row>
    <row r="1000" spans="27:50" ht="25.5" x14ac:dyDescent="0.2">
      <c r="AA1000" s="94" t="s">
        <v>785</v>
      </c>
      <c r="AB1000" s="95" t="s">
        <v>786</v>
      </c>
      <c r="AC1000" s="96" t="s">
        <v>258</v>
      </c>
      <c r="AD1000" s="43">
        <v>2438425656.1900001</v>
      </c>
      <c r="AE1000" s="96">
        <v>0</v>
      </c>
      <c r="AF1000" s="96">
        <v>0</v>
      </c>
      <c r="AG1000" s="96">
        <v>0</v>
      </c>
      <c r="AH1000" s="96">
        <v>0</v>
      </c>
      <c r="AI1000" s="96">
        <v>0</v>
      </c>
      <c r="AJ1000" s="43">
        <v>2438425656.1900001</v>
      </c>
      <c r="AK1000" s="43">
        <v>0</v>
      </c>
      <c r="AL1000" s="114">
        <f>AM1000-'MARZO '!AM993</f>
        <v>0</v>
      </c>
      <c r="AM1000" s="114">
        <v>55000000</v>
      </c>
      <c r="AN1000" s="92">
        <v>0</v>
      </c>
      <c r="AO1000" s="18">
        <v>0</v>
      </c>
      <c r="AP1000" s="18">
        <v>55000000</v>
      </c>
      <c r="AQ1000" s="43">
        <v>5500000</v>
      </c>
      <c r="AR1000" s="18">
        <v>5500000</v>
      </c>
      <c r="AS1000" s="43">
        <v>5500000</v>
      </c>
      <c r="AT1000" s="39">
        <f t="shared" si="1177"/>
        <v>11000000</v>
      </c>
      <c r="AU1000" s="110">
        <f t="shared" si="1178"/>
        <v>2383425656.1900001</v>
      </c>
      <c r="AV1000" s="110">
        <f t="shared" si="1179"/>
        <v>0</v>
      </c>
      <c r="AW1000" s="18">
        <f t="shared" si="1180"/>
        <v>44000000</v>
      </c>
      <c r="AX1000" s="123">
        <f t="shared" si="1181"/>
        <v>2.2555536954912372E-2</v>
      </c>
    </row>
    <row r="1001" spans="27:50" x14ac:dyDescent="0.2">
      <c r="AA1001" s="94" t="s">
        <v>787</v>
      </c>
      <c r="AB1001" s="95" t="s">
        <v>788</v>
      </c>
      <c r="AC1001" s="96" t="s">
        <v>789</v>
      </c>
      <c r="AD1001" s="43">
        <v>886001426</v>
      </c>
      <c r="AE1001" s="96">
        <v>0</v>
      </c>
      <c r="AF1001" s="96">
        <v>0</v>
      </c>
      <c r="AG1001" s="96">
        <v>0</v>
      </c>
      <c r="AH1001" s="96">
        <v>0</v>
      </c>
      <c r="AI1001" s="96">
        <v>0</v>
      </c>
      <c r="AJ1001" s="178">
        <v>886001426</v>
      </c>
      <c r="AK1001" s="43">
        <v>0</v>
      </c>
      <c r="AL1001" s="114">
        <f>AM1001-'MARZO '!AM994</f>
        <v>73473408</v>
      </c>
      <c r="AM1001" s="18">
        <v>293866578</v>
      </c>
      <c r="AN1001" s="92">
        <v>0</v>
      </c>
      <c r="AO1001" s="179">
        <v>73473408</v>
      </c>
      <c r="AP1001" s="18">
        <v>293866578</v>
      </c>
      <c r="AQ1001" s="96">
        <v>0</v>
      </c>
      <c r="AR1001" s="18">
        <v>73473408</v>
      </c>
      <c r="AS1001" s="43">
        <v>293866578</v>
      </c>
      <c r="AT1001" s="39">
        <f t="shared" si="1177"/>
        <v>293866578</v>
      </c>
      <c r="AU1001" s="110">
        <f t="shared" si="1178"/>
        <v>592134848</v>
      </c>
      <c r="AV1001" s="133">
        <f t="shared" si="1179"/>
        <v>0</v>
      </c>
      <c r="AW1001" s="133">
        <f t="shared" si="1180"/>
        <v>0</v>
      </c>
      <c r="AX1001" s="123">
        <f t="shared" si="1181"/>
        <v>0.33167731944485607</v>
      </c>
    </row>
    <row r="1002" spans="27:50" x14ac:dyDescent="0.2">
      <c r="AA1002" s="93" t="s">
        <v>288</v>
      </c>
      <c r="AB1002" s="90" t="s">
        <v>790</v>
      </c>
      <c r="AC1002" s="91"/>
      <c r="AD1002" s="18"/>
      <c r="AE1002" s="92"/>
      <c r="AF1002" s="92"/>
      <c r="AG1002" s="92"/>
      <c r="AH1002" s="92"/>
      <c r="AI1002" s="92"/>
      <c r="AJ1002" s="18"/>
      <c r="AK1002" s="18"/>
      <c r="AL1002" s="114">
        <f>AM1002-'MARZO '!AM995</f>
        <v>0</v>
      </c>
      <c r="AM1002" s="18"/>
      <c r="AN1002" s="92"/>
      <c r="AO1002" s="18"/>
      <c r="AP1002" s="18"/>
      <c r="AQ1002" s="92"/>
      <c r="AR1002" s="92"/>
      <c r="AS1002" s="92"/>
      <c r="AT1002" s="30"/>
      <c r="AU1002" s="18"/>
      <c r="AV1002" s="110"/>
      <c r="AW1002" s="18"/>
      <c r="AX1002" s="92"/>
    </row>
    <row r="1003" spans="27:50" x14ac:dyDescent="0.2">
      <c r="AA1003" s="94" t="s">
        <v>791</v>
      </c>
      <c r="AB1003" s="95" t="s">
        <v>233</v>
      </c>
      <c r="AC1003" s="96" t="s">
        <v>58</v>
      </c>
      <c r="AD1003" s="43">
        <v>300000000</v>
      </c>
      <c r="AE1003" s="96">
        <v>0</v>
      </c>
      <c r="AF1003" s="96">
        <v>0</v>
      </c>
      <c r="AG1003" s="96">
        <v>0</v>
      </c>
      <c r="AH1003" s="96">
        <v>0</v>
      </c>
      <c r="AI1003" s="96">
        <v>0</v>
      </c>
      <c r="AJ1003" s="43">
        <v>300000000</v>
      </c>
      <c r="AK1003" s="44">
        <v>0</v>
      </c>
      <c r="AL1003" s="114">
        <f>AM1003-'MARZO '!AM996</f>
        <v>0</v>
      </c>
      <c r="AM1003" s="18">
        <v>300000000</v>
      </c>
      <c r="AN1003" s="92">
        <v>0</v>
      </c>
      <c r="AO1003" s="18">
        <v>0</v>
      </c>
      <c r="AP1003" s="18">
        <v>300000000</v>
      </c>
      <c r="AQ1003" s="96">
        <v>0</v>
      </c>
      <c r="AR1003" s="43">
        <v>12727273</v>
      </c>
      <c r="AS1003" s="43">
        <v>12727273</v>
      </c>
      <c r="AT1003" s="135">
        <f t="shared" ref="AT1003:AT1004" si="1182">AQ1003+AS1003</f>
        <v>12727273</v>
      </c>
      <c r="AU1003" s="133">
        <f t="shared" ref="AU1003:AU1004" si="1183">AJ1003-AM1003</f>
        <v>0</v>
      </c>
      <c r="AV1003" s="133">
        <f t="shared" ref="AV1003:AV1004" si="1184">AM1003-AP1003</f>
        <v>0</v>
      </c>
      <c r="AW1003" s="110">
        <f t="shared" ref="AW1003:AW1004" si="1185">AP1003-AT1003</f>
        <v>287272727</v>
      </c>
      <c r="AX1003" s="123">
        <f t="shared" ref="AX1003:AX1004" si="1186">AP1003/AJ1003</f>
        <v>1</v>
      </c>
    </row>
    <row r="1004" spans="27:50" x14ac:dyDescent="0.2">
      <c r="AA1004" s="94" t="s">
        <v>792</v>
      </c>
      <c r="AB1004" s="95" t="s">
        <v>793</v>
      </c>
      <c r="AC1004" s="96" t="s">
        <v>794</v>
      </c>
      <c r="AD1004" s="43">
        <v>664600000</v>
      </c>
      <c r="AE1004" s="96">
        <v>0</v>
      </c>
      <c r="AF1004" s="96">
        <v>0</v>
      </c>
      <c r="AG1004" s="96">
        <v>0</v>
      </c>
      <c r="AH1004" s="96">
        <v>0</v>
      </c>
      <c r="AI1004" s="96">
        <v>0</v>
      </c>
      <c r="AJ1004" s="43">
        <v>664600000</v>
      </c>
      <c r="AK1004" s="44">
        <v>0</v>
      </c>
      <c r="AL1004" s="114">
        <f>AM1004-'MARZO '!AM997</f>
        <v>0</v>
      </c>
      <c r="AM1004" s="18">
        <v>664510000</v>
      </c>
      <c r="AN1004" s="92">
        <v>0</v>
      </c>
      <c r="AO1004" s="18">
        <v>0</v>
      </c>
      <c r="AP1004" s="18">
        <v>664510000</v>
      </c>
      <c r="AQ1004" s="114">
        <v>52886667</v>
      </c>
      <c r="AR1004" s="43">
        <v>41074546</v>
      </c>
      <c r="AS1004" s="43">
        <v>50894546</v>
      </c>
      <c r="AT1004" s="111">
        <f t="shared" si="1182"/>
        <v>103781213</v>
      </c>
      <c r="AU1004" s="110">
        <f t="shared" si="1183"/>
        <v>90000</v>
      </c>
      <c r="AV1004" s="110">
        <f t="shared" si="1184"/>
        <v>0</v>
      </c>
      <c r="AW1004" s="110">
        <f t="shared" si="1185"/>
        <v>560728787</v>
      </c>
      <c r="AX1004" s="123">
        <f t="shared" si="1186"/>
        <v>0.99986458019861568</v>
      </c>
    </row>
    <row r="1005" spans="27:50" x14ac:dyDescent="0.2">
      <c r="AA1005" s="93" t="s">
        <v>288</v>
      </c>
      <c r="AB1005" s="90" t="s">
        <v>795</v>
      </c>
      <c r="AC1005" s="91"/>
      <c r="AD1005" s="18"/>
      <c r="AE1005" s="92"/>
      <c r="AF1005" s="92"/>
      <c r="AG1005" s="92"/>
      <c r="AH1005" s="92"/>
      <c r="AI1005" s="92"/>
      <c r="AJ1005" s="18"/>
      <c r="AK1005" s="34"/>
      <c r="AL1005" s="18"/>
      <c r="AM1005" s="18"/>
      <c r="AN1005" s="92"/>
      <c r="AO1005" s="18"/>
      <c r="AP1005" s="18"/>
      <c r="AQ1005" s="92"/>
      <c r="AR1005" s="92"/>
      <c r="AS1005" s="92"/>
      <c r="AT1005" s="40"/>
      <c r="AU1005" s="18"/>
      <c r="AV1005" s="110"/>
      <c r="AW1005" s="18"/>
      <c r="AX1005" s="92"/>
    </row>
    <row r="1006" spans="27:50" x14ac:dyDescent="0.2">
      <c r="AA1006" s="94" t="s">
        <v>796</v>
      </c>
      <c r="AB1006" s="95" t="s">
        <v>233</v>
      </c>
      <c r="AC1006" s="96" t="s">
        <v>58</v>
      </c>
      <c r="AD1006" s="43">
        <v>242950000</v>
      </c>
      <c r="AE1006" s="96">
        <v>0</v>
      </c>
      <c r="AF1006" s="96">
        <v>0</v>
      </c>
      <c r="AG1006" s="96">
        <v>0</v>
      </c>
      <c r="AH1006" s="96">
        <v>0</v>
      </c>
      <c r="AI1006" s="96">
        <v>0</v>
      </c>
      <c r="AJ1006" s="43">
        <v>242950000</v>
      </c>
      <c r="AK1006" s="44">
        <v>0</v>
      </c>
      <c r="AL1006" s="44">
        <f>AM1006-'MARZO '!AM999</f>
        <v>0</v>
      </c>
      <c r="AM1006" s="44">
        <v>0</v>
      </c>
      <c r="AN1006" s="97">
        <v>0</v>
      </c>
      <c r="AO1006" s="44">
        <v>0</v>
      </c>
      <c r="AP1006" s="44">
        <v>0</v>
      </c>
      <c r="AQ1006" s="97">
        <v>0</v>
      </c>
      <c r="AR1006" s="97">
        <v>0</v>
      </c>
      <c r="AS1006" s="96">
        <v>0</v>
      </c>
      <c r="AT1006" s="135">
        <f t="shared" ref="AT1006:AT1009" si="1187">AQ1006+AS1006</f>
        <v>0</v>
      </c>
      <c r="AU1006" s="110">
        <f t="shared" ref="AU1006:AU1009" si="1188">AJ1006-AM1006</f>
        <v>242950000</v>
      </c>
      <c r="AV1006" s="133">
        <f t="shared" ref="AV1006:AV1009" si="1189">AM1006-AP1006</f>
        <v>0</v>
      </c>
      <c r="AW1006" s="133">
        <f t="shared" ref="AW1006:AW1009" si="1190">AP1006-AT1006</f>
        <v>0</v>
      </c>
      <c r="AX1006" s="123">
        <f t="shared" ref="AX1006:AX1009" si="1191">AP1006/AJ1006</f>
        <v>0</v>
      </c>
    </row>
    <row r="1007" spans="27:50" x14ac:dyDescent="0.2">
      <c r="AA1007" s="94" t="s">
        <v>797</v>
      </c>
      <c r="AB1007" s="95" t="s">
        <v>793</v>
      </c>
      <c r="AC1007" s="96" t="s">
        <v>794</v>
      </c>
      <c r="AD1007" s="43">
        <v>1746250000</v>
      </c>
      <c r="AE1007" s="96">
        <v>0</v>
      </c>
      <c r="AF1007" s="96">
        <v>0</v>
      </c>
      <c r="AG1007" s="96">
        <v>0</v>
      </c>
      <c r="AH1007" s="96">
        <v>0</v>
      </c>
      <c r="AI1007" s="96">
        <v>0</v>
      </c>
      <c r="AJ1007" s="43">
        <v>1746250000</v>
      </c>
      <c r="AK1007" s="44">
        <v>0</v>
      </c>
      <c r="AL1007" s="44">
        <f>AM1007-'MARZO '!AM1000</f>
        <v>-800000</v>
      </c>
      <c r="AM1007" s="114">
        <v>1159450000</v>
      </c>
      <c r="AN1007" s="97">
        <v>0</v>
      </c>
      <c r="AO1007" s="114">
        <v>746350000</v>
      </c>
      <c r="AP1007" s="114">
        <v>1159450000</v>
      </c>
      <c r="AQ1007" s="43">
        <v>49233333</v>
      </c>
      <c r="AR1007" s="43">
        <v>34096668</v>
      </c>
      <c r="AS1007" s="43">
        <v>37066668</v>
      </c>
      <c r="AT1007" s="39">
        <f t="shared" si="1187"/>
        <v>86300001</v>
      </c>
      <c r="AU1007" s="18">
        <f t="shared" si="1188"/>
        <v>586800000</v>
      </c>
      <c r="AV1007" s="34">
        <f t="shared" si="1189"/>
        <v>0</v>
      </c>
      <c r="AW1007" s="18">
        <f t="shared" si="1190"/>
        <v>1073149999</v>
      </c>
      <c r="AX1007" s="123">
        <f t="shared" si="1191"/>
        <v>0.66396564065855401</v>
      </c>
    </row>
    <row r="1008" spans="27:50" x14ac:dyDescent="0.2">
      <c r="AA1008" s="94" t="s">
        <v>798</v>
      </c>
      <c r="AB1008" s="95" t="s">
        <v>799</v>
      </c>
      <c r="AC1008" s="96" t="s">
        <v>368</v>
      </c>
      <c r="AD1008" s="43">
        <v>20000000</v>
      </c>
      <c r="AE1008" s="96">
        <v>0</v>
      </c>
      <c r="AF1008" s="96">
        <v>0</v>
      </c>
      <c r="AG1008" s="96">
        <v>0</v>
      </c>
      <c r="AH1008" s="96">
        <v>0</v>
      </c>
      <c r="AI1008" s="96">
        <v>0</v>
      </c>
      <c r="AJ1008" s="43">
        <v>20000000</v>
      </c>
      <c r="AK1008" s="44">
        <v>0</v>
      </c>
      <c r="AL1008" s="44">
        <v>0</v>
      </c>
      <c r="AM1008" s="44">
        <v>0</v>
      </c>
      <c r="AN1008" s="97">
        <v>0</v>
      </c>
      <c r="AO1008" s="44">
        <v>0</v>
      </c>
      <c r="AP1008" s="44">
        <v>0</v>
      </c>
      <c r="AQ1008" s="97">
        <v>0</v>
      </c>
      <c r="AR1008" s="97">
        <v>0</v>
      </c>
      <c r="AS1008" s="97">
        <v>0</v>
      </c>
      <c r="AT1008" s="135">
        <f t="shared" si="1187"/>
        <v>0</v>
      </c>
      <c r="AU1008" s="110">
        <f t="shared" si="1188"/>
        <v>20000000</v>
      </c>
      <c r="AV1008" s="34">
        <f t="shared" si="1189"/>
        <v>0</v>
      </c>
      <c r="AW1008" s="18">
        <f t="shared" si="1190"/>
        <v>0</v>
      </c>
      <c r="AX1008" s="123">
        <f t="shared" si="1191"/>
        <v>0</v>
      </c>
    </row>
    <row r="1009" spans="27:50" x14ac:dyDescent="0.2">
      <c r="AA1009" s="94" t="s">
        <v>800</v>
      </c>
      <c r="AB1009" s="95" t="s">
        <v>801</v>
      </c>
      <c r="AC1009" s="96" t="s">
        <v>802</v>
      </c>
      <c r="AD1009" s="43">
        <v>300000000</v>
      </c>
      <c r="AE1009" s="96">
        <v>0</v>
      </c>
      <c r="AF1009" s="96">
        <v>0</v>
      </c>
      <c r="AG1009" s="96">
        <v>0</v>
      </c>
      <c r="AH1009" s="96">
        <v>0</v>
      </c>
      <c r="AI1009" s="96">
        <v>0</v>
      </c>
      <c r="AJ1009" s="43">
        <v>300000000</v>
      </c>
      <c r="AK1009" s="114">
        <v>0</v>
      </c>
      <c r="AL1009" s="18">
        <v>0</v>
      </c>
      <c r="AM1009" s="18">
        <v>266450000</v>
      </c>
      <c r="AN1009" s="92">
        <v>0</v>
      </c>
      <c r="AO1009" s="18">
        <v>0</v>
      </c>
      <c r="AP1009" s="18">
        <v>266450000</v>
      </c>
      <c r="AQ1009" s="114">
        <v>94533333</v>
      </c>
      <c r="AR1009" s="114">
        <v>77350000</v>
      </c>
      <c r="AS1009" s="114">
        <v>105736666</v>
      </c>
      <c r="AT1009" s="111">
        <f t="shared" si="1187"/>
        <v>200269999</v>
      </c>
      <c r="AU1009" s="110">
        <f t="shared" si="1188"/>
        <v>33550000</v>
      </c>
      <c r="AV1009" s="34">
        <f t="shared" si="1189"/>
        <v>0</v>
      </c>
      <c r="AW1009" s="18">
        <f t="shared" si="1190"/>
        <v>66180001</v>
      </c>
      <c r="AX1009" s="123">
        <f t="shared" si="1191"/>
        <v>0.88816666666666666</v>
      </c>
    </row>
    <row r="1010" spans="27:50" ht="25.5" x14ac:dyDescent="0.2">
      <c r="AA1010" s="93" t="s">
        <v>288</v>
      </c>
      <c r="AB1010" s="90" t="s">
        <v>803</v>
      </c>
      <c r="AC1010" s="91"/>
      <c r="AD1010" s="18"/>
      <c r="AE1010" s="92"/>
      <c r="AF1010" s="92"/>
      <c r="AG1010" s="92"/>
      <c r="AH1010" s="92"/>
      <c r="AI1010" s="92"/>
      <c r="AJ1010" s="18"/>
      <c r="AK1010" s="34"/>
      <c r="AL1010" s="18"/>
      <c r="AM1010" s="18"/>
      <c r="AN1010" s="92"/>
      <c r="AO1010" s="18"/>
      <c r="AP1010" s="18"/>
      <c r="AQ1010" s="92"/>
      <c r="AR1010" s="92"/>
      <c r="AS1010" s="98"/>
      <c r="AT1010" s="31"/>
      <c r="AU1010" s="18"/>
      <c r="AV1010" s="34"/>
      <c r="AW1010" s="18"/>
      <c r="AX1010" s="92"/>
    </row>
    <row r="1011" spans="27:50" x14ac:dyDescent="0.2">
      <c r="AA1011" s="94" t="s">
        <v>804</v>
      </c>
      <c r="AB1011" s="95" t="s">
        <v>793</v>
      </c>
      <c r="AC1011" s="96" t="s">
        <v>794</v>
      </c>
      <c r="AD1011" s="43">
        <v>485467000</v>
      </c>
      <c r="AE1011" s="96">
        <v>0</v>
      </c>
      <c r="AF1011" s="96">
        <v>0</v>
      </c>
      <c r="AG1011" s="96">
        <v>0</v>
      </c>
      <c r="AH1011" s="96">
        <v>0</v>
      </c>
      <c r="AI1011" s="96">
        <v>0</v>
      </c>
      <c r="AJ1011" s="43">
        <v>485467000</v>
      </c>
      <c r="AK1011" s="97">
        <v>0</v>
      </c>
      <c r="AL1011" s="43">
        <v>0</v>
      </c>
      <c r="AM1011" s="43">
        <v>485467000</v>
      </c>
      <c r="AN1011" s="97">
        <v>0</v>
      </c>
      <c r="AO1011" s="43">
        <v>417067000</v>
      </c>
      <c r="AP1011" s="43">
        <v>485467000</v>
      </c>
      <c r="AQ1011" s="43">
        <v>7600000</v>
      </c>
      <c r="AR1011" s="43">
        <v>1266667</v>
      </c>
      <c r="AS1011" s="43">
        <v>1266667</v>
      </c>
      <c r="AT1011" s="39">
        <f t="shared" ref="AT1011" si="1192">AQ1011+AS1011</f>
        <v>8866667</v>
      </c>
      <c r="AU1011" s="110">
        <f t="shared" ref="AU1011" si="1193">AJ1011-AM1011</f>
        <v>0</v>
      </c>
      <c r="AV1011" s="34">
        <f t="shared" ref="AV1011" si="1194">AM1011-AP1011</f>
        <v>0</v>
      </c>
      <c r="AW1011" s="18">
        <f t="shared" ref="AW1011" si="1195">AP1011-AT1011</f>
        <v>476600333</v>
      </c>
      <c r="AX1011" s="123">
        <f t="shared" ref="AX1011" si="1196">AP1011/AJ1011</f>
        <v>1</v>
      </c>
    </row>
    <row r="1012" spans="27:50" ht="25.5" x14ac:dyDescent="0.2">
      <c r="AA1012" s="93" t="s">
        <v>288</v>
      </c>
      <c r="AB1012" s="90" t="s">
        <v>805</v>
      </c>
      <c r="AC1012" s="91"/>
      <c r="AD1012" s="18"/>
      <c r="AE1012" s="92"/>
      <c r="AF1012" s="92"/>
      <c r="AG1012" s="92"/>
      <c r="AH1012" s="92"/>
      <c r="AI1012" s="92"/>
      <c r="AJ1012" s="18"/>
      <c r="AK1012" s="98"/>
      <c r="AL1012" s="110"/>
      <c r="AM1012" s="110"/>
      <c r="AN1012" s="92"/>
      <c r="AO1012" s="92"/>
      <c r="AP1012" s="92"/>
      <c r="AQ1012" s="92"/>
      <c r="AR1012" s="92"/>
      <c r="AS1012" s="98"/>
      <c r="AT1012" s="31"/>
      <c r="AU1012" s="18"/>
      <c r="AV1012" s="34"/>
      <c r="AW1012" s="18"/>
      <c r="AX1012" s="92"/>
    </row>
    <row r="1013" spans="27:50" x14ac:dyDescent="0.2">
      <c r="AA1013" s="94" t="s">
        <v>806</v>
      </c>
      <c r="AB1013" s="95" t="s">
        <v>793</v>
      </c>
      <c r="AC1013" s="96" t="s">
        <v>794</v>
      </c>
      <c r="AD1013" s="43">
        <v>402000000</v>
      </c>
      <c r="AE1013" s="96">
        <v>0</v>
      </c>
      <c r="AF1013" s="96">
        <v>0</v>
      </c>
      <c r="AG1013" s="96">
        <v>0</v>
      </c>
      <c r="AH1013" s="96">
        <v>0</v>
      </c>
      <c r="AI1013" s="96">
        <v>0</v>
      </c>
      <c r="AJ1013" s="43">
        <v>402000000</v>
      </c>
      <c r="AK1013" s="97">
        <v>0</v>
      </c>
      <c r="AL1013" s="114">
        <v>0</v>
      </c>
      <c r="AM1013" s="114">
        <v>366000000</v>
      </c>
      <c r="AN1013" s="97">
        <v>0</v>
      </c>
      <c r="AO1013" s="114">
        <v>294000000</v>
      </c>
      <c r="AP1013" s="43">
        <v>366000000</v>
      </c>
      <c r="AQ1013" s="43">
        <v>8000000</v>
      </c>
      <c r="AR1013" s="43">
        <v>8000000</v>
      </c>
      <c r="AS1013" s="43">
        <v>9866666</v>
      </c>
      <c r="AT1013" s="39">
        <f t="shared" ref="AT1013" si="1197">AQ1013+AS1013</f>
        <v>17866666</v>
      </c>
      <c r="AU1013" s="18">
        <f t="shared" ref="AU1013" si="1198">AJ1013-AM1013</f>
        <v>36000000</v>
      </c>
      <c r="AV1013" s="34">
        <f t="shared" ref="AV1013" si="1199">AM1013-AP1013</f>
        <v>0</v>
      </c>
      <c r="AW1013" s="18">
        <f t="shared" ref="AW1013" si="1200">AP1013-AT1013</f>
        <v>348133334</v>
      </c>
      <c r="AX1013" s="123">
        <f t="shared" ref="AX1013" si="1201">AP1013/AJ1013</f>
        <v>0.91044776119402981</v>
      </c>
    </row>
    <row r="1014" spans="27:50" ht="25.5" x14ac:dyDescent="0.2">
      <c r="AA1014" s="93" t="s">
        <v>288</v>
      </c>
      <c r="AB1014" s="90" t="s">
        <v>807</v>
      </c>
      <c r="AC1014" s="91"/>
      <c r="AD1014" s="18"/>
      <c r="AE1014" s="92"/>
      <c r="AF1014" s="92"/>
      <c r="AG1014" s="92"/>
      <c r="AH1014" s="92"/>
      <c r="AI1014" s="92"/>
      <c r="AJ1014" s="18"/>
      <c r="AK1014" s="98"/>
      <c r="AL1014" s="98"/>
      <c r="AM1014" s="98"/>
      <c r="AN1014" s="98"/>
      <c r="AO1014" s="98"/>
      <c r="AP1014" s="98"/>
      <c r="AQ1014" s="98"/>
      <c r="AR1014" s="98"/>
      <c r="AS1014" s="98"/>
      <c r="AT1014" s="31"/>
      <c r="AU1014" s="18"/>
      <c r="AV1014" s="18"/>
      <c r="AW1014" s="18"/>
      <c r="AX1014" s="92"/>
    </row>
    <row r="1015" spans="27:50" x14ac:dyDescent="0.2">
      <c r="AA1015" s="94" t="s">
        <v>808</v>
      </c>
      <c r="AB1015" s="95" t="s">
        <v>233</v>
      </c>
      <c r="AC1015" s="96" t="s">
        <v>58</v>
      </c>
      <c r="AD1015" s="43">
        <v>313050000.81</v>
      </c>
      <c r="AE1015" s="96">
        <v>0</v>
      </c>
      <c r="AF1015" s="96">
        <v>0</v>
      </c>
      <c r="AG1015" s="96">
        <v>0</v>
      </c>
      <c r="AH1015" s="43">
        <v>136150000</v>
      </c>
      <c r="AI1015" s="136">
        <f>AE1015-AF1015+AG1015-AH1015</f>
        <v>-136150000</v>
      </c>
      <c r="AJ1015" s="43">
        <f>AD1015+AI1015</f>
        <v>176900000.81</v>
      </c>
      <c r="AK1015" s="97">
        <v>0</v>
      </c>
      <c r="AL1015" s="114">
        <f>AM1015-'MARZO '!AM1008</f>
        <v>0</v>
      </c>
      <c r="AM1015" s="114">
        <v>175300000</v>
      </c>
      <c r="AN1015" s="97">
        <v>0</v>
      </c>
      <c r="AO1015" s="114">
        <v>0</v>
      </c>
      <c r="AP1015" s="43">
        <v>175300000</v>
      </c>
      <c r="AQ1015" s="43">
        <v>18200000</v>
      </c>
      <c r="AR1015" s="43">
        <v>17693333</v>
      </c>
      <c r="AS1015" s="43">
        <v>23003333</v>
      </c>
      <c r="AT1015" s="39">
        <f t="shared" ref="AT1015:AT1017" si="1202">AQ1015+AS1015</f>
        <v>41203333</v>
      </c>
      <c r="AU1015" s="110">
        <f t="shared" ref="AU1015:AU1017" si="1203">AJ1015-AM1015</f>
        <v>1600000.8100000024</v>
      </c>
      <c r="AV1015" s="18">
        <f t="shared" ref="AV1015:AV1017" si="1204">AM1015-AP1015</f>
        <v>0</v>
      </c>
      <c r="AW1015" s="18">
        <f t="shared" ref="AW1015:AW1017" si="1205">AP1015-AT1015</f>
        <v>134096667</v>
      </c>
      <c r="AX1015" s="123">
        <f t="shared" ref="AX1015:AX1017" si="1206">AP1015/AJ1015</f>
        <v>0.99095533746368669</v>
      </c>
    </row>
    <row r="1016" spans="27:50" x14ac:dyDescent="0.2">
      <c r="AA1016" s="94" t="s">
        <v>809</v>
      </c>
      <c r="AB1016" s="95" t="s">
        <v>793</v>
      </c>
      <c r="AC1016" s="96" t="s">
        <v>794</v>
      </c>
      <c r="AD1016" s="43">
        <v>256800000</v>
      </c>
      <c r="AE1016" s="96">
        <v>0</v>
      </c>
      <c r="AF1016" s="96">
        <v>0</v>
      </c>
      <c r="AG1016" s="96">
        <v>0</v>
      </c>
      <c r="AH1016" s="96">
        <v>0</v>
      </c>
      <c r="AI1016" s="96">
        <v>0</v>
      </c>
      <c r="AJ1016" s="43">
        <v>256800000</v>
      </c>
      <c r="AK1016" s="97">
        <v>0</v>
      </c>
      <c r="AL1016" s="114">
        <f>AM1016-'MARZO '!AM1009</f>
        <v>0</v>
      </c>
      <c r="AM1016" s="114">
        <v>256800000</v>
      </c>
      <c r="AN1016" s="97">
        <v>0</v>
      </c>
      <c r="AO1016" s="114">
        <v>132600000</v>
      </c>
      <c r="AP1016" s="43">
        <v>166800000</v>
      </c>
      <c r="AQ1016" s="43">
        <v>3800000</v>
      </c>
      <c r="AR1016" s="43">
        <v>3800000</v>
      </c>
      <c r="AS1016" s="43">
        <v>4243333</v>
      </c>
      <c r="AT1016" s="39">
        <f t="shared" si="1202"/>
        <v>8043333</v>
      </c>
      <c r="AU1016" s="110">
        <f t="shared" si="1203"/>
        <v>0</v>
      </c>
      <c r="AV1016" s="18">
        <f t="shared" si="1204"/>
        <v>90000000</v>
      </c>
      <c r="AW1016" s="18">
        <f t="shared" si="1205"/>
        <v>158756667</v>
      </c>
      <c r="AX1016" s="123">
        <f t="shared" si="1206"/>
        <v>0.64953271028037385</v>
      </c>
    </row>
    <row r="1017" spans="27:50" x14ac:dyDescent="0.2">
      <c r="AA1017" s="94" t="s">
        <v>810</v>
      </c>
      <c r="AB1017" s="95" t="s">
        <v>811</v>
      </c>
      <c r="AC1017" s="96" t="s">
        <v>368</v>
      </c>
      <c r="AD1017" s="43">
        <v>90000000</v>
      </c>
      <c r="AE1017" s="96">
        <v>0</v>
      </c>
      <c r="AF1017" s="96">
        <v>0</v>
      </c>
      <c r="AG1017" s="96">
        <v>0</v>
      </c>
      <c r="AH1017" s="96">
        <v>0</v>
      </c>
      <c r="AI1017" s="96">
        <v>0</v>
      </c>
      <c r="AJ1017" s="43">
        <v>90000000</v>
      </c>
      <c r="AK1017" s="97">
        <v>0</v>
      </c>
      <c r="AL1017" s="114">
        <f>AM1017-'MARZO '!AM1010</f>
        <v>-3400000</v>
      </c>
      <c r="AM1017" s="114">
        <v>86600000</v>
      </c>
      <c r="AN1017" s="97">
        <v>0</v>
      </c>
      <c r="AO1017" s="114">
        <v>14600000</v>
      </c>
      <c r="AP1017" s="43">
        <v>86600000</v>
      </c>
      <c r="AQ1017" s="43">
        <v>8283333</v>
      </c>
      <c r="AR1017" s="43">
        <v>6800000</v>
      </c>
      <c r="AS1017" s="43">
        <v>6800000</v>
      </c>
      <c r="AT1017" s="39">
        <f t="shared" si="1202"/>
        <v>15083333</v>
      </c>
      <c r="AU1017" s="18">
        <f t="shared" si="1203"/>
        <v>3400000</v>
      </c>
      <c r="AV1017" s="34">
        <f t="shared" si="1204"/>
        <v>0</v>
      </c>
      <c r="AW1017" s="18">
        <f t="shared" si="1205"/>
        <v>71516667</v>
      </c>
      <c r="AX1017" s="123">
        <f t="shared" si="1206"/>
        <v>0.9622222222222222</v>
      </c>
    </row>
    <row r="1018" spans="27:50" ht="25.5" x14ac:dyDescent="0.2">
      <c r="AA1018" s="93" t="s">
        <v>288</v>
      </c>
      <c r="AB1018" s="90" t="s">
        <v>812</v>
      </c>
      <c r="AC1018" s="91"/>
      <c r="AD1018" s="18"/>
      <c r="AE1018" s="92"/>
      <c r="AF1018" s="92"/>
      <c r="AG1018" s="92"/>
      <c r="AH1018" s="92"/>
      <c r="AI1018" s="92"/>
      <c r="AJ1018" s="18"/>
      <c r="AK1018" s="98"/>
      <c r="AL1018" s="98"/>
      <c r="AM1018" s="98"/>
      <c r="AN1018" s="98"/>
      <c r="AO1018" s="98"/>
      <c r="AP1018" s="98"/>
      <c r="AQ1018" s="98"/>
      <c r="AR1018" s="98"/>
      <c r="AS1018" s="98"/>
      <c r="AT1018" s="31"/>
      <c r="AU1018" s="18"/>
      <c r="AV1018" s="34"/>
      <c r="AW1018" s="18"/>
      <c r="AX1018" s="92"/>
    </row>
    <row r="1019" spans="27:50" x14ac:dyDescent="0.2">
      <c r="AA1019" s="94" t="s">
        <v>813</v>
      </c>
      <c r="AB1019" s="95" t="s">
        <v>793</v>
      </c>
      <c r="AC1019" s="96" t="s">
        <v>794</v>
      </c>
      <c r="AD1019" s="43">
        <v>57600000</v>
      </c>
      <c r="AE1019" s="96">
        <v>0</v>
      </c>
      <c r="AF1019" s="96">
        <v>0</v>
      </c>
      <c r="AG1019" s="96">
        <v>0</v>
      </c>
      <c r="AH1019" s="96">
        <v>0</v>
      </c>
      <c r="AI1019" s="96">
        <v>0</v>
      </c>
      <c r="AJ1019" s="43">
        <v>57600000</v>
      </c>
      <c r="AK1019" s="43">
        <v>0</v>
      </c>
      <c r="AL1019" s="43">
        <f>AM1019-'MARZO '!AM1012</f>
        <v>-3350000</v>
      </c>
      <c r="AM1019" s="43">
        <v>49750000</v>
      </c>
      <c r="AN1019" s="43">
        <v>0</v>
      </c>
      <c r="AO1019" s="43">
        <v>49750000</v>
      </c>
      <c r="AP1019" s="43">
        <v>49750000</v>
      </c>
      <c r="AQ1019" s="43">
        <v>3013333</v>
      </c>
      <c r="AR1019" s="43">
        <v>0</v>
      </c>
      <c r="AS1019" s="43">
        <v>0</v>
      </c>
      <c r="AT1019" s="135">
        <f t="shared" ref="AT1019:AT1036" si="1207">AQ1019+AS1019</f>
        <v>3013333</v>
      </c>
      <c r="AU1019" s="110">
        <f t="shared" ref="AU1019" si="1208">AJ1019-AM1019</f>
        <v>7850000</v>
      </c>
      <c r="AV1019" s="34">
        <f t="shared" ref="AV1019" si="1209">AM1019-AP1019</f>
        <v>0</v>
      </c>
      <c r="AW1019" s="18">
        <f t="shared" ref="AW1019" si="1210">AP1019-AT1019</f>
        <v>46736667</v>
      </c>
      <c r="AX1019" s="123">
        <f t="shared" ref="AX1019" si="1211">AP1019/AJ1019</f>
        <v>0.86371527777777779</v>
      </c>
    </row>
    <row r="1020" spans="27:50" ht="25.5" x14ac:dyDescent="0.2">
      <c r="AA1020" s="93" t="s">
        <v>288</v>
      </c>
      <c r="AB1020" s="90" t="s">
        <v>814</v>
      </c>
      <c r="AC1020" s="91"/>
      <c r="AD1020" s="18"/>
      <c r="AE1020" s="92"/>
      <c r="AF1020" s="92"/>
      <c r="AG1020" s="92"/>
      <c r="AH1020" s="92"/>
      <c r="AI1020" s="92"/>
      <c r="AJ1020" s="18"/>
      <c r="AK1020" s="92"/>
      <c r="AL1020" s="92"/>
      <c r="AM1020" s="92"/>
      <c r="AN1020" s="92"/>
      <c r="AO1020" s="92"/>
      <c r="AP1020" s="98"/>
      <c r="AQ1020" s="98"/>
      <c r="AR1020" s="98"/>
      <c r="AS1020" s="98"/>
      <c r="AT1020" s="40"/>
      <c r="AU1020" s="18"/>
      <c r="AV1020" s="34"/>
      <c r="AW1020" s="18"/>
      <c r="AX1020" s="92"/>
    </row>
    <row r="1021" spans="27:50" x14ac:dyDescent="0.2">
      <c r="AA1021" s="94" t="s">
        <v>815</v>
      </c>
      <c r="AB1021" s="95" t="s">
        <v>793</v>
      </c>
      <c r="AC1021" s="96" t="s">
        <v>794</v>
      </c>
      <c r="AD1021" s="43">
        <v>414513482</v>
      </c>
      <c r="AE1021" s="96">
        <v>0</v>
      </c>
      <c r="AF1021" s="96">
        <v>0</v>
      </c>
      <c r="AG1021" s="96">
        <v>0</v>
      </c>
      <c r="AH1021" s="96">
        <v>0</v>
      </c>
      <c r="AI1021" s="96">
        <v>0</v>
      </c>
      <c r="AJ1021" s="43">
        <v>414513482</v>
      </c>
      <c r="AK1021" s="97">
        <v>0</v>
      </c>
      <c r="AL1021" s="34">
        <v>0</v>
      </c>
      <c r="AM1021" s="18">
        <v>378513482</v>
      </c>
      <c r="AN1021" s="92">
        <v>0</v>
      </c>
      <c r="AO1021" s="110">
        <v>158913482</v>
      </c>
      <c r="AP1021" s="110">
        <v>378513482</v>
      </c>
      <c r="AQ1021" s="43">
        <v>25496667</v>
      </c>
      <c r="AR1021" s="43">
        <v>19700000</v>
      </c>
      <c r="AS1021" s="43">
        <v>35013333</v>
      </c>
      <c r="AT1021" s="39">
        <f t="shared" ref="AT1021" si="1212">AQ1021+AS1021</f>
        <v>60510000</v>
      </c>
      <c r="AU1021" s="110">
        <f t="shared" ref="AU1021" si="1213">AJ1021-AM1021</f>
        <v>36000000</v>
      </c>
      <c r="AV1021" s="34">
        <f t="shared" ref="AV1021" si="1214">AM1021-AP1021</f>
        <v>0</v>
      </c>
      <c r="AW1021" s="18">
        <f t="shared" ref="AW1021" si="1215">AP1021-AT1021</f>
        <v>318003482</v>
      </c>
      <c r="AX1021" s="123">
        <f t="shared" ref="AX1021" si="1216">AP1021/AJ1021</f>
        <v>0.91315119637049591</v>
      </c>
    </row>
    <row r="1022" spans="27:50" ht="25.5" x14ac:dyDescent="0.2">
      <c r="AA1022" s="93" t="s">
        <v>288</v>
      </c>
      <c r="AB1022" s="90" t="s">
        <v>816</v>
      </c>
      <c r="AC1022" s="91"/>
      <c r="AD1022" s="18"/>
      <c r="AE1022" s="92"/>
      <c r="AF1022" s="92"/>
      <c r="AG1022" s="92"/>
      <c r="AH1022" s="92"/>
      <c r="AI1022" s="92"/>
      <c r="AJ1022" s="18"/>
      <c r="AK1022" s="98"/>
      <c r="AL1022" s="98"/>
      <c r="AM1022" s="92"/>
      <c r="AN1022" s="92"/>
      <c r="AO1022" s="92"/>
      <c r="AP1022" s="92"/>
      <c r="AQ1022" s="92"/>
      <c r="AR1022" s="92"/>
      <c r="AS1022" s="92"/>
      <c r="AT1022" s="40"/>
      <c r="AU1022" s="18"/>
      <c r="AV1022" s="34"/>
      <c r="AW1022" s="18"/>
      <c r="AX1022" s="92"/>
    </row>
    <row r="1023" spans="27:50" x14ac:dyDescent="0.2">
      <c r="AA1023" s="94" t="s">
        <v>817</v>
      </c>
      <c r="AB1023" s="95" t="s">
        <v>793</v>
      </c>
      <c r="AC1023" s="96" t="s">
        <v>794</v>
      </c>
      <c r="AD1023" s="43">
        <v>76500000</v>
      </c>
      <c r="AE1023" s="96">
        <v>0</v>
      </c>
      <c r="AF1023" s="96">
        <v>0</v>
      </c>
      <c r="AG1023" s="96">
        <v>0</v>
      </c>
      <c r="AH1023" s="96">
        <v>0</v>
      </c>
      <c r="AI1023" s="96">
        <v>0</v>
      </c>
      <c r="AJ1023" s="43">
        <v>76500000</v>
      </c>
      <c r="AK1023" s="97">
        <v>0</v>
      </c>
      <c r="AL1023" s="110">
        <v>0</v>
      </c>
      <c r="AM1023" s="18">
        <v>76500000</v>
      </c>
      <c r="AN1023" s="34">
        <v>0</v>
      </c>
      <c r="AO1023" s="18">
        <v>0</v>
      </c>
      <c r="AP1023" s="18">
        <v>76500000</v>
      </c>
      <c r="AQ1023" s="96">
        <v>8500000</v>
      </c>
      <c r="AR1023" s="114">
        <v>8500000</v>
      </c>
      <c r="AS1023" s="114">
        <v>17630000</v>
      </c>
      <c r="AT1023" s="111">
        <f t="shared" ref="AT1023" si="1217">AQ1023+AS1023</f>
        <v>26130000</v>
      </c>
      <c r="AU1023" s="133">
        <f t="shared" ref="AU1023" si="1218">AJ1023-AM1023</f>
        <v>0</v>
      </c>
      <c r="AV1023" s="34">
        <f t="shared" ref="AV1023" si="1219">AM1023-AP1023</f>
        <v>0</v>
      </c>
      <c r="AW1023" s="18">
        <f t="shared" ref="AW1023" si="1220">AP1023-AT1023</f>
        <v>50370000</v>
      </c>
      <c r="AX1023" s="123">
        <f t="shared" ref="AX1023" si="1221">AP1023/AJ1023</f>
        <v>1</v>
      </c>
    </row>
    <row r="1024" spans="27:50" ht="38.25" x14ac:dyDescent="0.2">
      <c r="AA1024" s="93" t="s">
        <v>288</v>
      </c>
      <c r="AB1024" s="90" t="s">
        <v>818</v>
      </c>
      <c r="AC1024" s="91"/>
      <c r="AD1024" s="18"/>
      <c r="AE1024" s="92"/>
      <c r="AF1024" s="92"/>
      <c r="AG1024" s="92"/>
      <c r="AH1024" s="92"/>
      <c r="AI1024" s="92"/>
      <c r="AJ1024" s="18"/>
      <c r="AK1024" s="98"/>
      <c r="AL1024" s="98"/>
      <c r="AM1024" s="92"/>
      <c r="AN1024" s="98"/>
      <c r="AO1024" s="92"/>
      <c r="AP1024" s="92"/>
      <c r="AQ1024" s="92"/>
      <c r="AR1024" s="92"/>
      <c r="AS1024" s="92"/>
      <c r="AT1024" s="40"/>
      <c r="AU1024" s="18"/>
      <c r="AV1024" s="18"/>
      <c r="AW1024" s="18"/>
      <c r="AX1024" s="92"/>
    </row>
    <row r="1025" spans="2:50" x14ac:dyDescent="0.2">
      <c r="AA1025" s="94" t="s">
        <v>819</v>
      </c>
      <c r="AB1025" s="95" t="s">
        <v>793</v>
      </c>
      <c r="AC1025" s="96" t="s">
        <v>794</v>
      </c>
      <c r="AD1025" s="43">
        <v>150000000</v>
      </c>
      <c r="AE1025" s="96">
        <v>0</v>
      </c>
      <c r="AF1025" s="96">
        <v>0</v>
      </c>
      <c r="AG1025" s="96">
        <v>0</v>
      </c>
      <c r="AH1025" s="96">
        <v>0</v>
      </c>
      <c r="AI1025" s="96">
        <v>0</v>
      </c>
      <c r="AJ1025" s="43">
        <v>150000000</v>
      </c>
      <c r="AK1025" s="44">
        <v>0</v>
      </c>
      <c r="AL1025" s="43">
        <v>0</v>
      </c>
      <c r="AM1025" s="43">
        <v>114000000</v>
      </c>
      <c r="AN1025" s="44">
        <v>0</v>
      </c>
      <c r="AO1025" s="43">
        <v>78000000</v>
      </c>
      <c r="AP1025" s="43">
        <v>114000000</v>
      </c>
      <c r="AQ1025" s="43">
        <v>4000000</v>
      </c>
      <c r="AR1025" s="43">
        <v>666667</v>
      </c>
      <c r="AS1025" s="43">
        <v>666667</v>
      </c>
      <c r="AT1025" s="39">
        <f t="shared" ref="AT1025" si="1222">AQ1025+AS1025</f>
        <v>4666667</v>
      </c>
      <c r="AU1025" s="18">
        <f t="shared" ref="AU1025" si="1223">AJ1025-AM1025</f>
        <v>36000000</v>
      </c>
      <c r="AV1025" s="34">
        <f t="shared" ref="AV1025" si="1224">AM1025-AP1025</f>
        <v>0</v>
      </c>
      <c r="AW1025" s="18">
        <f t="shared" ref="AW1025" si="1225">AP1025-AT1025</f>
        <v>109333333</v>
      </c>
      <c r="AX1025" s="123">
        <f t="shared" ref="AX1025" si="1226">AP1025/AJ1025</f>
        <v>0.76</v>
      </c>
    </row>
    <row r="1026" spans="2:50" ht="25.5" x14ac:dyDescent="0.2">
      <c r="AA1026" s="93" t="s">
        <v>288</v>
      </c>
      <c r="AB1026" s="90" t="s">
        <v>820</v>
      </c>
      <c r="AC1026" s="91"/>
      <c r="AD1026" s="18"/>
      <c r="AE1026" s="92"/>
      <c r="AF1026" s="92"/>
      <c r="AG1026" s="92"/>
      <c r="AH1026" s="92"/>
      <c r="AI1026" s="92"/>
      <c r="AJ1026" s="18"/>
      <c r="AK1026" s="34"/>
      <c r="AL1026" s="18"/>
      <c r="AM1026" s="18"/>
      <c r="AN1026" s="34"/>
      <c r="AO1026" s="18"/>
      <c r="AP1026" s="18"/>
      <c r="AQ1026" s="18"/>
      <c r="AR1026" s="18"/>
      <c r="AS1026" s="18"/>
      <c r="AT1026" s="39"/>
      <c r="AU1026" s="18"/>
      <c r="AV1026" s="34"/>
      <c r="AW1026" s="18"/>
      <c r="AX1026" s="92"/>
    </row>
    <row r="1027" spans="2:50" x14ac:dyDescent="0.2">
      <c r="AA1027" s="94" t="s">
        <v>821</v>
      </c>
      <c r="AB1027" s="95" t="s">
        <v>233</v>
      </c>
      <c r="AC1027" s="96" t="s">
        <v>58</v>
      </c>
      <c r="AD1027" s="43">
        <v>144000000</v>
      </c>
      <c r="AE1027" s="96">
        <v>0</v>
      </c>
      <c r="AF1027" s="96">
        <v>0</v>
      </c>
      <c r="AG1027" s="96">
        <v>0</v>
      </c>
      <c r="AH1027" s="96">
        <v>0</v>
      </c>
      <c r="AI1027" s="96">
        <v>0</v>
      </c>
      <c r="AJ1027" s="43">
        <v>144000000</v>
      </c>
      <c r="AK1027" s="44">
        <v>0</v>
      </c>
      <c r="AL1027" s="44">
        <v>0</v>
      </c>
      <c r="AM1027" s="43">
        <v>144000000</v>
      </c>
      <c r="AN1027" s="44">
        <v>0</v>
      </c>
      <c r="AO1027" s="44">
        <v>0</v>
      </c>
      <c r="AP1027" s="43">
        <v>144000000</v>
      </c>
      <c r="AQ1027" s="43">
        <v>29866667</v>
      </c>
      <c r="AR1027" s="43">
        <v>5866667</v>
      </c>
      <c r="AS1027" s="43">
        <v>10533334</v>
      </c>
      <c r="AT1027" s="39">
        <f t="shared" si="1207"/>
        <v>40400001</v>
      </c>
      <c r="AU1027" s="18">
        <f t="shared" ref="AU1027:AU1028" si="1227">AJ1027-AM1027</f>
        <v>0</v>
      </c>
      <c r="AV1027" s="34">
        <f t="shared" ref="AV1027:AV1028" si="1228">AM1027-AP1027</f>
        <v>0</v>
      </c>
      <c r="AW1027" s="18">
        <f t="shared" ref="AW1027:AW1028" si="1229">AP1027-AT1027</f>
        <v>103599999</v>
      </c>
      <c r="AX1027" s="123">
        <f t="shared" ref="AX1027:AX1028" si="1230">AP1027/AJ1027</f>
        <v>1</v>
      </c>
    </row>
    <row r="1028" spans="2:50" x14ac:dyDescent="0.2">
      <c r="AA1028" s="94" t="s">
        <v>822</v>
      </c>
      <c r="AB1028" s="95" t="s">
        <v>793</v>
      </c>
      <c r="AC1028" s="96" t="s">
        <v>794</v>
      </c>
      <c r="AD1028" s="43">
        <v>72000000</v>
      </c>
      <c r="AE1028" s="96">
        <v>0</v>
      </c>
      <c r="AF1028" s="96">
        <v>0</v>
      </c>
      <c r="AG1028" s="96">
        <v>0</v>
      </c>
      <c r="AH1028" s="96">
        <v>0</v>
      </c>
      <c r="AI1028" s="96">
        <v>0</v>
      </c>
      <c r="AJ1028" s="43">
        <v>72000000</v>
      </c>
      <c r="AK1028" s="44">
        <v>0</v>
      </c>
      <c r="AL1028" s="44">
        <v>0</v>
      </c>
      <c r="AM1028" s="43">
        <v>68500000</v>
      </c>
      <c r="AN1028" s="44">
        <v>0</v>
      </c>
      <c r="AO1028" s="44">
        <v>0</v>
      </c>
      <c r="AP1028" s="43">
        <v>68500000</v>
      </c>
      <c r="AQ1028" s="43">
        <v>8000000</v>
      </c>
      <c r="AR1028" s="43">
        <v>7650000</v>
      </c>
      <c r="AS1028" s="43">
        <v>10650000</v>
      </c>
      <c r="AT1028" s="39">
        <f t="shared" si="1207"/>
        <v>18650000</v>
      </c>
      <c r="AU1028" s="18">
        <f t="shared" si="1227"/>
        <v>3500000</v>
      </c>
      <c r="AV1028" s="34">
        <f t="shared" si="1228"/>
        <v>0</v>
      </c>
      <c r="AW1028" s="18">
        <f t="shared" si="1229"/>
        <v>49850000</v>
      </c>
      <c r="AX1028" s="123">
        <f t="shared" si="1230"/>
        <v>0.95138888888888884</v>
      </c>
    </row>
    <row r="1029" spans="2:50" ht="38.25" x14ac:dyDescent="0.2">
      <c r="AA1029" s="94" t="s">
        <v>288</v>
      </c>
      <c r="AB1029" s="138" t="s">
        <v>912</v>
      </c>
      <c r="AC1029" s="96"/>
      <c r="AD1029" s="43"/>
      <c r="AE1029" s="96"/>
      <c r="AF1029" s="96"/>
      <c r="AG1029" s="96"/>
      <c r="AH1029" s="96"/>
      <c r="AI1029" s="96"/>
      <c r="AJ1029" s="43"/>
      <c r="AK1029" s="44"/>
      <c r="AL1029" s="44"/>
      <c r="AM1029" s="44"/>
      <c r="AN1029" s="97"/>
      <c r="AO1029" s="44"/>
      <c r="AP1029" s="44"/>
      <c r="AQ1029" s="97"/>
      <c r="AR1029" s="96"/>
      <c r="AS1029" s="97"/>
      <c r="AT1029" s="40"/>
      <c r="AU1029" s="43"/>
      <c r="AV1029" s="44"/>
      <c r="AW1029" s="44"/>
      <c r="AX1029" s="32"/>
    </row>
    <row r="1030" spans="2:50" x14ac:dyDescent="0.2">
      <c r="AA1030" s="94" t="s">
        <v>913</v>
      </c>
      <c r="AB1030" s="95" t="s">
        <v>233</v>
      </c>
      <c r="AC1030" s="96"/>
      <c r="AD1030" s="43">
        <v>0</v>
      </c>
      <c r="AE1030" s="96">
        <v>0</v>
      </c>
      <c r="AF1030" s="96">
        <v>0</v>
      </c>
      <c r="AG1030" s="43">
        <v>136150000</v>
      </c>
      <c r="AH1030" s="96"/>
      <c r="AI1030" s="136">
        <f>AE1030-AF1030+AG1030-AH1030</f>
        <v>136150000</v>
      </c>
      <c r="AJ1030" s="43">
        <f>AD1030+AI1030</f>
        <v>136150000</v>
      </c>
      <c r="AK1030" s="44">
        <v>0</v>
      </c>
      <c r="AL1030" s="114">
        <v>0</v>
      </c>
      <c r="AM1030" s="114">
        <v>94724710</v>
      </c>
      <c r="AN1030" s="97">
        <v>0</v>
      </c>
      <c r="AO1030" s="43">
        <v>17500000</v>
      </c>
      <c r="AP1030" s="43">
        <v>94724710</v>
      </c>
      <c r="AQ1030" s="43">
        <v>2100000</v>
      </c>
      <c r="AR1030" s="96">
        <v>0</v>
      </c>
      <c r="AS1030" s="97">
        <v>0</v>
      </c>
      <c r="AT1030" s="135">
        <f t="shared" ref="AT1030" si="1231">AQ1030+AS1030</f>
        <v>2100000</v>
      </c>
      <c r="AU1030" s="110">
        <f t="shared" ref="AU1030" si="1232">AJ1030-AM1030</f>
        <v>41425290</v>
      </c>
      <c r="AV1030" s="133">
        <f t="shared" ref="AV1030" si="1233">AM1030-AP1030</f>
        <v>0</v>
      </c>
      <c r="AW1030" s="18">
        <f t="shared" ref="AW1030" si="1234">AP1030-AT1030</f>
        <v>92624710</v>
      </c>
      <c r="AX1030" s="123">
        <f t="shared" ref="AX1030" si="1235">AP1030/AJ1030</f>
        <v>0.69573786265148729</v>
      </c>
    </row>
    <row r="1031" spans="2:50" ht="25.5" x14ac:dyDescent="0.2">
      <c r="AA1031" s="93" t="s">
        <v>288</v>
      </c>
      <c r="AB1031" s="90" t="s">
        <v>778</v>
      </c>
      <c r="AC1031" s="91"/>
      <c r="AD1031" s="18"/>
      <c r="AE1031" s="92"/>
      <c r="AF1031" s="92"/>
      <c r="AG1031" s="92"/>
      <c r="AH1031" s="92"/>
      <c r="AI1031" s="92"/>
      <c r="AJ1031" s="18"/>
      <c r="AK1031" s="34"/>
      <c r="AL1031" s="18"/>
      <c r="AM1031" s="18"/>
      <c r="AN1031" s="92"/>
      <c r="AO1031" s="18"/>
      <c r="AP1031" s="18"/>
      <c r="AQ1031" s="92"/>
      <c r="AR1031" s="92"/>
      <c r="AS1031" s="92"/>
      <c r="AT1031" s="30"/>
      <c r="AU1031" s="18"/>
      <c r="AV1031" s="18"/>
      <c r="AW1031" s="18"/>
      <c r="AX1031" s="92"/>
    </row>
    <row r="1032" spans="2:50" x14ac:dyDescent="0.2">
      <c r="AA1032" s="94" t="s">
        <v>823</v>
      </c>
      <c r="AB1032" s="95" t="s">
        <v>824</v>
      </c>
      <c r="AC1032" s="96" t="s">
        <v>794</v>
      </c>
      <c r="AD1032" s="43">
        <v>68497522112</v>
      </c>
      <c r="AE1032" s="96">
        <v>0</v>
      </c>
      <c r="AF1032" s="96">
        <v>0</v>
      </c>
      <c r="AG1032" s="96">
        <v>0</v>
      </c>
      <c r="AH1032" s="96">
        <v>0</v>
      </c>
      <c r="AI1032" s="96">
        <v>0</v>
      </c>
      <c r="AJ1032" s="43">
        <v>68497522112</v>
      </c>
      <c r="AK1032" s="44">
        <v>0</v>
      </c>
      <c r="AL1032" s="44">
        <v>0</v>
      </c>
      <c r="AM1032" s="18">
        <v>68497522112</v>
      </c>
      <c r="AN1032" s="34">
        <v>0</v>
      </c>
      <c r="AO1032" s="18">
        <v>6711410086</v>
      </c>
      <c r="AP1032" s="43">
        <v>26189235229</v>
      </c>
      <c r="AQ1032" s="44">
        <v>0</v>
      </c>
      <c r="AR1032" s="18">
        <v>6711410086</v>
      </c>
      <c r="AS1032" s="43">
        <v>26189235229</v>
      </c>
      <c r="AT1032" s="111">
        <f t="shared" si="1207"/>
        <v>26189235229</v>
      </c>
      <c r="AU1032" s="133">
        <f t="shared" ref="AU1032:AU1036" si="1236">AJ1032-AM1032</f>
        <v>0</v>
      </c>
      <c r="AV1032" s="110">
        <f t="shared" ref="AV1032:AV1036" si="1237">AM1032-AP1032</f>
        <v>42308286883</v>
      </c>
      <c r="AW1032" s="133">
        <f t="shared" ref="AW1032:AW1036" si="1238">AP1032-AT1032</f>
        <v>0</v>
      </c>
      <c r="AX1032" s="123">
        <f t="shared" ref="AX1032:AX1036" si="1239">AP1032/AJ1032</f>
        <v>0.38233843242063698</v>
      </c>
    </row>
    <row r="1033" spans="2:50" x14ac:dyDescent="0.2">
      <c r="AA1033" s="94" t="s">
        <v>825</v>
      </c>
      <c r="AB1033" s="95" t="s">
        <v>826</v>
      </c>
      <c r="AC1033" s="96" t="s">
        <v>802</v>
      </c>
      <c r="AD1033" s="43">
        <v>6053442339</v>
      </c>
      <c r="AE1033" s="96">
        <v>0</v>
      </c>
      <c r="AF1033" s="96">
        <v>0</v>
      </c>
      <c r="AG1033" s="96">
        <v>0</v>
      </c>
      <c r="AH1033" s="96">
        <v>0</v>
      </c>
      <c r="AI1033" s="96">
        <v>0</v>
      </c>
      <c r="AJ1033" s="43">
        <v>6053442339</v>
      </c>
      <c r="AK1033" s="44">
        <v>0</v>
      </c>
      <c r="AL1033" s="44">
        <v>0</v>
      </c>
      <c r="AM1033" s="18">
        <v>3247805756</v>
      </c>
      <c r="AN1033" s="34">
        <v>0</v>
      </c>
      <c r="AO1033" s="18">
        <v>218037602</v>
      </c>
      <c r="AP1033" s="43">
        <v>990050633.00999999</v>
      </c>
      <c r="AQ1033" s="44">
        <v>0</v>
      </c>
      <c r="AR1033" s="18">
        <v>218037602</v>
      </c>
      <c r="AS1033" s="43">
        <v>990050633.00999999</v>
      </c>
      <c r="AT1033" s="111">
        <f t="shared" si="1207"/>
        <v>990050633.00999999</v>
      </c>
      <c r="AU1033" s="110">
        <f t="shared" si="1236"/>
        <v>2805636583</v>
      </c>
      <c r="AV1033" s="110">
        <f t="shared" si="1237"/>
        <v>2257755122.9899998</v>
      </c>
      <c r="AW1033" s="133">
        <f t="shared" si="1238"/>
        <v>0</v>
      </c>
      <c r="AX1033" s="123">
        <f t="shared" si="1239"/>
        <v>0.1635516748266494</v>
      </c>
    </row>
    <row r="1034" spans="2:50" ht="25.5" x14ac:dyDescent="0.2">
      <c r="AA1034" s="94" t="s">
        <v>827</v>
      </c>
      <c r="AB1034" s="95" t="s">
        <v>776</v>
      </c>
      <c r="AC1034" s="96" t="s">
        <v>777</v>
      </c>
      <c r="AD1034" s="43">
        <v>5590188172</v>
      </c>
      <c r="AE1034" s="96">
        <v>0</v>
      </c>
      <c r="AF1034" s="96">
        <v>0</v>
      </c>
      <c r="AG1034" s="96">
        <v>0</v>
      </c>
      <c r="AH1034" s="96">
        <v>0</v>
      </c>
      <c r="AI1034" s="96">
        <v>0</v>
      </c>
      <c r="AJ1034" s="43">
        <v>5590188172</v>
      </c>
      <c r="AK1034" s="44">
        <v>0</v>
      </c>
      <c r="AL1034" s="44">
        <v>0</v>
      </c>
      <c r="AM1034" s="18">
        <v>188387793</v>
      </c>
      <c r="AN1034" s="34">
        <v>0</v>
      </c>
      <c r="AO1034" s="34">
        <v>0</v>
      </c>
      <c r="AP1034" s="43">
        <v>188387793</v>
      </c>
      <c r="AQ1034" s="44">
        <v>0</v>
      </c>
      <c r="AR1034" s="18">
        <v>0</v>
      </c>
      <c r="AS1034" s="43">
        <v>188387793</v>
      </c>
      <c r="AT1034" s="111">
        <f t="shared" si="1207"/>
        <v>188387793</v>
      </c>
      <c r="AU1034" s="110">
        <f t="shared" si="1236"/>
        <v>5401800379</v>
      </c>
      <c r="AV1034" s="133">
        <f t="shared" si="1237"/>
        <v>0</v>
      </c>
      <c r="AW1034" s="133">
        <f t="shared" si="1238"/>
        <v>0</v>
      </c>
      <c r="AX1034" s="123">
        <f t="shared" si="1239"/>
        <v>3.3699723015334665E-2</v>
      </c>
    </row>
    <row r="1035" spans="2:50" ht="16.5" customHeight="1" x14ac:dyDescent="0.2">
      <c r="AA1035" s="94" t="s">
        <v>828</v>
      </c>
      <c r="AB1035" s="95" t="s">
        <v>829</v>
      </c>
      <c r="AC1035" s="96" t="s">
        <v>789</v>
      </c>
      <c r="AD1035" s="43">
        <v>134040044112</v>
      </c>
      <c r="AE1035" s="96">
        <v>0</v>
      </c>
      <c r="AF1035" s="96">
        <v>0</v>
      </c>
      <c r="AG1035" s="96">
        <v>0</v>
      </c>
      <c r="AH1035" s="96">
        <v>0</v>
      </c>
      <c r="AI1035" s="96">
        <v>0</v>
      </c>
      <c r="AJ1035" s="178">
        <v>134040044112</v>
      </c>
      <c r="AK1035" s="44">
        <v>0</v>
      </c>
      <c r="AL1035" s="44">
        <v>0</v>
      </c>
      <c r="AM1035" s="18">
        <v>129958738901</v>
      </c>
      <c r="AN1035" s="34">
        <v>0</v>
      </c>
      <c r="AO1035" s="179">
        <v>10191303415.870001</v>
      </c>
      <c r="AP1035" s="43">
        <v>42368093827.599998</v>
      </c>
      <c r="AQ1035" s="44">
        <v>0</v>
      </c>
      <c r="AR1035" s="18">
        <v>10191303415.870001</v>
      </c>
      <c r="AS1035" s="43">
        <v>42368093827.599998</v>
      </c>
      <c r="AT1035" s="111">
        <f t="shared" si="1207"/>
        <v>42368093827.599998</v>
      </c>
      <c r="AU1035" s="110">
        <f t="shared" si="1236"/>
        <v>4081305211</v>
      </c>
      <c r="AV1035" s="110">
        <f t="shared" si="1237"/>
        <v>87590645073.399994</v>
      </c>
      <c r="AW1035" s="133">
        <f t="shared" si="1238"/>
        <v>0</v>
      </c>
      <c r="AX1035" s="123">
        <f t="shared" si="1239"/>
        <v>0.3160853467953087</v>
      </c>
    </row>
    <row r="1036" spans="2:50" ht="25.5" x14ac:dyDescent="0.2">
      <c r="AA1036" s="94" t="s">
        <v>830</v>
      </c>
      <c r="AB1036" s="95" t="s">
        <v>831</v>
      </c>
      <c r="AC1036" s="96" t="s">
        <v>832</v>
      </c>
      <c r="AD1036" s="43">
        <v>12909348026</v>
      </c>
      <c r="AE1036" s="96">
        <v>0</v>
      </c>
      <c r="AF1036" s="96">
        <v>0</v>
      </c>
      <c r="AG1036" s="96">
        <v>0</v>
      </c>
      <c r="AH1036" s="96">
        <v>0</v>
      </c>
      <c r="AI1036" s="96">
        <v>0</v>
      </c>
      <c r="AJ1036" s="43">
        <v>12909348026</v>
      </c>
      <c r="AK1036" s="44">
        <v>0</v>
      </c>
      <c r="AL1036" s="44">
        <v>0</v>
      </c>
      <c r="AM1036" s="18">
        <v>12909348026</v>
      </c>
      <c r="AN1036" s="34">
        <v>0</v>
      </c>
      <c r="AO1036" s="18">
        <v>1247601016.1700001</v>
      </c>
      <c r="AP1036" s="43">
        <v>3919264888.9499998</v>
      </c>
      <c r="AQ1036" s="44">
        <v>0</v>
      </c>
      <c r="AR1036" s="43">
        <v>1247601016.1700001</v>
      </c>
      <c r="AS1036" s="43">
        <v>3919264888.9499998</v>
      </c>
      <c r="AT1036" s="111">
        <f t="shared" si="1207"/>
        <v>3919264888.9499998</v>
      </c>
      <c r="AU1036" s="133">
        <f t="shared" si="1236"/>
        <v>0</v>
      </c>
      <c r="AV1036" s="110">
        <f t="shared" si="1237"/>
        <v>8990083137.0499992</v>
      </c>
      <c r="AW1036" s="133">
        <f t="shared" si="1238"/>
        <v>0</v>
      </c>
      <c r="AX1036" s="123">
        <f t="shared" si="1239"/>
        <v>0.30359897967398713</v>
      </c>
    </row>
    <row r="1037" spans="2:50" x14ac:dyDescent="0.2">
      <c r="AA1037" s="89"/>
      <c r="AB1037" s="91"/>
      <c r="AC1037" s="91"/>
      <c r="AD1037" s="18"/>
      <c r="AE1037" s="92"/>
      <c r="AF1037" s="92"/>
      <c r="AG1037" s="92"/>
      <c r="AH1037" s="92"/>
      <c r="AI1037" s="92"/>
      <c r="AJ1037" s="92"/>
      <c r="AK1037" s="98"/>
      <c r="AL1037" s="92"/>
      <c r="AM1037" s="92"/>
      <c r="AN1037" s="92"/>
      <c r="AO1037" s="92"/>
      <c r="AP1037" s="92"/>
      <c r="AQ1037" s="98"/>
      <c r="AR1037" s="92"/>
      <c r="AS1037" s="92"/>
      <c r="AT1037" s="92"/>
      <c r="AU1037" s="92"/>
      <c r="AV1037" s="92"/>
      <c r="AW1037" s="92"/>
      <c r="AX1037" s="92"/>
    </row>
    <row r="1038" spans="2:50" s="50" customFormat="1" x14ac:dyDescent="0.2">
      <c r="B1038" s="77"/>
      <c r="C1038" s="77"/>
      <c r="D1038" s="77"/>
      <c r="E1038" s="77"/>
      <c r="F1038" s="77"/>
      <c r="G1038" s="77"/>
      <c r="H1038" s="77"/>
      <c r="I1038" s="77"/>
      <c r="J1038" s="77"/>
      <c r="K1038" s="77"/>
      <c r="L1038" s="77"/>
      <c r="M1038" s="77"/>
      <c r="N1038" s="77"/>
      <c r="O1038" s="77"/>
      <c r="P1038" s="77"/>
      <c r="Q1038" s="77"/>
      <c r="R1038" s="77"/>
      <c r="S1038" s="77"/>
      <c r="T1038" s="77"/>
      <c r="U1038" s="77"/>
      <c r="V1038" s="77"/>
      <c r="W1038" s="77"/>
      <c r="X1038" s="77"/>
      <c r="Y1038" s="77"/>
      <c r="Z1038" s="77"/>
      <c r="AA1038" s="46"/>
      <c r="AB1038" s="47" t="s">
        <v>833</v>
      </c>
      <c r="AC1038" s="47"/>
      <c r="AD1038" s="48">
        <f>SUM(AD989:AD1036)</f>
        <v>260924476092</v>
      </c>
      <c r="AE1038" s="49">
        <f t="shared" ref="AE1038:AW1038" si="1240">SUM(AE989:AE1036)</f>
        <v>0</v>
      </c>
      <c r="AF1038" s="49">
        <f t="shared" si="1240"/>
        <v>0</v>
      </c>
      <c r="AG1038" s="48">
        <f t="shared" si="1240"/>
        <v>5672720240</v>
      </c>
      <c r="AH1038" s="48">
        <f t="shared" si="1240"/>
        <v>5672720240</v>
      </c>
      <c r="AI1038" s="49">
        <f t="shared" si="1240"/>
        <v>0</v>
      </c>
      <c r="AJ1038" s="48">
        <f t="shared" si="1240"/>
        <v>260924476092</v>
      </c>
      <c r="AK1038" s="49">
        <f t="shared" si="1240"/>
        <v>0</v>
      </c>
      <c r="AL1038" s="48">
        <f t="shared" si="1240"/>
        <v>25540074</v>
      </c>
      <c r="AM1038" s="48">
        <f t="shared" si="1240"/>
        <v>221885965858</v>
      </c>
      <c r="AN1038" s="48">
        <f t="shared" si="1240"/>
        <v>0</v>
      </c>
      <c r="AO1038" s="48">
        <f t="shared" si="1240"/>
        <v>20427822676.040001</v>
      </c>
      <c r="AP1038" s="48">
        <f t="shared" si="1240"/>
        <v>80421480807.559998</v>
      </c>
      <c r="AQ1038" s="48">
        <f t="shared" si="1240"/>
        <v>439636667</v>
      </c>
      <c r="AR1038" s="48">
        <f t="shared" si="1240"/>
        <v>18809840681.040001</v>
      </c>
      <c r="AS1038" s="48">
        <f t="shared" si="1240"/>
        <v>74421544099.559998</v>
      </c>
      <c r="AT1038" s="22">
        <f>AQ1038+AS1038</f>
        <v>74861180766.559998</v>
      </c>
      <c r="AU1038" s="48">
        <f>SUM(AU989:AU1036)</f>
        <v>39038510234</v>
      </c>
      <c r="AV1038" s="48">
        <f>SUM(AV989:AV1036)</f>
        <v>141464485050.43997</v>
      </c>
      <c r="AW1038" s="48">
        <f t="shared" si="1240"/>
        <v>5560300041</v>
      </c>
      <c r="AX1038" s="24">
        <f t="shared" ref="AX1038" si="1241">AP1038/AJ1038</f>
        <v>0.3082174658815986</v>
      </c>
    </row>
    <row r="1043" spans="28:31" ht="13.5" thickBot="1" x14ac:dyDescent="0.25">
      <c r="AB1043" s="152"/>
    </row>
    <row r="1044" spans="28:31" ht="15.75" x14ac:dyDescent="0.2">
      <c r="AB1044" s="153" t="s">
        <v>914</v>
      </c>
    </row>
    <row r="1045" spans="28:31" x14ac:dyDescent="0.2">
      <c r="AB1045" s="154" t="s">
        <v>916</v>
      </c>
    </row>
    <row r="1046" spans="28:31" x14ac:dyDescent="0.2">
      <c r="AB1046" s="154" t="s">
        <v>917</v>
      </c>
    </row>
    <row r="1050" spans="28:31" x14ac:dyDescent="0.2">
      <c r="AE1050" s="188" t="s">
        <v>980</v>
      </c>
    </row>
  </sheetData>
  <mergeCells count="23">
    <mergeCell ref="AX7:AX8"/>
    <mergeCell ref="AK7:AM7"/>
    <mergeCell ref="AN7:AP7"/>
    <mergeCell ref="AQ7:AS7"/>
    <mergeCell ref="AU7:AU8"/>
    <mergeCell ref="AV7:AV8"/>
    <mergeCell ref="AW7:AW8"/>
    <mergeCell ref="AJ7:AJ8"/>
    <mergeCell ref="A2:AW2"/>
    <mergeCell ref="A3:AW3"/>
    <mergeCell ref="A4:AW4"/>
    <mergeCell ref="A5:AW5"/>
    <mergeCell ref="A7:A9"/>
    <mergeCell ref="B7:B9"/>
    <mergeCell ref="AA7:AA9"/>
    <mergeCell ref="AB7:AB9"/>
    <mergeCell ref="AC7:AC9"/>
    <mergeCell ref="AD7:AD8"/>
    <mergeCell ref="AE7:AE8"/>
    <mergeCell ref="AF7:AF8"/>
    <mergeCell ref="AG7:AG8"/>
    <mergeCell ref="AH7:AH8"/>
    <mergeCell ref="AI7:AI8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2B1C7-3EED-4981-A517-00E9830BAA2C}">
  <dimension ref="A1:AZ1272"/>
  <sheetViews>
    <sheetView zoomScale="80" zoomScaleNormal="80" workbookViewId="0">
      <pane xSplit="29" ySplit="9" topLeftCell="AE10" activePane="bottomRight" state="frozen"/>
      <selection pane="topRight" activeCell="AD1" sqref="AD1"/>
      <selection pane="bottomLeft" activeCell="A10" sqref="A10"/>
      <selection pane="bottomRight" activeCell="AE681" sqref="AE681"/>
    </sheetView>
  </sheetViews>
  <sheetFormatPr baseColWidth="10" defaultColWidth="9.140625" defaultRowHeight="12.75" x14ac:dyDescent="0.2"/>
  <cols>
    <col min="1" max="1" width="7" style="33" customWidth="1"/>
    <col min="2" max="2" width="38.42578125" style="51" hidden="1" customWidth="1"/>
    <col min="3" max="3" width="27.7109375" style="51" hidden="1" customWidth="1"/>
    <col min="4" max="4" width="18.7109375" style="51" hidden="1" customWidth="1"/>
    <col min="5" max="5" width="13.85546875" style="51" hidden="1" customWidth="1"/>
    <col min="6" max="6" width="14.42578125" style="51" hidden="1" customWidth="1"/>
    <col min="7" max="7" width="10.85546875" style="51" hidden="1" customWidth="1"/>
    <col min="8" max="8" width="9.85546875" style="51" hidden="1" customWidth="1"/>
    <col min="9" max="9" width="23" style="51" hidden="1" customWidth="1"/>
    <col min="10" max="10" width="14.5703125" style="51" hidden="1" customWidth="1"/>
    <col min="11" max="11" width="18.85546875" style="51" hidden="1" customWidth="1"/>
    <col min="12" max="12" width="12" style="51" hidden="1" customWidth="1"/>
    <col min="13" max="13" width="16.85546875" style="51" hidden="1" customWidth="1"/>
    <col min="14" max="14" width="20.5703125" style="51" hidden="1" customWidth="1"/>
    <col min="15" max="15" width="22.7109375" style="51" hidden="1" customWidth="1"/>
    <col min="16" max="16" width="29" style="51" hidden="1" customWidth="1"/>
    <col min="17" max="17" width="20" style="51" hidden="1" customWidth="1"/>
    <col min="18" max="19" width="23.5703125" style="51" hidden="1" customWidth="1"/>
    <col min="20" max="20" width="27.140625" style="51" hidden="1" customWidth="1"/>
    <col min="21" max="21" width="25.5703125" style="51" hidden="1" customWidth="1"/>
    <col min="22" max="22" width="18.85546875" style="51" hidden="1" customWidth="1"/>
    <col min="23" max="23" width="18.5703125" style="51" hidden="1" customWidth="1"/>
    <col min="24" max="24" width="20.85546875" style="51" hidden="1" customWidth="1"/>
    <col min="25" max="26" width="29.7109375" style="51" hidden="1" customWidth="1"/>
    <col min="27" max="27" width="37.5703125" style="99" customWidth="1"/>
    <col min="28" max="28" width="60.140625" style="51" customWidth="1"/>
    <col min="29" max="29" width="60.7109375" style="51" hidden="1" customWidth="1"/>
    <col min="30" max="30" width="23.5703125" style="33" customWidth="1"/>
    <col min="31" max="31" width="22.5703125" style="33" customWidth="1"/>
    <col min="32" max="32" width="20.7109375" style="33" hidden="1" customWidth="1"/>
    <col min="33" max="34" width="22" style="33" hidden="1" customWidth="1"/>
    <col min="35" max="35" width="22.140625" style="33" hidden="1" customWidth="1"/>
    <col min="36" max="36" width="26" style="33" customWidth="1"/>
    <col min="37" max="37" width="24.140625" style="33" hidden="1" customWidth="1"/>
    <col min="38" max="39" width="27.7109375" style="33" hidden="1" customWidth="1"/>
    <col min="40" max="40" width="20.7109375" style="33" hidden="1" customWidth="1"/>
    <col min="41" max="41" width="22.42578125" style="33" hidden="1" customWidth="1"/>
    <col min="42" max="42" width="23.42578125" style="33" hidden="1" customWidth="1"/>
    <col min="43" max="43" width="20.7109375" style="33" customWidth="1"/>
    <col min="44" max="44" width="22.28515625" style="33" customWidth="1"/>
    <col min="45" max="45" width="23.7109375" style="33" customWidth="1"/>
    <col min="46" max="46" width="22.28515625" style="33" customWidth="1"/>
    <col min="47" max="47" width="23" style="33" customWidth="1"/>
    <col min="48" max="48" width="23.42578125" style="33" customWidth="1"/>
    <col min="49" max="49" width="22" style="33" bestFit="1" customWidth="1"/>
    <col min="50" max="50" width="12.140625" style="33" customWidth="1"/>
    <col min="51" max="281" width="9.140625" style="33"/>
    <col min="282" max="283" width="0" style="33" hidden="1" customWidth="1"/>
    <col min="284" max="284" width="29.42578125" style="33" customWidth="1"/>
    <col min="285" max="285" width="75.7109375" style="33" customWidth="1"/>
    <col min="286" max="286" width="0" style="33" hidden="1" customWidth="1"/>
    <col min="287" max="305" width="20.7109375" style="33" customWidth="1"/>
    <col min="306" max="306" width="12.140625" style="33" customWidth="1"/>
    <col min="307" max="537" width="9.140625" style="33"/>
    <col min="538" max="539" width="0" style="33" hidden="1" customWidth="1"/>
    <col min="540" max="540" width="29.42578125" style="33" customWidth="1"/>
    <col min="541" max="541" width="75.7109375" style="33" customWidth="1"/>
    <col min="542" max="542" width="0" style="33" hidden="1" customWidth="1"/>
    <col min="543" max="561" width="20.7109375" style="33" customWidth="1"/>
    <col min="562" max="562" width="12.140625" style="33" customWidth="1"/>
    <col min="563" max="793" width="9.140625" style="33"/>
    <col min="794" max="795" width="0" style="33" hidden="1" customWidth="1"/>
    <col min="796" max="796" width="29.42578125" style="33" customWidth="1"/>
    <col min="797" max="797" width="75.7109375" style="33" customWidth="1"/>
    <col min="798" max="798" width="0" style="33" hidden="1" customWidth="1"/>
    <col min="799" max="817" width="20.7109375" style="33" customWidth="1"/>
    <col min="818" max="818" width="12.140625" style="33" customWidth="1"/>
    <col min="819" max="1049" width="9.140625" style="33"/>
    <col min="1050" max="1051" width="0" style="33" hidden="1" customWidth="1"/>
    <col min="1052" max="1052" width="29.42578125" style="33" customWidth="1"/>
    <col min="1053" max="1053" width="75.7109375" style="33" customWidth="1"/>
    <col min="1054" max="1054" width="0" style="33" hidden="1" customWidth="1"/>
    <col min="1055" max="1073" width="20.7109375" style="33" customWidth="1"/>
    <col min="1074" max="1074" width="12.140625" style="33" customWidth="1"/>
    <col min="1075" max="1305" width="9.140625" style="33"/>
    <col min="1306" max="1307" width="0" style="33" hidden="1" customWidth="1"/>
    <col min="1308" max="1308" width="29.42578125" style="33" customWidth="1"/>
    <col min="1309" max="1309" width="75.7109375" style="33" customWidth="1"/>
    <col min="1310" max="1310" width="0" style="33" hidden="1" customWidth="1"/>
    <col min="1311" max="1329" width="20.7109375" style="33" customWidth="1"/>
    <col min="1330" max="1330" width="12.140625" style="33" customWidth="1"/>
    <col min="1331" max="1561" width="9.140625" style="33"/>
    <col min="1562" max="1563" width="0" style="33" hidden="1" customWidth="1"/>
    <col min="1564" max="1564" width="29.42578125" style="33" customWidth="1"/>
    <col min="1565" max="1565" width="75.7109375" style="33" customWidth="1"/>
    <col min="1566" max="1566" width="0" style="33" hidden="1" customWidth="1"/>
    <col min="1567" max="1585" width="20.7109375" style="33" customWidth="1"/>
    <col min="1586" max="1586" width="12.140625" style="33" customWidth="1"/>
    <col min="1587" max="1817" width="9.140625" style="33"/>
    <col min="1818" max="1819" width="0" style="33" hidden="1" customWidth="1"/>
    <col min="1820" max="1820" width="29.42578125" style="33" customWidth="1"/>
    <col min="1821" max="1821" width="75.7109375" style="33" customWidth="1"/>
    <col min="1822" max="1822" width="0" style="33" hidden="1" customWidth="1"/>
    <col min="1823" max="1841" width="20.7109375" style="33" customWidth="1"/>
    <col min="1842" max="1842" width="12.140625" style="33" customWidth="1"/>
    <col min="1843" max="2073" width="9.140625" style="33"/>
    <col min="2074" max="2075" width="0" style="33" hidden="1" customWidth="1"/>
    <col min="2076" max="2076" width="29.42578125" style="33" customWidth="1"/>
    <col min="2077" max="2077" width="75.7109375" style="33" customWidth="1"/>
    <col min="2078" max="2078" width="0" style="33" hidden="1" customWidth="1"/>
    <col min="2079" max="2097" width="20.7109375" style="33" customWidth="1"/>
    <col min="2098" max="2098" width="12.140625" style="33" customWidth="1"/>
    <col min="2099" max="2329" width="9.140625" style="33"/>
    <col min="2330" max="2331" width="0" style="33" hidden="1" customWidth="1"/>
    <col min="2332" max="2332" width="29.42578125" style="33" customWidth="1"/>
    <col min="2333" max="2333" width="75.7109375" style="33" customWidth="1"/>
    <col min="2334" max="2334" width="0" style="33" hidden="1" customWidth="1"/>
    <col min="2335" max="2353" width="20.7109375" style="33" customWidth="1"/>
    <col min="2354" max="2354" width="12.140625" style="33" customWidth="1"/>
    <col min="2355" max="2585" width="9.140625" style="33"/>
    <col min="2586" max="2587" width="0" style="33" hidden="1" customWidth="1"/>
    <col min="2588" max="2588" width="29.42578125" style="33" customWidth="1"/>
    <col min="2589" max="2589" width="75.7109375" style="33" customWidth="1"/>
    <col min="2590" max="2590" width="0" style="33" hidden="1" customWidth="1"/>
    <col min="2591" max="2609" width="20.7109375" style="33" customWidth="1"/>
    <col min="2610" max="2610" width="12.140625" style="33" customWidth="1"/>
    <col min="2611" max="2841" width="9.140625" style="33"/>
    <col min="2842" max="2843" width="0" style="33" hidden="1" customWidth="1"/>
    <col min="2844" max="2844" width="29.42578125" style="33" customWidth="1"/>
    <col min="2845" max="2845" width="75.7109375" style="33" customWidth="1"/>
    <col min="2846" max="2846" width="0" style="33" hidden="1" customWidth="1"/>
    <col min="2847" max="2865" width="20.7109375" style="33" customWidth="1"/>
    <col min="2866" max="2866" width="12.140625" style="33" customWidth="1"/>
    <col min="2867" max="3097" width="9.140625" style="33"/>
    <col min="3098" max="3099" width="0" style="33" hidden="1" customWidth="1"/>
    <col min="3100" max="3100" width="29.42578125" style="33" customWidth="1"/>
    <col min="3101" max="3101" width="75.7109375" style="33" customWidth="1"/>
    <col min="3102" max="3102" width="0" style="33" hidden="1" customWidth="1"/>
    <col min="3103" max="3121" width="20.7109375" style="33" customWidth="1"/>
    <col min="3122" max="3122" width="12.140625" style="33" customWidth="1"/>
    <col min="3123" max="3353" width="9.140625" style="33"/>
    <col min="3354" max="3355" width="0" style="33" hidden="1" customWidth="1"/>
    <col min="3356" max="3356" width="29.42578125" style="33" customWidth="1"/>
    <col min="3357" max="3357" width="75.7109375" style="33" customWidth="1"/>
    <col min="3358" max="3358" width="0" style="33" hidden="1" customWidth="1"/>
    <col min="3359" max="3377" width="20.7109375" style="33" customWidth="1"/>
    <col min="3378" max="3378" width="12.140625" style="33" customWidth="1"/>
    <col min="3379" max="3609" width="9.140625" style="33"/>
    <col min="3610" max="3611" width="0" style="33" hidden="1" customWidth="1"/>
    <col min="3612" max="3612" width="29.42578125" style="33" customWidth="1"/>
    <col min="3613" max="3613" width="75.7109375" style="33" customWidth="1"/>
    <col min="3614" max="3614" width="0" style="33" hidden="1" customWidth="1"/>
    <col min="3615" max="3633" width="20.7109375" style="33" customWidth="1"/>
    <col min="3634" max="3634" width="12.140625" style="33" customWidth="1"/>
    <col min="3635" max="3865" width="9.140625" style="33"/>
    <col min="3866" max="3867" width="0" style="33" hidden="1" customWidth="1"/>
    <col min="3868" max="3868" width="29.42578125" style="33" customWidth="1"/>
    <col min="3869" max="3869" width="75.7109375" style="33" customWidth="1"/>
    <col min="3870" max="3870" width="0" style="33" hidden="1" customWidth="1"/>
    <col min="3871" max="3889" width="20.7109375" style="33" customWidth="1"/>
    <col min="3890" max="3890" width="12.140625" style="33" customWidth="1"/>
    <col min="3891" max="4121" width="9.140625" style="33"/>
    <col min="4122" max="4123" width="0" style="33" hidden="1" customWidth="1"/>
    <col min="4124" max="4124" width="29.42578125" style="33" customWidth="1"/>
    <col min="4125" max="4125" width="75.7109375" style="33" customWidth="1"/>
    <col min="4126" max="4126" width="0" style="33" hidden="1" customWidth="1"/>
    <col min="4127" max="4145" width="20.7109375" style="33" customWidth="1"/>
    <col min="4146" max="4146" width="12.140625" style="33" customWidth="1"/>
    <col min="4147" max="4377" width="9.140625" style="33"/>
    <col min="4378" max="4379" width="0" style="33" hidden="1" customWidth="1"/>
    <col min="4380" max="4380" width="29.42578125" style="33" customWidth="1"/>
    <col min="4381" max="4381" width="75.7109375" style="33" customWidth="1"/>
    <col min="4382" max="4382" width="0" style="33" hidden="1" customWidth="1"/>
    <col min="4383" max="4401" width="20.7109375" style="33" customWidth="1"/>
    <col min="4402" max="4402" width="12.140625" style="33" customWidth="1"/>
    <col min="4403" max="4633" width="9.140625" style="33"/>
    <col min="4634" max="4635" width="0" style="33" hidden="1" customWidth="1"/>
    <col min="4636" max="4636" width="29.42578125" style="33" customWidth="1"/>
    <col min="4637" max="4637" width="75.7109375" style="33" customWidth="1"/>
    <col min="4638" max="4638" width="0" style="33" hidden="1" customWidth="1"/>
    <col min="4639" max="4657" width="20.7109375" style="33" customWidth="1"/>
    <col min="4658" max="4658" width="12.140625" style="33" customWidth="1"/>
    <col min="4659" max="4889" width="9.140625" style="33"/>
    <col min="4890" max="4891" width="0" style="33" hidden="1" customWidth="1"/>
    <col min="4892" max="4892" width="29.42578125" style="33" customWidth="1"/>
    <col min="4893" max="4893" width="75.7109375" style="33" customWidth="1"/>
    <col min="4894" max="4894" width="0" style="33" hidden="1" customWidth="1"/>
    <col min="4895" max="4913" width="20.7109375" style="33" customWidth="1"/>
    <col min="4914" max="4914" width="12.140625" style="33" customWidth="1"/>
    <col min="4915" max="5145" width="9.140625" style="33"/>
    <col min="5146" max="5147" width="0" style="33" hidden="1" customWidth="1"/>
    <col min="5148" max="5148" width="29.42578125" style="33" customWidth="1"/>
    <col min="5149" max="5149" width="75.7109375" style="33" customWidth="1"/>
    <col min="5150" max="5150" width="0" style="33" hidden="1" customWidth="1"/>
    <col min="5151" max="5169" width="20.7109375" style="33" customWidth="1"/>
    <col min="5170" max="5170" width="12.140625" style="33" customWidth="1"/>
    <col min="5171" max="5401" width="9.140625" style="33"/>
    <col min="5402" max="5403" width="0" style="33" hidden="1" customWidth="1"/>
    <col min="5404" max="5404" width="29.42578125" style="33" customWidth="1"/>
    <col min="5405" max="5405" width="75.7109375" style="33" customWidth="1"/>
    <col min="5406" max="5406" width="0" style="33" hidden="1" customWidth="1"/>
    <col min="5407" max="5425" width="20.7109375" style="33" customWidth="1"/>
    <col min="5426" max="5426" width="12.140625" style="33" customWidth="1"/>
    <col min="5427" max="5657" width="9.140625" style="33"/>
    <col min="5658" max="5659" width="0" style="33" hidden="1" customWidth="1"/>
    <col min="5660" max="5660" width="29.42578125" style="33" customWidth="1"/>
    <col min="5661" max="5661" width="75.7109375" style="33" customWidth="1"/>
    <col min="5662" max="5662" width="0" style="33" hidden="1" customWidth="1"/>
    <col min="5663" max="5681" width="20.7109375" style="33" customWidth="1"/>
    <col min="5682" max="5682" width="12.140625" style="33" customWidth="1"/>
    <col min="5683" max="5913" width="9.140625" style="33"/>
    <col min="5914" max="5915" width="0" style="33" hidden="1" customWidth="1"/>
    <col min="5916" max="5916" width="29.42578125" style="33" customWidth="1"/>
    <col min="5917" max="5917" width="75.7109375" style="33" customWidth="1"/>
    <col min="5918" max="5918" width="0" style="33" hidden="1" customWidth="1"/>
    <col min="5919" max="5937" width="20.7109375" style="33" customWidth="1"/>
    <col min="5938" max="5938" width="12.140625" style="33" customWidth="1"/>
    <col min="5939" max="6169" width="9.140625" style="33"/>
    <col min="6170" max="6171" width="0" style="33" hidden="1" customWidth="1"/>
    <col min="6172" max="6172" width="29.42578125" style="33" customWidth="1"/>
    <col min="6173" max="6173" width="75.7109375" style="33" customWidth="1"/>
    <col min="6174" max="6174" width="0" style="33" hidden="1" customWidth="1"/>
    <col min="6175" max="6193" width="20.7109375" style="33" customWidth="1"/>
    <col min="6194" max="6194" width="12.140625" style="33" customWidth="1"/>
    <col min="6195" max="6425" width="9.140625" style="33"/>
    <col min="6426" max="6427" width="0" style="33" hidden="1" customWidth="1"/>
    <col min="6428" max="6428" width="29.42578125" style="33" customWidth="1"/>
    <col min="6429" max="6429" width="75.7109375" style="33" customWidth="1"/>
    <col min="6430" max="6430" width="0" style="33" hidden="1" customWidth="1"/>
    <col min="6431" max="6449" width="20.7109375" style="33" customWidth="1"/>
    <col min="6450" max="6450" width="12.140625" style="33" customWidth="1"/>
    <col min="6451" max="6681" width="9.140625" style="33"/>
    <col min="6682" max="6683" width="0" style="33" hidden="1" customWidth="1"/>
    <col min="6684" max="6684" width="29.42578125" style="33" customWidth="1"/>
    <col min="6685" max="6685" width="75.7109375" style="33" customWidth="1"/>
    <col min="6686" max="6686" width="0" style="33" hidden="1" customWidth="1"/>
    <col min="6687" max="6705" width="20.7109375" style="33" customWidth="1"/>
    <col min="6706" max="6706" width="12.140625" style="33" customWidth="1"/>
    <col min="6707" max="6937" width="9.140625" style="33"/>
    <col min="6938" max="6939" width="0" style="33" hidden="1" customWidth="1"/>
    <col min="6940" max="6940" width="29.42578125" style="33" customWidth="1"/>
    <col min="6941" max="6941" width="75.7109375" style="33" customWidth="1"/>
    <col min="6942" max="6942" width="0" style="33" hidden="1" customWidth="1"/>
    <col min="6943" max="6961" width="20.7109375" style="33" customWidth="1"/>
    <col min="6962" max="6962" width="12.140625" style="33" customWidth="1"/>
    <col min="6963" max="7193" width="9.140625" style="33"/>
    <col min="7194" max="7195" width="0" style="33" hidden="1" customWidth="1"/>
    <col min="7196" max="7196" width="29.42578125" style="33" customWidth="1"/>
    <col min="7197" max="7197" width="75.7109375" style="33" customWidth="1"/>
    <col min="7198" max="7198" width="0" style="33" hidden="1" customWidth="1"/>
    <col min="7199" max="7217" width="20.7109375" style="33" customWidth="1"/>
    <col min="7218" max="7218" width="12.140625" style="33" customWidth="1"/>
    <col min="7219" max="7449" width="9.140625" style="33"/>
    <col min="7450" max="7451" width="0" style="33" hidden="1" customWidth="1"/>
    <col min="7452" max="7452" width="29.42578125" style="33" customWidth="1"/>
    <col min="7453" max="7453" width="75.7109375" style="33" customWidth="1"/>
    <col min="7454" max="7454" width="0" style="33" hidden="1" customWidth="1"/>
    <col min="7455" max="7473" width="20.7109375" style="33" customWidth="1"/>
    <col min="7474" max="7474" width="12.140625" style="33" customWidth="1"/>
    <col min="7475" max="7705" width="9.140625" style="33"/>
    <col min="7706" max="7707" width="0" style="33" hidden="1" customWidth="1"/>
    <col min="7708" max="7708" width="29.42578125" style="33" customWidth="1"/>
    <col min="7709" max="7709" width="75.7109375" style="33" customWidth="1"/>
    <col min="7710" max="7710" width="0" style="33" hidden="1" customWidth="1"/>
    <col min="7711" max="7729" width="20.7109375" style="33" customWidth="1"/>
    <col min="7730" max="7730" width="12.140625" style="33" customWidth="1"/>
    <col min="7731" max="7961" width="9.140625" style="33"/>
    <col min="7962" max="7963" width="0" style="33" hidden="1" customWidth="1"/>
    <col min="7964" max="7964" width="29.42578125" style="33" customWidth="1"/>
    <col min="7965" max="7965" width="75.7109375" style="33" customWidth="1"/>
    <col min="7966" max="7966" width="0" style="33" hidden="1" customWidth="1"/>
    <col min="7967" max="7985" width="20.7109375" style="33" customWidth="1"/>
    <col min="7986" max="7986" width="12.140625" style="33" customWidth="1"/>
    <col min="7987" max="8217" width="9.140625" style="33"/>
    <col min="8218" max="8219" width="0" style="33" hidden="1" customWidth="1"/>
    <col min="8220" max="8220" width="29.42578125" style="33" customWidth="1"/>
    <col min="8221" max="8221" width="75.7109375" style="33" customWidth="1"/>
    <col min="8222" max="8222" width="0" style="33" hidden="1" customWidth="1"/>
    <col min="8223" max="8241" width="20.7109375" style="33" customWidth="1"/>
    <col min="8242" max="8242" width="12.140625" style="33" customWidth="1"/>
    <col min="8243" max="8473" width="9.140625" style="33"/>
    <col min="8474" max="8475" width="0" style="33" hidden="1" customWidth="1"/>
    <col min="8476" max="8476" width="29.42578125" style="33" customWidth="1"/>
    <col min="8477" max="8477" width="75.7109375" style="33" customWidth="1"/>
    <col min="8478" max="8478" width="0" style="33" hidden="1" customWidth="1"/>
    <col min="8479" max="8497" width="20.7109375" style="33" customWidth="1"/>
    <col min="8498" max="8498" width="12.140625" style="33" customWidth="1"/>
    <col min="8499" max="8729" width="9.140625" style="33"/>
    <col min="8730" max="8731" width="0" style="33" hidden="1" customWidth="1"/>
    <col min="8732" max="8732" width="29.42578125" style="33" customWidth="1"/>
    <col min="8733" max="8733" width="75.7109375" style="33" customWidth="1"/>
    <col min="8734" max="8734" width="0" style="33" hidden="1" customWidth="1"/>
    <col min="8735" max="8753" width="20.7109375" style="33" customWidth="1"/>
    <col min="8754" max="8754" width="12.140625" style="33" customWidth="1"/>
    <col min="8755" max="8985" width="9.140625" style="33"/>
    <col min="8986" max="8987" width="0" style="33" hidden="1" customWidth="1"/>
    <col min="8988" max="8988" width="29.42578125" style="33" customWidth="1"/>
    <col min="8989" max="8989" width="75.7109375" style="33" customWidth="1"/>
    <col min="8990" max="8990" width="0" style="33" hidden="1" customWidth="1"/>
    <col min="8991" max="9009" width="20.7109375" style="33" customWidth="1"/>
    <col min="9010" max="9010" width="12.140625" style="33" customWidth="1"/>
    <col min="9011" max="9241" width="9.140625" style="33"/>
    <col min="9242" max="9243" width="0" style="33" hidden="1" customWidth="1"/>
    <col min="9244" max="9244" width="29.42578125" style="33" customWidth="1"/>
    <col min="9245" max="9245" width="75.7109375" style="33" customWidth="1"/>
    <col min="9246" max="9246" width="0" style="33" hidden="1" customWidth="1"/>
    <col min="9247" max="9265" width="20.7109375" style="33" customWidth="1"/>
    <col min="9266" max="9266" width="12.140625" style="33" customWidth="1"/>
    <col min="9267" max="9497" width="9.140625" style="33"/>
    <col min="9498" max="9499" width="0" style="33" hidden="1" customWidth="1"/>
    <col min="9500" max="9500" width="29.42578125" style="33" customWidth="1"/>
    <col min="9501" max="9501" width="75.7109375" style="33" customWidth="1"/>
    <col min="9502" max="9502" width="0" style="33" hidden="1" customWidth="1"/>
    <col min="9503" max="9521" width="20.7109375" style="33" customWidth="1"/>
    <col min="9522" max="9522" width="12.140625" style="33" customWidth="1"/>
    <col min="9523" max="9753" width="9.140625" style="33"/>
    <col min="9754" max="9755" width="0" style="33" hidden="1" customWidth="1"/>
    <col min="9756" max="9756" width="29.42578125" style="33" customWidth="1"/>
    <col min="9757" max="9757" width="75.7109375" style="33" customWidth="1"/>
    <col min="9758" max="9758" width="0" style="33" hidden="1" customWidth="1"/>
    <col min="9759" max="9777" width="20.7109375" style="33" customWidth="1"/>
    <col min="9778" max="9778" width="12.140625" style="33" customWidth="1"/>
    <col min="9779" max="10009" width="9.140625" style="33"/>
    <col min="10010" max="10011" width="0" style="33" hidden="1" customWidth="1"/>
    <col min="10012" max="10012" width="29.42578125" style="33" customWidth="1"/>
    <col min="10013" max="10013" width="75.7109375" style="33" customWidth="1"/>
    <col min="10014" max="10014" width="0" style="33" hidden="1" customWidth="1"/>
    <col min="10015" max="10033" width="20.7109375" style="33" customWidth="1"/>
    <col min="10034" max="10034" width="12.140625" style="33" customWidth="1"/>
    <col min="10035" max="10265" width="9.140625" style="33"/>
    <col min="10266" max="10267" width="0" style="33" hidden="1" customWidth="1"/>
    <col min="10268" max="10268" width="29.42578125" style="33" customWidth="1"/>
    <col min="10269" max="10269" width="75.7109375" style="33" customWidth="1"/>
    <col min="10270" max="10270" width="0" style="33" hidden="1" customWidth="1"/>
    <col min="10271" max="10289" width="20.7109375" style="33" customWidth="1"/>
    <col min="10290" max="10290" width="12.140625" style="33" customWidth="1"/>
    <col min="10291" max="10521" width="9.140625" style="33"/>
    <col min="10522" max="10523" width="0" style="33" hidden="1" customWidth="1"/>
    <col min="10524" max="10524" width="29.42578125" style="33" customWidth="1"/>
    <col min="10525" max="10525" width="75.7109375" style="33" customWidth="1"/>
    <col min="10526" max="10526" width="0" style="33" hidden="1" customWidth="1"/>
    <col min="10527" max="10545" width="20.7109375" style="33" customWidth="1"/>
    <col min="10546" max="10546" width="12.140625" style="33" customWidth="1"/>
    <col min="10547" max="10777" width="9.140625" style="33"/>
    <col min="10778" max="10779" width="0" style="33" hidden="1" customWidth="1"/>
    <col min="10780" max="10780" width="29.42578125" style="33" customWidth="1"/>
    <col min="10781" max="10781" width="75.7109375" style="33" customWidth="1"/>
    <col min="10782" max="10782" width="0" style="33" hidden="1" customWidth="1"/>
    <col min="10783" max="10801" width="20.7109375" style="33" customWidth="1"/>
    <col min="10802" max="10802" width="12.140625" style="33" customWidth="1"/>
    <col min="10803" max="11033" width="9.140625" style="33"/>
    <col min="11034" max="11035" width="0" style="33" hidden="1" customWidth="1"/>
    <col min="11036" max="11036" width="29.42578125" style="33" customWidth="1"/>
    <col min="11037" max="11037" width="75.7109375" style="33" customWidth="1"/>
    <col min="11038" max="11038" width="0" style="33" hidden="1" customWidth="1"/>
    <col min="11039" max="11057" width="20.7109375" style="33" customWidth="1"/>
    <col min="11058" max="11058" width="12.140625" style="33" customWidth="1"/>
    <col min="11059" max="11289" width="9.140625" style="33"/>
    <col min="11290" max="11291" width="0" style="33" hidden="1" customWidth="1"/>
    <col min="11292" max="11292" width="29.42578125" style="33" customWidth="1"/>
    <col min="11293" max="11293" width="75.7109375" style="33" customWidth="1"/>
    <col min="11294" max="11294" width="0" style="33" hidden="1" customWidth="1"/>
    <col min="11295" max="11313" width="20.7109375" style="33" customWidth="1"/>
    <col min="11314" max="11314" width="12.140625" style="33" customWidth="1"/>
    <col min="11315" max="11545" width="9.140625" style="33"/>
    <col min="11546" max="11547" width="0" style="33" hidden="1" customWidth="1"/>
    <col min="11548" max="11548" width="29.42578125" style="33" customWidth="1"/>
    <col min="11549" max="11549" width="75.7109375" style="33" customWidth="1"/>
    <col min="11550" max="11550" width="0" style="33" hidden="1" customWidth="1"/>
    <col min="11551" max="11569" width="20.7109375" style="33" customWidth="1"/>
    <col min="11570" max="11570" width="12.140625" style="33" customWidth="1"/>
    <col min="11571" max="11801" width="9.140625" style="33"/>
    <col min="11802" max="11803" width="0" style="33" hidden="1" customWidth="1"/>
    <col min="11804" max="11804" width="29.42578125" style="33" customWidth="1"/>
    <col min="11805" max="11805" width="75.7109375" style="33" customWidth="1"/>
    <col min="11806" max="11806" width="0" style="33" hidden="1" customWidth="1"/>
    <col min="11807" max="11825" width="20.7109375" style="33" customWidth="1"/>
    <col min="11826" max="11826" width="12.140625" style="33" customWidth="1"/>
    <col min="11827" max="12057" width="9.140625" style="33"/>
    <col min="12058" max="12059" width="0" style="33" hidden="1" customWidth="1"/>
    <col min="12060" max="12060" width="29.42578125" style="33" customWidth="1"/>
    <col min="12061" max="12061" width="75.7109375" style="33" customWidth="1"/>
    <col min="12062" max="12062" width="0" style="33" hidden="1" customWidth="1"/>
    <col min="12063" max="12081" width="20.7109375" style="33" customWidth="1"/>
    <col min="12082" max="12082" width="12.140625" style="33" customWidth="1"/>
    <col min="12083" max="12313" width="9.140625" style="33"/>
    <col min="12314" max="12315" width="0" style="33" hidden="1" customWidth="1"/>
    <col min="12316" max="12316" width="29.42578125" style="33" customWidth="1"/>
    <col min="12317" max="12317" width="75.7109375" style="33" customWidth="1"/>
    <col min="12318" max="12318" width="0" style="33" hidden="1" customWidth="1"/>
    <col min="12319" max="12337" width="20.7109375" style="33" customWidth="1"/>
    <col min="12338" max="12338" width="12.140625" style="33" customWidth="1"/>
    <col min="12339" max="12569" width="9.140625" style="33"/>
    <col min="12570" max="12571" width="0" style="33" hidden="1" customWidth="1"/>
    <col min="12572" max="12572" width="29.42578125" style="33" customWidth="1"/>
    <col min="12573" max="12573" width="75.7109375" style="33" customWidth="1"/>
    <col min="12574" max="12574" width="0" style="33" hidden="1" customWidth="1"/>
    <col min="12575" max="12593" width="20.7109375" style="33" customWidth="1"/>
    <col min="12594" max="12594" width="12.140625" style="33" customWidth="1"/>
    <col min="12595" max="12825" width="9.140625" style="33"/>
    <col min="12826" max="12827" width="0" style="33" hidden="1" customWidth="1"/>
    <col min="12828" max="12828" width="29.42578125" style="33" customWidth="1"/>
    <col min="12829" max="12829" width="75.7109375" style="33" customWidth="1"/>
    <col min="12830" max="12830" width="0" style="33" hidden="1" customWidth="1"/>
    <col min="12831" max="12849" width="20.7109375" style="33" customWidth="1"/>
    <col min="12850" max="12850" width="12.140625" style="33" customWidth="1"/>
    <col min="12851" max="13081" width="9.140625" style="33"/>
    <col min="13082" max="13083" width="0" style="33" hidden="1" customWidth="1"/>
    <col min="13084" max="13084" width="29.42578125" style="33" customWidth="1"/>
    <col min="13085" max="13085" width="75.7109375" style="33" customWidth="1"/>
    <col min="13086" max="13086" width="0" style="33" hidden="1" customWidth="1"/>
    <col min="13087" max="13105" width="20.7109375" style="33" customWidth="1"/>
    <col min="13106" max="13106" width="12.140625" style="33" customWidth="1"/>
    <col min="13107" max="13337" width="9.140625" style="33"/>
    <col min="13338" max="13339" width="0" style="33" hidden="1" customWidth="1"/>
    <col min="13340" max="13340" width="29.42578125" style="33" customWidth="1"/>
    <col min="13341" max="13341" width="75.7109375" style="33" customWidth="1"/>
    <col min="13342" max="13342" width="0" style="33" hidden="1" customWidth="1"/>
    <col min="13343" max="13361" width="20.7109375" style="33" customWidth="1"/>
    <col min="13362" max="13362" width="12.140625" style="33" customWidth="1"/>
    <col min="13363" max="13593" width="9.140625" style="33"/>
    <col min="13594" max="13595" width="0" style="33" hidden="1" customWidth="1"/>
    <col min="13596" max="13596" width="29.42578125" style="33" customWidth="1"/>
    <col min="13597" max="13597" width="75.7109375" style="33" customWidth="1"/>
    <col min="13598" max="13598" width="0" style="33" hidden="1" customWidth="1"/>
    <col min="13599" max="13617" width="20.7109375" style="33" customWidth="1"/>
    <col min="13618" max="13618" width="12.140625" style="33" customWidth="1"/>
    <col min="13619" max="13849" width="9.140625" style="33"/>
    <col min="13850" max="13851" width="0" style="33" hidden="1" customWidth="1"/>
    <col min="13852" max="13852" width="29.42578125" style="33" customWidth="1"/>
    <col min="13853" max="13853" width="75.7109375" style="33" customWidth="1"/>
    <col min="13854" max="13854" width="0" style="33" hidden="1" customWidth="1"/>
    <col min="13855" max="13873" width="20.7109375" style="33" customWidth="1"/>
    <col min="13874" max="13874" width="12.140625" style="33" customWidth="1"/>
    <col min="13875" max="14105" width="9.140625" style="33"/>
    <col min="14106" max="14107" width="0" style="33" hidden="1" customWidth="1"/>
    <col min="14108" max="14108" width="29.42578125" style="33" customWidth="1"/>
    <col min="14109" max="14109" width="75.7109375" style="33" customWidth="1"/>
    <col min="14110" max="14110" width="0" style="33" hidden="1" customWidth="1"/>
    <col min="14111" max="14129" width="20.7109375" style="33" customWidth="1"/>
    <col min="14130" max="14130" width="12.140625" style="33" customWidth="1"/>
    <col min="14131" max="14361" width="9.140625" style="33"/>
    <col min="14362" max="14363" width="0" style="33" hidden="1" customWidth="1"/>
    <col min="14364" max="14364" width="29.42578125" style="33" customWidth="1"/>
    <col min="14365" max="14365" width="75.7109375" style="33" customWidth="1"/>
    <col min="14366" max="14366" width="0" style="33" hidden="1" customWidth="1"/>
    <col min="14367" max="14385" width="20.7109375" style="33" customWidth="1"/>
    <col min="14386" max="14386" width="12.140625" style="33" customWidth="1"/>
    <col min="14387" max="14617" width="9.140625" style="33"/>
    <col min="14618" max="14619" width="0" style="33" hidden="1" customWidth="1"/>
    <col min="14620" max="14620" width="29.42578125" style="33" customWidth="1"/>
    <col min="14621" max="14621" width="75.7109375" style="33" customWidth="1"/>
    <col min="14622" max="14622" width="0" style="33" hidden="1" customWidth="1"/>
    <col min="14623" max="14641" width="20.7109375" style="33" customWidth="1"/>
    <col min="14642" max="14642" width="12.140625" style="33" customWidth="1"/>
    <col min="14643" max="14873" width="9.140625" style="33"/>
    <col min="14874" max="14875" width="0" style="33" hidden="1" customWidth="1"/>
    <col min="14876" max="14876" width="29.42578125" style="33" customWidth="1"/>
    <col min="14877" max="14877" width="75.7109375" style="33" customWidth="1"/>
    <col min="14878" max="14878" width="0" style="33" hidden="1" customWidth="1"/>
    <col min="14879" max="14897" width="20.7109375" style="33" customWidth="1"/>
    <col min="14898" max="14898" width="12.140625" style="33" customWidth="1"/>
    <col min="14899" max="15129" width="9.140625" style="33"/>
    <col min="15130" max="15131" width="0" style="33" hidden="1" customWidth="1"/>
    <col min="15132" max="15132" width="29.42578125" style="33" customWidth="1"/>
    <col min="15133" max="15133" width="75.7109375" style="33" customWidth="1"/>
    <col min="15134" max="15134" width="0" style="33" hidden="1" customWidth="1"/>
    <col min="15135" max="15153" width="20.7109375" style="33" customWidth="1"/>
    <col min="15154" max="15154" width="12.140625" style="33" customWidth="1"/>
    <col min="15155" max="15385" width="9.140625" style="33"/>
    <col min="15386" max="15387" width="0" style="33" hidden="1" customWidth="1"/>
    <col min="15388" max="15388" width="29.42578125" style="33" customWidth="1"/>
    <col min="15389" max="15389" width="75.7109375" style="33" customWidth="1"/>
    <col min="15390" max="15390" width="0" style="33" hidden="1" customWidth="1"/>
    <col min="15391" max="15409" width="20.7109375" style="33" customWidth="1"/>
    <col min="15410" max="15410" width="12.140625" style="33" customWidth="1"/>
    <col min="15411" max="15641" width="9.140625" style="33"/>
    <col min="15642" max="15643" width="0" style="33" hidden="1" customWidth="1"/>
    <col min="15644" max="15644" width="29.42578125" style="33" customWidth="1"/>
    <col min="15645" max="15645" width="75.7109375" style="33" customWidth="1"/>
    <col min="15646" max="15646" width="0" style="33" hidden="1" customWidth="1"/>
    <col min="15647" max="15665" width="20.7109375" style="33" customWidth="1"/>
    <col min="15666" max="15666" width="12.140625" style="33" customWidth="1"/>
    <col min="15667" max="15897" width="9.140625" style="33"/>
    <col min="15898" max="15899" width="0" style="33" hidden="1" customWidth="1"/>
    <col min="15900" max="15900" width="29.42578125" style="33" customWidth="1"/>
    <col min="15901" max="15901" width="75.7109375" style="33" customWidth="1"/>
    <col min="15902" max="15902" width="0" style="33" hidden="1" customWidth="1"/>
    <col min="15903" max="15921" width="20.7109375" style="33" customWidth="1"/>
    <col min="15922" max="15922" width="12.140625" style="33" customWidth="1"/>
    <col min="15923" max="16153" width="9.140625" style="33"/>
    <col min="16154" max="16155" width="0" style="33" hidden="1" customWidth="1"/>
    <col min="16156" max="16156" width="29.42578125" style="33" customWidth="1"/>
    <col min="16157" max="16157" width="75.7109375" style="33" customWidth="1"/>
    <col min="16158" max="16158" width="0" style="33" hidden="1" customWidth="1"/>
    <col min="16159" max="16177" width="20.7109375" style="33" customWidth="1"/>
    <col min="16178" max="16178" width="12.140625" style="33" customWidth="1"/>
    <col min="16179" max="16384" width="9.140625" style="33"/>
  </cols>
  <sheetData>
    <row r="1" spans="1:50" s="1" customFormat="1" x14ac:dyDescent="0.2">
      <c r="AA1" s="2"/>
      <c r="AB1" s="3"/>
    </row>
    <row r="2" spans="1:50" s="4" customFormat="1" ht="20.25" x14ac:dyDescent="0.3">
      <c r="A2" s="339" t="s">
        <v>0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</row>
    <row r="3" spans="1:50" s="4" customFormat="1" ht="20.25" x14ac:dyDescent="0.3">
      <c r="A3" s="339" t="s">
        <v>1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</row>
    <row r="4" spans="1:50" s="4" customFormat="1" ht="20.25" x14ac:dyDescent="0.3">
      <c r="A4" s="339" t="s">
        <v>915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</row>
    <row r="5" spans="1:50" s="4" customFormat="1" ht="20.25" x14ac:dyDescent="0.3">
      <c r="A5" s="339" t="s">
        <v>993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 s="339"/>
      <c r="AU5" s="339"/>
      <c r="AV5" s="339"/>
      <c r="AW5" s="339"/>
    </row>
    <row r="6" spans="1:50" s="4" customFormat="1" ht="16.5" customHeight="1" x14ac:dyDescent="0.3">
      <c r="A6" s="194"/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6"/>
      <c r="AB6" s="7"/>
      <c r="AC6" s="194"/>
      <c r="AD6" s="8"/>
      <c r="AE6" s="8"/>
      <c r="AF6" s="8"/>
      <c r="AG6" s="8"/>
      <c r="AH6" s="194"/>
      <c r="AI6" s="8"/>
      <c r="AJ6" s="8"/>
      <c r="AK6" s="184"/>
      <c r="AL6" s="8"/>
      <c r="AM6" s="8"/>
      <c r="AP6" s="8"/>
      <c r="AQ6" s="8"/>
      <c r="AR6" s="8"/>
      <c r="AS6" s="8"/>
      <c r="AT6" s="8"/>
      <c r="AU6" s="8"/>
      <c r="AV6" s="8"/>
      <c r="AW6" s="194"/>
    </row>
    <row r="7" spans="1:50" s="4" customFormat="1" ht="16.5" customHeight="1" x14ac:dyDescent="0.2">
      <c r="A7" s="340" t="s">
        <v>3</v>
      </c>
      <c r="B7" s="341" t="s">
        <v>4</v>
      </c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  <c r="AA7" s="342" t="s">
        <v>5</v>
      </c>
      <c r="AB7" s="337" t="s">
        <v>6</v>
      </c>
      <c r="AC7" s="337" t="s">
        <v>7</v>
      </c>
      <c r="AD7" s="342" t="s">
        <v>8</v>
      </c>
      <c r="AE7" s="342" t="s">
        <v>9</v>
      </c>
      <c r="AF7" s="337" t="s">
        <v>10</v>
      </c>
      <c r="AG7" s="337" t="s">
        <v>11</v>
      </c>
      <c r="AH7" s="337" t="s">
        <v>12</v>
      </c>
      <c r="AI7" s="337" t="s">
        <v>13</v>
      </c>
      <c r="AJ7" s="337" t="s">
        <v>14</v>
      </c>
      <c r="AK7" s="338" t="s">
        <v>15</v>
      </c>
      <c r="AL7" s="338"/>
      <c r="AM7" s="338"/>
      <c r="AN7" s="338" t="s">
        <v>16</v>
      </c>
      <c r="AO7" s="338"/>
      <c r="AP7" s="338"/>
      <c r="AQ7" s="338" t="s">
        <v>17</v>
      </c>
      <c r="AR7" s="338"/>
      <c r="AS7" s="338"/>
      <c r="AT7" s="196"/>
      <c r="AU7" s="337" t="s">
        <v>18</v>
      </c>
      <c r="AV7" s="337" t="s">
        <v>19</v>
      </c>
      <c r="AW7" s="337" t="s">
        <v>20</v>
      </c>
      <c r="AX7" s="337" t="s">
        <v>21</v>
      </c>
    </row>
    <row r="8" spans="1:50" s="4" customFormat="1" ht="30" customHeight="1" x14ac:dyDescent="0.2">
      <c r="A8" s="340"/>
      <c r="B8" s="341"/>
      <c r="C8" s="195" t="s">
        <v>949</v>
      </c>
      <c r="D8" s="195" t="s">
        <v>950</v>
      </c>
      <c r="E8" s="195" t="s">
        <v>951</v>
      </c>
      <c r="F8" s="195" t="s">
        <v>952</v>
      </c>
      <c r="G8" s="195" t="s">
        <v>919</v>
      </c>
      <c r="H8" s="195" t="s">
        <v>920</v>
      </c>
      <c r="I8" s="195" t="s">
        <v>929</v>
      </c>
      <c r="J8" s="195" t="s">
        <v>930</v>
      </c>
      <c r="K8" s="195" t="s">
        <v>921</v>
      </c>
      <c r="L8" s="195" t="s">
        <v>922</v>
      </c>
      <c r="M8" s="195" t="s">
        <v>923</v>
      </c>
      <c r="N8" s="195" t="s">
        <v>924</v>
      </c>
      <c r="O8" s="195" t="s">
        <v>925</v>
      </c>
      <c r="P8" s="195" t="s">
        <v>926</v>
      </c>
      <c r="Q8" s="195" t="s">
        <v>927</v>
      </c>
      <c r="R8" s="195" t="s">
        <v>928</v>
      </c>
      <c r="S8" s="195" t="s">
        <v>953</v>
      </c>
      <c r="T8" s="195" t="s">
        <v>954</v>
      </c>
      <c r="U8" s="195" t="s">
        <v>955</v>
      </c>
      <c r="V8" s="195" t="s">
        <v>956</v>
      </c>
      <c r="W8" s="195" t="s">
        <v>957</v>
      </c>
      <c r="X8" s="195" t="s">
        <v>931</v>
      </c>
      <c r="Y8" s="195"/>
      <c r="Z8" s="195"/>
      <c r="AA8" s="342"/>
      <c r="AB8" s="337"/>
      <c r="AC8" s="337"/>
      <c r="AD8" s="342"/>
      <c r="AE8" s="342"/>
      <c r="AF8" s="337"/>
      <c r="AG8" s="337"/>
      <c r="AH8" s="337"/>
      <c r="AI8" s="337"/>
      <c r="AJ8" s="337"/>
      <c r="AK8" s="193" t="s">
        <v>22</v>
      </c>
      <c r="AL8" s="193" t="s">
        <v>23</v>
      </c>
      <c r="AM8" s="193" t="s">
        <v>24</v>
      </c>
      <c r="AN8" s="193" t="s">
        <v>25</v>
      </c>
      <c r="AO8" s="193" t="s">
        <v>26</v>
      </c>
      <c r="AP8" s="193" t="s">
        <v>27</v>
      </c>
      <c r="AQ8" s="193" t="s">
        <v>28</v>
      </c>
      <c r="AR8" s="193" t="s">
        <v>29</v>
      </c>
      <c r="AS8" s="193" t="s">
        <v>30</v>
      </c>
      <c r="AT8" s="193" t="s">
        <v>31</v>
      </c>
      <c r="AU8" s="337"/>
      <c r="AV8" s="337"/>
      <c r="AW8" s="337"/>
      <c r="AX8" s="337"/>
    </row>
    <row r="9" spans="1:50" s="4" customFormat="1" ht="18" customHeight="1" x14ac:dyDescent="0.2">
      <c r="A9" s="340"/>
      <c r="B9" s="341"/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  <c r="Y9" s="195"/>
      <c r="Z9" s="195"/>
      <c r="AA9" s="342"/>
      <c r="AB9" s="337"/>
      <c r="AC9" s="337"/>
      <c r="AD9" s="196">
        <v>1</v>
      </c>
      <c r="AE9" s="11"/>
      <c r="AF9" s="12"/>
      <c r="AG9" s="12"/>
      <c r="AH9" s="12"/>
      <c r="AI9" s="193">
        <v>2</v>
      </c>
      <c r="AJ9" s="196" t="s">
        <v>32</v>
      </c>
      <c r="AK9" s="196"/>
      <c r="AL9" s="196"/>
      <c r="AM9" s="196">
        <v>5</v>
      </c>
      <c r="AN9" s="196"/>
      <c r="AO9" s="196"/>
      <c r="AP9" s="196">
        <v>7</v>
      </c>
      <c r="AQ9" s="196"/>
      <c r="AR9" s="196"/>
      <c r="AS9" s="196">
        <v>9</v>
      </c>
      <c r="AT9" s="196"/>
      <c r="AU9" s="196" t="s">
        <v>33</v>
      </c>
      <c r="AV9" s="196" t="s">
        <v>34</v>
      </c>
      <c r="AW9" s="196" t="s">
        <v>35</v>
      </c>
      <c r="AX9" s="13" t="s">
        <v>36</v>
      </c>
    </row>
    <row r="10" spans="1:50" s="14" customForma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6"/>
      <c r="AB10" s="17"/>
      <c r="AC10" s="17"/>
      <c r="AD10" s="18"/>
      <c r="AE10" s="18"/>
      <c r="AF10" s="17"/>
      <c r="AG10" s="18">
        <f>AH11-AG11</f>
        <v>0</v>
      </c>
      <c r="AH10" s="18"/>
      <c r="AI10" s="17"/>
      <c r="AJ10" s="18"/>
      <c r="AK10" s="18"/>
      <c r="AL10" s="17"/>
      <c r="AM10" s="18"/>
      <c r="AN10" s="18"/>
      <c r="AO10" s="17"/>
      <c r="AP10" s="18"/>
      <c r="AQ10" s="18"/>
      <c r="AR10" s="17"/>
      <c r="AS10" s="18"/>
      <c r="AT10" s="18"/>
      <c r="AU10" s="18"/>
      <c r="AV10" s="17"/>
      <c r="AW10" s="18"/>
      <c r="AX10" s="18"/>
    </row>
    <row r="11" spans="1:50" s="25" customFormat="1" ht="18.75" customHeight="1" x14ac:dyDescent="0.2">
      <c r="A11" s="19" t="s">
        <v>37</v>
      </c>
      <c r="B11" s="19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20">
        <v>2</v>
      </c>
      <c r="AB11" s="21" t="s">
        <v>38</v>
      </c>
      <c r="AC11" s="22" t="s">
        <v>37</v>
      </c>
      <c r="AD11" s="22">
        <f t="shared" ref="AD11:AS11" si="0">AD12+AD160+AD190</f>
        <v>1017611726826</v>
      </c>
      <c r="AE11" s="22">
        <f t="shared" si="0"/>
        <v>235338892695.65002</v>
      </c>
      <c r="AF11" s="23">
        <f t="shared" si="0"/>
        <v>0</v>
      </c>
      <c r="AG11" s="22">
        <f t="shared" si="0"/>
        <v>98066354518.349991</v>
      </c>
      <c r="AH11" s="22">
        <f t="shared" si="0"/>
        <v>98066354518.349991</v>
      </c>
      <c r="AI11" s="22">
        <f t="shared" si="0"/>
        <v>240638052088.33008</v>
      </c>
      <c r="AJ11" s="22">
        <f t="shared" si="0"/>
        <v>1252950619521.6501</v>
      </c>
      <c r="AK11" s="22">
        <f t="shared" si="0"/>
        <v>645276615.59000003</v>
      </c>
      <c r="AL11" s="22">
        <f t="shared" si="0"/>
        <v>58402755631.849998</v>
      </c>
      <c r="AM11" s="22">
        <f t="shared" si="0"/>
        <v>625544240435.62</v>
      </c>
      <c r="AN11" s="22">
        <f t="shared" si="0"/>
        <v>279200085</v>
      </c>
      <c r="AO11" s="22">
        <f t="shared" si="0"/>
        <v>97736037306.190002</v>
      </c>
      <c r="AP11" s="22">
        <f t="shared" si="0"/>
        <v>449916226615.72003</v>
      </c>
      <c r="AQ11" s="22">
        <f t="shared" si="0"/>
        <v>9588244389.8299999</v>
      </c>
      <c r="AR11" s="22">
        <f t="shared" si="0"/>
        <v>62149529659.729996</v>
      </c>
      <c r="AS11" s="22">
        <f t="shared" si="0"/>
        <v>304389063996.48999</v>
      </c>
      <c r="AT11" s="22">
        <f>AQ11+AS11</f>
        <v>313977308386.32001</v>
      </c>
      <c r="AU11" s="22">
        <f>AU12+AU160+AU190</f>
        <v>632905538478.70984</v>
      </c>
      <c r="AV11" s="22">
        <f>AV12+AV160+AV190</f>
        <v>175628013819.89999</v>
      </c>
      <c r="AW11" s="22">
        <f>AW12+AW160+AW190</f>
        <v>135938918229.39999</v>
      </c>
      <c r="AX11" s="24">
        <f t="shared" ref="AX11:AX20" si="1">AP11/AJ11</f>
        <v>0.35908536186963891</v>
      </c>
    </row>
    <row r="12" spans="1:50" s="25" customFormat="1" ht="18.75" customHeight="1" x14ac:dyDescent="0.2">
      <c r="A12" s="19" t="s">
        <v>37</v>
      </c>
      <c r="B12" s="19" t="s">
        <v>37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26" t="s">
        <v>39</v>
      </c>
      <c r="AB12" s="21" t="s">
        <v>40</v>
      </c>
      <c r="AC12" s="22" t="s">
        <v>37</v>
      </c>
      <c r="AD12" s="22">
        <f>AD13+AD86+AD99+AD146+AD141</f>
        <v>180471642183</v>
      </c>
      <c r="AE12" s="22">
        <f t="shared" ref="AE12:AW12" si="2">AE13+AE86+AE99+AE146+AE141</f>
        <v>698388543.49000001</v>
      </c>
      <c r="AF12" s="23">
        <f t="shared" si="2"/>
        <v>0</v>
      </c>
      <c r="AG12" s="22">
        <f t="shared" si="2"/>
        <v>3306200000</v>
      </c>
      <c r="AH12" s="22">
        <f t="shared" si="2"/>
        <v>3306200000</v>
      </c>
      <c r="AI12" s="22">
        <f t="shared" si="2"/>
        <v>698388543.49000001</v>
      </c>
      <c r="AJ12" s="22">
        <f t="shared" si="2"/>
        <v>181170030726.48999</v>
      </c>
      <c r="AK12" s="23">
        <f t="shared" si="2"/>
        <v>0</v>
      </c>
      <c r="AL12" s="22">
        <f t="shared" si="2"/>
        <v>8572277482.6300011</v>
      </c>
      <c r="AM12" s="22">
        <f t="shared" si="2"/>
        <v>92472903366.619995</v>
      </c>
      <c r="AN12" s="22">
        <f t="shared" si="2"/>
        <v>39100000</v>
      </c>
      <c r="AO12" s="22">
        <f t="shared" si="2"/>
        <v>8344171784.0299997</v>
      </c>
      <c r="AP12" s="22">
        <f t="shared" si="2"/>
        <v>91249376657.589996</v>
      </c>
      <c r="AQ12" s="22">
        <f t="shared" si="2"/>
        <v>4782958379</v>
      </c>
      <c r="AR12" s="22">
        <f t="shared" si="2"/>
        <v>11370526924.91</v>
      </c>
      <c r="AS12" s="22">
        <f t="shared" si="2"/>
        <v>75046726159.740005</v>
      </c>
      <c r="AT12" s="22">
        <f t="shared" si="2"/>
        <v>79829684538.740005</v>
      </c>
      <c r="AU12" s="22">
        <f t="shared" si="2"/>
        <v>88697127359.869995</v>
      </c>
      <c r="AV12" s="22">
        <f t="shared" si="2"/>
        <v>1223526709.0300002</v>
      </c>
      <c r="AW12" s="22">
        <f t="shared" si="2"/>
        <v>11419692118.85</v>
      </c>
      <c r="AX12" s="24">
        <f t="shared" si="1"/>
        <v>0.5036670595665349</v>
      </c>
    </row>
    <row r="13" spans="1:50" s="25" customFormat="1" ht="18.75" customHeight="1" x14ac:dyDescent="0.2">
      <c r="A13" s="19" t="s">
        <v>41</v>
      </c>
      <c r="B13" s="19" t="s">
        <v>42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26" t="s">
        <v>43</v>
      </c>
      <c r="AB13" s="21" t="s">
        <v>44</v>
      </c>
      <c r="AC13" s="22" t="s">
        <v>37</v>
      </c>
      <c r="AD13" s="22">
        <f>AD14</f>
        <v>38718257195.5</v>
      </c>
      <c r="AE13" s="23">
        <f t="shared" ref="AE13:AW13" si="3">AE14</f>
        <v>0</v>
      </c>
      <c r="AF13" s="23">
        <f t="shared" si="3"/>
        <v>0</v>
      </c>
      <c r="AG13" s="23">
        <f t="shared" si="3"/>
        <v>0</v>
      </c>
      <c r="AH13" s="22">
        <f t="shared" si="3"/>
        <v>12000000</v>
      </c>
      <c r="AI13" s="22">
        <f t="shared" si="3"/>
        <v>-12000000</v>
      </c>
      <c r="AJ13" s="22">
        <f>AJ14</f>
        <v>38706257195.5</v>
      </c>
      <c r="AK13" s="23">
        <f t="shared" si="3"/>
        <v>0</v>
      </c>
      <c r="AL13" s="22">
        <f t="shared" si="3"/>
        <v>2447550278</v>
      </c>
      <c r="AM13" s="22">
        <f t="shared" si="3"/>
        <v>12297389554</v>
      </c>
      <c r="AN13" s="23">
        <f t="shared" si="3"/>
        <v>0</v>
      </c>
      <c r="AO13" s="22">
        <f t="shared" si="3"/>
        <v>2447550278</v>
      </c>
      <c r="AP13" s="22">
        <f t="shared" si="3"/>
        <v>12297389554</v>
      </c>
      <c r="AQ13" s="108">
        <f t="shared" si="3"/>
        <v>35679000</v>
      </c>
      <c r="AR13" s="22">
        <f t="shared" si="3"/>
        <v>2367333304</v>
      </c>
      <c r="AS13" s="22">
        <f t="shared" si="3"/>
        <v>12180677255</v>
      </c>
      <c r="AT13" s="22">
        <f t="shared" ref="AT13" si="4">AQ13+AS13</f>
        <v>12216356255</v>
      </c>
      <c r="AU13" s="22">
        <f t="shared" si="3"/>
        <v>26408867641.5</v>
      </c>
      <c r="AV13" s="23">
        <f t="shared" si="3"/>
        <v>0</v>
      </c>
      <c r="AW13" s="22">
        <f t="shared" si="3"/>
        <v>81033299</v>
      </c>
      <c r="AX13" s="24">
        <f t="shared" si="1"/>
        <v>0.31771063505023417</v>
      </c>
    </row>
    <row r="14" spans="1:50" ht="18.75" customHeight="1" x14ac:dyDescent="0.2">
      <c r="A14" s="27" t="s">
        <v>41</v>
      </c>
      <c r="B14" s="27" t="s">
        <v>42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8" t="s">
        <v>45</v>
      </c>
      <c r="AB14" s="29" t="s">
        <v>46</v>
      </c>
      <c r="AC14" s="30" t="s">
        <v>37</v>
      </c>
      <c r="AD14" s="30">
        <f>AD15+AD42+AD70</f>
        <v>38718257195.5</v>
      </c>
      <c r="AE14" s="31">
        <f t="shared" ref="AE14:AW14" si="5">AE15+AE42+AE70</f>
        <v>0</v>
      </c>
      <c r="AF14" s="31">
        <f t="shared" si="5"/>
        <v>0</v>
      </c>
      <c r="AG14" s="31">
        <f t="shared" si="5"/>
        <v>0</v>
      </c>
      <c r="AH14" s="30">
        <f t="shared" si="5"/>
        <v>12000000</v>
      </c>
      <c r="AI14" s="30">
        <f t="shared" si="5"/>
        <v>-12000000</v>
      </c>
      <c r="AJ14" s="30">
        <f t="shared" si="5"/>
        <v>38706257195.5</v>
      </c>
      <c r="AK14" s="31">
        <f t="shared" si="5"/>
        <v>0</v>
      </c>
      <c r="AL14" s="30">
        <f t="shared" si="5"/>
        <v>2447550278</v>
      </c>
      <c r="AM14" s="30">
        <f t="shared" si="5"/>
        <v>12297389554</v>
      </c>
      <c r="AN14" s="31">
        <f t="shared" si="5"/>
        <v>0</v>
      </c>
      <c r="AO14" s="30">
        <f t="shared" si="5"/>
        <v>2447550278</v>
      </c>
      <c r="AP14" s="30">
        <f t="shared" si="5"/>
        <v>12297389554</v>
      </c>
      <c r="AQ14" s="109">
        <f t="shared" si="5"/>
        <v>35679000</v>
      </c>
      <c r="AR14" s="30">
        <f t="shared" si="5"/>
        <v>2367333304</v>
      </c>
      <c r="AS14" s="30">
        <f t="shared" si="5"/>
        <v>12180677255</v>
      </c>
      <c r="AT14" s="30">
        <f>AQ14+AS14</f>
        <v>12216356255</v>
      </c>
      <c r="AU14" s="30">
        <f t="shared" si="5"/>
        <v>26408867641.5</v>
      </c>
      <c r="AV14" s="31">
        <f t="shared" si="5"/>
        <v>0</v>
      </c>
      <c r="AW14" s="30">
        <f t="shared" si="5"/>
        <v>81033299</v>
      </c>
      <c r="AX14" s="32">
        <f t="shared" si="1"/>
        <v>0.31771063505023417</v>
      </c>
    </row>
    <row r="15" spans="1:50" ht="18.75" customHeight="1" x14ac:dyDescent="0.2">
      <c r="A15" s="27" t="s">
        <v>41</v>
      </c>
      <c r="B15" s="27" t="s">
        <v>42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8" t="s">
        <v>47</v>
      </c>
      <c r="AB15" s="29" t="s">
        <v>48</v>
      </c>
      <c r="AC15" s="30" t="s">
        <v>37</v>
      </c>
      <c r="AD15" s="30">
        <f>AD16+AD39</f>
        <v>25931861921.5</v>
      </c>
      <c r="AE15" s="31">
        <f t="shared" ref="AE15:AW15" si="6">AE16+AE39</f>
        <v>0</v>
      </c>
      <c r="AF15" s="31">
        <f t="shared" si="6"/>
        <v>0</v>
      </c>
      <c r="AG15" s="31">
        <f t="shared" si="6"/>
        <v>0</v>
      </c>
      <c r="AH15" s="31">
        <f t="shared" si="6"/>
        <v>0</v>
      </c>
      <c r="AI15" s="31">
        <f t="shared" si="6"/>
        <v>0</v>
      </c>
      <c r="AJ15" s="30">
        <f t="shared" si="6"/>
        <v>25931861921.5</v>
      </c>
      <c r="AK15" s="31">
        <f t="shared" si="6"/>
        <v>0</v>
      </c>
      <c r="AL15" s="30">
        <f t="shared" si="6"/>
        <v>1707044019</v>
      </c>
      <c r="AM15" s="30">
        <f t="shared" si="6"/>
        <v>8267692822</v>
      </c>
      <c r="AN15" s="31">
        <f t="shared" si="6"/>
        <v>0</v>
      </c>
      <c r="AO15" s="30">
        <f t="shared" si="6"/>
        <v>1707044019</v>
      </c>
      <c r="AP15" s="30">
        <f t="shared" si="6"/>
        <v>8267692822</v>
      </c>
      <c r="AQ15" s="31">
        <f t="shared" si="6"/>
        <v>0</v>
      </c>
      <c r="AR15" s="30">
        <f t="shared" si="6"/>
        <v>1657640442</v>
      </c>
      <c r="AS15" s="30">
        <f t="shared" si="6"/>
        <v>8218083245</v>
      </c>
      <c r="AT15" s="30">
        <f t="shared" ref="AT15:AT38" si="7">AQ15+AS15</f>
        <v>8218083245</v>
      </c>
      <c r="AU15" s="30">
        <f t="shared" si="6"/>
        <v>17664169099.5</v>
      </c>
      <c r="AV15" s="31">
        <f t="shared" si="6"/>
        <v>0</v>
      </c>
      <c r="AW15" s="30">
        <f t="shared" si="6"/>
        <v>49609577</v>
      </c>
      <c r="AX15" s="32">
        <f t="shared" si="1"/>
        <v>0.31882372530856684</v>
      </c>
    </row>
    <row r="16" spans="1:50" ht="18.75" customHeight="1" x14ac:dyDescent="0.2">
      <c r="A16" s="27" t="s">
        <v>49</v>
      </c>
      <c r="B16" s="27" t="s">
        <v>50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8" t="s">
        <v>51</v>
      </c>
      <c r="AB16" s="29" t="s">
        <v>52</v>
      </c>
      <c r="AC16" s="30" t="s">
        <v>37</v>
      </c>
      <c r="AD16" s="30">
        <f>AD17+AD20+AD21+AD22+AD23++AD24+AD27+AD30+AD37+AD38</f>
        <v>25908449467.5</v>
      </c>
      <c r="AE16" s="31">
        <f t="shared" ref="AE16:AW16" si="8">AE17+AE20+AE21+AE22+AE23++AE24+AE27+AE30+AE37+AE38</f>
        <v>0</v>
      </c>
      <c r="AF16" s="31">
        <f t="shared" si="8"/>
        <v>0</v>
      </c>
      <c r="AG16" s="31">
        <f t="shared" si="8"/>
        <v>0</v>
      </c>
      <c r="AH16" s="31">
        <f t="shared" si="8"/>
        <v>0</v>
      </c>
      <c r="AI16" s="31">
        <f t="shared" si="8"/>
        <v>0</v>
      </c>
      <c r="AJ16" s="30">
        <f t="shared" si="8"/>
        <v>25908449467.5</v>
      </c>
      <c r="AK16" s="31">
        <f t="shared" si="8"/>
        <v>0</v>
      </c>
      <c r="AL16" s="30">
        <f t="shared" si="8"/>
        <v>1707044019</v>
      </c>
      <c r="AM16" s="30">
        <f t="shared" si="8"/>
        <v>8267692822</v>
      </c>
      <c r="AN16" s="31">
        <f t="shared" si="8"/>
        <v>0</v>
      </c>
      <c r="AO16" s="30">
        <f t="shared" si="8"/>
        <v>1707044019</v>
      </c>
      <c r="AP16" s="30">
        <f t="shared" si="8"/>
        <v>8267692822</v>
      </c>
      <c r="AQ16" s="31">
        <f t="shared" si="8"/>
        <v>0</v>
      </c>
      <c r="AR16" s="30">
        <f t="shared" si="8"/>
        <v>1657640442</v>
      </c>
      <c r="AS16" s="30">
        <f t="shared" si="8"/>
        <v>8218083245</v>
      </c>
      <c r="AT16" s="30">
        <f t="shared" si="7"/>
        <v>8218083245</v>
      </c>
      <c r="AU16" s="30">
        <f t="shared" si="8"/>
        <v>17640756645.5</v>
      </c>
      <c r="AV16" s="31">
        <f t="shared" si="8"/>
        <v>0</v>
      </c>
      <c r="AW16" s="30">
        <f t="shared" si="8"/>
        <v>49609577</v>
      </c>
      <c r="AX16" s="32">
        <f t="shared" si="1"/>
        <v>0.3191118338583378</v>
      </c>
    </row>
    <row r="17" spans="1:50" ht="18.75" customHeight="1" x14ac:dyDescent="0.2">
      <c r="A17" s="27" t="s">
        <v>41</v>
      </c>
      <c r="B17" s="27" t="s">
        <v>42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8" t="s">
        <v>53</v>
      </c>
      <c r="AB17" s="29" t="s">
        <v>54</v>
      </c>
      <c r="AC17" s="30" t="s">
        <v>37</v>
      </c>
      <c r="AD17" s="30">
        <f>AD18+AD19</f>
        <v>19589756868.5</v>
      </c>
      <c r="AE17" s="31">
        <f t="shared" ref="AE17:AW17" si="9">AE18+AE19</f>
        <v>0</v>
      </c>
      <c r="AF17" s="31">
        <f t="shared" si="9"/>
        <v>0</v>
      </c>
      <c r="AG17" s="31">
        <f t="shared" si="9"/>
        <v>0</v>
      </c>
      <c r="AH17" s="31">
        <f t="shared" si="9"/>
        <v>0</v>
      </c>
      <c r="AI17" s="31">
        <f t="shared" si="9"/>
        <v>0</v>
      </c>
      <c r="AJ17" s="30">
        <f t="shared" si="9"/>
        <v>19589756868.5</v>
      </c>
      <c r="AK17" s="31">
        <f t="shared" si="9"/>
        <v>0</v>
      </c>
      <c r="AL17" s="30">
        <f t="shared" si="9"/>
        <v>1552652063</v>
      </c>
      <c r="AM17" s="30">
        <f t="shared" si="9"/>
        <v>7554078314</v>
      </c>
      <c r="AN17" s="31">
        <f t="shared" si="9"/>
        <v>0</v>
      </c>
      <c r="AO17" s="30">
        <f t="shared" si="9"/>
        <v>1552652063</v>
      </c>
      <c r="AP17" s="30">
        <f t="shared" si="9"/>
        <v>7554078314</v>
      </c>
      <c r="AQ17" s="31">
        <f t="shared" si="9"/>
        <v>0</v>
      </c>
      <c r="AR17" s="30">
        <f t="shared" si="9"/>
        <v>1517423991</v>
      </c>
      <c r="AS17" s="30">
        <f t="shared" si="9"/>
        <v>7518644242</v>
      </c>
      <c r="AT17" s="30">
        <f t="shared" si="7"/>
        <v>7518644242</v>
      </c>
      <c r="AU17" s="30">
        <f t="shared" si="9"/>
        <v>12035678554.5</v>
      </c>
      <c r="AV17" s="31">
        <f t="shared" si="9"/>
        <v>0</v>
      </c>
      <c r="AW17" s="30">
        <f t="shared" si="9"/>
        <v>35434072</v>
      </c>
      <c r="AX17" s="32">
        <f t="shared" si="1"/>
        <v>0.38561368396290979</v>
      </c>
    </row>
    <row r="18" spans="1:50" ht="18.75" customHeight="1" x14ac:dyDescent="0.2">
      <c r="A18" s="14" t="s">
        <v>55</v>
      </c>
      <c r="B18" s="15" t="s">
        <v>56</v>
      </c>
      <c r="C18" s="15"/>
      <c r="D18" s="15" t="s">
        <v>40</v>
      </c>
      <c r="E18" s="15"/>
      <c r="F18" s="15"/>
      <c r="G18" s="15" t="s">
        <v>41</v>
      </c>
      <c r="H18" s="15"/>
      <c r="I18" s="15" t="s">
        <v>936</v>
      </c>
      <c r="J18" s="15"/>
      <c r="K18" s="15" t="s">
        <v>932</v>
      </c>
      <c r="L18" s="15"/>
      <c r="M18" s="15" t="s">
        <v>933</v>
      </c>
      <c r="N18" s="15"/>
      <c r="O18" s="15" t="s">
        <v>938</v>
      </c>
      <c r="P18" s="15"/>
      <c r="Q18" s="15" t="s">
        <v>939</v>
      </c>
      <c r="R18" s="15"/>
      <c r="S18" s="15" t="s">
        <v>940</v>
      </c>
      <c r="T18" s="15">
        <v>0</v>
      </c>
      <c r="U18" s="15">
        <v>0</v>
      </c>
      <c r="V18" s="15">
        <v>0</v>
      </c>
      <c r="W18" s="15">
        <v>0</v>
      </c>
      <c r="X18" s="15" t="s">
        <v>937</v>
      </c>
      <c r="Y18" s="15"/>
      <c r="Z18" s="15"/>
      <c r="AA18" s="16" t="s">
        <v>57</v>
      </c>
      <c r="AB18" s="17" t="s">
        <v>54</v>
      </c>
      <c r="AC18" s="17" t="s">
        <v>58</v>
      </c>
      <c r="AD18" s="18">
        <v>18005571308.5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18">
        <v>18005571308.5</v>
      </c>
      <c r="AK18" s="34">
        <v>0</v>
      </c>
      <c r="AL18" s="18">
        <f>AM18-ABRIL!AM18</f>
        <v>1433828516</v>
      </c>
      <c r="AM18" s="18">
        <v>6985094653</v>
      </c>
      <c r="AN18" s="34">
        <v>0</v>
      </c>
      <c r="AO18" s="18">
        <f>AP18-ABRIL!AP18</f>
        <v>1433828516</v>
      </c>
      <c r="AP18" s="18">
        <v>6985094653</v>
      </c>
      <c r="AQ18" s="34">
        <v>0</v>
      </c>
      <c r="AR18" s="18">
        <f>AS18-ABRIL!AS18</f>
        <v>1398600444</v>
      </c>
      <c r="AS18" s="18">
        <v>6949660581</v>
      </c>
      <c r="AT18" s="39">
        <f t="shared" si="7"/>
        <v>6949660581</v>
      </c>
      <c r="AU18" s="18">
        <f t="shared" ref="AU18:AU38" si="10">AJ18-AM18</f>
        <v>11020476655.5</v>
      </c>
      <c r="AV18" s="34">
        <f t="shared" ref="AV18:AV38" si="11">AM18-AP18</f>
        <v>0</v>
      </c>
      <c r="AW18" s="18">
        <f t="shared" ref="AW18:AW38" si="12">AP18-AT18</f>
        <v>35434072</v>
      </c>
      <c r="AX18" s="32">
        <f t="shared" si="1"/>
        <v>0.38794073974773041</v>
      </c>
    </row>
    <row r="19" spans="1:50" ht="18.75" customHeight="1" x14ac:dyDescent="0.2">
      <c r="A19" s="14" t="s">
        <v>55</v>
      </c>
      <c r="B19" s="15" t="s">
        <v>56</v>
      </c>
      <c r="C19" s="15"/>
      <c r="D19" s="15" t="s">
        <v>40</v>
      </c>
      <c r="E19" s="15"/>
      <c r="F19" s="15"/>
      <c r="G19" s="15" t="s">
        <v>41</v>
      </c>
      <c r="H19" s="15"/>
      <c r="I19" s="15" t="s">
        <v>941</v>
      </c>
      <c r="J19" s="15"/>
      <c r="K19" s="15" t="s">
        <v>932</v>
      </c>
      <c r="L19" s="15"/>
      <c r="M19" s="15" t="s">
        <v>933</v>
      </c>
      <c r="N19" s="15"/>
      <c r="O19" s="15" t="s">
        <v>938</v>
      </c>
      <c r="P19" s="15"/>
      <c r="Q19" s="15" t="s">
        <v>939</v>
      </c>
      <c r="R19" s="15"/>
      <c r="S19" s="15" t="s">
        <v>940</v>
      </c>
      <c r="T19" s="15">
        <v>0</v>
      </c>
      <c r="U19" s="15">
        <v>0</v>
      </c>
      <c r="V19" s="15">
        <v>0</v>
      </c>
      <c r="W19" s="15">
        <v>0</v>
      </c>
      <c r="X19" s="15" t="s">
        <v>937</v>
      </c>
      <c r="Y19" s="15"/>
      <c r="Z19" s="15"/>
      <c r="AA19" s="16" t="s">
        <v>59</v>
      </c>
      <c r="AB19" s="17" t="s">
        <v>60</v>
      </c>
      <c r="AC19" s="17" t="s">
        <v>61</v>
      </c>
      <c r="AD19" s="18">
        <v>1584185560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18">
        <v>1584185560</v>
      </c>
      <c r="AK19" s="34">
        <v>0</v>
      </c>
      <c r="AL19" s="18">
        <f>AM19-ABRIL!AM19</f>
        <v>118823547</v>
      </c>
      <c r="AM19" s="18">
        <v>568983661</v>
      </c>
      <c r="AN19" s="34">
        <v>0</v>
      </c>
      <c r="AO19" s="18">
        <f>AP19-ABRIL!AP19</f>
        <v>118823547</v>
      </c>
      <c r="AP19" s="18">
        <v>568983661</v>
      </c>
      <c r="AQ19" s="34">
        <v>0</v>
      </c>
      <c r="AR19" s="18">
        <f>AS19-ABRIL!AS19</f>
        <v>118823547</v>
      </c>
      <c r="AS19" s="18">
        <v>568983661</v>
      </c>
      <c r="AT19" s="39">
        <f t="shared" si="7"/>
        <v>568983661</v>
      </c>
      <c r="AU19" s="18">
        <f t="shared" si="10"/>
        <v>1015201899</v>
      </c>
      <c r="AV19" s="34">
        <f t="shared" si="11"/>
        <v>0</v>
      </c>
      <c r="AW19" s="34">
        <f t="shared" si="12"/>
        <v>0</v>
      </c>
      <c r="AX19" s="32">
        <f t="shared" si="1"/>
        <v>0.35916478180750494</v>
      </c>
    </row>
    <row r="20" spans="1:50" ht="18.75" customHeight="1" x14ac:dyDescent="0.2">
      <c r="A20" s="14" t="s">
        <v>49</v>
      </c>
      <c r="B20" s="15" t="s">
        <v>50</v>
      </c>
      <c r="C20" s="15"/>
      <c r="D20" s="15" t="s">
        <v>40</v>
      </c>
      <c r="E20" s="15"/>
      <c r="F20" s="15"/>
      <c r="G20" s="15" t="s">
        <v>41</v>
      </c>
      <c r="H20" s="15"/>
      <c r="I20" s="15" t="s">
        <v>936</v>
      </c>
      <c r="J20" s="15"/>
      <c r="K20" s="15" t="s">
        <v>932</v>
      </c>
      <c r="L20" s="15"/>
      <c r="M20" s="15" t="s">
        <v>933</v>
      </c>
      <c r="N20" s="15"/>
      <c r="O20" s="15" t="s">
        <v>938</v>
      </c>
      <c r="P20" s="15"/>
      <c r="Q20" s="15" t="s">
        <v>939</v>
      </c>
      <c r="R20" s="15"/>
      <c r="S20" s="15" t="s">
        <v>940</v>
      </c>
      <c r="T20" s="15">
        <v>0</v>
      </c>
      <c r="U20" s="15">
        <v>0</v>
      </c>
      <c r="V20" s="15">
        <v>0</v>
      </c>
      <c r="W20" s="15">
        <v>0</v>
      </c>
      <c r="X20" s="15" t="s">
        <v>937</v>
      </c>
      <c r="Y20" s="15"/>
      <c r="Z20" s="15"/>
      <c r="AA20" s="16" t="s">
        <v>62</v>
      </c>
      <c r="AB20" s="17" t="s">
        <v>63</v>
      </c>
      <c r="AC20" s="17" t="s">
        <v>58</v>
      </c>
      <c r="AD20" s="18">
        <v>398412895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18">
        <v>398412895</v>
      </c>
      <c r="AK20" s="34">
        <v>0</v>
      </c>
      <c r="AL20" s="18">
        <f>AM20-ABRIL!AM20</f>
        <v>35404310</v>
      </c>
      <c r="AM20" s="18">
        <v>156812382</v>
      </c>
      <c r="AN20" s="34">
        <v>0</v>
      </c>
      <c r="AO20" s="18">
        <f>AP20-ABRIL!AP20</f>
        <v>35404310</v>
      </c>
      <c r="AP20" s="18">
        <v>156812382</v>
      </c>
      <c r="AQ20" s="34">
        <v>0</v>
      </c>
      <c r="AR20" s="18">
        <f>AS20-ABRIL!AS20</f>
        <v>31921294</v>
      </c>
      <c r="AS20" s="18">
        <v>153329366</v>
      </c>
      <c r="AT20" s="39">
        <f t="shared" si="7"/>
        <v>153329366</v>
      </c>
      <c r="AU20" s="18">
        <f t="shared" si="10"/>
        <v>241600513</v>
      </c>
      <c r="AV20" s="34">
        <f t="shared" si="11"/>
        <v>0</v>
      </c>
      <c r="AW20" s="18">
        <f t="shared" si="12"/>
        <v>3483016</v>
      </c>
      <c r="AX20" s="32">
        <f t="shared" si="1"/>
        <v>0.39359263710578446</v>
      </c>
    </row>
    <row r="21" spans="1:50" ht="18.75" customHeight="1" x14ac:dyDescent="0.2">
      <c r="A21" s="14" t="s">
        <v>49</v>
      </c>
      <c r="B21" s="15" t="s">
        <v>50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6" t="s">
        <v>64</v>
      </c>
      <c r="AB21" s="17" t="s">
        <v>65</v>
      </c>
      <c r="AC21" s="17" t="s">
        <v>58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40">
        <f t="shared" si="7"/>
        <v>0</v>
      </c>
      <c r="AU21" s="34">
        <f t="shared" si="10"/>
        <v>0</v>
      </c>
      <c r="AV21" s="34">
        <f t="shared" si="11"/>
        <v>0</v>
      </c>
      <c r="AW21" s="34">
        <f t="shared" si="12"/>
        <v>0</v>
      </c>
      <c r="AX21" s="32">
        <v>0</v>
      </c>
    </row>
    <row r="22" spans="1:50" ht="18.75" customHeight="1" x14ac:dyDescent="0.2">
      <c r="A22" s="14" t="s">
        <v>49</v>
      </c>
      <c r="B22" s="15" t="s">
        <v>50</v>
      </c>
      <c r="C22" s="15"/>
      <c r="D22" s="15" t="s">
        <v>40</v>
      </c>
      <c r="E22" s="15"/>
      <c r="F22" s="15"/>
      <c r="G22" s="15" t="s">
        <v>41</v>
      </c>
      <c r="H22" s="15"/>
      <c r="I22" s="15" t="s">
        <v>936</v>
      </c>
      <c r="J22" s="15"/>
      <c r="K22" s="15" t="s">
        <v>932</v>
      </c>
      <c r="L22" s="15"/>
      <c r="M22" s="15" t="s">
        <v>933</v>
      </c>
      <c r="N22" s="15"/>
      <c r="O22" s="15" t="s">
        <v>938</v>
      </c>
      <c r="P22" s="15"/>
      <c r="Q22" s="15" t="s">
        <v>939</v>
      </c>
      <c r="R22" s="15"/>
      <c r="S22" s="15" t="s">
        <v>940</v>
      </c>
      <c r="T22" s="15">
        <v>0</v>
      </c>
      <c r="U22" s="15">
        <v>0</v>
      </c>
      <c r="V22" s="15">
        <v>0</v>
      </c>
      <c r="W22" s="15">
        <v>0</v>
      </c>
      <c r="X22" s="15" t="s">
        <v>937</v>
      </c>
      <c r="Y22" s="15"/>
      <c r="Z22" s="15"/>
      <c r="AA22" s="16" t="s">
        <v>66</v>
      </c>
      <c r="AB22" s="17" t="s">
        <v>67</v>
      </c>
      <c r="AC22" s="17" t="s">
        <v>58</v>
      </c>
      <c r="AD22" s="18">
        <v>13303349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18">
        <v>13303349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40">
        <f t="shared" si="7"/>
        <v>0</v>
      </c>
      <c r="AU22" s="18">
        <f t="shared" si="10"/>
        <v>13303349</v>
      </c>
      <c r="AV22" s="34">
        <f t="shared" si="11"/>
        <v>0</v>
      </c>
      <c r="AW22" s="34">
        <f t="shared" si="12"/>
        <v>0</v>
      </c>
      <c r="AX22" s="32">
        <f t="shared" ref="AX22:AX37" si="13">AP22/AJ22</f>
        <v>0</v>
      </c>
    </row>
    <row r="23" spans="1:50" ht="18.75" customHeight="1" x14ac:dyDescent="0.2">
      <c r="A23" s="14" t="s">
        <v>49</v>
      </c>
      <c r="B23" s="15" t="s">
        <v>50</v>
      </c>
      <c r="C23" s="15"/>
      <c r="D23" s="15" t="s">
        <v>40</v>
      </c>
      <c r="E23" s="15"/>
      <c r="F23" s="15"/>
      <c r="G23" s="15" t="s">
        <v>41</v>
      </c>
      <c r="H23" s="15"/>
      <c r="I23" s="15" t="s">
        <v>936</v>
      </c>
      <c r="J23" s="15"/>
      <c r="K23" s="15" t="s">
        <v>932</v>
      </c>
      <c r="L23" s="15"/>
      <c r="M23" s="15" t="s">
        <v>933</v>
      </c>
      <c r="N23" s="15"/>
      <c r="O23" s="15" t="s">
        <v>938</v>
      </c>
      <c r="P23" s="15"/>
      <c r="Q23" s="15" t="s">
        <v>939</v>
      </c>
      <c r="R23" s="15"/>
      <c r="S23" s="15" t="s">
        <v>940</v>
      </c>
      <c r="T23" s="15">
        <v>0</v>
      </c>
      <c r="U23" s="15">
        <v>0</v>
      </c>
      <c r="V23" s="15">
        <v>0</v>
      </c>
      <c r="W23" s="15">
        <v>0</v>
      </c>
      <c r="X23" s="15" t="s">
        <v>937</v>
      </c>
      <c r="Y23" s="15"/>
      <c r="Z23" s="15"/>
      <c r="AA23" s="16" t="s">
        <v>68</v>
      </c>
      <c r="AB23" s="17" t="s">
        <v>69</v>
      </c>
      <c r="AC23" s="17" t="s">
        <v>58</v>
      </c>
      <c r="AD23" s="18">
        <v>37582851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18">
        <v>37582851</v>
      </c>
      <c r="AK23" s="34">
        <v>0</v>
      </c>
      <c r="AL23" s="18">
        <f>AM23-ABRIL!AM23</f>
        <v>2874258</v>
      </c>
      <c r="AM23" s="18">
        <v>14371290</v>
      </c>
      <c r="AN23" s="34">
        <v>0</v>
      </c>
      <c r="AO23" s="18">
        <f>AP23-ABRIL!AP23</f>
        <v>2874258</v>
      </c>
      <c r="AP23" s="18">
        <v>14371290</v>
      </c>
      <c r="AQ23" s="34">
        <v>0</v>
      </c>
      <c r="AR23" s="34">
        <v>0</v>
      </c>
      <c r="AS23" s="18">
        <v>11497032</v>
      </c>
      <c r="AT23" s="39">
        <f t="shared" si="7"/>
        <v>11497032</v>
      </c>
      <c r="AU23" s="18">
        <f t="shared" si="10"/>
        <v>23211561</v>
      </c>
      <c r="AV23" s="34">
        <f t="shared" si="11"/>
        <v>0</v>
      </c>
      <c r="AW23" s="18">
        <f t="shared" si="12"/>
        <v>2874258</v>
      </c>
      <c r="AX23" s="32">
        <f t="shared" si="13"/>
        <v>0.38238956379333755</v>
      </c>
    </row>
    <row r="24" spans="1:50" ht="18.75" customHeight="1" x14ac:dyDescent="0.2">
      <c r="A24" s="27" t="s">
        <v>49</v>
      </c>
      <c r="B24" s="27" t="s">
        <v>50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8" t="s">
        <v>70</v>
      </c>
      <c r="AB24" s="29" t="s">
        <v>71</v>
      </c>
      <c r="AC24" s="30" t="s">
        <v>37</v>
      </c>
      <c r="AD24" s="30">
        <f>AD25+AD26</f>
        <v>1845616015</v>
      </c>
      <c r="AE24" s="31">
        <f t="shared" ref="AE24:AS24" si="14">AE25+AE26</f>
        <v>0</v>
      </c>
      <c r="AF24" s="31">
        <f t="shared" si="14"/>
        <v>0</v>
      </c>
      <c r="AG24" s="31">
        <f t="shared" si="14"/>
        <v>0</v>
      </c>
      <c r="AH24" s="31">
        <f t="shared" si="14"/>
        <v>0</v>
      </c>
      <c r="AI24" s="31">
        <f t="shared" si="14"/>
        <v>0</v>
      </c>
      <c r="AJ24" s="30">
        <f t="shared" si="14"/>
        <v>1845616015</v>
      </c>
      <c r="AK24" s="31">
        <f t="shared" si="14"/>
        <v>0</v>
      </c>
      <c r="AL24" s="30">
        <f t="shared" si="14"/>
        <v>2173266</v>
      </c>
      <c r="AM24" s="30">
        <f t="shared" si="14"/>
        <v>16695084</v>
      </c>
      <c r="AN24" s="31">
        <f t="shared" si="14"/>
        <v>0</v>
      </c>
      <c r="AO24" s="30">
        <f t="shared" si="14"/>
        <v>2173266</v>
      </c>
      <c r="AP24" s="30">
        <f t="shared" si="14"/>
        <v>16695084</v>
      </c>
      <c r="AQ24" s="31">
        <f t="shared" si="14"/>
        <v>0</v>
      </c>
      <c r="AR24" s="30">
        <f t="shared" si="14"/>
        <v>2173266</v>
      </c>
      <c r="AS24" s="30">
        <f t="shared" si="14"/>
        <v>16695084</v>
      </c>
      <c r="AT24" s="30">
        <f t="shared" si="7"/>
        <v>16695084</v>
      </c>
      <c r="AU24" s="176">
        <f t="shared" si="10"/>
        <v>1828920931</v>
      </c>
      <c r="AV24" s="177">
        <f t="shared" si="11"/>
        <v>0</v>
      </c>
      <c r="AW24" s="177">
        <f t="shared" si="12"/>
        <v>0</v>
      </c>
      <c r="AX24" s="32">
        <f t="shared" si="13"/>
        <v>9.0458057712508519E-3</v>
      </c>
    </row>
    <row r="25" spans="1:50" ht="18.75" customHeight="1" x14ac:dyDescent="0.2">
      <c r="A25" s="14" t="s">
        <v>55</v>
      </c>
      <c r="B25" s="15" t="s">
        <v>56</v>
      </c>
      <c r="C25" s="15"/>
      <c r="D25" s="15" t="s">
        <v>40</v>
      </c>
      <c r="E25" s="15"/>
      <c r="F25" s="15"/>
      <c r="G25" s="15" t="s">
        <v>41</v>
      </c>
      <c r="H25" s="15"/>
      <c r="I25" s="15" t="s">
        <v>936</v>
      </c>
      <c r="J25" s="15"/>
      <c r="K25" s="15" t="s">
        <v>932</v>
      </c>
      <c r="L25" s="15"/>
      <c r="M25" s="15" t="s">
        <v>933</v>
      </c>
      <c r="N25" s="15"/>
      <c r="O25" s="15" t="s">
        <v>938</v>
      </c>
      <c r="P25" s="15"/>
      <c r="Q25" s="15" t="s">
        <v>939</v>
      </c>
      <c r="R25" s="15"/>
      <c r="S25" s="15" t="s">
        <v>940</v>
      </c>
      <c r="T25" s="15">
        <v>0</v>
      </c>
      <c r="U25" s="15">
        <v>0</v>
      </c>
      <c r="V25" s="15">
        <v>0</v>
      </c>
      <c r="W25" s="15">
        <v>0</v>
      </c>
      <c r="X25" s="15" t="s">
        <v>937</v>
      </c>
      <c r="Y25" s="15"/>
      <c r="Z25" s="15"/>
      <c r="AA25" s="16" t="s">
        <v>72</v>
      </c>
      <c r="AB25" s="17" t="s">
        <v>71</v>
      </c>
      <c r="AC25" s="17" t="s">
        <v>58</v>
      </c>
      <c r="AD25" s="18">
        <v>1777683059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18">
        <v>1777683059</v>
      </c>
      <c r="AK25" s="34">
        <v>0</v>
      </c>
      <c r="AL25" s="18">
        <f>AM25-ABRIL!AM25</f>
        <v>2173266</v>
      </c>
      <c r="AM25" s="18">
        <v>12222483</v>
      </c>
      <c r="AN25" s="34">
        <v>0</v>
      </c>
      <c r="AO25" s="18">
        <f>AP25-ABRIL!AP25</f>
        <v>2173266</v>
      </c>
      <c r="AP25" s="18">
        <v>12222483</v>
      </c>
      <c r="AQ25" s="34">
        <v>0</v>
      </c>
      <c r="AR25" s="18">
        <f>AS25-ABRIL!AS25</f>
        <v>2173266</v>
      </c>
      <c r="AS25" s="18">
        <v>12222483</v>
      </c>
      <c r="AT25" s="39">
        <f t="shared" si="7"/>
        <v>12222483</v>
      </c>
      <c r="AU25" s="18">
        <f t="shared" si="10"/>
        <v>1765460576</v>
      </c>
      <c r="AV25" s="34">
        <f t="shared" si="11"/>
        <v>0</v>
      </c>
      <c r="AW25" s="34">
        <f t="shared" si="12"/>
        <v>0</v>
      </c>
      <c r="AX25" s="32">
        <f t="shared" si="13"/>
        <v>6.8755130101062637E-3</v>
      </c>
    </row>
    <row r="26" spans="1:50" ht="18.75" customHeight="1" x14ac:dyDescent="0.2">
      <c r="A26" s="14" t="s">
        <v>55</v>
      </c>
      <c r="B26" s="15" t="s">
        <v>56</v>
      </c>
      <c r="C26" s="15"/>
      <c r="D26" s="15" t="s">
        <v>40</v>
      </c>
      <c r="E26" s="15"/>
      <c r="F26" s="15"/>
      <c r="G26" s="15" t="s">
        <v>41</v>
      </c>
      <c r="H26" s="15"/>
      <c r="I26" s="15" t="s">
        <v>941</v>
      </c>
      <c r="J26" s="15"/>
      <c r="K26" s="15" t="s">
        <v>932</v>
      </c>
      <c r="L26" s="15"/>
      <c r="M26" s="15" t="s">
        <v>933</v>
      </c>
      <c r="N26" s="15"/>
      <c r="O26" s="15" t="s">
        <v>938</v>
      </c>
      <c r="P26" s="15"/>
      <c r="Q26" s="15" t="s">
        <v>939</v>
      </c>
      <c r="R26" s="15"/>
      <c r="S26" s="15" t="s">
        <v>940</v>
      </c>
      <c r="T26" s="15">
        <v>0</v>
      </c>
      <c r="U26" s="15">
        <v>0</v>
      </c>
      <c r="V26" s="15">
        <v>0</v>
      </c>
      <c r="W26" s="15">
        <v>0</v>
      </c>
      <c r="X26" s="15" t="s">
        <v>937</v>
      </c>
      <c r="Y26" s="15"/>
      <c r="Z26" s="15"/>
      <c r="AA26" s="16" t="s">
        <v>73</v>
      </c>
      <c r="AB26" s="17" t="s">
        <v>74</v>
      </c>
      <c r="AC26" s="17" t="s">
        <v>61</v>
      </c>
      <c r="AD26" s="18">
        <v>67932956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18">
        <v>67932956</v>
      </c>
      <c r="AK26" s="34">
        <v>0</v>
      </c>
      <c r="AL26" s="34">
        <f>AM26-ABRIL!AM26</f>
        <v>0</v>
      </c>
      <c r="AM26" s="18">
        <v>4472601</v>
      </c>
      <c r="AN26" s="34">
        <v>0</v>
      </c>
      <c r="AO26" s="18">
        <v>0</v>
      </c>
      <c r="AP26" s="18">
        <v>4472601</v>
      </c>
      <c r="AQ26" s="34">
        <v>0</v>
      </c>
      <c r="AR26" s="34">
        <f>AS26-ABRIL!AS26</f>
        <v>0</v>
      </c>
      <c r="AS26" s="18">
        <v>4472601</v>
      </c>
      <c r="AT26" s="40">
        <f t="shared" si="7"/>
        <v>4472601</v>
      </c>
      <c r="AU26" s="18">
        <f t="shared" si="10"/>
        <v>63460355</v>
      </c>
      <c r="AV26" s="34">
        <f t="shared" si="11"/>
        <v>0</v>
      </c>
      <c r="AW26" s="34">
        <f t="shared" si="12"/>
        <v>0</v>
      </c>
      <c r="AX26" s="32">
        <f t="shared" si="13"/>
        <v>6.5838456963362518E-2</v>
      </c>
    </row>
    <row r="27" spans="1:50" ht="18.75" customHeight="1" x14ac:dyDescent="0.2">
      <c r="A27" s="27" t="s">
        <v>49</v>
      </c>
      <c r="B27" s="27" t="s">
        <v>50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8" t="s">
        <v>75</v>
      </c>
      <c r="AB27" s="29" t="s">
        <v>76</v>
      </c>
      <c r="AC27" s="30" t="s">
        <v>37</v>
      </c>
      <c r="AD27" s="30">
        <f>AD28+AD29</f>
        <v>592992922</v>
      </c>
      <c r="AE27" s="31">
        <f t="shared" ref="AE27:AS27" si="15">AE28+AE29</f>
        <v>0</v>
      </c>
      <c r="AF27" s="31">
        <f t="shared" si="15"/>
        <v>0</v>
      </c>
      <c r="AG27" s="31">
        <f t="shared" si="15"/>
        <v>0</v>
      </c>
      <c r="AH27" s="31">
        <f t="shared" si="15"/>
        <v>0</v>
      </c>
      <c r="AI27" s="31">
        <f t="shared" si="15"/>
        <v>0</v>
      </c>
      <c r="AJ27" s="30">
        <f t="shared" si="15"/>
        <v>592992922</v>
      </c>
      <c r="AK27" s="31">
        <f t="shared" si="15"/>
        <v>0</v>
      </c>
      <c r="AL27" s="30">
        <f t="shared" si="15"/>
        <v>32186509</v>
      </c>
      <c r="AM27" s="30">
        <f t="shared" si="15"/>
        <v>220806381</v>
      </c>
      <c r="AN27" s="31">
        <f t="shared" si="15"/>
        <v>0</v>
      </c>
      <c r="AO27" s="30">
        <f t="shared" si="15"/>
        <v>32186509</v>
      </c>
      <c r="AP27" s="30">
        <f t="shared" si="15"/>
        <v>220806381</v>
      </c>
      <c r="AQ27" s="31">
        <f t="shared" si="15"/>
        <v>0</v>
      </c>
      <c r="AR27" s="30">
        <f t="shared" si="15"/>
        <v>32186509</v>
      </c>
      <c r="AS27" s="30">
        <f t="shared" si="15"/>
        <v>220806381</v>
      </c>
      <c r="AT27" s="30">
        <f t="shared" si="7"/>
        <v>220806381</v>
      </c>
      <c r="AU27" s="176">
        <f t="shared" si="10"/>
        <v>372186541</v>
      </c>
      <c r="AV27" s="177">
        <f t="shared" si="11"/>
        <v>0</v>
      </c>
      <c r="AW27" s="177">
        <f t="shared" si="12"/>
        <v>0</v>
      </c>
      <c r="AX27" s="32">
        <f t="shared" si="13"/>
        <v>0.37235921847984554</v>
      </c>
    </row>
    <row r="28" spans="1:50" ht="18.75" customHeight="1" x14ac:dyDescent="0.2">
      <c r="A28" s="14" t="s">
        <v>55</v>
      </c>
      <c r="B28" s="15" t="s">
        <v>56</v>
      </c>
      <c r="C28" s="15"/>
      <c r="D28" s="15" t="s">
        <v>40</v>
      </c>
      <c r="E28" s="15"/>
      <c r="F28" s="15"/>
      <c r="G28" s="15" t="s">
        <v>41</v>
      </c>
      <c r="H28" s="15"/>
      <c r="I28" s="15" t="s">
        <v>936</v>
      </c>
      <c r="J28" s="15"/>
      <c r="K28" s="15" t="s">
        <v>932</v>
      </c>
      <c r="L28" s="15"/>
      <c r="M28" s="15" t="s">
        <v>933</v>
      </c>
      <c r="N28" s="15"/>
      <c r="O28" s="15" t="s">
        <v>938</v>
      </c>
      <c r="P28" s="15"/>
      <c r="Q28" s="15" t="s">
        <v>939</v>
      </c>
      <c r="R28" s="15"/>
      <c r="S28" s="15" t="s">
        <v>940</v>
      </c>
      <c r="T28" s="15">
        <v>0</v>
      </c>
      <c r="U28" s="15">
        <v>0</v>
      </c>
      <c r="V28" s="15">
        <v>0</v>
      </c>
      <c r="W28" s="15">
        <v>0</v>
      </c>
      <c r="X28" s="15" t="s">
        <v>937</v>
      </c>
      <c r="Y28" s="15"/>
      <c r="Z28" s="15"/>
      <c r="AA28" s="16" t="s">
        <v>77</v>
      </c>
      <c r="AB28" s="17" t="s">
        <v>76</v>
      </c>
      <c r="AC28" s="17" t="s">
        <v>58</v>
      </c>
      <c r="AD28" s="18">
        <v>546787511</v>
      </c>
      <c r="AE28" s="34">
        <v>0</v>
      </c>
      <c r="AF28" s="34">
        <v>0</v>
      </c>
      <c r="AG28" s="34">
        <v>0</v>
      </c>
      <c r="AH28" s="34">
        <v>0</v>
      </c>
      <c r="AI28" s="34">
        <v>0</v>
      </c>
      <c r="AJ28" s="18">
        <v>546787511</v>
      </c>
      <c r="AK28" s="34">
        <v>0</v>
      </c>
      <c r="AL28" s="18">
        <f>AM28-ABRIL!AM28</f>
        <v>32186509</v>
      </c>
      <c r="AM28" s="18">
        <v>217262076</v>
      </c>
      <c r="AN28" s="34">
        <v>0</v>
      </c>
      <c r="AO28" s="18">
        <f>AP28-ABRIL!AP28</f>
        <v>32186509</v>
      </c>
      <c r="AP28" s="18">
        <v>217262076</v>
      </c>
      <c r="AQ28" s="34">
        <v>0</v>
      </c>
      <c r="AR28" s="18">
        <f>AS28-ABRIL!AS28</f>
        <v>32186509</v>
      </c>
      <c r="AS28" s="18">
        <v>217262076</v>
      </c>
      <c r="AT28" s="39">
        <f t="shared" si="7"/>
        <v>217262076</v>
      </c>
      <c r="AU28" s="18">
        <f t="shared" si="10"/>
        <v>329525435</v>
      </c>
      <c r="AV28" s="34">
        <f t="shared" si="11"/>
        <v>0</v>
      </c>
      <c r="AW28" s="34">
        <f t="shared" si="12"/>
        <v>0</v>
      </c>
      <c r="AX28" s="32">
        <f t="shared" si="13"/>
        <v>0.39734279154009428</v>
      </c>
    </row>
    <row r="29" spans="1:50" ht="18.75" customHeight="1" x14ac:dyDescent="0.2">
      <c r="A29" s="14" t="s">
        <v>55</v>
      </c>
      <c r="B29" s="15" t="s">
        <v>56</v>
      </c>
      <c r="C29" s="15"/>
      <c r="D29" s="15" t="s">
        <v>40</v>
      </c>
      <c r="E29" s="15"/>
      <c r="F29" s="15"/>
      <c r="G29" s="15" t="s">
        <v>41</v>
      </c>
      <c r="H29" s="15"/>
      <c r="I29" s="15" t="s">
        <v>941</v>
      </c>
      <c r="J29" s="15"/>
      <c r="K29" s="15" t="s">
        <v>932</v>
      </c>
      <c r="L29" s="15"/>
      <c r="M29" s="15" t="s">
        <v>933</v>
      </c>
      <c r="N29" s="15"/>
      <c r="O29" s="15" t="s">
        <v>938</v>
      </c>
      <c r="P29" s="15"/>
      <c r="Q29" s="15" t="s">
        <v>939</v>
      </c>
      <c r="R29" s="15"/>
      <c r="S29" s="15" t="s">
        <v>940</v>
      </c>
      <c r="T29" s="15">
        <v>0</v>
      </c>
      <c r="U29" s="15">
        <v>0</v>
      </c>
      <c r="V29" s="15">
        <v>0</v>
      </c>
      <c r="W29" s="15">
        <v>0</v>
      </c>
      <c r="X29" s="15" t="s">
        <v>937</v>
      </c>
      <c r="Y29" s="15"/>
      <c r="Z29" s="15"/>
      <c r="AA29" s="16" t="s">
        <v>78</v>
      </c>
      <c r="AB29" s="17" t="s">
        <v>79</v>
      </c>
      <c r="AC29" s="17" t="s">
        <v>58</v>
      </c>
      <c r="AD29" s="18">
        <v>46205411</v>
      </c>
      <c r="AE29" s="34">
        <v>0</v>
      </c>
      <c r="AF29" s="34">
        <v>0</v>
      </c>
      <c r="AG29" s="34">
        <v>0</v>
      </c>
      <c r="AH29" s="34">
        <v>0</v>
      </c>
      <c r="AI29" s="34">
        <v>0</v>
      </c>
      <c r="AJ29" s="18">
        <v>46205411</v>
      </c>
      <c r="AK29" s="34">
        <v>0</v>
      </c>
      <c r="AL29" s="34">
        <v>0</v>
      </c>
      <c r="AM29" s="18">
        <v>3544305</v>
      </c>
      <c r="AN29" s="34">
        <v>0</v>
      </c>
      <c r="AO29" s="18">
        <f>AP29-ABRIL!AP29</f>
        <v>0</v>
      </c>
      <c r="AP29" s="18">
        <v>3544305</v>
      </c>
      <c r="AQ29" s="34">
        <v>0</v>
      </c>
      <c r="AR29" s="34">
        <v>0</v>
      </c>
      <c r="AS29" s="18">
        <v>3544305</v>
      </c>
      <c r="AT29" s="39">
        <f t="shared" si="7"/>
        <v>3544305</v>
      </c>
      <c r="AU29" s="18">
        <f t="shared" si="10"/>
        <v>42661106</v>
      </c>
      <c r="AV29" s="34">
        <f t="shared" si="11"/>
        <v>0</v>
      </c>
      <c r="AW29" s="34">
        <f t="shared" si="12"/>
        <v>0</v>
      </c>
      <c r="AX29" s="32">
        <f t="shared" si="13"/>
        <v>7.6707574357470817E-2</v>
      </c>
    </row>
    <row r="30" spans="1:50" ht="18.75" customHeight="1" x14ac:dyDescent="0.2">
      <c r="A30" s="27" t="s">
        <v>49</v>
      </c>
      <c r="B30" s="27" t="s">
        <v>50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8" t="s">
        <v>80</v>
      </c>
      <c r="AB30" s="29" t="s">
        <v>81</v>
      </c>
      <c r="AC30" s="30" t="s">
        <v>37</v>
      </c>
      <c r="AD30" s="30">
        <f>AD31+AD34</f>
        <v>3301831967</v>
      </c>
      <c r="AE30" s="31">
        <f t="shared" ref="AE30:AS30" si="16">AE31+AE34</f>
        <v>0</v>
      </c>
      <c r="AF30" s="31">
        <f t="shared" si="16"/>
        <v>0</v>
      </c>
      <c r="AG30" s="31">
        <f t="shared" si="16"/>
        <v>0</v>
      </c>
      <c r="AH30" s="31">
        <f t="shared" si="16"/>
        <v>0</v>
      </c>
      <c r="AI30" s="31">
        <f t="shared" si="16"/>
        <v>0</v>
      </c>
      <c r="AJ30" s="30">
        <f t="shared" si="16"/>
        <v>3301831967</v>
      </c>
      <c r="AK30" s="31">
        <f t="shared" si="16"/>
        <v>0</v>
      </c>
      <c r="AL30" s="30">
        <f t="shared" si="16"/>
        <v>81753613</v>
      </c>
      <c r="AM30" s="30">
        <f t="shared" si="16"/>
        <v>304929371</v>
      </c>
      <c r="AN30" s="31">
        <f t="shared" si="16"/>
        <v>0</v>
      </c>
      <c r="AO30" s="30">
        <f t="shared" si="16"/>
        <v>81753613</v>
      </c>
      <c r="AP30" s="30">
        <f t="shared" si="16"/>
        <v>304929371</v>
      </c>
      <c r="AQ30" s="31">
        <f t="shared" si="16"/>
        <v>0</v>
      </c>
      <c r="AR30" s="30">
        <f t="shared" si="16"/>
        <v>73935382</v>
      </c>
      <c r="AS30" s="30">
        <f t="shared" si="16"/>
        <v>297111140</v>
      </c>
      <c r="AT30" s="39">
        <f t="shared" si="7"/>
        <v>297111140</v>
      </c>
      <c r="AU30" s="18">
        <f t="shared" si="10"/>
        <v>2996902596</v>
      </c>
      <c r="AV30" s="34">
        <f t="shared" si="11"/>
        <v>0</v>
      </c>
      <c r="AW30" s="18">
        <f t="shared" si="12"/>
        <v>7818231</v>
      </c>
      <c r="AX30" s="32">
        <f t="shared" si="13"/>
        <v>9.2351571505637428E-2</v>
      </c>
    </row>
    <row r="31" spans="1:50" ht="18.75" customHeight="1" x14ac:dyDescent="0.2">
      <c r="A31" s="27" t="s">
        <v>49</v>
      </c>
      <c r="B31" s="27" t="s">
        <v>50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8" t="s">
        <v>82</v>
      </c>
      <c r="AB31" s="29" t="s">
        <v>83</v>
      </c>
      <c r="AC31" s="30" t="s">
        <v>37</v>
      </c>
      <c r="AD31" s="30">
        <f>AD32+AD33</f>
        <v>2120123016</v>
      </c>
      <c r="AE31" s="31">
        <f t="shared" ref="AE31:AS31" si="17">AE32+AE33</f>
        <v>0</v>
      </c>
      <c r="AF31" s="31">
        <f t="shared" si="17"/>
        <v>0</v>
      </c>
      <c r="AG31" s="31">
        <f t="shared" si="17"/>
        <v>0</v>
      </c>
      <c r="AH31" s="31">
        <f t="shared" si="17"/>
        <v>0</v>
      </c>
      <c r="AI31" s="31">
        <f t="shared" si="17"/>
        <v>0</v>
      </c>
      <c r="AJ31" s="30">
        <f t="shared" si="17"/>
        <v>2120123016</v>
      </c>
      <c r="AK31" s="31">
        <f t="shared" si="17"/>
        <v>0</v>
      </c>
      <c r="AL31" s="30">
        <f t="shared" si="17"/>
        <v>2512659</v>
      </c>
      <c r="AM31" s="30">
        <f t="shared" si="17"/>
        <v>27565765</v>
      </c>
      <c r="AN31" s="31">
        <f t="shared" si="17"/>
        <v>0</v>
      </c>
      <c r="AO31" s="30">
        <f>AO32+AO33</f>
        <v>2512659</v>
      </c>
      <c r="AP31" s="30">
        <f t="shared" si="17"/>
        <v>27565765</v>
      </c>
      <c r="AQ31" s="31">
        <f t="shared" si="17"/>
        <v>0</v>
      </c>
      <c r="AR31" s="30">
        <f t="shared" si="17"/>
        <v>2512659</v>
      </c>
      <c r="AS31" s="30">
        <f t="shared" si="17"/>
        <v>27565765</v>
      </c>
      <c r="AT31" s="39">
        <f t="shared" si="7"/>
        <v>27565765</v>
      </c>
      <c r="AU31" s="18">
        <f t="shared" si="10"/>
        <v>2092557251</v>
      </c>
      <c r="AV31" s="34">
        <f t="shared" si="11"/>
        <v>0</v>
      </c>
      <c r="AW31" s="34">
        <f t="shared" si="12"/>
        <v>0</v>
      </c>
      <c r="AX31" s="32">
        <f t="shared" si="13"/>
        <v>1.3001964882211343E-2</v>
      </c>
    </row>
    <row r="32" spans="1:50" ht="18.75" customHeight="1" x14ac:dyDescent="0.2">
      <c r="A32" s="14" t="s">
        <v>55</v>
      </c>
      <c r="B32" s="15" t="s">
        <v>56</v>
      </c>
      <c r="C32" s="15"/>
      <c r="D32" s="15" t="s">
        <v>40</v>
      </c>
      <c r="E32" s="15"/>
      <c r="F32" s="15"/>
      <c r="G32" s="15" t="s">
        <v>41</v>
      </c>
      <c r="H32" s="15"/>
      <c r="I32" s="15" t="s">
        <v>941</v>
      </c>
      <c r="J32" s="15"/>
      <c r="K32" s="15" t="s">
        <v>932</v>
      </c>
      <c r="L32" s="15"/>
      <c r="M32" s="15" t="s">
        <v>933</v>
      </c>
      <c r="N32" s="15"/>
      <c r="O32" s="15" t="s">
        <v>938</v>
      </c>
      <c r="P32" s="15"/>
      <c r="Q32" s="15" t="s">
        <v>939</v>
      </c>
      <c r="R32" s="15"/>
      <c r="S32" s="15" t="s">
        <v>940</v>
      </c>
      <c r="T32" s="15">
        <v>0</v>
      </c>
      <c r="U32" s="15">
        <v>0</v>
      </c>
      <c r="V32" s="15">
        <v>0</v>
      </c>
      <c r="W32" s="15">
        <v>0</v>
      </c>
      <c r="X32" s="15" t="s">
        <v>937</v>
      </c>
      <c r="Y32" s="15"/>
      <c r="Z32" s="15"/>
      <c r="AA32" s="16" t="s">
        <v>84</v>
      </c>
      <c r="AB32" s="17" t="s">
        <v>85</v>
      </c>
      <c r="AC32" s="17" t="s">
        <v>61</v>
      </c>
      <c r="AD32" s="18">
        <v>151225079</v>
      </c>
      <c r="AE32" s="34">
        <v>0</v>
      </c>
      <c r="AF32" s="34">
        <v>0</v>
      </c>
      <c r="AG32" s="34">
        <v>0</v>
      </c>
      <c r="AH32" s="34">
        <v>0</v>
      </c>
      <c r="AI32" s="34">
        <v>0</v>
      </c>
      <c r="AJ32" s="18">
        <v>151225079</v>
      </c>
      <c r="AK32" s="34">
        <v>0</v>
      </c>
      <c r="AL32" s="34">
        <f>AM32-ABRIL!AM32</f>
        <v>0</v>
      </c>
      <c r="AM32" s="18">
        <v>3190674</v>
      </c>
      <c r="AN32" s="34">
        <v>0</v>
      </c>
      <c r="AO32" s="18">
        <f>AP32-ABRIL!AP32</f>
        <v>0</v>
      </c>
      <c r="AP32" s="18">
        <v>3190674</v>
      </c>
      <c r="AQ32" s="34">
        <v>0</v>
      </c>
      <c r="AR32" s="34">
        <f>AS32-ABRIL!AS32</f>
        <v>0</v>
      </c>
      <c r="AS32" s="34">
        <v>3190674</v>
      </c>
      <c r="AT32" s="40">
        <f t="shared" si="7"/>
        <v>3190674</v>
      </c>
      <c r="AU32" s="18">
        <f t="shared" si="10"/>
        <v>148034405</v>
      </c>
      <c r="AV32" s="34">
        <f t="shared" si="11"/>
        <v>0</v>
      </c>
      <c r="AW32" s="34">
        <f t="shared" si="12"/>
        <v>0</v>
      </c>
      <c r="AX32" s="32">
        <f t="shared" si="13"/>
        <v>2.109884168088284E-2</v>
      </c>
    </row>
    <row r="33" spans="1:50" ht="18.75" customHeight="1" x14ac:dyDescent="0.2">
      <c r="A33" s="14" t="s">
        <v>55</v>
      </c>
      <c r="B33" s="15" t="s">
        <v>56</v>
      </c>
      <c r="C33" s="15"/>
      <c r="D33" s="15" t="s">
        <v>40</v>
      </c>
      <c r="E33" s="15"/>
      <c r="F33" s="15"/>
      <c r="G33" s="15" t="s">
        <v>41</v>
      </c>
      <c r="H33" s="15"/>
      <c r="I33" s="15" t="s">
        <v>936</v>
      </c>
      <c r="J33" s="15"/>
      <c r="K33" s="15" t="s">
        <v>932</v>
      </c>
      <c r="L33" s="15"/>
      <c r="M33" s="15" t="s">
        <v>933</v>
      </c>
      <c r="N33" s="15"/>
      <c r="O33" s="15" t="s">
        <v>938</v>
      </c>
      <c r="P33" s="15"/>
      <c r="Q33" s="15" t="s">
        <v>939</v>
      </c>
      <c r="R33" s="15"/>
      <c r="S33" s="15" t="s">
        <v>940</v>
      </c>
      <c r="T33" s="15">
        <v>0</v>
      </c>
      <c r="U33" s="15">
        <v>0</v>
      </c>
      <c r="V33" s="15">
        <v>0</v>
      </c>
      <c r="W33" s="15">
        <v>0</v>
      </c>
      <c r="X33" s="15" t="s">
        <v>937</v>
      </c>
      <c r="Y33" s="15"/>
      <c r="Z33" s="15"/>
      <c r="AA33" s="16" t="s">
        <v>86</v>
      </c>
      <c r="AB33" s="17" t="s">
        <v>83</v>
      </c>
      <c r="AC33" s="17" t="s">
        <v>58</v>
      </c>
      <c r="AD33" s="18">
        <v>1968897937</v>
      </c>
      <c r="AE33" s="34">
        <v>0</v>
      </c>
      <c r="AF33" s="34">
        <v>0</v>
      </c>
      <c r="AG33" s="34">
        <v>0</v>
      </c>
      <c r="AH33" s="34">
        <v>0</v>
      </c>
      <c r="AI33" s="34">
        <v>0</v>
      </c>
      <c r="AJ33" s="18">
        <v>1968897937</v>
      </c>
      <c r="AK33" s="34">
        <v>0</v>
      </c>
      <c r="AL33" s="18">
        <f>AM33-ABRIL!AM33</f>
        <v>2512659</v>
      </c>
      <c r="AM33" s="18">
        <v>24375091</v>
      </c>
      <c r="AN33" s="34">
        <v>0</v>
      </c>
      <c r="AO33" s="18">
        <f>AP33-ABRIL!AP33</f>
        <v>2512659</v>
      </c>
      <c r="AP33" s="18">
        <v>24375091</v>
      </c>
      <c r="AQ33" s="34">
        <v>0</v>
      </c>
      <c r="AR33" s="18">
        <f>AS33-ABRIL!AS33</f>
        <v>2512659</v>
      </c>
      <c r="AS33" s="18">
        <v>24375091</v>
      </c>
      <c r="AT33" s="39">
        <f t="shared" si="7"/>
        <v>24375091</v>
      </c>
      <c r="AU33" s="18">
        <f t="shared" si="10"/>
        <v>1944522846</v>
      </c>
      <c r="AV33" s="34">
        <f t="shared" si="11"/>
        <v>0</v>
      </c>
      <c r="AW33" s="34">
        <f t="shared" si="12"/>
        <v>0</v>
      </c>
      <c r="AX33" s="32">
        <f t="shared" si="13"/>
        <v>1.238006833261261E-2</v>
      </c>
    </row>
    <row r="34" spans="1:50" ht="18.75" customHeight="1" x14ac:dyDescent="0.2">
      <c r="A34" s="27" t="s">
        <v>49</v>
      </c>
      <c r="B34" s="27" t="s">
        <v>50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8" t="s">
        <v>87</v>
      </c>
      <c r="AB34" s="29" t="s">
        <v>88</v>
      </c>
      <c r="AC34" s="30" t="s">
        <v>37</v>
      </c>
      <c r="AD34" s="30">
        <f>AD35+AD36</f>
        <v>1181708951</v>
      </c>
      <c r="AE34" s="31">
        <f t="shared" ref="AE34:AS34" si="18">AE35+AE36</f>
        <v>0</v>
      </c>
      <c r="AF34" s="31">
        <f t="shared" si="18"/>
        <v>0</v>
      </c>
      <c r="AG34" s="31">
        <f t="shared" si="18"/>
        <v>0</v>
      </c>
      <c r="AH34" s="31">
        <f t="shared" si="18"/>
        <v>0</v>
      </c>
      <c r="AI34" s="31">
        <f t="shared" si="18"/>
        <v>0</v>
      </c>
      <c r="AJ34" s="30">
        <f t="shared" si="18"/>
        <v>1181708951</v>
      </c>
      <c r="AK34" s="31">
        <f t="shared" si="18"/>
        <v>0</v>
      </c>
      <c r="AL34" s="30">
        <f t="shared" si="18"/>
        <v>79240954</v>
      </c>
      <c r="AM34" s="30">
        <f t="shared" si="18"/>
        <v>277363606</v>
      </c>
      <c r="AN34" s="31">
        <f t="shared" si="18"/>
        <v>0</v>
      </c>
      <c r="AO34" s="30">
        <f t="shared" si="18"/>
        <v>79240954</v>
      </c>
      <c r="AP34" s="30">
        <f t="shared" si="18"/>
        <v>277363606</v>
      </c>
      <c r="AQ34" s="31">
        <f t="shared" si="18"/>
        <v>0</v>
      </c>
      <c r="AR34" s="30">
        <f t="shared" si="18"/>
        <v>71422723</v>
      </c>
      <c r="AS34" s="30">
        <f t="shared" si="18"/>
        <v>269545375</v>
      </c>
      <c r="AT34" s="30">
        <f t="shared" si="7"/>
        <v>269545375</v>
      </c>
      <c r="AU34" s="176">
        <f t="shared" si="10"/>
        <v>904345345</v>
      </c>
      <c r="AV34" s="177">
        <f t="shared" si="11"/>
        <v>0</v>
      </c>
      <c r="AW34" s="176">
        <f t="shared" si="12"/>
        <v>7818231</v>
      </c>
      <c r="AX34" s="32">
        <f t="shared" si="13"/>
        <v>0.23471397569197222</v>
      </c>
    </row>
    <row r="35" spans="1:50" ht="18.75" customHeight="1" x14ac:dyDescent="0.2">
      <c r="A35" s="35" t="s">
        <v>55</v>
      </c>
      <c r="B35" s="36" t="s">
        <v>56</v>
      </c>
      <c r="C35" s="36"/>
      <c r="D35" s="36" t="s">
        <v>40</v>
      </c>
      <c r="E35" s="36"/>
      <c r="F35" s="36"/>
      <c r="G35" s="36" t="s">
        <v>41</v>
      </c>
      <c r="H35" s="36"/>
      <c r="I35" s="36" t="s">
        <v>936</v>
      </c>
      <c r="J35" s="36"/>
      <c r="K35" s="36" t="s">
        <v>932</v>
      </c>
      <c r="L35" s="36"/>
      <c r="M35" s="36" t="s">
        <v>933</v>
      </c>
      <c r="N35" s="36"/>
      <c r="O35" s="36" t="s">
        <v>938</v>
      </c>
      <c r="P35" s="36"/>
      <c r="Q35" s="36" t="s">
        <v>939</v>
      </c>
      <c r="R35" s="36"/>
      <c r="S35" s="36" t="s">
        <v>940</v>
      </c>
      <c r="T35" s="36">
        <v>0</v>
      </c>
      <c r="U35" s="36">
        <v>0</v>
      </c>
      <c r="V35" s="36">
        <v>0</v>
      </c>
      <c r="W35" s="36">
        <v>0</v>
      </c>
      <c r="X35" s="36" t="s">
        <v>937</v>
      </c>
      <c r="Y35" s="36"/>
      <c r="Z35" s="36"/>
      <c r="AA35" s="37" t="s">
        <v>89</v>
      </c>
      <c r="AB35" s="38" t="s">
        <v>88</v>
      </c>
      <c r="AC35" s="38" t="s">
        <v>58</v>
      </c>
      <c r="AD35" s="39">
        <v>1110945455</v>
      </c>
      <c r="AE35" s="40">
        <v>0</v>
      </c>
      <c r="AF35" s="40">
        <v>0</v>
      </c>
      <c r="AG35" s="40">
        <v>0</v>
      </c>
      <c r="AH35" s="40">
        <v>0</v>
      </c>
      <c r="AI35" s="40">
        <v>0</v>
      </c>
      <c r="AJ35" s="39">
        <v>1110945455</v>
      </c>
      <c r="AK35" s="40">
        <v>0</v>
      </c>
      <c r="AL35" s="39">
        <f>AM35-ABRIL!AM35</f>
        <v>79240954</v>
      </c>
      <c r="AM35" s="39">
        <v>271693512</v>
      </c>
      <c r="AN35" s="40">
        <v>0</v>
      </c>
      <c r="AO35" s="39">
        <f>AP35-ABRIL!AP35</f>
        <v>79240954</v>
      </c>
      <c r="AP35" s="39">
        <v>271693512</v>
      </c>
      <c r="AQ35" s="40">
        <v>0</v>
      </c>
      <c r="AR35" s="18">
        <f>AS35-ABRIL!AS35</f>
        <v>71422723</v>
      </c>
      <c r="AS35" s="39">
        <v>263875281</v>
      </c>
      <c r="AT35" s="39">
        <f t="shared" si="7"/>
        <v>263875281</v>
      </c>
      <c r="AU35" s="18">
        <f t="shared" si="10"/>
        <v>839251943</v>
      </c>
      <c r="AV35" s="34">
        <f t="shared" si="11"/>
        <v>0</v>
      </c>
      <c r="AW35" s="18">
        <f t="shared" si="12"/>
        <v>7818231</v>
      </c>
      <c r="AX35" s="32">
        <f t="shared" si="13"/>
        <v>0.24456062246548368</v>
      </c>
    </row>
    <row r="36" spans="1:50" ht="18.75" customHeight="1" x14ac:dyDescent="0.2">
      <c r="A36" s="14" t="s">
        <v>55</v>
      </c>
      <c r="B36" s="15" t="s">
        <v>56</v>
      </c>
      <c r="C36" s="15"/>
      <c r="D36" s="15" t="s">
        <v>40</v>
      </c>
      <c r="E36" s="15"/>
      <c r="F36" s="15"/>
      <c r="G36" s="15" t="s">
        <v>41</v>
      </c>
      <c r="H36" s="15"/>
      <c r="I36" s="15" t="s">
        <v>941</v>
      </c>
      <c r="J36" s="15"/>
      <c r="K36" s="15" t="s">
        <v>932</v>
      </c>
      <c r="L36" s="15"/>
      <c r="M36" s="15" t="s">
        <v>933</v>
      </c>
      <c r="N36" s="15"/>
      <c r="O36" s="15" t="s">
        <v>938</v>
      </c>
      <c r="P36" s="15"/>
      <c r="Q36" s="15" t="s">
        <v>939</v>
      </c>
      <c r="R36" s="15"/>
      <c r="S36" s="15" t="s">
        <v>940</v>
      </c>
      <c r="T36" s="15">
        <v>0</v>
      </c>
      <c r="U36" s="15">
        <v>0</v>
      </c>
      <c r="V36" s="15">
        <v>0</v>
      </c>
      <c r="W36" s="15">
        <v>0</v>
      </c>
      <c r="X36" s="15" t="s">
        <v>937</v>
      </c>
      <c r="Y36" s="15"/>
      <c r="Z36" s="15"/>
      <c r="AA36" s="16" t="s">
        <v>90</v>
      </c>
      <c r="AB36" s="17" t="s">
        <v>91</v>
      </c>
      <c r="AC36" s="17" t="s">
        <v>61</v>
      </c>
      <c r="AD36" s="18">
        <v>70763496</v>
      </c>
      <c r="AE36" s="34">
        <v>0</v>
      </c>
      <c r="AF36" s="34">
        <v>0</v>
      </c>
      <c r="AG36" s="34">
        <v>0</v>
      </c>
      <c r="AH36" s="34">
        <v>0</v>
      </c>
      <c r="AI36" s="34">
        <v>0</v>
      </c>
      <c r="AJ36" s="18">
        <v>70763496</v>
      </c>
      <c r="AK36" s="34">
        <v>0</v>
      </c>
      <c r="AL36" s="40">
        <f>AM36-ABRIL!AM36</f>
        <v>0</v>
      </c>
      <c r="AM36" s="18">
        <v>5670094</v>
      </c>
      <c r="AN36" s="34">
        <v>0</v>
      </c>
      <c r="AO36" s="39">
        <f>AP36-ABRIL!AP36</f>
        <v>0</v>
      </c>
      <c r="AP36" s="18">
        <v>5670094</v>
      </c>
      <c r="AQ36" s="34">
        <v>0</v>
      </c>
      <c r="AR36" s="34">
        <f>AS36-ABRIL!AS36</f>
        <v>0</v>
      </c>
      <c r="AS36" s="34">
        <v>5670094</v>
      </c>
      <c r="AT36" s="40">
        <f t="shared" si="7"/>
        <v>5670094</v>
      </c>
      <c r="AU36" s="18">
        <f t="shared" si="10"/>
        <v>65093402</v>
      </c>
      <c r="AV36" s="34">
        <f t="shared" si="11"/>
        <v>0</v>
      </c>
      <c r="AW36" s="34">
        <f t="shared" si="12"/>
        <v>0</v>
      </c>
      <c r="AX36" s="32">
        <f t="shared" si="13"/>
        <v>8.012738658361368E-2</v>
      </c>
    </row>
    <row r="37" spans="1:50" ht="18.75" customHeight="1" x14ac:dyDescent="0.2">
      <c r="A37" s="14" t="s">
        <v>49</v>
      </c>
      <c r="B37" s="15" t="s">
        <v>50</v>
      </c>
      <c r="C37" s="15"/>
      <c r="D37" s="15" t="s">
        <v>40</v>
      </c>
      <c r="E37" s="15"/>
      <c r="F37" s="15"/>
      <c r="G37" s="15" t="s">
        <v>41</v>
      </c>
      <c r="H37" s="15"/>
      <c r="I37" s="15" t="s">
        <v>936</v>
      </c>
      <c r="J37" s="15"/>
      <c r="K37" s="15" t="s">
        <v>932</v>
      </c>
      <c r="L37" s="15"/>
      <c r="M37" s="15" t="s">
        <v>933</v>
      </c>
      <c r="N37" s="15"/>
      <c r="O37" s="15" t="s">
        <v>938</v>
      </c>
      <c r="P37" s="15"/>
      <c r="Q37" s="15" t="s">
        <v>939</v>
      </c>
      <c r="R37" s="15"/>
      <c r="S37" s="15" t="s">
        <v>940</v>
      </c>
      <c r="T37" s="15">
        <v>0</v>
      </c>
      <c r="U37" s="15">
        <v>0</v>
      </c>
      <c r="V37" s="15">
        <v>0</v>
      </c>
      <c r="W37" s="15">
        <v>0</v>
      </c>
      <c r="X37" s="15" t="s">
        <v>937</v>
      </c>
      <c r="Y37" s="15"/>
      <c r="Z37" s="15"/>
      <c r="AA37" s="16" t="s">
        <v>92</v>
      </c>
      <c r="AB37" s="17" t="s">
        <v>93</v>
      </c>
      <c r="AC37" s="17" t="s">
        <v>58</v>
      </c>
      <c r="AD37" s="18">
        <v>128952600</v>
      </c>
      <c r="AE37" s="34">
        <v>0</v>
      </c>
      <c r="AF37" s="34">
        <v>0</v>
      </c>
      <c r="AG37" s="34">
        <v>0</v>
      </c>
      <c r="AH37" s="34">
        <v>0</v>
      </c>
      <c r="AI37" s="34">
        <v>0</v>
      </c>
      <c r="AJ37" s="18">
        <v>128952600</v>
      </c>
      <c r="AK37" s="34">
        <v>0</v>
      </c>
      <c r="AL37" s="40">
        <f>AM37-ABRIL!AM37</f>
        <v>0</v>
      </c>
      <c r="AM37" s="34">
        <v>0</v>
      </c>
      <c r="AN37" s="34">
        <v>0</v>
      </c>
      <c r="AO37" s="39">
        <f>AP37-ABRIL!AP37</f>
        <v>0</v>
      </c>
      <c r="AP37" s="34">
        <v>0</v>
      </c>
      <c r="AQ37" s="34">
        <v>0</v>
      </c>
      <c r="AR37" s="34">
        <f>AS37-ABRIL!AS37</f>
        <v>0</v>
      </c>
      <c r="AS37" s="34">
        <v>0</v>
      </c>
      <c r="AT37" s="40">
        <f t="shared" si="7"/>
        <v>0</v>
      </c>
      <c r="AU37" s="18">
        <f t="shared" si="10"/>
        <v>128952600</v>
      </c>
      <c r="AV37" s="34">
        <f t="shared" si="11"/>
        <v>0</v>
      </c>
      <c r="AW37" s="34">
        <f t="shared" si="12"/>
        <v>0</v>
      </c>
      <c r="AX37" s="32">
        <f t="shared" si="13"/>
        <v>0</v>
      </c>
    </row>
    <row r="38" spans="1:50" ht="18.75" customHeight="1" x14ac:dyDescent="0.2">
      <c r="A38" s="35" t="s">
        <v>49</v>
      </c>
      <c r="B38" s="36" t="s">
        <v>50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7" t="s">
        <v>94</v>
      </c>
      <c r="AB38" s="38" t="s">
        <v>95</v>
      </c>
      <c r="AC38" s="38" t="s">
        <v>56</v>
      </c>
      <c r="AD38" s="40">
        <v>0</v>
      </c>
      <c r="AE38" s="40">
        <v>0</v>
      </c>
      <c r="AF38" s="40">
        <v>0</v>
      </c>
      <c r="AG38" s="40">
        <v>0</v>
      </c>
      <c r="AH38" s="40">
        <v>0</v>
      </c>
      <c r="AI38" s="40">
        <v>0</v>
      </c>
      <c r="AJ38" s="40">
        <v>0</v>
      </c>
      <c r="AK38" s="40">
        <v>0</v>
      </c>
      <c r="AL38" s="40">
        <f>AM38-ABRIL!AM38</f>
        <v>0</v>
      </c>
      <c r="AM38" s="40">
        <v>0</v>
      </c>
      <c r="AN38" s="40">
        <v>0</v>
      </c>
      <c r="AO38" s="39">
        <f>AP38-ABRIL!AP38</f>
        <v>0</v>
      </c>
      <c r="AP38" s="40">
        <v>0</v>
      </c>
      <c r="AQ38" s="40">
        <v>0</v>
      </c>
      <c r="AR38" s="34">
        <f>AS38-ABRIL!AS38</f>
        <v>0</v>
      </c>
      <c r="AS38" s="40">
        <v>0</v>
      </c>
      <c r="AT38" s="40">
        <f t="shared" si="7"/>
        <v>0</v>
      </c>
      <c r="AU38" s="34">
        <f t="shared" si="10"/>
        <v>0</v>
      </c>
      <c r="AV38" s="34">
        <f t="shared" si="11"/>
        <v>0</v>
      </c>
      <c r="AW38" s="34">
        <f t="shared" si="12"/>
        <v>0</v>
      </c>
      <c r="AX38" s="32">
        <v>0</v>
      </c>
    </row>
    <row r="39" spans="1:50" s="25" customFormat="1" ht="18.75" customHeight="1" x14ac:dyDescent="0.2">
      <c r="A39" s="19" t="s">
        <v>49</v>
      </c>
      <c r="B39" s="19" t="s">
        <v>50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26" t="s">
        <v>96</v>
      </c>
      <c r="AB39" s="21" t="s">
        <v>97</v>
      </c>
      <c r="AC39" s="22" t="s">
        <v>37</v>
      </c>
      <c r="AD39" s="22">
        <f>AD40</f>
        <v>23412454</v>
      </c>
      <c r="AE39" s="23">
        <f t="shared" ref="AE39:AW40" si="19">AE40</f>
        <v>0</v>
      </c>
      <c r="AF39" s="23">
        <f t="shared" si="19"/>
        <v>0</v>
      </c>
      <c r="AG39" s="23">
        <f t="shared" si="19"/>
        <v>0</v>
      </c>
      <c r="AH39" s="23">
        <f t="shared" si="19"/>
        <v>0</v>
      </c>
      <c r="AI39" s="23">
        <f t="shared" si="19"/>
        <v>0</v>
      </c>
      <c r="AJ39" s="22">
        <f t="shared" si="19"/>
        <v>23412454</v>
      </c>
      <c r="AK39" s="23">
        <f t="shared" si="19"/>
        <v>0</v>
      </c>
      <c r="AL39" s="23">
        <f t="shared" si="19"/>
        <v>0</v>
      </c>
      <c r="AM39" s="23">
        <f t="shared" si="19"/>
        <v>0</v>
      </c>
      <c r="AN39" s="23">
        <f t="shared" si="19"/>
        <v>0</v>
      </c>
      <c r="AO39" s="23">
        <f t="shared" si="19"/>
        <v>0</v>
      </c>
      <c r="AP39" s="23">
        <f t="shared" si="19"/>
        <v>0</v>
      </c>
      <c r="AQ39" s="23">
        <f t="shared" si="19"/>
        <v>0</v>
      </c>
      <c r="AR39" s="23">
        <f t="shared" si="19"/>
        <v>0</v>
      </c>
      <c r="AS39" s="23">
        <f t="shared" si="19"/>
        <v>0</v>
      </c>
      <c r="AT39" s="23">
        <f>AQ39+AS39</f>
        <v>0</v>
      </c>
      <c r="AU39" s="22">
        <f t="shared" si="19"/>
        <v>23412454</v>
      </c>
      <c r="AV39" s="23">
        <f t="shared" si="19"/>
        <v>0</v>
      </c>
      <c r="AW39" s="23">
        <f t="shared" si="19"/>
        <v>0</v>
      </c>
      <c r="AX39" s="24">
        <f t="shared" ref="AX39:AX70" si="20">AP39/AJ39</f>
        <v>0</v>
      </c>
    </row>
    <row r="40" spans="1:50" ht="18.75" customHeight="1" x14ac:dyDescent="0.2">
      <c r="A40" s="27" t="s">
        <v>55</v>
      </c>
      <c r="B40" s="27" t="s">
        <v>56</v>
      </c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8" t="s">
        <v>98</v>
      </c>
      <c r="AB40" s="29" t="s">
        <v>99</v>
      </c>
      <c r="AC40" s="30" t="s">
        <v>37</v>
      </c>
      <c r="AD40" s="30">
        <f>AD41</f>
        <v>23412454</v>
      </c>
      <c r="AE40" s="31">
        <f t="shared" si="19"/>
        <v>0</v>
      </c>
      <c r="AF40" s="31">
        <f t="shared" si="19"/>
        <v>0</v>
      </c>
      <c r="AG40" s="31">
        <f t="shared" si="19"/>
        <v>0</v>
      </c>
      <c r="AH40" s="31">
        <f t="shared" si="19"/>
        <v>0</v>
      </c>
      <c r="AI40" s="31">
        <f t="shared" si="19"/>
        <v>0</v>
      </c>
      <c r="AJ40" s="30">
        <f t="shared" si="19"/>
        <v>23412454</v>
      </c>
      <c r="AK40" s="31">
        <f t="shared" si="19"/>
        <v>0</v>
      </c>
      <c r="AL40" s="31">
        <f t="shared" si="19"/>
        <v>0</v>
      </c>
      <c r="AM40" s="31">
        <f t="shared" si="19"/>
        <v>0</v>
      </c>
      <c r="AN40" s="31">
        <f t="shared" si="19"/>
        <v>0</v>
      </c>
      <c r="AO40" s="31">
        <f t="shared" si="19"/>
        <v>0</v>
      </c>
      <c r="AP40" s="31">
        <f t="shared" si="19"/>
        <v>0</v>
      </c>
      <c r="AQ40" s="31">
        <f t="shared" si="19"/>
        <v>0</v>
      </c>
      <c r="AR40" s="31">
        <f t="shared" si="19"/>
        <v>0</v>
      </c>
      <c r="AS40" s="31">
        <f t="shared" si="19"/>
        <v>0</v>
      </c>
      <c r="AT40" s="31">
        <f t="shared" ref="AT40:AT41" si="21">AQ40+AS40</f>
        <v>0</v>
      </c>
      <c r="AU40" s="18">
        <f>AJ40-AM40</f>
        <v>23412454</v>
      </c>
      <c r="AV40" s="34">
        <f>AM40-AP40</f>
        <v>0</v>
      </c>
      <c r="AW40" s="34">
        <f>AP40-AT40</f>
        <v>0</v>
      </c>
      <c r="AX40" s="32">
        <f t="shared" si="20"/>
        <v>0</v>
      </c>
    </row>
    <row r="41" spans="1:50" ht="18.75" customHeight="1" x14ac:dyDescent="0.2">
      <c r="A41" s="14" t="s">
        <v>55</v>
      </c>
      <c r="B41" s="15" t="s">
        <v>56</v>
      </c>
      <c r="C41" s="15"/>
      <c r="D41" s="15" t="s">
        <v>40</v>
      </c>
      <c r="E41" s="15"/>
      <c r="F41" s="15"/>
      <c r="G41" s="15" t="s">
        <v>41</v>
      </c>
      <c r="H41" s="15"/>
      <c r="I41" s="15" t="s">
        <v>936</v>
      </c>
      <c r="J41" s="15"/>
      <c r="K41" s="15" t="s">
        <v>932</v>
      </c>
      <c r="L41" s="15"/>
      <c r="M41" s="15" t="s">
        <v>933</v>
      </c>
      <c r="N41" s="15"/>
      <c r="O41" s="15" t="s">
        <v>938</v>
      </c>
      <c r="P41" s="15"/>
      <c r="Q41" s="15" t="s">
        <v>939</v>
      </c>
      <c r="R41" s="15"/>
      <c r="S41" s="15" t="s">
        <v>940</v>
      </c>
      <c r="T41" s="15">
        <v>0</v>
      </c>
      <c r="U41" s="15">
        <v>0</v>
      </c>
      <c r="V41" s="15">
        <v>0</v>
      </c>
      <c r="W41" s="15">
        <v>0</v>
      </c>
      <c r="X41" s="15" t="s">
        <v>937</v>
      </c>
      <c r="Y41" s="15"/>
      <c r="Z41" s="15"/>
      <c r="AA41" s="16" t="s">
        <v>100</v>
      </c>
      <c r="AB41" s="17" t="s">
        <v>101</v>
      </c>
      <c r="AC41" s="17" t="s">
        <v>58</v>
      </c>
      <c r="AD41" s="18">
        <v>23412454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18">
        <v>23412454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1">
        <f t="shared" si="21"/>
        <v>0</v>
      </c>
      <c r="AU41" s="18">
        <f>AJ41-AM41</f>
        <v>23412454</v>
      </c>
      <c r="AV41" s="34">
        <f>AM41-AP41</f>
        <v>0</v>
      </c>
      <c r="AW41" s="34">
        <f>AP41-AT41</f>
        <v>0</v>
      </c>
      <c r="AX41" s="32">
        <f t="shared" si="20"/>
        <v>0</v>
      </c>
    </row>
    <row r="42" spans="1:50" s="25" customFormat="1" ht="18.75" customHeight="1" x14ac:dyDescent="0.2">
      <c r="A42" s="19" t="s">
        <v>49</v>
      </c>
      <c r="B42" s="19" t="s">
        <v>50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6" t="s">
        <v>102</v>
      </c>
      <c r="AB42" s="21" t="s">
        <v>103</v>
      </c>
      <c r="AC42" s="22" t="s">
        <v>37</v>
      </c>
      <c r="AD42" s="22">
        <f>AD43+AD46+AD49+AD52+AD55+AD58+AD61+AD64+AD67</f>
        <v>9938807657</v>
      </c>
      <c r="AE42" s="23">
        <f t="shared" ref="AE42:AW42" si="22">AE43+AE46+AE49+AE52+AE55+AE58+AE61+AE64+AE67</f>
        <v>0</v>
      </c>
      <c r="AF42" s="23">
        <f t="shared" si="22"/>
        <v>0</v>
      </c>
      <c r="AG42" s="23">
        <f t="shared" si="22"/>
        <v>0</v>
      </c>
      <c r="AH42" s="23">
        <f t="shared" si="22"/>
        <v>0</v>
      </c>
      <c r="AI42" s="23">
        <f t="shared" si="22"/>
        <v>0</v>
      </c>
      <c r="AJ42" s="22">
        <f t="shared" si="22"/>
        <v>9938807657</v>
      </c>
      <c r="AK42" s="23">
        <f t="shared" si="22"/>
        <v>0</v>
      </c>
      <c r="AL42" s="22">
        <f t="shared" si="22"/>
        <v>650691950</v>
      </c>
      <c r="AM42" s="22">
        <f t="shared" si="22"/>
        <v>3481497382</v>
      </c>
      <c r="AN42" s="23">
        <f t="shared" si="22"/>
        <v>0</v>
      </c>
      <c r="AO42" s="22">
        <f t="shared" si="22"/>
        <v>650691950</v>
      </c>
      <c r="AP42" s="22">
        <f t="shared" si="22"/>
        <v>3481497382</v>
      </c>
      <c r="AQ42" s="22">
        <f t="shared" si="22"/>
        <v>35679000</v>
      </c>
      <c r="AR42" s="22">
        <f t="shared" si="22"/>
        <v>650599050</v>
      </c>
      <c r="AS42" s="22">
        <f t="shared" si="22"/>
        <v>3445115157</v>
      </c>
      <c r="AT42" s="22">
        <f>AQ42+AS42</f>
        <v>3480794157</v>
      </c>
      <c r="AU42" s="22">
        <f t="shared" si="22"/>
        <v>6457310275</v>
      </c>
      <c r="AV42" s="23">
        <f t="shared" si="22"/>
        <v>0</v>
      </c>
      <c r="AW42" s="22">
        <f t="shared" si="22"/>
        <v>703225</v>
      </c>
      <c r="AX42" s="24">
        <f t="shared" si="20"/>
        <v>0.35029326476078315</v>
      </c>
    </row>
    <row r="43" spans="1:50" ht="18.75" customHeight="1" x14ac:dyDescent="0.2">
      <c r="A43" s="27" t="s">
        <v>49</v>
      </c>
      <c r="B43" s="27" t="s">
        <v>50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8" t="s">
        <v>104</v>
      </c>
      <c r="AB43" s="29" t="s">
        <v>105</v>
      </c>
      <c r="AC43" s="30" t="s">
        <v>37</v>
      </c>
      <c r="AD43" s="30">
        <f>AD44+AD45</f>
        <v>2694944550</v>
      </c>
      <c r="AE43" s="31">
        <f t="shared" ref="AE43:AS43" si="23">AE44+AE45</f>
        <v>0</v>
      </c>
      <c r="AF43" s="31">
        <f t="shared" si="23"/>
        <v>0</v>
      </c>
      <c r="AG43" s="31">
        <f t="shared" si="23"/>
        <v>0</v>
      </c>
      <c r="AH43" s="31">
        <f t="shared" si="23"/>
        <v>0</v>
      </c>
      <c r="AI43" s="31">
        <f t="shared" si="23"/>
        <v>0</v>
      </c>
      <c r="AJ43" s="30">
        <f t="shared" si="23"/>
        <v>2694944550</v>
      </c>
      <c r="AK43" s="31">
        <f t="shared" si="23"/>
        <v>0</v>
      </c>
      <c r="AL43" s="30">
        <f t="shared" si="23"/>
        <v>196648500</v>
      </c>
      <c r="AM43" s="30">
        <f t="shared" si="23"/>
        <v>785068700</v>
      </c>
      <c r="AN43" s="31">
        <f t="shared" si="23"/>
        <v>0</v>
      </c>
      <c r="AO43" s="30">
        <f t="shared" si="23"/>
        <v>196648500</v>
      </c>
      <c r="AP43" s="30">
        <f t="shared" si="23"/>
        <v>785068700</v>
      </c>
      <c r="AQ43" s="30">
        <f t="shared" si="23"/>
        <v>14259300</v>
      </c>
      <c r="AR43" s="30">
        <f t="shared" si="23"/>
        <v>196339400</v>
      </c>
      <c r="AS43" s="30">
        <f t="shared" si="23"/>
        <v>770809400</v>
      </c>
      <c r="AT43" s="30">
        <f t="shared" ref="AT43:AT69" si="24">AQ43+AS43</f>
        <v>785068700</v>
      </c>
      <c r="AU43" s="18">
        <f t="shared" ref="AU43:AU69" si="25">AJ43-AM43</f>
        <v>1909875850</v>
      </c>
      <c r="AV43" s="34">
        <f t="shared" ref="AV43:AV69" si="26">AM43-AP43</f>
        <v>0</v>
      </c>
      <c r="AW43" s="34">
        <f t="shared" ref="AW43:AW69" si="27">AP43-AT43</f>
        <v>0</v>
      </c>
      <c r="AX43" s="32">
        <f t="shared" si="20"/>
        <v>0.29131163385161302</v>
      </c>
    </row>
    <row r="44" spans="1:50" ht="18.75" customHeight="1" x14ac:dyDescent="0.2">
      <c r="A44" s="14" t="s">
        <v>55</v>
      </c>
      <c r="B44" s="15" t="s">
        <v>56</v>
      </c>
      <c r="C44" s="15"/>
      <c r="D44" s="15" t="s">
        <v>40</v>
      </c>
      <c r="E44" s="15"/>
      <c r="F44" s="15"/>
      <c r="G44" s="15" t="s">
        <v>41</v>
      </c>
      <c r="H44" s="15"/>
      <c r="I44" s="15" t="s">
        <v>936</v>
      </c>
      <c r="J44" s="15"/>
      <c r="K44" s="15" t="s">
        <v>932</v>
      </c>
      <c r="L44" s="15"/>
      <c r="M44" s="15" t="s">
        <v>933</v>
      </c>
      <c r="N44" s="15"/>
      <c r="O44" s="15" t="s">
        <v>938</v>
      </c>
      <c r="P44" s="15"/>
      <c r="Q44" s="15" t="s">
        <v>939</v>
      </c>
      <c r="R44" s="15"/>
      <c r="S44" s="15" t="s">
        <v>940</v>
      </c>
      <c r="T44" s="15">
        <v>0</v>
      </c>
      <c r="U44" s="15">
        <v>0</v>
      </c>
      <c r="V44" s="15">
        <v>0</v>
      </c>
      <c r="W44" s="15">
        <v>0</v>
      </c>
      <c r="X44" s="15" t="s">
        <v>937</v>
      </c>
      <c r="Y44" s="15"/>
      <c r="Z44" s="15"/>
      <c r="AA44" s="16" t="s">
        <v>106</v>
      </c>
      <c r="AB44" s="17" t="s">
        <v>105</v>
      </c>
      <c r="AC44" s="17" t="s">
        <v>58</v>
      </c>
      <c r="AD44" s="18">
        <v>2434081998</v>
      </c>
      <c r="AE44" s="34">
        <v>0</v>
      </c>
      <c r="AF44" s="34">
        <v>0</v>
      </c>
      <c r="AG44" s="34">
        <v>0</v>
      </c>
      <c r="AH44" s="34">
        <v>0</v>
      </c>
      <c r="AI44" s="34">
        <v>0</v>
      </c>
      <c r="AJ44" s="18">
        <v>2434081998</v>
      </c>
      <c r="AK44" s="34">
        <v>0</v>
      </c>
      <c r="AL44" s="18">
        <f>AM44-ABRIL!AM44</f>
        <v>182389200</v>
      </c>
      <c r="AM44" s="18">
        <v>716276700</v>
      </c>
      <c r="AN44" s="34">
        <v>0</v>
      </c>
      <c r="AO44" s="18">
        <f>AP44-ABRIL!AP44</f>
        <v>182389200</v>
      </c>
      <c r="AP44" s="18">
        <v>716276700</v>
      </c>
      <c r="AQ44" s="18">
        <v>0</v>
      </c>
      <c r="AR44" s="18">
        <f>AS44-ABRIL!AS44</f>
        <v>182389200</v>
      </c>
      <c r="AS44" s="18">
        <v>716276700</v>
      </c>
      <c r="AT44" s="30">
        <f t="shared" si="24"/>
        <v>716276700</v>
      </c>
      <c r="AU44" s="18">
        <f t="shared" si="25"/>
        <v>1717805298</v>
      </c>
      <c r="AV44" s="34">
        <f t="shared" si="26"/>
        <v>0</v>
      </c>
      <c r="AW44" s="34">
        <f t="shared" si="27"/>
        <v>0</v>
      </c>
      <c r="AX44" s="32">
        <f t="shared" si="20"/>
        <v>0.29426974957644791</v>
      </c>
    </row>
    <row r="45" spans="1:50" ht="27" customHeight="1" x14ac:dyDescent="0.2">
      <c r="A45" s="14" t="s">
        <v>55</v>
      </c>
      <c r="B45" s="15" t="s">
        <v>56</v>
      </c>
      <c r="C45" s="15"/>
      <c r="D45" s="15" t="s">
        <v>40</v>
      </c>
      <c r="E45" s="15"/>
      <c r="F45" s="15"/>
      <c r="G45" s="15" t="s">
        <v>41</v>
      </c>
      <c r="H45" s="15"/>
      <c r="I45" s="15" t="s">
        <v>941</v>
      </c>
      <c r="J45" s="15"/>
      <c r="K45" s="15" t="s">
        <v>932</v>
      </c>
      <c r="L45" s="15"/>
      <c r="M45" s="15" t="s">
        <v>933</v>
      </c>
      <c r="N45" s="15"/>
      <c r="O45" s="15" t="s">
        <v>938</v>
      </c>
      <c r="P45" s="15"/>
      <c r="Q45" s="15" t="s">
        <v>939</v>
      </c>
      <c r="R45" s="15"/>
      <c r="S45" s="15" t="s">
        <v>940</v>
      </c>
      <c r="T45" s="15">
        <v>0</v>
      </c>
      <c r="U45" s="15">
        <v>0</v>
      </c>
      <c r="V45" s="15">
        <v>0</v>
      </c>
      <c r="W45" s="15">
        <v>0</v>
      </c>
      <c r="X45" s="15" t="s">
        <v>937</v>
      </c>
      <c r="Y45" s="15"/>
      <c r="Z45" s="15"/>
      <c r="AA45" s="16" t="s">
        <v>107</v>
      </c>
      <c r="AB45" s="17" t="s">
        <v>108</v>
      </c>
      <c r="AC45" s="17" t="s">
        <v>61</v>
      </c>
      <c r="AD45" s="18">
        <v>260862552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18">
        <v>260862552</v>
      </c>
      <c r="AK45" s="34">
        <v>0</v>
      </c>
      <c r="AL45" s="18">
        <f>AM45-ABRIL!AM45</f>
        <v>14259300</v>
      </c>
      <c r="AM45" s="18">
        <v>68792000</v>
      </c>
      <c r="AN45" s="34">
        <v>0</v>
      </c>
      <c r="AO45" s="18">
        <f>AP45-ABRIL!AP45</f>
        <v>14259300</v>
      </c>
      <c r="AP45" s="18">
        <v>68792000</v>
      </c>
      <c r="AQ45" s="18">
        <v>14259300</v>
      </c>
      <c r="AR45" s="18">
        <f>AS45-ABRIL!AS45</f>
        <v>13950200</v>
      </c>
      <c r="AS45" s="18">
        <v>54532700</v>
      </c>
      <c r="AT45" s="30">
        <f t="shared" si="24"/>
        <v>68792000</v>
      </c>
      <c r="AU45" s="18">
        <f t="shared" si="25"/>
        <v>192070552</v>
      </c>
      <c r="AV45" s="34">
        <f t="shared" si="26"/>
        <v>0</v>
      </c>
      <c r="AW45" s="34">
        <f t="shared" si="27"/>
        <v>0</v>
      </c>
      <c r="AX45" s="32">
        <f t="shared" si="20"/>
        <v>0.2637097562397534</v>
      </c>
    </row>
    <row r="46" spans="1:50" ht="18.75" customHeight="1" x14ac:dyDescent="0.2">
      <c r="A46" s="27" t="s">
        <v>49</v>
      </c>
      <c r="B46" s="27" t="s">
        <v>50</v>
      </c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8" t="s">
        <v>109</v>
      </c>
      <c r="AB46" s="29" t="s">
        <v>110</v>
      </c>
      <c r="AC46" s="30" t="s">
        <v>37</v>
      </c>
      <c r="AD46" s="30">
        <f>AD47+AD48</f>
        <v>1966170915</v>
      </c>
      <c r="AE46" s="31">
        <f t="shared" ref="AE46:AS46" si="28">AE47+AE48</f>
        <v>0</v>
      </c>
      <c r="AF46" s="31">
        <f t="shared" si="28"/>
        <v>0</v>
      </c>
      <c r="AG46" s="31">
        <f t="shared" si="28"/>
        <v>0</v>
      </c>
      <c r="AH46" s="31">
        <f t="shared" si="28"/>
        <v>0</v>
      </c>
      <c r="AI46" s="31">
        <f t="shared" si="28"/>
        <v>0</v>
      </c>
      <c r="AJ46" s="30">
        <f t="shared" si="28"/>
        <v>1966170915</v>
      </c>
      <c r="AK46" s="31">
        <f t="shared" si="28"/>
        <v>0</v>
      </c>
      <c r="AL46" s="30">
        <f t="shared" si="28"/>
        <v>143898400</v>
      </c>
      <c r="AM46" s="30">
        <f t="shared" si="28"/>
        <v>572518600</v>
      </c>
      <c r="AN46" s="31">
        <f t="shared" si="28"/>
        <v>0</v>
      </c>
      <c r="AO46" s="30">
        <f t="shared" si="28"/>
        <v>143898400</v>
      </c>
      <c r="AP46" s="30">
        <f t="shared" si="28"/>
        <v>572518600</v>
      </c>
      <c r="AQ46" s="30">
        <f t="shared" si="28"/>
        <v>10100300</v>
      </c>
      <c r="AR46" s="30">
        <f t="shared" si="28"/>
        <v>143679400</v>
      </c>
      <c r="AS46" s="109">
        <f t="shared" si="28"/>
        <v>562418300</v>
      </c>
      <c r="AT46" s="39">
        <f t="shared" si="24"/>
        <v>572518600</v>
      </c>
      <c r="AU46" s="18">
        <f t="shared" si="25"/>
        <v>1393652315</v>
      </c>
      <c r="AV46" s="34">
        <f t="shared" si="26"/>
        <v>0</v>
      </c>
      <c r="AW46" s="34">
        <f t="shared" si="27"/>
        <v>0</v>
      </c>
      <c r="AX46" s="32">
        <f t="shared" si="20"/>
        <v>0.29118455350561423</v>
      </c>
    </row>
    <row r="47" spans="1:50" ht="18.75" customHeight="1" x14ac:dyDescent="0.2">
      <c r="A47" s="35" t="s">
        <v>55</v>
      </c>
      <c r="B47" s="36" t="s">
        <v>56</v>
      </c>
      <c r="C47" s="36"/>
      <c r="D47" s="36" t="s">
        <v>40</v>
      </c>
      <c r="E47" s="36"/>
      <c r="F47" s="36"/>
      <c r="G47" s="36" t="s">
        <v>41</v>
      </c>
      <c r="H47" s="36"/>
      <c r="I47" s="36" t="s">
        <v>936</v>
      </c>
      <c r="J47" s="36"/>
      <c r="K47" s="36" t="s">
        <v>932</v>
      </c>
      <c r="L47" s="36"/>
      <c r="M47" s="36" t="s">
        <v>933</v>
      </c>
      <c r="N47" s="36"/>
      <c r="O47" s="36" t="s">
        <v>938</v>
      </c>
      <c r="P47" s="36"/>
      <c r="Q47" s="36" t="s">
        <v>939</v>
      </c>
      <c r="R47" s="36"/>
      <c r="S47" s="36" t="s">
        <v>940</v>
      </c>
      <c r="T47" s="36">
        <v>0</v>
      </c>
      <c r="U47" s="36">
        <v>0</v>
      </c>
      <c r="V47" s="36">
        <v>0</v>
      </c>
      <c r="W47" s="36">
        <v>0</v>
      </c>
      <c r="X47" s="36" t="s">
        <v>937</v>
      </c>
      <c r="Y47" s="36"/>
      <c r="Z47" s="36"/>
      <c r="AA47" s="37" t="s">
        <v>111</v>
      </c>
      <c r="AB47" s="38" t="s">
        <v>110</v>
      </c>
      <c r="AC47" s="38" t="s">
        <v>58</v>
      </c>
      <c r="AD47" s="39">
        <v>1757106683</v>
      </c>
      <c r="AE47" s="40">
        <v>0</v>
      </c>
      <c r="AF47" s="40">
        <v>0</v>
      </c>
      <c r="AG47" s="40">
        <v>0</v>
      </c>
      <c r="AH47" s="40">
        <v>0</v>
      </c>
      <c r="AI47" s="40">
        <v>0</v>
      </c>
      <c r="AJ47" s="39">
        <v>1757106683</v>
      </c>
      <c r="AK47" s="40">
        <v>0</v>
      </c>
      <c r="AL47" s="39">
        <f>AM47-ABRIL!AM47</f>
        <v>133798100</v>
      </c>
      <c r="AM47" s="39">
        <v>523784700</v>
      </c>
      <c r="AN47" s="40">
        <v>0</v>
      </c>
      <c r="AO47" s="18">
        <f>AP47-ABRIL!AP47</f>
        <v>133798100</v>
      </c>
      <c r="AP47" s="39">
        <v>523784700</v>
      </c>
      <c r="AQ47" s="39">
        <v>0</v>
      </c>
      <c r="AR47" s="39">
        <f>AS47-ABRIL!AS47</f>
        <v>133798100</v>
      </c>
      <c r="AS47" s="111">
        <v>523784700</v>
      </c>
      <c r="AT47" s="39">
        <f t="shared" si="24"/>
        <v>523784700</v>
      </c>
      <c r="AU47" s="18">
        <f t="shared" si="25"/>
        <v>1233321983</v>
      </c>
      <c r="AV47" s="34">
        <f t="shared" si="26"/>
        <v>0</v>
      </c>
      <c r="AW47" s="34">
        <f t="shared" si="27"/>
        <v>0</v>
      </c>
      <c r="AX47" s="32">
        <f t="shared" si="20"/>
        <v>0.2980949905134474</v>
      </c>
    </row>
    <row r="48" spans="1:50" ht="18.75" customHeight="1" x14ac:dyDescent="0.2">
      <c r="A48" s="14" t="s">
        <v>55</v>
      </c>
      <c r="B48" s="15" t="s">
        <v>56</v>
      </c>
      <c r="C48" s="15"/>
      <c r="D48" s="15" t="s">
        <v>40</v>
      </c>
      <c r="E48" s="15"/>
      <c r="F48" s="15"/>
      <c r="G48" s="15" t="s">
        <v>41</v>
      </c>
      <c r="H48" s="15"/>
      <c r="I48" s="15" t="s">
        <v>941</v>
      </c>
      <c r="J48" s="15"/>
      <c r="K48" s="15" t="s">
        <v>932</v>
      </c>
      <c r="L48" s="15"/>
      <c r="M48" s="15" t="s">
        <v>933</v>
      </c>
      <c r="N48" s="15"/>
      <c r="O48" s="15" t="s">
        <v>938</v>
      </c>
      <c r="P48" s="15"/>
      <c r="Q48" s="15" t="s">
        <v>939</v>
      </c>
      <c r="R48" s="15"/>
      <c r="S48" s="15" t="s">
        <v>940</v>
      </c>
      <c r="T48" s="15">
        <v>0</v>
      </c>
      <c r="U48" s="15">
        <v>0</v>
      </c>
      <c r="V48" s="15">
        <v>0</v>
      </c>
      <c r="W48" s="15">
        <v>0</v>
      </c>
      <c r="X48" s="15" t="s">
        <v>937</v>
      </c>
      <c r="Y48" s="15"/>
      <c r="Z48" s="15"/>
      <c r="AA48" s="16" t="s">
        <v>112</v>
      </c>
      <c r="AB48" s="17" t="s">
        <v>113</v>
      </c>
      <c r="AC48" s="17" t="s">
        <v>61</v>
      </c>
      <c r="AD48" s="18">
        <v>209064232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18">
        <v>209064232</v>
      </c>
      <c r="AK48" s="34">
        <v>0</v>
      </c>
      <c r="AL48" s="39">
        <f>AM48-ABRIL!AM48</f>
        <v>10100300</v>
      </c>
      <c r="AM48" s="18">
        <v>48733900</v>
      </c>
      <c r="AN48" s="34">
        <v>0</v>
      </c>
      <c r="AO48" s="18">
        <f>AP48-ABRIL!AP48</f>
        <v>10100300</v>
      </c>
      <c r="AP48" s="18">
        <v>48733900</v>
      </c>
      <c r="AQ48" s="18">
        <v>10100300</v>
      </c>
      <c r="AR48" s="39">
        <f>AS48-ABRIL!AS48</f>
        <v>9881300</v>
      </c>
      <c r="AS48" s="110">
        <v>38633600</v>
      </c>
      <c r="AT48" s="39">
        <f t="shared" si="24"/>
        <v>48733900</v>
      </c>
      <c r="AU48" s="18">
        <f t="shared" si="25"/>
        <v>160330332</v>
      </c>
      <c r="AV48" s="34">
        <f t="shared" si="26"/>
        <v>0</v>
      </c>
      <c r="AW48" s="34">
        <f t="shared" si="27"/>
        <v>0</v>
      </c>
      <c r="AX48" s="32">
        <f t="shared" si="20"/>
        <v>0.2331049148569804</v>
      </c>
    </row>
    <row r="49" spans="1:50" ht="18.75" customHeight="1" x14ac:dyDescent="0.2">
      <c r="A49" s="27" t="s">
        <v>49</v>
      </c>
      <c r="B49" s="27" t="s">
        <v>50</v>
      </c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8" t="s">
        <v>114</v>
      </c>
      <c r="AB49" s="29" t="s">
        <v>115</v>
      </c>
      <c r="AC49" s="30" t="s">
        <v>37</v>
      </c>
      <c r="AD49" s="30">
        <f>AD50+AD51</f>
        <v>2387025947</v>
      </c>
      <c r="AE49" s="31">
        <f t="shared" ref="AE49:AS49" si="29">AE50+AE51</f>
        <v>0</v>
      </c>
      <c r="AF49" s="31">
        <f t="shared" si="29"/>
        <v>0</v>
      </c>
      <c r="AG49" s="31">
        <f t="shared" si="29"/>
        <v>0</v>
      </c>
      <c r="AH49" s="31">
        <f t="shared" si="29"/>
        <v>0</v>
      </c>
      <c r="AI49" s="31">
        <f t="shared" si="29"/>
        <v>0</v>
      </c>
      <c r="AJ49" s="30">
        <f t="shared" si="29"/>
        <v>2387025947</v>
      </c>
      <c r="AK49" s="31">
        <f t="shared" si="29"/>
        <v>0</v>
      </c>
      <c r="AL49" s="30">
        <f t="shared" si="29"/>
        <v>134615250</v>
      </c>
      <c r="AM49" s="30">
        <f t="shared" si="29"/>
        <v>1455292282</v>
      </c>
      <c r="AN49" s="31">
        <f t="shared" si="29"/>
        <v>0</v>
      </c>
      <c r="AO49" s="30">
        <f t="shared" si="29"/>
        <v>134615250</v>
      </c>
      <c r="AP49" s="30">
        <f t="shared" si="29"/>
        <v>1455292282</v>
      </c>
      <c r="AQ49" s="31">
        <f t="shared" si="29"/>
        <v>0</v>
      </c>
      <c r="AR49" s="30">
        <f t="shared" si="29"/>
        <v>134615250</v>
      </c>
      <c r="AS49" s="30">
        <f t="shared" si="29"/>
        <v>1454589057</v>
      </c>
      <c r="AT49" s="39">
        <f t="shared" si="24"/>
        <v>1454589057</v>
      </c>
      <c r="AU49" s="18">
        <f t="shared" si="25"/>
        <v>931733665</v>
      </c>
      <c r="AV49" s="34">
        <f t="shared" si="26"/>
        <v>0</v>
      </c>
      <c r="AW49" s="18">
        <f t="shared" si="27"/>
        <v>703225</v>
      </c>
      <c r="AX49" s="32">
        <f t="shared" si="20"/>
        <v>0.60966755884199864</v>
      </c>
    </row>
    <row r="50" spans="1:50" ht="18.75" customHeight="1" x14ac:dyDescent="0.2">
      <c r="A50" s="14" t="s">
        <v>55</v>
      </c>
      <c r="B50" s="15" t="s">
        <v>56</v>
      </c>
      <c r="C50" s="15"/>
      <c r="D50" s="15" t="s">
        <v>40</v>
      </c>
      <c r="E50" s="15"/>
      <c r="F50" s="15"/>
      <c r="G50" s="15" t="s">
        <v>41</v>
      </c>
      <c r="H50" s="15"/>
      <c r="I50" s="15" t="s">
        <v>936</v>
      </c>
      <c r="J50" s="15"/>
      <c r="K50" s="15" t="s">
        <v>932</v>
      </c>
      <c r="L50" s="15"/>
      <c r="M50" s="15" t="s">
        <v>933</v>
      </c>
      <c r="N50" s="15"/>
      <c r="O50" s="15" t="s">
        <v>938</v>
      </c>
      <c r="P50" s="15"/>
      <c r="Q50" s="15" t="s">
        <v>939</v>
      </c>
      <c r="R50" s="15"/>
      <c r="S50" s="15" t="s">
        <v>940</v>
      </c>
      <c r="T50" s="15">
        <v>0</v>
      </c>
      <c r="U50" s="15">
        <v>0</v>
      </c>
      <c r="V50" s="15">
        <v>0</v>
      </c>
      <c r="W50" s="15">
        <v>0</v>
      </c>
      <c r="X50" s="15" t="s">
        <v>937</v>
      </c>
      <c r="Y50" s="15"/>
      <c r="Z50" s="15"/>
      <c r="AA50" s="16" t="s">
        <v>116</v>
      </c>
      <c r="AB50" s="17" t="s">
        <v>115</v>
      </c>
      <c r="AC50" s="17" t="s">
        <v>58</v>
      </c>
      <c r="AD50" s="18">
        <v>2208060292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18">
        <v>2208060292</v>
      </c>
      <c r="AK50" s="34">
        <v>0</v>
      </c>
      <c r="AL50" s="18">
        <f>AM50-ABRIL!AM50</f>
        <v>133912025</v>
      </c>
      <c r="AM50" s="18">
        <v>1385001535</v>
      </c>
      <c r="AN50" s="34">
        <v>0</v>
      </c>
      <c r="AO50" s="18">
        <f>AP50-ABRIL!AP50</f>
        <v>133912025</v>
      </c>
      <c r="AP50" s="18">
        <v>1385001535</v>
      </c>
      <c r="AQ50" s="34">
        <v>0</v>
      </c>
      <c r="AR50" s="39">
        <f>AS50-ABRIL!AS50</f>
        <v>133912025</v>
      </c>
      <c r="AS50" s="110">
        <v>1385001535</v>
      </c>
      <c r="AT50" s="39">
        <f t="shared" si="24"/>
        <v>1385001535</v>
      </c>
      <c r="AU50" s="18">
        <f t="shared" si="25"/>
        <v>823058757</v>
      </c>
      <c r="AV50" s="34">
        <f t="shared" si="26"/>
        <v>0</v>
      </c>
      <c r="AW50" s="18">
        <f t="shared" si="27"/>
        <v>0</v>
      </c>
      <c r="AX50" s="32">
        <f t="shared" si="20"/>
        <v>0.62724806021737023</v>
      </c>
    </row>
    <row r="51" spans="1:50" ht="18.75" customHeight="1" x14ac:dyDescent="0.2">
      <c r="A51" s="14" t="s">
        <v>55</v>
      </c>
      <c r="B51" s="15" t="s">
        <v>56</v>
      </c>
      <c r="C51" s="15"/>
      <c r="D51" s="15" t="s">
        <v>40</v>
      </c>
      <c r="E51" s="15"/>
      <c r="F51" s="15"/>
      <c r="G51" s="15" t="s">
        <v>41</v>
      </c>
      <c r="H51" s="15"/>
      <c r="I51" s="15" t="s">
        <v>941</v>
      </c>
      <c r="J51" s="15"/>
      <c r="K51" s="15" t="s">
        <v>932</v>
      </c>
      <c r="L51" s="15"/>
      <c r="M51" s="15" t="s">
        <v>933</v>
      </c>
      <c r="N51" s="15"/>
      <c r="O51" s="15" t="s">
        <v>938</v>
      </c>
      <c r="P51" s="15"/>
      <c r="Q51" s="15" t="s">
        <v>939</v>
      </c>
      <c r="R51" s="15"/>
      <c r="S51" s="15" t="s">
        <v>940</v>
      </c>
      <c r="T51" s="15">
        <v>0</v>
      </c>
      <c r="U51" s="15">
        <v>0</v>
      </c>
      <c r="V51" s="15">
        <v>0</v>
      </c>
      <c r="W51" s="15">
        <v>0</v>
      </c>
      <c r="X51" s="15" t="s">
        <v>937</v>
      </c>
      <c r="Y51" s="15"/>
      <c r="Z51" s="15"/>
      <c r="AA51" s="16" t="s">
        <v>117</v>
      </c>
      <c r="AB51" s="17" t="s">
        <v>115</v>
      </c>
      <c r="AC51" s="17" t="s">
        <v>61</v>
      </c>
      <c r="AD51" s="18">
        <v>178965655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18">
        <v>178965655</v>
      </c>
      <c r="AK51" s="34">
        <v>0</v>
      </c>
      <c r="AL51" s="18">
        <f>AM51-ABRIL!AM51</f>
        <v>703225</v>
      </c>
      <c r="AM51" s="18">
        <v>70290747</v>
      </c>
      <c r="AN51" s="34">
        <v>0</v>
      </c>
      <c r="AO51" s="18">
        <f>AP51-ABRIL!AP51</f>
        <v>703225</v>
      </c>
      <c r="AP51" s="18">
        <v>70290747</v>
      </c>
      <c r="AQ51" s="34">
        <v>0</v>
      </c>
      <c r="AR51" s="39">
        <f>AS51-ABRIL!AS51</f>
        <v>703225</v>
      </c>
      <c r="AS51" s="110">
        <v>69587522</v>
      </c>
      <c r="AT51" s="39">
        <f t="shared" si="24"/>
        <v>69587522</v>
      </c>
      <c r="AU51" s="18">
        <f t="shared" si="25"/>
        <v>108674908</v>
      </c>
      <c r="AV51" s="34">
        <f t="shared" si="26"/>
        <v>0</v>
      </c>
      <c r="AW51" s="18">
        <f t="shared" si="27"/>
        <v>703225</v>
      </c>
      <c r="AX51" s="32">
        <f t="shared" si="20"/>
        <v>0.39276109709430002</v>
      </c>
    </row>
    <row r="52" spans="1:50" ht="18.75" customHeight="1" x14ac:dyDescent="0.2">
      <c r="A52" s="27" t="s">
        <v>49</v>
      </c>
      <c r="B52" s="27" t="s">
        <v>50</v>
      </c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8" t="s">
        <v>118</v>
      </c>
      <c r="AB52" s="29" t="s">
        <v>119</v>
      </c>
      <c r="AC52" s="30" t="s">
        <v>37</v>
      </c>
      <c r="AD52" s="30">
        <f>AD53+AD54</f>
        <v>1154194065</v>
      </c>
      <c r="AE52" s="31">
        <f t="shared" ref="AE52:AS52" si="30">AE53+AE54</f>
        <v>0</v>
      </c>
      <c r="AF52" s="31">
        <f t="shared" si="30"/>
        <v>0</v>
      </c>
      <c r="AG52" s="31">
        <f t="shared" si="30"/>
        <v>0</v>
      </c>
      <c r="AH52" s="31">
        <f t="shared" si="30"/>
        <v>0</v>
      </c>
      <c r="AI52" s="31">
        <f t="shared" si="30"/>
        <v>0</v>
      </c>
      <c r="AJ52" s="30">
        <f t="shared" si="30"/>
        <v>1154194065</v>
      </c>
      <c r="AK52" s="31">
        <f t="shared" si="30"/>
        <v>0</v>
      </c>
      <c r="AL52" s="30">
        <f t="shared" si="30"/>
        <v>66860300</v>
      </c>
      <c r="AM52" s="30">
        <f t="shared" si="30"/>
        <v>269268900</v>
      </c>
      <c r="AN52" s="31">
        <f t="shared" si="30"/>
        <v>0</v>
      </c>
      <c r="AO52" s="30">
        <f t="shared" si="30"/>
        <v>66860300</v>
      </c>
      <c r="AP52" s="30">
        <f t="shared" si="30"/>
        <v>269268900</v>
      </c>
      <c r="AQ52" s="30">
        <f t="shared" si="30"/>
        <v>4754200</v>
      </c>
      <c r="AR52" s="30">
        <f t="shared" si="30"/>
        <v>67072700</v>
      </c>
      <c r="AS52" s="30">
        <f t="shared" si="30"/>
        <v>264514700</v>
      </c>
      <c r="AT52" s="30">
        <f t="shared" si="24"/>
        <v>269268900</v>
      </c>
      <c r="AU52" s="18">
        <f t="shared" si="25"/>
        <v>884925165</v>
      </c>
      <c r="AV52" s="34">
        <f t="shared" si="26"/>
        <v>0</v>
      </c>
      <c r="AW52" s="34">
        <f t="shared" si="27"/>
        <v>0</v>
      </c>
      <c r="AX52" s="32">
        <f t="shared" si="20"/>
        <v>0.23329603587937353</v>
      </c>
    </row>
    <row r="53" spans="1:50" ht="18.75" customHeight="1" x14ac:dyDescent="0.2">
      <c r="A53" s="14" t="s">
        <v>55</v>
      </c>
      <c r="B53" s="15" t="s">
        <v>56</v>
      </c>
      <c r="C53" s="15"/>
      <c r="D53" s="15" t="s">
        <v>40</v>
      </c>
      <c r="E53" s="15"/>
      <c r="F53" s="15"/>
      <c r="G53" s="15" t="s">
        <v>41</v>
      </c>
      <c r="H53" s="15"/>
      <c r="I53" s="15" t="s">
        <v>936</v>
      </c>
      <c r="J53" s="15"/>
      <c r="K53" s="15" t="s">
        <v>932</v>
      </c>
      <c r="L53" s="15"/>
      <c r="M53" s="15" t="s">
        <v>933</v>
      </c>
      <c r="N53" s="15"/>
      <c r="O53" s="15" t="s">
        <v>938</v>
      </c>
      <c r="P53" s="15"/>
      <c r="Q53" s="15" t="s">
        <v>939</v>
      </c>
      <c r="R53" s="15"/>
      <c r="S53" s="15" t="s">
        <v>940</v>
      </c>
      <c r="T53" s="15">
        <v>0</v>
      </c>
      <c r="U53" s="15">
        <v>0</v>
      </c>
      <c r="V53" s="15">
        <v>0</v>
      </c>
      <c r="W53" s="15">
        <v>0</v>
      </c>
      <c r="X53" s="15" t="s">
        <v>937</v>
      </c>
      <c r="Y53" s="15"/>
      <c r="Z53" s="15"/>
      <c r="AA53" s="16" t="s">
        <v>120</v>
      </c>
      <c r="AB53" s="17" t="s">
        <v>119</v>
      </c>
      <c r="AC53" s="17" t="s">
        <v>58</v>
      </c>
      <c r="AD53" s="18">
        <v>1088978427</v>
      </c>
      <c r="AE53" s="34">
        <v>0</v>
      </c>
      <c r="AF53" s="34">
        <v>0</v>
      </c>
      <c r="AG53" s="34">
        <v>0</v>
      </c>
      <c r="AH53" s="34">
        <v>0</v>
      </c>
      <c r="AI53" s="34">
        <v>0</v>
      </c>
      <c r="AJ53" s="18">
        <v>1088978427</v>
      </c>
      <c r="AK53" s="34">
        <v>0</v>
      </c>
      <c r="AL53" s="18">
        <f>AM53-ABRIL!AM53</f>
        <v>62106100</v>
      </c>
      <c r="AM53" s="18">
        <v>245865500</v>
      </c>
      <c r="AN53" s="34">
        <v>0</v>
      </c>
      <c r="AO53" s="18">
        <f>AP53-ABRIL!AP53</f>
        <v>62106100</v>
      </c>
      <c r="AP53" s="18">
        <v>245865500</v>
      </c>
      <c r="AQ53" s="34">
        <v>0</v>
      </c>
      <c r="AR53" s="39">
        <f>AS53-ABRIL!AS53</f>
        <v>62106100</v>
      </c>
      <c r="AS53" s="110">
        <v>245865500</v>
      </c>
      <c r="AT53" s="30">
        <f t="shared" si="24"/>
        <v>245865500</v>
      </c>
      <c r="AU53" s="18">
        <f t="shared" si="25"/>
        <v>843112927</v>
      </c>
      <c r="AV53" s="34">
        <f t="shared" si="26"/>
        <v>0</v>
      </c>
      <c r="AW53" s="34">
        <f t="shared" si="27"/>
        <v>0</v>
      </c>
      <c r="AX53" s="32">
        <f t="shared" si="20"/>
        <v>0.2257762816085612</v>
      </c>
    </row>
    <row r="54" spans="1:50" ht="28.5" customHeight="1" x14ac:dyDescent="0.2">
      <c r="A54" s="14" t="s">
        <v>55</v>
      </c>
      <c r="B54" s="15" t="s">
        <v>56</v>
      </c>
      <c r="C54" s="15"/>
      <c r="D54" s="15" t="s">
        <v>40</v>
      </c>
      <c r="E54" s="15"/>
      <c r="F54" s="15"/>
      <c r="G54" s="15" t="s">
        <v>41</v>
      </c>
      <c r="H54" s="15"/>
      <c r="I54" s="15" t="s">
        <v>941</v>
      </c>
      <c r="J54" s="15"/>
      <c r="K54" s="15" t="s">
        <v>932</v>
      </c>
      <c r="L54" s="15"/>
      <c r="M54" s="15" t="s">
        <v>933</v>
      </c>
      <c r="N54" s="15"/>
      <c r="O54" s="15" t="s">
        <v>938</v>
      </c>
      <c r="P54" s="15"/>
      <c r="Q54" s="15" t="s">
        <v>939</v>
      </c>
      <c r="R54" s="15"/>
      <c r="S54" s="15" t="s">
        <v>940</v>
      </c>
      <c r="T54" s="15">
        <v>0</v>
      </c>
      <c r="U54" s="15">
        <v>0</v>
      </c>
      <c r="V54" s="15">
        <v>0</v>
      </c>
      <c r="W54" s="15">
        <v>0</v>
      </c>
      <c r="X54" s="15" t="s">
        <v>937</v>
      </c>
      <c r="Y54" s="15"/>
      <c r="Z54" s="15"/>
      <c r="AA54" s="16" t="s">
        <v>121</v>
      </c>
      <c r="AB54" s="17" t="s">
        <v>122</v>
      </c>
      <c r="AC54" s="17" t="s">
        <v>61</v>
      </c>
      <c r="AD54" s="18">
        <v>65215638</v>
      </c>
      <c r="AE54" s="34">
        <v>0</v>
      </c>
      <c r="AF54" s="34">
        <v>0</v>
      </c>
      <c r="AG54" s="34">
        <v>0</v>
      </c>
      <c r="AH54" s="34">
        <v>0</v>
      </c>
      <c r="AI54" s="34">
        <v>0</v>
      </c>
      <c r="AJ54" s="18">
        <v>65215638</v>
      </c>
      <c r="AK54" s="34">
        <v>0</v>
      </c>
      <c r="AL54" s="18">
        <f>AM54-ABRIL!AM54</f>
        <v>4754200</v>
      </c>
      <c r="AM54" s="18">
        <v>23403400</v>
      </c>
      <c r="AN54" s="34">
        <v>0</v>
      </c>
      <c r="AO54" s="18">
        <f>AP54-ABRIL!AP54</f>
        <v>4754200</v>
      </c>
      <c r="AP54" s="18">
        <v>23403400</v>
      </c>
      <c r="AQ54" s="18">
        <v>4754200</v>
      </c>
      <c r="AR54" s="39">
        <f>AS54-ABRIL!AS54</f>
        <v>4966600</v>
      </c>
      <c r="AS54" s="18">
        <v>18649200</v>
      </c>
      <c r="AT54" s="30">
        <f t="shared" si="24"/>
        <v>23403400</v>
      </c>
      <c r="AU54" s="18">
        <f t="shared" si="25"/>
        <v>41812238</v>
      </c>
      <c r="AV54" s="34">
        <f t="shared" si="26"/>
        <v>0</v>
      </c>
      <c r="AW54" s="34">
        <f t="shared" si="27"/>
        <v>0</v>
      </c>
      <c r="AX54" s="32">
        <f t="shared" si="20"/>
        <v>0.358861780973453</v>
      </c>
    </row>
    <row r="55" spans="1:50" ht="18.75" customHeight="1" x14ac:dyDescent="0.2">
      <c r="A55" s="27" t="s">
        <v>49</v>
      </c>
      <c r="B55" s="27" t="s">
        <v>50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8" t="s">
        <v>123</v>
      </c>
      <c r="AB55" s="29" t="s">
        <v>124</v>
      </c>
      <c r="AC55" s="30" t="s">
        <v>37</v>
      </c>
      <c r="AD55" s="30">
        <f>AD56+AD57</f>
        <v>308515529</v>
      </c>
      <c r="AE55" s="31">
        <f t="shared" ref="AE55:AS55" si="31">AE56+AE57</f>
        <v>0</v>
      </c>
      <c r="AF55" s="31">
        <f t="shared" si="31"/>
        <v>0</v>
      </c>
      <c r="AG55" s="31">
        <f t="shared" si="31"/>
        <v>0</v>
      </c>
      <c r="AH55" s="31">
        <f t="shared" si="31"/>
        <v>0</v>
      </c>
      <c r="AI55" s="31">
        <f t="shared" si="31"/>
        <v>0</v>
      </c>
      <c r="AJ55" s="30">
        <f t="shared" si="31"/>
        <v>308515529</v>
      </c>
      <c r="AK55" s="31">
        <f t="shared" si="31"/>
        <v>0</v>
      </c>
      <c r="AL55" s="30">
        <f t="shared" si="31"/>
        <v>16752400</v>
      </c>
      <c r="AM55" s="30">
        <f t="shared" si="31"/>
        <v>62564300</v>
      </c>
      <c r="AN55" s="31">
        <f t="shared" si="31"/>
        <v>0</v>
      </c>
      <c r="AO55" s="30">
        <f t="shared" si="31"/>
        <v>16752400</v>
      </c>
      <c r="AP55" s="30">
        <f t="shared" si="31"/>
        <v>62564300</v>
      </c>
      <c r="AQ55" s="30">
        <f t="shared" si="31"/>
        <v>621600</v>
      </c>
      <c r="AR55" s="30">
        <f t="shared" si="31"/>
        <v>16726600</v>
      </c>
      <c r="AS55" s="30">
        <f t="shared" si="31"/>
        <v>61942700</v>
      </c>
      <c r="AT55" s="30">
        <f t="shared" si="24"/>
        <v>62564300</v>
      </c>
      <c r="AU55" s="18">
        <f t="shared" si="25"/>
        <v>245951229</v>
      </c>
      <c r="AV55" s="34">
        <f t="shared" si="26"/>
        <v>0</v>
      </c>
      <c r="AW55" s="34">
        <f t="shared" si="27"/>
        <v>0</v>
      </c>
      <c r="AX55" s="32">
        <f t="shared" si="20"/>
        <v>0.20279141281086049</v>
      </c>
    </row>
    <row r="56" spans="1:50" ht="18.75" customHeight="1" x14ac:dyDescent="0.2">
      <c r="A56" s="35" t="s">
        <v>55</v>
      </c>
      <c r="B56" s="36" t="s">
        <v>56</v>
      </c>
      <c r="C56" s="36"/>
      <c r="D56" s="36" t="s">
        <v>40</v>
      </c>
      <c r="E56" s="36"/>
      <c r="F56" s="36"/>
      <c r="G56" s="36" t="s">
        <v>41</v>
      </c>
      <c r="H56" s="36"/>
      <c r="I56" s="36" t="s">
        <v>936</v>
      </c>
      <c r="J56" s="36"/>
      <c r="K56" s="36" t="s">
        <v>932</v>
      </c>
      <c r="L56" s="36"/>
      <c r="M56" s="36" t="s">
        <v>933</v>
      </c>
      <c r="N56" s="36"/>
      <c r="O56" s="36" t="s">
        <v>938</v>
      </c>
      <c r="P56" s="36"/>
      <c r="Q56" s="36" t="s">
        <v>939</v>
      </c>
      <c r="R56" s="36"/>
      <c r="S56" s="36" t="s">
        <v>940</v>
      </c>
      <c r="T56" s="36">
        <v>0</v>
      </c>
      <c r="U56" s="36">
        <v>0</v>
      </c>
      <c r="V56" s="36">
        <v>0</v>
      </c>
      <c r="W56" s="36">
        <v>0</v>
      </c>
      <c r="X56" s="36" t="s">
        <v>937</v>
      </c>
      <c r="Y56" s="36"/>
      <c r="Z56" s="36"/>
      <c r="AA56" s="37" t="s">
        <v>125</v>
      </c>
      <c r="AB56" s="38" t="s">
        <v>124</v>
      </c>
      <c r="AC56" s="38" t="s">
        <v>58</v>
      </c>
      <c r="AD56" s="39">
        <v>299999998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39">
        <v>299999998</v>
      </c>
      <c r="AK56" s="40">
        <v>0</v>
      </c>
      <c r="AL56" s="39">
        <f>AM56-ABRIL!AM56</f>
        <v>16130800</v>
      </c>
      <c r="AM56" s="39">
        <v>59595800</v>
      </c>
      <c r="AN56" s="40">
        <v>0</v>
      </c>
      <c r="AO56" s="18">
        <f>AP56-ABRIL!AP56</f>
        <v>16130800</v>
      </c>
      <c r="AP56" s="39">
        <v>59595800</v>
      </c>
      <c r="AQ56" s="40">
        <v>0</v>
      </c>
      <c r="AR56" s="39">
        <f>AS56-ABRIL!AS56</f>
        <v>16130800</v>
      </c>
      <c r="AS56" s="111">
        <v>59595800</v>
      </c>
      <c r="AT56" s="39">
        <f t="shared" si="24"/>
        <v>59595800</v>
      </c>
      <c r="AU56" s="18">
        <f t="shared" si="25"/>
        <v>240404198</v>
      </c>
      <c r="AV56" s="34">
        <f t="shared" si="26"/>
        <v>0</v>
      </c>
      <c r="AW56" s="34">
        <f t="shared" si="27"/>
        <v>0</v>
      </c>
      <c r="AX56" s="32">
        <f t="shared" si="20"/>
        <v>0.19865266799101777</v>
      </c>
    </row>
    <row r="57" spans="1:50" ht="26.25" customHeight="1" x14ac:dyDescent="0.2">
      <c r="A57" s="35" t="s">
        <v>55</v>
      </c>
      <c r="B57" s="36" t="s">
        <v>56</v>
      </c>
      <c r="C57" s="36"/>
      <c r="D57" s="36" t="s">
        <v>40</v>
      </c>
      <c r="E57" s="36"/>
      <c r="F57" s="36"/>
      <c r="G57" s="36" t="s">
        <v>41</v>
      </c>
      <c r="H57" s="36"/>
      <c r="I57" s="36" t="s">
        <v>941</v>
      </c>
      <c r="J57" s="36"/>
      <c r="K57" s="36" t="s">
        <v>932</v>
      </c>
      <c r="L57" s="36"/>
      <c r="M57" s="36" t="s">
        <v>933</v>
      </c>
      <c r="N57" s="36"/>
      <c r="O57" s="36" t="s">
        <v>938</v>
      </c>
      <c r="P57" s="36"/>
      <c r="Q57" s="36" t="s">
        <v>939</v>
      </c>
      <c r="R57" s="36"/>
      <c r="S57" s="36" t="s">
        <v>940</v>
      </c>
      <c r="T57" s="36">
        <v>0</v>
      </c>
      <c r="U57" s="36">
        <v>0</v>
      </c>
      <c r="V57" s="36">
        <v>0</v>
      </c>
      <c r="W57" s="36">
        <v>0</v>
      </c>
      <c r="X57" s="36" t="s">
        <v>937</v>
      </c>
      <c r="Y57" s="36"/>
      <c r="Z57" s="36"/>
      <c r="AA57" s="37" t="s">
        <v>126</v>
      </c>
      <c r="AB57" s="38" t="s">
        <v>127</v>
      </c>
      <c r="AC57" s="38" t="s">
        <v>61</v>
      </c>
      <c r="AD57" s="39">
        <v>8515531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39">
        <v>8515531</v>
      </c>
      <c r="AK57" s="40">
        <v>0</v>
      </c>
      <c r="AL57" s="39">
        <f>AM57-ABRIL!AM57</f>
        <v>621600</v>
      </c>
      <c r="AM57" s="39">
        <v>2968500</v>
      </c>
      <c r="AN57" s="40">
        <v>0</v>
      </c>
      <c r="AO57" s="18">
        <f>AP57-ABRIL!AP57</f>
        <v>621600</v>
      </c>
      <c r="AP57" s="39">
        <v>2968500</v>
      </c>
      <c r="AQ57" s="39">
        <v>621600</v>
      </c>
      <c r="AR57" s="39">
        <f>AS57-ABRIL!AS57</f>
        <v>595800</v>
      </c>
      <c r="AS57" s="39">
        <v>2346900</v>
      </c>
      <c r="AT57" s="39">
        <f t="shared" si="24"/>
        <v>2968500</v>
      </c>
      <c r="AU57" s="18">
        <f t="shared" si="25"/>
        <v>5547031</v>
      </c>
      <c r="AV57" s="34">
        <f t="shared" si="26"/>
        <v>0</v>
      </c>
      <c r="AW57" s="34">
        <f t="shared" si="27"/>
        <v>0</v>
      </c>
      <c r="AX57" s="32">
        <f t="shared" si="20"/>
        <v>0.34859834342685148</v>
      </c>
    </row>
    <row r="58" spans="1:50" ht="18.75" customHeight="1" x14ac:dyDescent="0.2">
      <c r="A58" s="27" t="s">
        <v>49</v>
      </c>
      <c r="B58" s="27" t="s">
        <v>50</v>
      </c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8" t="s">
        <v>128</v>
      </c>
      <c r="AB58" s="29" t="s">
        <v>129</v>
      </c>
      <c r="AC58" s="30" t="s">
        <v>37</v>
      </c>
      <c r="AD58" s="30">
        <f>AD59+AD60</f>
        <v>865645548</v>
      </c>
      <c r="AE58" s="31">
        <f t="shared" ref="AE58:AS58" si="32">AE59+AE60</f>
        <v>0</v>
      </c>
      <c r="AF58" s="31">
        <f t="shared" si="32"/>
        <v>0</v>
      </c>
      <c r="AG58" s="31">
        <f t="shared" si="32"/>
        <v>0</v>
      </c>
      <c r="AH58" s="31">
        <f t="shared" si="32"/>
        <v>0</v>
      </c>
      <c r="AI58" s="31">
        <f t="shared" si="32"/>
        <v>0</v>
      </c>
      <c r="AJ58" s="30">
        <f t="shared" si="32"/>
        <v>865645548</v>
      </c>
      <c r="AK58" s="31">
        <f t="shared" si="32"/>
        <v>0</v>
      </c>
      <c r="AL58" s="30">
        <f t="shared" si="32"/>
        <v>50145300</v>
      </c>
      <c r="AM58" s="30">
        <f t="shared" si="32"/>
        <v>201953600</v>
      </c>
      <c r="AN58" s="31">
        <f t="shared" si="32"/>
        <v>0</v>
      </c>
      <c r="AO58" s="30">
        <f t="shared" si="32"/>
        <v>50145300</v>
      </c>
      <c r="AP58" s="30">
        <f t="shared" si="32"/>
        <v>201953600</v>
      </c>
      <c r="AQ58" s="30">
        <f t="shared" si="32"/>
        <v>3565500</v>
      </c>
      <c r="AR58" s="30">
        <f t="shared" si="32"/>
        <v>50304600</v>
      </c>
      <c r="AS58" s="30">
        <f t="shared" si="32"/>
        <v>198388100</v>
      </c>
      <c r="AT58" s="30">
        <f t="shared" si="24"/>
        <v>201953600</v>
      </c>
      <c r="AU58" s="176">
        <f t="shared" si="25"/>
        <v>663691948</v>
      </c>
      <c r="AV58" s="34">
        <f t="shared" si="26"/>
        <v>0</v>
      </c>
      <c r="AW58" s="34">
        <f t="shared" si="27"/>
        <v>0</v>
      </c>
      <c r="AX58" s="32">
        <f t="shared" si="20"/>
        <v>0.23329825985542987</v>
      </c>
    </row>
    <row r="59" spans="1:50" ht="18.75" customHeight="1" x14ac:dyDescent="0.2">
      <c r="A59" s="14" t="s">
        <v>55</v>
      </c>
      <c r="B59" s="15" t="s">
        <v>56</v>
      </c>
      <c r="C59" s="15"/>
      <c r="D59" s="15" t="s">
        <v>40</v>
      </c>
      <c r="E59" s="15"/>
      <c r="F59" s="15"/>
      <c r="G59" s="15" t="s">
        <v>41</v>
      </c>
      <c r="H59" s="15"/>
      <c r="I59" s="15" t="s">
        <v>936</v>
      </c>
      <c r="J59" s="15"/>
      <c r="K59" s="15" t="s">
        <v>932</v>
      </c>
      <c r="L59" s="15"/>
      <c r="M59" s="15" t="s">
        <v>933</v>
      </c>
      <c r="N59" s="15"/>
      <c r="O59" s="15" t="s">
        <v>938</v>
      </c>
      <c r="P59" s="15"/>
      <c r="Q59" s="15" t="s">
        <v>939</v>
      </c>
      <c r="R59" s="15"/>
      <c r="S59" s="15" t="s">
        <v>940</v>
      </c>
      <c r="T59" s="15">
        <v>0</v>
      </c>
      <c r="U59" s="15">
        <v>0</v>
      </c>
      <c r="V59" s="15">
        <v>0</v>
      </c>
      <c r="W59" s="15">
        <v>0</v>
      </c>
      <c r="X59" s="15" t="s">
        <v>937</v>
      </c>
      <c r="Y59" s="15"/>
      <c r="Z59" s="15"/>
      <c r="AA59" s="16" t="s">
        <v>130</v>
      </c>
      <c r="AB59" s="17" t="s">
        <v>129</v>
      </c>
      <c r="AC59" s="17" t="s">
        <v>58</v>
      </c>
      <c r="AD59" s="18">
        <v>816733820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18">
        <v>816733820</v>
      </c>
      <c r="AK59" s="34">
        <v>0</v>
      </c>
      <c r="AL59" s="18">
        <f>AM59-ABRIL!AM59</f>
        <v>46579800</v>
      </c>
      <c r="AM59" s="18">
        <v>184401700</v>
      </c>
      <c r="AN59" s="34">
        <v>0</v>
      </c>
      <c r="AO59" s="18">
        <f>AP59-ABRIL!AP59</f>
        <v>46579800</v>
      </c>
      <c r="AP59" s="18">
        <v>184401700</v>
      </c>
      <c r="AQ59" s="34">
        <v>0</v>
      </c>
      <c r="AR59" s="39">
        <f>AS59-ABRIL!AS59</f>
        <v>46579800</v>
      </c>
      <c r="AS59" s="18">
        <v>184401700</v>
      </c>
      <c r="AT59" s="39">
        <f t="shared" si="24"/>
        <v>184401700</v>
      </c>
      <c r="AU59" s="18">
        <f t="shared" si="25"/>
        <v>632332120</v>
      </c>
      <c r="AV59" s="34">
        <f t="shared" si="26"/>
        <v>0</v>
      </c>
      <c r="AW59" s="34">
        <f t="shared" si="27"/>
        <v>0</v>
      </c>
      <c r="AX59" s="32">
        <f t="shared" si="20"/>
        <v>0.2257794344796448</v>
      </c>
    </row>
    <row r="60" spans="1:50" ht="18.75" customHeight="1" x14ac:dyDescent="0.2">
      <c r="A60" s="14" t="s">
        <v>55</v>
      </c>
      <c r="B60" s="15" t="s">
        <v>56</v>
      </c>
      <c r="C60" s="15"/>
      <c r="D60" s="15" t="s">
        <v>40</v>
      </c>
      <c r="E60" s="15"/>
      <c r="F60" s="15"/>
      <c r="G60" s="15" t="s">
        <v>41</v>
      </c>
      <c r="H60" s="15"/>
      <c r="I60" s="15" t="s">
        <v>941</v>
      </c>
      <c r="J60" s="15"/>
      <c r="K60" s="15" t="s">
        <v>932</v>
      </c>
      <c r="L60" s="15"/>
      <c r="M60" s="15" t="s">
        <v>933</v>
      </c>
      <c r="N60" s="15"/>
      <c r="O60" s="15" t="s">
        <v>938</v>
      </c>
      <c r="P60" s="15"/>
      <c r="Q60" s="15" t="s">
        <v>939</v>
      </c>
      <c r="R60" s="15"/>
      <c r="S60" s="15" t="s">
        <v>940</v>
      </c>
      <c r="T60" s="15">
        <v>0</v>
      </c>
      <c r="U60" s="15">
        <v>0</v>
      </c>
      <c r="V60" s="15">
        <v>0</v>
      </c>
      <c r="W60" s="15">
        <v>0</v>
      </c>
      <c r="X60" s="15" t="s">
        <v>937</v>
      </c>
      <c r="Y60" s="15"/>
      <c r="Z60" s="15"/>
      <c r="AA60" s="16" t="s">
        <v>131</v>
      </c>
      <c r="AB60" s="17" t="s">
        <v>129</v>
      </c>
      <c r="AC60" s="17" t="s">
        <v>61</v>
      </c>
      <c r="AD60" s="18">
        <v>48911728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18">
        <v>48911728</v>
      </c>
      <c r="AK60" s="34">
        <v>0</v>
      </c>
      <c r="AL60" s="18">
        <f>AM60-ABRIL!AM60</f>
        <v>3565500</v>
      </c>
      <c r="AM60" s="18">
        <v>17551900</v>
      </c>
      <c r="AN60" s="34">
        <v>0</v>
      </c>
      <c r="AO60" s="18">
        <f>AP60-ABRIL!AP60</f>
        <v>3565500</v>
      </c>
      <c r="AP60" s="18">
        <v>17551900</v>
      </c>
      <c r="AQ60" s="192">
        <v>3565500</v>
      </c>
      <c r="AR60" s="39">
        <f>AS60-ABRIL!AS60</f>
        <v>3724800</v>
      </c>
      <c r="AS60" s="192">
        <v>13986400</v>
      </c>
      <c r="AT60" s="39">
        <f t="shared" si="24"/>
        <v>17551900</v>
      </c>
      <c r="AU60" s="18">
        <f t="shared" si="25"/>
        <v>31359828</v>
      </c>
      <c r="AV60" s="34">
        <f t="shared" si="26"/>
        <v>0</v>
      </c>
      <c r="AW60" s="34">
        <f t="shared" si="27"/>
        <v>0</v>
      </c>
      <c r="AX60" s="32">
        <f t="shared" si="20"/>
        <v>0.35884849539562375</v>
      </c>
    </row>
    <row r="61" spans="1:50" ht="18.75" customHeight="1" x14ac:dyDescent="0.2">
      <c r="A61" s="27" t="s">
        <v>49</v>
      </c>
      <c r="B61" s="27" t="s">
        <v>50</v>
      </c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8" t="s">
        <v>132</v>
      </c>
      <c r="AB61" s="29" t="s">
        <v>133</v>
      </c>
      <c r="AC61" s="30" t="s">
        <v>37</v>
      </c>
      <c r="AD61" s="30">
        <f>AD62+AD63</f>
        <v>144274257</v>
      </c>
      <c r="AE61" s="31">
        <f t="shared" ref="AE61:AS61" si="33">AE62+AE63</f>
        <v>0</v>
      </c>
      <c r="AF61" s="31">
        <f t="shared" si="33"/>
        <v>0</v>
      </c>
      <c r="AG61" s="31">
        <f t="shared" si="33"/>
        <v>0</v>
      </c>
      <c r="AH61" s="31">
        <f t="shared" si="33"/>
        <v>0</v>
      </c>
      <c r="AI61" s="31">
        <f t="shared" si="33"/>
        <v>0</v>
      </c>
      <c r="AJ61" s="30">
        <f t="shared" si="33"/>
        <v>144274257</v>
      </c>
      <c r="AK61" s="31">
        <f t="shared" si="33"/>
        <v>0</v>
      </c>
      <c r="AL61" s="30">
        <f t="shared" si="33"/>
        <v>8374700</v>
      </c>
      <c r="AM61" s="30">
        <f t="shared" si="33"/>
        <v>33727300</v>
      </c>
      <c r="AN61" s="31">
        <f t="shared" si="33"/>
        <v>0</v>
      </c>
      <c r="AO61" s="30">
        <f t="shared" si="33"/>
        <v>8374700</v>
      </c>
      <c r="AP61" s="30">
        <f t="shared" si="33"/>
        <v>33727300</v>
      </c>
      <c r="AQ61" s="30">
        <f t="shared" si="33"/>
        <v>594700</v>
      </c>
      <c r="AR61" s="30">
        <f t="shared" si="33"/>
        <v>8401400</v>
      </c>
      <c r="AS61" s="30">
        <f t="shared" si="33"/>
        <v>33132600</v>
      </c>
      <c r="AT61" s="30">
        <f t="shared" si="24"/>
        <v>33727300</v>
      </c>
      <c r="AU61" s="176">
        <f t="shared" si="25"/>
        <v>110546957</v>
      </c>
      <c r="AV61" s="34">
        <f t="shared" si="26"/>
        <v>0</v>
      </c>
      <c r="AW61" s="34">
        <f t="shared" si="27"/>
        <v>0</v>
      </c>
      <c r="AX61" s="32">
        <f t="shared" si="20"/>
        <v>0.23377212748356072</v>
      </c>
    </row>
    <row r="62" spans="1:50" ht="18.75" customHeight="1" x14ac:dyDescent="0.2">
      <c r="A62" s="14" t="s">
        <v>55</v>
      </c>
      <c r="B62" s="15" t="s">
        <v>56</v>
      </c>
      <c r="C62" s="15"/>
      <c r="D62" s="15" t="s">
        <v>40</v>
      </c>
      <c r="E62" s="15"/>
      <c r="F62" s="15"/>
      <c r="G62" s="15" t="s">
        <v>41</v>
      </c>
      <c r="H62" s="15"/>
      <c r="I62" s="15" t="s">
        <v>936</v>
      </c>
      <c r="J62" s="15"/>
      <c r="K62" s="15" t="s">
        <v>932</v>
      </c>
      <c r="L62" s="15"/>
      <c r="M62" s="15" t="s">
        <v>933</v>
      </c>
      <c r="N62" s="15"/>
      <c r="O62" s="15" t="s">
        <v>938</v>
      </c>
      <c r="P62" s="15"/>
      <c r="Q62" s="15" t="s">
        <v>939</v>
      </c>
      <c r="R62" s="15"/>
      <c r="S62" s="15" t="s">
        <v>940</v>
      </c>
      <c r="T62" s="15">
        <v>0</v>
      </c>
      <c r="U62" s="15">
        <v>0</v>
      </c>
      <c r="V62" s="15">
        <v>0</v>
      </c>
      <c r="W62" s="15">
        <v>0</v>
      </c>
      <c r="X62" s="15" t="s">
        <v>937</v>
      </c>
      <c r="Y62" s="15"/>
      <c r="Z62" s="15"/>
      <c r="AA62" s="16" t="s">
        <v>134</v>
      </c>
      <c r="AB62" s="17" t="s">
        <v>133</v>
      </c>
      <c r="AC62" s="17" t="s">
        <v>58</v>
      </c>
      <c r="AD62" s="18">
        <v>136122303</v>
      </c>
      <c r="AE62" s="34">
        <v>0</v>
      </c>
      <c r="AF62" s="34">
        <v>0</v>
      </c>
      <c r="AG62" s="34">
        <v>0</v>
      </c>
      <c r="AH62" s="34">
        <v>0</v>
      </c>
      <c r="AI62" s="34">
        <v>0</v>
      </c>
      <c r="AJ62" s="18">
        <v>136122303</v>
      </c>
      <c r="AK62" s="34">
        <v>0</v>
      </c>
      <c r="AL62" s="18">
        <f>AM62-ABRIL!AM62</f>
        <v>7780000</v>
      </c>
      <c r="AM62" s="18">
        <v>30799600</v>
      </c>
      <c r="AN62" s="34">
        <v>0</v>
      </c>
      <c r="AO62" s="18">
        <f>AP62-ABRIL!AP62</f>
        <v>7780000</v>
      </c>
      <c r="AP62" s="18">
        <v>30799600</v>
      </c>
      <c r="AQ62" s="34">
        <v>0</v>
      </c>
      <c r="AR62" s="39">
        <f>AS62-ABRIL!AS62</f>
        <v>7780000</v>
      </c>
      <c r="AS62" s="18">
        <v>30799600</v>
      </c>
      <c r="AT62" s="39">
        <f t="shared" si="24"/>
        <v>30799600</v>
      </c>
      <c r="AU62" s="18">
        <f t="shared" si="25"/>
        <v>105322703</v>
      </c>
      <c r="AV62" s="34">
        <f t="shared" si="26"/>
        <v>0</v>
      </c>
      <c r="AW62" s="34">
        <f t="shared" si="27"/>
        <v>0</v>
      </c>
      <c r="AX62" s="32">
        <f t="shared" si="20"/>
        <v>0.22626417068479954</v>
      </c>
    </row>
    <row r="63" spans="1:50" ht="18.75" customHeight="1" x14ac:dyDescent="0.2">
      <c r="A63" s="14" t="s">
        <v>55</v>
      </c>
      <c r="B63" s="15" t="s">
        <v>56</v>
      </c>
      <c r="C63" s="15"/>
      <c r="D63" s="15" t="s">
        <v>40</v>
      </c>
      <c r="E63" s="15"/>
      <c r="F63" s="15"/>
      <c r="G63" s="15" t="s">
        <v>41</v>
      </c>
      <c r="H63" s="15"/>
      <c r="I63" s="15" t="s">
        <v>941</v>
      </c>
      <c r="J63" s="15"/>
      <c r="K63" s="15" t="s">
        <v>932</v>
      </c>
      <c r="L63" s="15"/>
      <c r="M63" s="15" t="s">
        <v>933</v>
      </c>
      <c r="N63" s="15"/>
      <c r="O63" s="15" t="s">
        <v>938</v>
      </c>
      <c r="P63" s="15"/>
      <c r="Q63" s="15" t="s">
        <v>939</v>
      </c>
      <c r="R63" s="15"/>
      <c r="S63" s="15" t="s">
        <v>940</v>
      </c>
      <c r="T63" s="15">
        <v>0</v>
      </c>
      <c r="U63" s="15">
        <v>0</v>
      </c>
      <c r="V63" s="15">
        <v>0</v>
      </c>
      <c r="W63" s="15">
        <v>0</v>
      </c>
      <c r="X63" s="15" t="s">
        <v>937</v>
      </c>
      <c r="Y63" s="15"/>
      <c r="Z63" s="15"/>
      <c r="AA63" s="16" t="s">
        <v>135</v>
      </c>
      <c r="AB63" s="17" t="s">
        <v>136</v>
      </c>
      <c r="AC63" s="17" t="s">
        <v>61</v>
      </c>
      <c r="AD63" s="18">
        <v>8151954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18">
        <v>8151954</v>
      </c>
      <c r="AK63" s="34">
        <v>0</v>
      </c>
      <c r="AL63" s="18">
        <f>AM63-ABRIL!AM63</f>
        <v>594700</v>
      </c>
      <c r="AM63" s="18">
        <v>2927700</v>
      </c>
      <c r="AN63" s="34">
        <v>0</v>
      </c>
      <c r="AO63" s="18">
        <f>AP63-ABRIL!AP63</f>
        <v>594700</v>
      </c>
      <c r="AP63" s="18">
        <v>2927700</v>
      </c>
      <c r="AQ63" s="18">
        <v>594700</v>
      </c>
      <c r="AR63" s="39">
        <f>AS63-ABRIL!AS63</f>
        <v>621400</v>
      </c>
      <c r="AS63" s="18">
        <v>2333000</v>
      </c>
      <c r="AT63" s="39">
        <f t="shared" si="24"/>
        <v>2927700</v>
      </c>
      <c r="AU63" s="18">
        <f t="shared" si="25"/>
        <v>5224254</v>
      </c>
      <c r="AV63" s="34">
        <f t="shared" si="26"/>
        <v>0</v>
      </c>
      <c r="AW63" s="34">
        <f t="shared" si="27"/>
        <v>0</v>
      </c>
      <c r="AX63" s="32">
        <f t="shared" si="20"/>
        <v>0.35914088818459966</v>
      </c>
    </row>
    <row r="64" spans="1:50" ht="18.75" customHeight="1" x14ac:dyDescent="0.2">
      <c r="A64" s="27" t="s">
        <v>49</v>
      </c>
      <c r="B64" s="27" t="s">
        <v>50</v>
      </c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8" t="s">
        <v>137</v>
      </c>
      <c r="AB64" s="29" t="s">
        <v>138</v>
      </c>
      <c r="AC64" s="30" t="s">
        <v>37</v>
      </c>
      <c r="AD64" s="30">
        <f>AD65+AD66</f>
        <v>144274257</v>
      </c>
      <c r="AE64" s="31">
        <f t="shared" ref="AE64:AS64" si="34">AE65+AE66</f>
        <v>0</v>
      </c>
      <c r="AF64" s="31">
        <f t="shared" si="34"/>
        <v>0</v>
      </c>
      <c r="AG64" s="31">
        <f t="shared" si="34"/>
        <v>0</v>
      </c>
      <c r="AH64" s="31">
        <f t="shared" si="34"/>
        <v>0</v>
      </c>
      <c r="AI64" s="31">
        <f t="shared" si="34"/>
        <v>0</v>
      </c>
      <c r="AJ64" s="30">
        <f t="shared" si="34"/>
        <v>144274257</v>
      </c>
      <c r="AK64" s="31">
        <f t="shared" si="34"/>
        <v>0</v>
      </c>
      <c r="AL64" s="31">
        <f t="shared" si="34"/>
        <v>16667700</v>
      </c>
      <c r="AM64" s="30">
        <f t="shared" si="34"/>
        <v>33727300</v>
      </c>
      <c r="AN64" s="31">
        <f t="shared" si="34"/>
        <v>0</v>
      </c>
      <c r="AO64" s="30">
        <f t="shared" si="34"/>
        <v>16667700</v>
      </c>
      <c r="AP64" s="30">
        <f t="shared" si="34"/>
        <v>33727300</v>
      </c>
      <c r="AQ64" s="30">
        <f t="shared" si="34"/>
        <v>594700</v>
      </c>
      <c r="AR64" s="30">
        <f t="shared" si="34"/>
        <v>16677100</v>
      </c>
      <c r="AS64" s="30">
        <f t="shared" si="34"/>
        <v>33132600</v>
      </c>
      <c r="AT64" s="30">
        <f t="shared" si="24"/>
        <v>33727300</v>
      </c>
      <c r="AU64" s="83">
        <f t="shared" si="25"/>
        <v>110546957</v>
      </c>
      <c r="AV64" s="34">
        <f t="shared" si="26"/>
        <v>0</v>
      </c>
      <c r="AW64" s="34">
        <f t="shared" si="27"/>
        <v>0</v>
      </c>
      <c r="AX64" s="32">
        <f t="shared" si="20"/>
        <v>0.23377212748356072</v>
      </c>
    </row>
    <row r="65" spans="1:50" ht="18.75" customHeight="1" x14ac:dyDescent="0.2">
      <c r="A65" s="14" t="s">
        <v>55</v>
      </c>
      <c r="B65" s="15" t="s">
        <v>56</v>
      </c>
      <c r="C65" s="15"/>
      <c r="D65" s="15" t="s">
        <v>40</v>
      </c>
      <c r="E65" s="15"/>
      <c r="F65" s="15"/>
      <c r="G65" s="15" t="s">
        <v>41</v>
      </c>
      <c r="H65" s="15"/>
      <c r="I65" s="15" t="s">
        <v>936</v>
      </c>
      <c r="J65" s="15"/>
      <c r="K65" s="15" t="s">
        <v>932</v>
      </c>
      <c r="L65" s="15"/>
      <c r="M65" s="15" t="s">
        <v>933</v>
      </c>
      <c r="N65" s="15"/>
      <c r="O65" s="15" t="s">
        <v>938</v>
      </c>
      <c r="P65" s="15"/>
      <c r="Q65" s="15" t="s">
        <v>939</v>
      </c>
      <c r="R65" s="15"/>
      <c r="S65" s="15" t="s">
        <v>940</v>
      </c>
      <c r="T65" s="15">
        <v>0</v>
      </c>
      <c r="U65" s="15">
        <v>0</v>
      </c>
      <c r="V65" s="15">
        <v>0</v>
      </c>
      <c r="W65" s="15">
        <v>0</v>
      </c>
      <c r="X65" s="15" t="s">
        <v>937</v>
      </c>
      <c r="Y65" s="15"/>
      <c r="Z65" s="15"/>
      <c r="AA65" s="16" t="s">
        <v>139</v>
      </c>
      <c r="AB65" s="17" t="s">
        <v>138</v>
      </c>
      <c r="AC65" s="17" t="s">
        <v>58</v>
      </c>
      <c r="AD65" s="18">
        <v>136122303</v>
      </c>
      <c r="AE65" s="34">
        <v>0</v>
      </c>
      <c r="AF65" s="34">
        <v>0</v>
      </c>
      <c r="AG65" s="34">
        <v>0</v>
      </c>
      <c r="AH65" s="34">
        <v>0</v>
      </c>
      <c r="AI65" s="34">
        <v>0</v>
      </c>
      <c r="AJ65" s="18">
        <v>136122303</v>
      </c>
      <c r="AK65" s="34">
        <v>0</v>
      </c>
      <c r="AL65" s="18">
        <f>AM65-ABRIL!AM65</f>
        <v>15451600</v>
      </c>
      <c r="AM65" s="18">
        <v>30799600</v>
      </c>
      <c r="AN65" s="34">
        <v>0</v>
      </c>
      <c r="AO65" s="18">
        <f>AP65-ABRIL!AP65</f>
        <v>15451600</v>
      </c>
      <c r="AP65" s="18">
        <v>30799600</v>
      </c>
      <c r="AQ65" s="18">
        <v>0</v>
      </c>
      <c r="AR65" s="39">
        <f>AS65-ABRIL!AS65</f>
        <v>15451600</v>
      </c>
      <c r="AS65" s="18">
        <v>30799600</v>
      </c>
      <c r="AT65" s="39">
        <f t="shared" si="24"/>
        <v>30799600</v>
      </c>
      <c r="AU65" s="18">
        <f t="shared" si="25"/>
        <v>105322703</v>
      </c>
      <c r="AV65" s="34">
        <f t="shared" si="26"/>
        <v>0</v>
      </c>
      <c r="AW65" s="34">
        <f t="shared" si="27"/>
        <v>0</v>
      </c>
      <c r="AX65" s="32">
        <f t="shared" si="20"/>
        <v>0.22626417068479954</v>
      </c>
    </row>
    <row r="66" spans="1:50" ht="18.75" customHeight="1" x14ac:dyDescent="0.2">
      <c r="A66" s="14" t="s">
        <v>55</v>
      </c>
      <c r="B66" s="15" t="s">
        <v>56</v>
      </c>
      <c r="C66" s="15"/>
      <c r="D66" s="15" t="s">
        <v>40</v>
      </c>
      <c r="E66" s="15"/>
      <c r="F66" s="15"/>
      <c r="G66" s="15" t="s">
        <v>41</v>
      </c>
      <c r="H66" s="15"/>
      <c r="I66" s="15" t="s">
        <v>941</v>
      </c>
      <c r="J66" s="15"/>
      <c r="K66" s="15" t="s">
        <v>932</v>
      </c>
      <c r="L66" s="15"/>
      <c r="M66" s="15" t="s">
        <v>933</v>
      </c>
      <c r="N66" s="15"/>
      <c r="O66" s="15" t="s">
        <v>938</v>
      </c>
      <c r="P66" s="15"/>
      <c r="Q66" s="15" t="s">
        <v>939</v>
      </c>
      <c r="R66" s="15"/>
      <c r="S66" s="15" t="s">
        <v>940</v>
      </c>
      <c r="T66" s="15">
        <v>0</v>
      </c>
      <c r="U66" s="15">
        <v>0</v>
      </c>
      <c r="V66" s="15">
        <v>0</v>
      </c>
      <c r="W66" s="15">
        <v>0</v>
      </c>
      <c r="X66" s="15" t="s">
        <v>937</v>
      </c>
      <c r="Y66" s="15"/>
      <c r="Z66" s="15"/>
      <c r="AA66" s="16" t="s">
        <v>140</v>
      </c>
      <c r="AB66" s="17" t="s">
        <v>141</v>
      </c>
      <c r="AC66" s="17" t="s">
        <v>61</v>
      </c>
      <c r="AD66" s="18">
        <v>8151954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18">
        <v>8151954</v>
      </c>
      <c r="AK66" s="34">
        <v>0</v>
      </c>
      <c r="AL66" s="18">
        <f>AM66-ABRIL!AM66</f>
        <v>1216100</v>
      </c>
      <c r="AM66" s="18">
        <v>2927700</v>
      </c>
      <c r="AN66" s="34">
        <v>0</v>
      </c>
      <c r="AO66" s="18">
        <f>AP66-ABRIL!AP66</f>
        <v>1216100</v>
      </c>
      <c r="AP66" s="18">
        <v>2927700</v>
      </c>
      <c r="AQ66" s="18">
        <v>594700</v>
      </c>
      <c r="AR66" s="39">
        <f>AS66-ABRIL!AS66</f>
        <v>1225500</v>
      </c>
      <c r="AS66" s="18">
        <v>2333000</v>
      </c>
      <c r="AT66" s="39">
        <f t="shared" si="24"/>
        <v>2927700</v>
      </c>
      <c r="AU66" s="18">
        <f t="shared" si="25"/>
        <v>5224254</v>
      </c>
      <c r="AV66" s="34">
        <f t="shared" si="26"/>
        <v>0</v>
      </c>
      <c r="AW66" s="34">
        <f t="shared" si="27"/>
        <v>0</v>
      </c>
      <c r="AX66" s="32">
        <f t="shared" si="20"/>
        <v>0.35914088818459966</v>
      </c>
    </row>
    <row r="67" spans="1:50" ht="18.75" customHeight="1" x14ac:dyDescent="0.2">
      <c r="A67" s="27" t="s">
        <v>55</v>
      </c>
      <c r="B67" s="27" t="s">
        <v>56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8" t="s">
        <v>142</v>
      </c>
      <c r="AB67" s="29" t="s">
        <v>143</v>
      </c>
      <c r="AC67" s="30" t="s">
        <v>37</v>
      </c>
      <c r="AD67" s="30">
        <f>AD68+AD69</f>
        <v>273762589</v>
      </c>
      <c r="AE67" s="31">
        <f t="shared" ref="AE67:AS67" si="35">AE68+AE69</f>
        <v>0</v>
      </c>
      <c r="AF67" s="31">
        <f t="shared" si="35"/>
        <v>0</v>
      </c>
      <c r="AG67" s="31">
        <f t="shared" si="35"/>
        <v>0</v>
      </c>
      <c r="AH67" s="31">
        <f t="shared" si="35"/>
        <v>0</v>
      </c>
      <c r="AI67" s="31">
        <f t="shared" si="35"/>
        <v>0</v>
      </c>
      <c r="AJ67" s="30">
        <f t="shared" si="35"/>
        <v>273762589</v>
      </c>
      <c r="AK67" s="31">
        <f t="shared" si="35"/>
        <v>0</v>
      </c>
      <c r="AL67" s="30">
        <f t="shared" si="35"/>
        <v>16729400</v>
      </c>
      <c r="AM67" s="30">
        <f t="shared" si="35"/>
        <v>67376400</v>
      </c>
      <c r="AN67" s="31">
        <f t="shared" si="35"/>
        <v>0</v>
      </c>
      <c r="AO67" s="30">
        <f t="shared" si="35"/>
        <v>16729400</v>
      </c>
      <c r="AP67" s="30">
        <f t="shared" si="35"/>
        <v>67376400</v>
      </c>
      <c r="AQ67" s="30">
        <f t="shared" si="35"/>
        <v>1188700</v>
      </c>
      <c r="AR67" s="30">
        <f t="shared" si="35"/>
        <v>16782600</v>
      </c>
      <c r="AS67" s="30">
        <f t="shared" si="35"/>
        <v>66187700</v>
      </c>
      <c r="AT67" s="30">
        <f t="shared" si="24"/>
        <v>67376400</v>
      </c>
      <c r="AU67" s="176">
        <f t="shared" si="25"/>
        <v>206386189</v>
      </c>
      <c r="AV67" s="34">
        <f t="shared" si="26"/>
        <v>0</v>
      </c>
      <c r="AW67" s="34">
        <f t="shared" si="27"/>
        <v>0</v>
      </c>
      <c r="AX67" s="32">
        <f t="shared" si="20"/>
        <v>0.2461125175872734</v>
      </c>
    </row>
    <row r="68" spans="1:50" ht="18.75" customHeight="1" x14ac:dyDescent="0.2">
      <c r="A68" s="35" t="s">
        <v>55</v>
      </c>
      <c r="B68" s="36" t="s">
        <v>56</v>
      </c>
      <c r="C68" s="36"/>
      <c r="D68" s="36" t="s">
        <v>40</v>
      </c>
      <c r="E68" s="36"/>
      <c r="F68" s="36"/>
      <c r="G68" s="36" t="s">
        <v>41</v>
      </c>
      <c r="H68" s="36"/>
      <c r="I68" s="36" t="s">
        <v>936</v>
      </c>
      <c r="J68" s="36"/>
      <c r="K68" s="36" t="s">
        <v>932</v>
      </c>
      <c r="L68" s="36"/>
      <c r="M68" s="36" t="s">
        <v>933</v>
      </c>
      <c r="N68" s="36"/>
      <c r="O68" s="36" t="s">
        <v>938</v>
      </c>
      <c r="P68" s="36"/>
      <c r="Q68" s="36" t="s">
        <v>939</v>
      </c>
      <c r="R68" s="36"/>
      <c r="S68" s="36" t="s">
        <v>940</v>
      </c>
      <c r="T68" s="36">
        <v>0</v>
      </c>
      <c r="U68" s="36">
        <v>0</v>
      </c>
      <c r="V68" s="36">
        <v>0</v>
      </c>
      <c r="W68" s="36">
        <v>0</v>
      </c>
      <c r="X68" s="36" t="s">
        <v>937</v>
      </c>
      <c r="Y68" s="36"/>
      <c r="Z68" s="36"/>
      <c r="AA68" s="37" t="s">
        <v>144</v>
      </c>
      <c r="AB68" s="38" t="s">
        <v>145</v>
      </c>
      <c r="AC68" s="38" t="s">
        <v>58</v>
      </c>
      <c r="AD68" s="39">
        <v>257458680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  <c r="AJ68" s="39">
        <v>257458680</v>
      </c>
      <c r="AK68" s="40">
        <v>0</v>
      </c>
      <c r="AL68" s="39">
        <f>AM68-ABRIL!AM68</f>
        <v>15540700</v>
      </c>
      <c r="AM68" s="39">
        <v>61524600</v>
      </c>
      <c r="AN68" s="40">
        <v>0</v>
      </c>
      <c r="AO68" s="18">
        <f>AP68-ABRIL!AP68</f>
        <v>15540700</v>
      </c>
      <c r="AP68" s="39">
        <v>61524600</v>
      </c>
      <c r="AQ68" s="39">
        <v>0</v>
      </c>
      <c r="AR68" s="39">
        <f>AS68-ABRIL!AS68</f>
        <v>15540700</v>
      </c>
      <c r="AS68" s="39">
        <v>61524600</v>
      </c>
      <c r="AT68" s="39">
        <f t="shared" si="24"/>
        <v>61524600</v>
      </c>
      <c r="AU68" s="18">
        <f t="shared" si="25"/>
        <v>195934080</v>
      </c>
      <c r="AV68" s="34">
        <f t="shared" si="26"/>
        <v>0</v>
      </c>
      <c r="AW68" s="34">
        <f t="shared" si="27"/>
        <v>0</v>
      </c>
      <c r="AX68" s="32">
        <f t="shared" si="20"/>
        <v>0.23896883181409925</v>
      </c>
    </row>
    <row r="69" spans="1:50" ht="31.5" customHeight="1" x14ac:dyDescent="0.2">
      <c r="A69" s="14" t="s">
        <v>55</v>
      </c>
      <c r="B69" s="15" t="s">
        <v>56</v>
      </c>
      <c r="C69" s="15"/>
      <c r="D69" s="15" t="s">
        <v>40</v>
      </c>
      <c r="E69" s="15"/>
      <c r="F69" s="15"/>
      <c r="G69" s="15" t="s">
        <v>41</v>
      </c>
      <c r="H69" s="15"/>
      <c r="I69" s="15" t="s">
        <v>941</v>
      </c>
      <c r="J69" s="15"/>
      <c r="K69" s="15" t="s">
        <v>932</v>
      </c>
      <c r="L69" s="15"/>
      <c r="M69" s="15" t="s">
        <v>933</v>
      </c>
      <c r="N69" s="15"/>
      <c r="O69" s="15" t="s">
        <v>938</v>
      </c>
      <c r="P69" s="15"/>
      <c r="Q69" s="15" t="s">
        <v>939</v>
      </c>
      <c r="R69" s="15"/>
      <c r="S69" s="15" t="s">
        <v>940</v>
      </c>
      <c r="T69" s="15">
        <v>0</v>
      </c>
      <c r="U69" s="15">
        <v>0</v>
      </c>
      <c r="V69" s="15">
        <v>0</v>
      </c>
      <c r="W69" s="15">
        <v>0</v>
      </c>
      <c r="X69" s="15" t="s">
        <v>937</v>
      </c>
      <c r="Y69" s="15"/>
      <c r="Z69" s="15"/>
      <c r="AA69" s="16" t="s">
        <v>146</v>
      </c>
      <c r="AB69" s="17" t="s">
        <v>147</v>
      </c>
      <c r="AC69" s="17" t="s">
        <v>61</v>
      </c>
      <c r="AD69" s="18">
        <v>16303909</v>
      </c>
      <c r="AE69" s="34">
        <v>0</v>
      </c>
      <c r="AF69" s="34">
        <v>0</v>
      </c>
      <c r="AG69" s="34">
        <v>0</v>
      </c>
      <c r="AH69" s="34">
        <v>0</v>
      </c>
      <c r="AI69" s="34">
        <v>0</v>
      </c>
      <c r="AJ69" s="18">
        <v>16303909</v>
      </c>
      <c r="AK69" s="34">
        <v>0</v>
      </c>
      <c r="AL69" s="39">
        <f>AM69-ABRIL!AM69</f>
        <v>1188700</v>
      </c>
      <c r="AM69" s="18">
        <v>5851800</v>
      </c>
      <c r="AN69" s="34">
        <v>0</v>
      </c>
      <c r="AO69" s="18">
        <f>AP69-ABRIL!AP69</f>
        <v>1188700</v>
      </c>
      <c r="AP69" s="18">
        <v>5851800</v>
      </c>
      <c r="AQ69" s="18">
        <v>1188700</v>
      </c>
      <c r="AR69" s="39">
        <f>AS69-ABRIL!AS69</f>
        <v>1241900</v>
      </c>
      <c r="AS69" s="18">
        <v>4663100</v>
      </c>
      <c r="AT69" s="39">
        <f t="shared" si="24"/>
        <v>5851800</v>
      </c>
      <c r="AU69" s="18">
        <f t="shared" si="25"/>
        <v>10452109</v>
      </c>
      <c r="AV69" s="34">
        <f t="shared" si="26"/>
        <v>0</v>
      </c>
      <c r="AW69" s="34">
        <f t="shared" si="27"/>
        <v>0</v>
      </c>
      <c r="AX69" s="32">
        <f t="shared" si="20"/>
        <v>0.35892006021378065</v>
      </c>
    </row>
    <row r="70" spans="1:50" s="25" customFormat="1" ht="18.75" customHeight="1" x14ac:dyDescent="0.2">
      <c r="A70" s="19" t="s">
        <v>49</v>
      </c>
      <c r="B70" s="19" t="s">
        <v>50</v>
      </c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26" t="s">
        <v>148</v>
      </c>
      <c r="AB70" s="21" t="s">
        <v>149</v>
      </c>
      <c r="AC70" s="22" t="s">
        <v>37</v>
      </c>
      <c r="AD70" s="22">
        <f>AD71+AD81+AD82+AD83+AD84+AD85</f>
        <v>2847587617</v>
      </c>
      <c r="AE70" s="23">
        <f t="shared" ref="AE70:AW70" si="36">AE71+AE81+AE82+AE83+AE84+AE85</f>
        <v>0</v>
      </c>
      <c r="AF70" s="23">
        <f t="shared" si="36"/>
        <v>0</v>
      </c>
      <c r="AG70" s="23">
        <f t="shared" si="36"/>
        <v>0</v>
      </c>
      <c r="AH70" s="22">
        <f t="shared" si="36"/>
        <v>12000000</v>
      </c>
      <c r="AI70" s="22">
        <f t="shared" si="36"/>
        <v>-12000000</v>
      </c>
      <c r="AJ70" s="22">
        <f>AJ71+AJ81+AJ82+AJ83+AJ84+AJ85</f>
        <v>2835587617</v>
      </c>
      <c r="AK70" s="23">
        <f t="shared" si="36"/>
        <v>0</v>
      </c>
      <c r="AL70" s="22">
        <f t="shared" si="36"/>
        <v>89814309</v>
      </c>
      <c r="AM70" s="22">
        <f t="shared" si="36"/>
        <v>548199350</v>
      </c>
      <c r="AN70" s="23">
        <f t="shared" si="36"/>
        <v>0</v>
      </c>
      <c r="AO70" s="22">
        <f t="shared" si="36"/>
        <v>89814309</v>
      </c>
      <c r="AP70" s="22">
        <f t="shared" si="36"/>
        <v>548199350</v>
      </c>
      <c r="AQ70" s="23">
        <f t="shared" si="36"/>
        <v>0</v>
      </c>
      <c r="AR70" s="22">
        <f t="shared" si="36"/>
        <v>59093812</v>
      </c>
      <c r="AS70" s="22">
        <f t="shared" si="36"/>
        <v>517478853</v>
      </c>
      <c r="AT70" s="22">
        <f t="shared" si="36"/>
        <v>517478853</v>
      </c>
      <c r="AU70" s="22">
        <f t="shared" si="36"/>
        <v>2287388267</v>
      </c>
      <c r="AV70" s="23">
        <f t="shared" si="36"/>
        <v>0</v>
      </c>
      <c r="AW70" s="22">
        <f t="shared" si="36"/>
        <v>30720497</v>
      </c>
      <c r="AX70" s="24">
        <f t="shared" si="20"/>
        <v>0.19332830582042987</v>
      </c>
    </row>
    <row r="71" spans="1:50" ht="18.75" customHeight="1" x14ac:dyDescent="0.2">
      <c r="A71" s="27" t="s">
        <v>49</v>
      </c>
      <c r="B71" s="27" t="s">
        <v>50</v>
      </c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8" t="s">
        <v>150</v>
      </c>
      <c r="AB71" s="29" t="s">
        <v>81</v>
      </c>
      <c r="AC71" s="30" t="s">
        <v>37</v>
      </c>
      <c r="AD71" s="30">
        <f>AD72+AD75+AD78</f>
        <v>2386452170</v>
      </c>
      <c r="AE71" s="31">
        <f t="shared" ref="AE71:AS71" si="37">AE72+AE75+AE78</f>
        <v>0</v>
      </c>
      <c r="AF71" s="31">
        <f t="shared" si="37"/>
        <v>0</v>
      </c>
      <c r="AG71" s="31">
        <f t="shared" si="37"/>
        <v>0</v>
      </c>
      <c r="AH71" s="30">
        <f t="shared" si="37"/>
        <v>12000000</v>
      </c>
      <c r="AI71" s="30">
        <f t="shared" si="37"/>
        <v>-12000000</v>
      </c>
      <c r="AJ71" s="30">
        <f t="shared" si="37"/>
        <v>2374452170</v>
      </c>
      <c r="AK71" s="31">
        <f t="shared" si="37"/>
        <v>0</v>
      </c>
      <c r="AL71" s="30">
        <f t="shared" si="37"/>
        <v>32258155</v>
      </c>
      <c r="AM71" s="30">
        <f t="shared" si="37"/>
        <v>340885547</v>
      </c>
      <c r="AN71" s="31">
        <f t="shared" si="37"/>
        <v>0</v>
      </c>
      <c r="AO71" s="30">
        <f t="shared" si="37"/>
        <v>32258155</v>
      </c>
      <c r="AP71" s="30">
        <f t="shared" si="37"/>
        <v>340885547</v>
      </c>
      <c r="AQ71" s="31">
        <f t="shared" si="37"/>
        <v>0</v>
      </c>
      <c r="AR71" s="30">
        <f t="shared" si="37"/>
        <v>30444961</v>
      </c>
      <c r="AS71" s="30">
        <f t="shared" si="37"/>
        <v>339072353</v>
      </c>
      <c r="AT71" s="30">
        <f t="shared" ref="AT71:AT91" si="38">AQ71+AS71</f>
        <v>339072353</v>
      </c>
      <c r="AU71" s="176">
        <f t="shared" ref="AU71:AU85" si="39">AJ71-AM71</f>
        <v>2033566623</v>
      </c>
      <c r="AV71" s="34">
        <f t="shared" ref="AV71:AV85" si="40">AM71-AP71</f>
        <v>0</v>
      </c>
      <c r="AW71" s="18">
        <f t="shared" ref="AW71:AW85" si="41">AP71-AT71</f>
        <v>1813194</v>
      </c>
      <c r="AX71" s="32">
        <f t="shared" ref="AX71:AX102" si="42">AP71/AJ71</f>
        <v>0.14356387182985456</v>
      </c>
    </row>
    <row r="72" spans="1:50" ht="18.75" customHeight="1" x14ac:dyDescent="0.2">
      <c r="A72" s="27" t="s">
        <v>49</v>
      </c>
      <c r="B72" s="27" t="s">
        <v>50</v>
      </c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8" t="s">
        <v>151</v>
      </c>
      <c r="AB72" s="29" t="s">
        <v>152</v>
      </c>
      <c r="AC72" s="30" t="s">
        <v>37</v>
      </c>
      <c r="AD72" s="30">
        <f>AD73+AD74</f>
        <v>1664997140</v>
      </c>
      <c r="AE72" s="31">
        <f t="shared" ref="AE72:AS72" si="43">AE73+AE74</f>
        <v>0</v>
      </c>
      <c r="AF72" s="31">
        <f t="shared" si="43"/>
        <v>0</v>
      </c>
      <c r="AG72" s="31">
        <f t="shared" si="43"/>
        <v>0</v>
      </c>
      <c r="AH72" s="31">
        <f t="shared" si="43"/>
        <v>0</v>
      </c>
      <c r="AI72" s="31">
        <f t="shared" si="43"/>
        <v>0</v>
      </c>
      <c r="AJ72" s="30">
        <f t="shared" si="43"/>
        <v>1664997140</v>
      </c>
      <c r="AK72" s="31">
        <f t="shared" si="43"/>
        <v>0</v>
      </c>
      <c r="AL72" s="30">
        <f t="shared" si="43"/>
        <v>18550052</v>
      </c>
      <c r="AM72" s="30">
        <f t="shared" si="43"/>
        <v>161230840</v>
      </c>
      <c r="AN72" s="31">
        <f t="shared" si="43"/>
        <v>0</v>
      </c>
      <c r="AO72" s="30">
        <f t="shared" si="43"/>
        <v>18550052</v>
      </c>
      <c r="AP72" s="30">
        <f t="shared" si="43"/>
        <v>161230840</v>
      </c>
      <c r="AQ72" s="31">
        <f t="shared" si="43"/>
        <v>0</v>
      </c>
      <c r="AR72" s="30">
        <f t="shared" si="43"/>
        <v>18550052</v>
      </c>
      <c r="AS72" s="30">
        <f t="shared" si="43"/>
        <v>161230840</v>
      </c>
      <c r="AT72" s="30">
        <f t="shared" si="38"/>
        <v>161230840</v>
      </c>
      <c r="AU72" s="176">
        <f t="shared" si="39"/>
        <v>1503766300</v>
      </c>
      <c r="AV72" s="34">
        <f t="shared" si="40"/>
        <v>0</v>
      </c>
      <c r="AW72" s="34">
        <f t="shared" si="41"/>
        <v>0</v>
      </c>
      <c r="AX72" s="32">
        <f t="shared" si="42"/>
        <v>9.6835505675403138E-2</v>
      </c>
    </row>
    <row r="73" spans="1:50" ht="18.75" customHeight="1" x14ac:dyDescent="0.2">
      <c r="A73" s="14" t="s">
        <v>55</v>
      </c>
      <c r="B73" s="15" t="s">
        <v>56</v>
      </c>
      <c r="C73" s="15"/>
      <c r="D73" s="15" t="s">
        <v>40</v>
      </c>
      <c r="E73" s="15"/>
      <c r="F73" s="15"/>
      <c r="G73" s="15" t="s">
        <v>41</v>
      </c>
      <c r="H73" s="15"/>
      <c r="I73" s="15" t="s">
        <v>936</v>
      </c>
      <c r="J73" s="15"/>
      <c r="K73" s="15" t="s">
        <v>932</v>
      </c>
      <c r="L73" s="15"/>
      <c r="M73" s="15" t="s">
        <v>933</v>
      </c>
      <c r="N73" s="15"/>
      <c r="O73" s="15" t="s">
        <v>938</v>
      </c>
      <c r="P73" s="15"/>
      <c r="Q73" s="15" t="s">
        <v>939</v>
      </c>
      <c r="R73" s="15"/>
      <c r="S73" s="15" t="s">
        <v>940</v>
      </c>
      <c r="T73" s="15">
        <v>0</v>
      </c>
      <c r="U73" s="15">
        <v>0</v>
      </c>
      <c r="V73" s="15">
        <v>0</v>
      </c>
      <c r="W73" s="15">
        <v>0</v>
      </c>
      <c r="X73" s="15" t="s">
        <v>937</v>
      </c>
      <c r="Y73" s="15"/>
      <c r="Z73" s="15"/>
      <c r="AA73" s="16" t="s">
        <v>153</v>
      </c>
      <c r="AB73" s="17" t="s">
        <v>152</v>
      </c>
      <c r="AC73" s="17" t="s">
        <v>58</v>
      </c>
      <c r="AD73" s="18">
        <v>1564997140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18">
        <v>1564997140</v>
      </c>
      <c r="AK73" s="34">
        <v>0</v>
      </c>
      <c r="AL73" s="18">
        <v>18550052</v>
      </c>
      <c r="AM73" s="18">
        <v>153843641</v>
      </c>
      <c r="AN73" s="34">
        <v>0</v>
      </c>
      <c r="AO73" s="18">
        <f>AP73-ABRIL!AP73</f>
        <v>18550052</v>
      </c>
      <c r="AP73" s="18">
        <v>153843641</v>
      </c>
      <c r="AQ73" s="34">
        <v>0</v>
      </c>
      <c r="AR73" s="18">
        <v>18550052</v>
      </c>
      <c r="AS73" s="18">
        <v>153843641</v>
      </c>
      <c r="AT73" s="39">
        <f t="shared" si="38"/>
        <v>153843641</v>
      </c>
      <c r="AU73" s="18">
        <f t="shared" si="39"/>
        <v>1411153499</v>
      </c>
      <c r="AV73" s="34">
        <f t="shared" si="40"/>
        <v>0</v>
      </c>
      <c r="AW73" s="34">
        <f t="shared" si="41"/>
        <v>0</v>
      </c>
      <c r="AX73" s="32">
        <f t="shared" si="42"/>
        <v>9.8302825652448161E-2</v>
      </c>
    </row>
    <row r="74" spans="1:50" ht="18.75" customHeight="1" x14ac:dyDescent="0.2">
      <c r="A74" s="35" t="s">
        <v>55</v>
      </c>
      <c r="B74" s="36" t="s">
        <v>56</v>
      </c>
      <c r="C74" s="36"/>
      <c r="D74" s="36" t="s">
        <v>40</v>
      </c>
      <c r="E74" s="36"/>
      <c r="F74" s="36"/>
      <c r="G74" s="36" t="s">
        <v>41</v>
      </c>
      <c r="H74" s="36"/>
      <c r="I74" s="36" t="s">
        <v>941</v>
      </c>
      <c r="J74" s="36"/>
      <c r="K74" s="36" t="s">
        <v>932</v>
      </c>
      <c r="L74" s="36"/>
      <c r="M74" s="36" t="s">
        <v>933</v>
      </c>
      <c r="N74" s="36"/>
      <c r="O74" s="36" t="s">
        <v>938</v>
      </c>
      <c r="P74" s="36"/>
      <c r="Q74" s="36" t="s">
        <v>939</v>
      </c>
      <c r="R74" s="36"/>
      <c r="S74" s="36" t="s">
        <v>940</v>
      </c>
      <c r="T74" s="36">
        <v>0</v>
      </c>
      <c r="U74" s="36">
        <v>0</v>
      </c>
      <c r="V74" s="36">
        <v>0</v>
      </c>
      <c r="W74" s="36">
        <v>0</v>
      </c>
      <c r="X74" s="36" t="s">
        <v>937</v>
      </c>
      <c r="Y74" s="36"/>
      <c r="Z74" s="36"/>
      <c r="AA74" s="37" t="s">
        <v>154</v>
      </c>
      <c r="AB74" s="38" t="s">
        <v>155</v>
      </c>
      <c r="AC74" s="38" t="s">
        <v>61</v>
      </c>
      <c r="AD74" s="39">
        <v>100000000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39">
        <v>100000000</v>
      </c>
      <c r="AK74" s="40">
        <v>0</v>
      </c>
      <c r="AL74" s="40">
        <v>0</v>
      </c>
      <c r="AM74" s="39">
        <v>7387199</v>
      </c>
      <c r="AN74" s="40">
        <v>0</v>
      </c>
      <c r="AO74" s="40">
        <v>0</v>
      </c>
      <c r="AP74" s="40">
        <v>7387199</v>
      </c>
      <c r="AQ74" s="40">
        <v>0</v>
      </c>
      <c r="AR74" s="18">
        <v>0</v>
      </c>
      <c r="AS74" s="39">
        <v>7387199</v>
      </c>
      <c r="AT74" s="40">
        <f t="shared" si="38"/>
        <v>7387199</v>
      </c>
      <c r="AU74" s="18">
        <f t="shared" si="39"/>
        <v>92612801</v>
      </c>
      <c r="AV74" s="34">
        <f t="shared" si="40"/>
        <v>0</v>
      </c>
      <c r="AW74" s="34">
        <f t="shared" si="41"/>
        <v>0</v>
      </c>
      <c r="AX74" s="32">
        <f t="shared" si="42"/>
        <v>7.3871989999999998E-2</v>
      </c>
    </row>
    <row r="75" spans="1:50" ht="18.75" customHeight="1" x14ac:dyDescent="0.2">
      <c r="A75" s="27" t="s">
        <v>49</v>
      </c>
      <c r="B75" s="27" t="s">
        <v>50</v>
      </c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8" t="s">
        <v>156</v>
      </c>
      <c r="AB75" s="29" t="s">
        <v>157</v>
      </c>
      <c r="AC75" s="30" t="s">
        <v>37</v>
      </c>
      <c r="AD75" s="30">
        <f>AD76+AD77</f>
        <v>608504027</v>
      </c>
      <c r="AE75" s="31">
        <f t="shared" ref="AE75:AS75" si="44">AE76+AE77</f>
        <v>0</v>
      </c>
      <c r="AF75" s="31">
        <f t="shared" si="44"/>
        <v>0</v>
      </c>
      <c r="AG75" s="31">
        <f t="shared" si="44"/>
        <v>0</v>
      </c>
      <c r="AH75" s="30">
        <f t="shared" si="44"/>
        <v>12000000</v>
      </c>
      <c r="AI75" s="30">
        <f t="shared" si="44"/>
        <v>-12000000</v>
      </c>
      <c r="AJ75" s="30">
        <f t="shared" si="44"/>
        <v>596504027</v>
      </c>
      <c r="AK75" s="31">
        <f t="shared" si="44"/>
        <v>0</v>
      </c>
      <c r="AL75" s="30">
        <f t="shared" si="44"/>
        <v>4989334</v>
      </c>
      <c r="AM75" s="30">
        <f t="shared" si="44"/>
        <v>149101956</v>
      </c>
      <c r="AN75" s="31">
        <f t="shared" si="44"/>
        <v>0</v>
      </c>
      <c r="AO75" s="30">
        <f t="shared" si="44"/>
        <v>4989334</v>
      </c>
      <c r="AP75" s="30">
        <f t="shared" si="44"/>
        <v>149101956</v>
      </c>
      <c r="AQ75" s="31">
        <f t="shared" si="44"/>
        <v>0</v>
      </c>
      <c r="AR75" s="30">
        <f t="shared" si="44"/>
        <v>3326741</v>
      </c>
      <c r="AS75" s="30">
        <f t="shared" si="44"/>
        <v>147439363</v>
      </c>
      <c r="AT75" s="30">
        <f t="shared" si="38"/>
        <v>147439363</v>
      </c>
      <c r="AU75" s="18">
        <f t="shared" si="39"/>
        <v>447402071</v>
      </c>
      <c r="AV75" s="34">
        <f t="shared" si="40"/>
        <v>0</v>
      </c>
      <c r="AW75" s="18">
        <f t="shared" si="41"/>
        <v>1662593</v>
      </c>
      <c r="AX75" s="32">
        <f t="shared" si="42"/>
        <v>0.24995968049013692</v>
      </c>
    </row>
    <row r="76" spans="1:50" ht="18.75" customHeight="1" x14ac:dyDescent="0.2">
      <c r="A76" s="14" t="s">
        <v>55</v>
      </c>
      <c r="B76" s="15" t="s">
        <v>56</v>
      </c>
      <c r="C76" s="15"/>
      <c r="D76" s="15" t="s">
        <v>40</v>
      </c>
      <c r="E76" s="15"/>
      <c r="F76" s="15"/>
      <c r="G76" s="15" t="s">
        <v>41</v>
      </c>
      <c r="H76" s="15"/>
      <c r="I76" s="15" t="s">
        <v>936</v>
      </c>
      <c r="J76" s="15"/>
      <c r="K76" s="15" t="s">
        <v>932</v>
      </c>
      <c r="L76" s="15"/>
      <c r="M76" s="15" t="s">
        <v>933</v>
      </c>
      <c r="N76" s="15"/>
      <c r="O76" s="15" t="s">
        <v>938</v>
      </c>
      <c r="P76" s="15"/>
      <c r="Q76" s="15" t="s">
        <v>939</v>
      </c>
      <c r="R76" s="15"/>
      <c r="S76" s="15" t="s">
        <v>940</v>
      </c>
      <c r="T76" s="15">
        <v>0</v>
      </c>
      <c r="U76" s="15">
        <v>0</v>
      </c>
      <c r="V76" s="15">
        <v>0</v>
      </c>
      <c r="W76" s="15">
        <v>0</v>
      </c>
      <c r="X76" s="15" t="s">
        <v>937</v>
      </c>
      <c r="Y76" s="15"/>
      <c r="Z76" s="15"/>
      <c r="AA76" s="16" t="s">
        <v>158</v>
      </c>
      <c r="AB76" s="17" t="s">
        <v>157</v>
      </c>
      <c r="AC76" s="17" t="s">
        <v>58</v>
      </c>
      <c r="AD76" s="18">
        <v>600000000</v>
      </c>
      <c r="AE76" s="34">
        <v>0</v>
      </c>
      <c r="AF76" s="34">
        <v>0</v>
      </c>
      <c r="AG76" s="34">
        <v>0</v>
      </c>
      <c r="AH76" s="18">
        <v>12000000</v>
      </c>
      <c r="AI76" s="18">
        <f>AE76-AF76+AG76-AH76</f>
        <v>-12000000</v>
      </c>
      <c r="AJ76" s="18">
        <f>AD76+AI76</f>
        <v>588000000</v>
      </c>
      <c r="AK76" s="34">
        <v>0</v>
      </c>
      <c r="AL76" s="18">
        <v>4989334</v>
      </c>
      <c r="AM76" s="18">
        <v>149101956</v>
      </c>
      <c r="AN76" s="34">
        <v>0</v>
      </c>
      <c r="AO76" s="18">
        <f>AP76-ABRIL!AP76</f>
        <v>4989334</v>
      </c>
      <c r="AP76" s="18">
        <v>149101956</v>
      </c>
      <c r="AQ76" s="34">
        <v>0</v>
      </c>
      <c r="AR76" s="18">
        <v>3326741</v>
      </c>
      <c r="AS76" s="18">
        <v>147439363</v>
      </c>
      <c r="AT76" s="30">
        <f t="shared" si="38"/>
        <v>147439363</v>
      </c>
      <c r="AU76" s="18">
        <f t="shared" si="39"/>
        <v>438898044</v>
      </c>
      <c r="AV76" s="34">
        <f t="shared" si="40"/>
        <v>0</v>
      </c>
      <c r="AW76" s="18">
        <f t="shared" si="41"/>
        <v>1662593</v>
      </c>
      <c r="AX76" s="32">
        <f t="shared" si="42"/>
        <v>0.25357475510204081</v>
      </c>
    </row>
    <row r="77" spans="1:50" ht="18.75" customHeight="1" x14ac:dyDescent="0.2">
      <c r="A77" s="14" t="s">
        <v>55</v>
      </c>
      <c r="B77" s="15" t="s">
        <v>56</v>
      </c>
      <c r="C77" s="15"/>
      <c r="D77" s="15" t="s">
        <v>40</v>
      </c>
      <c r="E77" s="15"/>
      <c r="F77" s="15"/>
      <c r="G77" s="15" t="s">
        <v>41</v>
      </c>
      <c r="H77" s="15"/>
      <c r="I77" s="15" t="s">
        <v>941</v>
      </c>
      <c r="J77" s="15"/>
      <c r="K77" s="15" t="s">
        <v>932</v>
      </c>
      <c r="L77" s="15"/>
      <c r="M77" s="15" t="s">
        <v>933</v>
      </c>
      <c r="N77" s="15"/>
      <c r="O77" s="15" t="s">
        <v>938</v>
      </c>
      <c r="P77" s="15"/>
      <c r="Q77" s="15" t="s">
        <v>939</v>
      </c>
      <c r="R77" s="15"/>
      <c r="S77" s="15" t="s">
        <v>940</v>
      </c>
      <c r="T77" s="15">
        <v>0</v>
      </c>
      <c r="U77" s="15">
        <v>0</v>
      </c>
      <c r="V77" s="15">
        <v>0</v>
      </c>
      <c r="W77" s="15">
        <v>0</v>
      </c>
      <c r="X77" s="15" t="s">
        <v>937</v>
      </c>
      <c r="Y77" s="15"/>
      <c r="Z77" s="15"/>
      <c r="AA77" s="16" t="s">
        <v>159</v>
      </c>
      <c r="AB77" s="17" t="s">
        <v>160</v>
      </c>
      <c r="AC77" s="17" t="s">
        <v>61</v>
      </c>
      <c r="AD77" s="18">
        <v>8504027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18">
        <v>8504027</v>
      </c>
      <c r="AK77" s="34">
        <v>0</v>
      </c>
      <c r="AL77" s="34">
        <v>0</v>
      </c>
      <c r="AM77" s="34">
        <v>0</v>
      </c>
      <c r="AN77" s="34">
        <v>0</v>
      </c>
      <c r="AO77" s="34">
        <f>AP77-ABRIL!AP77</f>
        <v>0</v>
      </c>
      <c r="AP77" s="34">
        <v>0</v>
      </c>
      <c r="AQ77" s="34">
        <v>0</v>
      </c>
      <c r="AR77" s="18">
        <v>0</v>
      </c>
      <c r="AS77" s="34">
        <v>0</v>
      </c>
      <c r="AT77" s="31">
        <f t="shared" si="38"/>
        <v>0</v>
      </c>
      <c r="AU77" s="18">
        <f t="shared" si="39"/>
        <v>8504027</v>
      </c>
      <c r="AV77" s="34">
        <f t="shared" si="40"/>
        <v>0</v>
      </c>
      <c r="AW77" s="34">
        <f t="shared" si="41"/>
        <v>0</v>
      </c>
      <c r="AX77" s="32">
        <f t="shared" si="42"/>
        <v>0</v>
      </c>
    </row>
    <row r="78" spans="1:50" ht="18.75" customHeight="1" x14ac:dyDescent="0.2">
      <c r="A78" s="27" t="s">
        <v>49</v>
      </c>
      <c r="B78" s="27" t="s">
        <v>50</v>
      </c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8" t="s">
        <v>161</v>
      </c>
      <c r="AB78" s="29" t="s">
        <v>162</v>
      </c>
      <c r="AC78" s="30" t="s">
        <v>37</v>
      </c>
      <c r="AD78" s="30">
        <f>AD79+AD80</f>
        <v>112951003</v>
      </c>
      <c r="AE78" s="31">
        <f t="shared" ref="AE78:AS78" si="45">AE79+AE80</f>
        <v>0</v>
      </c>
      <c r="AF78" s="31">
        <f t="shared" si="45"/>
        <v>0</v>
      </c>
      <c r="AG78" s="31">
        <f t="shared" si="45"/>
        <v>0</v>
      </c>
      <c r="AH78" s="31">
        <f t="shared" si="45"/>
        <v>0</v>
      </c>
      <c r="AI78" s="31">
        <f t="shared" si="45"/>
        <v>0</v>
      </c>
      <c r="AJ78" s="30">
        <f>AJ79+AJ80</f>
        <v>112951003</v>
      </c>
      <c r="AK78" s="31">
        <f t="shared" si="45"/>
        <v>0</v>
      </c>
      <c r="AL78" s="30">
        <f t="shared" si="45"/>
        <v>8718769</v>
      </c>
      <c r="AM78" s="30">
        <f t="shared" si="45"/>
        <v>30552751</v>
      </c>
      <c r="AN78" s="31">
        <f t="shared" si="45"/>
        <v>0</v>
      </c>
      <c r="AO78" s="30">
        <f t="shared" si="45"/>
        <v>8718769</v>
      </c>
      <c r="AP78" s="30">
        <f t="shared" si="45"/>
        <v>30552751</v>
      </c>
      <c r="AQ78" s="31">
        <f t="shared" si="45"/>
        <v>0</v>
      </c>
      <c r="AR78" s="30">
        <f>AR79+AR80</f>
        <v>8568168</v>
      </c>
      <c r="AS78" s="30">
        <f t="shared" si="45"/>
        <v>30402150</v>
      </c>
      <c r="AT78" s="30">
        <f t="shared" si="38"/>
        <v>30402150</v>
      </c>
      <c r="AU78" s="176">
        <f t="shared" si="39"/>
        <v>82398252</v>
      </c>
      <c r="AV78" s="177">
        <f t="shared" si="40"/>
        <v>0</v>
      </c>
      <c r="AW78" s="176">
        <f t="shared" si="41"/>
        <v>150601</v>
      </c>
      <c r="AX78" s="32">
        <f t="shared" si="42"/>
        <v>0.27049561481096368</v>
      </c>
    </row>
    <row r="79" spans="1:50" ht="18.75" customHeight="1" x14ac:dyDescent="0.2">
      <c r="A79" s="14" t="s">
        <v>55</v>
      </c>
      <c r="B79" s="15" t="s">
        <v>56</v>
      </c>
      <c r="C79" s="15"/>
      <c r="D79" s="15" t="s">
        <v>40</v>
      </c>
      <c r="E79" s="15"/>
      <c r="F79" s="15"/>
      <c r="G79" s="15" t="s">
        <v>41</v>
      </c>
      <c r="H79" s="15"/>
      <c r="I79" s="15" t="s">
        <v>936</v>
      </c>
      <c r="J79" s="15"/>
      <c r="K79" s="15" t="s">
        <v>932</v>
      </c>
      <c r="L79" s="15"/>
      <c r="M79" s="15" t="s">
        <v>933</v>
      </c>
      <c r="N79" s="15"/>
      <c r="O79" s="15" t="s">
        <v>938</v>
      </c>
      <c r="P79" s="15"/>
      <c r="Q79" s="15" t="s">
        <v>939</v>
      </c>
      <c r="R79" s="15"/>
      <c r="S79" s="15" t="s">
        <v>940</v>
      </c>
      <c r="T79" s="15">
        <v>0</v>
      </c>
      <c r="U79" s="15">
        <v>0</v>
      </c>
      <c r="V79" s="15">
        <v>0</v>
      </c>
      <c r="W79" s="15">
        <v>0</v>
      </c>
      <c r="X79" s="15" t="s">
        <v>937</v>
      </c>
      <c r="Y79" s="15"/>
      <c r="Z79" s="15"/>
      <c r="AA79" s="16" t="s">
        <v>163</v>
      </c>
      <c r="AB79" s="17" t="s">
        <v>162</v>
      </c>
      <c r="AC79" s="17" t="s">
        <v>58</v>
      </c>
      <c r="AD79" s="18">
        <v>104149973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18">
        <v>104149973</v>
      </c>
      <c r="AK79" s="34">
        <v>0</v>
      </c>
      <c r="AL79" s="18">
        <v>8718769</v>
      </c>
      <c r="AM79" s="18">
        <v>29829000</v>
      </c>
      <c r="AN79" s="34">
        <v>0</v>
      </c>
      <c r="AO79" s="18">
        <f>AP79-ABRIL!AP79</f>
        <v>8718769</v>
      </c>
      <c r="AP79" s="18">
        <v>29829000</v>
      </c>
      <c r="AQ79" s="34">
        <v>0</v>
      </c>
      <c r="AR79" s="18">
        <v>8568168</v>
      </c>
      <c r="AS79" s="18">
        <v>29678399</v>
      </c>
      <c r="AT79" s="39">
        <f t="shared" si="38"/>
        <v>29678399</v>
      </c>
      <c r="AU79" s="18">
        <f t="shared" si="39"/>
        <v>74320973</v>
      </c>
      <c r="AV79" s="34">
        <f t="shared" si="40"/>
        <v>0</v>
      </c>
      <c r="AW79" s="18">
        <f t="shared" si="41"/>
        <v>150601</v>
      </c>
      <c r="AX79" s="32">
        <f t="shared" si="42"/>
        <v>0.28640429892382208</v>
      </c>
    </row>
    <row r="80" spans="1:50" ht="18.75" customHeight="1" x14ac:dyDescent="0.2">
      <c r="A80" s="14" t="s">
        <v>55</v>
      </c>
      <c r="B80" s="15" t="s">
        <v>56</v>
      </c>
      <c r="C80" s="15"/>
      <c r="D80" s="15" t="s">
        <v>40</v>
      </c>
      <c r="E80" s="15"/>
      <c r="F80" s="15"/>
      <c r="G80" s="15" t="s">
        <v>41</v>
      </c>
      <c r="H80" s="15"/>
      <c r="I80" s="15" t="s">
        <v>941</v>
      </c>
      <c r="J80" s="15"/>
      <c r="K80" s="15" t="s">
        <v>932</v>
      </c>
      <c r="L80" s="15"/>
      <c r="M80" s="15" t="s">
        <v>933</v>
      </c>
      <c r="N80" s="15"/>
      <c r="O80" s="15" t="s">
        <v>938</v>
      </c>
      <c r="P80" s="15"/>
      <c r="Q80" s="15" t="s">
        <v>939</v>
      </c>
      <c r="R80" s="15"/>
      <c r="S80" s="15" t="s">
        <v>940</v>
      </c>
      <c r="T80" s="15">
        <v>0</v>
      </c>
      <c r="U80" s="15">
        <v>0</v>
      </c>
      <c r="V80" s="15">
        <v>0</v>
      </c>
      <c r="W80" s="15">
        <v>0</v>
      </c>
      <c r="X80" s="15" t="s">
        <v>937</v>
      </c>
      <c r="Y80" s="15"/>
      <c r="Z80" s="15"/>
      <c r="AA80" s="16" t="s">
        <v>164</v>
      </c>
      <c r="AB80" s="17" t="s">
        <v>165</v>
      </c>
      <c r="AC80" s="17" t="s">
        <v>61</v>
      </c>
      <c r="AD80" s="18">
        <v>8801030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18">
        <v>8801030</v>
      </c>
      <c r="AK80" s="34">
        <v>0</v>
      </c>
      <c r="AL80" s="34">
        <v>0</v>
      </c>
      <c r="AM80" s="34">
        <v>723751</v>
      </c>
      <c r="AN80" s="34">
        <v>0</v>
      </c>
      <c r="AO80" s="18">
        <f>AP80-ABRIL!AP80</f>
        <v>0</v>
      </c>
      <c r="AP80" s="18">
        <v>723751</v>
      </c>
      <c r="AQ80" s="34">
        <v>0</v>
      </c>
      <c r="AR80" s="18">
        <v>0</v>
      </c>
      <c r="AS80" s="18">
        <v>723751</v>
      </c>
      <c r="AT80" s="39">
        <f t="shared" si="38"/>
        <v>723751</v>
      </c>
      <c r="AU80" s="18">
        <f t="shared" si="39"/>
        <v>8077279</v>
      </c>
      <c r="AV80" s="34">
        <f t="shared" si="40"/>
        <v>0</v>
      </c>
      <c r="AW80" s="18">
        <f t="shared" si="41"/>
        <v>0</v>
      </c>
      <c r="AX80" s="32">
        <f t="shared" si="42"/>
        <v>8.2234806607862948E-2</v>
      </c>
    </row>
    <row r="81" spans="1:50" ht="29.25" customHeight="1" x14ac:dyDescent="0.2">
      <c r="A81" s="14" t="s">
        <v>49</v>
      </c>
      <c r="B81" s="15" t="s">
        <v>50</v>
      </c>
      <c r="C81" s="15"/>
      <c r="D81" s="15" t="s">
        <v>40</v>
      </c>
      <c r="E81" s="15"/>
      <c r="F81" s="15"/>
      <c r="G81" s="15" t="s">
        <v>41</v>
      </c>
      <c r="H81" s="15"/>
      <c r="I81" s="15" t="s">
        <v>936</v>
      </c>
      <c r="J81" s="15"/>
      <c r="K81" s="15" t="s">
        <v>932</v>
      </c>
      <c r="L81" s="15"/>
      <c r="M81" s="15" t="s">
        <v>933</v>
      </c>
      <c r="N81" s="15"/>
      <c r="O81" s="15" t="s">
        <v>938</v>
      </c>
      <c r="P81" s="15"/>
      <c r="Q81" s="15" t="s">
        <v>939</v>
      </c>
      <c r="R81" s="15"/>
      <c r="S81" s="15" t="s">
        <v>940</v>
      </c>
      <c r="T81" s="15">
        <v>0</v>
      </c>
      <c r="U81" s="15">
        <v>0</v>
      </c>
      <c r="V81" s="15">
        <v>0</v>
      </c>
      <c r="W81" s="15">
        <v>0</v>
      </c>
      <c r="X81" s="15" t="s">
        <v>937</v>
      </c>
      <c r="Y81" s="15"/>
      <c r="Z81" s="15"/>
      <c r="AA81" s="16" t="s">
        <v>166</v>
      </c>
      <c r="AB81" s="17" t="s">
        <v>167</v>
      </c>
      <c r="AC81" s="17" t="s">
        <v>56</v>
      </c>
      <c r="AD81" s="18">
        <v>60643852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18">
        <v>60643852</v>
      </c>
      <c r="AK81" s="34">
        <v>0</v>
      </c>
      <c r="AL81" s="34">
        <v>19252016</v>
      </c>
      <c r="AM81" s="34">
        <v>19252016</v>
      </c>
      <c r="AN81" s="34">
        <v>0</v>
      </c>
      <c r="AO81" s="18">
        <f>AP81-ABRIL!AP81</f>
        <v>19252016</v>
      </c>
      <c r="AP81" s="34">
        <v>19252016</v>
      </c>
      <c r="AQ81" s="34">
        <v>0</v>
      </c>
      <c r="AR81" s="34">
        <v>0</v>
      </c>
      <c r="AS81" s="34">
        <v>0</v>
      </c>
      <c r="AT81" s="40">
        <f t="shared" si="38"/>
        <v>0</v>
      </c>
      <c r="AU81" s="18">
        <f t="shared" si="39"/>
        <v>41391836</v>
      </c>
      <c r="AV81" s="34">
        <f t="shared" si="40"/>
        <v>0</v>
      </c>
      <c r="AW81" s="18">
        <f t="shared" si="41"/>
        <v>19252016</v>
      </c>
      <c r="AX81" s="32">
        <f t="shared" si="42"/>
        <v>0.31746030908458783</v>
      </c>
    </row>
    <row r="82" spans="1:50" ht="18.75" customHeight="1" x14ac:dyDescent="0.2">
      <c r="A82" s="35" t="s">
        <v>49</v>
      </c>
      <c r="B82" s="36" t="s">
        <v>50</v>
      </c>
      <c r="C82" s="36"/>
      <c r="D82" s="36" t="s">
        <v>40</v>
      </c>
      <c r="E82" s="36"/>
      <c r="F82" s="36"/>
      <c r="G82" s="36" t="s">
        <v>41</v>
      </c>
      <c r="H82" s="36"/>
      <c r="I82" s="36" t="s">
        <v>936</v>
      </c>
      <c r="J82" s="36"/>
      <c r="K82" s="36" t="s">
        <v>932</v>
      </c>
      <c r="L82" s="36"/>
      <c r="M82" s="36" t="s">
        <v>933</v>
      </c>
      <c r="N82" s="36"/>
      <c r="O82" s="36" t="s">
        <v>938</v>
      </c>
      <c r="P82" s="36"/>
      <c r="Q82" s="36" t="s">
        <v>939</v>
      </c>
      <c r="R82" s="36"/>
      <c r="S82" s="36" t="s">
        <v>940</v>
      </c>
      <c r="T82" s="36">
        <v>0</v>
      </c>
      <c r="U82" s="36">
        <v>0</v>
      </c>
      <c r="V82" s="36">
        <v>0</v>
      </c>
      <c r="W82" s="36">
        <v>0</v>
      </c>
      <c r="X82" s="36" t="s">
        <v>937</v>
      </c>
      <c r="Y82" s="36"/>
      <c r="Z82" s="36"/>
      <c r="AA82" s="37" t="s">
        <v>168</v>
      </c>
      <c r="AB82" s="38" t="s">
        <v>169</v>
      </c>
      <c r="AC82" s="38" t="s">
        <v>56</v>
      </c>
      <c r="AD82" s="39">
        <v>15160962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39">
        <v>15160962</v>
      </c>
      <c r="AK82" s="40">
        <v>0</v>
      </c>
      <c r="AL82" s="40">
        <v>0</v>
      </c>
      <c r="AM82" s="40">
        <v>0</v>
      </c>
      <c r="AN82" s="40">
        <v>0</v>
      </c>
      <c r="AO82" s="18">
        <f>AP82-ABRIL!AP82</f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f t="shared" si="38"/>
        <v>0</v>
      </c>
      <c r="AU82" s="18">
        <f t="shared" si="39"/>
        <v>15160962</v>
      </c>
      <c r="AV82" s="34">
        <f t="shared" si="40"/>
        <v>0</v>
      </c>
      <c r="AW82" s="18">
        <f t="shared" si="41"/>
        <v>0</v>
      </c>
      <c r="AX82" s="32">
        <f t="shared" si="42"/>
        <v>0</v>
      </c>
    </row>
    <row r="83" spans="1:50" ht="18.75" customHeight="1" x14ac:dyDescent="0.2">
      <c r="A83" s="14" t="s">
        <v>55</v>
      </c>
      <c r="B83" s="15" t="s">
        <v>56</v>
      </c>
      <c r="C83" s="15"/>
      <c r="D83" s="15" t="s">
        <v>40</v>
      </c>
      <c r="E83" s="15"/>
      <c r="F83" s="15"/>
      <c r="G83" s="15" t="s">
        <v>41</v>
      </c>
      <c r="H83" s="15"/>
      <c r="I83" s="15" t="s">
        <v>936</v>
      </c>
      <c r="J83" s="15"/>
      <c r="K83" s="15" t="s">
        <v>932</v>
      </c>
      <c r="L83" s="15"/>
      <c r="M83" s="15" t="s">
        <v>933</v>
      </c>
      <c r="N83" s="15"/>
      <c r="O83" s="15" t="s">
        <v>938</v>
      </c>
      <c r="P83" s="15"/>
      <c r="Q83" s="15" t="s">
        <v>939</v>
      </c>
      <c r="R83" s="15"/>
      <c r="S83" s="15" t="s">
        <v>940</v>
      </c>
      <c r="T83" s="15">
        <v>0</v>
      </c>
      <c r="U83" s="15">
        <v>0</v>
      </c>
      <c r="V83" s="15">
        <v>0</v>
      </c>
      <c r="W83" s="15">
        <v>0</v>
      </c>
      <c r="X83" s="15" t="s">
        <v>937</v>
      </c>
      <c r="Y83" s="15"/>
      <c r="Z83" s="15"/>
      <c r="AA83" s="16" t="s">
        <v>170</v>
      </c>
      <c r="AB83" s="17" t="s">
        <v>171</v>
      </c>
      <c r="AC83" s="17" t="s">
        <v>58</v>
      </c>
      <c r="AD83" s="18">
        <v>35475597</v>
      </c>
      <c r="AE83" s="34">
        <v>0</v>
      </c>
      <c r="AF83" s="34">
        <v>0</v>
      </c>
      <c r="AG83" s="34">
        <v>0</v>
      </c>
      <c r="AH83" s="34">
        <v>0</v>
      </c>
      <c r="AI83" s="34">
        <v>0</v>
      </c>
      <c r="AJ83" s="18">
        <v>35475597</v>
      </c>
      <c r="AK83" s="34">
        <v>0</v>
      </c>
      <c r="AL83" s="34">
        <v>0</v>
      </c>
      <c r="AM83" s="34">
        <v>0</v>
      </c>
      <c r="AN83" s="34">
        <v>0</v>
      </c>
      <c r="AO83" s="18">
        <f>AP83-ABRIL!AP83</f>
        <v>0</v>
      </c>
      <c r="AP83" s="34">
        <v>0</v>
      </c>
      <c r="AQ83" s="34">
        <v>0</v>
      </c>
      <c r="AR83" s="34">
        <v>0</v>
      </c>
      <c r="AS83" s="34">
        <v>0</v>
      </c>
      <c r="AT83" s="40">
        <f t="shared" si="38"/>
        <v>0</v>
      </c>
      <c r="AU83" s="18">
        <f t="shared" si="39"/>
        <v>35475597</v>
      </c>
      <c r="AV83" s="34">
        <f t="shared" si="40"/>
        <v>0</v>
      </c>
      <c r="AW83" s="18">
        <f t="shared" si="41"/>
        <v>0</v>
      </c>
      <c r="AX83" s="32">
        <f t="shared" si="42"/>
        <v>0</v>
      </c>
    </row>
    <row r="84" spans="1:50" ht="18.75" customHeight="1" x14ac:dyDescent="0.2">
      <c r="A84" s="35" t="s">
        <v>55</v>
      </c>
      <c r="B84" s="36" t="s">
        <v>56</v>
      </c>
      <c r="C84" s="36"/>
      <c r="D84" s="36" t="s">
        <v>40</v>
      </c>
      <c r="E84" s="36"/>
      <c r="F84" s="36"/>
      <c r="G84" s="36" t="s">
        <v>41</v>
      </c>
      <c r="H84" s="36"/>
      <c r="I84" s="36" t="s">
        <v>936</v>
      </c>
      <c r="J84" s="36"/>
      <c r="K84" s="36" t="s">
        <v>932</v>
      </c>
      <c r="L84" s="36"/>
      <c r="M84" s="36" t="s">
        <v>933</v>
      </c>
      <c r="N84" s="36"/>
      <c r="O84" s="36" t="s">
        <v>938</v>
      </c>
      <c r="P84" s="36"/>
      <c r="Q84" s="36" t="s">
        <v>939</v>
      </c>
      <c r="R84" s="36"/>
      <c r="S84" s="36" t="s">
        <v>940</v>
      </c>
      <c r="T84" s="36">
        <v>0</v>
      </c>
      <c r="U84" s="36">
        <v>0</v>
      </c>
      <c r="V84" s="36">
        <v>0</v>
      </c>
      <c r="W84" s="36">
        <v>0</v>
      </c>
      <c r="X84" s="36" t="s">
        <v>937</v>
      </c>
      <c r="Y84" s="36"/>
      <c r="Z84" s="36"/>
      <c r="AA84" s="37" t="s">
        <v>172</v>
      </c>
      <c r="AB84" s="38" t="s">
        <v>173</v>
      </c>
      <c r="AC84" s="38" t="s">
        <v>58</v>
      </c>
      <c r="AD84" s="39">
        <v>49855036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39">
        <v>49855036</v>
      </c>
      <c r="AK84" s="40">
        <v>0</v>
      </c>
      <c r="AL84" s="39">
        <v>9655287</v>
      </c>
      <c r="AM84" s="39">
        <v>47967080</v>
      </c>
      <c r="AN84" s="40">
        <v>0</v>
      </c>
      <c r="AO84" s="18">
        <f>AP84-ABRIL!AP84</f>
        <v>9655287</v>
      </c>
      <c r="AP84" s="39">
        <v>47967080</v>
      </c>
      <c r="AQ84" s="40">
        <v>0</v>
      </c>
      <c r="AR84" s="39">
        <v>0</v>
      </c>
      <c r="AS84" s="39">
        <v>38311793</v>
      </c>
      <c r="AT84" s="39">
        <f t="shared" si="38"/>
        <v>38311793</v>
      </c>
      <c r="AU84" s="18">
        <f t="shared" si="39"/>
        <v>1887956</v>
      </c>
      <c r="AV84" s="34">
        <f t="shared" si="40"/>
        <v>0</v>
      </c>
      <c r="AW84" s="18">
        <f t="shared" si="41"/>
        <v>9655287</v>
      </c>
      <c r="AX84" s="32">
        <f t="shared" si="42"/>
        <v>0.96213108741913256</v>
      </c>
    </row>
    <row r="85" spans="1:50" ht="18.75" customHeight="1" x14ac:dyDescent="0.2">
      <c r="A85" s="14" t="s">
        <v>55</v>
      </c>
      <c r="B85" s="15" t="s">
        <v>56</v>
      </c>
      <c r="C85" s="15"/>
      <c r="D85" s="15" t="s">
        <v>40</v>
      </c>
      <c r="E85" s="15"/>
      <c r="F85" s="15"/>
      <c r="G85" s="15" t="s">
        <v>41</v>
      </c>
      <c r="H85" s="15"/>
      <c r="I85" s="15" t="s">
        <v>936</v>
      </c>
      <c r="J85" s="15"/>
      <c r="K85" s="15" t="s">
        <v>932</v>
      </c>
      <c r="L85" s="15"/>
      <c r="M85" s="15" t="s">
        <v>933</v>
      </c>
      <c r="N85" s="15"/>
      <c r="O85" s="15" t="s">
        <v>938</v>
      </c>
      <c r="P85" s="15"/>
      <c r="Q85" s="15" t="s">
        <v>942</v>
      </c>
      <c r="R85" s="15"/>
      <c r="S85" s="15" t="s">
        <v>940</v>
      </c>
      <c r="T85" s="15">
        <v>0</v>
      </c>
      <c r="U85" s="15">
        <v>0</v>
      </c>
      <c r="V85" s="15">
        <v>0</v>
      </c>
      <c r="W85" s="15">
        <v>0</v>
      </c>
      <c r="X85" s="15" t="s">
        <v>937</v>
      </c>
      <c r="Y85" s="15"/>
      <c r="Z85" s="15"/>
      <c r="AA85" s="16" t="s">
        <v>174</v>
      </c>
      <c r="AB85" s="17" t="s">
        <v>175</v>
      </c>
      <c r="AC85" s="17" t="s">
        <v>58</v>
      </c>
      <c r="AD85" s="18">
        <v>300000000</v>
      </c>
      <c r="AE85" s="34">
        <v>0</v>
      </c>
      <c r="AF85" s="34">
        <v>0</v>
      </c>
      <c r="AG85" s="34">
        <v>0</v>
      </c>
      <c r="AH85" s="34">
        <v>0</v>
      </c>
      <c r="AI85" s="34">
        <v>0</v>
      </c>
      <c r="AJ85" s="18">
        <v>300000000</v>
      </c>
      <c r="AK85" s="34">
        <v>0</v>
      </c>
      <c r="AL85" s="18">
        <v>28648851</v>
      </c>
      <c r="AM85" s="18">
        <v>140094707</v>
      </c>
      <c r="AN85" s="34">
        <v>0</v>
      </c>
      <c r="AO85" s="18">
        <f>AP85-ABRIL!AP85</f>
        <v>28648851</v>
      </c>
      <c r="AP85" s="18">
        <v>140094707</v>
      </c>
      <c r="AQ85" s="34">
        <v>0</v>
      </c>
      <c r="AR85" s="18">
        <v>28648851</v>
      </c>
      <c r="AS85" s="18">
        <v>140094707</v>
      </c>
      <c r="AT85" s="39">
        <f t="shared" si="38"/>
        <v>140094707</v>
      </c>
      <c r="AU85" s="18">
        <f t="shared" si="39"/>
        <v>159905293</v>
      </c>
      <c r="AV85" s="34">
        <f t="shared" si="40"/>
        <v>0</v>
      </c>
      <c r="AW85" s="34">
        <f t="shared" si="41"/>
        <v>0</v>
      </c>
      <c r="AX85" s="32">
        <f t="shared" si="42"/>
        <v>0.46698235666666665</v>
      </c>
    </row>
    <row r="86" spans="1:50" s="25" customFormat="1" ht="18.75" customHeight="1" x14ac:dyDescent="0.2">
      <c r="A86" s="19" t="s">
        <v>55</v>
      </c>
      <c r="B86" s="19" t="s">
        <v>56</v>
      </c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26" t="s">
        <v>176</v>
      </c>
      <c r="AB86" s="21" t="s">
        <v>177</v>
      </c>
      <c r="AC86" s="22" t="s">
        <v>37</v>
      </c>
      <c r="AD86" s="22">
        <f>AD87</f>
        <v>23932782621</v>
      </c>
      <c r="AE86" s="23">
        <f t="shared" ref="AE86:AW86" si="46">AE87</f>
        <v>0</v>
      </c>
      <c r="AF86" s="23">
        <f t="shared" si="46"/>
        <v>0</v>
      </c>
      <c r="AG86" s="22">
        <f t="shared" si="46"/>
        <v>2564200000</v>
      </c>
      <c r="AH86" s="22">
        <f t="shared" si="46"/>
        <v>2394200000</v>
      </c>
      <c r="AI86" s="22">
        <f>AI87</f>
        <v>170000000</v>
      </c>
      <c r="AJ86" s="22">
        <f t="shared" si="46"/>
        <v>24102782621</v>
      </c>
      <c r="AK86" s="23">
        <f t="shared" si="46"/>
        <v>0</v>
      </c>
      <c r="AL86" s="22">
        <f t="shared" si="46"/>
        <v>853101164</v>
      </c>
      <c r="AM86" s="22">
        <f t="shared" si="46"/>
        <v>19942498559.84</v>
      </c>
      <c r="AN86" s="22">
        <f t="shared" si="46"/>
        <v>39100000</v>
      </c>
      <c r="AO86" s="22">
        <f t="shared" si="46"/>
        <v>628116010</v>
      </c>
      <c r="AP86" s="22">
        <f t="shared" si="46"/>
        <v>18726292405.41</v>
      </c>
      <c r="AQ86" s="108">
        <f t="shared" si="46"/>
        <v>2645225652</v>
      </c>
      <c r="AR86" s="22">
        <f t="shared" si="46"/>
        <v>1482371205.45</v>
      </c>
      <c r="AS86" s="22">
        <f t="shared" si="46"/>
        <v>4786735957.5600004</v>
      </c>
      <c r="AT86" s="22">
        <f t="shared" si="38"/>
        <v>7431961609.5600004</v>
      </c>
      <c r="AU86" s="22">
        <f t="shared" si="46"/>
        <v>4160284061.1599998</v>
      </c>
      <c r="AV86" s="22">
        <f t="shared" si="46"/>
        <v>1216206154.4300003</v>
      </c>
      <c r="AW86" s="22">
        <f t="shared" si="46"/>
        <v>11294330795.85</v>
      </c>
      <c r="AX86" s="24">
        <f t="shared" si="42"/>
        <v>0.7769348751083357</v>
      </c>
    </row>
    <row r="87" spans="1:50" s="25" customFormat="1" ht="18.75" customHeight="1" x14ac:dyDescent="0.2">
      <c r="A87" s="19" t="s">
        <v>55</v>
      </c>
      <c r="B87" s="19" t="s">
        <v>56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26" t="s">
        <v>178</v>
      </c>
      <c r="AB87" s="21" t="s">
        <v>179</v>
      </c>
      <c r="AC87" s="22" t="s">
        <v>37</v>
      </c>
      <c r="AD87" s="22">
        <f>AD88+AD92</f>
        <v>23932782621</v>
      </c>
      <c r="AE87" s="23">
        <f t="shared" ref="AE87:AW87" si="47">AE88+AE92</f>
        <v>0</v>
      </c>
      <c r="AF87" s="23">
        <f t="shared" si="47"/>
        <v>0</v>
      </c>
      <c r="AG87" s="22">
        <f t="shared" si="47"/>
        <v>2564200000</v>
      </c>
      <c r="AH87" s="22">
        <f t="shared" si="47"/>
        <v>2394200000</v>
      </c>
      <c r="AI87" s="22">
        <f>AI88+AI92</f>
        <v>170000000</v>
      </c>
      <c r="AJ87" s="22">
        <f t="shared" si="47"/>
        <v>24102782621</v>
      </c>
      <c r="AK87" s="23">
        <f t="shared" si="47"/>
        <v>0</v>
      </c>
      <c r="AL87" s="22">
        <f t="shared" si="47"/>
        <v>853101164</v>
      </c>
      <c r="AM87" s="22">
        <f t="shared" si="47"/>
        <v>19942498559.84</v>
      </c>
      <c r="AN87" s="22">
        <f t="shared" si="47"/>
        <v>39100000</v>
      </c>
      <c r="AO87" s="22">
        <f t="shared" si="47"/>
        <v>628116010</v>
      </c>
      <c r="AP87" s="22">
        <f t="shared" si="47"/>
        <v>18726292405.41</v>
      </c>
      <c r="AQ87" s="108">
        <f t="shared" si="47"/>
        <v>2645225652</v>
      </c>
      <c r="AR87" s="22">
        <f t="shared" si="47"/>
        <v>1482371205.45</v>
      </c>
      <c r="AS87" s="22">
        <f t="shared" si="47"/>
        <v>4786735957.5600004</v>
      </c>
      <c r="AT87" s="22">
        <f t="shared" si="38"/>
        <v>7431961609.5600004</v>
      </c>
      <c r="AU87" s="22">
        <f t="shared" si="47"/>
        <v>4160284061.1599998</v>
      </c>
      <c r="AV87" s="22">
        <f t="shared" si="47"/>
        <v>1216206154.4300003</v>
      </c>
      <c r="AW87" s="22">
        <f t="shared" si="47"/>
        <v>11294330795.85</v>
      </c>
      <c r="AX87" s="24">
        <f t="shared" si="42"/>
        <v>0.7769348751083357</v>
      </c>
    </row>
    <row r="88" spans="1:50" s="25" customFormat="1" ht="18.75" customHeight="1" x14ac:dyDescent="0.2">
      <c r="A88" s="19" t="s">
        <v>55</v>
      </c>
      <c r="B88" s="19" t="s">
        <v>56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26" t="s">
        <v>180</v>
      </c>
      <c r="AB88" s="21" t="s">
        <v>181</v>
      </c>
      <c r="AC88" s="22" t="s">
        <v>37</v>
      </c>
      <c r="AD88" s="22">
        <f>AD89+AD90+AD91</f>
        <v>918000000</v>
      </c>
      <c r="AE88" s="23">
        <f t="shared" ref="AE88:AW88" si="48">AE89+AE90+AE91</f>
        <v>0</v>
      </c>
      <c r="AF88" s="23">
        <f t="shared" si="48"/>
        <v>0</v>
      </c>
      <c r="AG88" s="22">
        <f t="shared" si="48"/>
        <v>300000000</v>
      </c>
      <c r="AH88" s="23">
        <f t="shared" si="48"/>
        <v>0</v>
      </c>
      <c r="AI88" s="22">
        <f t="shared" si="48"/>
        <v>300000000</v>
      </c>
      <c r="AJ88" s="22">
        <f t="shared" si="48"/>
        <v>1218000000</v>
      </c>
      <c r="AK88" s="23">
        <f t="shared" si="48"/>
        <v>0</v>
      </c>
      <c r="AL88" s="22">
        <f t="shared" si="48"/>
        <v>94840751</v>
      </c>
      <c r="AM88" s="22">
        <f t="shared" si="48"/>
        <v>706338260</v>
      </c>
      <c r="AN88" s="23">
        <f t="shared" si="48"/>
        <v>0</v>
      </c>
      <c r="AO88" s="22">
        <f t="shared" si="48"/>
        <v>6535630</v>
      </c>
      <c r="AP88" s="22">
        <f t="shared" si="48"/>
        <v>223562470</v>
      </c>
      <c r="AQ88" s="23">
        <f t="shared" si="48"/>
        <v>49360</v>
      </c>
      <c r="AR88" s="22">
        <f t="shared" si="48"/>
        <v>18263870.449999999</v>
      </c>
      <c r="AS88" s="22">
        <f t="shared" si="48"/>
        <v>45323122.020000003</v>
      </c>
      <c r="AT88" s="22">
        <f t="shared" si="38"/>
        <v>45372482.020000003</v>
      </c>
      <c r="AU88" s="22">
        <f t="shared" si="48"/>
        <v>511661740</v>
      </c>
      <c r="AV88" s="23">
        <f t="shared" si="48"/>
        <v>482775790</v>
      </c>
      <c r="AW88" s="22">
        <f t="shared" si="48"/>
        <v>178189987.97999999</v>
      </c>
      <c r="AX88" s="24">
        <f t="shared" si="42"/>
        <v>0.18354882594417077</v>
      </c>
    </row>
    <row r="89" spans="1:50" ht="29.25" customHeight="1" x14ac:dyDescent="0.2">
      <c r="A89" s="35" t="s">
        <v>55</v>
      </c>
      <c r="B89" s="36" t="s">
        <v>56</v>
      </c>
      <c r="C89" s="36"/>
      <c r="D89" s="36" t="s">
        <v>40</v>
      </c>
      <c r="E89" s="36"/>
      <c r="F89" s="36"/>
      <c r="G89" s="36" t="s">
        <v>41</v>
      </c>
      <c r="H89" s="36"/>
      <c r="I89" s="36" t="s">
        <v>936</v>
      </c>
      <c r="J89" s="36"/>
      <c r="K89" s="36" t="s">
        <v>932</v>
      </c>
      <c r="L89" s="36"/>
      <c r="M89" s="36" t="s">
        <v>933</v>
      </c>
      <c r="N89" s="36"/>
      <c r="O89" s="36" t="s">
        <v>938</v>
      </c>
      <c r="P89" s="36"/>
      <c r="Q89" s="36" t="s">
        <v>942</v>
      </c>
      <c r="R89" s="36"/>
      <c r="S89" s="36" t="s">
        <v>940</v>
      </c>
      <c r="T89" s="36">
        <v>0</v>
      </c>
      <c r="U89" s="36">
        <v>0</v>
      </c>
      <c r="V89" s="36">
        <v>0</v>
      </c>
      <c r="W89" s="36">
        <v>0</v>
      </c>
      <c r="X89" s="36" t="s">
        <v>937</v>
      </c>
      <c r="Y89" s="36"/>
      <c r="Z89" s="36"/>
      <c r="AA89" s="37" t="s">
        <v>182</v>
      </c>
      <c r="AB89" s="38" t="s">
        <v>183</v>
      </c>
      <c r="AC89" s="38" t="s">
        <v>58</v>
      </c>
      <c r="AD89" s="39">
        <v>50000000</v>
      </c>
      <c r="AE89" s="40">
        <v>0</v>
      </c>
      <c r="AF89" s="40">
        <v>0</v>
      </c>
      <c r="AG89" s="40">
        <v>0</v>
      </c>
      <c r="AH89" s="40">
        <v>0</v>
      </c>
      <c r="AI89" s="40">
        <v>0</v>
      </c>
      <c r="AJ89" s="39">
        <v>50000000</v>
      </c>
      <c r="AK89" s="40">
        <v>0</v>
      </c>
      <c r="AL89" s="39">
        <v>50000000</v>
      </c>
      <c r="AM89" s="39">
        <v>50000000</v>
      </c>
      <c r="AN89" s="40">
        <v>0</v>
      </c>
      <c r="AO89" s="40">
        <v>0</v>
      </c>
      <c r="AP89" s="40">
        <v>0</v>
      </c>
      <c r="AQ89" s="40">
        <v>0</v>
      </c>
      <c r="AR89" s="40">
        <v>0</v>
      </c>
      <c r="AS89" s="40">
        <v>0</v>
      </c>
      <c r="AT89" s="31">
        <f t="shared" si="38"/>
        <v>0</v>
      </c>
      <c r="AU89" s="18">
        <f>AJ89-AM89</f>
        <v>0</v>
      </c>
      <c r="AV89" s="18">
        <f>AM89-AP89</f>
        <v>50000000</v>
      </c>
      <c r="AW89" s="34">
        <f>AP89-AT89</f>
        <v>0</v>
      </c>
      <c r="AX89" s="32">
        <f t="shared" si="42"/>
        <v>0</v>
      </c>
    </row>
    <row r="90" spans="1:50" ht="32.25" customHeight="1" x14ac:dyDescent="0.2">
      <c r="A90" s="14" t="s">
        <v>55</v>
      </c>
      <c r="B90" s="15" t="s">
        <v>56</v>
      </c>
      <c r="C90" s="15"/>
      <c r="D90" s="15" t="s">
        <v>40</v>
      </c>
      <c r="E90" s="15"/>
      <c r="F90" s="15"/>
      <c r="G90" s="15" t="s">
        <v>41</v>
      </c>
      <c r="H90" s="15"/>
      <c r="I90" s="15" t="s">
        <v>936</v>
      </c>
      <c r="J90" s="15"/>
      <c r="K90" s="15" t="s">
        <v>932</v>
      </c>
      <c r="L90" s="15"/>
      <c r="M90" s="15" t="s">
        <v>933</v>
      </c>
      <c r="N90" s="15"/>
      <c r="O90" s="15" t="s">
        <v>938</v>
      </c>
      <c r="P90" s="15"/>
      <c r="Q90" s="15" t="s">
        <v>942</v>
      </c>
      <c r="R90" s="15"/>
      <c r="S90" s="15" t="s">
        <v>940</v>
      </c>
      <c r="T90" s="15">
        <v>0</v>
      </c>
      <c r="U90" s="15">
        <v>0</v>
      </c>
      <c r="V90" s="15">
        <v>0</v>
      </c>
      <c r="W90" s="15">
        <v>0</v>
      </c>
      <c r="X90" s="15" t="s">
        <v>937</v>
      </c>
      <c r="Y90" s="15"/>
      <c r="Z90" s="15"/>
      <c r="AA90" s="16" t="s">
        <v>184</v>
      </c>
      <c r="AB90" s="17" t="s">
        <v>185</v>
      </c>
      <c r="AC90" s="17" t="s">
        <v>58</v>
      </c>
      <c r="AD90" s="18">
        <v>758000000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18">
        <v>758000000</v>
      </c>
      <c r="AK90" s="34">
        <v>0</v>
      </c>
      <c r="AL90" s="18">
        <v>44840751</v>
      </c>
      <c r="AM90" s="18">
        <v>656338260</v>
      </c>
      <c r="AN90" s="34">
        <v>0</v>
      </c>
      <c r="AO90" s="18">
        <f>AP90-ABRIL!AP90</f>
        <v>6535630</v>
      </c>
      <c r="AP90" s="18">
        <v>223562470</v>
      </c>
      <c r="AQ90" s="34">
        <v>49360</v>
      </c>
      <c r="AR90" s="18">
        <v>18263870.449999999</v>
      </c>
      <c r="AS90" s="18">
        <v>45323122.020000003</v>
      </c>
      <c r="AT90" s="39">
        <f t="shared" si="38"/>
        <v>45372482.020000003</v>
      </c>
      <c r="AU90" s="18">
        <f>AJ90-AM90</f>
        <v>101661740</v>
      </c>
      <c r="AV90" s="18">
        <f>AM90-AP90</f>
        <v>432775790</v>
      </c>
      <c r="AW90" s="18">
        <f>AP90-AT90</f>
        <v>178189987.97999999</v>
      </c>
      <c r="AX90" s="32">
        <f t="shared" si="42"/>
        <v>0.29493729551451187</v>
      </c>
    </row>
    <row r="91" spans="1:50" ht="23.25" customHeight="1" x14ac:dyDescent="0.2">
      <c r="A91" s="14" t="s">
        <v>55</v>
      </c>
      <c r="B91" s="15" t="s">
        <v>56</v>
      </c>
      <c r="C91" s="15"/>
      <c r="D91" s="15" t="s">
        <v>40</v>
      </c>
      <c r="E91" s="15"/>
      <c r="F91" s="15"/>
      <c r="G91" s="15" t="s">
        <v>41</v>
      </c>
      <c r="H91" s="15"/>
      <c r="I91" s="15" t="s">
        <v>936</v>
      </c>
      <c r="J91" s="15"/>
      <c r="K91" s="15" t="s">
        <v>932</v>
      </c>
      <c r="L91" s="15"/>
      <c r="M91" s="15" t="s">
        <v>933</v>
      </c>
      <c r="N91" s="15"/>
      <c r="O91" s="15" t="s">
        <v>938</v>
      </c>
      <c r="P91" s="15"/>
      <c r="Q91" s="15" t="s">
        <v>942</v>
      </c>
      <c r="R91" s="15"/>
      <c r="S91" s="15" t="s">
        <v>940</v>
      </c>
      <c r="T91" s="15">
        <v>0</v>
      </c>
      <c r="U91" s="15">
        <v>0</v>
      </c>
      <c r="V91" s="15">
        <v>0</v>
      </c>
      <c r="W91" s="15">
        <v>0</v>
      </c>
      <c r="X91" s="15" t="s">
        <v>937</v>
      </c>
      <c r="Y91" s="15"/>
      <c r="Z91" s="15"/>
      <c r="AA91" s="16" t="s">
        <v>186</v>
      </c>
      <c r="AB91" s="17" t="s">
        <v>187</v>
      </c>
      <c r="AC91" s="17" t="s">
        <v>58</v>
      </c>
      <c r="AD91" s="18">
        <v>110000000</v>
      </c>
      <c r="AE91" s="34">
        <v>0</v>
      </c>
      <c r="AF91" s="34">
        <v>0</v>
      </c>
      <c r="AG91" s="18">
        <v>300000000</v>
      </c>
      <c r="AH91" s="34">
        <v>0</v>
      </c>
      <c r="AI91" s="18">
        <f>AE91-AF91+AG91-AH91</f>
        <v>300000000</v>
      </c>
      <c r="AJ91" s="18">
        <f>AD91+AI91</f>
        <v>410000000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1">
        <f t="shared" si="38"/>
        <v>0</v>
      </c>
      <c r="AU91" s="18">
        <f>AJ91-AM91</f>
        <v>410000000</v>
      </c>
      <c r="AV91" s="34">
        <f>AM91-AP91</f>
        <v>0</v>
      </c>
      <c r="AW91" s="34">
        <f>AP91-AT91</f>
        <v>0</v>
      </c>
      <c r="AX91" s="32">
        <f t="shared" si="42"/>
        <v>0</v>
      </c>
    </row>
    <row r="92" spans="1:50" s="25" customFormat="1" ht="18.75" customHeight="1" x14ac:dyDescent="0.2">
      <c r="A92" s="19" t="s">
        <v>55</v>
      </c>
      <c r="B92" s="19" t="s">
        <v>56</v>
      </c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26" t="s">
        <v>188</v>
      </c>
      <c r="AB92" s="21" t="s">
        <v>189</v>
      </c>
      <c r="AC92" s="22" t="s">
        <v>56</v>
      </c>
      <c r="AD92" s="22">
        <f>SUM(AD93:AD98)</f>
        <v>23014782621</v>
      </c>
      <c r="AE92" s="23">
        <f t="shared" ref="AE92:AW92" si="49">SUM(AE93:AE98)</f>
        <v>0</v>
      </c>
      <c r="AF92" s="23">
        <f t="shared" si="49"/>
        <v>0</v>
      </c>
      <c r="AG92" s="22">
        <f t="shared" si="49"/>
        <v>2264200000</v>
      </c>
      <c r="AH92" s="22">
        <f>SUM(AH93:AH98)</f>
        <v>2394200000</v>
      </c>
      <c r="AI92" s="22">
        <f>SUM(AI93:AI98)</f>
        <v>-130000000</v>
      </c>
      <c r="AJ92" s="22">
        <f>SUM(AJ93:AJ98)</f>
        <v>22884782621</v>
      </c>
      <c r="AK92" s="23">
        <f t="shared" si="49"/>
        <v>0</v>
      </c>
      <c r="AL92" s="22">
        <f t="shared" si="49"/>
        <v>758260413</v>
      </c>
      <c r="AM92" s="22">
        <f t="shared" si="49"/>
        <v>19236160299.84</v>
      </c>
      <c r="AN92" s="22">
        <f t="shared" si="49"/>
        <v>39100000</v>
      </c>
      <c r="AO92" s="22">
        <f t="shared" si="49"/>
        <v>621580380</v>
      </c>
      <c r="AP92" s="22">
        <f t="shared" si="49"/>
        <v>18502729935.41</v>
      </c>
      <c r="AQ92" s="23">
        <f t="shared" si="49"/>
        <v>2645176292</v>
      </c>
      <c r="AR92" s="22">
        <f t="shared" si="49"/>
        <v>1464107335</v>
      </c>
      <c r="AS92" s="22">
        <f t="shared" si="49"/>
        <v>4741412835.54</v>
      </c>
      <c r="AT92" s="22">
        <f>AQ92+AS92</f>
        <v>7386589127.54</v>
      </c>
      <c r="AU92" s="22">
        <f t="shared" si="49"/>
        <v>3648622321.1599998</v>
      </c>
      <c r="AV92" s="22">
        <f t="shared" si="49"/>
        <v>733430364.43000031</v>
      </c>
      <c r="AW92" s="22">
        <f t="shared" si="49"/>
        <v>11116140807.870001</v>
      </c>
      <c r="AX92" s="24">
        <f t="shared" si="42"/>
        <v>0.80851674415430752</v>
      </c>
    </row>
    <row r="93" spans="1:50" ht="18.75" customHeight="1" x14ac:dyDescent="0.2">
      <c r="A93" s="14" t="s">
        <v>55</v>
      </c>
      <c r="B93" s="15" t="s">
        <v>56</v>
      </c>
      <c r="C93" s="15"/>
      <c r="D93" s="15" t="s">
        <v>40</v>
      </c>
      <c r="E93" s="15"/>
      <c r="F93" s="15"/>
      <c r="G93" s="15" t="s">
        <v>41</v>
      </c>
      <c r="H93" s="15"/>
      <c r="I93" s="15" t="s">
        <v>936</v>
      </c>
      <c r="J93" s="15"/>
      <c r="K93" s="15" t="s">
        <v>932</v>
      </c>
      <c r="L93" s="15"/>
      <c r="M93" s="15" t="s">
        <v>933</v>
      </c>
      <c r="N93" s="15"/>
      <c r="O93" s="15" t="s">
        <v>938</v>
      </c>
      <c r="P93" s="15"/>
      <c r="Q93" s="15" t="s">
        <v>942</v>
      </c>
      <c r="R93" s="15"/>
      <c r="S93" s="15" t="s">
        <v>940</v>
      </c>
      <c r="T93" s="15">
        <v>0</v>
      </c>
      <c r="U93" s="15">
        <v>0</v>
      </c>
      <c r="V93" s="15">
        <v>0</v>
      </c>
      <c r="W93" s="15">
        <v>0</v>
      </c>
      <c r="X93" s="15" t="s">
        <v>937</v>
      </c>
      <c r="Y93" s="15"/>
      <c r="Z93" s="15"/>
      <c r="AA93" s="16" t="s">
        <v>190</v>
      </c>
      <c r="AB93" s="17" t="s">
        <v>191</v>
      </c>
      <c r="AC93" s="17" t="s">
        <v>58</v>
      </c>
      <c r="AD93" s="18">
        <v>200000000</v>
      </c>
      <c r="AE93" s="34">
        <v>0</v>
      </c>
      <c r="AF93" s="34">
        <v>0</v>
      </c>
      <c r="AG93" s="34">
        <v>0</v>
      </c>
      <c r="AH93" s="18">
        <f>90000000+20000000</f>
        <v>110000000</v>
      </c>
      <c r="AI93" s="18">
        <f>AE93-AF93+AG93-AH93</f>
        <v>-110000000</v>
      </c>
      <c r="AJ93" s="18">
        <f>AD93+AI93</f>
        <v>90000000</v>
      </c>
      <c r="AK93" s="34">
        <v>0</v>
      </c>
      <c r="AL93" s="34">
        <v>0</v>
      </c>
      <c r="AM93" s="18">
        <v>77224700</v>
      </c>
      <c r="AN93" s="34">
        <v>0</v>
      </c>
      <c r="AO93" s="34">
        <v>0</v>
      </c>
      <c r="AP93" s="34">
        <v>0</v>
      </c>
      <c r="AQ93" s="34">
        <v>0</v>
      </c>
      <c r="AR93" s="34">
        <f>AS93-ABRIL!AS93</f>
        <v>0</v>
      </c>
      <c r="AS93" s="34">
        <v>0</v>
      </c>
      <c r="AT93" s="31">
        <f t="shared" ref="AT93:AT114" si="50">AQ93+AS93</f>
        <v>0</v>
      </c>
      <c r="AU93" s="18">
        <f t="shared" ref="AU93:AU98" si="51">AJ93-AM93</f>
        <v>12775300</v>
      </c>
      <c r="AV93" s="18">
        <f t="shared" ref="AV93:AV98" si="52">AM93-AP93</f>
        <v>77224700</v>
      </c>
      <c r="AW93" s="34">
        <f t="shared" ref="AW93:AW98" si="53">AP93-AT93</f>
        <v>0</v>
      </c>
      <c r="AX93" s="32">
        <f t="shared" si="42"/>
        <v>0</v>
      </c>
    </row>
    <row r="94" spans="1:50" ht="27.75" customHeight="1" x14ac:dyDescent="0.2">
      <c r="A94" s="35" t="s">
        <v>55</v>
      </c>
      <c r="B94" s="36" t="s">
        <v>56</v>
      </c>
      <c r="C94" s="36"/>
      <c r="D94" s="36" t="s">
        <v>40</v>
      </c>
      <c r="E94" s="36"/>
      <c r="F94" s="36"/>
      <c r="G94" s="36" t="s">
        <v>41</v>
      </c>
      <c r="H94" s="36"/>
      <c r="I94" s="36" t="s">
        <v>936</v>
      </c>
      <c r="J94" s="36"/>
      <c r="K94" s="36" t="s">
        <v>932</v>
      </c>
      <c r="L94" s="36"/>
      <c r="M94" s="36" t="s">
        <v>933</v>
      </c>
      <c r="N94" s="36"/>
      <c r="O94" s="36" t="s">
        <v>938</v>
      </c>
      <c r="P94" s="36"/>
      <c r="Q94" s="36" t="s">
        <v>942</v>
      </c>
      <c r="R94" s="36"/>
      <c r="S94" s="36" t="s">
        <v>940</v>
      </c>
      <c r="T94" s="36">
        <v>0</v>
      </c>
      <c r="U94" s="36">
        <v>0</v>
      </c>
      <c r="V94" s="36">
        <v>0</v>
      </c>
      <c r="W94" s="36">
        <v>0</v>
      </c>
      <c r="X94" s="36" t="s">
        <v>937</v>
      </c>
      <c r="Y94" s="36"/>
      <c r="Z94" s="36"/>
      <c r="AA94" s="37" t="s">
        <v>192</v>
      </c>
      <c r="AB94" s="38" t="s">
        <v>193</v>
      </c>
      <c r="AC94" s="38" t="s">
        <v>58</v>
      </c>
      <c r="AD94" s="39">
        <v>1740000000</v>
      </c>
      <c r="AE94" s="40">
        <v>0</v>
      </c>
      <c r="AF94" s="40">
        <v>0</v>
      </c>
      <c r="AG94" s="39">
        <v>200000000</v>
      </c>
      <c r="AH94" s="39">
        <v>490000000</v>
      </c>
      <c r="AI94" s="18">
        <f>AE94-AF94+AG94-AH94</f>
        <v>-290000000</v>
      </c>
      <c r="AJ94" s="18">
        <f>AD94+AI94</f>
        <v>1450000000</v>
      </c>
      <c r="AK94" s="40">
        <v>0</v>
      </c>
      <c r="AL94" s="18">
        <v>45200293</v>
      </c>
      <c r="AM94" s="39">
        <v>843153502</v>
      </c>
      <c r="AN94" s="40">
        <v>0</v>
      </c>
      <c r="AO94" s="18">
        <f>AP94-ABRIL!AP94</f>
        <v>45200293</v>
      </c>
      <c r="AP94" s="39">
        <v>843153502</v>
      </c>
      <c r="AQ94" s="39">
        <v>41295815</v>
      </c>
      <c r="AR94" s="18">
        <f>AS94-ABRIL!AS94</f>
        <v>49384742</v>
      </c>
      <c r="AS94" s="39">
        <v>351857587.92000002</v>
      </c>
      <c r="AT94" s="30">
        <f t="shared" si="50"/>
        <v>393153402.92000002</v>
      </c>
      <c r="AU94" s="18">
        <f t="shared" si="51"/>
        <v>606846498</v>
      </c>
      <c r="AV94" s="34">
        <f t="shared" si="52"/>
        <v>0</v>
      </c>
      <c r="AW94" s="18">
        <f t="shared" si="53"/>
        <v>450000099.07999998</v>
      </c>
      <c r="AX94" s="32">
        <f t="shared" si="42"/>
        <v>0.58148517379310349</v>
      </c>
    </row>
    <row r="95" spans="1:50" ht="27.75" customHeight="1" x14ac:dyDescent="0.2">
      <c r="A95" s="35" t="s">
        <v>55</v>
      </c>
      <c r="B95" s="36" t="s">
        <v>56</v>
      </c>
      <c r="C95" s="36"/>
      <c r="D95" s="36" t="s">
        <v>40</v>
      </c>
      <c r="E95" s="36"/>
      <c r="F95" s="36"/>
      <c r="G95" s="36" t="s">
        <v>41</v>
      </c>
      <c r="H95" s="36"/>
      <c r="I95" s="36" t="s">
        <v>936</v>
      </c>
      <c r="J95" s="36"/>
      <c r="K95" s="36" t="s">
        <v>932</v>
      </c>
      <c r="L95" s="36"/>
      <c r="M95" s="36" t="s">
        <v>933</v>
      </c>
      <c r="N95" s="36"/>
      <c r="O95" s="36" t="s">
        <v>938</v>
      </c>
      <c r="P95" s="36"/>
      <c r="Q95" s="36" t="s">
        <v>942</v>
      </c>
      <c r="R95" s="36"/>
      <c r="S95" s="36" t="s">
        <v>940</v>
      </c>
      <c r="T95" s="36">
        <v>0</v>
      </c>
      <c r="U95" s="36">
        <v>0</v>
      </c>
      <c r="V95" s="36">
        <v>0</v>
      </c>
      <c r="W95" s="36">
        <v>0</v>
      </c>
      <c r="X95" s="36" t="s">
        <v>937</v>
      </c>
      <c r="Y95" s="36"/>
      <c r="Z95" s="36"/>
      <c r="AA95" s="37" t="s">
        <v>194</v>
      </c>
      <c r="AB95" s="38" t="s">
        <v>195</v>
      </c>
      <c r="AC95" s="38" t="s">
        <v>58</v>
      </c>
      <c r="AD95" s="39">
        <v>3623000000</v>
      </c>
      <c r="AE95" s="40">
        <v>0</v>
      </c>
      <c r="AF95" s="40">
        <v>0</v>
      </c>
      <c r="AG95" s="40">
        <v>0</v>
      </c>
      <c r="AH95" s="39">
        <v>10000000</v>
      </c>
      <c r="AI95" s="18">
        <f>AE95-AF95+AG95-AH95</f>
        <v>-10000000</v>
      </c>
      <c r="AJ95" s="18">
        <f>AD95+AI95</f>
        <v>3613000000</v>
      </c>
      <c r="AK95" s="40">
        <v>0</v>
      </c>
      <c r="AL95" s="18">
        <v>41221557</v>
      </c>
      <c r="AM95" s="39">
        <v>3250153950</v>
      </c>
      <c r="AN95" s="40">
        <v>0</v>
      </c>
      <c r="AO95" s="18">
        <f>AP95-ABRIL!AP95</f>
        <v>39606824</v>
      </c>
      <c r="AP95" s="39">
        <v>3195210156</v>
      </c>
      <c r="AQ95" s="39">
        <v>2484882420</v>
      </c>
      <c r="AR95" s="18">
        <f>AS95-ABRIL!AS95</f>
        <v>348323149</v>
      </c>
      <c r="AS95" s="39">
        <v>541287736</v>
      </c>
      <c r="AT95" s="30">
        <f t="shared" si="50"/>
        <v>3026170156</v>
      </c>
      <c r="AU95" s="18">
        <f t="shared" si="51"/>
        <v>362846050</v>
      </c>
      <c r="AV95" s="18">
        <f t="shared" si="52"/>
        <v>54943794</v>
      </c>
      <c r="AW95" s="18">
        <f t="shared" si="53"/>
        <v>169040000</v>
      </c>
      <c r="AX95" s="32">
        <f t="shared" si="42"/>
        <v>0.88436483697758095</v>
      </c>
    </row>
    <row r="96" spans="1:50" ht="25.5" customHeight="1" x14ac:dyDescent="0.2">
      <c r="A96" s="14" t="s">
        <v>55</v>
      </c>
      <c r="B96" s="15" t="s">
        <v>56</v>
      </c>
      <c r="C96" s="15"/>
      <c r="D96" s="15" t="s">
        <v>40</v>
      </c>
      <c r="E96" s="15"/>
      <c r="F96" s="15"/>
      <c r="G96" s="15" t="s">
        <v>41</v>
      </c>
      <c r="H96" s="15"/>
      <c r="I96" s="15" t="s">
        <v>936</v>
      </c>
      <c r="J96" s="15"/>
      <c r="K96" s="15" t="s">
        <v>932</v>
      </c>
      <c r="L96" s="15"/>
      <c r="M96" s="15" t="s">
        <v>933</v>
      </c>
      <c r="N96" s="15"/>
      <c r="O96" s="15" t="s">
        <v>938</v>
      </c>
      <c r="P96" s="15"/>
      <c r="Q96" s="15" t="s">
        <v>942</v>
      </c>
      <c r="R96" s="15"/>
      <c r="S96" s="15" t="s">
        <v>940</v>
      </c>
      <c r="T96" s="15">
        <v>0</v>
      </c>
      <c r="U96" s="15">
        <v>0</v>
      </c>
      <c r="V96" s="15">
        <v>0</v>
      </c>
      <c r="W96" s="15">
        <v>0</v>
      </c>
      <c r="X96" s="15" t="s">
        <v>937</v>
      </c>
      <c r="Y96" s="15"/>
      <c r="Z96" s="15"/>
      <c r="AA96" s="134" t="s">
        <v>196</v>
      </c>
      <c r="AB96" s="70" t="s">
        <v>197</v>
      </c>
      <c r="AC96" s="17" t="s">
        <v>58</v>
      </c>
      <c r="AD96" s="18">
        <v>17003782621</v>
      </c>
      <c r="AE96" s="34">
        <v>0</v>
      </c>
      <c r="AF96" s="34">
        <v>0</v>
      </c>
      <c r="AG96" s="18">
        <f>1580000000+150000000+300000000+34200000</f>
        <v>2064200000</v>
      </c>
      <c r="AH96" s="18">
        <f>1000000000+450000000+300000000+34200000</f>
        <v>1784200000</v>
      </c>
      <c r="AI96" s="18">
        <f>AE96-AF96+AG96-AH96</f>
        <v>280000000</v>
      </c>
      <c r="AJ96" s="18">
        <f>AD96+AI96</f>
        <v>17283782621</v>
      </c>
      <c r="AK96" s="133">
        <v>0</v>
      </c>
      <c r="AL96" s="18">
        <v>669557172</v>
      </c>
      <c r="AM96" s="110">
        <v>14990404776.34</v>
      </c>
      <c r="AN96" s="18">
        <v>39100000</v>
      </c>
      <c r="AO96" s="18">
        <f>AP96-ABRIL!AP96</f>
        <v>534491872</v>
      </c>
      <c r="AP96" s="18">
        <v>14391211749.91</v>
      </c>
      <c r="AQ96" s="18">
        <v>116716666</v>
      </c>
      <c r="AR96" s="18">
        <f>AS96-ABRIL!AS96</f>
        <v>1065822610</v>
      </c>
      <c r="AS96" s="18">
        <v>3828053353.1199999</v>
      </c>
      <c r="AT96" s="30">
        <f t="shared" si="50"/>
        <v>3944770019.1199999</v>
      </c>
      <c r="AU96" s="18">
        <f t="shared" si="51"/>
        <v>2293377844.6599998</v>
      </c>
      <c r="AV96" s="18">
        <f t="shared" si="52"/>
        <v>599193026.43000031</v>
      </c>
      <c r="AW96" s="18">
        <f t="shared" si="53"/>
        <v>10446441730.790001</v>
      </c>
      <c r="AX96" s="32">
        <f t="shared" si="42"/>
        <v>0.83264248720789324</v>
      </c>
    </row>
    <row r="97" spans="1:50" ht="18.75" customHeight="1" x14ac:dyDescent="0.2">
      <c r="A97" s="14" t="s">
        <v>55</v>
      </c>
      <c r="B97" s="15" t="s">
        <v>56</v>
      </c>
      <c r="C97" s="15"/>
      <c r="D97" s="15" t="s">
        <v>40</v>
      </c>
      <c r="E97" s="15"/>
      <c r="F97" s="15"/>
      <c r="G97" s="15" t="s">
        <v>41</v>
      </c>
      <c r="H97" s="15"/>
      <c r="I97" s="15" t="s">
        <v>936</v>
      </c>
      <c r="J97" s="15"/>
      <c r="K97" s="15" t="s">
        <v>932</v>
      </c>
      <c r="L97" s="15"/>
      <c r="M97" s="15" t="s">
        <v>933</v>
      </c>
      <c r="N97" s="15"/>
      <c r="O97" s="15" t="s">
        <v>938</v>
      </c>
      <c r="P97" s="15"/>
      <c r="Q97" s="15" t="s">
        <v>942</v>
      </c>
      <c r="R97" s="15"/>
      <c r="S97" s="15" t="s">
        <v>940</v>
      </c>
      <c r="T97" s="15">
        <v>0</v>
      </c>
      <c r="U97" s="15">
        <v>0</v>
      </c>
      <c r="V97" s="15">
        <v>0</v>
      </c>
      <c r="W97" s="15">
        <v>0</v>
      </c>
      <c r="X97" s="15" t="s">
        <v>937</v>
      </c>
      <c r="Y97" s="15"/>
      <c r="Z97" s="15"/>
      <c r="AA97" s="16" t="s">
        <v>198</v>
      </c>
      <c r="AB97" s="17" t="s">
        <v>199</v>
      </c>
      <c r="AC97" s="17" t="s">
        <v>58</v>
      </c>
      <c r="AD97" s="18">
        <v>348000000</v>
      </c>
      <c r="AE97" s="34">
        <v>0</v>
      </c>
      <c r="AF97" s="34">
        <v>0</v>
      </c>
      <c r="AG97" s="34">
        <v>0</v>
      </c>
      <c r="AH97" s="34">
        <v>0</v>
      </c>
      <c r="AI97" s="34">
        <v>0</v>
      </c>
      <c r="AJ97" s="18">
        <v>348000000</v>
      </c>
      <c r="AK97" s="34">
        <v>0</v>
      </c>
      <c r="AL97" s="34">
        <v>0</v>
      </c>
      <c r="AM97" s="110">
        <v>50000000</v>
      </c>
      <c r="AN97" s="34">
        <v>0</v>
      </c>
      <c r="AO97" s="18">
        <f>AP97-ABRIL!AP97</f>
        <v>0</v>
      </c>
      <c r="AP97" s="18">
        <v>50000000</v>
      </c>
      <c r="AQ97" s="34">
        <v>0</v>
      </c>
      <c r="AR97" s="18">
        <f>AS97-ABRIL!AS97</f>
        <v>0</v>
      </c>
      <c r="AS97" s="34">
        <v>0</v>
      </c>
      <c r="AT97" s="31">
        <f t="shared" si="50"/>
        <v>0</v>
      </c>
      <c r="AU97" s="18">
        <f t="shared" si="51"/>
        <v>298000000</v>
      </c>
      <c r="AV97" s="18">
        <f t="shared" si="52"/>
        <v>0</v>
      </c>
      <c r="AW97" s="18">
        <f t="shared" si="53"/>
        <v>50000000</v>
      </c>
      <c r="AX97" s="32">
        <f t="shared" si="42"/>
        <v>0.14367816091954022</v>
      </c>
    </row>
    <row r="98" spans="1:50" ht="18.75" customHeight="1" x14ac:dyDescent="0.2">
      <c r="A98" s="14" t="s">
        <v>55</v>
      </c>
      <c r="B98" s="15" t="s">
        <v>56</v>
      </c>
      <c r="C98" s="15"/>
      <c r="D98" s="15" t="s">
        <v>40</v>
      </c>
      <c r="E98" s="15"/>
      <c r="F98" s="15"/>
      <c r="G98" s="15" t="s">
        <v>41</v>
      </c>
      <c r="H98" s="15"/>
      <c r="I98" s="15" t="s">
        <v>936</v>
      </c>
      <c r="J98" s="15"/>
      <c r="K98" s="15" t="s">
        <v>932</v>
      </c>
      <c r="L98" s="15"/>
      <c r="M98" s="15" t="s">
        <v>933</v>
      </c>
      <c r="N98" s="15"/>
      <c r="O98" s="15" t="s">
        <v>938</v>
      </c>
      <c r="P98" s="15"/>
      <c r="Q98" s="15" t="s">
        <v>942</v>
      </c>
      <c r="R98" s="15"/>
      <c r="S98" s="15" t="s">
        <v>940</v>
      </c>
      <c r="T98" s="15">
        <v>0</v>
      </c>
      <c r="U98" s="15">
        <v>0</v>
      </c>
      <c r="V98" s="15">
        <v>0</v>
      </c>
      <c r="W98" s="15">
        <v>0</v>
      </c>
      <c r="X98" s="15" t="s">
        <v>937</v>
      </c>
      <c r="Y98" s="15"/>
      <c r="Z98" s="15"/>
      <c r="AA98" s="16" t="s">
        <v>200</v>
      </c>
      <c r="AB98" s="17" t="s">
        <v>201</v>
      </c>
      <c r="AC98" s="17" t="s">
        <v>58</v>
      </c>
      <c r="AD98" s="18">
        <v>100000000</v>
      </c>
      <c r="AE98" s="34">
        <v>0</v>
      </c>
      <c r="AF98" s="34">
        <v>0</v>
      </c>
      <c r="AG98" s="34">
        <v>0</v>
      </c>
      <c r="AH98" s="34">
        <v>0</v>
      </c>
      <c r="AI98" s="34">
        <v>0</v>
      </c>
      <c r="AJ98" s="18">
        <v>100000000</v>
      </c>
      <c r="AK98" s="34">
        <v>0</v>
      </c>
      <c r="AL98" s="18">
        <v>2281391</v>
      </c>
      <c r="AM98" s="110">
        <v>25223371.5</v>
      </c>
      <c r="AN98" s="34">
        <v>0</v>
      </c>
      <c r="AO98" s="18">
        <f>AP98-ABRIL!AP98</f>
        <v>2281391</v>
      </c>
      <c r="AP98" s="18">
        <v>23154527.5</v>
      </c>
      <c r="AQ98" s="34">
        <v>2281391</v>
      </c>
      <c r="AR98" s="18">
        <f>AS98-ABRIL!AS98</f>
        <v>576834</v>
      </c>
      <c r="AS98" s="18">
        <v>20214158.5</v>
      </c>
      <c r="AT98" s="30">
        <f t="shared" si="50"/>
        <v>22495549.5</v>
      </c>
      <c r="AU98" s="18">
        <f t="shared" si="51"/>
        <v>74776628.5</v>
      </c>
      <c r="AV98" s="18">
        <f t="shared" si="52"/>
        <v>2068844</v>
      </c>
      <c r="AW98" s="18">
        <f t="shared" si="53"/>
        <v>658978</v>
      </c>
      <c r="AX98" s="32">
        <f t="shared" si="42"/>
        <v>0.23154527499999999</v>
      </c>
    </row>
    <row r="99" spans="1:50" s="25" customFormat="1" ht="18.75" customHeight="1" x14ac:dyDescent="0.2">
      <c r="A99" s="19" t="s">
        <v>37</v>
      </c>
      <c r="B99" s="19" t="s">
        <v>37</v>
      </c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26" t="s">
        <v>868</v>
      </c>
      <c r="AB99" s="21" t="s">
        <v>202</v>
      </c>
      <c r="AC99" s="22" t="s">
        <v>37</v>
      </c>
      <c r="AD99" s="22">
        <f t="shared" ref="AD99:AS99" si="54">AD100+AD121+AD137</f>
        <v>113142608950</v>
      </c>
      <c r="AE99" s="23">
        <f t="shared" si="54"/>
        <v>432574880.49000001</v>
      </c>
      <c r="AF99" s="23">
        <f t="shared" si="54"/>
        <v>0</v>
      </c>
      <c r="AG99" s="22">
        <f t="shared" si="54"/>
        <v>700000000</v>
      </c>
      <c r="AH99" s="22">
        <f t="shared" si="54"/>
        <v>900000000</v>
      </c>
      <c r="AI99" s="22">
        <f t="shared" si="54"/>
        <v>232574880.49000001</v>
      </c>
      <c r="AJ99" s="22">
        <f t="shared" si="54"/>
        <v>113375183830.48999</v>
      </c>
      <c r="AK99" s="23">
        <f t="shared" si="54"/>
        <v>0</v>
      </c>
      <c r="AL99" s="22">
        <f t="shared" si="54"/>
        <v>4897477684.6300011</v>
      </c>
      <c r="AM99" s="22">
        <f t="shared" si="54"/>
        <v>58340651165.779999</v>
      </c>
      <c r="AN99" s="23">
        <f t="shared" si="54"/>
        <v>0</v>
      </c>
      <c r="AO99" s="22">
        <f t="shared" si="54"/>
        <v>4894357140.0299997</v>
      </c>
      <c r="AP99" s="22">
        <f t="shared" si="54"/>
        <v>58333330621.18</v>
      </c>
      <c r="AQ99" s="22">
        <f t="shared" si="54"/>
        <v>2102053727</v>
      </c>
      <c r="AR99" s="22">
        <f t="shared" si="54"/>
        <v>7146674059.46</v>
      </c>
      <c r="AS99" s="22">
        <f t="shared" si="54"/>
        <v>56186999170.18</v>
      </c>
      <c r="AT99" s="22">
        <f t="shared" si="50"/>
        <v>58289052897.18</v>
      </c>
      <c r="AU99" s="22">
        <f>AU100+AU121+AU137</f>
        <v>55034532664.709999</v>
      </c>
      <c r="AV99" s="22">
        <f>AV100+AV121+AV137</f>
        <v>7320544.6000000015</v>
      </c>
      <c r="AW99" s="22">
        <f>AW100+AW121+AW137</f>
        <v>44277724</v>
      </c>
      <c r="AX99" s="24">
        <f t="shared" si="42"/>
        <v>0.5145158636161119</v>
      </c>
    </row>
    <row r="100" spans="1:50" s="25" customFormat="1" ht="18.75" customHeight="1" x14ac:dyDescent="0.2">
      <c r="A100" s="19" t="s">
        <v>55</v>
      </c>
      <c r="B100" s="19" t="s">
        <v>56</v>
      </c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26" t="s">
        <v>869</v>
      </c>
      <c r="AB100" s="21" t="s">
        <v>203</v>
      </c>
      <c r="AC100" s="22" t="s">
        <v>37</v>
      </c>
      <c r="AD100" s="22">
        <f t="shared" ref="AD100:AS100" si="55">AD101+AD115</f>
        <v>70789582622</v>
      </c>
      <c r="AE100" s="22">
        <f t="shared" si="55"/>
        <v>2649057.39</v>
      </c>
      <c r="AF100" s="23">
        <f t="shared" si="55"/>
        <v>0</v>
      </c>
      <c r="AG100" s="22">
        <f t="shared" si="55"/>
        <v>700000000</v>
      </c>
      <c r="AH100" s="23">
        <f t="shared" si="55"/>
        <v>0</v>
      </c>
      <c r="AI100" s="22">
        <f t="shared" si="55"/>
        <v>702649057.38999999</v>
      </c>
      <c r="AJ100" s="22">
        <f t="shared" si="55"/>
        <v>71492231679.389999</v>
      </c>
      <c r="AK100" s="23">
        <f t="shared" si="55"/>
        <v>0</v>
      </c>
      <c r="AL100" s="22">
        <f t="shared" si="55"/>
        <v>2819294591.2600002</v>
      </c>
      <c r="AM100" s="22">
        <f t="shared" si="55"/>
        <v>47179157295.43</v>
      </c>
      <c r="AN100" s="23">
        <f t="shared" si="55"/>
        <v>0</v>
      </c>
      <c r="AO100" s="22">
        <f t="shared" si="55"/>
        <v>2819294591.2599998</v>
      </c>
      <c r="AP100" s="22">
        <f t="shared" si="55"/>
        <v>47179157295.43</v>
      </c>
      <c r="AQ100" s="22">
        <f t="shared" si="55"/>
        <v>0</v>
      </c>
      <c r="AR100" s="22">
        <f t="shared" si="55"/>
        <v>2892452277.1199999</v>
      </c>
      <c r="AS100" s="22">
        <f t="shared" si="55"/>
        <v>47179157295.43</v>
      </c>
      <c r="AT100" s="22">
        <f t="shared" si="50"/>
        <v>47179157295.43</v>
      </c>
      <c r="AU100" s="22">
        <f>AU101+AU115</f>
        <v>24313074383.959999</v>
      </c>
      <c r="AV100" s="23">
        <f>AV101+AV115</f>
        <v>0</v>
      </c>
      <c r="AW100" s="23">
        <f>AW101+AW115</f>
        <v>0</v>
      </c>
      <c r="AX100" s="24">
        <f t="shared" si="42"/>
        <v>0.65992005267099463</v>
      </c>
    </row>
    <row r="101" spans="1:50" s="25" customFormat="1" ht="18.75" customHeight="1" x14ac:dyDescent="0.2">
      <c r="A101" s="19" t="s">
        <v>55</v>
      </c>
      <c r="B101" s="19" t="s">
        <v>56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26" t="s">
        <v>870</v>
      </c>
      <c r="AB101" s="21" t="s">
        <v>204</v>
      </c>
      <c r="AC101" s="22" t="s">
        <v>56</v>
      </c>
      <c r="AD101" s="22">
        <f>AD102</f>
        <v>34789582622</v>
      </c>
      <c r="AE101" s="22">
        <f t="shared" ref="AE101:AW101" si="56">AE102</f>
        <v>2649057.39</v>
      </c>
      <c r="AF101" s="23">
        <f t="shared" si="56"/>
        <v>0</v>
      </c>
      <c r="AG101" s="22">
        <f>AG102</f>
        <v>700000000</v>
      </c>
      <c r="AH101" s="23">
        <f t="shared" si="56"/>
        <v>0</v>
      </c>
      <c r="AI101" s="22">
        <f t="shared" si="56"/>
        <v>702649057.38999999</v>
      </c>
      <c r="AJ101" s="22">
        <f t="shared" si="56"/>
        <v>35492231679.389999</v>
      </c>
      <c r="AK101" s="23">
        <f t="shared" si="56"/>
        <v>0</v>
      </c>
      <c r="AL101" s="22">
        <f t="shared" si="56"/>
        <v>2819294591.2600002</v>
      </c>
      <c r="AM101" s="22">
        <f t="shared" si="56"/>
        <v>22389275992.43</v>
      </c>
      <c r="AN101" s="23">
        <f t="shared" si="56"/>
        <v>0</v>
      </c>
      <c r="AO101" s="22">
        <f t="shared" si="56"/>
        <v>2819294591.2599998</v>
      </c>
      <c r="AP101" s="22">
        <f t="shared" si="56"/>
        <v>22389275992.43</v>
      </c>
      <c r="AQ101" s="22">
        <f t="shared" si="56"/>
        <v>0</v>
      </c>
      <c r="AR101" s="22">
        <f t="shared" si="56"/>
        <v>2892452277.1199999</v>
      </c>
      <c r="AS101" s="22">
        <f t="shared" si="56"/>
        <v>22389275992.43</v>
      </c>
      <c r="AT101" s="22">
        <f t="shared" si="50"/>
        <v>22389275992.43</v>
      </c>
      <c r="AU101" s="22">
        <f t="shared" si="56"/>
        <v>13102955686.959999</v>
      </c>
      <c r="AV101" s="23">
        <f t="shared" si="56"/>
        <v>0</v>
      </c>
      <c r="AW101" s="23">
        <f t="shared" si="56"/>
        <v>0</v>
      </c>
      <c r="AX101" s="24">
        <f t="shared" si="42"/>
        <v>0.63082187095694064</v>
      </c>
    </row>
    <row r="102" spans="1:50" ht="28.5" customHeight="1" x14ac:dyDescent="0.2">
      <c r="A102" s="27" t="s">
        <v>55</v>
      </c>
      <c r="B102" s="27" t="s">
        <v>56</v>
      </c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101" t="s">
        <v>871</v>
      </c>
      <c r="AB102" s="38" t="s">
        <v>205</v>
      </c>
      <c r="AC102" s="30" t="s">
        <v>56</v>
      </c>
      <c r="AD102" s="30">
        <f t="shared" ref="AD102:AF102" si="57">SUM(AD103:AD113)</f>
        <v>34789582622</v>
      </c>
      <c r="AE102" s="30">
        <f t="shared" si="57"/>
        <v>2649057.39</v>
      </c>
      <c r="AF102" s="31">
        <f t="shared" si="57"/>
        <v>0</v>
      </c>
      <c r="AG102" s="30">
        <f>SUM(AG103:AG114)</f>
        <v>700000000</v>
      </c>
      <c r="AH102" s="31">
        <f t="shared" ref="AH102:AW102" si="58">SUM(AH103:AH114)</f>
        <v>0</v>
      </c>
      <c r="AI102" s="30">
        <f t="shared" si="58"/>
        <v>702649057.38999999</v>
      </c>
      <c r="AJ102" s="30">
        <f t="shared" si="58"/>
        <v>35492231679.389999</v>
      </c>
      <c r="AK102" s="31">
        <f t="shared" si="58"/>
        <v>0</v>
      </c>
      <c r="AL102" s="30">
        <f t="shared" si="58"/>
        <v>2819294591.2600002</v>
      </c>
      <c r="AM102" s="30">
        <f t="shared" si="58"/>
        <v>22389275992.43</v>
      </c>
      <c r="AN102" s="30">
        <f t="shared" si="58"/>
        <v>0</v>
      </c>
      <c r="AO102" s="30">
        <f t="shared" si="58"/>
        <v>2819294591.2599998</v>
      </c>
      <c r="AP102" s="30">
        <f t="shared" si="58"/>
        <v>22389275992.43</v>
      </c>
      <c r="AQ102" s="30">
        <f t="shared" si="58"/>
        <v>0</v>
      </c>
      <c r="AR102" s="30">
        <f t="shared" si="58"/>
        <v>2892452277.1199999</v>
      </c>
      <c r="AS102" s="30">
        <f t="shared" si="58"/>
        <v>22389275992.43</v>
      </c>
      <c r="AT102" s="30">
        <f t="shared" si="58"/>
        <v>22389275992.43</v>
      </c>
      <c r="AU102" s="30">
        <f t="shared" si="58"/>
        <v>13102955686.959999</v>
      </c>
      <c r="AV102" s="31">
        <f t="shared" si="58"/>
        <v>0</v>
      </c>
      <c r="AW102" s="31">
        <f t="shared" si="58"/>
        <v>0</v>
      </c>
      <c r="AX102" s="32">
        <f t="shared" si="42"/>
        <v>0.63082187095694064</v>
      </c>
    </row>
    <row r="103" spans="1:50" ht="18.75" customHeight="1" x14ac:dyDescent="0.2">
      <c r="A103" s="35" t="s">
        <v>55</v>
      </c>
      <c r="B103" s="36" t="s">
        <v>56</v>
      </c>
      <c r="C103" s="36"/>
      <c r="D103" s="36" t="s">
        <v>40</v>
      </c>
      <c r="E103" s="36"/>
      <c r="F103" s="36"/>
      <c r="G103" s="36" t="s">
        <v>41</v>
      </c>
      <c r="H103" s="36"/>
      <c r="I103" s="36" t="s">
        <v>936</v>
      </c>
      <c r="J103" s="36"/>
      <c r="K103" s="36" t="s">
        <v>932</v>
      </c>
      <c r="L103" s="36"/>
      <c r="M103" s="36" t="s">
        <v>933</v>
      </c>
      <c r="N103" s="36"/>
      <c r="O103" s="36" t="s">
        <v>938</v>
      </c>
      <c r="P103" s="36"/>
      <c r="Q103" s="36" t="s">
        <v>942</v>
      </c>
      <c r="R103" s="36"/>
      <c r="S103" s="36" t="s">
        <v>940</v>
      </c>
      <c r="T103" s="36">
        <v>0</v>
      </c>
      <c r="U103" s="36">
        <v>0</v>
      </c>
      <c r="V103" s="36">
        <v>0</v>
      </c>
      <c r="W103" s="36">
        <v>0</v>
      </c>
      <c r="X103" s="36" t="s">
        <v>937</v>
      </c>
      <c r="Y103" s="36"/>
      <c r="Z103" s="36"/>
      <c r="AA103" s="101" t="s">
        <v>872</v>
      </c>
      <c r="AB103" s="38" t="s">
        <v>206</v>
      </c>
      <c r="AC103" s="38" t="s">
        <v>58</v>
      </c>
      <c r="AD103" s="39">
        <v>2500000000</v>
      </c>
      <c r="AE103" s="40">
        <v>0</v>
      </c>
      <c r="AF103" s="40">
        <v>0</v>
      </c>
      <c r="AG103" s="40">
        <v>0</v>
      </c>
      <c r="AH103" s="40">
        <v>0</v>
      </c>
      <c r="AI103" s="40">
        <v>0</v>
      </c>
      <c r="AJ103" s="39">
        <v>2500000000</v>
      </c>
      <c r="AK103" s="40">
        <v>0</v>
      </c>
      <c r="AL103" s="40">
        <v>0</v>
      </c>
      <c r="AM103" s="39">
        <v>833333332</v>
      </c>
      <c r="AN103" s="40">
        <v>0</v>
      </c>
      <c r="AO103" s="39">
        <f>AP103-ABRIL!AP103</f>
        <v>0</v>
      </c>
      <c r="AP103" s="39">
        <v>833333332</v>
      </c>
      <c r="AQ103" s="40">
        <v>0</v>
      </c>
      <c r="AR103" s="39">
        <f>AS103-ABRIL!AS103</f>
        <v>0</v>
      </c>
      <c r="AS103" s="39">
        <v>833333332</v>
      </c>
      <c r="AT103" s="39">
        <f t="shared" si="50"/>
        <v>833333332</v>
      </c>
      <c r="AU103" s="18">
        <f t="shared" ref="AU103:AU114" si="59">AJ103-AM103</f>
        <v>1666666668</v>
      </c>
      <c r="AV103" s="34">
        <f t="shared" ref="AV103:AV114" si="60">AM103-AP103</f>
        <v>0</v>
      </c>
      <c r="AW103" s="34">
        <f t="shared" ref="AW103:AW114" si="61">AP103-AT103</f>
        <v>0</v>
      </c>
      <c r="AX103" s="32">
        <f t="shared" ref="AX103:AX133" si="62">AP103/AJ103</f>
        <v>0.33333333279999999</v>
      </c>
    </row>
    <row r="104" spans="1:50" ht="18.75" customHeight="1" x14ac:dyDescent="0.2">
      <c r="A104" s="14" t="s">
        <v>55</v>
      </c>
      <c r="B104" s="15" t="s">
        <v>56</v>
      </c>
      <c r="C104" s="15"/>
      <c r="D104" s="15" t="s">
        <v>40</v>
      </c>
      <c r="E104" s="15"/>
      <c r="F104" s="15"/>
      <c r="G104" s="15" t="s">
        <v>41</v>
      </c>
      <c r="H104" s="15"/>
      <c r="I104" s="15" t="s">
        <v>936</v>
      </c>
      <c r="J104" s="15"/>
      <c r="K104" s="15" t="s">
        <v>932</v>
      </c>
      <c r="L104" s="15"/>
      <c r="M104" s="15" t="s">
        <v>933</v>
      </c>
      <c r="N104" s="15"/>
      <c r="O104" s="15" t="s">
        <v>938</v>
      </c>
      <c r="P104" s="15"/>
      <c r="Q104" s="15" t="s">
        <v>942</v>
      </c>
      <c r="R104" s="15"/>
      <c r="S104" s="15" t="s">
        <v>940</v>
      </c>
      <c r="T104" s="15">
        <v>0</v>
      </c>
      <c r="U104" s="15">
        <v>0</v>
      </c>
      <c r="V104" s="15">
        <v>0</v>
      </c>
      <c r="W104" s="15">
        <v>0</v>
      </c>
      <c r="X104" s="15" t="s">
        <v>937</v>
      </c>
      <c r="Y104" s="15"/>
      <c r="Z104" s="15"/>
      <c r="AA104" s="41" t="s">
        <v>873</v>
      </c>
      <c r="AB104" s="17" t="s">
        <v>207</v>
      </c>
      <c r="AC104" s="17" t="s">
        <v>58</v>
      </c>
      <c r="AD104" s="18">
        <v>3557080000</v>
      </c>
      <c r="AE104" s="34">
        <v>0</v>
      </c>
      <c r="AF104" s="34">
        <v>0</v>
      </c>
      <c r="AG104" s="34">
        <v>0</v>
      </c>
      <c r="AH104" s="34">
        <v>0</v>
      </c>
      <c r="AI104" s="34">
        <v>0</v>
      </c>
      <c r="AJ104" s="18">
        <v>3557080000</v>
      </c>
      <c r="AK104" s="34">
        <v>0</v>
      </c>
      <c r="AL104" s="39">
        <v>296423333</v>
      </c>
      <c r="AM104" s="18">
        <v>1482116665</v>
      </c>
      <c r="AN104" s="34">
        <v>0</v>
      </c>
      <c r="AO104" s="18">
        <f>AP104-ABRIL!AP104</f>
        <v>296423333</v>
      </c>
      <c r="AP104" s="18">
        <v>1482116665</v>
      </c>
      <c r="AQ104" s="34">
        <v>0</v>
      </c>
      <c r="AR104" s="39">
        <f>AS104-ABRIL!AS104</f>
        <v>296423333</v>
      </c>
      <c r="AS104" s="18">
        <v>1482116665</v>
      </c>
      <c r="AT104" s="39">
        <f t="shared" si="50"/>
        <v>1482116665</v>
      </c>
      <c r="AU104" s="18">
        <f t="shared" si="59"/>
        <v>2074963335</v>
      </c>
      <c r="AV104" s="34">
        <f t="shared" si="60"/>
        <v>0</v>
      </c>
      <c r="AW104" s="34">
        <f t="shared" si="61"/>
        <v>0</v>
      </c>
      <c r="AX104" s="32">
        <f t="shared" si="62"/>
        <v>0.41666666619811754</v>
      </c>
    </row>
    <row r="105" spans="1:50" ht="18.75" customHeight="1" x14ac:dyDescent="0.2">
      <c r="A105" s="35" t="s">
        <v>55</v>
      </c>
      <c r="B105" s="36" t="s">
        <v>56</v>
      </c>
      <c r="C105" s="36"/>
      <c r="D105" s="36" t="s">
        <v>40</v>
      </c>
      <c r="E105" s="36"/>
      <c r="F105" s="36"/>
      <c r="G105" s="36" t="s">
        <v>41</v>
      </c>
      <c r="H105" s="36"/>
      <c r="I105" s="36" t="s">
        <v>936</v>
      </c>
      <c r="J105" s="36"/>
      <c r="K105" s="36" t="s">
        <v>932</v>
      </c>
      <c r="L105" s="36"/>
      <c r="M105" s="36" t="s">
        <v>933</v>
      </c>
      <c r="N105" s="36"/>
      <c r="O105" s="36" t="s">
        <v>938</v>
      </c>
      <c r="P105" s="36"/>
      <c r="Q105" s="36" t="s">
        <v>942</v>
      </c>
      <c r="R105" s="36"/>
      <c r="S105" s="36" t="s">
        <v>940</v>
      </c>
      <c r="T105" s="36">
        <v>0</v>
      </c>
      <c r="U105" s="36">
        <v>0</v>
      </c>
      <c r="V105" s="36">
        <v>0</v>
      </c>
      <c r="W105" s="36">
        <v>0</v>
      </c>
      <c r="X105" s="36" t="s">
        <v>937</v>
      </c>
      <c r="Y105" s="36"/>
      <c r="Z105" s="36"/>
      <c r="AA105" s="101" t="s">
        <v>874</v>
      </c>
      <c r="AB105" s="38" t="s">
        <v>208</v>
      </c>
      <c r="AC105" s="38" t="s">
        <v>58</v>
      </c>
      <c r="AD105" s="39">
        <v>2747397800</v>
      </c>
      <c r="AE105" s="40">
        <v>0</v>
      </c>
      <c r="AF105" s="40">
        <v>0</v>
      </c>
      <c r="AG105" s="40">
        <v>0</v>
      </c>
      <c r="AH105" s="40">
        <v>0</v>
      </c>
      <c r="AI105" s="40">
        <v>0</v>
      </c>
      <c r="AJ105" s="39">
        <v>2747397800</v>
      </c>
      <c r="AK105" s="40">
        <v>0</v>
      </c>
      <c r="AL105" s="39">
        <v>228949817</v>
      </c>
      <c r="AM105" s="39">
        <v>1144749085</v>
      </c>
      <c r="AN105" s="40">
        <v>0</v>
      </c>
      <c r="AO105" s="18">
        <f>AP105-ABRIL!AP105</f>
        <v>228949817</v>
      </c>
      <c r="AP105" s="39">
        <v>1144749085</v>
      </c>
      <c r="AQ105" s="40">
        <v>0</v>
      </c>
      <c r="AR105" s="39">
        <f>AS105-ABRIL!AS105</f>
        <v>228949817</v>
      </c>
      <c r="AS105" s="39">
        <v>1144749085</v>
      </c>
      <c r="AT105" s="39">
        <f t="shared" si="50"/>
        <v>1144749085</v>
      </c>
      <c r="AU105" s="18">
        <f t="shared" si="59"/>
        <v>1602648715</v>
      </c>
      <c r="AV105" s="34">
        <f t="shared" si="60"/>
        <v>0</v>
      </c>
      <c r="AW105" s="34">
        <f t="shared" si="61"/>
        <v>0</v>
      </c>
      <c r="AX105" s="32">
        <f t="shared" si="62"/>
        <v>0.41666666727330132</v>
      </c>
    </row>
    <row r="106" spans="1:50" ht="18.75" customHeight="1" x14ac:dyDescent="0.2">
      <c r="A106" s="14" t="s">
        <v>55</v>
      </c>
      <c r="B106" s="15" t="s">
        <v>56</v>
      </c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41" t="s">
        <v>875</v>
      </c>
      <c r="AB106" s="17" t="s">
        <v>209</v>
      </c>
      <c r="AC106" s="17" t="s">
        <v>58</v>
      </c>
      <c r="AD106" s="18">
        <v>1627586535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18">
        <v>1627586535</v>
      </c>
      <c r="AK106" s="34">
        <v>0</v>
      </c>
      <c r="AL106" s="39">
        <v>200146602</v>
      </c>
      <c r="AM106" s="18">
        <v>571529552</v>
      </c>
      <c r="AN106" s="34">
        <v>0</v>
      </c>
      <c r="AO106" s="18">
        <f>AP106-ABRIL!AP106</f>
        <v>200146602</v>
      </c>
      <c r="AP106" s="18">
        <v>571529552</v>
      </c>
      <c r="AQ106" s="18">
        <v>0</v>
      </c>
      <c r="AR106" s="39">
        <f>AS106-ABRIL!AS106</f>
        <v>268247562.86000001</v>
      </c>
      <c r="AS106" s="18">
        <v>571529552</v>
      </c>
      <c r="AT106" s="39">
        <f t="shared" si="50"/>
        <v>571529552</v>
      </c>
      <c r="AU106" s="18">
        <f t="shared" si="59"/>
        <v>1056056983</v>
      </c>
      <c r="AV106" s="34">
        <f t="shared" si="60"/>
        <v>0</v>
      </c>
      <c r="AW106" s="34">
        <f t="shared" si="61"/>
        <v>0</v>
      </c>
      <c r="AX106" s="32">
        <f t="shared" si="62"/>
        <v>0.35115156073713771</v>
      </c>
    </row>
    <row r="107" spans="1:50" ht="18.75" customHeight="1" x14ac:dyDescent="0.2">
      <c r="A107" s="14" t="s">
        <v>55</v>
      </c>
      <c r="B107" s="15" t="s">
        <v>56</v>
      </c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41" t="s">
        <v>876</v>
      </c>
      <c r="AB107" s="17" t="s">
        <v>210</v>
      </c>
      <c r="AC107" s="17" t="s">
        <v>58</v>
      </c>
      <c r="AD107" s="18">
        <v>4565923897</v>
      </c>
      <c r="AE107" s="34">
        <v>0</v>
      </c>
      <c r="AF107" s="34">
        <v>0</v>
      </c>
      <c r="AG107" s="34">
        <v>0</v>
      </c>
      <c r="AH107" s="34">
        <v>0</v>
      </c>
      <c r="AI107" s="34">
        <v>0</v>
      </c>
      <c r="AJ107" s="18">
        <v>4565923897</v>
      </c>
      <c r="AK107" s="34">
        <v>0</v>
      </c>
      <c r="AL107" s="39">
        <v>373975530.25999999</v>
      </c>
      <c r="AM107" s="18">
        <v>3410794514.4299998</v>
      </c>
      <c r="AN107" s="34">
        <v>0</v>
      </c>
      <c r="AO107" s="18">
        <f>AP107-ABRIL!AP107</f>
        <v>373975530.25999975</v>
      </c>
      <c r="AP107" s="18">
        <v>3410794514.4299998</v>
      </c>
      <c r="AQ107" s="34">
        <v>0</v>
      </c>
      <c r="AR107" s="39">
        <f>AS107-ABRIL!AS107</f>
        <v>373975530.25999975</v>
      </c>
      <c r="AS107" s="18">
        <v>3410794514.4299998</v>
      </c>
      <c r="AT107" s="39">
        <f t="shared" si="50"/>
        <v>3410794514.4299998</v>
      </c>
      <c r="AU107" s="18">
        <f t="shared" si="59"/>
        <v>1155129382.5700002</v>
      </c>
      <c r="AV107" s="34">
        <f t="shared" si="60"/>
        <v>0</v>
      </c>
      <c r="AW107" s="34">
        <f t="shared" si="61"/>
        <v>0</v>
      </c>
      <c r="AX107" s="32">
        <f t="shared" si="62"/>
        <v>0.74701081125575308</v>
      </c>
    </row>
    <row r="108" spans="1:50" ht="18.75" customHeight="1" x14ac:dyDescent="0.2">
      <c r="A108" s="35" t="s">
        <v>55</v>
      </c>
      <c r="B108" s="36" t="s">
        <v>56</v>
      </c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101" t="s">
        <v>877</v>
      </c>
      <c r="AB108" s="38" t="s">
        <v>211</v>
      </c>
      <c r="AC108" s="38" t="s">
        <v>58</v>
      </c>
      <c r="AD108" s="39">
        <v>5174713749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  <c r="AJ108" s="39">
        <v>5174713749</v>
      </c>
      <c r="AK108" s="40">
        <v>0</v>
      </c>
      <c r="AL108" s="39">
        <v>1401553697</v>
      </c>
      <c r="AM108" s="39">
        <v>3865567115</v>
      </c>
      <c r="AN108" s="40">
        <v>0</v>
      </c>
      <c r="AO108" s="18">
        <f>AP108-ABRIL!AP108</f>
        <v>1401553697</v>
      </c>
      <c r="AP108" s="39">
        <v>3865567115</v>
      </c>
      <c r="AQ108" s="40">
        <v>0</v>
      </c>
      <c r="AR108" s="39">
        <f>AS108-ABRIL!AS108</f>
        <v>1401553697</v>
      </c>
      <c r="AS108" s="39">
        <v>3865567115</v>
      </c>
      <c r="AT108" s="39">
        <f t="shared" si="50"/>
        <v>3865567115</v>
      </c>
      <c r="AU108" s="18">
        <f t="shared" si="59"/>
        <v>1309146634</v>
      </c>
      <c r="AV108" s="34">
        <f t="shared" si="60"/>
        <v>0</v>
      </c>
      <c r="AW108" s="34">
        <f t="shared" si="61"/>
        <v>0</v>
      </c>
      <c r="AX108" s="32">
        <f t="shared" si="62"/>
        <v>0.74701081112883028</v>
      </c>
    </row>
    <row r="109" spans="1:50" ht="18.75" customHeight="1" x14ac:dyDescent="0.2">
      <c r="A109" s="35" t="s">
        <v>55</v>
      </c>
      <c r="B109" s="36" t="s">
        <v>56</v>
      </c>
      <c r="C109" s="36"/>
      <c r="D109" s="36" t="s">
        <v>40</v>
      </c>
      <c r="E109" s="36"/>
      <c r="F109" s="36"/>
      <c r="G109" s="36" t="s">
        <v>41</v>
      </c>
      <c r="H109" s="36"/>
      <c r="I109" s="36" t="s">
        <v>936</v>
      </c>
      <c r="J109" s="36"/>
      <c r="K109" s="36" t="s">
        <v>932</v>
      </c>
      <c r="L109" s="36"/>
      <c r="M109" s="36" t="s">
        <v>933</v>
      </c>
      <c r="N109" s="36"/>
      <c r="O109" s="36" t="s">
        <v>943</v>
      </c>
      <c r="P109" s="36"/>
      <c r="Q109" s="36" t="s">
        <v>939</v>
      </c>
      <c r="R109" s="36"/>
      <c r="S109" s="36" t="s">
        <v>940</v>
      </c>
      <c r="T109" s="36">
        <v>0</v>
      </c>
      <c r="U109" s="36">
        <v>0</v>
      </c>
      <c r="V109" s="36">
        <v>0</v>
      </c>
      <c r="W109" s="36">
        <v>0</v>
      </c>
      <c r="X109" s="36" t="s">
        <v>937</v>
      </c>
      <c r="Y109" s="36"/>
      <c r="Z109" s="36"/>
      <c r="AA109" s="101" t="s">
        <v>878</v>
      </c>
      <c r="AB109" s="38" t="s">
        <v>212</v>
      </c>
      <c r="AC109" s="38" t="s">
        <v>58</v>
      </c>
      <c r="AD109" s="39">
        <v>286350464</v>
      </c>
      <c r="AE109" s="40">
        <v>0</v>
      </c>
      <c r="AF109" s="40">
        <v>0</v>
      </c>
      <c r="AG109" s="40">
        <v>0</v>
      </c>
      <c r="AH109" s="40">
        <v>0</v>
      </c>
      <c r="AI109" s="40">
        <v>0</v>
      </c>
      <c r="AJ109" s="39">
        <v>286350464</v>
      </c>
      <c r="AK109" s="40">
        <v>0</v>
      </c>
      <c r="AL109" s="112">
        <v>0</v>
      </c>
      <c r="AM109" s="40">
        <v>0</v>
      </c>
      <c r="AN109" s="40">
        <v>0</v>
      </c>
      <c r="AO109" s="18">
        <f>AP109-ABRIL!AP109</f>
        <v>0</v>
      </c>
      <c r="AP109" s="40">
        <v>0</v>
      </c>
      <c r="AQ109" s="40">
        <v>0</v>
      </c>
      <c r="AR109" s="39">
        <f>AS109-ABRIL!AS109</f>
        <v>0</v>
      </c>
      <c r="AS109" s="40">
        <v>0</v>
      </c>
      <c r="AT109" s="40">
        <f t="shared" si="50"/>
        <v>0</v>
      </c>
      <c r="AU109" s="18">
        <f t="shared" si="59"/>
        <v>286350464</v>
      </c>
      <c r="AV109" s="34">
        <f t="shared" si="60"/>
        <v>0</v>
      </c>
      <c r="AW109" s="34">
        <f t="shared" si="61"/>
        <v>0</v>
      </c>
      <c r="AX109" s="32">
        <f t="shared" si="62"/>
        <v>0</v>
      </c>
    </row>
    <row r="110" spans="1:50" ht="18.75" customHeight="1" x14ac:dyDescent="0.2">
      <c r="A110" s="14" t="s">
        <v>55</v>
      </c>
      <c r="B110" s="15" t="s">
        <v>56</v>
      </c>
      <c r="C110" s="15"/>
      <c r="D110" s="15" t="s">
        <v>40</v>
      </c>
      <c r="E110" s="15"/>
      <c r="F110" s="15"/>
      <c r="G110" s="15" t="s">
        <v>41</v>
      </c>
      <c r="H110" s="15"/>
      <c r="I110" s="15" t="s">
        <v>936</v>
      </c>
      <c r="J110" s="15"/>
      <c r="K110" s="15" t="s">
        <v>932</v>
      </c>
      <c r="L110" s="15"/>
      <c r="M110" s="15" t="s">
        <v>933</v>
      </c>
      <c r="N110" s="15"/>
      <c r="O110" s="15" t="s">
        <v>943</v>
      </c>
      <c r="P110" s="15"/>
      <c r="Q110" s="15" t="s">
        <v>939</v>
      </c>
      <c r="R110" s="15"/>
      <c r="S110" s="15" t="s">
        <v>940</v>
      </c>
      <c r="T110" s="15">
        <v>0</v>
      </c>
      <c r="U110" s="15">
        <v>0</v>
      </c>
      <c r="V110" s="15">
        <v>0</v>
      </c>
      <c r="W110" s="15">
        <v>0</v>
      </c>
      <c r="X110" s="15" t="s">
        <v>937</v>
      </c>
      <c r="Y110" s="15"/>
      <c r="Z110" s="15"/>
      <c r="AA110" s="41" t="s">
        <v>879</v>
      </c>
      <c r="AB110" s="17" t="s">
        <v>213</v>
      </c>
      <c r="AC110" s="17" t="s">
        <v>58</v>
      </c>
      <c r="AD110" s="18">
        <v>3748529000</v>
      </c>
      <c r="AE110" s="34">
        <v>0</v>
      </c>
      <c r="AF110" s="34">
        <v>0</v>
      </c>
      <c r="AG110" s="34">
        <v>0</v>
      </c>
      <c r="AH110" s="34">
        <v>0</v>
      </c>
      <c r="AI110" s="34">
        <v>0</v>
      </c>
      <c r="AJ110" s="18">
        <v>3748529000</v>
      </c>
      <c r="AK110" s="34">
        <v>0</v>
      </c>
      <c r="AL110" s="39">
        <v>312377417</v>
      </c>
      <c r="AM110" s="18">
        <v>1561887085</v>
      </c>
      <c r="AN110" s="34">
        <v>0</v>
      </c>
      <c r="AO110" s="18">
        <f>AP110-ABRIL!AP110</f>
        <v>312377417</v>
      </c>
      <c r="AP110" s="18">
        <v>1561887085</v>
      </c>
      <c r="AQ110" s="34">
        <v>0</v>
      </c>
      <c r="AR110" s="39">
        <f>AS110-ABRIL!AS110</f>
        <v>312377417</v>
      </c>
      <c r="AS110" s="18">
        <v>1561887085</v>
      </c>
      <c r="AT110" s="39">
        <f t="shared" si="50"/>
        <v>1561887085</v>
      </c>
      <c r="AU110" s="18">
        <f t="shared" si="59"/>
        <v>2186641915</v>
      </c>
      <c r="AV110" s="34">
        <f t="shared" si="60"/>
        <v>0</v>
      </c>
      <c r="AW110" s="34">
        <f t="shared" si="61"/>
        <v>0</v>
      </c>
      <c r="AX110" s="32">
        <f t="shared" si="62"/>
        <v>0.41666666711128553</v>
      </c>
    </row>
    <row r="111" spans="1:50" ht="18.75" customHeight="1" x14ac:dyDescent="0.2">
      <c r="A111" s="35" t="s">
        <v>55</v>
      </c>
      <c r="B111" s="36" t="s">
        <v>56</v>
      </c>
      <c r="C111" s="36"/>
      <c r="D111" s="36" t="s">
        <v>40</v>
      </c>
      <c r="E111" s="36"/>
      <c r="F111" s="36"/>
      <c r="G111" s="36" t="s">
        <v>41</v>
      </c>
      <c r="H111" s="36"/>
      <c r="I111" s="36" t="s">
        <v>936</v>
      </c>
      <c r="J111" s="36"/>
      <c r="K111" s="36" t="s">
        <v>932</v>
      </c>
      <c r="L111" s="36"/>
      <c r="M111" s="36" t="s">
        <v>933</v>
      </c>
      <c r="N111" s="36"/>
      <c r="O111" s="36" t="s">
        <v>943</v>
      </c>
      <c r="P111" s="36"/>
      <c r="Q111" s="36" t="s">
        <v>944</v>
      </c>
      <c r="R111" s="36"/>
      <c r="S111" s="36" t="s">
        <v>940</v>
      </c>
      <c r="T111" s="36">
        <v>0</v>
      </c>
      <c r="U111" s="36">
        <v>0</v>
      </c>
      <c r="V111" s="36">
        <v>0</v>
      </c>
      <c r="W111" s="36">
        <v>0</v>
      </c>
      <c r="X111" s="36" t="s">
        <v>937</v>
      </c>
      <c r="Y111" s="36"/>
      <c r="Z111" s="36"/>
      <c r="AA111" s="101" t="s">
        <v>880</v>
      </c>
      <c r="AB111" s="38" t="s">
        <v>214</v>
      </c>
      <c r="AC111" s="38" t="s">
        <v>58</v>
      </c>
      <c r="AD111" s="39">
        <v>80525000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39">
        <v>80525000</v>
      </c>
      <c r="AK111" s="40">
        <v>0</v>
      </c>
      <c r="AL111" s="40">
        <v>0</v>
      </c>
      <c r="AM111" s="39">
        <v>80525000</v>
      </c>
      <c r="AN111" s="40">
        <v>0</v>
      </c>
      <c r="AO111" s="18">
        <f>AP111-ABRIL!AP111</f>
        <v>0</v>
      </c>
      <c r="AP111" s="39">
        <v>80525000</v>
      </c>
      <c r="AQ111" s="40">
        <v>0</v>
      </c>
      <c r="AR111" s="39">
        <f>AS111-ABRIL!AS111</f>
        <v>0</v>
      </c>
      <c r="AS111" s="39">
        <v>80525000</v>
      </c>
      <c r="AT111" s="39">
        <f t="shared" si="50"/>
        <v>80525000</v>
      </c>
      <c r="AU111" s="34">
        <f t="shared" si="59"/>
        <v>0</v>
      </c>
      <c r="AV111" s="34">
        <f t="shared" si="60"/>
        <v>0</v>
      </c>
      <c r="AW111" s="34">
        <f t="shared" si="61"/>
        <v>0</v>
      </c>
      <c r="AX111" s="32">
        <f t="shared" si="62"/>
        <v>1</v>
      </c>
    </row>
    <row r="112" spans="1:50" ht="18.75" customHeight="1" x14ac:dyDescent="0.2">
      <c r="A112" s="14" t="s">
        <v>55</v>
      </c>
      <c r="B112" s="15" t="s">
        <v>56</v>
      </c>
      <c r="C112" s="15"/>
      <c r="D112" s="15" t="s">
        <v>40</v>
      </c>
      <c r="E112" s="15"/>
      <c r="F112" s="15"/>
      <c r="G112" s="15" t="s">
        <v>41</v>
      </c>
      <c r="H112" s="15"/>
      <c r="I112" s="15" t="s">
        <v>936</v>
      </c>
      <c r="J112" s="15"/>
      <c r="K112" s="15" t="s">
        <v>932</v>
      </c>
      <c r="L112" s="15"/>
      <c r="M112" s="15" t="s">
        <v>933</v>
      </c>
      <c r="N112" s="15"/>
      <c r="O112" s="15" t="s">
        <v>945</v>
      </c>
      <c r="P112" s="15"/>
      <c r="Q112" s="15" t="s">
        <v>944</v>
      </c>
      <c r="R112" s="15"/>
      <c r="S112" s="15" t="s">
        <v>940</v>
      </c>
      <c r="T112" s="15">
        <v>0</v>
      </c>
      <c r="U112" s="15">
        <v>0</v>
      </c>
      <c r="V112" s="15">
        <v>0</v>
      </c>
      <c r="W112" s="15">
        <v>0</v>
      </c>
      <c r="X112" s="15" t="s">
        <v>937</v>
      </c>
      <c r="Y112" s="15"/>
      <c r="Z112" s="15"/>
      <c r="AA112" s="41" t="s">
        <v>881</v>
      </c>
      <c r="AB112" s="17" t="s">
        <v>214</v>
      </c>
      <c r="AC112" s="17" t="s">
        <v>215</v>
      </c>
      <c r="AD112" s="18">
        <v>10351476177</v>
      </c>
      <c r="AE112" s="34">
        <v>0</v>
      </c>
      <c r="AF112" s="34">
        <v>0</v>
      </c>
      <c r="AG112" s="34">
        <v>0</v>
      </c>
      <c r="AH112" s="34">
        <v>0</v>
      </c>
      <c r="AI112" s="34">
        <v>0</v>
      </c>
      <c r="AJ112" s="18">
        <v>10351476177</v>
      </c>
      <c r="AK112" s="34">
        <v>0</v>
      </c>
      <c r="AL112" s="40">
        <v>0</v>
      </c>
      <c r="AM112" s="39">
        <v>8719512684</v>
      </c>
      <c r="AN112" s="34">
        <v>0</v>
      </c>
      <c r="AO112" s="18">
        <f>AP112-ABRIL!AP112</f>
        <v>0</v>
      </c>
      <c r="AP112" s="18">
        <v>8719512684</v>
      </c>
      <c r="AQ112" s="34">
        <v>0</v>
      </c>
      <c r="AR112" s="39">
        <f>AS112-ABRIL!AS112</f>
        <v>0</v>
      </c>
      <c r="AS112" s="18">
        <v>8719512684</v>
      </c>
      <c r="AT112" s="39">
        <f t="shared" si="50"/>
        <v>8719512684</v>
      </c>
      <c r="AU112" s="18">
        <f t="shared" si="59"/>
        <v>1631963493</v>
      </c>
      <c r="AV112" s="34">
        <f t="shared" si="60"/>
        <v>0</v>
      </c>
      <c r="AW112" s="34">
        <f t="shared" si="61"/>
        <v>0</v>
      </c>
      <c r="AX112" s="32">
        <f t="shared" si="62"/>
        <v>0.84234485351702126</v>
      </c>
    </row>
    <row r="113" spans="1:50" ht="26.25" customHeight="1" x14ac:dyDescent="0.2">
      <c r="A113" s="14" t="s">
        <v>55</v>
      </c>
      <c r="B113" s="15" t="s">
        <v>56</v>
      </c>
      <c r="C113" s="15"/>
      <c r="D113" s="15" t="s">
        <v>40</v>
      </c>
      <c r="E113" s="15"/>
      <c r="F113" s="15"/>
      <c r="G113" s="15" t="s">
        <v>41</v>
      </c>
      <c r="H113" s="15"/>
      <c r="I113" s="15" t="s">
        <v>936</v>
      </c>
      <c r="J113" s="15"/>
      <c r="K113" s="15" t="s">
        <v>932</v>
      </c>
      <c r="L113" s="15"/>
      <c r="M113" s="15" t="s">
        <v>933</v>
      </c>
      <c r="N113" s="15"/>
      <c r="O113" s="15" t="s">
        <v>946</v>
      </c>
      <c r="P113" s="15"/>
      <c r="Q113" s="15" t="s">
        <v>944</v>
      </c>
      <c r="R113" s="15"/>
      <c r="S113" s="15" t="s">
        <v>940</v>
      </c>
      <c r="T113" s="15">
        <v>0</v>
      </c>
      <c r="U113" s="15">
        <v>0</v>
      </c>
      <c r="V113" s="15">
        <v>0</v>
      </c>
      <c r="W113" s="15">
        <v>0</v>
      </c>
      <c r="X113" s="15" t="s">
        <v>937</v>
      </c>
      <c r="Y113" s="15"/>
      <c r="Z113" s="15"/>
      <c r="AA113" s="41" t="s">
        <v>882</v>
      </c>
      <c r="AB113" s="17" t="s">
        <v>205</v>
      </c>
      <c r="AC113" s="17" t="s">
        <v>216</v>
      </c>
      <c r="AD113" s="18">
        <v>150000000</v>
      </c>
      <c r="AE113" s="18">
        <v>2649057.39</v>
      </c>
      <c r="AF113" s="34">
        <v>0</v>
      </c>
      <c r="AG113" s="34">
        <v>0</v>
      </c>
      <c r="AH113" s="34">
        <v>0</v>
      </c>
      <c r="AI113" s="18">
        <f>AE113-AF113+AG113-AH113</f>
        <v>2649057.39</v>
      </c>
      <c r="AJ113" s="18">
        <f>AD113+AI113</f>
        <v>152649057.38999999</v>
      </c>
      <c r="AK113" s="34">
        <v>0</v>
      </c>
      <c r="AL113" s="39">
        <v>5868195</v>
      </c>
      <c r="AM113" s="39">
        <v>19260960</v>
      </c>
      <c r="AN113" s="34">
        <v>0</v>
      </c>
      <c r="AO113" s="18">
        <f>AP113-ABRIL!AP113</f>
        <v>5868195</v>
      </c>
      <c r="AP113" s="18">
        <v>19260960</v>
      </c>
      <c r="AQ113" s="34">
        <v>0</v>
      </c>
      <c r="AR113" s="39">
        <f>AS113-ABRIL!AS113</f>
        <v>10924920</v>
      </c>
      <c r="AS113" s="18">
        <v>19260960</v>
      </c>
      <c r="AT113" s="39">
        <f t="shared" si="50"/>
        <v>19260960</v>
      </c>
      <c r="AU113" s="18">
        <f t="shared" si="59"/>
        <v>133388097.38999999</v>
      </c>
      <c r="AV113" s="34">
        <f t="shared" si="60"/>
        <v>0</v>
      </c>
      <c r="AW113" s="34">
        <f t="shared" si="61"/>
        <v>0</v>
      </c>
      <c r="AX113" s="32">
        <f t="shared" si="62"/>
        <v>0.12617804740707023</v>
      </c>
    </row>
    <row r="114" spans="1:50" ht="26.25" customHeight="1" x14ac:dyDescent="0.2">
      <c r="A114" s="14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41" t="s">
        <v>984</v>
      </c>
      <c r="AB114" s="42" t="s">
        <v>985</v>
      </c>
      <c r="AC114" s="17"/>
      <c r="AD114" s="34">
        <v>0</v>
      </c>
      <c r="AE114" s="34">
        <v>0</v>
      </c>
      <c r="AF114" s="34">
        <v>0</v>
      </c>
      <c r="AG114" s="18">
        <v>700000000</v>
      </c>
      <c r="AH114" s="34">
        <v>0</v>
      </c>
      <c r="AI114" s="18">
        <f>AE114-AF114+AG114-AH114</f>
        <v>700000000</v>
      </c>
      <c r="AJ114" s="18">
        <f>AD114+AI114</f>
        <v>700000000</v>
      </c>
      <c r="AK114" s="34">
        <v>0</v>
      </c>
      <c r="AL114" s="40">
        <v>0</v>
      </c>
      <c r="AM114" s="39">
        <v>700000000</v>
      </c>
      <c r="AN114" s="34">
        <v>0</v>
      </c>
      <c r="AO114" s="18">
        <f>AP114-ABRIL!AP114</f>
        <v>0</v>
      </c>
      <c r="AP114" s="18">
        <v>700000000</v>
      </c>
      <c r="AQ114" s="34">
        <v>0</v>
      </c>
      <c r="AR114" s="39">
        <f>AS114-ABRIL!AS114</f>
        <v>0</v>
      </c>
      <c r="AS114" s="18">
        <v>700000000</v>
      </c>
      <c r="AT114" s="39">
        <f t="shared" si="50"/>
        <v>700000000</v>
      </c>
      <c r="AU114" s="34">
        <f t="shared" si="59"/>
        <v>0</v>
      </c>
      <c r="AV114" s="34">
        <f t="shared" si="60"/>
        <v>0</v>
      </c>
      <c r="AW114" s="34">
        <f t="shared" si="61"/>
        <v>0</v>
      </c>
      <c r="AX114" s="32">
        <f t="shared" si="62"/>
        <v>1</v>
      </c>
    </row>
    <row r="115" spans="1:50" s="25" customFormat="1" ht="18.75" customHeight="1" x14ac:dyDescent="0.2">
      <c r="A115" s="19" t="s">
        <v>55</v>
      </c>
      <c r="B115" s="19" t="s">
        <v>56</v>
      </c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26" t="s">
        <v>883</v>
      </c>
      <c r="AB115" s="21" t="s">
        <v>217</v>
      </c>
      <c r="AC115" s="22" t="s">
        <v>37</v>
      </c>
      <c r="AD115" s="22">
        <f>AD116</f>
        <v>36000000000</v>
      </c>
      <c r="AE115" s="23">
        <f t="shared" ref="AE115:AW117" si="63">AE116</f>
        <v>0</v>
      </c>
      <c r="AF115" s="23">
        <f t="shared" si="63"/>
        <v>0</v>
      </c>
      <c r="AG115" s="23">
        <f t="shared" si="63"/>
        <v>0</v>
      </c>
      <c r="AH115" s="23">
        <f t="shared" si="63"/>
        <v>0</v>
      </c>
      <c r="AI115" s="23">
        <f t="shared" si="63"/>
        <v>0</v>
      </c>
      <c r="AJ115" s="22">
        <f t="shared" si="63"/>
        <v>36000000000</v>
      </c>
      <c r="AK115" s="23">
        <f t="shared" si="63"/>
        <v>0</v>
      </c>
      <c r="AL115" s="23">
        <f t="shared" si="63"/>
        <v>0</v>
      </c>
      <c r="AM115" s="22">
        <f t="shared" si="63"/>
        <v>24789881303</v>
      </c>
      <c r="AN115" s="23">
        <f t="shared" si="63"/>
        <v>0</v>
      </c>
      <c r="AO115" s="23">
        <f t="shared" si="63"/>
        <v>0</v>
      </c>
      <c r="AP115" s="22">
        <f t="shared" si="63"/>
        <v>24789881303</v>
      </c>
      <c r="AQ115" s="23">
        <f t="shared" si="63"/>
        <v>0</v>
      </c>
      <c r="AR115" s="23">
        <f t="shared" si="63"/>
        <v>0</v>
      </c>
      <c r="AS115" s="22">
        <f t="shared" si="63"/>
        <v>24789881303</v>
      </c>
      <c r="AT115" s="22">
        <f>AQ115+AS115</f>
        <v>24789881303</v>
      </c>
      <c r="AU115" s="22">
        <f t="shared" si="63"/>
        <v>11210118697</v>
      </c>
      <c r="AV115" s="23">
        <f t="shared" si="63"/>
        <v>0</v>
      </c>
      <c r="AW115" s="23">
        <f t="shared" si="63"/>
        <v>0</v>
      </c>
      <c r="AX115" s="24">
        <f t="shared" si="62"/>
        <v>0.68860781397222226</v>
      </c>
    </row>
    <row r="116" spans="1:50" ht="18.75" customHeight="1" x14ac:dyDescent="0.2">
      <c r="A116" s="27" t="s">
        <v>55</v>
      </c>
      <c r="B116" s="27" t="s">
        <v>56</v>
      </c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8" t="s">
        <v>218</v>
      </c>
      <c r="AB116" s="29" t="s">
        <v>219</v>
      </c>
      <c r="AC116" s="30" t="s">
        <v>37</v>
      </c>
      <c r="AD116" s="30">
        <f>AD117</f>
        <v>36000000000</v>
      </c>
      <c r="AE116" s="31">
        <f t="shared" si="63"/>
        <v>0</v>
      </c>
      <c r="AF116" s="31">
        <f t="shared" si="63"/>
        <v>0</v>
      </c>
      <c r="AG116" s="31">
        <f t="shared" si="63"/>
        <v>0</v>
      </c>
      <c r="AH116" s="31">
        <f t="shared" si="63"/>
        <v>0</v>
      </c>
      <c r="AI116" s="31">
        <f t="shared" si="63"/>
        <v>0</v>
      </c>
      <c r="AJ116" s="30">
        <f t="shared" si="63"/>
        <v>36000000000</v>
      </c>
      <c r="AK116" s="31">
        <f t="shared" si="63"/>
        <v>0</v>
      </c>
      <c r="AL116" s="31">
        <f t="shared" si="63"/>
        <v>0</v>
      </c>
      <c r="AM116" s="30">
        <f t="shared" si="63"/>
        <v>24789881303</v>
      </c>
      <c r="AN116" s="31">
        <f t="shared" si="63"/>
        <v>0</v>
      </c>
      <c r="AO116" s="31">
        <f t="shared" si="63"/>
        <v>0</v>
      </c>
      <c r="AP116" s="30">
        <f t="shared" si="63"/>
        <v>24789881303</v>
      </c>
      <c r="AQ116" s="31">
        <f t="shared" si="63"/>
        <v>0</v>
      </c>
      <c r="AR116" s="31">
        <f t="shared" si="63"/>
        <v>0</v>
      </c>
      <c r="AS116" s="30">
        <f t="shared" si="63"/>
        <v>24789881303</v>
      </c>
      <c r="AT116" s="30">
        <f t="shared" ref="AT116:AT120" si="64">AQ116+AS116</f>
        <v>24789881303</v>
      </c>
      <c r="AU116" s="18">
        <f>AJ116-AM116</f>
        <v>11210118697</v>
      </c>
      <c r="AV116" s="34">
        <f>AM116-AP116</f>
        <v>0</v>
      </c>
      <c r="AW116" s="34">
        <f>AP116-AT116</f>
        <v>0</v>
      </c>
      <c r="AX116" s="32">
        <f t="shared" si="62"/>
        <v>0.68860781397222226</v>
      </c>
    </row>
    <row r="117" spans="1:50" ht="22.5" customHeight="1" x14ac:dyDescent="0.2">
      <c r="A117" s="27" t="s">
        <v>55</v>
      </c>
      <c r="B117" s="27" t="s">
        <v>56</v>
      </c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8" t="s">
        <v>220</v>
      </c>
      <c r="AB117" s="29" t="s">
        <v>221</v>
      </c>
      <c r="AC117" s="30" t="s">
        <v>37</v>
      </c>
      <c r="AD117" s="30">
        <f>AD118</f>
        <v>36000000000</v>
      </c>
      <c r="AE117" s="31">
        <f t="shared" si="63"/>
        <v>0</v>
      </c>
      <c r="AF117" s="31">
        <f t="shared" si="63"/>
        <v>0</v>
      </c>
      <c r="AG117" s="31">
        <f t="shared" si="63"/>
        <v>0</v>
      </c>
      <c r="AH117" s="31">
        <f t="shared" si="63"/>
        <v>0</v>
      </c>
      <c r="AI117" s="31">
        <f t="shared" si="63"/>
        <v>0</v>
      </c>
      <c r="AJ117" s="30">
        <f t="shared" si="63"/>
        <v>36000000000</v>
      </c>
      <c r="AK117" s="31">
        <f t="shared" si="63"/>
        <v>0</v>
      </c>
      <c r="AL117" s="31">
        <f t="shared" si="63"/>
        <v>0</v>
      </c>
      <c r="AM117" s="30">
        <f t="shared" si="63"/>
        <v>24789881303</v>
      </c>
      <c r="AN117" s="31">
        <f t="shared" si="63"/>
        <v>0</v>
      </c>
      <c r="AO117" s="31">
        <f t="shared" si="63"/>
        <v>0</v>
      </c>
      <c r="AP117" s="30">
        <f t="shared" si="63"/>
        <v>24789881303</v>
      </c>
      <c r="AQ117" s="31">
        <f t="shared" si="63"/>
        <v>0</v>
      </c>
      <c r="AR117" s="31">
        <f t="shared" si="63"/>
        <v>0</v>
      </c>
      <c r="AS117" s="30">
        <f t="shared" si="63"/>
        <v>24789881303</v>
      </c>
      <c r="AT117" s="30">
        <f t="shared" si="64"/>
        <v>24789881303</v>
      </c>
      <c r="AU117" s="18">
        <f>AJ117-AM117</f>
        <v>11210118697</v>
      </c>
      <c r="AV117" s="34">
        <f>AM117-AP117</f>
        <v>0</v>
      </c>
      <c r="AW117" s="34">
        <f>AP117-AT117</f>
        <v>0</v>
      </c>
      <c r="AX117" s="32">
        <f t="shared" si="62"/>
        <v>0.68860781397222226</v>
      </c>
    </row>
    <row r="118" spans="1:50" ht="27" customHeight="1" x14ac:dyDescent="0.2">
      <c r="A118" s="27" t="s">
        <v>55</v>
      </c>
      <c r="B118" s="27" t="s">
        <v>56</v>
      </c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8" t="s">
        <v>222</v>
      </c>
      <c r="AB118" s="29" t="s">
        <v>223</v>
      </c>
      <c r="AC118" s="30" t="s">
        <v>37</v>
      </c>
      <c r="AD118" s="30">
        <f>AD119+AD120</f>
        <v>36000000000</v>
      </c>
      <c r="AE118" s="31">
        <f t="shared" ref="AE118:AS118" si="65">AE119+AE120</f>
        <v>0</v>
      </c>
      <c r="AF118" s="31">
        <f t="shared" si="65"/>
        <v>0</v>
      </c>
      <c r="AG118" s="31">
        <f t="shared" si="65"/>
        <v>0</v>
      </c>
      <c r="AH118" s="31">
        <f t="shared" si="65"/>
        <v>0</v>
      </c>
      <c r="AI118" s="31">
        <f t="shared" si="65"/>
        <v>0</v>
      </c>
      <c r="AJ118" s="30">
        <f t="shared" si="65"/>
        <v>36000000000</v>
      </c>
      <c r="AK118" s="31">
        <f t="shared" si="65"/>
        <v>0</v>
      </c>
      <c r="AL118" s="31">
        <f t="shared" si="65"/>
        <v>0</v>
      </c>
      <c r="AM118" s="30">
        <f t="shared" si="65"/>
        <v>24789881303</v>
      </c>
      <c r="AN118" s="31">
        <f t="shared" si="65"/>
        <v>0</v>
      </c>
      <c r="AO118" s="30">
        <f t="shared" si="65"/>
        <v>0</v>
      </c>
      <c r="AP118" s="30">
        <f t="shared" si="65"/>
        <v>24789881303</v>
      </c>
      <c r="AQ118" s="31">
        <f t="shared" si="65"/>
        <v>0</v>
      </c>
      <c r="AR118" s="31">
        <f t="shared" si="65"/>
        <v>0</v>
      </c>
      <c r="AS118" s="30">
        <f t="shared" si="65"/>
        <v>24789881303</v>
      </c>
      <c r="AT118" s="30">
        <f t="shared" si="64"/>
        <v>24789881303</v>
      </c>
      <c r="AU118" s="18">
        <f>AJ118-AM118</f>
        <v>11210118697</v>
      </c>
      <c r="AV118" s="34">
        <f>AM118-AP118</f>
        <v>0</v>
      </c>
      <c r="AW118" s="34">
        <f>AP118-AT118</f>
        <v>0</v>
      </c>
      <c r="AX118" s="32">
        <f t="shared" si="62"/>
        <v>0.68860781397222226</v>
      </c>
    </row>
    <row r="119" spans="1:50" ht="18.75" customHeight="1" x14ac:dyDescent="0.2">
      <c r="A119" s="14" t="s">
        <v>55</v>
      </c>
      <c r="B119" s="15" t="s">
        <v>56</v>
      </c>
      <c r="C119" s="15"/>
      <c r="D119" s="15" t="s">
        <v>40</v>
      </c>
      <c r="E119" s="15"/>
      <c r="F119" s="15"/>
      <c r="G119" s="15" t="s">
        <v>41</v>
      </c>
      <c r="H119" s="15"/>
      <c r="I119" s="15" t="s">
        <v>936</v>
      </c>
      <c r="J119" s="15"/>
      <c r="K119" s="15" t="s">
        <v>932</v>
      </c>
      <c r="L119" s="15"/>
      <c r="M119" s="15" t="s">
        <v>933</v>
      </c>
      <c r="N119" s="15"/>
      <c r="O119" s="15" t="s">
        <v>943</v>
      </c>
      <c r="P119" s="15"/>
      <c r="Q119" s="15" t="s">
        <v>939</v>
      </c>
      <c r="R119" s="15"/>
      <c r="S119" s="15" t="s">
        <v>940</v>
      </c>
      <c r="T119" s="15">
        <v>0</v>
      </c>
      <c r="U119" s="15">
        <v>0</v>
      </c>
      <c r="V119" s="15">
        <v>0</v>
      </c>
      <c r="W119" s="15">
        <v>0</v>
      </c>
      <c r="X119" s="15" t="s">
        <v>937</v>
      </c>
      <c r="Y119" s="15"/>
      <c r="Z119" s="15"/>
      <c r="AA119" s="16" t="s">
        <v>224</v>
      </c>
      <c r="AB119" s="17" t="s">
        <v>225</v>
      </c>
      <c r="AC119" s="17" t="s">
        <v>226</v>
      </c>
      <c r="AD119" s="18">
        <v>35280000000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18">
        <v>35280000000</v>
      </c>
      <c r="AK119" s="34">
        <v>0</v>
      </c>
      <c r="AL119" s="34">
        <v>0</v>
      </c>
      <c r="AM119" s="18">
        <v>24647223511</v>
      </c>
      <c r="AN119" s="18">
        <v>0</v>
      </c>
      <c r="AO119" s="18">
        <v>0</v>
      </c>
      <c r="AP119" s="18">
        <v>24647223511</v>
      </c>
      <c r="AQ119" s="34">
        <v>0</v>
      </c>
      <c r="AR119" s="34">
        <v>0</v>
      </c>
      <c r="AS119" s="18">
        <v>24647223511</v>
      </c>
      <c r="AT119" s="30">
        <f t="shared" si="64"/>
        <v>24647223511</v>
      </c>
      <c r="AU119" s="18">
        <f>AJ119-AM119</f>
        <v>10632776489</v>
      </c>
      <c r="AV119" s="34">
        <f>AM119-AP119</f>
        <v>0</v>
      </c>
      <c r="AW119" s="34">
        <f>AP119-AT119</f>
        <v>0</v>
      </c>
      <c r="AX119" s="32">
        <f t="shared" si="62"/>
        <v>0.69861744645691615</v>
      </c>
    </row>
    <row r="120" spans="1:50" ht="18.75" customHeight="1" x14ac:dyDescent="0.2">
      <c r="A120" s="14" t="s">
        <v>55</v>
      </c>
      <c r="B120" s="15" t="s">
        <v>56</v>
      </c>
      <c r="C120" s="15"/>
      <c r="D120" s="15" t="s">
        <v>40</v>
      </c>
      <c r="E120" s="15"/>
      <c r="F120" s="15"/>
      <c r="G120" s="15" t="s">
        <v>41</v>
      </c>
      <c r="H120" s="15"/>
      <c r="I120" s="15" t="s">
        <v>936</v>
      </c>
      <c r="J120" s="15"/>
      <c r="K120" s="15" t="s">
        <v>932</v>
      </c>
      <c r="L120" s="15"/>
      <c r="M120" s="15" t="s">
        <v>933</v>
      </c>
      <c r="N120" s="15"/>
      <c r="O120" s="15" t="s">
        <v>943</v>
      </c>
      <c r="P120" s="15"/>
      <c r="Q120" s="15" t="s">
        <v>939</v>
      </c>
      <c r="R120" s="15"/>
      <c r="S120" s="15" t="s">
        <v>940</v>
      </c>
      <c r="T120" s="15">
        <v>0</v>
      </c>
      <c r="U120" s="15">
        <v>0</v>
      </c>
      <c r="V120" s="15">
        <v>0</v>
      </c>
      <c r="W120" s="15">
        <v>0</v>
      </c>
      <c r="X120" s="15" t="s">
        <v>937</v>
      </c>
      <c r="Y120" s="15"/>
      <c r="Z120" s="15"/>
      <c r="AA120" s="16" t="s">
        <v>227</v>
      </c>
      <c r="AB120" s="17" t="s">
        <v>228</v>
      </c>
      <c r="AC120" s="17" t="s">
        <v>226</v>
      </c>
      <c r="AD120" s="18">
        <v>720000000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18">
        <v>720000000</v>
      </c>
      <c r="AK120" s="34">
        <v>0</v>
      </c>
      <c r="AL120" s="34">
        <v>0</v>
      </c>
      <c r="AM120" s="18">
        <v>142657792</v>
      </c>
      <c r="AN120" s="18">
        <v>0</v>
      </c>
      <c r="AO120" s="18">
        <v>0</v>
      </c>
      <c r="AP120" s="18">
        <v>142657792</v>
      </c>
      <c r="AQ120" s="34">
        <v>0</v>
      </c>
      <c r="AR120" s="34">
        <v>0</v>
      </c>
      <c r="AS120" s="18">
        <v>142657792</v>
      </c>
      <c r="AT120" s="30">
        <f t="shared" si="64"/>
        <v>142657792</v>
      </c>
      <c r="AU120" s="18">
        <f>AJ120-AM120</f>
        <v>577342208</v>
      </c>
      <c r="AV120" s="34">
        <f>AM120-AP120</f>
        <v>0</v>
      </c>
      <c r="AW120" s="34">
        <f>AP120-AT120</f>
        <v>0</v>
      </c>
      <c r="AX120" s="32">
        <f t="shared" si="62"/>
        <v>0.19813582222222223</v>
      </c>
    </row>
    <row r="121" spans="1:50" s="25" customFormat="1" ht="18.75" customHeight="1" x14ac:dyDescent="0.2">
      <c r="A121" s="19" t="s">
        <v>55</v>
      </c>
      <c r="B121" s="19" t="s">
        <v>56</v>
      </c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26" t="s">
        <v>884</v>
      </c>
      <c r="AB121" s="21" t="s">
        <v>229</v>
      </c>
      <c r="AC121" s="22" t="s">
        <v>56</v>
      </c>
      <c r="AD121" s="22">
        <f>AD122</f>
        <v>42253026328</v>
      </c>
      <c r="AE121" s="22">
        <f t="shared" ref="AE121:AW121" si="66">AE122</f>
        <v>429925823.10000002</v>
      </c>
      <c r="AF121" s="23">
        <f t="shared" si="66"/>
        <v>0</v>
      </c>
      <c r="AG121" s="23">
        <f t="shared" si="66"/>
        <v>0</v>
      </c>
      <c r="AH121" s="22">
        <f t="shared" si="66"/>
        <v>900000000</v>
      </c>
      <c r="AI121" s="22">
        <f t="shared" si="66"/>
        <v>-470074176.89999998</v>
      </c>
      <c r="AJ121" s="22">
        <f t="shared" si="66"/>
        <v>41782952151.099998</v>
      </c>
      <c r="AK121" s="23">
        <f t="shared" si="66"/>
        <v>0</v>
      </c>
      <c r="AL121" s="22">
        <f t="shared" si="66"/>
        <v>2067732548.77</v>
      </c>
      <c r="AM121" s="22">
        <f t="shared" si="66"/>
        <v>11118881509.75</v>
      </c>
      <c r="AN121" s="23">
        <f t="shared" si="66"/>
        <v>0</v>
      </c>
      <c r="AO121" s="22">
        <f t="shared" si="66"/>
        <v>2067732548.77</v>
      </c>
      <c r="AP121" s="22">
        <f t="shared" si="66"/>
        <v>11118881509.75</v>
      </c>
      <c r="AQ121" s="22">
        <f t="shared" si="66"/>
        <v>2102053727</v>
      </c>
      <c r="AR121" s="22">
        <f t="shared" si="66"/>
        <v>4246891782.3400002</v>
      </c>
      <c r="AS121" s="22">
        <f t="shared" si="66"/>
        <v>8972550058.75</v>
      </c>
      <c r="AT121" s="22">
        <f>AQ121+AS121</f>
        <v>11074603785.75</v>
      </c>
      <c r="AU121" s="22">
        <f t="shared" si="66"/>
        <v>30664070641.349998</v>
      </c>
      <c r="AV121" s="23">
        <f t="shared" si="66"/>
        <v>0</v>
      </c>
      <c r="AW121" s="22">
        <f t="shared" si="66"/>
        <v>44277724</v>
      </c>
      <c r="AX121" s="24">
        <f t="shared" si="62"/>
        <v>0.26611048136428239</v>
      </c>
    </row>
    <row r="122" spans="1:50" ht="18.75" customHeight="1" x14ac:dyDescent="0.2">
      <c r="A122" s="27" t="s">
        <v>55</v>
      </c>
      <c r="B122" s="27" t="s">
        <v>56</v>
      </c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8" t="s">
        <v>885</v>
      </c>
      <c r="AB122" s="29" t="s">
        <v>230</v>
      </c>
      <c r="AC122" s="30" t="s">
        <v>56</v>
      </c>
      <c r="AD122" s="30">
        <f>AD123+AD129+AD132+AD134+AD135+AD136</f>
        <v>42253026328</v>
      </c>
      <c r="AE122" s="30">
        <f t="shared" ref="AE122:AS122" si="67">AE123+AE129+AE132+AE134+AE135+AE136</f>
        <v>429925823.10000002</v>
      </c>
      <c r="AF122" s="31">
        <f t="shared" si="67"/>
        <v>0</v>
      </c>
      <c r="AG122" s="31">
        <f t="shared" si="67"/>
        <v>0</v>
      </c>
      <c r="AH122" s="30">
        <f t="shared" si="67"/>
        <v>900000000</v>
      </c>
      <c r="AI122" s="30">
        <f t="shared" si="67"/>
        <v>-470074176.89999998</v>
      </c>
      <c r="AJ122" s="30">
        <f t="shared" si="67"/>
        <v>41782952151.099998</v>
      </c>
      <c r="AK122" s="31">
        <f t="shared" si="67"/>
        <v>0</v>
      </c>
      <c r="AL122" s="30">
        <f t="shared" si="67"/>
        <v>2067732548.77</v>
      </c>
      <c r="AM122" s="30">
        <f t="shared" si="67"/>
        <v>11118881509.75</v>
      </c>
      <c r="AN122" s="31">
        <f t="shared" si="67"/>
        <v>0</v>
      </c>
      <c r="AO122" s="30">
        <f t="shared" si="67"/>
        <v>2067732548.77</v>
      </c>
      <c r="AP122" s="30">
        <f t="shared" si="67"/>
        <v>11118881509.75</v>
      </c>
      <c r="AQ122" s="30">
        <f t="shared" si="67"/>
        <v>2102053727</v>
      </c>
      <c r="AR122" s="30">
        <f t="shared" si="67"/>
        <v>4246891782.3400002</v>
      </c>
      <c r="AS122" s="30">
        <f t="shared" si="67"/>
        <v>8972550058.75</v>
      </c>
      <c r="AT122" s="30">
        <f t="shared" ref="AT122:AT136" si="68">AQ122+AS122</f>
        <v>11074603785.75</v>
      </c>
      <c r="AU122" s="18">
        <f>AJ122-AM122</f>
        <v>30664070641.349998</v>
      </c>
      <c r="AV122" s="34">
        <f>AM122-AP122</f>
        <v>0</v>
      </c>
      <c r="AW122" s="18">
        <f>AP122-AT122</f>
        <v>44277724</v>
      </c>
      <c r="AX122" s="32">
        <f t="shared" si="62"/>
        <v>0.26611048136428239</v>
      </c>
    </row>
    <row r="123" spans="1:50" ht="18.75" customHeight="1" x14ac:dyDescent="0.2">
      <c r="A123" s="27" t="s">
        <v>55</v>
      </c>
      <c r="B123" s="27" t="s">
        <v>56</v>
      </c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8" t="s">
        <v>886</v>
      </c>
      <c r="AB123" s="29" t="s">
        <v>231</v>
      </c>
      <c r="AC123" s="30" t="s">
        <v>56</v>
      </c>
      <c r="AD123" s="30">
        <f>AD124</f>
        <v>40897026328</v>
      </c>
      <c r="AE123" s="30">
        <f>AE124</f>
        <v>429925823.10000002</v>
      </c>
      <c r="AF123" s="31">
        <f t="shared" ref="AF123:AS123" si="69">AF124</f>
        <v>0</v>
      </c>
      <c r="AG123" s="31">
        <f t="shared" si="69"/>
        <v>0</v>
      </c>
      <c r="AH123" s="30">
        <f t="shared" si="69"/>
        <v>900000000</v>
      </c>
      <c r="AI123" s="30">
        <f t="shared" si="69"/>
        <v>-470074176.89999998</v>
      </c>
      <c r="AJ123" s="30">
        <f t="shared" si="69"/>
        <v>40426952151.099998</v>
      </c>
      <c r="AK123" s="31">
        <f t="shared" si="69"/>
        <v>0</v>
      </c>
      <c r="AL123" s="30">
        <f t="shared" si="69"/>
        <v>2058560162</v>
      </c>
      <c r="AM123" s="30">
        <f t="shared" si="69"/>
        <v>10531955662</v>
      </c>
      <c r="AN123" s="31">
        <f t="shared" si="69"/>
        <v>0</v>
      </c>
      <c r="AO123" s="30">
        <f t="shared" si="69"/>
        <v>2058560162</v>
      </c>
      <c r="AP123" s="30">
        <f t="shared" si="69"/>
        <v>10531955662</v>
      </c>
      <c r="AQ123" s="30">
        <f t="shared" si="69"/>
        <v>2102053727</v>
      </c>
      <c r="AR123" s="113">
        <f t="shared" si="69"/>
        <v>4239460322</v>
      </c>
      <c r="AS123" s="113">
        <f t="shared" si="69"/>
        <v>8391246715</v>
      </c>
      <c r="AT123" s="30">
        <f t="shared" si="68"/>
        <v>10493300442</v>
      </c>
      <c r="AU123" s="18">
        <f>AJ123-AM123</f>
        <v>29894996489.099998</v>
      </c>
      <c r="AV123" s="34">
        <f>AM123-AP123</f>
        <v>0</v>
      </c>
      <c r="AW123" s="18">
        <f>AP123-AT123</f>
        <v>38655220</v>
      </c>
      <c r="AX123" s="32">
        <f t="shared" si="62"/>
        <v>0.26051817170475045</v>
      </c>
    </row>
    <row r="124" spans="1:50" ht="29.25" customHeight="1" x14ac:dyDescent="0.2">
      <c r="A124" s="27" t="s">
        <v>55</v>
      </c>
      <c r="B124" s="27" t="s">
        <v>56</v>
      </c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8" t="s">
        <v>887</v>
      </c>
      <c r="AB124" s="29" t="s">
        <v>232</v>
      </c>
      <c r="AC124" s="30" t="s">
        <v>37</v>
      </c>
      <c r="AD124" s="30">
        <f>AD125+AD126+AD127+AD128</f>
        <v>40897026328</v>
      </c>
      <c r="AE124" s="30">
        <f t="shared" ref="AE124:AW124" si="70">AE125+AE126+AE127+AE128</f>
        <v>429925823.10000002</v>
      </c>
      <c r="AF124" s="31">
        <f t="shared" si="70"/>
        <v>0</v>
      </c>
      <c r="AG124" s="31">
        <f t="shared" si="70"/>
        <v>0</v>
      </c>
      <c r="AH124" s="30">
        <f t="shared" si="70"/>
        <v>900000000</v>
      </c>
      <c r="AI124" s="30">
        <f t="shared" si="70"/>
        <v>-470074176.89999998</v>
      </c>
      <c r="AJ124" s="30">
        <f t="shared" si="70"/>
        <v>40426952151.099998</v>
      </c>
      <c r="AK124" s="31">
        <f t="shared" si="70"/>
        <v>0</v>
      </c>
      <c r="AL124" s="30">
        <f t="shared" si="70"/>
        <v>2058560162</v>
      </c>
      <c r="AM124" s="30">
        <f t="shared" si="70"/>
        <v>10531955662</v>
      </c>
      <c r="AN124" s="30">
        <f t="shared" si="70"/>
        <v>0</v>
      </c>
      <c r="AO124" s="30">
        <f t="shared" si="70"/>
        <v>2058560162</v>
      </c>
      <c r="AP124" s="30">
        <f t="shared" si="70"/>
        <v>10531955662</v>
      </c>
      <c r="AQ124" s="30">
        <f t="shared" si="70"/>
        <v>2102053727</v>
      </c>
      <c r="AR124" s="30">
        <f t="shared" si="70"/>
        <v>4239460322</v>
      </c>
      <c r="AS124" s="30">
        <f t="shared" si="70"/>
        <v>8391246715</v>
      </c>
      <c r="AT124" s="30">
        <f t="shared" si="70"/>
        <v>10493300442</v>
      </c>
      <c r="AU124" s="30">
        <f t="shared" si="70"/>
        <v>29894996489.099998</v>
      </c>
      <c r="AV124" s="30">
        <f t="shared" si="70"/>
        <v>0</v>
      </c>
      <c r="AW124" s="30">
        <f t="shared" si="70"/>
        <v>38655220</v>
      </c>
      <c r="AX124" s="32">
        <f t="shared" si="62"/>
        <v>0.26051817170475045</v>
      </c>
    </row>
    <row r="125" spans="1:50" ht="18.75" customHeight="1" x14ac:dyDescent="0.2">
      <c r="A125" s="14" t="s">
        <v>55</v>
      </c>
      <c r="B125" s="15" t="s">
        <v>56</v>
      </c>
      <c r="C125" s="15"/>
      <c r="D125" s="15" t="s">
        <v>40</v>
      </c>
      <c r="E125" s="15"/>
      <c r="F125" s="15"/>
      <c r="G125" s="15" t="s">
        <v>41</v>
      </c>
      <c r="H125" s="15"/>
      <c r="I125" s="15" t="s">
        <v>936</v>
      </c>
      <c r="J125" s="15"/>
      <c r="K125" s="15" t="s">
        <v>932</v>
      </c>
      <c r="L125" s="15"/>
      <c r="M125" s="15" t="s">
        <v>933</v>
      </c>
      <c r="N125" s="15"/>
      <c r="O125" s="15" t="s">
        <v>938</v>
      </c>
      <c r="P125" s="15"/>
      <c r="Q125" s="15" t="s">
        <v>939</v>
      </c>
      <c r="R125" s="15"/>
      <c r="S125" s="15" t="s">
        <v>940</v>
      </c>
      <c r="T125" s="15">
        <v>0</v>
      </c>
      <c r="U125" s="15">
        <v>0</v>
      </c>
      <c r="V125" s="15">
        <v>0</v>
      </c>
      <c r="W125" s="15">
        <v>0</v>
      </c>
      <c r="X125" s="15" t="s">
        <v>937</v>
      </c>
      <c r="Y125" s="15"/>
      <c r="Z125" s="15"/>
      <c r="AA125" s="41" t="s">
        <v>888</v>
      </c>
      <c r="AB125" s="17" t="s">
        <v>233</v>
      </c>
      <c r="AC125" s="17" t="s">
        <v>58</v>
      </c>
      <c r="AD125" s="18">
        <v>28000000000</v>
      </c>
      <c r="AE125" s="34">
        <v>0</v>
      </c>
      <c r="AF125" s="34">
        <v>0</v>
      </c>
      <c r="AG125" s="34">
        <v>0</v>
      </c>
      <c r="AH125" s="18">
        <v>900000000</v>
      </c>
      <c r="AI125" s="18">
        <f>AE125-AF125+AG125-AH125</f>
        <v>-900000000</v>
      </c>
      <c r="AJ125" s="18">
        <f>AD125+AI125</f>
        <v>27100000000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4">
        <v>0</v>
      </c>
      <c r="AQ125" s="34">
        <v>0</v>
      </c>
      <c r="AR125" s="34">
        <v>0</v>
      </c>
      <c r="AS125" s="34">
        <v>0</v>
      </c>
      <c r="AT125" s="31">
        <f t="shared" si="68"/>
        <v>0</v>
      </c>
      <c r="AU125" s="18">
        <f t="shared" ref="AU125:AU136" si="71">AJ125-AM125</f>
        <v>27100000000</v>
      </c>
      <c r="AV125" s="34">
        <f t="shared" ref="AV125:AV136" si="72">AM125-AP125</f>
        <v>0</v>
      </c>
      <c r="AW125" s="34">
        <f t="shared" ref="AW125:AW136" si="73">AP125-AT125</f>
        <v>0</v>
      </c>
      <c r="AX125" s="32">
        <f t="shared" si="62"/>
        <v>0</v>
      </c>
    </row>
    <row r="126" spans="1:50" ht="28.5" customHeight="1" x14ac:dyDescent="0.2">
      <c r="A126" s="4" t="s">
        <v>55</v>
      </c>
      <c r="B126" s="4" t="s">
        <v>56</v>
      </c>
      <c r="C126" s="4"/>
      <c r="D126" s="4" t="s">
        <v>40</v>
      </c>
      <c r="E126" s="4"/>
      <c r="F126" s="4"/>
      <c r="G126" s="4" t="s">
        <v>41</v>
      </c>
      <c r="H126" s="4"/>
      <c r="I126" s="4" t="s">
        <v>936</v>
      </c>
      <c r="J126" s="4"/>
      <c r="K126" s="4" t="s">
        <v>932</v>
      </c>
      <c r="L126" s="4"/>
      <c r="M126" s="4" t="s">
        <v>933</v>
      </c>
      <c r="N126" s="4"/>
      <c r="O126" s="4" t="s">
        <v>938</v>
      </c>
      <c r="P126" s="4"/>
      <c r="Q126" s="4" t="s">
        <v>939</v>
      </c>
      <c r="R126" s="4"/>
      <c r="S126" s="4" t="s">
        <v>940</v>
      </c>
      <c r="T126" s="4">
        <v>0</v>
      </c>
      <c r="U126" s="4">
        <v>0</v>
      </c>
      <c r="V126" s="4">
        <v>0</v>
      </c>
      <c r="W126" s="4">
        <v>0</v>
      </c>
      <c r="X126" s="4" t="s">
        <v>937</v>
      </c>
      <c r="Y126" s="4"/>
      <c r="Z126" s="4"/>
      <c r="AA126" s="41" t="s">
        <v>889</v>
      </c>
      <c r="AB126" s="42" t="s">
        <v>234</v>
      </c>
      <c r="AC126" s="43" t="s">
        <v>235</v>
      </c>
      <c r="AD126" s="43">
        <v>10000000000</v>
      </c>
      <c r="AE126" s="44">
        <v>0</v>
      </c>
      <c r="AF126" s="44">
        <v>0</v>
      </c>
      <c r="AG126" s="44">
        <v>0</v>
      </c>
      <c r="AH126" s="44">
        <v>0</v>
      </c>
      <c r="AI126" s="44">
        <v>0</v>
      </c>
      <c r="AJ126" s="43">
        <v>10000000000</v>
      </c>
      <c r="AK126" s="44">
        <v>0</v>
      </c>
      <c r="AL126" s="43">
        <v>1901650335</v>
      </c>
      <c r="AM126" s="43">
        <v>9739172709</v>
      </c>
      <c r="AN126" s="44">
        <v>0</v>
      </c>
      <c r="AO126" s="43">
        <v>1901650335</v>
      </c>
      <c r="AP126" s="43">
        <v>9739172709</v>
      </c>
      <c r="AQ126" s="43">
        <v>1943346327</v>
      </c>
      <c r="AR126" s="18">
        <f>AS126-ABRIL!AS126</f>
        <v>3762033269</v>
      </c>
      <c r="AS126" s="114">
        <v>7795826382</v>
      </c>
      <c r="AT126" s="30">
        <f t="shared" si="68"/>
        <v>9739172709</v>
      </c>
      <c r="AU126" s="18">
        <f t="shared" si="71"/>
        <v>260827291</v>
      </c>
      <c r="AV126" s="34">
        <f t="shared" si="72"/>
        <v>0</v>
      </c>
      <c r="AW126" s="18">
        <f t="shared" si="73"/>
        <v>0</v>
      </c>
      <c r="AX126" s="32">
        <f t="shared" si="62"/>
        <v>0.97391727090000002</v>
      </c>
    </row>
    <row r="127" spans="1:50" ht="27" customHeight="1" x14ac:dyDescent="0.2">
      <c r="A127" s="4" t="s">
        <v>55</v>
      </c>
      <c r="B127" s="4" t="s">
        <v>56</v>
      </c>
      <c r="C127" s="4"/>
      <c r="D127" s="4" t="s">
        <v>40</v>
      </c>
      <c r="E127" s="4"/>
      <c r="F127" s="4"/>
      <c r="G127" s="4" t="s">
        <v>41</v>
      </c>
      <c r="H127" s="4"/>
      <c r="I127" s="4" t="s">
        <v>936</v>
      </c>
      <c r="J127" s="4"/>
      <c r="K127" s="4" t="s">
        <v>932</v>
      </c>
      <c r="L127" s="4"/>
      <c r="M127" s="4" t="s">
        <v>933</v>
      </c>
      <c r="N127" s="4"/>
      <c r="O127" s="4" t="s">
        <v>938</v>
      </c>
      <c r="P127" s="4"/>
      <c r="Q127" s="4" t="s">
        <v>939</v>
      </c>
      <c r="R127" s="4"/>
      <c r="S127" s="4" t="s">
        <v>940</v>
      </c>
      <c r="T127" s="4">
        <v>0</v>
      </c>
      <c r="U127" s="4">
        <v>0</v>
      </c>
      <c r="V127" s="4">
        <v>0</v>
      </c>
      <c r="W127" s="4">
        <v>0</v>
      </c>
      <c r="X127" s="4" t="s">
        <v>937</v>
      </c>
      <c r="Y127" s="4"/>
      <c r="Z127" s="4"/>
      <c r="AA127" s="41" t="s">
        <v>890</v>
      </c>
      <c r="AB127" s="42" t="s">
        <v>236</v>
      </c>
      <c r="AC127" s="38" t="s">
        <v>237</v>
      </c>
      <c r="AD127" s="39">
        <v>2897026328</v>
      </c>
      <c r="AE127" s="40">
        <v>0</v>
      </c>
      <c r="AF127" s="40">
        <v>0</v>
      </c>
      <c r="AG127" s="40">
        <v>0</v>
      </c>
      <c r="AH127" s="40">
        <v>0</v>
      </c>
      <c r="AI127" s="40">
        <v>0</v>
      </c>
      <c r="AJ127" s="39">
        <v>2897026328</v>
      </c>
      <c r="AK127" s="40">
        <v>0</v>
      </c>
      <c r="AL127" s="39">
        <v>156909827</v>
      </c>
      <c r="AM127" s="39">
        <v>792782953</v>
      </c>
      <c r="AN127" s="40">
        <v>0</v>
      </c>
      <c r="AO127" s="39">
        <v>156909827</v>
      </c>
      <c r="AP127" s="39">
        <v>792782953</v>
      </c>
      <c r="AQ127" s="39">
        <v>158707400</v>
      </c>
      <c r="AR127" s="18">
        <f>AS127-ABRIL!AS127</f>
        <v>477427053</v>
      </c>
      <c r="AS127" s="39">
        <v>595420333</v>
      </c>
      <c r="AT127" s="30">
        <f t="shared" si="68"/>
        <v>754127733</v>
      </c>
      <c r="AU127" s="18">
        <f t="shared" si="71"/>
        <v>2104243375</v>
      </c>
      <c r="AV127" s="34">
        <f t="shared" si="72"/>
        <v>0</v>
      </c>
      <c r="AW127" s="18">
        <f t="shared" si="73"/>
        <v>38655220</v>
      </c>
      <c r="AX127" s="32">
        <f t="shared" si="62"/>
        <v>0.27365403805194549</v>
      </c>
    </row>
    <row r="128" spans="1:50" ht="27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1" t="s">
        <v>994</v>
      </c>
      <c r="AB128" s="42" t="s">
        <v>995</v>
      </c>
      <c r="AC128" s="38"/>
      <c r="AD128" s="39">
        <v>0</v>
      </c>
      <c r="AE128" s="39">
        <v>429925823.10000002</v>
      </c>
      <c r="AF128" s="40">
        <v>0</v>
      </c>
      <c r="AG128" s="40">
        <v>0</v>
      </c>
      <c r="AH128" s="40">
        <v>0</v>
      </c>
      <c r="AI128" s="18">
        <f>AE128-AF128+AG128-AH128</f>
        <v>429925823.10000002</v>
      </c>
      <c r="AJ128" s="18">
        <f>AD128+AI128</f>
        <v>429925823.10000002</v>
      </c>
      <c r="AK128" s="40">
        <v>0</v>
      </c>
      <c r="AL128" s="40">
        <v>0</v>
      </c>
      <c r="AM128" s="40">
        <v>0</v>
      </c>
      <c r="AN128" s="40">
        <v>0</v>
      </c>
      <c r="AO128" s="39">
        <v>0</v>
      </c>
      <c r="AP128" s="39">
        <v>0</v>
      </c>
      <c r="AQ128" s="39">
        <v>0</v>
      </c>
      <c r="AR128" s="34">
        <v>0</v>
      </c>
      <c r="AS128" s="39">
        <v>0</v>
      </c>
      <c r="AT128" s="30">
        <f t="shared" ref="AT128" si="74">AQ128+AS128</f>
        <v>0</v>
      </c>
      <c r="AU128" s="18">
        <f t="shared" si="71"/>
        <v>429925823.10000002</v>
      </c>
      <c r="AV128" s="34">
        <f t="shared" si="72"/>
        <v>0</v>
      </c>
      <c r="AW128" s="18">
        <f t="shared" si="73"/>
        <v>0</v>
      </c>
      <c r="AX128" s="32">
        <f t="shared" si="62"/>
        <v>0</v>
      </c>
    </row>
    <row r="129" spans="1:50" ht="18.75" customHeight="1" x14ac:dyDescent="0.2">
      <c r="A129" s="27" t="s">
        <v>55</v>
      </c>
      <c r="B129" s="27" t="s">
        <v>56</v>
      </c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8" t="s">
        <v>891</v>
      </c>
      <c r="AB129" s="29" t="s">
        <v>238</v>
      </c>
      <c r="AC129" s="30" t="s">
        <v>37</v>
      </c>
      <c r="AD129" s="30">
        <f>AD130+AD131</f>
        <v>1000000000</v>
      </c>
      <c r="AE129" s="31">
        <f t="shared" ref="AE129:AS129" si="75">AE130+AE131</f>
        <v>0</v>
      </c>
      <c r="AF129" s="31">
        <f t="shared" si="75"/>
        <v>0</v>
      </c>
      <c r="AG129" s="31">
        <f t="shared" si="75"/>
        <v>0</v>
      </c>
      <c r="AH129" s="31">
        <f t="shared" si="75"/>
        <v>0</v>
      </c>
      <c r="AI129" s="31">
        <f t="shared" si="75"/>
        <v>0</v>
      </c>
      <c r="AJ129" s="30">
        <f t="shared" si="75"/>
        <v>1000000000</v>
      </c>
      <c r="AK129" s="31">
        <f t="shared" si="75"/>
        <v>0</v>
      </c>
      <c r="AL129" s="109">
        <f t="shared" si="75"/>
        <v>5809801.7699999996</v>
      </c>
      <c r="AM129" s="109">
        <f t="shared" si="75"/>
        <v>354025381.75</v>
      </c>
      <c r="AN129" s="31">
        <f t="shared" si="75"/>
        <v>0</v>
      </c>
      <c r="AO129" s="109">
        <f t="shared" si="75"/>
        <v>5809801.7699999996</v>
      </c>
      <c r="AP129" s="109">
        <f t="shared" si="75"/>
        <v>354025381.75</v>
      </c>
      <c r="AQ129" s="31">
        <f t="shared" si="75"/>
        <v>0</v>
      </c>
      <c r="AR129" s="109">
        <f t="shared" si="75"/>
        <v>5208438.34</v>
      </c>
      <c r="AS129" s="109">
        <f t="shared" si="75"/>
        <v>351765462.75</v>
      </c>
      <c r="AT129" s="30">
        <f t="shared" si="68"/>
        <v>351765462.75</v>
      </c>
      <c r="AU129" s="18">
        <f t="shared" si="71"/>
        <v>645974618.25</v>
      </c>
      <c r="AV129" s="34">
        <f t="shared" si="72"/>
        <v>0</v>
      </c>
      <c r="AW129" s="18">
        <f t="shared" si="73"/>
        <v>2259919</v>
      </c>
      <c r="AX129" s="32">
        <f t="shared" si="62"/>
        <v>0.35402538174999998</v>
      </c>
    </row>
    <row r="130" spans="1:50" ht="18.75" customHeight="1" x14ac:dyDescent="0.2">
      <c r="A130" s="4" t="s">
        <v>55</v>
      </c>
      <c r="B130" s="4" t="s">
        <v>56</v>
      </c>
      <c r="C130" s="4"/>
      <c r="D130" s="4" t="s">
        <v>40</v>
      </c>
      <c r="E130" s="4"/>
      <c r="F130" s="4"/>
      <c r="G130" s="4" t="s">
        <v>41</v>
      </c>
      <c r="H130" s="4"/>
      <c r="I130" s="4" t="s">
        <v>936</v>
      </c>
      <c r="J130" s="4"/>
      <c r="K130" s="4" t="s">
        <v>932</v>
      </c>
      <c r="L130" s="4"/>
      <c r="M130" s="4" t="s">
        <v>933</v>
      </c>
      <c r="N130" s="4"/>
      <c r="O130" s="4" t="s">
        <v>938</v>
      </c>
      <c r="P130" s="4"/>
      <c r="Q130" s="4" t="s">
        <v>939</v>
      </c>
      <c r="R130" s="4"/>
      <c r="S130" s="4" t="s">
        <v>940</v>
      </c>
      <c r="T130" s="4">
        <v>0</v>
      </c>
      <c r="U130" s="4">
        <v>0</v>
      </c>
      <c r="V130" s="4">
        <v>0</v>
      </c>
      <c r="W130" s="4">
        <v>0</v>
      </c>
      <c r="X130" s="4" t="s">
        <v>937</v>
      </c>
      <c r="Y130" s="4"/>
      <c r="Z130" s="4"/>
      <c r="AA130" s="41" t="s">
        <v>893</v>
      </c>
      <c r="AB130" s="42" t="s">
        <v>233</v>
      </c>
      <c r="AC130" s="43" t="s">
        <v>58</v>
      </c>
      <c r="AD130" s="43">
        <v>500000000</v>
      </c>
      <c r="AE130" s="44">
        <v>0</v>
      </c>
      <c r="AF130" s="44">
        <v>0</v>
      </c>
      <c r="AG130" s="44">
        <v>0</v>
      </c>
      <c r="AH130" s="44">
        <v>0</v>
      </c>
      <c r="AI130" s="44">
        <v>0</v>
      </c>
      <c r="AJ130" s="43">
        <v>500000000</v>
      </c>
      <c r="AK130" s="44">
        <v>0</v>
      </c>
      <c r="AL130" s="114">
        <v>5809801.7699999996</v>
      </c>
      <c r="AM130" s="43">
        <v>7805128.75</v>
      </c>
      <c r="AN130" s="44">
        <v>0</v>
      </c>
      <c r="AO130" s="115">
        <v>5809801.7699999996</v>
      </c>
      <c r="AP130" s="43">
        <v>7805128.75</v>
      </c>
      <c r="AQ130" s="44">
        <v>0</v>
      </c>
      <c r="AR130" s="43">
        <v>5208438.34</v>
      </c>
      <c r="AS130" s="43">
        <v>5545209.75</v>
      </c>
      <c r="AT130" s="39">
        <f t="shared" si="68"/>
        <v>5545209.75</v>
      </c>
      <c r="AU130" s="18">
        <f t="shared" si="71"/>
        <v>492194871.25</v>
      </c>
      <c r="AV130" s="34">
        <f t="shared" si="72"/>
        <v>0</v>
      </c>
      <c r="AW130" s="18">
        <f t="shared" si="73"/>
        <v>2259919</v>
      </c>
      <c r="AX130" s="32">
        <f t="shared" si="62"/>
        <v>1.56102575E-2</v>
      </c>
    </row>
    <row r="131" spans="1:50" ht="18.75" customHeight="1" x14ac:dyDescent="0.2">
      <c r="A131" s="4" t="s">
        <v>55</v>
      </c>
      <c r="B131" s="4" t="s">
        <v>56</v>
      </c>
      <c r="C131" s="4"/>
      <c r="D131" s="4" t="s">
        <v>40</v>
      </c>
      <c r="E131" s="4"/>
      <c r="F131" s="4"/>
      <c r="G131" s="4" t="s">
        <v>41</v>
      </c>
      <c r="H131" s="4"/>
      <c r="I131" s="4" t="s">
        <v>936</v>
      </c>
      <c r="J131" s="4"/>
      <c r="K131" s="4" t="s">
        <v>932</v>
      </c>
      <c r="L131" s="4"/>
      <c r="M131" s="4" t="s">
        <v>933</v>
      </c>
      <c r="N131" s="4"/>
      <c r="O131" s="4" t="s">
        <v>938</v>
      </c>
      <c r="P131" s="4"/>
      <c r="Q131" s="4" t="s">
        <v>939</v>
      </c>
      <c r="R131" s="4"/>
      <c r="S131" s="4" t="s">
        <v>940</v>
      </c>
      <c r="T131" s="4">
        <v>0</v>
      </c>
      <c r="U131" s="4">
        <v>0</v>
      </c>
      <c r="V131" s="4">
        <v>0</v>
      </c>
      <c r="W131" s="4">
        <v>0</v>
      </c>
      <c r="X131" s="4" t="s">
        <v>937</v>
      </c>
      <c r="Y131" s="4"/>
      <c r="Z131" s="4"/>
      <c r="AA131" s="41" t="s">
        <v>892</v>
      </c>
      <c r="AB131" s="42" t="s">
        <v>239</v>
      </c>
      <c r="AC131" s="43" t="s">
        <v>240</v>
      </c>
      <c r="AD131" s="43">
        <v>500000000</v>
      </c>
      <c r="AE131" s="44">
        <v>0</v>
      </c>
      <c r="AF131" s="44">
        <v>0</v>
      </c>
      <c r="AG131" s="44">
        <v>0</v>
      </c>
      <c r="AH131" s="44">
        <v>0</v>
      </c>
      <c r="AI131" s="44">
        <v>0</v>
      </c>
      <c r="AJ131" s="43">
        <v>500000000</v>
      </c>
      <c r="AK131" s="44">
        <v>0</v>
      </c>
      <c r="AL131" s="115">
        <v>0</v>
      </c>
      <c r="AM131" s="114">
        <v>346220253</v>
      </c>
      <c r="AN131" s="44">
        <v>0</v>
      </c>
      <c r="AO131" s="114">
        <v>0</v>
      </c>
      <c r="AP131" s="114">
        <v>346220253</v>
      </c>
      <c r="AQ131" s="44">
        <v>0</v>
      </c>
      <c r="AR131" s="114">
        <v>0</v>
      </c>
      <c r="AS131" s="114">
        <v>346220253</v>
      </c>
      <c r="AT131" s="39">
        <f t="shared" si="68"/>
        <v>346220253</v>
      </c>
      <c r="AU131" s="18">
        <f t="shared" si="71"/>
        <v>153779747</v>
      </c>
      <c r="AV131" s="34">
        <f t="shared" si="72"/>
        <v>0</v>
      </c>
      <c r="AW131" s="34">
        <f t="shared" si="73"/>
        <v>0</v>
      </c>
      <c r="AX131" s="32">
        <f t="shared" si="62"/>
        <v>0.69244050599999996</v>
      </c>
    </row>
    <row r="132" spans="1:50" ht="18.75" customHeight="1" x14ac:dyDescent="0.2">
      <c r="A132" s="27" t="s">
        <v>55</v>
      </c>
      <c r="B132" s="27" t="s">
        <v>56</v>
      </c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8" t="s">
        <v>894</v>
      </c>
      <c r="AB132" s="29" t="s">
        <v>241</v>
      </c>
      <c r="AC132" s="30" t="s">
        <v>37</v>
      </c>
      <c r="AD132" s="30">
        <f>AD133</f>
        <v>80000000</v>
      </c>
      <c r="AE132" s="31">
        <f t="shared" ref="AE132:AS132" si="76">AE133</f>
        <v>0</v>
      </c>
      <c r="AF132" s="31">
        <f t="shared" si="76"/>
        <v>0</v>
      </c>
      <c r="AG132" s="31">
        <f t="shared" si="76"/>
        <v>0</v>
      </c>
      <c r="AH132" s="31">
        <f t="shared" si="76"/>
        <v>0</v>
      </c>
      <c r="AI132" s="31">
        <f t="shared" si="76"/>
        <v>0</v>
      </c>
      <c r="AJ132" s="30">
        <f t="shared" si="76"/>
        <v>80000000</v>
      </c>
      <c r="AK132" s="31">
        <f t="shared" si="76"/>
        <v>0</v>
      </c>
      <c r="AL132" s="172">
        <f t="shared" si="76"/>
        <v>0</v>
      </c>
      <c r="AM132" s="109">
        <f t="shared" si="76"/>
        <v>71606775</v>
      </c>
      <c r="AN132" s="31">
        <f t="shared" si="76"/>
        <v>0</v>
      </c>
      <c r="AO132" s="109">
        <f t="shared" si="76"/>
        <v>0</v>
      </c>
      <c r="AP132" s="109">
        <f t="shared" si="76"/>
        <v>71606775</v>
      </c>
      <c r="AQ132" s="30">
        <f t="shared" si="76"/>
        <v>0</v>
      </c>
      <c r="AR132" s="109">
        <f t="shared" si="76"/>
        <v>0</v>
      </c>
      <c r="AS132" s="109">
        <f t="shared" si="76"/>
        <v>71606775</v>
      </c>
      <c r="AT132" s="30">
        <f t="shared" si="68"/>
        <v>71606775</v>
      </c>
      <c r="AU132" s="18">
        <f t="shared" si="71"/>
        <v>8393225</v>
      </c>
      <c r="AV132" s="34">
        <f t="shared" si="72"/>
        <v>0</v>
      </c>
      <c r="AW132" s="34">
        <f t="shared" si="73"/>
        <v>0</v>
      </c>
      <c r="AX132" s="32">
        <f t="shared" si="62"/>
        <v>0.89508468750000003</v>
      </c>
    </row>
    <row r="133" spans="1:50" ht="18.75" customHeight="1" x14ac:dyDescent="0.2">
      <c r="A133" s="4" t="s">
        <v>55</v>
      </c>
      <c r="B133" s="4" t="s">
        <v>56</v>
      </c>
      <c r="C133" s="4"/>
      <c r="D133" s="4" t="s">
        <v>40</v>
      </c>
      <c r="E133" s="4"/>
      <c r="F133" s="4"/>
      <c r="G133" s="4" t="s">
        <v>41</v>
      </c>
      <c r="H133" s="4"/>
      <c r="I133" s="4" t="s">
        <v>936</v>
      </c>
      <c r="J133" s="4"/>
      <c r="K133" s="4" t="s">
        <v>932</v>
      </c>
      <c r="L133" s="4"/>
      <c r="M133" s="4" t="s">
        <v>933</v>
      </c>
      <c r="N133" s="4"/>
      <c r="O133" s="4" t="s">
        <v>938</v>
      </c>
      <c r="P133" s="4"/>
      <c r="Q133" s="4" t="s">
        <v>939</v>
      </c>
      <c r="R133" s="4"/>
      <c r="S133" s="4" t="s">
        <v>940</v>
      </c>
      <c r="T133" s="4">
        <v>0</v>
      </c>
      <c r="U133" s="4">
        <v>0</v>
      </c>
      <c r="V133" s="4">
        <v>0</v>
      </c>
      <c r="W133" s="4">
        <v>0</v>
      </c>
      <c r="X133" s="4" t="s">
        <v>937</v>
      </c>
      <c r="Y133" s="4"/>
      <c r="Z133" s="4"/>
      <c r="AA133" s="41" t="s">
        <v>895</v>
      </c>
      <c r="AB133" s="42" t="s">
        <v>242</v>
      </c>
      <c r="AC133" s="43" t="s">
        <v>58</v>
      </c>
      <c r="AD133" s="43">
        <v>80000000</v>
      </c>
      <c r="AE133" s="44">
        <v>0</v>
      </c>
      <c r="AF133" s="44">
        <v>0</v>
      </c>
      <c r="AG133" s="44">
        <v>0</v>
      </c>
      <c r="AH133" s="44">
        <v>0</v>
      </c>
      <c r="AI133" s="44">
        <v>0</v>
      </c>
      <c r="AJ133" s="43">
        <v>80000000</v>
      </c>
      <c r="AK133" s="44">
        <v>0</v>
      </c>
      <c r="AL133" s="115">
        <v>0</v>
      </c>
      <c r="AM133" s="114">
        <v>71606775</v>
      </c>
      <c r="AN133" s="44">
        <v>0</v>
      </c>
      <c r="AO133" s="114">
        <v>0</v>
      </c>
      <c r="AP133" s="114">
        <v>71606775</v>
      </c>
      <c r="AQ133" s="43">
        <v>0</v>
      </c>
      <c r="AR133" s="114">
        <v>0</v>
      </c>
      <c r="AS133" s="114">
        <v>71606775</v>
      </c>
      <c r="AT133" s="39">
        <f t="shared" si="68"/>
        <v>71606775</v>
      </c>
      <c r="AU133" s="18">
        <f t="shared" si="71"/>
        <v>8393225</v>
      </c>
      <c r="AV133" s="34">
        <f t="shared" si="72"/>
        <v>0</v>
      </c>
      <c r="AW133" s="34">
        <f t="shared" si="73"/>
        <v>0</v>
      </c>
      <c r="AX133" s="32">
        <f t="shared" si="62"/>
        <v>0.89508468750000003</v>
      </c>
    </row>
    <row r="134" spans="1:50" ht="18.75" customHeight="1" x14ac:dyDescent="0.2">
      <c r="A134" s="4" t="s">
        <v>55</v>
      </c>
      <c r="B134" s="4" t="s">
        <v>56</v>
      </c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1" t="s">
        <v>896</v>
      </c>
      <c r="AB134" s="42" t="s">
        <v>243</v>
      </c>
      <c r="AC134" s="43" t="s">
        <v>58</v>
      </c>
      <c r="AD134" s="44">
        <v>0</v>
      </c>
      <c r="AE134" s="44">
        <v>0</v>
      </c>
      <c r="AF134" s="44">
        <v>0</v>
      </c>
      <c r="AG134" s="44">
        <v>0</v>
      </c>
      <c r="AH134" s="44">
        <v>0</v>
      </c>
      <c r="AI134" s="44">
        <v>0</v>
      </c>
      <c r="AJ134" s="44">
        <v>0</v>
      </c>
      <c r="AK134" s="44">
        <v>0</v>
      </c>
      <c r="AL134" s="44">
        <v>0</v>
      </c>
      <c r="AM134" s="44">
        <v>0</v>
      </c>
      <c r="AN134" s="44">
        <v>0</v>
      </c>
      <c r="AO134" s="44">
        <v>0</v>
      </c>
      <c r="AP134" s="44">
        <v>0</v>
      </c>
      <c r="AQ134" s="44">
        <v>0</v>
      </c>
      <c r="AR134" s="44">
        <v>0</v>
      </c>
      <c r="AS134" s="44">
        <v>0</v>
      </c>
      <c r="AT134" s="40">
        <f t="shared" si="68"/>
        <v>0</v>
      </c>
      <c r="AU134" s="34">
        <f t="shared" si="71"/>
        <v>0</v>
      </c>
      <c r="AV134" s="34">
        <f t="shared" si="72"/>
        <v>0</v>
      </c>
      <c r="AW134" s="34">
        <f t="shared" si="73"/>
        <v>0</v>
      </c>
      <c r="AX134" s="32">
        <v>0</v>
      </c>
    </row>
    <row r="135" spans="1:50" ht="18.75" customHeight="1" x14ac:dyDescent="0.2">
      <c r="A135" s="4" t="s">
        <v>55</v>
      </c>
      <c r="B135" s="4" t="s">
        <v>56</v>
      </c>
      <c r="C135" s="4"/>
      <c r="D135" s="4" t="s">
        <v>40</v>
      </c>
      <c r="E135" s="4"/>
      <c r="F135" s="4"/>
      <c r="G135" s="4" t="s">
        <v>41</v>
      </c>
      <c r="H135" s="4"/>
      <c r="I135" s="4" t="s">
        <v>936</v>
      </c>
      <c r="J135" s="4"/>
      <c r="K135" s="4" t="s">
        <v>932</v>
      </c>
      <c r="L135" s="4"/>
      <c r="M135" s="4" t="s">
        <v>933</v>
      </c>
      <c r="N135" s="4"/>
      <c r="O135" s="4" t="s">
        <v>938</v>
      </c>
      <c r="P135" s="4"/>
      <c r="Q135" s="4" t="s">
        <v>939</v>
      </c>
      <c r="R135" s="4"/>
      <c r="S135" s="4" t="s">
        <v>940</v>
      </c>
      <c r="T135" s="4">
        <v>0</v>
      </c>
      <c r="U135" s="4">
        <v>0</v>
      </c>
      <c r="V135" s="4">
        <v>0</v>
      </c>
      <c r="W135" s="4">
        <v>0</v>
      </c>
      <c r="X135" s="4" t="s">
        <v>937</v>
      </c>
      <c r="Y135" s="4"/>
      <c r="Z135" s="4"/>
      <c r="AA135" s="41" t="s">
        <v>897</v>
      </c>
      <c r="AB135" s="42" t="s">
        <v>244</v>
      </c>
      <c r="AC135" s="43" t="s">
        <v>58</v>
      </c>
      <c r="AD135" s="43">
        <v>10000000</v>
      </c>
      <c r="AE135" s="44">
        <v>0</v>
      </c>
      <c r="AF135" s="44">
        <v>0</v>
      </c>
      <c r="AG135" s="44">
        <v>0</v>
      </c>
      <c r="AH135" s="44">
        <v>0</v>
      </c>
      <c r="AI135" s="44">
        <v>0</v>
      </c>
      <c r="AJ135" s="43">
        <v>10000000</v>
      </c>
      <c r="AK135" s="44">
        <v>0</v>
      </c>
      <c r="AL135" s="44">
        <v>0</v>
      </c>
      <c r="AM135" s="43">
        <v>4389015</v>
      </c>
      <c r="AN135" s="44">
        <v>0</v>
      </c>
      <c r="AO135" s="44">
        <v>0</v>
      </c>
      <c r="AP135" s="43">
        <v>4389015</v>
      </c>
      <c r="AQ135" s="44">
        <v>0</v>
      </c>
      <c r="AR135" s="44">
        <v>0</v>
      </c>
      <c r="AS135" s="43">
        <v>4389015</v>
      </c>
      <c r="AT135" s="39">
        <f t="shared" si="68"/>
        <v>4389015</v>
      </c>
      <c r="AU135" s="18">
        <f t="shared" si="71"/>
        <v>5610985</v>
      </c>
      <c r="AV135" s="34">
        <f t="shared" si="72"/>
        <v>0</v>
      </c>
      <c r="AW135" s="34">
        <f t="shared" si="73"/>
        <v>0</v>
      </c>
      <c r="AX135" s="32">
        <f t="shared" ref="AX135:AX141" si="77">AP135/AJ135</f>
        <v>0.4389015</v>
      </c>
    </row>
    <row r="136" spans="1:50" ht="18.75" customHeight="1" x14ac:dyDescent="0.2">
      <c r="A136" s="4" t="s">
        <v>55</v>
      </c>
      <c r="B136" s="4" t="s">
        <v>56</v>
      </c>
      <c r="C136" s="4"/>
      <c r="D136" s="4" t="s">
        <v>40</v>
      </c>
      <c r="E136" s="4"/>
      <c r="F136" s="4"/>
      <c r="G136" s="4" t="s">
        <v>41</v>
      </c>
      <c r="H136" s="4"/>
      <c r="I136" s="4" t="s">
        <v>936</v>
      </c>
      <c r="J136" s="4"/>
      <c r="K136" s="4" t="s">
        <v>932</v>
      </c>
      <c r="L136" s="4"/>
      <c r="M136" s="4" t="s">
        <v>933</v>
      </c>
      <c r="N136" s="4"/>
      <c r="O136" s="4" t="s">
        <v>938</v>
      </c>
      <c r="P136" s="4"/>
      <c r="Q136" s="4" t="s">
        <v>942</v>
      </c>
      <c r="R136" s="4"/>
      <c r="S136" s="4" t="s">
        <v>940</v>
      </c>
      <c r="T136" s="4">
        <v>0</v>
      </c>
      <c r="U136" s="4">
        <v>0</v>
      </c>
      <c r="V136" s="4">
        <v>0</v>
      </c>
      <c r="W136" s="4">
        <v>0</v>
      </c>
      <c r="X136" s="4" t="s">
        <v>937</v>
      </c>
      <c r="Y136" s="4"/>
      <c r="Z136" s="4"/>
      <c r="AA136" s="41" t="s">
        <v>898</v>
      </c>
      <c r="AB136" s="42" t="s">
        <v>245</v>
      </c>
      <c r="AC136" s="43" t="s">
        <v>58</v>
      </c>
      <c r="AD136" s="43">
        <v>266000000</v>
      </c>
      <c r="AE136" s="44">
        <v>0</v>
      </c>
      <c r="AF136" s="44">
        <v>0</v>
      </c>
      <c r="AG136" s="44">
        <v>0</v>
      </c>
      <c r="AH136" s="44">
        <v>0</v>
      </c>
      <c r="AI136" s="44">
        <v>0</v>
      </c>
      <c r="AJ136" s="43">
        <v>266000000</v>
      </c>
      <c r="AK136" s="44">
        <v>0</v>
      </c>
      <c r="AL136" s="43">
        <v>3362585</v>
      </c>
      <c r="AM136" s="43">
        <v>156904676</v>
      </c>
      <c r="AN136" s="44">
        <v>0</v>
      </c>
      <c r="AO136" s="43">
        <v>3362585</v>
      </c>
      <c r="AP136" s="43">
        <v>156904676</v>
      </c>
      <c r="AQ136" s="44">
        <v>0</v>
      </c>
      <c r="AR136" s="43">
        <v>2223022</v>
      </c>
      <c r="AS136" s="114">
        <v>153542091</v>
      </c>
      <c r="AT136" s="39">
        <f t="shared" si="68"/>
        <v>153542091</v>
      </c>
      <c r="AU136" s="18">
        <f t="shared" si="71"/>
        <v>109095324</v>
      </c>
      <c r="AV136" s="34">
        <f t="shared" si="72"/>
        <v>0</v>
      </c>
      <c r="AW136" s="18">
        <f t="shared" si="73"/>
        <v>3362585</v>
      </c>
      <c r="AX136" s="32">
        <f t="shared" si="77"/>
        <v>0.58986720300751883</v>
      </c>
    </row>
    <row r="137" spans="1:50" s="25" customFormat="1" ht="18.75" customHeight="1" x14ac:dyDescent="0.2">
      <c r="A137" s="19" t="s">
        <v>55</v>
      </c>
      <c r="B137" s="19" t="s">
        <v>56</v>
      </c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26" t="s">
        <v>899</v>
      </c>
      <c r="AB137" s="21" t="s">
        <v>246</v>
      </c>
      <c r="AC137" s="22" t="s">
        <v>37</v>
      </c>
      <c r="AD137" s="22">
        <f>AD138</f>
        <v>100000000</v>
      </c>
      <c r="AE137" s="23">
        <f t="shared" ref="AE137:AW137" si="78">AE138</f>
        <v>0</v>
      </c>
      <c r="AF137" s="23">
        <f t="shared" si="78"/>
        <v>0</v>
      </c>
      <c r="AG137" s="23">
        <f t="shared" si="78"/>
        <v>0</v>
      </c>
      <c r="AH137" s="23">
        <f t="shared" si="78"/>
        <v>0</v>
      </c>
      <c r="AI137" s="23">
        <f t="shared" si="78"/>
        <v>0</v>
      </c>
      <c r="AJ137" s="22">
        <f t="shared" si="78"/>
        <v>100000000</v>
      </c>
      <c r="AK137" s="23">
        <f t="shared" si="78"/>
        <v>0</v>
      </c>
      <c r="AL137" s="22">
        <f t="shared" si="78"/>
        <v>10450544.6</v>
      </c>
      <c r="AM137" s="22">
        <f t="shared" si="78"/>
        <v>42612360.600000001</v>
      </c>
      <c r="AN137" s="23">
        <f t="shared" si="78"/>
        <v>0</v>
      </c>
      <c r="AO137" s="22">
        <f t="shared" si="78"/>
        <v>7330000</v>
      </c>
      <c r="AP137" s="22">
        <f t="shared" si="78"/>
        <v>35291816</v>
      </c>
      <c r="AQ137" s="23">
        <f t="shared" si="78"/>
        <v>0</v>
      </c>
      <c r="AR137" s="22">
        <f t="shared" si="78"/>
        <v>7330000</v>
      </c>
      <c r="AS137" s="22">
        <f t="shared" si="78"/>
        <v>35291816</v>
      </c>
      <c r="AT137" s="22">
        <f>AQ137+AS137</f>
        <v>35291816</v>
      </c>
      <c r="AU137" s="22">
        <f t="shared" si="78"/>
        <v>57387639.399999999</v>
      </c>
      <c r="AV137" s="22">
        <f t="shared" si="78"/>
        <v>7320544.6000000015</v>
      </c>
      <c r="AW137" s="23">
        <f t="shared" si="78"/>
        <v>0</v>
      </c>
      <c r="AX137" s="24">
        <f t="shared" si="77"/>
        <v>0.35291815999999998</v>
      </c>
    </row>
    <row r="138" spans="1:50" ht="18.75" customHeight="1" x14ac:dyDescent="0.2">
      <c r="A138" s="27" t="s">
        <v>55</v>
      </c>
      <c r="B138" s="27" t="s">
        <v>56</v>
      </c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8" t="s">
        <v>900</v>
      </c>
      <c r="AB138" s="29" t="s">
        <v>247</v>
      </c>
      <c r="AC138" s="30" t="s">
        <v>37</v>
      </c>
      <c r="AD138" s="30">
        <f>AD139+AD140</f>
        <v>100000000</v>
      </c>
      <c r="AE138" s="31">
        <f t="shared" ref="AE138:AS138" si="79">AE139+AE140</f>
        <v>0</v>
      </c>
      <c r="AF138" s="31">
        <f t="shared" si="79"/>
        <v>0</v>
      </c>
      <c r="AG138" s="31">
        <f t="shared" si="79"/>
        <v>0</v>
      </c>
      <c r="AH138" s="31">
        <f t="shared" si="79"/>
        <v>0</v>
      </c>
      <c r="AI138" s="31">
        <f t="shared" si="79"/>
        <v>0</v>
      </c>
      <c r="AJ138" s="30">
        <f t="shared" si="79"/>
        <v>100000000</v>
      </c>
      <c r="AK138" s="31">
        <f t="shared" si="79"/>
        <v>0</v>
      </c>
      <c r="AL138" s="30">
        <f t="shared" si="79"/>
        <v>10450544.6</v>
      </c>
      <c r="AM138" s="30">
        <f t="shared" si="79"/>
        <v>42612360.600000001</v>
      </c>
      <c r="AN138" s="31">
        <f t="shared" si="79"/>
        <v>0</v>
      </c>
      <c r="AO138" s="30">
        <f t="shared" si="79"/>
        <v>7330000</v>
      </c>
      <c r="AP138" s="30">
        <f t="shared" si="79"/>
        <v>35291816</v>
      </c>
      <c r="AQ138" s="31">
        <f t="shared" si="79"/>
        <v>0</v>
      </c>
      <c r="AR138" s="30">
        <f t="shared" si="79"/>
        <v>7330000</v>
      </c>
      <c r="AS138" s="30">
        <f t="shared" si="79"/>
        <v>35291816</v>
      </c>
      <c r="AT138" s="30">
        <f t="shared" ref="AT138:AT140" si="80">AQ138+AS138</f>
        <v>35291816</v>
      </c>
      <c r="AU138" s="18">
        <f>AJ138-AM138</f>
        <v>57387639.399999999</v>
      </c>
      <c r="AV138" s="110">
        <f>AM138-AP138</f>
        <v>7320544.6000000015</v>
      </c>
      <c r="AW138" s="34">
        <f>AP138-AT138</f>
        <v>0</v>
      </c>
      <c r="AX138" s="32">
        <f t="shared" si="77"/>
        <v>0.35291815999999998</v>
      </c>
    </row>
    <row r="139" spans="1:50" ht="18.75" customHeight="1" x14ac:dyDescent="0.2">
      <c r="A139" s="4" t="s">
        <v>55</v>
      </c>
      <c r="B139" s="4" t="s">
        <v>56</v>
      </c>
      <c r="C139" s="4"/>
      <c r="D139" s="4" t="s">
        <v>40</v>
      </c>
      <c r="E139" s="4"/>
      <c r="F139" s="4"/>
      <c r="G139" s="4" t="s">
        <v>41</v>
      </c>
      <c r="H139" s="4"/>
      <c r="I139" s="4" t="s">
        <v>936</v>
      </c>
      <c r="J139" s="4"/>
      <c r="K139" s="4" t="s">
        <v>932</v>
      </c>
      <c r="L139" s="4"/>
      <c r="M139" s="4" t="s">
        <v>933</v>
      </c>
      <c r="N139" s="4"/>
      <c r="O139" s="4" t="s">
        <v>938</v>
      </c>
      <c r="P139" s="4"/>
      <c r="Q139" s="4" t="s">
        <v>942</v>
      </c>
      <c r="R139" s="4"/>
      <c r="S139" s="4" t="s">
        <v>940</v>
      </c>
      <c r="T139" s="4">
        <v>0</v>
      </c>
      <c r="U139" s="4">
        <v>0</v>
      </c>
      <c r="V139" s="4">
        <v>0</v>
      </c>
      <c r="W139" s="4">
        <v>0</v>
      </c>
      <c r="X139" s="4" t="s">
        <v>937</v>
      </c>
      <c r="Y139" s="4"/>
      <c r="Z139" s="4"/>
      <c r="AA139" s="41" t="s">
        <v>901</v>
      </c>
      <c r="AB139" s="42" t="s">
        <v>248</v>
      </c>
      <c r="AC139" s="43" t="s">
        <v>58</v>
      </c>
      <c r="AD139" s="43">
        <v>70000000</v>
      </c>
      <c r="AE139" s="44">
        <v>0</v>
      </c>
      <c r="AF139" s="44">
        <v>0</v>
      </c>
      <c r="AG139" s="44">
        <v>0</v>
      </c>
      <c r="AH139" s="44">
        <v>0</v>
      </c>
      <c r="AI139" s="44">
        <v>0</v>
      </c>
      <c r="AJ139" s="43">
        <v>70000000</v>
      </c>
      <c r="AK139" s="44">
        <v>0</v>
      </c>
      <c r="AL139" s="43">
        <v>10450544.6</v>
      </c>
      <c r="AM139" s="43">
        <v>42612360.600000001</v>
      </c>
      <c r="AN139" s="44">
        <v>0</v>
      </c>
      <c r="AO139" s="43">
        <v>7330000</v>
      </c>
      <c r="AP139" s="43">
        <v>35291816</v>
      </c>
      <c r="AQ139" s="44">
        <v>0</v>
      </c>
      <c r="AR139" s="43">
        <v>7330000</v>
      </c>
      <c r="AS139" s="43">
        <v>35291816</v>
      </c>
      <c r="AT139" s="30">
        <f t="shared" si="80"/>
        <v>35291816</v>
      </c>
      <c r="AU139" s="18">
        <f>AJ139-AM139</f>
        <v>27387639.399999999</v>
      </c>
      <c r="AV139" s="110">
        <f>AM139-AP139</f>
        <v>7320544.6000000015</v>
      </c>
      <c r="AW139" s="34">
        <f>AP139-AT139</f>
        <v>0</v>
      </c>
      <c r="AX139" s="32">
        <f t="shared" si="77"/>
        <v>0.50416879999999997</v>
      </c>
    </row>
    <row r="140" spans="1:50" ht="18.75" customHeight="1" x14ac:dyDescent="0.2">
      <c r="A140" s="4" t="s">
        <v>55</v>
      </c>
      <c r="B140" s="4" t="s">
        <v>56</v>
      </c>
      <c r="C140" s="4"/>
      <c r="D140" s="4" t="s">
        <v>40</v>
      </c>
      <c r="E140" s="4"/>
      <c r="F140" s="4"/>
      <c r="G140" s="4" t="s">
        <v>41</v>
      </c>
      <c r="H140" s="4"/>
      <c r="I140" s="4" t="s">
        <v>936</v>
      </c>
      <c r="J140" s="4"/>
      <c r="K140" s="4" t="s">
        <v>932</v>
      </c>
      <c r="L140" s="4"/>
      <c r="M140" s="4" t="s">
        <v>933</v>
      </c>
      <c r="N140" s="4"/>
      <c r="O140" s="4" t="s">
        <v>938</v>
      </c>
      <c r="P140" s="4"/>
      <c r="Q140" s="4" t="s">
        <v>942</v>
      </c>
      <c r="R140" s="4"/>
      <c r="S140" s="4" t="s">
        <v>940</v>
      </c>
      <c r="T140" s="4">
        <v>0</v>
      </c>
      <c r="U140" s="4">
        <v>0</v>
      </c>
      <c r="V140" s="4">
        <v>0</v>
      </c>
      <c r="W140" s="4">
        <v>0</v>
      </c>
      <c r="X140" s="4" t="s">
        <v>937</v>
      </c>
      <c r="Y140" s="4"/>
      <c r="Z140" s="4"/>
      <c r="AA140" s="41" t="s">
        <v>902</v>
      </c>
      <c r="AB140" s="42" t="s">
        <v>249</v>
      </c>
      <c r="AC140" s="43" t="s">
        <v>58</v>
      </c>
      <c r="AD140" s="43">
        <v>30000000</v>
      </c>
      <c r="AE140" s="44">
        <v>0</v>
      </c>
      <c r="AF140" s="44">
        <v>0</v>
      </c>
      <c r="AG140" s="44">
        <v>0</v>
      </c>
      <c r="AH140" s="44">
        <v>0</v>
      </c>
      <c r="AI140" s="44">
        <v>0</v>
      </c>
      <c r="AJ140" s="43">
        <v>30000000</v>
      </c>
      <c r="AK140" s="44">
        <v>0</v>
      </c>
      <c r="AL140" s="44">
        <v>0</v>
      </c>
      <c r="AM140" s="44">
        <v>0</v>
      </c>
      <c r="AN140" s="44">
        <v>0</v>
      </c>
      <c r="AO140" s="44">
        <v>0</v>
      </c>
      <c r="AP140" s="44">
        <v>0</v>
      </c>
      <c r="AQ140" s="44">
        <v>0</v>
      </c>
      <c r="AR140" s="44">
        <v>0</v>
      </c>
      <c r="AS140" s="44">
        <v>0</v>
      </c>
      <c r="AT140" s="31">
        <f t="shared" si="80"/>
        <v>0</v>
      </c>
      <c r="AU140" s="18">
        <f>AJ140-AM140</f>
        <v>30000000</v>
      </c>
      <c r="AV140" s="34">
        <f>AM140-AP140</f>
        <v>0</v>
      </c>
      <c r="AW140" s="34">
        <f>AP140-AT140</f>
        <v>0</v>
      </c>
      <c r="AX140" s="32">
        <f t="shared" si="77"/>
        <v>0</v>
      </c>
    </row>
    <row r="141" spans="1:50" s="201" customFormat="1" ht="18.75" customHeight="1" x14ac:dyDescent="0.2">
      <c r="A141" s="199"/>
      <c r="B141" s="199"/>
      <c r="C141" s="199"/>
      <c r="D141" s="199"/>
      <c r="E141" s="199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70" t="s">
        <v>996</v>
      </c>
      <c r="AB141" s="165" t="s">
        <v>997</v>
      </c>
      <c r="AC141" s="200"/>
      <c r="AD141" s="177">
        <f>AD145</f>
        <v>0</v>
      </c>
      <c r="AE141" s="176">
        <f t="shared" ref="AE141:AW141" si="81">AE145</f>
        <v>265813663</v>
      </c>
      <c r="AF141" s="177">
        <f t="shared" si="81"/>
        <v>0</v>
      </c>
      <c r="AG141" s="177">
        <f t="shared" si="81"/>
        <v>0</v>
      </c>
      <c r="AH141" s="177">
        <f t="shared" si="81"/>
        <v>0</v>
      </c>
      <c r="AI141" s="176">
        <f t="shared" si="81"/>
        <v>265813663</v>
      </c>
      <c r="AJ141" s="176">
        <f t="shared" si="81"/>
        <v>265813663</v>
      </c>
      <c r="AK141" s="177">
        <f t="shared" si="81"/>
        <v>0</v>
      </c>
      <c r="AL141" s="177">
        <f t="shared" si="81"/>
        <v>0</v>
      </c>
      <c r="AM141" s="177">
        <f t="shared" si="81"/>
        <v>0</v>
      </c>
      <c r="AN141" s="177">
        <f t="shared" si="81"/>
        <v>0</v>
      </c>
      <c r="AO141" s="177">
        <f t="shared" si="81"/>
        <v>0</v>
      </c>
      <c r="AP141" s="177">
        <f t="shared" si="81"/>
        <v>0</v>
      </c>
      <c r="AQ141" s="177">
        <f t="shared" si="81"/>
        <v>0</v>
      </c>
      <c r="AR141" s="177">
        <f t="shared" si="81"/>
        <v>0</v>
      </c>
      <c r="AS141" s="177">
        <f t="shared" si="81"/>
        <v>0</v>
      </c>
      <c r="AT141" s="177">
        <f t="shared" si="81"/>
        <v>0</v>
      </c>
      <c r="AU141" s="176">
        <f t="shared" si="81"/>
        <v>265813663</v>
      </c>
      <c r="AV141" s="177">
        <f t="shared" si="81"/>
        <v>0</v>
      </c>
      <c r="AW141" s="177">
        <f t="shared" si="81"/>
        <v>0</v>
      </c>
      <c r="AX141" s="32">
        <f t="shared" si="77"/>
        <v>0</v>
      </c>
    </row>
    <row r="142" spans="1:50" ht="18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166" t="s">
        <v>998</v>
      </c>
      <c r="AB142" s="167" t="s">
        <v>999</v>
      </c>
      <c r="AC142" s="168"/>
      <c r="AD142" s="44"/>
      <c r="AE142" s="44"/>
      <c r="AF142" s="44"/>
      <c r="AG142" s="44"/>
      <c r="AH142" s="44"/>
      <c r="AI142" s="44"/>
      <c r="AJ142" s="43"/>
      <c r="AK142" s="44"/>
      <c r="AL142" s="44"/>
      <c r="AM142" s="44"/>
      <c r="AN142" s="44"/>
      <c r="AO142" s="44"/>
      <c r="AP142" s="44"/>
      <c r="AQ142" s="44"/>
      <c r="AR142" s="44"/>
      <c r="AS142" s="44"/>
      <c r="AT142" s="31"/>
      <c r="AU142" s="18"/>
      <c r="AV142" s="34"/>
      <c r="AW142" s="34"/>
      <c r="AX142" s="32"/>
    </row>
    <row r="143" spans="1:50" ht="18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166" t="s">
        <v>1000</v>
      </c>
      <c r="AB143" s="167" t="s">
        <v>1001</v>
      </c>
      <c r="AC143" s="168"/>
      <c r="AD143" s="44"/>
      <c r="AE143" s="44"/>
      <c r="AF143" s="44"/>
      <c r="AG143" s="44"/>
      <c r="AH143" s="44"/>
      <c r="AI143" s="44"/>
      <c r="AJ143" s="43"/>
      <c r="AK143" s="44"/>
      <c r="AL143" s="44"/>
      <c r="AM143" s="44"/>
      <c r="AN143" s="44"/>
      <c r="AO143" s="44"/>
      <c r="AP143" s="44"/>
      <c r="AQ143" s="44"/>
      <c r="AR143" s="44"/>
      <c r="AS143" s="44"/>
      <c r="AT143" s="31"/>
      <c r="AU143" s="18"/>
      <c r="AV143" s="34"/>
      <c r="AW143" s="34"/>
      <c r="AX143" s="32"/>
    </row>
    <row r="144" spans="1:50" ht="18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166" t="s">
        <v>1002</v>
      </c>
      <c r="AB144" s="167" t="s">
        <v>1003</v>
      </c>
      <c r="AC144" s="168"/>
      <c r="AD144" s="44"/>
      <c r="AE144" s="44"/>
      <c r="AF144" s="44"/>
      <c r="AG144" s="44"/>
      <c r="AH144" s="44"/>
      <c r="AI144" s="44"/>
      <c r="AJ144" s="43"/>
      <c r="AK144" s="44"/>
      <c r="AL144" s="44"/>
      <c r="AM144" s="44"/>
      <c r="AN144" s="44"/>
      <c r="AO144" s="44"/>
      <c r="AP144" s="44"/>
      <c r="AQ144" s="44"/>
      <c r="AR144" s="44"/>
      <c r="AS144" s="44"/>
      <c r="AT144" s="31"/>
      <c r="AU144" s="18"/>
      <c r="AV144" s="34"/>
      <c r="AW144" s="34"/>
      <c r="AX144" s="32"/>
    </row>
    <row r="145" spans="1:50" ht="18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166" t="s">
        <v>1004</v>
      </c>
      <c r="AB145" s="167" t="s">
        <v>1005</v>
      </c>
      <c r="AC145" s="168"/>
      <c r="AD145" s="44">
        <v>0</v>
      </c>
      <c r="AE145" s="43">
        <v>265813663</v>
      </c>
      <c r="AF145" s="44">
        <v>0</v>
      </c>
      <c r="AG145" s="44">
        <v>0</v>
      </c>
      <c r="AH145" s="44">
        <v>0</v>
      </c>
      <c r="AI145" s="18">
        <f>AE145-AF145+AG145-AH145</f>
        <v>265813663</v>
      </c>
      <c r="AJ145" s="18">
        <f>AD145+AI145</f>
        <v>265813663</v>
      </c>
      <c r="AK145" s="44">
        <v>0</v>
      </c>
      <c r="AL145" s="44">
        <v>0</v>
      </c>
      <c r="AM145" s="44">
        <v>0</v>
      </c>
      <c r="AN145" s="44">
        <v>0</v>
      </c>
      <c r="AO145" s="44">
        <v>0</v>
      </c>
      <c r="AP145" s="44">
        <v>0</v>
      </c>
      <c r="AQ145" s="44">
        <v>0</v>
      </c>
      <c r="AR145" s="44">
        <v>0</v>
      </c>
      <c r="AS145" s="44">
        <v>0</v>
      </c>
      <c r="AT145" s="31">
        <f t="shared" ref="AT145" si="82">AQ145+AS145</f>
        <v>0</v>
      </c>
      <c r="AU145" s="18">
        <f>AJ145-AM145</f>
        <v>265813663</v>
      </c>
      <c r="AV145" s="34">
        <f>AM145-AP145</f>
        <v>0</v>
      </c>
      <c r="AW145" s="34">
        <f>AP145-AT145</f>
        <v>0</v>
      </c>
      <c r="AX145" s="32">
        <f>AP145/AJ145</f>
        <v>0</v>
      </c>
    </row>
    <row r="146" spans="1:50" s="25" customFormat="1" ht="27.75" customHeight="1" x14ac:dyDescent="0.2">
      <c r="A146" s="19" t="s">
        <v>55</v>
      </c>
      <c r="B146" s="19" t="s">
        <v>56</v>
      </c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7" t="s">
        <v>903</v>
      </c>
      <c r="AB146" s="198" t="s">
        <v>250</v>
      </c>
      <c r="AC146" s="22" t="s">
        <v>37</v>
      </c>
      <c r="AD146" s="22">
        <f>AD147+AD151+AD156+AD149</f>
        <v>4677993416.5</v>
      </c>
      <c r="AE146" s="23">
        <f t="shared" ref="AE146:AK146" si="83">AE147+AE151+AE156+AE149</f>
        <v>0</v>
      </c>
      <c r="AF146" s="23">
        <f t="shared" si="83"/>
        <v>0</v>
      </c>
      <c r="AG146" s="22">
        <f>AG147+AG151+AG156+AG149+AG150</f>
        <v>42000000</v>
      </c>
      <c r="AH146" s="22">
        <f t="shared" ref="AH146:AJ146" si="84">AH147+AH151+AH156+AH149+AH150</f>
        <v>0</v>
      </c>
      <c r="AI146" s="22">
        <f t="shared" si="84"/>
        <v>42000000</v>
      </c>
      <c r="AJ146" s="22">
        <f t="shared" si="84"/>
        <v>4719993416.5</v>
      </c>
      <c r="AK146" s="23">
        <f t="shared" si="83"/>
        <v>0</v>
      </c>
      <c r="AL146" s="22">
        <f>AL147+AL151+AL156+AL149+AL150</f>
        <v>374148356</v>
      </c>
      <c r="AM146" s="22">
        <f t="shared" ref="AM146:AW146" si="85">AM147+AM151+AM156+AM149+AM150</f>
        <v>1892364087</v>
      </c>
      <c r="AN146" s="22">
        <f t="shared" si="85"/>
        <v>0</v>
      </c>
      <c r="AO146" s="22">
        <f t="shared" si="85"/>
        <v>374148356</v>
      </c>
      <c r="AP146" s="22">
        <f t="shared" si="85"/>
        <v>1892364077</v>
      </c>
      <c r="AQ146" s="23">
        <f t="shared" si="85"/>
        <v>0</v>
      </c>
      <c r="AR146" s="22">
        <f t="shared" si="85"/>
        <v>374148356</v>
      </c>
      <c r="AS146" s="22">
        <f t="shared" si="85"/>
        <v>1892313777</v>
      </c>
      <c r="AT146" s="22">
        <f t="shared" si="85"/>
        <v>1892313777</v>
      </c>
      <c r="AU146" s="22">
        <f t="shared" si="85"/>
        <v>2827629329.5</v>
      </c>
      <c r="AV146" s="22">
        <f t="shared" si="85"/>
        <v>10</v>
      </c>
      <c r="AW146" s="22">
        <f t="shared" si="85"/>
        <v>50300</v>
      </c>
      <c r="AX146" s="24">
        <f>AP146/AJ146</f>
        <v>0.40092515179888494</v>
      </c>
    </row>
    <row r="147" spans="1:50" ht="18.75" customHeight="1" x14ac:dyDescent="0.2">
      <c r="A147" s="27" t="s">
        <v>55</v>
      </c>
      <c r="B147" s="27" t="s">
        <v>56</v>
      </c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8" t="s">
        <v>904</v>
      </c>
      <c r="AB147" s="29" t="s">
        <v>251</v>
      </c>
      <c r="AC147" s="30" t="s">
        <v>37</v>
      </c>
      <c r="AD147" s="30">
        <f>AD148</f>
        <v>50000000</v>
      </c>
      <c r="AE147" s="31">
        <f t="shared" ref="AE147:AW147" si="86">AE148</f>
        <v>0</v>
      </c>
      <c r="AF147" s="31">
        <f t="shared" si="86"/>
        <v>0</v>
      </c>
      <c r="AG147" s="31">
        <f t="shared" si="86"/>
        <v>0</v>
      </c>
      <c r="AH147" s="31">
        <f t="shared" si="86"/>
        <v>0</v>
      </c>
      <c r="AI147" s="31">
        <f t="shared" si="86"/>
        <v>0</v>
      </c>
      <c r="AJ147" s="30">
        <f>AJ148</f>
        <v>50000000</v>
      </c>
      <c r="AK147" s="31">
        <f t="shared" si="86"/>
        <v>0</v>
      </c>
      <c r="AL147" s="31">
        <f t="shared" si="86"/>
        <v>0</v>
      </c>
      <c r="AM147" s="31">
        <f t="shared" si="86"/>
        <v>0</v>
      </c>
      <c r="AN147" s="31">
        <f t="shared" si="86"/>
        <v>0</v>
      </c>
      <c r="AO147" s="31">
        <f t="shared" si="86"/>
        <v>0</v>
      </c>
      <c r="AP147" s="31">
        <f t="shared" si="86"/>
        <v>0</v>
      </c>
      <c r="AQ147" s="31">
        <f t="shared" si="86"/>
        <v>0</v>
      </c>
      <c r="AR147" s="31">
        <f t="shared" si="86"/>
        <v>0</v>
      </c>
      <c r="AS147" s="31">
        <f t="shared" si="86"/>
        <v>0</v>
      </c>
      <c r="AT147" s="40">
        <f t="shared" si="86"/>
        <v>0</v>
      </c>
      <c r="AU147" s="30">
        <f t="shared" si="86"/>
        <v>50000000</v>
      </c>
      <c r="AV147" s="31">
        <f t="shared" si="86"/>
        <v>0</v>
      </c>
      <c r="AW147" s="31">
        <f t="shared" si="86"/>
        <v>0</v>
      </c>
      <c r="AX147" s="32">
        <f>AP147/AJ147</f>
        <v>0</v>
      </c>
    </row>
    <row r="148" spans="1:50" ht="18.75" customHeight="1" x14ac:dyDescent="0.2">
      <c r="A148" s="4" t="s">
        <v>55</v>
      </c>
      <c r="B148" s="4" t="s">
        <v>56</v>
      </c>
      <c r="C148" s="4"/>
      <c r="D148" s="4" t="s">
        <v>40</v>
      </c>
      <c r="E148" s="4"/>
      <c r="F148" s="4"/>
      <c r="G148" s="4" t="s">
        <v>41</v>
      </c>
      <c r="H148" s="4"/>
      <c r="I148" s="4" t="s">
        <v>936</v>
      </c>
      <c r="J148" s="4"/>
      <c r="K148" s="4" t="s">
        <v>932</v>
      </c>
      <c r="L148" s="4"/>
      <c r="M148" s="4" t="s">
        <v>933</v>
      </c>
      <c r="N148" s="4"/>
      <c r="O148" s="4" t="s">
        <v>938</v>
      </c>
      <c r="P148" s="4"/>
      <c r="Q148" s="4" t="s">
        <v>942</v>
      </c>
      <c r="R148" s="4"/>
      <c r="S148" s="4" t="s">
        <v>940</v>
      </c>
      <c r="T148" s="4">
        <v>0</v>
      </c>
      <c r="U148" s="4">
        <v>0</v>
      </c>
      <c r="V148" s="4">
        <v>0</v>
      </c>
      <c r="W148" s="4">
        <v>0</v>
      </c>
      <c r="X148" s="4" t="s">
        <v>937</v>
      </c>
      <c r="Y148" s="4"/>
      <c r="Z148" s="4"/>
      <c r="AA148" s="41" t="s">
        <v>905</v>
      </c>
      <c r="AB148" s="42" t="s">
        <v>252</v>
      </c>
      <c r="AC148" s="43" t="s">
        <v>58</v>
      </c>
      <c r="AD148" s="43">
        <v>50000000</v>
      </c>
      <c r="AE148" s="44">
        <v>0</v>
      </c>
      <c r="AF148" s="44">
        <v>0</v>
      </c>
      <c r="AG148" s="44">
        <v>0</v>
      </c>
      <c r="AH148" s="44">
        <v>0</v>
      </c>
      <c r="AI148" s="44">
        <v>0</v>
      </c>
      <c r="AJ148" s="43">
        <v>50000000</v>
      </c>
      <c r="AK148" s="44">
        <v>0</v>
      </c>
      <c r="AL148" s="44">
        <v>0</v>
      </c>
      <c r="AM148" s="44">
        <v>0</v>
      </c>
      <c r="AN148" s="44">
        <v>0</v>
      </c>
      <c r="AO148" s="44">
        <v>0</v>
      </c>
      <c r="AP148" s="44">
        <v>0</v>
      </c>
      <c r="AQ148" s="44">
        <v>0</v>
      </c>
      <c r="AR148" s="44">
        <v>0</v>
      </c>
      <c r="AS148" s="44">
        <v>0</v>
      </c>
      <c r="AT148" s="40">
        <f t="shared" ref="AT148:AT166" si="87">AQ148+AS148</f>
        <v>0</v>
      </c>
      <c r="AU148" s="18">
        <f t="shared" ref="AU148:AU159" si="88">AJ148-AM148</f>
        <v>50000000</v>
      </c>
      <c r="AV148" s="34">
        <f t="shared" ref="AV148:AV159" si="89">AM148-AP148</f>
        <v>0</v>
      </c>
      <c r="AW148" s="34">
        <f t="shared" ref="AW148:AW159" si="90">AP148-AT148</f>
        <v>0</v>
      </c>
      <c r="AX148" s="32">
        <f>AP148/AJ148</f>
        <v>0</v>
      </c>
    </row>
    <row r="149" spans="1:50" ht="18.75" customHeight="1" x14ac:dyDescent="0.2">
      <c r="A149" s="4" t="s">
        <v>55</v>
      </c>
      <c r="B149" s="4" t="s">
        <v>56</v>
      </c>
      <c r="C149" s="4"/>
      <c r="D149" s="4" t="s">
        <v>40</v>
      </c>
      <c r="E149" s="4"/>
      <c r="F149" s="4"/>
      <c r="G149" s="4" t="s">
        <v>41</v>
      </c>
      <c r="H149" s="4"/>
      <c r="I149" s="4" t="s">
        <v>936</v>
      </c>
      <c r="J149" s="4"/>
      <c r="K149" s="4" t="s">
        <v>932</v>
      </c>
      <c r="L149" s="4"/>
      <c r="M149" s="4" t="s">
        <v>933</v>
      </c>
      <c r="N149" s="4"/>
      <c r="O149" s="4" t="s">
        <v>938</v>
      </c>
      <c r="P149" s="4"/>
      <c r="Q149" s="4" t="s">
        <v>942</v>
      </c>
      <c r="R149" s="4"/>
      <c r="S149" s="4" t="s">
        <v>940</v>
      </c>
      <c r="T149" s="4">
        <v>0</v>
      </c>
      <c r="U149" s="4">
        <v>0</v>
      </c>
      <c r="V149" s="4">
        <v>0</v>
      </c>
      <c r="W149" s="4">
        <v>0</v>
      </c>
      <c r="X149" s="4" t="s">
        <v>937</v>
      </c>
      <c r="Y149" s="4"/>
      <c r="Z149" s="4"/>
      <c r="AA149" s="41" t="s">
        <v>867</v>
      </c>
      <c r="AB149" s="42" t="s">
        <v>253</v>
      </c>
      <c r="AC149" s="43" t="s">
        <v>58</v>
      </c>
      <c r="AD149" s="43">
        <v>50000000</v>
      </c>
      <c r="AE149" s="44">
        <v>0</v>
      </c>
      <c r="AF149" s="44">
        <v>0</v>
      </c>
      <c r="AG149" s="44">
        <v>0</v>
      </c>
      <c r="AH149" s="44">
        <v>0</v>
      </c>
      <c r="AI149" s="44">
        <v>0</v>
      </c>
      <c r="AJ149" s="43">
        <v>50000000</v>
      </c>
      <c r="AK149" s="44">
        <v>0</v>
      </c>
      <c r="AL149" s="44">
        <v>0</v>
      </c>
      <c r="AM149" s="43">
        <v>662900</v>
      </c>
      <c r="AN149" s="116">
        <v>0</v>
      </c>
      <c r="AO149" s="43">
        <v>0</v>
      </c>
      <c r="AP149" s="43">
        <v>662890</v>
      </c>
      <c r="AQ149" s="44">
        <v>0</v>
      </c>
      <c r="AR149" s="44">
        <v>0</v>
      </c>
      <c r="AS149" s="43">
        <v>612590</v>
      </c>
      <c r="AT149" s="39">
        <f t="shared" si="87"/>
        <v>612590</v>
      </c>
      <c r="AU149" s="18">
        <f t="shared" si="88"/>
        <v>49337100</v>
      </c>
      <c r="AV149" s="110">
        <f t="shared" si="89"/>
        <v>10</v>
      </c>
      <c r="AW149" s="18">
        <f t="shared" si="90"/>
        <v>50300</v>
      </c>
      <c r="AX149" s="32">
        <f>AP149/AJ149</f>
        <v>1.32578E-2</v>
      </c>
    </row>
    <row r="150" spans="1:50" ht="18.75" customHeight="1" x14ac:dyDescent="0.2">
      <c r="A150" s="4" t="s">
        <v>55</v>
      </c>
      <c r="B150" s="4" t="s">
        <v>56</v>
      </c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1" t="s">
        <v>866</v>
      </c>
      <c r="AB150" s="42" t="s">
        <v>254</v>
      </c>
      <c r="AC150" s="43" t="s">
        <v>58</v>
      </c>
      <c r="AD150" s="44">
        <v>0</v>
      </c>
      <c r="AE150" s="44">
        <v>0</v>
      </c>
      <c r="AF150" s="44">
        <v>0</v>
      </c>
      <c r="AG150" s="43">
        <f>10000000+12000000</f>
        <v>22000000</v>
      </c>
      <c r="AH150" s="44">
        <v>0</v>
      </c>
      <c r="AI150" s="18">
        <f>AE150-AF150+AG150-AH150</f>
        <v>22000000</v>
      </c>
      <c r="AJ150" s="18">
        <f>AD150+AI150</f>
        <v>22000000</v>
      </c>
      <c r="AK150" s="44">
        <v>0</v>
      </c>
      <c r="AL150" s="43">
        <v>982238</v>
      </c>
      <c r="AM150" s="43">
        <v>5048467</v>
      </c>
      <c r="AN150" s="44">
        <v>0</v>
      </c>
      <c r="AO150" s="43">
        <v>982238</v>
      </c>
      <c r="AP150" s="43">
        <v>5048467</v>
      </c>
      <c r="AQ150" s="44">
        <v>0</v>
      </c>
      <c r="AR150" s="43">
        <v>982238</v>
      </c>
      <c r="AS150" s="43">
        <v>5048467</v>
      </c>
      <c r="AT150" s="39">
        <f t="shared" si="87"/>
        <v>5048467</v>
      </c>
      <c r="AU150" s="18">
        <f t="shared" si="88"/>
        <v>16951533</v>
      </c>
      <c r="AV150" s="18">
        <f t="shared" si="89"/>
        <v>0</v>
      </c>
      <c r="AW150" s="34">
        <f t="shared" si="90"/>
        <v>0</v>
      </c>
      <c r="AX150" s="32">
        <v>0</v>
      </c>
    </row>
    <row r="151" spans="1:50" ht="18.75" customHeight="1" x14ac:dyDescent="0.2">
      <c r="A151" s="27" t="s">
        <v>55</v>
      </c>
      <c r="B151" s="27" t="s">
        <v>56</v>
      </c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8" t="s">
        <v>865</v>
      </c>
      <c r="AB151" s="29" t="s">
        <v>255</v>
      </c>
      <c r="AC151" s="30" t="s">
        <v>37</v>
      </c>
      <c r="AD151" s="30">
        <f>AD152+AD155</f>
        <v>4527993416.5</v>
      </c>
      <c r="AE151" s="31">
        <f t="shared" ref="AE151:AS151" si="91">AE152+AE155</f>
        <v>0</v>
      </c>
      <c r="AF151" s="31">
        <f t="shared" si="91"/>
        <v>0</v>
      </c>
      <c r="AG151" s="30">
        <f t="shared" si="91"/>
        <v>20000000</v>
      </c>
      <c r="AH151" s="31">
        <f t="shared" si="91"/>
        <v>0</v>
      </c>
      <c r="AI151" s="18">
        <f>AE151-AF151+AG151-AH151</f>
        <v>20000000</v>
      </c>
      <c r="AJ151" s="18">
        <f>AD151+AI151</f>
        <v>4547993416.5</v>
      </c>
      <c r="AK151" s="31">
        <f t="shared" si="91"/>
        <v>0</v>
      </c>
      <c r="AL151" s="30">
        <f t="shared" si="91"/>
        <v>373166118</v>
      </c>
      <c r="AM151" s="30">
        <f t="shared" si="91"/>
        <v>1886402720</v>
      </c>
      <c r="AN151" s="31">
        <f t="shared" si="91"/>
        <v>0</v>
      </c>
      <c r="AO151" s="30">
        <f t="shared" si="91"/>
        <v>373166118</v>
      </c>
      <c r="AP151" s="30">
        <f t="shared" si="91"/>
        <v>1886402720</v>
      </c>
      <c r="AQ151" s="31">
        <f t="shared" si="91"/>
        <v>0</v>
      </c>
      <c r="AR151" s="30">
        <f t="shared" si="91"/>
        <v>373166118</v>
      </c>
      <c r="AS151" s="30">
        <f t="shared" si="91"/>
        <v>1886402720</v>
      </c>
      <c r="AT151" s="39">
        <f t="shared" si="87"/>
        <v>1886402720</v>
      </c>
      <c r="AU151" s="18">
        <f t="shared" si="88"/>
        <v>2661590696.5</v>
      </c>
      <c r="AV151" s="34">
        <f t="shared" si="89"/>
        <v>0</v>
      </c>
      <c r="AW151" s="34">
        <f t="shared" si="90"/>
        <v>0</v>
      </c>
      <c r="AX151" s="32">
        <f t="shared" ref="AX151:AX188" si="92">AP151/AJ151</f>
        <v>0.41477692407297267</v>
      </c>
    </row>
    <row r="152" spans="1:50" ht="18.75" customHeight="1" x14ac:dyDescent="0.2">
      <c r="A152" s="27" t="s">
        <v>55</v>
      </c>
      <c r="B152" s="27" t="s">
        <v>56</v>
      </c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8" t="s">
        <v>864</v>
      </c>
      <c r="AB152" s="29" t="s">
        <v>256</v>
      </c>
      <c r="AC152" s="30" t="s">
        <v>37</v>
      </c>
      <c r="AD152" s="30">
        <f>AD153+AD154</f>
        <v>4477993416.5</v>
      </c>
      <c r="AE152" s="31">
        <f t="shared" ref="AE152:AS152" si="93">AE153+AE154</f>
        <v>0</v>
      </c>
      <c r="AF152" s="31">
        <f t="shared" si="93"/>
        <v>0</v>
      </c>
      <c r="AG152" s="31">
        <f t="shared" si="93"/>
        <v>0</v>
      </c>
      <c r="AH152" s="31">
        <f t="shared" si="93"/>
        <v>0</v>
      </c>
      <c r="AI152" s="31">
        <f t="shared" si="93"/>
        <v>0</v>
      </c>
      <c r="AJ152" s="30">
        <f t="shared" si="93"/>
        <v>4477993416.5</v>
      </c>
      <c r="AK152" s="31">
        <f t="shared" si="93"/>
        <v>0</v>
      </c>
      <c r="AL152" s="30">
        <f t="shared" si="93"/>
        <v>373166118</v>
      </c>
      <c r="AM152" s="30">
        <f t="shared" si="93"/>
        <v>1865830590</v>
      </c>
      <c r="AN152" s="31">
        <f t="shared" si="93"/>
        <v>0</v>
      </c>
      <c r="AO152" s="30">
        <f t="shared" si="93"/>
        <v>373166118</v>
      </c>
      <c r="AP152" s="30">
        <f t="shared" si="93"/>
        <v>1865830590</v>
      </c>
      <c r="AQ152" s="31">
        <f t="shared" si="93"/>
        <v>0</v>
      </c>
      <c r="AR152" s="30">
        <f t="shared" si="93"/>
        <v>373166118</v>
      </c>
      <c r="AS152" s="30">
        <f t="shared" si="93"/>
        <v>1865830590</v>
      </c>
      <c r="AT152" s="39">
        <f t="shared" si="87"/>
        <v>1865830590</v>
      </c>
      <c r="AU152" s="18">
        <f t="shared" si="88"/>
        <v>2612162826.5</v>
      </c>
      <c r="AV152" s="34">
        <f t="shared" si="89"/>
        <v>0</v>
      </c>
      <c r="AW152" s="34">
        <f t="shared" si="90"/>
        <v>0</v>
      </c>
      <c r="AX152" s="32">
        <f t="shared" si="92"/>
        <v>0.41666666662014284</v>
      </c>
    </row>
    <row r="153" spans="1:50" ht="18.75" customHeight="1" x14ac:dyDescent="0.2">
      <c r="A153" s="4" t="s">
        <v>55</v>
      </c>
      <c r="B153" s="4" t="s">
        <v>56</v>
      </c>
      <c r="C153" s="4"/>
      <c r="D153" s="4" t="s">
        <v>40</v>
      </c>
      <c r="E153" s="4"/>
      <c r="F153" s="4"/>
      <c r="G153" s="4" t="s">
        <v>41</v>
      </c>
      <c r="H153" s="4"/>
      <c r="I153" s="4" t="s">
        <v>936</v>
      </c>
      <c r="J153" s="4"/>
      <c r="K153" s="4" t="s">
        <v>932</v>
      </c>
      <c r="L153" s="4"/>
      <c r="M153" s="4" t="s">
        <v>933</v>
      </c>
      <c r="N153" s="4"/>
      <c r="O153" s="4" t="s">
        <v>938</v>
      </c>
      <c r="P153" s="4"/>
      <c r="Q153" s="4" t="s">
        <v>942</v>
      </c>
      <c r="R153" s="4"/>
      <c r="S153" s="4" t="s">
        <v>940</v>
      </c>
      <c r="T153" s="4">
        <v>0</v>
      </c>
      <c r="U153" s="4">
        <v>0</v>
      </c>
      <c r="V153" s="4">
        <v>0</v>
      </c>
      <c r="W153" s="4">
        <v>0</v>
      </c>
      <c r="X153" s="4" t="s">
        <v>937</v>
      </c>
      <c r="Y153" s="4"/>
      <c r="Z153" s="4"/>
      <c r="AA153" s="41" t="s">
        <v>863</v>
      </c>
      <c r="AB153" s="42" t="s">
        <v>233</v>
      </c>
      <c r="AC153" s="43" t="s">
        <v>58</v>
      </c>
      <c r="AD153" s="43">
        <v>3177230763</v>
      </c>
      <c r="AE153" s="44">
        <v>0</v>
      </c>
      <c r="AF153" s="44">
        <v>0</v>
      </c>
      <c r="AG153" s="44">
        <v>0</v>
      </c>
      <c r="AH153" s="44">
        <v>0</v>
      </c>
      <c r="AI153" s="44">
        <v>0</v>
      </c>
      <c r="AJ153" s="43">
        <v>3177230763</v>
      </c>
      <c r="AK153" s="44">
        <v>0</v>
      </c>
      <c r="AL153" s="43">
        <v>264769230</v>
      </c>
      <c r="AM153" s="43">
        <v>1323846150</v>
      </c>
      <c r="AN153" s="44">
        <v>0</v>
      </c>
      <c r="AO153" s="43">
        <v>264769230</v>
      </c>
      <c r="AP153" s="43">
        <v>1323846150</v>
      </c>
      <c r="AQ153" s="44">
        <v>0</v>
      </c>
      <c r="AR153" s="43">
        <v>264769230</v>
      </c>
      <c r="AS153" s="43">
        <v>1323846150</v>
      </c>
      <c r="AT153" s="39">
        <f t="shared" si="87"/>
        <v>1323846150</v>
      </c>
      <c r="AU153" s="18">
        <f t="shared" si="88"/>
        <v>1853384613</v>
      </c>
      <c r="AV153" s="34">
        <f t="shared" si="89"/>
        <v>0</v>
      </c>
      <c r="AW153" s="34">
        <f t="shared" si="90"/>
        <v>0</v>
      </c>
      <c r="AX153" s="32">
        <f t="shared" si="92"/>
        <v>0.41666666627324228</v>
      </c>
    </row>
    <row r="154" spans="1:50" ht="18.75" customHeight="1" x14ac:dyDescent="0.2">
      <c r="A154" s="4" t="s">
        <v>55</v>
      </c>
      <c r="B154" s="4" t="s">
        <v>56</v>
      </c>
      <c r="C154" s="4"/>
      <c r="D154" s="4" t="s">
        <v>40</v>
      </c>
      <c r="E154" s="4"/>
      <c r="F154" s="4"/>
      <c r="G154" s="4" t="s">
        <v>41</v>
      </c>
      <c r="H154" s="4"/>
      <c r="I154" s="4" t="s">
        <v>936</v>
      </c>
      <c r="J154" s="4"/>
      <c r="K154" s="4" t="s">
        <v>932</v>
      </c>
      <c r="L154" s="4"/>
      <c r="M154" s="4" t="s">
        <v>933</v>
      </c>
      <c r="N154" s="4"/>
      <c r="O154" s="4" t="s">
        <v>938</v>
      </c>
      <c r="P154" s="4"/>
      <c r="Q154" s="4" t="s">
        <v>942</v>
      </c>
      <c r="R154" s="4"/>
      <c r="S154" s="4" t="s">
        <v>940</v>
      </c>
      <c r="T154" s="4">
        <v>0</v>
      </c>
      <c r="U154" s="4">
        <v>0</v>
      </c>
      <c r="V154" s="4">
        <v>0</v>
      </c>
      <c r="W154" s="4">
        <v>0</v>
      </c>
      <c r="X154" s="4" t="s">
        <v>937</v>
      </c>
      <c r="Y154" s="4"/>
      <c r="Z154" s="4"/>
      <c r="AA154" s="41" t="s">
        <v>862</v>
      </c>
      <c r="AB154" s="42" t="s">
        <v>257</v>
      </c>
      <c r="AC154" s="43" t="s">
        <v>258</v>
      </c>
      <c r="AD154" s="43">
        <v>1300762653.5</v>
      </c>
      <c r="AE154" s="44">
        <v>0</v>
      </c>
      <c r="AF154" s="44">
        <v>0</v>
      </c>
      <c r="AG154" s="44">
        <v>0</v>
      </c>
      <c r="AH154" s="44">
        <v>0</v>
      </c>
      <c r="AI154" s="44">
        <v>0</v>
      </c>
      <c r="AJ154" s="43">
        <v>1300762653.5</v>
      </c>
      <c r="AK154" s="44">
        <v>0</v>
      </c>
      <c r="AL154" s="43">
        <v>108396888</v>
      </c>
      <c r="AM154" s="43">
        <v>541984440</v>
      </c>
      <c r="AN154" s="44">
        <v>0</v>
      </c>
      <c r="AO154" s="43">
        <v>108396888</v>
      </c>
      <c r="AP154" s="43">
        <v>541984440</v>
      </c>
      <c r="AQ154" s="44">
        <v>0</v>
      </c>
      <c r="AR154" s="43">
        <v>108396888</v>
      </c>
      <c r="AS154" s="43">
        <v>541984440</v>
      </c>
      <c r="AT154" s="39">
        <f t="shared" si="87"/>
        <v>541984440</v>
      </c>
      <c r="AU154" s="18">
        <f t="shared" si="88"/>
        <v>758778213.5</v>
      </c>
      <c r="AV154" s="34">
        <f t="shared" si="89"/>
        <v>0</v>
      </c>
      <c r="AW154" s="34">
        <f t="shared" si="90"/>
        <v>0</v>
      </c>
      <c r="AX154" s="32">
        <f t="shared" si="92"/>
        <v>0.41666666746747894</v>
      </c>
    </row>
    <row r="155" spans="1:50" ht="18.75" customHeight="1" x14ac:dyDescent="0.2">
      <c r="A155" s="4" t="s">
        <v>55</v>
      </c>
      <c r="B155" s="4" t="s">
        <v>56</v>
      </c>
      <c r="C155" s="4"/>
      <c r="D155" s="4" t="s">
        <v>40</v>
      </c>
      <c r="E155" s="4"/>
      <c r="F155" s="4"/>
      <c r="G155" s="4" t="s">
        <v>41</v>
      </c>
      <c r="H155" s="4"/>
      <c r="I155" s="4" t="s">
        <v>936</v>
      </c>
      <c r="J155" s="4"/>
      <c r="K155" s="4" t="s">
        <v>932</v>
      </c>
      <c r="L155" s="4"/>
      <c r="M155" s="4" t="s">
        <v>933</v>
      </c>
      <c r="N155" s="4"/>
      <c r="O155" s="4" t="s">
        <v>938</v>
      </c>
      <c r="P155" s="4"/>
      <c r="Q155" s="4" t="s">
        <v>942</v>
      </c>
      <c r="R155" s="4"/>
      <c r="S155" s="4" t="s">
        <v>940</v>
      </c>
      <c r="T155" s="4">
        <v>0</v>
      </c>
      <c r="U155" s="4">
        <v>0</v>
      </c>
      <c r="V155" s="4">
        <v>0</v>
      </c>
      <c r="W155" s="4">
        <v>0</v>
      </c>
      <c r="X155" s="4" t="s">
        <v>937</v>
      </c>
      <c r="Y155" s="4"/>
      <c r="Z155" s="4"/>
      <c r="AA155" s="41" t="s">
        <v>861</v>
      </c>
      <c r="AB155" s="42" t="s">
        <v>259</v>
      </c>
      <c r="AC155" s="43" t="s">
        <v>58</v>
      </c>
      <c r="AD155" s="43">
        <v>50000000</v>
      </c>
      <c r="AE155" s="44">
        <v>0</v>
      </c>
      <c r="AF155" s="44">
        <v>0</v>
      </c>
      <c r="AG155" s="43">
        <v>20000000</v>
      </c>
      <c r="AH155" s="44">
        <v>0</v>
      </c>
      <c r="AI155" s="18">
        <f>AE155-AF155+AG155-AH155</f>
        <v>20000000</v>
      </c>
      <c r="AJ155" s="18">
        <f>AD155+AI155</f>
        <v>70000000</v>
      </c>
      <c r="AK155" s="44">
        <v>0</v>
      </c>
      <c r="AL155" s="44">
        <v>0</v>
      </c>
      <c r="AM155" s="43">
        <v>20572130</v>
      </c>
      <c r="AN155" s="44">
        <v>0</v>
      </c>
      <c r="AO155" s="44">
        <v>0</v>
      </c>
      <c r="AP155" s="43">
        <v>20572130</v>
      </c>
      <c r="AQ155" s="44">
        <v>0</v>
      </c>
      <c r="AR155" s="44">
        <v>0</v>
      </c>
      <c r="AS155" s="43">
        <v>20572130</v>
      </c>
      <c r="AT155" s="39">
        <f t="shared" si="87"/>
        <v>20572130</v>
      </c>
      <c r="AU155" s="18">
        <f t="shared" si="88"/>
        <v>49427870</v>
      </c>
      <c r="AV155" s="34">
        <f t="shared" si="89"/>
        <v>0</v>
      </c>
      <c r="AW155" s="34">
        <f t="shared" si="90"/>
        <v>0</v>
      </c>
      <c r="AX155" s="32">
        <f t="shared" si="92"/>
        <v>0.29388757142857141</v>
      </c>
    </row>
    <row r="156" spans="1:50" ht="18.75" customHeight="1" x14ac:dyDescent="0.2">
      <c r="A156" s="27" t="s">
        <v>55</v>
      </c>
      <c r="B156" s="27" t="s">
        <v>56</v>
      </c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8" t="s">
        <v>860</v>
      </c>
      <c r="AB156" s="29" t="s">
        <v>260</v>
      </c>
      <c r="AC156" s="30" t="s">
        <v>37</v>
      </c>
      <c r="AD156" s="30">
        <f>AD157+AD159</f>
        <v>50000000</v>
      </c>
      <c r="AE156" s="31">
        <f t="shared" ref="AE156:AS156" si="94">AE157+AE159</f>
        <v>0</v>
      </c>
      <c r="AF156" s="31">
        <f t="shared" si="94"/>
        <v>0</v>
      </c>
      <c r="AG156" s="31">
        <f t="shared" si="94"/>
        <v>0</v>
      </c>
      <c r="AH156" s="31">
        <f t="shared" si="94"/>
        <v>0</v>
      </c>
      <c r="AI156" s="31">
        <f t="shared" si="94"/>
        <v>0</v>
      </c>
      <c r="AJ156" s="30">
        <f t="shared" si="94"/>
        <v>50000000</v>
      </c>
      <c r="AK156" s="31">
        <f t="shared" si="94"/>
        <v>0</v>
      </c>
      <c r="AL156" s="172">
        <f t="shared" si="94"/>
        <v>0</v>
      </c>
      <c r="AM156" s="109">
        <f t="shared" si="94"/>
        <v>250000</v>
      </c>
      <c r="AN156" s="31">
        <f t="shared" si="94"/>
        <v>0</v>
      </c>
      <c r="AO156" s="172">
        <f t="shared" si="94"/>
        <v>0</v>
      </c>
      <c r="AP156" s="109">
        <f t="shared" si="94"/>
        <v>250000</v>
      </c>
      <c r="AQ156" s="31">
        <f t="shared" si="94"/>
        <v>0</v>
      </c>
      <c r="AR156" s="31">
        <f t="shared" si="94"/>
        <v>0</v>
      </c>
      <c r="AS156" s="30">
        <f t="shared" si="94"/>
        <v>250000</v>
      </c>
      <c r="AT156" s="39">
        <f t="shared" si="87"/>
        <v>250000</v>
      </c>
      <c r="AU156" s="18">
        <f t="shared" si="88"/>
        <v>49750000</v>
      </c>
      <c r="AV156" s="34">
        <f t="shared" si="89"/>
        <v>0</v>
      </c>
      <c r="AW156" s="34">
        <f t="shared" si="90"/>
        <v>0</v>
      </c>
      <c r="AX156" s="32">
        <f t="shared" si="92"/>
        <v>5.0000000000000001E-3</v>
      </c>
    </row>
    <row r="157" spans="1:50" ht="18.75" customHeight="1" x14ac:dyDescent="0.2">
      <c r="A157" s="27" t="s">
        <v>55</v>
      </c>
      <c r="B157" s="27" t="s">
        <v>56</v>
      </c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8" t="s">
        <v>859</v>
      </c>
      <c r="AB157" s="29" t="s">
        <v>261</v>
      </c>
      <c r="AC157" s="30" t="s">
        <v>37</v>
      </c>
      <c r="AD157" s="30">
        <f>AD158</f>
        <v>10000000</v>
      </c>
      <c r="AE157" s="31">
        <f t="shared" ref="AE157:AS157" si="95">AE158</f>
        <v>0</v>
      </c>
      <c r="AF157" s="31">
        <f t="shared" si="95"/>
        <v>0</v>
      </c>
      <c r="AG157" s="31">
        <f t="shared" si="95"/>
        <v>0</v>
      </c>
      <c r="AH157" s="31">
        <f t="shared" si="95"/>
        <v>0</v>
      </c>
      <c r="AI157" s="31">
        <f t="shared" si="95"/>
        <v>0</v>
      </c>
      <c r="AJ157" s="30">
        <f t="shared" si="95"/>
        <v>10000000</v>
      </c>
      <c r="AK157" s="31">
        <f t="shared" si="95"/>
        <v>0</v>
      </c>
      <c r="AL157" s="172">
        <f t="shared" si="95"/>
        <v>0</v>
      </c>
      <c r="AM157" s="109">
        <f t="shared" si="95"/>
        <v>250000</v>
      </c>
      <c r="AN157" s="31">
        <f t="shared" si="95"/>
        <v>0</v>
      </c>
      <c r="AO157" s="172">
        <f t="shared" si="95"/>
        <v>0</v>
      </c>
      <c r="AP157" s="109">
        <f t="shared" si="95"/>
        <v>250000</v>
      </c>
      <c r="AQ157" s="31">
        <f t="shared" si="95"/>
        <v>0</v>
      </c>
      <c r="AR157" s="31">
        <f t="shared" si="95"/>
        <v>0</v>
      </c>
      <c r="AS157" s="30">
        <f t="shared" si="95"/>
        <v>250000</v>
      </c>
      <c r="AT157" s="39">
        <f t="shared" si="87"/>
        <v>250000</v>
      </c>
      <c r="AU157" s="18">
        <f t="shared" si="88"/>
        <v>9750000</v>
      </c>
      <c r="AV157" s="34">
        <f t="shared" si="89"/>
        <v>0</v>
      </c>
      <c r="AW157" s="34">
        <f t="shared" si="90"/>
        <v>0</v>
      </c>
      <c r="AX157" s="32">
        <f t="shared" si="92"/>
        <v>2.5000000000000001E-2</v>
      </c>
    </row>
    <row r="158" spans="1:50" ht="18.75" customHeight="1" x14ac:dyDescent="0.2">
      <c r="A158" s="4" t="s">
        <v>55</v>
      </c>
      <c r="B158" s="4" t="s">
        <v>56</v>
      </c>
      <c r="C158" s="4"/>
      <c r="D158" s="4" t="s">
        <v>40</v>
      </c>
      <c r="E158" s="4"/>
      <c r="F158" s="4"/>
      <c r="G158" s="4" t="s">
        <v>41</v>
      </c>
      <c r="H158" s="4"/>
      <c r="I158" s="4" t="s">
        <v>936</v>
      </c>
      <c r="J158" s="4"/>
      <c r="K158" s="4" t="s">
        <v>932</v>
      </c>
      <c r="L158" s="4"/>
      <c r="M158" s="4" t="s">
        <v>933</v>
      </c>
      <c r="N158" s="4"/>
      <c r="O158" s="4" t="s">
        <v>938</v>
      </c>
      <c r="P158" s="4"/>
      <c r="Q158" s="4" t="s">
        <v>942</v>
      </c>
      <c r="R158" s="4"/>
      <c r="S158" s="4" t="s">
        <v>940</v>
      </c>
      <c r="T158" s="4">
        <v>0</v>
      </c>
      <c r="U158" s="4">
        <v>0</v>
      </c>
      <c r="V158" s="4">
        <v>0</v>
      </c>
      <c r="W158" s="4">
        <v>0</v>
      </c>
      <c r="X158" s="4" t="s">
        <v>937</v>
      </c>
      <c r="Y158" s="4"/>
      <c r="Z158" s="4"/>
      <c r="AA158" s="41" t="s">
        <v>858</v>
      </c>
      <c r="AB158" s="42" t="s">
        <v>262</v>
      </c>
      <c r="AC158" s="43" t="s">
        <v>58</v>
      </c>
      <c r="AD158" s="43">
        <v>10000000</v>
      </c>
      <c r="AE158" s="44">
        <v>0</v>
      </c>
      <c r="AF158" s="44">
        <v>0</v>
      </c>
      <c r="AG158" s="44">
        <v>0</v>
      </c>
      <c r="AH158" s="44">
        <v>0</v>
      </c>
      <c r="AI158" s="44">
        <v>0</v>
      </c>
      <c r="AJ158" s="43">
        <v>10000000</v>
      </c>
      <c r="AK158" s="44">
        <v>0</v>
      </c>
      <c r="AL158" s="115">
        <v>0</v>
      </c>
      <c r="AM158" s="114">
        <v>250000</v>
      </c>
      <c r="AN158" s="44">
        <v>0</v>
      </c>
      <c r="AO158" s="115">
        <v>0</v>
      </c>
      <c r="AP158" s="114">
        <v>250000</v>
      </c>
      <c r="AQ158" s="44">
        <v>0</v>
      </c>
      <c r="AR158" s="44">
        <v>0</v>
      </c>
      <c r="AS158" s="43">
        <v>250000</v>
      </c>
      <c r="AT158" s="39">
        <f t="shared" si="87"/>
        <v>250000</v>
      </c>
      <c r="AU158" s="18">
        <f t="shared" si="88"/>
        <v>9750000</v>
      </c>
      <c r="AV158" s="34">
        <f t="shared" si="89"/>
        <v>0</v>
      </c>
      <c r="AW158" s="34">
        <f t="shared" si="90"/>
        <v>0</v>
      </c>
      <c r="AX158" s="32">
        <f t="shared" si="92"/>
        <v>2.5000000000000001E-2</v>
      </c>
    </row>
    <row r="159" spans="1:50" ht="18.75" customHeight="1" x14ac:dyDescent="0.2">
      <c r="A159" s="4" t="s">
        <v>55</v>
      </c>
      <c r="B159" s="4" t="s">
        <v>56</v>
      </c>
      <c r="C159" s="4"/>
      <c r="D159" s="4" t="s">
        <v>40</v>
      </c>
      <c r="E159" s="4"/>
      <c r="F159" s="4"/>
      <c r="G159" s="4" t="s">
        <v>41</v>
      </c>
      <c r="H159" s="4"/>
      <c r="I159" s="4" t="s">
        <v>936</v>
      </c>
      <c r="J159" s="4"/>
      <c r="K159" s="4" t="s">
        <v>932</v>
      </c>
      <c r="L159" s="4"/>
      <c r="M159" s="4" t="s">
        <v>933</v>
      </c>
      <c r="N159" s="4"/>
      <c r="O159" s="4" t="s">
        <v>938</v>
      </c>
      <c r="P159" s="4"/>
      <c r="Q159" s="4" t="s">
        <v>942</v>
      </c>
      <c r="R159" s="4"/>
      <c r="S159" s="4" t="s">
        <v>940</v>
      </c>
      <c r="T159" s="4">
        <v>0</v>
      </c>
      <c r="U159" s="4">
        <v>0</v>
      </c>
      <c r="V159" s="4">
        <v>0</v>
      </c>
      <c r="W159" s="4">
        <v>0</v>
      </c>
      <c r="X159" s="4" t="s">
        <v>937</v>
      </c>
      <c r="Y159" s="4"/>
      <c r="Z159" s="4"/>
      <c r="AA159" s="41" t="s">
        <v>857</v>
      </c>
      <c r="AB159" s="42" t="s">
        <v>263</v>
      </c>
      <c r="AC159" s="43" t="s">
        <v>58</v>
      </c>
      <c r="AD159" s="43">
        <v>40000000</v>
      </c>
      <c r="AE159" s="44">
        <v>0</v>
      </c>
      <c r="AF159" s="44">
        <v>0</v>
      </c>
      <c r="AG159" s="44">
        <v>0</v>
      </c>
      <c r="AH159" s="44">
        <v>0</v>
      </c>
      <c r="AI159" s="44">
        <v>0</v>
      </c>
      <c r="AJ159" s="43">
        <v>40000000</v>
      </c>
      <c r="AK159" s="44">
        <v>0</v>
      </c>
      <c r="AL159" s="44">
        <v>0</v>
      </c>
      <c r="AM159" s="44">
        <v>0</v>
      </c>
      <c r="AN159" s="44">
        <v>0</v>
      </c>
      <c r="AO159" s="44">
        <v>0</v>
      </c>
      <c r="AP159" s="44">
        <v>0</v>
      </c>
      <c r="AQ159" s="44">
        <v>0</v>
      </c>
      <c r="AR159" s="44">
        <v>0</v>
      </c>
      <c r="AS159" s="44">
        <v>0</v>
      </c>
      <c r="AT159" s="40">
        <f t="shared" si="87"/>
        <v>0</v>
      </c>
      <c r="AU159" s="18">
        <f t="shared" si="88"/>
        <v>40000000</v>
      </c>
      <c r="AV159" s="34">
        <f t="shared" si="89"/>
        <v>0</v>
      </c>
      <c r="AW159" s="34">
        <f t="shared" si="90"/>
        <v>0</v>
      </c>
      <c r="AX159" s="32">
        <f t="shared" si="92"/>
        <v>0</v>
      </c>
    </row>
    <row r="160" spans="1:50" s="25" customFormat="1" ht="18.75" customHeight="1" x14ac:dyDescent="0.2">
      <c r="A160" s="19" t="s">
        <v>49</v>
      </c>
      <c r="B160" s="19" t="s">
        <v>50</v>
      </c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26" t="s">
        <v>856</v>
      </c>
      <c r="AB160" s="21" t="s">
        <v>264</v>
      </c>
      <c r="AC160" s="22" t="s">
        <v>37</v>
      </c>
      <c r="AD160" s="22">
        <f>AD161</f>
        <v>58452467165</v>
      </c>
      <c r="AE160" s="22">
        <f t="shared" ref="AE160:AW160" si="96">AE161</f>
        <v>5987472683.25</v>
      </c>
      <c r="AF160" s="23">
        <f t="shared" si="96"/>
        <v>0</v>
      </c>
      <c r="AG160" s="23">
        <f t="shared" si="96"/>
        <v>0</v>
      </c>
      <c r="AH160" s="23">
        <f t="shared" si="96"/>
        <v>0</v>
      </c>
      <c r="AI160" s="23">
        <f t="shared" si="96"/>
        <v>11486632075.93</v>
      </c>
      <c r="AJ160" s="22">
        <f>AJ161</f>
        <v>64439939848.25</v>
      </c>
      <c r="AK160" s="23">
        <f t="shared" si="96"/>
        <v>0</v>
      </c>
      <c r="AL160" s="22">
        <f t="shared" si="96"/>
        <v>2294858659.0999999</v>
      </c>
      <c r="AM160" s="22">
        <f t="shared" si="96"/>
        <v>15219964116.199999</v>
      </c>
      <c r="AN160" s="23">
        <f t="shared" si="96"/>
        <v>0</v>
      </c>
      <c r="AO160" s="22">
        <f t="shared" si="96"/>
        <v>2294858659.0999999</v>
      </c>
      <c r="AP160" s="22">
        <f t="shared" si="96"/>
        <v>14785610622.949999</v>
      </c>
      <c r="AQ160" s="22">
        <f t="shared" si="96"/>
        <v>109482604.91</v>
      </c>
      <c r="AR160" s="22">
        <f t="shared" si="96"/>
        <v>2115668560.79</v>
      </c>
      <c r="AS160" s="22">
        <f t="shared" si="96"/>
        <v>14280797892.65</v>
      </c>
      <c r="AT160" s="22">
        <f t="shared" si="87"/>
        <v>14390280497.559999</v>
      </c>
      <c r="AU160" s="22">
        <f t="shared" si="96"/>
        <v>54719135124.729996</v>
      </c>
      <c r="AV160" s="108">
        <f t="shared" si="96"/>
        <v>434353493.25</v>
      </c>
      <c r="AW160" s="22">
        <f t="shared" si="96"/>
        <v>395330125.38999999</v>
      </c>
      <c r="AX160" s="24">
        <f t="shared" si="92"/>
        <v>0.22944792713600792</v>
      </c>
    </row>
    <row r="161" spans="1:50" s="25" customFormat="1" ht="18.75" customHeight="1" x14ac:dyDescent="0.2">
      <c r="A161" s="19" t="s">
        <v>55</v>
      </c>
      <c r="B161" s="19" t="s">
        <v>56</v>
      </c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26" t="s">
        <v>855</v>
      </c>
      <c r="AB161" s="21" t="s">
        <v>265</v>
      </c>
      <c r="AC161" s="22" t="s">
        <v>37</v>
      </c>
      <c r="AD161" s="22">
        <f>AD162+AD172+AD179+AD167+AD176</f>
        <v>58452467165</v>
      </c>
      <c r="AE161" s="22">
        <f>AE162+AE172+AE179+AE167+AE176</f>
        <v>5987472683.25</v>
      </c>
      <c r="AF161" s="23">
        <f>AF162+AF172+AF179+AF167+AF176+AF177+AF178</f>
        <v>0</v>
      </c>
      <c r="AG161" s="23">
        <f>AG162+AG172+AG179+AG167+AG176+AG177+AG178</f>
        <v>0</v>
      </c>
      <c r="AH161" s="23">
        <f>AH162+AH172+AH179+AH167+AH176+AH177+AH178</f>
        <v>0</v>
      </c>
      <c r="AI161" s="22">
        <f>AI162+AI172+AI179+AI167+AI176+AI177+AI178</f>
        <v>11486632075.93</v>
      </c>
      <c r="AJ161" s="22">
        <f>AJ162+AJ172+AJ179+AJ167+AJ176</f>
        <v>64439939848.25</v>
      </c>
      <c r="AK161" s="23">
        <f t="shared" ref="AK161:AW161" si="97">AK162+AK172+AK179+AK167+AK176+AK177+AK178</f>
        <v>0</v>
      </c>
      <c r="AL161" s="22">
        <f t="shared" si="97"/>
        <v>2294858659.0999999</v>
      </c>
      <c r="AM161" s="22">
        <f t="shared" si="97"/>
        <v>15219964116.199999</v>
      </c>
      <c r="AN161" s="22">
        <f t="shared" si="97"/>
        <v>0</v>
      </c>
      <c r="AO161" s="22">
        <f t="shared" si="97"/>
        <v>2294858659.0999999</v>
      </c>
      <c r="AP161" s="22">
        <f t="shared" si="97"/>
        <v>14785610622.949999</v>
      </c>
      <c r="AQ161" s="22">
        <f t="shared" si="97"/>
        <v>109482604.91</v>
      </c>
      <c r="AR161" s="22">
        <f t="shared" si="97"/>
        <v>2115668560.79</v>
      </c>
      <c r="AS161" s="22">
        <f t="shared" si="97"/>
        <v>14280797892.65</v>
      </c>
      <c r="AT161" s="22">
        <f t="shared" si="97"/>
        <v>14390280497.559999</v>
      </c>
      <c r="AU161" s="22">
        <f t="shared" si="97"/>
        <v>54719135124.729996</v>
      </c>
      <c r="AV161" s="22">
        <f t="shared" si="97"/>
        <v>434353493.25</v>
      </c>
      <c r="AW161" s="22">
        <f t="shared" si="97"/>
        <v>395330125.38999999</v>
      </c>
      <c r="AX161" s="24">
        <f t="shared" si="92"/>
        <v>0.22944792713600792</v>
      </c>
    </row>
    <row r="162" spans="1:50" s="25" customFormat="1" ht="18.75" customHeight="1" x14ac:dyDescent="0.2">
      <c r="A162" s="19" t="s">
        <v>37</v>
      </c>
      <c r="B162" s="19" t="s">
        <v>37</v>
      </c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26" t="s">
        <v>854</v>
      </c>
      <c r="AB162" s="21" t="s">
        <v>266</v>
      </c>
      <c r="AC162" s="22" t="s">
        <v>37</v>
      </c>
      <c r="AD162" s="22">
        <f>AD163</f>
        <v>28000000000.57</v>
      </c>
      <c r="AE162" s="23">
        <f t="shared" ref="AE162:AW165" si="98">AE163</f>
        <v>0</v>
      </c>
      <c r="AF162" s="23">
        <f t="shared" si="98"/>
        <v>0</v>
      </c>
      <c r="AG162" s="23">
        <f t="shared" si="98"/>
        <v>0</v>
      </c>
      <c r="AH162" s="23">
        <f t="shared" si="98"/>
        <v>0</v>
      </c>
      <c r="AI162" s="23">
        <f t="shared" si="98"/>
        <v>0</v>
      </c>
      <c r="AJ162" s="22">
        <f t="shared" si="98"/>
        <v>28000000000.57</v>
      </c>
      <c r="AK162" s="23">
        <f t="shared" si="98"/>
        <v>0</v>
      </c>
      <c r="AL162" s="22">
        <f t="shared" si="98"/>
        <v>1449378336</v>
      </c>
      <c r="AM162" s="22">
        <f t="shared" si="98"/>
        <v>9174386846.5</v>
      </c>
      <c r="AN162" s="23">
        <f t="shared" si="98"/>
        <v>0</v>
      </c>
      <c r="AO162" s="22">
        <f t="shared" si="98"/>
        <v>1449378336</v>
      </c>
      <c r="AP162" s="22">
        <f t="shared" si="98"/>
        <v>9174386846.5</v>
      </c>
      <c r="AQ162" s="23">
        <f t="shared" si="98"/>
        <v>0</v>
      </c>
      <c r="AR162" s="22">
        <f t="shared" si="98"/>
        <v>1449378336</v>
      </c>
      <c r="AS162" s="22">
        <f t="shared" si="98"/>
        <v>9174386846.5</v>
      </c>
      <c r="AT162" s="22">
        <f t="shared" si="87"/>
        <v>9174386846.5</v>
      </c>
      <c r="AU162" s="22">
        <f t="shared" si="98"/>
        <v>18825613154.07</v>
      </c>
      <c r="AV162" s="23">
        <f t="shared" si="98"/>
        <v>0</v>
      </c>
      <c r="AW162" s="23">
        <f t="shared" si="98"/>
        <v>0</v>
      </c>
      <c r="AX162" s="24">
        <f t="shared" si="92"/>
        <v>0.32765667308261559</v>
      </c>
    </row>
    <row r="163" spans="1:50" ht="18.75" customHeight="1" x14ac:dyDescent="0.2">
      <c r="A163" s="27" t="s">
        <v>37</v>
      </c>
      <c r="B163" s="27" t="s">
        <v>37</v>
      </c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8" t="s">
        <v>853</v>
      </c>
      <c r="AB163" s="29" t="s">
        <v>267</v>
      </c>
      <c r="AC163" s="30" t="s">
        <v>37</v>
      </c>
      <c r="AD163" s="30">
        <f>AD164</f>
        <v>28000000000.57</v>
      </c>
      <c r="AE163" s="31">
        <f t="shared" si="98"/>
        <v>0</v>
      </c>
      <c r="AF163" s="31">
        <f t="shared" si="98"/>
        <v>0</v>
      </c>
      <c r="AG163" s="31">
        <f t="shared" si="98"/>
        <v>0</v>
      </c>
      <c r="AH163" s="31">
        <f t="shared" si="98"/>
        <v>0</v>
      </c>
      <c r="AI163" s="31">
        <f t="shared" si="98"/>
        <v>0</v>
      </c>
      <c r="AJ163" s="30">
        <f t="shared" si="98"/>
        <v>28000000000.57</v>
      </c>
      <c r="AK163" s="31">
        <f t="shared" si="98"/>
        <v>0</v>
      </c>
      <c r="AL163" s="30">
        <f t="shared" si="98"/>
        <v>1449378336</v>
      </c>
      <c r="AM163" s="30">
        <f t="shared" si="98"/>
        <v>9174386846.5</v>
      </c>
      <c r="AN163" s="31">
        <f t="shared" si="98"/>
        <v>0</v>
      </c>
      <c r="AO163" s="30">
        <f t="shared" si="98"/>
        <v>1449378336</v>
      </c>
      <c r="AP163" s="30">
        <f t="shared" si="98"/>
        <v>9174386846.5</v>
      </c>
      <c r="AQ163" s="31">
        <f t="shared" si="98"/>
        <v>0</v>
      </c>
      <c r="AR163" s="30">
        <f t="shared" si="98"/>
        <v>1449378336</v>
      </c>
      <c r="AS163" s="30">
        <f t="shared" si="98"/>
        <v>9174386846.5</v>
      </c>
      <c r="AT163" s="30">
        <f t="shared" si="87"/>
        <v>9174386846.5</v>
      </c>
      <c r="AU163" s="18">
        <f>AJ163-AM163</f>
        <v>18825613154.07</v>
      </c>
      <c r="AV163" s="34">
        <f>AM163-AP163</f>
        <v>0</v>
      </c>
      <c r="AW163" s="34">
        <f>AP163-AT163</f>
        <v>0</v>
      </c>
      <c r="AX163" s="32">
        <f t="shared" si="92"/>
        <v>0.32765667308261559</v>
      </c>
    </row>
    <row r="164" spans="1:50" ht="18.75" customHeight="1" x14ac:dyDescent="0.2">
      <c r="A164" s="27" t="s">
        <v>37</v>
      </c>
      <c r="B164" s="27" t="s">
        <v>37</v>
      </c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8" t="s">
        <v>852</v>
      </c>
      <c r="AB164" s="29" t="s">
        <v>268</v>
      </c>
      <c r="AC164" s="30" t="s">
        <v>37</v>
      </c>
      <c r="AD164" s="30">
        <f>AD165</f>
        <v>28000000000.57</v>
      </c>
      <c r="AE164" s="31">
        <f t="shared" si="98"/>
        <v>0</v>
      </c>
      <c r="AF164" s="31">
        <f t="shared" si="98"/>
        <v>0</v>
      </c>
      <c r="AG164" s="31">
        <f t="shared" si="98"/>
        <v>0</v>
      </c>
      <c r="AH164" s="31">
        <f t="shared" si="98"/>
        <v>0</v>
      </c>
      <c r="AI164" s="31">
        <f t="shared" si="98"/>
        <v>0</v>
      </c>
      <c r="AJ164" s="30">
        <f t="shared" si="98"/>
        <v>28000000000.57</v>
      </c>
      <c r="AK164" s="31">
        <f t="shared" si="98"/>
        <v>0</v>
      </c>
      <c r="AL164" s="30">
        <f t="shared" si="98"/>
        <v>1449378336</v>
      </c>
      <c r="AM164" s="30">
        <f t="shared" si="98"/>
        <v>9174386846.5</v>
      </c>
      <c r="AN164" s="31">
        <f t="shared" si="98"/>
        <v>0</v>
      </c>
      <c r="AO164" s="30">
        <f t="shared" si="98"/>
        <v>1449378336</v>
      </c>
      <c r="AP164" s="30">
        <f t="shared" si="98"/>
        <v>9174386846.5</v>
      </c>
      <c r="AQ164" s="31">
        <f t="shared" si="98"/>
        <v>0</v>
      </c>
      <c r="AR164" s="30">
        <f t="shared" si="98"/>
        <v>1449378336</v>
      </c>
      <c r="AS164" s="30">
        <f t="shared" si="98"/>
        <v>9174386846.5</v>
      </c>
      <c r="AT164" s="30">
        <f t="shared" si="87"/>
        <v>9174386846.5</v>
      </c>
      <c r="AU164" s="18">
        <f>AJ164-AM164</f>
        <v>18825613154.07</v>
      </c>
      <c r="AV164" s="34">
        <f>AM164-AP164</f>
        <v>0</v>
      </c>
      <c r="AW164" s="34">
        <f>AP164-AT164</f>
        <v>0</v>
      </c>
      <c r="AX164" s="32">
        <f t="shared" si="92"/>
        <v>0.32765667308261559</v>
      </c>
    </row>
    <row r="165" spans="1:50" ht="18.75" customHeight="1" x14ac:dyDescent="0.2">
      <c r="A165" s="27" t="s">
        <v>37</v>
      </c>
      <c r="B165" s="27" t="s">
        <v>37</v>
      </c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8" t="s">
        <v>851</v>
      </c>
      <c r="AB165" s="29" t="s">
        <v>269</v>
      </c>
      <c r="AC165" s="30" t="s">
        <v>37</v>
      </c>
      <c r="AD165" s="30">
        <f>AD166</f>
        <v>28000000000.57</v>
      </c>
      <c r="AE165" s="31">
        <f t="shared" si="98"/>
        <v>0</v>
      </c>
      <c r="AF165" s="31">
        <f t="shared" si="98"/>
        <v>0</v>
      </c>
      <c r="AG165" s="31">
        <f t="shared" si="98"/>
        <v>0</v>
      </c>
      <c r="AH165" s="31">
        <f t="shared" si="98"/>
        <v>0</v>
      </c>
      <c r="AI165" s="31">
        <f t="shared" si="98"/>
        <v>0</v>
      </c>
      <c r="AJ165" s="30">
        <f t="shared" si="98"/>
        <v>28000000000.57</v>
      </c>
      <c r="AK165" s="31">
        <f t="shared" si="98"/>
        <v>0</v>
      </c>
      <c r="AL165" s="30">
        <f t="shared" si="98"/>
        <v>1449378336</v>
      </c>
      <c r="AM165" s="30">
        <f t="shared" si="98"/>
        <v>9174386846.5</v>
      </c>
      <c r="AN165" s="31">
        <f t="shared" si="98"/>
        <v>0</v>
      </c>
      <c r="AO165" s="30">
        <f t="shared" si="98"/>
        <v>1449378336</v>
      </c>
      <c r="AP165" s="30">
        <f t="shared" si="98"/>
        <v>9174386846.5</v>
      </c>
      <c r="AQ165" s="31">
        <f t="shared" si="98"/>
        <v>0</v>
      </c>
      <c r="AR165" s="30">
        <f t="shared" si="98"/>
        <v>1449378336</v>
      </c>
      <c r="AS165" s="30">
        <f t="shared" si="98"/>
        <v>9174386846.5</v>
      </c>
      <c r="AT165" s="30">
        <f t="shared" si="87"/>
        <v>9174386846.5</v>
      </c>
      <c r="AU165" s="18">
        <f>AJ165-AM165</f>
        <v>18825613154.07</v>
      </c>
      <c r="AV165" s="34">
        <f>AM165-AP165</f>
        <v>0</v>
      </c>
      <c r="AW165" s="34">
        <f>AP165-AT165</f>
        <v>0</v>
      </c>
      <c r="AX165" s="32">
        <f t="shared" si="92"/>
        <v>0.32765667308261559</v>
      </c>
    </row>
    <row r="166" spans="1:50" ht="18.75" customHeight="1" x14ac:dyDescent="0.2">
      <c r="A166" s="4" t="s">
        <v>55</v>
      </c>
      <c r="B166" s="4" t="s">
        <v>56</v>
      </c>
      <c r="C166" s="4"/>
      <c r="D166" s="4" t="s">
        <v>947</v>
      </c>
      <c r="E166" s="4"/>
      <c r="F166" s="4"/>
      <c r="G166" s="4" t="s">
        <v>41</v>
      </c>
      <c r="H166" s="4"/>
      <c r="I166" s="4" t="s">
        <v>936</v>
      </c>
      <c r="J166" s="4"/>
      <c r="K166" s="4" t="s">
        <v>932</v>
      </c>
      <c r="L166" s="4"/>
      <c r="M166" s="4" t="s">
        <v>933</v>
      </c>
      <c r="N166" s="4"/>
      <c r="O166" s="4" t="s">
        <v>934</v>
      </c>
      <c r="P166" s="4"/>
      <c r="Q166" s="4" t="s">
        <v>935</v>
      </c>
      <c r="R166" s="4"/>
      <c r="S166" s="4" t="s">
        <v>940</v>
      </c>
      <c r="T166" s="4">
        <v>0</v>
      </c>
      <c r="U166" s="4">
        <v>0</v>
      </c>
      <c r="V166" s="4">
        <v>0</v>
      </c>
      <c r="W166" s="4"/>
      <c r="X166" s="4" t="s">
        <v>937</v>
      </c>
      <c r="Y166" s="4"/>
      <c r="Z166" s="4"/>
      <c r="AA166" s="41" t="s">
        <v>850</v>
      </c>
      <c r="AB166" s="42" t="s">
        <v>269</v>
      </c>
      <c r="AC166" s="43" t="s">
        <v>58</v>
      </c>
      <c r="AD166" s="43">
        <v>28000000000.57</v>
      </c>
      <c r="AE166" s="44">
        <v>0</v>
      </c>
      <c r="AF166" s="44">
        <v>0</v>
      </c>
      <c r="AG166" s="44">
        <v>0</v>
      </c>
      <c r="AH166" s="44">
        <v>0</v>
      </c>
      <c r="AI166" s="44">
        <v>0</v>
      </c>
      <c r="AJ166" s="43">
        <v>28000000000.57</v>
      </c>
      <c r="AK166" s="44">
        <v>0</v>
      </c>
      <c r="AL166" s="43">
        <v>1449378336</v>
      </c>
      <c r="AM166" s="43">
        <v>9174386846.5</v>
      </c>
      <c r="AN166" s="44">
        <v>0</v>
      </c>
      <c r="AO166" s="43">
        <v>1449378336</v>
      </c>
      <c r="AP166" s="43">
        <v>9174386846.5</v>
      </c>
      <c r="AQ166" s="44">
        <v>0</v>
      </c>
      <c r="AR166" s="43">
        <v>1449378336</v>
      </c>
      <c r="AS166" s="43">
        <v>9174386846.5</v>
      </c>
      <c r="AT166" s="39">
        <f t="shared" si="87"/>
        <v>9174386846.5</v>
      </c>
      <c r="AU166" s="18">
        <f>AJ166-AM166</f>
        <v>18825613154.07</v>
      </c>
      <c r="AV166" s="34">
        <f>AM166-AP166</f>
        <v>0</v>
      </c>
      <c r="AW166" s="34">
        <f>AP166-AT166</f>
        <v>0</v>
      </c>
      <c r="AX166" s="32">
        <f t="shared" si="92"/>
        <v>0.32765667308261559</v>
      </c>
    </row>
    <row r="167" spans="1:50" s="25" customFormat="1" ht="18.75" customHeight="1" x14ac:dyDescent="0.2">
      <c r="A167" s="19" t="s">
        <v>37</v>
      </c>
      <c r="B167" s="19" t="s">
        <v>37</v>
      </c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26" t="s">
        <v>270</v>
      </c>
      <c r="AB167" s="21" t="s">
        <v>271</v>
      </c>
      <c r="AC167" s="22" t="s">
        <v>37</v>
      </c>
      <c r="AD167" s="22">
        <f>AD168</f>
        <v>21500000000</v>
      </c>
      <c r="AE167" s="23">
        <f t="shared" ref="AE167:AW170" si="99">AE168</f>
        <v>0</v>
      </c>
      <c r="AF167" s="23">
        <f t="shared" si="99"/>
        <v>0</v>
      </c>
      <c r="AG167" s="23">
        <f t="shared" si="99"/>
        <v>0</v>
      </c>
      <c r="AH167" s="23">
        <f t="shared" si="99"/>
        <v>0</v>
      </c>
      <c r="AI167" s="23">
        <f t="shared" si="99"/>
        <v>0</v>
      </c>
      <c r="AJ167" s="22">
        <f t="shared" si="99"/>
        <v>21500000000</v>
      </c>
      <c r="AK167" s="23">
        <f t="shared" si="99"/>
        <v>0</v>
      </c>
      <c r="AL167" s="22">
        <f t="shared" si="99"/>
        <v>369284255.56</v>
      </c>
      <c r="AM167" s="22">
        <f t="shared" si="99"/>
        <v>4105309711.6599998</v>
      </c>
      <c r="AN167" s="23">
        <f t="shared" si="99"/>
        <v>0</v>
      </c>
      <c r="AO167" s="22">
        <f t="shared" si="99"/>
        <v>369284255.56</v>
      </c>
      <c r="AP167" s="22">
        <f t="shared" si="99"/>
        <v>4105309711.6599998</v>
      </c>
      <c r="AQ167" s="23">
        <f t="shared" si="99"/>
        <v>0</v>
      </c>
      <c r="AR167" s="22">
        <f t="shared" si="99"/>
        <v>369284255.56</v>
      </c>
      <c r="AS167" s="22">
        <f t="shared" si="99"/>
        <v>4105309711.6599998</v>
      </c>
      <c r="AT167" s="22">
        <f t="shared" si="99"/>
        <v>4105309711.6599998</v>
      </c>
      <c r="AU167" s="22">
        <f t="shared" si="99"/>
        <v>17394690288.34</v>
      </c>
      <c r="AV167" s="23">
        <f t="shared" si="99"/>
        <v>0</v>
      </c>
      <c r="AW167" s="23">
        <f t="shared" si="99"/>
        <v>0</v>
      </c>
      <c r="AX167" s="24">
        <f t="shared" si="92"/>
        <v>0.1909446377516279</v>
      </c>
    </row>
    <row r="168" spans="1:50" ht="18.75" customHeight="1" x14ac:dyDescent="0.2">
      <c r="A168" s="27" t="s">
        <v>37</v>
      </c>
      <c r="B168" s="27" t="s">
        <v>37</v>
      </c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8" t="s">
        <v>849</v>
      </c>
      <c r="AB168" s="29" t="s">
        <v>272</v>
      </c>
      <c r="AC168" s="30" t="s">
        <v>56</v>
      </c>
      <c r="AD168" s="30">
        <f>AD169</f>
        <v>21500000000</v>
      </c>
      <c r="AE168" s="31">
        <f t="shared" si="99"/>
        <v>0</v>
      </c>
      <c r="AF168" s="31">
        <f t="shared" si="99"/>
        <v>0</v>
      </c>
      <c r="AG168" s="31">
        <f t="shared" si="99"/>
        <v>0</v>
      </c>
      <c r="AH168" s="31">
        <f t="shared" si="99"/>
        <v>0</v>
      </c>
      <c r="AI168" s="31">
        <f t="shared" si="99"/>
        <v>0</v>
      </c>
      <c r="AJ168" s="30">
        <f t="shared" si="99"/>
        <v>21500000000</v>
      </c>
      <c r="AK168" s="31">
        <f t="shared" si="99"/>
        <v>0</v>
      </c>
      <c r="AL168" s="30">
        <f t="shared" si="99"/>
        <v>369284255.56</v>
      </c>
      <c r="AM168" s="30">
        <f t="shared" si="99"/>
        <v>4105309711.6599998</v>
      </c>
      <c r="AN168" s="31">
        <f t="shared" si="99"/>
        <v>0</v>
      </c>
      <c r="AO168" s="30">
        <f t="shared" si="99"/>
        <v>369284255.56</v>
      </c>
      <c r="AP168" s="30">
        <f t="shared" si="99"/>
        <v>4105309711.6599998</v>
      </c>
      <c r="AQ168" s="31">
        <f t="shared" si="99"/>
        <v>0</v>
      </c>
      <c r="AR168" s="30">
        <f t="shared" si="99"/>
        <v>369284255.56</v>
      </c>
      <c r="AS168" s="30">
        <f t="shared" si="99"/>
        <v>4105309711.6599998</v>
      </c>
      <c r="AT168" s="30">
        <f t="shared" ref="AT168:AT171" si="100">AQ168+AS168</f>
        <v>4105309711.6599998</v>
      </c>
      <c r="AU168" s="18">
        <f>AJ168-AM168</f>
        <v>17394690288.34</v>
      </c>
      <c r="AV168" s="34">
        <f>AM168-AP168</f>
        <v>0</v>
      </c>
      <c r="AW168" s="34">
        <f>AP168-AT168</f>
        <v>0</v>
      </c>
      <c r="AX168" s="32">
        <f t="shared" si="92"/>
        <v>0.1909446377516279</v>
      </c>
    </row>
    <row r="169" spans="1:50" ht="18.75" customHeight="1" x14ac:dyDescent="0.2">
      <c r="A169" s="27" t="s">
        <v>37</v>
      </c>
      <c r="B169" s="27" t="s">
        <v>37</v>
      </c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8" t="s">
        <v>848</v>
      </c>
      <c r="AB169" s="29" t="s">
        <v>268</v>
      </c>
      <c r="AC169" s="30" t="s">
        <v>37</v>
      </c>
      <c r="AD169" s="30">
        <f>AD170</f>
        <v>21500000000</v>
      </c>
      <c r="AE169" s="31">
        <f t="shared" si="99"/>
        <v>0</v>
      </c>
      <c r="AF169" s="31">
        <f t="shared" si="99"/>
        <v>0</v>
      </c>
      <c r="AG169" s="31">
        <f t="shared" si="99"/>
        <v>0</v>
      </c>
      <c r="AH169" s="31">
        <f t="shared" si="99"/>
        <v>0</v>
      </c>
      <c r="AI169" s="31">
        <f t="shared" si="99"/>
        <v>0</v>
      </c>
      <c r="AJ169" s="30">
        <f t="shared" si="99"/>
        <v>21500000000</v>
      </c>
      <c r="AK169" s="31">
        <f t="shared" si="99"/>
        <v>0</v>
      </c>
      <c r="AL169" s="30">
        <f t="shared" si="99"/>
        <v>369284255.56</v>
      </c>
      <c r="AM169" s="30">
        <f t="shared" si="99"/>
        <v>4105309711.6599998</v>
      </c>
      <c r="AN169" s="31">
        <f t="shared" si="99"/>
        <v>0</v>
      </c>
      <c r="AO169" s="30">
        <f t="shared" si="99"/>
        <v>369284255.56</v>
      </c>
      <c r="AP169" s="30">
        <f t="shared" si="99"/>
        <v>4105309711.6599998</v>
      </c>
      <c r="AQ169" s="31">
        <f t="shared" si="99"/>
        <v>0</v>
      </c>
      <c r="AR169" s="30">
        <f t="shared" si="99"/>
        <v>369284255.56</v>
      </c>
      <c r="AS169" s="30">
        <f t="shared" si="99"/>
        <v>4105309711.6599998</v>
      </c>
      <c r="AT169" s="30">
        <f t="shared" si="100"/>
        <v>4105309711.6599998</v>
      </c>
      <c r="AU169" s="18">
        <f>AJ169-AM169</f>
        <v>17394690288.34</v>
      </c>
      <c r="AV169" s="34">
        <f>AM169-AP169</f>
        <v>0</v>
      </c>
      <c r="AW169" s="34">
        <f>AP169-AT169</f>
        <v>0</v>
      </c>
      <c r="AX169" s="32">
        <f t="shared" si="92"/>
        <v>0.1909446377516279</v>
      </c>
    </row>
    <row r="170" spans="1:50" ht="18.75" customHeight="1" x14ac:dyDescent="0.2">
      <c r="A170" s="27" t="s">
        <v>37</v>
      </c>
      <c r="B170" s="27" t="s">
        <v>37</v>
      </c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8" t="s">
        <v>847</v>
      </c>
      <c r="AB170" s="29" t="s">
        <v>269</v>
      </c>
      <c r="AC170" s="30" t="s">
        <v>37</v>
      </c>
      <c r="AD170" s="30">
        <f>AD171</f>
        <v>21500000000</v>
      </c>
      <c r="AE170" s="31">
        <f t="shared" si="99"/>
        <v>0</v>
      </c>
      <c r="AF170" s="31">
        <f t="shared" si="99"/>
        <v>0</v>
      </c>
      <c r="AG170" s="31">
        <f t="shared" si="99"/>
        <v>0</v>
      </c>
      <c r="AH170" s="31">
        <f t="shared" si="99"/>
        <v>0</v>
      </c>
      <c r="AI170" s="31">
        <f t="shared" si="99"/>
        <v>0</v>
      </c>
      <c r="AJ170" s="30">
        <f t="shared" si="99"/>
        <v>21500000000</v>
      </c>
      <c r="AK170" s="31">
        <f t="shared" si="99"/>
        <v>0</v>
      </c>
      <c r="AL170" s="30">
        <f t="shared" si="99"/>
        <v>369284255.56</v>
      </c>
      <c r="AM170" s="30">
        <f t="shared" si="99"/>
        <v>4105309711.6599998</v>
      </c>
      <c r="AN170" s="31">
        <f t="shared" si="99"/>
        <v>0</v>
      </c>
      <c r="AO170" s="30">
        <f t="shared" si="99"/>
        <v>369284255.56</v>
      </c>
      <c r="AP170" s="30">
        <f t="shared" si="99"/>
        <v>4105309711.6599998</v>
      </c>
      <c r="AQ170" s="31">
        <f t="shared" si="99"/>
        <v>0</v>
      </c>
      <c r="AR170" s="30">
        <f t="shared" si="99"/>
        <v>369284255.56</v>
      </c>
      <c r="AS170" s="30">
        <f t="shared" si="99"/>
        <v>4105309711.6599998</v>
      </c>
      <c r="AT170" s="30">
        <f t="shared" si="100"/>
        <v>4105309711.6599998</v>
      </c>
      <c r="AU170" s="18">
        <f>AJ170-AM170</f>
        <v>17394690288.34</v>
      </c>
      <c r="AV170" s="34">
        <f>AM170-AP170</f>
        <v>0</v>
      </c>
      <c r="AW170" s="34">
        <f>AP170-AT170</f>
        <v>0</v>
      </c>
      <c r="AX170" s="32">
        <f t="shared" si="92"/>
        <v>0.1909446377516279</v>
      </c>
    </row>
    <row r="171" spans="1:50" ht="18.75" customHeight="1" x14ac:dyDescent="0.2">
      <c r="A171" s="4" t="s">
        <v>55</v>
      </c>
      <c r="B171" s="4" t="s">
        <v>56</v>
      </c>
      <c r="C171" s="4"/>
      <c r="D171" s="4" t="s">
        <v>947</v>
      </c>
      <c r="E171" s="4"/>
      <c r="F171" s="4"/>
      <c r="G171" s="4" t="s">
        <v>41</v>
      </c>
      <c r="H171" s="4"/>
      <c r="I171" s="4" t="s">
        <v>936</v>
      </c>
      <c r="J171" s="4"/>
      <c r="K171" s="4" t="s">
        <v>932</v>
      </c>
      <c r="L171" s="4"/>
      <c r="M171" s="4" t="s">
        <v>933</v>
      </c>
      <c r="N171" s="4"/>
      <c r="O171" s="4" t="s">
        <v>934</v>
      </c>
      <c r="P171" s="4"/>
      <c r="Q171" s="4" t="s">
        <v>935</v>
      </c>
      <c r="R171" s="4"/>
      <c r="S171" s="4" t="s">
        <v>940</v>
      </c>
      <c r="T171" s="4">
        <v>0</v>
      </c>
      <c r="U171" s="4">
        <v>0</v>
      </c>
      <c r="V171" s="4">
        <v>0</v>
      </c>
      <c r="W171" s="4"/>
      <c r="X171" s="4" t="s">
        <v>937</v>
      </c>
      <c r="Y171" s="4"/>
      <c r="Z171" s="4"/>
      <c r="AA171" s="41" t="s">
        <v>846</v>
      </c>
      <c r="AB171" s="42" t="s">
        <v>269</v>
      </c>
      <c r="AC171" s="43" t="s">
        <v>58</v>
      </c>
      <c r="AD171" s="43">
        <v>21500000000</v>
      </c>
      <c r="AE171" s="44">
        <v>0</v>
      </c>
      <c r="AF171" s="44">
        <v>0</v>
      </c>
      <c r="AG171" s="44">
        <v>0</v>
      </c>
      <c r="AH171" s="44">
        <v>0</v>
      </c>
      <c r="AI171" s="44">
        <v>0</v>
      </c>
      <c r="AJ171" s="43">
        <v>21500000000</v>
      </c>
      <c r="AK171" s="44">
        <v>0</v>
      </c>
      <c r="AL171" s="43">
        <v>369284255.56</v>
      </c>
      <c r="AM171" s="43">
        <v>4105309711.6599998</v>
      </c>
      <c r="AN171" s="44">
        <v>0</v>
      </c>
      <c r="AO171" s="43">
        <v>369284255.56</v>
      </c>
      <c r="AP171" s="43">
        <v>4105309711.6599998</v>
      </c>
      <c r="AQ171" s="44">
        <v>0</v>
      </c>
      <c r="AR171" s="43">
        <v>369284255.56</v>
      </c>
      <c r="AS171" s="43">
        <v>4105309711.6599998</v>
      </c>
      <c r="AT171" s="39">
        <f t="shared" si="100"/>
        <v>4105309711.6599998</v>
      </c>
      <c r="AU171" s="18">
        <f>AJ171-AM171</f>
        <v>17394690288.34</v>
      </c>
      <c r="AV171" s="34">
        <f>AM171-AP171</f>
        <v>0</v>
      </c>
      <c r="AW171" s="34">
        <f>AP171-AT171</f>
        <v>0</v>
      </c>
      <c r="AX171" s="32">
        <f t="shared" si="92"/>
        <v>0.1909446377516279</v>
      </c>
    </row>
    <row r="172" spans="1:50" s="25" customFormat="1" ht="18.75" customHeight="1" x14ac:dyDescent="0.2">
      <c r="A172" s="19" t="s">
        <v>37</v>
      </c>
      <c r="B172" s="19" t="s">
        <v>37</v>
      </c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26" t="s">
        <v>273</v>
      </c>
      <c r="AB172" s="21" t="s">
        <v>274</v>
      </c>
      <c r="AC172" s="22" t="s">
        <v>37</v>
      </c>
      <c r="AD172" s="22">
        <f>AD173</f>
        <v>200000000</v>
      </c>
      <c r="AE172" s="23">
        <v>0</v>
      </c>
      <c r="AF172" s="23">
        <v>0</v>
      </c>
      <c r="AG172" s="23">
        <v>0</v>
      </c>
      <c r="AH172" s="23">
        <v>0</v>
      </c>
      <c r="AI172" s="23">
        <v>0</v>
      </c>
      <c r="AJ172" s="22">
        <f>AJ173</f>
        <v>200000000</v>
      </c>
      <c r="AK172" s="23">
        <f t="shared" ref="AK172:AW174" si="101">AK173</f>
        <v>0</v>
      </c>
      <c r="AL172" s="23">
        <f t="shared" si="101"/>
        <v>0</v>
      </c>
      <c r="AM172" s="23">
        <f t="shared" si="101"/>
        <v>0</v>
      </c>
      <c r="AN172" s="23">
        <f t="shared" si="101"/>
        <v>0</v>
      </c>
      <c r="AO172" s="23">
        <f t="shared" si="101"/>
        <v>0</v>
      </c>
      <c r="AP172" s="23">
        <f t="shared" si="101"/>
        <v>0</v>
      </c>
      <c r="AQ172" s="23">
        <f t="shared" si="101"/>
        <v>0</v>
      </c>
      <c r="AR172" s="23">
        <f t="shared" si="101"/>
        <v>0</v>
      </c>
      <c r="AS172" s="23">
        <f t="shared" si="101"/>
        <v>0</v>
      </c>
      <c r="AT172" s="23">
        <f t="shared" si="101"/>
        <v>0</v>
      </c>
      <c r="AU172" s="22">
        <f t="shared" si="101"/>
        <v>200000000</v>
      </c>
      <c r="AV172" s="23">
        <f t="shared" si="101"/>
        <v>0</v>
      </c>
      <c r="AW172" s="23">
        <f t="shared" si="101"/>
        <v>0</v>
      </c>
      <c r="AX172" s="24">
        <f t="shared" si="92"/>
        <v>0</v>
      </c>
    </row>
    <row r="173" spans="1:50" ht="18.75" customHeight="1" x14ac:dyDescent="0.2">
      <c r="A173" s="27" t="s">
        <v>37</v>
      </c>
      <c r="B173" s="27" t="s">
        <v>37</v>
      </c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8" t="s">
        <v>843</v>
      </c>
      <c r="AB173" s="29" t="s">
        <v>267</v>
      </c>
      <c r="AC173" s="30" t="s">
        <v>37</v>
      </c>
      <c r="AD173" s="30">
        <f>AD174</f>
        <v>200000000</v>
      </c>
      <c r="AE173" s="31">
        <v>0</v>
      </c>
      <c r="AF173" s="31">
        <v>0</v>
      </c>
      <c r="AG173" s="31">
        <v>0</v>
      </c>
      <c r="AH173" s="31">
        <v>0</v>
      </c>
      <c r="AI173" s="31">
        <v>0</v>
      </c>
      <c r="AJ173" s="30">
        <f t="shared" ref="AJ173:AJ174" si="102">AJ174</f>
        <v>200000000</v>
      </c>
      <c r="AK173" s="31">
        <f t="shared" si="101"/>
        <v>0</v>
      </c>
      <c r="AL173" s="31">
        <f t="shared" si="101"/>
        <v>0</v>
      </c>
      <c r="AM173" s="31">
        <f t="shared" si="101"/>
        <v>0</v>
      </c>
      <c r="AN173" s="31">
        <f t="shared" si="101"/>
        <v>0</v>
      </c>
      <c r="AO173" s="31">
        <f t="shared" si="101"/>
        <v>0</v>
      </c>
      <c r="AP173" s="31">
        <f t="shared" si="101"/>
        <v>0</v>
      </c>
      <c r="AQ173" s="31">
        <f t="shared" si="101"/>
        <v>0</v>
      </c>
      <c r="AR173" s="31">
        <f t="shared" si="101"/>
        <v>0</v>
      </c>
      <c r="AS173" s="31">
        <f t="shared" si="101"/>
        <v>0</v>
      </c>
      <c r="AT173" s="40">
        <f t="shared" si="101"/>
        <v>0</v>
      </c>
      <c r="AU173" s="30">
        <f t="shared" si="101"/>
        <v>200000000</v>
      </c>
      <c r="AV173" s="31">
        <f t="shared" si="101"/>
        <v>0</v>
      </c>
      <c r="AW173" s="31">
        <f t="shared" si="101"/>
        <v>0</v>
      </c>
      <c r="AX173" s="32">
        <f t="shared" si="92"/>
        <v>0</v>
      </c>
    </row>
    <row r="174" spans="1:50" ht="18.75" customHeight="1" x14ac:dyDescent="0.2">
      <c r="A174" s="27" t="s">
        <v>37</v>
      </c>
      <c r="B174" s="27" t="s">
        <v>37</v>
      </c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8" t="s">
        <v>845</v>
      </c>
      <c r="AB174" s="29" t="s">
        <v>268</v>
      </c>
      <c r="AC174" s="30" t="s">
        <v>37</v>
      </c>
      <c r="AD174" s="30">
        <f>AD175</f>
        <v>200000000</v>
      </c>
      <c r="AE174" s="31">
        <v>0</v>
      </c>
      <c r="AF174" s="31">
        <v>0</v>
      </c>
      <c r="AG174" s="31">
        <v>0</v>
      </c>
      <c r="AH174" s="31">
        <v>0</v>
      </c>
      <c r="AI174" s="31">
        <v>0</v>
      </c>
      <c r="AJ174" s="30">
        <f t="shared" si="102"/>
        <v>200000000</v>
      </c>
      <c r="AK174" s="31">
        <f t="shared" si="101"/>
        <v>0</v>
      </c>
      <c r="AL174" s="31">
        <f t="shared" si="101"/>
        <v>0</v>
      </c>
      <c r="AM174" s="31">
        <f t="shared" si="101"/>
        <v>0</v>
      </c>
      <c r="AN174" s="31">
        <f t="shared" si="101"/>
        <v>0</v>
      </c>
      <c r="AO174" s="31">
        <f t="shared" si="101"/>
        <v>0</v>
      </c>
      <c r="AP174" s="31">
        <f t="shared" si="101"/>
        <v>0</v>
      </c>
      <c r="AQ174" s="31">
        <f t="shared" si="101"/>
        <v>0</v>
      </c>
      <c r="AR174" s="31">
        <f t="shared" si="101"/>
        <v>0</v>
      </c>
      <c r="AS174" s="31">
        <f t="shared" si="101"/>
        <v>0</v>
      </c>
      <c r="AT174" s="40">
        <f t="shared" si="101"/>
        <v>0</v>
      </c>
      <c r="AU174" s="30">
        <f t="shared" si="101"/>
        <v>200000000</v>
      </c>
      <c r="AV174" s="31">
        <f t="shared" si="101"/>
        <v>0</v>
      </c>
      <c r="AW174" s="31">
        <f t="shared" si="101"/>
        <v>0</v>
      </c>
      <c r="AX174" s="32">
        <f t="shared" si="92"/>
        <v>0</v>
      </c>
    </row>
    <row r="175" spans="1:50" ht="18.75" customHeight="1" x14ac:dyDescent="0.2">
      <c r="A175" s="4" t="s">
        <v>55</v>
      </c>
      <c r="B175" s="4" t="s">
        <v>56</v>
      </c>
      <c r="C175" s="4"/>
      <c r="D175" s="4" t="s">
        <v>947</v>
      </c>
      <c r="E175" s="4"/>
      <c r="F175" s="4"/>
      <c r="G175" s="4" t="s">
        <v>41</v>
      </c>
      <c r="H175" s="4"/>
      <c r="I175" s="4" t="s">
        <v>936</v>
      </c>
      <c r="J175" s="4"/>
      <c r="K175" s="4" t="s">
        <v>932</v>
      </c>
      <c r="L175" s="4"/>
      <c r="M175" s="4" t="s">
        <v>933</v>
      </c>
      <c r="N175" s="4"/>
      <c r="O175" s="4" t="s">
        <v>934</v>
      </c>
      <c r="P175" s="4"/>
      <c r="Q175" s="4" t="s">
        <v>935</v>
      </c>
      <c r="R175" s="4"/>
      <c r="S175" s="4" t="s">
        <v>940</v>
      </c>
      <c r="T175" s="4">
        <v>0</v>
      </c>
      <c r="U175" s="4">
        <v>0</v>
      </c>
      <c r="V175" s="4">
        <v>0</v>
      </c>
      <c r="W175" s="4"/>
      <c r="X175" s="4" t="s">
        <v>937</v>
      </c>
      <c r="Y175" s="4"/>
      <c r="Z175" s="4"/>
      <c r="AA175" s="41" t="s">
        <v>844</v>
      </c>
      <c r="AB175" s="42" t="s">
        <v>269</v>
      </c>
      <c r="AC175" s="43" t="s">
        <v>58</v>
      </c>
      <c r="AD175" s="43">
        <v>200000000</v>
      </c>
      <c r="AE175" s="44">
        <v>0</v>
      </c>
      <c r="AF175" s="44">
        <v>0</v>
      </c>
      <c r="AG175" s="44">
        <v>0</v>
      </c>
      <c r="AH175" s="44">
        <v>0</v>
      </c>
      <c r="AI175" s="44">
        <v>0</v>
      </c>
      <c r="AJ175" s="43">
        <v>200000000</v>
      </c>
      <c r="AK175" s="44">
        <v>0</v>
      </c>
      <c r="AL175" s="44">
        <v>0</v>
      </c>
      <c r="AM175" s="44">
        <v>0</v>
      </c>
      <c r="AN175" s="44">
        <v>0</v>
      </c>
      <c r="AO175" s="44">
        <v>0</v>
      </c>
      <c r="AP175" s="44">
        <v>0</v>
      </c>
      <c r="AQ175" s="44">
        <v>0</v>
      </c>
      <c r="AR175" s="44">
        <v>0</v>
      </c>
      <c r="AS175" s="44">
        <v>0</v>
      </c>
      <c r="AT175" s="40">
        <f t="shared" ref="AT175:AT188" si="103">AQ175+AS175</f>
        <v>0</v>
      </c>
      <c r="AU175" s="18">
        <f>AJ175-AM175</f>
        <v>200000000</v>
      </c>
      <c r="AV175" s="34">
        <f>AM175-AP175</f>
        <v>0</v>
      </c>
      <c r="AW175" s="34">
        <f>AP175-AT175</f>
        <v>0</v>
      </c>
      <c r="AX175" s="32">
        <f t="shared" si="92"/>
        <v>0</v>
      </c>
    </row>
    <row r="176" spans="1:50" s="79" customFormat="1" ht="18.75" customHeight="1" x14ac:dyDescent="0.2">
      <c r="A176" s="117" t="s">
        <v>55</v>
      </c>
      <c r="B176" s="117" t="s">
        <v>56</v>
      </c>
      <c r="C176" s="117"/>
      <c r="D176" s="117" t="s">
        <v>947</v>
      </c>
      <c r="E176" s="117"/>
      <c r="F176" s="117"/>
      <c r="G176" s="117" t="s">
        <v>41</v>
      </c>
      <c r="H176" s="117"/>
      <c r="I176" s="117" t="s">
        <v>936</v>
      </c>
      <c r="J176" s="117"/>
      <c r="K176" s="117" t="s">
        <v>932</v>
      </c>
      <c r="L176" s="117"/>
      <c r="M176" s="117" t="s">
        <v>933</v>
      </c>
      <c r="N176" s="117"/>
      <c r="O176" s="117" t="s">
        <v>934</v>
      </c>
      <c r="P176" s="117"/>
      <c r="Q176" s="117" t="s">
        <v>935</v>
      </c>
      <c r="R176" s="117"/>
      <c r="S176" s="117" t="s">
        <v>940</v>
      </c>
      <c r="T176" s="117">
        <v>0</v>
      </c>
      <c r="U176" s="117">
        <v>0</v>
      </c>
      <c r="V176" s="117">
        <v>0</v>
      </c>
      <c r="W176" s="117"/>
      <c r="X176" s="117" t="s">
        <v>937</v>
      </c>
      <c r="Y176" s="117"/>
      <c r="Z176" s="117"/>
      <c r="AA176" s="81" t="s">
        <v>842</v>
      </c>
      <c r="AB176" s="82" t="s">
        <v>275</v>
      </c>
      <c r="AC176" s="83" t="s">
        <v>58</v>
      </c>
      <c r="AD176" s="83">
        <v>5000000000</v>
      </c>
      <c r="AE176" s="79">
        <f>5188937855.29+310221537.39</f>
        <v>5499159392.6800003</v>
      </c>
      <c r="AF176" s="118">
        <v>0</v>
      </c>
      <c r="AG176" s="118">
        <v>0</v>
      </c>
      <c r="AH176" s="118">
        <v>0</v>
      </c>
      <c r="AI176" s="18">
        <f t="shared" ref="AI176" si="104">AE176-AF176+AG176-AH176</f>
        <v>5499159392.6800003</v>
      </c>
      <c r="AJ176" s="176">
        <f>AD176+AI176</f>
        <v>10499159392.68</v>
      </c>
      <c r="AK176" s="118">
        <v>0</v>
      </c>
      <c r="AL176" s="119">
        <v>310221537.38999999</v>
      </c>
      <c r="AM176" s="119">
        <v>962292271.63999999</v>
      </c>
      <c r="AN176" s="118">
        <v>0</v>
      </c>
      <c r="AO176" s="83">
        <v>310221537.38999999</v>
      </c>
      <c r="AP176" s="83">
        <v>527938778.38999999</v>
      </c>
      <c r="AQ176" s="118">
        <v>0</v>
      </c>
      <c r="AR176" s="83">
        <v>129696736</v>
      </c>
      <c r="AS176" s="83">
        <v>168945925</v>
      </c>
      <c r="AT176" s="147">
        <f t="shared" si="103"/>
        <v>168945925</v>
      </c>
      <c r="AU176" s="119">
        <f>AJ176-AM176</f>
        <v>9536867121.0400009</v>
      </c>
      <c r="AV176" s="119">
        <f>AM176-AP176</f>
        <v>434353493.25</v>
      </c>
      <c r="AW176" s="83">
        <f>AP176-AT176</f>
        <v>358992853.38999999</v>
      </c>
      <c r="AX176" s="118">
        <f t="shared" si="92"/>
        <v>5.0283909277353975E-2</v>
      </c>
    </row>
    <row r="177" spans="1:50" s="79" customFormat="1" ht="18.75" customHeight="1" x14ac:dyDescent="0.2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66" t="s">
        <v>1006</v>
      </c>
      <c r="AB177" s="167" t="s">
        <v>1007</v>
      </c>
      <c r="AC177" s="202"/>
      <c r="AD177" s="118">
        <v>0</v>
      </c>
      <c r="AE177" s="147">
        <v>5188937855.29</v>
      </c>
      <c r="AF177" s="118">
        <v>0</v>
      </c>
      <c r="AG177" s="118">
        <v>0</v>
      </c>
      <c r="AH177" s="118">
        <v>0</v>
      </c>
      <c r="AI177" s="18">
        <f t="shared" ref="AI177:AI178" si="105">AE177-AF177+AG177-AH177</f>
        <v>5188937855.29</v>
      </c>
      <c r="AJ177" s="18">
        <f t="shared" ref="AJ177:AJ178" si="106">AD177+AI177</f>
        <v>5188937855.29</v>
      </c>
      <c r="AK177" s="118">
        <v>0</v>
      </c>
      <c r="AL177" s="120">
        <v>0</v>
      </c>
      <c r="AM177" s="120">
        <v>0</v>
      </c>
      <c r="AN177" s="118">
        <v>0</v>
      </c>
      <c r="AO177" s="118">
        <v>0</v>
      </c>
      <c r="AP177" s="118">
        <v>0</v>
      </c>
      <c r="AQ177" s="118">
        <v>0</v>
      </c>
      <c r="AR177" s="118">
        <v>0</v>
      </c>
      <c r="AS177" s="118">
        <v>0</v>
      </c>
      <c r="AT177" s="145">
        <f t="shared" ref="AT177:AT178" si="107">AQ177+AS177</f>
        <v>0</v>
      </c>
      <c r="AU177" s="119">
        <f>AJ177-AM177</f>
        <v>5188937855.29</v>
      </c>
      <c r="AV177" s="118">
        <f>AM177-AP177</f>
        <v>0</v>
      </c>
      <c r="AW177" s="118">
        <f>AP177-AT177</f>
        <v>0</v>
      </c>
      <c r="AX177" s="118">
        <f t="shared" si="92"/>
        <v>0</v>
      </c>
    </row>
    <row r="178" spans="1:50" s="79" customFormat="1" ht="18.75" customHeight="1" x14ac:dyDescent="0.2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66" t="s">
        <v>1008</v>
      </c>
      <c r="AB178" s="167" t="s">
        <v>1009</v>
      </c>
      <c r="AC178" s="202"/>
      <c r="AD178" s="118">
        <v>0</v>
      </c>
      <c r="AE178" s="147">
        <v>310221537.38999999</v>
      </c>
      <c r="AF178" s="118">
        <v>0</v>
      </c>
      <c r="AG178" s="118">
        <v>0</v>
      </c>
      <c r="AH178" s="118">
        <v>0</v>
      </c>
      <c r="AI178" s="18">
        <f t="shared" si="105"/>
        <v>310221537.38999999</v>
      </c>
      <c r="AJ178" s="18">
        <f t="shared" si="106"/>
        <v>310221537.38999999</v>
      </c>
      <c r="AK178" s="118">
        <v>0</v>
      </c>
      <c r="AL178" s="120">
        <v>0</v>
      </c>
      <c r="AM178" s="120">
        <v>0</v>
      </c>
      <c r="AN178" s="118">
        <v>0</v>
      </c>
      <c r="AO178" s="118">
        <v>0</v>
      </c>
      <c r="AP178" s="118">
        <v>0</v>
      </c>
      <c r="AQ178" s="118">
        <v>0</v>
      </c>
      <c r="AR178" s="118">
        <v>0</v>
      </c>
      <c r="AS178" s="118">
        <v>0</v>
      </c>
      <c r="AT178" s="145">
        <f t="shared" si="107"/>
        <v>0</v>
      </c>
      <c r="AU178" s="119">
        <f>AJ178-AM178</f>
        <v>310221537.38999999</v>
      </c>
      <c r="AV178" s="118">
        <f>AM178-AP178</f>
        <v>0</v>
      </c>
      <c r="AW178" s="118">
        <f>AP178-AT178</f>
        <v>0</v>
      </c>
      <c r="AX178" s="118">
        <f t="shared" si="92"/>
        <v>0</v>
      </c>
    </row>
    <row r="179" spans="1:50" s="25" customFormat="1" ht="18.75" customHeight="1" x14ac:dyDescent="0.2">
      <c r="A179" s="19" t="s">
        <v>37</v>
      </c>
      <c r="B179" s="19" t="s">
        <v>37</v>
      </c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7" t="s">
        <v>841</v>
      </c>
      <c r="AB179" s="198" t="s">
        <v>276</v>
      </c>
      <c r="AC179" s="22" t="s">
        <v>37</v>
      </c>
      <c r="AD179" s="22">
        <f t="shared" ref="AD179:AS179" si="108">AD180+AD187</f>
        <v>3752467164.4300003</v>
      </c>
      <c r="AE179" s="22">
        <f t="shared" si="108"/>
        <v>488313290.56999999</v>
      </c>
      <c r="AF179" s="23">
        <f t="shared" si="108"/>
        <v>0</v>
      </c>
      <c r="AG179" s="23">
        <f t="shared" si="108"/>
        <v>0</v>
      </c>
      <c r="AH179" s="23">
        <f t="shared" si="108"/>
        <v>0</v>
      </c>
      <c r="AI179" s="22">
        <f t="shared" si="108"/>
        <v>488313290.56999999</v>
      </c>
      <c r="AJ179" s="22">
        <f t="shared" si="108"/>
        <v>4240780455.0000005</v>
      </c>
      <c r="AK179" s="23">
        <f t="shared" si="108"/>
        <v>0</v>
      </c>
      <c r="AL179" s="22">
        <f t="shared" si="108"/>
        <v>165974530.15000001</v>
      </c>
      <c r="AM179" s="22">
        <f t="shared" si="108"/>
        <v>977975286.39999998</v>
      </c>
      <c r="AN179" s="23">
        <f t="shared" si="108"/>
        <v>0</v>
      </c>
      <c r="AO179" s="22">
        <f t="shared" si="108"/>
        <v>165974530.15000001</v>
      </c>
      <c r="AP179" s="22">
        <f t="shared" si="108"/>
        <v>977975286.39999998</v>
      </c>
      <c r="AQ179" s="23">
        <f t="shared" si="108"/>
        <v>109482604.91</v>
      </c>
      <c r="AR179" s="22">
        <f t="shared" si="108"/>
        <v>167309233.23000002</v>
      </c>
      <c r="AS179" s="22">
        <f t="shared" si="108"/>
        <v>832155409.49000001</v>
      </c>
      <c r="AT179" s="121">
        <f t="shared" si="103"/>
        <v>941638014.39999998</v>
      </c>
      <c r="AU179" s="121">
        <f>AJ179-AM179</f>
        <v>3262805168.6000004</v>
      </c>
      <c r="AV179" s="122">
        <f>AM179-AP179</f>
        <v>0</v>
      </c>
      <c r="AW179" s="121">
        <f>AP179-AT179</f>
        <v>36337272</v>
      </c>
      <c r="AX179" s="49">
        <f t="shared" si="92"/>
        <v>0.23061210000789817</v>
      </c>
    </row>
    <row r="180" spans="1:50" ht="18.75" customHeight="1" x14ac:dyDescent="0.2">
      <c r="A180" s="27" t="s">
        <v>37</v>
      </c>
      <c r="B180" s="27" t="s">
        <v>37</v>
      </c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8" t="s">
        <v>840</v>
      </c>
      <c r="AB180" s="29" t="s">
        <v>277</v>
      </c>
      <c r="AC180" s="30" t="s">
        <v>37</v>
      </c>
      <c r="AD180" s="30">
        <f t="shared" ref="AD180:AW180" si="109">AD181+AD182+AD183+AD184+AD186+AD185</f>
        <v>3552467164.4300003</v>
      </c>
      <c r="AE180" s="30">
        <f t="shared" si="109"/>
        <v>488313290.56999999</v>
      </c>
      <c r="AF180" s="31">
        <f t="shared" si="109"/>
        <v>0</v>
      </c>
      <c r="AG180" s="31">
        <f t="shared" si="109"/>
        <v>0</v>
      </c>
      <c r="AH180" s="31">
        <f t="shared" si="109"/>
        <v>0</v>
      </c>
      <c r="AI180" s="30">
        <f t="shared" si="109"/>
        <v>488313290.56999999</v>
      </c>
      <c r="AJ180" s="30">
        <f t="shared" si="109"/>
        <v>4040780455.0000005</v>
      </c>
      <c r="AK180" s="31">
        <f t="shared" si="109"/>
        <v>0</v>
      </c>
      <c r="AL180" s="30">
        <f t="shared" si="109"/>
        <v>165974530.15000001</v>
      </c>
      <c r="AM180" s="30">
        <f t="shared" si="109"/>
        <v>977975286.39999998</v>
      </c>
      <c r="AN180" s="30">
        <f t="shared" si="109"/>
        <v>0</v>
      </c>
      <c r="AO180" s="30">
        <f t="shared" si="109"/>
        <v>165974530.15000001</v>
      </c>
      <c r="AP180" s="30">
        <f t="shared" si="109"/>
        <v>977975286.39999998</v>
      </c>
      <c r="AQ180" s="30">
        <f t="shared" si="109"/>
        <v>109482604.91</v>
      </c>
      <c r="AR180" s="30">
        <f t="shared" si="109"/>
        <v>167309233.23000002</v>
      </c>
      <c r="AS180" s="30">
        <f t="shared" si="109"/>
        <v>832155409.49000001</v>
      </c>
      <c r="AT180" s="30">
        <f t="shared" si="109"/>
        <v>941638014.39999998</v>
      </c>
      <c r="AU180" s="30">
        <f t="shared" si="109"/>
        <v>3062805168.6000004</v>
      </c>
      <c r="AV180" s="30">
        <f t="shared" si="109"/>
        <v>0</v>
      </c>
      <c r="AW180" s="30">
        <f t="shared" si="109"/>
        <v>36337272</v>
      </c>
      <c r="AX180" s="123">
        <f t="shared" si="92"/>
        <v>0.24202633557828368</v>
      </c>
    </row>
    <row r="181" spans="1:50" ht="18.75" customHeight="1" x14ac:dyDescent="0.2">
      <c r="A181" s="4" t="s">
        <v>55</v>
      </c>
      <c r="B181" s="4" t="s">
        <v>56</v>
      </c>
      <c r="C181" s="4"/>
      <c r="D181" s="4" t="s">
        <v>947</v>
      </c>
      <c r="E181" s="4"/>
      <c r="F181" s="4"/>
      <c r="G181" s="4" t="s">
        <v>41</v>
      </c>
      <c r="H181" s="4"/>
      <c r="I181" s="4" t="s">
        <v>936</v>
      </c>
      <c r="J181" s="4"/>
      <c r="K181" s="4" t="s">
        <v>932</v>
      </c>
      <c r="L181" s="4"/>
      <c r="M181" s="4" t="s">
        <v>933</v>
      </c>
      <c r="N181" s="4"/>
      <c r="O181" s="4" t="s">
        <v>934</v>
      </c>
      <c r="P181" s="4"/>
      <c r="Q181" s="4" t="s">
        <v>935</v>
      </c>
      <c r="R181" s="4"/>
      <c r="S181" s="4" t="s">
        <v>940</v>
      </c>
      <c r="T181" s="4">
        <v>0</v>
      </c>
      <c r="U181" s="4">
        <v>0</v>
      </c>
      <c r="V181" s="4">
        <v>0</v>
      </c>
      <c r="W181" s="4"/>
      <c r="X181" s="4" t="s">
        <v>937</v>
      </c>
      <c r="Y181" s="4"/>
      <c r="Z181" s="4"/>
      <c r="AA181" s="41" t="s">
        <v>839</v>
      </c>
      <c r="AB181" s="42" t="s">
        <v>233</v>
      </c>
      <c r="AC181" s="43" t="s">
        <v>58</v>
      </c>
      <c r="AD181" s="43">
        <v>530000000</v>
      </c>
      <c r="AE181" s="44">
        <v>0</v>
      </c>
      <c r="AF181" s="44">
        <v>0</v>
      </c>
      <c r="AG181" s="44">
        <v>0</v>
      </c>
      <c r="AH181" s="44">
        <v>0</v>
      </c>
      <c r="AI181" s="44">
        <v>0</v>
      </c>
      <c r="AJ181" s="43">
        <v>530000000</v>
      </c>
      <c r="AK181" s="44">
        <v>0</v>
      </c>
      <c r="AL181" s="44">
        <v>0</v>
      </c>
      <c r="AM181" s="44">
        <v>0</v>
      </c>
      <c r="AN181" s="44">
        <v>0</v>
      </c>
      <c r="AO181" s="44">
        <v>0</v>
      </c>
      <c r="AP181" s="44">
        <v>0</v>
      </c>
      <c r="AQ181" s="44">
        <v>0</v>
      </c>
      <c r="AR181" s="44">
        <v>0</v>
      </c>
      <c r="AS181" s="44">
        <v>0</v>
      </c>
      <c r="AT181" s="40">
        <f t="shared" si="103"/>
        <v>0</v>
      </c>
      <c r="AU181" s="18">
        <f t="shared" ref="AU181:AU188" si="110">AJ181-AM181</f>
        <v>530000000</v>
      </c>
      <c r="AV181" s="34">
        <f t="shared" ref="AV181:AV188" si="111">AM181-AP181</f>
        <v>0</v>
      </c>
      <c r="AW181" s="34">
        <f t="shared" ref="AW181:AW188" si="112">AP181-AT181</f>
        <v>0</v>
      </c>
      <c r="AX181" s="123">
        <f t="shared" si="92"/>
        <v>0</v>
      </c>
    </row>
    <row r="182" spans="1:50" s="150" customFormat="1" ht="18.75" customHeight="1" x14ac:dyDescent="0.2">
      <c r="A182" s="140" t="s">
        <v>55</v>
      </c>
      <c r="B182" s="140" t="s">
        <v>56</v>
      </c>
      <c r="C182" s="140"/>
      <c r="D182" s="140" t="s">
        <v>947</v>
      </c>
      <c r="E182" s="140"/>
      <c r="F182" s="140"/>
      <c r="G182" s="140" t="s">
        <v>41</v>
      </c>
      <c r="H182" s="140"/>
      <c r="I182" s="140" t="s">
        <v>936</v>
      </c>
      <c r="J182" s="140"/>
      <c r="K182" s="140" t="s">
        <v>932</v>
      </c>
      <c r="L182" s="140"/>
      <c r="M182" s="140" t="s">
        <v>933</v>
      </c>
      <c r="N182" s="140"/>
      <c r="O182" s="140" t="s">
        <v>934</v>
      </c>
      <c r="P182" s="140"/>
      <c r="Q182" s="140" t="s">
        <v>935</v>
      </c>
      <c r="R182" s="140"/>
      <c r="S182" s="140" t="s">
        <v>940</v>
      </c>
      <c r="T182" s="140">
        <v>0</v>
      </c>
      <c r="U182" s="140">
        <v>0</v>
      </c>
      <c r="V182" s="140">
        <v>0</v>
      </c>
      <c r="W182" s="140"/>
      <c r="X182" s="140" t="s">
        <v>937</v>
      </c>
      <c r="Y182" s="140"/>
      <c r="Z182" s="140"/>
      <c r="AA182" s="134" t="s">
        <v>838</v>
      </c>
      <c r="AB182" s="69" t="s">
        <v>278</v>
      </c>
      <c r="AC182" s="142" t="s">
        <v>253</v>
      </c>
      <c r="AD182" s="142">
        <v>600000000</v>
      </c>
      <c r="AE182" s="143">
        <v>0</v>
      </c>
      <c r="AF182" s="143">
        <v>0</v>
      </c>
      <c r="AG182" s="143">
        <v>0</v>
      </c>
      <c r="AH182" s="143">
        <v>0</v>
      </c>
      <c r="AI182" s="143">
        <v>0</v>
      </c>
      <c r="AJ182" s="142">
        <v>600000000</v>
      </c>
      <c r="AK182" s="143">
        <v>0</v>
      </c>
      <c r="AL182" s="143">
        <v>0</v>
      </c>
      <c r="AM182" s="142">
        <v>158326163</v>
      </c>
      <c r="AN182" s="143">
        <v>0</v>
      </c>
      <c r="AO182" s="143">
        <v>0</v>
      </c>
      <c r="AP182" s="143">
        <v>158326163</v>
      </c>
      <c r="AQ182" s="143">
        <v>0</v>
      </c>
      <c r="AR182" s="143">
        <v>0</v>
      </c>
      <c r="AS182" s="143">
        <v>158326163</v>
      </c>
      <c r="AT182" s="146">
        <f t="shared" si="103"/>
        <v>158326163</v>
      </c>
      <c r="AU182" s="147">
        <f t="shared" si="110"/>
        <v>441673837</v>
      </c>
      <c r="AV182" s="145">
        <f t="shared" si="111"/>
        <v>0</v>
      </c>
      <c r="AW182" s="145">
        <f t="shared" si="112"/>
        <v>0</v>
      </c>
      <c r="AX182" s="149">
        <f t="shared" si="92"/>
        <v>0.26387693833333331</v>
      </c>
    </row>
    <row r="183" spans="1:50" ht="25.5" customHeight="1" x14ac:dyDescent="0.2">
      <c r="A183" s="4" t="s">
        <v>55</v>
      </c>
      <c r="B183" s="4" t="s">
        <v>56</v>
      </c>
      <c r="C183" s="4"/>
      <c r="D183" s="4" t="s">
        <v>947</v>
      </c>
      <c r="E183" s="4"/>
      <c r="F183" s="4"/>
      <c r="G183" s="4" t="s">
        <v>41</v>
      </c>
      <c r="H183" s="4"/>
      <c r="I183" s="4" t="s">
        <v>936</v>
      </c>
      <c r="J183" s="4"/>
      <c r="K183" s="4" t="s">
        <v>932</v>
      </c>
      <c r="L183" s="4"/>
      <c r="M183" s="4" t="s">
        <v>933</v>
      </c>
      <c r="N183" s="4"/>
      <c r="O183" s="4" t="s">
        <v>934</v>
      </c>
      <c r="P183" s="4"/>
      <c r="Q183" s="4" t="s">
        <v>935</v>
      </c>
      <c r="R183" s="4"/>
      <c r="S183" s="4" t="s">
        <v>940</v>
      </c>
      <c r="T183" s="4">
        <v>0</v>
      </c>
      <c r="U183" s="4">
        <v>0</v>
      </c>
      <c r="V183" s="4">
        <v>0</v>
      </c>
      <c r="W183" s="4"/>
      <c r="X183" s="4" t="s">
        <v>937</v>
      </c>
      <c r="Y183" s="4"/>
      <c r="Z183" s="4"/>
      <c r="AA183" s="134" t="s">
        <v>837</v>
      </c>
      <c r="AB183" s="69" t="s">
        <v>279</v>
      </c>
      <c r="AC183" s="142" t="s">
        <v>253</v>
      </c>
      <c r="AD183" s="142">
        <v>961836799</v>
      </c>
      <c r="AE183" s="44">
        <v>0</v>
      </c>
      <c r="AF183" s="44">
        <v>0</v>
      </c>
      <c r="AG183" s="44">
        <v>0</v>
      </c>
      <c r="AH183" s="44">
        <v>0</v>
      </c>
      <c r="AI183" s="44">
        <v>0</v>
      </c>
      <c r="AJ183" s="43">
        <v>961836799</v>
      </c>
      <c r="AK183" s="44">
        <v>0</v>
      </c>
      <c r="AL183" s="43">
        <v>53123839</v>
      </c>
      <c r="AM183" s="43">
        <v>270828661</v>
      </c>
      <c r="AN183" s="44">
        <v>0</v>
      </c>
      <c r="AO183" s="43">
        <v>53123839</v>
      </c>
      <c r="AP183" s="43">
        <v>270828661</v>
      </c>
      <c r="AQ183" s="44">
        <v>0</v>
      </c>
      <c r="AR183" s="43">
        <v>53123839</v>
      </c>
      <c r="AS183" s="44">
        <v>234491389</v>
      </c>
      <c r="AT183" s="40">
        <f t="shared" si="103"/>
        <v>234491389</v>
      </c>
      <c r="AU183" s="18">
        <f t="shared" si="110"/>
        <v>691008138</v>
      </c>
      <c r="AV183" s="34">
        <f t="shared" si="111"/>
        <v>0</v>
      </c>
      <c r="AW183" s="18">
        <f t="shared" si="112"/>
        <v>36337272</v>
      </c>
      <c r="AX183" s="123">
        <f t="shared" si="92"/>
        <v>0.28157444306723806</v>
      </c>
    </row>
    <row r="184" spans="1:50" ht="18.75" customHeight="1" x14ac:dyDescent="0.2">
      <c r="A184" s="4" t="s">
        <v>55</v>
      </c>
      <c r="B184" s="4" t="s">
        <v>56</v>
      </c>
      <c r="C184" s="4"/>
      <c r="D184" s="4" t="s">
        <v>947</v>
      </c>
      <c r="E184" s="4"/>
      <c r="F184" s="4"/>
      <c r="G184" s="4" t="s">
        <v>41</v>
      </c>
      <c r="H184" s="4"/>
      <c r="I184" s="4" t="s">
        <v>936</v>
      </c>
      <c r="J184" s="4"/>
      <c r="K184" s="4" t="s">
        <v>932</v>
      </c>
      <c r="L184" s="4"/>
      <c r="M184" s="4" t="s">
        <v>933</v>
      </c>
      <c r="N184" s="4"/>
      <c r="O184" s="4" t="s">
        <v>934</v>
      </c>
      <c r="P184" s="4"/>
      <c r="Q184" s="4" t="s">
        <v>935</v>
      </c>
      <c r="R184" s="4"/>
      <c r="S184" s="4" t="s">
        <v>940</v>
      </c>
      <c r="T184" s="4">
        <v>0</v>
      </c>
      <c r="U184" s="4">
        <v>0</v>
      </c>
      <c r="V184" s="4">
        <v>0</v>
      </c>
      <c r="W184" s="4"/>
      <c r="X184" s="4" t="s">
        <v>937</v>
      </c>
      <c r="Y184" s="4"/>
      <c r="Z184" s="4"/>
      <c r="AA184" s="134" t="s">
        <v>836</v>
      </c>
      <c r="AB184" s="69" t="s">
        <v>239</v>
      </c>
      <c r="AC184" s="142" t="s">
        <v>240</v>
      </c>
      <c r="AD184" s="142">
        <v>1460630365.4300001</v>
      </c>
      <c r="AE184" s="44">
        <v>0</v>
      </c>
      <c r="AF184" s="44">
        <v>0</v>
      </c>
      <c r="AG184" s="44">
        <v>0</v>
      </c>
      <c r="AH184" s="44">
        <v>0</v>
      </c>
      <c r="AI184" s="44">
        <v>0</v>
      </c>
      <c r="AJ184" s="43">
        <v>1460630365.4300001</v>
      </c>
      <c r="AK184" s="44">
        <v>0</v>
      </c>
      <c r="AL184" s="43">
        <v>112850691.15000001</v>
      </c>
      <c r="AM184" s="43">
        <v>548820462.39999998</v>
      </c>
      <c r="AN184" s="43">
        <v>0</v>
      </c>
      <c r="AO184" s="43">
        <v>112850691.15000001</v>
      </c>
      <c r="AP184" s="43">
        <v>548820462.39999998</v>
      </c>
      <c r="AQ184" s="44">
        <v>109482604.91</v>
      </c>
      <c r="AR184" s="43">
        <v>114185394.23</v>
      </c>
      <c r="AS184" s="43">
        <v>439337857.49000001</v>
      </c>
      <c r="AT184" s="39">
        <f t="shared" si="103"/>
        <v>548820462.39999998</v>
      </c>
      <c r="AU184" s="18">
        <f t="shared" si="110"/>
        <v>911809903.03000009</v>
      </c>
      <c r="AV184" s="34">
        <f t="shared" si="111"/>
        <v>0</v>
      </c>
      <c r="AW184" s="18">
        <f t="shared" si="112"/>
        <v>0</v>
      </c>
      <c r="AX184" s="123">
        <f t="shared" si="92"/>
        <v>0.37574219692360755</v>
      </c>
    </row>
    <row r="185" spans="1:50" ht="18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166" t="s">
        <v>1012</v>
      </c>
      <c r="AB185" s="167" t="s">
        <v>1013</v>
      </c>
      <c r="AC185" s="203"/>
      <c r="AD185" s="143">
        <v>0</v>
      </c>
      <c r="AE185" s="43">
        <v>69321334.879999995</v>
      </c>
      <c r="AF185" s="44"/>
      <c r="AG185" s="44"/>
      <c r="AH185" s="44"/>
      <c r="AI185" s="18">
        <f>AE185-AF185+AG185-AH185</f>
        <v>69321334.879999995</v>
      </c>
      <c r="AJ185" s="18">
        <f>AD185+AI185</f>
        <v>69321334.879999995</v>
      </c>
      <c r="AK185" s="44">
        <v>0</v>
      </c>
      <c r="AL185" s="44">
        <v>0</v>
      </c>
      <c r="AM185" s="44">
        <v>0</v>
      </c>
      <c r="AN185" s="43">
        <v>0</v>
      </c>
      <c r="AO185" s="43">
        <v>0</v>
      </c>
      <c r="AP185" s="43">
        <v>0</v>
      </c>
      <c r="AQ185" s="44">
        <v>0</v>
      </c>
      <c r="AR185" s="43">
        <v>0</v>
      </c>
      <c r="AS185" s="43">
        <v>0</v>
      </c>
      <c r="AT185" s="39">
        <f t="shared" ref="AT185:AT186" si="113">AQ185+AS185</f>
        <v>0</v>
      </c>
      <c r="AU185" s="18">
        <f t="shared" si="110"/>
        <v>69321334.879999995</v>
      </c>
      <c r="AV185" s="34">
        <f t="shared" si="111"/>
        <v>0</v>
      </c>
      <c r="AW185" s="18">
        <f t="shared" si="112"/>
        <v>0</v>
      </c>
      <c r="AX185" s="123">
        <f t="shared" si="92"/>
        <v>0</v>
      </c>
    </row>
    <row r="186" spans="1:50" ht="26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166" t="s">
        <v>1010</v>
      </c>
      <c r="AB186" s="167" t="s">
        <v>1011</v>
      </c>
      <c r="AC186" s="203"/>
      <c r="AD186" s="143">
        <v>0</v>
      </c>
      <c r="AE186" s="43">
        <v>418991955.69</v>
      </c>
      <c r="AF186" s="44">
        <v>0</v>
      </c>
      <c r="AG186" s="44">
        <v>0</v>
      </c>
      <c r="AH186" s="44">
        <v>0</v>
      </c>
      <c r="AI186" s="18">
        <f t="shared" ref="AI186" si="114">AE186-AF186+AG186-AH186</f>
        <v>418991955.69</v>
      </c>
      <c r="AJ186" s="18">
        <f t="shared" ref="AJ186" si="115">AD186+AI186</f>
        <v>418991955.69</v>
      </c>
      <c r="AK186" s="44">
        <v>0</v>
      </c>
      <c r="AL186" s="44">
        <v>0</v>
      </c>
      <c r="AM186" s="44">
        <v>0</v>
      </c>
      <c r="AN186" s="43">
        <v>0</v>
      </c>
      <c r="AO186" s="43">
        <v>0</v>
      </c>
      <c r="AP186" s="43">
        <v>0</v>
      </c>
      <c r="AQ186" s="44">
        <v>0</v>
      </c>
      <c r="AR186" s="43">
        <v>0</v>
      </c>
      <c r="AS186" s="43">
        <v>0</v>
      </c>
      <c r="AT186" s="39">
        <f t="shared" si="113"/>
        <v>0</v>
      </c>
      <c r="AU186" s="18">
        <f t="shared" si="110"/>
        <v>418991955.69</v>
      </c>
      <c r="AV186" s="34">
        <f t="shared" si="111"/>
        <v>0</v>
      </c>
      <c r="AW186" s="18">
        <f t="shared" si="112"/>
        <v>0</v>
      </c>
      <c r="AX186" s="123">
        <f t="shared" si="92"/>
        <v>0</v>
      </c>
    </row>
    <row r="187" spans="1:50" ht="18.75" customHeight="1" x14ac:dyDescent="0.2">
      <c r="A187" s="27" t="s">
        <v>37</v>
      </c>
      <c r="B187" s="27" t="s">
        <v>37</v>
      </c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04" t="s">
        <v>835</v>
      </c>
      <c r="AB187" s="205" t="s">
        <v>280</v>
      </c>
      <c r="AC187" s="187" t="s">
        <v>37</v>
      </c>
      <c r="AD187" s="187">
        <f>AD188</f>
        <v>200000000</v>
      </c>
      <c r="AE187" s="31">
        <f t="shared" ref="AE187:AS187" si="116">AE188</f>
        <v>0</v>
      </c>
      <c r="AF187" s="31">
        <f t="shared" si="116"/>
        <v>0</v>
      </c>
      <c r="AG187" s="31">
        <f t="shared" si="116"/>
        <v>0</v>
      </c>
      <c r="AH187" s="31">
        <f t="shared" si="116"/>
        <v>0</v>
      </c>
      <c r="AI187" s="31">
        <f t="shared" si="116"/>
        <v>0</v>
      </c>
      <c r="AJ187" s="30">
        <f t="shared" si="116"/>
        <v>200000000</v>
      </c>
      <c r="AK187" s="31">
        <f t="shared" si="116"/>
        <v>0</v>
      </c>
      <c r="AL187" s="31">
        <f t="shared" si="116"/>
        <v>0</v>
      </c>
      <c r="AM187" s="31">
        <f t="shared" si="116"/>
        <v>0</v>
      </c>
      <c r="AN187" s="31">
        <f t="shared" si="116"/>
        <v>0</v>
      </c>
      <c r="AO187" s="31">
        <f t="shared" si="116"/>
        <v>0</v>
      </c>
      <c r="AP187" s="31">
        <f t="shared" si="116"/>
        <v>0</v>
      </c>
      <c r="AQ187" s="31">
        <f t="shared" si="116"/>
        <v>0</v>
      </c>
      <c r="AR187" s="31">
        <f t="shared" si="116"/>
        <v>0</v>
      </c>
      <c r="AS187" s="31">
        <f t="shared" si="116"/>
        <v>0</v>
      </c>
      <c r="AT187" s="40">
        <f t="shared" si="103"/>
        <v>0</v>
      </c>
      <c r="AU187" s="18">
        <f t="shared" si="110"/>
        <v>200000000</v>
      </c>
      <c r="AV187" s="34">
        <f t="shared" si="111"/>
        <v>0</v>
      </c>
      <c r="AW187" s="34">
        <f t="shared" si="112"/>
        <v>0</v>
      </c>
      <c r="AX187" s="123">
        <f t="shared" si="92"/>
        <v>0</v>
      </c>
    </row>
    <row r="188" spans="1:50" s="150" customFormat="1" ht="18.75" customHeight="1" x14ac:dyDescent="0.2">
      <c r="A188" s="140" t="s">
        <v>55</v>
      </c>
      <c r="B188" s="140" t="s">
        <v>56</v>
      </c>
      <c r="C188" s="140"/>
      <c r="D188" s="140" t="s">
        <v>947</v>
      </c>
      <c r="E188" s="140"/>
      <c r="F188" s="140"/>
      <c r="G188" s="140" t="s">
        <v>41</v>
      </c>
      <c r="H188" s="140"/>
      <c r="I188" s="140" t="s">
        <v>936</v>
      </c>
      <c r="J188" s="140"/>
      <c r="K188" s="140" t="s">
        <v>932</v>
      </c>
      <c r="L188" s="140"/>
      <c r="M188" s="140" t="s">
        <v>933</v>
      </c>
      <c r="N188" s="140"/>
      <c r="O188" s="140" t="s">
        <v>934</v>
      </c>
      <c r="P188" s="140"/>
      <c r="Q188" s="140" t="s">
        <v>935</v>
      </c>
      <c r="R188" s="140"/>
      <c r="S188" s="140" t="s">
        <v>940</v>
      </c>
      <c r="T188" s="140">
        <v>0</v>
      </c>
      <c r="U188" s="140">
        <v>0</v>
      </c>
      <c r="V188" s="140">
        <v>0</v>
      </c>
      <c r="W188" s="140"/>
      <c r="X188" s="140" t="s">
        <v>937</v>
      </c>
      <c r="Y188" s="140"/>
      <c r="Z188" s="140"/>
      <c r="AA188" s="134" t="s">
        <v>834</v>
      </c>
      <c r="AB188" s="69" t="s">
        <v>281</v>
      </c>
      <c r="AC188" s="142" t="s">
        <v>253</v>
      </c>
      <c r="AD188" s="142">
        <v>200000000</v>
      </c>
      <c r="AE188" s="143">
        <v>0</v>
      </c>
      <c r="AF188" s="143">
        <v>0</v>
      </c>
      <c r="AG188" s="143">
        <v>0</v>
      </c>
      <c r="AH188" s="143">
        <v>0</v>
      </c>
      <c r="AI188" s="143">
        <v>0</v>
      </c>
      <c r="AJ188" s="142">
        <v>200000000</v>
      </c>
      <c r="AK188" s="143">
        <v>0</v>
      </c>
      <c r="AL188" s="143">
        <v>0</v>
      </c>
      <c r="AM188" s="143">
        <v>0</v>
      </c>
      <c r="AN188" s="143">
        <v>0</v>
      </c>
      <c r="AO188" s="143">
        <v>0</v>
      </c>
      <c r="AP188" s="143">
        <v>0</v>
      </c>
      <c r="AQ188" s="143">
        <v>0</v>
      </c>
      <c r="AR188" s="143">
        <v>0</v>
      </c>
      <c r="AS188" s="143">
        <v>0</v>
      </c>
      <c r="AT188" s="146">
        <f t="shared" si="103"/>
        <v>0</v>
      </c>
      <c r="AU188" s="147">
        <f t="shared" si="110"/>
        <v>200000000</v>
      </c>
      <c r="AV188" s="145">
        <f t="shared" si="111"/>
        <v>0</v>
      </c>
      <c r="AW188" s="145">
        <f t="shared" si="112"/>
        <v>0</v>
      </c>
      <c r="AX188" s="149">
        <f t="shared" si="92"/>
        <v>0</v>
      </c>
    </row>
    <row r="189" spans="1:50" ht="18.75" customHeight="1" x14ac:dyDescent="0.2">
      <c r="AA189" s="16"/>
      <c r="AB189" s="17"/>
      <c r="AC189" s="17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34"/>
      <c r="AT189" s="39"/>
      <c r="AU189" s="18"/>
      <c r="AV189" s="34"/>
      <c r="AW189" s="34"/>
      <c r="AX189" s="123"/>
    </row>
    <row r="190" spans="1:50" s="124" customFormat="1" ht="18.75" customHeigh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7" t="s">
        <v>282</v>
      </c>
      <c r="AB190" s="128" t="s">
        <v>283</v>
      </c>
      <c r="AC190" s="128"/>
      <c r="AD190" s="129">
        <f t="shared" ref="AD190:AS190" si="117">AD240+AD510+AD679+AD755+AD995+AD1027+AD1077+AD1095+AD1135+AD1148+AD1163+AD1178+AD1260+AD950</f>
        <v>778687617478</v>
      </c>
      <c r="AE190" s="129">
        <f t="shared" si="117"/>
        <v>228653031468.91003</v>
      </c>
      <c r="AF190" s="130">
        <f t="shared" si="117"/>
        <v>0</v>
      </c>
      <c r="AG190" s="129">
        <f t="shared" si="117"/>
        <v>94760154518.349991</v>
      </c>
      <c r="AH190" s="129">
        <f t="shared" si="117"/>
        <v>94760154518.349991</v>
      </c>
      <c r="AI190" s="129">
        <f t="shared" si="117"/>
        <v>228453031468.91006</v>
      </c>
      <c r="AJ190" s="129">
        <f t="shared" si="117"/>
        <v>1007340648946.9102</v>
      </c>
      <c r="AK190" s="130">
        <f t="shared" si="117"/>
        <v>645276615.59000003</v>
      </c>
      <c r="AL190" s="129">
        <f t="shared" si="117"/>
        <v>47535619490.119995</v>
      </c>
      <c r="AM190" s="129">
        <f t="shared" si="117"/>
        <v>517851372952.79999</v>
      </c>
      <c r="AN190" s="129">
        <f t="shared" si="117"/>
        <v>240100085</v>
      </c>
      <c r="AO190" s="129">
        <f t="shared" si="117"/>
        <v>87097006863.059998</v>
      </c>
      <c r="AP190" s="129">
        <f t="shared" si="117"/>
        <v>343881239335.18005</v>
      </c>
      <c r="AQ190" s="129">
        <f t="shared" si="117"/>
        <v>4695803405.9200001</v>
      </c>
      <c r="AR190" s="129">
        <f t="shared" si="117"/>
        <v>48663334174.029999</v>
      </c>
      <c r="AS190" s="129">
        <f t="shared" si="117"/>
        <v>215061539944.10001</v>
      </c>
      <c r="AT190" s="131">
        <f>AQ190+AS190</f>
        <v>219757343350.02002</v>
      </c>
      <c r="AU190" s="129">
        <f>AU240+AU510+AU679+AU755+AU995+AU1027+AU1077+AU1095+AU1135+AU1148+AU1163+AU1178+AU1260+AU950</f>
        <v>489489275994.10986</v>
      </c>
      <c r="AV190" s="129">
        <f>AV240+AV510+AV679+AV755+AV995+AV1027+AV1077+AV1095+AV1135+AV1148+AV1163+AV1178+AV1260+AV950</f>
        <v>173970133617.62</v>
      </c>
      <c r="AW190" s="129">
        <f>AW240+AW510+AW679+AW755+AW995+AW1027+AW1077+AW1095+AW1135+AW1148+AW1163+AW1178+AW1260+AW950</f>
        <v>124123895985.15999</v>
      </c>
      <c r="AX190" s="132">
        <f>AP190/AJ190</f>
        <v>0.34137532293040984</v>
      </c>
    </row>
    <row r="191" spans="1:50" ht="18.75" customHeight="1" x14ac:dyDescent="0.2">
      <c r="AA191" s="16"/>
      <c r="AB191" s="17"/>
      <c r="AC191" s="17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</row>
    <row r="192" spans="1:50" s="25" customFormat="1" ht="18.75" customHeight="1" x14ac:dyDescent="0.2">
      <c r="A192" s="58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60"/>
      <c r="AB192" s="21" t="s">
        <v>284</v>
      </c>
      <c r="AC192" s="61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3"/>
    </row>
    <row r="193" spans="1:50" ht="18.75" customHeight="1" x14ac:dyDescent="0.2">
      <c r="A193" s="35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7"/>
      <c r="AB193" s="29" t="s">
        <v>285</v>
      </c>
      <c r="AC193" s="38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0"/>
      <c r="AU193" s="39"/>
      <c r="AV193" s="39"/>
      <c r="AW193" s="39"/>
      <c r="AX193" s="18"/>
    </row>
    <row r="194" spans="1:50" ht="18.75" customHeight="1" x14ac:dyDescent="0.2">
      <c r="A194" s="35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7"/>
      <c r="AB194" s="29" t="s">
        <v>286</v>
      </c>
      <c r="AC194" s="38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0"/>
      <c r="AU194" s="39"/>
      <c r="AV194" s="39"/>
      <c r="AW194" s="39"/>
      <c r="AX194" s="18"/>
    </row>
    <row r="195" spans="1:50" ht="18.75" customHeight="1" x14ac:dyDescent="0.2">
      <c r="A195" s="35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7"/>
      <c r="AB195" s="29" t="s">
        <v>179</v>
      </c>
      <c r="AC195" s="38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0"/>
      <c r="AU195" s="39"/>
      <c r="AV195" s="39"/>
      <c r="AW195" s="39"/>
      <c r="AX195" s="18"/>
    </row>
    <row r="196" spans="1:50" ht="18.75" customHeight="1" x14ac:dyDescent="0.2">
      <c r="A196" s="14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6"/>
      <c r="AB196" s="29" t="s">
        <v>181</v>
      </c>
      <c r="AC196" s="17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30"/>
      <c r="AU196" s="18"/>
      <c r="AV196" s="18"/>
      <c r="AW196" s="18"/>
      <c r="AX196" s="18"/>
    </row>
    <row r="197" spans="1:50" ht="18.75" customHeight="1" x14ac:dyDescent="0.2">
      <c r="A197" s="14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6"/>
      <c r="AB197" s="29" t="s">
        <v>287</v>
      </c>
      <c r="AC197" s="17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30"/>
      <c r="AU197" s="18"/>
      <c r="AV197" s="18"/>
      <c r="AW197" s="18"/>
      <c r="AX197" s="18"/>
    </row>
    <row r="198" spans="1:50" ht="25.5" x14ac:dyDescent="0.2">
      <c r="A198" s="35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28" t="s">
        <v>288</v>
      </c>
      <c r="AB198" s="29" t="s">
        <v>289</v>
      </c>
      <c r="AC198" s="38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0"/>
      <c r="AU198" s="39"/>
      <c r="AV198" s="39"/>
      <c r="AW198" s="39"/>
      <c r="AX198" s="18"/>
    </row>
    <row r="199" spans="1:50" ht="18.75" customHeight="1" x14ac:dyDescent="0.2">
      <c r="A199" s="14" t="s">
        <v>55</v>
      </c>
      <c r="B199" s="15" t="s">
        <v>56</v>
      </c>
      <c r="C199" s="15"/>
      <c r="D199" s="15"/>
      <c r="E199" s="15"/>
      <c r="F199" s="15"/>
      <c r="G199" s="15" t="s">
        <v>41</v>
      </c>
      <c r="H199" s="15"/>
      <c r="I199" s="15" t="s">
        <v>936</v>
      </c>
      <c r="J199" s="15"/>
      <c r="K199" s="15" t="s">
        <v>932</v>
      </c>
      <c r="L199" s="15"/>
      <c r="M199" s="15" t="s">
        <v>933</v>
      </c>
      <c r="N199" s="15"/>
      <c r="O199" s="15" t="s">
        <v>948</v>
      </c>
      <c r="P199" s="15"/>
      <c r="Q199" s="15" t="s">
        <v>942</v>
      </c>
      <c r="R199" s="15"/>
      <c r="S199" s="15" t="s">
        <v>940</v>
      </c>
      <c r="T199" s="15">
        <v>0</v>
      </c>
      <c r="U199" s="15">
        <v>0</v>
      </c>
      <c r="V199" s="15">
        <v>0</v>
      </c>
      <c r="W199" s="15"/>
      <c r="X199" s="15" t="s">
        <v>937</v>
      </c>
      <c r="Y199" s="15"/>
      <c r="Z199" s="15"/>
      <c r="AA199" s="16" t="s">
        <v>290</v>
      </c>
      <c r="AB199" s="17" t="s">
        <v>233</v>
      </c>
      <c r="AC199" s="17" t="s">
        <v>58</v>
      </c>
      <c r="AD199" s="18">
        <v>100000000</v>
      </c>
      <c r="AE199" s="34">
        <v>0</v>
      </c>
      <c r="AF199" s="34">
        <v>0</v>
      </c>
      <c r="AG199" s="34">
        <v>0</v>
      </c>
      <c r="AH199" s="34">
        <v>0</v>
      </c>
      <c r="AI199" s="34">
        <v>0</v>
      </c>
      <c r="AJ199" s="18">
        <v>100000000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0</v>
      </c>
      <c r="AT199" s="40">
        <f t="shared" ref="AT199" si="118">AQ199+AS199</f>
        <v>0</v>
      </c>
      <c r="AU199" s="18">
        <f>AJ199-AM199</f>
        <v>100000000</v>
      </c>
      <c r="AV199" s="34">
        <f>AM199-AP199</f>
        <v>0</v>
      </c>
      <c r="AW199" s="34">
        <f>AP199-AT199</f>
        <v>0</v>
      </c>
      <c r="AX199" s="123">
        <f>AP199/AJ199</f>
        <v>0</v>
      </c>
    </row>
    <row r="200" spans="1:50" ht="18.75" customHeight="1" x14ac:dyDescent="0.2">
      <c r="A200" s="14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41" t="s">
        <v>288</v>
      </c>
      <c r="AB200" s="29" t="s">
        <v>291</v>
      </c>
      <c r="AC200" s="17"/>
      <c r="AD200" s="18"/>
      <c r="AE200" s="18"/>
      <c r="AF200" s="18"/>
      <c r="AG200" s="18"/>
      <c r="AH200" s="18"/>
      <c r="AI200" s="18"/>
      <c r="AJ200" s="18"/>
      <c r="AK200" s="18"/>
      <c r="AL200" s="18"/>
      <c r="AM200" s="34"/>
      <c r="AN200" s="34"/>
      <c r="AO200" s="34"/>
      <c r="AP200" s="34"/>
      <c r="AQ200" s="34"/>
      <c r="AR200" s="34"/>
      <c r="AS200" s="34"/>
      <c r="AT200" s="31"/>
      <c r="AU200" s="18"/>
      <c r="AV200" s="34"/>
      <c r="AW200" s="34"/>
      <c r="AX200" s="18"/>
    </row>
    <row r="201" spans="1:50" ht="18.75" customHeight="1" x14ac:dyDescent="0.2">
      <c r="A201" s="14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41" t="s">
        <v>1217</v>
      </c>
      <c r="AB201" s="38" t="s">
        <v>1015</v>
      </c>
      <c r="AC201" s="17"/>
      <c r="AD201" s="18">
        <v>0</v>
      </c>
      <c r="AE201" s="34">
        <v>0</v>
      </c>
      <c r="AF201" s="34">
        <v>0</v>
      </c>
      <c r="AG201" s="18">
        <v>1252674808</v>
      </c>
      <c r="AH201" s="34">
        <v>0</v>
      </c>
      <c r="AI201" s="18">
        <f>AE201-AF201+AG201-AH201</f>
        <v>1252674808</v>
      </c>
      <c r="AJ201" s="18">
        <f>AD201+AI201</f>
        <v>1252674808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40">
        <f t="shared" ref="AT201" si="119">AQ201+AS201</f>
        <v>0</v>
      </c>
      <c r="AU201" s="18">
        <f>AJ201-AM201</f>
        <v>1252674808</v>
      </c>
      <c r="AV201" s="34">
        <f>AM201-AP201</f>
        <v>0</v>
      </c>
      <c r="AW201" s="34">
        <f>AP201-AT201</f>
        <v>0</v>
      </c>
      <c r="AX201" s="123">
        <f>AP201/AJ201</f>
        <v>0</v>
      </c>
    </row>
    <row r="202" spans="1:50" ht="18.75" customHeight="1" x14ac:dyDescent="0.2">
      <c r="A202" s="14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28" t="s">
        <v>288</v>
      </c>
      <c r="AB202" s="29" t="s">
        <v>292</v>
      </c>
      <c r="AC202" s="17"/>
      <c r="AD202" s="18"/>
      <c r="AE202" s="34"/>
      <c r="AF202" s="34"/>
      <c r="AG202" s="34"/>
      <c r="AH202" s="34"/>
      <c r="AI202" s="34"/>
      <c r="AJ202" s="18"/>
      <c r="AK202" s="18"/>
      <c r="AL202" s="18"/>
      <c r="AM202" s="34"/>
      <c r="AN202" s="34"/>
      <c r="AO202" s="34"/>
      <c r="AP202" s="34"/>
      <c r="AQ202" s="34"/>
      <c r="AR202" s="34"/>
      <c r="AS202" s="34"/>
      <c r="AT202" s="31"/>
      <c r="AU202" s="18"/>
      <c r="AV202" s="34"/>
      <c r="AW202" s="34"/>
      <c r="AX202" s="18"/>
    </row>
    <row r="203" spans="1:50" ht="18.75" customHeight="1" x14ac:dyDescent="0.2">
      <c r="A203" s="14" t="s">
        <v>55</v>
      </c>
      <c r="B203" s="15" t="s">
        <v>56</v>
      </c>
      <c r="C203" s="15"/>
      <c r="D203" s="15"/>
      <c r="E203" s="15"/>
      <c r="F203" s="15"/>
      <c r="G203" s="15" t="s">
        <v>41</v>
      </c>
      <c r="H203" s="15"/>
      <c r="I203" s="15" t="s">
        <v>936</v>
      </c>
      <c r="J203" s="15"/>
      <c r="K203" s="15" t="s">
        <v>932</v>
      </c>
      <c r="L203" s="15"/>
      <c r="M203" s="15" t="s">
        <v>933</v>
      </c>
      <c r="N203" s="15"/>
      <c r="O203" s="15" t="s">
        <v>948</v>
      </c>
      <c r="P203" s="15"/>
      <c r="Q203" s="15" t="s">
        <v>942</v>
      </c>
      <c r="R203" s="15"/>
      <c r="S203" s="15" t="s">
        <v>940</v>
      </c>
      <c r="T203" s="15">
        <v>0</v>
      </c>
      <c r="U203" s="15">
        <v>0</v>
      </c>
      <c r="V203" s="15">
        <v>0</v>
      </c>
      <c r="W203" s="15"/>
      <c r="X203" s="15" t="s">
        <v>937</v>
      </c>
      <c r="Y203" s="15"/>
      <c r="Z203" s="15"/>
      <c r="AA203" s="16" t="s">
        <v>293</v>
      </c>
      <c r="AB203" s="17" t="s">
        <v>233</v>
      </c>
      <c r="AC203" s="161" t="s">
        <v>58</v>
      </c>
      <c r="AD203" s="18">
        <v>500000000</v>
      </c>
      <c r="AE203" s="34">
        <v>0</v>
      </c>
      <c r="AF203" s="34">
        <v>0</v>
      </c>
      <c r="AH203" s="34">
        <v>0</v>
      </c>
      <c r="AI203" s="34">
        <v>0</v>
      </c>
      <c r="AJ203" s="18">
        <v>500000000</v>
      </c>
      <c r="AK203" s="18">
        <v>0</v>
      </c>
      <c r="AL203" s="18">
        <v>500000000</v>
      </c>
      <c r="AM203" s="18">
        <v>500000000</v>
      </c>
      <c r="AN203" s="18">
        <v>0</v>
      </c>
      <c r="AO203" s="18">
        <v>500000000</v>
      </c>
      <c r="AP203" s="18">
        <v>500000000</v>
      </c>
      <c r="AQ203" s="18">
        <v>0</v>
      </c>
      <c r="AR203" s="18">
        <v>0</v>
      </c>
      <c r="AS203" s="18">
        <v>0</v>
      </c>
      <c r="AT203" s="40">
        <f t="shared" ref="AT203" si="120">AQ203+AS203</f>
        <v>0</v>
      </c>
      <c r="AU203" s="18">
        <f>AJ203-AM203</f>
        <v>0</v>
      </c>
      <c r="AV203" s="34">
        <f>AM203-AP203</f>
        <v>0</v>
      </c>
      <c r="AW203" s="18">
        <f>AP203-AT203</f>
        <v>500000000</v>
      </c>
      <c r="AX203" s="123">
        <f>AP203/AJ203</f>
        <v>1</v>
      </c>
    </row>
    <row r="204" spans="1:50" ht="18.75" customHeight="1" x14ac:dyDescent="0.2">
      <c r="A204" s="14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66" t="s">
        <v>1014</v>
      </c>
      <c r="AB204" s="167" t="s">
        <v>1015</v>
      </c>
      <c r="AC204" s="161"/>
      <c r="AD204" s="34">
        <v>0</v>
      </c>
      <c r="AE204" s="18">
        <v>3410000000</v>
      </c>
      <c r="AF204" s="34">
        <v>0</v>
      </c>
      <c r="AG204" s="137">
        <v>0</v>
      </c>
      <c r="AH204" s="18">
        <v>3410000000</v>
      </c>
      <c r="AI204" s="34">
        <f>AE204-AF204+AG204-AH204</f>
        <v>0</v>
      </c>
      <c r="AJ204" s="34">
        <f>AD204+AI204</f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40">
        <f t="shared" ref="AT204" si="121">AQ204+AS204</f>
        <v>0</v>
      </c>
      <c r="AU204" s="18">
        <f>AJ204-AM204</f>
        <v>0</v>
      </c>
      <c r="AV204" s="34">
        <f>AM204-AP204</f>
        <v>0</v>
      </c>
      <c r="AW204" s="18">
        <f>AP204-AT204</f>
        <v>0</v>
      </c>
      <c r="AX204" s="123">
        <v>0</v>
      </c>
    </row>
    <row r="205" spans="1:50" ht="27" customHeight="1" x14ac:dyDescent="0.2">
      <c r="A205" s="14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69" t="s">
        <v>288</v>
      </c>
      <c r="AB205" s="163" t="s">
        <v>294</v>
      </c>
      <c r="AC205" s="17"/>
      <c r="AD205" s="18"/>
      <c r="AE205" s="34"/>
      <c r="AF205" s="34"/>
      <c r="AG205" s="34"/>
      <c r="AH205" s="34"/>
      <c r="AI205" s="34"/>
      <c r="AJ205" s="18"/>
      <c r="AK205" s="34"/>
      <c r="AL205" s="34"/>
      <c r="AM205" s="34"/>
      <c r="AN205" s="34"/>
      <c r="AO205" s="34"/>
      <c r="AP205" s="34"/>
      <c r="AQ205" s="34"/>
      <c r="AR205" s="34"/>
      <c r="AS205" s="34"/>
      <c r="AT205" s="31"/>
      <c r="AU205" s="18"/>
      <c r="AV205" s="34"/>
      <c r="AW205" s="34"/>
      <c r="AX205" s="18"/>
    </row>
    <row r="206" spans="1:50" ht="18.75" customHeight="1" x14ac:dyDescent="0.2">
      <c r="A206" s="14" t="s">
        <v>55</v>
      </c>
      <c r="B206" s="15" t="s">
        <v>56</v>
      </c>
      <c r="C206" s="15"/>
      <c r="D206" s="15"/>
      <c r="E206" s="15"/>
      <c r="F206" s="15"/>
      <c r="G206" s="15" t="s">
        <v>41</v>
      </c>
      <c r="H206" s="15"/>
      <c r="I206" s="15" t="s">
        <v>936</v>
      </c>
      <c r="J206" s="15"/>
      <c r="K206" s="15" t="s">
        <v>932</v>
      </c>
      <c r="L206" s="15"/>
      <c r="M206" s="15" t="s">
        <v>933</v>
      </c>
      <c r="N206" s="15"/>
      <c r="O206" s="15" t="s">
        <v>948</v>
      </c>
      <c r="P206" s="15"/>
      <c r="Q206" s="15" t="s">
        <v>942</v>
      </c>
      <c r="R206" s="15"/>
      <c r="S206" s="15" t="s">
        <v>940</v>
      </c>
      <c r="T206" s="15">
        <v>0</v>
      </c>
      <c r="U206" s="15">
        <v>0</v>
      </c>
      <c r="V206" s="15">
        <v>0</v>
      </c>
      <c r="W206" s="15"/>
      <c r="X206" s="15" t="s">
        <v>937</v>
      </c>
      <c r="Y206" s="15"/>
      <c r="Z206" s="15"/>
      <c r="AA206" s="16" t="s">
        <v>295</v>
      </c>
      <c r="AB206" s="17" t="s">
        <v>233</v>
      </c>
      <c r="AC206" s="17" t="s">
        <v>58</v>
      </c>
      <c r="AD206" s="18">
        <v>400000000</v>
      </c>
      <c r="AE206" s="34">
        <v>0</v>
      </c>
      <c r="AF206" s="34">
        <v>0</v>
      </c>
      <c r="AG206" s="34">
        <v>0</v>
      </c>
      <c r="AH206" s="34">
        <v>0</v>
      </c>
      <c r="AI206" s="34">
        <v>0</v>
      </c>
      <c r="AJ206" s="18">
        <v>400000000</v>
      </c>
      <c r="AK206" s="34">
        <v>0</v>
      </c>
      <c r="AL206" s="110">
        <v>212945650</v>
      </c>
      <c r="AM206" s="110">
        <v>292022136</v>
      </c>
      <c r="AN206" s="34">
        <v>0</v>
      </c>
      <c r="AO206" s="110">
        <v>57143395.600000001</v>
      </c>
      <c r="AP206" s="110">
        <v>126062364.59999999</v>
      </c>
      <c r="AQ206" s="34">
        <v>0</v>
      </c>
      <c r="AR206" s="34">
        <v>0</v>
      </c>
      <c r="AS206" s="34">
        <v>0</v>
      </c>
      <c r="AT206" s="40">
        <f t="shared" ref="AT206" si="122">AQ206+AS206</f>
        <v>0</v>
      </c>
      <c r="AU206" s="18">
        <f>AJ206-AM206</f>
        <v>107977864</v>
      </c>
      <c r="AV206" s="110">
        <f>AM206-AP206</f>
        <v>165959771.40000001</v>
      </c>
      <c r="AW206" s="18">
        <f>AP206-AT206</f>
        <v>126062364.59999999</v>
      </c>
      <c r="AX206" s="123">
        <f>AP206/AJ206</f>
        <v>0.3151559115</v>
      </c>
    </row>
    <row r="207" spans="1:50" ht="18.75" customHeight="1" x14ac:dyDescent="0.2">
      <c r="A207" s="14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6"/>
      <c r="AB207" s="17"/>
      <c r="AC207" s="17"/>
      <c r="AD207" s="18"/>
      <c r="AE207" s="34"/>
      <c r="AF207" s="34"/>
      <c r="AG207" s="34"/>
      <c r="AH207" s="34"/>
      <c r="AI207" s="34"/>
      <c r="AJ207" s="18"/>
      <c r="AK207" s="34"/>
      <c r="AL207" s="34"/>
      <c r="AM207" s="34"/>
      <c r="AN207" s="34"/>
      <c r="AO207" s="34"/>
      <c r="AP207" s="34"/>
      <c r="AQ207" s="34"/>
      <c r="AR207" s="34"/>
      <c r="AS207" s="18"/>
      <c r="AT207" s="30"/>
      <c r="AU207" s="18"/>
      <c r="AV207" s="18"/>
      <c r="AW207" s="18"/>
      <c r="AX207" s="18"/>
    </row>
    <row r="208" spans="1:50" ht="18.75" customHeight="1" x14ac:dyDescent="0.2">
      <c r="A208" s="14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6"/>
      <c r="AB208" s="29" t="s">
        <v>189</v>
      </c>
      <c r="AC208" s="17"/>
      <c r="AD208" s="18"/>
      <c r="AE208" s="34"/>
      <c r="AF208" s="34"/>
      <c r="AG208" s="34"/>
      <c r="AH208" s="34"/>
      <c r="AI208" s="34"/>
      <c r="AJ208" s="18"/>
      <c r="AK208" s="34"/>
      <c r="AL208" s="34"/>
      <c r="AM208" s="34"/>
      <c r="AN208" s="34"/>
      <c r="AO208" s="34"/>
      <c r="AP208" s="34"/>
      <c r="AQ208" s="34"/>
      <c r="AR208" s="34"/>
      <c r="AS208" s="18"/>
      <c r="AT208" s="30"/>
      <c r="AU208" s="18"/>
      <c r="AV208" s="18"/>
      <c r="AW208" s="18"/>
      <c r="AX208" s="18"/>
    </row>
    <row r="209" spans="1:50" ht="18.75" customHeight="1" x14ac:dyDescent="0.2">
      <c r="A209" s="14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6"/>
      <c r="AB209" s="29" t="s">
        <v>191</v>
      </c>
      <c r="AC209" s="17"/>
      <c r="AD209" s="18"/>
      <c r="AE209" s="34"/>
      <c r="AF209" s="34"/>
      <c r="AG209" s="34"/>
      <c r="AH209" s="34"/>
      <c r="AI209" s="34"/>
      <c r="AJ209" s="18"/>
      <c r="AK209" s="34"/>
      <c r="AL209" s="34"/>
      <c r="AM209" s="34"/>
      <c r="AN209" s="34"/>
      <c r="AO209" s="34"/>
      <c r="AP209" s="34"/>
      <c r="AQ209" s="34"/>
      <c r="AR209" s="34"/>
      <c r="AS209" s="18"/>
      <c r="AT209" s="30"/>
      <c r="AU209" s="18"/>
      <c r="AV209" s="18"/>
      <c r="AW209" s="18"/>
      <c r="AX209" s="18"/>
    </row>
    <row r="210" spans="1:50" ht="18.75" customHeight="1" x14ac:dyDescent="0.2">
      <c r="A210" s="14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28" t="s">
        <v>288</v>
      </c>
      <c r="AB210" s="29" t="s">
        <v>296</v>
      </c>
      <c r="AC210" s="17"/>
      <c r="AD210" s="18"/>
      <c r="AE210" s="34"/>
      <c r="AF210" s="34"/>
      <c r="AG210" s="34"/>
      <c r="AH210" s="34"/>
      <c r="AI210" s="34"/>
      <c r="AJ210" s="18"/>
      <c r="AK210" s="34"/>
      <c r="AL210" s="34"/>
      <c r="AM210" s="34"/>
      <c r="AN210" s="34"/>
      <c r="AO210" s="34"/>
      <c r="AP210" s="34"/>
      <c r="AQ210" s="34"/>
      <c r="AR210" s="34"/>
      <c r="AS210" s="18"/>
      <c r="AT210" s="30"/>
      <c r="AU210" s="18"/>
      <c r="AV210" s="18"/>
      <c r="AW210" s="18"/>
      <c r="AX210" s="18"/>
    </row>
    <row r="211" spans="1:50" ht="18.75" customHeight="1" x14ac:dyDescent="0.2">
      <c r="A211" s="14" t="s">
        <v>55</v>
      </c>
      <c r="B211" s="15" t="s">
        <v>56</v>
      </c>
      <c r="C211" s="15"/>
      <c r="D211" s="15"/>
      <c r="E211" s="15"/>
      <c r="F211" s="15"/>
      <c r="G211" s="15" t="s">
        <v>41</v>
      </c>
      <c r="H211" s="15"/>
      <c r="I211" s="15" t="s">
        <v>936</v>
      </c>
      <c r="J211" s="15"/>
      <c r="K211" s="15" t="s">
        <v>932</v>
      </c>
      <c r="L211" s="15"/>
      <c r="M211" s="15" t="s">
        <v>933</v>
      </c>
      <c r="N211" s="15"/>
      <c r="O211" s="15" t="s">
        <v>948</v>
      </c>
      <c r="P211" s="15"/>
      <c r="Q211" s="15" t="s">
        <v>942</v>
      </c>
      <c r="R211" s="15"/>
      <c r="S211" s="15" t="s">
        <v>940</v>
      </c>
      <c r="T211" s="15">
        <v>0</v>
      </c>
      <c r="U211" s="15">
        <v>0</v>
      </c>
      <c r="V211" s="15">
        <v>0</v>
      </c>
      <c r="W211" s="15"/>
      <c r="X211" s="15" t="s">
        <v>937</v>
      </c>
      <c r="Y211" s="15"/>
      <c r="Z211" s="15"/>
      <c r="AA211" s="16" t="s">
        <v>297</v>
      </c>
      <c r="AB211" s="17" t="s">
        <v>233</v>
      </c>
      <c r="AC211" s="17" t="s">
        <v>58</v>
      </c>
      <c r="AD211" s="18">
        <v>200000000</v>
      </c>
      <c r="AE211" s="34">
        <v>0</v>
      </c>
      <c r="AF211" s="34">
        <v>0</v>
      </c>
      <c r="AG211" s="34">
        <v>0</v>
      </c>
      <c r="AH211" s="34">
        <v>0</v>
      </c>
      <c r="AI211" s="34">
        <v>0</v>
      </c>
      <c r="AJ211" s="18">
        <v>200000000</v>
      </c>
      <c r="AK211" s="34">
        <v>0</v>
      </c>
      <c r="AL211" s="34">
        <v>0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40">
        <f t="shared" ref="AT211" si="123">AQ211+AS211</f>
        <v>0</v>
      </c>
      <c r="AU211" s="18">
        <f>AJ211-AM211</f>
        <v>200000000</v>
      </c>
      <c r="AV211" s="34">
        <f>AM211-AP211</f>
        <v>0</v>
      </c>
      <c r="AW211" s="34">
        <f>AP211-AT211</f>
        <v>0</v>
      </c>
      <c r="AX211" s="123">
        <f>AP211/AJ211</f>
        <v>0</v>
      </c>
    </row>
    <row r="212" spans="1:50" ht="24" customHeight="1" x14ac:dyDescent="0.2">
      <c r="A212" s="14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6"/>
      <c r="AB212" s="29" t="s">
        <v>298</v>
      </c>
      <c r="AC212" s="17"/>
      <c r="AD212" s="18"/>
      <c r="AE212" s="34"/>
      <c r="AF212" s="34"/>
      <c r="AG212" s="34"/>
      <c r="AH212" s="34"/>
      <c r="AI212" s="34"/>
      <c r="AJ212" s="18"/>
      <c r="AK212" s="18"/>
      <c r="AL212" s="18"/>
      <c r="AM212" s="18"/>
      <c r="AN212" s="18"/>
      <c r="AO212" s="18"/>
      <c r="AP212" s="18"/>
      <c r="AQ212" s="18"/>
      <c r="AR212" s="18"/>
      <c r="AS212" s="34"/>
      <c r="AT212" s="31"/>
      <c r="AU212" s="18"/>
      <c r="AV212" s="18"/>
      <c r="AW212" s="18"/>
      <c r="AX212" s="18"/>
    </row>
    <row r="213" spans="1:50" ht="18.75" customHeight="1" x14ac:dyDescent="0.2">
      <c r="A213" s="14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28" t="s">
        <v>288</v>
      </c>
      <c r="AB213" s="29" t="s">
        <v>299</v>
      </c>
      <c r="AC213" s="17"/>
      <c r="AD213" s="18"/>
      <c r="AE213" s="34"/>
      <c r="AF213" s="34"/>
      <c r="AG213" s="34"/>
      <c r="AH213" s="34"/>
      <c r="AI213" s="34"/>
      <c r="AJ213" s="18"/>
      <c r="AK213" s="18"/>
      <c r="AL213" s="18"/>
      <c r="AM213" s="18"/>
      <c r="AN213" s="18"/>
      <c r="AO213" s="18"/>
      <c r="AP213" s="18"/>
      <c r="AQ213" s="18"/>
      <c r="AR213" s="18"/>
      <c r="AS213" s="34"/>
      <c r="AT213" s="31"/>
      <c r="AU213" s="18"/>
      <c r="AV213" s="18"/>
      <c r="AW213" s="18"/>
      <c r="AX213" s="18"/>
    </row>
    <row r="214" spans="1:50" ht="18.75" customHeight="1" x14ac:dyDescent="0.2">
      <c r="A214" s="14" t="s">
        <v>55</v>
      </c>
      <c r="B214" s="15" t="s">
        <v>56</v>
      </c>
      <c r="C214" s="15"/>
      <c r="D214" s="15"/>
      <c r="E214" s="15"/>
      <c r="F214" s="15"/>
      <c r="G214" s="15" t="s">
        <v>41</v>
      </c>
      <c r="H214" s="15"/>
      <c r="I214" s="15" t="s">
        <v>936</v>
      </c>
      <c r="J214" s="15"/>
      <c r="K214" s="15" t="s">
        <v>932</v>
      </c>
      <c r="L214" s="15"/>
      <c r="M214" s="15" t="s">
        <v>933</v>
      </c>
      <c r="N214" s="15"/>
      <c r="O214" s="15" t="s">
        <v>948</v>
      </c>
      <c r="P214" s="15"/>
      <c r="Q214" s="15" t="s">
        <v>942</v>
      </c>
      <c r="R214" s="15"/>
      <c r="S214" s="15" t="s">
        <v>940</v>
      </c>
      <c r="T214" s="15">
        <v>0</v>
      </c>
      <c r="U214" s="15">
        <v>0</v>
      </c>
      <c r="V214" s="15">
        <v>0</v>
      </c>
      <c r="W214" s="15"/>
      <c r="X214" s="15" t="s">
        <v>937</v>
      </c>
      <c r="Y214" s="15"/>
      <c r="Z214" s="15"/>
      <c r="AA214" s="16" t="s">
        <v>300</v>
      </c>
      <c r="AB214" s="17" t="s">
        <v>233</v>
      </c>
      <c r="AC214" s="17" t="s">
        <v>58</v>
      </c>
      <c r="AD214" s="18">
        <v>250000000</v>
      </c>
      <c r="AE214" s="34">
        <v>0</v>
      </c>
      <c r="AF214" s="34">
        <v>0</v>
      </c>
      <c r="AG214" s="18">
        <v>200000000</v>
      </c>
      <c r="AH214" s="34">
        <v>0</v>
      </c>
      <c r="AI214" s="18">
        <f>AE214-AF214+AG214-AH214</f>
        <v>200000000</v>
      </c>
      <c r="AJ214" s="18">
        <f>AD214+AI214</f>
        <v>450000000</v>
      </c>
      <c r="AK214" s="34">
        <v>0</v>
      </c>
      <c r="AL214" s="34">
        <v>0</v>
      </c>
      <c r="AM214" s="18">
        <v>247000000</v>
      </c>
      <c r="AN214" s="18">
        <v>0</v>
      </c>
      <c r="AO214" s="18">
        <v>0</v>
      </c>
      <c r="AP214" s="18">
        <v>247000000</v>
      </c>
      <c r="AQ214" s="18">
        <v>7250000</v>
      </c>
      <c r="AR214" s="18">
        <v>35000000</v>
      </c>
      <c r="AS214" s="18">
        <v>96633331</v>
      </c>
      <c r="AT214" s="39">
        <f t="shared" ref="AT214:AT229" si="124">AQ214+AS214</f>
        <v>103883331</v>
      </c>
      <c r="AU214" s="18">
        <f>AJ214-AM214</f>
        <v>203000000</v>
      </c>
      <c r="AV214" s="110">
        <f>AM214-AP214</f>
        <v>0</v>
      </c>
      <c r="AW214" s="110">
        <f>AP214-AT214</f>
        <v>143116669</v>
      </c>
      <c r="AX214" s="123">
        <f>AP214/AJ214</f>
        <v>0.54888888888888887</v>
      </c>
    </row>
    <row r="215" spans="1:50" ht="18.75" customHeight="1" x14ac:dyDescent="0.2">
      <c r="A215" s="14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28" t="s">
        <v>288</v>
      </c>
      <c r="AB215" s="29" t="s">
        <v>292</v>
      </c>
      <c r="AC215" s="17"/>
      <c r="AD215" s="18"/>
      <c r="AE215" s="34"/>
      <c r="AF215" s="34"/>
      <c r="AG215" s="34"/>
      <c r="AH215" s="34"/>
      <c r="AI215" s="34"/>
      <c r="AJ215" s="18"/>
      <c r="AK215" s="34"/>
      <c r="AL215" s="18"/>
      <c r="AM215" s="18"/>
      <c r="AN215" s="18"/>
      <c r="AO215" s="18"/>
      <c r="AP215" s="18"/>
      <c r="AQ215" s="18"/>
      <c r="AR215" s="18"/>
      <c r="AS215" s="34"/>
      <c r="AT215" s="31"/>
      <c r="AU215" s="18"/>
      <c r="AV215" s="18"/>
      <c r="AW215" s="18"/>
      <c r="AX215" s="18"/>
    </row>
    <row r="216" spans="1:50" ht="18.75" customHeight="1" x14ac:dyDescent="0.2">
      <c r="A216" s="35" t="s">
        <v>55</v>
      </c>
      <c r="B216" s="36" t="s">
        <v>56</v>
      </c>
      <c r="C216" s="36"/>
      <c r="D216" s="36"/>
      <c r="E216" s="36"/>
      <c r="F216" s="36"/>
      <c r="G216" s="36" t="s">
        <v>41</v>
      </c>
      <c r="H216" s="36"/>
      <c r="I216" s="36" t="s">
        <v>936</v>
      </c>
      <c r="J216" s="36"/>
      <c r="K216" s="36" t="s">
        <v>932</v>
      </c>
      <c r="L216" s="36"/>
      <c r="M216" s="36" t="s">
        <v>933</v>
      </c>
      <c r="N216" s="36"/>
      <c r="O216" s="36" t="s">
        <v>948</v>
      </c>
      <c r="P216" s="36"/>
      <c r="Q216" s="36" t="s">
        <v>942</v>
      </c>
      <c r="R216" s="36"/>
      <c r="S216" s="36" t="s">
        <v>940</v>
      </c>
      <c r="T216" s="36">
        <v>0</v>
      </c>
      <c r="U216" s="36">
        <v>0</v>
      </c>
      <c r="V216" s="36">
        <v>0</v>
      </c>
      <c r="W216" s="36"/>
      <c r="X216" s="36" t="s">
        <v>937</v>
      </c>
      <c r="Y216" s="36"/>
      <c r="Z216" s="36"/>
      <c r="AA216" s="37" t="s">
        <v>301</v>
      </c>
      <c r="AB216" s="38" t="s">
        <v>233</v>
      </c>
      <c r="AC216" s="38" t="s">
        <v>58</v>
      </c>
      <c r="AD216" s="39">
        <v>200000000</v>
      </c>
      <c r="AE216" s="40">
        <v>0</v>
      </c>
      <c r="AF216" s="40">
        <v>0</v>
      </c>
      <c r="AG216" s="18">
        <v>64995888</v>
      </c>
      <c r="AH216" s="40">
        <v>0</v>
      </c>
      <c r="AI216" s="18">
        <f>AE216-AF216+AG216-AH216</f>
        <v>64995888</v>
      </c>
      <c r="AJ216" s="18">
        <f>AD216+AI216</f>
        <v>264995888</v>
      </c>
      <c r="AK216" s="40">
        <v>0</v>
      </c>
      <c r="AL216" s="39">
        <v>1299467.01</v>
      </c>
      <c r="AM216" s="39">
        <v>78299467.010000005</v>
      </c>
      <c r="AN216" s="39">
        <v>0</v>
      </c>
      <c r="AO216" s="39">
        <v>66600016</v>
      </c>
      <c r="AP216" s="39">
        <v>66600016</v>
      </c>
      <c r="AQ216" s="39">
        <v>0</v>
      </c>
      <c r="AR216" s="39">
        <v>0</v>
      </c>
      <c r="AS216" s="39">
        <v>0</v>
      </c>
      <c r="AT216" s="40">
        <f t="shared" ref="AT216:AT219" si="125">AQ216+AS216</f>
        <v>0</v>
      </c>
      <c r="AU216" s="18">
        <f>AJ216-AM216</f>
        <v>186696420.99000001</v>
      </c>
      <c r="AV216" s="18">
        <f>AM216-AP216</f>
        <v>11699451.010000005</v>
      </c>
      <c r="AW216" s="18">
        <f>AP216-AT216</f>
        <v>66600016</v>
      </c>
      <c r="AX216" s="123">
        <f>AP216/AJ216</f>
        <v>0.2513247148951987</v>
      </c>
    </row>
    <row r="217" spans="1:50" ht="18.75" customHeight="1" x14ac:dyDescent="0.2">
      <c r="A217" s="35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101" t="s">
        <v>1234</v>
      </c>
      <c r="AB217" s="251" t="s">
        <v>1015</v>
      </c>
      <c r="AC217" s="38"/>
      <c r="AD217" s="40">
        <v>0</v>
      </c>
      <c r="AE217" s="40"/>
      <c r="AF217" s="40"/>
      <c r="AG217" s="18">
        <v>2307325192</v>
      </c>
      <c r="AH217" s="40">
        <v>0</v>
      </c>
      <c r="AI217" s="18">
        <f>AE217-AF217+AG217-AH217</f>
        <v>2307325192</v>
      </c>
      <c r="AJ217" s="18">
        <f>AD217+AI217</f>
        <v>2307325192</v>
      </c>
      <c r="AK217" s="40">
        <v>0</v>
      </c>
      <c r="AL217" s="40">
        <v>0</v>
      </c>
      <c r="AM217" s="40">
        <v>0</v>
      </c>
      <c r="AN217" s="40">
        <v>0</v>
      </c>
      <c r="AO217" s="40">
        <v>0</v>
      </c>
      <c r="AP217" s="40">
        <v>0</v>
      </c>
      <c r="AQ217" s="40">
        <v>0</v>
      </c>
      <c r="AR217" s="40">
        <v>0</v>
      </c>
      <c r="AS217" s="40">
        <v>0</v>
      </c>
      <c r="AT217" s="40">
        <f t="shared" ref="AT217" si="126">AQ217+AS217</f>
        <v>0</v>
      </c>
      <c r="AU217" s="18">
        <f>AJ217-AM217</f>
        <v>2307325192</v>
      </c>
      <c r="AV217" s="18">
        <f>AM217-AP217</f>
        <v>0</v>
      </c>
      <c r="AW217" s="18">
        <f>AP217-AT217</f>
        <v>0</v>
      </c>
      <c r="AX217" s="123">
        <f>AP217/AJ217</f>
        <v>0</v>
      </c>
    </row>
    <row r="218" spans="1:50" ht="26.25" customHeight="1" x14ac:dyDescent="0.2">
      <c r="A218" s="35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28" t="s">
        <v>288</v>
      </c>
      <c r="AB218" s="29" t="s">
        <v>298</v>
      </c>
      <c r="AC218" s="38"/>
      <c r="AD218" s="40"/>
      <c r="AE218" s="40"/>
      <c r="AF218" s="40"/>
      <c r="AG218" s="40"/>
      <c r="AH218" s="40"/>
      <c r="AI218" s="40"/>
      <c r="AJ218" s="39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>
        <f t="shared" si="125"/>
        <v>0</v>
      </c>
      <c r="AU218" s="18">
        <f>AJ218-AM218</f>
        <v>0</v>
      </c>
      <c r="AV218" s="34">
        <f>AM218-AP218</f>
        <v>0</v>
      </c>
      <c r="AW218" s="34">
        <f>AP218-AT218</f>
        <v>0</v>
      </c>
      <c r="AX218" s="123">
        <v>0</v>
      </c>
    </row>
    <row r="219" spans="1:50" ht="18.75" customHeight="1" x14ac:dyDescent="0.2">
      <c r="A219" s="35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101" t="s">
        <v>1218</v>
      </c>
      <c r="AB219" s="251" t="s">
        <v>233</v>
      </c>
      <c r="AC219" s="38"/>
      <c r="AD219" s="40">
        <v>0</v>
      </c>
      <c r="AE219" s="40">
        <v>0</v>
      </c>
      <c r="AF219" s="40">
        <v>0</v>
      </c>
      <c r="AG219" s="39">
        <v>4935004112</v>
      </c>
      <c r="AH219" s="40">
        <v>0</v>
      </c>
      <c r="AI219" s="18">
        <f>AE219-AF219+AG219-AH219</f>
        <v>4935004112</v>
      </c>
      <c r="AJ219" s="18">
        <f>AD219+AI219</f>
        <v>4935004112</v>
      </c>
      <c r="AK219" s="40">
        <v>0</v>
      </c>
      <c r="AL219" s="40">
        <v>0</v>
      </c>
      <c r="AM219" s="40">
        <v>0</v>
      </c>
      <c r="AN219" s="40">
        <v>0</v>
      </c>
      <c r="AO219" s="40">
        <v>0</v>
      </c>
      <c r="AP219" s="40">
        <v>0</v>
      </c>
      <c r="AQ219" s="40">
        <v>0</v>
      </c>
      <c r="AR219" s="40">
        <v>0</v>
      </c>
      <c r="AS219" s="40">
        <v>0</v>
      </c>
      <c r="AT219" s="40">
        <f t="shared" si="125"/>
        <v>0</v>
      </c>
      <c r="AU219" s="18">
        <f>AJ219-AM219</f>
        <v>4935004112</v>
      </c>
      <c r="AV219" s="34">
        <f>AM219-AP219</f>
        <v>0</v>
      </c>
      <c r="AW219" s="34">
        <f>AP219-AT219</f>
        <v>0</v>
      </c>
      <c r="AX219" s="123">
        <f>AP219/AJ219</f>
        <v>0</v>
      </c>
    </row>
    <row r="220" spans="1:50" ht="24.75" customHeight="1" x14ac:dyDescent="0.2">
      <c r="A220" s="14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28" t="s">
        <v>288</v>
      </c>
      <c r="AB220" s="29" t="s">
        <v>302</v>
      </c>
      <c r="AC220" s="17"/>
      <c r="AD220" s="18"/>
      <c r="AE220" s="34"/>
      <c r="AF220" s="34"/>
      <c r="AG220" s="34"/>
      <c r="AH220" s="34"/>
      <c r="AI220" s="34"/>
      <c r="AJ220" s="18"/>
      <c r="AK220" s="34"/>
      <c r="AL220" s="34"/>
      <c r="AM220" s="34"/>
      <c r="AN220" s="34"/>
      <c r="AO220" s="34"/>
      <c r="AP220" s="34"/>
      <c r="AQ220" s="34"/>
      <c r="AR220" s="34"/>
      <c r="AS220" s="34"/>
      <c r="AT220" s="31"/>
      <c r="AU220" s="18"/>
      <c r="AV220" s="34"/>
      <c r="AW220" s="34"/>
      <c r="AX220" s="18"/>
    </row>
    <row r="221" spans="1:50" ht="18.75" customHeight="1" x14ac:dyDescent="0.2">
      <c r="A221" s="14" t="s">
        <v>55</v>
      </c>
      <c r="B221" s="15" t="s">
        <v>56</v>
      </c>
      <c r="C221" s="15"/>
      <c r="D221" s="15"/>
      <c r="E221" s="15"/>
      <c r="F221" s="15"/>
      <c r="G221" s="15" t="s">
        <v>41</v>
      </c>
      <c r="H221" s="15"/>
      <c r="I221" s="15" t="s">
        <v>936</v>
      </c>
      <c r="J221" s="15"/>
      <c r="K221" s="15" t="s">
        <v>932</v>
      </c>
      <c r="L221" s="15"/>
      <c r="M221" s="15" t="s">
        <v>933</v>
      </c>
      <c r="N221" s="15"/>
      <c r="O221" s="15" t="s">
        <v>948</v>
      </c>
      <c r="P221" s="15"/>
      <c r="Q221" s="15" t="s">
        <v>942</v>
      </c>
      <c r="R221" s="15"/>
      <c r="S221" s="15" t="s">
        <v>940</v>
      </c>
      <c r="T221" s="15">
        <v>0</v>
      </c>
      <c r="U221" s="15">
        <v>0</v>
      </c>
      <c r="V221" s="15">
        <v>0</v>
      </c>
      <c r="W221" s="15"/>
      <c r="X221" s="15" t="s">
        <v>937</v>
      </c>
      <c r="Y221" s="15"/>
      <c r="Z221" s="15"/>
      <c r="AA221" s="16" t="s">
        <v>303</v>
      </c>
      <c r="AB221" s="17" t="s">
        <v>233</v>
      </c>
      <c r="AC221" s="17" t="s">
        <v>58</v>
      </c>
      <c r="AD221" s="18">
        <v>850000000</v>
      </c>
      <c r="AE221" s="34">
        <v>0</v>
      </c>
      <c r="AF221" s="34">
        <v>0</v>
      </c>
      <c r="AG221" s="34">
        <v>0</v>
      </c>
      <c r="AH221" s="34">
        <v>0</v>
      </c>
      <c r="AI221" s="34">
        <v>0</v>
      </c>
      <c r="AJ221" s="18">
        <v>850000000</v>
      </c>
      <c r="AK221" s="34">
        <v>0</v>
      </c>
      <c r="AL221" s="34">
        <v>0</v>
      </c>
      <c r="AM221" s="110">
        <v>663607711</v>
      </c>
      <c r="AN221" s="110">
        <v>18000000</v>
      </c>
      <c r="AO221" s="110">
        <v>10000000</v>
      </c>
      <c r="AP221" s="110">
        <v>644679430</v>
      </c>
      <c r="AQ221" s="18">
        <v>14633333</v>
      </c>
      <c r="AR221" s="18">
        <v>86739415</v>
      </c>
      <c r="AS221" s="18">
        <v>178693507.65000001</v>
      </c>
      <c r="AT221" s="39">
        <f t="shared" ref="AT221" si="127">AQ221+AS221</f>
        <v>193326840.65000001</v>
      </c>
      <c r="AU221" s="18">
        <f>AJ221-AM221</f>
        <v>186392289</v>
      </c>
      <c r="AV221" s="110">
        <f>AM221-AP221</f>
        <v>18928281</v>
      </c>
      <c r="AW221" s="110">
        <f>AP221-AT221</f>
        <v>451352589.35000002</v>
      </c>
      <c r="AX221" s="123">
        <f>AP221/AJ221</f>
        <v>0.75844638823529409</v>
      </c>
    </row>
    <row r="222" spans="1:50" ht="18.75" customHeight="1" x14ac:dyDescent="0.2">
      <c r="A222" s="35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28" t="s">
        <v>288</v>
      </c>
      <c r="AB222" s="29" t="s">
        <v>304</v>
      </c>
      <c r="AC222" s="38"/>
      <c r="AD222" s="39"/>
      <c r="AE222" s="40"/>
      <c r="AF222" s="40"/>
      <c r="AG222" s="40"/>
      <c r="AH222" s="40"/>
      <c r="AI222" s="40"/>
      <c r="AJ222" s="39"/>
      <c r="AK222" s="39"/>
      <c r="AL222" s="39"/>
      <c r="AM222" s="40"/>
      <c r="AN222" s="40"/>
      <c r="AO222" s="40"/>
      <c r="AP222" s="40"/>
      <c r="AQ222" s="40"/>
      <c r="AR222" s="40"/>
      <c r="AS222" s="40"/>
      <c r="AT222" s="31"/>
      <c r="AU222" s="39"/>
      <c r="AV222" s="40"/>
      <c r="AW222" s="40"/>
      <c r="AX222" s="18"/>
    </row>
    <row r="223" spans="1:50" ht="18.75" customHeight="1" x14ac:dyDescent="0.2">
      <c r="A223" s="14" t="s">
        <v>55</v>
      </c>
      <c r="B223" s="15" t="s">
        <v>56</v>
      </c>
      <c r="C223" s="15"/>
      <c r="D223" s="15"/>
      <c r="E223" s="15"/>
      <c r="F223" s="15"/>
      <c r="G223" s="15" t="s">
        <v>41</v>
      </c>
      <c r="H223" s="15"/>
      <c r="I223" s="15" t="s">
        <v>936</v>
      </c>
      <c r="J223" s="15"/>
      <c r="K223" s="15" t="s">
        <v>932</v>
      </c>
      <c r="L223" s="15"/>
      <c r="M223" s="15" t="s">
        <v>933</v>
      </c>
      <c r="N223" s="15"/>
      <c r="O223" s="15" t="s">
        <v>948</v>
      </c>
      <c r="P223" s="15"/>
      <c r="Q223" s="15" t="s">
        <v>942</v>
      </c>
      <c r="R223" s="15"/>
      <c r="S223" s="15" t="s">
        <v>940</v>
      </c>
      <c r="T223" s="15">
        <v>0</v>
      </c>
      <c r="U223" s="15">
        <v>0</v>
      </c>
      <c r="V223" s="15">
        <v>0</v>
      </c>
      <c r="W223" s="15"/>
      <c r="X223" s="15" t="s">
        <v>937</v>
      </c>
      <c r="Y223" s="15"/>
      <c r="Z223" s="15"/>
      <c r="AA223" s="16" t="s">
        <v>305</v>
      </c>
      <c r="AB223" s="17" t="s">
        <v>233</v>
      </c>
      <c r="AC223" s="17" t="s">
        <v>58</v>
      </c>
      <c r="AD223" s="18">
        <v>100000000</v>
      </c>
      <c r="AE223" s="34">
        <v>0</v>
      </c>
      <c r="AF223" s="34">
        <v>0</v>
      </c>
      <c r="AG223" s="34">
        <v>0</v>
      </c>
      <c r="AH223" s="34">
        <v>0</v>
      </c>
      <c r="AI223" s="34">
        <v>0</v>
      </c>
      <c r="AJ223" s="18">
        <v>100000000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40">
        <f t="shared" ref="AT223:AT225" si="128">AQ223+AS223</f>
        <v>0</v>
      </c>
      <c r="AU223" s="18">
        <f>AJ223-AM223</f>
        <v>100000000</v>
      </c>
      <c r="AV223" s="34">
        <f>AM223-AP223</f>
        <v>0</v>
      </c>
      <c r="AW223" s="34">
        <f>AP223-AT223</f>
        <v>0</v>
      </c>
      <c r="AX223" s="123">
        <f>AP223/AJ223</f>
        <v>0</v>
      </c>
    </row>
    <row r="224" spans="1:50" ht="40.5" customHeight="1" x14ac:dyDescent="0.2">
      <c r="A224" s="14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73" t="s">
        <v>288</v>
      </c>
      <c r="AB224" s="247" t="s">
        <v>958</v>
      </c>
      <c r="AC224" s="17"/>
      <c r="AD224" s="18"/>
      <c r="AE224" s="34"/>
      <c r="AF224" s="34"/>
      <c r="AG224" s="34"/>
      <c r="AH224" s="34"/>
      <c r="AI224" s="34"/>
      <c r="AJ224" s="18"/>
      <c r="AK224" s="34"/>
      <c r="AL224" s="34"/>
      <c r="AM224" s="34"/>
      <c r="AN224" s="34"/>
      <c r="AO224" s="34"/>
      <c r="AP224" s="34"/>
      <c r="AQ224" s="34"/>
      <c r="AR224" s="34"/>
      <c r="AS224" s="34"/>
      <c r="AT224" s="40"/>
      <c r="AU224" s="18"/>
      <c r="AV224" s="34"/>
      <c r="AW224" s="34"/>
      <c r="AX224" s="123"/>
    </row>
    <row r="225" spans="1:50" ht="30" customHeight="1" x14ac:dyDescent="0.2">
      <c r="A225" s="14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250" t="s">
        <v>765</v>
      </c>
      <c r="AB225" s="248" t="s">
        <v>233</v>
      </c>
      <c r="AC225" s="17"/>
      <c r="AD225" s="34">
        <v>0</v>
      </c>
      <c r="AE225" s="34">
        <v>0</v>
      </c>
      <c r="AF225" s="34">
        <v>0</v>
      </c>
      <c r="AG225" s="18">
        <v>200000000</v>
      </c>
      <c r="AH225" s="18">
        <v>200000000</v>
      </c>
      <c r="AI225" s="34">
        <f>AE225-AF225+AG225-AH225</f>
        <v>0</v>
      </c>
      <c r="AJ225" s="34">
        <f>AD225+AI225</f>
        <v>0</v>
      </c>
      <c r="AK225" s="34">
        <v>0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  <c r="AS225" s="34">
        <v>0</v>
      </c>
      <c r="AT225" s="40">
        <f t="shared" si="128"/>
        <v>0</v>
      </c>
      <c r="AU225" s="18">
        <f>AJ225-AM225</f>
        <v>0</v>
      </c>
      <c r="AV225" s="34">
        <f>AM225-AP225</f>
        <v>0</v>
      </c>
      <c r="AW225" s="34">
        <f>AP225-AT225</f>
        <v>0</v>
      </c>
      <c r="AX225" s="123">
        <v>0</v>
      </c>
    </row>
    <row r="226" spans="1:50" ht="18.75" customHeight="1" x14ac:dyDescent="0.2">
      <c r="A226" s="35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28" t="s">
        <v>288</v>
      </c>
      <c r="AB226" s="249" t="s">
        <v>306</v>
      </c>
      <c r="AC226" s="38"/>
      <c r="AD226" s="39"/>
      <c r="AE226" s="40"/>
      <c r="AF226" s="40"/>
      <c r="AG226" s="40"/>
      <c r="AH226" s="40"/>
      <c r="AI226" s="40"/>
      <c r="AJ226" s="39"/>
      <c r="AK226" s="40"/>
      <c r="AL226" s="40"/>
      <c r="AM226" s="40"/>
      <c r="AN226" s="40"/>
      <c r="AO226" s="40"/>
      <c r="AP226" s="40"/>
      <c r="AQ226" s="40"/>
      <c r="AR226" s="40"/>
      <c r="AS226" s="39"/>
      <c r="AT226" s="30"/>
      <c r="AU226" s="39"/>
      <c r="AV226" s="39"/>
      <c r="AW226" s="40"/>
      <c r="AX226" s="18"/>
    </row>
    <row r="227" spans="1:50" ht="18.75" customHeight="1" x14ac:dyDescent="0.2">
      <c r="A227" s="14" t="s">
        <v>55</v>
      </c>
      <c r="B227" s="15" t="s">
        <v>56</v>
      </c>
      <c r="C227" s="15"/>
      <c r="D227" s="15"/>
      <c r="E227" s="15"/>
      <c r="F227" s="15"/>
      <c r="G227" s="15" t="s">
        <v>41</v>
      </c>
      <c r="H227" s="15"/>
      <c r="I227" s="15" t="s">
        <v>936</v>
      </c>
      <c r="J227" s="15"/>
      <c r="K227" s="15" t="s">
        <v>932</v>
      </c>
      <c r="L227" s="15"/>
      <c r="M227" s="15" t="s">
        <v>933</v>
      </c>
      <c r="N227" s="15"/>
      <c r="O227" s="15" t="s">
        <v>948</v>
      </c>
      <c r="P227" s="15"/>
      <c r="Q227" s="15" t="s">
        <v>942</v>
      </c>
      <c r="R227" s="15"/>
      <c r="S227" s="15" t="s">
        <v>940</v>
      </c>
      <c r="T227" s="15">
        <v>0</v>
      </c>
      <c r="U227" s="15">
        <v>0</v>
      </c>
      <c r="V227" s="15">
        <v>0</v>
      </c>
      <c r="W227" s="15"/>
      <c r="X227" s="15" t="s">
        <v>937</v>
      </c>
      <c r="Y227" s="15"/>
      <c r="Z227" s="15"/>
      <c r="AA227" s="16" t="s">
        <v>307</v>
      </c>
      <c r="AB227" s="17" t="s">
        <v>233</v>
      </c>
      <c r="AC227" s="17" t="s">
        <v>58</v>
      </c>
      <c r="AD227" s="18">
        <v>50000000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18">
        <v>50000000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40">
        <f t="shared" si="124"/>
        <v>0</v>
      </c>
      <c r="AU227" s="18">
        <f>AJ227-AM227</f>
        <v>50000000</v>
      </c>
      <c r="AV227" s="34">
        <f>AM227-AP227</f>
        <v>0</v>
      </c>
      <c r="AW227" s="34">
        <f>AP227-AT227</f>
        <v>0</v>
      </c>
      <c r="AX227" s="123">
        <f>AP227/AJ227</f>
        <v>0</v>
      </c>
    </row>
    <row r="228" spans="1:50" ht="18.75" customHeight="1" x14ac:dyDescent="0.2">
      <c r="A228" s="14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28" t="s">
        <v>288</v>
      </c>
      <c r="AB228" s="29" t="s">
        <v>308</v>
      </c>
      <c r="AC228" s="17"/>
      <c r="AD228" s="18"/>
      <c r="AE228" s="34"/>
      <c r="AF228" s="34"/>
      <c r="AG228" s="34"/>
      <c r="AH228" s="34"/>
      <c r="AI228" s="34"/>
      <c r="AJ228" s="18"/>
      <c r="AK228" s="34"/>
      <c r="AL228" s="34"/>
      <c r="AM228" s="34"/>
      <c r="AN228" s="34"/>
      <c r="AO228" s="34"/>
      <c r="AP228" s="34"/>
      <c r="AQ228" s="34"/>
      <c r="AR228" s="34"/>
      <c r="AS228" s="34"/>
      <c r="AT228" s="31"/>
      <c r="AU228" s="18"/>
      <c r="AV228" s="18"/>
      <c r="AW228" s="34"/>
      <c r="AX228" s="18"/>
    </row>
    <row r="229" spans="1:50" ht="18.75" customHeight="1" x14ac:dyDescent="0.2">
      <c r="A229" s="35" t="s">
        <v>55</v>
      </c>
      <c r="B229" s="36" t="s">
        <v>56</v>
      </c>
      <c r="C229" s="36"/>
      <c r="D229" s="36"/>
      <c r="E229" s="36"/>
      <c r="F229" s="36"/>
      <c r="G229" s="36" t="s">
        <v>41</v>
      </c>
      <c r="H229" s="36"/>
      <c r="I229" s="36" t="s">
        <v>936</v>
      </c>
      <c r="J229" s="36"/>
      <c r="K229" s="36" t="s">
        <v>932</v>
      </c>
      <c r="L229" s="36"/>
      <c r="M229" s="36" t="s">
        <v>933</v>
      </c>
      <c r="N229" s="36"/>
      <c r="O229" s="36" t="s">
        <v>948</v>
      </c>
      <c r="P229" s="36"/>
      <c r="Q229" s="36" t="s">
        <v>942</v>
      </c>
      <c r="R229" s="36"/>
      <c r="S229" s="36" t="s">
        <v>940</v>
      </c>
      <c r="T229" s="36">
        <v>0</v>
      </c>
      <c r="U229" s="36">
        <v>0</v>
      </c>
      <c r="V229" s="36">
        <v>0</v>
      </c>
      <c r="W229" s="36"/>
      <c r="X229" s="36" t="s">
        <v>937</v>
      </c>
      <c r="Y229" s="36"/>
      <c r="Z229" s="36"/>
      <c r="AA229" s="37" t="s">
        <v>309</v>
      </c>
      <c r="AB229" s="38" t="s">
        <v>233</v>
      </c>
      <c r="AC229" s="38" t="s">
        <v>58</v>
      </c>
      <c r="AD229" s="39">
        <v>50000000</v>
      </c>
      <c r="AE229" s="40">
        <v>0</v>
      </c>
      <c r="AF229" s="40">
        <v>0</v>
      </c>
      <c r="AG229" s="40">
        <v>0</v>
      </c>
      <c r="AH229" s="40">
        <v>0</v>
      </c>
      <c r="AI229" s="40">
        <v>0</v>
      </c>
      <c r="AJ229" s="39">
        <v>50000000</v>
      </c>
      <c r="AK229" s="40">
        <v>0</v>
      </c>
      <c r="AL229" s="40">
        <v>0</v>
      </c>
      <c r="AM229" s="40">
        <v>0</v>
      </c>
      <c r="AN229" s="40">
        <v>0</v>
      </c>
      <c r="AO229" s="40">
        <v>0</v>
      </c>
      <c r="AP229" s="40">
        <v>0</v>
      </c>
      <c r="AQ229" s="40">
        <v>0</v>
      </c>
      <c r="AR229" s="40">
        <v>0</v>
      </c>
      <c r="AS229" s="40">
        <v>0</v>
      </c>
      <c r="AT229" s="40">
        <f t="shared" si="124"/>
        <v>0</v>
      </c>
      <c r="AU229" s="18">
        <f>AJ229-AM229</f>
        <v>50000000</v>
      </c>
      <c r="AV229" s="34">
        <f>AM229-AP229</f>
        <v>0</v>
      </c>
      <c r="AW229" s="34">
        <f>AP229-AT229</f>
        <v>0</v>
      </c>
      <c r="AX229" s="123">
        <f>AP229/AJ229</f>
        <v>0</v>
      </c>
    </row>
    <row r="230" spans="1:50" ht="18.75" customHeight="1" x14ac:dyDescent="0.2">
      <c r="A230" s="14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28" t="s">
        <v>288</v>
      </c>
      <c r="AB230" s="29" t="s">
        <v>310</v>
      </c>
      <c r="AC230" s="17"/>
      <c r="AD230" s="18"/>
      <c r="AE230" s="34"/>
      <c r="AF230" s="34"/>
      <c r="AG230" s="34"/>
      <c r="AH230" s="34"/>
      <c r="AI230" s="34"/>
      <c r="AJ230" s="18"/>
      <c r="AK230" s="18"/>
      <c r="AL230" s="18"/>
      <c r="AM230" s="18"/>
      <c r="AN230" s="18"/>
      <c r="AO230" s="18"/>
      <c r="AP230" s="18"/>
      <c r="AQ230" s="18"/>
      <c r="AR230" s="18"/>
      <c r="AS230" s="34"/>
      <c r="AT230" s="31"/>
      <c r="AU230" s="18"/>
      <c r="AV230" s="18"/>
      <c r="AW230" s="18"/>
      <c r="AX230" s="18"/>
    </row>
    <row r="231" spans="1:50" ht="18.75" customHeight="1" x14ac:dyDescent="0.2">
      <c r="A231" s="14" t="s">
        <v>55</v>
      </c>
      <c r="B231" s="15" t="s">
        <v>56</v>
      </c>
      <c r="C231" s="15"/>
      <c r="D231" s="15"/>
      <c r="E231" s="15"/>
      <c r="F231" s="15"/>
      <c r="G231" s="15" t="s">
        <v>41</v>
      </c>
      <c r="H231" s="15"/>
      <c r="I231" s="15" t="s">
        <v>936</v>
      </c>
      <c r="J231" s="15"/>
      <c r="K231" s="15" t="s">
        <v>932</v>
      </c>
      <c r="L231" s="15"/>
      <c r="M231" s="15" t="s">
        <v>933</v>
      </c>
      <c r="N231" s="15"/>
      <c r="O231" s="15" t="s">
        <v>948</v>
      </c>
      <c r="P231" s="15"/>
      <c r="Q231" s="15" t="s">
        <v>942</v>
      </c>
      <c r="R231" s="15"/>
      <c r="S231" s="15" t="s">
        <v>940</v>
      </c>
      <c r="T231" s="15">
        <v>0</v>
      </c>
      <c r="U231" s="15">
        <v>0</v>
      </c>
      <c r="V231" s="15">
        <v>0</v>
      </c>
      <c r="W231" s="15"/>
      <c r="X231" s="15" t="s">
        <v>937</v>
      </c>
      <c r="Y231" s="15"/>
      <c r="Z231" s="15"/>
      <c r="AA231" s="16" t="s">
        <v>311</v>
      </c>
      <c r="AB231" s="17" t="s">
        <v>233</v>
      </c>
      <c r="AC231" s="17" t="s">
        <v>58</v>
      </c>
      <c r="AD231" s="18">
        <v>1400000000</v>
      </c>
      <c r="AE231" s="34">
        <v>0</v>
      </c>
      <c r="AF231" s="34">
        <v>0</v>
      </c>
      <c r="AG231" s="34">
        <v>0</v>
      </c>
      <c r="AH231" s="34">
        <v>0</v>
      </c>
      <c r="AI231" s="34">
        <v>0</v>
      </c>
      <c r="AJ231" s="18">
        <v>1400000000</v>
      </c>
      <c r="AK231" s="34">
        <v>0</v>
      </c>
      <c r="AL231" s="18">
        <v>0</v>
      </c>
      <c r="AM231" s="18">
        <v>1205735923</v>
      </c>
      <c r="AN231" s="34">
        <v>0</v>
      </c>
      <c r="AO231" s="18">
        <v>30815789</v>
      </c>
      <c r="AP231" s="18">
        <v>1171960870</v>
      </c>
      <c r="AQ231" s="18">
        <v>0</v>
      </c>
      <c r="AR231" s="18">
        <v>46200000</v>
      </c>
      <c r="AS231" s="18">
        <v>133549999</v>
      </c>
      <c r="AT231" s="111">
        <f t="shared" ref="AT231" si="129">AQ231+AS231</f>
        <v>133549999</v>
      </c>
      <c r="AU231" s="18">
        <f>AJ231-AM231</f>
        <v>194264077</v>
      </c>
      <c r="AV231" s="110">
        <f>AM231-AP231</f>
        <v>33775053</v>
      </c>
      <c r="AW231" s="18">
        <f>AP231-AT231</f>
        <v>1038410871</v>
      </c>
      <c r="AX231" s="123">
        <f>AP231/AJ231</f>
        <v>0.83711490714285719</v>
      </c>
    </row>
    <row r="232" spans="1:50" ht="18.75" customHeight="1" x14ac:dyDescent="0.2">
      <c r="A232" s="35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7"/>
      <c r="AB232" s="29" t="s">
        <v>199</v>
      </c>
      <c r="AC232" s="38"/>
      <c r="AD232" s="39"/>
      <c r="AE232" s="40"/>
      <c r="AF232" s="40"/>
      <c r="AG232" s="40"/>
      <c r="AH232" s="40"/>
      <c r="AI232" s="40"/>
      <c r="AJ232" s="39"/>
      <c r="AK232" s="40"/>
      <c r="AL232" s="39"/>
      <c r="AM232" s="39"/>
      <c r="AN232" s="39"/>
      <c r="AO232" s="39"/>
      <c r="AP232" s="39"/>
      <c r="AQ232" s="40"/>
      <c r="AR232" s="40"/>
      <c r="AS232" s="40"/>
      <c r="AT232" s="31"/>
      <c r="AU232" s="39"/>
      <c r="AV232" s="39"/>
      <c r="AW232" s="39"/>
      <c r="AX232" s="18"/>
    </row>
    <row r="233" spans="1:50" ht="26.25" customHeight="1" x14ac:dyDescent="0.2">
      <c r="A233" s="14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28" t="s">
        <v>288</v>
      </c>
      <c r="AB233" s="29" t="s">
        <v>312</v>
      </c>
      <c r="AC233" s="17"/>
      <c r="AD233" s="18"/>
      <c r="AE233" s="34"/>
      <c r="AF233" s="34"/>
      <c r="AG233" s="34"/>
      <c r="AH233" s="34"/>
      <c r="AI233" s="34"/>
      <c r="AJ233" s="18"/>
      <c r="AK233" s="34"/>
      <c r="AL233" s="18"/>
      <c r="AM233" s="18"/>
      <c r="AN233" s="18"/>
      <c r="AO233" s="18"/>
      <c r="AP233" s="18"/>
      <c r="AQ233" s="34"/>
      <c r="AR233" s="34"/>
      <c r="AS233" s="34"/>
      <c r="AT233" s="31"/>
      <c r="AU233" s="18"/>
      <c r="AV233" s="18"/>
      <c r="AW233" s="18"/>
      <c r="AX233" s="18"/>
    </row>
    <row r="234" spans="1:50" ht="18.75" customHeight="1" x14ac:dyDescent="0.2">
      <c r="A234" s="14" t="s">
        <v>55</v>
      </c>
      <c r="B234" s="15" t="s">
        <v>56</v>
      </c>
      <c r="C234" s="15"/>
      <c r="D234" s="15"/>
      <c r="E234" s="15"/>
      <c r="F234" s="15"/>
      <c r="G234" s="15" t="s">
        <v>41</v>
      </c>
      <c r="H234" s="15"/>
      <c r="I234" s="15" t="s">
        <v>936</v>
      </c>
      <c r="J234" s="15"/>
      <c r="K234" s="15" t="s">
        <v>932</v>
      </c>
      <c r="L234" s="15"/>
      <c r="M234" s="15" t="s">
        <v>933</v>
      </c>
      <c r="N234" s="15"/>
      <c r="O234" s="15" t="s">
        <v>948</v>
      </c>
      <c r="P234" s="15"/>
      <c r="Q234" s="15" t="s">
        <v>942</v>
      </c>
      <c r="R234" s="15"/>
      <c r="S234" s="15" t="s">
        <v>940</v>
      </c>
      <c r="T234" s="15">
        <v>0</v>
      </c>
      <c r="U234" s="15">
        <v>0</v>
      </c>
      <c r="V234" s="15">
        <v>0</v>
      </c>
      <c r="W234" s="15"/>
      <c r="X234" s="15" t="s">
        <v>937</v>
      </c>
      <c r="Y234" s="15"/>
      <c r="Z234" s="15"/>
      <c r="AA234" s="16" t="s">
        <v>313</v>
      </c>
      <c r="AB234" s="17" t="s">
        <v>233</v>
      </c>
      <c r="AC234" s="17" t="s">
        <v>58</v>
      </c>
      <c r="AD234" s="18">
        <v>400000000</v>
      </c>
      <c r="AE234" s="34">
        <v>0</v>
      </c>
      <c r="AF234" s="34">
        <v>0</v>
      </c>
      <c r="AG234" s="34">
        <v>0</v>
      </c>
      <c r="AH234" s="34">
        <v>0</v>
      </c>
      <c r="AI234" s="34">
        <v>0</v>
      </c>
      <c r="AJ234" s="18">
        <v>400000000</v>
      </c>
      <c r="AK234" s="34">
        <v>0</v>
      </c>
      <c r="AL234" s="34">
        <v>0</v>
      </c>
      <c r="AM234" s="34">
        <v>0</v>
      </c>
      <c r="AN234" s="34">
        <v>0</v>
      </c>
      <c r="AO234" s="34">
        <v>0</v>
      </c>
      <c r="AP234" s="34">
        <v>0</v>
      </c>
      <c r="AQ234" s="34">
        <v>0</v>
      </c>
      <c r="AR234" s="34">
        <v>0</v>
      </c>
      <c r="AS234" s="34">
        <v>0</v>
      </c>
      <c r="AT234" s="40">
        <f t="shared" ref="AT234" si="130">AQ234+AS234</f>
        <v>0</v>
      </c>
      <c r="AU234" s="18">
        <f>AJ234-AM234</f>
        <v>400000000</v>
      </c>
      <c r="AV234" s="34">
        <f>AM234-AP234</f>
        <v>0</v>
      </c>
      <c r="AW234" s="34">
        <f>AP234-AT234</f>
        <v>0</v>
      </c>
      <c r="AX234" s="123">
        <f>AP234/AJ234</f>
        <v>0</v>
      </c>
    </row>
    <row r="235" spans="1:50" ht="18.75" customHeight="1" x14ac:dyDescent="0.2">
      <c r="A235" s="14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6"/>
      <c r="AB235" s="17"/>
      <c r="AC235" s="17"/>
      <c r="AD235" s="18"/>
      <c r="AE235" s="34"/>
      <c r="AF235" s="34"/>
      <c r="AG235" s="34"/>
      <c r="AH235" s="34"/>
      <c r="AI235" s="34"/>
      <c r="AJ235" s="18"/>
      <c r="AK235" s="34"/>
      <c r="AL235" s="34"/>
      <c r="AM235" s="34"/>
      <c r="AN235" s="34"/>
      <c r="AO235" s="34"/>
      <c r="AP235" s="34"/>
      <c r="AQ235" s="34"/>
      <c r="AR235" s="34"/>
      <c r="AS235" s="34"/>
      <c r="AT235" s="40"/>
      <c r="AU235" s="18"/>
      <c r="AV235" s="34"/>
      <c r="AW235" s="34"/>
      <c r="AX235" s="123"/>
    </row>
    <row r="236" spans="1:50" ht="18.75" customHeight="1" x14ac:dyDescent="0.2">
      <c r="A236" s="14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70" t="s">
        <v>1016</v>
      </c>
      <c r="AB236" s="165" t="s">
        <v>997</v>
      </c>
      <c r="AC236" s="161"/>
      <c r="AD236" s="18"/>
      <c r="AE236" s="34"/>
      <c r="AF236" s="34"/>
      <c r="AG236" s="34"/>
      <c r="AH236" s="34"/>
      <c r="AI236" s="34"/>
      <c r="AJ236" s="18"/>
      <c r="AK236" s="34"/>
      <c r="AL236" s="34"/>
      <c r="AM236" s="34"/>
      <c r="AN236" s="34"/>
      <c r="AO236" s="34"/>
      <c r="AP236" s="34"/>
      <c r="AQ236" s="34"/>
      <c r="AR236" s="34"/>
      <c r="AS236" s="34"/>
      <c r="AT236" s="40"/>
      <c r="AU236" s="18"/>
      <c r="AV236" s="34"/>
      <c r="AW236" s="34"/>
      <c r="AX236" s="123"/>
    </row>
    <row r="237" spans="1:50" ht="18.75" customHeight="1" x14ac:dyDescent="0.2">
      <c r="A237" s="14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70" t="s">
        <v>1017</v>
      </c>
      <c r="AB237" s="165" t="s">
        <v>999</v>
      </c>
      <c r="AC237" s="161"/>
      <c r="AD237" s="18"/>
      <c r="AE237" s="34"/>
      <c r="AF237" s="34"/>
      <c r="AG237" s="34"/>
      <c r="AH237" s="34"/>
      <c r="AI237" s="34"/>
      <c r="AJ237" s="18"/>
      <c r="AK237" s="34"/>
      <c r="AL237" s="34"/>
      <c r="AM237" s="34"/>
      <c r="AN237" s="34"/>
      <c r="AO237" s="34"/>
      <c r="AP237" s="34"/>
      <c r="AQ237" s="34"/>
      <c r="AR237" s="34"/>
      <c r="AS237" s="34"/>
      <c r="AT237" s="40"/>
      <c r="AU237" s="18"/>
      <c r="AV237" s="34"/>
      <c r="AW237" s="34"/>
      <c r="AX237" s="123"/>
    </row>
    <row r="238" spans="1:50" ht="18.75" customHeight="1" x14ac:dyDescent="0.2">
      <c r="A238" s="14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70" t="s">
        <v>1018</v>
      </c>
      <c r="AB238" s="165" t="s">
        <v>1001</v>
      </c>
      <c r="AC238" s="161"/>
      <c r="AD238" s="18"/>
      <c r="AE238" s="34"/>
      <c r="AF238" s="34"/>
      <c r="AG238" s="34"/>
      <c r="AH238" s="34"/>
      <c r="AI238" s="34"/>
      <c r="AJ238" s="18"/>
      <c r="AK238" s="34"/>
      <c r="AL238" s="34"/>
      <c r="AM238" s="34"/>
      <c r="AN238" s="34"/>
      <c r="AO238" s="34"/>
      <c r="AP238" s="34"/>
      <c r="AQ238" s="34"/>
      <c r="AR238" s="34"/>
      <c r="AS238" s="34"/>
      <c r="AT238" s="40"/>
      <c r="AU238" s="18"/>
      <c r="AV238" s="34"/>
      <c r="AW238" s="34"/>
      <c r="AX238" s="123"/>
    </row>
    <row r="239" spans="1:50" ht="18.75" customHeight="1" x14ac:dyDescent="0.2">
      <c r="A239" s="14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66" t="s">
        <v>1019</v>
      </c>
      <c r="AB239" s="167" t="s">
        <v>1005</v>
      </c>
      <c r="AC239" s="161"/>
      <c r="AD239" s="34">
        <v>0</v>
      </c>
      <c r="AE239" s="18">
        <v>390355846.72000003</v>
      </c>
      <c r="AF239" s="34">
        <v>0</v>
      </c>
      <c r="AG239" s="34">
        <v>0</v>
      </c>
      <c r="AH239" s="34">
        <v>0</v>
      </c>
      <c r="AI239" s="18">
        <f>AE239-AF239+AG239-AH239</f>
        <v>390355846.72000003</v>
      </c>
      <c r="AJ239" s="18">
        <f>AD239+AI239</f>
        <v>390355846.72000003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0</v>
      </c>
      <c r="AT239" s="40">
        <f t="shared" ref="AT239" si="131">AQ239+AS239</f>
        <v>0</v>
      </c>
      <c r="AU239" s="18">
        <f>AJ239-AM239</f>
        <v>390355846.72000003</v>
      </c>
      <c r="AV239" s="34">
        <f>AM239-AP239</f>
        <v>0</v>
      </c>
      <c r="AW239" s="34">
        <f>AP239-AT239</f>
        <v>0</v>
      </c>
      <c r="AX239" s="123">
        <f>AP239/AJ239</f>
        <v>0</v>
      </c>
    </row>
    <row r="240" spans="1:50" s="25" customFormat="1" ht="18.75" customHeight="1" x14ac:dyDescent="0.2">
      <c r="A240" s="64"/>
      <c r="B240" s="65"/>
      <c r="C240" s="65"/>
      <c r="D240" s="65"/>
      <c r="E240" s="65"/>
      <c r="F240" s="65"/>
      <c r="G240" s="65"/>
      <c r="H240" s="65"/>
      <c r="I240" s="65"/>
      <c r="J240" s="65"/>
      <c r="K240" s="65"/>
      <c r="L240" s="65"/>
      <c r="M240" s="65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5"/>
      <c r="Z240" s="65"/>
      <c r="AA240" s="66"/>
      <c r="AB240" s="47" t="s">
        <v>314</v>
      </c>
      <c r="AC240" s="22" t="s">
        <v>315</v>
      </c>
      <c r="AD240" s="22">
        <f t="shared" ref="AD240:AW240" si="132">SUM(AD198:AD239)</f>
        <v>4500000000</v>
      </c>
      <c r="AE240" s="22">
        <f t="shared" si="132"/>
        <v>3800355846.7200003</v>
      </c>
      <c r="AF240" s="23">
        <f t="shared" si="132"/>
        <v>0</v>
      </c>
      <c r="AG240" s="22">
        <f t="shared" si="132"/>
        <v>8960000000</v>
      </c>
      <c r="AH240" s="22">
        <f t="shared" si="132"/>
        <v>3610000000</v>
      </c>
      <c r="AI240" s="22">
        <f t="shared" si="132"/>
        <v>9150355846.7199993</v>
      </c>
      <c r="AJ240" s="22">
        <f t="shared" si="132"/>
        <v>13650355846.719999</v>
      </c>
      <c r="AK240" s="23">
        <f t="shared" si="132"/>
        <v>0</v>
      </c>
      <c r="AL240" s="22">
        <f t="shared" si="132"/>
        <v>714245117.00999999</v>
      </c>
      <c r="AM240" s="22">
        <f t="shared" si="132"/>
        <v>2986665237.0100002</v>
      </c>
      <c r="AN240" s="22">
        <f t="shared" si="132"/>
        <v>18000000</v>
      </c>
      <c r="AO240" s="22">
        <f t="shared" si="132"/>
        <v>664559200.60000002</v>
      </c>
      <c r="AP240" s="22">
        <f t="shared" si="132"/>
        <v>2756302680.5999999</v>
      </c>
      <c r="AQ240" s="22">
        <f t="shared" si="132"/>
        <v>21883333</v>
      </c>
      <c r="AR240" s="22">
        <f t="shared" si="132"/>
        <v>167939415</v>
      </c>
      <c r="AS240" s="22">
        <f t="shared" si="132"/>
        <v>408876837.64999998</v>
      </c>
      <c r="AT240" s="22">
        <f t="shared" si="132"/>
        <v>430760170.64999998</v>
      </c>
      <c r="AU240" s="22">
        <f t="shared" si="132"/>
        <v>10663690609.709999</v>
      </c>
      <c r="AV240" s="22">
        <f t="shared" si="132"/>
        <v>230362556.41000003</v>
      </c>
      <c r="AW240" s="22">
        <f t="shared" si="132"/>
        <v>2325542509.9499998</v>
      </c>
      <c r="AX240" s="24">
        <f>AP240/AJ240</f>
        <v>0.20192167233957517</v>
      </c>
    </row>
    <row r="241" spans="1:50" ht="18.75" customHeight="1" x14ac:dyDescent="0.2">
      <c r="A241" s="14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6"/>
      <c r="AB241" s="17"/>
      <c r="AC241" s="17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</row>
    <row r="242" spans="1:50" s="25" customFormat="1" ht="18.75" customHeight="1" x14ac:dyDescent="0.2">
      <c r="A242" s="64"/>
      <c r="B242" s="65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5"/>
      <c r="Z242" s="65"/>
      <c r="AA242" s="66"/>
      <c r="AB242" s="21" t="s">
        <v>316</v>
      </c>
      <c r="AC242" s="67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</row>
    <row r="243" spans="1:50" ht="18.75" customHeight="1" x14ac:dyDescent="0.2">
      <c r="A243" s="14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6"/>
      <c r="AB243" s="29" t="s">
        <v>317</v>
      </c>
      <c r="AC243" s="17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30"/>
      <c r="AU243" s="18"/>
      <c r="AV243" s="18"/>
      <c r="AW243" s="18"/>
      <c r="AX243" s="18"/>
    </row>
    <row r="244" spans="1:50" ht="18.75" customHeight="1" x14ac:dyDescent="0.2">
      <c r="A244" s="14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6"/>
      <c r="AB244" s="29" t="s">
        <v>318</v>
      </c>
      <c r="AC244" s="17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30"/>
      <c r="AU244" s="18"/>
      <c r="AV244" s="18"/>
      <c r="AW244" s="18"/>
      <c r="AX244" s="18"/>
    </row>
    <row r="245" spans="1:50" ht="25.5" x14ac:dyDescent="0.2">
      <c r="A245" s="35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7"/>
      <c r="AB245" s="29" t="s">
        <v>319</v>
      </c>
      <c r="AC245" s="38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0"/>
      <c r="AU245" s="39"/>
      <c r="AV245" s="39"/>
      <c r="AW245" s="39"/>
      <c r="AX245" s="18"/>
    </row>
    <row r="246" spans="1:50" ht="18.75" customHeight="1" x14ac:dyDescent="0.2">
      <c r="A246" s="35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7"/>
      <c r="AB246" s="29" t="s">
        <v>320</v>
      </c>
      <c r="AC246" s="38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0"/>
      <c r="AU246" s="39"/>
      <c r="AV246" s="39"/>
      <c r="AW246" s="39"/>
      <c r="AX246" s="18"/>
    </row>
    <row r="247" spans="1:50" ht="18.75" customHeight="1" x14ac:dyDescent="0.2">
      <c r="A247" s="14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6"/>
      <c r="AB247" s="29" t="s">
        <v>46</v>
      </c>
      <c r="AC247" s="17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30"/>
      <c r="AU247" s="18"/>
      <c r="AV247" s="18"/>
      <c r="AW247" s="18"/>
      <c r="AX247" s="18"/>
    </row>
    <row r="248" spans="1:50" ht="18.75" customHeight="1" x14ac:dyDescent="0.2">
      <c r="A248" s="14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6"/>
      <c r="AB248" s="29" t="s">
        <v>48</v>
      </c>
      <c r="AC248" s="17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30"/>
      <c r="AU248" s="18"/>
      <c r="AV248" s="18"/>
      <c r="AW248" s="18"/>
      <c r="AX248" s="18"/>
    </row>
    <row r="249" spans="1:50" ht="18.75" customHeight="1" x14ac:dyDescent="0.2">
      <c r="A249" s="14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6"/>
      <c r="AB249" s="29" t="s">
        <v>52</v>
      </c>
      <c r="AC249" s="17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30"/>
      <c r="AU249" s="18"/>
      <c r="AV249" s="18"/>
      <c r="AW249" s="18"/>
      <c r="AX249" s="18"/>
    </row>
    <row r="250" spans="1:50" ht="18.75" customHeight="1" x14ac:dyDescent="0.2">
      <c r="AA250" s="28" t="s">
        <v>288</v>
      </c>
      <c r="AB250" s="29" t="s">
        <v>54</v>
      </c>
      <c r="AC250" s="17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30"/>
      <c r="AU250" s="18"/>
      <c r="AV250" s="18"/>
      <c r="AW250" s="18"/>
      <c r="AX250" s="18"/>
    </row>
    <row r="251" spans="1:50" ht="18.75" customHeight="1" x14ac:dyDescent="0.2">
      <c r="A251" s="4" t="s">
        <v>55</v>
      </c>
      <c r="B251" s="4" t="s">
        <v>56</v>
      </c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1" t="s">
        <v>321</v>
      </c>
      <c r="AB251" s="42" t="s">
        <v>322</v>
      </c>
      <c r="AC251" s="38" t="s">
        <v>58</v>
      </c>
      <c r="AD251" s="39">
        <v>1139356981</v>
      </c>
      <c r="AE251" s="40">
        <v>0</v>
      </c>
      <c r="AF251" s="40">
        <v>0</v>
      </c>
      <c r="AG251" s="40">
        <v>0</v>
      </c>
      <c r="AH251" s="40">
        <v>0</v>
      </c>
      <c r="AI251" s="34">
        <f>AE251-AF251+AG251-AH347</f>
        <v>0</v>
      </c>
      <c r="AJ251" s="18">
        <f>AD251+AI251</f>
        <v>1139356981</v>
      </c>
      <c r="AK251" s="40">
        <v>0</v>
      </c>
      <c r="AL251" s="39">
        <f>AM251-ABRIL!AM232</f>
        <v>30723</v>
      </c>
      <c r="AM251" s="39">
        <v>1587428</v>
      </c>
      <c r="AN251" s="40">
        <v>0</v>
      </c>
      <c r="AO251" s="39">
        <v>0</v>
      </c>
      <c r="AP251" s="39">
        <v>678902</v>
      </c>
      <c r="AQ251" s="40">
        <v>0</v>
      </c>
      <c r="AR251" s="40">
        <v>0</v>
      </c>
      <c r="AS251" s="39">
        <v>678902</v>
      </c>
      <c r="AT251" s="39">
        <f t="shared" ref="AT251:AT252" si="133">AQ251+AS251</f>
        <v>678902</v>
      </c>
      <c r="AU251" s="18">
        <f>AJ251-AM251</f>
        <v>1137769553</v>
      </c>
      <c r="AV251" s="110">
        <f>AM251-AP251</f>
        <v>908526</v>
      </c>
      <c r="AW251" s="34">
        <f>AP251-AT251</f>
        <v>0</v>
      </c>
      <c r="AX251" s="123">
        <f>AP251/AJ251</f>
        <v>5.9586416840500314E-4</v>
      </c>
    </row>
    <row r="252" spans="1:50" ht="18.75" customHeight="1" x14ac:dyDescent="0.2">
      <c r="A252" s="4" t="s">
        <v>55</v>
      </c>
      <c r="B252" s="4" t="s">
        <v>56</v>
      </c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211" t="s">
        <v>323</v>
      </c>
      <c r="AB252" s="212" t="s">
        <v>324</v>
      </c>
      <c r="AC252" s="244" t="s">
        <v>61</v>
      </c>
      <c r="AD252" s="244">
        <v>9000660718</v>
      </c>
      <c r="AE252" s="233">
        <v>0</v>
      </c>
      <c r="AF252" s="233">
        <v>0</v>
      </c>
      <c r="AG252" s="233">
        <v>0</v>
      </c>
      <c r="AH252" s="137">
        <v>0</v>
      </c>
      <c r="AI252" s="260">
        <v>0</v>
      </c>
      <c r="AJ252" s="18">
        <f>AD252+AI252</f>
        <v>9000660718</v>
      </c>
      <c r="AK252" s="44">
        <v>0</v>
      </c>
      <c r="AL252" s="39">
        <f>AM252-ABRIL!AM233</f>
        <v>691532752</v>
      </c>
      <c r="AM252" s="43">
        <v>3404512286</v>
      </c>
      <c r="AN252" s="44">
        <v>0</v>
      </c>
      <c r="AO252" s="43">
        <v>691532752</v>
      </c>
      <c r="AP252" s="43">
        <v>3403493932</v>
      </c>
      <c r="AQ252" s="44">
        <v>0</v>
      </c>
      <c r="AR252" s="43">
        <v>691532752</v>
      </c>
      <c r="AS252" s="43">
        <v>3403493932</v>
      </c>
      <c r="AT252" s="39">
        <f t="shared" si="133"/>
        <v>3403493932</v>
      </c>
      <c r="AU252" s="18">
        <f>AJ252-AM252</f>
        <v>5596148432</v>
      </c>
      <c r="AV252" s="110">
        <f>AM252-AP252</f>
        <v>1018354</v>
      </c>
      <c r="AW252" s="34">
        <f>AP252-AT252</f>
        <v>0</v>
      </c>
      <c r="AX252" s="123">
        <f>AP252/AJ252</f>
        <v>0.37813823214039294</v>
      </c>
    </row>
    <row r="253" spans="1:50" x14ac:dyDescent="0.2">
      <c r="AA253" s="16"/>
      <c r="AB253" s="17"/>
      <c r="AC253" s="17"/>
      <c r="AD253" s="18"/>
      <c r="AE253" s="18"/>
      <c r="AF253" s="18"/>
      <c r="AG253" s="18"/>
      <c r="AH253" s="18"/>
      <c r="AI253" s="34"/>
      <c r="AW253" s="137"/>
    </row>
    <row r="254" spans="1:50" ht="18.75" customHeight="1" x14ac:dyDescent="0.2">
      <c r="AA254" s="28" t="s">
        <v>288</v>
      </c>
      <c r="AB254" s="29" t="s">
        <v>71</v>
      </c>
      <c r="AC254" s="17"/>
      <c r="AD254" s="18"/>
      <c r="AE254" s="34"/>
      <c r="AF254" s="34"/>
      <c r="AG254" s="34"/>
      <c r="AH254" s="34"/>
      <c r="AI254" s="34"/>
      <c r="AJ254" s="18"/>
      <c r="AK254" s="34"/>
      <c r="AL254" s="18"/>
      <c r="AM254" s="18"/>
      <c r="AN254" s="34"/>
      <c r="AO254" s="18"/>
      <c r="AP254" s="18"/>
      <c r="AQ254" s="34"/>
      <c r="AR254" s="18"/>
      <c r="AS254" s="18"/>
      <c r="AT254" s="30"/>
      <c r="AU254" s="18"/>
      <c r="AV254" s="18"/>
      <c r="AW254" s="34"/>
      <c r="AX254" s="18"/>
    </row>
    <row r="255" spans="1:50" ht="18.75" customHeight="1" x14ac:dyDescent="0.2">
      <c r="A255" s="4" t="s">
        <v>325</v>
      </c>
      <c r="B255" s="4" t="s">
        <v>326</v>
      </c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1" t="s">
        <v>327</v>
      </c>
      <c r="AB255" s="42" t="s">
        <v>328</v>
      </c>
      <c r="AC255" s="43" t="s">
        <v>61</v>
      </c>
      <c r="AD255" s="43">
        <v>391454539</v>
      </c>
      <c r="AE255" s="44">
        <v>0</v>
      </c>
      <c r="AF255" s="44">
        <v>0</v>
      </c>
      <c r="AG255" s="44">
        <v>0</v>
      </c>
      <c r="AH255" s="44">
        <v>0</v>
      </c>
      <c r="AI255" s="34">
        <f>AE255-AF255+AG255-AH351</f>
        <v>0</v>
      </c>
      <c r="AJ255" s="18">
        <f>AD255+AI255</f>
        <v>391454539</v>
      </c>
      <c r="AK255" s="44">
        <v>0</v>
      </c>
      <c r="AL255" s="43">
        <f>AM255-ABRIL!AM236</f>
        <v>1258513</v>
      </c>
      <c r="AM255" s="43">
        <v>12788100</v>
      </c>
      <c r="AN255" s="44">
        <v>0</v>
      </c>
      <c r="AO255" s="43">
        <v>1258513</v>
      </c>
      <c r="AP255" s="43">
        <v>12788100</v>
      </c>
      <c r="AQ255" s="44">
        <v>0</v>
      </c>
      <c r="AR255" s="43">
        <v>1258513</v>
      </c>
      <c r="AS255" s="43">
        <v>12788100</v>
      </c>
      <c r="AT255" s="39">
        <f t="shared" ref="AT255" si="134">AQ255+AS255</f>
        <v>12788100</v>
      </c>
      <c r="AU255" s="18">
        <f>AJ255-AM255</f>
        <v>378666439</v>
      </c>
      <c r="AV255" s="34">
        <f>AM255-AP255</f>
        <v>0</v>
      </c>
      <c r="AW255" s="34">
        <f>AP255-AT255</f>
        <v>0</v>
      </c>
      <c r="AX255" s="123">
        <f>AP255/AJ255</f>
        <v>3.2668161244644556E-2</v>
      </c>
    </row>
    <row r="256" spans="1:50" ht="18.75" customHeight="1" x14ac:dyDescent="0.2">
      <c r="AA256" s="28" t="s">
        <v>288</v>
      </c>
      <c r="AB256" s="29" t="s">
        <v>76</v>
      </c>
      <c r="AC256" s="17"/>
      <c r="AD256" s="18"/>
      <c r="AE256" s="18"/>
      <c r="AF256" s="18"/>
      <c r="AG256" s="18"/>
      <c r="AH256" s="18"/>
      <c r="AI256" s="18"/>
      <c r="AJ256" s="18"/>
      <c r="AK256" s="34"/>
      <c r="AL256" s="18"/>
      <c r="AM256" s="18"/>
      <c r="AN256" s="34"/>
      <c r="AO256" s="18"/>
      <c r="AP256" s="18"/>
      <c r="AQ256" s="34"/>
      <c r="AR256" s="18"/>
      <c r="AS256" s="18"/>
      <c r="AT256" s="30"/>
      <c r="AU256" s="18"/>
      <c r="AV256" s="18"/>
      <c r="AW256" s="34"/>
      <c r="AX256" s="18"/>
    </row>
    <row r="257" spans="1:50" ht="18.75" customHeight="1" x14ac:dyDescent="0.2">
      <c r="A257" s="4" t="s">
        <v>325</v>
      </c>
      <c r="B257" s="4" t="s">
        <v>326</v>
      </c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1" t="s">
        <v>329</v>
      </c>
      <c r="AB257" s="42" t="s">
        <v>328</v>
      </c>
      <c r="AC257" s="43" t="s">
        <v>61</v>
      </c>
      <c r="AD257" s="43">
        <v>277293782</v>
      </c>
      <c r="AE257" s="44">
        <v>0</v>
      </c>
      <c r="AF257" s="44">
        <v>0</v>
      </c>
      <c r="AG257" s="44">
        <v>0</v>
      </c>
      <c r="AH257" s="44">
        <v>0</v>
      </c>
      <c r="AI257" s="44">
        <v>0</v>
      </c>
      <c r="AJ257" s="43">
        <v>277293782</v>
      </c>
      <c r="AK257" s="44">
        <v>0</v>
      </c>
      <c r="AL257" s="43">
        <f>AM257-ABRIL!AM238</f>
        <v>13099539</v>
      </c>
      <c r="AM257" s="43">
        <v>60292393</v>
      </c>
      <c r="AN257" s="44">
        <v>0</v>
      </c>
      <c r="AO257" s="43">
        <v>13099539</v>
      </c>
      <c r="AP257" s="43">
        <v>60292393</v>
      </c>
      <c r="AQ257" s="44">
        <v>0</v>
      </c>
      <c r="AR257" s="43">
        <v>13099539</v>
      </c>
      <c r="AS257" s="43">
        <v>60292393</v>
      </c>
      <c r="AT257" s="39">
        <f t="shared" ref="AT257" si="135">AQ257+AS257</f>
        <v>60292393</v>
      </c>
      <c r="AU257" s="18">
        <f>AJ257-AM257</f>
        <v>217001389</v>
      </c>
      <c r="AV257" s="34">
        <f>AM257-AP257</f>
        <v>0</v>
      </c>
      <c r="AW257" s="34">
        <f>AP257-AT257</f>
        <v>0</v>
      </c>
      <c r="AX257" s="123">
        <f>AP257/AJ257</f>
        <v>0.21743146407805133</v>
      </c>
    </row>
    <row r="258" spans="1:50" ht="18.75" customHeight="1" x14ac:dyDescent="0.2">
      <c r="AA258" s="16"/>
      <c r="AB258" s="29" t="s">
        <v>81</v>
      </c>
      <c r="AC258" s="17"/>
      <c r="AD258" s="18"/>
      <c r="AE258" s="34"/>
      <c r="AF258" s="34"/>
      <c r="AG258" s="34"/>
      <c r="AH258" s="34"/>
      <c r="AI258" s="34"/>
      <c r="AJ258" s="18"/>
      <c r="AK258" s="34"/>
      <c r="AL258" s="18"/>
      <c r="AM258" s="18"/>
      <c r="AN258" s="34"/>
      <c r="AO258" s="18"/>
      <c r="AP258" s="18"/>
      <c r="AQ258" s="34"/>
      <c r="AR258" s="18"/>
      <c r="AS258" s="18"/>
      <c r="AT258" s="30"/>
      <c r="AU258" s="18"/>
      <c r="AV258" s="18"/>
      <c r="AW258" s="18"/>
      <c r="AX258" s="18"/>
    </row>
    <row r="259" spans="1:50" ht="18.75" customHeight="1" x14ac:dyDescent="0.2">
      <c r="AA259" s="28" t="s">
        <v>288</v>
      </c>
      <c r="AB259" s="29" t="s">
        <v>83</v>
      </c>
      <c r="AC259" s="17"/>
      <c r="AD259" s="18"/>
      <c r="AE259" s="34"/>
      <c r="AF259" s="34"/>
      <c r="AG259" s="34"/>
      <c r="AH259" s="34"/>
      <c r="AI259" s="34"/>
      <c r="AJ259" s="18"/>
      <c r="AK259" s="34"/>
      <c r="AL259" s="18"/>
      <c r="AM259" s="18"/>
      <c r="AN259" s="34"/>
      <c r="AO259" s="18"/>
      <c r="AP259" s="18"/>
      <c r="AQ259" s="34"/>
      <c r="AR259" s="18"/>
      <c r="AS259" s="18"/>
      <c r="AT259" s="30"/>
      <c r="AU259" s="18"/>
      <c r="AV259" s="18"/>
      <c r="AW259" s="18"/>
      <c r="AX259" s="18"/>
    </row>
    <row r="260" spans="1:50" ht="18.75" customHeight="1" x14ac:dyDescent="0.2">
      <c r="A260" s="4" t="s">
        <v>325</v>
      </c>
      <c r="B260" s="4" t="s">
        <v>326</v>
      </c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1" t="s">
        <v>330</v>
      </c>
      <c r="AB260" s="42" t="s">
        <v>328</v>
      </c>
      <c r="AC260" s="43" t="s">
        <v>61</v>
      </c>
      <c r="AD260" s="43">
        <v>863231353</v>
      </c>
      <c r="AE260" s="44">
        <v>0</v>
      </c>
      <c r="AF260" s="44">
        <v>0</v>
      </c>
      <c r="AG260" s="44">
        <v>0</v>
      </c>
      <c r="AH260" s="44">
        <v>0</v>
      </c>
      <c r="AI260" s="44">
        <v>0</v>
      </c>
      <c r="AJ260" s="43">
        <v>863231353</v>
      </c>
      <c r="AK260" s="44">
        <v>0</v>
      </c>
      <c r="AL260" s="43">
        <f>AM260-ABRIL!AM241</f>
        <v>1072319</v>
      </c>
      <c r="AM260" s="43">
        <v>7692007</v>
      </c>
      <c r="AN260" s="44">
        <v>0</v>
      </c>
      <c r="AO260" s="43">
        <v>1072319</v>
      </c>
      <c r="AP260" s="43">
        <v>7692007</v>
      </c>
      <c r="AQ260" s="44">
        <v>0</v>
      </c>
      <c r="AR260" s="43">
        <v>1072319</v>
      </c>
      <c r="AS260" s="43">
        <v>7692007</v>
      </c>
      <c r="AT260" s="39">
        <f t="shared" ref="AT260" si="136">AQ260+AS260</f>
        <v>7692007</v>
      </c>
      <c r="AU260" s="18">
        <f>AJ260-AM260</f>
        <v>855539346</v>
      </c>
      <c r="AV260" s="34">
        <f>AM260-AP260</f>
        <v>0</v>
      </c>
      <c r="AW260" s="34">
        <f>AP260-AT260</f>
        <v>0</v>
      </c>
      <c r="AX260" s="123">
        <f>AP260/AJ260</f>
        <v>8.9107131862945672E-3</v>
      </c>
    </row>
    <row r="261" spans="1:50" ht="18.75" customHeight="1" x14ac:dyDescent="0.2">
      <c r="AA261" s="28" t="s">
        <v>288</v>
      </c>
      <c r="AB261" s="29" t="s">
        <v>88</v>
      </c>
      <c r="AC261" s="17"/>
      <c r="AD261" s="18"/>
      <c r="AE261" s="34"/>
      <c r="AF261" s="34"/>
      <c r="AG261" s="34"/>
      <c r="AH261" s="34"/>
      <c r="AI261" s="34"/>
      <c r="AJ261" s="18"/>
      <c r="AK261" s="18"/>
      <c r="AL261" s="18"/>
      <c r="AM261" s="18"/>
      <c r="AN261" s="18"/>
      <c r="AO261" s="18"/>
      <c r="AP261" s="18"/>
      <c r="AQ261" s="34"/>
      <c r="AR261" s="18"/>
      <c r="AS261" s="18"/>
      <c r="AT261" s="30"/>
      <c r="AU261" s="18"/>
      <c r="AV261" s="18"/>
      <c r="AW261" s="34"/>
      <c r="AX261" s="18"/>
    </row>
    <row r="262" spans="1:50" ht="18.75" customHeight="1" x14ac:dyDescent="0.2">
      <c r="A262" s="4" t="s">
        <v>325</v>
      </c>
      <c r="B262" s="4" t="s">
        <v>326</v>
      </c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1" t="s">
        <v>331</v>
      </c>
      <c r="AB262" s="42" t="s">
        <v>328</v>
      </c>
      <c r="AC262" s="43" t="s">
        <v>61</v>
      </c>
      <c r="AD262" s="43">
        <v>240951939</v>
      </c>
      <c r="AE262" s="44">
        <v>0</v>
      </c>
      <c r="AF262" s="44">
        <v>0</v>
      </c>
      <c r="AG262" s="44">
        <v>0</v>
      </c>
      <c r="AH262" s="44">
        <v>0</v>
      </c>
      <c r="AI262" s="44">
        <v>0</v>
      </c>
      <c r="AJ262" s="43">
        <v>240951939</v>
      </c>
      <c r="AK262" s="44">
        <v>0</v>
      </c>
      <c r="AL262" s="43">
        <f>AM262-ABRIL!AM243</f>
        <v>9762795</v>
      </c>
      <c r="AM262" s="43">
        <v>27682992</v>
      </c>
      <c r="AN262" s="43">
        <v>0</v>
      </c>
      <c r="AO262" s="43">
        <v>9762795</v>
      </c>
      <c r="AP262" s="43">
        <v>27682992</v>
      </c>
      <c r="AQ262" s="44">
        <v>0</v>
      </c>
      <c r="AR262" s="43">
        <v>9762795</v>
      </c>
      <c r="AS262" s="43">
        <v>27682992</v>
      </c>
      <c r="AT262" s="39">
        <f t="shared" ref="AT262" si="137">AQ262+AS262</f>
        <v>27682992</v>
      </c>
      <c r="AU262" s="18">
        <f>AJ262-AM262</f>
        <v>213268947</v>
      </c>
      <c r="AV262" s="34">
        <f>AM262-AP262</f>
        <v>0</v>
      </c>
      <c r="AW262" s="34">
        <f>AP262-AT262</f>
        <v>0</v>
      </c>
      <c r="AX262" s="123">
        <f>AP262/AJ262</f>
        <v>0.11489009847727351</v>
      </c>
    </row>
    <row r="263" spans="1:50" ht="18.75" customHeight="1" x14ac:dyDescent="0.2">
      <c r="AA263" s="16"/>
      <c r="AB263" s="29" t="s">
        <v>103</v>
      </c>
      <c r="AC263" s="17"/>
      <c r="AD263" s="18"/>
      <c r="AE263" s="34"/>
      <c r="AF263" s="34"/>
      <c r="AG263" s="34"/>
      <c r="AH263" s="34"/>
      <c r="AI263" s="34"/>
      <c r="AJ263" s="18"/>
      <c r="AK263" s="34"/>
      <c r="AL263" s="18"/>
      <c r="AM263" s="18"/>
      <c r="AN263" s="18"/>
      <c r="AO263" s="18"/>
      <c r="AP263" s="18"/>
      <c r="AQ263" s="18"/>
      <c r="AR263" s="18"/>
      <c r="AS263" s="18"/>
      <c r="AT263" s="30"/>
      <c r="AU263" s="18"/>
      <c r="AV263" s="18"/>
      <c r="AW263" s="34"/>
      <c r="AX263" s="18"/>
    </row>
    <row r="264" spans="1:50" ht="18.75" customHeight="1" x14ac:dyDescent="0.2">
      <c r="AA264" s="28" t="s">
        <v>288</v>
      </c>
      <c r="AB264" s="29" t="s">
        <v>105</v>
      </c>
      <c r="AC264" s="17"/>
      <c r="AD264" s="18"/>
      <c r="AE264" s="34"/>
      <c r="AF264" s="34"/>
      <c r="AG264" s="34"/>
      <c r="AH264" s="34"/>
      <c r="AI264" s="34"/>
      <c r="AJ264" s="18"/>
      <c r="AK264" s="34"/>
      <c r="AL264" s="18"/>
      <c r="AM264" s="18"/>
      <c r="AN264" s="18"/>
      <c r="AO264" s="18"/>
      <c r="AP264" s="18"/>
      <c r="AQ264" s="18"/>
      <c r="AR264" s="18"/>
      <c r="AS264" s="18"/>
      <c r="AT264" s="30"/>
      <c r="AU264" s="18"/>
      <c r="AV264" s="18"/>
      <c r="AW264" s="34"/>
      <c r="AX264" s="18"/>
    </row>
    <row r="265" spans="1:50" ht="18.75" customHeight="1" x14ac:dyDescent="0.2">
      <c r="A265" s="4" t="s">
        <v>325</v>
      </c>
      <c r="B265" s="4" t="s">
        <v>326</v>
      </c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1" t="s">
        <v>332</v>
      </c>
      <c r="AB265" s="42" t="s">
        <v>328</v>
      </c>
      <c r="AC265" s="43" t="s">
        <v>61</v>
      </c>
      <c r="AD265" s="43">
        <v>1112875275</v>
      </c>
      <c r="AE265" s="44">
        <v>0</v>
      </c>
      <c r="AF265" s="44">
        <v>0</v>
      </c>
      <c r="AG265" s="44">
        <v>0</v>
      </c>
      <c r="AH265" s="44">
        <v>0</v>
      </c>
      <c r="AI265" s="44">
        <v>0</v>
      </c>
      <c r="AJ265" s="43">
        <v>1112875275</v>
      </c>
      <c r="AK265" s="44">
        <v>0</v>
      </c>
      <c r="AL265" s="43">
        <f>AM265-ABRIL!AM246</f>
        <v>84449400</v>
      </c>
      <c r="AM265" s="43">
        <v>427855100</v>
      </c>
      <c r="AN265" s="44">
        <v>0</v>
      </c>
      <c r="AO265" s="43">
        <v>84847600</v>
      </c>
      <c r="AP265" s="43">
        <v>425390300</v>
      </c>
      <c r="AQ265" s="110">
        <v>84449400</v>
      </c>
      <c r="AR265" s="110">
        <v>85022000</v>
      </c>
      <c r="AS265" s="110">
        <v>340940900</v>
      </c>
      <c r="AT265" s="39">
        <f t="shared" ref="AT265" si="138">AQ265+AS265</f>
        <v>425390300</v>
      </c>
      <c r="AU265" s="18">
        <f>AJ265-AM265</f>
        <v>685020175</v>
      </c>
      <c r="AV265" s="110">
        <f>AM265-AP265</f>
        <v>2464800</v>
      </c>
      <c r="AW265" s="34">
        <f>AP265-AT265</f>
        <v>0</v>
      </c>
      <c r="AX265" s="123">
        <f>AP265/AJ265</f>
        <v>0.3822443624691006</v>
      </c>
    </row>
    <row r="266" spans="1:50" ht="18.75" customHeight="1" x14ac:dyDescent="0.2">
      <c r="AA266" s="28" t="s">
        <v>288</v>
      </c>
      <c r="AB266" s="29" t="s">
        <v>333</v>
      </c>
      <c r="AC266" s="17"/>
      <c r="AD266" s="18"/>
      <c r="AE266" s="34"/>
      <c r="AF266" s="34"/>
      <c r="AG266" s="34"/>
      <c r="AH266" s="34"/>
      <c r="AI266" s="34"/>
      <c r="AJ266" s="18"/>
      <c r="AK266" s="34"/>
      <c r="AL266" s="18"/>
      <c r="AM266" s="18"/>
      <c r="AN266" s="34"/>
      <c r="AO266" s="18"/>
      <c r="AP266" s="18"/>
      <c r="AQ266" s="110"/>
      <c r="AR266" s="110"/>
      <c r="AS266" s="110"/>
      <c r="AT266" s="40"/>
      <c r="AU266" s="18"/>
      <c r="AV266" s="110"/>
      <c r="AW266" s="34"/>
      <c r="AX266" s="18"/>
    </row>
    <row r="267" spans="1:50" ht="18.75" customHeight="1" x14ac:dyDescent="0.2">
      <c r="A267" s="4" t="s">
        <v>325</v>
      </c>
      <c r="B267" s="4" t="s">
        <v>326</v>
      </c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1" t="s">
        <v>334</v>
      </c>
      <c r="AB267" s="42" t="s">
        <v>328</v>
      </c>
      <c r="AC267" s="43" t="s">
        <v>61</v>
      </c>
      <c r="AD267" s="43">
        <v>785176343</v>
      </c>
      <c r="AE267" s="44">
        <v>0</v>
      </c>
      <c r="AF267" s="44">
        <v>0</v>
      </c>
      <c r="AG267" s="44">
        <v>0</v>
      </c>
      <c r="AH267" s="44">
        <v>0</v>
      </c>
      <c r="AI267" s="44">
        <v>0</v>
      </c>
      <c r="AJ267" s="43">
        <v>785176343</v>
      </c>
      <c r="AK267" s="44">
        <v>0</v>
      </c>
      <c r="AL267" s="43">
        <f>AM267-ABRIL!AM248</f>
        <v>60039800</v>
      </c>
      <c r="AM267" s="43">
        <v>304282500</v>
      </c>
      <c r="AN267" s="44">
        <v>0</v>
      </c>
      <c r="AO267" s="43">
        <v>60350900</v>
      </c>
      <c r="AP267" s="43">
        <v>302356800</v>
      </c>
      <c r="AQ267" s="110">
        <v>60039800</v>
      </c>
      <c r="AR267" s="110">
        <v>60474300</v>
      </c>
      <c r="AS267" s="110">
        <v>242317000</v>
      </c>
      <c r="AT267" s="39">
        <f t="shared" ref="AT267" si="139">AQ267+AS267</f>
        <v>302356800</v>
      </c>
      <c r="AU267" s="18">
        <f>AJ267-AM267</f>
        <v>480893843</v>
      </c>
      <c r="AV267" s="110">
        <f>AM267-AP267</f>
        <v>1925700</v>
      </c>
      <c r="AW267" s="34">
        <f>AP267-AT267</f>
        <v>0</v>
      </c>
      <c r="AX267" s="123">
        <f>AP267/AJ267</f>
        <v>0.38508139311069384</v>
      </c>
    </row>
    <row r="268" spans="1:50" ht="18.75" customHeight="1" x14ac:dyDescent="0.2">
      <c r="AA268" s="28" t="s">
        <v>288</v>
      </c>
      <c r="AB268" s="29" t="s">
        <v>115</v>
      </c>
      <c r="AC268" s="17"/>
      <c r="AD268" s="18"/>
      <c r="AE268" s="34"/>
      <c r="AF268" s="34"/>
      <c r="AG268" s="34"/>
      <c r="AH268" s="34"/>
      <c r="AI268" s="34"/>
      <c r="AJ268" s="18"/>
      <c r="AK268" s="34"/>
      <c r="AL268" s="18"/>
      <c r="AM268" s="18"/>
      <c r="AN268" s="34"/>
      <c r="AO268" s="18"/>
      <c r="AP268" s="18"/>
      <c r="AQ268" s="110"/>
      <c r="AR268" s="110"/>
      <c r="AS268" s="110"/>
      <c r="AT268" s="30"/>
      <c r="AU268" s="18"/>
      <c r="AV268" s="18"/>
      <c r="AW268" s="18"/>
      <c r="AX268" s="18"/>
    </row>
    <row r="269" spans="1:50" ht="18.75" customHeight="1" x14ac:dyDescent="0.2">
      <c r="A269" s="4" t="s">
        <v>325</v>
      </c>
      <c r="B269" s="4" t="s">
        <v>326</v>
      </c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1" t="s">
        <v>335</v>
      </c>
      <c r="AB269" s="42" t="s">
        <v>328</v>
      </c>
      <c r="AC269" s="43" t="s">
        <v>61</v>
      </c>
      <c r="AD269" s="43">
        <v>1074031411</v>
      </c>
      <c r="AE269" s="44">
        <v>0</v>
      </c>
      <c r="AF269" s="44">
        <v>0</v>
      </c>
      <c r="AG269" s="44">
        <v>0</v>
      </c>
      <c r="AH269" s="44">
        <v>0</v>
      </c>
      <c r="AI269" s="44">
        <v>0</v>
      </c>
      <c r="AJ269" s="43">
        <v>1074031411</v>
      </c>
      <c r="AK269" s="44">
        <v>0</v>
      </c>
      <c r="AL269" s="43">
        <f>AM269-ABRIL!AM250</f>
        <v>23468105.810000062</v>
      </c>
      <c r="AM269" s="43">
        <v>682058274.07000005</v>
      </c>
      <c r="AN269" s="44">
        <v>0</v>
      </c>
      <c r="AO269" s="43">
        <v>23468105.809999999</v>
      </c>
      <c r="AP269" s="43">
        <v>682058274.07000005</v>
      </c>
      <c r="AQ269" s="114">
        <v>15772922.810000001</v>
      </c>
      <c r="AR269" s="114">
        <v>7695183</v>
      </c>
      <c r="AS269" s="114">
        <v>659871253.25999999</v>
      </c>
      <c r="AT269" s="39">
        <f t="shared" ref="AT269" si="140">AQ269+AS269</f>
        <v>675644176.06999993</v>
      </c>
      <c r="AU269" s="18">
        <f>AJ269-AM269</f>
        <v>391973136.92999995</v>
      </c>
      <c r="AV269" s="34">
        <f>AM269-AP269</f>
        <v>0</v>
      </c>
      <c r="AW269" s="18">
        <f>AP269-AT269</f>
        <v>6414098.0000001192</v>
      </c>
      <c r="AX269" s="123">
        <f>AP269/AJ269</f>
        <v>0.6350449969009333</v>
      </c>
    </row>
    <row r="270" spans="1:50" ht="18.75" customHeight="1" x14ac:dyDescent="0.2">
      <c r="AA270" s="28" t="s">
        <v>288</v>
      </c>
      <c r="AB270" s="29" t="s">
        <v>119</v>
      </c>
      <c r="AC270" s="17"/>
      <c r="AD270" s="18"/>
      <c r="AE270" s="34"/>
      <c r="AF270" s="34"/>
      <c r="AG270" s="34"/>
      <c r="AH270" s="34"/>
      <c r="AI270" s="34"/>
      <c r="AJ270" s="18"/>
      <c r="AK270" s="18"/>
      <c r="AL270" s="18"/>
      <c r="AM270" s="18"/>
      <c r="AN270" s="34"/>
      <c r="AO270" s="18"/>
      <c r="AP270" s="18"/>
      <c r="AQ270" s="110"/>
      <c r="AR270" s="110"/>
      <c r="AS270" s="110"/>
      <c r="AT270" s="30"/>
      <c r="AU270" s="18"/>
      <c r="AV270" s="18"/>
      <c r="AW270" s="18"/>
      <c r="AX270" s="18"/>
    </row>
    <row r="271" spans="1:50" ht="18.75" customHeight="1" x14ac:dyDescent="0.2">
      <c r="A271" s="4" t="s">
        <v>325</v>
      </c>
      <c r="B271" s="4" t="s">
        <v>326</v>
      </c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1" t="s">
        <v>336</v>
      </c>
      <c r="AB271" s="42" t="s">
        <v>328</v>
      </c>
      <c r="AC271" s="43" t="s">
        <v>61</v>
      </c>
      <c r="AD271" s="43">
        <v>438243332</v>
      </c>
      <c r="AE271" s="44">
        <v>0</v>
      </c>
      <c r="AF271" s="44">
        <v>0</v>
      </c>
      <c r="AG271" s="44">
        <v>0</v>
      </c>
      <c r="AH271" s="44">
        <v>0</v>
      </c>
      <c r="AI271" s="44">
        <v>0</v>
      </c>
      <c r="AJ271" s="43">
        <v>438243332</v>
      </c>
      <c r="AK271" s="44">
        <v>0</v>
      </c>
      <c r="AL271" s="43">
        <f>AM271-ABRIL!AM252</f>
        <v>28676700</v>
      </c>
      <c r="AM271" s="43">
        <v>143652700</v>
      </c>
      <c r="AN271" s="44">
        <v>0</v>
      </c>
      <c r="AO271" s="43">
        <v>28676700</v>
      </c>
      <c r="AP271" s="43">
        <v>143652700</v>
      </c>
      <c r="AQ271" s="110">
        <v>28676700</v>
      </c>
      <c r="AR271" s="110">
        <v>28851800</v>
      </c>
      <c r="AS271" s="110">
        <v>114976000</v>
      </c>
      <c r="AT271" s="39">
        <f t="shared" ref="AT271:AT285" si="141">AQ271+AS271</f>
        <v>143652700</v>
      </c>
      <c r="AU271" s="18">
        <f>AJ271-AM271</f>
        <v>294590632</v>
      </c>
      <c r="AV271" s="34">
        <f>AM271-AP271</f>
        <v>0</v>
      </c>
      <c r="AW271" s="34">
        <f>AP271-AT271</f>
        <v>0</v>
      </c>
      <c r="AX271" s="123">
        <f>AP271/AJ271</f>
        <v>0.32779209519153618</v>
      </c>
    </row>
    <row r="272" spans="1:50" ht="18.75" customHeight="1" x14ac:dyDescent="0.2">
      <c r="AA272" s="28" t="s">
        <v>288</v>
      </c>
      <c r="AB272" s="29" t="s">
        <v>124</v>
      </c>
      <c r="AC272" s="17"/>
      <c r="AD272" s="18"/>
      <c r="AE272" s="34"/>
      <c r="AF272" s="34"/>
      <c r="AG272" s="34"/>
      <c r="AH272" s="34"/>
      <c r="AI272" s="34"/>
      <c r="AJ272" s="18"/>
      <c r="AK272" s="34"/>
      <c r="AL272" s="18"/>
      <c r="AM272" s="18"/>
      <c r="AN272" s="34"/>
      <c r="AO272" s="18"/>
      <c r="AP272" s="18"/>
      <c r="AQ272" s="34"/>
      <c r="AR272" s="34"/>
      <c r="AS272" s="34"/>
      <c r="AT272" s="40">
        <f t="shared" si="141"/>
        <v>0</v>
      </c>
      <c r="AU272" s="18"/>
      <c r="AV272" s="18"/>
      <c r="AW272" s="34"/>
      <c r="AX272" s="18"/>
    </row>
    <row r="273" spans="1:50" ht="18.75" customHeight="1" x14ac:dyDescent="0.2">
      <c r="A273" s="4" t="s">
        <v>325</v>
      </c>
      <c r="B273" s="4" t="s">
        <v>326</v>
      </c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1" t="s">
        <v>337</v>
      </c>
      <c r="AB273" s="42" t="s">
        <v>328</v>
      </c>
      <c r="AC273" s="43" t="s">
        <v>61</v>
      </c>
      <c r="AD273" s="43">
        <v>46632075</v>
      </c>
      <c r="AE273" s="44">
        <v>0</v>
      </c>
      <c r="AF273" s="44">
        <v>0</v>
      </c>
      <c r="AG273" s="44">
        <v>0</v>
      </c>
      <c r="AH273" s="44">
        <v>0</v>
      </c>
      <c r="AI273" s="44">
        <v>0</v>
      </c>
      <c r="AJ273" s="43">
        <v>46632075</v>
      </c>
      <c r="AK273" s="44">
        <v>0</v>
      </c>
      <c r="AL273" s="43">
        <f>AM273-ABRIL!AM254</f>
        <v>3689300</v>
      </c>
      <c r="AM273" s="43">
        <v>18011200</v>
      </c>
      <c r="AN273" s="44">
        <v>0</v>
      </c>
      <c r="AO273" s="43">
        <v>3689300</v>
      </c>
      <c r="AP273" s="43">
        <v>18011200</v>
      </c>
      <c r="AQ273" s="110">
        <v>3689300</v>
      </c>
      <c r="AR273" s="110">
        <v>3706100</v>
      </c>
      <c r="AS273" s="110">
        <v>14321900</v>
      </c>
      <c r="AT273" s="39">
        <f t="shared" si="141"/>
        <v>18011200</v>
      </c>
      <c r="AU273" s="18">
        <f>AJ273-AM273</f>
        <v>28620875</v>
      </c>
      <c r="AV273" s="34">
        <f>AM273-AP273</f>
        <v>0</v>
      </c>
      <c r="AW273" s="34">
        <f>AP273-AT273</f>
        <v>0</v>
      </c>
      <c r="AX273" s="123">
        <f>AP273/AJ273</f>
        <v>0.38624058654906523</v>
      </c>
    </row>
    <row r="274" spans="1:50" ht="18.75" customHeight="1" x14ac:dyDescent="0.2">
      <c r="AA274" s="28" t="s">
        <v>288</v>
      </c>
      <c r="AB274" s="29" t="s">
        <v>129</v>
      </c>
      <c r="AC274" s="17"/>
      <c r="AD274" s="18"/>
      <c r="AE274" s="34"/>
      <c r="AF274" s="34"/>
      <c r="AG274" s="34"/>
      <c r="AH274" s="34"/>
      <c r="AI274" s="34"/>
      <c r="AJ274" s="18"/>
      <c r="AK274" s="34"/>
      <c r="AL274" s="18"/>
      <c r="AM274" s="18"/>
      <c r="AN274" s="34"/>
      <c r="AO274" s="18"/>
      <c r="AP274" s="18"/>
      <c r="AQ274" s="110"/>
      <c r="AR274" s="110"/>
      <c r="AS274" s="110"/>
      <c r="AT274" s="40">
        <f t="shared" si="141"/>
        <v>0</v>
      </c>
      <c r="AU274" s="18"/>
      <c r="AV274" s="18"/>
      <c r="AW274" s="34"/>
      <c r="AX274" s="18"/>
    </row>
    <row r="275" spans="1:50" ht="18.75" customHeight="1" x14ac:dyDescent="0.2">
      <c r="A275" s="4" t="s">
        <v>325</v>
      </c>
      <c r="B275" s="4" t="s">
        <v>326</v>
      </c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1" t="s">
        <v>338</v>
      </c>
      <c r="AB275" s="42" t="s">
        <v>328</v>
      </c>
      <c r="AC275" s="43" t="s">
        <v>61</v>
      </c>
      <c r="AD275" s="43">
        <v>328682499</v>
      </c>
      <c r="AE275" s="44">
        <v>0</v>
      </c>
      <c r="AF275" s="44">
        <v>0</v>
      </c>
      <c r="AG275" s="44">
        <v>0</v>
      </c>
      <c r="AH275" s="44">
        <v>0</v>
      </c>
      <c r="AI275" s="44">
        <v>0</v>
      </c>
      <c r="AJ275" s="43">
        <v>328682499</v>
      </c>
      <c r="AK275" s="44">
        <v>0</v>
      </c>
      <c r="AL275" s="43">
        <f>AM275-ABRIL!AM256</f>
        <v>21509800</v>
      </c>
      <c r="AM275" s="43">
        <v>107749700</v>
      </c>
      <c r="AN275" s="44">
        <v>0</v>
      </c>
      <c r="AO275" s="43">
        <v>21509800</v>
      </c>
      <c r="AP275" s="43">
        <v>107749700</v>
      </c>
      <c r="AQ275" s="110">
        <v>21509800</v>
      </c>
      <c r="AR275" s="110">
        <v>21641000</v>
      </c>
      <c r="AS275" s="110">
        <v>86239900</v>
      </c>
      <c r="AT275" s="39">
        <f t="shared" si="141"/>
        <v>107749700</v>
      </c>
      <c r="AU275" s="18">
        <f>AJ275-AM275</f>
        <v>220932799</v>
      </c>
      <c r="AV275" s="34">
        <f>AM275-AP275</f>
        <v>0</v>
      </c>
      <c r="AW275" s="34">
        <f>AP275-AT275</f>
        <v>0</v>
      </c>
      <c r="AX275" s="123">
        <f>AP275/AJ275</f>
        <v>0.32782305211814761</v>
      </c>
    </row>
    <row r="276" spans="1:50" ht="18.75" customHeight="1" x14ac:dyDescent="0.2">
      <c r="AA276" s="28" t="s">
        <v>288</v>
      </c>
      <c r="AB276" s="29" t="s">
        <v>133</v>
      </c>
      <c r="AC276" s="17"/>
      <c r="AD276" s="18"/>
      <c r="AE276" s="34"/>
      <c r="AF276" s="34"/>
      <c r="AG276" s="34"/>
      <c r="AH276" s="34"/>
      <c r="AI276" s="34"/>
      <c r="AJ276" s="18"/>
      <c r="AK276" s="34"/>
      <c r="AL276" s="18"/>
      <c r="AM276" s="18"/>
      <c r="AN276" s="34"/>
      <c r="AO276" s="18"/>
      <c r="AP276" s="18"/>
      <c r="AQ276" s="110"/>
      <c r="AR276" s="110"/>
      <c r="AS276" s="110"/>
      <c r="AT276" s="40">
        <f t="shared" si="141"/>
        <v>0</v>
      </c>
      <c r="AU276" s="18"/>
      <c r="AV276" s="18"/>
      <c r="AW276" s="34"/>
      <c r="AX276" s="18"/>
    </row>
    <row r="277" spans="1:50" ht="18.75" customHeight="1" x14ac:dyDescent="0.2">
      <c r="A277" s="4" t="s">
        <v>325</v>
      </c>
      <c r="B277" s="4" t="s">
        <v>326</v>
      </c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1" t="s">
        <v>339</v>
      </c>
      <c r="AB277" s="42" t="s">
        <v>328</v>
      </c>
      <c r="AC277" s="43" t="s">
        <v>61</v>
      </c>
      <c r="AD277" s="43">
        <v>54780417</v>
      </c>
      <c r="AE277" s="44">
        <v>0</v>
      </c>
      <c r="AF277" s="44">
        <v>0</v>
      </c>
      <c r="AG277" s="44">
        <v>0</v>
      </c>
      <c r="AH277" s="44">
        <v>0</v>
      </c>
      <c r="AI277" s="44">
        <v>0</v>
      </c>
      <c r="AJ277" s="43">
        <v>54780417</v>
      </c>
      <c r="AK277" s="44">
        <v>0</v>
      </c>
      <c r="AL277" s="43">
        <f>AM277-ABRIL!AM258</f>
        <v>3596600</v>
      </c>
      <c r="AM277" s="43">
        <v>18021600</v>
      </c>
      <c r="AN277" s="44">
        <v>0</v>
      </c>
      <c r="AO277" s="43">
        <v>3596600</v>
      </c>
      <c r="AP277" s="43">
        <v>18021600</v>
      </c>
      <c r="AQ277" s="110">
        <v>3596600</v>
      </c>
      <c r="AR277" s="110">
        <v>3618600</v>
      </c>
      <c r="AS277" s="110">
        <v>14425000</v>
      </c>
      <c r="AT277" s="39">
        <f t="shared" si="141"/>
        <v>18021600</v>
      </c>
      <c r="AU277" s="18">
        <f>AJ277-AM277</f>
        <v>36758817</v>
      </c>
      <c r="AV277" s="34">
        <f>AM277-AP277</f>
        <v>0</v>
      </c>
      <c r="AW277" s="34">
        <f>AP277-AT277</f>
        <v>0</v>
      </c>
      <c r="AX277" s="123">
        <f>AP277/AJ277</f>
        <v>0.32897887579059504</v>
      </c>
    </row>
    <row r="278" spans="1:50" ht="18.75" customHeight="1" x14ac:dyDescent="0.2">
      <c r="AA278" s="28" t="s">
        <v>288</v>
      </c>
      <c r="AB278" s="29" t="s">
        <v>138</v>
      </c>
      <c r="AC278" s="17"/>
      <c r="AD278" s="18"/>
      <c r="AE278" s="34"/>
      <c r="AF278" s="34"/>
      <c r="AG278" s="34"/>
      <c r="AH278" s="34"/>
      <c r="AI278" s="34"/>
      <c r="AJ278" s="18"/>
      <c r="AK278" s="34"/>
      <c r="AL278" s="18"/>
      <c r="AM278" s="18"/>
      <c r="AN278" s="34"/>
      <c r="AO278" s="18"/>
      <c r="AP278" s="18"/>
      <c r="AQ278" s="110"/>
      <c r="AR278" s="110"/>
      <c r="AS278" s="110"/>
      <c r="AT278" s="40">
        <f t="shared" si="141"/>
        <v>0</v>
      </c>
      <c r="AU278" s="18"/>
      <c r="AV278" s="18"/>
      <c r="AW278" s="34"/>
      <c r="AX278" s="18"/>
    </row>
    <row r="279" spans="1:50" ht="18.75" customHeight="1" x14ac:dyDescent="0.2">
      <c r="A279" s="4" t="s">
        <v>325</v>
      </c>
      <c r="B279" s="4" t="s">
        <v>326</v>
      </c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1" t="s">
        <v>340</v>
      </c>
      <c r="AB279" s="42" t="s">
        <v>328</v>
      </c>
      <c r="AC279" s="43" t="s">
        <v>61</v>
      </c>
      <c r="AD279" s="43">
        <v>54780417</v>
      </c>
      <c r="AE279" s="44">
        <v>0</v>
      </c>
      <c r="AF279" s="44">
        <v>0</v>
      </c>
      <c r="AG279" s="44">
        <v>0</v>
      </c>
      <c r="AH279" s="44">
        <v>0</v>
      </c>
      <c r="AI279" s="44">
        <v>0</v>
      </c>
      <c r="AJ279" s="43">
        <v>54780417</v>
      </c>
      <c r="AK279" s="44">
        <v>0</v>
      </c>
      <c r="AL279" s="43">
        <f>AM279-ABRIL!AM260</f>
        <v>3596600</v>
      </c>
      <c r="AM279" s="43">
        <v>18021600</v>
      </c>
      <c r="AN279" s="44">
        <v>0</v>
      </c>
      <c r="AO279" s="43">
        <v>3596600</v>
      </c>
      <c r="AP279" s="43">
        <v>18021600</v>
      </c>
      <c r="AQ279" s="110">
        <v>3596600</v>
      </c>
      <c r="AR279" s="110">
        <v>3618600</v>
      </c>
      <c r="AS279" s="110">
        <v>14425000</v>
      </c>
      <c r="AT279" s="39">
        <f t="shared" si="141"/>
        <v>18021600</v>
      </c>
      <c r="AU279" s="18">
        <f>AJ279-AM279</f>
        <v>36758817</v>
      </c>
      <c r="AV279" s="34">
        <f>AM279-AP279</f>
        <v>0</v>
      </c>
      <c r="AW279" s="34">
        <f>AP279-AT279</f>
        <v>0</v>
      </c>
      <c r="AX279" s="123">
        <f>AP279/AJ279</f>
        <v>0.32897887579059504</v>
      </c>
    </row>
    <row r="280" spans="1:50" ht="25.5" x14ac:dyDescent="0.2">
      <c r="AA280" s="28" t="s">
        <v>288</v>
      </c>
      <c r="AB280" s="29" t="s">
        <v>145</v>
      </c>
      <c r="AC280" s="17"/>
      <c r="AD280" s="18"/>
      <c r="AE280" s="34"/>
      <c r="AF280" s="34"/>
      <c r="AG280" s="34"/>
      <c r="AH280" s="34"/>
      <c r="AI280" s="34"/>
      <c r="AJ280" s="18"/>
      <c r="AK280" s="34"/>
      <c r="AL280" s="18"/>
      <c r="AM280" s="18"/>
      <c r="AN280" s="34"/>
      <c r="AO280" s="18"/>
      <c r="AP280" s="18"/>
      <c r="AQ280" s="34"/>
      <c r="AR280" s="34"/>
      <c r="AS280" s="34"/>
      <c r="AT280" s="40">
        <f t="shared" si="141"/>
        <v>0</v>
      </c>
      <c r="AU280" s="18"/>
      <c r="AV280" s="18"/>
      <c r="AW280" s="18"/>
      <c r="AX280" s="18"/>
    </row>
    <row r="281" spans="1:50" ht="18.75" customHeight="1" x14ac:dyDescent="0.2">
      <c r="A281" s="4" t="s">
        <v>325</v>
      </c>
      <c r="B281" s="4" t="s">
        <v>326</v>
      </c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1" t="s">
        <v>341</v>
      </c>
      <c r="AB281" s="42" t="s">
        <v>328</v>
      </c>
      <c r="AC281" s="43" t="s">
        <v>61</v>
      </c>
      <c r="AD281" s="43">
        <v>109560833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3">
        <v>109560833</v>
      </c>
      <c r="AK281" s="44">
        <v>0</v>
      </c>
      <c r="AL281" s="43">
        <f>AM281-ABRIL!AM262</f>
        <v>7181600</v>
      </c>
      <c r="AM281" s="43">
        <v>35977700</v>
      </c>
      <c r="AN281" s="44">
        <v>0</v>
      </c>
      <c r="AO281" s="43">
        <v>7181600</v>
      </c>
      <c r="AP281" s="43">
        <v>35977700</v>
      </c>
      <c r="AQ281" s="34">
        <v>7181600</v>
      </c>
      <c r="AR281" s="110">
        <v>7225400</v>
      </c>
      <c r="AS281" s="110">
        <v>28796100</v>
      </c>
      <c r="AT281" s="39">
        <f t="shared" si="141"/>
        <v>35977700</v>
      </c>
      <c r="AU281" s="18">
        <f>AJ281-AM281</f>
        <v>73583133</v>
      </c>
      <c r="AV281" s="34">
        <f>AM281-AP281</f>
        <v>0</v>
      </c>
      <c r="AW281" s="34">
        <f>AP281-AT281</f>
        <v>0</v>
      </c>
      <c r="AX281" s="123">
        <f>AP281/AJ281</f>
        <v>0.32838103740960056</v>
      </c>
    </row>
    <row r="282" spans="1:50" ht="18.75" customHeight="1" x14ac:dyDescent="0.2">
      <c r="AA282" s="16"/>
      <c r="AB282" s="29" t="s">
        <v>149</v>
      </c>
      <c r="AC282" s="17"/>
      <c r="AD282" s="18"/>
      <c r="AE282" s="34"/>
      <c r="AF282" s="34"/>
      <c r="AG282" s="34"/>
      <c r="AH282" s="34"/>
      <c r="AI282" s="34"/>
      <c r="AJ282" s="18"/>
      <c r="AK282" s="34"/>
      <c r="AL282" s="18"/>
      <c r="AM282" s="18"/>
      <c r="AN282" s="34"/>
      <c r="AO282" s="18"/>
      <c r="AP282" s="18"/>
      <c r="AQ282" s="34"/>
      <c r="AR282" s="34"/>
      <c r="AS282" s="34"/>
      <c r="AT282" s="40"/>
      <c r="AU282" s="18"/>
      <c r="AV282" s="18"/>
      <c r="AW282" s="34"/>
      <c r="AX282" s="18"/>
    </row>
    <row r="283" spans="1:50" ht="18.75" customHeight="1" x14ac:dyDescent="0.2">
      <c r="AA283" s="16"/>
      <c r="AB283" s="29" t="s">
        <v>81</v>
      </c>
      <c r="AC283" s="17"/>
      <c r="AD283" s="18"/>
      <c r="AE283" s="34"/>
      <c r="AF283" s="34"/>
      <c r="AG283" s="34"/>
      <c r="AH283" s="34"/>
      <c r="AI283" s="34"/>
      <c r="AJ283" s="18"/>
      <c r="AK283" s="34"/>
      <c r="AL283" s="18"/>
      <c r="AM283" s="18"/>
      <c r="AN283" s="34"/>
      <c r="AO283" s="18"/>
      <c r="AP283" s="18"/>
      <c r="AQ283" s="34"/>
      <c r="AR283" s="34"/>
      <c r="AS283" s="34"/>
      <c r="AT283" s="40"/>
      <c r="AU283" s="18"/>
      <c r="AV283" s="18"/>
      <c r="AW283" s="34"/>
      <c r="AX283" s="18"/>
    </row>
    <row r="284" spans="1:50" ht="18.75" customHeight="1" x14ac:dyDescent="0.2">
      <c r="AA284" s="28" t="s">
        <v>288</v>
      </c>
      <c r="AB284" s="29" t="s">
        <v>152</v>
      </c>
      <c r="AC284" s="17"/>
      <c r="AD284" s="18"/>
      <c r="AE284" s="34"/>
      <c r="AF284" s="34"/>
      <c r="AG284" s="34"/>
      <c r="AH284" s="34"/>
      <c r="AI284" s="34"/>
      <c r="AJ284" s="18"/>
      <c r="AK284" s="34"/>
      <c r="AL284" s="18"/>
      <c r="AM284" s="18"/>
      <c r="AN284" s="34"/>
      <c r="AO284" s="18"/>
      <c r="AP284" s="18"/>
      <c r="AQ284" s="34"/>
      <c r="AR284" s="34"/>
      <c r="AS284" s="34"/>
      <c r="AT284" s="40"/>
      <c r="AU284" s="18"/>
      <c r="AV284" s="18"/>
      <c r="AW284" s="34"/>
      <c r="AX284" s="18"/>
    </row>
    <row r="285" spans="1:50" ht="18.75" customHeight="1" x14ac:dyDescent="0.2">
      <c r="A285" s="4" t="s">
        <v>325</v>
      </c>
      <c r="B285" s="4" t="s">
        <v>326</v>
      </c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1" t="s">
        <v>342</v>
      </c>
      <c r="AB285" s="42" t="s">
        <v>328</v>
      </c>
      <c r="AC285" s="43" t="s">
        <v>61</v>
      </c>
      <c r="AD285" s="43">
        <v>229777776</v>
      </c>
      <c r="AE285" s="44">
        <v>0</v>
      </c>
      <c r="AF285" s="44">
        <v>0</v>
      </c>
      <c r="AG285" s="44">
        <v>0</v>
      </c>
      <c r="AH285" s="44">
        <v>0</v>
      </c>
      <c r="AI285" s="44">
        <v>0</v>
      </c>
      <c r="AJ285" s="43">
        <v>229777776</v>
      </c>
      <c r="AK285" s="44">
        <v>0</v>
      </c>
      <c r="AL285" s="43">
        <f>AM285-ABRIL!AM266</f>
        <v>14213459</v>
      </c>
      <c r="AM285" s="43">
        <v>47290957</v>
      </c>
      <c r="AN285" s="44">
        <v>0</v>
      </c>
      <c r="AO285" s="43">
        <v>19529713</v>
      </c>
      <c r="AP285" s="43">
        <v>47290957</v>
      </c>
      <c r="AQ285" s="34">
        <v>0</v>
      </c>
      <c r="AR285" s="133">
        <v>19529713</v>
      </c>
      <c r="AS285" s="110">
        <v>47290957</v>
      </c>
      <c r="AT285" s="39">
        <f t="shared" si="141"/>
        <v>47290957</v>
      </c>
      <c r="AU285" s="18">
        <f>AJ285-AM285</f>
        <v>182486819</v>
      </c>
      <c r="AV285" s="18">
        <f>AM285-AP285</f>
        <v>0</v>
      </c>
      <c r="AW285" s="34">
        <f>AP285-AT285</f>
        <v>0</v>
      </c>
      <c r="AX285" s="123">
        <f>AP285/AJ285</f>
        <v>0.20581171000628015</v>
      </c>
    </row>
    <row r="286" spans="1:50" ht="18.75" customHeight="1" x14ac:dyDescent="0.2">
      <c r="AA286" s="28" t="s">
        <v>288</v>
      </c>
      <c r="AB286" s="29" t="s">
        <v>343</v>
      </c>
      <c r="AC286" s="17"/>
      <c r="AD286" s="18"/>
      <c r="AE286" s="34"/>
      <c r="AF286" s="34"/>
      <c r="AG286" s="34"/>
      <c r="AH286" s="34"/>
      <c r="AI286" s="34"/>
      <c r="AJ286" s="18"/>
      <c r="AK286" s="34"/>
      <c r="AL286" s="18"/>
      <c r="AM286" s="18"/>
      <c r="AN286" s="34"/>
      <c r="AO286" s="18"/>
      <c r="AP286" s="18"/>
      <c r="AQ286" s="34"/>
      <c r="AR286" s="34"/>
      <c r="AS286" s="34"/>
      <c r="AT286" s="40"/>
      <c r="AU286" s="18"/>
      <c r="AV286" s="18"/>
      <c r="AW286" s="34"/>
      <c r="AX286" s="18"/>
    </row>
    <row r="287" spans="1:50" ht="18.75" customHeight="1" x14ac:dyDescent="0.2">
      <c r="A287" s="4" t="s">
        <v>325</v>
      </c>
      <c r="B287" s="4" t="s">
        <v>326</v>
      </c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1" t="s">
        <v>344</v>
      </c>
      <c r="AB287" s="42" t="s">
        <v>328</v>
      </c>
      <c r="AC287" s="43" t="s">
        <v>61</v>
      </c>
      <c r="AD287" s="43">
        <v>10000000</v>
      </c>
      <c r="AE287" s="44">
        <v>0</v>
      </c>
      <c r="AF287" s="44">
        <v>0</v>
      </c>
      <c r="AG287" s="44">
        <v>0</v>
      </c>
      <c r="AH287" s="44">
        <v>0</v>
      </c>
      <c r="AI287" s="44">
        <v>0</v>
      </c>
      <c r="AJ287" s="43">
        <v>10000000</v>
      </c>
      <c r="AK287" s="44">
        <v>0</v>
      </c>
      <c r="AL287" s="44">
        <v>0</v>
      </c>
      <c r="AM287" s="44">
        <v>0</v>
      </c>
      <c r="AN287" s="44">
        <v>0</v>
      </c>
      <c r="AO287" s="44">
        <v>0</v>
      </c>
      <c r="AP287" s="44">
        <v>0</v>
      </c>
      <c r="AQ287" s="34">
        <v>0</v>
      </c>
      <c r="AR287" s="34">
        <v>0</v>
      </c>
      <c r="AS287" s="34">
        <v>0</v>
      </c>
      <c r="AT287" s="40">
        <f t="shared" ref="AT287" si="142">AQ287+AS287</f>
        <v>0</v>
      </c>
      <c r="AU287" s="18">
        <f>AJ287-AM287</f>
        <v>10000000</v>
      </c>
      <c r="AV287" s="34">
        <f>AM287-AP287</f>
        <v>0</v>
      </c>
      <c r="AW287" s="34">
        <f>AP287-AT287</f>
        <v>0</v>
      </c>
      <c r="AX287" s="123">
        <f>AP287/AJ287</f>
        <v>0</v>
      </c>
    </row>
    <row r="288" spans="1:50" ht="18.75" customHeight="1" x14ac:dyDescent="0.2">
      <c r="AA288" s="28" t="s">
        <v>288</v>
      </c>
      <c r="AB288" s="29" t="s">
        <v>162</v>
      </c>
      <c r="AC288" s="17"/>
      <c r="AD288" s="18"/>
      <c r="AE288" s="34"/>
      <c r="AF288" s="34"/>
      <c r="AG288" s="34"/>
      <c r="AH288" s="34"/>
      <c r="AI288" s="34"/>
      <c r="AJ288" s="18"/>
      <c r="AK288" s="34"/>
      <c r="AL288" s="18"/>
      <c r="AM288" s="18"/>
      <c r="AN288" s="34"/>
      <c r="AO288" s="18"/>
      <c r="AP288" s="18"/>
      <c r="AQ288" s="34"/>
      <c r="AR288" s="34"/>
      <c r="AS288" s="34"/>
      <c r="AT288" s="40"/>
      <c r="AU288" s="18"/>
      <c r="AV288" s="18"/>
      <c r="AW288" s="34"/>
      <c r="AX288" s="18"/>
    </row>
    <row r="289" spans="1:50" ht="18.75" customHeight="1" x14ac:dyDescent="0.2">
      <c r="A289" s="4" t="s">
        <v>325</v>
      </c>
      <c r="B289" s="4" t="s">
        <v>326</v>
      </c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1" t="s">
        <v>345</v>
      </c>
      <c r="AB289" s="42" t="s">
        <v>328</v>
      </c>
      <c r="AC289" s="43" t="s">
        <v>61</v>
      </c>
      <c r="AD289" s="43">
        <v>31208419</v>
      </c>
      <c r="AE289" s="44">
        <v>0</v>
      </c>
      <c r="AF289" s="44">
        <v>0</v>
      </c>
      <c r="AG289" s="44">
        <v>0</v>
      </c>
      <c r="AH289" s="44">
        <v>0</v>
      </c>
      <c r="AI289" s="44">
        <v>0</v>
      </c>
      <c r="AJ289" s="43">
        <v>31208419</v>
      </c>
      <c r="AK289" s="44">
        <v>0</v>
      </c>
      <c r="AL289" s="43">
        <f>AM289-ABRIL!AM270</f>
        <v>1228305</v>
      </c>
      <c r="AM289" s="43">
        <v>3505280</v>
      </c>
      <c r="AN289" s="44">
        <v>0</v>
      </c>
      <c r="AO289" s="43">
        <v>1228305</v>
      </c>
      <c r="AP289" s="43">
        <v>3505280</v>
      </c>
      <c r="AQ289" s="34">
        <v>0</v>
      </c>
      <c r="AR289" s="133">
        <v>1228305</v>
      </c>
      <c r="AS289" s="110">
        <v>3505280</v>
      </c>
      <c r="AT289" s="39">
        <f t="shared" ref="AT289" si="143">AQ289+AS289</f>
        <v>3505280</v>
      </c>
      <c r="AU289" s="18">
        <f>AJ289-AM289</f>
        <v>27703139</v>
      </c>
      <c r="AV289" s="34">
        <f>AM289-AP289</f>
        <v>0</v>
      </c>
      <c r="AW289" s="34">
        <f>AP289-AT289</f>
        <v>0</v>
      </c>
      <c r="AX289" s="123">
        <f>AP289/AJ289</f>
        <v>0.11231840997776914</v>
      </c>
    </row>
    <row r="290" spans="1:50" ht="18.75" customHeight="1" x14ac:dyDescent="0.2">
      <c r="AA290" s="28" t="s">
        <v>288</v>
      </c>
      <c r="AB290" s="29" t="s">
        <v>346</v>
      </c>
      <c r="AC290" s="17"/>
      <c r="AD290" s="18"/>
      <c r="AE290" s="34"/>
      <c r="AF290" s="34"/>
      <c r="AG290" s="34"/>
      <c r="AH290" s="34"/>
      <c r="AI290" s="34"/>
      <c r="AJ290" s="18"/>
      <c r="AK290" s="34"/>
      <c r="AL290" s="18"/>
      <c r="AM290" s="18"/>
      <c r="AN290" s="34"/>
      <c r="AO290" s="18"/>
      <c r="AP290" s="18"/>
      <c r="AQ290" s="34"/>
      <c r="AR290" s="133"/>
      <c r="AS290" s="110"/>
      <c r="AT290" s="40"/>
      <c r="AU290" s="18"/>
      <c r="AV290" s="18"/>
      <c r="AW290" s="34"/>
      <c r="AX290" s="18"/>
    </row>
    <row r="291" spans="1:50" ht="18.75" customHeight="1" x14ac:dyDescent="0.2">
      <c r="A291" s="4" t="s">
        <v>325</v>
      </c>
      <c r="B291" s="4" t="s">
        <v>326</v>
      </c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1" t="s">
        <v>347</v>
      </c>
      <c r="AB291" s="42" t="s">
        <v>328</v>
      </c>
      <c r="AC291" s="43" t="s">
        <v>61</v>
      </c>
      <c r="AD291" s="43">
        <v>1108512330</v>
      </c>
      <c r="AE291" s="44">
        <v>0</v>
      </c>
      <c r="AF291" s="44">
        <v>0</v>
      </c>
      <c r="AG291" s="44">
        <v>0</v>
      </c>
      <c r="AH291" s="44">
        <v>0</v>
      </c>
      <c r="AI291" s="44">
        <v>0</v>
      </c>
      <c r="AJ291" s="43">
        <v>1108512330</v>
      </c>
      <c r="AK291" s="44">
        <v>0</v>
      </c>
      <c r="AL291" s="43">
        <f>AM291-ABRIL!AM272</f>
        <v>74663052</v>
      </c>
      <c r="AM291" s="43">
        <v>366408812</v>
      </c>
      <c r="AN291" s="44">
        <v>0</v>
      </c>
      <c r="AO291" s="43">
        <v>74663052</v>
      </c>
      <c r="AP291" s="43">
        <v>365972816</v>
      </c>
      <c r="AQ291" s="34">
        <v>0</v>
      </c>
      <c r="AR291" s="133">
        <v>74663052</v>
      </c>
      <c r="AS291" s="110">
        <v>365972816</v>
      </c>
      <c r="AT291" s="39">
        <f t="shared" ref="AT291" si="144">AQ291+AS291</f>
        <v>365972816</v>
      </c>
      <c r="AU291" s="18">
        <f>AJ291-AM291</f>
        <v>742103518</v>
      </c>
      <c r="AV291" s="110">
        <f>AM291-AP291</f>
        <v>435996</v>
      </c>
      <c r="AW291" s="34">
        <f>AP291-AT291</f>
        <v>0</v>
      </c>
      <c r="AX291" s="123">
        <f>AP291/AJ291</f>
        <v>0.33014771788781094</v>
      </c>
    </row>
    <row r="292" spans="1:50" ht="18.75" customHeight="1" x14ac:dyDescent="0.2">
      <c r="AA292" s="16"/>
      <c r="AB292" s="29" t="s">
        <v>348</v>
      </c>
      <c r="AC292" s="17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34"/>
      <c r="AO292" s="18"/>
      <c r="AP292" s="18"/>
      <c r="AQ292" s="18"/>
      <c r="AR292" s="18"/>
      <c r="AS292" s="18"/>
      <c r="AT292" s="30"/>
      <c r="AU292" s="18"/>
      <c r="AV292" s="18"/>
      <c r="AW292" s="18"/>
      <c r="AX292" s="18"/>
    </row>
    <row r="293" spans="1:50" ht="18.75" customHeight="1" x14ac:dyDescent="0.2">
      <c r="AA293" s="16"/>
      <c r="AB293" s="29" t="s">
        <v>318</v>
      </c>
      <c r="AC293" s="17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34"/>
      <c r="AO293" s="18"/>
      <c r="AP293" s="18"/>
      <c r="AQ293" s="18"/>
      <c r="AR293" s="18"/>
      <c r="AS293" s="18"/>
      <c r="AT293" s="30"/>
      <c r="AU293" s="18"/>
      <c r="AV293" s="18"/>
      <c r="AW293" s="18"/>
      <c r="AX293" s="18"/>
    </row>
    <row r="294" spans="1:50" ht="25.5" x14ac:dyDescent="0.2">
      <c r="AA294" s="16"/>
      <c r="AB294" s="29" t="s">
        <v>319</v>
      </c>
      <c r="AC294" s="17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34"/>
      <c r="AO294" s="18"/>
      <c r="AP294" s="18"/>
      <c r="AQ294" s="18"/>
      <c r="AR294" s="18"/>
      <c r="AS294" s="18"/>
      <c r="AT294" s="30"/>
      <c r="AU294" s="18"/>
      <c r="AV294" s="18"/>
      <c r="AW294" s="18"/>
      <c r="AX294" s="18"/>
    </row>
    <row r="295" spans="1:50" ht="18.75" customHeight="1" x14ac:dyDescent="0.2">
      <c r="AA295" s="16"/>
      <c r="AB295" s="29" t="s">
        <v>320</v>
      </c>
      <c r="AC295" s="17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34"/>
      <c r="AO295" s="18"/>
      <c r="AP295" s="18"/>
      <c r="AQ295" s="18"/>
      <c r="AR295" s="18"/>
      <c r="AS295" s="18"/>
      <c r="AT295" s="30"/>
      <c r="AU295" s="18"/>
      <c r="AV295" s="18"/>
      <c r="AW295" s="18"/>
      <c r="AX295" s="18"/>
    </row>
    <row r="296" spans="1:50" ht="18.75" customHeight="1" x14ac:dyDescent="0.2">
      <c r="AA296" s="16"/>
      <c r="AB296" s="29" t="s">
        <v>46</v>
      </c>
      <c r="AC296" s="17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34"/>
      <c r="AO296" s="18"/>
      <c r="AP296" s="18"/>
      <c r="AQ296" s="18"/>
      <c r="AR296" s="18"/>
      <c r="AS296" s="18"/>
      <c r="AT296" s="30"/>
      <c r="AU296" s="18"/>
      <c r="AV296" s="18"/>
      <c r="AW296" s="18"/>
      <c r="AX296" s="18"/>
    </row>
    <row r="297" spans="1:50" ht="18.75" customHeight="1" x14ac:dyDescent="0.2">
      <c r="AA297" s="16"/>
      <c r="AB297" s="29" t="s">
        <v>48</v>
      </c>
      <c r="AC297" s="17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34"/>
      <c r="AO297" s="18"/>
      <c r="AP297" s="18"/>
      <c r="AQ297" s="18"/>
      <c r="AR297" s="18"/>
      <c r="AS297" s="18"/>
      <c r="AT297" s="30"/>
      <c r="AU297" s="18"/>
      <c r="AV297" s="18"/>
      <c r="AW297" s="18"/>
      <c r="AX297" s="18"/>
    </row>
    <row r="298" spans="1:50" ht="18.75" customHeight="1" x14ac:dyDescent="0.2">
      <c r="AA298" s="16"/>
      <c r="AB298" s="29" t="s">
        <v>52</v>
      </c>
      <c r="AC298" s="17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34"/>
      <c r="AO298" s="18"/>
      <c r="AP298" s="18"/>
      <c r="AQ298" s="18"/>
      <c r="AR298" s="18"/>
      <c r="AS298" s="18"/>
      <c r="AT298" s="30"/>
      <c r="AU298" s="18"/>
      <c r="AV298" s="18"/>
      <c r="AW298" s="18"/>
      <c r="AX298" s="18"/>
    </row>
    <row r="299" spans="1:50" ht="18.75" customHeight="1" x14ac:dyDescent="0.2">
      <c r="AA299" s="28" t="s">
        <v>288</v>
      </c>
      <c r="AB299" s="29" t="s">
        <v>54</v>
      </c>
      <c r="AC299" s="17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34"/>
      <c r="AO299" s="18"/>
      <c r="AP299" s="18"/>
      <c r="AQ299" s="18"/>
      <c r="AR299" s="18"/>
      <c r="AS299" s="18"/>
      <c r="AT299" s="30"/>
      <c r="AU299" s="18"/>
      <c r="AV299" s="18"/>
      <c r="AW299" s="18"/>
      <c r="AX299" s="18"/>
    </row>
    <row r="300" spans="1:50" ht="18.75" customHeight="1" x14ac:dyDescent="0.2">
      <c r="A300" s="4" t="s">
        <v>55</v>
      </c>
      <c r="B300" s="4" t="s">
        <v>56</v>
      </c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1" t="s">
        <v>323</v>
      </c>
      <c r="AB300" s="42" t="s">
        <v>324</v>
      </c>
      <c r="AC300" s="43" t="s">
        <v>61</v>
      </c>
      <c r="AD300" s="43">
        <v>111646949658</v>
      </c>
      <c r="AE300" s="44">
        <v>0</v>
      </c>
      <c r="AF300" s="44">
        <v>0</v>
      </c>
      <c r="AG300" s="44">
        <v>0</v>
      </c>
      <c r="AH300" s="43">
        <v>316940531.69999999</v>
      </c>
      <c r="AI300" s="18">
        <f>AE300-AF300+AG300-AH300</f>
        <v>-316940531.69999999</v>
      </c>
      <c r="AJ300" s="18">
        <f>AD300+AI300</f>
        <v>111330009126.3</v>
      </c>
      <c r="AK300" s="44">
        <v>0</v>
      </c>
      <c r="AL300" s="43">
        <f>AM300-ABRIL!AM281</f>
        <v>8936282727</v>
      </c>
      <c r="AM300" s="43">
        <v>41402805290</v>
      </c>
      <c r="AN300" s="44">
        <v>0</v>
      </c>
      <c r="AO300" s="43">
        <v>8936282727</v>
      </c>
      <c r="AP300" s="43">
        <v>41402805290</v>
      </c>
      <c r="AQ300" s="43">
        <v>561132</v>
      </c>
      <c r="AR300" s="43">
        <v>8936282727</v>
      </c>
      <c r="AS300" s="43">
        <v>41402244158</v>
      </c>
      <c r="AT300" s="253">
        <f t="shared" ref="AT300" si="145">AQ300+AS300</f>
        <v>41402805290</v>
      </c>
      <c r="AU300" s="18">
        <f>AJ300-AM300</f>
        <v>69927203836.300003</v>
      </c>
      <c r="AV300" s="133">
        <f>AM300-AP300</f>
        <v>0</v>
      </c>
      <c r="AW300" s="34">
        <f>AP300-AT300</f>
        <v>0</v>
      </c>
      <c r="AX300" s="123">
        <f>AP300/AJ300</f>
        <v>0.3718925886643013</v>
      </c>
    </row>
    <row r="301" spans="1:50" ht="18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173" t="s">
        <v>962</v>
      </c>
      <c r="AB301" s="42" t="s">
        <v>963</v>
      </c>
      <c r="AC301" s="43"/>
      <c r="AD301" s="44">
        <v>0</v>
      </c>
      <c r="AE301" s="44">
        <v>0</v>
      </c>
      <c r="AF301" s="44">
        <v>0</v>
      </c>
      <c r="AG301" s="43">
        <v>280746171.69999999</v>
      </c>
      <c r="AH301" s="44">
        <v>0</v>
      </c>
      <c r="AI301" s="18">
        <f>AE301-AF301+AG301-AH349</f>
        <v>280746171.69999999</v>
      </c>
      <c r="AJ301" s="18">
        <f>AD301+AI301</f>
        <v>280746171.69999999</v>
      </c>
      <c r="AK301" s="44">
        <v>0</v>
      </c>
      <c r="AL301" s="44">
        <v>0</v>
      </c>
      <c r="AM301" s="44">
        <v>0</v>
      </c>
      <c r="AN301" s="44">
        <v>0</v>
      </c>
      <c r="AO301" s="44">
        <v>0</v>
      </c>
      <c r="AP301" s="44">
        <v>0</v>
      </c>
      <c r="AQ301" s="44">
        <v>0</v>
      </c>
      <c r="AR301" s="44">
        <v>0</v>
      </c>
      <c r="AS301" s="43">
        <v>0</v>
      </c>
      <c r="AT301" s="253">
        <f t="shared" ref="AT301:AT302" si="146">AQ301+AS301</f>
        <v>0</v>
      </c>
      <c r="AU301" s="18">
        <f>AJ301-AM301</f>
        <v>280746171.69999999</v>
      </c>
      <c r="AV301" s="133">
        <f>AM301-AP301</f>
        <v>0</v>
      </c>
      <c r="AW301" s="34">
        <f>AP301-AT301</f>
        <v>0</v>
      </c>
      <c r="AX301" s="123">
        <f>AP301/AJ301</f>
        <v>0</v>
      </c>
    </row>
    <row r="302" spans="1:50" ht="26.2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245" t="s">
        <v>1199</v>
      </c>
      <c r="AB302" s="42" t="s">
        <v>1200</v>
      </c>
      <c r="AC302" s="43"/>
      <c r="AD302" s="44">
        <v>0</v>
      </c>
      <c r="AE302" s="43">
        <v>3259928918.5</v>
      </c>
      <c r="AF302" s="44">
        <v>0</v>
      </c>
      <c r="AG302" s="44">
        <v>0</v>
      </c>
      <c r="AH302" s="34">
        <v>0</v>
      </c>
      <c r="AI302" s="18">
        <f>AE302-AF302+AG302-AH302</f>
        <v>3259928918.5</v>
      </c>
      <c r="AJ302" s="18">
        <f>AD302+AI302</f>
        <v>3259928918.5</v>
      </c>
      <c r="AK302" s="44">
        <v>0</v>
      </c>
      <c r="AL302" s="44">
        <v>0</v>
      </c>
      <c r="AM302" s="44">
        <v>0</v>
      </c>
      <c r="AN302" s="44">
        <v>0</v>
      </c>
      <c r="AO302" s="43">
        <v>0</v>
      </c>
      <c r="AP302" s="43">
        <v>0</v>
      </c>
      <c r="AQ302" s="44">
        <v>0</v>
      </c>
      <c r="AR302" s="43">
        <v>0</v>
      </c>
      <c r="AS302" s="43">
        <v>0</v>
      </c>
      <c r="AT302" s="253">
        <f t="shared" si="146"/>
        <v>0</v>
      </c>
      <c r="AU302" s="18">
        <f>AJ302-AM302</f>
        <v>3259928918.5</v>
      </c>
      <c r="AV302" s="133">
        <f>AM302-AP302</f>
        <v>0</v>
      </c>
      <c r="AW302" s="34">
        <f>AP302-AT302</f>
        <v>0</v>
      </c>
      <c r="AX302" s="123">
        <f>AP302/AJ302</f>
        <v>0</v>
      </c>
    </row>
    <row r="303" spans="1:50" ht="18.75" customHeight="1" x14ac:dyDescent="0.2">
      <c r="AA303" s="28" t="s">
        <v>288</v>
      </c>
      <c r="AB303" s="29" t="s">
        <v>63</v>
      </c>
      <c r="AC303" s="17"/>
      <c r="AD303" s="18"/>
      <c r="AE303" s="34"/>
      <c r="AF303" s="34"/>
      <c r="AG303" s="34"/>
      <c r="AH303" s="34"/>
      <c r="AI303" s="34"/>
      <c r="AJ303" s="18"/>
      <c r="AK303" s="34"/>
      <c r="AL303" s="18"/>
      <c r="AM303" s="18"/>
      <c r="AN303" s="34"/>
      <c r="AO303" s="18"/>
      <c r="AP303" s="18"/>
      <c r="AQ303" s="18"/>
      <c r="AR303" s="34"/>
      <c r="AS303" s="18"/>
      <c r="AT303" s="30"/>
      <c r="AU303" s="18"/>
      <c r="AV303" s="34"/>
      <c r="AW303" s="34"/>
      <c r="AX303" s="18"/>
    </row>
    <row r="304" spans="1:50" ht="18.75" customHeight="1" x14ac:dyDescent="0.2">
      <c r="A304" s="4" t="s">
        <v>325</v>
      </c>
      <c r="B304" s="4" t="s">
        <v>326</v>
      </c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1" t="s">
        <v>349</v>
      </c>
      <c r="AB304" s="42" t="s">
        <v>328</v>
      </c>
      <c r="AC304" s="43" t="s">
        <v>61</v>
      </c>
      <c r="AD304" s="43">
        <v>1252925726</v>
      </c>
      <c r="AE304" s="44">
        <v>0</v>
      </c>
      <c r="AF304" s="44">
        <v>0</v>
      </c>
      <c r="AG304" s="44">
        <v>0</v>
      </c>
      <c r="AH304" s="44">
        <v>0</v>
      </c>
      <c r="AI304" s="44">
        <v>0</v>
      </c>
      <c r="AJ304" s="43">
        <v>1252925726</v>
      </c>
      <c r="AK304" s="44">
        <v>0</v>
      </c>
      <c r="AL304" s="43">
        <f>AM304-ABRIL!AM284</f>
        <v>145703014</v>
      </c>
      <c r="AM304" s="43">
        <v>441225584</v>
      </c>
      <c r="AN304" s="44">
        <v>0</v>
      </c>
      <c r="AO304" s="43">
        <v>145703014</v>
      </c>
      <c r="AP304" s="43">
        <v>441225584</v>
      </c>
      <c r="AQ304" s="44">
        <v>0</v>
      </c>
      <c r="AR304" s="44">
        <v>145703014</v>
      </c>
      <c r="AS304" s="43">
        <v>441225584</v>
      </c>
      <c r="AT304" s="39">
        <f t="shared" ref="AT304" si="147">AQ304+AS304</f>
        <v>441225584</v>
      </c>
      <c r="AU304" s="18">
        <f>AJ304-AM304</f>
        <v>811700142</v>
      </c>
      <c r="AV304" s="34">
        <f>AM304-AP304</f>
        <v>0</v>
      </c>
      <c r="AW304" s="34">
        <f>AP304-AT304</f>
        <v>0</v>
      </c>
      <c r="AX304" s="123">
        <f>AP304/AJ304</f>
        <v>0.35215621711960921</v>
      </c>
    </row>
    <row r="305" spans="1:50" ht="18.75" customHeight="1" x14ac:dyDescent="0.2">
      <c r="AA305" s="28" t="s">
        <v>288</v>
      </c>
      <c r="AB305" s="29" t="s">
        <v>67</v>
      </c>
      <c r="AC305" s="17"/>
      <c r="AD305" s="18"/>
      <c r="AE305" s="34"/>
      <c r="AF305" s="34"/>
      <c r="AG305" s="34"/>
      <c r="AH305" s="34"/>
      <c r="AI305" s="34"/>
      <c r="AJ305" s="18"/>
      <c r="AK305" s="34"/>
      <c r="AL305" s="18"/>
      <c r="AM305" s="18"/>
      <c r="AN305" s="34"/>
      <c r="AO305" s="18"/>
      <c r="AP305" s="18"/>
      <c r="AQ305" s="34"/>
      <c r="AR305" s="34"/>
      <c r="AS305" s="18"/>
      <c r="AT305" s="39"/>
      <c r="AU305" s="18"/>
      <c r="AV305" s="34"/>
      <c r="AW305" s="34"/>
      <c r="AX305" s="18"/>
    </row>
    <row r="306" spans="1:50" ht="18.75" customHeight="1" x14ac:dyDescent="0.2">
      <c r="A306" s="4" t="s">
        <v>325</v>
      </c>
      <c r="B306" s="4" t="s">
        <v>326</v>
      </c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1" t="s">
        <v>350</v>
      </c>
      <c r="AB306" s="42" t="s">
        <v>328</v>
      </c>
      <c r="AC306" s="43" t="s">
        <v>61</v>
      </c>
      <c r="AD306" s="43">
        <v>29846525</v>
      </c>
      <c r="AE306" s="44">
        <v>0</v>
      </c>
      <c r="AF306" s="44">
        <v>0</v>
      </c>
      <c r="AG306" s="44">
        <v>0</v>
      </c>
      <c r="AH306" s="44">
        <v>0</v>
      </c>
      <c r="AI306" s="44">
        <v>0</v>
      </c>
      <c r="AJ306" s="43">
        <v>29846525</v>
      </c>
      <c r="AK306" s="44">
        <v>0</v>
      </c>
      <c r="AL306" s="43">
        <f>AM306-ABRIL!AM286</f>
        <v>2540366</v>
      </c>
      <c r="AM306" s="43">
        <v>11157331</v>
      </c>
      <c r="AN306" s="44">
        <v>0</v>
      </c>
      <c r="AO306" s="43">
        <v>2540366</v>
      </c>
      <c r="AP306" s="43">
        <v>11157331</v>
      </c>
      <c r="AQ306" s="44">
        <v>0</v>
      </c>
      <c r="AR306" s="44">
        <v>2540366</v>
      </c>
      <c r="AS306" s="43">
        <v>11157331</v>
      </c>
      <c r="AT306" s="39">
        <f t="shared" ref="AT306" si="148">AQ306+AS306</f>
        <v>11157331</v>
      </c>
      <c r="AU306" s="18">
        <f>AJ306-AM306</f>
        <v>18689194</v>
      </c>
      <c r="AV306" s="34">
        <f>AM306-AP306</f>
        <v>0</v>
      </c>
      <c r="AW306" s="34">
        <f>AP306-AT306</f>
        <v>0</v>
      </c>
      <c r="AX306" s="123">
        <f>AP306/AJ306</f>
        <v>0.37382345180887894</v>
      </c>
    </row>
    <row r="307" spans="1:50" ht="18.75" customHeight="1" x14ac:dyDescent="0.2">
      <c r="AA307" s="28" t="s">
        <v>288</v>
      </c>
      <c r="AB307" s="29" t="s">
        <v>69</v>
      </c>
      <c r="AC307" s="17"/>
      <c r="AD307" s="18"/>
      <c r="AE307" s="34"/>
      <c r="AF307" s="34"/>
      <c r="AG307" s="34"/>
      <c r="AH307" s="34"/>
      <c r="AI307" s="34"/>
      <c r="AJ307" s="18"/>
      <c r="AK307" s="34"/>
      <c r="AL307" s="18"/>
      <c r="AM307" s="18"/>
      <c r="AN307" s="34"/>
      <c r="AO307" s="18"/>
      <c r="AP307" s="18"/>
      <c r="AQ307" s="34"/>
      <c r="AR307" s="18"/>
      <c r="AS307" s="18"/>
      <c r="AT307" s="39"/>
      <c r="AU307" s="18"/>
      <c r="AV307" s="18"/>
      <c r="AW307" s="34"/>
      <c r="AX307" s="18"/>
    </row>
    <row r="308" spans="1:50" ht="18.75" customHeight="1" x14ac:dyDescent="0.2">
      <c r="A308" s="4" t="s">
        <v>325</v>
      </c>
      <c r="B308" s="4" t="s">
        <v>326</v>
      </c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1" t="s">
        <v>351</v>
      </c>
      <c r="AB308" s="42" t="s">
        <v>328</v>
      </c>
      <c r="AC308" s="43" t="s">
        <v>61</v>
      </c>
      <c r="AD308" s="43">
        <v>8723052</v>
      </c>
      <c r="AE308" s="44">
        <v>0</v>
      </c>
      <c r="AF308" s="44">
        <v>0</v>
      </c>
      <c r="AG308" s="43">
        <v>36194360</v>
      </c>
      <c r="AH308" s="44">
        <v>0</v>
      </c>
      <c r="AI308" s="18">
        <f>AE308-AF308+AG308-AH355</f>
        <v>36194360</v>
      </c>
      <c r="AJ308" s="18">
        <f>AD308+AI308</f>
        <v>44917412</v>
      </c>
      <c r="AK308" s="44">
        <v>0</v>
      </c>
      <c r="AL308" s="43">
        <f>AM308-ABRIL!AM288</f>
        <v>3984928</v>
      </c>
      <c r="AM308" s="43">
        <v>17472639</v>
      </c>
      <c r="AN308" s="44">
        <v>0</v>
      </c>
      <c r="AO308" s="43">
        <v>3984928</v>
      </c>
      <c r="AP308" s="43">
        <v>17472639</v>
      </c>
      <c r="AQ308" s="44">
        <v>0</v>
      </c>
      <c r="AR308" s="43">
        <v>3984928</v>
      </c>
      <c r="AS308" s="43">
        <v>17472639</v>
      </c>
      <c r="AT308" s="39">
        <f t="shared" ref="AT308" si="149">AQ308+AS308</f>
        <v>17472639</v>
      </c>
      <c r="AU308" s="18">
        <f>AJ308-AM308</f>
        <v>27444773</v>
      </c>
      <c r="AV308" s="34">
        <f>AM308-AP308</f>
        <v>0</v>
      </c>
      <c r="AW308" s="18">
        <f>AP308-AT308</f>
        <v>0</v>
      </c>
      <c r="AX308" s="123">
        <f>AP308/AJ308</f>
        <v>0.38899478447244468</v>
      </c>
    </row>
    <row r="309" spans="1:50" ht="18.75" customHeight="1" x14ac:dyDescent="0.2">
      <c r="AA309" s="28" t="s">
        <v>288</v>
      </c>
      <c r="AB309" s="29" t="s">
        <v>71</v>
      </c>
      <c r="AC309" s="17"/>
      <c r="AD309" s="18"/>
      <c r="AE309" s="34"/>
      <c r="AF309" s="34"/>
      <c r="AG309" s="34"/>
      <c r="AH309" s="34"/>
      <c r="AI309" s="34"/>
      <c r="AJ309" s="18"/>
      <c r="AK309" s="34"/>
      <c r="AL309" s="18"/>
      <c r="AM309" s="18"/>
      <c r="AN309" s="34"/>
      <c r="AO309" s="18"/>
      <c r="AP309" s="18"/>
      <c r="AQ309" s="34"/>
      <c r="AR309" s="18"/>
      <c r="AS309" s="18"/>
      <c r="AT309" s="39"/>
      <c r="AU309" s="18"/>
      <c r="AV309" s="18"/>
      <c r="AW309" s="18"/>
      <c r="AX309" s="18"/>
    </row>
    <row r="310" spans="1:50" ht="18.75" customHeight="1" x14ac:dyDescent="0.2">
      <c r="A310" s="4" t="s">
        <v>325</v>
      </c>
      <c r="B310" s="4" t="s">
        <v>326</v>
      </c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1" t="s">
        <v>327</v>
      </c>
      <c r="AB310" s="42" t="s">
        <v>328</v>
      </c>
      <c r="AC310" s="43" t="s">
        <v>61</v>
      </c>
      <c r="AD310" s="43">
        <v>5466979223</v>
      </c>
      <c r="AE310" s="44">
        <v>0</v>
      </c>
      <c r="AF310" s="44">
        <v>0</v>
      </c>
      <c r="AG310" s="44">
        <v>0</v>
      </c>
      <c r="AH310" s="44">
        <v>0</v>
      </c>
      <c r="AI310" s="44">
        <v>0</v>
      </c>
      <c r="AJ310" s="43">
        <v>5466979223</v>
      </c>
      <c r="AK310" s="44">
        <v>0</v>
      </c>
      <c r="AL310" s="43">
        <f>AM310-ABRIL!AM290</f>
        <v>14018227</v>
      </c>
      <c r="AM310" s="43">
        <v>113116583</v>
      </c>
      <c r="AN310" s="44">
        <v>0</v>
      </c>
      <c r="AO310" s="43">
        <v>14018227</v>
      </c>
      <c r="AP310" s="43">
        <v>113116583</v>
      </c>
      <c r="AQ310" s="44">
        <v>0</v>
      </c>
      <c r="AR310" s="44">
        <v>14018227</v>
      </c>
      <c r="AS310" s="43">
        <v>113116583</v>
      </c>
      <c r="AT310" s="39">
        <f t="shared" ref="AT310" si="150">AQ310+AS310</f>
        <v>113116583</v>
      </c>
      <c r="AU310" s="18">
        <f>AJ310-AM310</f>
        <v>5353862640</v>
      </c>
      <c r="AV310" s="34">
        <f>AM310-AP310</f>
        <v>0</v>
      </c>
      <c r="AW310" s="34">
        <f>AP310-AT310</f>
        <v>0</v>
      </c>
      <c r="AX310" s="123">
        <f>AP310/AJ310</f>
        <v>2.0690874866344813E-2</v>
      </c>
    </row>
    <row r="311" spans="1:50" ht="18.75" customHeight="1" x14ac:dyDescent="0.2">
      <c r="AA311" s="28" t="s">
        <v>288</v>
      </c>
      <c r="AB311" s="29" t="s">
        <v>76</v>
      </c>
      <c r="AC311" s="17"/>
      <c r="AD311" s="18"/>
      <c r="AE311" s="34"/>
      <c r="AF311" s="34"/>
      <c r="AG311" s="34"/>
      <c r="AH311" s="34"/>
      <c r="AI311" s="34"/>
      <c r="AJ311" s="18"/>
      <c r="AK311" s="34"/>
      <c r="AL311" s="18"/>
      <c r="AM311" s="18"/>
      <c r="AN311" s="34"/>
      <c r="AO311" s="18"/>
      <c r="AP311" s="18"/>
      <c r="AQ311" s="18"/>
      <c r="AR311" s="34"/>
      <c r="AS311" s="18"/>
      <c r="AT311" s="39"/>
      <c r="AU311" s="18"/>
      <c r="AV311" s="18"/>
      <c r="AW311" s="34"/>
      <c r="AX311" s="18"/>
    </row>
    <row r="312" spans="1:50" ht="18.75" customHeight="1" x14ac:dyDescent="0.2">
      <c r="A312" s="4" t="s">
        <v>325</v>
      </c>
      <c r="B312" s="4" t="s">
        <v>326</v>
      </c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1" t="s">
        <v>329</v>
      </c>
      <c r="AB312" s="42" t="s">
        <v>328</v>
      </c>
      <c r="AC312" s="43" t="s">
        <v>61</v>
      </c>
      <c r="AD312" s="43">
        <v>3964855703</v>
      </c>
      <c r="AE312" s="44">
        <v>0</v>
      </c>
      <c r="AF312" s="44">
        <v>0</v>
      </c>
      <c r="AG312" s="44">
        <v>0</v>
      </c>
      <c r="AH312" s="44">
        <v>0</v>
      </c>
      <c r="AI312" s="44">
        <v>0</v>
      </c>
      <c r="AJ312" s="43">
        <v>3964855703</v>
      </c>
      <c r="AK312" s="44">
        <v>0</v>
      </c>
      <c r="AL312" s="43">
        <f>AM312-ABRIL!AM292</f>
        <v>154703612</v>
      </c>
      <c r="AM312" s="43">
        <v>1717332642</v>
      </c>
      <c r="AN312" s="44">
        <v>0</v>
      </c>
      <c r="AO312" s="43">
        <v>154703612</v>
      </c>
      <c r="AP312" s="43">
        <v>1717332642</v>
      </c>
      <c r="AQ312" s="44">
        <v>0</v>
      </c>
      <c r="AR312" s="44">
        <v>154703612</v>
      </c>
      <c r="AS312" s="43">
        <v>1717332642</v>
      </c>
      <c r="AT312" s="39">
        <f t="shared" ref="AT312" si="151">AQ312+AS312</f>
        <v>1717332642</v>
      </c>
      <c r="AU312" s="18">
        <f>AJ312-AM312</f>
        <v>2247523061</v>
      </c>
      <c r="AV312" s="34">
        <f>AM312-AP312</f>
        <v>0</v>
      </c>
      <c r="AW312" s="34">
        <f>AP312-AT312</f>
        <v>0</v>
      </c>
      <c r="AX312" s="123">
        <f>AP312/AJ312</f>
        <v>0.433138749715553</v>
      </c>
    </row>
    <row r="313" spans="1:50" ht="18.75" customHeight="1" x14ac:dyDescent="0.2">
      <c r="AA313" s="16"/>
      <c r="AB313" s="29" t="s">
        <v>81</v>
      </c>
      <c r="AC313" s="17"/>
      <c r="AD313" s="18"/>
      <c r="AE313" s="34"/>
      <c r="AF313" s="34"/>
      <c r="AG313" s="34"/>
      <c r="AH313" s="34"/>
      <c r="AI313" s="34"/>
      <c r="AJ313" s="18"/>
      <c r="AK313" s="34"/>
      <c r="AL313" s="18"/>
      <c r="AM313" s="18"/>
      <c r="AN313" s="34"/>
      <c r="AO313" s="18"/>
      <c r="AP313" s="18"/>
      <c r="AQ313" s="34"/>
      <c r="AR313" s="34"/>
      <c r="AS313" s="18"/>
      <c r="AT313" s="30"/>
      <c r="AU313" s="18"/>
      <c r="AV313" s="18"/>
      <c r="AW313" s="34"/>
      <c r="AX313" s="18"/>
    </row>
    <row r="314" spans="1:50" ht="18.75" customHeight="1" x14ac:dyDescent="0.2">
      <c r="AA314" s="28" t="s">
        <v>288</v>
      </c>
      <c r="AB314" s="29" t="s">
        <v>83</v>
      </c>
      <c r="AC314" s="17"/>
      <c r="AD314" s="18"/>
      <c r="AE314" s="34"/>
      <c r="AF314" s="34"/>
      <c r="AG314" s="34"/>
      <c r="AH314" s="34"/>
      <c r="AI314" s="34"/>
      <c r="AJ314" s="18"/>
      <c r="AK314" s="34"/>
      <c r="AL314" s="18"/>
      <c r="AM314" s="18"/>
      <c r="AN314" s="34"/>
      <c r="AO314" s="18"/>
      <c r="AP314" s="18"/>
      <c r="AQ314" s="34"/>
      <c r="AR314" s="34"/>
      <c r="AS314" s="18"/>
      <c r="AT314" s="30"/>
      <c r="AU314" s="18"/>
      <c r="AV314" s="18"/>
      <c r="AW314" s="34"/>
      <c r="AX314" s="18"/>
    </row>
    <row r="315" spans="1:50" ht="18.75" customHeight="1" x14ac:dyDescent="0.2">
      <c r="A315" s="4" t="s">
        <v>325</v>
      </c>
      <c r="B315" s="4" t="s">
        <v>326</v>
      </c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1" t="s">
        <v>330</v>
      </c>
      <c r="AB315" s="42" t="s">
        <v>328</v>
      </c>
      <c r="AC315" s="43" t="s">
        <v>61</v>
      </c>
      <c r="AD315" s="43">
        <v>11363953497</v>
      </c>
      <c r="AE315" s="44">
        <v>0</v>
      </c>
      <c r="AF315" s="44">
        <v>0</v>
      </c>
      <c r="AG315" s="44">
        <v>0</v>
      </c>
      <c r="AH315" s="44">
        <v>0</v>
      </c>
      <c r="AI315" s="44">
        <v>0</v>
      </c>
      <c r="AJ315" s="43">
        <v>11363953497</v>
      </c>
      <c r="AK315" s="44">
        <v>0</v>
      </c>
      <c r="AL315" s="43">
        <f>AM315-ABRIL!AM295</f>
        <v>14783679</v>
      </c>
      <c r="AM315" s="43">
        <v>63536460</v>
      </c>
      <c r="AN315" s="44">
        <v>0</v>
      </c>
      <c r="AO315" s="43">
        <v>14783679</v>
      </c>
      <c r="AP315" s="43">
        <v>63536460</v>
      </c>
      <c r="AQ315" s="44">
        <v>0</v>
      </c>
      <c r="AR315" s="44">
        <v>14783679</v>
      </c>
      <c r="AS315" s="43">
        <v>63536460</v>
      </c>
      <c r="AT315" s="39">
        <f t="shared" ref="AT315" si="152">AQ315+AS315</f>
        <v>63536460</v>
      </c>
      <c r="AU315" s="18">
        <f>AJ315-AM315</f>
        <v>11300417037</v>
      </c>
      <c r="AV315" s="34">
        <f>AM315-AP315</f>
        <v>0</v>
      </c>
      <c r="AW315" s="34">
        <f>AP315-AT315</f>
        <v>0</v>
      </c>
      <c r="AX315" s="123">
        <f>AP315/AJ315</f>
        <v>5.5910524463843644E-3</v>
      </c>
    </row>
    <row r="316" spans="1:50" ht="18.75" customHeight="1" x14ac:dyDescent="0.2">
      <c r="AA316" s="28" t="s">
        <v>288</v>
      </c>
      <c r="AB316" s="29" t="s">
        <v>88</v>
      </c>
      <c r="AC316" s="17"/>
      <c r="AD316" s="18"/>
      <c r="AE316" s="34"/>
      <c r="AF316" s="34"/>
      <c r="AG316" s="34"/>
      <c r="AH316" s="34"/>
      <c r="AI316" s="34"/>
      <c r="AJ316" s="18"/>
      <c r="AK316" s="34"/>
      <c r="AL316" s="18"/>
      <c r="AM316" s="18"/>
      <c r="AN316" s="34"/>
      <c r="AO316" s="18"/>
      <c r="AP316" s="18"/>
      <c r="AQ316" s="34"/>
      <c r="AR316" s="18"/>
      <c r="AS316" s="18"/>
      <c r="AT316" s="30"/>
      <c r="AU316" s="18"/>
      <c r="AV316" s="18"/>
      <c r="AW316" s="18"/>
      <c r="AX316" s="18"/>
    </row>
    <row r="317" spans="1:50" ht="18.75" customHeight="1" x14ac:dyDescent="0.2">
      <c r="A317" s="4" t="s">
        <v>325</v>
      </c>
      <c r="B317" s="4" t="s">
        <v>326</v>
      </c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1" t="s">
        <v>331</v>
      </c>
      <c r="AB317" s="42" t="s">
        <v>328</v>
      </c>
      <c r="AC317" s="43" t="s">
        <v>61</v>
      </c>
      <c r="AD317" s="43">
        <v>5983405720</v>
      </c>
      <c r="AE317" s="44">
        <v>0</v>
      </c>
      <c r="AF317" s="44">
        <v>0</v>
      </c>
      <c r="AG317" s="44">
        <v>0</v>
      </c>
      <c r="AH317" s="44">
        <v>0</v>
      </c>
      <c r="AI317" s="44">
        <v>0</v>
      </c>
      <c r="AJ317" s="43">
        <v>5983405720</v>
      </c>
      <c r="AK317" s="44">
        <v>0</v>
      </c>
      <c r="AL317" s="43">
        <f>AM317-ABRIL!AM297</f>
        <v>0</v>
      </c>
      <c r="AM317" s="43">
        <v>3961950</v>
      </c>
      <c r="AN317" s="44">
        <v>0</v>
      </c>
      <c r="AO317" s="43">
        <v>0</v>
      </c>
      <c r="AP317" s="43">
        <v>3961950</v>
      </c>
      <c r="AQ317" s="44">
        <v>0</v>
      </c>
      <c r="AR317" s="44">
        <v>0</v>
      </c>
      <c r="AS317" s="43">
        <v>3961950</v>
      </c>
      <c r="AT317" s="39">
        <f t="shared" ref="AT317" si="153">AQ317+AS317</f>
        <v>3961950</v>
      </c>
      <c r="AU317" s="18">
        <f>AJ317-AM317</f>
        <v>5979443770</v>
      </c>
      <c r="AV317" s="34">
        <f>AM317-AP317</f>
        <v>0</v>
      </c>
      <c r="AW317" s="34">
        <f>AP317-AT317</f>
        <v>0</v>
      </c>
      <c r="AX317" s="123">
        <f>AP317/AJ317</f>
        <v>6.6215633460336369E-4</v>
      </c>
    </row>
    <row r="318" spans="1:50" ht="18.75" customHeight="1" x14ac:dyDescent="0.2">
      <c r="AA318" s="16"/>
      <c r="AB318" s="29" t="s">
        <v>103</v>
      </c>
      <c r="AC318" s="17"/>
      <c r="AD318" s="18"/>
      <c r="AE318" s="34"/>
      <c r="AF318" s="34"/>
      <c r="AG318" s="34"/>
      <c r="AH318" s="34"/>
      <c r="AI318" s="34"/>
      <c r="AJ318" s="18"/>
      <c r="AK318" s="34"/>
      <c r="AL318" s="18"/>
      <c r="AM318" s="18"/>
      <c r="AN318" s="34"/>
      <c r="AO318" s="18"/>
      <c r="AP318" s="18"/>
      <c r="AQ318" s="18"/>
      <c r="AR318" s="18"/>
      <c r="AS318" s="18"/>
      <c r="AT318" s="30"/>
      <c r="AU318" s="18"/>
      <c r="AV318" s="18"/>
      <c r="AW318" s="34"/>
      <c r="AX318" s="18"/>
    </row>
    <row r="319" spans="1:50" ht="18.75" customHeight="1" x14ac:dyDescent="0.2">
      <c r="AA319" s="28" t="s">
        <v>288</v>
      </c>
      <c r="AB319" s="29" t="s">
        <v>352</v>
      </c>
      <c r="AC319" s="17"/>
      <c r="AD319" s="18"/>
      <c r="AE319" s="34"/>
      <c r="AF319" s="34"/>
      <c r="AG319" s="34"/>
      <c r="AH319" s="34"/>
      <c r="AI319" s="34"/>
      <c r="AJ319" s="18"/>
      <c r="AK319" s="34"/>
      <c r="AL319" s="18"/>
      <c r="AM319" s="18"/>
      <c r="AN319" s="34"/>
      <c r="AO319" s="18"/>
      <c r="AP319" s="18"/>
      <c r="AQ319" s="18"/>
      <c r="AR319" s="18"/>
      <c r="AS319" s="18"/>
      <c r="AT319" s="30"/>
      <c r="AU319" s="18"/>
      <c r="AV319" s="18"/>
      <c r="AW319" s="34"/>
      <c r="AX319" s="18"/>
    </row>
    <row r="320" spans="1:50" ht="18.75" customHeight="1" x14ac:dyDescent="0.2">
      <c r="A320" s="4" t="s">
        <v>325</v>
      </c>
      <c r="B320" s="4" t="s">
        <v>326</v>
      </c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1" t="s">
        <v>332</v>
      </c>
      <c r="AB320" s="42" t="s">
        <v>328</v>
      </c>
      <c r="AC320" s="43" t="s">
        <v>61</v>
      </c>
      <c r="AD320" s="43">
        <v>13134738179</v>
      </c>
      <c r="AE320" s="44">
        <v>0</v>
      </c>
      <c r="AF320" s="44">
        <v>0</v>
      </c>
      <c r="AG320" s="44">
        <v>0</v>
      </c>
      <c r="AH320" s="44">
        <v>0</v>
      </c>
      <c r="AI320" s="44">
        <v>0</v>
      </c>
      <c r="AJ320" s="43">
        <v>13134738179</v>
      </c>
      <c r="AK320" s="44">
        <v>0</v>
      </c>
      <c r="AL320" s="43">
        <f>AM320-ABRIL!AM300</f>
        <v>800070031</v>
      </c>
      <c r="AM320" s="43">
        <v>4089457323.96</v>
      </c>
      <c r="AN320" s="44">
        <v>0</v>
      </c>
      <c r="AO320" s="43">
        <v>800070031</v>
      </c>
      <c r="AP320" s="43">
        <v>4089457323.96</v>
      </c>
      <c r="AQ320" s="44">
        <v>0</v>
      </c>
      <c r="AR320" s="43">
        <v>800070031</v>
      </c>
      <c r="AS320" s="43">
        <v>4089457323.96</v>
      </c>
      <c r="AT320" s="39">
        <f t="shared" ref="AT320" si="154">AQ320+AS320</f>
        <v>4089457323.96</v>
      </c>
      <c r="AU320" s="18">
        <f>AJ320-AM320</f>
        <v>9045280855.0400009</v>
      </c>
      <c r="AV320" s="34">
        <f>AM320-AP320</f>
        <v>0</v>
      </c>
      <c r="AW320" s="34">
        <f>AP320-AT320</f>
        <v>0</v>
      </c>
      <c r="AX320" s="123">
        <f>AP320/AJ320</f>
        <v>0.31134669517039026</v>
      </c>
    </row>
    <row r="321" spans="1:50" ht="18.75" customHeight="1" x14ac:dyDescent="0.2">
      <c r="AA321" s="28" t="s">
        <v>288</v>
      </c>
      <c r="AB321" s="29" t="s">
        <v>353</v>
      </c>
      <c r="AC321" s="17"/>
      <c r="AD321" s="18"/>
      <c r="AE321" s="34"/>
      <c r="AF321" s="34"/>
      <c r="AG321" s="34"/>
      <c r="AH321" s="34"/>
      <c r="AI321" s="34"/>
      <c r="AJ321" s="18"/>
      <c r="AK321" s="34"/>
      <c r="AL321" s="18"/>
      <c r="AM321" s="18"/>
      <c r="AN321" s="34"/>
      <c r="AO321" s="18"/>
      <c r="AP321" s="18"/>
      <c r="AQ321" s="34"/>
      <c r="AR321" s="18"/>
      <c r="AS321" s="18"/>
      <c r="AT321" s="30"/>
      <c r="AU321" s="18"/>
      <c r="AV321" s="18"/>
      <c r="AW321" s="34"/>
      <c r="AX321" s="18"/>
    </row>
    <row r="322" spans="1:50" ht="18.75" customHeight="1" x14ac:dyDescent="0.2">
      <c r="A322" s="4" t="s">
        <v>325</v>
      </c>
      <c r="B322" s="4" t="s">
        <v>326</v>
      </c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1" t="s">
        <v>334</v>
      </c>
      <c r="AB322" s="42" t="s">
        <v>328</v>
      </c>
      <c r="AC322" s="43" t="s">
        <v>61</v>
      </c>
      <c r="AD322" s="43">
        <v>9662336131</v>
      </c>
      <c r="AE322" s="44">
        <v>0</v>
      </c>
      <c r="AF322" s="44">
        <v>0</v>
      </c>
      <c r="AG322" s="44">
        <v>0</v>
      </c>
      <c r="AH322" s="44">
        <v>0</v>
      </c>
      <c r="AI322" s="44">
        <v>0</v>
      </c>
      <c r="AJ322" s="43">
        <v>9662336131</v>
      </c>
      <c r="AK322" s="44">
        <v>0</v>
      </c>
      <c r="AL322" s="43">
        <f>AM322-ABRIL!AM302</f>
        <v>850070461</v>
      </c>
      <c r="AM322" s="43">
        <v>4143353089.04</v>
      </c>
      <c r="AN322" s="44">
        <v>0</v>
      </c>
      <c r="AO322" s="43">
        <v>850070461</v>
      </c>
      <c r="AP322" s="43">
        <v>4143353089.04</v>
      </c>
      <c r="AQ322" s="44">
        <v>0</v>
      </c>
      <c r="AR322" s="43">
        <v>850070461</v>
      </c>
      <c r="AS322" s="43">
        <v>4143353089.04</v>
      </c>
      <c r="AT322" s="39">
        <f t="shared" ref="AT322" si="155">AQ322+AS322</f>
        <v>4143353089.04</v>
      </c>
      <c r="AU322" s="18">
        <f>AJ322-AM322</f>
        <v>5518983041.96</v>
      </c>
      <c r="AV322" s="34">
        <f>AM322-AP322</f>
        <v>0</v>
      </c>
      <c r="AW322" s="34">
        <f>AP322-AT322</f>
        <v>0</v>
      </c>
      <c r="AX322" s="123">
        <f>AP322/AJ322</f>
        <v>0.42881483658457503</v>
      </c>
    </row>
    <row r="323" spans="1:50" ht="18.75" customHeight="1" x14ac:dyDescent="0.2">
      <c r="AA323" s="28" t="s">
        <v>288</v>
      </c>
      <c r="AB323" s="29" t="s">
        <v>354</v>
      </c>
      <c r="AC323" s="17"/>
      <c r="AD323" s="18"/>
      <c r="AE323" s="34"/>
      <c r="AF323" s="34"/>
      <c r="AG323" s="34"/>
      <c r="AH323" s="34"/>
      <c r="AI323" s="34"/>
      <c r="AJ323" s="18"/>
      <c r="AK323" s="34"/>
      <c r="AL323" s="18"/>
      <c r="AM323" s="18"/>
      <c r="AN323" s="34"/>
      <c r="AO323" s="18"/>
      <c r="AP323" s="18"/>
      <c r="AQ323" s="34"/>
      <c r="AR323" s="18"/>
      <c r="AS323" s="18"/>
      <c r="AT323" s="30"/>
      <c r="AU323" s="18"/>
      <c r="AV323" s="18"/>
      <c r="AW323" s="18"/>
      <c r="AX323" s="18"/>
    </row>
    <row r="324" spans="1:50" ht="18.75" customHeight="1" x14ac:dyDescent="0.2">
      <c r="A324" s="4" t="s">
        <v>325</v>
      </c>
      <c r="B324" s="4" t="s">
        <v>326</v>
      </c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1" t="s">
        <v>335</v>
      </c>
      <c r="AB324" s="42" t="s">
        <v>328</v>
      </c>
      <c r="AC324" s="43" t="s">
        <v>61</v>
      </c>
      <c r="AD324" s="43">
        <v>8037478566</v>
      </c>
      <c r="AE324" s="44">
        <v>0</v>
      </c>
      <c r="AF324" s="44">
        <v>0</v>
      </c>
      <c r="AG324" s="44">
        <v>0</v>
      </c>
      <c r="AH324" s="44">
        <v>0</v>
      </c>
      <c r="AI324" s="44">
        <v>0</v>
      </c>
      <c r="AJ324" s="43">
        <v>8037478566</v>
      </c>
      <c r="AK324" s="44">
        <v>0</v>
      </c>
      <c r="AL324" s="43">
        <f>AM324-ABRIL!AM304</f>
        <v>836733212</v>
      </c>
      <c r="AM324" s="43">
        <v>4173838486</v>
      </c>
      <c r="AN324" s="44">
        <v>0</v>
      </c>
      <c r="AO324" s="43">
        <v>836733212</v>
      </c>
      <c r="AP324" s="43">
        <v>4173838486</v>
      </c>
      <c r="AQ324" s="44">
        <v>0</v>
      </c>
      <c r="AR324" s="43">
        <v>836733212</v>
      </c>
      <c r="AS324" s="43">
        <v>4173838486</v>
      </c>
      <c r="AT324" s="39">
        <f t="shared" ref="AT324" si="156">AQ324+AS324</f>
        <v>4173838486</v>
      </c>
      <c r="AU324" s="18">
        <f>AJ324-AM324</f>
        <v>3863640080</v>
      </c>
      <c r="AV324" s="34">
        <f>AM324-AP324</f>
        <v>0</v>
      </c>
      <c r="AW324" s="34">
        <f>AP324-AT324</f>
        <v>0</v>
      </c>
      <c r="AX324" s="123">
        <f>AP324/AJ324</f>
        <v>0.51929699740116231</v>
      </c>
    </row>
    <row r="325" spans="1:50" ht="18.75" customHeight="1" x14ac:dyDescent="0.2">
      <c r="AA325" s="28" t="s">
        <v>288</v>
      </c>
      <c r="AB325" s="29" t="s">
        <v>119</v>
      </c>
      <c r="AC325" s="17"/>
      <c r="AD325" s="18"/>
      <c r="AE325" s="34"/>
      <c r="AF325" s="34"/>
      <c r="AG325" s="34"/>
      <c r="AH325" s="34"/>
      <c r="AI325" s="34"/>
      <c r="AJ325" s="18"/>
      <c r="AK325" s="34"/>
      <c r="AL325" s="18"/>
      <c r="AM325" s="18"/>
      <c r="AN325" s="34"/>
      <c r="AO325" s="18"/>
      <c r="AP325" s="18"/>
      <c r="AQ325" s="110"/>
      <c r="AR325" s="110"/>
      <c r="AS325" s="110"/>
      <c r="AT325" s="30"/>
      <c r="AU325" s="18"/>
      <c r="AV325" s="18"/>
      <c r="AW325" s="133"/>
      <c r="AX325" s="18"/>
    </row>
    <row r="326" spans="1:50" ht="18.75" customHeight="1" x14ac:dyDescent="0.2">
      <c r="A326" s="4" t="s">
        <v>325</v>
      </c>
      <c r="B326" s="4" t="s">
        <v>326</v>
      </c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1" t="s">
        <v>336</v>
      </c>
      <c r="AB326" s="42" t="s">
        <v>328</v>
      </c>
      <c r="AC326" s="43" t="s">
        <v>61</v>
      </c>
      <c r="AD326" s="43">
        <v>5595577790</v>
      </c>
      <c r="AE326" s="44">
        <v>0</v>
      </c>
      <c r="AF326" s="44">
        <v>0</v>
      </c>
      <c r="AG326" s="44">
        <v>0</v>
      </c>
      <c r="AH326" s="44">
        <v>0</v>
      </c>
      <c r="AI326" s="44">
        <v>0</v>
      </c>
      <c r="AJ326" s="43">
        <v>5595577790</v>
      </c>
      <c r="AK326" s="44">
        <v>0</v>
      </c>
      <c r="AL326" s="43">
        <f>AM326-ABRIL!AM306</f>
        <v>397648500</v>
      </c>
      <c r="AM326" s="43">
        <v>1981200700</v>
      </c>
      <c r="AN326" s="44">
        <v>0</v>
      </c>
      <c r="AO326" s="43">
        <v>397648500</v>
      </c>
      <c r="AP326" s="43">
        <v>1981200700</v>
      </c>
      <c r="AQ326" s="114">
        <v>397648500</v>
      </c>
      <c r="AR326" s="114">
        <v>396868800</v>
      </c>
      <c r="AS326" s="114">
        <v>1583552200</v>
      </c>
      <c r="AT326" s="39">
        <f t="shared" ref="AT326" si="157">AQ326+AS326</f>
        <v>1981200700</v>
      </c>
      <c r="AU326" s="18">
        <f>AJ326-AM326</f>
        <v>3614377090</v>
      </c>
      <c r="AV326" s="34">
        <f>AM326-AP326</f>
        <v>0</v>
      </c>
      <c r="AW326" s="133">
        <f>AP326-AT326</f>
        <v>0</v>
      </c>
      <c r="AX326" s="123">
        <f>AP326/AJ326</f>
        <v>0.35406543780709371</v>
      </c>
    </row>
    <row r="327" spans="1:50" ht="18.75" customHeight="1" x14ac:dyDescent="0.2">
      <c r="AA327" s="28"/>
      <c r="AB327" s="29" t="s">
        <v>124</v>
      </c>
      <c r="AC327" s="17"/>
      <c r="AD327" s="18"/>
      <c r="AE327" s="34"/>
      <c r="AF327" s="34"/>
      <c r="AG327" s="34"/>
      <c r="AH327" s="34"/>
      <c r="AI327" s="34"/>
      <c r="AJ327" s="18"/>
      <c r="AK327" s="34"/>
      <c r="AL327" s="18"/>
      <c r="AM327" s="18"/>
      <c r="AN327" s="34"/>
      <c r="AO327" s="18"/>
      <c r="AP327" s="18"/>
      <c r="AQ327" s="110"/>
      <c r="AR327" s="110"/>
      <c r="AS327" s="110"/>
      <c r="AT327" s="31"/>
      <c r="AU327" s="18"/>
      <c r="AV327" s="18"/>
      <c r="AW327" s="18"/>
      <c r="AX327" s="18"/>
    </row>
    <row r="328" spans="1:50" ht="18.75" customHeight="1" x14ac:dyDescent="0.2">
      <c r="AA328" s="28" t="s">
        <v>288</v>
      </c>
      <c r="AB328" s="29" t="s">
        <v>129</v>
      </c>
      <c r="AC328" s="17"/>
      <c r="AD328" s="18"/>
      <c r="AE328" s="34"/>
      <c r="AF328" s="34"/>
      <c r="AG328" s="34"/>
      <c r="AH328" s="34"/>
      <c r="AI328" s="34"/>
      <c r="AJ328" s="18"/>
      <c r="AK328" s="34"/>
      <c r="AL328" s="18"/>
      <c r="AM328" s="18"/>
      <c r="AN328" s="34"/>
      <c r="AO328" s="18"/>
      <c r="AP328" s="18"/>
      <c r="AQ328" s="110"/>
      <c r="AR328" s="110"/>
      <c r="AS328" s="110"/>
      <c r="AT328" s="31"/>
      <c r="AU328" s="18"/>
      <c r="AV328" s="18"/>
      <c r="AW328" s="18"/>
      <c r="AX328" s="18"/>
    </row>
    <row r="329" spans="1:50" ht="18.75" customHeight="1" x14ac:dyDescent="0.2">
      <c r="A329" s="4" t="s">
        <v>325</v>
      </c>
      <c r="B329" s="4" t="s">
        <v>326</v>
      </c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1" t="s">
        <v>338</v>
      </c>
      <c r="AB329" s="42" t="s">
        <v>328</v>
      </c>
      <c r="AC329" s="43" t="s">
        <v>61</v>
      </c>
      <c r="AD329" s="43">
        <v>4197626620</v>
      </c>
      <c r="AE329" s="44">
        <v>0</v>
      </c>
      <c r="AF329" s="44">
        <v>0</v>
      </c>
      <c r="AG329" s="44">
        <v>0</v>
      </c>
      <c r="AH329" s="44">
        <v>0</v>
      </c>
      <c r="AI329" s="44">
        <v>0</v>
      </c>
      <c r="AJ329" s="43">
        <v>4197626620</v>
      </c>
      <c r="AK329" s="44">
        <v>0</v>
      </c>
      <c r="AL329" s="43">
        <f>AM329-ABRIL!AM309</f>
        <v>298294400</v>
      </c>
      <c r="AM329" s="43">
        <v>1486149100</v>
      </c>
      <c r="AN329" s="44">
        <v>0</v>
      </c>
      <c r="AO329" s="43">
        <v>298294400</v>
      </c>
      <c r="AP329" s="43">
        <v>1486149100</v>
      </c>
      <c r="AQ329" s="114">
        <v>298294400</v>
      </c>
      <c r="AR329" s="114">
        <v>297707800</v>
      </c>
      <c r="AS329" s="114">
        <v>1187854700</v>
      </c>
      <c r="AT329" s="39">
        <f t="shared" ref="AT329" si="158">AQ329+AS329</f>
        <v>1486149100</v>
      </c>
      <c r="AU329" s="18">
        <f>AJ329-AM329</f>
        <v>2711477520</v>
      </c>
      <c r="AV329" s="34">
        <f>AM329-AP329</f>
        <v>0</v>
      </c>
      <c r="AW329" s="34">
        <f>AP329-AT329</f>
        <v>0</v>
      </c>
      <c r="AX329" s="123">
        <f>AP329/AJ329</f>
        <v>0.35404509131877004</v>
      </c>
    </row>
    <row r="330" spans="1:50" ht="18.75" customHeight="1" x14ac:dyDescent="0.2">
      <c r="AA330" s="28" t="s">
        <v>288</v>
      </c>
      <c r="AB330" s="29" t="s">
        <v>133</v>
      </c>
      <c r="AC330" s="17"/>
      <c r="AD330" s="18"/>
      <c r="AE330" s="34"/>
      <c r="AF330" s="34"/>
      <c r="AG330" s="34"/>
      <c r="AH330" s="34"/>
      <c r="AI330" s="34"/>
      <c r="AJ330" s="18"/>
      <c r="AK330" s="34"/>
      <c r="AL330" s="18"/>
      <c r="AM330" s="18"/>
      <c r="AN330" s="34"/>
      <c r="AO330" s="18"/>
      <c r="AP330" s="18"/>
      <c r="AQ330" s="110"/>
      <c r="AR330" s="110"/>
      <c r="AS330" s="110"/>
      <c r="AT330" s="31"/>
      <c r="AU330" s="18"/>
      <c r="AV330" s="18"/>
      <c r="AW330" s="34"/>
      <c r="AX330" s="18"/>
    </row>
    <row r="331" spans="1:50" ht="18.75" customHeight="1" x14ac:dyDescent="0.2">
      <c r="A331" s="4" t="s">
        <v>325</v>
      </c>
      <c r="B331" s="4" t="s">
        <v>326</v>
      </c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1" t="s">
        <v>339</v>
      </c>
      <c r="AB331" s="42" t="s">
        <v>328</v>
      </c>
      <c r="AC331" s="43" t="s">
        <v>61</v>
      </c>
      <c r="AD331" s="43">
        <v>701459880</v>
      </c>
      <c r="AE331" s="44">
        <v>0</v>
      </c>
      <c r="AF331" s="44">
        <v>0</v>
      </c>
      <c r="AG331" s="44">
        <v>0</v>
      </c>
      <c r="AH331" s="44">
        <v>0</v>
      </c>
      <c r="AI331" s="44">
        <v>0</v>
      </c>
      <c r="AJ331" s="43">
        <v>701459880</v>
      </c>
      <c r="AK331" s="44">
        <v>0</v>
      </c>
      <c r="AL331" s="43">
        <f>AM331-ABRIL!AM311</f>
        <v>49846100</v>
      </c>
      <c r="AM331" s="43">
        <v>248440700</v>
      </c>
      <c r="AN331" s="44">
        <v>0</v>
      </c>
      <c r="AO331" s="43">
        <v>49846100</v>
      </c>
      <c r="AP331" s="43">
        <v>248440700</v>
      </c>
      <c r="AQ331" s="114">
        <v>49846100</v>
      </c>
      <c r="AR331" s="114">
        <v>49748500</v>
      </c>
      <c r="AS331" s="114">
        <v>198594600</v>
      </c>
      <c r="AT331" s="39">
        <f t="shared" ref="AT331" si="159">AQ331+AS331</f>
        <v>248440700</v>
      </c>
      <c r="AU331" s="18">
        <f>AJ331-AM331</f>
        <v>453019180</v>
      </c>
      <c r="AV331" s="34">
        <f>AM331-AP331</f>
        <v>0</v>
      </c>
      <c r="AW331" s="34">
        <f>AP331-AT331</f>
        <v>0</v>
      </c>
      <c r="AX331" s="123">
        <f>AP331/AJ331</f>
        <v>0.35417663516265535</v>
      </c>
    </row>
    <row r="332" spans="1:50" ht="18.75" customHeight="1" x14ac:dyDescent="0.2">
      <c r="AA332" s="28" t="s">
        <v>288</v>
      </c>
      <c r="AB332" s="29" t="s">
        <v>138</v>
      </c>
      <c r="AC332" s="17"/>
      <c r="AD332" s="18"/>
      <c r="AE332" s="34"/>
      <c r="AF332" s="34"/>
      <c r="AG332" s="34"/>
      <c r="AH332" s="34"/>
      <c r="AI332" s="34"/>
      <c r="AJ332" s="18"/>
      <c r="AK332" s="34"/>
      <c r="AL332" s="18"/>
      <c r="AM332" s="18"/>
      <c r="AN332" s="34"/>
      <c r="AO332" s="18"/>
      <c r="AP332" s="18"/>
      <c r="AQ332" s="110"/>
      <c r="AR332" s="110"/>
      <c r="AS332" s="110"/>
      <c r="AT332" s="31"/>
      <c r="AU332" s="18"/>
      <c r="AV332" s="18"/>
      <c r="AW332" s="34"/>
      <c r="AX332" s="18"/>
    </row>
    <row r="333" spans="1:50" ht="18.75" customHeight="1" x14ac:dyDescent="0.2">
      <c r="A333" s="4" t="s">
        <v>325</v>
      </c>
      <c r="B333" s="4" t="s">
        <v>326</v>
      </c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1" t="s">
        <v>340</v>
      </c>
      <c r="AB333" s="42" t="s">
        <v>328</v>
      </c>
      <c r="AC333" s="43" t="s">
        <v>61</v>
      </c>
      <c r="AD333" s="43">
        <v>701459880</v>
      </c>
      <c r="AE333" s="44">
        <v>0</v>
      </c>
      <c r="AF333" s="44">
        <v>0</v>
      </c>
      <c r="AG333" s="44">
        <v>0</v>
      </c>
      <c r="AH333" s="44">
        <v>0</v>
      </c>
      <c r="AI333" s="44">
        <v>0</v>
      </c>
      <c r="AJ333" s="43">
        <v>701459880</v>
      </c>
      <c r="AK333" s="44">
        <v>0</v>
      </c>
      <c r="AL333" s="43">
        <f>AM333-ABRIL!AM313</f>
        <v>49846100</v>
      </c>
      <c r="AM333" s="43">
        <v>248440700</v>
      </c>
      <c r="AN333" s="44">
        <v>0</v>
      </c>
      <c r="AO333" s="43">
        <v>49846100</v>
      </c>
      <c r="AP333" s="43">
        <v>248440700</v>
      </c>
      <c r="AQ333" s="114">
        <v>49846100</v>
      </c>
      <c r="AR333" s="114">
        <v>49748500</v>
      </c>
      <c r="AS333" s="114">
        <v>198594600</v>
      </c>
      <c r="AT333" s="39">
        <f t="shared" ref="AT333:AT370" si="160">AQ333+AS333</f>
        <v>248440700</v>
      </c>
      <c r="AU333" s="18">
        <f>AJ333-AM333</f>
        <v>453019180</v>
      </c>
      <c r="AV333" s="34">
        <f>AM333-AP333</f>
        <v>0</v>
      </c>
      <c r="AW333" s="34">
        <f>AP333-AT333</f>
        <v>0</v>
      </c>
      <c r="AX333" s="123">
        <f>AP333/AJ333</f>
        <v>0.35417663516265535</v>
      </c>
    </row>
    <row r="334" spans="1:50" ht="25.5" x14ac:dyDescent="0.2">
      <c r="AA334" s="28" t="s">
        <v>288</v>
      </c>
      <c r="AB334" s="29" t="s">
        <v>145</v>
      </c>
      <c r="AC334" s="17"/>
      <c r="AD334" s="18"/>
      <c r="AE334" s="34"/>
      <c r="AF334" s="34"/>
      <c r="AG334" s="34"/>
      <c r="AH334" s="34"/>
      <c r="AI334" s="34"/>
      <c r="AJ334" s="18"/>
      <c r="AK334" s="34"/>
      <c r="AL334" s="18"/>
      <c r="AM334" s="18"/>
      <c r="AN334" s="34"/>
      <c r="AO334" s="18"/>
      <c r="AP334" s="18"/>
      <c r="AQ334" s="110"/>
      <c r="AR334" s="110"/>
      <c r="AS334" s="110"/>
      <c r="AT334" s="31"/>
      <c r="AU334" s="18"/>
      <c r="AV334" s="18"/>
      <c r="AW334" s="34"/>
      <c r="AX334" s="18"/>
    </row>
    <row r="335" spans="1:50" ht="18.75" customHeight="1" x14ac:dyDescent="0.2">
      <c r="A335" s="4" t="s">
        <v>325</v>
      </c>
      <c r="B335" s="4" t="s">
        <v>326</v>
      </c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1" t="s">
        <v>341</v>
      </c>
      <c r="AB335" s="42" t="s">
        <v>328</v>
      </c>
      <c r="AC335" s="43" t="s">
        <v>61</v>
      </c>
      <c r="AD335" s="43">
        <v>1400409285</v>
      </c>
      <c r="AE335" s="44">
        <v>0</v>
      </c>
      <c r="AF335" s="44">
        <v>0</v>
      </c>
      <c r="AG335" s="44">
        <v>0</v>
      </c>
      <c r="AH335" s="44">
        <v>0</v>
      </c>
      <c r="AI335" s="44">
        <v>0</v>
      </c>
      <c r="AJ335" s="43">
        <v>1400409285</v>
      </c>
      <c r="AK335" s="44">
        <v>0</v>
      </c>
      <c r="AL335" s="43">
        <f>AM335-ABRIL!AM315</f>
        <v>99504000</v>
      </c>
      <c r="AM335" s="43">
        <v>495864200</v>
      </c>
      <c r="AN335" s="44">
        <v>0</v>
      </c>
      <c r="AO335" s="43">
        <v>99504000</v>
      </c>
      <c r="AP335" s="43">
        <v>495864200</v>
      </c>
      <c r="AQ335" s="114">
        <v>99504000</v>
      </c>
      <c r="AR335" s="114">
        <v>99310000</v>
      </c>
      <c r="AS335" s="114">
        <v>396360200</v>
      </c>
      <c r="AT335" s="39">
        <f t="shared" si="160"/>
        <v>495864200</v>
      </c>
      <c r="AU335" s="18">
        <f>AJ335-AM335</f>
        <v>904545085</v>
      </c>
      <c r="AV335" s="34">
        <f>AM335-AP335</f>
        <v>0</v>
      </c>
      <c r="AW335" s="34">
        <f>AP335-AT335</f>
        <v>0</v>
      </c>
      <c r="AX335" s="123">
        <f>AP335/AJ335</f>
        <v>0.35408519874245192</v>
      </c>
    </row>
    <row r="336" spans="1:50" ht="28.5" customHeight="1" x14ac:dyDescent="0.2">
      <c r="AA336" s="16"/>
      <c r="AB336" s="29" t="s">
        <v>149</v>
      </c>
      <c r="AC336" s="17"/>
      <c r="AD336" s="18"/>
      <c r="AE336" s="34"/>
      <c r="AF336" s="34"/>
      <c r="AG336" s="34"/>
      <c r="AH336" s="34"/>
      <c r="AI336" s="34"/>
      <c r="AJ336" s="18"/>
      <c r="AK336" s="34"/>
      <c r="AL336" s="18"/>
      <c r="AM336" s="18"/>
      <c r="AN336" s="34"/>
      <c r="AO336" s="18"/>
      <c r="AP336" s="18"/>
      <c r="AQ336" s="34"/>
      <c r="AR336" s="34"/>
      <c r="AS336" s="34"/>
      <c r="AT336" s="31"/>
      <c r="AU336" s="18"/>
      <c r="AV336" s="18"/>
      <c r="AW336" s="18"/>
      <c r="AX336" s="18"/>
    </row>
    <row r="337" spans="1:50" ht="18.75" customHeight="1" x14ac:dyDescent="0.2">
      <c r="AA337" s="16"/>
      <c r="AB337" s="29" t="s">
        <v>81</v>
      </c>
      <c r="AC337" s="17"/>
      <c r="AD337" s="18"/>
      <c r="AE337" s="34"/>
      <c r="AF337" s="34"/>
      <c r="AG337" s="34"/>
      <c r="AH337" s="34"/>
      <c r="AI337" s="34"/>
      <c r="AJ337" s="18"/>
      <c r="AK337" s="34"/>
      <c r="AL337" s="18"/>
      <c r="AM337" s="18"/>
      <c r="AN337" s="34"/>
      <c r="AO337" s="18"/>
      <c r="AP337" s="18"/>
      <c r="AQ337" s="34"/>
      <c r="AR337" s="34"/>
      <c r="AS337" s="34"/>
      <c r="AT337" s="31"/>
      <c r="AU337" s="18"/>
      <c r="AV337" s="18"/>
      <c r="AW337" s="18"/>
      <c r="AX337" s="18"/>
    </row>
    <row r="338" spans="1:50" ht="18.75" customHeight="1" x14ac:dyDescent="0.2">
      <c r="AA338" s="28" t="s">
        <v>288</v>
      </c>
      <c r="AB338" s="29" t="s">
        <v>152</v>
      </c>
      <c r="AC338" s="17"/>
      <c r="AD338" s="18"/>
      <c r="AE338" s="34"/>
      <c r="AF338" s="34"/>
      <c r="AG338" s="34"/>
      <c r="AH338" s="34"/>
      <c r="AI338" s="34"/>
      <c r="AJ338" s="18"/>
      <c r="AK338" s="34"/>
      <c r="AL338" s="18"/>
      <c r="AM338" s="18"/>
      <c r="AN338" s="34"/>
      <c r="AO338" s="18"/>
      <c r="AP338" s="18"/>
      <c r="AQ338" s="34"/>
      <c r="AR338" s="34"/>
      <c r="AS338" s="34"/>
      <c r="AT338" s="31"/>
      <c r="AU338" s="18"/>
      <c r="AV338" s="18"/>
      <c r="AW338" s="18"/>
      <c r="AX338" s="18"/>
    </row>
    <row r="339" spans="1:50" ht="18.75" customHeight="1" x14ac:dyDescent="0.2">
      <c r="A339" s="4" t="s">
        <v>325</v>
      </c>
      <c r="B339" s="4" t="s">
        <v>326</v>
      </c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1" t="s">
        <v>342</v>
      </c>
      <c r="AB339" s="42" t="s">
        <v>328</v>
      </c>
      <c r="AC339" s="43" t="s">
        <v>61</v>
      </c>
      <c r="AD339" s="43">
        <v>10068147601</v>
      </c>
      <c r="AE339" s="44">
        <v>0</v>
      </c>
      <c r="AF339" s="44">
        <v>0</v>
      </c>
      <c r="AG339" s="44">
        <v>0</v>
      </c>
      <c r="AH339" s="44">
        <v>0</v>
      </c>
      <c r="AI339" s="44">
        <v>0</v>
      </c>
      <c r="AJ339" s="43">
        <v>10068147601</v>
      </c>
      <c r="AK339" s="44">
        <v>0</v>
      </c>
      <c r="AL339" s="43">
        <f>AM339-ABRIL!AM319</f>
        <v>19658353</v>
      </c>
      <c r="AM339" s="43">
        <v>3412483668</v>
      </c>
      <c r="AN339" s="44">
        <v>0</v>
      </c>
      <c r="AO339" s="43">
        <v>19658353</v>
      </c>
      <c r="AP339" s="43">
        <v>3412483668</v>
      </c>
      <c r="AQ339" s="44">
        <v>0</v>
      </c>
      <c r="AR339" s="114">
        <v>19658353</v>
      </c>
      <c r="AS339" s="114">
        <v>3412483668</v>
      </c>
      <c r="AT339" s="39">
        <f t="shared" ref="AT339" si="161">AQ339+AS339</f>
        <v>3412483668</v>
      </c>
      <c r="AU339" s="18">
        <f>AJ339-AM339</f>
        <v>6655663933</v>
      </c>
      <c r="AV339" s="34">
        <f>AM339-AP339</f>
        <v>0</v>
      </c>
      <c r="AW339" s="34">
        <f>AP339-AT339</f>
        <v>0</v>
      </c>
      <c r="AX339" s="123">
        <f>AP339/AJ339</f>
        <v>0.3389385816772354</v>
      </c>
    </row>
    <row r="340" spans="1:50" ht="18.75" customHeight="1" x14ac:dyDescent="0.2">
      <c r="AA340" s="28" t="s">
        <v>288</v>
      </c>
      <c r="AB340" s="29" t="s">
        <v>343</v>
      </c>
      <c r="AC340" s="17"/>
      <c r="AD340" s="18"/>
      <c r="AE340" s="34"/>
      <c r="AF340" s="34"/>
      <c r="AG340" s="34"/>
      <c r="AH340" s="34"/>
      <c r="AI340" s="34"/>
      <c r="AJ340" s="18"/>
      <c r="AK340" s="34"/>
      <c r="AL340" s="18"/>
      <c r="AM340" s="18"/>
      <c r="AN340" s="34"/>
      <c r="AO340" s="18"/>
      <c r="AP340" s="18"/>
      <c r="AQ340" s="34"/>
      <c r="AR340" s="34"/>
      <c r="AS340" s="34"/>
      <c r="AT340" s="31"/>
      <c r="AU340" s="18"/>
      <c r="AV340" s="18"/>
      <c r="AW340" s="34"/>
      <c r="AX340" s="18"/>
    </row>
    <row r="341" spans="1:50" ht="18.75" customHeight="1" x14ac:dyDescent="0.2">
      <c r="A341" s="4" t="s">
        <v>325</v>
      </c>
      <c r="B341" s="4" t="s">
        <v>326</v>
      </c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1" t="s">
        <v>344</v>
      </c>
      <c r="AB341" s="42" t="s">
        <v>328</v>
      </c>
      <c r="AC341" s="43" t="s">
        <v>61</v>
      </c>
      <c r="AD341" s="43">
        <v>10000000</v>
      </c>
      <c r="AE341" s="44">
        <v>0</v>
      </c>
      <c r="AF341" s="44">
        <v>0</v>
      </c>
      <c r="AG341" s="44">
        <v>0</v>
      </c>
      <c r="AH341" s="44">
        <v>0</v>
      </c>
      <c r="AI341" s="44">
        <v>0</v>
      </c>
      <c r="AJ341" s="43">
        <v>10000000</v>
      </c>
      <c r="AK341" s="44">
        <v>0</v>
      </c>
      <c r="AL341" s="43">
        <v>0</v>
      </c>
      <c r="AM341" s="44">
        <v>0</v>
      </c>
      <c r="AN341" s="44">
        <v>0</v>
      </c>
      <c r="AO341" s="44">
        <v>0</v>
      </c>
      <c r="AP341" s="44">
        <v>0</v>
      </c>
      <c r="AQ341" s="44">
        <v>0</v>
      </c>
      <c r="AR341" s="44">
        <v>0</v>
      </c>
      <c r="AS341" s="44">
        <v>0</v>
      </c>
      <c r="AT341" s="39">
        <f t="shared" ref="AT341" si="162">AQ341+AS341</f>
        <v>0</v>
      </c>
      <c r="AU341" s="18">
        <f>AJ341-AM341</f>
        <v>10000000</v>
      </c>
      <c r="AV341" s="34">
        <f>AM341-AP341</f>
        <v>0</v>
      </c>
      <c r="AW341" s="34">
        <f>AP341-AT341</f>
        <v>0</v>
      </c>
      <c r="AX341" s="123">
        <f>AP341/AJ341</f>
        <v>0</v>
      </c>
    </row>
    <row r="342" spans="1:50" ht="18.75" customHeight="1" x14ac:dyDescent="0.2">
      <c r="AA342" s="16"/>
      <c r="AB342" s="29" t="s">
        <v>355</v>
      </c>
      <c r="AC342" s="17"/>
      <c r="AD342" s="18"/>
      <c r="AE342" s="34"/>
      <c r="AF342" s="34"/>
      <c r="AG342" s="34"/>
      <c r="AH342" s="34"/>
      <c r="AI342" s="34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30"/>
      <c r="AU342" s="18"/>
      <c r="AV342" s="18"/>
      <c r="AW342" s="18"/>
      <c r="AX342" s="18"/>
    </row>
    <row r="343" spans="1:50" ht="18.75" customHeight="1" x14ac:dyDescent="0.2">
      <c r="AA343" s="16"/>
      <c r="AB343" s="29" t="s">
        <v>320</v>
      </c>
      <c r="AC343" s="17"/>
      <c r="AD343" s="18"/>
      <c r="AE343" s="34"/>
      <c r="AF343" s="34"/>
      <c r="AG343" s="34"/>
      <c r="AH343" s="34"/>
      <c r="AI343" s="34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30"/>
      <c r="AU343" s="18"/>
      <c r="AV343" s="18"/>
      <c r="AW343" s="18"/>
      <c r="AX343" s="18"/>
    </row>
    <row r="344" spans="1:50" ht="18.75" customHeight="1" x14ac:dyDescent="0.2">
      <c r="AA344" s="16"/>
      <c r="AB344" s="29" t="s">
        <v>46</v>
      </c>
      <c r="AC344" s="17"/>
      <c r="AD344" s="18"/>
      <c r="AE344" s="34"/>
      <c r="AF344" s="34"/>
      <c r="AG344" s="34"/>
      <c r="AH344" s="34"/>
      <c r="AI344" s="34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30"/>
      <c r="AU344" s="18"/>
      <c r="AV344" s="18"/>
      <c r="AW344" s="18"/>
      <c r="AX344" s="18"/>
    </row>
    <row r="345" spans="1:50" ht="18.75" customHeight="1" x14ac:dyDescent="0.2">
      <c r="AA345" s="16"/>
      <c r="AB345" s="29" t="s">
        <v>48</v>
      </c>
      <c r="AC345" s="17"/>
      <c r="AD345" s="18"/>
      <c r="AE345" s="34"/>
      <c r="AF345" s="34"/>
      <c r="AG345" s="34"/>
      <c r="AH345" s="34"/>
      <c r="AI345" s="34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30"/>
      <c r="AU345" s="18"/>
      <c r="AV345" s="18"/>
      <c r="AW345" s="18"/>
      <c r="AX345" s="18"/>
    </row>
    <row r="346" spans="1:50" ht="18.75" customHeight="1" x14ac:dyDescent="0.2">
      <c r="AA346" s="16"/>
      <c r="AB346" s="29" t="s">
        <v>52</v>
      </c>
      <c r="AC346" s="17"/>
      <c r="AD346" s="18"/>
      <c r="AE346" s="34"/>
      <c r="AF346" s="34"/>
      <c r="AG346" s="34"/>
      <c r="AH346" s="34"/>
      <c r="AI346" s="34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30"/>
      <c r="AU346" s="18"/>
      <c r="AV346" s="18"/>
      <c r="AW346" s="18"/>
      <c r="AX346" s="18"/>
    </row>
    <row r="347" spans="1:50" ht="18.75" customHeight="1" x14ac:dyDescent="0.2">
      <c r="AA347" s="28" t="s">
        <v>288</v>
      </c>
      <c r="AB347" s="29" t="s">
        <v>54</v>
      </c>
      <c r="AC347" s="17"/>
      <c r="AD347" s="18"/>
      <c r="AE347" s="34"/>
      <c r="AF347" s="34"/>
      <c r="AG347" s="34"/>
      <c r="AH347" s="34"/>
      <c r="AI347" s="34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30"/>
      <c r="AU347" s="18"/>
      <c r="AV347" s="18"/>
      <c r="AW347" s="18"/>
      <c r="AX347" s="18"/>
    </row>
    <row r="348" spans="1:50" ht="18.75" customHeight="1" x14ac:dyDescent="0.2">
      <c r="A348" s="4" t="s">
        <v>55</v>
      </c>
      <c r="B348" s="4" t="s">
        <v>56</v>
      </c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1" t="s">
        <v>323</v>
      </c>
      <c r="AB348" s="42" t="s">
        <v>324</v>
      </c>
      <c r="AC348" s="43" t="s">
        <v>61</v>
      </c>
      <c r="AD348" s="43">
        <v>10521612007</v>
      </c>
      <c r="AE348" s="44">
        <v>0</v>
      </c>
      <c r="AF348" s="44">
        <v>0</v>
      </c>
      <c r="AG348" s="44">
        <v>0</v>
      </c>
      <c r="AH348" s="137">
        <v>0</v>
      </c>
      <c r="AI348" s="44">
        <v>0</v>
      </c>
      <c r="AJ348" s="43">
        <v>10521612007</v>
      </c>
      <c r="AK348" s="44">
        <v>0</v>
      </c>
      <c r="AL348" s="43">
        <f>AM348-ABRIL!AM329</f>
        <v>833811289</v>
      </c>
      <c r="AM348" s="43">
        <v>4048976958</v>
      </c>
      <c r="AN348" s="44">
        <v>0</v>
      </c>
      <c r="AO348" s="43">
        <v>833811289</v>
      </c>
      <c r="AP348" s="43">
        <v>4048976958</v>
      </c>
      <c r="AQ348" s="44">
        <v>0</v>
      </c>
      <c r="AR348" s="43">
        <v>833811289</v>
      </c>
      <c r="AS348" s="43">
        <v>4048976958</v>
      </c>
      <c r="AT348" s="39">
        <f t="shared" ref="AT348" si="163">AQ348+AS348</f>
        <v>4048976958</v>
      </c>
      <c r="AU348" s="18">
        <f>AJ348-AM348</f>
        <v>6472635049</v>
      </c>
      <c r="AV348" s="34">
        <f>AM348-AP348</f>
        <v>0</v>
      </c>
      <c r="AW348" s="34">
        <f>AP348-AT348</f>
        <v>0</v>
      </c>
      <c r="AX348" s="123">
        <f>AP348/AJ348</f>
        <v>0.38482477355240113</v>
      </c>
    </row>
    <row r="349" spans="1:50" x14ac:dyDescent="0.2">
      <c r="AA349" s="28" t="s">
        <v>288</v>
      </c>
      <c r="AB349" s="29" t="s">
        <v>63</v>
      </c>
      <c r="AC349" s="17"/>
      <c r="AD349" s="18"/>
      <c r="AE349" s="34"/>
      <c r="AF349" s="34"/>
      <c r="AG349" s="34"/>
      <c r="AH349" s="34"/>
      <c r="AI349" s="34"/>
      <c r="AJ349" s="18"/>
      <c r="AK349" s="34"/>
      <c r="AL349" s="18"/>
      <c r="AM349" s="18"/>
      <c r="AN349" s="34"/>
      <c r="AO349" s="18"/>
      <c r="AP349" s="18"/>
      <c r="AQ349" s="34"/>
      <c r="AR349" s="18"/>
      <c r="AS349" s="18"/>
      <c r="AT349" s="30"/>
      <c r="AU349" s="18"/>
      <c r="AV349" s="18"/>
      <c r="AW349" s="34"/>
      <c r="AX349" s="18"/>
    </row>
    <row r="350" spans="1:50" ht="18.75" customHeight="1" x14ac:dyDescent="0.2">
      <c r="A350" s="4" t="s">
        <v>325</v>
      </c>
      <c r="B350" s="4" t="s">
        <v>326</v>
      </c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1" t="s">
        <v>349</v>
      </c>
      <c r="AB350" s="42" t="s">
        <v>328</v>
      </c>
      <c r="AC350" s="43" t="s">
        <v>61</v>
      </c>
      <c r="AD350" s="43">
        <v>112494898</v>
      </c>
      <c r="AE350" s="44">
        <v>0</v>
      </c>
      <c r="AF350" s="44">
        <v>0</v>
      </c>
      <c r="AG350" s="44">
        <v>0</v>
      </c>
      <c r="AH350" s="44">
        <v>0</v>
      </c>
      <c r="AI350" s="44">
        <v>0</v>
      </c>
      <c r="AJ350" s="43">
        <v>112494898</v>
      </c>
      <c r="AK350" s="44">
        <v>0</v>
      </c>
      <c r="AL350" s="43">
        <f>AM350-ABRIL!AM331</f>
        <v>16850998</v>
      </c>
      <c r="AM350" s="43">
        <v>54730317</v>
      </c>
      <c r="AN350" s="44">
        <v>0</v>
      </c>
      <c r="AO350" s="43">
        <v>16850998</v>
      </c>
      <c r="AP350" s="43">
        <v>54730317</v>
      </c>
      <c r="AQ350" s="44">
        <v>0</v>
      </c>
      <c r="AR350" s="43">
        <v>16850998</v>
      </c>
      <c r="AS350" s="43">
        <v>54730317</v>
      </c>
      <c r="AT350" s="39">
        <f t="shared" si="160"/>
        <v>54730317</v>
      </c>
      <c r="AU350" s="18">
        <f>AJ350-AM350</f>
        <v>57764581</v>
      </c>
      <c r="AV350" s="34">
        <f>AM350-AP350</f>
        <v>0</v>
      </c>
      <c r="AW350" s="34">
        <f>AP350-AT350</f>
        <v>0</v>
      </c>
      <c r="AX350" s="123">
        <f>AP350/AJ350</f>
        <v>0.48651377060673456</v>
      </c>
    </row>
    <row r="351" spans="1:50" ht="18.75" customHeight="1" x14ac:dyDescent="0.2">
      <c r="AA351" s="28" t="s">
        <v>288</v>
      </c>
      <c r="AB351" s="29" t="s">
        <v>71</v>
      </c>
      <c r="AC351" s="17"/>
      <c r="AD351" s="18"/>
      <c r="AE351" s="34"/>
      <c r="AF351" s="34"/>
      <c r="AG351" s="34"/>
      <c r="AH351" s="34"/>
      <c r="AI351" s="34"/>
      <c r="AJ351" s="18"/>
      <c r="AK351" s="34"/>
      <c r="AL351" s="18"/>
      <c r="AM351" s="18"/>
      <c r="AN351" s="34"/>
      <c r="AO351" s="18"/>
      <c r="AP351" s="18"/>
      <c r="AQ351" s="34"/>
      <c r="AR351" s="18"/>
      <c r="AS351" s="18"/>
      <c r="AT351" s="30"/>
      <c r="AU351" s="18"/>
      <c r="AV351" s="18"/>
      <c r="AW351" s="34"/>
      <c r="AX351" s="18"/>
    </row>
    <row r="352" spans="1:50" ht="18.75" customHeight="1" x14ac:dyDescent="0.2">
      <c r="A352" s="4" t="s">
        <v>325</v>
      </c>
      <c r="B352" s="4" t="s">
        <v>326</v>
      </c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1" t="s">
        <v>327</v>
      </c>
      <c r="AB352" s="42" t="s">
        <v>328</v>
      </c>
      <c r="AC352" s="43" t="s">
        <v>61</v>
      </c>
      <c r="AD352" s="43">
        <v>532969656</v>
      </c>
      <c r="AE352" s="44">
        <v>0</v>
      </c>
      <c r="AF352" s="44">
        <v>0</v>
      </c>
      <c r="AG352" s="44">
        <v>0</v>
      </c>
      <c r="AH352" s="44">
        <v>0</v>
      </c>
      <c r="AI352" s="44">
        <v>0</v>
      </c>
      <c r="AJ352" s="43">
        <v>532969656</v>
      </c>
      <c r="AK352" s="44">
        <v>0</v>
      </c>
      <c r="AL352" s="43">
        <f>AM352-ABRIL!AM333</f>
        <v>1550293</v>
      </c>
      <c r="AM352" s="43">
        <v>9342995</v>
      </c>
      <c r="AN352" s="44">
        <v>0</v>
      </c>
      <c r="AO352" s="43">
        <v>1550293</v>
      </c>
      <c r="AP352" s="43">
        <v>9342995</v>
      </c>
      <c r="AQ352" s="44">
        <v>0</v>
      </c>
      <c r="AR352" s="43">
        <v>1550293</v>
      </c>
      <c r="AS352" s="43">
        <v>9342995</v>
      </c>
      <c r="AT352" s="39">
        <f t="shared" si="160"/>
        <v>9342995</v>
      </c>
      <c r="AU352" s="18">
        <f>AJ352-AM352</f>
        <v>523626661</v>
      </c>
      <c r="AV352" s="34">
        <f>AM352-AP352</f>
        <v>0</v>
      </c>
      <c r="AW352" s="34">
        <f>AP352-AT352</f>
        <v>0</v>
      </c>
      <c r="AX352" s="123">
        <f>AP352/AJ352</f>
        <v>1.7530069291599594E-2</v>
      </c>
    </row>
    <row r="353" spans="1:50" ht="18.75" customHeight="1" x14ac:dyDescent="0.2">
      <c r="AA353" s="28" t="s">
        <v>288</v>
      </c>
      <c r="AB353" s="29" t="s">
        <v>76</v>
      </c>
      <c r="AC353" s="17"/>
      <c r="AD353" s="18"/>
      <c r="AE353" s="34"/>
      <c r="AF353" s="34"/>
      <c r="AG353" s="34"/>
      <c r="AH353" s="34"/>
      <c r="AI353" s="34"/>
      <c r="AJ353" s="18"/>
      <c r="AK353" s="34"/>
      <c r="AL353" s="18"/>
      <c r="AM353" s="18"/>
      <c r="AN353" s="34"/>
      <c r="AO353" s="18"/>
      <c r="AP353" s="18"/>
      <c r="AQ353" s="34"/>
      <c r="AR353" s="18"/>
      <c r="AS353" s="18"/>
      <c r="AT353" s="30"/>
      <c r="AU353" s="18"/>
      <c r="AV353" s="18"/>
      <c r="AW353" s="34"/>
      <c r="AX353" s="18"/>
    </row>
    <row r="354" spans="1:50" ht="18.75" customHeight="1" x14ac:dyDescent="0.2">
      <c r="A354" s="4" t="s">
        <v>325</v>
      </c>
      <c r="B354" s="4" t="s">
        <v>326</v>
      </c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1" t="s">
        <v>329</v>
      </c>
      <c r="AB354" s="42" t="s">
        <v>328</v>
      </c>
      <c r="AC354" s="43" t="s">
        <v>61</v>
      </c>
      <c r="AD354" s="43">
        <v>318686698</v>
      </c>
      <c r="AE354" s="44">
        <v>0</v>
      </c>
      <c r="AF354" s="44">
        <v>0</v>
      </c>
      <c r="AG354" s="44">
        <v>0</v>
      </c>
      <c r="AH354" s="44">
        <v>0</v>
      </c>
      <c r="AI354" s="44">
        <v>0</v>
      </c>
      <c r="AJ354" s="43">
        <v>318686698</v>
      </c>
      <c r="AK354" s="44">
        <v>0</v>
      </c>
      <c r="AL354" s="43">
        <f>AM354-ABRIL!AM335</f>
        <v>15327935</v>
      </c>
      <c r="AM354" s="43">
        <v>123125578</v>
      </c>
      <c r="AN354" s="44">
        <v>0</v>
      </c>
      <c r="AO354" s="43">
        <v>15327935</v>
      </c>
      <c r="AP354" s="43">
        <v>123125578</v>
      </c>
      <c r="AQ354" s="44">
        <v>0</v>
      </c>
      <c r="AR354" s="43">
        <v>15327935</v>
      </c>
      <c r="AS354" s="43">
        <v>123125578</v>
      </c>
      <c r="AT354" s="39">
        <f t="shared" si="160"/>
        <v>123125578</v>
      </c>
      <c r="AU354" s="18">
        <f>AJ354-AM354</f>
        <v>195561120</v>
      </c>
      <c r="AV354" s="34">
        <f>AM354-AP354</f>
        <v>0</v>
      </c>
      <c r="AW354" s="34">
        <f>AP354-AT354</f>
        <v>0</v>
      </c>
      <c r="AX354" s="123">
        <f>AP354/AJ354</f>
        <v>0.38635305073197629</v>
      </c>
    </row>
    <row r="355" spans="1:50" ht="18.75" customHeight="1" x14ac:dyDescent="0.2">
      <c r="AA355" s="16"/>
      <c r="AB355" s="17"/>
      <c r="AC355" s="17"/>
      <c r="AD355" s="18"/>
      <c r="AE355" s="34"/>
      <c r="AF355" s="34"/>
      <c r="AG355" s="34"/>
      <c r="AH355" s="34"/>
      <c r="AI355" s="34"/>
      <c r="AJ355" s="18"/>
      <c r="AK355" s="18"/>
      <c r="AL355" s="18"/>
      <c r="AM355" s="18"/>
      <c r="AN355" s="34"/>
      <c r="AO355" s="18"/>
      <c r="AP355" s="18"/>
      <c r="AQ355" s="18"/>
      <c r="AR355" s="34"/>
      <c r="AS355" s="18"/>
      <c r="AT355" s="30"/>
      <c r="AU355" s="18"/>
      <c r="AV355" s="18"/>
      <c r="AW355" s="18"/>
      <c r="AX355" s="18"/>
    </row>
    <row r="356" spans="1:50" ht="18.75" customHeight="1" x14ac:dyDescent="0.2">
      <c r="AA356" s="16"/>
      <c r="AB356" s="29" t="s">
        <v>81</v>
      </c>
      <c r="AC356" s="17"/>
      <c r="AD356" s="18"/>
      <c r="AE356" s="34"/>
      <c r="AF356" s="34"/>
      <c r="AG356" s="34"/>
      <c r="AH356" s="34"/>
      <c r="AI356" s="34"/>
      <c r="AJ356" s="18"/>
      <c r="AK356" s="18"/>
      <c r="AL356" s="18"/>
      <c r="AM356" s="18"/>
      <c r="AN356" s="34"/>
      <c r="AO356" s="18"/>
      <c r="AP356" s="18"/>
      <c r="AQ356" s="18"/>
      <c r="AR356" s="34"/>
      <c r="AS356" s="18"/>
      <c r="AT356" s="30"/>
      <c r="AU356" s="18"/>
      <c r="AV356" s="18"/>
      <c r="AW356" s="18"/>
      <c r="AX356" s="18"/>
    </row>
    <row r="357" spans="1:50" ht="18.75" customHeight="1" x14ac:dyDescent="0.2">
      <c r="AA357" s="28" t="s">
        <v>288</v>
      </c>
      <c r="AB357" s="29" t="s">
        <v>83</v>
      </c>
      <c r="AC357" s="17"/>
      <c r="AD357" s="18"/>
      <c r="AE357" s="34"/>
      <c r="AF357" s="34"/>
      <c r="AG357" s="34"/>
      <c r="AH357" s="34"/>
      <c r="AI357" s="34"/>
      <c r="AJ357" s="18"/>
      <c r="AK357" s="18"/>
      <c r="AL357" s="18"/>
      <c r="AM357" s="18"/>
      <c r="AN357" s="34"/>
      <c r="AO357" s="18"/>
      <c r="AP357" s="18"/>
      <c r="AQ357" s="18"/>
      <c r="AR357" s="34"/>
      <c r="AS357" s="18"/>
      <c r="AT357" s="30"/>
      <c r="AU357" s="18"/>
      <c r="AV357" s="18"/>
      <c r="AW357" s="18"/>
      <c r="AX357" s="18"/>
    </row>
    <row r="358" spans="1:50" ht="18.75" customHeight="1" x14ac:dyDescent="0.2">
      <c r="A358" s="4" t="s">
        <v>325</v>
      </c>
      <c r="B358" s="4" t="s">
        <v>326</v>
      </c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1" t="s">
        <v>330</v>
      </c>
      <c r="AB358" s="42" t="s">
        <v>328</v>
      </c>
      <c r="AC358" s="43" t="s">
        <v>61</v>
      </c>
      <c r="AD358" s="43">
        <v>1177756920</v>
      </c>
      <c r="AE358" s="44">
        <v>0</v>
      </c>
      <c r="AF358" s="44">
        <v>0</v>
      </c>
      <c r="AG358" s="44">
        <v>0</v>
      </c>
      <c r="AH358" s="44">
        <v>0</v>
      </c>
      <c r="AI358" s="44">
        <v>0</v>
      </c>
      <c r="AJ358" s="43">
        <v>1177756920</v>
      </c>
      <c r="AK358" s="44">
        <v>0</v>
      </c>
      <c r="AL358" s="43">
        <f>AM358-ABRIL!AM339</f>
        <v>1283298</v>
      </c>
      <c r="AM358" s="43">
        <v>5570852</v>
      </c>
      <c r="AN358" s="44">
        <v>0</v>
      </c>
      <c r="AO358" s="44">
        <v>1283298</v>
      </c>
      <c r="AP358" s="110">
        <v>5570852</v>
      </c>
      <c r="AQ358" s="34">
        <v>0</v>
      </c>
      <c r="AR358" s="133">
        <v>1283298</v>
      </c>
      <c r="AS358" s="110">
        <v>5570852</v>
      </c>
      <c r="AT358" s="39">
        <f t="shared" ref="AT358" si="164">AQ358+AS358</f>
        <v>5570852</v>
      </c>
      <c r="AU358" s="18">
        <f>AJ358-AM358</f>
        <v>1172186068</v>
      </c>
      <c r="AV358" s="34">
        <f>AM358-AP358</f>
        <v>0</v>
      </c>
      <c r="AW358" s="34">
        <f>AP358-AT358</f>
        <v>0</v>
      </c>
      <c r="AX358" s="123">
        <f>AP358/AJ358</f>
        <v>4.7300524457967097E-3</v>
      </c>
    </row>
    <row r="359" spans="1:50" ht="18.75" customHeight="1" x14ac:dyDescent="0.2">
      <c r="AA359" s="28" t="s">
        <v>288</v>
      </c>
      <c r="AB359" s="29" t="s">
        <v>88</v>
      </c>
      <c r="AC359" s="17"/>
      <c r="AD359" s="18"/>
      <c r="AE359" s="34"/>
      <c r="AF359" s="34"/>
      <c r="AG359" s="34"/>
      <c r="AH359" s="34"/>
      <c r="AI359" s="34"/>
      <c r="AJ359" s="18"/>
      <c r="AK359" s="34"/>
      <c r="AL359" s="34"/>
      <c r="AM359" s="18"/>
      <c r="AN359" s="34"/>
      <c r="AO359" s="34"/>
      <c r="AP359" s="18"/>
      <c r="AQ359" s="18"/>
      <c r="AR359" s="34"/>
      <c r="AS359" s="18"/>
      <c r="AT359" s="30"/>
      <c r="AU359" s="18"/>
      <c r="AV359" s="18"/>
      <c r="AW359" s="34"/>
      <c r="AX359" s="18"/>
    </row>
    <row r="360" spans="1:50" ht="18.75" customHeight="1" x14ac:dyDescent="0.2">
      <c r="A360" s="4" t="s">
        <v>325</v>
      </c>
      <c r="B360" s="4" t="s">
        <v>326</v>
      </c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1" t="s">
        <v>331</v>
      </c>
      <c r="AB360" s="42" t="s">
        <v>328</v>
      </c>
      <c r="AC360" s="43" t="s">
        <v>61</v>
      </c>
      <c r="AD360" s="43">
        <v>565323320</v>
      </c>
      <c r="AE360" s="44">
        <v>0</v>
      </c>
      <c r="AF360" s="44">
        <v>0</v>
      </c>
      <c r="AG360" s="44">
        <v>0</v>
      </c>
      <c r="AH360" s="44">
        <v>0</v>
      </c>
      <c r="AI360" s="44">
        <v>0</v>
      </c>
      <c r="AJ360" s="43">
        <v>565323320</v>
      </c>
      <c r="AK360" s="44">
        <v>0</v>
      </c>
      <c r="AL360" s="44">
        <f>AM360-ABRIL!AM341</f>
        <v>0</v>
      </c>
      <c r="AM360" s="43">
        <v>1527575</v>
      </c>
      <c r="AN360" s="44">
        <v>0</v>
      </c>
      <c r="AO360" s="44">
        <v>0</v>
      </c>
      <c r="AP360" s="43">
        <v>1527575</v>
      </c>
      <c r="AQ360" s="44">
        <v>0</v>
      </c>
      <c r="AR360" s="44">
        <v>0</v>
      </c>
      <c r="AS360" s="43">
        <v>1527575</v>
      </c>
      <c r="AT360" s="39">
        <f t="shared" si="160"/>
        <v>1527575</v>
      </c>
      <c r="AU360" s="18">
        <f>AJ360-AM360</f>
        <v>563795745</v>
      </c>
      <c r="AV360" s="34">
        <f>AM360-AP360</f>
        <v>0</v>
      </c>
      <c r="AW360" s="34">
        <f>AP360-AT360</f>
        <v>0</v>
      </c>
      <c r="AX360" s="123">
        <f>AP360/AJ360</f>
        <v>2.7021262805857716E-3</v>
      </c>
    </row>
    <row r="361" spans="1:50" ht="18.75" customHeight="1" x14ac:dyDescent="0.2">
      <c r="AA361" s="16"/>
      <c r="AB361" s="17"/>
      <c r="AC361" s="17"/>
      <c r="AD361" s="18"/>
      <c r="AE361" s="34"/>
      <c r="AF361" s="34"/>
      <c r="AG361" s="34"/>
      <c r="AH361" s="34"/>
      <c r="AI361" s="34"/>
      <c r="AJ361" s="18"/>
      <c r="AK361" s="34"/>
      <c r="AL361" s="18"/>
      <c r="AM361" s="18"/>
      <c r="AN361" s="18"/>
      <c r="AO361" s="18"/>
      <c r="AP361" s="18"/>
      <c r="AQ361" s="34"/>
      <c r="AR361" s="18"/>
      <c r="AS361" s="18"/>
      <c r="AT361" s="30"/>
      <c r="AU361" s="18"/>
      <c r="AV361" s="18"/>
      <c r="AW361" s="18"/>
      <c r="AX361" s="18"/>
    </row>
    <row r="362" spans="1:50" ht="18.75" customHeight="1" x14ac:dyDescent="0.2">
      <c r="AA362" s="16"/>
      <c r="AB362" s="29" t="s">
        <v>103</v>
      </c>
      <c r="AC362" s="17"/>
      <c r="AD362" s="18"/>
      <c r="AE362" s="34"/>
      <c r="AF362" s="34"/>
      <c r="AG362" s="34"/>
      <c r="AH362" s="34"/>
      <c r="AI362" s="34"/>
      <c r="AJ362" s="18"/>
      <c r="AK362" s="34"/>
      <c r="AL362" s="18"/>
      <c r="AM362" s="18"/>
      <c r="AN362" s="18"/>
      <c r="AO362" s="18"/>
      <c r="AP362" s="18"/>
      <c r="AQ362" s="34"/>
      <c r="AR362" s="18"/>
      <c r="AS362" s="18"/>
      <c r="AT362" s="30"/>
      <c r="AU362" s="18"/>
      <c r="AV362" s="18"/>
      <c r="AW362" s="18"/>
      <c r="AX362" s="18"/>
    </row>
    <row r="363" spans="1:50" ht="24.75" customHeight="1" x14ac:dyDescent="0.2">
      <c r="AA363" s="28" t="s">
        <v>288</v>
      </c>
      <c r="AB363" s="29" t="s">
        <v>352</v>
      </c>
      <c r="AC363" s="17"/>
      <c r="AD363" s="18"/>
      <c r="AE363" s="34"/>
      <c r="AF363" s="34"/>
      <c r="AG363" s="34"/>
      <c r="AH363" s="34"/>
      <c r="AI363" s="34"/>
      <c r="AJ363" s="18"/>
      <c r="AK363" s="34"/>
      <c r="AL363" s="18"/>
      <c r="AM363" s="18"/>
      <c r="AN363" s="18"/>
      <c r="AO363" s="18"/>
      <c r="AP363" s="18"/>
      <c r="AQ363" s="34"/>
      <c r="AR363" s="18"/>
      <c r="AS363" s="18"/>
      <c r="AT363" s="39"/>
      <c r="AU363" s="18"/>
      <c r="AV363" s="18"/>
      <c r="AW363" s="18"/>
      <c r="AX363" s="18"/>
    </row>
    <row r="364" spans="1:50" ht="18.75" customHeight="1" x14ac:dyDescent="0.2">
      <c r="A364" s="4" t="s">
        <v>325</v>
      </c>
      <c r="B364" s="4" t="s">
        <v>326</v>
      </c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1" t="s">
        <v>332</v>
      </c>
      <c r="AB364" s="42" t="s">
        <v>328</v>
      </c>
      <c r="AC364" s="43" t="s">
        <v>61</v>
      </c>
      <c r="AD364" s="43">
        <v>1248245788</v>
      </c>
      <c r="AE364" s="44">
        <v>0</v>
      </c>
      <c r="AF364" s="44">
        <v>0</v>
      </c>
      <c r="AG364" s="44">
        <v>0</v>
      </c>
      <c r="AH364" s="44">
        <v>0</v>
      </c>
      <c r="AI364" s="44">
        <v>0</v>
      </c>
      <c r="AJ364" s="43">
        <v>1248245788</v>
      </c>
      <c r="AK364" s="44">
        <v>0</v>
      </c>
      <c r="AL364" s="43">
        <f>AM364-ABRIL!AM345</f>
        <v>74838096</v>
      </c>
      <c r="AM364" s="43">
        <v>385425291.04000002</v>
      </c>
      <c r="AN364" s="44">
        <v>0</v>
      </c>
      <c r="AO364" s="43">
        <v>74838096</v>
      </c>
      <c r="AP364" s="43">
        <v>385425291.04000002</v>
      </c>
      <c r="AQ364" s="44">
        <v>0</v>
      </c>
      <c r="AR364" s="43">
        <v>74838096</v>
      </c>
      <c r="AS364" s="43">
        <v>385425291.04000002</v>
      </c>
      <c r="AT364" s="39">
        <f t="shared" ref="AT364" si="165">AQ364+AS364</f>
        <v>385425291.04000002</v>
      </c>
      <c r="AU364" s="18">
        <f>AJ364-AM364</f>
        <v>862820496.96000004</v>
      </c>
      <c r="AV364" s="34">
        <f>AM364-AP364</f>
        <v>0</v>
      </c>
      <c r="AW364" s="34">
        <f>AP364-AT364</f>
        <v>0</v>
      </c>
      <c r="AX364" s="123">
        <f>AP364/AJ364</f>
        <v>0.30877355625413094</v>
      </c>
    </row>
    <row r="365" spans="1:50" ht="18.75" customHeight="1" x14ac:dyDescent="0.2">
      <c r="AA365" s="28" t="s">
        <v>288</v>
      </c>
      <c r="AB365" s="29" t="s">
        <v>353</v>
      </c>
      <c r="AC365" s="17"/>
      <c r="AD365" s="18"/>
      <c r="AE365" s="34"/>
      <c r="AF365" s="34"/>
      <c r="AG365" s="34"/>
      <c r="AH365" s="34"/>
      <c r="AI365" s="34"/>
      <c r="AJ365" s="18"/>
      <c r="AK365" s="34"/>
      <c r="AL365" s="18"/>
      <c r="AM365" s="18"/>
      <c r="AN365" s="34"/>
      <c r="AO365" s="18"/>
      <c r="AP365" s="18"/>
      <c r="AQ365" s="18"/>
      <c r="AR365" s="18"/>
      <c r="AS365" s="18"/>
      <c r="AT365" s="39"/>
      <c r="AU365" s="18"/>
      <c r="AV365" s="18"/>
      <c r="AW365" s="34"/>
      <c r="AX365" s="18"/>
    </row>
    <row r="366" spans="1:50" ht="18.75" customHeight="1" x14ac:dyDescent="0.2">
      <c r="A366" s="4" t="s">
        <v>325</v>
      </c>
      <c r="B366" s="4" t="s">
        <v>326</v>
      </c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1" t="s">
        <v>334</v>
      </c>
      <c r="AB366" s="42" t="s">
        <v>328</v>
      </c>
      <c r="AC366" s="43" t="s">
        <v>61</v>
      </c>
      <c r="AD366" s="43">
        <v>918279775</v>
      </c>
      <c r="AE366" s="44">
        <v>0</v>
      </c>
      <c r="AF366" s="44">
        <v>0</v>
      </c>
      <c r="AG366" s="44">
        <v>0</v>
      </c>
      <c r="AH366" s="44">
        <v>0</v>
      </c>
      <c r="AI366" s="44">
        <v>0</v>
      </c>
      <c r="AJ366" s="43">
        <v>918279775</v>
      </c>
      <c r="AK366" s="44">
        <v>0</v>
      </c>
      <c r="AL366" s="43">
        <f>AM366-ABRIL!AM347</f>
        <v>79483074</v>
      </c>
      <c r="AM366" s="43">
        <v>390231878.95999998</v>
      </c>
      <c r="AN366" s="44">
        <v>0</v>
      </c>
      <c r="AO366" s="43">
        <v>79483074</v>
      </c>
      <c r="AP366" s="43">
        <v>390231878.95999998</v>
      </c>
      <c r="AQ366" s="44">
        <v>0</v>
      </c>
      <c r="AR366" s="43">
        <v>79483074</v>
      </c>
      <c r="AS366" s="43">
        <v>390231878.95999998</v>
      </c>
      <c r="AT366" s="39">
        <f t="shared" si="160"/>
        <v>390231878.95999998</v>
      </c>
      <c r="AU366" s="18">
        <f>AJ366-AM366</f>
        <v>528047896.04000002</v>
      </c>
      <c r="AV366" s="34">
        <f>AM366-AP366</f>
        <v>0</v>
      </c>
      <c r="AW366" s="34">
        <f>AP366-AT366</f>
        <v>0</v>
      </c>
      <c r="AX366" s="123">
        <f>AP366/AJ366</f>
        <v>0.42495967959220271</v>
      </c>
    </row>
    <row r="367" spans="1:50" ht="18.75" customHeight="1" x14ac:dyDescent="0.2">
      <c r="AA367" s="28" t="s">
        <v>288</v>
      </c>
      <c r="AB367" s="29" t="s">
        <v>354</v>
      </c>
      <c r="AC367" s="17"/>
      <c r="AD367" s="18"/>
      <c r="AE367" s="34"/>
      <c r="AF367" s="34"/>
      <c r="AG367" s="34"/>
      <c r="AH367" s="34"/>
      <c r="AI367" s="34"/>
      <c r="AJ367" s="18"/>
      <c r="AK367" s="18"/>
      <c r="AL367" s="18"/>
      <c r="AM367" s="18"/>
      <c r="AN367" s="34"/>
      <c r="AO367" s="18"/>
      <c r="AP367" s="18"/>
      <c r="AQ367" s="34"/>
      <c r="AR367" s="18"/>
      <c r="AS367" s="18"/>
      <c r="AT367" s="39"/>
      <c r="AU367" s="18"/>
      <c r="AV367" s="18"/>
      <c r="AW367" s="34"/>
      <c r="AX367" s="18"/>
    </row>
    <row r="368" spans="1:50" ht="18.75" customHeight="1" x14ac:dyDescent="0.2">
      <c r="A368" s="4" t="s">
        <v>325</v>
      </c>
      <c r="B368" s="4" t="s">
        <v>326</v>
      </c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1" t="s">
        <v>335</v>
      </c>
      <c r="AB368" s="42" t="s">
        <v>328</v>
      </c>
      <c r="AC368" s="43" t="s">
        <v>61</v>
      </c>
      <c r="AD368" s="43">
        <v>956127578</v>
      </c>
      <c r="AE368" s="44">
        <v>0</v>
      </c>
      <c r="AF368" s="44">
        <v>0</v>
      </c>
      <c r="AG368" s="44">
        <v>0</v>
      </c>
      <c r="AH368" s="44">
        <v>0</v>
      </c>
      <c r="AI368" s="44">
        <v>0</v>
      </c>
      <c r="AJ368" s="43">
        <v>956127578</v>
      </c>
      <c r="AK368" s="44">
        <v>0</v>
      </c>
      <c r="AL368" s="43">
        <f>AM368-ABRIL!AM349</f>
        <v>78236469</v>
      </c>
      <c r="AM368" s="43">
        <v>393413009</v>
      </c>
      <c r="AN368" s="44">
        <v>0</v>
      </c>
      <c r="AO368" s="43">
        <v>78236469</v>
      </c>
      <c r="AP368" s="43">
        <v>393413009</v>
      </c>
      <c r="AQ368" s="44">
        <v>0</v>
      </c>
      <c r="AR368" s="43">
        <v>78236469</v>
      </c>
      <c r="AS368" s="43">
        <v>393413009</v>
      </c>
      <c r="AT368" s="39">
        <f t="shared" si="160"/>
        <v>393413009</v>
      </c>
      <c r="AU368" s="18">
        <f>AJ368-AM368</f>
        <v>562714569</v>
      </c>
      <c r="AV368" s="34">
        <f>AM368-AP368</f>
        <v>0</v>
      </c>
      <c r="AW368" s="34">
        <f>AP368-AT368</f>
        <v>0</v>
      </c>
      <c r="AX368" s="123">
        <f>AP368/AJ368</f>
        <v>0.41146497397651677</v>
      </c>
    </row>
    <row r="369" spans="1:50" ht="18.75" customHeight="1" x14ac:dyDescent="0.2">
      <c r="AA369" s="28" t="s">
        <v>288</v>
      </c>
      <c r="AB369" s="29" t="s">
        <v>119</v>
      </c>
      <c r="AC369" s="17"/>
      <c r="AD369" s="18"/>
      <c r="AE369" s="34"/>
      <c r="AF369" s="34"/>
      <c r="AG369" s="34"/>
      <c r="AH369" s="34"/>
      <c r="AI369" s="34"/>
      <c r="AJ369" s="18"/>
      <c r="AK369" s="34"/>
      <c r="AL369" s="18"/>
      <c r="AM369" s="18"/>
      <c r="AN369" s="34"/>
      <c r="AO369" s="18"/>
      <c r="AP369" s="18"/>
      <c r="AQ369" s="18"/>
      <c r="AR369" s="18"/>
      <c r="AS369" s="18"/>
      <c r="AT369" s="39"/>
      <c r="AU369" s="18"/>
      <c r="AV369" s="18"/>
      <c r="AW369" s="34"/>
      <c r="AX369" s="18"/>
    </row>
    <row r="370" spans="1:50" ht="18.75" customHeight="1" x14ac:dyDescent="0.2">
      <c r="A370" s="4" t="s">
        <v>325</v>
      </c>
      <c r="B370" s="4" t="s">
        <v>326</v>
      </c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1" t="s">
        <v>336</v>
      </c>
      <c r="AB370" s="42" t="s">
        <v>328</v>
      </c>
      <c r="AC370" s="43" t="s">
        <v>61</v>
      </c>
      <c r="AD370" s="43">
        <v>527278620</v>
      </c>
      <c r="AE370" s="44">
        <v>0</v>
      </c>
      <c r="AF370" s="44">
        <v>0</v>
      </c>
      <c r="AG370" s="44">
        <v>0</v>
      </c>
      <c r="AH370" s="44">
        <v>0</v>
      </c>
      <c r="AI370" s="44">
        <v>0</v>
      </c>
      <c r="AJ370" s="43">
        <v>527278620</v>
      </c>
      <c r="AK370" s="44">
        <v>0</v>
      </c>
      <c r="AL370" s="43">
        <f>AM370-ABRIL!AM351</f>
        <v>36953200</v>
      </c>
      <c r="AM370" s="43">
        <v>184088500</v>
      </c>
      <c r="AN370" s="44">
        <v>0</v>
      </c>
      <c r="AO370" s="43">
        <v>36953200</v>
      </c>
      <c r="AP370" s="43">
        <v>184088500</v>
      </c>
      <c r="AQ370" s="114">
        <v>36953200</v>
      </c>
      <c r="AR370" s="114">
        <v>37020400</v>
      </c>
      <c r="AS370" s="114">
        <v>147135300</v>
      </c>
      <c r="AT370" s="39">
        <f t="shared" si="160"/>
        <v>184088500</v>
      </c>
      <c r="AU370" s="18">
        <f>AJ370-AM370</f>
        <v>343190120</v>
      </c>
      <c r="AV370" s="34">
        <f>AM370-AP370</f>
        <v>0</v>
      </c>
      <c r="AW370" s="34">
        <f>AP370-AT370</f>
        <v>0</v>
      </c>
      <c r="AX370" s="123">
        <f>AP370/AJ370</f>
        <v>0.34912946024627362</v>
      </c>
    </row>
    <row r="371" spans="1:50" ht="18.75" customHeight="1" x14ac:dyDescent="0.2">
      <c r="AA371" s="28" t="s">
        <v>288</v>
      </c>
      <c r="AB371" s="29" t="s">
        <v>124</v>
      </c>
      <c r="AC371" s="17"/>
      <c r="AD371" s="18"/>
      <c r="AE371" s="34"/>
      <c r="AF371" s="34"/>
      <c r="AG371" s="34"/>
      <c r="AH371" s="34"/>
      <c r="AI371" s="34"/>
      <c r="AJ371" s="18"/>
      <c r="AK371" s="34"/>
      <c r="AL371" s="18"/>
      <c r="AM371" s="18"/>
      <c r="AN371" s="34"/>
      <c r="AO371" s="18"/>
      <c r="AP371" s="18"/>
      <c r="AQ371" s="34"/>
      <c r="AR371" s="34"/>
      <c r="AS371" s="34"/>
      <c r="AT371" s="40"/>
      <c r="AU371" s="18"/>
      <c r="AV371" s="18"/>
      <c r="AW371" s="18"/>
      <c r="AX371" s="18"/>
    </row>
    <row r="372" spans="1:50" ht="18.75" customHeight="1" x14ac:dyDescent="0.2">
      <c r="AA372" s="28" t="s">
        <v>288</v>
      </c>
      <c r="AB372" s="29" t="s">
        <v>129</v>
      </c>
      <c r="AC372" s="17"/>
      <c r="AD372" s="18"/>
      <c r="AE372" s="34"/>
      <c r="AF372" s="34"/>
      <c r="AG372" s="34"/>
      <c r="AH372" s="34"/>
      <c r="AI372" s="34"/>
      <c r="AJ372" s="18"/>
      <c r="AK372" s="34"/>
      <c r="AL372" s="18"/>
      <c r="AM372" s="18"/>
      <c r="AN372" s="34"/>
      <c r="AO372" s="18"/>
      <c r="AP372" s="18"/>
      <c r="AQ372" s="34"/>
      <c r="AR372" s="34"/>
      <c r="AS372" s="34"/>
      <c r="AT372" s="40"/>
      <c r="AU372" s="18"/>
      <c r="AV372" s="18"/>
      <c r="AW372" s="18"/>
      <c r="AX372" s="18"/>
    </row>
    <row r="373" spans="1:50" ht="18.75" customHeight="1" x14ac:dyDescent="0.2">
      <c r="A373" s="4" t="s">
        <v>325</v>
      </c>
      <c r="B373" s="4" t="s">
        <v>326</v>
      </c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1" t="s">
        <v>338</v>
      </c>
      <c r="AB373" s="42" t="s">
        <v>328</v>
      </c>
      <c r="AC373" s="43" t="s">
        <v>61</v>
      </c>
      <c r="AD373" s="43">
        <v>395516000</v>
      </c>
      <c r="AE373" s="44">
        <v>0</v>
      </c>
      <c r="AF373" s="44">
        <v>0</v>
      </c>
      <c r="AG373" s="44">
        <v>0</v>
      </c>
      <c r="AH373" s="44">
        <v>0</v>
      </c>
      <c r="AI373" s="44">
        <v>0</v>
      </c>
      <c r="AJ373" s="43">
        <v>395516000</v>
      </c>
      <c r="AK373" s="44">
        <v>0</v>
      </c>
      <c r="AL373" s="43">
        <f>AM373-ABRIL!AM354</f>
        <v>27714800</v>
      </c>
      <c r="AM373" s="43">
        <v>138069000</v>
      </c>
      <c r="AN373" s="44">
        <v>0</v>
      </c>
      <c r="AO373" s="43">
        <v>27714800</v>
      </c>
      <c r="AP373" s="43">
        <v>138069000</v>
      </c>
      <c r="AQ373" s="114">
        <v>27714800</v>
      </c>
      <c r="AR373" s="114">
        <v>27764500</v>
      </c>
      <c r="AS373" s="114">
        <v>110354200</v>
      </c>
      <c r="AT373" s="39">
        <f t="shared" ref="AT373" si="166">AQ373+AS373</f>
        <v>138069000</v>
      </c>
      <c r="AU373" s="18">
        <f>AJ373-AM373</f>
        <v>257447000</v>
      </c>
      <c r="AV373" s="34">
        <f>AM373-AP373</f>
        <v>0</v>
      </c>
      <c r="AW373" s="34">
        <f>AP373-AT373</f>
        <v>0</v>
      </c>
      <c r="AX373" s="123">
        <f>AP373/AJ373</f>
        <v>0.34908575127175639</v>
      </c>
    </row>
    <row r="374" spans="1:50" ht="18.75" customHeight="1" x14ac:dyDescent="0.2">
      <c r="AA374" s="28" t="s">
        <v>288</v>
      </c>
      <c r="AB374" s="29" t="s">
        <v>133</v>
      </c>
      <c r="AC374" s="17"/>
      <c r="AD374" s="18"/>
      <c r="AE374" s="34"/>
      <c r="AF374" s="34"/>
      <c r="AG374" s="34"/>
      <c r="AH374" s="34"/>
      <c r="AI374" s="34"/>
      <c r="AJ374" s="18"/>
      <c r="AK374" s="34"/>
      <c r="AL374" s="18"/>
      <c r="AM374" s="18"/>
      <c r="AN374" s="34"/>
      <c r="AO374" s="18"/>
      <c r="AP374" s="18"/>
      <c r="AQ374" s="34"/>
      <c r="AR374" s="34"/>
      <c r="AS374" s="34"/>
      <c r="AT374" s="40"/>
      <c r="AU374" s="18"/>
      <c r="AV374" s="18"/>
      <c r="AW374" s="34"/>
      <c r="AX374" s="18"/>
    </row>
    <row r="375" spans="1:50" ht="18.75" customHeight="1" x14ac:dyDescent="0.2">
      <c r="A375" s="4" t="s">
        <v>325</v>
      </c>
      <c r="B375" s="4" t="s">
        <v>326</v>
      </c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1" t="s">
        <v>339</v>
      </c>
      <c r="AB375" s="42" t="s">
        <v>328</v>
      </c>
      <c r="AC375" s="43" t="s">
        <v>61</v>
      </c>
      <c r="AD375" s="43">
        <v>66047960</v>
      </c>
      <c r="AE375" s="44">
        <v>0</v>
      </c>
      <c r="AF375" s="44">
        <v>0</v>
      </c>
      <c r="AG375" s="44">
        <v>0</v>
      </c>
      <c r="AH375" s="44">
        <v>0</v>
      </c>
      <c r="AI375" s="44">
        <v>0</v>
      </c>
      <c r="AJ375" s="43">
        <v>66047960</v>
      </c>
      <c r="AK375" s="44">
        <v>0</v>
      </c>
      <c r="AL375" s="43">
        <f>AM375-ABRIL!AM356</f>
        <v>4625500</v>
      </c>
      <c r="AM375" s="43">
        <v>23047200</v>
      </c>
      <c r="AN375" s="44">
        <v>0</v>
      </c>
      <c r="AO375" s="43">
        <v>4625500</v>
      </c>
      <c r="AP375" s="43">
        <v>23047200</v>
      </c>
      <c r="AQ375" s="114">
        <v>4625500</v>
      </c>
      <c r="AR375" s="114">
        <v>4633700</v>
      </c>
      <c r="AS375" s="114">
        <v>18421700</v>
      </c>
      <c r="AT375" s="39">
        <f t="shared" ref="AT375" si="167">AQ375+AS375</f>
        <v>23047200</v>
      </c>
      <c r="AU375" s="18">
        <f>AJ375-AM375</f>
        <v>43000760</v>
      </c>
      <c r="AV375" s="34">
        <f>AM375-AP375</f>
        <v>0</v>
      </c>
      <c r="AW375" s="34">
        <f>AP375-AT375</f>
        <v>0</v>
      </c>
      <c r="AX375" s="123">
        <f>AP375/AJ375</f>
        <v>0.34894643225922495</v>
      </c>
    </row>
    <row r="376" spans="1:50" ht="18.75" customHeight="1" x14ac:dyDescent="0.2">
      <c r="AA376" s="28" t="s">
        <v>288</v>
      </c>
      <c r="AB376" s="29" t="s">
        <v>138</v>
      </c>
      <c r="AC376" s="17"/>
      <c r="AD376" s="18"/>
      <c r="AE376" s="34"/>
      <c r="AF376" s="34"/>
      <c r="AG376" s="34"/>
      <c r="AH376" s="34"/>
      <c r="AI376" s="34"/>
      <c r="AJ376" s="18"/>
      <c r="AK376" s="34"/>
      <c r="AL376" s="18"/>
      <c r="AM376" s="18"/>
      <c r="AN376" s="34"/>
      <c r="AO376" s="18"/>
      <c r="AP376" s="18"/>
      <c r="AQ376" s="110"/>
      <c r="AR376" s="110"/>
      <c r="AS376" s="110"/>
      <c r="AT376" s="40"/>
      <c r="AU376" s="18"/>
      <c r="AV376" s="18"/>
      <c r="AW376" s="34"/>
      <c r="AX376" s="18"/>
    </row>
    <row r="377" spans="1:50" ht="18.75" customHeight="1" x14ac:dyDescent="0.2">
      <c r="A377" s="4" t="s">
        <v>325</v>
      </c>
      <c r="B377" s="4" t="s">
        <v>326</v>
      </c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1" t="s">
        <v>340</v>
      </c>
      <c r="AB377" s="42" t="s">
        <v>328</v>
      </c>
      <c r="AC377" s="43" t="s">
        <v>61</v>
      </c>
      <c r="AD377" s="43">
        <v>66047960</v>
      </c>
      <c r="AE377" s="44">
        <v>0</v>
      </c>
      <c r="AF377" s="44">
        <v>0</v>
      </c>
      <c r="AG377" s="44">
        <v>0</v>
      </c>
      <c r="AH377" s="44">
        <v>0</v>
      </c>
      <c r="AI377" s="44">
        <v>0</v>
      </c>
      <c r="AJ377" s="43">
        <v>66047960</v>
      </c>
      <c r="AK377" s="44">
        <v>0</v>
      </c>
      <c r="AL377" s="43">
        <f>AM377-ABRIL!AM358</f>
        <v>4625500</v>
      </c>
      <c r="AM377" s="43">
        <v>23047200</v>
      </c>
      <c r="AN377" s="44">
        <v>0</v>
      </c>
      <c r="AO377" s="43">
        <v>4625500</v>
      </c>
      <c r="AP377" s="43">
        <v>23047200</v>
      </c>
      <c r="AQ377" s="114">
        <v>4625500</v>
      </c>
      <c r="AR377" s="114">
        <v>4633700</v>
      </c>
      <c r="AS377" s="114">
        <v>18421700</v>
      </c>
      <c r="AT377" s="39">
        <f t="shared" ref="AT377" si="168">AQ377+AS377</f>
        <v>23047200</v>
      </c>
      <c r="AU377" s="18">
        <f>AJ377-AM377</f>
        <v>43000760</v>
      </c>
      <c r="AV377" s="34">
        <f>AM377-AP377</f>
        <v>0</v>
      </c>
      <c r="AW377" s="34">
        <f>AP377-AT377</f>
        <v>0</v>
      </c>
      <c r="AX377" s="123">
        <f>AP377/AJ377</f>
        <v>0.34894643225922495</v>
      </c>
    </row>
    <row r="378" spans="1:50" ht="25.5" x14ac:dyDescent="0.2">
      <c r="AA378" s="28" t="s">
        <v>288</v>
      </c>
      <c r="AB378" s="29" t="s">
        <v>145</v>
      </c>
      <c r="AC378" s="17"/>
      <c r="AD378" s="18"/>
      <c r="AE378" s="34"/>
      <c r="AF378" s="34"/>
      <c r="AG378" s="34"/>
      <c r="AH378" s="34"/>
      <c r="AI378" s="34"/>
      <c r="AJ378" s="18"/>
      <c r="AK378" s="34"/>
      <c r="AL378" s="18"/>
      <c r="AM378" s="18"/>
      <c r="AN378" s="34"/>
      <c r="AO378" s="18"/>
      <c r="AP378" s="18"/>
      <c r="AQ378" s="110"/>
      <c r="AR378" s="110"/>
      <c r="AS378" s="110"/>
      <c r="AT378" s="40"/>
      <c r="AU378" s="18"/>
      <c r="AV378" s="18"/>
      <c r="AW378" s="34"/>
      <c r="AX378" s="18"/>
    </row>
    <row r="379" spans="1:50" ht="18.75" customHeight="1" x14ac:dyDescent="0.2">
      <c r="A379" s="4" t="s">
        <v>325</v>
      </c>
      <c r="B379" s="4" t="s">
        <v>326</v>
      </c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1" t="s">
        <v>341</v>
      </c>
      <c r="AB379" s="42" t="s">
        <v>328</v>
      </c>
      <c r="AC379" s="43" t="s">
        <v>61</v>
      </c>
      <c r="AD379" s="43">
        <v>131938455</v>
      </c>
      <c r="AE379" s="44">
        <v>0</v>
      </c>
      <c r="AF379" s="44">
        <v>0</v>
      </c>
      <c r="AG379" s="44">
        <v>0</v>
      </c>
      <c r="AH379" s="44">
        <v>0</v>
      </c>
      <c r="AI379" s="44">
        <v>0</v>
      </c>
      <c r="AJ379" s="43">
        <v>131938455</v>
      </c>
      <c r="AK379" s="44">
        <v>0</v>
      </c>
      <c r="AL379" s="43">
        <f>AM379-ABRIL!AM360</f>
        <v>9245000</v>
      </c>
      <c r="AM379" s="43">
        <v>46059800</v>
      </c>
      <c r="AN379" s="44">
        <v>0</v>
      </c>
      <c r="AO379" s="43">
        <v>9245000</v>
      </c>
      <c r="AP379" s="43">
        <v>46059800</v>
      </c>
      <c r="AQ379" s="114">
        <v>9245000</v>
      </c>
      <c r="AR379" s="114">
        <v>9262000</v>
      </c>
      <c r="AS379" s="114">
        <v>36814800</v>
      </c>
      <c r="AT379" s="39">
        <f t="shared" ref="AT379" si="169">AQ379+AS379</f>
        <v>46059800</v>
      </c>
      <c r="AU379" s="18">
        <f>AJ379-AM379</f>
        <v>85878655</v>
      </c>
      <c r="AV379" s="34">
        <f>AM379-AP379</f>
        <v>0</v>
      </c>
      <c r="AW379" s="34">
        <f>AP379-AT379</f>
        <v>0</v>
      </c>
      <c r="AX379" s="123">
        <f>AP379/AJ379</f>
        <v>0.34910064696452597</v>
      </c>
    </row>
    <row r="380" spans="1:50" ht="18.75" customHeight="1" x14ac:dyDescent="0.2">
      <c r="AA380" s="16"/>
      <c r="AB380" s="17"/>
      <c r="AC380" s="17"/>
      <c r="AD380" s="18"/>
      <c r="AE380" s="34"/>
      <c r="AF380" s="34"/>
      <c r="AG380" s="34"/>
      <c r="AH380" s="34"/>
      <c r="AI380" s="34"/>
      <c r="AJ380" s="18"/>
      <c r="AK380" s="34"/>
      <c r="AL380" s="18"/>
      <c r="AM380" s="18"/>
      <c r="AN380" s="34"/>
      <c r="AO380" s="18"/>
      <c r="AP380" s="18"/>
      <c r="AQ380" s="34"/>
      <c r="AR380" s="34"/>
      <c r="AS380" s="34"/>
      <c r="AT380" s="40"/>
      <c r="AU380" s="18"/>
      <c r="AV380" s="18"/>
      <c r="AW380" s="18"/>
      <c r="AX380" s="18"/>
    </row>
    <row r="381" spans="1:50" ht="18.75" customHeight="1" x14ac:dyDescent="0.2">
      <c r="AA381" s="16"/>
      <c r="AB381" s="29" t="s">
        <v>149</v>
      </c>
      <c r="AC381" s="17"/>
      <c r="AD381" s="18"/>
      <c r="AE381" s="34"/>
      <c r="AF381" s="34"/>
      <c r="AG381" s="34"/>
      <c r="AH381" s="34"/>
      <c r="AI381" s="34"/>
      <c r="AJ381" s="18"/>
      <c r="AK381" s="34"/>
      <c r="AL381" s="18"/>
      <c r="AM381" s="18"/>
      <c r="AN381" s="34"/>
      <c r="AO381" s="18"/>
      <c r="AP381" s="18"/>
      <c r="AQ381" s="34"/>
      <c r="AR381" s="34"/>
      <c r="AS381" s="34"/>
      <c r="AT381" s="40"/>
      <c r="AU381" s="18"/>
      <c r="AV381" s="18"/>
      <c r="AW381" s="18"/>
      <c r="AX381" s="18"/>
    </row>
    <row r="382" spans="1:50" ht="18.75" customHeight="1" x14ac:dyDescent="0.2">
      <c r="AA382" s="16"/>
      <c r="AB382" s="29" t="s">
        <v>81</v>
      </c>
      <c r="AC382" s="17"/>
      <c r="AD382" s="18"/>
      <c r="AE382" s="34"/>
      <c r="AF382" s="34"/>
      <c r="AG382" s="34"/>
      <c r="AH382" s="34"/>
      <c r="AI382" s="34"/>
      <c r="AJ382" s="18"/>
      <c r="AK382" s="34"/>
      <c r="AL382" s="18"/>
      <c r="AM382" s="18"/>
      <c r="AN382" s="34"/>
      <c r="AO382" s="18"/>
      <c r="AP382" s="18"/>
      <c r="AQ382" s="34"/>
      <c r="AR382" s="34"/>
      <c r="AS382" s="34"/>
      <c r="AT382" s="40"/>
      <c r="AU382" s="18"/>
      <c r="AV382" s="18"/>
      <c r="AW382" s="18"/>
      <c r="AX382" s="18"/>
    </row>
    <row r="383" spans="1:50" ht="18.75" customHeight="1" x14ac:dyDescent="0.2">
      <c r="AA383" s="28" t="s">
        <v>288</v>
      </c>
      <c r="AB383" s="29" t="s">
        <v>152</v>
      </c>
      <c r="AC383" s="17"/>
      <c r="AD383" s="18"/>
      <c r="AE383" s="34"/>
      <c r="AF383" s="34"/>
      <c r="AG383" s="34"/>
      <c r="AH383" s="34"/>
      <c r="AI383" s="34"/>
      <c r="AJ383" s="18"/>
      <c r="AK383" s="34"/>
      <c r="AL383" s="18"/>
      <c r="AM383" s="18"/>
      <c r="AN383" s="34"/>
      <c r="AO383" s="18"/>
      <c r="AP383" s="18"/>
      <c r="AQ383" s="34"/>
      <c r="AR383" s="34"/>
      <c r="AS383" s="34"/>
      <c r="AT383" s="40"/>
      <c r="AU383" s="18"/>
      <c r="AV383" s="18"/>
      <c r="AW383" s="18"/>
      <c r="AX383" s="18"/>
    </row>
    <row r="384" spans="1:50" ht="18.75" customHeight="1" x14ac:dyDescent="0.2">
      <c r="A384" s="4" t="s">
        <v>325</v>
      </c>
      <c r="B384" s="4" t="s">
        <v>326</v>
      </c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1" t="s">
        <v>342</v>
      </c>
      <c r="AB384" s="42" t="s">
        <v>328</v>
      </c>
      <c r="AC384" s="43" t="s">
        <v>61</v>
      </c>
      <c r="AD384" s="43">
        <v>1121217736</v>
      </c>
      <c r="AE384" s="44">
        <v>0</v>
      </c>
      <c r="AF384" s="44">
        <v>0</v>
      </c>
      <c r="AG384" s="44">
        <v>0</v>
      </c>
      <c r="AH384" s="44">
        <v>0</v>
      </c>
      <c r="AI384" s="44">
        <v>0</v>
      </c>
      <c r="AJ384" s="43">
        <v>1121217736</v>
      </c>
      <c r="AK384" s="44">
        <v>0</v>
      </c>
      <c r="AL384" s="43">
        <f>AM384-ABRIL!AM365</f>
        <v>647234</v>
      </c>
      <c r="AM384" s="43">
        <v>261120827</v>
      </c>
      <c r="AN384" s="44">
        <v>0</v>
      </c>
      <c r="AO384" s="44">
        <v>647234</v>
      </c>
      <c r="AP384" s="43">
        <v>261120827</v>
      </c>
      <c r="AQ384" s="44">
        <v>0</v>
      </c>
      <c r="AR384" s="114">
        <v>647234</v>
      </c>
      <c r="AS384" s="114">
        <v>261120827</v>
      </c>
      <c r="AT384" s="39">
        <f t="shared" ref="AT384" si="170">AQ384+AS384</f>
        <v>261120827</v>
      </c>
      <c r="AU384" s="18">
        <f>AJ384-AM384</f>
        <v>860096909</v>
      </c>
      <c r="AV384" s="34">
        <f>AM384-AP384</f>
        <v>0</v>
      </c>
      <c r="AW384" s="34">
        <f>AP384-AT384</f>
        <v>0</v>
      </c>
      <c r="AX384" s="123">
        <f>AP384/AJ384</f>
        <v>0.23289038214072633</v>
      </c>
    </row>
    <row r="385" spans="1:50" ht="18.75" customHeight="1" x14ac:dyDescent="0.2">
      <c r="AA385" s="28" t="s">
        <v>288</v>
      </c>
      <c r="AB385" s="29" t="s">
        <v>343</v>
      </c>
      <c r="AC385" s="17"/>
      <c r="AD385" s="18"/>
      <c r="AE385" s="34"/>
      <c r="AF385" s="34"/>
      <c r="AG385" s="34"/>
      <c r="AH385" s="34"/>
      <c r="AI385" s="34"/>
      <c r="AJ385" s="18"/>
      <c r="AK385" s="34"/>
      <c r="AL385" s="18"/>
      <c r="AM385" s="18"/>
      <c r="AN385" s="34"/>
      <c r="AO385" s="18"/>
      <c r="AP385" s="18"/>
      <c r="AQ385" s="18"/>
      <c r="AR385" s="18"/>
      <c r="AS385" s="18"/>
      <c r="AT385" s="39"/>
      <c r="AU385" s="18"/>
      <c r="AV385" s="18"/>
      <c r="AW385" s="34"/>
      <c r="AX385" s="18"/>
    </row>
    <row r="386" spans="1:50" ht="18.75" customHeight="1" x14ac:dyDescent="0.2">
      <c r="A386" s="4" t="s">
        <v>325</v>
      </c>
      <c r="B386" s="4" t="s">
        <v>326</v>
      </c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1" t="s">
        <v>344</v>
      </c>
      <c r="AB386" s="42" t="s">
        <v>328</v>
      </c>
      <c r="AC386" s="43" t="s">
        <v>61</v>
      </c>
      <c r="AD386" s="43">
        <v>10000000</v>
      </c>
      <c r="AE386" s="44">
        <v>0</v>
      </c>
      <c r="AF386" s="44">
        <v>0</v>
      </c>
      <c r="AG386" s="44">
        <v>0</v>
      </c>
      <c r="AH386" s="44">
        <v>0</v>
      </c>
      <c r="AI386" s="44">
        <v>0</v>
      </c>
      <c r="AJ386" s="43">
        <v>10000000</v>
      </c>
      <c r="AK386" s="44">
        <v>0</v>
      </c>
      <c r="AL386" s="44">
        <v>0</v>
      </c>
      <c r="AM386" s="44">
        <v>0</v>
      </c>
      <c r="AN386" s="44">
        <v>0</v>
      </c>
      <c r="AO386" s="44">
        <v>0</v>
      </c>
      <c r="AP386" s="44">
        <v>0</v>
      </c>
      <c r="AQ386" s="44">
        <v>0</v>
      </c>
      <c r="AR386" s="44">
        <v>0</v>
      </c>
      <c r="AS386" s="44">
        <v>0</v>
      </c>
      <c r="AT386" s="40">
        <f t="shared" ref="AT386:AT415" si="171">AQ386+AS386</f>
        <v>0</v>
      </c>
      <c r="AU386" s="18">
        <f>AJ386-AM386</f>
        <v>10000000</v>
      </c>
      <c r="AV386" s="34">
        <f>AM386-AP386</f>
        <v>0</v>
      </c>
      <c r="AW386" s="34">
        <f>AP386-AT386</f>
        <v>0</v>
      </c>
      <c r="AX386" s="123">
        <f>AP386/AJ386</f>
        <v>0</v>
      </c>
    </row>
    <row r="387" spans="1:50" ht="18.75" customHeight="1" x14ac:dyDescent="0.2">
      <c r="AA387" s="28" t="s">
        <v>288</v>
      </c>
      <c r="AB387" s="29" t="s">
        <v>162</v>
      </c>
      <c r="AC387" s="17"/>
      <c r="AD387" s="18"/>
      <c r="AE387" s="34"/>
      <c r="AF387" s="34"/>
      <c r="AG387" s="34"/>
      <c r="AH387" s="34"/>
      <c r="AI387" s="34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30"/>
      <c r="AU387" s="18"/>
      <c r="AV387" s="18"/>
      <c r="AW387" s="18"/>
      <c r="AX387" s="18"/>
    </row>
    <row r="388" spans="1:50" ht="18.75" customHeight="1" x14ac:dyDescent="0.2">
      <c r="AA388" s="16"/>
      <c r="AB388" s="17"/>
      <c r="AC388" s="17"/>
      <c r="AD388" s="18"/>
      <c r="AE388" s="34"/>
      <c r="AF388" s="34"/>
      <c r="AG388" s="34"/>
      <c r="AH388" s="34"/>
      <c r="AI388" s="34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30"/>
      <c r="AU388" s="18"/>
      <c r="AV388" s="18"/>
      <c r="AW388" s="18"/>
      <c r="AX388" s="18"/>
    </row>
    <row r="389" spans="1:50" ht="18.75" customHeight="1" x14ac:dyDescent="0.2">
      <c r="AA389" s="16"/>
      <c r="AB389" s="29" t="s">
        <v>356</v>
      </c>
      <c r="AC389" s="17"/>
      <c r="AD389" s="18"/>
      <c r="AE389" s="34"/>
      <c r="AF389" s="34"/>
      <c r="AG389" s="34"/>
      <c r="AH389" s="34"/>
      <c r="AI389" s="34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30"/>
      <c r="AU389" s="18"/>
      <c r="AV389" s="18"/>
      <c r="AW389" s="18"/>
      <c r="AX389" s="18"/>
    </row>
    <row r="390" spans="1:50" ht="18.75" customHeight="1" x14ac:dyDescent="0.2">
      <c r="AA390" s="16"/>
      <c r="AB390" s="29" t="s">
        <v>286</v>
      </c>
      <c r="AC390" s="17"/>
      <c r="AD390" s="18"/>
      <c r="AE390" s="34"/>
      <c r="AF390" s="34"/>
      <c r="AG390" s="34"/>
      <c r="AH390" s="34"/>
      <c r="AI390" s="34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30"/>
      <c r="AU390" s="18"/>
      <c r="AV390" s="18"/>
      <c r="AW390" s="18"/>
      <c r="AX390" s="18"/>
    </row>
    <row r="391" spans="1:50" ht="18.75" customHeight="1" x14ac:dyDescent="0.2">
      <c r="AA391" s="16"/>
      <c r="AB391" s="29" t="s">
        <v>179</v>
      </c>
      <c r="AC391" s="17"/>
      <c r="AD391" s="18"/>
      <c r="AE391" s="34"/>
      <c r="AF391" s="34"/>
      <c r="AG391" s="34"/>
      <c r="AH391" s="34"/>
      <c r="AI391" s="34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30"/>
      <c r="AU391" s="18"/>
      <c r="AV391" s="18"/>
      <c r="AW391" s="18"/>
      <c r="AX391" s="18"/>
    </row>
    <row r="392" spans="1:50" ht="18.75" customHeight="1" x14ac:dyDescent="0.2">
      <c r="AA392" s="16"/>
      <c r="AB392" s="29" t="s">
        <v>181</v>
      </c>
      <c r="AC392" s="17"/>
      <c r="AD392" s="18"/>
      <c r="AE392" s="34"/>
      <c r="AF392" s="34"/>
      <c r="AG392" s="34"/>
      <c r="AH392" s="34"/>
      <c r="AI392" s="34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30"/>
      <c r="AU392" s="18"/>
      <c r="AV392" s="18"/>
      <c r="AW392" s="18"/>
      <c r="AX392" s="18"/>
    </row>
    <row r="393" spans="1:50" ht="25.5" x14ac:dyDescent="0.2">
      <c r="AA393" s="16"/>
      <c r="AB393" s="29" t="s">
        <v>183</v>
      </c>
      <c r="AC393" s="17"/>
      <c r="AD393" s="18"/>
      <c r="AE393" s="34"/>
      <c r="AF393" s="34"/>
      <c r="AG393" s="34"/>
      <c r="AH393" s="34"/>
      <c r="AI393" s="34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30"/>
      <c r="AU393" s="18"/>
      <c r="AV393" s="18"/>
      <c r="AW393" s="18"/>
      <c r="AX393" s="18"/>
    </row>
    <row r="394" spans="1:50" ht="18.75" customHeight="1" x14ac:dyDescent="0.2">
      <c r="AA394" s="28" t="s">
        <v>288</v>
      </c>
      <c r="AB394" s="29" t="s">
        <v>320</v>
      </c>
      <c r="AC394" s="17"/>
      <c r="AD394" s="18"/>
      <c r="AE394" s="34"/>
      <c r="AF394" s="34"/>
      <c r="AG394" s="34"/>
      <c r="AH394" s="34"/>
      <c r="AI394" s="34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30"/>
      <c r="AU394" s="18"/>
      <c r="AV394" s="18"/>
      <c r="AW394" s="18"/>
      <c r="AX394" s="18"/>
    </row>
    <row r="395" spans="1:50" ht="18.75" customHeight="1" x14ac:dyDescent="0.2">
      <c r="A395" s="4" t="s">
        <v>55</v>
      </c>
      <c r="B395" s="4" t="s">
        <v>56</v>
      </c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1" t="s">
        <v>357</v>
      </c>
      <c r="AB395" s="42" t="s">
        <v>328</v>
      </c>
      <c r="AC395" s="43" t="s">
        <v>61</v>
      </c>
      <c r="AD395" s="43">
        <v>33040051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3">
        <v>33040051</v>
      </c>
      <c r="AK395" s="44">
        <v>0</v>
      </c>
      <c r="AL395" s="44">
        <v>0</v>
      </c>
      <c r="AM395" s="44">
        <v>0</v>
      </c>
      <c r="AN395" s="44">
        <v>0</v>
      </c>
      <c r="AO395" s="44">
        <v>0</v>
      </c>
      <c r="AP395" s="44">
        <v>0</v>
      </c>
      <c r="AQ395" s="44">
        <v>0</v>
      </c>
      <c r="AR395" s="44">
        <v>0</v>
      </c>
      <c r="AS395" s="44">
        <v>0</v>
      </c>
      <c r="AT395" s="40">
        <f t="shared" ref="AT395" si="172">AQ395+AS395</f>
        <v>0</v>
      </c>
      <c r="AU395" s="18">
        <f>AJ395-AM395</f>
        <v>33040051</v>
      </c>
      <c r="AV395" s="34">
        <f>AM395-AP395</f>
        <v>0</v>
      </c>
      <c r="AW395" s="34">
        <f>AP395-AT395</f>
        <v>0</v>
      </c>
      <c r="AX395" s="123">
        <f>AP395/AJ395</f>
        <v>0</v>
      </c>
    </row>
    <row r="396" spans="1:50" ht="18.75" customHeight="1" x14ac:dyDescent="0.2">
      <c r="AA396" s="16"/>
      <c r="AB396" s="17"/>
      <c r="AC396" s="17"/>
      <c r="AD396" s="18"/>
      <c r="AE396" s="34"/>
      <c r="AF396" s="34"/>
      <c r="AG396" s="34"/>
      <c r="AH396" s="34"/>
      <c r="AI396" s="34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31"/>
      <c r="AU396" s="18"/>
      <c r="AV396" s="18"/>
      <c r="AW396" s="34"/>
      <c r="AX396" s="18"/>
    </row>
    <row r="397" spans="1:50" ht="18.75" customHeight="1" x14ac:dyDescent="0.2">
      <c r="AA397" s="16"/>
      <c r="AB397" s="29" t="s">
        <v>187</v>
      </c>
      <c r="AC397" s="17"/>
      <c r="AD397" s="18"/>
      <c r="AE397" s="34"/>
      <c r="AF397" s="34"/>
      <c r="AG397" s="34"/>
      <c r="AH397" s="34"/>
      <c r="AI397" s="34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31"/>
      <c r="AU397" s="18"/>
      <c r="AV397" s="18"/>
      <c r="AW397" s="34"/>
      <c r="AX397" s="18"/>
    </row>
    <row r="398" spans="1:50" ht="25.5" x14ac:dyDescent="0.2">
      <c r="AA398" s="28" t="s">
        <v>288</v>
      </c>
      <c r="AB398" s="68" t="s">
        <v>358</v>
      </c>
      <c r="AC398" s="17"/>
      <c r="AD398" s="18"/>
      <c r="AE398" s="34"/>
      <c r="AF398" s="34"/>
      <c r="AG398" s="34"/>
      <c r="AH398" s="34"/>
      <c r="AI398" s="34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31"/>
      <c r="AU398" s="18"/>
      <c r="AV398" s="18"/>
      <c r="AW398" s="34"/>
      <c r="AX398" s="18"/>
    </row>
    <row r="399" spans="1:50" ht="18.75" customHeight="1" x14ac:dyDescent="0.2">
      <c r="A399" s="4" t="s">
        <v>55</v>
      </c>
      <c r="B399" s="4" t="s">
        <v>56</v>
      </c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134" t="s">
        <v>359</v>
      </c>
      <c r="AB399" s="69" t="s">
        <v>360</v>
      </c>
      <c r="AC399" s="43" t="s">
        <v>361</v>
      </c>
      <c r="AD399" s="43">
        <v>800000000</v>
      </c>
      <c r="AE399" s="44">
        <v>0</v>
      </c>
      <c r="AF399" s="44">
        <v>0</v>
      </c>
      <c r="AG399" s="44">
        <v>0</v>
      </c>
      <c r="AH399" s="44">
        <v>0</v>
      </c>
      <c r="AI399" s="44">
        <v>0</v>
      </c>
      <c r="AJ399" s="43">
        <v>800000000</v>
      </c>
      <c r="AK399" s="44">
        <v>0</v>
      </c>
      <c r="AL399" s="44">
        <f>AM399-ABRIL!AM380</f>
        <v>0</v>
      </c>
      <c r="AM399" s="43">
        <v>800000000</v>
      </c>
      <c r="AN399" s="44">
        <v>0</v>
      </c>
      <c r="AO399" s="43">
        <v>0</v>
      </c>
      <c r="AP399" s="43">
        <v>800000000</v>
      </c>
      <c r="AQ399" s="44">
        <v>0</v>
      </c>
      <c r="AR399" s="44">
        <v>0</v>
      </c>
      <c r="AS399" s="44">
        <v>0</v>
      </c>
      <c r="AT399" s="40">
        <f t="shared" ref="AT399:AT400" si="173">AQ399+AS399</f>
        <v>0</v>
      </c>
      <c r="AU399" s="34">
        <f>AJ399-AM399</f>
        <v>0</v>
      </c>
      <c r="AV399" s="110">
        <f>AM399-AP399</f>
        <v>0</v>
      </c>
      <c r="AW399" s="18">
        <f>AP399-AT399</f>
        <v>800000000</v>
      </c>
      <c r="AX399" s="123">
        <f>AP399/AJ399</f>
        <v>1</v>
      </c>
    </row>
    <row r="400" spans="1:50" ht="18.75" customHeight="1" x14ac:dyDescent="0.2">
      <c r="AA400" s="41" t="s">
        <v>908</v>
      </c>
      <c r="AB400" s="69" t="s">
        <v>233</v>
      </c>
      <c r="AC400" s="17"/>
      <c r="AD400" s="34">
        <v>0</v>
      </c>
      <c r="AE400" s="34">
        <v>0</v>
      </c>
      <c r="AF400" s="34">
        <v>0</v>
      </c>
      <c r="AG400" s="18">
        <v>2000000000</v>
      </c>
      <c r="AH400" s="34"/>
      <c r="AI400" s="18">
        <f>AE400-AF400+AG400-AH400</f>
        <v>2000000000</v>
      </c>
      <c r="AJ400" s="18">
        <f>AD400+AI400</f>
        <v>2000000000</v>
      </c>
      <c r="AK400" s="34">
        <v>0</v>
      </c>
      <c r="AL400" s="43">
        <f>AM400-ABRIL!AM381</f>
        <v>-588363.99000000954</v>
      </c>
      <c r="AM400" s="18">
        <v>1998371566.72</v>
      </c>
      <c r="AN400" s="34">
        <v>0</v>
      </c>
      <c r="AO400" s="18">
        <v>0</v>
      </c>
      <c r="AP400" s="18">
        <v>1998371566.72</v>
      </c>
      <c r="AQ400" s="34">
        <v>0</v>
      </c>
      <c r="AR400" s="34">
        <v>0</v>
      </c>
      <c r="AS400" s="34">
        <v>0</v>
      </c>
      <c r="AT400" s="40">
        <f t="shared" si="173"/>
        <v>0</v>
      </c>
      <c r="AU400" s="18">
        <f>AJ400-AM400</f>
        <v>1628433.2799999714</v>
      </c>
      <c r="AV400" s="110">
        <f>AM400-AP400</f>
        <v>0</v>
      </c>
      <c r="AW400" s="18">
        <f>AP400-AT400</f>
        <v>1998371566.72</v>
      </c>
      <c r="AX400" s="123">
        <f>AP400/AJ400</f>
        <v>0.99918578335999997</v>
      </c>
    </row>
    <row r="401" spans="1:50" ht="18.75" customHeight="1" x14ac:dyDescent="0.2">
      <c r="AA401" s="16"/>
      <c r="AB401" s="68" t="s">
        <v>189</v>
      </c>
      <c r="AC401" s="17"/>
      <c r="AD401" s="18"/>
      <c r="AE401" s="34"/>
      <c r="AF401" s="34"/>
      <c r="AG401" s="34"/>
      <c r="AH401" s="34"/>
      <c r="AI401" s="34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31"/>
      <c r="AU401" s="18"/>
      <c r="AV401" s="18"/>
      <c r="AW401" s="34"/>
      <c r="AX401" s="18"/>
    </row>
    <row r="402" spans="1:50" ht="18.75" customHeight="1" x14ac:dyDescent="0.2">
      <c r="AA402" s="16"/>
      <c r="AB402" s="68" t="s">
        <v>191</v>
      </c>
      <c r="AC402" s="17"/>
      <c r="AD402" s="18"/>
      <c r="AE402" s="34"/>
      <c r="AF402" s="34"/>
      <c r="AG402" s="34"/>
      <c r="AH402" s="34"/>
      <c r="AI402" s="34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31"/>
      <c r="AU402" s="18"/>
      <c r="AV402" s="18"/>
      <c r="AW402" s="34"/>
      <c r="AX402" s="18"/>
    </row>
    <row r="403" spans="1:50" ht="18.75" customHeight="1" x14ac:dyDescent="0.2">
      <c r="AA403" s="28" t="s">
        <v>288</v>
      </c>
      <c r="AB403" s="68" t="s">
        <v>362</v>
      </c>
      <c r="AC403" s="17"/>
      <c r="AD403" s="18"/>
      <c r="AE403" s="34"/>
      <c r="AF403" s="34"/>
      <c r="AG403" s="34"/>
      <c r="AH403" s="34"/>
      <c r="AI403" s="34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31"/>
      <c r="AU403" s="18"/>
      <c r="AV403" s="18"/>
      <c r="AW403" s="34"/>
      <c r="AX403" s="18"/>
    </row>
    <row r="404" spans="1:50" ht="18.75" customHeight="1" x14ac:dyDescent="0.2">
      <c r="A404" s="4" t="s">
        <v>55</v>
      </c>
      <c r="B404" s="4" t="s">
        <v>56</v>
      </c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1" t="s">
        <v>363</v>
      </c>
      <c r="AB404" s="69" t="s">
        <v>233</v>
      </c>
      <c r="AC404" s="43" t="s">
        <v>58</v>
      </c>
      <c r="AD404" s="43">
        <v>295200000</v>
      </c>
      <c r="AE404" s="44">
        <v>0</v>
      </c>
      <c r="AF404" s="44">
        <v>0</v>
      </c>
      <c r="AG404" s="44">
        <v>0</v>
      </c>
      <c r="AH404" s="44">
        <v>0</v>
      </c>
      <c r="AI404" s="44">
        <v>0</v>
      </c>
      <c r="AJ404" s="43">
        <v>295200000</v>
      </c>
      <c r="AK404" s="44">
        <v>0</v>
      </c>
      <c r="AL404" s="44">
        <v>0</v>
      </c>
      <c r="AM404" s="44">
        <v>0</v>
      </c>
      <c r="AN404" s="44">
        <v>0</v>
      </c>
      <c r="AO404" s="44">
        <v>0</v>
      </c>
      <c r="AP404" s="44">
        <v>0</v>
      </c>
      <c r="AQ404" s="44">
        <v>0</v>
      </c>
      <c r="AR404" s="44">
        <v>0</v>
      </c>
      <c r="AS404" s="44">
        <v>0</v>
      </c>
      <c r="AT404" s="40">
        <f t="shared" ref="AT404:AT405" si="174">AQ404+AS404</f>
        <v>0</v>
      </c>
      <c r="AU404" s="18">
        <f>AJ404-AM404</f>
        <v>295200000</v>
      </c>
      <c r="AV404" s="34">
        <f>AM404-AP404</f>
        <v>0</v>
      </c>
      <c r="AW404" s="34">
        <f>AP404-AT404</f>
        <v>0</v>
      </c>
      <c r="AX404" s="123">
        <f>AP404/AJ404</f>
        <v>0</v>
      </c>
    </row>
    <row r="405" spans="1:50" ht="18.75" customHeight="1" x14ac:dyDescent="0.2">
      <c r="A405" s="4" t="s">
        <v>55</v>
      </c>
      <c r="B405" s="4" t="s">
        <v>56</v>
      </c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1" t="s">
        <v>364</v>
      </c>
      <c r="AB405" s="69" t="s">
        <v>360</v>
      </c>
      <c r="AC405" s="43" t="s">
        <v>361</v>
      </c>
      <c r="AD405" s="43">
        <v>1948457402</v>
      </c>
      <c r="AE405" s="44">
        <v>0</v>
      </c>
      <c r="AF405" s="44">
        <v>0</v>
      </c>
      <c r="AG405" s="44">
        <v>0</v>
      </c>
      <c r="AH405" s="44">
        <v>0</v>
      </c>
      <c r="AI405" s="44">
        <v>0</v>
      </c>
      <c r="AJ405" s="43">
        <v>1948457402</v>
      </c>
      <c r="AK405" s="44">
        <v>0</v>
      </c>
      <c r="AL405" s="44">
        <v>0</v>
      </c>
      <c r="AM405" s="44">
        <v>0</v>
      </c>
      <c r="AN405" s="44">
        <v>0</v>
      </c>
      <c r="AO405" s="44">
        <v>0</v>
      </c>
      <c r="AP405" s="44">
        <v>0</v>
      </c>
      <c r="AQ405" s="44">
        <v>0</v>
      </c>
      <c r="AR405" s="44">
        <v>0</v>
      </c>
      <c r="AS405" s="44">
        <v>0</v>
      </c>
      <c r="AT405" s="40">
        <f t="shared" si="174"/>
        <v>0</v>
      </c>
      <c r="AU405" s="18">
        <f>AJ405-AM405</f>
        <v>1948457402</v>
      </c>
      <c r="AV405" s="34">
        <f>AM405-AP405</f>
        <v>0</v>
      </c>
      <c r="AW405" s="34">
        <f>AP405-AT405</f>
        <v>0</v>
      </c>
      <c r="AX405" s="123">
        <f>AP405/AJ405</f>
        <v>0</v>
      </c>
    </row>
    <row r="406" spans="1:50" ht="18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245" t="s">
        <v>1206</v>
      </c>
      <c r="AB406" s="69" t="s">
        <v>1204</v>
      </c>
      <c r="AC406" s="43"/>
      <c r="AD406" s="44">
        <v>0</v>
      </c>
      <c r="AE406" s="43">
        <v>1243761503.24</v>
      </c>
      <c r="AF406" s="44">
        <v>0</v>
      </c>
      <c r="AG406" s="44">
        <v>0</v>
      </c>
      <c r="AH406" s="44">
        <v>0</v>
      </c>
      <c r="AI406" s="18">
        <f t="shared" ref="AI406:AI408" si="175">AE406-AF406+AG406-AH406</f>
        <v>1243761503.24</v>
      </c>
      <c r="AJ406" s="18">
        <f t="shared" ref="AJ406:AJ408" si="176">AD406+AI406</f>
        <v>1243761503.24</v>
      </c>
      <c r="AK406" s="44">
        <v>0</v>
      </c>
      <c r="AL406" s="44">
        <v>0</v>
      </c>
      <c r="AM406" s="44">
        <v>0</v>
      </c>
      <c r="AN406" s="44">
        <v>0</v>
      </c>
      <c r="AO406" s="44">
        <v>0</v>
      </c>
      <c r="AP406" s="44">
        <v>0</v>
      </c>
      <c r="AQ406" s="44">
        <v>0</v>
      </c>
      <c r="AR406" s="44">
        <v>0</v>
      </c>
      <c r="AS406" s="44">
        <v>0</v>
      </c>
      <c r="AT406" s="40">
        <f t="shared" ref="AT406:AT408" si="177">AQ406+AS406</f>
        <v>0</v>
      </c>
      <c r="AU406" s="18">
        <f>AJ406-AM406</f>
        <v>1243761503.24</v>
      </c>
      <c r="AV406" s="34">
        <f>AM406-AP406</f>
        <v>0</v>
      </c>
      <c r="AW406" s="34">
        <f>AP406-AT406</f>
        <v>0</v>
      </c>
      <c r="AX406" s="123">
        <f>AP406/AJ406</f>
        <v>0</v>
      </c>
    </row>
    <row r="407" spans="1:50" ht="18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245" t="s">
        <v>1207</v>
      </c>
      <c r="AB407" s="69" t="s">
        <v>1208</v>
      </c>
      <c r="AC407" s="43"/>
      <c r="AD407" s="44">
        <v>0</v>
      </c>
      <c r="AE407" s="43">
        <v>33301512</v>
      </c>
      <c r="AF407" s="44">
        <v>0</v>
      </c>
      <c r="AG407" s="44">
        <v>0</v>
      </c>
      <c r="AH407" s="44">
        <v>0</v>
      </c>
      <c r="AI407" s="18">
        <f t="shared" si="175"/>
        <v>33301512</v>
      </c>
      <c r="AJ407" s="18">
        <f t="shared" si="176"/>
        <v>33301512</v>
      </c>
      <c r="AK407" s="44">
        <v>0</v>
      </c>
      <c r="AL407" s="44">
        <v>0</v>
      </c>
      <c r="AM407" s="44">
        <v>0</v>
      </c>
      <c r="AN407" s="44">
        <v>0</v>
      </c>
      <c r="AO407" s="44">
        <v>0</v>
      </c>
      <c r="AP407" s="44">
        <v>0</v>
      </c>
      <c r="AQ407" s="44">
        <v>0</v>
      </c>
      <c r="AR407" s="44">
        <v>0</v>
      </c>
      <c r="AS407" s="44">
        <v>0</v>
      </c>
      <c r="AT407" s="40">
        <f t="shared" si="177"/>
        <v>0</v>
      </c>
      <c r="AU407" s="18">
        <f>AJ407-AM407</f>
        <v>33301512</v>
      </c>
      <c r="AV407" s="34">
        <f>AM407-AP407</f>
        <v>0</v>
      </c>
      <c r="AW407" s="34">
        <f>AP407-AT407</f>
        <v>0</v>
      </c>
      <c r="AX407" s="123">
        <f>AP407/AJ407</f>
        <v>0</v>
      </c>
    </row>
    <row r="408" spans="1:50" ht="18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245" t="s">
        <v>1209</v>
      </c>
      <c r="AB408" s="69" t="s">
        <v>1210</v>
      </c>
      <c r="AC408" s="43"/>
      <c r="AD408" s="44">
        <v>0</v>
      </c>
      <c r="AE408" s="43">
        <v>299273185.5</v>
      </c>
      <c r="AF408" s="44">
        <v>0</v>
      </c>
      <c r="AG408" s="44">
        <v>0</v>
      </c>
      <c r="AH408" s="44">
        <v>0</v>
      </c>
      <c r="AI408" s="18">
        <f t="shared" si="175"/>
        <v>299273185.5</v>
      </c>
      <c r="AJ408" s="18">
        <f t="shared" si="176"/>
        <v>299273185.5</v>
      </c>
      <c r="AK408" s="44">
        <v>0</v>
      </c>
      <c r="AL408" s="44">
        <v>0</v>
      </c>
      <c r="AM408" s="44">
        <v>0</v>
      </c>
      <c r="AN408" s="44">
        <v>0</v>
      </c>
      <c r="AO408" s="44">
        <v>0</v>
      </c>
      <c r="AP408" s="44">
        <v>0</v>
      </c>
      <c r="AQ408" s="44">
        <v>0</v>
      </c>
      <c r="AR408" s="44">
        <v>0</v>
      </c>
      <c r="AS408" s="44">
        <v>0</v>
      </c>
      <c r="AT408" s="40">
        <f t="shared" si="177"/>
        <v>0</v>
      </c>
      <c r="AU408" s="18">
        <f>AJ408-AM408</f>
        <v>299273185.5</v>
      </c>
      <c r="AV408" s="34">
        <f>AM408-AP408</f>
        <v>0</v>
      </c>
      <c r="AW408" s="34">
        <f>AP408-AT408</f>
        <v>0</v>
      </c>
      <c r="AX408" s="123">
        <f>AP408/AJ408</f>
        <v>0</v>
      </c>
    </row>
    <row r="409" spans="1:50" ht="18.75" customHeight="1" x14ac:dyDescent="0.2">
      <c r="AA409" s="28" t="s">
        <v>288</v>
      </c>
      <c r="AB409" s="68" t="s">
        <v>365</v>
      </c>
      <c r="AC409" s="17"/>
      <c r="AD409" s="18"/>
      <c r="AE409" s="34"/>
      <c r="AF409" s="34"/>
      <c r="AG409" s="34"/>
      <c r="AH409" s="34"/>
      <c r="AI409" s="34"/>
      <c r="AJ409" s="18"/>
      <c r="AK409" s="34"/>
      <c r="AL409" s="34"/>
      <c r="AM409" s="34"/>
      <c r="AN409" s="34"/>
      <c r="AO409" s="34"/>
      <c r="AP409" s="34"/>
      <c r="AQ409" s="34"/>
      <c r="AR409" s="34"/>
      <c r="AS409" s="34"/>
      <c r="AT409" s="40"/>
      <c r="AU409" s="18"/>
      <c r="AV409" s="18"/>
      <c r="AW409" s="18"/>
      <c r="AX409" s="18"/>
    </row>
    <row r="410" spans="1:50" ht="18.75" customHeight="1" x14ac:dyDescent="0.2">
      <c r="A410" s="4" t="s">
        <v>55</v>
      </c>
      <c r="B410" s="4" t="s">
        <v>56</v>
      </c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1" t="s">
        <v>366</v>
      </c>
      <c r="AB410" s="69" t="s">
        <v>367</v>
      </c>
      <c r="AC410" s="43" t="s">
        <v>368</v>
      </c>
      <c r="AD410" s="43">
        <v>229393430</v>
      </c>
      <c r="AE410" s="44">
        <v>0</v>
      </c>
      <c r="AF410" s="44">
        <v>0</v>
      </c>
      <c r="AG410" s="44">
        <v>0</v>
      </c>
      <c r="AH410" s="44">
        <v>0</v>
      </c>
      <c r="AI410" s="44">
        <v>0</v>
      </c>
      <c r="AJ410" s="43">
        <v>229393430</v>
      </c>
      <c r="AK410" s="44">
        <v>0</v>
      </c>
      <c r="AL410" s="44">
        <v>0</v>
      </c>
      <c r="AM410" s="44">
        <v>0</v>
      </c>
      <c r="AN410" s="44">
        <v>0</v>
      </c>
      <c r="AO410" s="44">
        <v>0</v>
      </c>
      <c r="AP410" s="44">
        <v>0</v>
      </c>
      <c r="AQ410" s="44">
        <v>0</v>
      </c>
      <c r="AR410" s="44">
        <v>0</v>
      </c>
      <c r="AS410" s="44">
        <v>0</v>
      </c>
      <c r="AT410" s="40">
        <f t="shared" si="171"/>
        <v>0</v>
      </c>
      <c r="AU410" s="18">
        <f>AJ410-AM410</f>
        <v>229393430</v>
      </c>
      <c r="AV410" s="34">
        <f>AM410-AP410</f>
        <v>0</v>
      </c>
      <c r="AW410" s="34">
        <f>AP410-AT410</f>
        <v>0</v>
      </c>
      <c r="AX410" s="123">
        <f>AP410/AJ410</f>
        <v>0</v>
      </c>
    </row>
    <row r="411" spans="1:50" ht="18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173" t="s">
        <v>1203</v>
      </c>
      <c r="AB411" s="69" t="s">
        <v>1204</v>
      </c>
      <c r="AC411" s="43"/>
      <c r="AD411" s="43">
        <v>0</v>
      </c>
      <c r="AE411" s="43">
        <v>500000000</v>
      </c>
      <c r="AF411" s="44">
        <v>0</v>
      </c>
      <c r="AG411" s="44">
        <v>0</v>
      </c>
      <c r="AH411" s="44">
        <v>0</v>
      </c>
      <c r="AI411" s="18">
        <f t="shared" ref="AI411" si="178">AE411-AF411+AG411-AH411</f>
        <v>500000000</v>
      </c>
      <c r="AJ411" s="18">
        <f t="shared" ref="AJ411" si="179">AD411+AI411</f>
        <v>500000000</v>
      </c>
      <c r="AK411" s="44">
        <v>0</v>
      </c>
      <c r="AL411" s="44">
        <v>0</v>
      </c>
      <c r="AM411" s="44">
        <v>0</v>
      </c>
      <c r="AN411" s="44">
        <v>0</v>
      </c>
      <c r="AO411" s="44">
        <v>0</v>
      </c>
      <c r="AP411" s="44">
        <v>0</v>
      </c>
      <c r="AQ411" s="44">
        <v>0</v>
      </c>
      <c r="AR411" s="44">
        <v>0</v>
      </c>
      <c r="AS411" s="44">
        <v>0</v>
      </c>
      <c r="AT411" s="40">
        <f t="shared" ref="AT411" si="180">AQ411+AS411</f>
        <v>0</v>
      </c>
      <c r="AU411" s="18">
        <f>AJ411-AM411</f>
        <v>500000000</v>
      </c>
      <c r="AV411" s="34">
        <f>AM411-AP411</f>
        <v>0</v>
      </c>
      <c r="AW411" s="34">
        <f>AP411-AT411</f>
        <v>0</v>
      </c>
      <c r="AX411" s="123">
        <f>AP411/AJ411</f>
        <v>0</v>
      </c>
    </row>
    <row r="412" spans="1:50" ht="18.75" customHeight="1" x14ac:dyDescent="0.2">
      <c r="AA412" s="28" t="s">
        <v>288</v>
      </c>
      <c r="AB412" s="68" t="s">
        <v>369</v>
      </c>
      <c r="AC412" s="17"/>
      <c r="AD412" s="18"/>
      <c r="AE412" s="34"/>
      <c r="AF412" s="34"/>
      <c r="AG412" s="34"/>
      <c r="AH412" s="34"/>
      <c r="AI412" s="34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40"/>
      <c r="AU412" s="18"/>
      <c r="AV412" s="18"/>
      <c r="AW412" s="18"/>
      <c r="AX412" s="18"/>
    </row>
    <row r="413" spans="1:50" ht="18.75" customHeight="1" x14ac:dyDescent="0.2">
      <c r="A413" s="4" t="s">
        <v>55</v>
      </c>
      <c r="B413" s="4" t="s">
        <v>56</v>
      </c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1" t="s">
        <v>370</v>
      </c>
      <c r="AB413" s="69" t="s">
        <v>233</v>
      </c>
      <c r="AC413" s="43" t="s">
        <v>58</v>
      </c>
      <c r="AD413" s="43">
        <v>209880000</v>
      </c>
      <c r="AE413" s="44">
        <v>0</v>
      </c>
      <c r="AF413" s="44">
        <v>0</v>
      </c>
      <c r="AG413" s="44">
        <v>0</v>
      </c>
      <c r="AH413" s="44">
        <v>0</v>
      </c>
      <c r="AI413" s="44">
        <v>0</v>
      </c>
      <c r="AJ413" s="43">
        <v>209880000</v>
      </c>
      <c r="AK413" s="44">
        <v>0</v>
      </c>
      <c r="AL413" s="44">
        <v>0</v>
      </c>
      <c r="AM413" s="43">
        <v>96000000</v>
      </c>
      <c r="AN413" s="44">
        <v>0</v>
      </c>
      <c r="AO413" s="44">
        <v>0</v>
      </c>
      <c r="AP413" s="43">
        <v>96000000</v>
      </c>
      <c r="AQ413" s="43">
        <v>2000000</v>
      </c>
      <c r="AR413" s="43">
        <v>12000000</v>
      </c>
      <c r="AS413" s="43">
        <v>33133331</v>
      </c>
      <c r="AT413" s="39">
        <f t="shared" si="171"/>
        <v>35133331</v>
      </c>
      <c r="AU413" s="18">
        <f>AJ413-AM413</f>
        <v>113880000</v>
      </c>
      <c r="AV413" s="34">
        <f>AM413-AP413</f>
        <v>0</v>
      </c>
      <c r="AW413" s="18">
        <f>AP413-AT413</f>
        <v>60866669</v>
      </c>
      <c r="AX413" s="123">
        <f>AP413/AJ413</f>
        <v>0.45740423098913663</v>
      </c>
    </row>
    <row r="414" spans="1:50" ht="18.75" customHeight="1" x14ac:dyDescent="0.2">
      <c r="AA414" s="28" t="s">
        <v>288</v>
      </c>
      <c r="AB414" s="68" t="s">
        <v>371</v>
      </c>
      <c r="AC414" s="17"/>
      <c r="AD414" s="18"/>
      <c r="AE414" s="34"/>
      <c r="AF414" s="34"/>
      <c r="AG414" s="34"/>
      <c r="AH414" s="34"/>
      <c r="AI414" s="34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40"/>
      <c r="AU414" s="18"/>
      <c r="AV414" s="18"/>
      <c r="AW414" s="18"/>
      <c r="AX414" s="18"/>
    </row>
    <row r="415" spans="1:50" ht="18.75" customHeight="1" x14ac:dyDescent="0.2">
      <c r="A415" s="4" t="s">
        <v>55</v>
      </c>
      <c r="B415" s="4" t="s">
        <v>56</v>
      </c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1" t="s">
        <v>372</v>
      </c>
      <c r="AB415" s="69" t="s">
        <v>233</v>
      </c>
      <c r="AC415" s="43" t="s">
        <v>58</v>
      </c>
      <c r="AD415" s="43">
        <v>290120000</v>
      </c>
      <c r="AE415" s="44">
        <v>0</v>
      </c>
      <c r="AF415" s="44">
        <v>0</v>
      </c>
      <c r="AG415" s="44">
        <v>0</v>
      </c>
      <c r="AH415" s="44">
        <v>0</v>
      </c>
      <c r="AI415" s="44">
        <v>0</v>
      </c>
      <c r="AJ415" s="43">
        <v>290120000</v>
      </c>
      <c r="AK415" s="44">
        <v>0</v>
      </c>
      <c r="AL415" s="44">
        <v>0</v>
      </c>
      <c r="AM415" s="44">
        <v>0</v>
      </c>
      <c r="AN415" s="44">
        <v>0</v>
      </c>
      <c r="AO415" s="44">
        <v>0</v>
      </c>
      <c r="AP415" s="44">
        <v>0</v>
      </c>
      <c r="AQ415" s="44">
        <v>0</v>
      </c>
      <c r="AR415" s="44">
        <v>0</v>
      </c>
      <c r="AS415" s="44">
        <v>0</v>
      </c>
      <c r="AT415" s="40">
        <f t="shared" si="171"/>
        <v>0</v>
      </c>
      <c r="AU415" s="18">
        <f>AJ415-AM415</f>
        <v>290120000</v>
      </c>
      <c r="AV415" s="34">
        <f>AM415-AP415</f>
        <v>0</v>
      </c>
      <c r="AW415" s="34">
        <f>AP415-AT415</f>
        <v>0</v>
      </c>
      <c r="AX415" s="123">
        <f>AP415/AJ415</f>
        <v>0</v>
      </c>
    </row>
    <row r="416" spans="1:50" ht="18.75" customHeight="1" x14ac:dyDescent="0.2">
      <c r="AA416" s="16"/>
      <c r="AB416" s="70"/>
      <c r="AC416" s="17"/>
      <c r="AD416" s="18"/>
      <c r="AE416" s="34"/>
      <c r="AF416" s="34"/>
      <c r="AG416" s="34"/>
      <c r="AH416" s="34"/>
      <c r="AI416" s="34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40"/>
      <c r="AU416" s="18"/>
      <c r="AV416" s="18"/>
      <c r="AW416" s="18"/>
      <c r="AX416" s="18"/>
    </row>
    <row r="417" spans="1:50" ht="38.25" x14ac:dyDescent="0.2">
      <c r="AA417" s="16"/>
      <c r="AB417" s="68" t="s">
        <v>373</v>
      </c>
      <c r="AC417" s="17"/>
      <c r="AD417" s="18"/>
      <c r="AE417" s="34"/>
      <c r="AF417" s="34"/>
      <c r="AG417" s="34"/>
      <c r="AH417" s="34"/>
      <c r="AI417" s="34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40"/>
      <c r="AU417" s="18"/>
      <c r="AV417" s="18"/>
      <c r="AW417" s="18"/>
      <c r="AX417" s="18"/>
    </row>
    <row r="418" spans="1:50" ht="25.5" x14ac:dyDescent="0.2">
      <c r="AA418" s="28"/>
      <c r="AB418" s="68" t="s">
        <v>374</v>
      </c>
      <c r="AC418" s="17"/>
      <c r="AD418" s="18"/>
      <c r="AE418" s="34"/>
      <c r="AF418" s="34"/>
      <c r="AG418" s="34"/>
      <c r="AH418" s="34"/>
      <c r="AI418" s="34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40"/>
      <c r="AU418" s="18"/>
      <c r="AV418" s="18"/>
      <c r="AW418" s="18"/>
      <c r="AX418" s="18"/>
    </row>
    <row r="419" spans="1:50" ht="25.5" x14ac:dyDescent="0.2">
      <c r="AA419" s="28" t="s">
        <v>288</v>
      </c>
      <c r="AB419" s="68" t="s">
        <v>375</v>
      </c>
      <c r="AC419" s="17"/>
      <c r="AD419" s="18"/>
      <c r="AE419" s="34"/>
      <c r="AF419" s="34"/>
      <c r="AG419" s="34"/>
      <c r="AH419" s="34"/>
      <c r="AI419" s="34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40"/>
      <c r="AU419" s="18"/>
      <c r="AV419" s="18"/>
      <c r="AW419" s="18"/>
      <c r="AX419" s="18"/>
    </row>
    <row r="420" spans="1:50" x14ac:dyDescent="0.2">
      <c r="A420" s="4" t="s">
        <v>55</v>
      </c>
      <c r="B420" s="4" t="s">
        <v>56</v>
      </c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1" t="s">
        <v>376</v>
      </c>
      <c r="AB420" s="69" t="s">
        <v>233</v>
      </c>
      <c r="AC420" s="43" t="s">
        <v>58</v>
      </c>
      <c r="AD420" s="43">
        <v>3416292195</v>
      </c>
      <c r="AE420" s="44">
        <v>0</v>
      </c>
      <c r="AF420" s="44">
        <v>0</v>
      </c>
      <c r="AG420" s="44">
        <v>0</v>
      </c>
      <c r="AH420" s="44">
        <v>0</v>
      </c>
      <c r="AI420" s="44">
        <v>0</v>
      </c>
      <c r="AJ420" s="43">
        <v>3416292195</v>
      </c>
      <c r="AK420" s="44">
        <v>0</v>
      </c>
      <c r="AL420" s="43">
        <f>AM420-ABRIL!AM397</f>
        <v>-94960977</v>
      </c>
      <c r="AM420" s="43">
        <v>3321331218</v>
      </c>
      <c r="AN420" s="44">
        <v>0</v>
      </c>
      <c r="AO420" s="44">
        <v>0</v>
      </c>
      <c r="AP420" s="43">
        <v>3321331218</v>
      </c>
      <c r="AQ420" s="44">
        <v>0</v>
      </c>
      <c r="AR420" s="44">
        <v>21176441</v>
      </c>
      <c r="AS420" s="43">
        <v>21176441</v>
      </c>
      <c r="AT420" s="39">
        <f t="shared" ref="AT420" si="181">AQ420+AS420</f>
        <v>21176441</v>
      </c>
      <c r="AU420" s="18">
        <f>AJ420-AM420</f>
        <v>94960977</v>
      </c>
      <c r="AV420" s="110">
        <f>AM420-AP420</f>
        <v>0</v>
      </c>
      <c r="AW420" s="18">
        <f>AP420-AT420</f>
        <v>3300154777</v>
      </c>
      <c r="AX420" s="123">
        <f>AP420/AJ420</f>
        <v>0.97220349677964246</v>
      </c>
    </row>
    <row r="421" spans="1:50" ht="18.75" customHeight="1" x14ac:dyDescent="0.2">
      <c r="AA421" s="28" t="s">
        <v>288</v>
      </c>
      <c r="AB421" s="29" t="s">
        <v>320</v>
      </c>
      <c r="AC421" s="17"/>
      <c r="AD421" s="18"/>
      <c r="AE421" s="34"/>
      <c r="AF421" s="34"/>
      <c r="AG421" s="34"/>
      <c r="AH421" s="34"/>
      <c r="AI421" s="34"/>
      <c r="AJ421" s="18"/>
      <c r="AK421" s="34"/>
      <c r="AL421" s="34"/>
      <c r="AM421" s="18"/>
      <c r="AN421" s="34"/>
      <c r="AO421" s="34"/>
      <c r="AP421" s="18"/>
      <c r="AQ421" s="34"/>
      <c r="AR421" s="34"/>
      <c r="AS421" s="34"/>
      <c r="AT421" s="40"/>
      <c r="AU421" s="18"/>
      <c r="AV421" s="18"/>
      <c r="AW421" s="18"/>
      <c r="AX421" s="18"/>
    </row>
    <row r="422" spans="1:50" ht="18.75" customHeight="1" x14ac:dyDescent="0.2">
      <c r="A422" s="4" t="s">
        <v>55</v>
      </c>
      <c r="B422" s="4" t="s">
        <v>56</v>
      </c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1" t="s">
        <v>377</v>
      </c>
      <c r="AB422" s="42" t="s">
        <v>328</v>
      </c>
      <c r="AC422" s="43" t="s">
        <v>61</v>
      </c>
      <c r="AD422" s="43">
        <v>10632000</v>
      </c>
      <c r="AE422" s="44">
        <v>0</v>
      </c>
      <c r="AF422" s="44">
        <v>0</v>
      </c>
      <c r="AG422" s="44">
        <v>0</v>
      </c>
      <c r="AH422" s="44">
        <v>0</v>
      </c>
      <c r="AI422" s="44">
        <v>0</v>
      </c>
      <c r="AJ422" s="43">
        <v>10632000</v>
      </c>
      <c r="AK422" s="44">
        <v>0</v>
      </c>
      <c r="AL422" s="44">
        <v>0</v>
      </c>
      <c r="AM422" s="43">
        <v>0</v>
      </c>
      <c r="AN422" s="44">
        <v>0</v>
      </c>
      <c r="AO422" s="44">
        <v>0</v>
      </c>
      <c r="AP422" s="43">
        <v>0</v>
      </c>
      <c r="AQ422" s="44">
        <v>0</v>
      </c>
      <c r="AR422" s="44">
        <v>0</v>
      </c>
      <c r="AS422" s="44">
        <v>0</v>
      </c>
      <c r="AT422" s="40">
        <f t="shared" ref="AT422:AT424" si="182">AQ422+AS422</f>
        <v>0</v>
      </c>
      <c r="AU422" s="18">
        <f>AJ422-AM422</f>
        <v>10632000</v>
      </c>
      <c r="AV422" s="34">
        <f>AM422-AP422</f>
        <v>0</v>
      </c>
      <c r="AW422" s="34">
        <f>AP422-AT422</f>
        <v>0</v>
      </c>
      <c r="AX422" s="123">
        <f>AP422/AJ422</f>
        <v>0</v>
      </c>
    </row>
    <row r="423" spans="1:50" ht="18.75" customHeight="1" x14ac:dyDescent="0.2">
      <c r="A423" s="4" t="s">
        <v>55</v>
      </c>
      <c r="B423" s="4" t="s">
        <v>56</v>
      </c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1" t="s">
        <v>378</v>
      </c>
      <c r="AB423" s="42" t="s">
        <v>379</v>
      </c>
      <c r="AC423" s="43" t="s">
        <v>380</v>
      </c>
      <c r="AD423" s="43">
        <v>2835585455</v>
      </c>
      <c r="AE423" s="44">
        <v>0</v>
      </c>
      <c r="AF423" s="44">
        <v>0</v>
      </c>
      <c r="AG423" s="44">
        <v>0</v>
      </c>
      <c r="AH423" s="44">
        <v>0</v>
      </c>
      <c r="AI423" s="44">
        <v>0</v>
      </c>
      <c r="AJ423" s="43">
        <v>2835585455</v>
      </c>
      <c r="AK423" s="44">
        <v>0</v>
      </c>
      <c r="AL423" s="43">
        <f>AM423-ABRIL!AM400</f>
        <v>151226928</v>
      </c>
      <c r="AM423" s="43">
        <v>750134979</v>
      </c>
      <c r="AN423" s="44">
        <v>0</v>
      </c>
      <c r="AO423" s="43">
        <v>151226928</v>
      </c>
      <c r="AP423" s="43">
        <v>750134979</v>
      </c>
      <c r="AQ423" s="114">
        <v>151226928</v>
      </c>
      <c r="AR423" s="43">
        <v>58329950</v>
      </c>
      <c r="AS423" s="43">
        <v>598908051</v>
      </c>
      <c r="AT423" s="39">
        <f t="shared" si="182"/>
        <v>750134979</v>
      </c>
      <c r="AU423" s="18">
        <f>AJ423-AM423</f>
        <v>2085450476</v>
      </c>
      <c r="AV423" s="34">
        <f>AM423-AP423</f>
        <v>0</v>
      </c>
      <c r="AW423" s="18">
        <f>AP423-AT423</f>
        <v>0</v>
      </c>
      <c r="AX423" s="123">
        <f>AP423/AJ423</f>
        <v>0.26454324544417585</v>
      </c>
    </row>
    <row r="424" spans="1:50" ht="18.75" customHeight="1" x14ac:dyDescent="0.2">
      <c r="A424" s="4" t="s">
        <v>55</v>
      </c>
      <c r="B424" s="4" t="s">
        <v>56</v>
      </c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1" t="s">
        <v>381</v>
      </c>
      <c r="AB424" s="42" t="s">
        <v>382</v>
      </c>
      <c r="AC424" s="43" t="s">
        <v>383</v>
      </c>
      <c r="AD424" s="43">
        <v>1274304912</v>
      </c>
      <c r="AE424" s="44">
        <v>0</v>
      </c>
      <c r="AF424" s="44">
        <v>0</v>
      </c>
      <c r="AG424" s="44">
        <v>0</v>
      </c>
      <c r="AH424" s="44">
        <v>0</v>
      </c>
      <c r="AI424" s="44">
        <v>0</v>
      </c>
      <c r="AJ424" s="43">
        <v>1274304912</v>
      </c>
      <c r="AK424" s="44">
        <v>0</v>
      </c>
      <c r="AL424" s="44">
        <v>0</v>
      </c>
      <c r="AM424" s="44">
        <v>0</v>
      </c>
      <c r="AN424" s="44">
        <v>0</v>
      </c>
      <c r="AO424" s="44">
        <v>0</v>
      </c>
      <c r="AP424" s="44">
        <v>0</v>
      </c>
      <c r="AQ424" s="44">
        <v>0</v>
      </c>
      <c r="AR424" s="44">
        <v>0</v>
      </c>
      <c r="AS424" s="44">
        <v>0</v>
      </c>
      <c r="AT424" s="40">
        <f t="shared" si="182"/>
        <v>0</v>
      </c>
      <c r="AU424" s="18">
        <f>AJ424-AM424</f>
        <v>1274304912</v>
      </c>
      <c r="AV424" s="34">
        <f>AM424-AP424</f>
        <v>0</v>
      </c>
      <c r="AW424" s="34">
        <f>AP424-AT424</f>
        <v>0</v>
      </c>
      <c r="AX424" s="123">
        <f>AP424/AJ424</f>
        <v>0</v>
      </c>
    </row>
    <row r="425" spans="1:50" ht="38.25" x14ac:dyDescent="0.2">
      <c r="AA425" s="28" t="s">
        <v>288</v>
      </c>
      <c r="AB425" s="29" t="s">
        <v>384</v>
      </c>
      <c r="AC425" s="17"/>
      <c r="AD425" s="18"/>
      <c r="AE425" s="34"/>
      <c r="AF425" s="34"/>
      <c r="AG425" s="34"/>
      <c r="AH425" s="34"/>
      <c r="AI425" s="34"/>
      <c r="AJ425" s="18"/>
      <c r="AK425" s="18"/>
      <c r="AL425" s="18"/>
      <c r="AM425" s="18"/>
      <c r="AN425" s="34"/>
      <c r="AO425" s="34"/>
      <c r="AP425" s="18"/>
      <c r="AQ425" s="18"/>
      <c r="AR425" s="18"/>
      <c r="AS425" s="18"/>
      <c r="AT425" s="39"/>
      <c r="AU425" s="18"/>
      <c r="AV425" s="18"/>
      <c r="AW425" s="18"/>
      <c r="AX425" s="18"/>
    </row>
    <row r="426" spans="1:50" ht="18.75" customHeight="1" x14ac:dyDescent="0.2">
      <c r="A426" s="4" t="s">
        <v>55</v>
      </c>
      <c r="B426" s="4" t="s">
        <v>56</v>
      </c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1" t="s">
        <v>385</v>
      </c>
      <c r="AB426" s="42" t="s">
        <v>233</v>
      </c>
      <c r="AC426" s="43" t="s">
        <v>58</v>
      </c>
      <c r="AD426" s="43">
        <v>9793380820</v>
      </c>
      <c r="AE426" s="44">
        <v>0</v>
      </c>
      <c r="AF426" s="44">
        <v>0</v>
      </c>
      <c r="AG426" s="44">
        <v>0</v>
      </c>
      <c r="AH426" s="44">
        <v>0</v>
      </c>
      <c r="AI426" s="44">
        <v>0</v>
      </c>
      <c r="AJ426" s="43">
        <v>9793380820</v>
      </c>
      <c r="AK426" s="44">
        <v>0</v>
      </c>
      <c r="AL426" s="44">
        <v>0</v>
      </c>
      <c r="AM426" s="43">
        <v>9562080073</v>
      </c>
      <c r="AN426" s="44">
        <v>0</v>
      </c>
      <c r="AO426" s="44">
        <v>0</v>
      </c>
      <c r="AP426" s="43">
        <v>9521050100</v>
      </c>
      <c r="AQ426" s="43">
        <v>0</v>
      </c>
      <c r="AR426" s="43">
        <v>17000000</v>
      </c>
      <c r="AS426" s="43">
        <v>170568197</v>
      </c>
      <c r="AT426" s="39">
        <f t="shared" ref="AT426:AT430" si="183">AQ426+AS426</f>
        <v>170568197</v>
      </c>
      <c r="AU426" s="18">
        <f t="shared" ref="AU426:AU433" si="184">AJ426-AM426</f>
        <v>231300747</v>
      </c>
      <c r="AV426" s="110">
        <f t="shared" ref="AV426:AV433" si="185">AM426-AP426</f>
        <v>41029973</v>
      </c>
      <c r="AW426" s="110">
        <f t="shared" ref="AW426:AW433" si="186">AP426-AT426</f>
        <v>9350481903</v>
      </c>
      <c r="AX426" s="123">
        <f t="shared" ref="AX426:AX433" si="187">AP426/AJ426</f>
        <v>0.97219236900868311</v>
      </c>
    </row>
    <row r="427" spans="1:50" ht="18.75" customHeight="1" x14ac:dyDescent="0.2">
      <c r="A427" s="4" t="s">
        <v>55</v>
      </c>
      <c r="B427" s="4" t="s">
        <v>56</v>
      </c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1" t="s">
        <v>386</v>
      </c>
      <c r="AB427" s="42" t="s">
        <v>382</v>
      </c>
      <c r="AC427" s="43" t="s">
        <v>383</v>
      </c>
      <c r="AD427" s="43">
        <v>8000000000</v>
      </c>
      <c r="AE427" s="44">
        <v>0</v>
      </c>
      <c r="AF427" s="44">
        <v>0</v>
      </c>
      <c r="AG427" s="44">
        <v>0</v>
      </c>
      <c r="AH427" s="44">
        <v>0</v>
      </c>
      <c r="AI427" s="44">
        <v>0</v>
      </c>
      <c r="AJ427" s="43">
        <v>8000000000</v>
      </c>
      <c r="AK427" s="44">
        <v>0</v>
      </c>
      <c r="AL427" s="44">
        <v>0</v>
      </c>
      <c r="AM427" s="43">
        <v>8000000000</v>
      </c>
      <c r="AN427" s="44">
        <v>0</v>
      </c>
      <c r="AO427" s="44">
        <v>0</v>
      </c>
      <c r="AP427" s="43">
        <v>8000000000</v>
      </c>
      <c r="AQ427" s="44">
        <v>0</v>
      </c>
      <c r="AR427" s="44">
        <v>0</v>
      </c>
      <c r="AS427" s="44">
        <v>0</v>
      </c>
      <c r="AT427" s="40">
        <f t="shared" si="183"/>
        <v>0</v>
      </c>
      <c r="AU427" s="34">
        <f t="shared" si="184"/>
        <v>0</v>
      </c>
      <c r="AV427" s="34">
        <f t="shared" si="185"/>
        <v>0</v>
      </c>
      <c r="AW427" s="18">
        <f t="shared" si="186"/>
        <v>8000000000</v>
      </c>
      <c r="AX427" s="123">
        <f t="shared" si="187"/>
        <v>1</v>
      </c>
    </row>
    <row r="428" spans="1:50" ht="18.75" customHeight="1" x14ac:dyDescent="0.2">
      <c r="A428" s="4" t="s">
        <v>55</v>
      </c>
      <c r="B428" s="4" t="s">
        <v>56</v>
      </c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1" t="s">
        <v>387</v>
      </c>
      <c r="AB428" s="42" t="s">
        <v>388</v>
      </c>
      <c r="AC428" s="43" t="s">
        <v>389</v>
      </c>
      <c r="AD428" s="43">
        <v>951016677</v>
      </c>
      <c r="AE428" s="44">
        <v>0</v>
      </c>
      <c r="AF428" s="44">
        <v>0</v>
      </c>
      <c r="AG428" s="44">
        <v>0</v>
      </c>
      <c r="AH428" s="44">
        <v>0</v>
      </c>
      <c r="AI428" s="44">
        <v>0</v>
      </c>
      <c r="AJ428" s="43">
        <v>951016677</v>
      </c>
      <c r="AK428" s="44">
        <v>0</v>
      </c>
      <c r="AL428" s="44">
        <v>0</v>
      </c>
      <c r="AM428" s="43">
        <v>951016677</v>
      </c>
      <c r="AN428" s="44">
        <v>0</v>
      </c>
      <c r="AO428" s="44">
        <v>0</v>
      </c>
      <c r="AP428" s="43">
        <v>951016677</v>
      </c>
      <c r="AQ428" s="44">
        <v>0</v>
      </c>
      <c r="AR428" s="44">
        <v>0</v>
      </c>
      <c r="AS428" s="44">
        <v>0</v>
      </c>
      <c r="AT428" s="40">
        <f t="shared" si="183"/>
        <v>0</v>
      </c>
      <c r="AU428" s="34">
        <f t="shared" si="184"/>
        <v>0</v>
      </c>
      <c r="AV428" s="34">
        <f t="shared" si="185"/>
        <v>0</v>
      </c>
      <c r="AW428" s="18">
        <f t="shared" si="186"/>
        <v>951016677</v>
      </c>
      <c r="AX428" s="123">
        <f t="shared" si="187"/>
        <v>1</v>
      </c>
    </row>
    <row r="429" spans="1:50" ht="18.75" customHeight="1" x14ac:dyDescent="0.2">
      <c r="A429" s="4" t="s">
        <v>55</v>
      </c>
      <c r="B429" s="4" t="s">
        <v>56</v>
      </c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1" t="s">
        <v>390</v>
      </c>
      <c r="AB429" s="42" t="s">
        <v>391</v>
      </c>
      <c r="AC429" s="43" t="s">
        <v>392</v>
      </c>
      <c r="AD429" s="43">
        <v>2011708314</v>
      </c>
      <c r="AE429" s="44">
        <v>0</v>
      </c>
      <c r="AF429" s="44">
        <v>0</v>
      </c>
      <c r="AG429" s="44">
        <v>0</v>
      </c>
      <c r="AH429" s="44">
        <v>0</v>
      </c>
      <c r="AI429" s="44">
        <v>0</v>
      </c>
      <c r="AJ429" s="43">
        <v>2011708314</v>
      </c>
      <c r="AK429" s="44">
        <v>0</v>
      </c>
      <c r="AL429" s="44">
        <v>0</v>
      </c>
      <c r="AM429" s="43">
        <v>2011708314</v>
      </c>
      <c r="AN429" s="44">
        <v>0</v>
      </c>
      <c r="AO429" s="44">
        <v>0</v>
      </c>
      <c r="AP429" s="43">
        <v>2011708314</v>
      </c>
      <c r="AQ429" s="44">
        <v>0</v>
      </c>
      <c r="AR429" s="44">
        <v>0</v>
      </c>
      <c r="AS429" s="44">
        <v>0</v>
      </c>
      <c r="AT429" s="40">
        <f t="shared" si="183"/>
        <v>0</v>
      </c>
      <c r="AU429" s="34">
        <f t="shared" si="184"/>
        <v>0</v>
      </c>
      <c r="AV429" s="34">
        <f t="shared" si="185"/>
        <v>0</v>
      </c>
      <c r="AW429" s="18">
        <f t="shared" si="186"/>
        <v>2011708314</v>
      </c>
      <c r="AX429" s="123">
        <f t="shared" si="187"/>
        <v>1</v>
      </c>
    </row>
    <row r="430" spans="1:50" ht="18.75" customHeight="1" x14ac:dyDescent="0.2">
      <c r="A430" s="4" t="s">
        <v>55</v>
      </c>
      <c r="B430" s="4" t="s">
        <v>56</v>
      </c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1" t="s">
        <v>393</v>
      </c>
      <c r="AB430" s="42" t="s">
        <v>394</v>
      </c>
      <c r="AC430" s="43" t="s">
        <v>368</v>
      </c>
      <c r="AD430" s="43">
        <v>64817304.240000002</v>
      </c>
      <c r="AE430" s="44">
        <v>0</v>
      </c>
      <c r="AF430" s="44">
        <v>0</v>
      </c>
      <c r="AG430" s="44">
        <v>0</v>
      </c>
      <c r="AH430" s="44">
        <v>0</v>
      </c>
      <c r="AI430" s="44">
        <v>0</v>
      </c>
      <c r="AJ430" s="43">
        <v>64817304.240000002</v>
      </c>
      <c r="AK430" s="44">
        <v>0</v>
      </c>
      <c r="AL430" s="44">
        <v>0</v>
      </c>
      <c r="AM430" s="43">
        <v>64817304</v>
      </c>
      <c r="AN430" s="44">
        <v>0</v>
      </c>
      <c r="AO430" s="44">
        <v>0</v>
      </c>
      <c r="AP430" s="43">
        <v>64817304</v>
      </c>
      <c r="AQ430" s="44">
        <v>0</v>
      </c>
      <c r="AR430" s="44">
        <v>0</v>
      </c>
      <c r="AS430" s="44">
        <v>0</v>
      </c>
      <c r="AT430" s="40">
        <f t="shared" si="183"/>
        <v>0</v>
      </c>
      <c r="AU430" s="18">
        <f t="shared" si="184"/>
        <v>0.24000000208616257</v>
      </c>
      <c r="AV430" s="34">
        <f t="shared" si="185"/>
        <v>0</v>
      </c>
      <c r="AW430" s="18">
        <f t="shared" si="186"/>
        <v>64817304</v>
      </c>
      <c r="AX430" s="123">
        <f t="shared" si="187"/>
        <v>0.99999999629728509</v>
      </c>
    </row>
    <row r="431" spans="1:50" ht="18.75" customHeight="1" x14ac:dyDescent="0.2">
      <c r="AA431" s="245" t="s">
        <v>1213</v>
      </c>
      <c r="AB431" s="42" t="s">
        <v>1214</v>
      </c>
      <c r="AC431" s="17"/>
      <c r="AD431" s="34">
        <v>0</v>
      </c>
      <c r="AE431" s="18">
        <v>437225610.45999998</v>
      </c>
      <c r="AF431" s="34">
        <v>0</v>
      </c>
      <c r="AG431" s="34">
        <v>0</v>
      </c>
      <c r="AH431" s="34">
        <v>0</v>
      </c>
      <c r="AI431" s="18">
        <f>AE431-AF431+AG431-AH431</f>
        <v>437225610.45999998</v>
      </c>
      <c r="AJ431" s="18">
        <f>AD431+AI431</f>
        <v>437225610.45999998</v>
      </c>
      <c r="AK431" s="44">
        <v>0</v>
      </c>
      <c r="AL431" s="44">
        <v>0</v>
      </c>
      <c r="AM431" s="44">
        <v>0</v>
      </c>
      <c r="AN431" s="44">
        <v>0</v>
      </c>
      <c r="AO431" s="44">
        <v>0</v>
      </c>
      <c r="AP431" s="44">
        <v>0</v>
      </c>
      <c r="AQ431" s="44">
        <v>0</v>
      </c>
      <c r="AR431" s="44">
        <v>0</v>
      </c>
      <c r="AS431" s="44">
        <v>0</v>
      </c>
      <c r="AT431" s="40">
        <f t="shared" ref="AT431:AT433" si="188">AQ431+AS431</f>
        <v>0</v>
      </c>
      <c r="AU431" s="18">
        <f t="shared" si="184"/>
        <v>437225610.45999998</v>
      </c>
      <c r="AV431" s="34">
        <f t="shared" si="185"/>
        <v>0</v>
      </c>
      <c r="AW431" s="18">
        <f t="shared" si="186"/>
        <v>0</v>
      </c>
      <c r="AX431" s="123">
        <f t="shared" si="187"/>
        <v>0</v>
      </c>
    </row>
    <row r="432" spans="1:50" ht="27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245" t="s">
        <v>1211</v>
      </c>
      <c r="AB432" s="42" t="s">
        <v>1212</v>
      </c>
      <c r="AC432" s="43"/>
      <c r="AD432" s="44">
        <v>0</v>
      </c>
      <c r="AE432" s="43">
        <v>17631990</v>
      </c>
      <c r="AF432" s="44">
        <v>0</v>
      </c>
      <c r="AG432" s="44">
        <v>0</v>
      </c>
      <c r="AH432" s="44">
        <v>0</v>
      </c>
      <c r="AI432" s="18">
        <f t="shared" ref="AI432:AI433" si="189">AE432-AF432+AG432-AH432</f>
        <v>17631990</v>
      </c>
      <c r="AJ432" s="18">
        <f t="shared" ref="AJ432:AJ433" si="190">AD432+AI432</f>
        <v>17631990</v>
      </c>
      <c r="AK432" s="44">
        <v>0</v>
      </c>
      <c r="AL432" s="44">
        <v>0</v>
      </c>
      <c r="AM432" s="44">
        <v>0</v>
      </c>
      <c r="AN432" s="44">
        <v>0</v>
      </c>
      <c r="AO432" s="44">
        <v>0</v>
      </c>
      <c r="AP432" s="44">
        <v>0</v>
      </c>
      <c r="AQ432" s="44">
        <v>0</v>
      </c>
      <c r="AR432" s="44">
        <v>0</v>
      </c>
      <c r="AS432" s="44">
        <v>0</v>
      </c>
      <c r="AT432" s="40">
        <f t="shared" si="188"/>
        <v>0</v>
      </c>
      <c r="AU432" s="18">
        <f t="shared" si="184"/>
        <v>17631990</v>
      </c>
      <c r="AV432" s="34">
        <f t="shared" si="185"/>
        <v>0</v>
      </c>
      <c r="AW432" s="18">
        <f t="shared" si="186"/>
        <v>0</v>
      </c>
      <c r="AX432" s="123">
        <f t="shared" si="187"/>
        <v>0</v>
      </c>
    </row>
    <row r="433" spans="1:50" ht="30" customHeight="1" x14ac:dyDescent="0.2">
      <c r="AA433" s="246" t="s">
        <v>1215</v>
      </c>
      <c r="AB433" s="42" t="s">
        <v>1216</v>
      </c>
      <c r="AC433" s="17"/>
      <c r="AD433" s="34">
        <v>0</v>
      </c>
      <c r="AE433" s="18">
        <v>288008146</v>
      </c>
      <c r="AF433" s="34">
        <v>0</v>
      </c>
      <c r="AG433" s="34">
        <v>0</v>
      </c>
      <c r="AH433" s="34">
        <v>0</v>
      </c>
      <c r="AI433" s="18">
        <f t="shared" si="189"/>
        <v>288008146</v>
      </c>
      <c r="AJ433" s="18">
        <f t="shared" si="190"/>
        <v>288008146</v>
      </c>
      <c r="AK433" s="44">
        <v>0</v>
      </c>
      <c r="AL433" s="44">
        <v>0</v>
      </c>
      <c r="AM433" s="44">
        <v>0</v>
      </c>
      <c r="AN433" s="44">
        <v>0</v>
      </c>
      <c r="AO433" s="44">
        <v>0</v>
      </c>
      <c r="AP433" s="44">
        <v>0</v>
      </c>
      <c r="AQ433" s="44">
        <v>0</v>
      </c>
      <c r="AR433" s="44">
        <v>0</v>
      </c>
      <c r="AS433" s="44">
        <v>0</v>
      </c>
      <c r="AT433" s="40">
        <f t="shared" si="188"/>
        <v>0</v>
      </c>
      <c r="AU433" s="18">
        <f t="shared" si="184"/>
        <v>288008146</v>
      </c>
      <c r="AV433" s="34">
        <f t="shared" si="185"/>
        <v>0</v>
      </c>
      <c r="AW433" s="18">
        <f t="shared" si="186"/>
        <v>0</v>
      </c>
      <c r="AX433" s="123">
        <f t="shared" si="187"/>
        <v>0</v>
      </c>
    </row>
    <row r="434" spans="1:50" ht="12.75" customHeight="1" x14ac:dyDescent="0.2">
      <c r="AA434" s="173"/>
      <c r="AB434" s="207"/>
      <c r="AC434" s="17"/>
      <c r="AD434" s="18"/>
      <c r="AE434" s="34"/>
      <c r="AF434" s="34"/>
      <c r="AG434" s="34"/>
      <c r="AH434" s="34"/>
      <c r="AI434" s="34"/>
      <c r="AJ434" s="18"/>
      <c r="AK434" s="18"/>
      <c r="AL434" s="18"/>
      <c r="AM434" s="18"/>
      <c r="AN434" s="34"/>
      <c r="AO434" s="34"/>
      <c r="AP434" s="18"/>
      <c r="AQ434" s="18"/>
      <c r="AR434" s="18"/>
      <c r="AS434" s="18"/>
      <c r="AT434" s="40"/>
      <c r="AU434" s="18"/>
      <c r="AV434" s="18"/>
      <c r="AW434" s="18"/>
      <c r="AX434" s="18"/>
    </row>
    <row r="435" spans="1:50" ht="25.5" x14ac:dyDescent="0.2">
      <c r="AA435" s="16"/>
      <c r="AB435" s="29" t="s">
        <v>195</v>
      </c>
      <c r="AC435" s="17"/>
      <c r="AD435" s="18"/>
      <c r="AE435" s="34"/>
      <c r="AF435" s="34"/>
      <c r="AG435" s="34"/>
      <c r="AH435" s="34"/>
      <c r="AI435" s="34"/>
      <c r="AJ435" s="18"/>
      <c r="AK435" s="18"/>
      <c r="AL435" s="18"/>
      <c r="AM435" s="18"/>
      <c r="AN435" s="34"/>
      <c r="AO435" s="34"/>
      <c r="AP435" s="18"/>
      <c r="AQ435" s="18"/>
      <c r="AR435" s="18"/>
      <c r="AS435" s="18"/>
      <c r="AT435" s="40"/>
      <c r="AU435" s="18"/>
      <c r="AV435" s="18"/>
      <c r="AW435" s="18"/>
      <c r="AX435" s="18"/>
    </row>
    <row r="436" spans="1:50" ht="18.75" customHeight="1" x14ac:dyDescent="0.2">
      <c r="AA436" s="28" t="s">
        <v>288</v>
      </c>
      <c r="AB436" s="29" t="s">
        <v>320</v>
      </c>
      <c r="AC436" s="17"/>
      <c r="AD436" s="18"/>
      <c r="AE436" s="34"/>
      <c r="AF436" s="34"/>
      <c r="AG436" s="34"/>
      <c r="AH436" s="34"/>
      <c r="AI436" s="34"/>
      <c r="AJ436" s="18"/>
      <c r="AK436" s="18"/>
      <c r="AL436" s="18"/>
      <c r="AM436" s="18"/>
      <c r="AN436" s="34"/>
      <c r="AO436" s="34"/>
      <c r="AP436" s="18"/>
      <c r="AQ436" s="18"/>
      <c r="AR436" s="18"/>
      <c r="AS436" s="18"/>
      <c r="AT436" s="40"/>
      <c r="AU436" s="18"/>
      <c r="AV436" s="18"/>
      <c r="AW436" s="18"/>
      <c r="AX436" s="18"/>
    </row>
    <row r="437" spans="1:50" ht="18.75" customHeight="1" x14ac:dyDescent="0.2">
      <c r="A437" s="4" t="s">
        <v>55</v>
      </c>
      <c r="B437" s="4" t="s">
        <v>56</v>
      </c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1" t="s">
        <v>395</v>
      </c>
      <c r="AB437" s="42" t="s">
        <v>233</v>
      </c>
      <c r="AC437" s="43" t="s">
        <v>58</v>
      </c>
      <c r="AD437" s="43">
        <v>77302510</v>
      </c>
      <c r="AE437" s="44">
        <v>0</v>
      </c>
      <c r="AF437" s="44">
        <v>0</v>
      </c>
      <c r="AG437" s="44">
        <v>0</v>
      </c>
      <c r="AH437" s="44">
        <v>0</v>
      </c>
      <c r="AI437" s="44">
        <v>0</v>
      </c>
      <c r="AJ437" s="43">
        <v>77302510</v>
      </c>
      <c r="AK437" s="44">
        <v>0</v>
      </c>
      <c r="AL437" s="44">
        <v>0</v>
      </c>
      <c r="AM437" s="43">
        <v>76566312</v>
      </c>
      <c r="AN437" s="44">
        <v>0</v>
      </c>
      <c r="AO437" s="44">
        <v>0</v>
      </c>
      <c r="AP437" s="43">
        <v>76566312</v>
      </c>
      <c r="AQ437" s="43">
        <v>2271705</v>
      </c>
      <c r="AR437" s="43">
        <v>6203935</v>
      </c>
      <c r="AS437" s="43">
        <v>8934801</v>
      </c>
      <c r="AT437" s="40">
        <f t="shared" ref="AT437" si="191">AQ437+AS437</f>
        <v>11206506</v>
      </c>
      <c r="AU437" s="18">
        <f>AJ437-AM437</f>
        <v>736198</v>
      </c>
      <c r="AV437" s="34">
        <f>AM437-AP437</f>
        <v>0</v>
      </c>
      <c r="AW437" s="18">
        <f>AP437-AT437</f>
        <v>65359806</v>
      </c>
      <c r="AX437" s="123">
        <f>AP437/AJ437</f>
        <v>0.99047640238331203</v>
      </c>
    </row>
    <row r="438" spans="1:50" ht="18.75" customHeight="1" x14ac:dyDescent="0.2">
      <c r="AA438" s="16"/>
      <c r="AB438" s="17"/>
      <c r="AC438" s="17"/>
      <c r="AD438" s="18"/>
      <c r="AE438" s="34"/>
      <c r="AF438" s="34"/>
      <c r="AG438" s="34"/>
      <c r="AH438" s="34"/>
      <c r="AI438" s="34"/>
      <c r="AJ438" s="18"/>
      <c r="AK438" s="18"/>
      <c r="AL438" s="18"/>
      <c r="AM438" s="18"/>
      <c r="AN438" s="18"/>
      <c r="AO438" s="18"/>
      <c r="AP438" s="18"/>
      <c r="AQ438" s="34"/>
      <c r="AR438" s="34"/>
      <c r="AS438" s="34"/>
      <c r="AT438" s="40"/>
      <c r="AU438" s="18"/>
      <c r="AV438" s="18"/>
      <c r="AW438" s="18"/>
      <c r="AX438" s="18"/>
    </row>
    <row r="439" spans="1:50" ht="25.5" x14ac:dyDescent="0.2">
      <c r="AA439" s="16"/>
      <c r="AB439" s="29" t="s">
        <v>197</v>
      </c>
      <c r="AC439" s="17"/>
      <c r="AD439" s="18"/>
      <c r="AE439" s="34"/>
      <c r="AF439" s="34"/>
      <c r="AG439" s="34"/>
      <c r="AH439" s="34"/>
      <c r="AI439" s="34"/>
      <c r="AJ439" s="18"/>
      <c r="AK439" s="18"/>
      <c r="AL439" s="18"/>
      <c r="AM439" s="18"/>
      <c r="AN439" s="18"/>
      <c r="AO439" s="18"/>
      <c r="AP439" s="18"/>
      <c r="AQ439" s="34"/>
      <c r="AR439" s="34"/>
      <c r="AS439" s="34"/>
      <c r="AT439" s="40"/>
      <c r="AU439" s="18"/>
      <c r="AV439" s="18"/>
      <c r="AW439" s="18"/>
      <c r="AX439" s="18"/>
    </row>
    <row r="440" spans="1:50" ht="25.5" x14ac:dyDescent="0.2">
      <c r="AA440" s="28" t="s">
        <v>288</v>
      </c>
      <c r="AB440" s="29" t="s">
        <v>396</v>
      </c>
      <c r="AC440" s="17"/>
      <c r="AD440" s="18"/>
      <c r="AE440" s="34"/>
      <c r="AF440" s="34"/>
      <c r="AG440" s="34"/>
      <c r="AH440" s="34"/>
      <c r="AI440" s="34"/>
      <c r="AJ440" s="18"/>
      <c r="AK440" s="18"/>
      <c r="AL440" s="18"/>
      <c r="AM440" s="18"/>
      <c r="AN440" s="18"/>
      <c r="AO440" s="18"/>
      <c r="AP440" s="18"/>
      <c r="AQ440" s="34"/>
      <c r="AR440" s="34"/>
      <c r="AS440" s="34"/>
      <c r="AT440" s="40"/>
      <c r="AU440" s="18"/>
      <c r="AV440" s="18"/>
      <c r="AW440" s="18"/>
      <c r="AX440" s="18"/>
    </row>
    <row r="441" spans="1:50" ht="18.75" customHeight="1" x14ac:dyDescent="0.2">
      <c r="A441" s="4" t="s">
        <v>55</v>
      </c>
      <c r="B441" s="4" t="s">
        <v>56</v>
      </c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1" t="s">
        <v>397</v>
      </c>
      <c r="AB441" s="42" t="s">
        <v>328</v>
      </c>
      <c r="AC441" s="43" t="s">
        <v>61</v>
      </c>
      <c r="AD441" s="43">
        <v>838526678</v>
      </c>
      <c r="AE441" s="44">
        <v>0</v>
      </c>
      <c r="AF441" s="44">
        <v>0</v>
      </c>
      <c r="AG441" s="43">
        <v>27102938</v>
      </c>
      <c r="AH441" s="44">
        <v>0</v>
      </c>
      <c r="AI441" s="18">
        <f>AE441-AF441+AG441-AH441</f>
        <v>27102938</v>
      </c>
      <c r="AJ441" s="18">
        <f>AD441+AI441</f>
        <v>865629616</v>
      </c>
      <c r="AK441" s="44">
        <v>0</v>
      </c>
      <c r="AL441" s="44">
        <v>0</v>
      </c>
      <c r="AM441" s="44">
        <v>0</v>
      </c>
      <c r="AN441" s="44">
        <v>0</v>
      </c>
      <c r="AO441" s="44">
        <v>0</v>
      </c>
      <c r="AP441" s="43">
        <v>0</v>
      </c>
      <c r="AQ441" s="44">
        <v>0</v>
      </c>
      <c r="AR441" s="44">
        <v>0</v>
      </c>
      <c r="AS441" s="44">
        <v>0</v>
      </c>
      <c r="AT441" s="40">
        <f t="shared" ref="AT441" si="192">AQ441+AS441</f>
        <v>0</v>
      </c>
      <c r="AU441" s="18">
        <f>AJ441-AM441</f>
        <v>865629616</v>
      </c>
      <c r="AV441" s="34">
        <f>AM441-AP441</f>
        <v>0</v>
      </c>
      <c r="AW441" s="34">
        <f>AP441-AT441</f>
        <v>0</v>
      </c>
      <c r="AX441" s="123">
        <f>AP441/AJ441</f>
        <v>0</v>
      </c>
    </row>
    <row r="442" spans="1:50" ht="18.75" customHeight="1" x14ac:dyDescent="0.2">
      <c r="AA442" s="28" t="s">
        <v>288</v>
      </c>
      <c r="AB442" s="29" t="s">
        <v>320</v>
      </c>
      <c r="AC442" s="17"/>
      <c r="AD442" s="18"/>
      <c r="AE442" s="34"/>
      <c r="AF442" s="34"/>
      <c r="AG442" s="34"/>
      <c r="AH442" s="34"/>
      <c r="AI442" s="34"/>
      <c r="AJ442" s="18"/>
      <c r="AK442" s="18"/>
      <c r="AL442" s="18"/>
      <c r="AM442" s="18"/>
      <c r="AN442" s="34"/>
      <c r="AO442" s="18"/>
      <c r="AP442" s="18"/>
      <c r="AQ442" s="34"/>
      <c r="AR442" s="34"/>
      <c r="AS442" s="34"/>
      <c r="AT442" s="40"/>
      <c r="AU442" s="18"/>
      <c r="AV442" s="18"/>
      <c r="AW442" s="18"/>
      <c r="AX442" s="18"/>
    </row>
    <row r="443" spans="1:50" ht="18.75" customHeight="1" x14ac:dyDescent="0.2">
      <c r="A443" s="4" t="s">
        <v>55</v>
      </c>
      <c r="B443" s="4" t="s">
        <v>56</v>
      </c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1" t="s">
        <v>398</v>
      </c>
      <c r="AB443" s="42" t="s">
        <v>233</v>
      </c>
      <c r="AC443" s="43" t="s">
        <v>58</v>
      </c>
      <c r="AD443" s="43">
        <v>9048558947</v>
      </c>
      <c r="AE443" s="44">
        <v>0</v>
      </c>
      <c r="AF443" s="44">
        <v>0</v>
      </c>
      <c r="AG443" s="44">
        <v>0</v>
      </c>
      <c r="AH443" s="44">
        <v>0</v>
      </c>
      <c r="AI443" s="18">
        <f t="shared" ref="AI443:AI444" si="193">AE443-AF443+AG443-AH443</f>
        <v>0</v>
      </c>
      <c r="AJ443" s="18">
        <f t="shared" ref="AJ443:AJ444" si="194">AD443+AI443</f>
        <v>9048558947</v>
      </c>
      <c r="AK443" s="44">
        <v>0</v>
      </c>
      <c r="AL443" s="43">
        <f>AM443-ABRIL!AM417</f>
        <v>931051322.81999969</v>
      </c>
      <c r="AM443" s="43">
        <v>9048558947</v>
      </c>
      <c r="AN443" s="44">
        <v>0</v>
      </c>
      <c r="AO443" s="44">
        <v>1134811025.8199999</v>
      </c>
      <c r="AP443" s="43">
        <v>9001641826</v>
      </c>
      <c r="AQ443" s="44">
        <v>0</v>
      </c>
      <c r="AR443" s="44">
        <v>730783883</v>
      </c>
      <c r="AS443" s="43">
        <v>767742201</v>
      </c>
      <c r="AT443" s="39">
        <f t="shared" ref="AT443:AT446" si="195">AQ443+AS443</f>
        <v>767742201</v>
      </c>
      <c r="AU443" s="18">
        <f>AJ443-AM443</f>
        <v>0</v>
      </c>
      <c r="AV443" s="18">
        <f>AM443-AP443</f>
        <v>46917121</v>
      </c>
      <c r="AW443" s="18">
        <f>AP443-AT443</f>
        <v>8233899625</v>
      </c>
      <c r="AX443" s="123">
        <f>AP443/AJ443</f>
        <v>0.99481496210890519</v>
      </c>
    </row>
    <row r="444" spans="1:50" ht="18.75" customHeight="1" x14ac:dyDescent="0.2">
      <c r="A444" s="4" t="s">
        <v>55</v>
      </c>
      <c r="B444" s="4" t="s">
        <v>56</v>
      </c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1" t="s">
        <v>399</v>
      </c>
      <c r="AB444" s="42" t="s">
        <v>382</v>
      </c>
      <c r="AC444" s="43" t="s">
        <v>383</v>
      </c>
      <c r="AD444" s="43">
        <v>1274304910</v>
      </c>
      <c r="AE444" s="44">
        <v>0</v>
      </c>
      <c r="AF444" s="44">
        <v>0</v>
      </c>
      <c r="AG444" s="44">
        <v>0</v>
      </c>
      <c r="AH444" s="44">
        <v>0</v>
      </c>
      <c r="AI444" s="18">
        <f t="shared" si="193"/>
        <v>0</v>
      </c>
      <c r="AJ444" s="18">
        <f t="shared" si="194"/>
        <v>1274304910</v>
      </c>
      <c r="AK444" s="44">
        <v>0</v>
      </c>
      <c r="AL444" s="43">
        <f>AM444-ABRIL!AM418</f>
        <v>0</v>
      </c>
      <c r="AM444" s="43">
        <v>1274304910</v>
      </c>
      <c r="AN444" s="44">
        <v>0</v>
      </c>
      <c r="AO444" s="44">
        <v>0</v>
      </c>
      <c r="AP444" s="43">
        <v>1274304910</v>
      </c>
      <c r="AQ444" s="44">
        <v>0</v>
      </c>
      <c r="AR444" s="44">
        <v>0</v>
      </c>
      <c r="AS444" s="44">
        <v>0</v>
      </c>
      <c r="AT444" s="40">
        <f t="shared" si="195"/>
        <v>0</v>
      </c>
      <c r="AU444" s="18">
        <f>AJ444-AM444</f>
        <v>0</v>
      </c>
      <c r="AV444" s="34">
        <f>AM444-AP444</f>
        <v>0</v>
      </c>
      <c r="AW444" s="18">
        <f>AP444-AT444</f>
        <v>1274304910</v>
      </c>
      <c r="AX444" s="123">
        <f>AP444/AJ444</f>
        <v>1</v>
      </c>
    </row>
    <row r="445" spans="1:50" ht="18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1" t="s">
        <v>986</v>
      </c>
      <c r="AB445" s="42" t="s">
        <v>987</v>
      </c>
      <c r="AC445" s="43"/>
      <c r="AD445" s="44">
        <v>0</v>
      </c>
      <c r="AE445" s="44">
        <v>0</v>
      </c>
      <c r="AF445" s="44">
        <v>0</v>
      </c>
      <c r="AG445" s="43">
        <v>417383651.70999998</v>
      </c>
      <c r="AH445" s="44">
        <v>0</v>
      </c>
      <c r="AI445" s="18">
        <f>AE445-AF445+AG445-AH445</f>
        <v>417383651.70999998</v>
      </c>
      <c r="AJ445" s="18">
        <f>AD445+AI445</f>
        <v>417383651.70999998</v>
      </c>
      <c r="AK445" s="44">
        <v>0</v>
      </c>
      <c r="AL445" s="43">
        <f>AM445-ABRIL!AM419</f>
        <v>417383651.70999998</v>
      </c>
      <c r="AM445" s="43">
        <v>417383651.70999998</v>
      </c>
      <c r="AN445" s="44">
        <v>0</v>
      </c>
      <c r="AO445" s="44">
        <v>417383651.70999998</v>
      </c>
      <c r="AP445" s="43">
        <v>417383651.70999998</v>
      </c>
      <c r="AQ445" s="44">
        <v>0</v>
      </c>
      <c r="AR445" s="44">
        <v>0</v>
      </c>
      <c r="AS445" s="44">
        <v>0</v>
      </c>
      <c r="AT445" s="40">
        <f t="shared" si="195"/>
        <v>0</v>
      </c>
      <c r="AU445" s="18">
        <f>AJ445-AM445</f>
        <v>0</v>
      </c>
      <c r="AV445" s="34">
        <f>AM445-AP445</f>
        <v>0</v>
      </c>
      <c r="AW445" s="18">
        <f>AP445-AT445</f>
        <v>417383651.70999998</v>
      </c>
      <c r="AX445" s="123">
        <f>AP445/AJ445</f>
        <v>1</v>
      </c>
    </row>
    <row r="446" spans="1:50" ht="18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166" t="s">
        <v>1020</v>
      </c>
      <c r="AB446" s="167" t="s">
        <v>1015</v>
      </c>
      <c r="AC446" s="168"/>
      <c r="AD446" s="44">
        <v>0</v>
      </c>
      <c r="AE446" s="43">
        <v>4862312815</v>
      </c>
      <c r="AF446" s="44"/>
      <c r="AG446" s="43"/>
      <c r="AH446" s="44"/>
      <c r="AI446" s="18">
        <f>AE446-AF446+AG446-AH446</f>
        <v>4862312815</v>
      </c>
      <c r="AJ446" s="18">
        <f>AD446+AI446</f>
        <v>4862312815</v>
      </c>
      <c r="AK446" s="44">
        <v>0</v>
      </c>
      <c r="AL446" s="43">
        <f>AM446-ABRIL!AM420</f>
        <v>0</v>
      </c>
      <c r="AM446" s="43">
        <v>0</v>
      </c>
      <c r="AN446" s="44">
        <v>0</v>
      </c>
      <c r="AO446" s="44">
        <v>0</v>
      </c>
      <c r="AP446" s="43">
        <v>0</v>
      </c>
      <c r="AQ446" s="44">
        <v>0</v>
      </c>
      <c r="AR446" s="44">
        <v>0</v>
      </c>
      <c r="AS446" s="44">
        <v>0</v>
      </c>
      <c r="AT446" s="40">
        <f t="shared" si="195"/>
        <v>0</v>
      </c>
      <c r="AU446" s="18">
        <f>AJ446-AM446</f>
        <v>4862312815</v>
      </c>
      <c r="AV446" s="34">
        <f>AM446-AP446</f>
        <v>0</v>
      </c>
      <c r="AW446" s="34">
        <f>AP446-AT446</f>
        <v>0</v>
      </c>
      <c r="AX446" s="123">
        <f>AP446/AJ446</f>
        <v>0</v>
      </c>
    </row>
    <row r="447" spans="1:50" ht="18.75" customHeight="1" x14ac:dyDescent="0.2">
      <c r="AA447" s="169" t="s">
        <v>288</v>
      </c>
      <c r="AB447" s="163" t="s">
        <v>400</v>
      </c>
      <c r="AC447" s="17"/>
      <c r="AD447" s="18"/>
      <c r="AE447" s="34"/>
      <c r="AF447" s="34"/>
      <c r="AG447" s="34"/>
      <c r="AH447" s="34"/>
      <c r="AI447" s="34"/>
      <c r="AJ447" s="18"/>
      <c r="AK447" s="18"/>
      <c r="AL447" s="18"/>
      <c r="AM447" s="18"/>
      <c r="AN447" s="34"/>
      <c r="AO447" s="18"/>
      <c r="AP447" s="18"/>
      <c r="AQ447" s="34"/>
      <c r="AR447" s="34"/>
      <c r="AS447" s="34"/>
      <c r="AT447" s="40"/>
      <c r="AU447" s="18"/>
      <c r="AV447" s="18"/>
      <c r="AW447" s="18"/>
      <c r="AX447" s="18"/>
    </row>
    <row r="448" spans="1:50" ht="18.75" customHeight="1" x14ac:dyDescent="0.2">
      <c r="A448" s="4" t="s">
        <v>55</v>
      </c>
      <c r="B448" s="4" t="s">
        <v>56</v>
      </c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1" t="s">
        <v>401</v>
      </c>
      <c r="AB448" s="42" t="s">
        <v>233</v>
      </c>
      <c r="AC448" s="43" t="s">
        <v>58</v>
      </c>
      <c r="AD448" s="43">
        <v>1000000000</v>
      </c>
      <c r="AE448" s="44">
        <v>0</v>
      </c>
      <c r="AF448" s="44">
        <v>0</v>
      </c>
      <c r="AG448" s="44">
        <v>0</v>
      </c>
      <c r="AH448" s="44">
        <v>0</v>
      </c>
      <c r="AI448" s="44">
        <v>0</v>
      </c>
      <c r="AJ448" s="43">
        <v>1000000000</v>
      </c>
      <c r="AK448" s="44">
        <v>0</v>
      </c>
      <c r="AL448" s="43">
        <f>AM448-ABRIL!AM421</f>
        <v>15750000</v>
      </c>
      <c r="AM448" s="43">
        <v>740550000</v>
      </c>
      <c r="AN448" s="43">
        <v>0</v>
      </c>
      <c r="AO448" s="43">
        <v>33750000</v>
      </c>
      <c r="AP448" s="43">
        <v>740550000</v>
      </c>
      <c r="AQ448" s="114">
        <v>12250000</v>
      </c>
      <c r="AR448" s="114">
        <v>99936667</v>
      </c>
      <c r="AS448" s="114">
        <v>271533333</v>
      </c>
      <c r="AT448" s="39">
        <f t="shared" ref="AT448:AT480" si="196">AQ448+AS448</f>
        <v>283783333</v>
      </c>
      <c r="AU448" s="110">
        <f>AJ448-AM448</f>
        <v>259450000</v>
      </c>
      <c r="AV448" s="110">
        <f>AM448-AP448</f>
        <v>0</v>
      </c>
      <c r="AW448" s="18">
        <f>AP448-AT448</f>
        <v>456766667</v>
      </c>
      <c r="AX448" s="123">
        <f>AP448/AJ448</f>
        <v>0.74055000000000004</v>
      </c>
    </row>
    <row r="449" spans="1:50" ht="18.75" customHeight="1" x14ac:dyDescent="0.2">
      <c r="AA449" s="16"/>
      <c r="AB449" s="17"/>
      <c r="AC449" s="17"/>
      <c r="AD449" s="18"/>
      <c r="AE449" s="34"/>
      <c r="AF449" s="34"/>
      <c r="AG449" s="34"/>
      <c r="AH449" s="34"/>
      <c r="AI449" s="34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30"/>
      <c r="AU449" s="18"/>
      <c r="AV449" s="18"/>
      <c r="AW449" s="18"/>
      <c r="AX449" s="18"/>
    </row>
    <row r="450" spans="1:50" ht="26.25" customHeight="1" x14ac:dyDescent="0.2">
      <c r="AA450" s="164" t="s">
        <v>288</v>
      </c>
      <c r="AB450" s="165" t="s">
        <v>964</v>
      </c>
      <c r="AC450" s="161"/>
      <c r="AD450" s="18"/>
      <c r="AE450" s="34"/>
      <c r="AF450" s="34"/>
      <c r="AG450" s="34"/>
      <c r="AH450" s="34"/>
      <c r="AI450" s="34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30"/>
      <c r="AU450" s="18"/>
      <c r="AV450" s="18"/>
      <c r="AW450" s="18"/>
      <c r="AX450" s="18"/>
    </row>
    <row r="451" spans="1:50" ht="18.75" customHeight="1" x14ac:dyDescent="0.2">
      <c r="AA451" s="166" t="s">
        <v>965</v>
      </c>
      <c r="AB451" s="167" t="s">
        <v>966</v>
      </c>
      <c r="AC451" s="161"/>
      <c r="AD451" s="34">
        <v>0</v>
      </c>
      <c r="AE451" s="34">
        <v>0</v>
      </c>
      <c r="AF451" s="34">
        <v>0</v>
      </c>
      <c r="AG451" s="18">
        <v>155990000</v>
      </c>
      <c r="AH451" s="34">
        <v>0</v>
      </c>
      <c r="AI451" s="18">
        <f>AE451-AF451+AG451-AH451</f>
        <v>155990000</v>
      </c>
      <c r="AJ451" s="18">
        <f>AD451+AI451</f>
        <v>155990000</v>
      </c>
      <c r="AK451" s="34">
        <v>0</v>
      </c>
      <c r="AL451" s="34">
        <v>0</v>
      </c>
      <c r="AM451" s="34">
        <v>0</v>
      </c>
      <c r="AN451" s="34">
        <v>0</v>
      </c>
      <c r="AO451" s="34">
        <v>0</v>
      </c>
      <c r="AP451" s="34">
        <v>0</v>
      </c>
      <c r="AQ451" s="34">
        <v>0</v>
      </c>
      <c r="AR451" s="34">
        <v>0</v>
      </c>
      <c r="AS451" s="18">
        <v>0</v>
      </c>
      <c r="AT451" s="39">
        <f t="shared" ref="AT451" si="197">AQ451+AS451</f>
        <v>0</v>
      </c>
      <c r="AU451" s="110">
        <f>AJ451-AM451</f>
        <v>155990000</v>
      </c>
      <c r="AV451" s="133">
        <f>AM451-AP451</f>
        <v>0</v>
      </c>
      <c r="AW451" s="34">
        <f>AP451-AT451</f>
        <v>0</v>
      </c>
      <c r="AX451" s="123">
        <f>AP451/AJ451</f>
        <v>0</v>
      </c>
    </row>
    <row r="452" spans="1:50" ht="25.5" x14ac:dyDescent="0.2">
      <c r="AA452" s="28" t="s">
        <v>288</v>
      </c>
      <c r="AB452" s="29" t="s">
        <v>402</v>
      </c>
      <c r="AC452" s="17"/>
      <c r="AD452" s="18"/>
      <c r="AE452" s="34"/>
      <c r="AF452" s="34"/>
      <c r="AG452" s="34"/>
      <c r="AH452" s="34"/>
      <c r="AI452" s="34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30"/>
      <c r="AU452" s="18"/>
      <c r="AV452" s="18"/>
      <c r="AW452" s="18"/>
      <c r="AX452" s="18"/>
    </row>
    <row r="453" spans="1:50" ht="18.75" customHeight="1" x14ac:dyDescent="0.2">
      <c r="A453" s="4" t="s">
        <v>55</v>
      </c>
      <c r="B453" s="4" t="s">
        <v>56</v>
      </c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1" t="s">
        <v>403</v>
      </c>
      <c r="AB453" s="42" t="s">
        <v>233</v>
      </c>
      <c r="AC453" s="43" t="s">
        <v>58</v>
      </c>
      <c r="AD453" s="43">
        <v>206000002.94</v>
      </c>
      <c r="AE453" s="44">
        <v>0</v>
      </c>
      <c r="AF453" s="44">
        <v>0</v>
      </c>
      <c r="AG453" s="44">
        <v>0</v>
      </c>
      <c r="AH453" s="44">
        <v>0</v>
      </c>
      <c r="AI453" s="44">
        <v>0</v>
      </c>
      <c r="AJ453" s="43">
        <v>206000002.94</v>
      </c>
      <c r="AK453" s="44">
        <v>0</v>
      </c>
      <c r="AL453" s="114">
        <f>AM453-ABRIL!AM427</f>
        <v>18984000</v>
      </c>
      <c r="AM453" s="114">
        <v>64550400</v>
      </c>
      <c r="AN453" s="44">
        <v>0</v>
      </c>
      <c r="AO453" s="114">
        <v>18984000</v>
      </c>
      <c r="AP453" s="114">
        <v>64550400</v>
      </c>
      <c r="AQ453" s="115">
        <v>18984000</v>
      </c>
      <c r="AR453" s="44">
        <v>17592000</v>
      </c>
      <c r="AS453" s="43">
        <v>45566400</v>
      </c>
      <c r="AT453" s="39">
        <f t="shared" ref="AT453" si="198">AQ453+AS453</f>
        <v>64550400</v>
      </c>
      <c r="AU453" s="18">
        <f>AJ453-AM453</f>
        <v>141449602.94</v>
      </c>
      <c r="AV453" s="34">
        <f>AM453-AP453</f>
        <v>0</v>
      </c>
      <c r="AW453" s="18">
        <f>AP453-AT453</f>
        <v>0</v>
      </c>
      <c r="AX453" s="123">
        <f>AP453/AJ453</f>
        <v>0.31335145183857638</v>
      </c>
    </row>
    <row r="454" spans="1:50" ht="18.75" customHeight="1" x14ac:dyDescent="0.2">
      <c r="AA454" s="28" t="s">
        <v>288</v>
      </c>
      <c r="AB454" s="29" t="s">
        <v>404</v>
      </c>
      <c r="AC454" s="17"/>
      <c r="AD454" s="18"/>
      <c r="AE454" s="34"/>
      <c r="AF454" s="34"/>
      <c r="AG454" s="34"/>
      <c r="AH454" s="34"/>
      <c r="AI454" s="34"/>
      <c r="AJ454" s="18"/>
      <c r="AK454" s="34"/>
      <c r="AL454" s="34"/>
      <c r="AM454" s="34"/>
      <c r="AN454" s="34"/>
      <c r="AO454" s="34"/>
      <c r="AP454" s="34"/>
      <c r="AQ454" s="34"/>
      <c r="AR454" s="34"/>
      <c r="AS454" s="34"/>
      <c r="AT454" s="31"/>
      <c r="AU454" s="18"/>
      <c r="AV454" s="34"/>
      <c r="AW454" s="133"/>
      <c r="AX454" s="18"/>
    </row>
    <row r="455" spans="1:50" ht="18.75" customHeight="1" x14ac:dyDescent="0.2">
      <c r="A455" s="4" t="s">
        <v>55</v>
      </c>
      <c r="B455" s="4" t="s">
        <v>56</v>
      </c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1" t="s">
        <v>405</v>
      </c>
      <c r="AB455" s="42" t="s">
        <v>233</v>
      </c>
      <c r="AC455" s="43" t="s">
        <v>58</v>
      </c>
      <c r="AD455" s="43">
        <v>50000000</v>
      </c>
      <c r="AE455" s="44">
        <v>0</v>
      </c>
      <c r="AF455" s="44">
        <v>0</v>
      </c>
      <c r="AG455" s="44">
        <v>0</v>
      </c>
      <c r="AH455" s="44">
        <v>0</v>
      </c>
      <c r="AI455" s="44">
        <v>0</v>
      </c>
      <c r="AJ455" s="43">
        <v>50000000</v>
      </c>
      <c r="AK455" s="44">
        <v>0</v>
      </c>
      <c r="AL455" s="44">
        <v>0</v>
      </c>
      <c r="AM455" s="44">
        <v>0</v>
      </c>
      <c r="AN455" s="44">
        <v>0</v>
      </c>
      <c r="AO455" s="44">
        <v>0</v>
      </c>
      <c r="AP455" s="44">
        <v>0</v>
      </c>
      <c r="AQ455" s="44">
        <v>0</v>
      </c>
      <c r="AR455" s="44">
        <v>0</v>
      </c>
      <c r="AS455" s="44">
        <v>0</v>
      </c>
      <c r="AT455" s="40">
        <f t="shared" si="196"/>
        <v>0</v>
      </c>
      <c r="AU455" s="18">
        <f>AJ455-AM455</f>
        <v>50000000</v>
      </c>
      <c r="AV455" s="34">
        <f>AM455-AP455</f>
        <v>0</v>
      </c>
      <c r="AW455" s="133">
        <f>AP455-AT455</f>
        <v>0</v>
      </c>
      <c r="AX455" s="123">
        <f>AP455/AJ455</f>
        <v>0</v>
      </c>
    </row>
    <row r="456" spans="1:50" ht="18.75" customHeight="1" x14ac:dyDescent="0.2">
      <c r="AA456" s="28" t="s">
        <v>288</v>
      </c>
      <c r="AB456" s="29" t="s">
        <v>362</v>
      </c>
      <c r="AC456" s="17"/>
      <c r="AD456" s="18"/>
      <c r="AE456" s="34"/>
      <c r="AF456" s="34"/>
      <c r="AG456" s="34"/>
      <c r="AH456" s="34"/>
      <c r="AI456" s="34"/>
      <c r="AJ456" s="18"/>
      <c r="AK456" s="34"/>
      <c r="AL456" s="34"/>
      <c r="AM456" s="34"/>
      <c r="AN456" s="34"/>
      <c r="AO456" s="34"/>
      <c r="AP456" s="34"/>
      <c r="AQ456" s="34"/>
      <c r="AR456" s="34"/>
      <c r="AS456" s="34"/>
      <c r="AT456" s="31"/>
      <c r="AU456" s="18"/>
      <c r="AV456" s="34"/>
      <c r="AW456" s="133"/>
      <c r="AX456" s="18"/>
    </row>
    <row r="457" spans="1:50" ht="18.75" customHeight="1" x14ac:dyDescent="0.2">
      <c r="A457" s="4" t="s">
        <v>55</v>
      </c>
      <c r="B457" s="4" t="s">
        <v>56</v>
      </c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1" t="s">
        <v>406</v>
      </c>
      <c r="AB457" s="69" t="s">
        <v>379</v>
      </c>
      <c r="AC457" s="43" t="s">
        <v>380</v>
      </c>
      <c r="AD457" s="43">
        <v>155990000</v>
      </c>
      <c r="AE457" s="44">
        <v>0</v>
      </c>
      <c r="AF457" s="44">
        <v>0</v>
      </c>
      <c r="AG457" s="44">
        <v>0</v>
      </c>
      <c r="AH457" s="43">
        <v>155990000</v>
      </c>
      <c r="AI457" s="18">
        <f>AE457-AF457+AG457-AH457</f>
        <v>-155990000</v>
      </c>
      <c r="AJ457" s="34">
        <f>AD457+AI457</f>
        <v>0</v>
      </c>
      <c r="AK457" s="44">
        <v>0</v>
      </c>
      <c r="AL457" s="44">
        <v>0</v>
      </c>
      <c r="AM457" s="44">
        <v>0</v>
      </c>
      <c r="AN457" s="44">
        <v>0</v>
      </c>
      <c r="AO457" s="44">
        <v>0</v>
      </c>
      <c r="AP457" s="44">
        <v>0</v>
      </c>
      <c r="AQ457" s="44">
        <v>0</v>
      </c>
      <c r="AR457" s="44">
        <v>0</v>
      </c>
      <c r="AS457" s="44">
        <v>0</v>
      </c>
      <c r="AT457" s="40">
        <f t="shared" si="196"/>
        <v>0</v>
      </c>
      <c r="AU457" s="18">
        <f>AJ457-AM457</f>
        <v>0</v>
      </c>
      <c r="AV457" s="34">
        <f>AM457-AP457</f>
        <v>0</v>
      </c>
      <c r="AW457" s="133">
        <f>AP457-AT457</f>
        <v>0</v>
      </c>
      <c r="AX457" s="123">
        <v>0</v>
      </c>
    </row>
    <row r="458" spans="1:50" ht="18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73" t="s">
        <v>288</v>
      </c>
      <c r="AB458" s="82" t="s">
        <v>365</v>
      </c>
      <c r="AC458" s="43"/>
      <c r="AD458" s="43"/>
      <c r="AE458" s="44"/>
      <c r="AF458" s="44"/>
      <c r="AG458" s="44"/>
      <c r="AH458" s="43"/>
      <c r="AI458" s="18"/>
      <c r="AJ458" s="18"/>
      <c r="AK458" s="44"/>
      <c r="AL458" s="44"/>
      <c r="AM458" s="44"/>
      <c r="AN458" s="44"/>
      <c r="AO458" s="44"/>
      <c r="AP458" s="44"/>
      <c r="AQ458" s="44"/>
      <c r="AR458" s="44"/>
      <c r="AS458" s="44"/>
      <c r="AT458" s="40"/>
      <c r="AU458" s="18"/>
      <c r="AV458" s="34"/>
      <c r="AW458" s="133"/>
      <c r="AX458" s="123"/>
    </row>
    <row r="459" spans="1:50" ht="18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1" t="s">
        <v>988</v>
      </c>
      <c r="AB459" s="69" t="s">
        <v>978</v>
      </c>
      <c r="AC459" s="43"/>
      <c r="AD459" s="44">
        <v>0</v>
      </c>
      <c r="AE459" s="44">
        <v>0</v>
      </c>
      <c r="AF459" s="44">
        <v>0</v>
      </c>
      <c r="AG459" s="43">
        <v>1227570664.1400001</v>
      </c>
      <c r="AH459" s="43">
        <v>0</v>
      </c>
      <c r="AI459" s="18">
        <f>AE459-AF459+AG459-AH459</f>
        <v>1227570664.1400001</v>
      </c>
      <c r="AJ459" s="18">
        <f>AD459+AI459</f>
        <v>1227570664.1400001</v>
      </c>
      <c r="AK459" s="43">
        <v>0</v>
      </c>
      <c r="AL459" s="43">
        <f>AM459-ABRIL!AM433</f>
        <v>436632838.47000003</v>
      </c>
      <c r="AM459" s="43">
        <v>436632838.47000003</v>
      </c>
      <c r="AN459" s="43">
        <v>0</v>
      </c>
      <c r="AO459" s="43">
        <v>111783616.26000001</v>
      </c>
      <c r="AP459" s="43">
        <v>111783616.26000001</v>
      </c>
      <c r="AQ459" s="43">
        <v>0</v>
      </c>
      <c r="AR459" s="43">
        <v>0</v>
      </c>
      <c r="AS459" s="43">
        <v>0</v>
      </c>
      <c r="AT459" s="40">
        <f t="shared" ref="AT459" si="199">AQ459+AS459</f>
        <v>0</v>
      </c>
      <c r="AU459" s="18">
        <f>AJ459-AM459</f>
        <v>790937825.67000008</v>
      </c>
      <c r="AV459" s="18">
        <f>AM459-AP459</f>
        <v>324849222.21000004</v>
      </c>
      <c r="AW459" s="18">
        <f>AP459-AT459</f>
        <v>111783616.26000001</v>
      </c>
      <c r="AX459" s="123">
        <v>0</v>
      </c>
    </row>
    <row r="460" spans="1:50" ht="25.5" x14ac:dyDescent="0.2">
      <c r="AA460" s="28" t="s">
        <v>288</v>
      </c>
      <c r="AB460" s="29" t="s">
        <v>407</v>
      </c>
      <c r="AC460" s="17"/>
      <c r="AD460" s="18"/>
      <c r="AE460" s="34"/>
      <c r="AF460" s="34"/>
      <c r="AG460" s="34"/>
      <c r="AH460" s="34"/>
      <c r="AI460" s="34"/>
      <c r="AJ460" s="18"/>
      <c r="AK460" s="34"/>
      <c r="AL460" s="34"/>
      <c r="AM460" s="34"/>
      <c r="AN460" s="34"/>
      <c r="AO460" s="34"/>
      <c r="AP460" s="34"/>
      <c r="AQ460" s="34"/>
      <c r="AR460" s="34"/>
      <c r="AS460" s="34"/>
      <c r="AT460" s="31"/>
      <c r="AU460" s="18"/>
      <c r="AV460" s="34"/>
      <c r="AW460" s="133"/>
      <c r="AX460" s="18"/>
    </row>
    <row r="461" spans="1:50" ht="18.75" customHeight="1" x14ac:dyDescent="0.2">
      <c r="A461" s="4" t="s">
        <v>55</v>
      </c>
      <c r="B461" s="4" t="s">
        <v>56</v>
      </c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1" t="s">
        <v>408</v>
      </c>
      <c r="AB461" s="42" t="s">
        <v>233</v>
      </c>
      <c r="AC461" s="43" t="s">
        <v>58</v>
      </c>
      <c r="AD461" s="43">
        <v>126488672</v>
      </c>
      <c r="AE461" s="44">
        <v>0</v>
      </c>
      <c r="AF461" s="44">
        <v>0</v>
      </c>
      <c r="AG461" s="44">
        <v>0</v>
      </c>
      <c r="AH461" s="44">
        <v>0</v>
      </c>
      <c r="AI461" s="44">
        <v>0</v>
      </c>
      <c r="AJ461" s="43">
        <v>126488672</v>
      </c>
      <c r="AK461" s="44">
        <v>0</v>
      </c>
      <c r="AL461" s="44">
        <v>0</v>
      </c>
      <c r="AM461" s="43">
        <v>126488672</v>
      </c>
      <c r="AN461" s="44">
        <v>0</v>
      </c>
      <c r="AO461" s="44">
        <v>0</v>
      </c>
      <c r="AP461" s="44">
        <v>0</v>
      </c>
      <c r="AQ461" s="44">
        <v>0</v>
      </c>
      <c r="AR461" s="44">
        <v>0</v>
      </c>
      <c r="AS461" s="44">
        <v>0</v>
      </c>
      <c r="AT461" s="40">
        <f t="shared" ref="AT461:AT462" si="200">AQ461+AS461</f>
        <v>0</v>
      </c>
      <c r="AU461" s="34">
        <f>AJ461-AM461</f>
        <v>0</v>
      </c>
      <c r="AV461" s="18">
        <f>AM461-AP461</f>
        <v>126488672</v>
      </c>
      <c r="AW461" s="133">
        <f>AP461-AT461</f>
        <v>0</v>
      </c>
      <c r="AX461" s="123">
        <f>AP461/AJ461</f>
        <v>0</v>
      </c>
    </row>
    <row r="462" spans="1:50" ht="18.75" customHeight="1" x14ac:dyDescent="0.2">
      <c r="A462" s="4" t="s">
        <v>55</v>
      </c>
      <c r="B462" s="4" t="s">
        <v>56</v>
      </c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1" t="s">
        <v>409</v>
      </c>
      <c r="AB462" s="42" t="s">
        <v>379</v>
      </c>
      <c r="AC462" s="43" t="s">
        <v>380</v>
      </c>
      <c r="AD462" s="43">
        <v>373511328</v>
      </c>
      <c r="AE462" s="44">
        <v>0</v>
      </c>
      <c r="AF462" s="44">
        <v>0</v>
      </c>
      <c r="AG462" s="44">
        <v>0</v>
      </c>
      <c r="AH462" s="44">
        <v>0</v>
      </c>
      <c r="AI462" s="44">
        <v>0</v>
      </c>
      <c r="AJ462" s="43">
        <v>373511328</v>
      </c>
      <c r="AK462" s="44">
        <v>0</v>
      </c>
      <c r="AL462" s="44">
        <v>0</v>
      </c>
      <c r="AM462" s="43">
        <v>373511328</v>
      </c>
      <c r="AN462" s="44">
        <v>0</v>
      </c>
      <c r="AO462" s="44">
        <v>0</v>
      </c>
      <c r="AP462" s="44">
        <v>0</v>
      </c>
      <c r="AQ462" s="44">
        <v>0</v>
      </c>
      <c r="AR462" s="44">
        <v>0</v>
      </c>
      <c r="AS462" s="44">
        <v>0</v>
      </c>
      <c r="AT462" s="40">
        <f t="shared" si="200"/>
        <v>0</v>
      </c>
      <c r="AU462" s="34">
        <f>AJ462-AM462</f>
        <v>0</v>
      </c>
      <c r="AV462" s="18">
        <f>AM462-AP462</f>
        <v>373511328</v>
      </c>
      <c r="AW462" s="133">
        <f>AP462-AT462</f>
        <v>0</v>
      </c>
      <c r="AX462" s="123">
        <f>AP462/AJ462</f>
        <v>0</v>
      </c>
    </row>
    <row r="463" spans="1:50" ht="25.5" x14ac:dyDescent="0.2">
      <c r="AA463" s="28" t="s">
        <v>288</v>
      </c>
      <c r="AB463" s="29" t="s">
        <v>410</v>
      </c>
      <c r="AC463" s="17"/>
      <c r="AD463" s="18"/>
      <c r="AE463" s="34"/>
      <c r="AF463" s="34"/>
      <c r="AG463" s="34"/>
      <c r="AH463" s="34"/>
      <c r="AI463" s="34"/>
      <c r="AJ463" s="18"/>
      <c r="AK463" s="34"/>
      <c r="AL463" s="34"/>
      <c r="AM463" s="34"/>
      <c r="AN463" s="34"/>
      <c r="AO463" s="34"/>
      <c r="AP463" s="34"/>
      <c r="AQ463" s="34"/>
      <c r="AR463" s="34"/>
      <c r="AS463" s="34"/>
      <c r="AT463" s="31"/>
      <c r="AU463" s="18"/>
      <c r="AV463" s="34"/>
      <c r="AW463" s="18"/>
      <c r="AX463" s="18"/>
    </row>
    <row r="464" spans="1:50" ht="18.75" customHeight="1" x14ac:dyDescent="0.2">
      <c r="A464" s="4" t="s">
        <v>55</v>
      </c>
      <c r="B464" s="4" t="s">
        <v>56</v>
      </c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1" t="s">
        <v>411</v>
      </c>
      <c r="AB464" s="42" t="s">
        <v>412</v>
      </c>
      <c r="AC464" s="43" t="s">
        <v>380</v>
      </c>
      <c r="AD464" s="43">
        <v>6161937303</v>
      </c>
      <c r="AE464" s="44">
        <v>0</v>
      </c>
      <c r="AF464" s="44">
        <v>0</v>
      </c>
      <c r="AG464" s="44">
        <v>0</v>
      </c>
      <c r="AH464" s="44">
        <v>0</v>
      </c>
      <c r="AI464" s="44">
        <v>0</v>
      </c>
      <c r="AJ464" s="43">
        <v>6161937303</v>
      </c>
      <c r="AK464" s="44">
        <v>0</v>
      </c>
      <c r="AL464" s="44">
        <v>0</v>
      </c>
      <c r="AM464" s="43">
        <v>4844629745</v>
      </c>
      <c r="AN464" s="44">
        <v>0</v>
      </c>
      <c r="AO464" s="43">
        <v>4844629745</v>
      </c>
      <c r="AP464" s="43">
        <v>4844629745</v>
      </c>
      <c r="AQ464" s="43">
        <v>0</v>
      </c>
      <c r="AR464" s="43">
        <v>4844629745</v>
      </c>
      <c r="AS464" s="43">
        <v>4844629745</v>
      </c>
      <c r="AT464" s="39">
        <f t="shared" ref="AT464" si="201">AQ464+AS464</f>
        <v>4844629745</v>
      </c>
      <c r="AU464" s="18">
        <f>AJ464-AM464</f>
        <v>1317307558</v>
      </c>
      <c r="AV464" s="18">
        <f>AM464-AP464</f>
        <v>0</v>
      </c>
      <c r="AW464" s="34">
        <f>AP464-AT464</f>
        <v>0</v>
      </c>
      <c r="AX464" s="123">
        <f>AP464/AJ464</f>
        <v>0.78621860411357058</v>
      </c>
    </row>
    <row r="465" spans="1:50" ht="18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1" t="s">
        <v>977</v>
      </c>
      <c r="AB465" s="42" t="s">
        <v>978</v>
      </c>
      <c r="AC465" s="43"/>
      <c r="AD465" s="43"/>
      <c r="AE465" s="43">
        <v>2137085601</v>
      </c>
      <c r="AF465" s="44">
        <v>0</v>
      </c>
      <c r="AG465" s="44">
        <v>0</v>
      </c>
      <c r="AH465" s="43">
        <v>1644954315.8499999</v>
      </c>
      <c r="AI465" s="18">
        <f>AE465-AF465+AG465-AH465</f>
        <v>492131285.1500001</v>
      </c>
      <c r="AJ465" s="18">
        <f>AD465+AI465</f>
        <v>492131285.1500001</v>
      </c>
      <c r="AK465" s="44">
        <v>0</v>
      </c>
      <c r="AL465" s="44">
        <v>0</v>
      </c>
      <c r="AM465" s="43">
        <v>492131285.14999998</v>
      </c>
      <c r="AN465" s="44">
        <v>0</v>
      </c>
      <c r="AO465" s="43">
        <v>0</v>
      </c>
      <c r="AP465" s="43">
        <v>423802091.47000003</v>
      </c>
      <c r="AQ465" s="44">
        <v>0</v>
      </c>
      <c r="AR465" s="44">
        <v>0</v>
      </c>
      <c r="AS465" s="43">
        <v>0</v>
      </c>
      <c r="AT465" s="39">
        <f t="shared" ref="AT465:AT466" si="202">AQ465+AS465</f>
        <v>0</v>
      </c>
      <c r="AU465" s="18">
        <f>AJ465-AM465</f>
        <v>0</v>
      </c>
      <c r="AV465" s="18">
        <f>AM465-AP465</f>
        <v>68329193.679999948</v>
      </c>
      <c r="AW465" s="18">
        <f>AP465-AT465</f>
        <v>423802091.47000003</v>
      </c>
      <c r="AX465" s="123">
        <f>AP465/AJ465</f>
        <v>0.86115657398376222</v>
      </c>
    </row>
    <row r="466" spans="1:50" ht="18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173" t="s">
        <v>1201</v>
      </c>
      <c r="AB466" s="42" t="s">
        <v>1202</v>
      </c>
      <c r="AC466" s="43"/>
      <c r="AD466" s="44">
        <v>0</v>
      </c>
      <c r="AE466" s="43">
        <v>60900682</v>
      </c>
      <c r="AF466" s="44"/>
      <c r="AG466" s="44"/>
      <c r="AH466" s="43"/>
      <c r="AI466" s="18">
        <f>AE466-AF466+AG466-AH466</f>
        <v>60900682</v>
      </c>
      <c r="AJ466" s="18">
        <f>AD466+AI466</f>
        <v>60900682</v>
      </c>
      <c r="AK466" s="44">
        <v>0</v>
      </c>
      <c r="AL466" s="44">
        <v>0</v>
      </c>
      <c r="AM466" s="43">
        <v>0</v>
      </c>
      <c r="AN466" s="44">
        <v>0</v>
      </c>
      <c r="AO466" s="43">
        <v>0</v>
      </c>
      <c r="AP466" s="43">
        <v>0</v>
      </c>
      <c r="AQ466" s="44">
        <v>0</v>
      </c>
      <c r="AR466" s="44">
        <v>0</v>
      </c>
      <c r="AS466" s="43">
        <v>0</v>
      </c>
      <c r="AT466" s="39">
        <f t="shared" si="202"/>
        <v>0</v>
      </c>
      <c r="AU466" s="18">
        <f>AJ466-AM466</f>
        <v>60900682</v>
      </c>
      <c r="AV466" s="18">
        <f>AM466-AP466</f>
        <v>0</v>
      </c>
      <c r="AW466" s="34">
        <f>AP466-AT466</f>
        <v>0</v>
      </c>
      <c r="AX466" s="123">
        <f>AP466/AJ466</f>
        <v>0</v>
      </c>
    </row>
    <row r="467" spans="1:50" ht="18.75" customHeight="1" x14ac:dyDescent="0.2">
      <c r="AA467" s="28" t="s">
        <v>288</v>
      </c>
      <c r="AB467" s="29" t="s">
        <v>320</v>
      </c>
      <c r="AC467" s="17"/>
      <c r="AD467" s="18"/>
      <c r="AE467" s="34"/>
      <c r="AF467" s="34"/>
      <c r="AG467" s="34"/>
      <c r="AH467" s="34"/>
      <c r="AI467" s="34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31"/>
      <c r="AU467" s="18"/>
      <c r="AV467" s="34"/>
      <c r="AW467" s="18"/>
      <c r="AX467" s="18"/>
    </row>
    <row r="468" spans="1:50" ht="18.75" customHeight="1" x14ac:dyDescent="0.2">
      <c r="A468" s="4" t="s">
        <v>37</v>
      </c>
      <c r="B468" s="4" t="s">
        <v>37</v>
      </c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1" t="s">
        <v>413</v>
      </c>
      <c r="AB468" s="42" t="s">
        <v>233</v>
      </c>
      <c r="AC468" s="43" t="s">
        <v>58</v>
      </c>
      <c r="AD468" s="43">
        <v>1212000000</v>
      </c>
      <c r="AE468" s="44">
        <v>0</v>
      </c>
      <c r="AF468" s="44">
        <v>0</v>
      </c>
      <c r="AG468" s="44">
        <v>0</v>
      </c>
      <c r="AH468" s="44">
        <v>0</v>
      </c>
      <c r="AI468" s="44">
        <v>0</v>
      </c>
      <c r="AJ468" s="43">
        <v>1212000000</v>
      </c>
      <c r="AK468" s="44">
        <v>0</v>
      </c>
      <c r="AL468" s="44">
        <v>0</v>
      </c>
      <c r="AM468" s="43">
        <v>1161315332</v>
      </c>
      <c r="AN468" s="44">
        <v>0</v>
      </c>
      <c r="AO468" s="44">
        <v>0</v>
      </c>
      <c r="AP468" s="43">
        <v>1161315332</v>
      </c>
      <c r="AQ468" s="44">
        <v>0</v>
      </c>
      <c r="AR468" s="44">
        <v>0</v>
      </c>
      <c r="AS468" s="44">
        <v>0</v>
      </c>
      <c r="AT468" s="40">
        <f t="shared" ref="AT468:AT469" si="203">AQ468+AS468</f>
        <v>0</v>
      </c>
      <c r="AU468" s="18">
        <f>AJ468-AM468</f>
        <v>50684668</v>
      </c>
      <c r="AV468" s="34">
        <f>AM468-AP468</f>
        <v>0</v>
      </c>
      <c r="AW468" s="18">
        <f>AP468-AT468</f>
        <v>1161315332</v>
      </c>
      <c r="AX468" s="123">
        <f>AP468/AJ468</f>
        <v>0.95818096699669963</v>
      </c>
    </row>
    <row r="469" spans="1:50" ht="18.75" customHeight="1" x14ac:dyDescent="0.2">
      <c r="A469" s="4" t="s">
        <v>55</v>
      </c>
      <c r="B469" s="4" t="s">
        <v>56</v>
      </c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1" t="s">
        <v>414</v>
      </c>
      <c r="AB469" s="42" t="s">
        <v>328</v>
      </c>
      <c r="AC469" s="43" t="s">
        <v>61</v>
      </c>
      <c r="AD469" s="43">
        <v>13807166550</v>
      </c>
      <c r="AE469" s="44">
        <v>0</v>
      </c>
      <c r="AF469" s="44">
        <v>0</v>
      </c>
      <c r="AG469" s="44">
        <v>0</v>
      </c>
      <c r="AH469" s="43">
        <v>23257108</v>
      </c>
      <c r="AI469" s="18">
        <f>AE469-AF469+AG469-AH469</f>
        <v>-23257108</v>
      </c>
      <c r="AJ469" s="18">
        <f>AD469+AI469</f>
        <v>13783909442</v>
      </c>
      <c r="AK469" s="44">
        <v>0</v>
      </c>
      <c r="AL469" s="44">
        <v>0</v>
      </c>
      <c r="AM469" s="43">
        <v>12807972817</v>
      </c>
      <c r="AN469" s="44">
        <v>0</v>
      </c>
      <c r="AO469" s="44">
        <v>0</v>
      </c>
      <c r="AP469" s="43">
        <v>12807972817</v>
      </c>
      <c r="AQ469" s="44">
        <v>345018086</v>
      </c>
      <c r="AR469" s="44">
        <v>0</v>
      </c>
      <c r="AS469" s="44">
        <v>0</v>
      </c>
      <c r="AT469" s="39">
        <f t="shared" si="203"/>
        <v>345018086</v>
      </c>
      <c r="AU469" s="18">
        <f>AJ469-AM469</f>
        <v>975936625</v>
      </c>
      <c r="AV469" s="34">
        <f>AM469-AP469</f>
        <v>0</v>
      </c>
      <c r="AW469" s="18">
        <f>AP469-AT469</f>
        <v>12462954731</v>
      </c>
      <c r="AX469" s="123">
        <f>AP469/AJ469</f>
        <v>0.92919740012029606</v>
      </c>
    </row>
    <row r="470" spans="1:50" ht="38.25" x14ac:dyDescent="0.2">
      <c r="AA470" s="28" t="s">
        <v>288</v>
      </c>
      <c r="AB470" s="29" t="s">
        <v>415</v>
      </c>
      <c r="AC470" s="17"/>
      <c r="AD470" s="18"/>
      <c r="AE470" s="34"/>
      <c r="AF470" s="34"/>
      <c r="AG470" s="34"/>
      <c r="AH470" s="34"/>
      <c r="AI470" s="34"/>
      <c r="AJ470" s="18"/>
      <c r="AK470" s="34"/>
      <c r="AL470" s="34"/>
      <c r="AM470" s="18"/>
      <c r="AN470" s="18"/>
      <c r="AO470" s="18"/>
      <c r="AP470" s="18"/>
      <c r="AQ470" s="34"/>
      <c r="AR470" s="34"/>
      <c r="AS470" s="34"/>
      <c r="AT470" s="40"/>
      <c r="AU470" s="18"/>
      <c r="AV470" s="34"/>
      <c r="AW470" s="18"/>
      <c r="AX470" s="18"/>
    </row>
    <row r="471" spans="1:50" ht="18.75" customHeight="1" x14ac:dyDescent="0.2">
      <c r="A471" s="4" t="s">
        <v>55</v>
      </c>
      <c r="B471" s="4" t="s">
        <v>56</v>
      </c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1" t="s">
        <v>416</v>
      </c>
      <c r="AB471" s="42" t="s">
        <v>379</v>
      </c>
      <c r="AC471" s="43" t="s">
        <v>380</v>
      </c>
      <c r="AD471" s="43">
        <v>50000000</v>
      </c>
      <c r="AE471" s="44">
        <v>0</v>
      </c>
      <c r="AF471" s="44">
        <v>0</v>
      </c>
      <c r="AG471" s="44">
        <v>0</v>
      </c>
      <c r="AH471" s="44">
        <v>0</v>
      </c>
      <c r="AI471" s="44">
        <v>0</v>
      </c>
      <c r="AJ471" s="43">
        <v>50000000</v>
      </c>
      <c r="AK471" s="44">
        <v>0</v>
      </c>
      <c r="AL471" s="44">
        <v>0</v>
      </c>
      <c r="AM471" s="44">
        <v>0</v>
      </c>
      <c r="AN471" s="44">
        <v>0</v>
      </c>
      <c r="AO471" s="44">
        <v>0</v>
      </c>
      <c r="AP471" s="44">
        <v>0</v>
      </c>
      <c r="AQ471" s="44">
        <v>0</v>
      </c>
      <c r="AR471" s="44">
        <v>0</v>
      </c>
      <c r="AS471" s="44">
        <v>0</v>
      </c>
      <c r="AT471" s="40">
        <f t="shared" ref="AT471" si="204">AQ471+AS471</f>
        <v>0</v>
      </c>
      <c r="AU471" s="18">
        <f>AJ471-AM471</f>
        <v>50000000</v>
      </c>
      <c r="AV471" s="34">
        <f>AM471-AP471</f>
        <v>0</v>
      </c>
      <c r="AW471" s="34">
        <f>AP471-AT471</f>
        <v>0</v>
      </c>
      <c r="AX471" s="123">
        <f>AP471/AJ471</f>
        <v>0</v>
      </c>
    </row>
    <row r="472" spans="1:50" ht="18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173" t="s">
        <v>1205</v>
      </c>
      <c r="AB472" s="42" t="s">
        <v>1204</v>
      </c>
      <c r="AC472" s="43"/>
      <c r="AD472" s="44">
        <v>0</v>
      </c>
      <c r="AE472" s="43">
        <v>200000000</v>
      </c>
      <c r="AF472" s="44"/>
      <c r="AG472" s="44"/>
      <c r="AH472" s="44"/>
      <c r="AI472" s="18">
        <f>AE472-AF472+AG472-AH472</f>
        <v>200000000</v>
      </c>
      <c r="AJ472" s="18">
        <f>AD472+AI472</f>
        <v>200000000</v>
      </c>
      <c r="AK472" s="44">
        <v>0</v>
      </c>
      <c r="AL472" s="44">
        <v>0</v>
      </c>
      <c r="AM472" s="44">
        <v>0</v>
      </c>
      <c r="AN472" s="44">
        <v>0</v>
      </c>
      <c r="AO472" s="44">
        <v>0</v>
      </c>
      <c r="AP472" s="44">
        <v>0</v>
      </c>
      <c r="AQ472" s="44">
        <v>0</v>
      </c>
      <c r="AR472" s="44">
        <v>0</v>
      </c>
      <c r="AS472" s="44">
        <v>0</v>
      </c>
      <c r="AT472" s="40">
        <f t="shared" ref="AT472" si="205">AQ472+AS472</f>
        <v>0</v>
      </c>
      <c r="AU472" s="18">
        <f>AJ472-AM472</f>
        <v>200000000</v>
      </c>
      <c r="AV472" s="34">
        <f>AM472-AP472</f>
        <v>0</v>
      </c>
      <c r="AW472" s="34">
        <f>AP472-AT472</f>
        <v>0</v>
      </c>
      <c r="AX472" s="123">
        <f>AP472/AJ472</f>
        <v>0</v>
      </c>
    </row>
    <row r="473" spans="1:50" ht="25.5" x14ac:dyDescent="0.2">
      <c r="AA473" s="28" t="s">
        <v>288</v>
      </c>
      <c r="AB473" s="29" t="s">
        <v>418</v>
      </c>
      <c r="AC473" s="17"/>
      <c r="AD473" s="18"/>
      <c r="AE473" s="34"/>
      <c r="AF473" s="34"/>
      <c r="AG473" s="34"/>
      <c r="AH473" s="34"/>
      <c r="AI473" s="34"/>
      <c r="AJ473" s="18"/>
      <c r="AK473" s="34"/>
      <c r="AL473" s="34"/>
      <c r="AM473" s="34"/>
      <c r="AN473" s="34"/>
      <c r="AO473" s="34"/>
      <c r="AP473" s="34"/>
      <c r="AQ473" s="34"/>
      <c r="AR473" s="34"/>
      <c r="AS473" s="34"/>
      <c r="AT473" s="40"/>
      <c r="AU473" s="18"/>
      <c r="AV473" s="34"/>
      <c r="AW473" s="34"/>
      <c r="AX473" s="18"/>
    </row>
    <row r="474" spans="1:50" x14ac:dyDescent="0.2">
      <c r="A474" s="4" t="s">
        <v>55</v>
      </c>
      <c r="B474" s="4" t="s">
        <v>56</v>
      </c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1" t="s">
        <v>419</v>
      </c>
      <c r="AB474" s="42" t="s">
        <v>233</v>
      </c>
      <c r="AC474" s="43" t="s">
        <v>58</v>
      </c>
      <c r="AD474" s="43">
        <v>200000000</v>
      </c>
      <c r="AE474" s="44">
        <v>0</v>
      </c>
      <c r="AF474" s="44">
        <v>0</v>
      </c>
      <c r="AG474" s="44">
        <v>0</v>
      </c>
      <c r="AH474" s="44">
        <v>0</v>
      </c>
      <c r="AI474" s="44">
        <v>0</v>
      </c>
      <c r="AJ474" s="43">
        <v>200000000</v>
      </c>
      <c r="AK474" s="44">
        <v>0</v>
      </c>
      <c r="AL474" s="44">
        <v>0</v>
      </c>
      <c r="AM474" s="44">
        <v>0</v>
      </c>
      <c r="AN474" s="44">
        <v>0</v>
      </c>
      <c r="AO474" s="44">
        <v>0</v>
      </c>
      <c r="AP474" s="44">
        <v>0</v>
      </c>
      <c r="AQ474" s="44">
        <v>0</v>
      </c>
      <c r="AR474" s="44">
        <v>0</v>
      </c>
      <c r="AS474" s="44">
        <v>0</v>
      </c>
      <c r="AT474" s="40">
        <f t="shared" si="196"/>
        <v>0</v>
      </c>
      <c r="AU474" s="18">
        <f>AJ474-AM474</f>
        <v>200000000</v>
      </c>
      <c r="AV474" s="34">
        <f>AM474-AP474</f>
        <v>0</v>
      </c>
      <c r="AW474" s="34">
        <f>AP474-AT474</f>
        <v>0</v>
      </c>
      <c r="AX474" s="123">
        <f>AP474/AJ474</f>
        <v>0</v>
      </c>
    </row>
    <row r="475" spans="1:50" ht="51" x14ac:dyDescent="0.2">
      <c r="AA475" s="28" t="s">
        <v>288</v>
      </c>
      <c r="AB475" s="29" t="s">
        <v>420</v>
      </c>
      <c r="AC475" s="17"/>
      <c r="AD475" s="18"/>
      <c r="AE475" s="34"/>
      <c r="AF475" s="34"/>
      <c r="AG475" s="34"/>
      <c r="AH475" s="34"/>
      <c r="AI475" s="34"/>
      <c r="AJ475" s="18"/>
      <c r="AK475" s="34"/>
      <c r="AL475" s="18"/>
      <c r="AM475" s="18"/>
      <c r="AN475" s="18"/>
      <c r="AO475" s="18"/>
      <c r="AP475" s="18"/>
      <c r="AQ475" s="18"/>
      <c r="AR475" s="18"/>
      <c r="AS475" s="18"/>
      <c r="AT475" s="40"/>
      <c r="AU475" s="18"/>
      <c r="AV475" s="18"/>
      <c r="AW475" s="18"/>
      <c r="AX475" s="18"/>
    </row>
    <row r="476" spans="1:50" x14ac:dyDescent="0.2">
      <c r="A476" s="4" t="s">
        <v>55</v>
      </c>
      <c r="B476" s="4" t="s">
        <v>56</v>
      </c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1" t="s">
        <v>421</v>
      </c>
      <c r="AB476" s="42" t="s">
        <v>328</v>
      </c>
      <c r="AC476" s="43" t="s">
        <v>61</v>
      </c>
      <c r="AD476" s="43">
        <v>501573828</v>
      </c>
      <c r="AE476" s="44">
        <v>0</v>
      </c>
      <c r="AF476" s="44">
        <v>0</v>
      </c>
      <c r="AG476" s="43">
        <v>280746171.69999999</v>
      </c>
      <c r="AH476" s="43">
        <v>3845830</v>
      </c>
      <c r="AI476" s="18">
        <f>AE476-AF476+AG476-AH476</f>
        <v>276900341.69999999</v>
      </c>
      <c r="AJ476" s="18">
        <f>AD476+AI476</f>
        <v>778474169.70000005</v>
      </c>
      <c r="AK476" s="44">
        <v>0</v>
      </c>
      <c r="AL476" s="43">
        <f>AM476-ABRIL!AM448</f>
        <v>39200000</v>
      </c>
      <c r="AM476" s="43">
        <v>532000000</v>
      </c>
      <c r="AN476" s="43">
        <v>0</v>
      </c>
      <c r="AO476" s="43">
        <v>36400000</v>
      </c>
      <c r="AP476" s="43">
        <v>529200000</v>
      </c>
      <c r="AQ476" s="43">
        <v>92400000</v>
      </c>
      <c r="AR476" s="43">
        <v>22960000</v>
      </c>
      <c r="AS476" s="43">
        <v>95759999</v>
      </c>
      <c r="AT476" s="39">
        <f t="shared" si="196"/>
        <v>188159999</v>
      </c>
      <c r="AU476" s="18">
        <f>AJ476-AM476</f>
        <v>246474169.70000005</v>
      </c>
      <c r="AV476" s="18">
        <f>AM476-AP476</f>
        <v>2800000</v>
      </c>
      <c r="AW476" s="18">
        <f>AP476-AT476</f>
        <v>341040001</v>
      </c>
      <c r="AX476" s="123">
        <f>AP476/AJ476</f>
        <v>0.67979134131571428</v>
      </c>
    </row>
    <row r="477" spans="1:50" ht="25.5" x14ac:dyDescent="0.2">
      <c r="A477" s="4" t="s">
        <v>55</v>
      </c>
      <c r="B477" s="4" t="s">
        <v>56</v>
      </c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1" t="s">
        <v>422</v>
      </c>
      <c r="AB477" s="42" t="s">
        <v>423</v>
      </c>
      <c r="AC477" s="43" t="s">
        <v>424</v>
      </c>
      <c r="AD477" s="43">
        <v>370346171.69999999</v>
      </c>
      <c r="AE477" s="44">
        <v>0</v>
      </c>
      <c r="AF477" s="44">
        <v>0</v>
      </c>
      <c r="AG477" s="44">
        <v>0</v>
      </c>
      <c r="AH477" s="43">
        <v>280746171.69999999</v>
      </c>
      <c r="AI477" s="18">
        <f>AE477-AF477+AG477-AH477</f>
        <v>-280746171.69999999</v>
      </c>
      <c r="AJ477" s="18">
        <f>AD477+AI477</f>
        <v>89600000</v>
      </c>
      <c r="AK477" s="44">
        <v>0</v>
      </c>
      <c r="AL477" s="43">
        <f>AM477-ABRIL!AM449</f>
        <v>0</v>
      </c>
      <c r="AM477" s="43">
        <v>89600000</v>
      </c>
      <c r="AN477" s="43">
        <v>0</v>
      </c>
      <c r="AO477" s="43">
        <v>0</v>
      </c>
      <c r="AP477" s="43">
        <v>89600000</v>
      </c>
      <c r="AQ477" s="43">
        <v>27813334</v>
      </c>
      <c r="AR477" s="43">
        <v>0</v>
      </c>
      <c r="AS477" s="43">
        <v>4853334</v>
      </c>
      <c r="AT477" s="39">
        <f t="shared" si="196"/>
        <v>32666668</v>
      </c>
      <c r="AU477" s="18">
        <f>AJ477-AM477</f>
        <v>0</v>
      </c>
      <c r="AV477" s="34">
        <f>AM477-AP477</f>
        <v>0</v>
      </c>
      <c r="AW477" s="18">
        <f>AP477-AT477</f>
        <v>56933332</v>
      </c>
      <c r="AX477" s="123">
        <f>AP477/AJ477</f>
        <v>1</v>
      </c>
    </row>
    <row r="478" spans="1:50" ht="18.75" customHeight="1" x14ac:dyDescent="0.2">
      <c r="AA478" s="28" t="s">
        <v>288</v>
      </c>
      <c r="AB478" s="29" t="s">
        <v>400</v>
      </c>
      <c r="AC478" s="17"/>
      <c r="AD478" s="18"/>
      <c r="AE478" s="34"/>
      <c r="AF478" s="34"/>
      <c r="AG478" s="34"/>
      <c r="AH478" s="34"/>
      <c r="AI478" s="34"/>
      <c r="AJ478" s="18"/>
      <c r="AK478" s="34"/>
      <c r="AL478" s="18"/>
      <c r="AM478" s="18"/>
      <c r="AN478" s="34"/>
      <c r="AO478" s="18"/>
      <c r="AP478" s="18"/>
      <c r="AQ478" s="34"/>
      <c r="AR478" s="34"/>
      <c r="AS478" s="34"/>
      <c r="AT478" s="40"/>
      <c r="AU478" s="18"/>
      <c r="AV478" s="18"/>
      <c r="AW478" s="18"/>
      <c r="AX478" s="18"/>
    </row>
    <row r="479" spans="1:50" ht="18.75" customHeight="1" x14ac:dyDescent="0.2">
      <c r="A479" s="4" t="s">
        <v>55</v>
      </c>
      <c r="B479" s="4" t="s">
        <v>56</v>
      </c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1" t="s">
        <v>425</v>
      </c>
      <c r="AB479" s="42" t="s">
        <v>233</v>
      </c>
      <c r="AC479" s="43" t="s">
        <v>58</v>
      </c>
      <c r="AD479" s="43">
        <v>318078211</v>
      </c>
      <c r="AE479" s="44">
        <v>0</v>
      </c>
      <c r="AF479" s="44">
        <v>0</v>
      </c>
      <c r="AG479" s="44">
        <v>0</v>
      </c>
      <c r="AH479" s="44">
        <v>0</v>
      </c>
      <c r="AI479" s="44">
        <v>0</v>
      </c>
      <c r="AJ479" s="43">
        <v>318078211</v>
      </c>
      <c r="AK479" s="44">
        <v>0</v>
      </c>
      <c r="AL479" s="44">
        <f>AM479-ABRIL!AM451</f>
        <v>0</v>
      </c>
      <c r="AM479" s="43">
        <v>217200000</v>
      </c>
      <c r="AN479" s="44">
        <v>0</v>
      </c>
      <c r="AO479" s="44">
        <v>0</v>
      </c>
      <c r="AP479" s="43">
        <v>217200000</v>
      </c>
      <c r="AQ479" s="44">
        <v>2550000</v>
      </c>
      <c r="AR479" s="114">
        <v>24600000</v>
      </c>
      <c r="AS479" s="114">
        <v>82006667</v>
      </c>
      <c r="AT479" s="39">
        <f t="shared" si="196"/>
        <v>84556667</v>
      </c>
      <c r="AU479" s="18">
        <f>AJ479-AM479</f>
        <v>100878211</v>
      </c>
      <c r="AV479" s="34">
        <f>AM479-AP479</f>
        <v>0</v>
      </c>
      <c r="AW479" s="18">
        <f>AP479-AT479</f>
        <v>132643333</v>
      </c>
      <c r="AX479" s="123">
        <f>AP479/AJ479</f>
        <v>0.68285092310205431</v>
      </c>
    </row>
    <row r="480" spans="1:50" ht="18.75" customHeight="1" x14ac:dyDescent="0.2">
      <c r="A480" s="4" t="s">
        <v>55</v>
      </c>
      <c r="B480" s="4" t="s">
        <v>56</v>
      </c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1" t="s">
        <v>426</v>
      </c>
      <c r="AB480" s="42" t="s">
        <v>427</v>
      </c>
      <c r="AC480" s="43" t="s">
        <v>428</v>
      </c>
      <c r="AD480" s="43">
        <v>12674978.119999999</v>
      </c>
      <c r="AE480" s="44">
        <v>0</v>
      </c>
      <c r="AF480" s="44">
        <v>0</v>
      </c>
      <c r="AG480" s="44">
        <v>0</v>
      </c>
      <c r="AH480" s="44">
        <v>0</v>
      </c>
      <c r="AI480" s="44">
        <v>0</v>
      </c>
      <c r="AJ480" s="43">
        <v>12674978.119999999</v>
      </c>
      <c r="AK480" s="44">
        <v>0</v>
      </c>
      <c r="AL480" s="44">
        <v>0</v>
      </c>
      <c r="AM480" s="44">
        <v>0</v>
      </c>
      <c r="AN480" s="44">
        <v>0</v>
      </c>
      <c r="AO480" s="44">
        <v>0</v>
      </c>
      <c r="AP480" s="44">
        <v>0</v>
      </c>
      <c r="AQ480" s="44">
        <v>0</v>
      </c>
      <c r="AR480" s="44">
        <v>0</v>
      </c>
      <c r="AS480" s="44">
        <v>0</v>
      </c>
      <c r="AT480" s="40">
        <f t="shared" si="196"/>
        <v>0</v>
      </c>
      <c r="AU480" s="18">
        <f>AJ480-AM480</f>
        <v>12674978.119999999</v>
      </c>
      <c r="AV480" s="34">
        <f>AM480-AP480</f>
        <v>0</v>
      </c>
      <c r="AW480" s="34">
        <f>AP480-AT480</f>
        <v>0</v>
      </c>
      <c r="AX480" s="123">
        <f>AP480/AJ480</f>
        <v>0</v>
      </c>
    </row>
    <row r="481" spans="1:50" ht="18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1"/>
      <c r="AB481" s="42"/>
      <c r="AC481" s="168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0"/>
      <c r="AU481" s="18"/>
      <c r="AV481" s="34"/>
      <c r="AW481" s="34"/>
      <c r="AX481" s="123"/>
    </row>
    <row r="482" spans="1:50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170" t="s">
        <v>1016</v>
      </c>
      <c r="AB482" s="170" t="s">
        <v>997</v>
      </c>
      <c r="AC482" s="168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0"/>
      <c r="AU482" s="18"/>
      <c r="AV482" s="34"/>
      <c r="AW482" s="34"/>
      <c r="AX482" s="123"/>
    </row>
    <row r="483" spans="1:50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170" t="s">
        <v>1017</v>
      </c>
      <c r="AB483" s="170" t="s">
        <v>999</v>
      </c>
      <c r="AC483" s="168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0"/>
      <c r="AU483" s="18"/>
      <c r="AV483" s="34"/>
      <c r="AW483" s="34"/>
      <c r="AX483" s="123"/>
    </row>
    <row r="484" spans="1:50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170" t="s">
        <v>1018</v>
      </c>
      <c r="AB484" s="170" t="s">
        <v>1001</v>
      </c>
      <c r="AC484" s="168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0"/>
      <c r="AU484" s="18"/>
      <c r="AV484" s="34"/>
      <c r="AW484" s="34"/>
      <c r="AX484" s="123"/>
    </row>
    <row r="485" spans="1:50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170" t="s">
        <v>1021</v>
      </c>
      <c r="AB485" s="165" t="s">
        <v>1003</v>
      </c>
      <c r="AC485" s="168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0"/>
      <c r="AU485" s="18"/>
      <c r="AV485" s="34"/>
      <c r="AW485" s="34"/>
      <c r="AX485" s="123"/>
    </row>
    <row r="486" spans="1:50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166" t="s">
        <v>1019</v>
      </c>
      <c r="AB486" s="167" t="s">
        <v>1005</v>
      </c>
      <c r="AC486" s="168"/>
      <c r="AD486" s="44">
        <v>0</v>
      </c>
      <c r="AE486" s="43">
        <v>289968755.39999998</v>
      </c>
      <c r="AF486" s="44">
        <v>0</v>
      </c>
      <c r="AG486" s="44">
        <v>0</v>
      </c>
      <c r="AH486" s="44">
        <v>0</v>
      </c>
      <c r="AI486" s="18">
        <f t="shared" ref="AI486:AI487" si="206">AE486-AF486+AG486-AH486</f>
        <v>289968755.39999998</v>
      </c>
      <c r="AJ486" s="18">
        <f t="shared" ref="AJ486:AJ487" si="207">AD486+AI486</f>
        <v>289968755.39999998</v>
      </c>
      <c r="AK486" s="44">
        <v>0</v>
      </c>
      <c r="AL486" s="44">
        <v>0</v>
      </c>
      <c r="AM486" s="44">
        <v>0</v>
      </c>
      <c r="AN486" s="44">
        <v>0</v>
      </c>
      <c r="AO486" s="44">
        <v>0</v>
      </c>
      <c r="AP486" s="44">
        <v>0</v>
      </c>
      <c r="AQ486" s="44">
        <v>0</v>
      </c>
      <c r="AR486" s="44">
        <v>0</v>
      </c>
      <c r="AS486" s="44">
        <v>0</v>
      </c>
      <c r="AT486" s="40">
        <f t="shared" ref="AT486:AT487" si="208">AQ486+AS486</f>
        <v>0</v>
      </c>
      <c r="AU486" s="18">
        <f>AJ486-AM486</f>
        <v>289968755.39999998</v>
      </c>
      <c r="AV486" s="34">
        <f>AM486-AP486</f>
        <v>0</v>
      </c>
      <c r="AW486" s="34">
        <f>AP486-AT486</f>
        <v>0</v>
      </c>
      <c r="AX486" s="123">
        <f>AP486/AJ486</f>
        <v>0</v>
      </c>
    </row>
    <row r="487" spans="1:50" ht="25.5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166" t="s">
        <v>1022</v>
      </c>
      <c r="AB487" s="167" t="s">
        <v>1023</v>
      </c>
      <c r="AC487" s="168"/>
      <c r="AD487" s="44">
        <v>0</v>
      </c>
      <c r="AE487" s="43">
        <v>185022377.55000001</v>
      </c>
      <c r="AF487" s="44">
        <v>0</v>
      </c>
      <c r="AG487" s="44">
        <v>0</v>
      </c>
      <c r="AH487" s="44">
        <v>0</v>
      </c>
      <c r="AI487" s="18">
        <f t="shared" si="206"/>
        <v>185022377.55000001</v>
      </c>
      <c r="AJ487" s="18">
        <f t="shared" si="207"/>
        <v>185022377.55000001</v>
      </c>
      <c r="AK487" s="44">
        <v>0</v>
      </c>
      <c r="AL487" s="44">
        <v>0</v>
      </c>
      <c r="AM487" s="44">
        <v>0</v>
      </c>
      <c r="AN487" s="44">
        <v>0</v>
      </c>
      <c r="AO487" s="44">
        <v>0</v>
      </c>
      <c r="AP487" s="44">
        <v>0</v>
      </c>
      <c r="AQ487" s="44">
        <v>0</v>
      </c>
      <c r="AR487" s="44">
        <v>0</v>
      </c>
      <c r="AS487" s="44">
        <v>0</v>
      </c>
      <c r="AT487" s="40">
        <f t="shared" si="208"/>
        <v>0</v>
      </c>
      <c r="AU487" s="18">
        <f>AJ487-AM487</f>
        <v>185022377.55000001</v>
      </c>
      <c r="AV487" s="34">
        <f>AM487-AP487</f>
        <v>0</v>
      </c>
      <c r="AW487" s="34">
        <f>AP487-AT487</f>
        <v>0</v>
      </c>
      <c r="AX487" s="123">
        <f>AP487/AJ487</f>
        <v>0</v>
      </c>
    </row>
    <row r="488" spans="1:50" ht="18.75" customHeight="1" x14ac:dyDescent="0.2">
      <c r="AA488" s="16"/>
      <c r="AB488" s="17"/>
      <c r="AC488" s="17"/>
      <c r="AD488" s="18"/>
      <c r="AE488" s="34"/>
      <c r="AF488" s="34"/>
      <c r="AG488" s="34"/>
      <c r="AH488" s="34"/>
      <c r="AI488" s="34"/>
      <c r="AJ488" s="18"/>
      <c r="AK488" s="34"/>
      <c r="AL488" s="18"/>
      <c r="AM488" s="18"/>
      <c r="AN488" s="18"/>
      <c r="AO488" s="18"/>
      <c r="AP488" s="18"/>
      <c r="AQ488" s="18"/>
      <c r="AR488" s="18"/>
      <c r="AS488" s="18"/>
      <c r="AT488" s="40"/>
      <c r="AU488" s="18"/>
      <c r="AV488" s="18"/>
      <c r="AW488" s="18"/>
      <c r="AX488" s="18"/>
    </row>
    <row r="489" spans="1:50" ht="18.75" customHeight="1" x14ac:dyDescent="0.2">
      <c r="AA489" s="16"/>
      <c r="AB489" s="29" t="s">
        <v>429</v>
      </c>
      <c r="AC489" s="17"/>
      <c r="AD489" s="18"/>
      <c r="AE489" s="34"/>
      <c r="AF489" s="34"/>
      <c r="AG489" s="34"/>
      <c r="AH489" s="34"/>
      <c r="AI489" s="34"/>
      <c r="AJ489" s="18"/>
      <c r="AK489" s="34"/>
      <c r="AL489" s="18"/>
      <c r="AM489" s="18"/>
      <c r="AN489" s="18"/>
      <c r="AO489" s="18"/>
      <c r="AP489" s="18"/>
      <c r="AQ489" s="18"/>
      <c r="AR489" s="18"/>
      <c r="AS489" s="18"/>
      <c r="AT489" s="40"/>
      <c r="AU489" s="18"/>
      <c r="AV489" s="18"/>
      <c r="AW489" s="18"/>
      <c r="AX489" s="18"/>
    </row>
    <row r="490" spans="1:50" ht="18.75" customHeight="1" x14ac:dyDescent="0.2">
      <c r="AA490" s="16"/>
      <c r="AB490" s="29" t="s">
        <v>286</v>
      </c>
      <c r="AC490" s="17"/>
      <c r="AD490" s="18"/>
      <c r="AE490" s="34"/>
      <c r="AF490" s="34"/>
      <c r="AG490" s="34"/>
      <c r="AH490" s="34"/>
      <c r="AI490" s="34"/>
      <c r="AJ490" s="18"/>
      <c r="AK490" s="34"/>
      <c r="AL490" s="18"/>
      <c r="AM490" s="18"/>
      <c r="AN490" s="18"/>
      <c r="AO490" s="18"/>
      <c r="AP490" s="18"/>
      <c r="AQ490" s="18"/>
      <c r="AR490" s="18"/>
      <c r="AS490" s="18"/>
      <c r="AT490" s="40"/>
      <c r="AU490" s="18"/>
      <c r="AV490" s="18"/>
      <c r="AW490" s="18"/>
      <c r="AX490" s="18"/>
    </row>
    <row r="491" spans="1:50" ht="18.75" customHeight="1" x14ac:dyDescent="0.2">
      <c r="AA491" s="16"/>
      <c r="AB491" s="29" t="s">
        <v>179</v>
      </c>
      <c r="AC491" s="17"/>
      <c r="AD491" s="18"/>
      <c r="AE491" s="34"/>
      <c r="AF491" s="34"/>
      <c r="AG491" s="34"/>
      <c r="AH491" s="34"/>
      <c r="AI491" s="34"/>
      <c r="AJ491" s="18"/>
      <c r="AK491" s="34"/>
      <c r="AL491" s="18"/>
      <c r="AM491" s="18"/>
      <c r="AN491" s="18"/>
      <c r="AO491" s="18"/>
      <c r="AP491" s="18"/>
      <c r="AQ491" s="18"/>
      <c r="AR491" s="18"/>
      <c r="AS491" s="18"/>
      <c r="AT491" s="40"/>
      <c r="AU491" s="18"/>
      <c r="AV491" s="18"/>
      <c r="AW491" s="18"/>
      <c r="AX491" s="18"/>
    </row>
    <row r="492" spans="1:50" ht="18.75" customHeight="1" x14ac:dyDescent="0.2">
      <c r="AA492" s="16"/>
      <c r="AB492" s="29" t="s">
        <v>189</v>
      </c>
      <c r="AC492" s="17"/>
      <c r="AD492" s="18"/>
      <c r="AE492" s="34"/>
      <c r="AF492" s="34"/>
      <c r="AG492" s="34"/>
      <c r="AH492" s="34"/>
      <c r="AI492" s="34"/>
      <c r="AJ492" s="18"/>
      <c r="AK492" s="34"/>
      <c r="AL492" s="18"/>
      <c r="AM492" s="18"/>
      <c r="AN492" s="18"/>
      <c r="AO492" s="18"/>
      <c r="AP492" s="18"/>
      <c r="AQ492" s="18"/>
      <c r="AR492" s="18"/>
      <c r="AS492" s="18"/>
      <c r="AT492" s="40"/>
      <c r="AU492" s="18"/>
      <c r="AV492" s="18"/>
      <c r="AW492" s="18"/>
      <c r="AX492" s="18"/>
    </row>
    <row r="493" spans="1:50" ht="18.75" customHeight="1" x14ac:dyDescent="0.2">
      <c r="AA493" s="16"/>
      <c r="AB493" s="29" t="s">
        <v>199</v>
      </c>
      <c r="AC493" s="17"/>
      <c r="AD493" s="18"/>
      <c r="AE493" s="34"/>
      <c r="AF493" s="34"/>
      <c r="AG493" s="34"/>
      <c r="AH493" s="34"/>
      <c r="AI493" s="34"/>
      <c r="AJ493" s="18"/>
      <c r="AK493" s="34"/>
      <c r="AL493" s="18"/>
      <c r="AM493" s="18"/>
      <c r="AN493" s="18"/>
      <c r="AO493" s="18"/>
      <c r="AP493" s="18"/>
      <c r="AQ493" s="18"/>
      <c r="AR493" s="18"/>
      <c r="AS493" s="18"/>
      <c r="AT493" s="40"/>
      <c r="AU493" s="18"/>
      <c r="AV493" s="18"/>
      <c r="AW493" s="18"/>
      <c r="AX493" s="18"/>
    </row>
    <row r="494" spans="1:50" ht="25.5" x14ac:dyDescent="0.2">
      <c r="AA494" s="28" t="s">
        <v>288</v>
      </c>
      <c r="AB494" s="29" t="s">
        <v>418</v>
      </c>
      <c r="AC494" s="17"/>
      <c r="AD494" s="18"/>
      <c r="AE494" s="34"/>
      <c r="AF494" s="34"/>
      <c r="AG494" s="34"/>
      <c r="AH494" s="34"/>
      <c r="AI494" s="34"/>
      <c r="AJ494" s="18"/>
      <c r="AK494" s="34"/>
      <c r="AL494" s="18"/>
      <c r="AM494" s="18"/>
      <c r="AN494" s="18"/>
      <c r="AO494" s="18"/>
      <c r="AP494" s="18"/>
      <c r="AQ494" s="18"/>
      <c r="AR494" s="18"/>
      <c r="AS494" s="18"/>
      <c r="AT494" s="40"/>
      <c r="AU494" s="18"/>
      <c r="AV494" s="18"/>
      <c r="AW494" s="18"/>
      <c r="AX494" s="18"/>
    </row>
    <row r="495" spans="1:50" ht="18.75" customHeight="1" x14ac:dyDescent="0.2">
      <c r="A495" s="4" t="s">
        <v>55</v>
      </c>
      <c r="B495" s="4" t="s">
        <v>56</v>
      </c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1" t="s">
        <v>419</v>
      </c>
      <c r="AB495" s="42" t="s">
        <v>233</v>
      </c>
      <c r="AC495" s="43" t="s">
        <v>58</v>
      </c>
      <c r="AD495" s="43">
        <v>2364833525</v>
      </c>
      <c r="AE495" s="44">
        <v>0</v>
      </c>
      <c r="AF495" s="44">
        <v>0</v>
      </c>
      <c r="AG495" s="44">
        <v>0</v>
      </c>
      <c r="AH495" s="18">
        <v>1500000000</v>
      </c>
      <c r="AI495" s="18">
        <f>AE495-AF495+AG495-AH495</f>
        <v>-1500000000</v>
      </c>
      <c r="AJ495" s="18">
        <f>AD495+AI495</f>
        <v>864833525</v>
      </c>
      <c r="AK495" s="44">
        <v>0</v>
      </c>
      <c r="AL495" s="44">
        <f>AM495-ABRIL!AM461</f>
        <v>0</v>
      </c>
      <c r="AM495" s="43">
        <v>798113570</v>
      </c>
      <c r="AN495" s="44">
        <v>0</v>
      </c>
      <c r="AO495" s="44">
        <f>AP495-ABRIL!AP461</f>
        <v>0</v>
      </c>
      <c r="AP495" s="43">
        <v>798113570</v>
      </c>
      <c r="AQ495" s="44">
        <v>0</v>
      </c>
      <c r="AR495" s="43">
        <v>0</v>
      </c>
      <c r="AS495" s="43">
        <v>293958556</v>
      </c>
      <c r="AT495" s="39">
        <f t="shared" ref="AT495:AT497" si="209">AQ495+AS495</f>
        <v>293958556</v>
      </c>
      <c r="AU495" s="18">
        <f>AJ495-AM495</f>
        <v>66719955</v>
      </c>
      <c r="AV495" s="34">
        <f>AM495-AP495</f>
        <v>0</v>
      </c>
      <c r="AW495" s="18">
        <f>AP495-AT495</f>
        <v>504155014</v>
      </c>
      <c r="AX495" s="123">
        <f>AP495/AJ495</f>
        <v>0.92285225645016478</v>
      </c>
    </row>
    <row r="496" spans="1:50" ht="18.75" customHeight="1" x14ac:dyDescent="0.2">
      <c r="A496" s="4" t="s">
        <v>55</v>
      </c>
      <c r="B496" s="4" t="s">
        <v>56</v>
      </c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1" t="s">
        <v>430</v>
      </c>
      <c r="AB496" s="42" t="s">
        <v>431</v>
      </c>
      <c r="AC496" s="43" t="s">
        <v>432</v>
      </c>
      <c r="AD496" s="43">
        <v>1269842288</v>
      </c>
      <c r="AE496" s="44">
        <v>0</v>
      </c>
      <c r="AF496" s="44">
        <v>0</v>
      </c>
      <c r="AG496" s="44">
        <v>0</v>
      </c>
      <c r="AH496" s="44">
        <v>0</v>
      </c>
      <c r="AI496" s="44">
        <v>0</v>
      </c>
      <c r="AJ496" s="43">
        <v>1269842288</v>
      </c>
      <c r="AK496" s="44">
        <v>0</v>
      </c>
      <c r="AL496" s="252">
        <f>AM496-ABRIL!AM462</f>
        <v>-3800000</v>
      </c>
      <c r="AM496" s="43">
        <v>1266042288</v>
      </c>
      <c r="AN496" s="44">
        <v>0</v>
      </c>
      <c r="AO496" s="43">
        <f>AP496-ABRIL!AP462</f>
        <v>-3800000</v>
      </c>
      <c r="AP496" s="43">
        <v>1266042288</v>
      </c>
      <c r="AQ496" s="43">
        <v>23779710</v>
      </c>
      <c r="AR496" s="43">
        <v>55297002</v>
      </c>
      <c r="AS496" s="43">
        <v>190413598</v>
      </c>
      <c r="AT496" s="39">
        <f t="shared" si="209"/>
        <v>214193308</v>
      </c>
      <c r="AU496" s="18">
        <f>AJ496-AM496</f>
        <v>3800000</v>
      </c>
      <c r="AV496" s="34">
        <f>AM496-AP496</f>
        <v>0</v>
      </c>
      <c r="AW496" s="18">
        <f>AP496-AT496</f>
        <v>1051848980</v>
      </c>
      <c r="AX496" s="123">
        <f>AP496/AJ496</f>
        <v>0.99700750239938463</v>
      </c>
    </row>
    <row r="497" spans="1:50" ht="18.75" customHeight="1" x14ac:dyDescent="0.2">
      <c r="A497" s="4" t="s">
        <v>55</v>
      </c>
      <c r="B497" s="4" t="s">
        <v>56</v>
      </c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1" t="s">
        <v>433</v>
      </c>
      <c r="AB497" s="42" t="s">
        <v>434</v>
      </c>
      <c r="AC497" s="43" t="s">
        <v>428</v>
      </c>
      <c r="AD497" s="43">
        <v>1185147617</v>
      </c>
      <c r="AE497" s="44">
        <v>0</v>
      </c>
      <c r="AF497" s="44">
        <v>0</v>
      </c>
      <c r="AG497" s="44">
        <v>0</v>
      </c>
      <c r="AH497" s="44">
        <v>0</v>
      </c>
      <c r="AI497" s="44">
        <v>0</v>
      </c>
      <c r="AJ497" s="43">
        <v>1185147617</v>
      </c>
      <c r="AK497" s="44">
        <v>0</v>
      </c>
      <c r="AL497" s="44">
        <v>0</v>
      </c>
      <c r="AM497" s="43">
        <v>358822174</v>
      </c>
      <c r="AN497" s="44">
        <v>0</v>
      </c>
      <c r="AO497" s="44">
        <f>AP497-ABRIL!AP463</f>
        <v>0</v>
      </c>
      <c r="AP497" s="43">
        <v>358822174</v>
      </c>
      <c r="AQ497" s="44">
        <v>143528869</v>
      </c>
      <c r="AR497" s="44">
        <v>0</v>
      </c>
      <c r="AS497" s="44">
        <v>0</v>
      </c>
      <c r="AT497" s="39">
        <f t="shared" si="209"/>
        <v>143528869</v>
      </c>
      <c r="AU497" s="18">
        <f>AJ497-AM497</f>
        <v>826325443</v>
      </c>
      <c r="AV497" s="34">
        <f>AM497-AP497</f>
        <v>0</v>
      </c>
      <c r="AW497" s="18">
        <f>AP497-AT497</f>
        <v>215293305</v>
      </c>
      <c r="AX497" s="123">
        <f>AP497/AJ497</f>
        <v>0.3027658064303394</v>
      </c>
    </row>
    <row r="498" spans="1:50" ht="18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166" t="s">
        <v>1024</v>
      </c>
      <c r="AB498" s="167" t="s">
        <v>1025</v>
      </c>
      <c r="AC498" s="168"/>
      <c r="AD498" s="44">
        <v>0</v>
      </c>
      <c r="AE498" s="43">
        <v>860456218.52999997</v>
      </c>
      <c r="AF498" s="44">
        <v>0</v>
      </c>
      <c r="AG498" s="44">
        <v>0</v>
      </c>
      <c r="AH498" s="44">
        <v>0</v>
      </c>
      <c r="AI498" s="18">
        <f>AE498-AF498+AG498-AH498</f>
        <v>860456218.52999997</v>
      </c>
      <c r="AJ498" s="18">
        <f>AD498+AI498</f>
        <v>860456218.52999997</v>
      </c>
      <c r="AK498" s="44">
        <v>0</v>
      </c>
      <c r="AL498" s="44">
        <v>0</v>
      </c>
      <c r="AM498" s="43">
        <v>0</v>
      </c>
      <c r="AN498" s="44">
        <v>0</v>
      </c>
      <c r="AO498" s="44">
        <v>0</v>
      </c>
      <c r="AP498" s="43">
        <v>0</v>
      </c>
      <c r="AQ498" s="44">
        <v>0</v>
      </c>
      <c r="AR498" s="44">
        <v>0</v>
      </c>
      <c r="AS498" s="44">
        <v>0</v>
      </c>
      <c r="AT498" s="39">
        <f t="shared" ref="AT498" si="210">AQ498+AS498</f>
        <v>0</v>
      </c>
      <c r="AU498" s="18">
        <f>AJ498-AM498</f>
        <v>860456218.52999997</v>
      </c>
      <c r="AV498" s="34">
        <f>AM498-AP498</f>
        <v>0</v>
      </c>
      <c r="AW498" s="18">
        <f>AP498-AT498</f>
        <v>0</v>
      </c>
      <c r="AX498" s="123">
        <f>AP498/AJ498</f>
        <v>0</v>
      </c>
    </row>
    <row r="499" spans="1:50" ht="25.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208" t="s">
        <v>288</v>
      </c>
      <c r="AB499" s="209" t="s">
        <v>959</v>
      </c>
      <c r="AC499" s="43"/>
      <c r="AD499" s="43"/>
      <c r="AE499" s="44"/>
      <c r="AF499" s="44"/>
      <c r="AG499" s="44"/>
      <c r="AH499" s="44"/>
      <c r="AI499" s="44"/>
      <c r="AJ499" s="43"/>
      <c r="AK499" s="44"/>
      <c r="AL499" s="44"/>
      <c r="AM499" s="44"/>
      <c r="AN499" s="44"/>
      <c r="AO499" s="44"/>
      <c r="AP499" s="44"/>
      <c r="AQ499" s="44"/>
      <c r="AR499" s="44"/>
      <c r="AS499" s="44"/>
      <c r="AT499" s="40"/>
      <c r="AU499" s="18"/>
      <c r="AV499" s="34"/>
      <c r="AW499" s="34"/>
      <c r="AX499" s="123"/>
    </row>
    <row r="500" spans="1:50" ht="18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160" t="s">
        <v>960</v>
      </c>
      <c r="AB500" s="42" t="s">
        <v>961</v>
      </c>
      <c r="AC500" s="43"/>
      <c r="AD500" s="44">
        <v>0</v>
      </c>
      <c r="AE500" s="44">
        <v>0</v>
      </c>
      <c r="AF500" s="44">
        <v>0</v>
      </c>
      <c r="AG500" s="43">
        <v>1500000000</v>
      </c>
      <c r="AH500" s="44">
        <v>0</v>
      </c>
      <c r="AI500" s="18">
        <f>AE500-AF500+AG500-AH500</f>
        <v>1500000000</v>
      </c>
      <c r="AJ500" s="18">
        <f>AD500+AI500</f>
        <v>1500000000</v>
      </c>
      <c r="AK500" s="44">
        <v>0</v>
      </c>
      <c r="AL500" s="44">
        <v>0</v>
      </c>
      <c r="AM500" s="44">
        <v>0</v>
      </c>
      <c r="AN500" s="44">
        <v>0</v>
      </c>
      <c r="AO500" s="44">
        <v>0</v>
      </c>
      <c r="AP500" s="44">
        <v>0</v>
      </c>
      <c r="AQ500" s="44">
        <v>0</v>
      </c>
      <c r="AR500" s="44">
        <v>0</v>
      </c>
      <c r="AS500" s="44">
        <v>0</v>
      </c>
      <c r="AT500" s="40">
        <f t="shared" ref="AT500" si="211">AQ500+AS500</f>
        <v>0</v>
      </c>
      <c r="AU500" s="18">
        <f>AJ500-AM500</f>
        <v>1500000000</v>
      </c>
      <c r="AV500" s="34">
        <f>AM500-AP500</f>
        <v>0</v>
      </c>
      <c r="AW500" s="18">
        <f>AP500-AT500</f>
        <v>0</v>
      </c>
      <c r="AX500" s="123">
        <f>AP500/AJ500</f>
        <v>0</v>
      </c>
    </row>
    <row r="501" spans="1:50" ht="18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160"/>
      <c r="AB501" s="42"/>
      <c r="AC501" s="43"/>
      <c r="AD501" s="44"/>
      <c r="AE501" s="44"/>
      <c r="AF501" s="44"/>
      <c r="AG501" s="43"/>
      <c r="AH501" s="44"/>
      <c r="AI501" s="18"/>
      <c r="AJ501" s="18"/>
      <c r="AK501" s="44"/>
      <c r="AL501" s="44"/>
      <c r="AM501" s="44"/>
      <c r="AN501" s="44"/>
      <c r="AO501" s="44"/>
      <c r="AP501" s="44"/>
      <c r="AQ501" s="44"/>
      <c r="AR501" s="44"/>
      <c r="AS501" s="44"/>
      <c r="AT501" s="40"/>
      <c r="AU501" s="18"/>
      <c r="AV501" s="34"/>
      <c r="AW501" s="18"/>
      <c r="AX501" s="123"/>
    </row>
    <row r="502" spans="1:50" ht="18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166"/>
      <c r="AB502" s="165" t="s">
        <v>1026</v>
      </c>
      <c r="AC502" s="168"/>
      <c r="AD502" s="44"/>
      <c r="AE502" s="44"/>
      <c r="AF502" s="44"/>
      <c r="AG502" s="43"/>
      <c r="AH502" s="44"/>
      <c r="AI502" s="18"/>
      <c r="AJ502" s="18"/>
      <c r="AK502" s="44"/>
      <c r="AL502" s="44"/>
      <c r="AM502" s="44"/>
      <c r="AN502" s="44"/>
      <c r="AO502" s="44"/>
      <c r="AP502" s="44"/>
      <c r="AQ502" s="44"/>
      <c r="AR502" s="44"/>
      <c r="AS502" s="44"/>
      <c r="AT502" s="40"/>
      <c r="AU502" s="18"/>
      <c r="AV502" s="34"/>
      <c r="AW502" s="18"/>
      <c r="AX502" s="123"/>
    </row>
    <row r="503" spans="1:50" ht="25.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166" t="s">
        <v>991</v>
      </c>
      <c r="AB503" s="167" t="s">
        <v>992</v>
      </c>
      <c r="AC503" s="168"/>
      <c r="AD503" s="44">
        <v>0</v>
      </c>
      <c r="AE503" s="43">
        <v>720712175</v>
      </c>
      <c r="AF503" s="44">
        <v>0</v>
      </c>
      <c r="AG503" s="44">
        <v>0</v>
      </c>
      <c r="AH503" s="44">
        <v>0</v>
      </c>
      <c r="AI503" s="18">
        <f>AE503-AF503+AG503-AH503</f>
        <v>720712175</v>
      </c>
      <c r="AJ503" s="18">
        <f>AD503+AI503</f>
        <v>720712175</v>
      </c>
      <c r="AK503" s="44">
        <v>0</v>
      </c>
      <c r="AL503" s="44">
        <v>0</v>
      </c>
      <c r="AM503" s="44">
        <v>0</v>
      </c>
      <c r="AN503" s="44">
        <v>0</v>
      </c>
      <c r="AO503" s="44">
        <v>0</v>
      </c>
      <c r="AP503" s="44">
        <v>0</v>
      </c>
      <c r="AQ503" s="44">
        <v>0</v>
      </c>
      <c r="AR503" s="44">
        <v>0</v>
      </c>
      <c r="AS503" s="44">
        <v>0</v>
      </c>
      <c r="AT503" s="40">
        <f t="shared" ref="AT503" si="212">AQ503+AS503</f>
        <v>0</v>
      </c>
      <c r="AU503" s="18">
        <f>AJ503-AM503</f>
        <v>720712175</v>
      </c>
      <c r="AV503" s="34">
        <f>AM503-AP503</f>
        <v>0</v>
      </c>
      <c r="AW503" s="18">
        <f>AP503-AT503</f>
        <v>0</v>
      </c>
      <c r="AX503" s="123">
        <f>AP503/AJ503</f>
        <v>0</v>
      </c>
    </row>
    <row r="504" spans="1:50" ht="18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210"/>
      <c r="AB504" s="207"/>
      <c r="AC504" s="43"/>
      <c r="AD504" s="44"/>
      <c r="AE504" s="44"/>
      <c r="AF504" s="44"/>
      <c r="AG504" s="43"/>
      <c r="AH504" s="44"/>
      <c r="AI504" s="18"/>
      <c r="AJ504" s="18"/>
      <c r="AK504" s="44"/>
      <c r="AL504" s="44"/>
      <c r="AM504" s="44"/>
      <c r="AN504" s="44"/>
      <c r="AO504" s="44"/>
      <c r="AP504" s="44"/>
      <c r="AQ504" s="44"/>
      <c r="AR504" s="44"/>
      <c r="AS504" s="44"/>
      <c r="AT504" s="40"/>
      <c r="AU504" s="18"/>
      <c r="AV504" s="34"/>
      <c r="AW504" s="18"/>
      <c r="AX504" s="123"/>
    </row>
    <row r="505" spans="1:50" ht="18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170" t="s">
        <v>1016</v>
      </c>
      <c r="AB505" s="170" t="s">
        <v>997</v>
      </c>
      <c r="AC505" s="168"/>
      <c r="AD505" s="44"/>
      <c r="AE505" s="44"/>
      <c r="AF505" s="44"/>
      <c r="AG505" s="43"/>
      <c r="AH505" s="44"/>
      <c r="AI505" s="18"/>
      <c r="AJ505" s="18"/>
      <c r="AK505" s="44"/>
      <c r="AL505" s="44"/>
      <c r="AM505" s="44"/>
      <c r="AN505" s="44"/>
      <c r="AO505" s="44"/>
      <c r="AP505" s="44"/>
      <c r="AQ505" s="44"/>
      <c r="AR505" s="44"/>
      <c r="AS505" s="44"/>
      <c r="AT505" s="40"/>
      <c r="AU505" s="18"/>
      <c r="AV505" s="34"/>
      <c r="AW505" s="18"/>
      <c r="AX505" s="123"/>
    </row>
    <row r="506" spans="1:50" ht="18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170" t="s">
        <v>1017</v>
      </c>
      <c r="AB506" s="170" t="s">
        <v>999</v>
      </c>
      <c r="AC506" s="168"/>
      <c r="AD506" s="44"/>
      <c r="AE506" s="44"/>
      <c r="AF506" s="44"/>
      <c r="AG506" s="43"/>
      <c r="AH506" s="44"/>
      <c r="AI506" s="18"/>
      <c r="AJ506" s="18"/>
      <c r="AK506" s="44"/>
      <c r="AL506" s="44"/>
      <c r="AM506" s="44"/>
      <c r="AN506" s="44"/>
      <c r="AO506" s="44"/>
      <c r="AP506" s="44"/>
      <c r="AQ506" s="44"/>
      <c r="AR506" s="44"/>
      <c r="AS506" s="44"/>
      <c r="AT506" s="40"/>
      <c r="AU506" s="18"/>
      <c r="AV506" s="34"/>
      <c r="AW506" s="18"/>
      <c r="AX506" s="123"/>
    </row>
    <row r="507" spans="1:50" ht="18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170" t="s">
        <v>1018</v>
      </c>
      <c r="AB507" s="170" t="s">
        <v>1001</v>
      </c>
      <c r="AC507" s="168"/>
      <c r="AD507" s="44"/>
      <c r="AE507" s="44"/>
      <c r="AF507" s="44"/>
      <c r="AG507" s="43"/>
      <c r="AH507" s="44"/>
      <c r="AI507" s="18"/>
      <c r="AJ507" s="18"/>
      <c r="AK507" s="44"/>
      <c r="AL507" s="44"/>
      <c r="AM507" s="44"/>
      <c r="AN507" s="44"/>
      <c r="AO507" s="44"/>
      <c r="AP507" s="44"/>
      <c r="AQ507" s="44"/>
      <c r="AR507" s="44"/>
      <c r="AS507" s="44"/>
      <c r="AT507" s="40"/>
      <c r="AU507" s="18"/>
      <c r="AV507" s="34"/>
      <c r="AW507" s="18"/>
      <c r="AX507" s="123"/>
    </row>
    <row r="508" spans="1:50" ht="18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170" t="s">
        <v>1021</v>
      </c>
      <c r="AB508" s="165" t="s">
        <v>1003</v>
      </c>
      <c r="AC508" s="168"/>
      <c r="AD508" s="44"/>
      <c r="AE508" s="44"/>
      <c r="AF508" s="44"/>
      <c r="AG508" s="43"/>
      <c r="AH508" s="44"/>
      <c r="AI508" s="18"/>
      <c r="AJ508" s="18"/>
      <c r="AK508" s="44"/>
      <c r="AL508" s="44"/>
      <c r="AM508" s="44"/>
      <c r="AN508" s="44"/>
      <c r="AO508" s="44"/>
      <c r="AP508" s="44"/>
      <c r="AQ508" s="44"/>
      <c r="AR508" s="44"/>
      <c r="AS508" s="44"/>
      <c r="AT508" s="40"/>
      <c r="AU508" s="18"/>
      <c r="AV508" s="34"/>
      <c r="AW508" s="18"/>
      <c r="AX508" s="123"/>
    </row>
    <row r="509" spans="1:50" ht="18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166" t="s">
        <v>1027</v>
      </c>
      <c r="AB509" s="167" t="s">
        <v>1028</v>
      </c>
      <c r="AC509" s="168"/>
      <c r="AD509" s="44">
        <v>0</v>
      </c>
      <c r="AE509" s="43">
        <v>20398035</v>
      </c>
      <c r="AF509" s="44">
        <v>0</v>
      </c>
      <c r="AG509" s="44">
        <v>0</v>
      </c>
      <c r="AH509" s="44">
        <v>0</v>
      </c>
      <c r="AI509" s="18">
        <f>AE509-AF509+AG509-AH509</f>
        <v>20398035</v>
      </c>
      <c r="AJ509" s="18">
        <f>AD509+AI509</f>
        <v>20398035</v>
      </c>
      <c r="AK509" s="44">
        <v>0</v>
      </c>
      <c r="AL509" s="44">
        <v>0</v>
      </c>
      <c r="AM509" s="44">
        <v>0</v>
      </c>
      <c r="AN509" s="44">
        <v>0</v>
      </c>
      <c r="AO509" s="44">
        <v>0</v>
      </c>
      <c r="AP509" s="44">
        <v>0</v>
      </c>
      <c r="AQ509" s="44">
        <v>0</v>
      </c>
      <c r="AR509" s="44">
        <v>0</v>
      </c>
      <c r="AS509" s="44">
        <v>0</v>
      </c>
      <c r="AT509" s="40">
        <f t="shared" ref="AT509" si="213">AQ509+AS509</f>
        <v>0</v>
      </c>
      <c r="AU509" s="18">
        <f>AJ509-AM509</f>
        <v>20398035</v>
      </c>
      <c r="AV509" s="34">
        <f>AM509-AP509</f>
        <v>0</v>
      </c>
      <c r="AW509" s="18">
        <f>AP509-AT509</f>
        <v>0</v>
      </c>
      <c r="AX509" s="123">
        <f>AP509/AJ509</f>
        <v>0</v>
      </c>
    </row>
    <row r="510" spans="1:50" s="50" customFormat="1" ht="18.75" customHeight="1" x14ac:dyDescent="0.2">
      <c r="A510" s="45"/>
      <c r="B510" s="45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6"/>
      <c r="AB510" s="47" t="s">
        <v>435</v>
      </c>
      <c r="AC510" s="48"/>
      <c r="AD510" s="48">
        <f t="shared" ref="AD510:AW510" si="214">SUM(AD248:AD509)</f>
        <v>301961738926</v>
      </c>
      <c r="AE510" s="48">
        <f t="shared" si="214"/>
        <v>15415987525.18</v>
      </c>
      <c r="AF510" s="49">
        <f t="shared" si="214"/>
        <v>0</v>
      </c>
      <c r="AG510" s="48">
        <f t="shared" si="214"/>
        <v>5925733957.25</v>
      </c>
      <c r="AH510" s="48">
        <f t="shared" si="214"/>
        <v>3925733957.25</v>
      </c>
      <c r="AI510" s="48">
        <f t="shared" si="214"/>
        <v>17415987525.18</v>
      </c>
      <c r="AJ510" s="48">
        <f t="shared" si="214"/>
        <v>319377726451.18005</v>
      </c>
      <c r="AK510" s="49">
        <f t="shared" si="214"/>
        <v>0</v>
      </c>
      <c r="AL510" s="48">
        <f t="shared" si="214"/>
        <v>16812829158.819998</v>
      </c>
      <c r="AM510" s="48">
        <f t="shared" si="214"/>
        <v>138506838458.12</v>
      </c>
      <c r="AN510" s="48">
        <f t="shared" si="214"/>
        <v>0</v>
      </c>
      <c r="AO510" s="48">
        <f t="shared" si="214"/>
        <v>21653113556.599998</v>
      </c>
      <c r="AP510" s="48">
        <f t="shared" si="214"/>
        <v>137516159572.23001</v>
      </c>
      <c r="AQ510" s="48">
        <f t="shared" si="214"/>
        <v>2029199586.8099999</v>
      </c>
      <c r="AR510" s="48">
        <f t="shared" si="214"/>
        <v>20801784790</v>
      </c>
      <c r="AS510" s="48">
        <f t="shared" si="214"/>
        <v>82033644281.26001</v>
      </c>
      <c r="AT510" s="48">
        <f t="shared" si="214"/>
        <v>84062843868.070007</v>
      </c>
      <c r="AU510" s="48">
        <f t="shared" si="214"/>
        <v>180870887993.05997</v>
      </c>
      <c r="AV510" s="48">
        <f t="shared" si="214"/>
        <v>990678885.88999999</v>
      </c>
      <c r="AW510" s="48">
        <f t="shared" si="214"/>
        <v>53453315704.160004</v>
      </c>
      <c r="AX510" s="24">
        <f>AP510/AJ510</f>
        <v>0.43057529747069156</v>
      </c>
    </row>
    <row r="511" spans="1:50" ht="18.75" customHeight="1" x14ac:dyDescent="0.2">
      <c r="AA511" s="16"/>
      <c r="AB511" s="17"/>
      <c r="AC511" s="17"/>
      <c r="AD511" s="18"/>
      <c r="AE511" s="34"/>
      <c r="AF511" s="34"/>
      <c r="AG511" s="34"/>
      <c r="AH511" s="34"/>
      <c r="AI511" s="34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</row>
    <row r="512" spans="1:50" s="25" customFormat="1" ht="18.75" customHeight="1" x14ac:dyDescent="0.2"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66"/>
      <c r="AB512" s="21" t="s">
        <v>436</v>
      </c>
      <c r="AC512" s="67"/>
      <c r="AD512" s="63"/>
      <c r="AE512" s="72"/>
      <c r="AF512" s="72"/>
      <c r="AG512" s="72"/>
      <c r="AH512" s="72"/>
      <c r="AI512" s="72"/>
      <c r="AJ512" s="63"/>
      <c r="AK512" s="63"/>
      <c r="AL512" s="63"/>
      <c r="AM512" s="63"/>
      <c r="AN512" s="63"/>
      <c r="AO512" s="63"/>
      <c r="AP512" s="63"/>
      <c r="AQ512" s="63"/>
      <c r="AR512" s="63"/>
      <c r="AS512" s="63"/>
      <c r="AT512" s="63"/>
      <c r="AU512" s="63"/>
      <c r="AV512" s="63"/>
      <c r="AW512" s="63"/>
      <c r="AX512" s="63"/>
    </row>
    <row r="513" spans="1:52" ht="18.75" customHeight="1" x14ac:dyDescent="0.2">
      <c r="AA513" s="16"/>
      <c r="AB513" s="29" t="s">
        <v>38</v>
      </c>
      <c r="AC513" s="17"/>
      <c r="AD513" s="18"/>
      <c r="AE513" s="34"/>
      <c r="AF513" s="34"/>
      <c r="AG513" s="34"/>
      <c r="AH513" s="34"/>
      <c r="AI513" s="34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</row>
    <row r="514" spans="1:52" ht="18.75" customHeight="1" x14ac:dyDescent="0.2">
      <c r="AA514" s="16"/>
      <c r="AB514" s="29" t="s">
        <v>285</v>
      </c>
      <c r="AC514" s="17"/>
      <c r="AD514" s="18"/>
      <c r="AE514" s="34"/>
      <c r="AF514" s="34"/>
      <c r="AG514" s="34"/>
      <c r="AH514" s="34"/>
      <c r="AI514" s="34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</row>
    <row r="515" spans="1:52" ht="18.75" customHeight="1" x14ac:dyDescent="0.2">
      <c r="AA515" s="16"/>
      <c r="AB515" s="29" t="s">
        <v>286</v>
      </c>
      <c r="AC515" s="17"/>
      <c r="AD515" s="18"/>
      <c r="AE515" s="34"/>
      <c r="AF515" s="34"/>
      <c r="AG515" s="34"/>
      <c r="AH515" s="34"/>
      <c r="AI515" s="34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</row>
    <row r="516" spans="1:52" ht="18.75" customHeight="1" x14ac:dyDescent="0.2">
      <c r="AA516" s="16"/>
      <c r="AB516" s="29" t="s">
        <v>179</v>
      </c>
      <c r="AC516" s="17"/>
      <c r="AD516" s="18"/>
      <c r="AE516" s="34"/>
      <c r="AF516" s="34"/>
      <c r="AG516" s="34"/>
      <c r="AH516" s="34"/>
      <c r="AI516" s="34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</row>
    <row r="517" spans="1:52" ht="18.75" customHeight="1" x14ac:dyDescent="0.2">
      <c r="AA517" s="16"/>
      <c r="AB517" s="29" t="s">
        <v>181</v>
      </c>
      <c r="AC517" s="17"/>
      <c r="AD517" s="18"/>
      <c r="AE517" s="34"/>
      <c r="AF517" s="34"/>
      <c r="AG517" s="34"/>
      <c r="AH517" s="34"/>
      <c r="AI517" s="34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</row>
    <row r="518" spans="1:52" ht="25.5" x14ac:dyDescent="0.2">
      <c r="AA518" s="16"/>
      <c r="AB518" s="29" t="s">
        <v>437</v>
      </c>
      <c r="AC518" s="17"/>
      <c r="AD518" s="18"/>
      <c r="AE518" s="34"/>
      <c r="AF518" s="34"/>
      <c r="AG518" s="34"/>
      <c r="AH518" s="34"/>
      <c r="AI518" s="34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</row>
    <row r="519" spans="1:52" s="150" customFormat="1" ht="18.75" customHeight="1" x14ac:dyDescent="0.2">
      <c r="A519" s="140" t="s">
        <v>55</v>
      </c>
      <c r="B519" s="140" t="s">
        <v>56</v>
      </c>
      <c r="C519" s="140"/>
      <c r="D519" s="140"/>
      <c r="E519" s="140"/>
      <c r="F519" s="140"/>
      <c r="G519" s="140"/>
      <c r="H519" s="140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X519" s="140"/>
      <c r="Y519" s="140"/>
      <c r="Z519" s="140"/>
      <c r="AA519" s="134" t="s">
        <v>438</v>
      </c>
      <c r="AB519" s="69" t="s">
        <v>439</v>
      </c>
      <c r="AC519" s="142" t="s">
        <v>428</v>
      </c>
      <c r="AD519" s="142">
        <v>43946996</v>
      </c>
      <c r="AE519" s="143">
        <v>0</v>
      </c>
      <c r="AF519" s="143">
        <v>0</v>
      </c>
      <c r="AG519" s="143">
        <v>0</v>
      </c>
      <c r="AH519" s="143">
        <v>0</v>
      </c>
      <c r="AI519" s="143">
        <v>0</v>
      </c>
      <c r="AJ519" s="142">
        <v>43946996</v>
      </c>
      <c r="AK519" s="143">
        <v>0</v>
      </c>
      <c r="AL519" s="143">
        <v>0</v>
      </c>
      <c r="AM519" s="142">
        <v>8629643</v>
      </c>
      <c r="AN519" s="143">
        <v>0</v>
      </c>
      <c r="AO519" s="143">
        <v>0</v>
      </c>
      <c r="AP519" s="143">
        <v>0</v>
      </c>
      <c r="AQ519" s="143">
        <v>0</v>
      </c>
      <c r="AR519" s="143">
        <v>0</v>
      </c>
      <c r="AS519" s="143">
        <v>0</v>
      </c>
      <c r="AT519" s="146">
        <f t="shared" ref="AT519" si="215">AQ519+AS519</f>
        <v>0</v>
      </c>
      <c r="AU519" s="147">
        <f>AJ519-AM519</f>
        <v>35317353</v>
      </c>
      <c r="AV519" s="147">
        <f>AM519-AP519</f>
        <v>8629643</v>
      </c>
      <c r="AW519" s="145">
        <f>AP519-AT519</f>
        <v>0</v>
      </c>
      <c r="AX519" s="149">
        <f>AP519/AJ519</f>
        <v>0</v>
      </c>
    </row>
    <row r="520" spans="1:52" ht="43.5" customHeight="1" x14ac:dyDescent="0.2">
      <c r="AA520" s="28" t="s">
        <v>288</v>
      </c>
      <c r="AB520" s="29" t="s">
        <v>440</v>
      </c>
      <c r="AC520" s="17"/>
      <c r="AD520" s="18"/>
      <c r="AE520" s="34"/>
      <c r="AF520" s="34"/>
      <c r="AG520" s="34"/>
      <c r="AH520" s="34"/>
      <c r="AI520" s="34"/>
      <c r="AJ520" s="18"/>
      <c r="AK520" s="34"/>
      <c r="AL520" s="34"/>
      <c r="AM520" s="34"/>
      <c r="AN520" s="34"/>
      <c r="AO520" s="34"/>
      <c r="AP520" s="34"/>
      <c r="AQ520" s="34"/>
      <c r="AR520" s="34"/>
      <c r="AS520" s="34"/>
      <c r="AT520" s="40"/>
      <c r="AU520" s="18"/>
      <c r="AV520" s="18"/>
      <c r="AW520" s="18"/>
      <c r="AX520" s="18"/>
    </row>
    <row r="521" spans="1:52" ht="18.75" customHeight="1" x14ac:dyDescent="0.2">
      <c r="A521" s="4" t="s">
        <v>55</v>
      </c>
      <c r="B521" s="4" t="s">
        <v>56</v>
      </c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1" t="s">
        <v>441</v>
      </c>
      <c r="AB521" s="42" t="s">
        <v>439</v>
      </c>
      <c r="AC521" s="43" t="s">
        <v>428</v>
      </c>
      <c r="AD521" s="43">
        <v>3500000</v>
      </c>
      <c r="AE521" s="44">
        <v>0</v>
      </c>
      <c r="AF521" s="44">
        <v>0</v>
      </c>
      <c r="AG521" s="44">
        <v>0</v>
      </c>
      <c r="AH521" s="44">
        <v>0</v>
      </c>
      <c r="AI521" s="44">
        <v>0</v>
      </c>
      <c r="AJ521" s="43">
        <v>3500000</v>
      </c>
      <c r="AK521" s="44">
        <v>0</v>
      </c>
      <c r="AL521" s="44">
        <v>0</v>
      </c>
      <c r="AM521" s="44">
        <v>0</v>
      </c>
      <c r="AN521" s="44">
        <v>0</v>
      </c>
      <c r="AO521" s="44">
        <v>0</v>
      </c>
      <c r="AP521" s="44">
        <v>0</v>
      </c>
      <c r="AQ521" s="44">
        <v>0</v>
      </c>
      <c r="AR521" s="44">
        <v>0</v>
      </c>
      <c r="AS521" s="44">
        <v>0</v>
      </c>
      <c r="AT521" s="40">
        <f>AQ521+AS521</f>
        <v>0</v>
      </c>
      <c r="AU521" s="18">
        <f>AJ521-AM521</f>
        <v>3500000</v>
      </c>
      <c r="AV521" s="34">
        <f>AM521-AP521</f>
        <v>0</v>
      </c>
      <c r="AW521" s="34">
        <f>AP521-AT521</f>
        <v>0</v>
      </c>
      <c r="AX521" s="123">
        <f>AP521/AJ521</f>
        <v>0</v>
      </c>
    </row>
    <row r="522" spans="1:52" ht="18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73" t="s">
        <v>288</v>
      </c>
      <c r="AB522" s="74" t="s">
        <v>291</v>
      </c>
      <c r="AC522" s="43"/>
      <c r="AD522" s="43"/>
      <c r="AE522" s="44"/>
      <c r="AF522" s="44"/>
      <c r="AG522" s="44"/>
      <c r="AH522" s="44"/>
      <c r="AI522" s="44"/>
      <c r="AJ522" s="43"/>
      <c r="AK522" s="44"/>
      <c r="AL522" s="44"/>
      <c r="AM522" s="43"/>
      <c r="AN522" s="43"/>
      <c r="AO522" s="43"/>
      <c r="AP522" s="43"/>
      <c r="AQ522" s="44"/>
      <c r="AR522" s="44"/>
      <c r="AS522" s="44"/>
      <c r="AT522" s="40"/>
      <c r="AU522" s="43"/>
      <c r="AV522" s="44"/>
      <c r="AW522" s="44"/>
      <c r="AX522" s="43"/>
    </row>
    <row r="523" spans="1:52" ht="18.75" customHeight="1" x14ac:dyDescent="0.2">
      <c r="A523" s="4" t="s">
        <v>55</v>
      </c>
      <c r="B523" s="4" t="s">
        <v>56</v>
      </c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1" t="s">
        <v>442</v>
      </c>
      <c r="AB523" s="42" t="s">
        <v>439</v>
      </c>
      <c r="AC523" s="43" t="s">
        <v>428</v>
      </c>
      <c r="AD523" s="43">
        <v>105900000</v>
      </c>
      <c r="AE523" s="44">
        <v>0</v>
      </c>
      <c r="AF523" s="44">
        <v>0</v>
      </c>
      <c r="AG523" s="44">
        <v>0</v>
      </c>
      <c r="AH523" s="44">
        <v>0</v>
      </c>
      <c r="AI523" s="44">
        <v>0</v>
      </c>
      <c r="AJ523" s="43">
        <v>105900000</v>
      </c>
      <c r="AK523" s="44">
        <v>0</v>
      </c>
      <c r="AL523" s="44">
        <v>0</v>
      </c>
      <c r="AM523" s="43">
        <v>289520</v>
      </c>
      <c r="AN523" s="43">
        <v>0</v>
      </c>
      <c r="AO523" s="43">
        <v>0</v>
      </c>
      <c r="AP523" s="43">
        <v>0</v>
      </c>
      <c r="AQ523" s="44">
        <v>0</v>
      </c>
      <c r="AR523" s="44">
        <v>0</v>
      </c>
      <c r="AS523" s="44">
        <v>0</v>
      </c>
      <c r="AT523" s="40">
        <f>AQ523+AS523</f>
        <v>0</v>
      </c>
      <c r="AU523" s="18">
        <f>AJ523-AM523</f>
        <v>105610480</v>
      </c>
      <c r="AV523" s="18">
        <f>AM523-AP523</f>
        <v>289520</v>
      </c>
      <c r="AW523" s="34">
        <f>AP523-AT523</f>
        <v>0</v>
      </c>
      <c r="AX523" s="123">
        <f>AP523/AJ523</f>
        <v>0</v>
      </c>
    </row>
    <row r="524" spans="1:52" ht="18.75" customHeight="1" x14ac:dyDescent="0.2">
      <c r="AA524" s="16"/>
      <c r="AB524" s="29" t="s">
        <v>189</v>
      </c>
      <c r="AC524" s="17"/>
      <c r="AD524" s="18"/>
      <c r="AE524" s="34"/>
      <c r="AF524" s="34"/>
      <c r="AG524" s="34"/>
      <c r="AH524" s="34"/>
      <c r="AI524" s="34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39"/>
      <c r="AU524" s="18"/>
      <c r="AV524" s="34"/>
      <c r="AW524" s="18"/>
      <c r="AX524" s="18"/>
    </row>
    <row r="525" spans="1:52" ht="18.75" customHeight="1" x14ac:dyDescent="0.2">
      <c r="AA525" s="16"/>
      <c r="AB525" s="29" t="s">
        <v>191</v>
      </c>
      <c r="AC525" s="17"/>
      <c r="AD525" s="18"/>
      <c r="AE525" s="34"/>
      <c r="AF525" s="34"/>
      <c r="AG525" s="34"/>
      <c r="AH525" s="34"/>
      <c r="AI525" s="34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39"/>
      <c r="AU525" s="18"/>
      <c r="AV525" s="34"/>
      <c r="AW525" s="18"/>
      <c r="AX525" s="18"/>
    </row>
    <row r="526" spans="1:52" ht="18.75" customHeight="1" x14ac:dyDescent="0.2">
      <c r="AA526" s="28" t="s">
        <v>288</v>
      </c>
      <c r="AB526" s="29" t="s">
        <v>443</v>
      </c>
      <c r="AC526" s="17"/>
      <c r="AD526" s="18"/>
      <c r="AE526" s="34"/>
      <c r="AF526" s="34"/>
      <c r="AG526" s="34"/>
      <c r="AH526" s="34"/>
      <c r="AI526" s="34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39"/>
      <c r="AU526" s="18"/>
      <c r="AV526" s="34"/>
      <c r="AW526" s="18"/>
      <c r="AX526" s="18"/>
    </row>
    <row r="527" spans="1:52" ht="18.75" customHeight="1" x14ac:dyDescent="0.2">
      <c r="A527" s="4" t="s">
        <v>55</v>
      </c>
      <c r="B527" s="4" t="s">
        <v>56</v>
      </c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1" t="s">
        <v>444</v>
      </c>
      <c r="AB527" s="42" t="s">
        <v>233</v>
      </c>
      <c r="AC527" s="43" t="s">
        <v>58</v>
      </c>
      <c r="AD527" s="43">
        <v>530557116</v>
      </c>
      <c r="AE527" s="44">
        <v>0</v>
      </c>
      <c r="AF527" s="44">
        <v>0</v>
      </c>
      <c r="AG527" s="44">
        <v>0</v>
      </c>
      <c r="AH527" s="44">
        <v>0</v>
      </c>
      <c r="AI527" s="44">
        <v>0</v>
      </c>
      <c r="AJ527" s="43">
        <v>530557116</v>
      </c>
      <c r="AK527" s="44">
        <v>0</v>
      </c>
      <c r="AL527" s="44">
        <v>0</v>
      </c>
      <c r="AM527" s="44">
        <v>0</v>
      </c>
      <c r="AN527" s="44">
        <v>0</v>
      </c>
      <c r="AO527" s="44">
        <v>0</v>
      </c>
      <c r="AP527" s="44">
        <v>0</v>
      </c>
      <c r="AQ527" s="44">
        <v>0</v>
      </c>
      <c r="AR527" s="44">
        <v>0</v>
      </c>
      <c r="AS527" s="44">
        <v>0</v>
      </c>
      <c r="AT527" s="40">
        <f>AQ527+AS527</f>
        <v>0</v>
      </c>
      <c r="AU527" s="18">
        <f>AJ527-AM527</f>
        <v>530557116</v>
      </c>
      <c r="AV527" s="34">
        <f>AM527-AP527</f>
        <v>0</v>
      </c>
      <c r="AW527" s="34">
        <f>AP527-AT527</f>
        <v>0</v>
      </c>
      <c r="AX527" s="123">
        <f>AP527/AJ527</f>
        <v>0</v>
      </c>
    </row>
    <row r="528" spans="1:52" ht="18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1" t="s">
        <v>1233</v>
      </c>
      <c r="AB528" s="42" t="s">
        <v>453</v>
      </c>
      <c r="AC528" s="43"/>
      <c r="AD528" s="44">
        <v>0</v>
      </c>
      <c r="AE528" s="43">
        <v>11666787329</v>
      </c>
      <c r="AF528" s="44">
        <v>0</v>
      </c>
      <c r="AG528" s="44">
        <v>0</v>
      </c>
      <c r="AH528" s="44">
        <v>0</v>
      </c>
      <c r="AI528" s="43">
        <f>AE528-AF528+AG528-AH528</f>
        <v>11666787329</v>
      </c>
      <c r="AJ528" s="254">
        <f>AD528+AI528</f>
        <v>11666787329</v>
      </c>
      <c r="AK528" s="44">
        <v>0</v>
      </c>
      <c r="AL528" s="44">
        <v>0</v>
      </c>
      <c r="AM528" s="44">
        <v>0</v>
      </c>
      <c r="AN528" s="44">
        <v>0</v>
      </c>
      <c r="AO528" s="44">
        <v>0</v>
      </c>
      <c r="AP528" s="44">
        <v>0</v>
      </c>
      <c r="AQ528" s="44">
        <v>0</v>
      </c>
      <c r="AR528" s="44">
        <v>0</v>
      </c>
      <c r="AS528" s="44">
        <v>0</v>
      </c>
      <c r="AT528" s="40">
        <f>AQ528+AS528</f>
        <v>0</v>
      </c>
      <c r="AU528" s="18">
        <f>AJ528-AM528</f>
        <v>11666787329</v>
      </c>
      <c r="AV528" s="34">
        <f>AM528-AP528</f>
        <v>0</v>
      </c>
      <c r="AW528" s="34">
        <f>AP528-AT528</f>
        <v>0</v>
      </c>
      <c r="AX528" s="123">
        <f>AP528/AJ528</f>
        <v>0</v>
      </c>
      <c r="AZ528" s="257"/>
    </row>
    <row r="529" spans="1:50" ht="18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73" t="s">
        <v>288</v>
      </c>
      <c r="AB529" s="74" t="s">
        <v>362</v>
      </c>
      <c r="AC529" s="43"/>
      <c r="AD529" s="44"/>
      <c r="AE529" s="44"/>
      <c r="AF529" s="44"/>
      <c r="AG529" s="44"/>
      <c r="AH529" s="44"/>
      <c r="AI529" s="44"/>
      <c r="AJ529" s="43"/>
      <c r="AK529" s="44"/>
      <c r="AL529" s="44"/>
      <c r="AM529" s="44"/>
      <c r="AN529" s="44"/>
      <c r="AO529" s="44"/>
      <c r="AP529" s="44"/>
      <c r="AQ529" s="44"/>
      <c r="AR529" s="44"/>
      <c r="AS529" s="44"/>
      <c r="AT529" s="40"/>
      <c r="AU529" s="18"/>
      <c r="AV529" s="34"/>
      <c r="AW529" s="34"/>
      <c r="AX529" s="123"/>
    </row>
    <row r="530" spans="1:50" ht="18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1" t="s">
        <v>975</v>
      </c>
      <c r="AB530" s="42" t="s">
        <v>453</v>
      </c>
      <c r="AC530" s="43"/>
      <c r="AD530" s="44">
        <v>0</v>
      </c>
      <c r="AE530" s="44">
        <v>0</v>
      </c>
      <c r="AF530" s="44">
        <v>0</v>
      </c>
      <c r="AG530" s="43">
        <v>11046667966</v>
      </c>
      <c r="AH530" s="44"/>
      <c r="AI530" s="43">
        <f>AE530-AF530+AG530-AH530</f>
        <v>11046667966</v>
      </c>
      <c r="AJ530" s="43">
        <f>AD530+AI530</f>
        <v>11046667966</v>
      </c>
      <c r="AK530" s="44">
        <v>0</v>
      </c>
      <c r="AL530" s="43">
        <v>-335919688</v>
      </c>
      <c r="AM530" s="43">
        <v>10699325386</v>
      </c>
      <c r="AN530" s="44">
        <v>0</v>
      </c>
      <c r="AO530" s="44">
        <v>10161443099</v>
      </c>
      <c r="AP530" s="44">
        <v>10161443099</v>
      </c>
      <c r="AQ530" s="44">
        <v>0</v>
      </c>
      <c r="AR530" s="44">
        <v>0</v>
      </c>
      <c r="AS530" s="44">
        <v>0</v>
      </c>
      <c r="AT530" s="40">
        <f>AQ530+AS530</f>
        <v>0</v>
      </c>
      <c r="AU530" s="18">
        <f>AJ530-AM530</f>
        <v>347342580</v>
      </c>
      <c r="AV530" s="18">
        <f>AM530-AP530</f>
        <v>537882287</v>
      </c>
      <c r="AW530" s="18">
        <f>AP530-AT530</f>
        <v>10161443099</v>
      </c>
      <c r="AX530" s="123">
        <f>AP530/AJ530</f>
        <v>0.91986498827297147</v>
      </c>
    </row>
    <row r="531" spans="1:50" ht="18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73" t="s">
        <v>288</v>
      </c>
      <c r="AB531" s="74" t="s">
        <v>296</v>
      </c>
      <c r="AC531" s="43"/>
      <c r="AD531" s="44"/>
      <c r="AE531" s="44"/>
      <c r="AF531" s="44"/>
      <c r="AG531" s="44"/>
      <c r="AH531" s="44"/>
      <c r="AI531" s="44"/>
      <c r="AJ531" s="43"/>
      <c r="AK531" s="44"/>
      <c r="AL531" s="44"/>
      <c r="AM531" s="44"/>
      <c r="AN531" s="44"/>
      <c r="AO531" s="44"/>
      <c r="AP531" s="44"/>
      <c r="AQ531" s="44"/>
      <c r="AR531" s="44"/>
      <c r="AS531" s="44"/>
      <c r="AT531" s="40"/>
      <c r="AU531" s="18"/>
      <c r="AV531" s="34"/>
      <c r="AW531" s="34"/>
      <c r="AX531" s="123"/>
    </row>
    <row r="532" spans="1:50" ht="18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1" t="s">
        <v>973</v>
      </c>
      <c r="AB532" s="42" t="s">
        <v>453</v>
      </c>
      <c r="AC532" s="43"/>
      <c r="AD532" s="44">
        <v>0</v>
      </c>
      <c r="AE532" s="43">
        <f>11046667966+38953332034</f>
        <v>50000000000</v>
      </c>
      <c r="AF532" s="44">
        <v>0</v>
      </c>
      <c r="AG532" s="44">
        <v>0</v>
      </c>
      <c r="AH532" s="43">
        <v>11046667966</v>
      </c>
      <c r="AI532" s="43">
        <f>AE532-AF532+AG532-AH532</f>
        <v>38953332034</v>
      </c>
      <c r="AJ532" s="254">
        <f>AD532+AI532</f>
        <v>38953332034</v>
      </c>
      <c r="AK532" s="44">
        <v>0</v>
      </c>
      <c r="AL532" s="44">
        <v>0</v>
      </c>
      <c r="AM532" s="44">
        <v>0</v>
      </c>
      <c r="AN532" s="44">
        <v>0</v>
      </c>
      <c r="AO532" s="44">
        <v>0</v>
      </c>
      <c r="AP532" s="44">
        <v>0</v>
      </c>
      <c r="AQ532" s="44">
        <v>0</v>
      </c>
      <c r="AR532" s="44">
        <v>0</v>
      </c>
      <c r="AS532" s="44">
        <v>0</v>
      </c>
      <c r="AT532" s="40">
        <f>AQ532+AS532</f>
        <v>0</v>
      </c>
      <c r="AU532" s="18">
        <f>AJ532-AM532</f>
        <v>38953332034</v>
      </c>
      <c r="AV532" s="34">
        <f>AM532-AP532</f>
        <v>0</v>
      </c>
      <c r="AW532" s="34">
        <f>AP532-AT532</f>
        <v>0</v>
      </c>
      <c r="AX532" s="123">
        <v>0</v>
      </c>
    </row>
    <row r="533" spans="1:50" ht="18.75" customHeight="1" x14ac:dyDescent="0.2">
      <c r="AA533" s="28" t="s">
        <v>288</v>
      </c>
      <c r="AB533" s="29" t="s">
        <v>445</v>
      </c>
      <c r="AC533" s="17"/>
      <c r="AD533" s="18"/>
      <c r="AE533" s="18"/>
      <c r="AF533" s="18"/>
      <c r="AG533" s="18"/>
      <c r="AH533" s="18"/>
      <c r="AI533" s="18"/>
      <c r="AJ533" s="18"/>
      <c r="AK533" s="34"/>
      <c r="AL533" s="34"/>
      <c r="AM533" s="34"/>
      <c r="AN533" s="34"/>
      <c r="AO533" s="34"/>
      <c r="AP533" s="34"/>
      <c r="AQ533" s="34"/>
      <c r="AR533" s="34"/>
      <c r="AS533" s="34"/>
      <c r="AT533" s="40"/>
      <c r="AU533" s="18"/>
      <c r="AV533" s="34"/>
      <c r="AW533" s="18"/>
      <c r="AX533" s="18"/>
    </row>
    <row r="534" spans="1:50" ht="18.75" customHeight="1" x14ac:dyDescent="0.2">
      <c r="A534" s="4" t="s">
        <v>55</v>
      </c>
      <c r="B534" s="4" t="s">
        <v>56</v>
      </c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1" t="s">
        <v>446</v>
      </c>
      <c r="AB534" s="42" t="s">
        <v>233</v>
      </c>
      <c r="AC534" s="43" t="s">
        <v>58</v>
      </c>
      <c r="AD534" s="43">
        <v>1315360000</v>
      </c>
      <c r="AE534" s="44">
        <v>0</v>
      </c>
      <c r="AF534" s="44">
        <v>0</v>
      </c>
      <c r="AG534" s="43">
        <v>24165016</v>
      </c>
      <c r="AH534" s="75">
        <v>0</v>
      </c>
      <c r="AI534" s="43">
        <f>AE534-AF534+AG534-AH534</f>
        <v>24165016</v>
      </c>
      <c r="AJ534" s="43">
        <f>AD534+AI534</f>
        <v>1339525016</v>
      </c>
      <c r="AK534" s="44">
        <v>0</v>
      </c>
      <c r="AL534" s="114">
        <v>0</v>
      </c>
      <c r="AM534" s="114">
        <v>5134940.1100000003</v>
      </c>
      <c r="AN534" s="44">
        <v>0</v>
      </c>
      <c r="AO534" s="114">
        <v>0</v>
      </c>
      <c r="AP534" s="114">
        <v>5134940.1100000003</v>
      </c>
      <c r="AQ534" s="44">
        <v>0</v>
      </c>
      <c r="AR534" s="114">
        <v>0</v>
      </c>
      <c r="AS534" s="114">
        <v>5134940.1100000003</v>
      </c>
      <c r="AT534" s="111">
        <f>AQ534+AS534</f>
        <v>5134940.1100000003</v>
      </c>
      <c r="AU534" s="18">
        <f>AJ534-AM534</f>
        <v>1334390075.8900001</v>
      </c>
      <c r="AV534" s="34">
        <f>AM534-AP534</f>
        <v>0</v>
      </c>
      <c r="AW534" s="34">
        <f>AP534-AT534</f>
        <v>0</v>
      </c>
      <c r="AX534" s="123">
        <f>AP534/AJ534</f>
        <v>3.8334036682148836E-3</v>
      </c>
    </row>
    <row r="535" spans="1:50" ht="18.75" customHeight="1" x14ac:dyDescent="0.2">
      <c r="AA535" s="28" t="s">
        <v>288</v>
      </c>
      <c r="AB535" s="29" t="s">
        <v>447</v>
      </c>
      <c r="AC535" s="17"/>
      <c r="AD535" s="18"/>
      <c r="AE535" s="34"/>
      <c r="AF535" s="34"/>
      <c r="AG535" s="18"/>
      <c r="AH535" s="76"/>
      <c r="AI535" s="18"/>
      <c r="AJ535" s="18"/>
      <c r="AK535" s="34"/>
      <c r="AL535" s="34"/>
      <c r="AM535" s="34"/>
      <c r="AN535" s="34"/>
      <c r="AO535" s="34"/>
      <c r="AP535" s="34"/>
      <c r="AQ535" s="34"/>
      <c r="AR535" s="34"/>
      <c r="AS535" s="34"/>
      <c r="AT535" s="40"/>
      <c r="AU535" s="18"/>
      <c r="AV535" s="34"/>
      <c r="AW535" s="34"/>
      <c r="AX535" s="18"/>
    </row>
    <row r="536" spans="1:50" ht="18.75" customHeight="1" x14ac:dyDescent="0.2">
      <c r="A536" s="4" t="s">
        <v>55</v>
      </c>
      <c r="B536" s="4" t="s">
        <v>56</v>
      </c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1" t="s">
        <v>448</v>
      </c>
      <c r="AB536" s="42" t="s">
        <v>449</v>
      </c>
      <c r="AC536" s="43" t="s">
        <v>428</v>
      </c>
      <c r="AD536" s="43">
        <v>1568183063</v>
      </c>
      <c r="AE536" s="44">
        <v>0</v>
      </c>
      <c r="AF536" s="44">
        <v>0</v>
      </c>
      <c r="AG536" s="75">
        <v>0</v>
      </c>
      <c r="AH536" s="43">
        <v>1200000000</v>
      </c>
      <c r="AI536" s="43">
        <f>AE536-AF536+AG536-AH536</f>
        <v>-1200000000</v>
      </c>
      <c r="AJ536" s="43">
        <f>AD536+AI536</f>
        <v>368183063</v>
      </c>
      <c r="AK536" s="44">
        <v>0</v>
      </c>
      <c r="AL536" s="44">
        <v>0</v>
      </c>
      <c r="AM536" s="44">
        <v>0</v>
      </c>
      <c r="AN536" s="44">
        <v>0</v>
      </c>
      <c r="AO536" s="44">
        <v>0</v>
      </c>
      <c r="AP536" s="44">
        <v>0</v>
      </c>
      <c r="AQ536" s="44">
        <v>0</v>
      </c>
      <c r="AR536" s="44">
        <v>0</v>
      </c>
      <c r="AS536" s="44">
        <v>0</v>
      </c>
      <c r="AT536" s="40">
        <f t="shared" ref="AT536:AT618" si="216">AQ536+AS536</f>
        <v>0</v>
      </c>
      <c r="AU536" s="18">
        <f>AJ536-AM536</f>
        <v>368183063</v>
      </c>
      <c r="AV536" s="34">
        <f>AM536-AP536</f>
        <v>0</v>
      </c>
      <c r="AW536" s="34">
        <f>AP536-AT536</f>
        <v>0</v>
      </c>
      <c r="AX536" s="123">
        <f>AP536/AJ536</f>
        <v>0</v>
      </c>
    </row>
    <row r="537" spans="1:50" ht="18.75" customHeight="1" x14ac:dyDescent="0.2">
      <c r="A537" s="4" t="s">
        <v>55</v>
      </c>
      <c r="B537" s="4" t="s">
        <v>56</v>
      </c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1" t="s">
        <v>450</v>
      </c>
      <c r="AB537" s="42" t="s">
        <v>451</v>
      </c>
      <c r="AC537" s="43" t="s">
        <v>428</v>
      </c>
      <c r="AD537" s="43">
        <v>54121641</v>
      </c>
      <c r="AE537" s="44">
        <v>0</v>
      </c>
      <c r="AF537" s="44">
        <v>0</v>
      </c>
      <c r="AG537" s="75">
        <v>0</v>
      </c>
      <c r="AH537" s="75">
        <v>0</v>
      </c>
      <c r="AI537" s="44">
        <v>0</v>
      </c>
      <c r="AJ537" s="43">
        <v>54121641</v>
      </c>
      <c r="AK537" s="44">
        <v>0</v>
      </c>
      <c r="AL537" s="44">
        <v>0</v>
      </c>
      <c r="AM537" s="44">
        <v>0</v>
      </c>
      <c r="AN537" s="44">
        <v>0</v>
      </c>
      <c r="AO537" s="44">
        <v>0</v>
      </c>
      <c r="AP537" s="44">
        <v>0</v>
      </c>
      <c r="AQ537" s="44">
        <v>0</v>
      </c>
      <c r="AR537" s="44">
        <v>0</v>
      </c>
      <c r="AS537" s="44">
        <v>0</v>
      </c>
      <c r="AT537" s="40">
        <f t="shared" si="216"/>
        <v>0</v>
      </c>
      <c r="AU537" s="18">
        <f>AJ537-AM537</f>
        <v>54121641</v>
      </c>
      <c r="AV537" s="34">
        <f>AM537-AP537</f>
        <v>0</v>
      </c>
      <c r="AW537" s="34">
        <f>AP537-AT537</f>
        <v>0</v>
      </c>
      <c r="AX537" s="123">
        <f>AP537/AJ537</f>
        <v>0</v>
      </c>
    </row>
    <row r="538" spans="1:50" ht="18.75" customHeight="1" x14ac:dyDescent="0.2">
      <c r="A538" s="4" t="s">
        <v>55</v>
      </c>
      <c r="B538" s="4" t="s">
        <v>56</v>
      </c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1" t="s">
        <v>452</v>
      </c>
      <c r="AB538" s="42" t="s">
        <v>453</v>
      </c>
      <c r="AC538" s="43" t="s">
        <v>454</v>
      </c>
      <c r="AD538" s="43">
        <v>13500000000</v>
      </c>
      <c r="AE538" s="44">
        <v>0</v>
      </c>
      <c r="AF538" s="44">
        <v>0</v>
      </c>
      <c r="AG538" s="75">
        <v>0</v>
      </c>
      <c r="AH538" s="43">
        <v>10658999538</v>
      </c>
      <c r="AI538" s="43">
        <f>AE538-AF538+AG538-AH538</f>
        <v>-10658999538</v>
      </c>
      <c r="AJ538" s="43">
        <f>AD538+AI538</f>
        <v>2841000462</v>
      </c>
      <c r="AK538" s="44">
        <v>0</v>
      </c>
      <c r="AL538" s="44">
        <v>0</v>
      </c>
      <c r="AM538" s="44">
        <v>0</v>
      </c>
      <c r="AN538" s="44">
        <v>0</v>
      </c>
      <c r="AO538" s="44">
        <v>0</v>
      </c>
      <c r="AP538" s="44">
        <v>0</v>
      </c>
      <c r="AQ538" s="44">
        <v>0</v>
      </c>
      <c r="AR538" s="44">
        <v>0</v>
      </c>
      <c r="AS538" s="44">
        <v>0</v>
      </c>
      <c r="AT538" s="40">
        <f t="shared" si="216"/>
        <v>0</v>
      </c>
      <c r="AU538" s="18">
        <f>AJ538-AM538</f>
        <v>2841000462</v>
      </c>
      <c r="AV538" s="34">
        <f>AM538-AP538</f>
        <v>0</v>
      </c>
      <c r="AW538" s="34">
        <f>AP538-AT538</f>
        <v>0</v>
      </c>
      <c r="AX538" s="123">
        <f>AP538/AJ538</f>
        <v>0</v>
      </c>
    </row>
    <row r="539" spans="1:50" ht="18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166" t="s">
        <v>1035</v>
      </c>
      <c r="AB539" s="167" t="s">
        <v>1036</v>
      </c>
      <c r="AC539" s="168"/>
      <c r="AD539" s="43">
        <v>0</v>
      </c>
      <c r="AE539" s="43">
        <v>3208930754.3099999</v>
      </c>
      <c r="AF539" s="44">
        <v>0</v>
      </c>
      <c r="AG539" s="75">
        <v>0</v>
      </c>
      <c r="AH539" s="43">
        <v>0</v>
      </c>
      <c r="AI539" s="43">
        <f>AE539-AF539+AG539-AH539</f>
        <v>3208930754.3099999</v>
      </c>
      <c r="AJ539" s="43">
        <f>AD539+AI539</f>
        <v>3208930754.3099999</v>
      </c>
      <c r="AK539" s="44">
        <v>0</v>
      </c>
      <c r="AL539" s="44">
        <v>0</v>
      </c>
      <c r="AM539" s="44">
        <v>0</v>
      </c>
      <c r="AN539" s="44">
        <v>0</v>
      </c>
      <c r="AO539" s="44">
        <v>0</v>
      </c>
      <c r="AP539" s="44">
        <v>0</v>
      </c>
      <c r="AQ539" s="44">
        <v>0</v>
      </c>
      <c r="AR539" s="44">
        <v>0</v>
      </c>
      <c r="AS539" s="44">
        <v>0</v>
      </c>
      <c r="AT539" s="40">
        <f t="shared" si="216"/>
        <v>0</v>
      </c>
      <c r="AU539" s="18">
        <f>AJ539-AM539</f>
        <v>3208930754.3099999</v>
      </c>
      <c r="AV539" s="34">
        <f>AM539-AP539</f>
        <v>0</v>
      </c>
      <c r="AW539" s="34">
        <f>AP539-AT539</f>
        <v>0</v>
      </c>
      <c r="AX539" s="123">
        <f>AP539/AJ539</f>
        <v>0</v>
      </c>
    </row>
    <row r="540" spans="1:50" ht="18.75" customHeight="1" x14ac:dyDescent="0.2">
      <c r="AA540" s="169" t="s">
        <v>288</v>
      </c>
      <c r="AB540" s="163" t="s">
        <v>455</v>
      </c>
      <c r="AC540" s="17"/>
      <c r="AD540" s="18"/>
      <c r="AE540" s="34"/>
      <c r="AF540" s="34"/>
      <c r="AG540" s="76"/>
      <c r="AH540" s="18"/>
      <c r="AI540" s="18"/>
      <c r="AJ540" s="18"/>
      <c r="AK540" s="34"/>
      <c r="AL540" s="34"/>
      <c r="AM540" s="34"/>
      <c r="AN540" s="34"/>
      <c r="AO540" s="34"/>
      <c r="AP540" s="34"/>
      <c r="AQ540" s="34"/>
      <c r="AR540" s="34"/>
      <c r="AS540" s="34"/>
      <c r="AT540" s="40"/>
      <c r="AU540" s="18"/>
      <c r="AV540" s="34"/>
      <c r="AW540" s="34"/>
      <c r="AX540" s="18"/>
    </row>
    <row r="541" spans="1:50" ht="18.75" customHeight="1" x14ac:dyDescent="0.2">
      <c r="A541" s="4" t="s">
        <v>55</v>
      </c>
      <c r="B541" s="4" t="s">
        <v>56</v>
      </c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1" t="s">
        <v>456</v>
      </c>
      <c r="AB541" s="42" t="s">
        <v>233</v>
      </c>
      <c r="AC541" s="43" t="s">
        <v>58</v>
      </c>
      <c r="AD541" s="43">
        <v>1983597115.25</v>
      </c>
      <c r="AE541" s="44">
        <v>0</v>
      </c>
      <c r="AF541" s="44">
        <v>0</v>
      </c>
      <c r="AG541" s="43">
        <v>15401381</v>
      </c>
      <c r="AH541" s="44">
        <v>0</v>
      </c>
      <c r="AI541" s="43">
        <f>AE541-AF541+AG541-AH541</f>
        <v>15401381</v>
      </c>
      <c r="AJ541" s="43">
        <f>AD541+AI541</f>
        <v>1998998496.25</v>
      </c>
      <c r="AK541" s="44">
        <v>0</v>
      </c>
      <c r="AL541" s="43">
        <v>0</v>
      </c>
      <c r="AM541" s="43">
        <v>0</v>
      </c>
      <c r="AN541" s="43">
        <v>0</v>
      </c>
      <c r="AO541" s="43">
        <v>0</v>
      </c>
      <c r="AP541" s="43">
        <v>0</v>
      </c>
      <c r="AQ541" s="43">
        <v>0</v>
      </c>
      <c r="AR541" s="43">
        <v>0</v>
      </c>
      <c r="AS541" s="43">
        <v>0</v>
      </c>
      <c r="AT541" s="40">
        <f t="shared" si="216"/>
        <v>0</v>
      </c>
      <c r="AU541" s="18">
        <f>AJ541-AM541</f>
        <v>1998998496.25</v>
      </c>
      <c r="AV541" s="34">
        <f>AM541-AP541</f>
        <v>0</v>
      </c>
      <c r="AW541" s="34">
        <f>AP541-AT541</f>
        <v>0</v>
      </c>
      <c r="AX541" s="123">
        <f>AP541/AJ541</f>
        <v>0</v>
      </c>
    </row>
    <row r="542" spans="1:50" ht="18.75" customHeight="1" x14ac:dyDescent="0.2">
      <c r="A542" s="4" t="s">
        <v>55</v>
      </c>
      <c r="B542" s="4" t="s">
        <v>56</v>
      </c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1" t="s">
        <v>457</v>
      </c>
      <c r="AB542" s="42" t="s">
        <v>458</v>
      </c>
      <c r="AC542" s="43" t="s">
        <v>454</v>
      </c>
      <c r="AD542" s="43">
        <v>0</v>
      </c>
      <c r="AE542" s="43">
        <v>14100000000</v>
      </c>
      <c r="AF542" s="44">
        <v>0</v>
      </c>
      <c r="AG542" s="43">
        <v>20296364215</v>
      </c>
      <c r="AH542" s="44">
        <v>0</v>
      </c>
      <c r="AI542" s="43">
        <f>AE542-AF542+AG542-AH542</f>
        <v>34396364215</v>
      </c>
      <c r="AJ542" s="43">
        <f>AD542+AI542</f>
        <v>34396364215</v>
      </c>
      <c r="AK542" s="44">
        <v>0</v>
      </c>
      <c r="AL542" s="43">
        <v>-1039436808</v>
      </c>
      <c r="AM542" s="43">
        <v>19256924334</v>
      </c>
      <c r="AN542" s="43">
        <v>0</v>
      </c>
      <c r="AO542" s="43">
        <v>19256924334</v>
      </c>
      <c r="AP542" s="43">
        <v>19256924334</v>
      </c>
      <c r="AQ542" s="43">
        <v>0</v>
      </c>
      <c r="AR542" s="43">
        <v>0</v>
      </c>
      <c r="AS542" s="43">
        <v>0</v>
      </c>
      <c r="AT542" s="40">
        <f t="shared" si="216"/>
        <v>0</v>
      </c>
      <c r="AU542" s="18">
        <f>AJ542-AM542</f>
        <v>15139439881</v>
      </c>
      <c r="AV542" s="110">
        <f>AM542-AP542</f>
        <v>0</v>
      </c>
      <c r="AW542" s="18">
        <f>AP542-AT542</f>
        <v>19256924334</v>
      </c>
      <c r="AX542" s="123">
        <f>AP542/AJ542</f>
        <v>0.55985348374704669</v>
      </c>
    </row>
    <row r="543" spans="1:50" ht="18.75" customHeight="1" x14ac:dyDescent="0.2">
      <c r="AA543" s="28" t="s">
        <v>288</v>
      </c>
      <c r="AB543" s="29" t="s">
        <v>459</v>
      </c>
      <c r="AC543" s="17"/>
      <c r="AD543" s="18"/>
      <c r="AE543" s="34"/>
      <c r="AF543" s="34"/>
      <c r="AG543" s="18"/>
      <c r="AH543" s="34"/>
      <c r="AI543" s="18"/>
      <c r="AJ543" s="18"/>
      <c r="AK543" s="34"/>
      <c r="AL543" s="34"/>
      <c r="AM543" s="18"/>
      <c r="AN543" s="34"/>
      <c r="AO543" s="34"/>
      <c r="AP543" s="18"/>
      <c r="AQ543" s="34"/>
      <c r="AR543" s="34"/>
      <c r="AS543" s="34"/>
      <c r="AT543" s="40"/>
      <c r="AU543" s="18"/>
      <c r="AV543" s="18"/>
      <c r="AW543" s="18"/>
      <c r="AX543" s="18"/>
    </row>
    <row r="544" spans="1:50" ht="18.75" customHeight="1" x14ac:dyDescent="0.2">
      <c r="A544" s="4" t="s">
        <v>55</v>
      </c>
      <c r="B544" s="4" t="s">
        <v>56</v>
      </c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1" t="s">
        <v>460</v>
      </c>
      <c r="AB544" s="42" t="s">
        <v>233</v>
      </c>
      <c r="AC544" s="43" t="s">
        <v>58</v>
      </c>
      <c r="AD544" s="43">
        <v>867728401</v>
      </c>
      <c r="AE544" s="44">
        <v>0</v>
      </c>
      <c r="AF544" s="44">
        <v>0</v>
      </c>
      <c r="AG544" s="44">
        <v>0</v>
      </c>
      <c r="AH544" s="44">
        <v>0</v>
      </c>
      <c r="AI544" s="44">
        <v>0</v>
      </c>
      <c r="AJ544" s="43">
        <v>867728401</v>
      </c>
      <c r="AK544" s="44">
        <v>0</v>
      </c>
      <c r="AL544" s="44">
        <v>0</v>
      </c>
      <c r="AM544" s="43">
        <v>829015863.20000005</v>
      </c>
      <c r="AN544" s="44">
        <v>0</v>
      </c>
      <c r="AO544" s="44">
        <v>0</v>
      </c>
      <c r="AP544" s="43">
        <v>829015863.20000005</v>
      </c>
      <c r="AQ544" s="44">
        <v>0</v>
      </c>
      <c r="AR544" s="43">
        <v>132274201.5</v>
      </c>
      <c r="AS544" s="43">
        <v>132274201.5</v>
      </c>
      <c r="AT544" s="39">
        <f t="shared" si="216"/>
        <v>132274201.5</v>
      </c>
      <c r="AU544" s="18">
        <f>AJ544-AM544</f>
        <v>38712537.799999952</v>
      </c>
      <c r="AV544" s="34">
        <f>AM544-AP544</f>
        <v>0</v>
      </c>
      <c r="AW544" s="18">
        <f>AP544-AT544</f>
        <v>696741661.70000005</v>
      </c>
      <c r="AX544" s="123">
        <f>AP544/AJ544</f>
        <v>0.95538634236774289</v>
      </c>
    </row>
    <row r="545" spans="1:50" ht="18.75" customHeight="1" x14ac:dyDescent="0.2">
      <c r="A545" s="4" t="s">
        <v>55</v>
      </c>
      <c r="B545" s="4" t="s">
        <v>56</v>
      </c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1" t="s">
        <v>461</v>
      </c>
      <c r="AB545" s="42" t="s">
        <v>462</v>
      </c>
      <c r="AC545" s="43" t="s">
        <v>428</v>
      </c>
      <c r="AD545" s="43">
        <v>208691582</v>
      </c>
      <c r="AE545" s="44">
        <v>0</v>
      </c>
      <c r="AF545" s="44">
        <v>0</v>
      </c>
      <c r="AG545" s="44">
        <v>0</v>
      </c>
      <c r="AH545" s="44">
        <v>0</v>
      </c>
      <c r="AI545" s="44">
        <v>0</v>
      </c>
      <c r="AJ545" s="43">
        <v>208691582</v>
      </c>
      <c r="AK545" s="44">
        <v>0</v>
      </c>
      <c r="AL545" s="44">
        <v>0</v>
      </c>
      <c r="AM545" s="44">
        <v>0</v>
      </c>
      <c r="AN545" s="44">
        <v>0</v>
      </c>
      <c r="AO545" s="44">
        <v>0</v>
      </c>
      <c r="AP545" s="44">
        <v>0</v>
      </c>
      <c r="AQ545" s="44">
        <v>0</v>
      </c>
      <c r="AR545" s="44">
        <v>0</v>
      </c>
      <c r="AS545" s="44">
        <v>0</v>
      </c>
      <c r="AT545" s="40">
        <f t="shared" ref="AT545:AT546" si="217">AQ545+AS545</f>
        <v>0</v>
      </c>
      <c r="AU545" s="18">
        <f>AJ545-AM545</f>
        <v>208691582</v>
      </c>
      <c r="AV545" s="34">
        <f>AM545-AP545</f>
        <v>0</v>
      </c>
      <c r="AW545" s="18">
        <f>AP545-AT545</f>
        <v>0</v>
      </c>
      <c r="AX545" s="123">
        <f>AP545/AJ545</f>
        <v>0</v>
      </c>
    </row>
    <row r="546" spans="1:50" ht="24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166" t="s">
        <v>1045</v>
      </c>
      <c r="AB546" s="167" t="s">
        <v>1044</v>
      </c>
      <c r="AC546" s="168"/>
      <c r="AD546" s="44">
        <v>0</v>
      </c>
      <c r="AE546" s="43">
        <v>439408481</v>
      </c>
      <c r="AF546" s="44">
        <v>0</v>
      </c>
      <c r="AG546" s="44">
        <v>0</v>
      </c>
      <c r="AH546" s="44">
        <v>0</v>
      </c>
      <c r="AI546" s="43">
        <f>AE546-AF546+AG546-AH546</f>
        <v>439408481</v>
      </c>
      <c r="AJ546" s="43">
        <f>AD546+AI546</f>
        <v>439408481</v>
      </c>
      <c r="AK546" s="44">
        <v>0</v>
      </c>
      <c r="AL546" s="44">
        <v>0</v>
      </c>
      <c r="AM546" s="44">
        <v>0</v>
      </c>
      <c r="AN546" s="44">
        <v>0</v>
      </c>
      <c r="AO546" s="44">
        <v>0</v>
      </c>
      <c r="AP546" s="44">
        <v>0</v>
      </c>
      <c r="AQ546" s="44">
        <v>0</v>
      </c>
      <c r="AR546" s="44">
        <v>0</v>
      </c>
      <c r="AS546" s="44">
        <v>0</v>
      </c>
      <c r="AT546" s="40">
        <f t="shared" si="217"/>
        <v>0</v>
      </c>
      <c r="AU546" s="18">
        <f>AJ546-AM546</f>
        <v>439408481</v>
      </c>
      <c r="AV546" s="34">
        <f>AM546-AP546</f>
        <v>0</v>
      </c>
      <c r="AW546" s="18">
        <f>AP546-AT546</f>
        <v>0</v>
      </c>
      <c r="AX546" s="123">
        <f>AP546/AJ546</f>
        <v>0</v>
      </c>
    </row>
    <row r="547" spans="1:50" ht="21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171" t="s">
        <v>288</v>
      </c>
      <c r="AB547" s="213" t="s">
        <v>1040</v>
      </c>
      <c r="AC547" s="168"/>
      <c r="AD547" s="44"/>
      <c r="AE547" s="44"/>
      <c r="AF547" s="44"/>
      <c r="AG547" s="44"/>
      <c r="AH547" s="44"/>
      <c r="AI547" s="44"/>
      <c r="AJ547" s="43"/>
      <c r="AK547" s="44"/>
      <c r="AL547" s="44"/>
      <c r="AM547" s="44"/>
      <c r="AN547" s="44"/>
      <c r="AO547" s="44"/>
      <c r="AP547" s="44"/>
      <c r="AQ547" s="44"/>
      <c r="AR547" s="44"/>
      <c r="AS547" s="44"/>
      <c r="AT547" s="40"/>
      <c r="AU547" s="18"/>
      <c r="AV547" s="34"/>
      <c r="AW547" s="34"/>
      <c r="AX547" s="123"/>
    </row>
    <row r="548" spans="1:50" ht="18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166" t="s">
        <v>1041</v>
      </c>
      <c r="AB548" s="167" t="s">
        <v>1015</v>
      </c>
      <c r="AC548" s="168"/>
      <c r="AD548" s="44">
        <v>0</v>
      </c>
      <c r="AE548" s="43">
        <v>117329833</v>
      </c>
      <c r="AF548" s="44">
        <v>0</v>
      </c>
      <c r="AG548" s="44">
        <v>0</v>
      </c>
      <c r="AH548" s="44">
        <v>0</v>
      </c>
      <c r="AI548" s="43">
        <f>AE548-AF548+AG548-AH548</f>
        <v>117329833</v>
      </c>
      <c r="AJ548" s="43">
        <f>AD548+AI548</f>
        <v>117329833</v>
      </c>
      <c r="AK548" s="44">
        <v>0</v>
      </c>
      <c r="AL548" s="44">
        <v>0</v>
      </c>
      <c r="AM548" s="44">
        <v>0</v>
      </c>
      <c r="AN548" s="44">
        <v>0</v>
      </c>
      <c r="AO548" s="44">
        <v>0</v>
      </c>
      <c r="AP548" s="44">
        <v>0</v>
      </c>
      <c r="AQ548" s="44">
        <v>0</v>
      </c>
      <c r="AR548" s="44">
        <v>0</v>
      </c>
      <c r="AS548" s="44">
        <v>0</v>
      </c>
      <c r="AT548" s="40">
        <f t="shared" ref="AT548" si="218">AQ548+AS548</f>
        <v>0</v>
      </c>
      <c r="AU548" s="18">
        <f>AJ548-AM548</f>
        <v>117329833</v>
      </c>
      <c r="AV548" s="34">
        <f>AM548-AP548</f>
        <v>0</v>
      </c>
      <c r="AW548" s="18">
        <f>AP548-AT548</f>
        <v>0</v>
      </c>
      <c r="AX548" s="123">
        <f>AP548/AJ548</f>
        <v>0</v>
      </c>
    </row>
    <row r="549" spans="1:50" ht="18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208" t="s">
        <v>288</v>
      </c>
      <c r="AB549" s="209" t="s">
        <v>463</v>
      </c>
      <c r="AC549" s="43"/>
      <c r="AD549" s="43"/>
      <c r="AE549" s="44"/>
      <c r="AF549" s="44"/>
      <c r="AG549" s="43"/>
      <c r="AH549" s="44"/>
      <c r="AI549" s="43"/>
      <c r="AJ549" s="43"/>
      <c r="AK549" s="44"/>
      <c r="AL549" s="44"/>
      <c r="AM549" s="44"/>
      <c r="AN549" s="44"/>
      <c r="AO549" s="44"/>
      <c r="AP549" s="44"/>
      <c r="AQ549" s="44"/>
      <c r="AR549" s="44"/>
      <c r="AS549" s="44"/>
      <c r="AT549" s="40"/>
      <c r="AU549" s="43"/>
      <c r="AV549" s="44"/>
      <c r="AW549" s="44"/>
      <c r="AX549" s="43"/>
    </row>
    <row r="550" spans="1:50" ht="18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134" t="s">
        <v>464</v>
      </c>
      <c r="AB550" s="17" t="s">
        <v>458</v>
      </c>
      <c r="AC550" s="43"/>
      <c r="AD550" s="44">
        <v>0</v>
      </c>
      <c r="AE550" s="44">
        <v>0</v>
      </c>
      <c r="AF550" s="44">
        <v>0</v>
      </c>
      <c r="AG550" s="43">
        <v>1555449996</v>
      </c>
      <c r="AH550" s="44">
        <v>0</v>
      </c>
      <c r="AI550" s="43">
        <f>AE550-AF550+AG550-AH550</f>
        <v>1555449996</v>
      </c>
      <c r="AJ550" s="254">
        <f>AD550+AI550</f>
        <v>1555449996</v>
      </c>
      <c r="AK550" s="44">
        <v>0</v>
      </c>
      <c r="AL550" s="44">
        <v>0</v>
      </c>
      <c r="AM550" s="44">
        <v>0</v>
      </c>
      <c r="AN550" s="44">
        <v>0</v>
      </c>
      <c r="AO550" s="44">
        <v>0</v>
      </c>
      <c r="AP550" s="44">
        <v>0</v>
      </c>
      <c r="AQ550" s="44">
        <v>0</v>
      </c>
      <c r="AR550" s="44">
        <v>0</v>
      </c>
      <c r="AS550" s="44">
        <v>0</v>
      </c>
      <c r="AT550" s="40">
        <f>AQ550+AS550</f>
        <v>0</v>
      </c>
      <c r="AU550" s="18">
        <f>AJ550-AM550</f>
        <v>1555449996</v>
      </c>
      <c r="AV550" s="34">
        <f>AM550-AP550</f>
        <v>0</v>
      </c>
      <c r="AW550" s="34">
        <f>AP550-AT550</f>
        <v>0</v>
      </c>
      <c r="AX550" s="123">
        <f>AP550/AJ550</f>
        <v>0</v>
      </c>
    </row>
    <row r="551" spans="1:50" ht="18.75" customHeight="1" x14ac:dyDescent="0.2">
      <c r="AA551" s="28" t="s">
        <v>288</v>
      </c>
      <c r="AB551" s="29" t="s">
        <v>465</v>
      </c>
      <c r="AC551" s="17"/>
      <c r="AD551" s="18"/>
      <c r="AE551" s="34"/>
      <c r="AF551" s="34"/>
      <c r="AG551" s="18"/>
      <c r="AH551" s="34"/>
      <c r="AI551" s="18"/>
      <c r="AJ551" s="18"/>
      <c r="AK551" s="34"/>
      <c r="AL551" s="34"/>
      <c r="AM551" s="34"/>
      <c r="AN551" s="34"/>
      <c r="AO551" s="34"/>
      <c r="AP551" s="34"/>
      <c r="AQ551" s="34"/>
      <c r="AR551" s="34"/>
      <c r="AS551" s="34"/>
      <c r="AT551" s="40"/>
      <c r="AU551" s="18"/>
      <c r="AV551" s="34"/>
      <c r="AW551" s="34"/>
      <c r="AX551" s="18"/>
    </row>
    <row r="552" spans="1:50" ht="18.75" customHeight="1" x14ac:dyDescent="0.2">
      <c r="A552" s="4" t="s">
        <v>55</v>
      </c>
      <c r="B552" s="4" t="s">
        <v>56</v>
      </c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1" t="s">
        <v>466</v>
      </c>
      <c r="AB552" s="42" t="s">
        <v>233</v>
      </c>
      <c r="AC552" s="43" t="s">
        <v>58</v>
      </c>
      <c r="AD552" s="44">
        <v>0</v>
      </c>
      <c r="AE552" s="44">
        <v>0</v>
      </c>
      <c r="AF552" s="44">
        <v>0</v>
      </c>
      <c r="AG552" s="43">
        <v>95000000</v>
      </c>
      <c r="AH552" s="44">
        <v>0</v>
      </c>
      <c r="AI552" s="43">
        <f>AE552-AF552+AG552-AH552</f>
        <v>95000000</v>
      </c>
      <c r="AJ552" s="43">
        <f>AD552+AI552</f>
        <v>95000000</v>
      </c>
      <c r="AK552" s="44">
        <v>0</v>
      </c>
      <c r="AL552" s="115">
        <v>0</v>
      </c>
      <c r="AM552" s="114">
        <v>94976390.849999994</v>
      </c>
      <c r="AN552" s="44">
        <v>0</v>
      </c>
      <c r="AO552" s="114">
        <v>0</v>
      </c>
      <c r="AP552" s="114">
        <v>94976390.849999994</v>
      </c>
      <c r="AQ552" s="44">
        <v>0</v>
      </c>
      <c r="AR552" s="44">
        <v>0</v>
      </c>
      <c r="AS552" s="44">
        <v>0</v>
      </c>
      <c r="AT552" s="40">
        <f>AQ552+AS552</f>
        <v>0</v>
      </c>
      <c r="AU552" s="18">
        <f>AJ552-AM552</f>
        <v>23609.15000000596</v>
      </c>
      <c r="AV552" s="34">
        <f>AM552-AP552</f>
        <v>0</v>
      </c>
      <c r="AW552" s="110">
        <f>AP552-AT552</f>
        <v>94976390.849999994</v>
      </c>
      <c r="AX552" s="123">
        <f>AP552/AJ552</f>
        <v>0.99975148263157887</v>
      </c>
    </row>
    <row r="553" spans="1:50" ht="18.75" customHeight="1" x14ac:dyDescent="0.2">
      <c r="AA553" s="16"/>
      <c r="AB553" s="29" t="s">
        <v>467</v>
      </c>
      <c r="AC553" s="17"/>
      <c r="AD553" s="34"/>
      <c r="AE553" s="34"/>
      <c r="AF553" s="34"/>
      <c r="AG553" s="18"/>
      <c r="AH553" s="34"/>
      <c r="AI553" s="18"/>
      <c r="AJ553" s="18"/>
      <c r="AK553" s="34"/>
      <c r="AL553" s="34"/>
      <c r="AM553" s="34"/>
      <c r="AN553" s="34"/>
      <c r="AO553" s="34"/>
      <c r="AP553" s="34"/>
      <c r="AQ553" s="34"/>
      <c r="AR553" s="34"/>
      <c r="AS553" s="34"/>
      <c r="AT553" s="40"/>
      <c r="AU553" s="18"/>
      <c r="AV553" s="34"/>
      <c r="AW553" s="34"/>
      <c r="AX553" s="18"/>
    </row>
    <row r="554" spans="1:50" ht="18.75" customHeight="1" x14ac:dyDescent="0.2">
      <c r="A554" s="4" t="s">
        <v>55</v>
      </c>
      <c r="B554" s="4" t="s">
        <v>56</v>
      </c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1" t="s">
        <v>468</v>
      </c>
      <c r="AB554" s="42" t="s">
        <v>458</v>
      </c>
      <c r="AC554" s="43" t="s">
        <v>454</v>
      </c>
      <c r="AD554" s="44">
        <v>0</v>
      </c>
      <c r="AE554" s="44">
        <v>0</v>
      </c>
      <c r="AF554" s="44">
        <v>0</v>
      </c>
      <c r="AG554" s="43">
        <v>1331864802</v>
      </c>
      <c r="AH554" s="44">
        <v>0</v>
      </c>
      <c r="AI554" s="43">
        <f>AE554-AF554+AG554-AH554</f>
        <v>1331864802</v>
      </c>
      <c r="AJ554" s="43">
        <f>AD554+AI554</f>
        <v>1331864802</v>
      </c>
      <c r="AK554" s="44">
        <v>0</v>
      </c>
      <c r="AL554" s="44">
        <v>0</v>
      </c>
      <c r="AM554" s="43">
        <v>1234550713.8599999</v>
      </c>
      <c r="AN554" s="44">
        <v>0</v>
      </c>
      <c r="AO554" s="44">
        <v>0</v>
      </c>
      <c r="AP554" s="44">
        <v>0</v>
      </c>
      <c r="AQ554" s="44">
        <v>0</v>
      </c>
      <c r="AR554" s="44">
        <v>0</v>
      </c>
      <c r="AS554" s="44">
        <v>0</v>
      </c>
      <c r="AT554" s="40">
        <f>AQ554+AS554</f>
        <v>0</v>
      </c>
      <c r="AU554" s="18">
        <f>AJ554-AM554</f>
        <v>97314088.140000105</v>
      </c>
      <c r="AV554" s="18">
        <f>AM554-AP554</f>
        <v>1234550713.8599999</v>
      </c>
      <c r="AW554" s="34">
        <f>AP554-AT554</f>
        <v>0</v>
      </c>
      <c r="AX554" s="123">
        <f>AP554/AJ554</f>
        <v>0</v>
      </c>
    </row>
    <row r="555" spans="1:50" ht="18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170" t="s">
        <v>288</v>
      </c>
      <c r="AB555" s="170" t="s">
        <v>970</v>
      </c>
      <c r="AC555" s="168"/>
      <c r="AD555" s="44"/>
      <c r="AE555" s="44"/>
      <c r="AF555" s="44"/>
      <c r="AG555" s="43"/>
      <c r="AH555" s="44"/>
      <c r="AI555" s="43"/>
      <c r="AJ555" s="43"/>
      <c r="AK555" s="44"/>
      <c r="AL555" s="44"/>
      <c r="AM555" s="44"/>
      <c r="AN555" s="44"/>
      <c r="AO555" s="44"/>
      <c r="AP555" s="44"/>
      <c r="AQ555" s="44"/>
      <c r="AR555" s="44"/>
      <c r="AS555" s="44"/>
      <c r="AT555" s="40"/>
      <c r="AU555" s="18"/>
      <c r="AV555" s="34"/>
      <c r="AW555" s="34"/>
      <c r="AX555" s="123"/>
    </row>
    <row r="556" spans="1:50" ht="18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166" t="s">
        <v>969</v>
      </c>
      <c r="AB556" s="166" t="s">
        <v>233</v>
      </c>
      <c r="AC556" s="168"/>
      <c r="AD556" s="44">
        <v>0</v>
      </c>
      <c r="AE556" s="44">
        <v>0</v>
      </c>
      <c r="AF556" s="44">
        <v>0</v>
      </c>
      <c r="AG556" s="43">
        <v>138279379</v>
      </c>
      <c r="AH556" s="43">
        <v>4993574</v>
      </c>
      <c r="AI556" s="43">
        <f>AE556-AF556+AG556-AH556</f>
        <v>133285805</v>
      </c>
      <c r="AJ556" s="43">
        <f>AD556+AI556</f>
        <v>133285805</v>
      </c>
      <c r="AK556" s="44">
        <v>0</v>
      </c>
      <c r="AL556" s="44">
        <v>0</v>
      </c>
      <c r="AM556" s="43">
        <v>133285804.41</v>
      </c>
      <c r="AN556" s="44">
        <v>0</v>
      </c>
      <c r="AO556" s="43">
        <v>133285804.41</v>
      </c>
      <c r="AP556" s="43">
        <v>133285804.41</v>
      </c>
      <c r="AQ556" s="44">
        <v>0</v>
      </c>
      <c r="AR556" s="44">
        <v>0</v>
      </c>
      <c r="AS556" s="44">
        <v>0</v>
      </c>
      <c r="AT556" s="40">
        <f>AQ556+AS556</f>
        <v>0</v>
      </c>
      <c r="AU556" s="18">
        <f>AJ556-AM556</f>
        <v>0.59000000357627869</v>
      </c>
      <c r="AV556" s="18">
        <f>AM556-AP556</f>
        <v>0</v>
      </c>
      <c r="AW556" s="18">
        <f>AP556-AT556</f>
        <v>133285804.41</v>
      </c>
      <c r="AX556" s="123">
        <f>AP556/AJ556</f>
        <v>0.99999999557342212</v>
      </c>
    </row>
    <row r="557" spans="1:50" ht="22.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166" t="s">
        <v>1042</v>
      </c>
      <c r="AB557" s="167" t="s">
        <v>1015</v>
      </c>
      <c r="AC557" s="168"/>
      <c r="AD557" s="44">
        <v>0</v>
      </c>
      <c r="AE557" s="43">
        <v>20000000</v>
      </c>
      <c r="AF557" s="44">
        <v>0</v>
      </c>
      <c r="AG557" s="44">
        <v>0</v>
      </c>
      <c r="AH557" s="44">
        <v>0</v>
      </c>
      <c r="AI557" s="43">
        <f t="shared" ref="AI557:AI558" si="219">AE557-AF557+AG557-AH557</f>
        <v>20000000</v>
      </c>
      <c r="AJ557" s="43">
        <f t="shared" ref="AJ557:AJ558" si="220">AD557+AI557</f>
        <v>20000000</v>
      </c>
      <c r="AK557" s="44">
        <v>0</v>
      </c>
      <c r="AL557" s="44">
        <v>0</v>
      </c>
      <c r="AM557" s="44">
        <v>0</v>
      </c>
      <c r="AN557" s="44">
        <v>0</v>
      </c>
      <c r="AO557" s="44">
        <v>0</v>
      </c>
      <c r="AP557" s="44">
        <v>0</v>
      </c>
      <c r="AQ557" s="44">
        <v>0</v>
      </c>
      <c r="AR557" s="44">
        <v>0</v>
      </c>
      <c r="AS557" s="44">
        <v>0</v>
      </c>
      <c r="AT557" s="40">
        <f t="shared" ref="AT557:AT558" si="221">AQ557+AS557</f>
        <v>0</v>
      </c>
      <c r="AU557" s="18">
        <f>AJ557-AM557</f>
        <v>20000000</v>
      </c>
      <c r="AV557" s="18">
        <f>AM557-AP557</f>
        <v>0</v>
      </c>
      <c r="AW557" s="34">
        <f>AP557-AT557</f>
        <v>0</v>
      </c>
      <c r="AX557" s="123">
        <f>AP557/AJ557</f>
        <v>0</v>
      </c>
    </row>
    <row r="558" spans="1:50" ht="27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166" t="s">
        <v>1043</v>
      </c>
      <c r="AB558" s="167" t="s">
        <v>1044</v>
      </c>
      <c r="AC558" s="168"/>
      <c r="AD558" s="44">
        <v>0</v>
      </c>
      <c r="AE558" s="43">
        <v>2160000000</v>
      </c>
      <c r="AF558" s="44">
        <v>0</v>
      </c>
      <c r="AG558" s="44">
        <v>0</v>
      </c>
      <c r="AH558" s="44">
        <v>0</v>
      </c>
      <c r="AI558" s="43">
        <f t="shared" si="219"/>
        <v>2160000000</v>
      </c>
      <c r="AJ558" s="43">
        <f t="shared" si="220"/>
        <v>2160000000</v>
      </c>
      <c r="AK558" s="44">
        <v>0</v>
      </c>
      <c r="AL558" s="44">
        <v>0</v>
      </c>
      <c r="AM558" s="44">
        <v>0</v>
      </c>
      <c r="AN558" s="44">
        <v>0</v>
      </c>
      <c r="AO558" s="44">
        <v>0</v>
      </c>
      <c r="AP558" s="44">
        <v>0</v>
      </c>
      <c r="AQ558" s="44">
        <v>0</v>
      </c>
      <c r="AR558" s="44">
        <v>0</v>
      </c>
      <c r="AS558" s="44">
        <v>0</v>
      </c>
      <c r="AT558" s="40">
        <f t="shared" si="221"/>
        <v>0</v>
      </c>
      <c r="AU558" s="18">
        <f>AJ558-AM558</f>
        <v>2160000000</v>
      </c>
      <c r="AV558" s="18">
        <f>AM558-AP558</f>
        <v>0</v>
      </c>
      <c r="AW558" s="34">
        <f>AP558-AT558</f>
        <v>0</v>
      </c>
      <c r="AX558" s="123">
        <f>AP558/AJ558</f>
        <v>0</v>
      </c>
    </row>
    <row r="559" spans="1:50" ht="18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171" t="s">
        <v>288</v>
      </c>
      <c r="AB559" s="171" t="s">
        <v>971</v>
      </c>
      <c r="AC559" s="168"/>
      <c r="AD559" s="44"/>
      <c r="AE559" s="44"/>
      <c r="AF559" s="44"/>
      <c r="AG559" s="43"/>
      <c r="AH559" s="44"/>
      <c r="AI559" s="43"/>
      <c r="AJ559" s="43"/>
      <c r="AK559" s="44"/>
      <c r="AL559" s="44"/>
      <c r="AM559" s="44"/>
      <c r="AN559" s="44"/>
      <c r="AO559" s="44"/>
      <c r="AP559" s="44"/>
      <c r="AQ559" s="44"/>
      <c r="AR559" s="44"/>
      <c r="AS559" s="44"/>
      <c r="AT559" s="40"/>
      <c r="AU559" s="18"/>
      <c r="AV559" s="34"/>
      <c r="AW559" s="34"/>
      <c r="AX559" s="123"/>
    </row>
    <row r="560" spans="1:50" ht="18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166" t="s">
        <v>968</v>
      </c>
      <c r="AB560" s="166" t="s">
        <v>233</v>
      </c>
      <c r="AC560" s="168"/>
      <c r="AD560" s="44">
        <v>0</v>
      </c>
      <c r="AE560" s="44">
        <v>0</v>
      </c>
      <c r="AF560" s="44">
        <v>0</v>
      </c>
      <c r="AG560" s="43">
        <v>610000000</v>
      </c>
      <c r="AH560" s="44"/>
      <c r="AI560" s="43">
        <f>AE560-AF560+AG560-AH560</f>
        <v>610000000</v>
      </c>
      <c r="AJ560" s="43">
        <f>AD560+AI560</f>
        <v>610000000</v>
      </c>
      <c r="AK560" s="44">
        <v>0</v>
      </c>
      <c r="AL560" s="44">
        <v>0</v>
      </c>
      <c r="AM560" s="43">
        <v>311711449.05000001</v>
      </c>
      <c r="AN560" s="44">
        <v>0</v>
      </c>
      <c r="AO560" s="44">
        <v>0</v>
      </c>
      <c r="AP560" s="44">
        <v>0</v>
      </c>
      <c r="AQ560" s="44">
        <v>0</v>
      </c>
      <c r="AR560" s="44">
        <v>0</v>
      </c>
      <c r="AS560" s="44">
        <v>0</v>
      </c>
      <c r="AT560" s="40">
        <f>AQ560+AS560</f>
        <v>0</v>
      </c>
      <c r="AU560" s="18">
        <f>AJ560-AM560</f>
        <v>298288550.94999999</v>
      </c>
      <c r="AV560" s="18">
        <f>AM560-AP560</f>
        <v>311711449.05000001</v>
      </c>
      <c r="AW560" s="34">
        <f>AP560-AT560</f>
        <v>0</v>
      </c>
      <c r="AX560" s="123">
        <f>AP560/AJ560</f>
        <v>0</v>
      </c>
    </row>
    <row r="561" spans="1:50" ht="18.75" customHeight="1" x14ac:dyDescent="0.2">
      <c r="AA561" s="169" t="s">
        <v>288</v>
      </c>
      <c r="AB561" s="163" t="s">
        <v>469</v>
      </c>
      <c r="AC561" s="17"/>
      <c r="AD561" s="18"/>
      <c r="AE561" s="18"/>
      <c r="AF561" s="18"/>
      <c r="AG561" s="18"/>
      <c r="AH561" s="34"/>
      <c r="AI561" s="18"/>
      <c r="AJ561" s="18"/>
      <c r="AK561" s="34"/>
      <c r="AL561" s="34"/>
      <c r="AM561" s="34"/>
      <c r="AN561" s="34"/>
      <c r="AO561" s="34"/>
      <c r="AP561" s="34"/>
      <c r="AQ561" s="34"/>
      <c r="AR561" s="34"/>
      <c r="AS561" s="34"/>
      <c r="AT561" s="40"/>
      <c r="AU561" s="18"/>
      <c r="AV561" s="34"/>
      <c r="AW561" s="18"/>
      <c r="AX561" s="18"/>
    </row>
    <row r="562" spans="1:50" ht="18.75" customHeight="1" x14ac:dyDescent="0.2">
      <c r="A562" s="4" t="s">
        <v>55</v>
      </c>
      <c r="B562" s="4" t="s">
        <v>56</v>
      </c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211" t="s">
        <v>470</v>
      </c>
      <c r="AB562" s="212" t="s">
        <v>233</v>
      </c>
      <c r="AC562" s="43" t="s">
        <v>58</v>
      </c>
      <c r="AD562" s="43">
        <v>128000000</v>
      </c>
      <c r="AE562" s="44">
        <v>0</v>
      </c>
      <c r="AF562" s="44">
        <v>0</v>
      </c>
      <c r="AG562" s="44">
        <v>0</v>
      </c>
      <c r="AH562" s="44">
        <v>0</v>
      </c>
      <c r="AI562" s="44">
        <v>0</v>
      </c>
      <c r="AJ562" s="43">
        <v>128000000</v>
      </c>
      <c r="AK562" s="44">
        <v>0</v>
      </c>
      <c r="AL562" s="44">
        <v>0</v>
      </c>
      <c r="AM562" s="44">
        <v>0</v>
      </c>
      <c r="AN562" s="44">
        <v>0</v>
      </c>
      <c r="AO562" s="44">
        <v>0</v>
      </c>
      <c r="AP562" s="44">
        <v>0</v>
      </c>
      <c r="AQ562" s="44">
        <v>0</v>
      </c>
      <c r="AR562" s="44">
        <v>0</v>
      </c>
      <c r="AS562" s="44">
        <v>0</v>
      </c>
      <c r="AT562" s="40">
        <f>AQ562+AS562</f>
        <v>0</v>
      </c>
      <c r="AU562" s="18">
        <f>AJ562-AM562</f>
        <v>128000000</v>
      </c>
      <c r="AV562" s="34">
        <f>AM562-AP562</f>
        <v>0</v>
      </c>
      <c r="AW562" s="34">
        <f>AP562-AT562</f>
        <v>0</v>
      </c>
      <c r="AX562" s="123">
        <f>AP562/AJ562</f>
        <v>0</v>
      </c>
    </row>
    <row r="563" spans="1:50" ht="28.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166" t="s">
        <v>1029</v>
      </c>
      <c r="AB563" s="167" t="s">
        <v>1030</v>
      </c>
      <c r="AC563" s="168"/>
      <c r="AD563" s="44">
        <v>0</v>
      </c>
      <c r="AE563" s="43">
        <v>451451337.30000001</v>
      </c>
      <c r="AF563" s="44">
        <v>0</v>
      </c>
      <c r="AG563" s="44">
        <v>0</v>
      </c>
      <c r="AH563" s="44">
        <v>0</v>
      </c>
      <c r="AI563" s="43">
        <f t="shared" ref="AI563:AI565" si="222">AE563-AF563+AG563-AH563</f>
        <v>451451337.30000001</v>
      </c>
      <c r="AJ563" s="43">
        <f t="shared" ref="AJ563:AJ565" si="223">AD563+AI563</f>
        <v>451451337.30000001</v>
      </c>
      <c r="AK563" s="44">
        <v>0</v>
      </c>
      <c r="AL563" s="44">
        <v>0</v>
      </c>
      <c r="AM563" s="44">
        <v>0</v>
      </c>
      <c r="AN563" s="44">
        <v>0</v>
      </c>
      <c r="AO563" s="44">
        <v>0</v>
      </c>
      <c r="AP563" s="44">
        <v>0</v>
      </c>
      <c r="AQ563" s="44">
        <v>0</v>
      </c>
      <c r="AR563" s="44">
        <v>0</v>
      </c>
      <c r="AS563" s="44">
        <v>0</v>
      </c>
      <c r="AT563" s="40">
        <f t="shared" ref="AT563:AT565" si="224">AQ563+AS563</f>
        <v>0</v>
      </c>
      <c r="AU563" s="18">
        <f>AJ563-AM563</f>
        <v>451451337.30000001</v>
      </c>
      <c r="AV563" s="34">
        <f>AM563-AP563</f>
        <v>0</v>
      </c>
      <c r="AW563" s="34">
        <f>AP563-AT563</f>
        <v>0</v>
      </c>
      <c r="AX563" s="123">
        <f>AP563/AJ563</f>
        <v>0</v>
      </c>
    </row>
    <row r="564" spans="1:50" ht="18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166" t="s">
        <v>1031</v>
      </c>
      <c r="AB564" s="167" t="s">
        <v>1032</v>
      </c>
      <c r="AC564" s="168"/>
      <c r="AD564" s="44">
        <v>0</v>
      </c>
      <c r="AE564" s="43">
        <v>700000000</v>
      </c>
      <c r="AF564" s="44">
        <v>0</v>
      </c>
      <c r="AG564" s="44">
        <v>0</v>
      </c>
      <c r="AH564" s="44">
        <v>0</v>
      </c>
      <c r="AI564" s="43">
        <f t="shared" si="222"/>
        <v>700000000</v>
      </c>
      <c r="AJ564" s="43">
        <f t="shared" si="223"/>
        <v>700000000</v>
      </c>
      <c r="AK564" s="44">
        <v>0</v>
      </c>
      <c r="AL564" s="44">
        <v>0</v>
      </c>
      <c r="AM564" s="44">
        <v>0</v>
      </c>
      <c r="AN564" s="44">
        <v>0</v>
      </c>
      <c r="AO564" s="44">
        <v>0</v>
      </c>
      <c r="AP564" s="44">
        <v>0</v>
      </c>
      <c r="AQ564" s="44">
        <v>0</v>
      </c>
      <c r="AR564" s="44">
        <v>0</v>
      </c>
      <c r="AS564" s="44">
        <v>0</v>
      </c>
      <c r="AT564" s="40">
        <f t="shared" si="224"/>
        <v>0</v>
      </c>
      <c r="AU564" s="18">
        <f>AJ564-AM564</f>
        <v>700000000</v>
      </c>
      <c r="AV564" s="34">
        <f>AM564-AP564</f>
        <v>0</v>
      </c>
      <c r="AW564" s="34">
        <f>AP564-AT564</f>
        <v>0</v>
      </c>
      <c r="AX564" s="123">
        <f>AP564/AJ564</f>
        <v>0</v>
      </c>
    </row>
    <row r="565" spans="1:50" ht="18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166" t="s">
        <v>1033</v>
      </c>
      <c r="AB565" s="167" t="s">
        <v>1034</v>
      </c>
      <c r="AC565" s="168"/>
      <c r="AD565" s="44">
        <v>0</v>
      </c>
      <c r="AE565" s="43">
        <v>1040743</v>
      </c>
      <c r="AF565" s="44">
        <v>0</v>
      </c>
      <c r="AG565" s="44">
        <v>0</v>
      </c>
      <c r="AH565" s="44">
        <v>0</v>
      </c>
      <c r="AI565" s="43">
        <f t="shared" si="222"/>
        <v>1040743</v>
      </c>
      <c r="AJ565" s="43">
        <f t="shared" si="223"/>
        <v>1040743</v>
      </c>
      <c r="AK565" s="44">
        <v>0</v>
      </c>
      <c r="AL565" s="44">
        <v>0</v>
      </c>
      <c r="AM565" s="44">
        <v>0</v>
      </c>
      <c r="AN565" s="44">
        <v>0</v>
      </c>
      <c r="AO565" s="44">
        <v>0</v>
      </c>
      <c r="AP565" s="44">
        <v>0</v>
      </c>
      <c r="AQ565" s="44">
        <v>0</v>
      </c>
      <c r="AR565" s="44">
        <v>0</v>
      </c>
      <c r="AS565" s="44">
        <v>0</v>
      </c>
      <c r="AT565" s="40">
        <f t="shared" si="224"/>
        <v>0</v>
      </c>
      <c r="AU565" s="18">
        <f>AJ565-AM565</f>
        <v>1040743</v>
      </c>
      <c r="AV565" s="34">
        <f>AM565-AP565</f>
        <v>0</v>
      </c>
      <c r="AW565" s="34">
        <f>AP565-AT565</f>
        <v>0</v>
      </c>
      <c r="AX565" s="123">
        <f>AP565/AJ565</f>
        <v>0</v>
      </c>
    </row>
    <row r="566" spans="1:50" ht="18.75" customHeight="1" x14ac:dyDescent="0.2">
      <c r="AA566" s="169" t="s">
        <v>288</v>
      </c>
      <c r="AB566" s="163" t="s">
        <v>471</v>
      </c>
      <c r="AC566" s="17"/>
      <c r="AD566" s="18"/>
      <c r="AE566" s="34"/>
      <c r="AF566" s="34"/>
      <c r="AG566" s="34"/>
      <c r="AH566" s="18"/>
      <c r="AI566" s="18"/>
      <c r="AJ566" s="18"/>
      <c r="AK566" s="34"/>
      <c r="AL566" s="34"/>
      <c r="AM566" s="34"/>
      <c r="AN566" s="34"/>
      <c r="AO566" s="34"/>
      <c r="AP566" s="34"/>
      <c r="AQ566" s="34"/>
      <c r="AR566" s="34"/>
      <c r="AS566" s="34"/>
      <c r="AT566" s="40"/>
      <c r="AU566" s="18"/>
      <c r="AV566" s="34"/>
      <c r="AW566" s="34"/>
      <c r="AX566" s="18"/>
    </row>
    <row r="567" spans="1:50" ht="18.75" customHeight="1" x14ac:dyDescent="0.2">
      <c r="A567" s="4" t="s">
        <v>55</v>
      </c>
      <c r="B567" s="4" t="s">
        <v>56</v>
      </c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1" t="s">
        <v>472</v>
      </c>
      <c r="AB567" s="42" t="s">
        <v>453</v>
      </c>
      <c r="AC567" s="43" t="s">
        <v>454</v>
      </c>
      <c r="AD567" s="43">
        <v>16500000000</v>
      </c>
      <c r="AE567" s="44">
        <v>0</v>
      </c>
      <c r="AF567" s="44">
        <v>0</v>
      </c>
      <c r="AG567" s="44">
        <v>0</v>
      </c>
      <c r="AH567" s="43">
        <v>16500000000</v>
      </c>
      <c r="AI567" s="43">
        <f>AE567-AF567+AG567-AH567</f>
        <v>-16500000000</v>
      </c>
      <c r="AJ567" s="44">
        <f>AD567+AI567</f>
        <v>0</v>
      </c>
      <c r="AK567" s="44">
        <v>0</v>
      </c>
      <c r="AL567" s="44">
        <v>0</v>
      </c>
      <c r="AM567" s="44">
        <v>0</v>
      </c>
      <c r="AN567" s="44">
        <v>0</v>
      </c>
      <c r="AO567" s="44">
        <v>0</v>
      </c>
      <c r="AP567" s="44">
        <v>0</v>
      </c>
      <c r="AQ567" s="44">
        <v>0</v>
      </c>
      <c r="AR567" s="44">
        <v>0</v>
      </c>
      <c r="AS567" s="44">
        <v>0</v>
      </c>
      <c r="AT567" s="40">
        <f>AQ567+AS567</f>
        <v>0</v>
      </c>
      <c r="AU567" s="34">
        <f>AJ567-AM567</f>
        <v>0</v>
      </c>
      <c r="AV567" s="34">
        <f>AM567-AP567</f>
        <v>0</v>
      </c>
      <c r="AW567" s="34">
        <f>AP567-AT567</f>
        <v>0</v>
      </c>
      <c r="AX567" s="123">
        <v>0</v>
      </c>
    </row>
    <row r="568" spans="1:50" ht="25.5" x14ac:dyDescent="0.2">
      <c r="AA568" s="28" t="s">
        <v>288</v>
      </c>
      <c r="AB568" s="29" t="s">
        <v>473</v>
      </c>
      <c r="AC568" s="17"/>
      <c r="AD568" s="18"/>
      <c r="AE568" s="18"/>
      <c r="AF568" s="18"/>
      <c r="AG568" s="18"/>
      <c r="AH568" s="18"/>
      <c r="AI568" s="18"/>
      <c r="AJ568" s="18"/>
      <c r="AK568" s="34"/>
      <c r="AL568" s="34"/>
      <c r="AM568" s="34"/>
      <c r="AN568" s="34"/>
      <c r="AO568" s="34"/>
      <c r="AP568" s="34"/>
      <c r="AQ568" s="18"/>
      <c r="AR568" s="18"/>
      <c r="AS568" s="18"/>
      <c r="AT568" s="40"/>
      <c r="AU568" s="18"/>
      <c r="AV568" s="34"/>
      <c r="AW568" s="34"/>
      <c r="AX568" s="18"/>
    </row>
    <row r="569" spans="1:50" ht="18.75" customHeight="1" x14ac:dyDescent="0.2">
      <c r="A569" s="4" t="s">
        <v>55</v>
      </c>
      <c r="B569" s="4" t="s">
        <v>56</v>
      </c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1" t="s">
        <v>474</v>
      </c>
      <c r="AB569" s="42" t="s">
        <v>233</v>
      </c>
      <c r="AC569" s="43" t="s">
        <v>58</v>
      </c>
      <c r="AD569" s="44">
        <v>0</v>
      </c>
      <c r="AE569" s="44">
        <v>0</v>
      </c>
      <c r="AF569" s="44">
        <v>0</v>
      </c>
      <c r="AG569" s="43">
        <v>22204778</v>
      </c>
      <c r="AH569" s="44">
        <v>0</v>
      </c>
      <c r="AI569" s="43">
        <f>AE569-AF569+AG569-AH569</f>
        <v>22204778</v>
      </c>
      <c r="AJ569" s="43">
        <f>AD569+AI569</f>
        <v>22204778</v>
      </c>
      <c r="AK569" s="44">
        <v>0</v>
      </c>
      <c r="AL569" s="44">
        <v>0</v>
      </c>
      <c r="AM569" s="44">
        <v>0</v>
      </c>
      <c r="AN569" s="44">
        <v>0</v>
      </c>
      <c r="AO569" s="44">
        <v>0</v>
      </c>
      <c r="AP569" s="44">
        <v>0</v>
      </c>
      <c r="AQ569" s="44">
        <v>0</v>
      </c>
      <c r="AR569" s="44">
        <v>0</v>
      </c>
      <c r="AS569" s="44">
        <v>0</v>
      </c>
      <c r="AT569" s="40">
        <f>AQ569+AS569</f>
        <v>0</v>
      </c>
      <c r="AU569" s="18">
        <f>AJ569-AM569</f>
        <v>22204778</v>
      </c>
      <c r="AV569" s="34">
        <f>AM569-AP569</f>
        <v>0</v>
      </c>
      <c r="AW569" s="34">
        <f>AP569-AT569</f>
        <v>0</v>
      </c>
      <c r="AX569" s="123">
        <f>AP569/AJ569</f>
        <v>0</v>
      </c>
    </row>
    <row r="570" spans="1:50" ht="27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166" t="s">
        <v>1046</v>
      </c>
      <c r="AB570" s="167" t="s">
        <v>1047</v>
      </c>
      <c r="AC570" s="168"/>
      <c r="AD570" s="44">
        <v>0</v>
      </c>
      <c r="AE570" s="43">
        <v>186255799.66</v>
      </c>
      <c r="AF570" s="44">
        <v>0</v>
      </c>
      <c r="AG570" s="44">
        <v>0</v>
      </c>
      <c r="AH570" s="44">
        <v>0</v>
      </c>
      <c r="AI570" s="43">
        <f>AE570-AF570+AG570-AH570</f>
        <v>186255799.66</v>
      </c>
      <c r="AJ570" s="43">
        <f>AD570+AI570</f>
        <v>186255799.66</v>
      </c>
      <c r="AK570" s="44">
        <v>0</v>
      </c>
      <c r="AL570" s="44">
        <v>0</v>
      </c>
      <c r="AM570" s="44">
        <v>0</v>
      </c>
      <c r="AN570" s="44">
        <v>0</v>
      </c>
      <c r="AO570" s="44">
        <v>0</v>
      </c>
      <c r="AP570" s="44">
        <v>0</v>
      </c>
      <c r="AQ570" s="44">
        <v>0</v>
      </c>
      <c r="AR570" s="44">
        <v>0</v>
      </c>
      <c r="AS570" s="44">
        <v>0</v>
      </c>
      <c r="AT570" s="40">
        <f>AQ570+AS570</f>
        <v>0</v>
      </c>
      <c r="AU570" s="18">
        <f>AJ570-AM570</f>
        <v>186255799.66</v>
      </c>
      <c r="AV570" s="34">
        <f>AM570-AP570</f>
        <v>0</v>
      </c>
      <c r="AW570" s="34">
        <f>AP570-AT570</f>
        <v>0</v>
      </c>
      <c r="AX570" s="123">
        <f>AP570/AJ570</f>
        <v>0</v>
      </c>
    </row>
    <row r="571" spans="1:50" ht="25.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171" t="s">
        <v>288</v>
      </c>
      <c r="AB571" s="213" t="s">
        <v>1037</v>
      </c>
      <c r="AC571" s="168"/>
      <c r="AD571" s="44"/>
      <c r="AE571" s="44"/>
      <c r="AF571" s="44"/>
      <c r="AG571" s="43"/>
      <c r="AH571" s="44"/>
      <c r="AI571" s="43"/>
      <c r="AJ571" s="43"/>
      <c r="AK571" s="44"/>
      <c r="AL571" s="44"/>
      <c r="AM571" s="44"/>
      <c r="AN571" s="44"/>
      <c r="AO571" s="44"/>
      <c r="AP571" s="44"/>
      <c r="AQ571" s="44"/>
      <c r="AR571" s="44"/>
      <c r="AS571" s="44"/>
      <c r="AT571" s="40"/>
      <c r="AU571" s="18"/>
      <c r="AV571" s="34"/>
      <c r="AW571" s="34"/>
      <c r="AX571" s="123"/>
    </row>
    <row r="572" spans="1:50" ht="28.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166" t="s">
        <v>1038</v>
      </c>
      <c r="AB572" s="167" t="s">
        <v>1039</v>
      </c>
      <c r="AC572" s="168"/>
      <c r="AD572" s="44">
        <v>0</v>
      </c>
      <c r="AE572" s="43">
        <v>266733201.66</v>
      </c>
      <c r="AF572" s="44">
        <v>0</v>
      </c>
      <c r="AG572" s="44">
        <v>0</v>
      </c>
      <c r="AH572" s="44">
        <v>0</v>
      </c>
      <c r="AI572" s="43">
        <f>AE572-AF572+AG572-AH572</f>
        <v>266733201.66</v>
      </c>
      <c r="AJ572" s="43">
        <f>AD572+AI572</f>
        <v>266733201.66</v>
      </c>
      <c r="AK572" s="44">
        <v>0</v>
      </c>
      <c r="AL572" s="44">
        <v>0</v>
      </c>
      <c r="AM572" s="44">
        <v>0</v>
      </c>
      <c r="AN572" s="44">
        <v>0</v>
      </c>
      <c r="AO572" s="44">
        <v>0</v>
      </c>
      <c r="AP572" s="44">
        <v>0</v>
      </c>
      <c r="AQ572" s="44">
        <v>0</v>
      </c>
      <c r="AR572" s="44">
        <v>0</v>
      </c>
      <c r="AS572" s="44">
        <v>0</v>
      </c>
      <c r="AT572" s="40">
        <f>AQ572+AS572</f>
        <v>0</v>
      </c>
      <c r="AU572" s="18">
        <f>AJ572-AM572</f>
        <v>266733201.66</v>
      </c>
      <c r="AV572" s="34">
        <f>AM572-AP572</f>
        <v>0</v>
      </c>
      <c r="AW572" s="34">
        <f>AP572-AT572</f>
        <v>0</v>
      </c>
      <c r="AX572" s="123">
        <f>AP572/AJ572</f>
        <v>0</v>
      </c>
    </row>
    <row r="573" spans="1:50" x14ac:dyDescent="0.2">
      <c r="AA573" s="162"/>
      <c r="AB573" s="163" t="s">
        <v>475</v>
      </c>
      <c r="AC573" s="17"/>
      <c r="AD573" s="34"/>
      <c r="AE573" s="34"/>
      <c r="AF573" s="34"/>
      <c r="AG573" s="18"/>
      <c r="AH573" s="34"/>
      <c r="AI573" s="18"/>
      <c r="AJ573" s="18"/>
      <c r="AK573" s="34"/>
      <c r="AL573" s="34"/>
      <c r="AM573" s="34"/>
      <c r="AN573" s="34"/>
      <c r="AO573" s="34"/>
      <c r="AP573" s="34"/>
      <c r="AQ573" s="34"/>
      <c r="AR573" s="34"/>
      <c r="AS573" s="34"/>
      <c r="AT573" s="40"/>
      <c r="AU573" s="18"/>
      <c r="AV573" s="34"/>
      <c r="AW573" s="18"/>
      <c r="AX573" s="18"/>
    </row>
    <row r="574" spans="1:50" x14ac:dyDescent="0.2">
      <c r="A574" s="4" t="s">
        <v>55</v>
      </c>
      <c r="B574" s="4" t="s">
        <v>56</v>
      </c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1" t="s">
        <v>476</v>
      </c>
      <c r="AB574" s="42" t="s">
        <v>458</v>
      </c>
      <c r="AC574" s="43" t="s">
        <v>454</v>
      </c>
      <c r="AD574" s="44">
        <v>0</v>
      </c>
      <c r="AE574" s="44">
        <v>0</v>
      </c>
      <c r="AF574" s="44">
        <v>0</v>
      </c>
      <c r="AG574" s="43">
        <v>3975320525</v>
      </c>
      <c r="AH574" s="44">
        <v>0</v>
      </c>
      <c r="AI574" s="43">
        <f>AE574-AF574+AG574-AH574</f>
        <v>3975320525</v>
      </c>
      <c r="AJ574" s="43">
        <f>AD574+AI574</f>
        <v>3975320525</v>
      </c>
      <c r="AK574" s="115">
        <v>0</v>
      </c>
      <c r="AL574" s="115">
        <v>0</v>
      </c>
      <c r="AM574" s="114">
        <v>3726948730</v>
      </c>
      <c r="AN574" s="44">
        <v>0</v>
      </c>
      <c r="AO574" s="44">
        <v>0</v>
      </c>
      <c r="AP574" s="44">
        <v>0</v>
      </c>
      <c r="AQ574" s="44">
        <v>0</v>
      </c>
      <c r="AR574" s="44">
        <v>0</v>
      </c>
      <c r="AS574" s="44">
        <v>0</v>
      </c>
      <c r="AT574" s="40">
        <f>AQ574+AS574</f>
        <v>0</v>
      </c>
      <c r="AU574" s="18">
        <f>AJ574-AM574</f>
        <v>248371795</v>
      </c>
      <c r="AV574" s="110">
        <f>AM574-AP574</f>
        <v>3726948730</v>
      </c>
      <c r="AW574" s="34">
        <f>AP574-AT574</f>
        <v>0</v>
      </c>
      <c r="AX574" s="123">
        <f>AP574/AJ574</f>
        <v>0</v>
      </c>
    </row>
    <row r="575" spans="1:50" ht="25.5" x14ac:dyDescent="0.2">
      <c r="AA575" s="28" t="s">
        <v>288</v>
      </c>
      <c r="AB575" s="29" t="s">
        <v>477</v>
      </c>
      <c r="AC575" s="17"/>
      <c r="AD575" s="18"/>
      <c r="AE575" s="18"/>
      <c r="AF575" s="18"/>
      <c r="AG575" s="18"/>
      <c r="AH575" s="18"/>
      <c r="AI575" s="18"/>
      <c r="AJ575" s="18"/>
      <c r="AK575" s="34"/>
      <c r="AL575" s="34"/>
      <c r="AM575" s="18"/>
      <c r="AN575" s="18"/>
      <c r="AO575" s="18"/>
      <c r="AP575" s="18"/>
      <c r="AQ575" s="34"/>
      <c r="AR575" s="34"/>
      <c r="AS575" s="34"/>
      <c r="AT575" s="40"/>
      <c r="AU575" s="18"/>
      <c r="AV575" s="18"/>
      <c r="AW575" s="18"/>
      <c r="AX575" s="18"/>
    </row>
    <row r="576" spans="1:50" x14ac:dyDescent="0.2">
      <c r="A576" s="4" t="s">
        <v>55</v>
      </c>
      <c r="B576" s="4" t="s">
        <v>56</v>
      </c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1" t="s">
        <v>478</v>
      </c>
      <c r="AB576" s="42" t="s">
        <v>233</v>
      </c>
      <c r="AC576" s="43" t="s">
        <v>58</v>
      </c>
      <c r="AD576" s="43">
        <v>389814494</v>
      </c>
      <c r="AE576" s="44">
        <v>0</v>
      </c>
      <c r="AF576" s="44">
        <v>0</v>
      </c>
      <c r="AG576" s="43">
        <v>50860045</v>
      </c>
      <c r="AH576" s="44">
        <v>0</v>
      </c>
      <c r="AI576" s="43">
        <f>AE576-AF576+AG576-AH576</f>
        <v>50860045</v>
      </c>
      <c r="AJ576" s="43">
        <f>AD576+AI576</f>
        <v>440674539</v>
      </c>
      <c r="AK576" s="44">
        <v>0</v>
      </c>
      <c r="AL576" s="44">
        <v>0</v>
      </c>
      <c r="AM576" s="43">
        <v>355292091</v>
      </c>
      <c r="AN576" s="44">
        <v>0</v>
      </c>
      <c r="AO576" s="44">
        <v>0</v>
      </c>
      <c r="AP576" s="43">
        <v>355292091</v>
      </c>
      <c r="AQ576" s="43">
        <v>111777047.06999999</v>
      </c>
      <c r="AR576" s="43">
        <v>33681522</v>
      </c>
      <c r="AS576" s="43">
        <v>33681522</v>
      </c>
      <c r="AT576" s="39">
        <f>AQ576+AS576</f>
        <v>145458569.06999999</v>
      </c>
      <c r="AU576" s="18">
        <f>AJ576-AM576</f>
        <v>85382448</v>
      </c>
      <c r="AV576" s="34">
        <f>AM576-AP576</f>
        <v>0</v>
      </c>
      <c r="AW576" s="18">
        <f>AP576-AT576</f>
        <v>209833521.93000001</v>
      </c>
      <c r="AX576" s="123">
        <f>AP576/AJ576</f>
        <v>0.80624601504376903</v>
      </c>
    </row>
    <row r="577" spans="1:50" ht="25.5" x14ac:dyDescent="0.2">
      <c r="A577" s="4" t="s">
        <v>55</v>
      </c>
      <c r="B577" s="4" t="s">
        <v>56</v>
      </c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1" t="s">
        <v>479</v>
      </c>
      <c r="AB577" s="42" t="s">
        <v>480</v>
      </c>
      <c r="AC577" s="43" t="s">
        <v>368</v>
      </c>
      <c r="AD577" s="43">
        <v>88687399.159999996</v>
      </c>
      <c r="AE577" s="44">
        <v>0</v>
      </c>
      <c r="AF577" s="44">
        <v>0</v>
      </c>
      <c r="AG577" s="44">
        <v>0</v>
      </c>
      <c r="AH577" s="44">
        <v>0</v>
      </c>
      <c r="AI577" s="44">
        <v>0</v>
      </c>
      <c r="AJ577" s="43">
        <v>88687399.159999996</v>
      </c>
      <c r="AK577" s="44">
        <v>0</v>
      </c>
      <c r="AL577" s="44">
        <v>0</v>
      </c>
      <c r="AM577" s="43">
        <v>56565934</v>
      </c>
      <c r="AN577" s="44">
        <v>0</v>
      </c>
      <c r="AO577" s="44">
        <v>0</v>
      </c>
      <c r="AP577" s="43">
        <v>56565934</v>
      </c>
      <c r="AQ577" s="44">
        <v>0</v>
      </c>
      <c r="AR577" s="43">
        <v>0</v>
      </c>
      <c r="AS577" s="43">
        <v>30903467</v>
      </c>
      <c r="AT577" s="39">
        <f>AQ577+AS577</f>
        <v>30903467</v>
      </c>
      <c r="AU577" s="18">
        <f>AJ577-AM577</f>
        <v>32121465.159999996</v>
      </c>
      <c r="AV577" s="34">
        <f>AM577-AP577</f>
        <v>0</v>
      </c>
      <c r="AW577" s="18">
        <f>AP577-AT577</f>
        <v>25662467</v>
      </c>
      <c r="AX577" s="123">
        <f>AP577/AJ577</f>
        <v>0.63781252506852748</v>
      </c>
    </row>
    <row r="578" spans="1:50" ht="25.5" x14ac:dyDescent="0.2">
      <c r="AA578" s="28" t="s">
        <v>288</v>
      </c>
      <c r="AB578" s="29" t="s">
        <v>481</v>
      </c>
      <c r="AC578" s="17"/>
      <c r="AD578" s="18"/>
      <c r="AE578" s="18"/>
      <c r="AF578" s="18"/>
      <c r="AG578" s="18"/>
      <c r="AH578" s="18"/>
      <c r="AI578" s="18"/>
      <c r="AJ578" s="18"/>
      <c r="AK578" s="34"/>
      <c r="AL578" s="34"/>
      <c r="AM578" s="18"/>
      <c r="AN578" s="34"/>
      <c r="AO578" s="18"/>
      <c r="AP578" s="18"/>
      <c r="AQ578" s="34"/>
      <c r="AR578" s="34"/>
      <c r="AS578" s="34"/>
      <c r="AT578" s="40"/>
      <c r="AU578" s="18"/>
      <c r="AV578" s="18"/>
      <c r="AW578" s="18"/>
      <c r="AX578" s="18"/>
    </row>
    <row r="579" spans="1:50" x14ac:dyDescent="0.2">
      <c r="A579" s="4" t="s">
        <v>55</v>
      </c>
      <c r="B579" s="4" t="s">
        <v>56</v>
      </c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1" t="s">
        <v>482</v>
      </c>
      <c r="AB579" s="42" t="s">
        <v>233</v>
      </c>
      <c r="AC579" s="43" t="s">
        <v>58</v>
      </c>
      <c r="AD579" s="43">
        <v>732098782</v>
      </c>
      <c r="AE579" s="44">
        <v>0</v>
      </c>
      <c r="AF579" s="44">
        <v>0</v>
      </c>
      <c r="AG579" s="43">
        <v>96486764</v>
      </c>
      <c r="AH579" s="44">
        <v>0</v>
      </c>
      <c r="AI579" s="43">
        <f>AE579-AF579+AG579-AH579</f>
        <v>96486764</v>
      </c>
      <c r="AJ579" s="43">
        <f>AD579+AI579</f>
        <v>828585546</v>
      </c>
      <c r="AK579" s="44">
        <v>0</v>
      </c>
      <c r="AL579" s="44">
        <v>0</v>
      </c>
      <c r="AM579" s="43">
        <v>658085546</v>
      </c>
      <c r="AN579" s="44">
        <v>0</v>
      </c>
      <c r="AO579" s="44">
        <v>0</v>
      </c>
      <c r="AP579" s="43">
        <v>658085546</v>
      </c>
      <c r="AQ579" s="44">
        <v>0</v>
      </c>
      <c r="AR579" s="43">
        <v>77700555</v>
      </c>
      <c r="AS579" s="43">
        <v>77700555</v>
      </c>
      <c r="AT579" s="39">
        <f>AQ579+AS579</f>
        <v>77700555</v>
      </c>
      <c r="AU579" s="18">
        <f>AJ579-AM579</f>
        <v>170500000</v>
      </c>
      <c r="AV579" s="34">
        <f>AM579-AP579</f>
        <v>0</v>
      </c>
      <c r="AW579" s="18">
        <f>AP579-AT579</f>
        <v>580384991</v>
      </c>
      <c r="AX579" s="123">
        <f>AP579/AJ579</f>
        <v>0.79422764393720191</v>
      </c>
    </row>
    <row r="580" spans="1:50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1" t="s">
        <v>979</v>
      </c>
      <c r="AB580" s="42" t="s">
        <v>453</v>
      </c>
      <c r="AC580" s="43"/>
      <c r="AD580" s="44">
        <v>0</v>
      </c>
      <c r="AE580" s="43">
        <f>17804659196+8428553475</f>
        <v>26233212671</v>
      </c>
      <c r="AF580" s="44">
        <v>0</v>
      </c>
      <c r="AG580" s="44">
        <v>0</v>
      </c>
      <c r="AH580" s="44">
        <v>0</v>
      </c>
      <c r="AI580" s="43">
        <f>AE580-AF580+AG580-AH580</f>
        <v>26233212671</v>
      </c>
      <c r="AJ580" s="254">
        <f>AD580+AI580</f>
        <v>26233212671</v>
      </c>
      <c r="AK580" s="44">
        <v>0</v>
      </c>
      <c r="AL580" s="44">
        <v>0</v>
      </c>
      <c r="AM580" s="43">
        <v>17240869934</v>
      </c>
      <c r="AN580" s="44">
        <v>0</v>
      </c>
      <c r="AO580" s="44">
        <v>0</v>
      </c>
      <c r="AP580" s="43">
        <v>0</v>
      </c>
      <c r="AQ580" s="44">
        <v>0</v>
      </c>
      <c r="AR580" s="44">
        <v>0</v>
      </c>
      <c r="AS580" s="44">
        <v>0</v>
      </c>
      <c r="AT580" s="39">
        <f>AQ580+AS580</f>
        <v>0</v>
      </c>
      <c r="AU580" s="18">
        <f>AJ580-AM580</f>
        <v>8992342737</v>
      </c>
      <c r="AV580" s="18">
        <f>AM580-AP580</f>
        <v>17240869934</v>
      </c>
      <c r="AW580" s="34">
        <f>AP580-AT580</f>
        <v>0</v>
      </c>
      <c r="AX580" s="40">
        <f>AP580/AJ580</f>
        <v>0</v>
      </c>
    </row>
    <row r="581" spans="1:50" x14ac:dyDescent="0.2">
      <c r="AA581" s="28" t="s">
        <v>288</v>
      </c>
      <c r="AB581" s="29" t="s">
        <v>483</v>
      </c>
      <c r="AC581" s="17"/>
      <c r="AD581" s="18"/>
      <c r="AE581" s="34"/>
      <c r="AF581" s="34"/>
      <c r="AG581" s="18"/>
      <c r="AH581" s="34"/>
      <c r="AI581" s="18"/>
      <c r="AJ581" s="18"/>
      <c r="AK581" s="34"/>
      <c r="AL581" s="34"/>
      <c r="AM581" s="18"/>
      <c r="AN581" s="34"/>
      <c r="AO581" s="34"/>
      <c r="AP581" s="18"/>
      <c r="AQ581" s="34"/>
      <c r="AR581" s="34"/>
      <c r="AS581" s="34"/>
      <c r="AT581" s="40"/>
      <c r="AU581" s="18"/>
      <c r="AV581" s="34"/>
      <c r="AW581" s="18"/>
      <c r="AX581" s="18"/>
    </row>
    <row r="582" spans="1:50" x14ac:dyDescent="0.2">
      <c r="A582" s="4" t="s">
        <v>55</v>
      </c>
      <c r="B582" s="4" t="s">
        <v>56</v>
      </c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1" t="s">
        <v>484</v>
      </c>
      <c r="AB582" s="42" t="s">
        <v>233</v>
      </c>
      <c r="AC582" s="43" t="s">
        <v>58</v>
      </c>
      <c r="AD582" s="44">
        <v>0</v>
      </c>
      <c r="AE582" s="44">
        <v>0</v>
      </c>
      <c r="AF582" s="44">
        <v>0</v>
      </c>
      <c r="AG582" s="43">
        <f>60325921.15+40465552</f>
        <v>100791473.15000001</v>
      </c>
      <c r="AH582" s="44">
        <v>0</v>
      </c>
      <c r="AI582" s="43">
        <f>AE582-AF582+AG582-AH582</f>
        <v>100791473.15000001</v>
      </c>
      <c r="AJ582" s="254">
        <f>AD582+AI582</f>
        <v>100791473.15000001</v>
      </c>
      <c r="AK582" s="44">
        <v>0</v>
      </c>
      <c r="AL582" s="44">
        <v>0</v>
      </c>
      <c r="AM582" s="43">
        <v>48342740.119999997</v>
      </c>
      <c r="AN582" s="44">
        <v>0</v>
      </c>
      <c r="AO582" s="44">
        <v>0</v>
      </c>
      <c r="AP582" s="43">
        <v>48342740.119999997</v>
      </c>
      <c r="AQ582" s="44">
        <v>0</v>
      </c>
      <c r="AR582" s="44">
        <v>0</v>
      </c>
      <c r="AS582" s="44">
        <v>0</v>
      </c>
      <c r="AT582" s="40">
        <f>AQ582+AS582</f>
        <v>0</v>
      </c>
      <c r="AU582" s="18">
        <f>AJ582-AM582</f>
        <v>52448733.030000009</v>
      </c>
      <c r="AV582" s="34">
        <f>AM582-AP582</f>
        <v>0</v>
      </c>
      <c r="AW582" s="18">
        <f>AP582-AT582</f>
        <v>48342740.119999997</v>
      </c>
      <c r="AX582" s="123">
        <f>AP582/AJ582</f>
        <v>0.47963124864794177</v>
      </c>
    </row>
    <row r="583" spans="1:50" x14ac:dyDescent="0.2">
      <c r="AA583" s="28" t="s">
        <v>288</v>
      </c>
      <c r="AB583" s="29" t="s">
        <v>485</v>
      </c>
      <c r="AC583" s="17"/>
      <c r="AD583" s="18"/>
      <c r="AE583" s="34"/>
      <c r="AF583" s="34"/>
      <c r="AG583" s="18"/>
      <c r="AH583" s="34"/>
      <c r="AI583" s="18"/>
      <c r="AJ583" s="18"/>
      <c r="AK583" s="34"/>
      <c r="AL583" s="18"/>
      <c r="AM583" s="18"/>
      <c r="AN583" s="34"/>
      <c r="AO583" s="34"/>
      <c r="AP583" s="18"/>
      <c r="AQ583" s="34"/>
      <c r="AR583" s="34"/>
      <c r="AS583" s="34"/>
      <c r="AT583" s="40"/>
      <c r="AU583" s="18"/>
      <c r="AV583" s="34"/>
      <c r="AW583" s="34"/>
      <c r="AX583" s="18"/>
    </row>
    <row r="584" spans="1:50" x14ac:dyDescent="0.2">
      <c r="A584" s="4" t="s">
        <v>55</v>
      </c>
      <c r="B584" s="4" t="s">
        <v>56</v>
      </c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1" t="s">
        <v>972</v>
      </c>
      <c r="AB584" s="42" t="s">
        <v>233</v>
      </c>
      <c r="AC584" s="43" t="s">
        <v>58</v>
      </c>
      <c r="AD584" s="43">
        <v>530557116</v>
      </c>
      <c r="AE584" s="44">
        <v>0</v>
      </c>
      <c r="AF584" s="44">
        <v>0</v>
      </c>
      <c r="AG584" s="44">
        <v>0</v>
      </c>
      <c r="AH584" s="44">
        <v>0</v>
      </c>
      <c r="AI584" s="43">
        <f>AE584-AF584+AG584-AH584</f>
        <v>0</v>
      </c>
      <c r="AJ584" s="43">
        <f>AD584+AI584</f>
        <v>530557116</v>
      </c>
      <c r="AK584" s="44">
        <v>0</v>
      </c>
      <c r="AL584" s="44">
        <v>0</v>
      </c>
      <c r="AM584" s="44">
        <v>0</v>
      </c>
      <c r="AN584" s="44">
        <v>0</v>
      </c>
      <c r="AO584" s="44">
        <v>0</v>
      </c>
      <c r="AP584" s="43">
        <v>0</v>
      </c>
      <c r="AQ584" s="44">
        <v>0</v>
      </c>
      <c r="AR584" s="44">
        <v>0</v>
      </c>
      <c r="AS584" s="44">
        <v>0</v>
      </c>
      <c r="AT584" s="40">
        <f>AQ584+AS584</f>
        <v>0</v>
      </c>
      <c r="AU584" s="18">
        <f>AJ584-AM584</f>
        <v>530557116</v>
      </c>
      <c r="AV584" s="34">
        <f>AM584-AP584</f>
        <v>0</v>
      </c>
      <c r="AW584" s="34">
        <f>AP584-AT584</f>
        <v>0</v>
      </c>
      <c r="AX584" s="123">
        <f>AP584/AJ584</f>
        <v>0</v>
      </c>
    </row>
    <row r="585" spans="1:50" ht="38.25" x14ac:dyDescent="0.2">
      <c r="AA585" s="16"/>
      <c r="AB585" s="29" t="s">
        <v>193</v>
      </c>
      <c r="AC585" s="17"/>
      <c r="AD585" s="18"/>
      <c r="AE585" s="34"/>
      <c r="AF585" s="34"/>
      <c r="AG585" s="18"/>
      <c r="AH585" s="18"/>
      <c r="AI585" s="18"/>
      <c r="AJ585" s="18"/>
      <c r="AK585" s="34"/>
      <c r="AL585" s="34"/>
      <c r="AM585" s="34"/>
      <c r="AN585" s="34"/>
      <c r="AO585" s="34"/>
      <c r="AP585" s="34"/>
      <c r="AQ585" s="34"/>
      <c r="AR585" s="34"/>
      <c r="AS585" s="34"/>
      <c r="AT585" s="40"/>
      <c r="AU585" s="18"/>
      <c r="AV585" s="34"/>
      <c r="AW585" s="18"/>
      <c r="AX585" s="18"/>
    </row>
    <row r="586" spans="1:50" ht="18.75" customHeight="1" x14ac:dyDescent="0.2">
      <c r="AA586" s="28" t="s">
        <v>288</v>
      </c>
      <c r="AB586" s="29" t="s">
        <v>487</v>
      </c>
      <c r="AC586" s="17"/>
      <c r="AD586" s="18"/>
      <c r="AE586" s="34"/>
      <c r="AF586" s="34"/>
      <c r="AG586" s="18"/>
      <c r="AH586" s="18"/>
      <c r="AI586" s="18"/>
      <c r="AJ586" s="18"/>
      <c r="AK586" s="34"/>
      <c r="AL586" s="34"/>
      <c r="AM586" s="34"/>
      <c r="AN586" s="34"/>
      <c r="AO586" s="34"/>
      <c r="AP586" s="34"/>
      <c r="AQ586" s="34"/>
      <c r="AR586" s="34"/>
      <c r="AS586" s="34"/>
      <c r="AT586" s="40"/>
      <c r="AU586" s="18"/>
      <c r="AV586" s="34"/>
      <c r="AW586" s="18"/>
      <c r="AX586" s="18"/>
    </row>
    <row r="587" spans="1:50" ht="18.75" customHeight="1" x14ac:dyDescent="0.2">
      <c r="A587" s="4" t="s">
        <v>55</v>
      </c>
      <c r="B587" s="4" t="s">
        <v>56</v>
      </c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1" t="s">
        <v>488</v>
      </c>
      <c r="AB587" s="42" t="s">
        <v>439</v>
      </c>
      <c r="AC587" s="43" t="s">
        <v>428</v>
      </c>
      <c r="AD587" s="43">
        <v>14800000000</v>
      </c>
      <c r="AE587" s="44">
        <v>0</v>
      </c>
      <c r="AF587" s="44">
        <v>0</v>
      </c>
      <c r="AG587" s="44">
        <v>0</v>
      </c>
      <c r="AH587" s="43">
        <f>265538240+219103236.8</f>
        <v>484641476.80000001</v>
      </c>
      <c r="AI587" s="43">
        <f>AE587-AF587+AG587-AH587</f>
        <v>-484641476.80000001</v>
      </c>
      <c r="AJ587" s="43">
        <f>AD587+AI587</f>
        <v>14315358523.200001</v>
      </c>
      <c r="AK587" s="44">
        <v>0</v>
      </c>
      <c r="AL587" s="114">
        <v>906325671</v>
      </c>
      <c r="AM587" s="114">
        <v>4407583089</v>
      </c>
      <c r="AN587" s="44">
        <v>0</v>
      </c>
      <c r="AO587" s="114">
        <v>906325671</v>
      </c>
      <c r="AP587" s="114">
        <v>4407583089</v>
      </c>
      <c r="AQ587" s="44">
        <v>0</v>
      </c>
      <c r="AR587" s="114">
        <v>906325671</v>
      </c>
      <c r="AS587" s="114">
        <v>4407583089</v>
      </c>
      <c r="AT587" s="111">
        <f t="shared" si="216"/>
        <v>4407583089</v>
      </c>
      <c r="AU587" s="18">
        <f t="shared" ref="AU587:AU592" si="225">AJ587-AM587</f>
        <v>9907775434.2000008</v>
      </c>
      <c r="AV587" s="34">
        <f t="shared" ref="AV587:AV592" si="226">AM587-AP587</f>
        <v>0</v>
      </c>
      <c r="AW587" s="34">
        <f t="shared" ref="AW587:AW592" si="227">AP587-AT587</f>
        <v>0</v>
      </c>
      <c r="AX587" s="123">
        <f t="shared" ref="AX587:AX592" si="228">AP587/AJ587</f>
        <v>0.30789191076541378</v>
      </c>
    </row>
    <row r="588" spans="1:50" ht="18.75" customHeight="1" x14ac:dyDescent="0.2">
      <c r="A588" s="4" t="s">
        <v>55</v>
      </c>
      <c r="B588" s="4" t="s">
        <v>56</v>
      </c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1" t="s">
        <v>489</v>
      </c>
      <c r="AB588" s="42" t="s">
        <v>490</v>
      </c>
      <c r="AC588" s="43" t="s">
        <v>368</v>
      </c>
      <c r="AD588" s="43">
        <v>28000000.199999999</v>
      </c>
      <c r="AE588" s="44">
        <v>0</v>
      </c>
      <c r="AF588" s="44">
        <v>0</v>
      </c>
      <c r="AG588" s="44">
        <v>0</v>
      </c>
      <c r="AH588" s="44">
        <v>0</v>
      </c>
      <c r="AI588" s="43">
        <f>AE588-AF588+AG588-AH588</f>
        <v>0</v>
      </c>
      <c r="AJ588" s="43">
        <f>AD588+AI588</f>
        <v>28000000.199999999</v>
      </c>
      <c r="AK588" s="44">
        <v>0</v>
      </c>
      <c r="AL588" s="114">
        <v>2155394</v>
      </c>
      <c r="AM588" s="114">
        <v>9496141</v>
      </c>
      <c r="AN588" s="44">
        <v>0</v>
      </c>
      <c r="AO588" s="114">
        <v>2155394</v>
      </c>
      <c r="AP588" s="114">
        <v>9496141</v>
      </c>
      <c r="AQ588" s="44">
        <v>0</v>
      </c>
      <c r="AR588" s="114">
        <v>2155394</v>
      </c>
      <c r="AS588" s="114">
        <v>9496141</v>
      </c>
      <c r="AT588" s="111">
        <f t="shared" si="216"/>
        <v>9496141</v>
      </c>
      <c r="AU588" s="18">
        <f t="shared" si="225"/>
        <v>18503859.199999999</v>
      </c>
      <c r="AV588" s="34">
        <f t="shared" si="226"/>
        <v>0</v>
      </c>
      <c r="AW588" s="18">
        <f t="shared" si="227"/>
        <v>0</v>
      </c>
      <c r="AX588" s="123">
        <f t="shared" si="228"/>
        <v>0.33914789043465793</v>
      </c>
    </row>
    <row r="589" spans="1:50" ht="18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166" t="s">
        <v>1073</v>
      </c>
      <c r="AB589" s="167" t="s">
        <v>1074</v>
      </c>
      <c r="AC589" s="168"/>
      <c r="AD589" s="44">
        <v>0</v>
      </c>
      <c r="AE589" s="43">
        <v>505000000</v>
      </c>
      <c r="AF589" s="44">
        <v>0</v>
      </c>
      <c r="AG589" s="44">
        <v>0</v>
      </c>
      <c r="AH589" s="44">
        <v>0</v>
      </c>
      <c r="AI589" s="43">
        <f t="shared" ref="AI589:AI592" si="229">AE589-AF589+AG589-AH589</f>
        <v>505000000</v>
      </c>
      <c r="AJ589" s="43">
        <f t="shared" ref="AJ589:AJ592" si="230">AD589+AI589</f>
        <v>505000000</v>
      </c>
      <c r="AK589" s="44">
        <v>0</v>
      </c>
      <c r="AL589" s="115">
        <v>0</v>
      </c>
      <c r="AM589" s="115">
        <v>0</v>
      </c>
      <c r="AN589" s="44">
        <v>0</v>
      </c>
      <c r="AO589" s="114">
        <v>0</v>
      </c>
      <c r="AP589" s="114">
        <v>0</v>
      </c>
      <c r="AQ589" s="44">
        <v>0</v>
      </c>
      <c r="AR589" s="114">
        <v>0</v>
      </c>
      <c r="AS589" s="114"/>
      <c r="AT589" s="111">
        <f t="shared" ref="AT589:AT592" si="231">AQ589+AS589</f>
        <v>0</v>
      </c>
      <c r="AU589" s="18">
        <f t="shared" si="225"/>
        <v>505000000</v>
      </c>
      <c r="AV589" s="34">
        <f t="shared" si="226"/>
        <v>0</v>
      </c>
      <c r="AW589" s="18">
        <f t="shared" si="227"/>
        <v>0</v>
      </c>
      <c r="AX589" s="123">
        <f t="shared" si="228"/>
        <v>0</v>
      </c>
    </row>
    <row r="590" spans="1:50" ht="18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166" t="s">
        <v>1075</v>
      </c>
      <c r="AB590" s="167" t="s">
        <v>1074</v>
      </c>
      <c r="AC590" s="168"/>
      <c r="AD590" s="44">
        <v>0</v>
      </c>
      <c r="AE590" s="43">
        <v>13000000</v>
      </c>
      <c r="AF590" s="44">
        <v>0</v>
      </c>
      <c r="AG590" s="44">
        <v>0</v>
      </c>
      <c r="AH590" s="44">
        <v>0</v>
      </c>
      <c r="AI590" s="43">
        <f t="shared" si="229"/>
        <v>13000000</v>
      </c>
      <c r="AJ590" s="43">
        <f t="shared" si="230"/>
        <v>13000000</v>
      </c>
      <c r="AK590" s="44">
        <v>0</v>
      </c>
      <c r="AL590" s="115">
        <v>0</v>
      </c>
      <c r="AM590" s="115">
        <v>0</v>
      </c>
      <c r="AN590" s="44">
        <v>0</v>
      </c>
      <c r="AO590" s="114">
        <v>0</v>
      </c>
      <c r="AP590" s="114">
        <v>0</v>
      </c>
      <c r="AQ590" s="44">
        <v>0</v>
      </c>
      <c r="AR590" s="114">
        <v>0</v>
      </c>
      <c r="AS590" s="114">
        <v>0</v>
      </c>
      <c r="AT590" s="111">
        <f t="shared" si="231"/>
        <v>0</v>
      </c>
      <c r="AU590" s="18">
        <f t="shared" si="225"/>
        <v>13000000</v>
      </c>
      <c r="AV590" s="34">
        <f t="shared" si="226"/>
        <v>0</v>
      </c>
      <c r="AW590" s="18">
        <f t="shared" si="227"/>
        <v>0</v>
      </c>
      <c r="AX590" s="123">
        <f t="shared" si="228"/>
        <v>0</v>
      </c>
    </row>
    <row r="591" spans="1:50" ht="18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166" t="s">
        <v>1076</v>
      </c>
      <c r="AB591" s="167" t="s">
        <v>1074</v>
      </c>
      <c r="AC591" s="168"/>
      <c r="AD591" s="44">
        <v>0</v>
      </c>
      <c r="AE591" s="43">
        <v>30358521.859999999</v>
      </c>
      <c r="AF591" s="44">
        <v>0</v>
      </c>
      <c r="AG591" s="44">
        <v>0</v>
      </c>
      <c r="AH591" s="44">
        <v>0</v>
      </c>
      <c r="AI591" s="43">
        <f t="shared" si="229"/>
        <v>30358521.859999999</v>
      </c>
      <c r="AJ591" s="43">
        <f t="shared" si="230"/>
        <v>30358521.859999999</v>
      </c>
      <c r="AK591" s="44">
        <v>0</v>
      </c>
      <c r="AL591" s="115">
        <v>0</v>
      </c>
      <c r="AM591" s="115">
        <v>0</v>
      </c>
      <c r="AN591" s="44">
        <v>0</v>
      </c>
      <c r="AO591" s="114">
        <v>0</v>
      </c>
      <c r="AP591" s="114">
        <v>0</v>
      </c>
      <c r="AQ591" s="44">
        <v>0</v>
      </c>
      <c r="AR591" s="114">
        <v>0</v>
      </c>
      <c r="AS591" s="114">
        <v>0</v>
      </c>
      <c r="AT591" s="111">
        <f t="shared" si="231"/>
        <v>0</v>
      </c>
      <c r="AU591" s="18">
        <f t="shared" si="225"/>
        <v>30358521.859999999</v>
      </c>
      <c r="AV591" s="34">
        <f t="shared" si="226"/>
        <v>0</v>
      </c>
      <c r="AW591" s="18">
        <f t="shared" si="227"/>
        <v>0</v>
      </c>
      <c r="AX591" s="123">
        <f t="shared" si="228"/>
        <v>0</v>
      </c>
    </row>
    <row r="592" spans="1:50" ht="18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166" t="s">
        <v>1077</v>
      </c>
      <c r="AB592" s="167" t="s">
        <v>1074</v>
      </c>
      <c r="AC592" s="168"/>
      <c r="AD592" s="44">
        <v>0</v>
      </c>
      <c r="AE592" s="43">
        <v>4485910634</v>
      </c>
      <c r="AF592" s="44">
        <v>0</v>
      </c>
      <c r="AG592" s="44">
        <v>0</v>
      </c>
      <c r="AH592" s="44">
        <v>0</v>
      </c>
      <c r="AI592" s="43">
        <f t="shared" si="229"/>
        <v>4485910634</v>
      </c>
      <c r="AJ592" s="43">
        <f t="shared" si="230"/>
        <v>4485910634</v>
      </c>
      <c r="AK592" s="44">
        <v>0</v>
      </c>
      <c r="AL592" s="115">
        <v>0</v>
      </c>
      <c r="AM592" s="115">
        <v>0</v>
      </c>
      <c r="AN592" s="44">
        <v>0</v>
      </c>
      <c r="AO592" s="114">
        <v>0</v>
      </c>
      <c r="AP592" s="114">
        <v>0</v>
      </c>
      <c r="AQ592" s="44">
        <v>0</v>
      </c>
      <c r="AR592" s="114">
        <v>0</v>
      </c>
      <c r="AS592" s="114">
        <v>0</v>
      </c>
      <c r="AT592" s="111">
        <f t="shared" si="231"/>
        <v>0</v>
      </c>
      <c r="AU592" s="18">
        <f t="shared" si="225"/>
        <v>4485910634</v>
      </c>
      <c r="AV592" s="34">
        <f t="shared" si="226"/>
        <v>0</v>
      </c>
      <c r="AW592" s="18">
        <f t="shared" si="227"/>
        <v>0</v>
      </c>
      <c r="AX592" s="123">
        <f t="shared" si="228"/>
        <v>0</v>
      </c>
    </row>
    <row r="593" spans="1:50" ht="25.5" x14ac:dyDescent="0.2">
      <c r="AA593" s="162"/>
      <c r="AB593" s="163" t="s">
        <v>195</v>
      </c>
      <c r="AC593" s="17"/>
      <c r="AD593" s="18"/>
      <c r="AE593" s="34"/>
      <c r="AF593" s="34"/>
      <c r="AG593" s="34"/>
      <c r="AH593" s="34"/>
      <c r="AI593" s="34"/>
      <c r="AJ593" s="18"/>
      <c r="AK593" s="34"/>
      <c r="AL593" s="18"/>
      <c r="AM593" s="18"/>
      <c r="AN593" s="34"/>
      <c r="AO593" s="18"/>
      <c r="AP593" s="18"/>
      <c r="AQ593" s="18"/>
      <c r="AR593" s="18"/>
      <c r="AS593" s="18"/>
      <c r="AT593" s="30"/>
      <c r="AU593" s="18"/>
      <c r="AV593" s="18"/>
      <c r="AW593" s="18"/>
      <c r="AX593" s="18"/>
    </row>
    <row r="594" spans="1:50" ht="18.75" customHeight="1" x14ac:dyDescent="0.2">
      <c r="AA594" s="28" t="s">
        <v>288</v>
      </c>
      <c r="AB594" s="29" t="s">
        <v>487</v>
      </c>
      <c r="AC594" s="17"/>
      <c r="AD594" s="18"/>
      <c r="AE594" s="34"/>
      <c r="AF594" s="34"/>
      <c r="AG594" s="34"/>
      <c r="AH594" s="34"/>
      <c r="AI594" s="34"/>
      <c r="AJ594" s="18"/>
      <c r="AK594" s="34"/>
      <c r="AL594" s="18"/>
      <c r="AM594" s="18"/>
      <c r="AN594" s="34"/>
      <c r="AO594" s="18"/>
      <c r="AP594" s="18"/>
      <c r="AQ594" s="18"/>
      <c r="AR594" s="18"/>
      <c r="AS594" s="18"/>
      <c r="AT594" s="30"/>
      <c r="AU594" s="18"/>
      <c r="AV594" s="18"/>
      <c r="AW594" s="18"/>
      <c r="AX594" s="18"/>
    </row>
    <row r="595" spans="1:50" ht="18.75" customHeight="1" x14ac:dyDescent="0.2">
      <c r="A595" s="4" t="s">
        <v>55</v>
      </c>
      <c r="B595" s="4" t="s">
        <v>56</v>
      </c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1" t="s">
        <v>491</v>
      </c>
      <c r="AB595" s="42" t="s">
        <v>490</v>
      </c>
      <c r="AC595" s="43" t="s">
        <v>368</v>
      </c>
      <c r="AD595" s="43">
        <v>192000000</v>
      </c>
      <c r="AE595" s="44">
        <v>0</v>
      </c>
      <c r="AF595" s="44">
        <v>0</v>
      </c>
      <c r="AG595" s="44">
        <v>0</v>
      </c>
      <c r="AH595" s="44">
        <v>0</v>
      </c>
      <c r="AI595" s="44">
        <v>0</v>
      </c>
      <c r="AJ595" s="43">
        <v>192000000</v>
      </c>
      <c r="AK595" s="44">
        <v>0</v>
      </c>
      <c r="AL595" s="44">
        <v>0</v>
      </c>
      <c r="AM595" s="43">
        <v>166971871</v>
      </c>
      <c r="AN595" s="44">
        <v>0</v>
      </c>
      <c r="AO595" s="43">
        <v>0</v>
      </c>
      <c r="AP595" s="43">
        <v>166971871</v>
      </c>
      <c r="AQ595" s="44">
        <v>0</v>
      </c>
      <c r="AR595" s="43">
        <v>15179261</v>
      </c>
      <c r="AS595" s="43">
        <v>45031808</v>
      </c>
      <c r="AT595" s="39">
        <f>AQ595+AS595</f>
        <v>45031808</v>
      </c>
      <c r="AU595" s="18">
        <f>AJ595-AM595</f>
        <v>25028129</v>
      </c>
      <c r="AV595" s="34">
        <f>AM595-AP595</f>
        <v>0</v>
      </c>
      <c r="AW595" s="18">
        <f>AP595-AT595</f>
        <v>121940063</v>
      </c>
      <c r="AX595" s="123">
        <f>AP595/AJ595</f>
        <v>0.86964516145833337</v>
      </c>
    </row>
    <row r="596" spans="1:50" ht="25.5" x14ac:dyDescent="0.2">
      <c r="AA596" s="16"/>
      <c r="AB596" s="29" t="s">
        <v>197</v>
      </c>
      <c r="AC596" s="17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34"/>
      <c r="AO596" s="18"/>
      <c r="AP596" s="18"/>
      <c r="AQ596" s="34"/>
      <c r="AR596" s="34"/>
      <c r="AS596" s="34"/>
      <c r="AT596" s="40"/>
      <c r="AU596" s="18"/>
      <c r="AV596" s="18"/>
      <c r="AW596" s="18"/>
      <c r="AX596" s="18"/>
    </row>
    <row r="597" spans="1:50" ht="17.25" customHeight="1" x14ac:dyDescent="0.2">
      <c r="AA597" s="170" t="s">
        <v>288</v>
      </c>
      <c r="AB597" s="165" t="s">
        <v>1048</v>
      </c>
      <c r="AC597" s="161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34"/>
      <c r="AO597" s="18"/>
      <c r="AP597" s="18"/>
      <c r="AQ597" s="34"/>
      <c r="AR597" s="34"/>
      <c r="AS597" s="34"/>
      <c r="AT597" s="40"/>
      <c r="AU597" s="18"/>
      <c r="AV597" s="18"/>
      <c r="AW597" s="18"/>
      <c r="AX597" s="18"/>
    </row>
    <row r="598" spans="1:50" ht="16.5" customHeight="1" x14ac:dyDescent="0.2">
      <c r="AA598" s="166" t="s">
        <v>1049</v>
      </c>
      <c r="AB598" s="167" t="s">
        <v>1015</v>
      </c>
      <c r="AC598" s="161"/>
      <c r="AD598" s="34">
        <v>0</v>
      </c>
      <c r="AE598" s="18">
        <v>40000000</v>
      </c>
      <c r="AF598" s="34">
        <v>0</v>
      </c>
      <c r="AG598" s="34">
        <v>0</v>
      </c>
      <c r="AH598" s="34">
        <v>0</v>
      </c>
      <c r="AI598" s="43">
        <f>AE598-AF598+AG598-AH598</f>
        <v>40000000</v>
      </c>
      <c r="AJ598" s="43">
        <f>AD598+AI598</f>
        <v>40000000</v>
      </c>
      <c r="AK598" s="34">
        <v>0</v>
      </c>
      <c r="AL598" s="34">
        <v>0</v>
      </c>
      <c r="AM598" s="34">
        <v>0</v>
      </c>
      <c r="AN598" s="34">
        <v>0</v>
      </c>
      <c r="AO598" s="18">
        <v>0</v>
      </c>
      <c r="AP598" s="18">
        <v>0</v>
      </c>
      <c r="AQ598" s="34">
        <v>0</v>
      </c>
      <c r="AR598" s="34">
        <v>0</v>
      </c>
      <c r="AS598" s="34">
        <v>0</v>
      </c>
      <c r="AT598" s="111">
        <f t="shared" ref="AT598" si="232">AQ598+AS598</f>
        <v>0</v>
      </c>
      <c r="AU598" s="18">
        <f>AJ598-AM598</f>
        <v>40000000</v>
      </c>
      <c r="AV598" s="34">
        <f>AM598-AP598</f>
        <v>0</v>
      </c>
      <c r="AW598" s="18">
        <f>AP598-AT598</f>
        <v>0</v>
      </c>
      <c r="AX598" s="123">
        <f>AP598/AJ598</f>
        <v>0</v>
      </c>
    </row>
    <row r="599" spans="1:50" ht="18.75" customHeight="1" x14ac:dyDescent="0.2">
      <c r="AA599" s="162"/>
      <c r="AB599" s="163" t="s">
        <v>492</v>
      </c>
      <c r="AC599" s="17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34"/>
      <c r="AO599" s="18"/>
      <c r="AP599" s="18"/>
      <c r="AQ599" s="34"/>
      <c r="AR599" s="34"/>
      <c r="AS599" s="34"/>
      <c r="AT599" s="40"/>
      <c r="AU599" s="18"/>
      <c r="AV599" s="18"/>
      <c r="AW599" s="18"/>
      <c r="AX599" s="18"/>
    </row>
    <row r="600" spans="1:50" ht="18.75" customHeight="1" x14ac:dyDescent="0.2">
      <c r="A600" s="4" t="s">
        <v>55</v>
      </c>
      <c r="B600" s="4" t="s">
        <v>56</v>
      </c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1" t="s">
        <v>493</v>
      </c>
      <c r="AB600" s="42" t="s">
        <v>233</v>
      </c>
      <c r="AC600" s="43" t="s">
        <v>58</v>
      </c>
      <c r="AD600" s="44">
        <v>0</v>
      </c>
      <c r="AE600" s="44">
        <v>0</v>
      </c>
      <c r="AF600" s="44">
        <v>0</v>
      </c>
      <c r="AG600" s="43">
        <v>503000000</v>
      </c>
      <c r="AH600" s="43">
        <v>21088294</v>
      </c>
      <c r="AI600" s="43">
        <f>AE600-AF600+AG600-AH600</f>
        <v>481911706</v>
      </c>
      <c r="AJ600" s="43">
        <f>AD600+AI600</f>
        <v>481911706</v>
      </c>
      <c r="AK600" s="44">
        <v>0</v>
      </c>
      <c r="AL600" s="44">
        <v>0</v>
      </c>
      <c r="AM600" s="43">
        <v>481911706</v>
      </c>
      <c r="AN600" s="44">
        <v>0</v>
      </c>
      <c r="AO600" s="43">
        <v>0</v>
      </c>
      <c r="AP600" s="43">
        <v>481911706</v>
      </c>
      <c r="AQ600" s="44">
        <v>0</v>
      </c>
      <c r="AR600" s="44">
        <v>0</v>
      </c>
      <c r="AS600" s="44">
        <v>0</v>
      </c>
      <c r="AT600" s="40">
        <f>AQ600+AS600</f>
        <v>0</v>
      </c>
      <c r="AU600" s="18">
        <f>AJ600-AM600</f>
        <v>0</v>
      </c>
      <c r="AV600" s="18">
        <f>AM600-AP600</f>
        <v>0</v>
      </c>
      <c r="AW600" s="18">
        <f>AP600-AT600</f>
        <v>481911706</v>
      </c>
      <c r="AX600" s="123">
        <f>AP600/AJ600</f>
        <v>1</v>
      </c>
    </row>
    <row r="601" spans="1:50" ht="18.75" customHeight="1" x14ac:dyDescent="0.2">
      <c r="AA601" s="28" t="s">
        <v>288</v>
      </c>
      <c r="AB601" s="29" t="s">
        <v>494</v>
      </c>
      <c r="AC601" s="17"/>
      <c r="AD601" s="18"/>
      <c r="AE601" s="34"/>
      <c r="AF601" s="34"/>
      <c r="AG601" s="18"/>
      <c r="AH601" s="34"/>
      <c r="AI601" s="18"/>
      <c r="AJ601" s="18"/>
      <c r="AK601" s="34"/>
      <c r="AL601" s="34"/>
      <c r="AM601" s="18"/>
      <c r="AN601" s="34"/>
      <c r="AO601" s="18"/>
      <c r="AP601" s="18"/>
      <c r="AQ601" s="34"/>
      <c r="AR601" s="34"/>
      <c r="AS601" s="34"/>
      <c r="AT601" s="40"/>
      <c r="AU601" s="18"/>
      <c r="AV601" s="18"/>
      <c r="AW601" s="18"/>
      <c r="AX601" s="18"/>
    </row>
    <row r="602" spans="1:50" ht="18.75" customHeight="1" x14ac:dyDescent="0.2">
      <c r="A602" s="4" t="s">
        <v>55</v>
      </c>
      <c r="B602" s="4" t="s">
        <v>56</v>
      </c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1" t="s">
        <v>495</v>
      </c>
      <c r="AB602" s="42" t="s">
        <v>233</v>
      </c>
      <c r="AC602" s="43" t="s">
        <v>58</v>
      </c>
      <c r="AD602" s="43">
        <v>100000000</v>
      </c>
      <c r="AE602" s="44">
        <v>0</v>
      </c>
      <c r="AF602" s="44">
        <v>0</v>
      </c>
      <c r="AG602" s="44">
        <v>0</v>
      </c>
      <c r="AH602" s="43">
        <v>30591703</v>
      </c>
      <c r="AI602" s="44">
        <f>AE602-AF602+AG602-AH602</f>
        <v>-30591703</v>
      </c>
      <c r="AJ602" s="43">
        <f>AD602+AI602</f>
        <v>69408297</v>
      </c>
      <c r="AK602" s="44">
        <v>0</v>
      </c>
      <c r="AL602" s="44">
        <v>0</v>
      </c>
      <c r="AM602" s="43">
        <v>69408297</v>
      </c>
      <c r="AN602" s="44">
        <v>0</v>
      </c>
      <c r="AO602" s="44">
        <v>0</v>
      </c>
      <c r="AP602" s="43">
        <v>69408297</v>
      </c>
      <c r="AQ602" s="44">
        <v>0</v>
      </c>
      <c r="AR602" s="44">
        <v>0</v>
      </c>
      <c r="AS602" s="43">
        <v>62064152.5</v>
      </c>
      <c r="AT602" s="39">
        <f>AQ602+AS602</f>
        <v>62064152.5</v>
      </c>
      <c r="AU602" s="18">
        <f>AJ602-AM602</f>
        <v>0</v>
      </c>
      <c r="AV602" s="34">
        <f>AM602-AP602</f>
        <v>0</v>
      </c>
      <c r="AW602" s="18">
        <f>AP602-AT602</f>
        <v>7344144.5</v>
      </c>
      <c r="AX602" s="123">
        <f>AP602/AJ602</f>
        <v>1</v>
      </c>
    </row>
    <row r="603" spans="1:50" ht="18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1" t="s">
        <v>976</v>
      </c>
      <c r="AB603" s="42" t="s">
        <v>449</v>
      </c>
      <c r="AC603" s="43"/>
      <c r="AD603" s="43">
        <v>0</v>
      </c>
      <c r="AE603" s="44">
        <v>0</v>
      </c>
      <c r="AF603" s="44">
        <v>0</v>
      </c>
      <c r="AG603" s="43">
        <v>1200000000</v>
      </c>
      <c r="AH603" s="44"/>
      <c r="AI603" s="43">
        <f>AE603-AF603+AG603-AH603</f>
        <v>1200000000</v>
      </c>
      <c r="AJ603" s="43">
        <f>AD603+AI603</f>
        <v>1200000000</v>
      </c>
      <c r="AK603" s="44">
        <v>0</v>
      </c>
      <c r="AL603" s="44">
        <v>0</v>
      </c>
      <c r="AM603" s="43">
        <v>1114130436</v>
      </c>
      <c r="AN603" s="44">
        <v>0</v>
      </c>
      <c r="AO603" s="44">
        <v>0</v>
      </c>
      <c r="AP603" s="43">
        <v>0</v>
      </c>
      <c r="AQ603" s="44">
        <v>0</v>
      </c>
      <c r="AR603" s="44">
        <v>0</v>
      </c>
      <c r="AS603" s="44">
        <v>0</v>
      </c>
      <c r="AT603" s="40">
        <f>AQ603+AS603</f>
        <v>0</v>
      </c>
      <c r="AU603" s="18">
        <f>AJ603-AM603</f>
        <v>85869564</v>
      </c>
      <c r="AV603" s="18">
        <f>AM603-AP603</f>
        <v>1114130436</v>
      </c>
      <c r="AW603" s="18">
        <f>AP603-AT603</f>
        <v>0</v>
      </c>
      <c r="AX603" s="123">
        <f>AP603/AJ603</f>
        <v>0</v>
      </c>
    </row>
    <row r="604" spans="1:50" ht="18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1" t="s">
        <v>288</v>
      </c>
      <c r="AB604" s="74" t="s">
        <v>463</v>
      </c>
      <c r="AC604" s="43"/>
      <c r="AD604" s="43"/>
      <c r="AE604" s="44"/>
      <c r="AF604" s="44"/>
      <c r="AG604" s="43"/>
      <c r="AH604" s="44"/>
      <c r="AI604" s="43"/>
      <c r="AJ604" s="43"/>
      <c r="AK604" s="44"/>
      <c r="AL604" s="44"/>
      <c r="AM604" s="43"/>
      <c r="AN604" s="44"/>
      <c r="AO604" s="44"/>
      <c r="AP604" s="43"/>
      <c r="AQ604" s="44"/>
      <c r="AR604" s="44"/>
      <c r="AS604" s="44"/>
      <c r="AT604" s="40"/>
      <c r="AU604" s="43"/>
      <c r="AV604" s="43"/>
      <c r="AW604" s="43"/>
      <c r="AX604" s="32"/>
    </row>
    <row r="605" spans="1:50" ht="18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139" t="s">
        <v>909</v>
      </c>
      <c r="AB605" s="42" t="s">
        <v>233</v>
      </c>
      <c r="AC605" s="43"/>
      <c r="AD605" s="44">
        <v>0</v>
      </c>
      <c r="AE605" s="44">
        <v>0</v>
      </c>
      <c r="AF605" s="44">
        <v>0</v>
      </c>
      <c r="AG605" s="43">
        <v>1556000000</v>
      </c>
      <c r="AH605" s="44">
        <v>0</v>
      </c>
      <c r="AI605" s="43">
        <f>AE605-AF605+AG605-AH605</f>
        <v>1556000000</v>
      </c>
      <c r="AJ605" s="43">
        <f>AD605+AI605</f>
        <v>1556000000</v>
      </c>
      <c r="AK605" s="44">
        <v>0</v>
      </c>
      <c r="AL605" s="44">
        <v>0</v>
      </c>
      <c r="AM605" s="43">
        <v>1555449996</v>
      </c>
      <c r="AN605" s="44">
        <v>0</v>
      </c>
      <c r="AO605" s="44">
        <v>0</v>
      </c>
      <c r="AP605" s="43">
        <v>1555449996</v>
      </c>
      <c r="AQ605" s="44">
        <v>0</v>
      </c>
      <c r="AR605" s="44">
        <v>0</v>
      </c>
      <c r="AS605" s="43">
        <v>1555449996</v>
      </c>
      <c r="AT605" s="39">
        <f>AQ605+AS605</f>
        <v>1555449996</v>
      </c>
      <c r="AU605" s="18">
        <f>AJ605-AM605</f>
        <v>550004</v>
      </c>
      <c r="AV605" s="34">
        <f>AM605-AP605</f>
        <v>0</v>
      </c>
      <c r="AW605" s="34">
        <f>AP605-AT605</f>
        <v>0</v>
      </c>
      <c r="AX605" s="123">
        <f>AP605/AJ605</f>
        <v>0.99964652699228795</v>
      </c>
    </row>
    <row r="606" spans="1:50" ht="26.2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170" t="s">
        <v>288</v>
      </c>
      <c r="AB606" s="165" t="s">
        <v>1050</v>
      </c>
      <c r="AC606" s="168"/>
      <c r="AD606" s="44"/>
      <c r="AE606" s="44"/>
      <c r="AF606" s="44"/>
      <c r="AG606" s="43"/>
      <c r="AH606" s="44"/>
      <c r="AI606" s="43"/>
      <c r="AJ606" s="43"/>
      <c r="AK606" s="44"/>
      <c r="AL606" s="44"/>
      <c r="AM606" s="43"/>
      <c r="AN606" s="44"/>
      <c r="AO606" s="44"/>
      <c r="AP606" s="43"/>
      <c r="AQ606" s="44"/>
      <c r="AR606" s="44"/>
      <c r="AS606" s="43"/>
      <c r="AT606" s="39"/>
      <c r="AU606" s="18"/>
      <c r="AV606" s="34"/>
      <c r="AW606" s="34"/>
      <c r="AX606" s="123"/>
    </row>
    <row r="607" spans="1:50" ht="18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166" t="s">
        <v>1051</v>
      </c>
      <c r="AB607" s="167" t="s">
        <v>1015</v>
      </c>
      <c r="AC607" s="168"/>
      <c r="AD607" s="44">
        <v>0</v>
      </c>
      <c r="AE607" s="43">
        <v>40000000</v>
      </c>
      <c r="AF607" s="44">
        <v>0</v>
      </c>
      <c r="AG607" s="44">
        <v>0</v>
      </c>
      <c r="AH607" s="44">
        <v>0</v>
      </c>
      <c r="AI607" s="43">
        <f>AE607-AF607+AG607-AH607</f>
        <v>40000000</v>
      </c>
      <c r="AJ607" s="43">
        <f>AD607+AI607</f>
        <v>40000000</v>
      </c>
      <c r="AK607" s="44">
        <v>0</v>
      </c>
      <c r="AL607" s="44">
        <v>0</v>
      </c>
      <c r="AM607" s="43">
        <v>0</v>
      </c>
      <c r="AN607" s="44">
        <v>0</v>
      </c>
      <c r="AO607" s="44">
        <v>0</v>
      </c>
      <c r="AP607" s="43">
        <v>0</v>
      </c>
      <c r="AQ607" s="44">
        <v>0</v>
      </c>
      <c r="AR607" s="44">
        <v>0</v>
      </c>
      <c r="AS607" s="43">
        <v>0</v>
      </c>
      <c r="AT607" s="111">
        <f t="shared" ref="AT607" si="233">AQ607+AS607</f>
        <v>0</v>
      </c>
      <c r="AU607" s="18">
        <f>AJ607-AM607</f>
        <v>40000000</v>
      </c>
      <c r="AV607" s="34">
        <f>AM607-AP607</f>
        <v>0</v>
      </c>
      <c r="AW607" s="18">
        <f>AP607-AT607</f>
        <v>0</v>
      </c>
      <c r="AX607" s="123">
        <f>AP607/AJ607</f>
        <v>0</v>
      </c>
    </row>
    <row r="608" spans="1:50" ht="18.75" customHeight="1" x14ac:dyDescent="0.2">
      <c r="AA608" s="169" t="s">
        <v>288</v>
      </c>
      <c r="AB608" s="163" t="s">
        <v>496</v>
      </c>
      <c r="AC608" s="17"/>
      <c r="AD608" s="34"/>
      <c r="AE608" s="34"/>
      <c r="AF608" s="34"/>
      <c r="AG608" s="18"/>
      <c r="AH608" s="34"/>
      <c r="AI608" s="18"/>
      <c r="AJ608" s="18"/>
      <c r="AK608" s="18"/>
      <c r="AL608" s="18"/>
      <c r="AM608" s="18"/>
      <c r="AN608" s="18"/>
      <c r="AO608" s="18"/>
      <c r="AP608" s="18"/>
      <c r="AQ608" s="34"/>
      <c r="AR608" s="34"/>
      <c r="AS608" s="34"/>
      <c r="AT608" s="40">
        <f t="shared" si="216"/>
        <v>0</v>
      </c>
      <c r="AU608" s="18"/>
      <c r="AV608" s="18"/>
      <c r="AW608" s="18"/>
      <c r="AX608" s="18"/>
    </row>
    <row r="609" spans="1:50" ht="18.75" customHeight="1" x14ac:dyDescent="0.2">
      <c r="A609" s="4" t="s">
        <v>55</v>
      </c>
      <c r="B609" s="4" t="s">
        <v>56</v>
      </c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1" t="s">
        <v>497</v>
      </c>
      <c r="AB609" s="42" t="s">
        <v>233</v>
      </c>
      <c r="AC609" s="43" t="s">
        <v>58</v>
      </c>
      <c r="AD609" s="44">
        <v>0</v>
      </c>
      <c r="AE609" s="44">
        <v>0</v>
      </c>
      <c r="AF609" s="44">
        <v>0</v>
      </c>
      <c r="AG609" s="43">
        <f>91680424+36720621</f>
        <v>128401045</v>
      </c>
      <c r="AH609" s="43">
        <v>11419181</v>
      </c>
      <c r="AI609" s="43">
        <f>AE609-AF609+AG609-AH609</f>
        <v>116981864</v>
      </c>
      <c r="AJ609" s="43">
        <f>AD609+AI609</f>
        <v>116981864</v>
      </c>
      <c r="AK609" s="44">
        <v>0</v>
      </c>
      <c r="AL609" s="115">
        <v>0</v>
      </c>
      <c r="AM609" s="114">
        <v>116981864</v>
      </c>
      <c r="AN609" s="44">
        <v>0</v>
      </c>
      <c r="AO609" s="44">
        <v>36720621</v>
      </c>
      <c r="AP609" s="114">
        <v>116981864</v>
      </c>
      <c r="AQ609" s="44">
        <v>0</v>
      </c>
      <c r="AR609" s="115">
        <v>0</v>
      </c>
      <c r="AS609" s="114">
        <v>80261243</v>
      </c>
      <c r="AT609" s="39">
        <f>AQ609+AS609</f>
        <v>80261243</v>
      </c>
      <c r="AU609" s="18">
        <f>AJ609-AM609</f>
        <v>0</v>
      </c>
      <c r="AV609" s="18">
        <f>AM609-AP609</f>
        <v>0</v>
      </c>
      <c r="AW609" s="18">
        <f>AP609-AT609</f>
        <v>36720621</v>
      </c>
      <c r="AX609" s="123">
        <f>AP609/AJ609</f>
        <v>1</v>
      </c>
    </row>
    <row r="610" spans="1:50" ht="18.75" customHeight="1" x14ac:dyDescent="0.2">
      <c r="AA610" s="28" t="s">
        <v>288</v>
      </c>
      <c r="AB610" s="29" t="s">
        <v>498</v>
      </c>
      <c r="AC610" s="17"/>
      <c r="AD610" s="18"/>
      <c r="AE610" s="34"/>
      <c r="AF610" s="34"/>
      <c r="AG610" s="18"/>
      <c r="AH610" s="18"/>
      <c r="AI610" s="18"/>
      <c r="AJ610" s="18"/>
      <c r="AK610" s="34"/>
      <c r="AL610" s="34"/>
      <c r="AM610" s="34"/>
      <c r="AN610" s="34"/>
      <c r="AO610" s="34"/>
      <c r="AP610" s="34"/>
      <c r="AQ610" s="34"/>
      <c r="AR610" s="34"/>
      <c r="AS610" s="34"/>
      <c r="AT610" s="40">
        <f t="shared" si="216"/>
        <v>0</v>
      </c>
      <c r="AU610" s="18"/>
      <c r="AV610" s="18"/>
      <c r="AW610" s="18"/>
      <c r="AX610" s="18"/>
    </row>
    <row r="611" spans="1:50" ht="18.75" customHeight="1" x14ac:dyDescent="0.2">
      <c r="A611" s="4" t="s">
        <v>55</v>
      </c>
      <c r="B611" s="4" t="s">
        <v>56</v>
      </c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1" t="s">
        <v>499</v>
      </c>
      <c r="AB611" s="42" t="s">
        <v>233</v>
      </c>
      <c r="AC611" s="43" t="s">
        <v>58</v>
      </c>
      <c r="AD611" s="43">
        <v>5000000000</v>
      </c>
      <c r="AE611" s="44">
        <v>0</v>
      </c>
      <c r="AF611" s="44">
        <v>0</v>
      </c>
      <c r="AG611" s="44">
        <v>0</v>
      </c>
      <c r="AH611" s="43">
        <f>2332895811.15+800401381+119719609</f>
        <v>3253016801.1500001</v>
      </c>
      <c r="AI611" s="43">
        <f>AE611-AF611+AG611-AH611</f>
        <v>-3253016801.1500001</v>
      </c>
      <c r="AJ611" s="43">
        <f>AD611+AI611</f>
        <v>1746983198.8499999</v>
      </c>
      <c r="AK611" s="44">
        <v>0</v>
      </c>
      <c r="AL611" s="115">
        <v>0</v>
      </c>
      <c r="AM611" s="114">
        <v>1746983198.74</v>
      </c>
      <c r="AN611" s="44">
        <v>0</v>
      </c>
      <c r="AO611" s="44">
        <v>0</v>
      </c>
      <c r="AP611" s="44">
        <v>1434700926</v>
      </c>
      <c r="AQ611" s="44">
        <v>0</v>
      </c>
      <c r="AR611" s="43">
        <v>358675231.5</v>
      </c>
      <c r="AS611" s="43">
        <v>717350463</v>
      </c>
      <c r="AT611" s="39">
        <f>AQ611+AS611</f>
        <v>717350463</v>
      </c>
      <c r="AU611" s="18">
        <f>AJ611-AM611</f>
        <v>0.1099998950958252</v>
      </c>
      <c r="AV611" s="18">
        <f>AM611-AP611</f>
        <v>312282272.74000001</v>
      </c>
      <c r="AW611" s="18">
        <f>AP611-AT611</f>
        <v>717350463</v>
      </c>
      <c r="AX611" s="123">
        <f>AP611/AJ611</f>
        <v>0.82124483334724208</v>
      </c>
    </row>
    <row r="612" spans="1:50" ht="18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166" t="s">
        <v>1052</v>
      </c>
      <c r="AB612" s="167" t="s">
        <v>1015</v>
      </c>
      <c r="AC612" s="168"/>
      <c r="AD612" s="44">
        <v>0</v>
      </c>
      <c r="AE612" s="43">
        <v>3500000000</v>
      </c>
      <c r="AF612" s="44"/>
      <c r="AG612" s="44"/>
      <c r="AH612" s="43">
        <v>769916142.32000005</v>
      </c>
      <c r="AI612" s="43">
        <f>AE612-AF612+AG612-AH612</f>
        <v>2730083857.6799998</v>
      </c>
      <c r="AJ612" s="43">
        <f>AD612+AI612</f>
        <v>2730083857.6799998</v>
      </c>
      <c r="AK612" s="44">
        <v>0</v>
      </c>
      <c r="AL612" s="115">
        <v>0</v>
      </c>
      <c r="AM612" s="115">
        <v>0</v>
      </c>
      <c r="AN612" s="44">
        <v>0</v>
      </c>
      <c r="AO612" s="44">
        <v>0</v>
      </c>
      <c r="AP612" s="44">
        <v>0</v>
      </c>
      <c r="AQ612" s="44">
        <v>0</v>
      </c>
      <c r="AR612" s="43">
        <v>0</v>
      </c>
      <c r="AS612" s="43">
        <v>0</v>
      </c>
      <c r="AT612" s="111">
        <f t="shared" ref="AT612:AT613" si="234">AQ612+AS612</f>
        <v>0</v>
      </c>
      <c r="AU612" s="18">
        <f>AJ612-AM612</f>
        <v>2730083857.6799998</v>
      </c>
      <c r="AV612" s="34">
        <f>AM612-AP612</f>
        <v>0</v>
      </c>
      <c r="AW612" s="18">
        <f>AP612-AT612</f>
        <v>0</v>
      </c>
      <c r="AX612" s="123">
        <f>AP612/AJ612</f>
        <v>0</v>
      </c>
    </row>
    <row r="613" spans="1:50" ht="24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229" t="s">
        <v>1224</v>
      </c>
      <c r="AB613" s="230" t="s">
        <v>1055</v>
      </c>
      <c r="AC613" s="168"/>
      <c r="AD613" s="44">
        <v>0</v>
      </c>
      <c r="AE613" s="44">
        <v>0</v>
      </c>
      <c r="AF613" s="44">
        <v>0</v>
      </c>
      <c r="AG613" s="43">
        <v>769916142.32000005</v>
      </c>
      <c r="AH613" s="44">
        <v>0</v>
      </c>
      <c r="AI613" s="43">
        <f>AE613-AF613+AG613-AH613</f>
        <v>769916142.32000005</v>
      </c>
      <c r="AJ613" s="43">
        <f>AD613+AI613</f>
        <v>769916142.32000005</v>
      </c>
      <c r="AK613" s="44">
        <v>0</v>
      </c>
      <c r="AL613" s="115">
        <v>0</v>
      </c>
      <c r="AM613" s="115">
        <v>0</v>
      </c>
      <c r="AN613" s="44">
        <v>0</v>
      </c>
      <c r="AO613" s="44">
        <v>0</v>
      </c>
      <c r="AP613" s="44">
        <v>0</v>
      </c>
      <c r="AQ613" s="44">
        <v>0</v>
      </c>
      <c r="AR613" s="43">
        <v>0</v>
      </c>
      <c r="AS613" s="43">
        <v>0</v>
      </c>
      <c r="AT613" s="111">
        <f t="shared" si="234"/>
        <v>0</v>
      </c>
      <c r="AU613" s="18">
        <f>AJ613-AM613</f>
        <v>769916142.32000005</v>
      </c>
      <c r="AV613" s="34">
        <f>AM613-AP613</f>
        <v>0</v>
      </c>
      <c r="AW613" s="18">
        <f>AP613-AT613</f>
        <v>0</v>
      </c>
      <c r="AX613" s="123">
        <f>AP613/AJ613</f>
        <v>0</v>
      </c>
    </row>
    <row r="614" spans="1:50" ht="18.75" customHeight="1" x14ac:dyDescent="0.2">
      <c r="AA614" s="169" t="s">
        <v>288</v>
      </c>
      <c r="AB614" s="163" t="s">
        <v>483</v>
      </c>
      <c r="AC614" s="17"/>
      <c r="AD614" s="18"/>
      <c r="AE614" s="34"/>
      <c r="AF614" s="34"/>
      <c r="AG614" s="18"/>
      <c r="AH614" s="18"/>
      <c r="AI614" s="18"/>
      <c r="AJ614" s="18"/>
      <c r="AK614" s="34"/>
      <c r="AL614" s="34"/>
      <c r="AM614" s="34"/>
      <c r="AN614" s="34"/>
      <c r="AO614" s="34"/>
      <c r="AP614" s="34"/>
      <c r="AQ614" s="34"/>
      <c r="AR614" s="34"/>
      <c r="AS614" s="34"/>
      <c r="AT614" s="40"/>
      <c r="AU614" s="18"/>
      <c r="AV614" s="18"/>
      <c r="AW614" s="18"/>
      <c r="AX614" s="18"/>
    </row>
    <row r="615" spans="1:50" ht="18.75" customHeight="1" x14ac:dyDescent="0.2">
      <c r="A615" s="4" t="s">
        <v>55</v>
      </c>
      <c r="B615" s="4" t="s">
        <v>56</v>
      </c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1" t="s">
        <v>500</v>
      </c>
      <c r="AB615" s="42" t="s">
        <v>233</v>
      </c>
      <c r="AC615" s="43" t="s">
        <v>58</v>
      </c>
      <c r="AD615" s="44">
        <v>0</v>
      </c>
      <c r="AE615" s="44">
        <v>0</v>
      </c>
      <c r="AF615" s="44">
        <v>0</v>
      </c>
      <c r="AG615" s="43">
        <f>36519672</f>
        <v>36519672</v>
      </c>
      <c r="AH615" s="44">
        <v>0</v>
      </c>
      <c r="AI615" s="43">
        <f>AE615-AF615+AG615-AH615</f>
        <v>36519672</v>
      </c>
      <c r="AJ615" s="254">
        <f>AD615+AI615</f>
        <v>36519672</v>
      </c>
      <c r="AK615" s="44">
        <v>0</v>
      </c>
      <c r="AL615" s="44">
        <v>0</v>
      </c>
      <c r="AM615" s="43">
        <v>36519672</v>
      </c>
      <c r="AN615" s="44">
        <v>0</v>
      </c>
      <c r="AO615" s="43">
        <v>0</v>
      </c>
      <c r="AP615" s="43">
        <v>36519672</v>
      </c>
      <c r="AQ615" s="44">
        <v>0</v>
      </c>
      <c r="AR615" s="44">
        <v>0</v>
      </c>
      <c r="AS615" s="44">
        <v>0</v>
      </c>
      <c r="AT615" s="40">
        <f>AQ615+AS615</f>
        <v>0</v>
      </c>
      <c r="AU615" s="18">
        <f>AJ615-AM615</f>
        <v>0</v>
      </c>
      <c r="AV615" s="34">
        <f>AM615-AP615</f>
        <v>0</v>
      </c>
      <c r="AW615" s="18">
        <f>AP615-AT615</f>
        <v>36519672</v>
      </c>
      <c r="AX615" s="123">
        <f>AP615/AJ615</f>
        <v>1</v>
      </c>
    </row>
    <row r="616" spans="1:50" ht="18.75" customHeight="1" x14ac:dyDescent="0.2">
      <c r="AA616" s="28" t="s">
        <v>288</v>
      </c>
      <c r="AB616" s="29" t="s">
        <v>487</v>
      </c>
      <c r="AC616" s="17"/>
      <c r="AD616" s="18"/>
      <c r="AE616" s="34"/>
      <c r="AF616" s="34"/>
      <c r="AG616" s="18"/>
      <c r="AH616" s="18"/>
      <c r="AI616" s="18"/>
      <c r="AJ616" s="18"/>
      <c r="AK616" s="18"/>
      <c r="AL616" s="18"/>
      <c r="AM616" s="18"/>
      <c r="AN616" s="34"/>
      <c r="AO616" s="18"/>
      <c r="AP616" s="18"/>
      <c r="AQ616" s="18"/>
      <c r="AR616" s="18"/>
      <c r="AS616" s="18"/>
      <c r="AT616" s="39"/>
      <c r="AU616" s="18"/>
      <c r="AV616" s="18"/>
      <c r="AW616" s="18"/>
      <c r="AX616" s="18"/>
    </row>
    <row r="617" spans="1:50" ht="18.75" customHeight="1" x14ac:dyDescent="0.2">
      <c r="A617" s="4" t="s">
        <v>55</v>
      </c>
      <c r="B617" s="4" t="s">
        <v>56</v>
      </c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1" t="s">
        <v>501</v>
      </c>
      <c r="AB617" s="42" t="s">
        <v>439</v>
      </c>
      <c r="AC617" s="43" t="s">
        <v>428</v>
      </c>
      <c r="AD617" s="43">
        <v>4549743506</v>
      </c>
      <c r="AE617" s="44">
        <v>0</v>
      </c>
      <c r="AF617" s="44">
        <v>0</v>
      </c>
      <c r="AG617" s="43">
        <v>265538240</v>
      </c>
      <c r="AH617" s="44">
        <v>0</v>
      </c>
      <c r="AI617" s="43">
        <f>AE617-AF617+AG617-AH617</f>
        <v>265538240</v>
      </c>
      <c r="AJ617" s="43">
        <f>AD617+AI617</f>
        <v>4815281746</v>
      </c>
      <c r="AK617" s="44">
        <v>0</v>
      </c>
      <c r="AL617" s="43">
        <v>1840161718</v>
      </c>
      <c r="AM617" s="43">
        <v>3998936600.4000001</v>
      </c>
      <c r="AN617" s="44">
        <v>0</v>
      </c>
      <c r="AO617" s="43">
        <v>0</v>
      </c>
      <c r="AP617" s="43">
        <v>1404364186.6300001</v>
      </c>
      <c r="AQ617" s="44">
        <v>0</v>
      </c>
      <c r="AR617" s="44">
        <v>366422827.26999998</v>
      </c>
      <c r="AS617" s="44">
        <v>513520487.30000001</v>
      </c>
      <c r="AT617" s="40">
        <f t="shared" si="216"/>
        <v>513520487.30000001</v>
      </c>
      <c r="AU617" s="18">
        <f>AJ617-AM617</f>
        <v>816345145.5999999</v>
      </c>
      <c r="AV617" s="110">
        <f>AM617-AP617</f>
        <v>2594572413.77</v>
      </c>
      <c r="AW617" s="18">
        <f>AP617-AT617</f>
        <v>890843699.33000016</v>
      </c>
      <c r="AX617" s="123">
        <f>AP617/AJ617</f>
        <v>0.2916473553798985</v>
      </c>
    </row>
    <row r="618" spans="1:50" ht="18.75" customHeight="1" x14ac:dyDescent="0.2">
      <c r="A618" s="4" t="s">
        <v>55</v>
      </c>
      <c r="B618" s="4" t="s">
        <v>56</v>
      </c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1" t="s">
        <v>502</v>
      </c>
      <c r="AB618" s="42" t="s">
        <v>490</v>
      </c>
      <c r="AC618" s="43" t="s">
        <v>368</v>
      </c>
      <c r="AD618" s="43">
        <v>104829219</v>
      </c>
      <c r="AE618" s="44">
        <v>0</v>
      </c>
      <c r="AF618" s="44">
        <v>0</v>
      </c>
      <c r="AG618" s="44">
        <v>0</v>
      </c>
      <c r="AH618" s="44">
        <v>0</v>
      </c>
      <c r="AI618" s="44">
        <v>0</v>
      </c>
      <c r="AJ618" s="43">
        <v>104829219</v>
      </c>
      <c r="AK618" s="44">
        <v>0</v>
      </c>
      <c r="AL618" s="43">
        <v>8959665.5</v>
      </c>
      <c r="AM618" s="43">
        <v>36181085.079999998</v>
      </c>
      <c r="AN618" s="44">
        <v>0</v>
      </c>
      <c r="AO618" s="43">
        <v>8959665.5</v>
      </c>
      <c r="AP618" s="43">
        <v>36181085.079999998</v>
      </c>
      <c r="AQ618" s="44">
        <v>0</v>
      </c>
      <c r="AR618" s="43">
        <v>8959665.5</v>
      </c>
      <c r="AS618" s="43">
        <v>36181085.079999998</v>
      </c>
      <c r="AT618" s="39">
        <f t="shared" si="216"/>
        <v>36181085.079999998</v>
      </c>
      <c r="AU618" s="18">
        <f>AJ618-AM618</f>
        <v>68648133.920000002</v>
      </c>
      <c r="AV618" s="34">
        <f>AM618-AP618</f>
        <v>0</v>
      </c>
      <c r="AW618" s="34">
        <f>AP618-AT618</f>
        <v>0</v>
      </c>
      <c r="AX618" s="123">
        <f>AP618/AJ618</f>
        <v>0.34514313304194316</v>
      </c>
    </row>
    <row r="619" spans="1:50" ht="18.75" customHeight="1" x14ac:dyDescent="0.2">
      <c r="AA619" s="28" t="s">
        <v>288</v>
      </c>
      <c r="AB619" s="29" t="s">
        <v>400</v>
      </c>
      <c r="AC619" s="17"/>
      <c r="AD619" s="18"/>
      <c r="AE619" s="34"/>
      <c r="AF619" s="34"/>
      <c r="AG619" s="18"/>
      <c r="AH619" s="18"/>
      <c r="AI619" s="18"/>
      <c r="AJ619" s="18"/>
      <c r="AK619" s="34"/>
      <c r="AL619" s="18"/>
      <c r="AM619" s="18"/>
      <c r="AN619" s="18"/>
      <c r="AO619" s="18"/>
      <c r="AP619" s="18"/>
      <c r="AQ619" s="18"/>
      <c r="AR619" s="18"/>
      <c r="AS619" s="18"/>
      <c r="AT619" s="39"/>
      <c r="AU619" s="18"/>
      <c r="AV619" s="18"/>
      <c r="AW619" s="18"/>
      <c r="AX619" s="18"/>
    </row>
    <row r="620" spans="1:50" ht="18.75" customHeight="1" x14ac:dyDescent="0.2">
      <c r="A620" s="4" t="s">
        <v>55</v>
      </c>
      <c r="B620" s="4" t="s">
        <v>56</v>
      </c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1" t="s">
        <v>401</v>
      </c>
      <c r="AB620" s="42" t="s">
        <v>233</v>
      </c>
      <c r="AC620" s="43" t="s">
        <v>58</v>
      </c>
      <c r="AD620" s="43">
        <v>2673811725</v>
      </c>
      <c r="AE620" s="44">
        <v>0</v>
      </c>
      <c r="AF620" s="44">
        <v>0</v>
      </c>
      <c r="AG620" s="43">
        <v>1500000000</v>
      </c>
      <c r="AH620" s="44">
        <v>0</v>
      </c>
      <c r="AI620" s="43">
        <f>AE620-AF620+AG620-AH620</f>
        <v>1500000000</v>
      </c>
      <c r="AJ620" s="43">
        <f>AD620+AI620</f>
        <v>4173811725</v>
      </c>
      <c r="AK620" s="44">
        <v>0</v>
      </c>
      <c r="AL620" s="43">
        <v>-2200000</v>
      </c>
      <c r="AM620" s="43">
        <v>4025833333</v>
      </c>
      <c r="AN620" s="43">
        <v>0</v>
      </c>
      <c r="AO620" s="43">
        <v>3300000</v>
      </c>
      <c r="AP620" s="43">
        <v>4009333333</v>
      </c>
      <c r="AQ620" s="114">
        <v>89716665</v>
      </c>
      <c r="AR620" s="114">
        <v>519529999</v>
      </c>
      <c r="AS620" s="114">
        <v>1334303330</v>
      </c>
      <c r="AT620" s="111">
        <f t="shared" ref="AT620:AT649" si="235">AQ620+AS620</f>
        <v>1424019995</v>
      </c>
      <c r="AU620" s="18">
        <f>AJ620-AM620</f>
        <v>147978392</v>
      </c>
      <c r="AV620" s="110">
        <f>AM620-AP620</f>
        <v>16500000</v>
      </c>
      <c r="AW620" s="18">
        <f>AP620-AT620</f>
        <v>2585313338</v>
      </c>
      <c r="AX620" s="123">
        <f>AP620/AJ620</f>
        <v>0.96059276200341792</v>
      </c>
    </row>
    <row r="621" spans="1:50" ht="18.75" customHeight="1" x14ac:dyDescent="0.2">
      <c r="A621" s="4" t="s">
        <v>55</v>
      </c>
      <c r="B621" s="4" t="s">
        <v>56</v>
      </c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1" t="s">
        <v>503</v>
      </c>
      <c r="AB621" s="42" t="s">
        <v>439</v>
      </c>
      <c r="AC621" s="43" t="s">
        <v>428</v>
      </c>
      <c r="AD621" s="43">
        <v>1237500000</v>
      </c>
      <c r="AE621" s="44">
        <v>0</v>
      </c>
      <c r="AF621" s="44">
        <v>0</v>
      </c>
      <c r="AG621" s="44">
        <v>0</v>
      </c>
      <c r="AH621" s="44">
        <v>0</v>
      </c>
      <c r="AI621" s="44">
        <v>0</v>
      </c>
      <c r="AJ621" s="43">
        <v>1237500000</v>
      </c>
      <c r="AK621" s="44">
        <v>0</v>
      </c>
      <c r="AL621" s="43">
        <v>63000000</v>
      </c>
      <c r="AM621" s="43">
        <v>1157700000</v>
      </c>
      <c r="AN621" s="43">
        <v>0</v>
      </c>
      <c r="AO621" s="43">
        <v>31500000</v>
      </c>
      <c r="AP621" s="43">
        <v>1110200000</v>
      </c>
      <c r="AQ621" s="114">
        <v>30633333</v>
      </c>
      <c r="AR621" s="114">
        <v>107600000</v>
      </c>
      <c r="AS621" s="114">
        <v>356536668</v>
      </c>
      <c r="AT621" s="111">
        <f t="shared" si="235"/>
        <v>387170001</v>
      </c>
      <c r="AU621" s="18">
        <f>AJ621-AM621</f>
        <v>79800000</v>
      </c>
      <c r="AV621" s="110">
        <f>AM621-AP621</f>
        <v>47500000</v>
      </c>
      <c r="AW621" s="18">
        <f>AP621-AT621</f>
        <v>723029999</v>
      </c>
      <c r="AX621" s="123">
        <f>AP621/AJ621</f>
        <v>0.89713131313131311</v>
      </c>
    </row>
    <row r="622" spans="1:50" ht="23.2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166" t="s">
        <v>1053</v>
      </c>
      <c r="AB622" s="167" t="s">
        <v>1015</v>
      </c>
      <c r="AC622" s="168"/>
      <c r="AD622" s="44">
        <v>0</v>
      </c>
      <c r="AE622" s="43">
        <v>230083857.68000001</v>
      </c>
      <c r="AF622" s="44">
        <v>0</v>
      </c>
      <c r="AG622" s="43">
        <v>769916142.32000005</v>
      </c>
      <c r="AH622" s="44">
        <v>0</v>
      </c>
      <c r="AI622" s="43">
        <f t="shared" ref="AI622:AI624" si="236">AE622-AF622+AG622-AH622</f>
        <v>1000000000</v>
      </c>
      <c r="AJ622" s="43">
        <f t="shared" ref="AJ622:AJ624" si="237">AD622+AI622</f>
        <v>1000000000</v>
      </c>
      <c r="AK622" s="44">
        <v>0</v>
      </c>
      <c r="AL622" s="44">
        <v>0</v>
      </c>
      <c r="AM622" s="44">
        <v>0</v>
      </c>
      <c r="AN622" s="43">
        <v>0</v>
      </c>
      <c r="AO622" s="43">
        <v>0</v>
      </c>
      <c r="AP622" s="43">
        <v>0</v>
      </c>
      <c r="AQ622" s="114">
        <v>0</v>
      </c>
      <c r="AR622" s="114">
        <v>0</v>
      </c>
      <c r="AS622" s="114">
        <v>0</v>
      </c>
      <c r="AT622" s="111">
        <f t="shared" si="235"/>
        <v>0</v>
      </c>
      <c r="AU622" s="18">
        <f>AJ622-AM622</f>
        <v>1000000000</v>
      </c>
      <c r="AV622" s="34">
        <f>AM622-AP622</f>
        <v>0</v>
      </c>
      <c r="AW622" s="18">
        <f>AP622-AT622</f>
        <v>0</v>
      </c>
      <c r="AX622" s="123">
        <f>AP622/AJ622</f>
        <v>0</v>
      </c>
    </row>
    <row r="623" spans="1:50" ht="25.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214" t="s">
        <v>1054</v>
      </c>
      <c r="AB623" s="215" t="s">
        <v>1055</v>
      </c>
      <c r="AC623" s="168"/>
      <c r="AD623" s="44">
        <v>0</v>
      </c>
      <c r="AE623" s="43">
        <v>769916142.32000005</v>
      </c>
      <c r="AF623" s="44">
        <v>0</v>
      </c>
      <c r="AG623" s="44">
        <v>0</v>
      </c>
      <c r="AH623" s="43">
        <v>769916142.32000005</v>
      </c>
      <c r="AI623" s="44">
        <f t="shared" si="236"/>
        <v>0</v>
      </c>
      <c r="AJ623" s="44">
        <f t="shared" si="237"/>
        <v>0</v>
      </c>
      <c r="AK623" s="44">
        <v>0</v>
      </c>
      <c r="AL623" s="44">
        <v>0</v>
      </c>
      <c r="AM623" s="44">
        <v>0</v>
      </c>
      <c r="AN623" s="43">
        <v>0</v>
      </c>
      <c r="AO623" s="43">
        <v>0</v>
      </c>
      <c r="AP623" s="43">
        <v>0</v>
      </c>
      <c r="AQ623" s="114">
        <v>0</v>
      </c>
      <c r="AR623" s="114">
        <v>0</v>
      </c>
      <c r="AS623" s="114">
        <v>0</v>
      </c>
      <c r="AT623" s="111">
        <f t="shared" si="235"/>
        <v>0</v>
      </c>
      <c r="AU623" s="18">
        <f>AJ623-AM623</f>
        <v>0</v>
      </c>
      <c r="AV623" s="34">
        <f>AM623-AP623</f>
        <v>0</v>
      </c>
      <c r="AW623" s="18">
        <f>AP623-AT623</f>
        <v>0</v>
      </c>
      <c r="AX623" s="123">
        <v>0</v>
      </c>
    </row>
    <row r="624" spans="1:50" ht="25.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166" t="s">
        <v>1078</v>
      </c>
      <c r="AB624" s="167" t="s">
        <v>1074</v>
      </c>
      <c r="AC624" s="168"/>
      <c r="AD624" s="44">
        <v>0</v>
      </c>
      <c r="AE624" s="43">
        <v>1200000000</v>
      </c>
      <c r="AF624" s="216">
        <v>0</v>
      </c>
      <c r="AG624" s="44">
        <v>0</v>
      </c>
      <c r="AH624" s="44">
        <v>0</v>
      </c>
      <c r="AI624" s="43">
        <f t="shared" si="236"/>
        <v>1200000000</v>
      </c>
      <c r="AJ624" s="43">
        <f t="shared" si="237"/>
        <v>1200000000</v>
      </c>
      <c r="AK624" s="44">
        <v>0</v>
      </c>
      <c r="AL624" s="44">
        <v>0</v>
      </c>
      <c r="AM624" s="44">
        <v>0</v>
      </c>
      <c r="AN624" s="43"/>
      <c r="AO624" s="43"/>
      <c r="AP624" s="43">
        <v>0</v>
      </c>
      <c r="AQ624" s="114">
        <v>0</v>
      </c>
      <c r="AR624" s="114">
        <v>0</v>
      </c>
      <c r="AS624" s="114">
        <v>0</v>
      </c>
      <c r="AT624" s="111">
        <f t="shared" ref="AT624" si="238">AQ624+AS624</f>
        <v>0</v>
      </c>
      <c r="AU624" s="18">
        <f>AJ624-AM624</f>
        <v>1200000000</v>
      </c>
      <c r="AV624" s="110">
        <f>AM624-AP624</f>
        <v>0</v>
      </c>
      <c r="AW624" s="18">
        <f>AP624-AT624</f>
        <v>0</v>
      </c>
      <c r="AX624" s="123">
        <f>AP624/AJ624</f>
        <v>0</v>
      </c>
    </row>
    <row r="625" spans="1:50" ht="17.2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219"/>
      <c r="AB625" s="220"/>
      <c r="AC625" s="168"/>
      <c r="AD625" s="43"/>
      <c r="AE625" s="43"/>
      <c r="AF625" s="44"/>
      <c r="AG625" s="44"/>
      <c r="AH625" s="44"/>
      <c r="AI625" s="44"/>
      <c r="AJ625" s="43"/>
      <c r="AK625" s="44"/>
      <c r="AL625" s="43"/>
      <c r="AM625" s="43"/>
      <c r="AN625" s="43"/>
      <c r="AO625" s="43"/>
      <c r="AP625" s="43"/>
      <c r="AQ625" s="114"/>
      <c r="AR625" s="114"/>
      <c r="AS625" s="114"/>
      <c r="AT625" s="111"/>
      <c r="AU625" s="18"/>
      <c r="AV625" s="110"/>
      <c r="AW625" s="18"/>
      <c r="AX625" s="123"/>
    </row>
    <row r="626" spans="1:50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170" t="s">
        <v>1016</v>
      </c>
      <c r="AB626" s="170" t="s">
        <v>1068</v>
      </c>
      <c r="AC626" s="168"/>
      <c r="AD626" s="43"/>
      <c r="AE626" s="43"/>
      <c r="AF626" s="44"/>
      <c r="AG626" s="44"/>
      <c r="AH626" s="44"/>
      <c r="AI626" s="44"/>
      <c r="AJ626" s="43"/>
      <c r="AK626" s="44"/>
      <c r="AL626" s="43"/>
      <c r="AM626" s="43"/>
      <c r="AN626" s="43"/>
      <c r="AO626" s="43"/>
      <c r="AP626" s="43"/>
      <c r="AQ626" s="114"/>
      <c r="AR626" s="114"/>
      <c r="AS626" s="114"/>
      <c r="AT626" s="111"/>
      <c r="AU626" s="18"/>
      <c r="AV626" s="110"/>
      <c r="AW626" s="18"/>
      <c r="AX626" s="123"/>
    </row>
    <row r="627" spans="1:50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170" t="s">
        <v>1017</v>
      </c>
      <c r="AB627" s="170" t="s">
        <v>1069</v>
      </c>
      <c r="AC627" s="168"/>
      <c r="AD627" s="43"/>
      <c r="AE627" s="43"/>
      <c r="AF627" s="44"/>
      <c r="AG627" s="44"/>
      <c r="AH627" s="44"/>
      <c r="AI627" s="44"/>
      <c r="AJ627" s="43"/>
      <c r="AK627" s="44"/>
      <c r="AL627" s="43"/>
      <c r="AM627" s="43"/>
      <c r="AN627" s="43"/>
      <c r="AO627" s="43"/>
      <c r="AP627" s="43"/>
      <c r="AQ627" s="114"/>
      <c r="AR627" s="114"/>
      <c r="AS627" s="114"/>
      <c r="AT627" s="111"/>
      <c r="AU627" s="18"/>
      <c r="AV627" s="110"/>
      <c r="AW627" s="18"/>
      <c r="AX627" s="123"/>
    </row>
    <row r="628" spans="1:50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170" t="s">
        <v>1018</v>
      </c>
      <c r="AB628" s="170" t="s">
        <v>286</v>
      </c>
      <c r="AC628" s="168"/>
      <c r="AD628" s="43"/>
      <c r="AE628" s="43"/>
      <c r="AF628" s="44"/>
      <c r="AG628" s="44"/>
      <c r="AH628" s="44"/>
      <c r="AI628" s="44"/>
      <c r="AJ628" s="43"/>
      <c r="AK628" s="44"/>
      <c r="AL628" s="43"/>
      <c r="AM628" s="43"/>
      <c r="AN628" s="43"/>
      <c r="AO628" s="43"/>
      <c r="AP628" s="43"/>
      <c r="AQ628" s="114"/>
      <c r="AR628" s="114"/>
      <c r="AS628" s="114"/>
      <c r="AT628" s="111"/>
      <c r="AU628" s="18"/>
      <c r="AV628" s="110"/>
      <c r="AW628" s="18"/>
      <c r="AX628" s="123"/>
    </row>
    <row r="629" spans="1:50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170" t="s">
        <v>1021</v>
      </c>
      <c r="AB629" s="165" t="s">
        <v>1070</v>
      </c>
      <c r="AC629" s="168"/>
      <c r="AD629" s="43"/>
      <c r="AE629" s="43"/>
      <c r="AF629" s="44"/>
      <c r="AG629" s="44"/>
      <c r="AH629" s="44"/>
      <c r="AI629" s="44"/>
      <c r="AJ629" s="43"/>
      <c r="AK629" s="44"/>
      <c r="AL629" s="43"/>
      <c r="AM629" s="43"/>
      <c r="AN629" s="43"/>
      <c r="AO629" s="43"/>
      <c r="AP629" s="43"/>
      <c r="AQ629" s="114"/>
      <c r="AR629" s="114"/>
      <c r="AS629" s="114"/>
      <c r="AT629" s="111"/>
      <c r="AU629" s="18"/>
      <c r="AV629" s="110"/>
      <c r="AW629" s="18"/>
      <c r="AX629" s="123"/>
    </row>
    <row r="630" spans="1:50" ht="25.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166" t="s">
        <v>1019</v>
      </c>
      <c r="AB630" s="167" t="s">
        <v>1005</v>
      </c>
      <c r="AC630" s="168"/>
      <c r="AD630" s="44">
        <v>0</v>
      </c>
      <c r="AE630" s="217">
        <v>7731979438.25</v>
      </c>
      <c r="AF630" s="216">
        <v>0</v>
      </c>
      <c r="AG630" s="44">
        <v>0</v>
      </c>
      <c r="AH630" s="44">
        <v>0</v>
      </c>
      <c r="AI630" s="43">
        <f t="shared" ref="AI630" si="239">AE630-AF630+AG630-AH630</f>
        <v>7731979438.25</v>
      </c>
      <c r="AJ630" s="43">
        <f t="shared" ref="AJ630" si="240">AD630+AI630</f>
        <v>7731979438.25</v>
      </c>
      <c r="AK630" s="44">
        <v>0</v>
      </c>
      <c r="AL630" s="43">
        <v>3366930896.8899999</v>
      </c>
      <c r="AM630" s="43">
        <v>3366930896.8899999</v>
      </c>
      <c r="AN630" s="43">
        <v>0</v>
      </c>
      <c r="AO630" s="43">
        <v>3366930896.8899999</v>
      </c>
      <c r="AP630" s="43">
        <v>3366930896.8899999</v>
      </c>
      <c r="AQ630" s="114">
        <v>0</v>
      </c>
      <c r="AR630" s="114">
        <v>1291883884.24</v>
      </c>
      <c r="AS630" s="114">
        <v>1291883884.24</v>
      </c>
      <c r="AT630" s="111">
        <f t="shared" ref="AT630:AT636" si="241">AQ630+AS630</f>
        <v>1291883884.24</v>
      </c>
      <c r="AU630" s="18">
        <f t="shared" ref="AU630:AU636" si="242">AJ630-AM630</f>
        <v>4365048541.3600006</v>
      </c>
      <c r="AV630" s="34">
        <f t="shared" ref="AV630:AV636" si="243">AM630-AP630</f>
        <v>0</v>
      </c>
      <c r="AW630" s="18">
        <f t="shared" ref="AW630:AW636" si="244">AP630-AT630</f>
        <v>2075047012.6499999</v>
      </c>
      <c r="AX630" s="123">
        <f t="shared" ref="AX630:AX636" si="245">AP630/AJ630</f>
        <v>0.43545523158453286</v>
      </c>
    </row>
    <row r="631" spans="1:50" ht="25.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166" t="s">
        <v>1056</v>
      </c>
      <c r="AB631" s="167" t="s">
        <v>1057</v>
      </c>
      <c r="AC631" s="168"/>
      <c r="AD631" s="44">
        <v>0</v>
      </c>
      <c r="AE631" s="217">
        <v>427067817.00999999</v>
      </c>
      <c r="AF631" s="216">
        <v>0</v>
      </c>
      <c r="AG631" s="44">
        <v>0</v>
      </c>
      <c r="AH631" s="44">
        <v>0</v>
      </c>
      <c r="AI631" s="43">
        <f t="shared" ref="AI631:AI636" si="246">AE631-AF631+AG631-AH631</f>
        <v>427067817.00999999</v>
      </c>
      <c r="AJ631" s="43">
        <f t="shared" ref="AJ631:AJ636" si="247">AD631+AI631</f>
        <v>427067817.00999999</v>
      </c>
      <c r="AK631" s="44">
        <v>0</v>
      </c>
      <c r="AL631" s="44">
        <v>0</v>
      </c>
      <c r="AM631" s="44">
        <v>0</v>
      </c>
      <c r="AN631" s="43">
        <v>0</v>
      </c>
      <c r="AO631" s="43">
        <v>0</v>
      </c>
      <c r="AP631" s="43">
        <v>0</v>
      </c>
      <c r="AQ631" s="115">
        <v>0</v>
      </c>
      <c r="AR631" s="115">
        <v>0</v>
      </c>
      <c r="AS631" s="115">
        <v>0</v>
      </c>
      <c r="AT631" s="135">
        <f t="shared" si="241"/>
        <v>0</v>
      </c>
      <c r="AU631" s="18">
        <f t="shared" si="242"/>
        <v>427067817.00999999</v>
      </c>
      <c r="AV631" s="34">
        <f t="shared" si="243"/>
        <v>0</v>
      </c>
      <c r="AW631" s="18">
        <f t="shared" si="244"/>
        <v>0</v>
      </c>
      <c r="AX631" s="123">
        <f t="shared" si="245"/>
        <v>0</v>
      </c>
    </row>
    <row r="632" spans="1:50" ht="25.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166" t="s">
        <v>1060</v>
      </c>
      <c r="AB632" s="167" t="s">
        <v>1061</v>
      </c>
      <c r="AC632" s="168"/>
      <c r="AD632" s="44">
        <v>0</v>
      </c>
      <c r="AE632" s="217">
        <v>255374883.63</v>
      </c>
      <c r="AF632" s="216">
        <v>0</v>
      </c>
      <c r="AG632" s="44">
        <v>0</v>
      </c>
      <c r="AH632" s="44">
        <v>0</v>
      </c>
      <c r="AI632" s="43">
        <f>AE632-AF632+AG632-AH632</f>
        <v>255374883.63</v>
      </c>
      <c r="AJ632" s="43">
        <f>AD632+AI632</f>
        <v>255374883.63</v>
      </c>
      <c r="AK632" s="44">
        <v>0</v>
      </c>
      <c r="AL632" s="44">
        <v>0</v>
      </c>
      <c r="AM632" s="44">
        <v>0</v>
      </c>
      <c r="AN632" s="43">
        <v>0</v>
      </c>
      <c r="AO632" s="43">
        <v>0</v>
      </c>
      <c r="AP632" s="43">
        <v>0</v>
      </c>
      <c r="AQ632" s="115">
        <v>0</v>
      </c>
      <c r="AR632" s="115">
        <v>0</v>
      </c>
      <c r="AS632" s="115">
        <v>0</v>
      </c>
      <c r="AT632" s="135">
        <f>AQ632+AS632</f>
        <v>0</v>
      </c>
      <c r="AU632" s="18">
        <f t="shared" si="242"/>
        <v>255374883.63</v>
      </c>
      <c r="AV632" s="34">
        <f t="shared" si="243"/>
        <v>0</v>
      </c>
      <c r="AW632" s="18">
        <f t="shared" si="244"/>
        <v>0</v>
      </c>
      <c r="AX632" s="123">
        <f t="shared" si="245"/>
        <v>0</v>
      </c>
    </row>
    <row r="633" spans="1:50" ht="25.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166" t="s">
        <v>1058</v>
      </c>
      <c r="AB633" s="167" t="s">
        <v>1059</v>
      </c>
      <c r="AC633" s="168"/>
      <c r="AD633" s="44">
        <v>0</v>
      </c>
      <c r="AE633" s="217">
        <v>4369426346.8800001</v>
      </c>
      <c r="AF633" s="216">
        <v>0</v>
      </c>
      <c r="AG633" s="44">
        <v>0</v>
      </c>
      <c r="AH633" s="44">
        <v>0</v>
      </c>
      <c r="AI633" s="43">
        <f t="shared" si="246"/>
        <v>4369426346.8800001</v>
      </c>
      <c r="AJ633" s="43">
        <f t="shared" si="247"/>
        <v>4369426346.8800001</v>
      </c>
      <c r="AK633" s="44">
        <v>645276615.59000003</v>
      </c>
      <c r="AL633" s="43">
        <v>1882874131.97</v>
      </c>
      <c r="AM633" s="43">
        <v>1882874131.97</v>
      </c>
      <c r="AN633" s="43">
        <v>0</v>
      </c>
      <c r="AO633" s="43">
        <v>1882874131.97</v>
      </c>
      <c r="AP633" s="43">
        <v>1882874131.97</v>
      </c>
      <c r="AQ633" s="115">
        <v>0</v>
      </c>
      <c r="AR633" s="115">
        <v>0</v>
      </c>
      <c r="AS633" s="115">
        <v>0</v>
      </c>
      <c r="AT633" s="135">
        <f t="shared" si="241"/>
        <v>0</v>
      </c>
      <c r="AU633" s="18">
        <f t="shared" si="242"/>
        <v>2486552214.9099998</v>
      </c>
      <c r="AV633" s="34">
        <f t="shared" si="243"/>
        <v>0</v>
      </c>
      <c r="AW633" s="18">
        <f t="shared" si="244"/>
        <v>1882874131.97</v>
      </c>
      <c r="AX633" s="123">
        <f t="shared" si="245"/>
        <v>0.43092021297360261</v>
      </c>
    </row>
    <row r="634" spans="1:50" ht="25.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166" t="s">
        <v>1062</v>
      </c>
      <c r="AB634" s="167" t="s">
        <v>1063</v>
      </c>
      <c r="AC634" s="168"/>
      <c r="AD634" s="44">
        <v>0</v>
      </c>
      <c r="AE634" s="217">
        <v>116816300</v>
      </c>
      <c r="AF634" s="216">
        <v>0</v>
      </c>
      <c r="AG634" s="44">
        <v>0</v>
      </c>
      <c r="AH634" s="44">
        <v>0</v>
      </c>
      <c r="AI634" s="43">
        <f t="shared" si="246"/>
        <v>116816300</v>
      </c>
      <c r="AJ634" s="43">
        <f t="shared" si="247"/>
        <v>116816300</v>
      </c>
      <c r="AK634" s="44">
        <v>0</v>
      </c>
      <c r="AL634" s="43">
        <v>0</v>
      </c>
      <c r="AM634" s="43">
        <v>0</v>
      </c>
      <c r="AN634" s="43">
        <v>0</v>
      </c>
      <c r="AO634" s="43">
        <v>0</v>
      </c>
      <c r="AP634" s="43">
        <v>0</v>
      </c>
      <c r="AQ634" s="115">
        <v>0</v>
      </c>
      <c r="AR634" s="115">
        <v>0</v>
      </c>
      <c r="AS634" s="115">
        <v>0</v>
      </c>
      <c r="AT634" s="135">
        <f t="shared" si="241"/>
        <v>0</v>
      </c>
      <c r="AU634" s="18">
        <f t="shared" si="242"/>
        <v>116816300</v>
      </c>
      <c r="AV634" s="34">
        <f t="shared" si="243"/>
        <v>0</v>
      </c>
      <c r="AW634" s="18">
        <f t="shared" si="244"/>
        <v>0</v>
      </c>
      <c r="AX634" s="123">
        <f t="shared" si="245"/>
        <v>0</v>
      </c>
    </row>
    <row r="635" spans="1:50" ht="25.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166" t="s">
        <v>1064</v>
      </c>
      <c r="AB635" s="167" t="s">
        <v>1065</v>
      </c>
      <c r="AC635" s="168"/>
      <c r="AD635" s="44">
        <v>0</v>
      </c>
      <c r="AE635" s="217">
        <v>122396604.84999999</v>
      </c>
      <c r="AF635" s="216">
        <v>0</v>
      </c>
      <c r="AG635" s="44">
        <v>0</v>
      </c>
      <c r="AH635" s="44">
        <v>0</v>
      </c>
      <c r="AI635" s="43">
        <f t="shared" si="246"/>
        <v>122396604.84999999</v>
      </c>
      <c r="AJ635" s="43">
        <f t="shared" si="247"/>
        <v>122396604.84999999</v>
      </c>
      <c r="AK635" s="44">
        <v>0</v>
      </c>
      <c r="AL635" s="43">
        <v>122396604.84999999</v>
      </c>
      <c r="AM635" s="43">
        <v>122396604.84999999</v>
      </c>
      <c r="AN635" s="43">
        <v>0</v>
      </c>
      <c r="AO635" s="43">
        <v>122396604.84999999</v>
      </c>
      <c r="AP635" s="43">
        <v>122396604.84999999</v>
      </c>
      <c r="AQ635" s="115">
        <v>0</v>
      </c>
      <c r="AR635" s="115">
        <v>0</v>
      </c>
      <c r="AS635" s="115">
        <v>0</v>
      </c>
      <c r="AT635" s="135">
        <f t="shared" si="241"/>
        <v>0</v>
      </c>
      <c r="AU635" s="18">
        <f t="shared" si="242"/>
        <v>0</v>
      </c>
      <c r="AV635" s="34">
        <f t="shared" si="243"/>
        <v>0</v>
      </c>
      <c r="AW635" s="18">
        <f t="shared" si="244"/>
        <v>122396604.84999999</v>
      </c>
      <c r="AX635" s="123">
        <f t="shared" si="245"/>
        <v>1</v>
      </c>
    </row>
    <row r="636" spans="1:50" ht="25.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166" t="s">
        <v>1066</v>
      </c>
      <c r="AB636" s="167" t="s">
        <v>1067</v>
      </c>
      <c r="AC636" s="168"/>
      <c r="AD636" s="44">
        <v>0</v>
      </c>
      <c r="AE636" s="217">
        <v>256369955.99000001</v>
      </c>
      <c r="AF636" s="216">
        <v>0</v>
      </c>
      <c r="AG636" s="44">
        <v>0</v>
      </c>
      <c r="AH636" s="44">
        <v>0</v>
      </c>
      <c r="AI636" s="43">
        <f t="shared" si="246"/>
        <v>256369955.99000001</v>
      </c>
      <c r="AJ636" s="43">
        <f t="shared" si="247"/>
        <v>256369955.99000001</v>
      </c>
      <c r="AK636" s="44">
        <v>0</v>
      </c>
      <c r="AL636" s="43">
        <v>232210009.36000001</v>
      </c>
      <c r="AM636" s="43">
        <v>232210009.36000001</v>
      </c>
      <c r="AN636" s="43">
        <v>0</v>
      </c>
      <c r="AO636" s="43">
        <v>232210009.36000001</v>
      </c>
      <c r="AP636" s="43">
        <v>232210009.36000001</v>
      </c>
      <c r="AQ636" s="115">
        <v>0</v>
      </c>
      <c r="AR636" s="115">
        <v>0</v>
      </c>
      <c r="AS636" s="115">
        <v>0</v>
      </c>
      <c r="AT636" s="135">
        <f t="shared" si="241"/>
        <v>0</v>
      </c>
      <c r="AU636" s="18">
        <f t="shared" si="242"/>
        <v>24159946.629999995</v>
      </c>
      <c r="AV636" s="34">
        <f t="shared" si="243"/>
        <v>0</v>
      </c>
      <c r="AW636" s="18">
        <f t="shared" si="244"/>
        <v>232210009.36000001</v>
      </c>
      <c r="AX636" s="123">
        <f t="shared" si="245"/>
        <v>0.90576139650723198</v>
      </c>
    </row>
    <row r="637" spans="1:50" ht="18.75" customHeight="1" x14ac:dyDescent="0.2">
      <c r="AA637" s="162"/>
      <c r="AB637" s="163" t="s">
        <v>199</v>
      </c>
      <c r="AC637" s="17"/>
      <c r="AD637" s="18"/>
      <c r="AE637" s="34"/>
      <c r="AF637" s="34"/>
      <c r="AG637" s="34"/>
      <c r="AH637" s="34"/>
      <c r="AI637" s="34"/>
      <c r="AJ637" s="18"/>
      <c r="AK637" s="18"/>
      <c r="AL637" s="18"/>
      <c r="AM637" s="18"/>
      <c r="AN637" s="18"/>
      <c r="AO637" s="18"/>
      <c r="AP637" s="18"/>
      <c r="AQ637" s="34"/>
      <c r="AR637" s="34"/>
      <c r="AS637" s="34"/>
      <c r="AT637" s="40"/>
      <c r="AU637" s="18"/>
      <c r="AV637" s="18"/>
      <c r="AW637" s="18"/>
      <c r="AX637" s="18"/>
    </row>
    <row r="638" spans="1:50" ht="18.75" customHeight="1" x14ac:dyDescent="0.2">
      <c r="AA638" s="28" t="s">
        <v>288</v>
      </c>
      <c r="AB638" s="29" t="s">
        <v>1079</v>
      </c>
      <c r="AC638" s="17"/>
      <c r="AD638" s="18"/>
      <c r="AE638" s="34"/>
      <c r="AF638" s="34"/>
      <c r="AG638" s="34"/>
      <c r="AH638" s="34"/>
      <c r="AI638" s="34"/>
      <c r="AJ638" s="18"/>
      <c r="AK638" s="18"/>
      <c r="AL638" s="18"/>
      <c r="AM638" s="18"/>
      <c r="AN638" s="18"/>
      <c r="AO638" s="18"/>
      <c r="AP638" s="18"/>
      <c r="AQ638" s="34"/>
      <c r="AR638" s="34"/>
      <c r="AS638" s="34"/>
      <c r="AT638" s="40"/>
      <c r="AU638" s="18"/>
      <c r="AV638" s="18"/>
      <c r="AW638" s="18"/>
      <c r="AX638" s="18"/>
    </row>
    <row r="639" spans="1:50" ht="18.75" customHeight="1" x14ac:dyDescent="0.2">
      <c r="A639" s="4" t="s">
        <v>55</v>
      </c>
      <c r="B639" s="4" t="s">
        <v>56</v>
      </c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1" t="s">
        <v>505</v>
      </c>
      <c r="AB639" s="42" t="s">
        <v>439</v>
      </c>
      <c r="AC639" s="43" t="s">
        <v>428</v>
      </c>
      <c r="AD639" s="43">
        <v>1896134100.8599999</v>
      </c>
      <c r="AE639" s="44">
        <v>0</v>
      </c>
      <c r="AF639" s="44">
        <v>0</v>
      </c>
      <c r="AG639" s="44">
        <v>0</v>
      </c>
      <c r="AH639" s="44">
        <v>0</v>
      </c>
      <c r="AI639" s="44">
        <v>0</v>
      </c>
      <c r="AJ639" s="43">
        <v>1896134100.8599999</v>
      </c>
      <c r="AK639" s="44">
        <v>0</v>
      </c>
      <c r="AL639" s="43">
        <v>-48988063</v>
      </c>
      <c r="AM639" s="114">
        <v>1827225023</v>
      </c>
      <c r="AN639" s="44">
        <v>0</v>
      </c>
      <c r="AO639" s="44">
        <v>1827225023</v>
      </c>
      <c r="AP639" s="43">
        <v>1827225023</v>
      </c>
      <c r="AQ639" s="44">
        <v>0</v>
      </c>
      <c r="AR639" s="44">
        <v>0</v>
      </c>
      <c r="AS639" s="44">
        <v>0</v>
      </c>
      <c r="AT639" s="40">
        <f>AQ639+AS639</f>
        <v>0</v>
      </c>
      <c r="AU639" s="18">
        <f>AJ639-AM639</f>
        <v>68909077.859999895</v>
      </c>
      <c r="AV639" s="110">
        <f>AM639-AP639</f>
        <v>0</v>
      </c>
      <c r="AW639" s="34">
        <f>AP639-AT639</f>
        <v>1827225023</v>
      </c>
      <c r="AX639" s="123">
        <f>AP639/AJ639</f>
        <v>0.96365812005134766</v>
      </c>
    </row>
    <row r="640" spans="1:50" ht="18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214" t="s">
        <v>1080</v>
      </c>
      <c r="AB640" s="215" t="s">
        <v>1074</v>
      </c>
      <c r="AC640" s="168"/>
      <c r="AD640" s="44">
        <v>0</v>
      </c>
      <c r="AE640" s="43">
        <v>100000000</v>
      </c>
      <c r="AF640" s="44">
        <v>0</v>
      </c>
      <c r="AG640" s="44">
        <v>0</v>
      </c>
      <c r="AH640" s="44">
        <v>0</v>
      </c>
      <c r="AI640" s="43">
        <f>AE640-AF640+AG640-AH640</f>
        <v>100000000</v>
      </c>
      <c r="AJ640" s="43">
        <f>AD640+AI640</f>
        <v>100000000</v>
      </c>
      <c r="AK640" s="44">
        <v>0</v>
      </c>
      <c r="AL640" s="115">
        <v>0</v>
      </c>
      <c r="AM640" s="115">
        <v>0</v>
      </c>
      <c r="AN640" s="44">
        <v>0</v>
      </c>
      <c r="AO640" s="44">
        <v>0</v>
      </c>
      <c r="AP640" s="44">
        <v>0</v>
      </c>
      <c r="AQ640" s="44">
        <v>0</v>
      </c>
      <c r="AR640" s="44">
        <v>0</v>
      </c>
      <c r="AS640" s="44">
        <v>0</v>
      </c>
      <c r="AT640" s="40">
        <f t="shared" ref="AT640" si="248">AQ640+AS640</f>
        <v>0</v>
      </c>
      <c r="AU640" s="18">
        <f>AJ640-AM640</f>
        <v>100000000</v>
      </c>
      <c r="AV640" s="34">
        <f>AM640-AP640</f>
        <v>0</v>
      </c>
      <c r="AW640" s="18">
        <f>AP640-AT640</f>
        <v>0</v>
      </c>
      <c r="AX640" s="123">
        <f>AP640/AJ640</f>
        <v>0</v>
      </c>
    </row>
    <row r="641" spans="1:50" ht="18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170" t="s">
        <v>288</v>
      </c>
      <c r="AB641" s="165" t="s">
        <v>1084</v>
      </c>
      <c r="AC641" s="168"/>
      <c r="AD641" s="44"/>
      <c r="AE641" s="43"/>
      <c r="AF641" s="44"/>
      <c r="AG641" s="44"/>
      <c r="AH641" s="44"/>
      <c r="AI641" s="44"/>
      <c r="AJ641" s="43"/>
      <c r="AK641" s="44"/>
      <c r="AL641" s="115"/>
      <c r="AM641" s="115"/>
      <c r="AN641" s="44"/>
      <c r="AO641" s="44"/>
      <c r="AP641" s="44"/>
      <c r="AQ641" s="44"/>
      <c r="AR641" s="44"/>
      <c r="AS641" s="44"/>
      <c r="AT641" s="40"/>
      <c r="AU641" s="18"/>
      <c r="AV641" s="110"/>
      <c r="AW641" s="34"/>
      <c r="AX641" s="123"/>
    </row>
    <row r="642" spans="1:50" ht="18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166" t="s">
        <v>1085</v>
      </c>
      <c r="AB642" s="167" t="s">
        <v>1074</v>
      </c>
      <c r="AC642" s="168"/>
      <c r="AD642" s="44">
        <v>0</v>
      </c>
      <c r="AE642" s="43">
        <v>3115350000</v>
      </c>
      <c r="AF642" s="44">
        <v>0</v>
      </c>
      <c r="AG642" s="44">
        <v>0</v>
      </c>
      <c r="AH642" s="44">
        <v>0</v>
      </c>
      <c r="AI642" s="43">
        <f>AE642-AF642+AG642-AH642</f>
        <v>3115350000</v>
      </c>
      <c r="AJ642" s="43">
        <f>AD642+AI642</f>
        <v>3115350000</v>
      </c>
      <c r="AK642" s="44">
        <v>0</v>
      </c>
      <c r="AL642" s="115">
        <v>0</v>
      </c>
      <c r="AM642" s="115">
        <v>0</v>
      </c>
      <c r="AN642" s="44">
        <v>0</v>
      </c>
      <c r="AO642" s="44">
        <v>0</v>
      </c>
      <c r="AP642" s="44">
        <v>0</v>
      </c>
      <c r="AQ642" s="44">
        <v>0</v>
      </c>
      <c r="AR642" s="44">
        <v>0</v>
      </c>
      <c r="AS642" s="44">
        <v>0</v>
      </c>
      <c r="AT642" s="40">
        <f t="shared" ref="AT642" si="249">AQ642+AS642</f>
        <v>0</v>
      </c>
      <c r="AU642" s="18">
        <f>AJ642-AM642</f>
        <v>3115350000</v>
      </c>
      <c r="AV642" s="34">
        <f>AM642-AP642</f>
        <v>0</v>
      </c>
      <c r="AW642" s="18">
        <f>AP642-AT642</f>
        <v>0</v>
      </c>
      <c r="AX642" s="123">
        <f>AP642/AJ642</f>
        <v>0</v>
      </c>
    </row>
    <row r="643" spans="1:50" ht="18.75" customHeight="1" x14ac:dyDescent="0.2">
      <c r="AA643" s="169" t="s">
        <v>288</v>
      </c>
      <c r="AB643" s="163" t="s">
        <v>506</v>
      </c>
      <c r="AC643" s="17"/>
      <c r="AD643" s="18"/>
      <c r="AE643" s="34"/>
      <c r="AF643" s="34"/>
      <c r="AG643" s="34"/>
      <c r="AH643" s="34"/>
      <c r="AI643" s="34"/>
      <c r="AJ643" s="18"/>
      <c r="AK643" s="34"/>
      <c r="AL643" s="133"/>
      <c r="AM643" s="110"/>
      <c r="AN643" s="34"/>
      <c r="AO643" s="34"/>
      <c r="AP643" s="34"/>
      <c r="AQ643" s="34"/>
      <c r="AR643" s="34"/>
      <c r="AS643" s="34"/>
      <c r="AT643" s="40"/>
      <c r="AU643" s="18"/>
      <c r="AV643" s="34"/>
      <c r="AW643" s="18"/>
      <c r="AX643" s="18"/>
    </row>
    <row r="644" spans="1:50" ht="18.75" customHeight="1" x14ac:dyDescent="0.2">
      <c r="A644" s="4" t="s">
        <v>55</v>
      </c>
      <c r="B644" s="4" t="s">
        <v>56</v>
      </c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1" t="s">
        <v>507</v>
      </c>
      <c r="AB644" s="42" t="s">
        <v>439</v>
      </c>
      <c r="AC644" s="43" t="s">
        <v>428</v>
      </c>
      <c r="AD644" s="43">
        <v>6191009183.8000002</v>
      </c>
      <c r="AE644" s="44">
        <v>0</v>
      </c>
      <c r="AF644" s="44">
        <v>0</v>
      </c>
      <c r="AG644" s="44">
        <v>0</v>
      </c>
      <c r="AH644" s="43">
        <f>4680084481.8+76000000+907367029.2</f>
        <v>5663451511</v>
      </c>
      <c r="AI644" s="43">
        <f>AE644-AF644+AG644-AH644</f>
        <v>-5663451511</v>
      </c>
      <c r="AJ644" s="43">
        <f>AD644+AI644</f>
        <v>527557672.80000019</v>
      </c>
      <c r="AK644" s="44">
        <v>0</v>
      </c>
      <c r="AL644" s="115">
        <v>0</v>
      </c>
      <c r="AM644" s="114">
        <v>527557672.80000001</v>
      </c>
      <c r="AN644" s="44">
        <v>0</v>
      </c>
      <c r="AO644" s="44">
        <v>0</v>
      </c>
      <c r="AP644" s="114">
        <v>527557672.80000001</v>
      </c>
      <c r="AQ644" s="43">
        <v>0</v>
      </c>
      <c r="AR644" s="43">
        <v>118086389.83</v>
      </c>
      <c r="AS644" s="43">
        <v>118086389.83</v>
      </c>
      <c r="AT644" s="39">
        <f>AQ644+AS644</f>
        <v>118086389.83</v>
      </c>
      <c r="AU644" s="18">
        <f>AJ644-AM644</f>
        <v>0</v>
      </c>
      <c r="AV644" s="34">
        <f>AM644-AP644</f>
        <v>0</v>
      </c>
      <c r="AW644" s="18">
        <f>AP644-AT644</f>
        <v>409471282.97000003</v>
      </c>
      <c r="AX644" s="123">
        <f>AP644/AJ644</f>
        <v>0.99999999999999967</v>
      </c>
    </row>
    <row r="645" spans="1:50" ht="18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166" t="s">
        <v>1081</v>
      </c>
      <c r="AB645" s="167" t="s">
        <v>1074</v>
      </c>
      <c r="AC645" s="168"/>
      <c r="AD645" s="43">
        <v>0</v>
      </c>
      <c r="AE645" s="43">
        <v>12071695000</v>
      </c>
      <c r="AF645" s="44">
        <v>0</v>
      </c>
      <c r="AG645" s="44">
        <v>0</v>
      </c>
      <c r="AH645" s="44">
        <v>0</v>
      </c>
      <c r="AI645" s="43">
        <f>AE645-AF645+AG645-AH645</f>
        <v>12071695000</v>
      </c>
      <c r="AJ645" s="43">
        <f>AD645+AI645</f>
        <v>12071695000</v>
      </c>
      <c r="AK645" s="44">
        <v>0</v>
      </c>
      <c r="AL645" s="115">
        <v>0</v>
      </c>
      <c r="AM645" s="115">
        <v>0</v>
      </c>
      <c r="AN645" s="44">
        <v>0</v>
      </c>
      <c r="AO645" s="44">
        <v>0</v>
      </c>
      <c r="AP645" s="114">
        <v>0</v>
      </c>
      <c r="AQ645" s="44">
        <v>0</v>
      </c>
      <c r="AR645" s="44">
        <v>0</v>
      </c>
      <c r="AS645" s="44"/>
      <c r="AT645" s="111">
        <f t="shared" ref="AT645" si="250">AQ645+AS645</f>
        <v>0</v>
      </c>
      <c r="AU645" s="18">
        <f>AJ645-AM645</f>
        <v>12071695000</v>
      </c>
      <c r="AV645" s="34">
        <f>AM645-AP645</f>
        <v>0</v>
      </c>
      <c r="AW645" s="18">
        <f>AP645-AT645</f>
        <v>0</v>
      </c>
      <c r="AX645" s="123">
        <f>AP645/AJ645</f>
        <v>0</v>
      </c>
    </row>
    <row r="646" spans="1:50" ht="18.75" customHeight="1" x14ac:dyDescent="0.2">
      <c r="AA646" s="169" t="s">
        <v>288</v>
      </c>
      <c r="AB646" s="163" t="s">
        <v>508</v>
      </c>
      <c r="AC646" s="17"/>
      <c r="AD646" s="18"/>
      <c r="AE646" s="34"/>
      <c r="AF646" s="34"/>
      <c r="AG646" s="34"/>
      <c r="AH646" s="34"/>
      <c r="AI646" s="34"/>
      <c r="AJ646" s="18"/>
      <c r="AK646" s="34"/>
      <c r="AL646" s="34"/>
      <c r="AM646" s="34"/>
      <c r="AN646" s="34"/>
      <c r="AO646" s="34"/>
      <c r="AP646" s="34"/>
      <c r="AQ646" s="34"/>
      <c r="AR646" s="34"/>
      <c r="AS646" s="34"/>
      <c r="AT646" s="40"/>
      <c r="AU646" s="18"/>
      <c r="AV646" s="34"/>
      <c r="AW646" s="18"/>
      <c r="AX646" s="18"/>
    </row>
    <row r="647" spans="1:50" ht="18.75" customHeight="1" x14ac:dyDescent="0.2">
      <c r="A647" s="4" t="s">
        <v>55</v>
      </c>
      <c r="B647" s="4" t="s">
        <v>56</v>
      </c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1" t="s">
        <v>509</v>
      </c>
      <c r="AB647" s="42" t="s">
        <v>439</v>
      </c>
      <c r="AC647" s="43" t="s">
        <v>428</v>
      </c>
      <c r="AD647" s="43">
        <v>9340881185.3400002</v>
      </c>
      <c r="AE647" s="44">
        <v>0</v>
      </c>
      <c r="AF647" s="44">
        <v>0</v>
      </c>
      <c r="AG647" s="43">
        <f>4680084481.8+1126470266</f>
        <v>5806554747.8000002</v>
      </c>
      <c r="AH647" s="44">
        <v>0</v>
      </c>
      <c r="AI647" s="43">
        <f>AE647-AF647+AG647-AH647</f>
        <v>5806554747.8000002</v>
      </c>
      <c r="AJ647" s="43">
        <f>AD647+AI647</f>
        <v>15147435933.139999</v>
      </c>
      <c r="AK647" s="44">
        <v>0</v>
      </c>
      <c r="AL647" s="43">
        <v>15137221175.559999</v>
      </c>
      <c r="AM647" s="43">
        <v>15137221175.559999</v>
      </c>
      <c r="AN647" s="44">
        <v>0</v>
      </c>
      <c r="AO647" s="44">
        <v>0</v>
      </c>
      <c r="AP647" s="44">
        <v>0</v>
      </c>
      <c r="AQ647" s="44">
        <v>0</v>
      </c>
      <c r="AR647" s="44">
        <v>0</v>
      </c>
      <c r="AS647" s="44">
        <v>0</v>
      </c>
      <c r="AT647" s="40">
        <f t="shared" si="235"/>
        <v>0</v>
      </c>
      <c r="AU647" s="18">
        <f>AJ647-AM647</f>
        <v>10214757.579999924</v>
      </c>
      <c r="AV647" s="18">
        <f>AM647-AP647</f>
        <v>15137221175.559999</v>
      </c>
      <c r="AW647" s="34">
        <f>AP647-AT647</f>
        <v>0</v>
      </c>
      <c r="AX647" s="123">
        <f>AP647/AJ647</f>
        <v>0</v>
      </c>
    </row>
    <row r="648" spans="1:50" ht="18.75" customHeight="1" x14ac:dyDescent="0.2">
      <c r="A648" s="4" t="s">
        <v>55</v>
      </c>
      <c r="B648" s="4" t="s">
        <v>56</v>
      </c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1" t="s">
        <v>510</v>
      </c>
      <c r="AB648" s="42" t="s">
        <v>490</v>
      </c>
      <c r="AC648" s="43" t="s">
        <v>368</v>
      </c>
      <c r="AD648" s="43">
        <v>659690762</v>
      </c>
      <c r="AE648" s="44">
        <v>0</v>
      </c>
      <c r="AF648" s="44">
        <v>0</v>
      </c>
      <c r="AG648" s="44">
        <v>0</v>
      </c>
      <c r="AH648" s="44">
        <v>0</v>
      </c>
      <c r="AI648" s="44">
        <v>0</v>
      </c>
      <c r="AJ648" s="43">
        <v>659690762</v>
      </c>
      <c r="AK648" s="44">
        <v>0</v>
      </c>
      <c r="AL648" s="43">
        <v>659690762</v>
      </c>
      <c r="AM648" s="43">
        <v>659690762</v>
      </c>
      <c r="AN648" s="44">
        <v>0</v>
      </c>
      <c r="AO648" s="44">
        <v>0</v>
      </c>
      <c r="AP648" s="44">
        <v>0</v>
      </c>
      <c r="AQ648" s="44">
        <v>0</v>
      </c>
      <c r="AR648" s="44">
        <v>0</v>
      </c>
      <c r="AS648" s="44">
        <v>0</v>
      </c>
      <c r="AT648" s="40">
        <f t="shared" si="235"/>
        <v>0</v>
      </c>
      <c r="AU648" s="18">
        <f>AJ648-AM648</f>
        <v>0</v>
      </c>
      <c r="AV648" s="18">
        <f>AM648-AP648</f>
        <v>659690762</v>
      </c>
      <c r="AW648" s="34">
        <f>AP648-AT648</f>
        <v>0</v>
      </c>
      <c r="AX648" s="123">
        <f>AP648/AJ648</f>
        <v>0</v>
      </c>
    </row>
    <row r="649" spans="1:50" ht="18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166" t="s">
        <v>1086</v>
      </c>
      <c r="AB649" s="167" t="s">
        <v>1074</v>
      </c>
      <c r="AC649" s="168"/>
      <c r="AD649" s="44">
        <v>0</v>
      </c>
      <c r="AE649" s="43">
        <v>7500000000</v>
      </c>
      <c r="AF649" s="44">
        <v>0</v>
      </c>
      <c r="AG649" s="44">
        <v>0</v>
      </c>
      <c r="AH649" s="44">
        <v>0</v>
      </c>
      <c r="AI649" s="43">
        <f>AE649-AF649+AG649-AH649</f>
        <v>7500000000</v>
      </c>
      <c r="AJ649" s="43">
        <f>AD649+AI649</f>
        <v>7500000000</v>
      </c>
      <c r="AK649" s="44">
        <v>0</v>
      </c>
      <c r="AL649" s="43">
        <v>0</v>
      </c>
      <c r="AM649" s="43">
        <v>0</v>
      </c>
      <c r="AN649" s="44">
        <v>0</v>
      </c>
      <c r="AO649" s="44">
        <v>0</v>
      </c>
      <c r="AP649" s="44">
        <v>0</v>
      </c>
      <c r="AQ649" s="44">
        <v>0</v>
      </c>
      <c r="AR649" s="44">
        <v>0</v>
      </c>
      <c r="AS649" s="44">
        <v>0</v>
      </c>
      <c r="AT649" s="135">
        <f t="shared" si="235"/>
        <v>0</v>
      </c>
      <c r="AU649" s="18">
        <f>AJ649-AM649</f>
        <v>7500000000</v>
      </c>
      <c r="AV649" s="34">
        <f>AM649-AP649</f>
        <v>0</v>
      </c>
      <c r="AW649" s="18">
        <f>AP649-AT649</f>
        <v>0</v>
      </c>
      <c r="AX649" s="123">
        <f>AP649/AJ649</f>
        <v>0</v>
      </c>
    </row>
    <row r="650" spans="1:50" ht="18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171" t="s">
        <v>288</v>
      </c>
      <c r="AB650" s="213" t="s">
        <v>1082</v>
      </c>
      <c r="AC650" s="168"/>
      <c r="AD650" s="44"/>
      <c r="AE650" s="44"/>
      <c r="AF650" s="44"/>
      <c r="AG650" s="44"/>
      <c r="AH650" s="44"/>
      <c r="AI650" s="44"/>
      <c r="AJ650" s="43"/>
      <c r="AK650" s="44"/>
      <c r="AL650" s="44"/>
      <c r="AM650" s="44"/>
      <c r="AN650" s="44"/>
      <c r="AO650" s="44"/>
      <c r="AP650" s="44"/>
      <c r="AQ650" s="44"/>
      <c r="AR650" s="44"/>
      <c r="AS650" s="44"/>
      <c r="AT650" s="40"/>
      <c r="AU650" s="18"/>
      <c r="AV650" s="34"/>
      <c r="AW650" s="34"/>
      <c r="AX650" s="123"/>
    </row>
    <row r="651" spans="1:50" ht="18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166" t="s">
        <v>1083</v>
      </c>
      <c r="AB651" s="167" t="s">
        <v>1074</v>
      </c>
      <c r="AC651" s="168"/>
      <c r="AD651" s="44">
        <v>0</v>
      </c>
      <c r="AE651" s="43">
        <v>926394000</v>
      </c>
      <c r="AF651" s="44">
        <v>0</v>
      </c>
      <c r="AG651" s="44">
        <v>0</v>
      </c>
      <c r="AH651" s="44">
        <v>0</v>
      </c>
      <c r="AI651" s="43">
        <f>AE651-AF651+AG651-AH651</f>
        <v>926394000</v>
      </c>
      <c r="AJ651" s="43">
        <f>AD651+AI651</f>
        <v>926394000</v>
      </c>
      <c r="AK651" s="44">
        <v>0</v>
      </c>
      <c r="AL651" s="44">
        <v>0</v>
      </c>
      <c r="AM651" s="44">
        <v>0</v>
      </c>
      <c r="AN651" s="44">
        <v>0</v>
      </c>
      <c r="AO651" s="44">
        <v>0</v>
      </c>
      <c r="AP651" s="44">
        <v>0</v>
      </c>
      <c r="AQ651" s="44">
        <v>0</v>
      </c>
      <c r="AR651" s="44">
        <v>0</v>
      </c>
      <c r="AS651" s="44">
        <v>0</v>
      </c>
      <c r="AT651" s="135">
        <f t="shared" ref="AT651" si="251">AQ651+AS651</f>
        <v>0</v>
      </c>
      <c r="AU651" s="18">
        <f>AJ651-AM651</f>
        <v>926394000</v>
      </c>
      <c r="AV651" s="34">
        <f>AM651-AP651</f>
        <v>0</v>
      </c>
      <c r="AW651" s="18">
        <f>AP651-AT651</f>
        <v>0</v>
      </c>
      <c r="AX651" s="123">
        <f>AP651/AJ651</f>
        <v>0</v>
      </c>
    </row>
    <row r="652" spans="1:50" ht="18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206"/>
      <c r="AB652" s="207"/>
      <c r="AC652" s="43"/>
      <c r="AD652" s="44"/>
      <c r="AE652" s="44"/>
      <c r="AF652" s="44"/>
      <c r="AG652" s="44"/>
      <c r="AH652" s="44"/>
      <c r="AI652" s="44"/>
      <c r="AJ652" s="43"/>
      <c r="AK652" s="44"/>
      <c r="AL652" s="44"/>
      <c r="AM652" s="44"/>
      <c r="AN652" s="44"/>
      <c r="AO652" s="44"/>
      <c r="AP652" s="44"/>
      <c r="AQ652" s="44"/>
      <c r="AR652" s="44"/>
      <c r="AS652" s="44"/>
      <c r="AT652" s="40"/>
      <c r="AU652" s="18"/>
      <c r="AV652" s="34"/>
      <c r="AW652" s="34"/>
      <c r="AX652" s="123"/>
    </row>
    <row r="653" spans="1:50" ht="24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73" t="s">
        <v>288</v>
      </c>
      <c r="AB653" s="74" t="s">
        <v>197</v>
      </c>
      <c r="AC653" s="43"/>
      <c r="AD653" s="44"/>
      <c r="AE653" s="44"/>
      <c r="AF653" s="44"/>
      <c r="AG653" s="44"/>
      <c r="AH653" s="44"/>
      <c r="AI653" s="44"/>
      <c r="AJ653" s="43"/>
      <c r="AK653" s="44"/>
      <c r="AL653" s="44"/>
      <c r="AM653" s="44"/>
      <c r="AN653" s="44"/>
      <c r="AO653" s="44"/>
      <c r="AP653" s="44"/>
      <c r="AQ653" s="44"/>
      <c r="AR653" s="44"/>
      <c r="AS653" s="44"/>
      <c r="AT653" s="40"/>
      <c r="AU653" s="18"/>
      <c r="AV653" s="34"/>
      <c r="AW653" s="34"/>
      <c r="AX653" s="123"/>
    </row>
    <row r="654" spans="1:50" ht="18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159" t="s">
        <v>967</v>
      </c>
      <c r="AB654" s="42" t="s">
        <v>439</v>
      </c>
      <c r="AC654" s="43"/>
      <c r="AD654" s="44">
        <v>0</v>
      </c>
      <c r="AE654" s="44">
        <v>0</v>
      </c>
      <c r="AF654" s="44">
        <v>0</v>
      </c>
      <c r="AG654" s="43">
        <v>76000000</v>
      </c>
      <c r="AH654" s="44">
        <v>0</v>
      </c>
      <c r="AI654" s="43">
        <f>AE654-AF654+AG654-AH654</f>
        <v>76000000</v>
      </c>
      <c r="AJ654" s="43">
        <f>AD654+AI654</f>
        <v>76000000</v>
      </c>
      <c r="AK654" s="43">
        <v>0</v>
      </c>
      <c r="AL654" s="43">
        <v>0</v>
      </c>
      <c r="AM654" s="43">
        <v>76000000</v>
      </c>
      <c r="AN654" s="44">
        <v>0</v>
      </c>
      <c r="AO654" s="44">
        <v>0</v>
      </c>
      <c r="AP654" s="44">
        <v>0</v>
      </c>
      <c r="AQ654" s="44">
        <v>0</v>
      </c>
      <c r="AR654" s="44">
        <v>0</v>
      </c>
      <c r="AS654" s="44">
        <v>0</v>
      </c>
      <c r="AT654" s="40">
        <f t="shared" ref="AT654" si="252">AQ654+AS654</f>
        <v>0</v>
      </c>
      <c r="AU654" s="18">
        <f>AJ654-AM654</f>
        <v>0</v>
      </c>
      <c r="AV654" s="18">
        <f>AM654-AP654</f>
        <v>76000000</v>
      </c>
      <c r="AW654" s="34">
        <f>AP654-AT654</f>
        <v>0</v>
      </c>
      <c r="AX654" s="123">
        <f>AP654/AJ654</f>
        <v>0</v>
      </c>
    </row>
    <row r="655" spans="1:50" ht="25.5" x14ac:dyDescent="0.2">
      <c r="AA655" s="16"/>
      <c r="AB655" s="29" t="s">
        <v>511</v>
      </c>
      <c r="AC655" s="17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34"/>
      <c r="AR655" s="34"/>
      <c r="AS655" s="34"/>
      <c r="AT655" s="40"/>
      <c r="AU655" s="18"/>
      <c r="AV655" s="18"/>
      <c r="AW655" s="18"/>
      <c r="AX655" s="18"/>
    </row>
    <row r="656" spans="1:50" ht="18.75" customHeight="1" x14ac:dyDescent="0.2">
      <c r="AA656" s="16"/>
      <c r="AB656" s="29" t="s">
        <v>285</v>
      </c>
      <c r="AC656" s="17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30"/>
      <c r="AU656" s="18"/>
      <c r="AV656" s="18"/>
      <c r="AW656" s="18"/>
      <c r="AX656" s="18"/>
    </row>
    <row r="657" spans="1:50" ht="18.75" customHeight="1" x14ac:dyDescent="0.2">
      <c r="AA657" s="16"/>
      <c r="AB657" s="29" t="s">
        <v>286</v>
      </c>
      <c r="AC657" s="17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30"/>
      <c r="AU657" s="18"/>
      <c r="AV657" s="18"/>
      <c r="AW657" s="18"/>
      <c r="AX657" s="18"/>
    </row>
    <row r="658" spans="1:50" ht="18.75" customHeight="1" x14ac:dyDescent="0.2">
      <c r="AA658" s="16"/>
      <c r="AB658" s="29" t="s">
        <v>179</v>
      </c>
      <c r="AC658" s="17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30"/>
      <c r="AU658" s="18"/>
      <c r="AV658" s="18"/>
      <c r="AW658" s="18"/>
      <c r="AX658" s="18"/>
    </row>
    <row r="659" spans="1:50" ht="18.75" customHeight="1" x14ac:dyDescent="0.2">
      <c r="AA659" s="16"/>
      <c r="AB659" s="29" t="s">
        <v>189</v>
      </c>
      <c r="AC659" s="17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30"/>
      <c r="AU659" s="18"/>
      <c r="AV659" s="18"/>
      <c r="AW659" s="18"/>
      <c r="AX659" s="18"/>
    </row>
    <row r="660" spans="1:50" ht="18.75" customHeight="1" x14ac:dyDescent="0.2">
      <c r="AA660" s="16"/>
      <c r="AB660" s="29" t="s">
        <v>199</v>
      </c>
      <c r="AC660" s="17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30"/>
      <c r="AU660" s="18"/>
      <c r="AV660" s="18"/>
      <c r="AW660" s="18"/>
      <c r="AX660" s="18"/>
    </row>
    <row r="661" spans="1:50" ht="25.5" x14ac:dyDescent="0.2">
      <c r="AA661" s="28" t="s">
        <v>288</v>
      </c>
      <c r="AB661" s="29" t="s">
        <v>512</v>
      </c>
      <c r="AC661" s="17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30"/>
      <c r="AU661" s="18"/>
      <c r="AV661" s="18"/>
      <c r="AW661" s="18"/>
      <c r="AX661" s="18"/>
    </row>
    <row r="662" spans="1:50" ht="18.75" customHeight="1" x14ac:dyDescent="0.2">
      <c r="A662" s="4" t="s">
        <v>55</v>
      </c>
      <c r="B662" s="4" t="s">
        <v>56</v>
      </c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1" t="s">
        <v>513</v>
      </c>
      <c r="AB662" s="42" t="s">
        <v>233</v>
      </c>
      <c r="AC662" s="43" t="s">
        <v>58</v>
      </c>
      <c r="AD662" s="43">
        <v>331060322</v>
      </c>
      <c r="AE662" s="44">
        <v>0</v>
      </c>
      <c r="AF662" s="44">
        <v>0</v>
      </c>
      <c r="AG662" s="44">
        <v>0</v>
      </c>
      <c r="AH662" s="44">
        <v>0</v>
      </c>
      <c r="AI662" s="44">
        <v>0</v>
      </c>
      <c r="AJ662" s="43">
        <v>331060322</v>
      </c>
      <c r="AK662" s="44">
        <v>0</v>
      </c>
      <c r="AL662" s="44">
        <v>0</v>
      </c>
      <c r="AM662" s="44">
        <v>0</v>
      </c>
      <c r="AN662" s="44">
        <v>0</v>
      </c>
      <c r="AO662" s="44">
        <v>0</v>
      </c>
      <c r="AP662" s="44">
        <v>0</v>
      </c>
      <c r="AQ662" s="34">
        <v>0</v>
      </c>
      <c r="AR662" s="34">
        <v>0</v>
      </c>
      <c r="AS662" s="34">
        <v>0</v>
      </c>
      <c r="AT662" s="40">
        <f t="shared" ref="AT662:AT666" si="253">AQ662+AS662</f>
        <v>0</v>
      </c>
      <c r="AU662" s="18">
        <f>AJ662-AM662</f>
        <v>331060322</v>
      </c>
      <c r="AV662" s="34">
        <f>AM662-AP662</f>
        <v>0</v>
      </c>
      <c r="AW662" s="34">
        <f>AP662-AT662</f>
        <v>0</v>
      </c>
      <c r="AX662" s="123">
        <f>AP662/AJ662</f>
        <v>0</v>
      </c>
    </row>
    <row r="663" spans="1:50" ht="18.75" customHeight="1" x14ac:dyDescent="0.2">
      <c r="A663" s="4" t="s">
        <v>55</v>
      </c>
      <c r="B663" s="4" t="s">
        <v>56</v>
      </c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1" t="s">
        <v>514</v>
      </c>
      <c r="AB663" s="42" t="s">
        <v>515</v>
      </c>
      <c r="AC663" s="43" t="s">
        <v>516</v>
      </c>
      <c r="AD663" s="43">
        <v>6887333116</v>
      </c>
      <c r="AE663" s="44">
        <v>0</v>
      </c>
      <c r="AF663" s="44">
        <v>0</v>
      </c>
      <c r="AG663" s="44">
        <v>0</v>
      </c>
      <c r="AH663" s="44">
        <v>0</v>
      </c>
      <c r="AI663" s="44">
        <v>0</v>
      </c>
      <c r="AJ663" s="43">
        <v>6887333116</v>
      </c>
      <c r="AK663" s="115">
        <v>0</v>
      </c>
      <c r="AL663" s="114">
        <v>1055286592</v>
      </c>
      <c r="AM663" s="114">
        <v>3604556637</v>
      </c>
      <c r="AN663" s="114">
        <v>0</v>
      </c>
      <c r="AO663" s="114">
        <v>1055286592</v>
      </c>
      <c r="AP663" s="114">
        <v>3604556637</v>
      </c>
      <c r="AQ663" s="18">
        <v>635635497</v>
      </c>
      <c r="AR663" s="110">
        <v>0</v>
      </c>
      <c r="AS663" s="110">
        <v>2549270045</v>
      </c>
      <c r="AT663" s="39">
        <f t="shared" si="253"/>
        <v>3184905542</v>
      </c>
      <c r="AU663" s="18">
        <f>AJ663-AM663</f>
        <v>3282776479</v>
      </c>
      <c r="AV663" s="34">
        <f>AM663-AP663</f>
        <v>0</v>
      </c>
      <c r="AW663" s="18">
        <f>AP663-AT663</f>
        <v>419651095</v>
      </c>
      <c r="AX663" s="123">
        <f>AP663/AJ663</f>
        <v>0.52336028710826188</v>
      </c>
    </row>
    <row r="664" spans="1:50" x14ac:dyDescent="0.2">
      <c r="A664" s="4" t="s">
        <v>55</v>
      </c>
      <c r="B664" s="4" t="s">
        <v>56</v>
      </c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1" t="s">
        <v>517</v>
      </c>
      <c r="AB664" s="42" t="s">
        <v>518</v>
      </c>
      <c r="AC664" s="43" t="s">
        <v>428</v>
      </c>
      <c r="AD664" s="43">
        <v>263626220</v>
      </c>
      <c r="AE664" s="44">
        <v>0</v>
      </c>
      <c r="AF664" s="44">
        <v>0</v>
      </c>
      <c r="AG664" s="44">
        <v>0</v>
      </c>
      <c r="AH664" s="44">
        <v>0</v>
      </c>
      <c r="AI664" s="44">
        <v>0</v>
      </c>
      <c r="AJ664" s="43">
        <v>263626220</v>
      </c>
      <c r="AK664" s="44">
        <v>0</v>
      </c>
      <c r="AL664" s="44">
        <v>0</v>
      </c>
      <c r="AM664" s="44">
        <v>0</v>
      </c>
      <c r="AN664" s="44">
        <v>0</v>
      </c>
      <c r="AO664" s="44">
        <v>0</v>
      </c>
      <c r="AP664" s="44">
        <v>0</v>
      </c>
      <c r="AQ664" s="34">
        <v>0</v>
      </c>
      <c r="AR664" s="34">
        <v>0</v>
      </c>
      <c r="AS664" s="34">
        <v>0</v>
      </c>
      <c r="AT664" s="40">
        <f t="shared" si="253"/>
        <v>0</v>
      </c>
      <c r="AU664" s="18">
        <f>AJ664-AM664</f>
        <v>263626220</v>
      </c>
      <c r="AV664" s="34">
        <f>AM664-AP664</f>
        <v>0</v>
      </c>
      <c r="AW664" s="34">
        <f>AP664-AT664</f>
        <v>0</v>
      </c>
      <c r="AX664" s="123">
        <f>AP664/AJ664</f>
        <v>0</v>
      </c>
    </row>
    <row r="665" spans="1:50" ht="25.5" x14ac:dyDescent="0.2">
      <c r="A665" s="4" t="s">
        <v>55</v>
      </c>
      <c r="B665" s="4" t="s">
        <v>56</v>
      </c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1" t="s">
        <v>519</v>
      </c>
      <c r="AB665" s="42" t="s">
        <v>520</v>
      </c>
      <c r="AC665" s="43" t="s">
        <v>368</v>
      </c>
      <c r="AD665" s="43">
        <v>6200094.4000000004</v>
      </c>
      <c r="AE665" s="44">
        <v>0</v>
      </c>
      <c r="AF665" s="44">
        <v>0</v>
      </c>
      <c r="AG665" s="44">
        <v>0</v>
      </c>
      <c r="AH665" s="44">
        <v>0</v>
      </c>
      <c r="AI665" s="44">
        <v>0</v>
      </c>
      <c r="AJ665" s="43">
        <v>6200094.4000000004</v>
      </c>
      <c r="AK665" s="44">
        <v>0</v>
      </c>
      <c r="AL665" s="44">
        <v>0</v>
      </c>
      <c r="AM665" s="44">
        <v>0</v>
      </c>
      <c r="AN665" s="44">
        <v>0</v>
      </c>
      <c r="AO665" s="44">
        <v>0</v>
      </c>
      <c r="AP665" s="44">
        <v>0</v>
      </c>
      <c r="AQ665" s="34">
        <v>0</v>
      </c>
      <c r="AR665" s="34">
        <v>0</v>
      </c>
      <c r="AS665" s="34">
        <v>0</v>
      </c>
      <c r="AT665" s="40">
        <f t="shared" si="253"/>
        <v>0</v>
      </c>
      <c r="AU665" s="18">
        <f>AJ665-AM665</f>
        <v>6200094.4000000004</v>
      </c>
      <c r="AV665" s="34">
        <f>AM665-AP665</f>
        <v>0</v>
      </c>
      <c r="AW665" s="34">
        <f>AP665-AT665</f>
        <v>0</v>
      </c>
      <c r="AX665" s="123">
        <f>AP665/AJ665</f>
        <v>0</v>
      </c>
    </row>
    <row r="666" spans="1:50" ht="25.5" x14ac:dyDescent="0.2">
      <c r="A666" s="4" t="s">
        <v>55</v>
      </c>
      <c r="B666" s="4" t="s">
        <v>56</v>
      </c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1" t="s">
        <v>521</v>
      </c>
      <c r="AB666" s="42" t="s">
        <v>522</v>
      </c>
      <c r="AC666" s="43" t="s">
        <v>368</v>
      </c>
      <c r="AD666" s="43">
        <v>112310609.13</v>
      </c>
      <c r="AE666" s="44">
        <v>0</v>
      </c>
      <c r="AF666" s="44">
        <v>0</v>
      </c>
      <c r="AG666" s="44">
        <v>0</v>
      </c>
      <c r="AH666" s="44">
        <v>0</v>
      </c>
      <c r="AI666" s="44">
        <v>0</v>
      </c>
      <c r="AJ666" s="43">
        <v>112310609.13</v>
      </c>
      <c r="AK666" s="44">
        <v>0</v>
      </c>
      <c r="AL666" s="44">
        <v>0</v>
      </c>
      <c r="AM666" s="44">
        <v>0</v>
      </c>
      <c r="AN666" s="44">
        <v>0</v>
      </c>
      <c r="AO666" s="44">
        <v>0</v>
      </c>
      <c r="AP666" s="44">
        <v>0</v>
      </c>
      <c r="AQ666" s="34">
        <v>0</v>
      </c>
      <c r="AR666" s="34">
        <v>0</v>
      </c>
      <c r="AS666" s="34">
        <v>0</v>
      </c>
      <c r="AT666" s="40">
        <f t="shared" si="253"/>
        <v>0</v>
      </c>
      <c r="AU666" s="18">
        <f>AJ666-AM666</f>
        <v>112310609.13</v>
      </c>
      <c r="AV666" s="34">
        <f>AM666-AP666</f>
        <v>0</v>
      </c>
      <c r="AW666" s="34">
        <f>AP666-AT666</f>
        <v>0</v>
      </c>
      <c r="AX666" s="123">
        <f>AP666/AJ666</f>
        <v>0</v>
      </c>
    </row>
    <row r="667" spans="1:50" ht="18.75" customHeight="1" x14ac:dyDescent="0.2">
      <c r="AA667" s="16"/>
      <c r="AB667" s="17"/>
      <c r="AC667" s="17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34"/>
      <c r="AR667" s="34"/>
      <c r="AS667" s="34"/>
      <c r="AT667" s="40"/>
      <c r="AU667" s="18"/>
      <c r="AV667" s="18"/>
      <c r="AW667" s="18"/>
      <c r="AX667" s="18"/>
    </row>
    <row r="668" spans="1:50" ht="18.75" customHeight="1" x14ac:dyDescent="0.2">
      <c r="AA668" s="16"/>
      <c r="AB668" s="29" t="s">
        <v>523</v>
      </c>
      <c r="AC668" s="17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34"/>
      <c r="AR668" s="34"/>
      <c r="AS668" s="34"/>
      <c r="AT668" s="40"/>
      <c r="AU668" s="18"/>
      <c r="AV668" s="18"/>
      <c r="AW668" s="18"/>
      <c r="AX668" s="18"/>
    </row>
    <row r="669" spans="1:50" ht="18.75" customHeight="1" x14ac:dyDescent="0.2">
      <c r="AA669" s="16"/>
      <c r="AB669" s="29" t="s">
        <v>285</v>
      </c>
      <c r="AC669" s="17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34"/>
      <c r="AR669" s="34"/>
      <c r="AS669" s="34"/>
      <c r="AT669" s="40"/>
      <c r="AU669" s="18"/>
      <c r="AV669" s="18"/>
      <c r="AW669" s="18"/>
      <c r="AX669" s="18"/>
    </row>
    <row r="670" spans="1:50" ht="18.75" customHeight="1" x14ac:dyDescent="0.2">
      <c r="AA670" s="16"/>
      <c r="AB670" s="29" t="s">
        <v>286</v>
      </c>
      <c r="AC670" s="17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34"/>
      <c r="AR670" s="34"/>
      <c r="AS670" s="34"/>
      <c r="AT670" s="40"/>
      <c r="AU670" s="18"/>
      <c r="AV670" s="18"/>
      <c r="AW670" s="18"/>
      <c r="AX670" s="18"/>
    </row>
    <row r="671" spans="1:50" ht="18.75" customHeight="1" x14ac:dyDescent="0.2">
      <c r="AA671" s="16"/>
      <c r="AB671" s="29" t="s">
        <v>179</v>
      </c>
      <c r="AC671" s="17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34"/>
      <c r="AR671" s="34"/>
      <c r="AS671" s="34"/>
      <c r="AT671" s="40"/>
      <c r="AU671" s="18"/>
      <c r="AV671" s="18"/>
      <c r="AW671" s="18"/>
      <c r="AX671" s="18"/>
    </row>
    <row r="672" spans="1:50" ht="18.75" customHeight="1" x14ac:dyDescent="0.2">
      <c r="AA672" s="16"/>
      <c r="AB672" s="29" t="s">
        <v>189</v>
      </c>
      <c r="AC672" s="17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34"/>
      <c r="AR672" s="34"/>
      <c r="AS672" s="34"/>
      <c r="AT672" s="40"/>
      <c r="AU672" s="18"/>
      <c r="AV672" s="18"/>
      <c r="AW672" s="18"/>
      <c r="AX672" s="18"/>
    </row>
    <row r="673" spans="1:50" ht="18.75" customHeight="1" x14ac:dyDescent="0.2">
      <c r="AA673" s="16"/>
      <c r="AB673" s="29" t="s">
        <v>191</v>
      </c>
      <c r="AC673" s="17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34"/>
      <c r="AR673" s="34"/>
      <c r="AS673" s="34"/>
      <c r="AT673" s="40"/>
      <c r="AU673" s="18"/>
      <c r="AV673" s="18"/>
      <c r="AW673" s="18"/>
      <c r="AX673" s="18"/>
    </row>
    <row r="674" spans="1:50" ht="18.75" customHeight="1" x14ac:dyDescent="0.2">
      <c r="AA674" s="28" t="s">
        <v>288</v>
      </c>
      <c r="AB674" s="29" t="s">
        <v>459</v>
      </c>
      <c r="AC674" s="17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34"/>
      <c r="AR674" s="34"/>
      <c r="AS674" s="34"/>
      <c r="AT674" s="40"/>
      <c r="AU674" s="18"/>
      <c r="AV674" s="18"/>
      <c r="AW674" s="18"/>
      <c r="AX674" s="18"/>
    </row>
    <row r="675" spans="1:50" ht="25.5" x14ac:dyDescent="0.2">
      <c r="A675" s="4" t="s">
        <v>55</v>
      </c>
      <c r="B675" s="4" t="s">
        <v>56</v>
      </c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1" t="s">
        <v>524</v>
      </c>
      <c r="AB675" s="42" t="s">
        <v>525</v>
      </c>
      <c r="AC675" s="43" t="s">
        <v>428</v>
      </c>
      <c r="AD675" s="43">
        <v>47990790</v>
      </c>
      <c r="AE675" s="44">
        <v>0</v>
      </c>
      <c r="AF675" s="44">
        <v>0</v>
      </c>
      <c r="AG675" s="44">
        <v>0</v>
      </c>
      <c r="AH675" s="44">
        <v>0</v>
      </c>
      <c r="AI675" s="44">
        <v>0</v>
      </c>
      <c r="AJ675" s="43">
        <v>47990790</v>
      </c>
      <c r="AK675" s="44">
        <v>0</v>
      </c>
      <c r="AL675" s="44">
        <v>0</v>
      </c>
      <c r="AM675" s="44">
        <v>0</v>
      </c>
      <c r="AN675" s="44">
        <v>0</v>
      </c>
      <c r="AO675" s="44">
        <v>0</v>
      </c>
      <c r="AP675" s="44">
        <v>0</v>
      </c>
      <c r="AQ675" s="34">
        <v>0</v>
      </c>
      <c r="AR675" s="34">
        <v>0</v>
      </c>
      <c r="AS675" s="34">
        <v>0</v>
      </c>
      <c r="AT675" s="40">
        <f t="shared" ref="AT675:AT677" si="254">AQ675+AS675</f>
        <v>0</v>
      </c>
      <c r="AU675" s="18">
        <f>AJ675-AM675</f>
        <v>47990790</v>
      </c>
      <c r="AV675" s="34">
        <f>AM675-AP675</f>
        <v>0</v>
      </c>
      <c r="AW675" s="34">
        <f>AP675-AT675</f>
        <v>0</v>
      </c>
      <c r="AX675" s="123">
        <f>AP675/AJ675</f>
        <v>0</v>
      </c>
    </row>
    <row r="676" spans="1:50" ht="25.5" x14ac:dyDescent="0.2">
      <c r="A676" s="4" t="s">
        <v>55</v>
      </c>
      <c r="B676" s="4" t="s">
        <v>56</v>
      </c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1" t="s">
        <v>526</v>
      </c>
      <c r="AB676" s="42" t="s">
        <v>527</v>
      </c>
      <c r="AC676" s="43" t="s">
        <v>428</v>
      </c>
      <c r="AD676" s="43">
        <v>1098509998.8599999</v>
      </c>
      <c r="AE676" s="44">
        <v>0</v>
      </c>
      <c r="AF676" s="44">
        <v>0</v>
      </c>
      <c r="AG676" s="44">
        <v>0</v>
      </c>
      <c r="AH676" s="44">
        <v>0</v>
      </c>
      <c r="AI676" s="44">
        <v>0</v>
      </c>
      <c r="AJ676" s="43">
        <v>1098509998.8599999</v>
      </c>
      <c r="AK676" s="44">
        <v>0</v>
      </c>
      <c r="AL676" s="44">
        <v>0</v>
      </c>
      <c r="AM676" s="44">
        <v>0</v>
      </c>
      <c r="AN676" s="44">
        <v>0</v>
      </c>
      <c r="AO676" s="44">
        <v>0</v>
      </c>
      <c r="AP676" s="44">
        <v>0</v>
      </c>
      <c r="AQ676" s="34">
        <v>0</v>
      </c>
      <c r="AR676" s="34">
        <v>0</v>
      </c>
      <c r="AS676" s="34">
        <v>0</v>
      </c>
      <c r="AT676" s="40">
        <f t="shared" si="254"/>
        <v>0</v>
      </c>
      <c r="AU676" s="18">
        <f>AJ676-AM676</f>
        <v>1098509998.8599999</v>
      </c>
      <c r="AV676" s="34">
        <f>AM676-AP676</f>
        <v>0</v>
      </c>
      <c r="AW676" s="34">
        <f>AP676-AT676</f>
        <v>0</v>
      </c>
      <c r="AX676" s="123">
        <f>AP676/AJ676</f>
        <v>0</v>
      </c>
    </row>
    <row r="677" spans="1:50" ht="25.5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173" t="s">
        <v>1071</v>
      </c>
      <c r="AB677" s="218" t="s">
        <v>1072</v>
      </c>
      <c r="AC677" s="43"/>
      <c r="AD677" s="44">
        <v>0</v>
      </c>
      <c r="AE677" s="43">
        <v>1788940976.47</v>
      </c>
      <c r="AF677" s="44">
        <v>0</v>
      </c>
      <c r="AG677" s="44">
        <v>0</v>
      </c>
      <c r="AH677" s="44">
        <v>0</v>
      </c>
      <c r="AI677" s="43">
        <f>AE677-AF677+AG677-AH677</f>
        <v>1788940976.47</v>
      </c>
      <c r="AJ677" s="43">
        <f>AD677+AI677</f>
        <v>1788940976.47</v>
      </c>
      <c r="AK677" s="44">
        <v>0</v>
      </c>
      <c r="AL677" s="44">
        <v>0</v>
      </c>
      <c r="AM677" s="44">
        <v>0</v>
      </c>
      <c r="AN677" s="44">
        <v>0</v>
      </c>
      <c r="AO677" s="44">
        <v>0</v>
      </c>
      <c r="AP677" s="44">
        <v>0</v>
      </c>
      <c r="AQ677" s="34">
        <v>0</v>
      </c>
      <c r="AR677" s="34">
        <v>0</v>
      </c>
      <c r="AS677" s="34">
        <v>0</v>
      </c>
      <c r="AT677" s="111">
        <f t="shared" si="254"/>
        <v>0</v>
      </c>
      <c r="AU677" s="18">
        <f>AJ677-AM677</f>
        <v>1788940976.47</v>
      </c>
      <c r="AV677" s="34">
        <f>AM677-AP677</f>
        <v>0</v>
      </c>
      <c r="AW677" s="18">
        <f>AP677-AT677</f>
        <v>0</v>
      </c>
      <c r="AX677" s="123">
        <f>AP677/AJ677</f>
        <v>0</v>
      </c>
    </row>
    <row r="678" spans="1:50" x14ac:dyDescent="0.2">
      <c r="AA678" s="16"/>
      <c r="AB678" s="17"/>
      <c r="AC678" s="17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30"/>
      <c r="AU678" s="18"/>
      <c r="AV678" s="18"/>
      <c r="AW678" s="18"/>
      <c r="AX678" s="18"/>
    </row>
    <row r="679" spans="1:50" s="50" customFormat="1" ht="18.75" customHeight="1" x14ac:dyDescent="0.2"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46"/>
      <c r="AB679" s="47" t="s">
        <v>528</v>
      </c>
      <c r="AC679" s="47"/>
      <c r="AD679" s="48">
        <f t="shared" ref="AD679:AW679" si="255">SUM(AD518:AD677)</f>
        <v>94071374538</v>
      </c>
      <c r="AE679" s="48">
        <f t="shared" si="255"/>
        <v>159147230628.87003</v>
      </c>
      <c r="AF679" s="49">
        <f t="shared" si="255"/>
        <v>0</v>
      </c>
      <c r="AG679" s="48">
        <f t="shared" si="255"/>
        <v>51970702329.590004</v>
      </c>
      <c r="AH679" s="48">
        <f t="shared" si="255"/>
        <v>50414702329.590004</v>
      </c>
      <c r="AI679" s="48">
        <f t="shared" si="255"/>
        <v>160703230628.87003</v>
      </c>
      <c r="AJ679" s="48">
        <f t="shared" si="255"/>
        <v>254774605166.87</v>
      </c>
      <c r="AK679" s="48">
        <f t="shared" si="255"/>
        <v>645276615.59000003</v>
      </c>
      <c r="AL679" s="48">
        <f t="shared" si="255"/>
        <v>23850668062.129997</v>
      </c>
      <c r="AM679" s="48">
        <f t="shared" si="255"/>
        <v>101020699222.25002</v>
      </c>
      <c r="AN679" s="48">
        <f t="shared" si="255"/>
        <v>0</v>
      </c>
      <c r="AO679" s="48">
        <f t="shared" si="255"/>
        <v>39027537846.979996</v>
      </c>
      <c r="AP679" s="48">
        <f t="shared" si="255"/>
        <v>58001919885.270004</v>
      </c>
      <c r="AQ679" s="48">
        <f t="shared" si="255"/>
        <v>867762542.06999993</v>
      </c>
      <c r="AR679" s="48">
        <f t="shared" si="255"/>
        <v>3938474601.8400002</v>
      </c>
      <c r="AS679" s="48">
        <f t="shared" si="255"/>
        <v>13356713467.559999</v>
      </c>
      <c r="AT679" s="48">
        <f t="shared" si="255"/>
        <v>14224476009.630001</v>
      </c>
      <c r="AU679" s="48">
        <f t="shared" si="255"/>
        <v>153753905944.61996</v>
      </c>
      <c r="AV679" s="48">
        <f t="shared" si="255"/>
        <v>43018779336.980003</v>
      </c>
      <c r="AW679" s="48">
        <f t="shared" si="255"/>
        <v>43777443875.639999</v>
      </c>
      <c r="AX679" s="24">
        <f>AP679/AJ679</f>
        <v>0.22765973809391413</v>
      </c>
    </row>
    <row r="680" spans="1:50" ht="18.75" customHeight="1" x14ac:dyDescent="0.2">
      <c r="AA680" s="16"/>
      <c r="AB680" s="17"/>
      <c r="AC680" s="17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</row>
    <row r="681" spans="1:50" s="25" customFormat="1" ht="18.75" customHeight="1" x14ac:dyDescent="0.2"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66"/>
      <c r="AB681" s="21" t="s">
        <v>529</v>
      </c>
      <c r="AC681" s="67"/>
      <c r="AD681" s="63"/>
      <c r="AE681" s="63"/>
      <c r="AF681" s="63"/>
      <c r="AG681" s="63"/>
      <c r="AH681" s="63"/>
      <c r="AI681" s="63"/>
      <c r="AJ681" s="63"/>
      <c r="AK681" s="63"/>
      <c r="AL681" s="63"/>
      <c r="AM681" s="63"/>
      <c r="AN681" s="63"/>
      <c r="AO681" s="63"/>
      <c r="AP681" s="63"/>
      <c r="AQ681" s="63"/>
      <c r="AR681" s="63"/>
      <c r="AS681" s="63"/>
      <c r="AT681" s="63"/>
      <c r="AU681" s="63"/>
      <c r="AV681" s="63"/>
      <c r="AW681" s="63"/>
      <c r="AX681" s="63"/>
    </row>
    <row r="682" spans="1:50" ht="18.75" customHeight="1" x14ac:dyDescent="0.2">
      <c r="AA682" s="16"/>
      <c r="AB682" s="29" t="s">
        <v>286</v>
      </c>
      <c r="AC682" s="17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</row>
    <row r="683" spans="1:50" ht="18.75" customHeight="1" x14ac:dyDescent="0.2">
      <c r="AA683" s="41" t="s">
        <v>1219</v>
      </c>
      <c r="AB683" s="29" t="s">
        <v>575</v>
      </c>
      <c r="AC683" s="17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</row>
    <row r="684" spans="1:50" ht="18.75" customHeight="1" x14ac:dyDescent="0.2">
      <c r="AA684" s="73" t="s">
        <v>288</v>
      </c>
      <c r="AB684" s="29" t="s">
        <v>1220</v>
      </c>
      <c r="AC684" s="17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</row>
    <row r="685" spans="1:50" ht="18.75" customHeight="1" x14ac:dyDescent="0.2">
      <c r="AA685" s="41" t="s">
        <v>1221</v>
      </c>
      <c r="AB685" s="38" t="s">
        <v>961</v>
      </c>
      <c r="AC685" s="17"/>
      <c r="AD685" s="34">
        <v>0</v>
      </c>
      <c r="AE685" s="34">
        <v>0</v>
      </c>
      <c r="AF685" s="34">
        <v>0</v>
      </c>
      <c r="AG685" s="18">
        <v>374200000</v>
      </c>
      <c r="AH685" s="137">
        <v>0</v>
      </c>
      <c r="AI685" s="43">
        <f>AE685-AF685+AG685-AH685</f>
        <v>374200000</v>
      </c>
      <c r="AJ685" s="43">
        <f>AD685+AI685</f>
        <v>374200000</v>
      </c>
      <c r="AK685" s="34">
        <v>0</v>
      </c>
      <c r="AL685" s="34">
        <v>0</v>
      </c>
      <c r="AM685" s="34">
        <v>0</v>
      </c>
      <c r="AN685" s="34">
        <v>0</v>
      </c>
      <c r="AO685" s="18">
        <v>0</v>
      </c>
      <c r="AP685" s="18">
        <v>0</v>
      </c>
      <c r="AQ685" s="18">
        <v>0</v>
      </c>
      <c r="AR685" s="18">
        <v>0</v>
      </c>
      <c r="AS685" s="18">
        <v>0</v>
      </c>
      <c r="AT685" s="40">
        <f t="shared" ref="AT685" si="256">AQ685+AS685</f>
        <v>0</v>
      </c>
      <c r="AU685" s="18">
        <f>AJ685-AM685</f>
        <v>374200000</v>
      </c>
      <c r="AV685" s="34">
        <f>AM685-AP685</f>
        <v>0</v>
      </c>
      <c r="AW685" s="34">
        <f>AP685-AT685</f>
        <v>0</v>
      </c>
      <c r="AX685" s="123">
        <f>AP685/AJ685</f>
        <v>0</v>
      </c>
    </row>
    <row r="686" spans="1:50" ht="18.75" customHeight="1" x14ac:dyDescent="0.2">
      <c r="AA686" s="16"/>
      <c r="AB686" s="29" t="s">
        <v>179</v>
      </c>
      <c r="AC686" s="17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</row>
    <row r="687" spans="1:50" ht="18.75" customHeight="1" x14ac:dyDescent="0.2">
      <c r="AA687" s="16"/>
      <c r="AB687" s="29" t="s">
        <v>181</v>
      </c>
      <c r="AC687" s="17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</row>
    <row r="688" spans="1:50" x14ac:dyDescent="0.2">
      <c r="AA688" s="16"/>
      <c r="AB688" s="29" t="s">
        <v>530</v>
      </c>
      <c r="AC688" s="17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30"/>
      <c r="AU688" s="18"/>
      <c r="AV688" s="18"/>
      <c r="AW688" s="18"/>
      <c r="AX688" s="18"/>
    </row>
    <row r="689" spans="1:50" ht="25.5" x14ac:dyDescent="0.2">
      <c r="AA689" s="28" t="s">
        <v>288</v>
      </c>
      <c r="AB689" s="29" t="s">
        <v>531</v>
      </c>
      <c r="AC689" s="17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30"/>
      <c r="AU689" s="18"/>
      <c r="AV689" s="18"/>
      <c r="AW689" s="18"/>
      <c r="AX689" s="18"/>
    </row>
    <row r="690" spans="1:50" x14ac:dyDescent="0.2">
      <c r="A690" s="4" t="s">
        <v>55</v>
      </c>
      <c r="B690" s="4" t="s">
        <v>56</v>
      </c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1" t="s">
        <v>532</v>
      </c>
      <c r="AB690" s="42" t="s">
        <v>233</v>
      </c>
      <c r="AC690" s="43" t="s">
        <v>58</v>
      </c>
      <c r="AD690" s="43">
        <v>40000000.659999996</v>
      </c>
      <c r="AE690" s="44">
        <v>0</v>
      </c>
      <c r="AF690" s="44">
        <v>0</v>
      </c>
      <c r="AG690" s="43">
        <v>250000000</v>
      </c>
      <c r="AH690" s="43">
        <v>70000000</v>
      </c>
      <c r="AI690" s="43">
        <f>AE690-AF690+AG690-AH690</f>
        <v>180000000</v>
      </c>
      <c r="AJ690" s="43">
        <f>AD690+AI690</f>
        <v>220000000.66</v>
      </c>
      <c r="AK690" s="44">
        <v>0</v>
      </c>
      <c r="AL690" s="44">
        <v>0</v>
      </c>
      <c r="AM690" s="44">
        <v>0</v>
      </c>
      <c r="AN690" s="44">
        <v>0</v>
      </c>
      <c r="AO690" s="44">
        <v>0</v>
      </c>
      <c r="AP690" s="44">
        <v>0</v>
      </c>
      <c r="AQ690" s="34">
        <v>0</v>
      </c>
      <c r="AR690" s="34">
        <v>0</v>
      </c>
      <c r="AS690" s="34">
        <v>0</v>
      </c>
      <c r="AT690" s="40">
        <f t="shared" ref="AT690:AT692" si="257">AQ690+AS690</f>
        <v>0</v>
      </c>
      <c r="AU690" s="18">
        <f>AJ690-AM690</f>
        <v>220000000.66</v>
      </c>
      <c r="AV690" s="34">
        <f>AM690-AP690</f>
        <v>0</v>
      </c>
      <c r="AW690" s="34">
        <f>AP690-AT690</f>
        <v>0</v>
      </c>
      <c r="AX690" s="123">
        <f>AP690/AJ690</f>
        <v>0</v>
      </c>
    </row>
    <row r="691" spans="1:50" ht="25.5" x14ac:dyDescent="0.2">
      <c r="AA691" s="28" t="s">
        <v>288</v>
      </c>
      <c r="AB691" s="29" t="s">
        <v>533</v>
      </c>
      <c r="AC691" s="17"/>
      <c r="AD691" s="18"/>
      <c r="AE691" s="34"/>
      <c r="AF691" s="34"/>
      <c r="AG691" s="34"/>
      <c r="AH691" s="34"/>
      <c r="AI691" s="34"/>
      <c r="AJ691" s="18"/>
      <c r="AK691" s="18"/>
      <c r="AL691" s="18"/>
      <c r="AM691" s="18"/>
      <c r="AN691" s="18"/>
      <c r="AO691" s="18"/>
      <c r="AP691" s="18"/>
      <c r="AQ691" s="34"/>
      <c r="AR691" s="34"/>
      <c r="AS691" s="34"/>
      <c r="AT691" s="40"/>
      <c r="AU691" s="18"/>
      <c r="AV691" s="34"/>
      <c r="AW691" s="34"/>
      <c r="AX691" s="123"/>
    </row>
    <row r="692" spans="1:50" x14ac:dyDescent="0.2">
      <c r="A692" s="4" t="s">
        <v>55</v>
      </c>
      <c r="B692" s="4" t="s">
        <v>56</v>
      </c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1" t="s">
        <v>534</v>
      </c>
      <c r="AB692" s="42" t="s">
        <v>233</v>
      </c>
      <c r="AC692" s="43" t="s">
        <v>58</v>
      </c>
      <c r="AD692" s="43">
        <v>100000000</v>
      </c>
      <c r="AE692" s="44">
        <v>0</v>
      </c>
      <c r="AF692" s="44">
        <v>0</v>
      </c>
      <c r="AG692" s="44">
        <v>0</v>
      </c>
      <c r="AH692" s="44">
        <v>0</v>
      </c>
      <c r="AI692" s="44">
        <v>0</v>
      </c>
      <c r="AJ692" s="43">
        <v>100000000</v>
      </c>
      <c r="AK692" s="44">
        <v>0</v>
      </c>
      <c r="AL692" s="43">
        <v>47672742</v>
      </c>
      <c r="AM692" s="43">
        <v>47672742</v>
      </c>
      <c r="AN692" s="44">
        <v>0</v>
      </c>
      <c r="AO692" s="44">
        <v>0</v>
      </c>
      <c r="AP692" s="44">
        <v>0</v>
      </c>
      <c r="AQ692" s="34">
        <v>0</v>
      </c>
      <c r="AR692" s="34">
        <v>0</v>
      </c>
      <c r="AS692" s="34">
        <v>0</v>
      </c>
      <c r="AT692" s="40">
        <f t="shared" si="257"/>
        <v>0</v>
      </c>
      <c r="AU692" s="18">
        <f>AJ692-AM692</f>
        <v>52327258</v>
      </c>
      <c r="AV692" s="18">
        <f>AM692-AP692</f>
        <v>47672742</v>
      </c>
      <c r="AW692" s="34">
        <f>AP692-AT692</f>
        <v>0</v>
      </c>
      <c r="AX692" s="123">
        <f>AP692/AJ692</f>
        <v>0</v>
      </c>
    </row>
    <row r="693" spans="1:50" x14ac:dyDescent="0.2">
      <c r="AA693" s="16"/>
      <c r="AB693" s="17"/>
      <c r="AC693" s="17"/>
      <c r="AD693" s="18"/>
      <c r="AE693" s="34"/>
      <c r="AF693" s="34"/>
      <c r="AG693" s="34"/>
      <c r="AH693" s="34"/>
      <c r="AI693" s="34"/>
      <c r="AJ693" s="18"/>
      <c r="AK693" s="34"/>
      <c r="AL693" s="34"/>
      <c r="AM693" s="34"/>
      <c r="AN693" s="34"/>
      <c r="AO693" s="34"/>
      <c r="AP693" s="34"/>
      <c r="AQ693" s="18"/>
      <c r="AR693" s="18"/>
      <c r="AS693" s="18"/>
      <c r="AT693" s="31"/>
      <c r="AU693" s="18"/>
      <c r="AV693" s="18"/>
      <c r="AW693" s="34"/>
      <c r="AX693" s="18"/>
    </row>
    <row r="694" spans="1:50" ht="25.5" x14ac:dyDescent="0.2">
      <c r="AA694" s="16"/>
      <c r="AB694" s="29" t="s">
        <v>183</v>
      </c>
      <c r="AC694" s="17"/>
      <c r="AD694" s="18"/>
      <c r="AE694" s="34"/>
      <c r="AF694" s="34"/>
      <c r="AG694" s="34"/>
      <c r="AH694" s="34"/>
      <c r="AI694" s="34"/>
      <c r="AJ694" s="18"/>
      <c r="AK694" s="34"/>
      <c r="AL694" s="34"/>
      <c r="AM694" s="34"/>
      <c r="AN694" s="34"/>
      <c r="AO694" s="34"/>
      <c r="AP694" s="34"/>
      <c r="AQ694" s="18"/>
      <c r="AR694" s="18"/>
      <c r="AS694" s="18"/>
      <c r="AT694" s="31"/>
      <c r="AU694" s="18"/>
      <c r="AV694" s="18"/>
      <c r="AW694" s="34"/>
      <c r="AX694" s="18"/>
    </row>
    <row r="695" spans="1:50" ht="25.5" x14ac:dyDescent="0.2">
      <c r="AA695" s="28" t="s">
        <v>288</v>
      </c>
      <c r="AB695" s="29" t="s">
        <v>535</v>
      </c>
      <c r="AC695" s="17"/>
      <c r="AD695" s="18"/>
      <c r="AE695" s="34"/>
      <c r="AF695" s="34"/>
      <c r="AG695" s="34"/>
      <c r="AH695" s="34"/>
      <c r="AI695" s="34"/>
      <c r="AJ695" s="18"/>
      <c r="AK695" s="34"/>
      <c r="AL695" s="34"/>
      <c r="AM695" s="34"/>
      <c r="AN695" s="34"/>
      <c r="AO695" s="34"/>
      <c r="AP695" s="34"/>
      <c r="AQ695" s="18"/>
      <c r="AR695" s="18"/>
      <c r="AS695" s="18"/>
      <c r="AT695" s="31"/>
      <c r="AU695" s="18"/>
      <c r="AV695" s="18"/>
      <c r="AW695" s="34"/>
      <c r="AX695" s="18"/>
    </row>
    <row r="696" spans="1:50" x14ac:dyDescent="0.2">
      <c r="A696" s="4" t="s">
        <v>55</v>
      </c>
      <c r="B696" s="4" t="s">
        <v>56</v>
      </c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1" t="s">
        <v>536</v>
      </c>
      <c r="AB696" s="42" t="s">
        <v>233</v>
      </c>
      <c r="AC696" s="43" t="s">
        <v>58</v>
      </c>
      <c r="AD696" s="43">
        <v>246000000</v>
      </c>
      <c r="AE696" s="44">
        <v>0</v>
      </c>
      <c r="AF696" s="44">
        <v>0</v>
      </c>
      <c r="AG696" s="43">
        <v>200000000</v>
      </c>
      <c r="AH696" s="44">
        <v>0</v>
      </c>
      <c r="AI696" s="43">
        <f>AE696-AF696+AG696-AH696</f>
        <v>200000000</v>
      </c>
      <c r="AJ696" s="43">
        <f>AD696+AI696</f>
        <v>446000000</v>
      </c>
      <c r="AK696" s="44">
        <v>0</v>
      </c>
      <c r="AL696" s="44">
        <v>0</v>
      </c>
      <c r="AM696" s="43">
        <v>446000000</v>
      </c>
      <c r="AN696" s="44">
        <v>0</v>
      </c>
      <c r="AO696" s="44">
        <v>0</v>
      </c>
      <c r="AP696" s="44">
        <v>0</v>
      </c>
      <c r="AQ696" s="44">
        <v>0</v>
      </c>
      <c r="AR696" s="44">
        <v>0</v>
      </c>
      <c r="AS696" s="44">
        <v>0</v>
      </c>
      <c r="AT696" s="40">
        <f t="shared" ref="AT696:AT698" si="258">AQ696+AS696</f>
        <v>0</v>
      </c>
      <c r="AU696" s="18">
        <f>AJ696-AM696</f>
        <v>0</v>
      </c>
      <c r="AV696" s="18">
        <f>AM696-AP696</f>
        <v>446000000</v>
      </c>
      <c r="AW696" s="34">
        <f>AP696-AT696</f>
        <v>0</v>
      </c>
      <c r="AX696" s="123">
        <f>AP696/AJ696</f>
        <v>0</v>
      </c>
    </row>
    <row r="697" spans="1:50" x14ac:dyDescent="0.2">
      <c r="A697" s="4" t="s">
        <v>55</v>
      </c>
      <c r="B697" s="4" t="s">
        <v>56</v>
      </c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1" t="s">
        <v>537</v>
      </c>
      <c r="AB697" s="42" t="s">
        <v>538</v>
      </c>
      <c r="AC697" s="43" t="s">
        <v>253</v>
      </c>
      <c r="AD697" s="43">
        <v>603350727</v>
      </c>
      <c r="AE697" s="44">
        <v>0</v>
      </c>
      <c r="AF697" s="44">
        <v>0</v>
      </c>
      <c r="AG697" s="44">
        <v>0</v>
      </c>
      <c r="AH697" s="44">
        <v>0</v>
      </c>
      <c r="AI697" s="44">
        <v>0</v>
      </c>
      <c r="AJ697" s="43">
        <v>603350727</v>
      </c>
      <c r="AK697" s="44">
        <v>0</v>
      </c>
      <c r="AL697" s="44">
        <v>0</v>
      </c>
      <c r="AM697" s="43">
        <v>603350726</v>
      </c>
      <c r="AN697" s="44">
        <v>0</v>
      </c>
      <c r="AO697" s="44">
        <v>0</v>
      </c>
      <c r="AP697" s="44">
        <v>0</v>
      </c>
      <c r="AQ697" s="44">
        <v>0</v>
      </c>
      <c r="AR697" s="44">
        <v>0</v>
      </c>
      <c r="AS697" s="44">
        <v>0</v>
      </c>
      <c r="AT697" s="40">
        <f t="shared" si="258"/>
        <v>0</v>
      </c>
      <c r="AU697" s="18">
        <f>AJ697-AM697</f>
        <v>1</v>
      </c>
      <c r="AV697" s="18">
        <f>AM697-AP697</f>
        <v>603350726</v>
      </c>
      <c r="AW697" s="34">
        <f>AP697-AT697</f>
        <v>0</v>
      </c>
      <c r="AX697" s="123">
        <f>AP697/AJ697</f>
        <v>0</v>
      </c>
    </row>
    <row r="698" spans="1:50" ht="25.5" x14ac:dyDescent="0.2">
      <c r="A698" s="4" t="s">
        <v>55</v>
      </c>
      <c r="B698" s="4" t="s">
        <v>56</v>
      </c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1" t="s">
        <v>539</v>
      </c>
      <c r="AB698" s="42" t="s">
        <v>540</v>
      </c>
      <c r="AC698" s="43" t="s">
        <v>253</v>
      </c>
      <c r="AD698" s="43">
        <v>850649274</v>
      </c>
      <c r="AE698" s="44">
        <v>0</v>
      </c>
      <c r="AF698" s="44">
        <v>0</v>
      </c>
      <c r="AG698" s="44">
        <v>0</v>
      </c>
      <c r="AH698" s="44">
        <v>0</v>
      </c>
      <c r="AI698" s="44">
        <v>0</v>
      </c>
      <c r="AJ698" s="43">
        <v>850649274</v>
      </c>
      <c r="AK698" s="44">
        <v>0</v>
      </c>
      <c r="AL698" s="44">
        <v>0</v>
      </c>
      <c r="AM698" s="43">
        <v>824092994</v>
      </c>
      <c r="AN698" s="44">
        <v>0</v>
      </c>
      <c r="AO698" s="44">
        <v>0</v>
      </c>
      <c r="AP698" s="44">
        <v>0</v>
      </c>
      <c r="AQ698" s="44">
        <v>0</v>
      </c>
      <c r="AR698" s="44">
        <v>0</v>
      </c>
      <c r="AS698" s="44">
        <v>0</v>
      </c>
      <c r="AT698" s="40">
        <f t="shared" si="258"/>
        <v>0</v>
      </c>
      <c r="AU698" s="18">
        <f>AJ698-AM698</f>
        <v>26556280</v>
      </c>
      <c r="AV698" s="18">
        <f>AM698-AP698</f>
        <v>824092994</v>
      </c>
      <c r="AW698" s="34">
        <f>AP698-AT698</f>
        <v>0</v>
      </c>
      <c r="AX698" s="123">
        <f>AP698/AJ698</f>
        <v>0</v>
      </c>
    </row>
    <row r="699" spans="1:50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1" t="s">
        <v>1087</v>
      </c>
      <c r="AB699" s="42" t="s">
        <v>1015</v>
      </c>
      <c r="AC699" s="43"/>
      <c r="AD699" s="44">
        <v>0</v>
      </c>
      <c r="AE699" s="43">
        <v>800000000</v>
      </c>
      <c r="AF699" s="44">
        <v>0</v>
      </c>
      <c r="AG699" s="44">
        <v>0</v>
      </c>
      <c r="AH699" s="44">
        <v>0</v>
      </c>
      <c r="AI699" s="43">
        <f>AE699-AF699+AG699-AH699</f>
        <v>800000000</v>
      </c>
      <c r="AJ699" s="43">
        <f>AD699+AI699</f>
        <v>800000000</v>
      </c>
      <c r="AK699" s="44">
        <v>0</v>
      </c>
      <c r="AL699" s="44">
        <v>0</v>
      </c>
      <c r="AM699" s="44">
        <v>0</v>
      </c>
      <c r="AN699" s="44">
        <v>0</v>
      </c>
      <c r="AO699" s="44">
        <v>0</v>
      </c>
      <c r="AP699" s="44">
        <v>0</v>
      </c>
      <c r="AQ699" s="44">
        <v>0</v>
      </c>
      <c r="AR699" s="44">
        <v>0</v>
      </c>
      <c r="AS699" s="44">
        <v>0</v>
      </c>
      <c r="AT699" s="40">
        <f t="shared" ref="AT699" si="259">AQ699+AS699</f>
        <v>0</v>
      </c>
      <c r="AU699" s="18">
        <f>AJ699-AM699</f>
        <v>800000000</v>
      </c>
      <c r="AV699" s="18">
        <f>AM699-AP699</f>
        <v>0</v>
      </c>
      <c r="AW699" s="34">
        <f>AP699-AT699</f>
        <v>0</v>
      </c>
      <c r="AX699" s="123">
        <f>AP699/AJ699</f>
        <v>0</v>
      </c>
    </row>
    <row r="700" spans="1:50" x14ac:dyDescent="0.2">
      <c r="AA700" s="16"/>
      <c r="AB700" s="17"/>
      <c r="AC700" s="17"/>
      <c r="AD700" s="34"/>
      <c r="AE700" s="34"/>
      <c r="AF700" s="34"/>
      <c r="AG700" s="34"/>
      <c r="AH700" s="34"/>
      <c r="AI700" s="34"/>
      <c r="AJ700" s="18"/>
      <c r="AK700" s="34"/>
      <c r="AL700" s="34"/>
      <c r="AM700" s="34"/>
      <c r="AN700" s="18"/>
      <c r="AO700" s="18"/>
      <c r="AP700" s="18"/>
      <c r="AQ700" s="18"/>
      <c r="AR700" s="18"/>
      <c r="AS700" s="18"/>
      <c r="AT700" s="30"/>
      <c r="AU700" s="18"/>
      <c r="AV700" s="18"/>
      <c r="AW700" s="18"/>
      <c r="AX700" s="18"/>
    </row>
    <row r="701" spans="1:50" ht="25.5" x14ac:dyDescent="0.2">
      <c r="AA701" s="73" t="s">
        <v>288</v>
      </c>
      <c r="AB701" s="74" t="s">
        <v>1222</v>
      </c>
      <c r="AC701" s="17"/>
      <c r="AD701" s="34"/>
      <c r="AE701" s="34"/>
      <c r="AF701" s="34"/>
      <c r="AG701" s="34"/>
      <c r="AH701" s="34"/>
      <c r="AI701" s="34"/>
      <c r="AJ701" s="18"/>
      <c r="AK701" s="34"/>
      <c r="AL701" s="34"/>
      <c r="AM701" s="34"/>
      <c r="AN701" s="18"/>
      <c r="AO701" s="18"/>
      <c r="AP701" s="18"/>
      <c r="AQ701" s="18"/>
      <c r="AR701" s="18"/>
      <c r="AS701" s="18"/>
      <c r="AT701" s="30"/>
      <c r="AU701" s="18"/>
      <c r="AV701" s="18"/>
      <c r="AW701" s="18"/>
      <c r="AX701" s="18"/>
    </row>
    <row r="702" spans="1:50" x14ac:dyDescent="0.2">
      <c r="AA702" s="41" t="s">
        <v>1223</v>
      </c>
      <c r="AB702" s="42" t="s">
        <v>961</v>
      </c>
      <c r="AC702" s="17"/>
      <c r="AD702" s="34">
        <v>0</v>
      </c>
      <c r="AE702" s="34">
        <v>0</v>
      </c>
      <c r="AF702" s="34">
        <v>0</v>
      </c>
      <c r="AG702" s="18">
        <v>115200000</v>
      </c>
      <c r="AH702" s="34">
        <v>0</v>
      </c>
      <c r="AI702" s="43">
        <f>AE702-AF702+AG702-AH702</f>
        <v>115200000</v>
      </c>
      <c r="AJ702" s="43">
        <f>AD702+AI702</f>
        <v>115200000</v>
      </c>
      <c r="AK702" s="34">
        <v>0</v>
      </c>
      <c r="AL702" s="34">
        <v>0</v>
      </c>
      <c r="AM702" s="34">
        <v>0</v>
      </c>
      <c r="AN702" s="18">
        <v>0</v>
      </c>
      <c r="AO702" s="18">
        <v>0</v>
      </c>
      <c r="AP702" s="18">
        <v>0</v>
      </c>
      <c r="AQ702" s="18">
        <v>0</v>
      </c>
      <c r="AR702" s="18">
        <v>0</v>
      </c>
      <c r="AS702" s="18">
        <v>0</v>
      </c>
      <c r="AT702" s="40">
        <f t="shared" ref="AT702" si="260">AQ702+AS702</f>
        <v>0</v>
      </c>
      <c r="AU702" s="18">
        <f>AJ702-AM702</f>
        <v>115200000</v>
      </c>
      <c r="AV702" s="18">
        <f>AM702-AP702</f>
        <v>0</v>
      </c>
      <c r="AW702" s="34">
        <f>AP702-AT702</f>
        <v>0</v>
      </c>
      <c r="AX702" s="123">
        <f>AP702/AJ702</f>
        <v>0</v>
      </c>
    </row>
    <row r="703" spans="1:50" x14ac:dyDescent="0.2">
      <c r="AA703" s="16"/>
      <c r="AB703" s="29" t="s">
        <v>199</v>
      </c>
      <c r="AC703" s="17"/>
      <c r="AD703" s="18"/>
      <c r="AE703" s="34"/>
      <c r="AF703" s="34"/>
      <c r="AG703" s="34"/>
      <c r="AH703" s="34"/>
      <c r="AI703" s="34"/>
      <c r="AJ703" s="18"/>
      <c r="AK703" s="34"/>
      <c r="AL703" s="34"/>
      <c r="AM703" s="18"/>
      <c r="AN703" s="18"/>
      <c r="AO703" s="18"/>
      <c r="AP703" s="18"/>
      <c r="AQ703" s="18"/>
      <c r="AR703" s="18"/>
      <c r="AS703" s="18"/>
      <c r="AT703" s="30"/>
      <c r="AU703" s="18"/>
      <c r="AV703" s="18"/>
      <c r="AW703" s="18"/>
      <c r="AX703" s="18"/>
    </row>
    <row r="704" spans="1:50" ht="25.5" x14ac:dyDescent="0.2">
      <c r="AA704" s="28" t="s">
        <v>288</v>
      </c>
      <c r="AB704" s="29" t="s">
        <v>531</v>
      </c>
      <c r="AC704" s="17"/>
      <c r="AD704" s="18"/>
      <c r="AE704" s="34"/>
      <c r="AF704" s="34"/>
      <c r="AG704" s="34"/>
      <c r="AH704" s="34"/>
      <c r="AI704" s="34"/>
      <c r="AJ704" s="18"/>
      <c r="AK704" s="34"/>
      <c r="AL704" s="34"/>
      <c r="AM704" s="18"/>
      <c r="AN704" s="18"/>
      <c r="AO704" s="18"/>
      <c r="AP704" s="18"/>
      <c r="AQ704" s="18"/>
      <c r="AR704" s="18"/>
      <c r="AS704" s="18"/>
      <c r="AT704" s="30"/>
      <c r="AU704" s="18"/>
      <c r="AV704" s="18"/>
      <c r="AW704" s="18"/>
      <c r="AX704" s="18"/>
    </row>
    <row r="705" spans="1:50" x14ac:dyDescent="0.2">
      <c r="A705" s="4" t="s">
        <v>55</v>
      </c>
      <c r="B705" s="4" t="s">
        <v>56</v>
      </c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1" t="s">
        <v>541</v>
      </c>
      <c r="AB705" s="42" t="s">
        <v>233</v>
      </c>
      <c r="AC705" s="43" t="s">
        <v>58</v>
      </c>
      <c r="AD705" s="43">
        <v>190000000</v>
      </c>
      <c r="AE705" s="44">
        <v>0</v>
      </c>
      <c r="AF705" s="44">
        <v>0</v>
      </c>
      <c r="AG705" s="44">
        <v>0</v>
      </c>
      <c r="AH705" s="44">
        <v>0</v>
      </c>
      <c r="AI705" s="44">
        <v>0</v>
      </c>
      <c r="AJ705" s="43">
        <v>190000000</v>
      </c>
      <c r="AK705" s="115">
        <v>0</v>
      </c>
      <c r="AL705" s="115">
        <v>0</v>
      </c>
      <c r="AM705" s="114">
        <v>88000000</v>
      </c>
      <c r="AN705" s="114">
        <v>0</v>
      </c>
      <c r="AO705" s="114">
        <v>0</v>
      </c>
      <c r="AP705" s="114">
        <v>88000000</v>
      </c>
      <c r="AQ705" s="43">
        <v>0</v>
      </c>
      <c r="AR705" s="43">
        <v>11000000</v>
      </c>
      <c r="AS705" s="43">
        <v>20433334</v>
      </c>
      <c r="AT705" s="40">
        <f t="shared" ref="AT705" si="261">AQ705+AS705</f>
        <v>20433334</v>
      </c>
      <c r="AU705" s="18">
        <f>AJ705-AM705</f>
        <v>102000000</v>
      </c>
      <c r="AV705" s="110">
        <f>AM705-AP705</f>
        <v>0</v>
      </c>
      <c r="AW705" s="18">
        <f>AP705-AT705</f>
        <v>67566666</v>
      </c>
      <c r="AX705" s="123">
        <f>AP705/AJ705</f>
        <v>0.4631578947368421</v>
      </c>
    </row>
    <row r="706" spans="1:50" x14ac:dyDescent="0.2">
      <c r="AA706" s="28" t="s">
        <v>288</v>
      </c>
      <c r="AB706" s="29" t="s">
        <v>542</v>
      </c>
      <c r="AC706" s="17"/>
      <c r="AD706" s="18"/>
      <c r="AE706" s="34"/>
      <c r="AF706" s="34"/>
      <c r="AG706" s="34"/>
      <c r="AH706" s="34"/>
      <c r="AI706" s="34"/>
      <c r="AJ706" s="18"/>
      <c r="AK706" s="34"/>
      <c r="AL706" s="34"/>
      <c r="AM706" s="34"/>
      <c r="AN706" s="34"/>
      <c r="AO706" s="34"/>
      <c r="AP706" s="34"/>
      <c r="AQ706" s="34"/>
      <c r="AR706" s="34"/>
      <c r="AS706" s="34"/>
      <c r="AT706" s="31"/>
      <c r="AU706" s="18"/>
      <c r="AV706" s="18"/>
      <c r="AW706" s="18"/>
      <c r="AX706" s="18"/>
    </row>
    <row r="707" spans="1:50" x14ac:dyDescent="0.2">
      <c r="A707" s="4" t="s">
        <v>55</v>
      </c>
      <c r="B707" s="4" t="s">
        <v>56</v>
      </c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1" t="s">
        <v>543</v>
      </c>
      <c r="AB707" s="42" t="s">
        <v>233</v>
      </c>
      <c r="AC707" s="43" t="s">
        <v>58</v>
      </c>
      <c r="AD707" s="43">
        <v>229000000</v>
      </c>
      <c r="AE707" s="44">
        <v>0</v>
      </c>
      <c r="AF707" s="44">
        <v>0</v>
      </c>
      <c r="AG707" s="44">
        <v>0</v>
      </c>
      <c r="AH707" s="44">
        <v>0</v>
      </c>
      <c r="AI707" s="44">
        <v>0</v>
      </c>
      <c r="AJ707" s="43">
        <v>229000000</v>
      </c>
      <c r="AK707" s="44">
        <v>0</v>
      </c>
      <c r="AL707" s="44">
        <v>0</v>
      </c>
      <c r="AM707" s="44">
        <v>0</v>
      </c>
      <c r="AN707" s="44">
        <v>0</v>
      </c>
      <c r="AO707" s="44">
        <v>0</v>
      </c>
      <c r="AP707" s="44">
        <v>0</v>
      </c>
      <c r="AQ707" s="44">
        <v>0</v>
      </c>
      <c r="AR707" s="44">
        <v>0</v>
      </c>
      <c r="AS707" s="44">
        <v>0</v>
      </c>
      <c r="AT707" s="40">
        <f t="shared" ref="AT707" si="262">AQ707+AS707</f>
        <v>0</v>
      </c>
      <c r="AU707" s="18">
        <f>AJ707-AM707</f>
        <v>229000000</v>
      </c>
      <c r="AV707" s="34">
        <f>AM707-AP707</f>
        <v>0</v>
      </c>
      <c r="AW707" s="34">
        <f>AP707-AT707</f>
        <v>0</v>
      </c>
      <c r="AX707" s="123">
        <f>AP707/AJ707</f>
        <v>0</v>
      </c>
    </row>
    <row r="708" spans="1:50" ht="25.5" x14ac:dyDescent="0.2">
      <c r="AA708" s="28" t="s">
        <v>288</v>
      </c>
      <c r="AB708" s="29" t="s">
        <v>544</v>
      </c>
      <c r="AC708" s="17"/>
      <c r="AD708" s="18"/>
      <c r="AE708" s="34"/>
      <c r="AF708" s="34"/>
      <c r="AG708" s="34"/>
      <c r="AH708" s="34"/>
      <c r="AI708" s="34"/>
      <c r="AJ708" s="18"/>
      <c r="AK708" s="34"/>
      <c r="AL708" s="34"/>
      <c r="AM708" s="34"/>
      <c r="AN708" s="34"/>
      <c r="AO708" s="34"/>
      <c r="AP708" s="34"/>
      <c r="AQ708" s="34"/>
      <c r="AR708" s="34"/>
      <c r="AS708" s="34"/>
      <c r="AT708" s="31"/>
      <c r="AU708" s="18"/>
      <c r="AV708" s="18"/>
      <c r="AW708" s="34"/>
      <c r="AX708" s="18"/>
    </row>
    <row r="709" spans="1:50" x14ac:dyDescent="0.2">
      <c r="A709" s="4" t="s">
        <v>55</v>
      </c>
      <c r="B709" s="4" t="s">
        <v>56</v>
      </c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1" t="s">
        <v>545</v>
      </c>
      <c r="AB709" s="42" t="s">
        <v>233</v>
      </c>
      <c r="AC709" s="43" t="s">
        <v>58</v>
      </c>
      <c r="AD709" s="43">
        <v>150000000</v>
      </c>
      <c r="AE709" s="44">
        <v>0</v>
      </c>
      <c r="AF709" s="44">
        <v>0</v>
      </c>
      <c r="AG709" s="44">
        <v>0</v>
      </c>
      <c r="AH709" s="44">
        <v>0</v>
      </c>
      <c r="AI709" s="44">
        <v>0</v>
      </c>
      <c r="AJ709" s="43">
        <v>150000000</v>
      </c>
      <c r="AK709" s="44">
        <v>0</v>
      </c>
      <c r="AL709" s="43">
        <v>150000000</v>
      </c>
      <c r="AM709" s="43">
        <v>150000000</v>
      </c>
      <c r="AN709" s="43">
        <v>0</v>
      </c>
      <c r="AO709" s="43">
        <v>0</v>
      </c>
      <c r="AP709" s="43">
        <v>0</v>
      </c>
      <c r="AQ709" s="43">
        <v>0</v>
      </c>
      <c r="AR709" s="43">
        <v>0</v>
      </c>
      <c r="AS709" s="43">
        <v>0</v>
      </c>
      <c r="AT709" s="40">
        <f t="shared" ref="AT709" si="263">AQ709+AS709</f>
        <v>0</v>
      </c>
      <c r="AU709" s="18">
        <f>AJ709-AM709</f>
        <v>0</v>
      </c>
      <c r="AV709" s="18">
        <f>AM709-AP709</f>
        <v>150000000</v>
      </c>
      <c r="AW709" s="34">
        <f>AP709-AT709</f>
        <v>0</v>
      </c>
      <c r="AX709" s="123">
        <f>AP709/AJ709</f>
        <v>0</v>
      </c>
    </row>
    <row r="710" spans="1:50" ht="38.25" x14ac:dyDescent="0.2">
      <c r="AA710" s="28" t="s">
        <v>288</v>
      </c>
      <c r="AB710" s="29" t="s">
        <v>546</v>
      </c>
      <c r="AC710" s="17"/>
      <c r="AD710" s="18"/>
      <c r="AE710" s="34"/>
      <c r="AF710" s="34"/>
      <c r="AG710" s="34"/>
      <c r="AH710" s="34"/>
      <c r="AI710" s="34"/>
      <c r="AJ710" s="18"/>
      <c r="AK710" s="34"/>
      <c r="AL710" s="18"/>
      <c r="AM710" s="18"/>
      <c r="AN710" s="18"/>
      <c r="AO710" s="18"/>
      <c r="AP710" s="18"/>
      <c r="AQ710" s="18"/>
      <c r="AR710" s="18"/>
      <c r="AS710" s="18"/>
      <c r="AT710" s="30"/>
      <c r="AU710" s="18"/>
      <c r="AV710" s="18"/>
      <c r="AW710" s="18"/>
      <c r="AX710" s="18"/>
    </row>
    <row r="711" spans="1:50" x14ac:dyDescent="0.2">
      <c r="A711" s="4" t="s">
        <v>55</v>
      </c>
      <c r="B711" s="4" t="s">
        <v>56</v>
      </c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1" t="s">
        <v>547</v>
      </c>
      <c r="AB711" s="42" t="s">
        <v>233</v>
      </c>
      <c r="AC711" s="43" t="s">
        <v>58</v>
      </c>
      <c r="AD711" s="43">
        <v>80000000</v>
      </c>
      <c r="AE711" s="44">
        <v>0</v>
      </c>
      <c r="AF711" s="44">
        <v>0</v>
      </c>
      <c r="AG711" s="44">
        <v>0</v>
      </c>
      <c r="AH711" s="44">
        <v>0</v>
      </c>
      <c r="AI711" s="44">
        <v>0</v>
      </c>
      <c r="AJ711" s="43">
        <v>80000000</v>
      </c>
      <c r="AK711" s="44">
        <v>0</v>
      </c>
      <c r="AL711" s="44">
        <v>0</v>
      </c>
      <c r="AM711" s="43">
        <v>80000000</v>
      </c>
      <c r="AN711" s="44">
        <v>0</v>
      </c>
      <c r="AO711" s="44">
        <f>AP711-'MARZO '!AP610</f>
        <v>0</v>
      </c>
      <c r="AP711" s="110">
        <v>80000000</v>
      </c>
      <c r="AQ711" s="18">
        <v>0</v>
      </c>
      <c r="AR711" s="18">
        <v>7000000</v>
      </c>
      <c r="AS711" s="18">
        <v>23666666</v>
      </c>
      <c r="AT711" s="39">
        <f t="shared" ref="AT711:AT744" si="264">AQ711+AS711</f>
        <v>23666666</v>
      </c>
      <c r="AU711" s="34">
        <f>AJ711-AM711</f>
        <v>0</v>
      </c>
      <c r="AV711" s="34">
        <f>AM711-AP711</f>
        <v>0</v>
      </c>
      <c r="AW711" s="18">
        <f>AP711-AT711</f>
        <v>56333334</v>
      </c>
      <c r="AX711" s="123">
        <f>AP711/AJ711</f>
        <v>1</v>
      </c>
    </row>
    <row r="712" spans="1:50" ht="38.25" x14ac:dyDescent="0.2">
      <c r="AA712" s="28" t="s">
        <v>288</v>
      </c>
      <c r="AB712" s="29" t="s">
        <v>548</v>
      </c>
      <c r="AC712" s="17"/>
      <c r="AD712" s="18"/>
      <c r="AE712" s="34"/>
      <c r="AF712" s="34"/>
      <c r="AG712" s="34"/>
      <c r="AH712" s="34"/>
      <c r="AI712" s="34"/>
      <c r="AJ712" s="18"/>
      <c r="AK712" s="18"/>
      <c r="AL712" s="18"/>
      <c r="AM712" s="18"/>
      <c r="AN712" s="18"/>
      <c r="AO712" s="18"/>
      <c r="AP712" s="34"/>
      <c r="AQ712" s="34"/>
      <c r="AR712" s="34"/>
      <c r="AS712" s="34"/>
      <c r="AT712" s="40"/>
      <c r="AU712" s="18"/>
      <c r="AV712" s="18"/>
      <c r="AW712" s="18"/>
      <c r="AX712" s="18"/>
    </row>
    <row r="713" spans="1:50" x14ac:dyDescent="0.2">
      <c r="A713" s="4" t="s">
        <v>55</v>
      </c>
      <c r="B713" s="4" t="s">
        <v>56</v>
      </c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1" t="s">
        <v>549</v>
      </c>
      <c r="AB713" s="42" t="s">
        <v>233</v>
      </c>
      <c r="AC713" s="43" t="s">
        <v>58</v>
      </c>
      <c r="AD713" s="43">
        <v>40000000</v>
      </c>
      <c r="AE713" s="44">
        <v>0</v>
      </c>
      <c r="AF713" s="44">
        <v>0</v>
      </c>
      <c r="AG713" s="44">
        <v>0</v>
      </c>
      <c r="AH713" s="44">
        <v>0</v>
      </c>
      <c r="AI713" s="44">
        <v>0</v>
      </c>
      <c r="AJ713" s="43">
        <v>40000000</v>
      </c>
      <c r="AK713" s="44">
        <v>0</v>
      </c>
      <c r="AL713" s="43">
        <v>-19001052</v>
      </c>
      <c r="AM713" s="43">
        <v>20998948</v>
      </c>
      <c r="AN713" s="44">
        <v>0</v>
      </c>
      <c r="AO713" s="43">
        <v>20998948</v>
      </c>
      <c r="AP713" s="18">
        <v>20998948</v>
      </c>
      <c r="AQ713" s="34">
        <v>0</v>
      </c>
      <c r="AR713" s="34">
        <v>0</v>
      </c>
      <c r="AS713" s="34">
        <v>0</v>
      </c>
      <c r="AT713" s="40">
        <f t="shared" si="264"/>
        <v>0</v>
      </c>
      <c r="AU713" s="18">
        <f>AJ713-AM713</f>
        <v>19001052</v>
      </c>
      <c r="AV713" s="18">
        <f>AM713-AP713</f>
        <v>0</v>
      </c>
      <c r="AW713" s="18">
        <f>AP713-AT713</f>
        <v>20998948</v>
      </c>
      <c r="AX713" s="123">
        <f>AP713/AJ713</f>
        <v>0.52497369999999999</v>
      </c>
    </row>
    <row r="714" spans="1:50" ht="25.5" x14ac:dyDescent="0.2">
      <c r="AA714" s="28" t="s">
        <v>288</v>
      </c>
      <c r="AB714" s="29" t="s">
        <v>550</v>
      </c>
      <c r="AC714" s="17"/>
      <c r="AD714" s="18"/>
      <c r="AE714" s="34"/>
      <c r="AF714" s="34"/>
      <c r="AG714" s="34"/>
      <c r="AH714" s="34"/>
      <c r="AI714" s="34"/>
      <c r="AJ714" s="18"/>
      <c r="AK714" s="34"/>
      <c r="AL714" s="18"/>
      <c r="AM714" s="18"/>
      <c r="AN714" s="34"/>
      <c r="AO714" s="34"/>
      <c r="AP714" s="34"/>
      <c r="AQ714" s="34"/>
      <c r="AR714" s="34"/>
      <c r="AS714" s="34"/>
      <c r="AT714" s="40"/>
      <c r="AU714" s="18"/>
      <c r="AV714" s="18"/>
      <c r="AW714" s="18"/>
      <c r="AX714" s="18"/>
    </row>
    <row r="715" spans="1:50" x14ac:dyDescent="0.2">
      <c r="A715" s="4" t="s">
        <v>55</v>
      </c>
      <c r="B715" s="4" t="s">
        <v>56</v>
      </c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1" t="s">
        <v>551</v>
      </c>
      <c r="AB715" s="42" t="s">
        <v>233</v>
      </c>
      <c r="AC715" s="43" t="s">
        <v>58</v>
      </c>
      <c r="AD715" s="43">
        <v>670000000</v>
      </c>
      <c r="AE715" s="44">
        <v>0</v>
      </c>
      <c r="AF715" s="44">
        <v>0</v>
      </c>
      <c r="AG715" s="43">
        <v>932000000</v>
      </c>
      <c r="AH715" s="43">
        <v>782000000</v>
      </c>
      <c r="AI715" s="43">
        <f>AE715-AF715+AG715-AH715</f>
        <v>150000000</v>
      </c>
      <c r="AJ715" s="43">
        <f>AD715+AI715</f>
        <v>820000000</v>
      </c>
      <c r="AK715" s="44">
        <v>0</v>
      </c>
      <c r="AL715" s="43">
        <v>114924008</v>
      </c>
      <c r="AM715" s="43">
        <v>509897861</v>
      </c>
      <c r="AN715" s="44">
        <v>0</v>
      </c>
      <c r="AO715" s="43">
        <v>10328256</v>
      </c>
      <c r="AP715" s="18">
        <v>365628256</v>
      </c>
      <c r="AQ715" s="18">
        <v>1333333</v>
      </c>
      <c r="AR715" s="18">
        <v>52613333</v>
      </c>
      <c r="AS715" s="18">
        <v>125050001</v>
      </c>
      <c r="AT715" s="39">
        <f t="shared" ref="AT715" si="265">AQ715+AS715</f>
        <v>126383334</v>
      </c>
      <c r="AU715" s="18">
        <f>AJ715-AM715</f>
        <v>310102139</v>
      </c>
      <c r="AV715" s="18">
        <f>AM715-AP715</f>
        <v>144269605</v>
      </c>
      <c r="AW715" s="18">
        <f>AP715-AT715</f>
        <v>239244922</v>
      </c>
      <c r="AX715" s="123">
        <f>AP715/AJ715</f>
        <v>0.44588811707317072</v>
      </c>
    </row>
    <row r="716" spans="1:50" x14ac:dyDescent="0.2">
      <c r="A716" s="4" t="s">
        <v>55</v>
      </c>
      <c r="B716" s="4" t="s">
        <v>56</v>
      </c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1" t="s">
        <v>552</v>
      </c>
      <c r="AB716" s="42" t="s">
        <v>382</v>
      </c>
      <c r="AC716" s="43" t="s">
        <v>383</v>
      </c>
      <c r="AD716" s="43">
        <v>120000000</v>
      </c>
      <c r="AE716" s="44">
        <v>0</v>
      </c>
      <c r="AF716" s="44">
        <v>0</v>
      </c>
      <c r="AG716" s="44">
        <v>0</v>
      </c>
      <c r="AH716" s="44">
        <v>0</v>
      </c>
      <c r="AI716" s="43">
        <f t="shared" ref="AI716:AI719" si="266">AE716-AF716+AG716-AH716</f>
        <v>0</v>
      </c>
      <c r="AJ716" s="43">
        <f t="shared" ref="AJ716:AJ719" si="267">AD716+AI716</f>
        <v>120000000</v>
      </c>
      <c r="AK716" s="44">
        <v>0</v>
      </c>
      <c r="AL716" s="43">
        <v>-1706682</v>
      </c>
      <c r="AM716" s="43">
        <v>1886133</v>
      </c>
      <c r="AN716" s="44">
        <v>0</v>
      </c>
      <c r="AO716" s="43">
        <v>1886133</v>
      </c>
      <c r="AP716" s="18">
        <v>1886133</v>
      </c>
      <c r="AQ716" s="34">
        <v>0</v>
      </c>
      <c r="AR716" s="34">
        <v>0</v>
      </c>
      <c r="AS716" s="34">
        <v>0</v>
      </c>
      <c r="AT716" s="39">
        <f t="shared" ref="AT716:AT719" si="268">AQ716+AS716</f>
        <v>0</v>
      </c>
      <c r="AU716" s="18">
        <f>AJ716-AM716</f>
        <v>118113867</v>
      </c>
      <c r="AV716" s="34">
        <f>AM716-AP716</f>
        <v>0</v>
      </c>
      <c r="AW716" s="18">
        <f>AP716-AT716</f>
        <v>1886133</v>
      </c>
      <c r="AX716" s="123">
        <f>AP716/AJ716</f>
        <v>1.5717775E-2</v>
      </c>
    </row>
    <row r="717" spans="1:50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1" t="s">
        <v>1092</v>
      </c>
      <c r="AB717" s="42" t="s">
        <v>1095</v>
      </c>
      <c r="AC717" s="43"/>
      <c r="AD717" s="44">
        <v>0</v>
      </c>
      <c r="AE717" s="43">
        <v>28189.13</v>
      </c>
      <c r="AF717" s="44">
        <v>0</v>
      </c>
      <c r="AG717" s="44">
        <v>0</v>
      </c>
      <c r="AH717" s="44">
        <v>0</v>
      </c>
      <c r="AI717" s="43">
        <f t="shared" si="266"/>
        <v>28189.13</v>
      </c>
      <c r="AJ717" s="43">
        <f t="shared" si="267"/>
        <v>28189.13</v>
      </c>
      <c r="AK717" s="44">
        <v>0</v>
      </c>
      <c r="AL717" s="44">
        <v>0</v>
      </c>
      <c r="AM717" s="44">
        <v>0</v>
      </c>
      <c r="AN717" s="44">
        <v>0</v>
      </c>
      <c r="AO717" s="44">
        <v>0</v>
      </c>
      <c r="AP717" s="34">
        <v>0</v>
      </c>
      <c r="AQ717" s="34">
        <v>0</v>
      </c>
      <c r="AR717" s="34">
        <v>0</v>
      </c>
      <c r="AS717" s="34">
        <v>0</v>
      </c>
      <c r="AT717" s="40">
        <f t="shared" si="268"/>
        <v>0</v>
      </c>
      <c r="AU717" s="18">
        <f>AJ717-AM717</f>
        <v>28189.13</v>
      </c>
      <c r="AV717" s="34">
        <f>AM717-AP717</f>
        <v>0</v>
      </c>
      <c r="AW717" s="34">
        <f>AP717-AT717</f>
        <v>0</v>
      </c>
      <c r="AX717" s="123">
        <f>AP717/AJ717</f>
        <v>0</v>
      </c>
    </row>
    <row r="718" spans="1:50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1" t="s">
        <v>1093</v>
      </c>
      <c r="AB718" s="42" t="s">
        <v>1096</v>
      </c>
      <c r="AC718" s="43"/>
      <c r="AD718" s="44">
        <v>0</v>
      </c>
      <c r="AE718" s="43">
        <v>5349132</v>
      </c>
      <c r="AF718" s="44">
        <v>0</v>
      </c>
      <c r="AG718" s="44">
        <v>0</v>
      </c>
      <c r="AH718" s="44">
        <v>0</v>
      </c>
      <c r="AI718" s="43">
        <f t="shared" si="266"/>
        <v>5349132</v>
      </c>
      <c r="AJ718" s="43">
        <f t="shared" si="267"/>
        <v>5349132</v>
      </c>
      <c r="AK718" s="44">
        <v>0</v>
      </c>
      <c r="AL718" s="44">
        <v>0</v>
      </c>
      <c r="AM718" s="44">
        <v>0</v>
      </c>
      <c r="AN718" s="44">
        <v>0</v>
      </c>
      <c r="AO718" s="44">
        <v>0</v>
      </c>
      <c r="AP718" s="34">
        <v>0</v>
      </c>
      <c r="AQ718" s="34">
        <v>0</v>
      </c>
      <c r="AR718" s="34">
        <v>0</v>
      </c>
      <c r="AS718" s="34">
        <v>0</v>
      </c>
      <c r="AT718" s="40">
        <f t="shared" si="268"/>
        <v>0</v>
      </c>
      <c r="AU718" s="18">
        <f>AJ718-AM718</f>
        <v>5349132</v>
      </c>
      <c r="AV718" s="34">
        <f>AM718-AP718</f>
        <v>0</v>
      </c>
      <c r="AW718" s="34">
        <f>AP718-AT718</f>
        <v>0</v>
      </c>
      <c r="AX718" s="123">
        <f>AP718/AJ718</f>
        <v>0</v>
      </c>
    </row>
    <row r="719" spans="1:50" ht="25.5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1" t="s">
        <v>1094</v>
      </c>
      <c r="AB719" s="42" t="s">
        <v>1097</v>
      </c>
      <c r="AC719" s="43"/>
      <c r="AD719" s="44">
        <v>0</v>
      </c>
      <c r="AE719" s="43">
        <v>11995542.140000001</v>
      </c>
      <c r="AF719" s="44">
        <v>0</v>
      </c>
      <c r="AG719" s="44">
        <v>0</v>
      </c>
      <c r="AH719" s="44">
        <v>0</v>
      </c>
      <c r="AI719" s="43">
        <f t="shared" si="266"/>
        <v>11995542.140000001</v>
      </c>
      <c r="AJ719" s="43">
        <f t="shared" si="267"/>
        <v>11995542.140000001</v>
      </c>
      <c r="AK719" s="44">
        <v>0</v>
      </c>
      <c r="AL719" s="44">
        <v>0</v>
      </c>
      <c r="AM719" s="44">
        <v>0</v>
      </c>
      <c r="AN719" s="44">
        <v>0</v>
      </c>
      <c r="AO719" s="44">
        <v>0</v>
      </c>
      <c r="AP719" s="34">
        <v>0</v>
      </c>
      <c r="AQ719" s="34">
        <v>0</v>
      </c>
      <c r="AR719" s="34">
        <v>0</v>
      </c>
      <c r="AS719" s="34">
        <v>0</v>
      </c>
      <c r="AT719" s="40">
        <f t="shared" si="268"/>
        <v>0</v>
      </c>
      <c r="AU719" s="18">
        <f>AJ719-AM719</f>
        <v>11995542.140000001</v>
      </c>
      <c r="AV719" s="34">
        <f>AM719-AP719</f>
        <v>0</v>
      </c>
      <c r="AW719" s="34">
        <f>AP719-AT719</f>
        <v>0</v>
      </c>
      <c r="AX719" s="123">
        <f>AP719/AJ719</f>
        <v>0</v>
      </c>
    </row>
    <row r="720" spans="1:50" ht="25.5" x14ac:dyDescent="0.2">
      <c r="AA720" s="28"/>
      <c r="AB720" s="29" t="s">
        <v>553</v>
      </c>
      <c r="AC720" s="17"/>
      <c r="AD720" s="18"/>
      <c r="AE720" s="34"/>
      <c r="AF720" s="34"/>
      <c r="AG720" s="34"/>
      <c r="AH720" s="34"/>
      <c r="AI720" s="34"/>
      <c r="AJ720" s="18"/>
      <c r="AK720" s="34"/>
      <c r="AL720" s="18"/>
      <c r="AM720" s="18"/>
      <c r="AN720" s="18"/>
      <c r="AO720" s="18"/>
      <c r="AP720" s="18"/>
      <c r="AQ720" s="18"/>
      <c r="AR720" s="18"/>
      <c r="AS720" s="18"/>
      <c r="AT720" s="30"/>
      <c r="AU720" s="18"/>
      <c r="AV720" s="18"/>
      <c r="AW720" s="18"/>
      <c r="AX720" s="18"/>
    </row>
    <row r="721" spans="1:50" x14ac:dyDescent="0.2">
      <c r="A721" s="4" t="s">
        <v>55</v>
      </c>
      <c r="B721" s="4" t="s">
        <v>56</v>
      </c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1" t="s">
        <v>554</v>
      </c>
      <c r="AB721" s="42" t="s">
        <v>233</v>
      </c>
      <c r="AC721" s="43" t="s">
        <v>58</v>
      </c>
      <c r="AD721" s="43">
        <v>200000000</v>
      </c>
      <c r="AE721" s="44">
        <v>0</v>
      </c>
      <c r="AF721" s="44">
        <v>0</v>
      </c>
      <c r="AG721" s="44">
        <v>0</v>
      </c>
      <c r="AH721" s="44">
        <v>0</v>
      </c>
      <c r="AI721" s="44">
        <v>0</v>
      </c>
      <c r="AJ721" s="43">
        <v>200000000</v>
      </c>
      <c r="AK721" s="44">
        <v>0</v>
      </c>
      <c r="AL721" s="43">
        <v>-1723665.23</v>
      </c>
      <c r="AM721" s="43">
        <v>152723377.84999999</v>
      </c>
      <c r="AN721" s="44">
        <v>0</v>
      </c>
      <c r="AO721" s="43">
        <v>2001040.77</v>
      </c>
      <c r="AP721" s="43">
        <v>152723377.84999999</v>
      </c>
      <c r="AQ721" s="44">
        <v>0</v>
      </c>
      <c r="AR721" s="43">
        <v>19745667.77</v>
      </c>
      <c r="AS721" s="43">
        <v>47698005.850000001</v>
      </c>
      <c r="AT721" s="39">
        <f t="shared" si="264"/>
        <v>47698005.850000001</v>
      </c>
      <c r="AU721" s="18">
        <f>AJ721-AM721</f>
        <v>47276622.150000006</v>
      </c>
      <c r="AV721" s="18">
        <f>AM721-AP721</f>
        <v>0</v>
      </c>
      <c r="AW721" s="18">
        <f>AP721-AT721</f>
        <v>105025372</v>
      </c>
      <c r="AX721" s="123">
        <f>AP721/AJ721</f>
        <v>0.76361688924999993</v>
      </c>
    </row>
    <row r="722" spans="1:50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1" t="s">
        <v>1236</v>
      </c>
      <c r="AB722" s="42" t="s">
        <v>1015</v>
      </c>
      <c r="AC722" s="43"/>
      <c r="AD722" s="43">
        <v>0</v>
      </c>
      <c r="AE722" s="43">
        <v>200000000</v>
      </c>
      <c r="AF722" s="44">
        <v>0</v>
      </c>
      <c r="AG722" s="44">
        <v>0</v>
      </c>
      <c r="AH722" s="44">
        <v>0</v>
      </c>
      <c r="AI722" s="44">
        <v>0</v>
      </c>
      <c r="AJ722" s="43">
        <v>200000000</v>
      </c>
      <c r="AK722" s="44">
        <v>0</v>
      </c>
      <c r="AL722" s="44">
        <v>0</v>
      </c>
      <c r="AM722" s="43">
        <v>0</v>
      </c>
      <c r="AN722" s="44">
        <v>0</v>
      </c>
      <c r="AO722" s="43">
        <v>0</v>
      </c>
      <c r="AP722" s="43">
        <v>0</v>
      </c>
      <c r="AQ722" s="44">
        <v>0</v>
      </c>
      <c r="AR722" s="44">
        <v>0</v>
      </c>
      <c r="AS722" s="44">
        <v>0</v>
      </c>
      <c r="AT722" s="40">
        <f t="shared" ref="AT722" si="269">AQ722+AS722</f>
        <v>0</v>
      </c>
      <c r="AU722" s="18">
        <f>AJ722-AM722</f>
        <v>200000000</v>
      </c>
      <c r="AV722" s="18">
        <f>AM722-AP722</f>
        <v>0</v>
      </c>
      <c r="AW722" s="18">
        <f>AP722-AT722</f>
        <v>0</v>
      </c>
      <c r="AX722" s="123">
        <f>AP722/AJ722</f>
        <v>0</v>
      </c>
    </row>
    <row r="723" spans="1:50" ht="25.5" x14ac:dyDescent="0.2">
      <c r="AA723" s="28" t="s">
        <v>288</v>
      </c>
      <c r="AB723" s="29" t="s">
        <v>535</v>
      </c>
      <c r="AC723" s="17"/>
      <c r="AD723" s="18"/>
      <c r="AE723" s="34"/>
      <c r="AF723" s="34"/>
      <c r="AG723" s="34"/>
      <c r="AH723" s="34"/>
      <c r="AI723" s="34"/>
      <c r="AJ723" s="18"/>
      <c r="AK723" s="34"/>
      <c r="AL723" s="34"/>
      <c r="AM723" s="18"/>
      <c r="AN723" s="34"/>
      <c r="AO723" s="18"/>
      <c r="AP723" s="18"/>
      <c r="AQ723" s="34"/>
      <c r="AR723" s="18"/>
      <c r="AS723" s="18"/>
      <c r="AT723" s="30"/>
      <c r="AU723" s="18"/>
      <c r="AV723" s="18"/>
      <c r="AW723" s="18"/>
      <c r="AX723" s="18"/>
    </row>
    <row r="724" spans="1:50" x14ac:dyDescent="0.2">
      <c r="A724" s="4" t="s">
        <v>55</v>
      </c>
      <c r="B724" s="4" t="s">
        <v>56</v>
      </c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1" t="s">
        <v>555</v>
      </c>
      <c r="AB724" s="42" t="s">
        <v>233</v>
      </c>
      <c r="AC724" s="43" t="s">
        <v>58</v>
      </c>
      <c r="AD724" s="43">
        <v>1154000000</v>
      </c>
      <c r="AE724" s="44">
        <v>0</v>
      </c>
      <c r="AF724" s="44">
        <v>0</v>
      </c>
      <c r="AG724" s="43">
        <v>32000000</v>
      </c>
      <c r="AH724" s="44">
        <v>0</v>
      </c>
      <c r="AI724" s="43">
        <f t="shared" ref="AI724:AI730" si="270">AE724-AF724+AG724-AH724</f>
        <v>32000000</v>
      </c>
      <c r="AJ724" s="43">
        <f t="shared" ref="AJ724:AJ730" si="271">AD724+AI724</f>
        <v>1186000000</v>
      </c>
      <c r="AK724" s="44">
        <v>0</v>
      </c>
      <c r="AL724" s="44">
        <v>0</v>
      </c>
      <c r="AM724" s="43">
        <v>911454761</v>
      </c>
      <c r="AN724" s="44">
        <v>0</v>
      </c>
      <c r="AO724" s="43">
        <v>0</v>
      </c>
      <c r="AP724" s="43">
        <v>911454761</v>
      </c>
      <c r="AQ724" s="44">
        <v>0</v>
      </c>
      <c r="AR724" s="43">
        <v>113180029</v>
      </c>
      <c r="AS724" s="43">
        <v>235500815</v>
      </c>
      <c r="AT724" s="39">
        <f t="shared" si="264"/>
        <v>235500815</v>
      </c>
      <c r="AU724" s="18">
        <f t="shared" ref="AU724:AU730" si="272">AJ724-AM724</f>
        <v>274545239</v>
      </c>
      <c r="AV724" s="133">
        <f t="shared" ref="AV724:AV730" si="273">AM724-AP724</f>
        <v>0</v>
      </c>
      <c r="AW724" s="18">
        <f t="shared" ref="AW724:AW730" si="274">AP724-AT724</f>
        <v>675953946</v>
      </c>
      <c r="AX724" s="123">
        <f t="shared" ref="AX724:AX730" si="275">AP724/AJ724</f>
        <v>0.76851160286677911</v>
      </c>
    </row>
    <row r="725" spans="1:50" ht="25.5" x14ac:dyDescent="0.2">
      <c r="A725" s="4" t="s">
        <v>55</v>
      </c>
      <c r="B725" s="4" t="s">
        <v>56</v>
      </c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1" t="s">
        <v>556</v>
      </c>
      <c r="AB725" s="42" t="s">
        <v>279</v>
      </c>
      <c r="AC725" s="43" t="s">
        <v>253</v>
      </c>
      <c r="AD725" s="43">
        <v>3243996468</v>
      </c>
      <c r="AE725" s="44">
        <v>0</v>
      </c>
      <c r="AF725" s="44">
        <v>0</v>
      </c>
      <c r="AG725" s="44">
        <v>0</v>
      </c>
      <c r="AH725" s="44">
        <v>0</v>
      </c>
      <c r="AI725" s="44">
        <f t="shared" si="270"/>
        <v>0</v>
      </c>
      <c r="AJ725" s="43">
        <f t="shared" si="271"/>
        <v>3243996468</v>
      </c>
      <c r="AK725" s="44">
        <v>0</v>
      </c>
      <c r="AL725" s="43">
        <v>-21867445.07</v>
      </c>
      <c r="AM725" s="43">
        <v>3043338030.6500001</v>
      </c>
      <c r="AN725" s="44">
        <v>0</v>
      </c>
      <c r="AO725" s="43">
        <v>-21867445.07</v>
      </c>
      <c r="AP725" s="43">
        <v>3043338030.6500001</v>
      </c>
      <c r="AQ725" s="43">
        <v>50773211</v>
      </c>
      <c r="AR725" s="43">
        <v>320839931.93000001</v>
      </c>
      <c r="AS725" s="43">
        <v>542817211.64999998</v>
      </c>
      <c r="AT725" s="39">
        <f t="shared" si="264"/>
        <v>593590422.64999998</v>
      </c>
      <c r="AU725" s="18">
        <f t="shared" si="272"/>
        <v>200658437.3499999</v>
      </c>
      <c r="AV725" s="133">
        <f t="shared" si="273"/>
        <v>0</v>
      </c>
      <c r="AW725" s="18">
        <f t="shared" si="274"/>
        <v>2449747608</v>
      </c>
      <c r="AX725" s="123">
        <f t="shared" si="275"/>
        <v>0.93814468069574974</v>
      </c>
    </row>
    <row r="726" spans="1:50" ht="38.25" x14ac:dyDescent="0.2">
      <c r="A726" s="4" t="s">
        <v>55</v>
      </c>
      <c r="B726" s="4" t="s">
        <v>56</v>
      </c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1" t="s">
        <v>557</v>
      </c>
      <c r="AB726" s="42" t="s">
        <v>558</v>
      </c>
      <c r="AC726" s="43" t="s">
        <v>368</v>
      </c>
      <c r="AD726" s="43">
        <v>101429564.34</v>
      </c>
      <c r="AE726" s="44">
        <v>0</v>
      </c>
      <c r="AF726" s="44">
        <v>0</v>
      </c>
      <c r="AG726" s="44">
        <v>0</v>
      </c>
      <c r="AH726" s="44">
        <v>0</v>
      </c>
      <c r="AI726" s="44">
        <f t="shared" si="270"/>
        <v>0</v>
      </c>
      <c r="AJ726" s="43">
        <f t="shared" si="271"/>
        <v>101429564.34</v>
      </c>
      <c r="AK726" s="44">
        <v>0</v>
      </c>
      <c r="AL726" s="44">
        <v>0</v>
      </c>
      <c r="AM726" s="44">
        <v>0</v>
      </c>
      <c r="AN726" s="44">
        <v>0</v>
      </c>
      <c r="AO726" s="44">
        <v>0</v>
      </c>
      <c r="AP726" s="44">
        <v>0</v>
      </c>
      <c r="AQ726" s="44">
        <v>0</v>
      </c>
      <c r="AR726" s="44">
        <v>0</v>
      </c>
      <c r="AS726" s="44">
        <v>0</v>
      </c>
      <c r="AT726" s="40">
        <f t="shared" si="264"/>
        <v>0</v>
      </c>
      <c r="AU726" s="18">
        <f t="shared" si="272"/>
        <v>101429564.34</v>
      </c>
      <c r="AV726" s="34">
        <f t="shared" si="273"/>
        <v>0</v>
      </c>
      <c r="AW726" s="34">
        <f t="shared" si="274"/>
        <v>0</v>
      </c>
      <c r="AX726" s="123">
        <f t="shared" si="275"/>
        <v>0</v>
      </c>
    </row>
    <row r="727" spans="1:50" ht="25.5" x14ac:dyDescent="0.2">
      <c r="A727" s="4" t="s">
        <v>55</v>
      </c>
      <c r="B727" s="4" t="s">
        <v>56</v>
      </c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1" t="s">
        <v>559</v>
      </c>
      <c r="AB727" s="42" t="s">
        <v>540</v>
      </c>
      <c r="AC727" s="43" t="s">
        <v>253</v>
      </c>
      <c r="AD727" s="43">
        <v>1690003316</v>
      </c>
      <c r="AE727" s="44">
        <v>0</v>
      </c>
      <c r="AF727" s="44">
        <v>0</v>
      </c>
      <c r="AG727" s="44">
        <v>0</v>
      </c>
      <c r="AH727" s="44">
        <v>0</v>
      </c>
      <c r="AI727" s="44">
        <f t="shared" si="270"/>
        <v>0</v>
      </c>
      <c r="AJ727" s="43">
        <f t="shared" si="271"/>
        <v>1690003316</v>
      </c>
      <c r="AK727" s="44">
        <v>0</v>
      </c>
      <c r="AL727" s="44">
        <v>0</v>
      </c>
      <c r="AM727" s="43">
        <v>1661510016</v>
      </c>
      <c r="AN727" s="44">
        <v>0</v>
      </c>
      <c r="AO727" s="44">
        <v>0</v>
      </c>
      <c r="AP727" s="43">
        <v>1661510016</v>
      </c>
      <c r="AQ727" s="34">
        <v>0</v>
      </c>
      <c r="AR727" s="18">
        <v>64663938</v>
      </c>
      <c r="AS727" s="18">
        <v>364561746</v>
      </c>
      <c r="AT727" s="39">
        <f t="shared" si="264"/>
        <v>364561746</v>
      </c>
      <c r="AU727" s="18">
        <f t="shared" si="272"/>
        <v>28493300</v>
      </c>
      <c r="AV727" s="34">
        <f t="shared" si="273"/>
        <v>0</v>
      </c>
      <c r="AW727" s="18">
        <f t="shared" si="274"/>
        <v>1296948270</v>
      </c>
      <c r="AX727" s="123">
        <f t="shared" si="275"/>
        <v>0.98314009225293142</v>
      </c>
    </row>
    <row r="728" spans="1:50" ht="38.25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1" t="s">
        <v>1088</v>
      </c>
      <c r="AB728" s="42" t="s">
        <v>1089</v>
      </c>
      <c r="AC728" s="43"/>
      <c r="AD728" s="44">
        <v>0</v>
      </c>
      <c r="AE728" s="43">
        <v>56264221.140000001</v>
      </c>
      <c r="AF728" s="44">
        <v>0</v>
      </c>
      <c r="AG728" s="44">
        <v>0</v>
      </c>
      <c r="AH728" s="44">
        <v>0</v>
      </c>
      <c r="AI728" s="43">
        <f t="shared" si="270"/>
        <v>56264221.140000001</v>
      </c>
      <c r="AJ728" s="43">
        <f t="shared" si="271"/>
        <v>56264221.140000001</v>
      </c>
      <c r="AK728" s="44">
        <v>0</v>
      </c>
      <c r="AL728" s="44">
        <v>0</v>
      </c>
      <c r="AM728" s="44">
        <v>0</v>
      </c>
      <c r="AN728" s="44">
        <v>0</v>
      </c>
      <c r="AO728" s="44">
        <v>0</v>
      </c>
      <c r="AP728" s="44">
        <v>0</v>
      </c>
      <c r="AQ728" s="34">
        <v>0</v>
      </c>
      <c r="AR728" s="34">
        <v>0</v>
      </c>
      <c r="AS728" s="34">
        <v>0</v>
      </c>
      <c r="AT728" s="40">
        <f t="shared" ref="AT728" si="276">AQ728+AS728</f>
        <v>0</v>
      </c>
      <c r="AU728" s="18">
        <f t="shared" si="272"/>
        <v>56264221.140000001</v>
      </c>
      <c r="AV728" s="34">
        <f t="shared" si="273"/>
        <v>0</v>
      </c>
      <c r="AW728" s="18">
        <f t="shared" si="274"/>
        <v>0</v>
      </c>
      <c r="AX728" s="123">
        <f t="shared" si="275"/>
        <v>0</v>
      </c>
    </row>
    <row r="729" spans="1:50" ht="25.5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1" t="s">
        <v>1090</v>
      </c>
      <c r="AB729" s="42" t="s">
        <v>1011</v>
      </c>
      <c r="AC729" s="43"/>
      <c r="AD729" s="44">
        <v>0</v>
      </c>
      <c r="AE729" s="43">
        <v>1134339181.01</v>
      </c>
      <c r="AF729" s="44">
        <v>0</v>
      </c>
      <c r="AG729" s="44">
        <v>0</v>
      </c>
      <c r="AH729" s="44">
        <v>0</v>
      </c>
      <c r="AI729" s="43">
        <f t="shared" si="270"/>
        <v>1134339181.01</v>
      </c>
      <c r="AJ729" s="43">
        <f t="shared" si="271"/>
        <v>1134339181.01</v>
      </c>
      <c r="AK729" s="44">
        <v>0</v>
      </c>
      <c r="AL729" s="44">
        <v>0</v>
      </c>
      <c r="AM729" s="44">
        <v>0</v>
      </c>
      <c r="AN729" s="44"/>
      <c r="AO729" s="44">
        <v>0</v>
      </c>
      <c r="AP729" s="44">
        <v>0</v>
      </c>
      <c r="AQ729" s="34">
        <v>0</v>
      </c>
      <c r="AR729" s="34">
        <v>0</v>
      </c>
      <c r="AS729" s="34">
        <v>0</v>
      </c>
      <c r="AT729" s="40">
        <v>0</v>
      </c>
      <c r="AU729" s="18">
        <f t="shared" si="272"/>
        <v>1134339181.01</v>
      </c>
      <c r="AV729" s="34">
        <f t="shared" si="273"/>
        <v>0</v>
      </c>
      <c r="AW729" s="18">
        <f t="shared" si="274"/>
        <v>0</v>
      </c>
      <c r="AX729" s="123">
        <f t="shared" si="275"/>
        <v>0</v>
      </c>
    </row>
    <row r="730" spans="1:50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1" t="s">
        <v>1091</v>
      </c>
      <c r="AB730" s="42" t="s">
        <v>1015</v>
      </c>
      <c r="AC730" s="43"/>
      <c r="AD730" s="44">
        <v>0</v>
      </c>
      <c r="AE730" s="43">
        <v>300000000</v>
      </c>
      <c r="AF730" s="44">
        <v>0</v>
      </c>
      <c r="AG730" s="44">
        <v>0</v>
      </c>
      <c r="AH730" s="44">
        <v>0</v>
      </c>
      <c r="AI730" s="43">
        <f t="shared" si="270"/>
        <v>300000000</v>
      </c>
      <c r="AJ730" s="43">
        <f t="shared" si="271"/>
        <v>300000000</v>
      </c>
      <c r="AK730" s="44"/>
      <c r="AL730" s="44"/>
      <c r="AM730" s="43"/>
      <c r="AN730" s="44"/>
      <c r="AO730" s="44">
        <v>0</v>
      </c>
      <c r="AP730" s="44">
        <v>0</v>
      </c>
      <c r="AQ730" s="34">
        <v>0</v>
      </c>
      <c r="AR730" s="34">
        <v>0</v>
      </c>
      <c r="AS730" s="34">
        <v>0</v>
      </c>
      <c r="AT730" s="40">
        <v>0</v>
      </c>
      <c r="AU730" s="18">
        <f t="shared" si="272"/>
        <v>300000000</v>
      </c>
      <c r="AV730" s="34">
        <f t="shared" si="273"/>
        <v>0</v>
      </c>
      <c r="AW730" s="18">
        <f t="shared" si="274"/>
        <v>0</v>
      </c>
      <c r="AX730" s="123">
        <f t="shared" si="275"/>
        <v>0</v>
      </c>
    </row>
    <row r="731" spans="1:50" ht="25.5" x14ac:dyDescent="0.2">
      <c r="AA731" s="28" t="s">
        <v>288</v>
      </c>
      <c r="AB731" s="29" t="s">
        <v>560</v>
      </c>
      <c r="AC731" s="17"/>
      <c r="AD731" s="18"/>
      <c r="AE731" s="34"/>
      <c r="AF731" s="34"/>
      <c r="AG731" s="34"/>
      <c r="AH731" s="34"/>
      <c r="AI731" s="34"/>
      <c r="AJ731" s="18"/>
      <c r="AK731" s="18"/>
      <c r="AL731" s="18"/>
      <c r="AM731" s="18"/>
      <c r="AN731" s="34"/>
      <c r="AO731" s="34"/>
      <c r="AP731" s="18"/>
      <c r="AQ731" s="34"/>
      <c r="AR731" s="34"/>
      <c r="AS731" s="34"/>
      <c r="AT731" s="40"/>
      <c r="AU731" s="18"/>
      <c r="AV731" s="18"/>
      <c r="AW731" s="18"/>
      <c r="AX731" s="18"/>
    </row>
    <row r="732" spans="1:50" x14ac:dyDescent="0.2">
      <c r="A732" s="4" t="s">
        <v>55</v>
      </c>
      <c r="B732" s="4" t="s">
        <v>56</v>
      </c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1" t="s">
        <v>561</v>
      </c>
      <c r="AB732" s="42" t="s">
        <v>233</v>
      </c>
      <c r="AC732" s="43" t="s">
        <v>58</v>
      </c>
      <c r="AD732" s="43">
        <v>510000000</v>
      </c>
      <c r="AE732" s="44">
        <v>0</v>
      </c>
      <c r="AF732" s="44">
        <v>0</v>
      </c>
      <c r="AG732" s="43">
        <v>20000000</v>
      </c>
      <c r="AH732" s="44">
        <v>0</v>
      </c>
      <c r="AI732" s="43">
        <f>AE732-AF732+AG732-AH732</f>
        <v>20000000</v>
      </c>
      <c r="AJ732" s="43">
        <f>AD732+AI732</f>
        <v>530000000</v>
      </c>
      <c r="AK732" s="44">
        <v>0</v>
      </c>
      <c r="AL732" s="43">
        <v>1400000</v>
      </c>
      <c r="AM732" s="43">
        <v>170200000</v>
      </c>
      <c r="AN732" s="44">
        <v>0</v>
      </c>
      <c r="AO732" s="44">
        <v>1400000</v>
      </c>
      <c r="AP732" s="114">
        <v>170200000</v>
      </c>
      <c r="AQ732" s="18">
        <v>0</v>
      </c>
      <c r="AR732" s="18">
        <v>20600000</v>
      </c>
      <c r="AS732" s="18">
        <v>46423333</v>
      </c>
      <c r="AT732" s="39">
        <f t="shared" ref="AT732:AT733" si="277">AQ732+AS732</f>
        <v>46423333</v>
      </c>
      <c r="AU732" s="18">
        <f>AJ732-AM732</f>
        <v>359800000</v>
      </c>
      <c r="AV732" s="110">
        <f>AM732-AP732</f>
        <v>0</v>
      </c>
      <c r="AW732" s="18">
        <f>AP732-AT732</f>
        <v>123776667</v>
      </c>
      <c r="AX732" s="123">
        <f>AP732/AJ732</f>
        <v>0.32113207547169809</v>
      </c>
    </row>
    <row r="733" spans="1:50" ht="18.75" customHeight="1" x14ac:dyDescent="0.2">
      <c r="A733" s="4" t="s">
        <v>55</v>
      </c>
      <c r="B733" s="4" t="s">
        <v>56</v>
      </c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1" t="s">
        <v>562</v>
      </c>
      <c r="AB733" s="42" t="s">
        <v>382</v>
      </c>
      <c r="AC733" s="43" t="s">
        <v>383</v>
      </c>
      <c r="AD733" s="43">
        <v>770000000</v>
      </c>
      <c r="AE733" s="44">
        <v>0</v>
      </c>
      <c r="AF733" s="44">
        <v>0</v>
      </c>
      <c r="AG733" s="44">
        <v>0</v>
      </c>
      <c r="AH733" s="44">
        <v>0</v>
      </c>
      <c r="AI733" s="44">
        <v>0</v>
      </c>
      <c r="AJ733" s="43">
        <v>770000000</v>
      </c>
      <c r="AK733" s="44">
        <v>0</v>
      </c>
      <c r="AL733" s="44">
        <v>0</v>
      </c>
      <c r="AM733" s="44">
        <v>0</v>
      </c>
      <c r="AN733" s="44">
        <v>0</v>
      </c>
      <c r="AO733" s="44">
        <v>0</v>
      </c>
      <c r="AP733" s="114">
        <v>0</v>
      </c>
      <c r="AQ733" s="34">
        <v>0</v>
      </c>
      <c r="AR733" s="34">
        <v>0</v>
      </c>
      <c r="AS733" s="34">
        <v>0</v>
      </c>
      <c r="AT733" s="40">
        <f t="shared" si="277"/>
        <v>0</v>
      </c>
      <c r="AU733" s="18">
        <f>AJ733-AM733</f>
        <v>770000000</v>
      </c>
      <c r="AV733" s="34">
        <f>AM733-AP733</f>
        <v>0</v>
      </c>
      <c r="AW733" s="34">
        <f>AP733-AT733</f>
        <v>0</v>
      </c>
      <c r="AX733" s="123">
        <f>AP733/AJ733</f>
        <v>0</v>
      </c>
    </row>
    <row r="734" spans="1:50" ht="18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1" t="s">
        <v>1235</v>
      </c>
      <c r="AB734" s="42" t="s">
        <v>1015</v>
      </c>
      <c r="AC734" s="43"/>
      <c r="AD734" s="43">
        <v>0</v>
      </c>
      <c r="AE734" s="43">
        <v>25000000</v>
      </c>
      <c r="AF734" s="44">
        <v>0</v>
      </c>
      <c r="AG734" s="44">
        <v>0</v>
      </c>
      <c r="AH734" s="44">
        <v>0</v>
      </c>
      <c r="AI734" s="43">
        <f>AE734-AF734+AG734-AH734</f>
        <v>25000000</v>
      </c>
      <c r="AJ734" s="43">
        <f>AD734+AI734</f>
        <v>25000000</v>
      </c>
      <c r="AK734" s="44">
        <v>0</v>
      </c>
      <c r="AL734" s="44">
        <v>0</v>
      </c>
      <c r="AM734" s="44">
        <v>0</v>
      </c>
      <c r="AN734" s="44">
        <v>0</v>
      </c>
      <c r="AO734" s="44">
        <v>0</v>
      </c>
      <c r="AP734" s="114">
        <v>0</v>
      </c>
      <c r="AQ734" s="34">
        <v>0</v>
      </c>
      <c r="AR734" s="34">
        <v>0</v>
      </c>
      <c r="AS734" s="34">
        <v>0</v>
      </c>
      <c r="AT734" s="39">
        <f t="shared" ref="AT734" si="278">AQ734+AS734</f>
        <v>0</v>
      </c>
      <c r="AU734" s="18">
        <f>AJ734-AM734</f>
        <v>25000000</v>
      </c>
      <c r="AV734" s="110">
        <f>AM734-AP734</f>
        <v>0</v>
      </c>
      <c r="AW734" s="18">
        <f>AP734-AT734</f>
        <v>0</v>
      </c>
      <c r="AX734" s="123">
        <f>AP734/AJ734</f>
        <v>0</v>
      </c>
    </row>
    <row r="735" spans="1:50" ht="25.5" customHeight="1" x14ac:dyDescent="0.2">
      <c r="AA735" s="28" t="s">
        <v>288</v>
      </c>
      <c r="AB735" s="29" t="s">
        <v>563</v>
      </c>
      <c r="AC735" s="17"/>
      <c r="AD735" s="18"/>
      <c r="AE735" s="34"/>
      <c r="AF735" s="34"/>
      <c r="AG735" s="34"/>
      <c r="AH735" s="34"/>
      <c r="AI735" s="34"/>
      <c r="AJ735" s="18"/>
      <c r="AK735" s="18"/>
      <c r="AL735" s="18"/>
      <c r="AM735" s="18"/>
      <c r="AN735" s="18"/>
      <c r="AO735" s="18"/>
      <c r="AP735" s="110"/>
      <c r="AQ735" s="34"/>
      <c r="AR735" s="34"/>
      <c r="AS735" s="34"/>
      <c r="AT735" s="40"/>
      <c r="AU735" s="18"/>
      <c r="AV735" s="18"/>
      <c r="AW735" s="18"/>
      <c r="AX735" s="18"/>
    </row>
    <row r="736" spans="1:50" ht="18.75" customHeight="1" x14ac:dyDescent="0.2">
      <c r="A736" s="4" t="s">
        <v>55</v>
      </c>
      <c r="B736" s="4" t="s">
        <v>56</v>
      </c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1" t="s">
        <v>564</v>
      </c>
      <c r="AB736" s="42" t="s">
        <v>233</v>
      </c>
      <c r="AC736" s="43" t="s">
        <v>58</v>
      </c>
      <c r="AD736" s="43">
        <v>150000000</v>
      </c>
      <c r="AE736" s="44">
        <v>0</v>
      </c>
      <c r="AF736" s="44">
        <v>0</v>
      </c>
      <c r="AG736" s="43">
        <f>200000000+318600000</f>
        <v>518600000</v>
      </c>
      <c r="AH736" s="44">
        <v>0</v>
      </c>
      <c r="AI736" s="43">
        <f>AE736-AF736+AG736-AH736</f>
        <v>518600000</v>
      </c>
      <c r="AJ736" s="43">
        <f>AD736+AI736</f>
        <v>668600000</v>
      </c>
      <c r="AK736" s="44">
        <v>0</v>
      </c>
      <c r="AL736" s="114">
        <v>56000000</v>
      </c>
      <c r="AM736" s="114">
        <v>198400000</v>
      </c>
      <c r="AN736" s="44">
        <v>0</v>
      </c>
      <c r="AO736" s="43">
        <v>80000000</v>
      </c>
      <c r="AP736" s="43">
        <v>198400000</v>
      </c>
      <c r="AQ736" s="18">
        <v>0</v>
      </c>
      <c r="AR736" s="18">
        <v>14800000</v>
      </c>
      <c r="AS736" s="18">
        <v>30413333</v>
      </c>
      <c r="AT736" s="39">
        <f t="shared" ref="AT736:AT737" si="279">AQ736+AS736</f>
        <v>30413333</v>
      </c>
      <c r="AU736" s="18">
        <f>AJ736-AM736</f>
        <v>470200000</v>
      </c>
      <c r="AV736" s="18">
        <f>AM736-AP736</f>
        <v>0</v>
      </c>
      <c r="AW736" s="110">
        <f>AP736-AT736</f>
        <v>167986667</v>
      </c>
      <c r="AX736" s="123">
        <f>AP736/AJ736</f>
        <v>0.29673945557882142</v>
      </c>
    </row>
    <row r="737" spans="1:50" ht="18.75" customHeight="1" x14ac:dyDescent="0.2">
      <c r="A737" s="4" t="s">
        <v>55</v>
      </c>
      <c r="B737" s="4" t="s">
        <v>56</v>
      </c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1" t="s">
        <v>565</v>
      </c>
      <c r="AB737" s="42" t="s">
        <v>382</v>
      </c>
      <c r="AC737" s="43" t="s">
        <v>383</v>
      </c>
      <c r="AD737" s="43">
        <v>1110000000</v>
      </c>
      <c r="AE737" s="44">
        <v>0</v>
      </c>
      <c r="AF737" s="44">
        <v>0</v>
      </c>
      <c r="AG737" s="44">
        <v>0</v>
      </c>
      <c r="AH737" s="44">
        <v>0</v>
      </c>
      <c r="AI737" s="44">
        <v>0</v>
      </c>
      <c r="AJ737" s="43">
        <v>1110000000</v>
      </c>
      <c r="AK737" s="44">
        <v>0</v>
      </c>
      <c r="AL737" s="115">
        <v>0</v>
      </c>
      <c r="AM737" s="114">
        <v>1016234191</v>
      </c>
      <c r="AN737" s="44">
        <v>0</v>
      </c>
      <c r="AO737" s="43">
        <v>839419333</v>
      </c>
      <c r="AP737" s="43">
        <v>1016234191</v>
      </c>
      <c r="AQ737" s="18">
        <v>10306668</v>
      </c>
      <c r="AR737" s="18">
        <v>10440000</v>
      </c>
      <c r="AS737" s="18">
        <v>13050000</v>
      </c>
      <c r="AT737" s="39">
        <f t="shared" si="279"/>
        <v>23356668</v>
      </c>
      <c r="AU737" s="18">
        <f>AJ737-AM737</f>
        <v>93765809</v>
      </c>
      <c r="AV737" s="18">
        <f>AM737-AP737</f>
        <v>0</v>
      </c>
      <c r="AW737" s="110">
        <f>AP737-AT737</f>
        <v>992877523</v>
      </c>
      <c r="AX737" s="123">
        <f>AP737/AJ737</f>
        <v>0.9155262981981982</v>
      </c>
    </row>
    <row r="738" spans="1:50" ht="18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1" t="s">
        <v>1098</v>
      </c>
      <c r="AB738" s="42" t="s">
        <v>1015</v>
      </c>
      <c r="AC738" s="43"/>
      <c r="AD738" s="43">
        <v>0</v>
      </c>
      <c r="AE738" s="43">
        <v>326400000</v>
      </c>
      <c r="AF738" s="44">
        <v>0</v>
      </c>
      <c r="AG738" s="44">
        <v>0</v>
      </c>
      <c r="AH738" s="44">
        <v>0</v>
      </c>
      <c r="AI738" s="43">
        <f>AE738-AF738+AG738-AH738</f>
        <v>326400000</v>
      </c>
      <c r="AJ738" s="43">
        <f>AD738+AI738</f>
        <v>326400000</v>
      </c>
      <c r="AK738" s="44">
        <v>0</v>
      </c>
      <c r="AL738" s="115">
        <v>0</v>
      </c>
      <c r="AM738" s="114">
        <v>0</v>
      </c>
      <c r="AN738" s="44">
        <v>0</v>
      </c>
      <c r="AO738" s="43">
        <v>0</v>
      </c>
      <c r="AP738" s="43">
        <v>0</v>
      </c>
      <c r="AQ738" s="18">
        <v>0</v>
      </c>
      <c r="AR738" s="18">
        <v>0</v>
      </c>
      <c r="AS738" s="18">
        <v>0</v>
      </c>
      <c r="AT738" s="39">
        <f t="shared" ref="AT738" si="280">AQ738+AS738</f>
        <v>0</v>
      </c>
      <c r="AU738" s="18">
        <f>AJ738-AM738</f>
        <v>326400000</v>
      </c>
      <c r="AV738" s="18">
        <f>AM738-AP738</f>
        <v>0</v>
      </c>
      <c r="AW738" s="110">
        <f>AP738-AT738</f>
        <v>0</v>
      </c>
      <c r="AX738" s="123">
        <f>AP738/AJ738</f>
        <v>0</v>
      </c>
    </row>
    <row r="739" spans="1:50" ht="18.75" customHeight="1" x14ac:dyDescent="0.2">
      <c r="AA739" s="28" t="s">
        <v>288</v>
      </c>
      <c r="AB739" s="29" t="s">
        <v>566</v>
      </c>
      <c r="AC739" s="17"/>
      <c r="AD739" s="18"/>
      <c r="AE739" s="34"/>
      <c r="AF739" s="34"/>
      <c r="AG739" s="34"/>
      <c r="AH739" s="34"/>
      <c r="AI739" s="34"/>
      <c r="AJ739" s="18"/>
      <c r="AK739" s="18"/>
      <c r="AL739" s="18"/>
      <c r="AM739" s="18"/>
      <c r="AN739" s="18"/>
      <c r="AO739" s="18"/>
      <c r="AP739" s="110"/>
      <c r="AQ739" s="18"/>
      <c r="AR739" s="18"/>
      <c r="AS739" s="18"/>
      <c r="AT739" s="30"/>
      <c r="AU739" s="18"/>
      <c r="AV739" s="18"/>
      <c r="AW739" s="18"/>
      <c r="AX739" s="18"/>
    </row>
    <row r="740" spans="1:50" ht="18.75" customHeight="1" x14ac:dyDescent="0.2">
      <c r="A740" s="4" t="s">
        <v>55</v>
      </c>
      <c r="B740" s="4" t="s">
        <v>56</v>
      </c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1" t="s">
        <v>567</v>
      </c>
      <c r="AB740" s="42" t="s">
        <v>233</v>
      </c>
      <c r="AC740" s="43" t="s">
        <v>58</v>
      </c>
      <c r="AD740" s="43">
        <v>771000000</v>
      </c>
      <c r="AE740" s="44">
        <v>0</v>
      </c>
      <c r="AF740" s="44">
        <v>0</v>
      </c>
      <c r="AG740" s="44">
        <v>0</v>
      </c>
      <c r="AH740" s="44">
        <v>0</v>
      </c>
      <c r="AI740" s="44">
        <v>0</v>
      </c>
      <c r="AJ740" s="43">
        <v>771000000</v>
      </c>
      <c r="AK740" s="44">
        <v>0</v>
      </c>
      <c r="AL740" s="43">
        <v>14253667.77</v>
      </c>
      <c r="AM740" s="43">
        <v>456186738.85000002</v>
      </c>
      <c r="AN740" s="43">
        <v>0</v>
      </c>
      <c r="AO740" s="114">
        <v>14253667.77</v>
      </c>
      <c r="AP740" s="114">
        <v>456186738.85000002</v>
      </c>
      <c r="AQ740" s="43">
        <v>1500000</v>
      </c>
      <c r="AR740" s="43">
        <v>62353667.770000003</v>
      </c>
      <c r="AS740" s="43">
        <v>198006739.84999999</v>
      </c>
      <c r="AT740" s="39">
        <f t="shared" si="264"/>
        <v>199506739.84999999</v>
      </c>
      <c r="AU740" s="18">
        <f>AJ740-AM740</f>
        <v>314813261.14999998</v>
      </c>
      <c r="AV740" s="34">
        <f>AM740-AP740</f>
        <v>0</v>
      </c>
      <c r="AW740" s="18">
        <f>AP740-AT740</f>
        <v>256679999.00000003</v>
      </c>
      <c r="AX740" s="123">
        <f>AP740/AJ740</f>
        <v>0.59168189215304801</v>
      </c>
    </row>
    <row r="741" spans="1:50" ht="18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1" t="s">
        <v>567</v>
      </c>
      <c r="AB741" s="42" t="s">
        <v>1015</v>
      </c>
      <c r="AC741" s="43"/>
      <c r="AD741" s="43">
        <v>0</v>
      </c>
      <c r="AE741" s="43">
        <v>883600000</v>
      </c>
      <c r="AF741" s="44">
        <v>0</v>
      </c>
      <c r="AG741" s="44">
        <v>0</v>
      </c>
      <c r="AH741" s="44">
        <v>0</v>
      </c>
      <c r="AI741" s="43">
        <f>AE741-AF741+AG741-AH741</f>
        <v>883600000</v>
      </c>
      <c r="AJ741" s="43">
        <f>AD741+AI741</f>
        <v>883600000</v>
      </c>
      <c r="AK741" s="44">
        <v>0</v>
      </c>
      <c r="AL741" s="44">
        <v>0</v>
      </c>
      <c r="AM741" s="44">
        <v>0</v>
      </c>
      <c r="AN741" s="43">
        <v>0</v>
      </c>
      <c r="AO741" s="114">
        <v>0</v>
      </c>
      <c r="AP741" s="114">
        <v>0</v>
      </c>
      <c r="AQ741" s="43">
        <v>0</v>
      </c>
      <c r="AR741" s="43">
        <v>0</v>
      </c>
      <c r="AS741" s="43">
        <v>0</v>
      </c>
      <c r="AT741" s="39">
        <f t="shared" si="264"/>
        <v>0</v>
      </c>
      <c r="AU741" s="18">
        <f>AJ741-AM741</f>
        <v>883600000</v>
      </c>
      <c r="AV741" s="18">
        <f>AM741-AP741</f>
        <v>0</v>
      </c>
      <c r="AW741" s="110">
        <f>AP741-AT741</f>
        <v>0</v>
      </c>
      <c r="AX741" s="123">
        <f>AP741/AJ741</f>
        <v>0</v>
      </c>
    </row>
    <row r="742" spans="1:50" ht="18.75" customHeight="1" x14ac:dyDescent="0.2">
      <c r="AA742" s="28" t="s">
        <v>288</v>
      </c>
      <c r="AB742" s="29" t="s">
        <v>568</v>
      </c>
      <c r="AC742" s="17"/>
      <c r="AD742" s="18"/>
      <c r="AE742" s="34"/>
      <c r="AF742" s="34"/>
      <c r="AG742" s="34"/>
      <c r="AH742" s="34"/>
      <c r="AI742" s="34"/>
      <c r="AJ742" s="18"/>
      <c r="AK742" s="34"/>
      <c r="AL742" s="18"/>
      <c r="AM742" s="18"/>
      <c r="AN742" s="18"/>
      <c r="AO742" s="110"/>
      <c r="AP742" s="110"/>
      <c r="AQ742" s="18"/>
      <c r="AR742" s="18"/>
      <c r="AS742" s="18"/>
      <c r="AT742" s="30"/>
      <c r="AU742" s="18"/>
      <c r="AV742" s="18"/>
      <c r="AW742" s="18"/>
      <c r="AX742" s="18"/>
    </row>
    <row r="743" spans="1:50" ht="18.75" customHeight="1" x14ac:dyDescent="0.2">
      <c r="A743" s="4" t="s">
        <v>55</v>
      </c>
      <c r="B743" s="4" t="s">
        <v>56</v>
      </c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1" t="s">
        <v>569</v>
      </c>
      <c r="AB743" s="42" t="s">
        <v>233</v>
      </c>
      <c r="AC743" s="43" t="s">
        <v>58</v>
      </c>
      <c r="AD743" s="43">
        <v>230000000</v>
      </c>
      <c r="AE743" s="44">
        <v>0</v>
      </c>
      <c r="AF743" s="44">
        <v>0</v>
      </c>
      <c r="AG743" s="44">
        <v>0</v>
      </c>
      <c r="AH743" s="44">
        <v>0</v>
      </c>
      <c r="AI743" s="44">
        <v>0</v>
      </c>
      <c r="AJ743" s="43">
        <v>230000000</v>
      </c>
      <c r="AK743" s="44">
        <v>0</v>
      </c>
      <c r="AL743" s="43">
        <v>-12424859</v>
      </c>
      <c r="AM743" s="43">
        <v>177731290</v>
      </c>
      <c r="AN743" s="44">
        <v>0</v>
      </c>
      <c r="AO743" s="114">
        <v>13731290</v>
      </c>
      <c r="AP743" s="114">
        <v>177731290</v>
      </c>
      <c r="AQ743" s="18">
        <v>0</v>
      </c>
      <c r="AR743" s="18">
        <v>20500000</v>
      </c>
      <c r="AS743" s="18">
        <v>53866667</v>
      </c>
      <c r="AT743" s="39">
        <f t="shared" si="264"/>
        <v>53866667</v>
      </c>
      <c r="AU743" s="18">
        <f>AJ743-AM743</f>
        <v>52268710</v>
      </c>
      <c r="AV743" s="34">
        <f>AM743-AP743</f>
        <v>0</v>
      </c>
      <c r="AW743" s="18">
        <f>AP743-AT743</f>
        <v>123864623</v>
      </c>
      <c r="AX743" s="123">
        <f>AP743/AJ743</f>
        <v>0.77274473913043473</v>
      </c>
    </row>
    <row r="744" spans="1:50" ht="18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1" t="s">
        <v>1099</v>
      </c>
      <c r="AB744" s="42" t="s">
        <v>1015</v>
      </c>
      <c r="AC744" s="43"/>
      <c r="AD744" s="43">
        <v>0</v>
      </c>
      <c r="AE744" s="43">
        <v>65000000</v>
      </c>
      <c r="AF744" s="44">
        <v>0</v>
      </c>
      <c r="AG744" s="44">
        <v>0</v>
      </c>
      <c r="AH744" s="44">
        <v>0</v>
      </c>
      <c r="AI744" s="43">
        <f>AE744-AF744+AG744-AH744</f>
        <v>65000000</v>
      </c>
      <c r="AJ744" s="43">
        <f>AD744+AI744</f>
        <v>65000000</v>
      </c>
      <c r="AK744" s="44">
        <v>0</v>
      </c>
      <c r="AL744" s="44">
        <v>0</v>
      </c>
      <c r="AM744" s="44">
        <v>0</v>
      </c>
      <c r="AN744" s="44">
        <v>0</v>
      </c>
      <c r="AO744" s="114">
        <v>0</v>
      </c>
      <c r="AP744" s="114">
        <v>0</v>
      </c>
      <c r="AQ744" s="18">
        <v>0</v>
      </c>
      <c r="AR744" s="18">
        <v>0</v>
      </c>
      <c r="AS744" s="18">
        <v>0</v>
      </c>
      <c r="AT744" s="39">
        <f t="shared" si="264"/>
        <v>0</v>
      </c>
      <c r="AU744" s="18">
        <f>AJ744-AM744</f>
        <v>65000000</v>
      </c>
      <c r="AV744" s="18">
        <f>AM744-AP744</f>
        <v>0</v>
      </c>
      <c r="AW744" s="110">
        <f>AP744-AT744</f>
        <v>0</v>
      </c>
      <c r="AX744" s="123">
        <f>AP744/AJ744</f>
        <v>0</v>
      </c>
    </row>
    <row r="745" spans="1:50" ht="18.75" customHeight="1" x14ac:dyDescent="0.2">
      <c r="AA745" s="28" t="s">
        <v>288</v>
      </c>
      <c r="AB745" s="29" t="s">
        <v>570</v>
      </c>
      <c r="AC745" s="17"/>
      <c r="AD745" s="18"/>
      <c r="AE745" s="34"/>
      <c r="AF745" s="34"/>
      <c r="AG745" s="34"/>
      <c r="AH745" s="34"/>
      <c r="AI745" s="34"/>
      <c r="AJ745" s="18"/>
      <c r="AK745" s="34"/>
      <c r="AL745" s="18"/>
      <c r="AM745" s="18"/>
      <c r="AN745" s="34"/>
      <c r="AO745" s="110"/>
      <c r="AP745" s="110"/>
      <c r="AQ745" s="18"/>
      <c r="AR745" s="18"/>
      <c r="AS745" s="18"/>
      <c r="AT745" s="39"/>
      <c r="AU745" s="18"/>
      <c r="AV745" s="18"/>
      <c r="AW745" s="18"/>
      <c r="AX745" s="18"/>
    </row>
    <row r="746" spans="1:50" ht="18.75" customHeight="1" x14ac:dyDescent="0.2">
      <c r="A746" s="4" t="s">
        <v>55</v>
      </c>
      <c r="B746" s="4" t="s">
        <v>56</v>
      </c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1" t="s">
        <v>571</v>
      </c>
      <c r="AB746" s="42" t="s">
        <v>233</v>
      </c>
      <c r="AC746" s="43" t="s">
        <v>58</v>
      </c>
      <c r="AD746" s="43">
        <v>300000000</v>
      </c>
      <c r="AE746" s="44">
        <v>0</v>
      </c>
      <c r="AF746" s="44">
        <v>0</v>
      </c>
      <c r="AG746" s="44">
        <v>0</v>
      </c>
      <c r="AH746" s="44">
        <v>0</v>
      </c>
      <c r="AI746" s="44">
        <v>0</v>
      </c>
      <c r="AJ746" s="43">
        <v>300000000</v>
      </c>
      <c r="AK746" s="44">
        <v>0</v>
      </c>
      <c r="AL746" s="44">
        <v>0</v>
      </c>
      <c r="AM746" s="43">
        <v>152000000</v>
      </c>
      <c r="AN746" s="44">
        <v>0</v>
      </c>
      <c r="AO746" s="114">
        <v>0</v>
      </c>
      <c r="AP746" s="114">
        <v>152000000</v>
      </c>
      <c r="AQ746" s="18">
        <v>0</v>
      </c>
      <c r="AR746" s="18">
        <v>19000000</v>
      </c>
      <c r="AS746" s="18">
        <v>55149999</v>
      </c>
      <c r="AT746" s="39">
        <f t="shared" ref="AT746" si="281">AQ746+AS746</f>
        <v>55149999</v>
      </c>
      <c r="AU746" s="18">
        <f>AJ746-AM746</f>
        <v>148000000</v>
      </c>
      <c r="AV746" s="133">
        <f>AM746-AP746</f>
        <v>0</v>
      </c>
      <c r="AW746" s="18">
        <f>AP746-AT746</f>
        <v>96850001</v>
      </c>
      <c r="AX746" s="123">
        <f>AP746/AJ746</f>
        <v>0.50666666666666671</v>
      </c>
    </row>
    <row r="747" spans="1:50" ht="18.75" customHeight="1" x14ac:dyDescent="0.2">
      <c r="AA747" s="28" t="s">
        <v>288</v>
      </c>
      <c r="AB747" s="29" t="s">
        <v>400</v>
      </c>
      <c r="AC747" s="17"/>
      <c r="AD747" s="18"/>
      <c r="AE747" s="34"/>
      <c r="AF747" s="34"/>
      <c r="AG747" s="34"/>
      <c r="AH747" s="34"/>
      <c r="AI747" s="34"/>
      <c r="AJ747" s="18"/>
      <c r="AK747" s="34"/>
      <c r="AL747" s="18"/>
      <c r="AM747" s="18"/>
      <c r="AN747" s="34"/>
      <c r="AO747" s="110"/>
      <c r="AP747" s="110"/>
      <c r="AQ747" s="18"/>
      <c r="AR747" s="18"/>
      <c r="AS747" s="18"/>
      <c r="AT747" s="39"/>
      <c r="AU747" s="18"/>
      <c r="AV747" s="110"/>
      <c r="AW747" s="18"/>
      <c r="AX747" s="18"/>
    </row>
    <row r="748" spans="1:50" ht="18.75" customHeight="1" x14ac:dyDescent="0.2">
      <c r="A748" s="4" t="s">
        <v>55</v>
      </c>
      <c r="B748" s="4" t="s">
        <v>56</v>
      </c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1" t="s">
        <v>425</v>
      </c>
      <c r="AB748" s="42" t="s">
        <v>233</v>
      </c>
      <c r="AC748" s="43" t="s">
        <v>58</v>
      </c>
      <c r="AD748" s="43">
        <v>440000000</v>
      </c>
      <c r="AE748" s="44">
        <v>0</v>
      </c>
      <c r="AF748" s="44">
        <v>0</v>
      </c>
      <c r="AG748" s="43">
        <f>42000000+12000000</f>
        <v>54000000</v>
      </c>
      <c r="AH748" s="44">
        <v>0</v>
      </c>
      <c r="AI748" s="43">
        <f>AE748-AF748+AG748-AH748</f>
        <v>54000000</v>
      </c>
      <c r="AJ748" s="43">
        <f>AD748+AI748</f>
        <v>494000000</v>
      </c>
      <c r="AK748" s="44">
        <v>0</v>
      </c>
      <c r="AL748" s="43">
        <v>16933334</v>
      </c>
      <c r="AM748" s="43">
        <v>433333334</v>
      </c>
      <c r="AN748" s="44">
        <v>0</v>
      </c>
      <c r="AO748" s="114">
        <v>-13066666</v>
      </c>
      <c r="AP748" s="114">
        <v>403333334</v>
      </c>
      <c r="AQ748" s="18">
        <v>7133333</v>
      </c>
      <c r="AR748" s="18">
        <v>35166667</v>
      </c>
      <c r="AS748" s="18">
        <v>110350001</v>
      </c>
      <c r="AT748" s="39">
        <f t="shared" ref="AT748" si="282">AQ748+AS748</f>
        <v>117483334</v>
      </c>
      <c r="AU748" s="18">
        <f>AJ748-AM748</f>
        <v>60666666</v>
      </c>
      <c r="AV748" s="110">
        <f>AM748-AP748</f>
        <v>30000000</v>
      </c>
      <c r="AW748" s="18">
        <f>AP748-AT748</f>
        <v>285850000</v>
      </c>
      <c r="AX748" s="123">
        <f>AP748/AJ748</f>
        <v>0.81646423886639674</v>
      </c>
    </row>
    <row r="749" spans="1:50" ht="18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1"/>
      <c r="AB749" s="42"/>
      <c r="AC749" s="43"/>
      <c r="AD749" s="43"/>
      <c r="AE749" s="44"/>
      <c r="AF749" s="44"/>
      <c r="AG749" s="43"/>
      <c r="AH749" s="44"/>
      <c r="AI749" s="43"/>
      <c r="AJ749" s="43"/>
      <c r="AK749" s="44"/>
      <c r="AL749" s="43"/>
      <c r="AM749" s="43"/>
      <c r="AN749" s="44"/>
      <c r="AO749" s="114"/>
      <c r="AP749" s="114"/>
      <c r="AQ749" s="18"/>
      <c r="AR749" s="18"/>
      <c r="AS749" s="18"/>
      <c r="AT749" s="39"/>
      <c r="AU749" s="18"/>
      <c r="AV749" s="110"/>
      <c r="AW749" s="18"/>
      <c r="AX749" s="123"/>
    </row>
    <row r="750" spans="1:50" ht="18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73" t="s">
        <v>1016</v>
      </c>
      <c r="AB750" s="74" t="s">
        <v>1068</v>
      </c>
      <c r="AC750" s="43"/>
      <c r="AD750" s="43"/>
      <c r="AE750" s="44"/>
      <c r="AF750" s="44"/>
      <c r="AG750" s="43"/>
      <c r="AH750" s="44"/>
      <c r="AI750" s="43"/>
      <c r="AJ750" s="43"/>
      <c r="AK750" s="44"/>
      <c r="AL750" s="43"/>
      <c r="AM750" s="43"/>
      <c r="AN750" s="44"/>
      <c r="AO750" s="114"/>
      <c r="AP750" s="114"/>
      <c r="AQ750" s="18"/>
      <c r="AR750" s="18"/>
      <c r="AS750" s="18"/>
      <c r="AT750" s="39"/>
      <c r="AU750" s="18"/>
      <c r="AV750" s="110"/>
      <c r="AW750" s="18"/>
      <c r="AX750" s="123"/>
    </row>
    <row r="751" spans="1:50" ht="18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73" t="s">
        <v>1017</v>
      </c>
      <c r="AB751" s="74" t="s">
        <v>1069</v>
      </c>
      <c r="AC751" s="43"/>
      <c r="AD751" s="43"/>
      <c r="AE751" s="44"/>
      <c r="AF751" s="44"/>
      <c r="AG751" s="43"/>
      <c r="AH751" s="44"/>
      <c r="AI751" s="43"/>
      <c r="AJ751" s="43"/>
      <c r="AK751" s="44"/>
      <c r="AL751" s="43"/>
      <c r="AM751" s="43"/>
      <c r="AN751" s="44"/>
      <c r="AO751" s="114"/>
      <c r="AP751" s="114"/>
      <c r="AQ751" s="18"/>
      <c r="AR751" s="18"/>
      <c r="AS751" s="18"/>
      <c r="AT751" s="39"/>
      <c r="AU751" s="18"/>
      <c r="AV751" s="110"/>
      <c r="AW751" s="18"/>
      <c r="AX751" s="123"/>
    </row>
    <row r="752" spans="1:50" ht="18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73" t="s">
        <v>1018</v>
      </c>
      <c r="AB752" s="74" t="s">
        <v>286</v>
      </c>
      <c r="AC752" s="43"/>
      <c r="AD752" s="43"/>
      <c r="AE752" s="44"/>
      <c r="AF752" s="44"/>
      <c r="AG752" s="43"/>
      <c r="AH752" s="44"/>
      <c r="AI752" s="43"/>
      <c r="AJ752" s="43"/>
      <c r="AK752" s="44"/>
      <c r="AL752" s="43"/>
      <c r="AM752" s="43"/>
      <c r="AN752" s="44"/>
      <c r="AO752" s="114"/>
      <c r="AP752" s="114"/>
      <c r="AQ752" s="18"/>
      <c r="AR752" s="18"/>
      <c r="AS752" s="18"/>
      <c r="AT752" s="39"/>
      <c r="AU752" s="18"/>
      <c r="AV752" s="110"/>
      <c r="AW752" s="18"/>
      <c r="AX752" s="123"/>
    </row>
    <row r="753" spans="1:50" ht="18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73" t="s">
        <v>1021</v>
      </c>
      <c r="AB753" s="74" t="s">
        <v>1070</v>
      </c>
      <c r="AC753" s="43"/>
      <c r="AD753" s="43"/>
      <c r="AE753" s="44"/>
      <c r="AF753" s="44"/>
      <c r="AG753" s="43"/>
      <c r="AH753" s="44"/>
      <c r="AI753" s="43"/>
      <c r="AJ753" s="43"/>
      <c r="AK753" s="44"/>
      <c r="AL753" s="43"/>
      <c r="AM753" s="43"/>
      <c r="AN753" s="44"/>
      <c r="AO753" s="114"/>
      <c r="AP753" s="114"/>
      <c r="AQ753" s="18"/>
      <c r="AR753" s="18"/>
      <c r="AS753" s="18"/>
      <c r="AT753" s="39"/>
      <c r="AU753" s="18"/>
      <c r="AV753" s="110"/>
      <c r="AW753" s="18"/>
      <c r="AX753" s="123"/>
    </row>
    <row r="754" spans="1:50" ht="18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1" t="s">
        <v>1019</v>
      </c>
      <c r="AB754" s="42" t="s">
        <v>1005</v>
      </c>
      <c r="AC754" s="43"/>
      <c r="AD754" s="44">
        <v>0</v>
      </c>
      <c r="AE754" s="43">
        <v>4577320</v>
      </c>
      <c r="AF754" s="44">
        <v>0</v>
      </c>
      <c r="AG754" s="44">
        <v>0</v>
      </c>
      <c r="AH754" s="44">
        <v>0</v>
      </c>
      <c r="AI754" s="43">
        <f>AE754-AF754+AG754-AH754</f>
        <v>4577320</v>
      </c>
      <c r="AJ754" s="43">
        <f>AD754+AI754</f>
        <v>4577320</v>
      </c>
      <c r="AK754" s="44">
        <v>0</v>
      </c>
      <c r="AL754" s="44">
        <v>0</v>
      </c>
      <c r="AM754" s="44">
        <v>0</v>
      </c>
      <c r="AN754" s="44">
        <v>0</v>
      </c>
      <c r="AO754" s="114">
        <v>0</v>
      </c>
      <c r="AP754" s="114">
        <v>0</v>
      </c>
      <c r="AQ754" s="18">
        <v>0</v>
      </c>
      <c r="AR754" s="18">
        <v>0</v>
      </c>
      <c r="AS754" s="18">
        <v>0</v>
      </c>
      <c r="AT754" s="39">
        <f t="shared" ref="AT754" si="283">AQ754+AS754</f>
        <v>0</v>
      </c>
      <c r="AU754" s="18">
        <f>AJ754-AM754</f>
        <v>4577320</v>
      </c>
      <c r="AV754" s="18">
        <f>AM754-AP754</f>
        <v>0</v>
      </c>
      <c r="AW754" s="110">
        <f>AP754-AT754</f>
        <v>0</v>
      </c>
      <c r="AX754" s="123">
        <f>AP754/AJ754</f>
        <v>0</v>
      </c>
    </row>
    <row r="755" spans="1:50" s="50" customFormat="1" ht="18.75" customHeight="1" x14ac:dyDescent="0.2"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46"/>
      <c r="AB755" s="47" t="s">
        <v>572</v>
      </c>
      <c r="AC755" s="47"/>
      <c r="AD755" s="48">
        <f t="shared" ref="AD755:AW755" si="284">SUM(AD683:AD754)</f>
        <v>13989429350</v>
      </c>
      <c r="AE755" s="48">
        <f t="shared" si="284"/>
        <v>3812553585.4200001</v>
      </c>
      <c r="AF755" s="49">
        <f t="shared" si="284"/>
        <v>0</v>
      </c>
      <c r="AG755" s="48">
        <f t="shared" si="284"/>
        <v>2496000000</v>
      </c>
      <c r="AH755" s="48">
        <f t="shared" si="284"/>
        <v>852000000</v>
      </c>
      <c r="AI755" s="48">
        <f t="shared" si="284"/>
        <v>5256553585.4200001</v>
      </c>
      <c r="AJ755" s="48">
        <f t="shared" si="284"/>
        <v>19445982935.419998</v>
      </c>
      <c r="AK755" s="49">
        <f t="shared" si="284"/>
        <v>0</v>
      </c>
      <c r="AL755" s="48">
        <f t="shared" si="284"/>
        <v>344460048.46999997</v>
      </c>
      <c r="AM755" s="48">
        <f t="shared" si="284"/>
        <v>11145011143.35</v>
      </c>
      <c r="AN755" s="48">
        <f t="shared" si="284"/>
        <v>0</v>
      </c>
      <c r="AO755" s="48">
        <f t="shared" si="284"/>
        <v>949084557.47000003</v>
      </c>
      <c r="AP755" s="48">
        <f t="shared" si="284"/>
        <v>8899625076.3500004</v>
      </c>
      <c r="AQ755" s="48">
        <f t="shared" si="284"/>
        <v>71046545</v>
      </c>
      <c r="AR755" s="48">
        <f t="shared" si="284"/>
        <v>771903234.47000003</v>
      </c>
      <c r="AS755" s="48">
        <f t="shared" si="284"/>
        <v>1866987852.3499999</v>
      </c>
      <c r="AT755" s="48">
        <f t="shared" si="284"/>
        <v>1938034397.3499999</v>
      </c>
      <c r="AU755" s="48">
        <f t="shared" si="284"/>
        <v>8300971792.0699997</v>
      </c>
      <c r="AV755" s="48">
        <f t="shared" si="284"/>
        <v>2245386067</v>
      </c>
      <c r="AW755" s="48">
        <f t="shared" si="284"/>
        <v>6961590679</v>
      </c>
      <c r="AX755" s="24">
        <f>AP755/AJ755</f>
        <v>0.45765879286768923</v>
      </c>
    </row>
    <row r="756" spans="1:50" ht="18.75" customHeight="1" x14ac:dyDescent="0.2">
      <c r="AA756" s="16"/>
      <c r="AB756" s="17"/>
      <c r="AC756" s="17"/>
      <c r="AD756" s="18"/>
      <c r="AE756" s="34"/>
      <c r="AF756" s="34"/>
      <c r="AG756" s="34"/>
      <c r="AH756" s="34"/>
      <c r="AI756" s="34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</row>
    <row r="757" spans="1:50" s="25" customFormat="1" ht="18.75" customHeight="1" x14ac:dyDescent="0.2"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66"/>
      <c r="AB757" s="21" t="s">
        <v>573</v>
      </c>
      <c r="AC757" s="67"/>
      <c r="AD757" s="63"/>
      <c r="AE757" s="72"/>
      <c r="AF757" s="72"/>
      <c r="AG757" s="72"/>
      <c r="AH757" s="72"/>
      <c r="AI757" s="72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U757" s="63"/>
      <c r="AV757" s="63"/>
      <c r="AW757" s="63"/>
      <c r="AX757" s="63"/>
    </row>
    <row r="758" spans="1:50" ht="18.75" customHeight="1" x14ac:dyDescent="0.2">
      <c r="AA758" s="16"/>
      <c r="AB758" s="29" t="s">
        <v>286</v>
      </c>
      <c r="AC758" s="17"/>
      <c r="AD758" s="18"/>
      <c r="AE758" s="34"/>
      <c r="AF758" s="34"/>
      <c r="AG758" s="34"/>
      <c r="AH758" s="34"/>
      <c r="AI758" s="34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</row>
    <row r="759" spans="1:50" ht="18.75" customHeight="1" x14ac:dyDescent="0.2">
      <c r="AA759" s="16"/>
      <c r="AB759" s="29" t="s">
        <v>574</v>
      </c>
      <c r="AC759" s="17"/>
      <c r="AD759" s="18"/>
      <c r="AE759" s="34"/>
      <c r="AF759" s="34"/>
      <c r="AG759" s="34"/>
      <c r="AH759" s="34"/>
      <c r="AI759" s="34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</row>
    <row r="760" spans="1:50" ht="18.75" customHeight="1" x14ac:dyDescent="0.2">
      <c r="AA760" s="16"/>
      <c r="AB760" s="29" t="s">
        <v>575</v>
      </c>
      <c r="AC760" s="17"/>
      <c r="AD760" s="18"/>
      <c r="AE760" s="34"/>
      <c r="AF760" s="34"/>
      <c r="AG760" s="34"/>
      <c r="AH760" s="34"/>
      <c r="AI760" s="34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</row>
    <row r="761" spans="1:50" ht="18.75" customHeight="1" x14ac:dyDescent="0.2">
      <c r="AA761" s="16"/>
      <c r="AB761" s="29" t="s">
        <v>576</v>
      </c>
      <c r="AC761" s="17"/>
      <c r="AD761" s="18"/>
      <c r="AE761" s="34"/>
      <c r="AF761" s="34"/>
      <c r="AG761" s="34"/>
      <c r="AH761" s="34"/>
      <c r="AI761" s="34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</row>
    <row r="762" spans="1:50" x14ac:dyDescent="0.2">
      <c r="AA762" s="16"/>
      <c r="AB762" s="29" t="s">
        <v>577</v>
      </c>
      <c r="AC762" s="17"/>
      <c r="AD762" s="18"/>
      <c r="AE762" s="34"/>
      <c r="AF762" s="34"/>
      <c r="AG762" s="34"/>
      <c r="AH762" s="34"/>
      <c r="AI762" s="34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</row>
    <row r="763" spans="1:50" ht="25.5" x14ac:dyDescent="0.2">
      <c r="AA763" s="16"/>
      <c r="AB763" s="29" t="s">
        <v>578</v>
      </c>
      <c r="AC763" s="17"/>
      <c r="AD763" s="18"/>
      <c r="AE763" s="34"/>
      <c r="AF763" s="34"/>
      <c r="AG763" s="34"/>
      <c r="AH763" s="34"/>
      <c r="AI763" s="34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30"/>
      <c r="AU763" s="18"/>
      <c r="AV763" s="18"/>
      <c r="AW763" s="18"/>
      <c r="AX763" s="18"/>
    </row>
    <row r="764" spans="1:50" ht="25.5" x14ac:dyDescent="0.2">
      <c r="AA764" s="16"/>
      <c r="AB764" s="29" t="s">
        <v>579</v>
      </c>
      <c r="AC764" s="17"/>
      <c r="AD764" s="18"/>
      <c r="AE764" s="34"/>
      <c r="AF764" s="34"/>
      <c r="AG764" s="34"/>
      <c r="AH764" s="34"/>
      <c r="AI764" s="34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30"/>
      <c r="AU764" s="18"/>
      <c r="AV764" s="18"/>
      <c r="AW764" s="18"/>
      <c r="AX764" s="18"/>
    </row>
    <row r="765" spans="1:50" x14ac:dyDescent="0.2">
      <c r="A765" s="4" t="s">
        <v>55</v>
      </c>
      <c r="B765" s="4" t="s">
        <v>56</v>
      </c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1" t="s">
        <v>580</v>
      </c>
      <c r="AB765" s="42" t="s">
        <v>233</v>
      </c>
      <c r="AC765" s="43" t="s">
        <v>58</v>
      </c>
      <c r="AD765" s="43">
        <v>50000000</v>
      </c>
      <c r="AE765" s="44">
        <v>0</v>
      </c>
      <c r="AF765" s="44">
        <v>0</v>
      </c>
      <c r="AG765" s="44">
        <v>0</v>
      </c>
      <c r="AH765" s="44">
        <v>0</v>
      </c>
      <c r="AI765" s="44">
        <v>0</v>
      </c>
      <c r="AJ765" s="43">
        <v>50000000</v>
      </c>
      <c r="AK765" s="44">
        <v>0</v>
      </c>
      <c r="AL765" s="44">
        <v>0</v>
      </c>
      <c r="AM765" s="44">
        <v>0</v>
      </c>
      <c r="AN765" s="44">
        <v>0</v>
      </c>
      <c r="AO765" s="44">
        <v>0</v>
      </c>
      <c r="AP765" s="44">
        <v>0</v>
      </c>
      <c r="AQ765" s="34">
        <v>0</v>
      </c>
      <c r="AR765" s="34">
        <v>0</v>
      </c>
      <c r="AS765" s="34">
        <v>0</v>
      </c>
      <c r="AT765" s="40">
        <f t="shared" ref="AT765:AT810" si="285">AQ765+AS765</f>
        <v>0</v>
      </c>
      <c r="AU765" s="18">
        <f>AJ765-AM765</f>
        <v>50000000</v>
      </c>
      <c r="AV765" s="133">
        <f>AM765-AP765</f>
        <v>0</v>
      </c>
      <c r="AW765" s="34">
        <f>AP765-AT765</f>
        <v>0</v>
      </c>
      <c r="AX765" s="123">
        <f>AP765/AJ765</f>
        <v>0</v>
      </c>
    </row>
    <row r="766" spans="1:50" ht="38.25" x14ac:dyDescent="0.2">
      <c r="AA766" s="28" t="s">
        <v>288</v>
      </c>
      <c r="AB766" s="29" t="s">
        <v>581</v>
      </c>
      <c r="AC766" s="17"/>
      <c r="AD766" s="18"/>
      <c r="AE766" s="18"/>
      <c r="AF766" s="18"/>
      <c r="AG766" s="18"/>
      <c r="AH766" s="18"/>
      <c r="AI766" s="18"/>
      <c r="AJ766" s="18"/>
      <c r="AK766" s="34"/>
      <c r="AL766" s="34"/>
      <c r="AM766" s="34"/>
      <c r="AN766" s="34"/>
      <c r="AO766" s="34"/>
      <c r="AP766" s="34"/>
      <c r="AQ766" s="34"/>
      <c r="AR766" s="34"/>
      <c r="AS766" s="34"/>
      <c r="AT766" s="40"/>
      <c r="AU766" s="18"/>
      <c r="AV766" s="34"/>
      <c r="AW766" s="34"/>
      <c r="AX766" s="18"/>
    </row>
    <row r="767" spans="1:50" x14ac:dyDescent="0.2">
      <c r="A767" s="4" t="s">
        <v>55</v>
      </c>
      <c r="B767" s="4" t="s">
        <v>56</v>
      </c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1" t="s">
        <v>582</v>
      </c>
      <c r="AB767" s="42" t="s">
        <v>233</v>
      </c>
      <c r="AC767" s="43" t="s">
        <v>58</v>
      </c>
      <c r="AD767" s="43">
        <v>75000000</v>
      </c>
      <c r="AE767" s="44">
        <v>0</v>
      </c>
      <c r="AF767" s="44">
        <v>0</v>
      </c>
      <c r="AG767" s="44">
        <v>0</v>
      </c>
      <c r="AH767" s="43">
        <v>75000000</v>
      </c>
      <c r="AI767" s="43">
        <f>AE767-AF767+AG767-AH767</f>
        <v>-75000000</v>
      </c>
      <c r="AJ767" s="44">
        <f>AD767+AI767</f>
        <v>0</v>
      </c>
      <c r="AK767" s="44">
        <v>0</v>
      </c>
      <c r="AL767" s="44">
        <v>0</v>
      </c>
      <c r="AM767" s="44">
        <v>0</v>
      </c>
      <c r="AN767" s="44">
        <v>0</v>
      </c>
      <c r="AO767" s="44">
        <v>0</v>
      </c>
      <c r="AP767" s="44">
        <v>0</v>
      </c>
      <c r="AQ767" s="34">
        <v>0</v>
      </c>
      <c r="AR767" s="34">
        <v>0</v>
      </c>
      <c r="AS767" s="34">
        <v>0</v>
      </c>
      <c r="AT767" s="40">
        <f t="shared" ref="AT767" si="286">AQ767+AS767</f>
        <v>0</v>
      </c>
      <c r="AU767" s="34">
        <f>AJ767-AM767</f>
        <v>0</v>
      </c>
      <c r="AV767" s="133">
        <f>AM767-AP767</f>
        <v>0</v>
      </c>
      <c r="AW767" s="34">
        <f>AP767-AT767</f>
        <v>0</v>
      </c>
      <c r="AX767" s="123">
        <v>0</v>
      </c>
    </row>
    <row r="768" spans="1:50" ht="25.5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73" t="s">
        <v>288</v>
      </c>
      <c r="AB768" s="74" t="s">
        <v>910</v>
      </c>
      <c r="AC768" s="43"/>
      <c r="AD768" s="43"/>
      <c r="AE768" s="44"/>
      <c r="AF768" s="44"/>
      <c r="AH768" s="43"/>
      <c r="AK768" s="44"/>
      <c r="AL768" s="44"/>
      <c r="AM768" s="44"/>
      <c r="AN768" s="44"/>
      <c r="AO768" s="44"/>
      <c r="AP768" s="44"/>
      <c r="AQ768" s="34"/>
      <c r="AR768" s="34"/>
      <c r="AS768" s="34"/>
      <c r="AT768" s="40"/>
      <c r="AU768" s="43"/>
      <c r="AV768" s="44"/>
      <c r="AW768" s="44"/>
      <c r="AX768" s="32"/>
    </row>
    <row r="769" spans="1:50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1" t="s">
        <v>911</v>
      </c>
      <c r="AB769" s="42" t="s">
        <v>233</v>
      </c>
      <c r="AC769" s="43"/>
      <c r="AD769" s="44">
        <v>0</v>
      </c>
      <c r="AE769" s="44">
        <v>0</v>
      </c>
      <c r="AF769" s="44">
        <v>0</v>
      </c>
      <c r="AG769" s="43">
        <f>31295090+46856431.35</f>
        <v>78151521.349999994</v>
      </c>
      <c r="AH769" s="44">
        <v>0</v>
      </c>
      <c r="AI769" s="43">
        <f>AE768-AF768+AG769-AH768</f>
        <v>78151521.349999994</v>
      </c>
      <c r="AJ769" s="43">
        <f>AD768+AI769</f>
        <v>78151521.349999994</v>
      </c>
      <c r="AK769" s="44">
        <v>0</v>
      </c>
      <c r="AL769" s="44">
        <v>0</v>
      </c>
      <c r="AM769" s="44">
        <v>0</v>
      </c>
      <c r="AN769" s="44">
        <v>0</v>
      </c>
      <c r="AO769" s="44">
        <v>0</v>
      </c>
      <c r="AP769" s="44">
        <v>0</v>
      </c>
      <c r="AQ769" s="34">
        <v>0</v>
      </c>
      <c r="AR769" s="34">
        <v>0</v>
      </c>
      <c r="AS769" s="34">
        <v>0</v>
      </c>
      <c r="AT769" s="40">
        <f t="shared" ref="AT769" si="287">AQ769+AS769</f>
        <v>0</v>
      </c>
      <c r="AU769" s="18">
        <f>AJ769-AM769</f>
        <v>78151521.349999994</v>
      </c>
      <c r="AV769" s="133">
        <f>AM769-AP769</f>
        <v>0</v>
      </c>
      <c r="AW769" s="34">
        <f>AP769-AT769</f>
        <v>0</v>
      </c>
      <c r="AX769" s="123">
        <f>AP769/AJ769</f>
        <v>0</v>
      </c>
    </row>
    <row r="770" spans="1:50" x14ac:dyDescent="0.2">
      <c r="AA770" s="16"/>
      <c r="AB770" s="17"/>
      <c r="AC770" s="17"/>
      <c r="AD770" s="18"/>
      <c r="AE770" s="34"/>
      <c r="AF770" s="34"/>
      <c r="AG770" s="34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30"/>
      <c r="AU770" s="18"/>
      <c r="AV770" s="18"/>
      <c r="AW770" s="18"/>
      <c r="AX770" s="18"/>
    </row>
    <row r="771" spans="1:50" x14ac:dyDescent="0.2">
      <c r="AA771" s="16"/>
      <c r="AB771" s="29" t="s">
        <v>179</v>
      </c>
      <c r="AC771" s="17"/>
      <c r="AD771" s="18"/>
      <c r="AE771" s="34"/>
      <c r="AF771" s="34"/>
      <c r="AG771" s="34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30"/>
      <c r="AU771" s="18"/>
      <c r="AV771" s="18"/>
      <c r="AW771" s="18"/>
      <c r="AX771" s="18"/>
    </row>
    <row r="772" spans="1:50" x14ac:dyDescent="0.2">
      <c r="AA772" s="16"/>
      <c r="AB772" s="29" t="s">
        <v>181</v>
      </c>
      <c r="AC772" s="17"/>
      <c r="AD772" s="18"/>
      <c r="AE772" s="34"/>
      <c r="AF772" s="34"/>
      <c r="AG772" s="34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30"/>
      <c r="AU772" s="18"/>
      <c r="AV772" s="18"/>
      <c r="AW772" s="18"/>
      <c r="AX772" s="18"/>
    </row>
    <row r="773" spans="1:50" ht="25.5" x14ac:dyDescent="0.2">
      <c r="AA773" s="16"/>
      <c r="AB773" s="29" t="s">
        <v>185</v>
      </c>
      <c r="AC773" s="17"/>
      <c r="AD773" s="18"/>
      <c r="AE773" s="34"/>
      <c r="AF773" s="34"/>
      <c r="AG773" s="34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30"/>
      <c r="AU773" s="18"/>
      <c r="AV773" s="18"/>
      <c r="AW773" s="18"/>
      <c r="AX773" s="18"/>
    </row>
    <row r="774" spans="1:50" ht="25.5" x14ac:dyDescent="0.2">
      <c r="AA774" s="28" t="s">
        <v>288</v>
      </c>
      <c r="AB774" s="29" t="s">
        <v>583</v>
      </c>
      <c r="AC774" s="17"/>
      <c r="AD774" s="18"/>
      <c r="AE774" s="34"/>
      <c r="AF774" s="34"/>
      <c r="AG774" s="34"/>
      <c r="AH774" s="18"/>
      <c r="AI774" s="18"/>
      <c r="AJ774" s="18"/>
      <c r="AK774" s="34"/>
      <c r="AL774" s="34"/>
      <c r="AM774" s="34"/>
      <c r="AN774" s="34"/>
      <c r="AO774" s="34"/>
      <c r="AP774" s="34"/>
      <c r="AQ774" s="18"/>
      <c r="AR774" s="18"/>
      <c r="AS774" s="18"/>
      <c r="AT774" s="30"/>
      <c r="AU774" s="18"/>
      <c r="AV774" s="18"/>
      <c r="AW774" s="18"/>
      <c r="AX774" s="18"/>
    </row>
    <row r="775" spans="1:50" x14ac:dyDescent="0.2">
      <c r="A775" s="4" t="s">
        <v>55</v>
      </c>
      <c r="B775" s="4" t="s">
        <v>56</v>
      </c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1" t="s">
        <v>584</v>
      </c>
      <c r="AB775" s="42" t="s">
        <v>233</v>
      </c>
      <c r="AC775" s="43" t="s">
        <v>58</v>
      </c>
      <c r="AD775" s="43">
        <v>50000000</v>
      </c>
      <c r="AE775" s="44">
        <v>0</v>
      </c>
      <c r="AF775" s="44">
        <v>0</v>
      </c>
      <c r="AG775" s="44">
        <v>0</v>
      </c>
      <c r="AH775" s="44">
        <v>0</v>
      </c>
      <c r="AI775" s="44">
        <v>0</v>
      </c>
      <c r="AJ775" s="43">
        <v>50000000</v>
      </c>
      <c r="AK775" s="44">
        <v>0</v>
      </c>
      <c r="AL775" s="44">
        <v>0</v>
      </c>
      <c r="AM775" s="43">
        <v>43169856.109999999</v>
      </c>
      <c r="AN775" s="43">
        <v>0</v>
      </c>
      <c r="AO775" s="43">
        <v>0</v>
      </c>
      <c r="AP775" s="43">
        <v>43169856.109999999</v>
      </c>
      <c r="AQ775" s="44">
        <v>0</v>
      </c>
      <c r="AR775" s="44">
        <v>0</v>
      </c>
      <c r="AS775" s="44">
        <v>0</v>
      </c>
      <c r="AT775" s="40">
        <f t="shared" si="285"/>
        <v>0</v>
      </c>
      <c r="AU775" s="18">
        <f>AJ775-AM775</f>
        <v>6830143.8900000006</v>
      </c>
      <c r="AV775" s="34">
        <f>AM775-AP775</f>
        <v>0</v>
      </c>
      <c r="AW775" s="18">
        <f>AP775-AT775</f>
        <v>43169856.109999999</v>
      </c>
      <c r="AX775" s="123">
        <f>AP775/AJ775</f>
        <v>0.86339712219999998</v>
      </c>
    </row>
    <row r="776" spans="1:50" x14ac:dyDescent="0.2">
      <c r="AA776" s="16"/>
      <c r="AB776" s="17"/>
      <c r="AC776" s="17"/>
      <c r="AD776" s="18"/>
      <c r="AE776" s="34"/>
      <c r="AF776" s="34"/>
      <c r="AG776" s="34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30"/>
      <c r="AU776" s="18"/>
      <c r="AV776" s="18"/>
      <c r="AW776" s="18"/>
      <c r="AX776" s="18"/>
    </row>
    <row r="777" spans="1:50" x14ac:dyDescent="0.2">
      <c r="AA777" s="16"/>
      <c r="AB777" s="29" t="s">
        <v>189</v>
      </c>
      <c r="AC777" s="17"/>
      <c r="AD777" s="18"/>
      <c r="AE777" s="34"/>
      <c r="AF777" s="34"/>
      <c r="AG777" s="34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30"/>
      <c r="AU777" s="18"/>
      <c r="AV777" s="18"/>
      <c r="AW777" s="18"/>
      <c r="AX777" s="18"/>
    </row>
    <row r="778" spans="1:50" ht="38.25" x14ac:dyDescent="0.2">
      <c r="AA778" s="16"/>
      <c r="AB778" s="29" t="s">
        <v>373</v>
      </c>
      <c r="AC778" s="17"/>
      <c r="AD778" s="18"/>
      <c r="AE778" s="34"/>
      <c r="AF778" s="34"/>
      <c r="AG778" s="34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30"/>
      <c r="AU778" s="18"/>
      <c r="AV778" s="18"/>
      <c r="AW778" s="18"/>
      <c r="AX778" s="18"/>
    </row>
    <row r="779" spans="1:50" ht="25.5" x14ac:dyDescent="0.2">
      <c r="AA779" s="28" t="s">
        <v>288</v>
      </c>
      <c r="AB779" s="29" t="s">
        <v>585</v>
      </c>
      <c r="AC779" s="17"/>
      <c r="AD779" s="18"/>
      <c r="AE779" s="34"/>
      <c r="AF779" s="34"/>
      <c r="AG779" s="34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30"/>
      <c r="AU779" s="18"/>
      <c r="AV779" s="18"/>
      <c r="AW779" s="18"/>
      <c r="AX779" s="18"/>
    </row>
    <row r="780" spans="1:50" x14ac:dyDescent="0.2">
      <c r="A780" s="4" t="s">
        <v>55</v>
      </c>
      <c r="B780" s="4" t="s">
        <v>56</v>
      </c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1" t="s">
        <v>586</v>
      </c>
      <c r="AB780" s="42" t="s">
        <v>233</v>
      </c>
      <c r="AC780" s="43" t="s">
        <v>58</v>
      </c>
      <c r="AD780" s="43">
        <v>165000000</v>
      </c>
      <c r="AE780" s="44">
        <v>0</v>
      </c>
      <c r="AF780" s="44">
        <v>0</v>
      </c>
      <c r="AG780" s="44">
        <v>0</v>
      </c>
      <c r="AH780" s="44">
        <v>0</v>
      </c>
      <c r="AI780" s="44">
        <v>0</v>
      </c>
      <c r="AJ780" s="43">
        <v>165000000</v>
      </c>
      <c r="AK780" s="44">
        <v>0</v>
      </c>
      <c r="AL780" s="44">
        <v>0</v>
      </c>
      <c r="AM780" s="43">
        <v>142500000</v>
      </c>
      <c r="AN780" s="44">
        <v>0</v>
      </c>
      <c r="AO780" s="44">
        <v>0</v>
      </c>
      <c r="AP780" s="18">
        <v>142500000</v>
      </c>
      <c r="AQ780" s="34">
        <v>0</v>
      </c>
      <c r="AR780" s="34">
        <v>0</v>
      </c>
      <c r="AS780" s="34">
        <v>0</v>
      </c>
      <c r="AT780" s="40">
        <f t="shared" ref="AT780" si="288">AQ780+AS780</f>
        <v>0</v>
      </c>
      <c r="AU780" s="18">
        <f>AJ780-AM780</f>
        <v>22500000</v>
      </c>
      <c r="AV780" s="133">
        <f>AM780-AP780</f>
        <v>0</v>
      </c>
      <c r="AW780" s="18">
        <f>AP780-AT780</f>
        <v>142500000</v>
      </c>
      <c r="AX780" s="123">
        <f>AP780/AJ780</f>
        <v>0.86363636363636365</v>
      </c>
    </row>
    <row r="781" spans="1:50" ht="25.5" x14ac:dyDescent="0.2">
      <c r="AA781" s="28" t="s">
        <v>288</v>
      </c>
      <c r="AB781" s="29" t="s">
        <v>587</v>
      </c>
      <c r="AC781" s="17"/>
      <c r="AD781" s="18"/>
      <c r="AE781" s="34"/>
      <c r="AF781" s="34"/>
      <c r="AG781" s="34"/>
      <c r="AH781" s="34"/>
      <c r="AI781" s="34"/>
      <c r="AJ781" s="18"/>
      <c r="AK781" s="18"/>
      <c r="AL781" s="18"/>
      <c r="AM781" s="18"/>
      <c r="AN781" s="34"/>
      <c r="AO781" s="34"/>
      <c r="AP781" s="18"/>
      <c r="AQ781" s="34"/>
      <c r="AR781" s="34"/>
      <c r="AS781" s="34"/>
      <c r="AT781" s="40"/>
      <c r="AU781" s="18"/>
      <c r="AV781" s="34"/>
      <c r="AW781" s="18"/>
      <c r="AX781" s="18"/>
    </row>
    <row r="782" spans="1:50" x14ac:dyDescent="0.2">
      <c r="A782" s="4" t="s">
        <v>55</v>
      </c>
      <c r="B782" s="4" t="s">
        <v>56</v>
      </c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1" t="s">
        <v>588</v>
      </c>
      <c r="AB782" s="42" t="s">
        <v>233</v>
      </c>
      <c r="AC782" s="43" t="s">
        <v>58</v>
      </c>
      <c r="AD782" s="43">
        <v>360000000</v>
      </c>
      <c r="AE782" s="44">
        <v>0</v>
      </c>
      <c r="AF782" s="44">
        <v>0</v>
      </c>
      <c r="AG782" s="44">
        <v>0</v>
      </c>
      <c r="AH782" s="44">
        <v>0</v>
      </c>
      <c r="AI782" s="44">
        <v>0</v>
      </c>
      <c r="AJ782" s="43">
        <v>360000000</v>
      </c>
      <c r="AK782" s="44">
        <v>0</v>
      </c>
      <c r="AL782" s="115">
        <v>0</v>
      </c>
      <c r="AM782" s="114">
        <v>320207103</v>
      </c>
      <c r="AN782" s="44">
        <v>0</v>
      </c>
      <c r="AO782" s="44">
        <v>0</v>
      </c>
      <c r="AP782" s="18">
        <v>320207103</v>
      </c>
      <c r="AQ782" s="34">
        <v>0</v>
      </c>
      <c r="AR782" s="18">
        <v>35578567</v>
      </c>
      <c r="AS782" s="18">
        <v>71157134</v>
      </c>
      <c r="AT782" s="39">
        <f t="shared" ref="AT782" si="289">AQ782+AS782</f>
        <v>71157134</v>
      </c>
      <c r="AU782" s="18">
        <f>AJ782-AM782</f>
        <v>39792897</v>
      </c>
      <c r="AV782" s="133">
        <f>AM782-AP782</f>
        <v>0</v>
      </c>
      <c r="AW782" s="18">
        <f>AP782-AT782</f>
        <v>249049969</v>
      </c>
      <c r="AX782" s="123">
        <f>AP782/AJ782</f>
        <v>0.88946417499999997</v>
      </c>
    </row>
    <row r="783" spans="1:50" ht="25.5" x14ac:dyDescent="0.2">
      <c r="AA783" s="28" t="s">
        <v>288</v>
      </c>
      <c r="AB783" s="29" t="s">
        <v>589</v>
      </c>
      <c r="AC783" s="17"/>
      <c r="AD783" s="18"/>
      <c r="AE783" s="34"/>
      <c r="AF783" s="34"/>
      <c r="AG783" s="34"/>
      <c r="AH783" s="34"/>
      <c r="AI783" s="34"/>
      <c r="AJ783" s="18"/>
      <c r="AK783" s="34"/>
      <c r="AL783" s="34"/>
      <c r="AM783" s="34"/>
      <c r="AN783" s="34"/>
      <c r="AO783" s="34"/>
      <c r="AP783" s="34"/>
      <c r="AQ783" s="34"/>
      <c r="AR783" s="34"/>
      <c r="AS783" s="34"/>
      <c r="AT783" s="40"/>
      <c r="AU783" s="18"/>
      <c r="AV783" s="18"/>
      <c r="AW783" s="34"/>
      <c r="AX783" s="18"/>
    </row>
    <row r="784" spans="1:50" x14ac:dyDescent="0.2">
      <c r="A784" s="4" t="s">
        <v>55</v>
      </c>
      <c r="B784" s="4" t="s">
        <v>56</v>
      </c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1" t="s">
        <v>590</v>
      </c>
      <c r="AB784" s="42" t="s">
        <v>233</v>
      </c>
      <c r="AC784" s="43" t="s">
        <v>58</v>
      </c>
      <c r="AD784" s="43">
        <v>2564591998.2600002</v>
      </c>
      <c r="AE784" s="44">
        <v>0</v>
      </c>
      <c r="AF784" s="44">
        <v>0</v>
      </c>
      <c r="AG784" s="44">
        <v>0</v>
      </c>
      <c r="AH784" s="43">
        <v>602281020</v>
      </c>
      <c r="AI784" s="43">
        <f>AE784-AF784+AG784-AH784</f>
        <v>-602281020</v>
      </c>
      <c r="AJ784" s="43">
        <f>AD784+AI784</f>
        <v>1962310978.2600002</v>
      </c>
      <c r="AK784" s="44">
        <v>0</v>
      </c>
      <c r="AL784" s="44">
        <v>0</v>
      </c>
      <c r="AM784" s="44">
        <v>0</v>
      </c>
      <c r="AN784" s="44">
        <v>0</v>
      </c>
      <c r="AO784" s="44">
        <v>0</v>
      </c>
      <c r="AP784" s="34">
        <v>0</v>
      </c>
      <c r="AQ784" s="34">
        <v>0</v>
      </c>
      <c r="AR784" s="34">
        <v>0</v>
      </c>
      <c r="AS784" s="34">
        <v>0</v>
      </c>
      <c r="AT784" s="40">
        <f t="shared" ref="AT784" si="290">AQ784+AS784</f>
        <v>0</v>
      </c>
      <c r="AU784" s="18">
        <f>AJ784-AM784</f>
        <v>1962310978.2600002</v>
      </c>
      <c r="AV784" s="133">
        <f>AM784-AP784</f>
        <v>0</v>
      </c>
      <c r="AW784" s="34">
        <f>AP784-AT784</f>
        <v>0</v>
      </c>
      <c r="AX784" s="123">
        <f>AP784/AJ784</f>
        <v>0</v>
      </c>
    </row>
    <row r="785" spans="1:50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1" t="s">
        <v>1100</v>
      </c>
      <c r="AB785" s="42" t="s">
        <v>1015</v>
      </c>
      <c r="AC785" s="43"/>
      <c r="AD785" s="43">
        <v>0</v>
      </c>
      <c r="AE785" s="43">
        <v>40000000</v>
      </c>
      <c r="AF785" s="44"/>
      <c r="AG785" s="44"/>
      <c r="AH785" s="44"/>
      <c r="AI785" s="43">
        <f>AE785-AF785+AG785-AH785</f>
        <v>40000000</v>
      </c>
      <c r="AJ785" s="43">
        <f>AD785+AI785</f>
        <v>40000000</v>
      </c>
      <c r="AK785" s="44">
        <v>0</v>
      </c>
      <c r="AL785" s="44">
        <v>0</v>
      </c>
      <c r="AM785" s="44">
        <v>0</v>
      </c>
      <c r="AN785" s="44">
        <v>0</v>
      </c>
      <c r="AO785" s="44">
        <v>0</v>
      </c>
      <c r="AP785" s="34">
        <v>0</v>
      </c>
      <c r="AQ785" s="34">
        <v>0</v>
      </c>
      <c r="AR785" s="34">
        <v>0</v>
      </c>
      <c r="AS785" s="34">
        <v>0</v>
      </c>
      <c r="AT785" s="40">
        <f t="shared" ref="AT785" si="291">AQ785+AS785</f>
        <v>0</v>
      </c>
      <c r="AU785" s="18">
        <f>AJ785-AM785</f>
        <v>40000000</v>
      </c>
      <c r="AV785" s="133">
        <f>AM785-AP785</f>
        <v>0</v>
      </c>
      <c r="AW785" s="34">
        <f>AP785-AT785</f>
        <v>0</v>
      </c>
      <c r="AX785" s="123">
        <f>AP785/AJ785</f>
        <v>0</v>
      </c>
    </row>
    <row r="786" spans="1:50" x14ac:dyDescent="0.2">
      <c r="AA786" s="16"/>
      <c r="AB786" s="17"/>
      <c r="AC786" s="17"/>
      <c r="AD786" s="18"/>
      <c r="AE786" s="34"/>
      <c r="AF786" s="34"/>
      <c r="AG786" s="34"/>
      <c r="AH786" s="34"/>
      <c r="AI786" s="34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30"/>
      <c r="AU786" s="18"/>
      <c r="AV786" s="18"/>
      <c r="AW786" s="18"/>
      <c r="AX786" s="18"/>
    </row>
    <row r="787" spans="1:50" ht="25.5" x14ac:dyDescent="0.2">
      <c r="AA787" s="16"/>
      <c r="AB787" s="29" t="s">
        <v>197</v>
      </c>
      <c r="AC787" s="17"/>
      <c r="AD787" s="18"/>
      <c r="AE787" s="34"/>
      <c r="AF787" s="34"/>
      <c r="AG787" s="34"/>
      <c r="AH787" s="34"/>
      <c r="AI787" s="34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30"/>
      <c r="AU787" s="18"/>
      <c r="AV787" s="18"/>
      <c r="AW787" s="18"/>
      <c r="AX787" s="18"/>
    </row>
    <row r="788" spans="1:50" x14ac:dyDescent="0.2">
      <c r="AA788" s="28" t="s">
        <v>288</v>
      </c>
      <c r="AB788" s="29" t="s">
        <v>591</v>
      </c>
      <c r="AC788" s="17"/>
      <c r="AD788" s="18"/>
      <c r="AE788" s="34"/>
      <c r="AF788" s="34"/>
      <c r="AG788" s="34"/>
      <c r="AH788" s="34"/>
      <c r="AI788" s="34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30"/>
      <c r="AU788" s="18"/>
      <c r="AV788" s="18"/>
      <c r="AW788" s="18"/>
      <c r="AX788" s="18"/>
    </row>
    <row r="789" spans="1:50" x14ac:dyDescent="0.2">
      <c r="A789" s="4" t="s">
        <v>55</v>
      </c>
      <c r="B789" s="4" t="s">
        <v>56</v>
      </c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1" t="s">
        <v>592</v>
      </c>
      <c r="AB789" s="42" t="s">
        <v>233</v>
      </c>
      <c r="AC789" s="43" t="s">
        <v>58</v>
      </c>
      <c r="AD789" s="43">
        <v>458060751</v>
      </c>
      <c r="AE789" s="44">
        <v>0</v>
      </c>
      <c r="AF789" s="44">
        <v>0</v>
      </c>
      <c r="AG789" s="43">
        <v>118300000</v>
      </c>
      <c r="AH789" s="44">
        <v>0</v>
      </c>
      <c r="AI789" s="43">
        <f>AE789-AF789+AG789-AH789</f>
        <v>118300000</v>
      </c>
      <c r="AJ789" s="43">
        <f>AD789+AI789</f>
        <v>576360751</v>
      </c>
      <c r="AK789" s="44">
        <v>0</v>
      </c>
      <c r="AL789" s="43">
        <v>93100000</v>
      </c>
      <c r="AM789" s="43">
        <v>425760751</v>
      </c>
      <c r="AN789" s="44">
        <v>0</v>
      </c>
      <c r="AO789" s="43">
        <v>93100000</v>
      </c>
      <c r="AP789" s="43">
        <v>425760751</v>
      </c>
      <c r="AQ789" s="110">
        <v>25116666</v>
      </c>
      <c r="AR789" s="110">
        <v>34300000</v>
      </c>
      <c r="AS789" s="110">
        <v>109966669</v>
      </c>
      <c r="AT789" s="111">
        <f t="shared" ref="AT789" si="292">AQ789+AS789</f>
        <v>135083335</v>
      </c>
      <c r="AU789" s="18">
        <f>AJ789-AM789</f>
        <v>150600000</v>
      </c>
      <c r="AV789" s="133">
        <f>AM789-AP789</f>
        <v>0</v>
      </c>
      <c r="AW789" s="18">
        <f>AP789-AT789</f>
        <v>290677416</v>
      </c>
      <c r="AX789" s="123">
        <f>AP789/AJ789</f>
        <v>0.73870531652492766</v>
      </c>
    </row>
    <row r="790" spans="1:50" ht="25.5" x14ac:dyDescent="0.2">
      <c r="AA790" s="28" t="s">
        <v>288</v>
      </c>
      <c r="AB790" s="29" t="s">
        <v>593</v>
      </c>
      <c r="AC790" s="17"/>
      <c r="AD790" s="18"/>
      <c r="AE790" s="34"/>
      <c r="AF790" s="34"/>
      <c r="AG790" s="34"/>
      <c r="AH790" s="34"/>
      <c r="AI790" s="34"/>
      <c r="AJ790" s="18"/>
      <c r="AK790" s="34"/>
      <c r="AL790" s="18"/>
      <c r="AM790" s="18"/>
      <c r="AN790" s="34"/>
      <c r="AO790" s="18"/>
      <c r="AP790" s="18"/>
      <c r="AQ790" s="110"/>
      <c r="AR790" s="110"/>
      <c r="AS790" s="110"/>
      <c r="AT790" s="111"/>
      <c r="AU790" s="18"/>
      <c r="AV790" s="34"/>
      <c r="AW790" s="18"/>
      <c r="AX790" s="18"/>
    </row>
    <row r="791" spans="1:50" x14ac:dyDescent="0.2">
      <c r="A791" s="4" t="s">
        <v>55</v>
      </c>
      <c r="B791" s="4" t="s">
        <v>56</v>
      </c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1" t="s">
        <v>594</v>
      </c>
      <c r="AB791" s="42" t="s">
        <v>233</v>
      </c>
      <c r="AC791" s="43" t="s">
        <v>58</v>
      </c>
      <c r="AD791" s="43">
        <v>522500000</v>
      </c>
      <c r="AE791" s="44">
        <v>0</v>
      </c>
      <c r="AF791" s="44">
        <v>0</v>
      </c>
      <c r="AG791" s="43">
        <v>140000000</v>
      </c>
      <c r="AH791" s="44">
        <v>0</v>
      </c>
      <c r="AI791" s="43">
        <f>AE791-AF791+AG791-AH791</f>
        <v>140000000</v>
      </c>
      <c r="AJ791" s="43">
        <f>AD791+AI791</f>
        <v>662500000</v>
      </c>
      <c r="AK791" s="44">
        <v>0</v>
      </c>
      <c r="AL791" s="43">
        <v>52500000</v>
      </c>
      <c r="AM791" s="43">
        <v>432500000</v>
      </c>
      <c r="AN791" s="44">
        <v>0</v>
      </c>
      <c r="AO791" s="43">
        <v>52500000</v>
      </c>
      <c r="AP791" s="43">
        <v>432500000</v>
      </c>
      <c r="AQ791" s="110">
        <v>0</v>
      </c>
      <c r="AR791" s="110">
        <v>50000000</v>
      </c>
      <c r="AS791" s="110">
        <v>141700001</v>
      </c>
      <c r="AT791" s="111">
        <f t="shared" ref="AT791" si="293">AQ791+AS791</f>
        <v>141700001</v>
      </c>
      <c r="AU791" s="18">
        <f>AJ791-AM791</f>
        <v>230000000</v>
      </c>
      <c r="AV791" s="133">
        <f>AM791-AP791</f>
        <v>0</v>
      </c>
      <c r="AW791" s="18">
        <f>AP791-AT791</f>
        <v>290799999</v>
      </c>
      <c r="AX791" s="123">
        <f>AP791/AJ791</f>
        <v>0.65283018867924525</v>
      </c>
    </row>
    <row r="792" spans="1:50" ht="25.5" x14ac:dyDescent="0.2">
      <c r="AA792" s="28" t="s">
        <v>288</v>
      </c>
      <c r="AB792" s="29" t="s">
        <v>583</v>
      </c>
      <c r="AC792" s="17"/>
      <c r="AD792" s="18"/>
      <c r="AE792" s="34"/>
      <c r="AF792" s="34"/>
      <c r="AG792" s="34"/>
      <c r="AH792" s="34"/>
      <c r="AI792" s="34"/>
      <c r="AJ792" s="18"/>
      <c r="AK792" s="18"/>
      <c r="AL792" s="18"/>
      <c r="AM792" s="18"/>
      <c r="AN792" s="34"/>
      <c r="AO792" s="18"/>
      <c r="AP792" s="18"/>
      <c r="AQ792" s="34"/>
      <c r="AR792" s="34"/>
      <c r="AS792" s="34"/>
      <c r="AT792" s="40"/>
      <c r="AU792" s="18"/>
      <c r="AV792" s="18"/>
      <c r="AW792" s="18"/>
      <c r="AX792" s="18"/>
    </row>
    <row r="793" spans="1:50" x14ac:dyDescent="0.2">
      <c r="A793" s="4" t="s">
        <v>55</v>
      </c>
      <c r="B793" s="4" t="s">
        <v>56</v>
      </c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1" t="s">
        <v>595</v>
      </c>
      <c r="AB793" s="42" t="s">
        <v>233</v>
      </c>
      <c r="AC793" s="43" t="s">
        <v>58</v>
      </c>
      <c r="AD793" s="43">
        <v>100000000</v>
      </c>
      <c r="AE793" s="44">
        <v>0</v>
      </c>
      <c r="AF793" s="44">
        <v>0</v>
      </c>
      <c r="AG793" s="44">
        <v>0</v>
      </c>
      <c r="AH793" s="44">
        <v>0</v>
      </c>
      <c r="AI793" s="44">
        <v>0</v>
      </c>
      <c r="AJ793" s="43">
        <v>100000000</v>
      </c>
      <c r="AK793" s="44">
        <v>0</v>
      </c>
      <c r="AL793" s="44">
        <f>AM793-ABRIL!AM680</f>
        <v>0</v>
      </c>
      <c r="AM793" s="43">
        <v>54000000</v>
      </c>
      <c r="AN793" s="44">
        <v>0</v>
      </c>
      <c r="AO793" s="43">
        <f>AP793-ABRIL!AP680</f>
        <v>21000000</v>
      </c>
      <c r="AP793" s="43">
        <v>54000000</v>
      </c>
      <c r="AQ793" s="18">
        <v>0</v>
      </c>
      <c r="AR793" s="34">
        <v>3333333</v>
      </c>
      <c r="AS793" s="34">
        <v>3333333</v>
      </c>
      <c r="AT793" s="39">
        <f t="shared" ref="AT793" si="294">AQ793+AS793</f>
        <v>3333333</v>
      </c>
      <c r="AU793" s="18">
        <f>AJ793-AM793</f>
        <v>46000000</v>
      </c>
      <c r="AV793" s="18">
        <f>AM793-AP793</f>
        <v>0</v>
      </c>
      <c r="AW793" s="18">
        <f>AP793-AT793</f>
        <v>50666667</v>
      </c>
      <c r="AX793" s="123">
        <f>AP793/AJ793</f>
        <v>0.54</v>
      </c>
    </row>
    <row r="794" spans="1:50" ht="25.5" x14ac:dyDescent="0.2">
      <c r="AA794" s="28" t="s">
        <v>288</v>
      </c>
      <c r="AB794" s="29" t="s">
        <v>596</v>
      </c>
      <c r="AC794" s="17"/>
      <c r="AD794" s="18"/>
      <c r="AE794" s="34"/>
      <c r="AF794" s="34"/>
      <c r="AG794" s="34"/>
      <c r="AH794" s="34"/>
      <c r="AI794" s="34"/>
      <c r="AJ794" s="18"/>
      <c r="AK794" s="34"/>
      <c r="AL794" s="133"/>
      <c r="AM794" s="110"/>
      <c r="AN794" s="34"/>
      <c r="AO794" s="34"/>
      <c r="AP794" s="34"/>
      <c r="AQ794" s="34"/>
      <c r="AR794" s="34"/>
      <c r="AS794" s="34"/>
      <c r="AT794" s="40"/>
      <c r="AU794" s="18"/>
      <c r="AV794" s="18"/>
      <c r="AW794" s="18"/>
      <c r="AX794" s="18"/>
    </row>
    <row r="795" spans="1:50" x14ac:dyDescent="0.2">
      <c r="A795" s="4" t="s">
        <v>55</v>
      </c>
      <c r="B795" s="4" t="s">
        <v>56</v>
      </c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1" t="s">
        <v>597</v>
      </c>
      <c r="AB795" s="42" t="s">
        <v>233</v>
      </c>
      <c r="AC795" s="43" t="s">
        <v>58</v>
      </c>
      <c r="AD795" s="43">
        <v>279700000</v>
      </c>
      <c r="AE795" s="44">
        <v>0</v>
      </c>
      <c r="AF795" s="44">
        <v>0</v>
      </c>
      <c r="AG795" s="44">
        <v>0</v>
      </c>
      <c r="AH795" s="44">
        <v>0</v>
      </c>
      <c r="AI795" s="44">
        <v>0</v>
      </c>
      <c r="AJ795" s="43">
        <v>279700000</v>
      </c>
      <c r="AK795" s="44">
        <v>0</v>
      </c>
      <c r="AL795" s="115">
        <v>0</v>
      </c>
      <c r="AM795" s="114">
        <v>193600000</v>
      </c>
      <c r="AN795" s="44">
        <v>0</v>
      </c>
      <c r="AO795" s="43">
        <v>0</v>
      </c>
      <c r="AP795" s="114">
        <v>193600000</v>
      </c>
      <c r="AQ795" s="34">
        <v>2500000</v>
      </c>
      <c r="AR795" s="18">
        <v>22750000</v>
      </c>
      <c r="AS795" s="18">
        <v>53973333</v>
      </c>
      <c r="AT795" s="39">
        <f t="shared" ref="AT795" si="295">AQ795+AS795</f>
        <v>56473333</v>
      </c>
      <c r="AU795" s="18">
        <f>AJ795-AM795</f>
        <v>86100000</v>
      </c>
      <c r="AV795" s="110">
        <f>AM795-AP795</f>
        <v>0</v>
      </c>
      <c r="AW795" s="18">
        <f>AP795-AT795</f>
        <v>137126667</v>
      </c>
      <c r="AX795" s="123">
        <f>AP795/AJ795</f>
        <v>0.69217018233821948</v>
      </c>
    </row>
    <row r="796" spans="1:50" ht="38.25" x14ac:dyDescent="0.2">
      <c r="AA796" s="28" t="s">
        <v>288</v>
      </c>
      <c r="AB796" s="29" t="s">
        <v>598</v>
      </c>
      <c r="AC796" s="17"/>
      <c r="AD796" s="18"/>
      <c r="AE796" s="34"/>
      <c r="AF796" s="34"/>
      <c r="AG796" s="34"/>
      <c r="AH796" s="34"/>
      <c r="AI796" s="34"/>
      <c r="AJ796" s="18"/>
      <c r="AK796" s="34"/>
      <c r="AL796" s="34"/>
      <c r="AM796" s="18"/>
      <c r="AN796" s="18"/>
      <c r="AO796" s="18"/>
      <c r="AP796" s="18"/>
      <c r="AQ796" s="110"/>
      <c r="AR796" s="110"/>
      <c r="AS796" s="110"/>
      <c r="AT796" s="109"/>
      <c r="AU796" s="18"/>
      <c r="AV796" s="18"/>
      <c r="AW796" s="18"/>
      <c r="AX796" s="18"/>
    </row>
    <row r="797" spans="1:50" x14ac:dyDescent="0.2">
      <c r="A797" s="4" t="s">
        <v>55</v>
      </c>
      <c r="B797" s="4" t="s">
        <v>56</v>
      </c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1" t="s">
        <v>599</v>
      </c>
      <c r="AB797" s="42" t="s">
        <v>233</v>
      </c>
      <c r="AC797" s="43" t="s">
        <v>58</v>
      </c>
      <c r="AD797" s="43">
        <v>418000000</v>
      </c>
      <c r="AE797" s="44">
        <v>0</v>
      </c>
      <c r="AF797" s="44">
        <v>0</v>
      </c>
      <c r="AG797" s="44">
        <v>0</v>
      </c>
      <c r="AH797" s="44">
        <v>0</v>
      </c>
      <c r="AI797" s="44">
        <v>0</v>
      </c>
      <c r="AJ797" s="43">
        <v>418000000</v>
      </c>
      <c r="AK797" s="44">
        <v>0</v>
      </c>
      <c r="AL797" s="44">
        <v>0</v>
      </c>
      <c r="AM797" s="43">
        <v>300000000</v>
      </c>
      <c r="AN797" s="44">
        <v>0</v>
      </c>
      <c r="AO797" s="44">
        <v>0</v>
      </c>
      <c r="AP797" s="43">
        <v>300000000</v>
      </c>
      <c r="AQ797" s="110">
        <v>0</v>
      </c>
      <c r="AR797" s="110">
        <v>37500000</v>
      </c>
      <c r="AS797" s="110">
        <v>113366670</v>
      </c>
      <c r="AT797" s="111">
        <f t="shared" si="285"/>
        <v>113366670</v>
      </c>
      <c r="AU797" s="18">
        <f>AJ797-AM797</f>
        <v>118000000</v>
      </c>
      <c r="AV797" s="133">
        <f>AM797-AP797</f>
        <v>0</v>
      </c>
      <c r="AW797" s="18">
        <f>AP797-AT797</f>
        <v>186633330</v>
      </c>
      <c r="AX797" s="123">
        <f>AP797/AJ797</f>
        <v>0.71770334928229662</v>
      </c>
    </row>
    <row r="798" spans="1:50" x14ac:dyDescent="0.2">
      <c r="AA798" s="28" t="s">
        <v>288</v>
      </c>
      <c r="AB798" s="29" t="s">
        <v>600</v>
      </c>
      <c r="AC798" s="17"/>
      <c r="AD798" s="18"/>
      <c r="AE798" s="34"/>
      <c r="AF798" s="34"/>
      <c r="AG798" s="34"/>
      <c r="AH798" s="34"/>
      <c r="AI798" s="34"/>
      <c r="AJ798" s="18"/>
      <c r="AK798" s="34"/>
      <c r="AL798" s="34"/>
      <c r="AM798" s="18"/>
      <c r="AN798" s="34"/>
      <c r="AO798" s="34"/>
      <c r="AP798" s="18"/>
      <c r="AQ798" s="34"/>
      <c r="AR798" s="34"/>
      <c r="AS798" s="34"/>
      <c r="AT798" s="40"/>
      <c r="AU798" s="18"/>
      <c r="AV798" s="18"/>
      <c r="AW798" s="18"/>
      <c r="AX798" s="18"/>
    </row>
    <row r="799" spans="1:50" s="150" customFormat="1" x14ac:dyDescent="0.2">
      <c r="A799" s="140" t="s">
        <v>55</v>
      </c>
      <c r="B799" s="140" t="s">
        <v>56</v>
      </c>
      <c r="C799" s="140"/>
      <c r="D799" s="140"/>
      <c r="E799" s="140"/>
      <c r="F799" s="140"/>
      <c r="G799" s="140"/>
      <c r="H799" s="140"/>
      <c r="I799" s="140"/>
      <c r="J799" s="140"/>
      <c r="K799" s="140"/>
      <c r="L799" s="140"/>
      <c r="M799" s="140"/>
      <c r="N799" s="140"/>
      <c r="O799" s="140"/>
      <c r="P799" s="140"/>
      <c r="Q799" s="140"/>
      <c r="R799" s="140"/>
      <c r="S799" s="140"/>
      <c r="T799" s="140"/>
      <c r="U799" s="140"/>
      <c r="V799" s="140"/>
      <c r="W799" s="140"/>
      <c r="X799" s="140"/>
      <c r="Y799" s="140"/>
      <c r="Z799" s="140"/>
      <c r="AA799" s="134" t="s">
        <v>601</v>
      </c>
      <c r="AB799" s="69" t="s">
        <v>233</v>
      </c>
      <c r="AC799" s="142" t="s">
        <v>58</v>
      </c>
      <c r="AD799" s="142">
        <v>337300000</v>
      </c>
      <c r="AE799" s="143">
        <v>0</v>
      </c>
      <c r="AF799" s="143">
        <v>0</v>
      </c>
      <c r="AG799" s="143">
        <v>0</v>
      </c>
      <c r="AH799" s="142">
        <f>31295090+46856431.35</f>
        <v>78151521.349999994</v>
      </c>
      <c r="AI799" s="142">
        <f>AE799-AF799+AG799-AH799</f>
        <v>-78151521.349999994</v>
      </c>
      <c r="AJ799" s="142">
        <f>AD799+AI799</f>
        <v>259148478.65000001</v>
      </c>
      <c r="AK799" s="143">
        <v>0</v>
      </c>
      <c r="AL799" s="258">
        <v>0</v>
      </c>
      <c r="AM799" s="144">
        <v>259148478.65000001</v>
      </c>
      <c r="AN799" s="143">
        <v>0</v>
      </c>
      <c r="AO799" s="143">
        <v>0</v>
      </c>
      <c r="AP799" s="142">
        <v>259148478.65000001</v>
      </c>
      <c r="AQ799" s="145">
        <v>0</v>
      </c>
      <c r="AR799" s="145">
        <v>0</v>
      </c>
      <c r="AS799" s="145">
        <v>0</v>
      </c>
      <c r="AT799" s="146">
        <f t="shared" ref="AT799" si="296">AQ799+AS799</f>
        <v>0</v>
      </c>
      <c r="AU799" s="145">
        <f>AJ799-AM799</f>
        <v>0</v>
      </c>
      <c r="AV799" s="175">
        <f>AM799-AP799</f>
        <v>0</v>
      </c>
      <c r="AW799" s="147">
        <f>AP799-AT799</f>
        <v>259148478.65000001</v>
      </c>
      <c r="AX799" s="149">
        <f>AP799/AJ799</f>
        <v>1</v>
      </c>
    </row>
    <row r="800" spans="1:50" ht="25.5" x14ac:dyDescent="0.2">
      <c r="AA800" s="28" t="s">
        <v>288</v>
      </c>
      <c r="AB800" s="29" t="s">
        <v>602</v>
      </c>
      <c r="AC800" s="17"/>
      <c r="AD800" s="18"/>
      <c r="AE800" s="18"/>
      <c r="AF800" s="18"/>
      <c r="AG800" s="18"/>
      <c r="AH800" s="18"/>
      <c r="AI800" s="18"/>
      <c r="AJ800" s="18"/>
      <c r="AK800" s="34"/>
      <c r="AL800" s="34"/>
      <c r="AM800" s="34"/>
      <c r="AN800" s="34"/>
      <c r="AO800" s="34"/>
      <c r="AP800" s="34"/>
      <c r="AQ800" s="34"/>
      <c r="AR800" s="34"/>
      <c r="AS800" s="34"/>
      <c r="AT800" s="40"/>
      <c r="AU800" s="18"/>
      <c r="AV800" s="18"/>
      <c r="AW800" s="18"/>
      <c r="AX800" s="18"/>
    </row>
    <row r="801" spans="1:50" x14ac:dyDescent="0.2">
      <c r="A801" s="4" t="s">
        <v>55</v>
      </c>
      <c r="B801" s="4" t="s">
        <v>56</v>
      </c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1" t="s">
        <v>603</v>
      </c>
      <c r="AB801" s="42" t="s">
        <v>233</v>
      </c>
      <c r="AC801" s="43" t="s">
        <v>58</v>
      </c>
      <c r="AD801" s="44">
        <v>0</v>
      </c>
      <c r="AE801" s="44">
        <v>0</v>
      </c>
      <c r="AF801" s="44">
        <v>0</v>
      </c>
      <c r="AG801" s="43">
        <v>4400000</v>
      </c>
      <c r="AH801" s="44">
        <v>0</v>
      </c>
      <c r="AI801" s="43">
        <f>AE801-AF801+AG801-AH801</f>
        <v>4400000</v>
      </c>
      <c r="AJ801" s="43">
        <f>AD801+AI801</f>
        <v>4400000</v>
      </c>
      <c r="AK801" s="44">
        <v>0</v>
      </c>
      <c r="AL801" s="44">
        <v>0</v>
      </c>
      <c r="AM801" s="44">
        <v>0</v>
      </c>
      <c r="AN801" s="44">
        <v>0</v>
      </c>
      <c r="AO801" s="44">
        <v>0</v>
      </c>
      <c r="AP801" s="44">
        <v>0</v>
      </c>
      <c r="AQ801" s="34">
        <v>0</v>
      </c>
      <c r="AR801" s="34">
        <v>0</v>
      </c>
      <c r="AS801" s="34">
        <v>0</v>
      </c>
      <c r="AT801" s="40">
        <f t="shared" ref="AT801" si="297">AQ801+AS801</f>
        <v>0</v>
      </c>
      <c r="AU801" s="18">
        <f>AJ801-AM801</f>
        <v>4400000</v>
      </c>
      <c r="AV801" s="133">
        <f>AM801-AP801</f>
        <v>0</v>
      </c>
      <c r="AW801" s="34">
        <f>AP801-AT801</f>
        <v>0</v>
      </c>
      <c r="AX801" s="123">
        <f>AP801/AJ801</f>
        <v>0</v>
      </c>
    </row>
    <row r="802" spans="1:50" ht="25.5" x14ac:dyDescent="0.2">
      <c r="AA802" s="28" t="s">
        <v>288</v>
      </c>
      <c r="AB802" s="29" t="s">
        <v>197</v>
      </c>
      <c r="AC802" s="17"/>
      <c r="AD802" s="34"/>
      <c r="AE802" s="34"/>
      <c r="AF802" s="34"/>
      <c r="AG802" s="18"/>
      <c r="AH802" s="34"/>
      <c r="AI802" s="18"/>
      <c r="AJ802" s="18"/>
      <c r="AK802" s="34"/>
      <c r="AL802" s="34"/>
      <c r="AM802" s="34"/>
      <c r="AN802" s="34"/>
      <c r="AO802" s="34"/>
      <c r="AP802" s="34"/>
      <c r="AQ802" s="34"/>
      <c r="AR802" s="34"/>
      <c r="AS802" s="34"/>
      <c r="AT802" s="40"/>
      <c r="AU802" s="18"/>
      <c r="AV802" s="34"/>
      <c r="AW802" s="34"/>
      <c r="AX802" s="18"/>
    </row>
    <row r="803" spans="1:50" x14ac:dyDescent="0.2">
      <c r="A803" s="4" t="s">
        <v>55</v>
      </c>
      <c r="B803" s="4" t="s">
        <v>56</v>
      </c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1" t="s">
        <v>604</v>
      </c>
      <c r="AB803" s="42" t="s">
        <v>233</v>
      </c>
      <c r="AC803" s="43" t="s">
        <v>58</v>
      </c>
      <c r="AD803" s="44">
        <v>0</v>
      </c>
      <c r="AE803" s="44">
        <v>0</v>
      </c>
      <c r="AF803" s="44">
        <v>0</v>
      </c>
      <c r="AG803" s="43">
        <v>88500000</v>
      </c>
      <c r="AH803" s="43">
        <v>20700000</v>
      </c>
      <c r="AI803" s="43">
        <f>AE803-AF803+AG803-AH803</f>
        <v>67800000</v>
      </c>
      <c r="AJ803" s="43">
        <f>AD803+AI803</f>
        <v>67800000</v>
      </c>
      <c r="AK803" s="44">
        <v>0</v>
      </c>
      <c r="AL803" s="44">
        <v>0</v>
      </c>
      <c r="AM803" s="44">
        <v>0</v>
      </c>
      <c r="AN803" s="44">
        <v>0</v>
      </c>
      <c r="AO803" s="44">
        <v>0</v>
      </c>
      <c r="AP803" s="44">
        <v>0</v>
      </c>
      <c r="AQ803" s="34">
        <v>0</v>
      </c>
      <c r="AR803" s="34">
        <v>0</v>
      </c>
      <c r="AS803" s="34">
        <v>0</v>
      </c>
      <c r="AT803" s="40">
        <f t="shared" ref="AT803" si="298">AQ803+AS803</f>
        <v>0</v>
      </c>
      <c r="AU803" s="18">
        <f>AJ803-AM803</f>
        <v>67800000</v>
      </c>
      <c r="AV803" s="133">
        <f>AM803-AP803</f>
        <v>0</v>
      </c>
      <c r="AW803" s="34">
        <f>AP803-AT803</f>
        <v>0</v>
      </c>
      <c r="AX803" s="123">
        <f>AP803/AJ803</f>
        <v>0</v>
      </c>
    </row>
    <row r="804" spans="1:50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1" t="s">
        <v>1225</v>
      </c>
      <c r="AB804" s="42" t="s">
        <v>233</v>
      </c>
      <c r="AC804" s="43"/>
      <c r="AD804" s="44">
        <v>0</v>
      </c>
      <c r="AE804" s="44">
        <v>0</v>
      </c>
      <c r="AF804" s="44">
        <v>0</v>
      </c>
      <c r="AG804" s="43">
        <v>602281020</v>
      </c>
      <c r="AH804" s="43"/>
      <c r="AI804" s="43">
        <f>AE804-AF804+AG804-AH804</f>
        <v>602281020</v>
      </c>
      <c r="AJ804" s="43">
        <f>AD804+AI804</f>
        <v>602281020</v>
      </c>
      <c r="AK804" s="44">
        <v>0</v>
      </c>
      <c r="AL804" s="44">
        <v>0</v>
      </c>
      <c r="AM804" s="44">
        <v>0</v>
      </c>
      <c r="AN804" s="44">
        <v>0</v>
      </c>
      <c r="AO804" s="44">
        <v>0</v>
      </c>
      <c r="AP804" s="44">
        <v>0</v>
      </c>
      <c r="AQ804" s="34">
        <v>0</v>
      </c>
      <c r="AR804" s="34">
        <v>0</v>
      </c>
      <c r="AS804" s="34">
        <v>0</v>
      </c>
      <c r="AT804" s="40">
        <f t="shared" ref="AT804" si="299">AQ804+AS804</f>
        <v>0</v>
      </c>
      <c r="AU804" s="18">
        <f>AJ804-AM804</f>
        <v>602281020</v>
      </c>
      <c r="AV804" s="133">
        <f>AM804-AP804</f>
        <v>0</v>
      </c>
      <c r="AW804" s="34">
        <f>AP804-AT804</f>
        <v>0</v>
      </c>
      <c r="AX804" s="123">
        <f>AP804/AJ804</f>
        <v>0</v>
      </c>
    </row>
    <row r="805" spans="1:50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1"/>
      <c r="AB805" s="42"/>
      <c r="AC805" s="43"/>
      <c r="AD805" s="44"/>
      <c r="AE805" s="44"/>
      <c r="AF805" s="44"/>
      <c r="AG805" s="43"/>
      <c r="AH805" s="43"/>
      <c r="AI805" s="43"/>
      <c r="AJ805" s="43"/>
      <c r="AK805" s="44"/>
      <c r="AL805" s="44"/>
      <c r="AM805" s="44"/>
      <c r="AN805" s="44"/>
      <c r="AO805" s="44"/>
      <c r="AP805" s="44"/>
      <c r="AQ805" s="34"/>
      <c r="AR805" s="34"/>
      <c r="AS805" s="34"/>
      <c r="AT805" s="40"/>
      <c r="AU805" s="18"/>
      <c r="AV805" s="133"/>
      <c r="AW805" s="34"/>
      <c r="AX805" s="123"/>
    </row>
    <row r="806" spans="1:50" ht="38.25" x14ac:dyDescent="0.2">
      <c r="AA806" s="28" t="s">
        <v>288</v>
      </c>
      <c r="AB806" s="29" t="s">
        <v>606</v>
      </c>
      <c r="AC806" s="17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30"/>
      <c r="AU806" s="18"/>
      <c r="AV806" s="34"/>
      <c r="AW806" s="18"/>
      <c r="AX806" s="18"/>
    </row>
    <row r="807" spans="1:50" x14ac:dyDescent="0.2">
      <c r="A807" s="4" t="s">
        <v>55</v>
      </c>
      <c r="B807" s="4" t="s">
        <v>56</v>
      </c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1" t="s">
        <v>607</v>
      </c>
      <c r="AB807" s="42" t="s">
        <v>233</v>
      </c>
      <c r="AC807" s="43" t="s">
        <v>58</v>
      </c>
      <c r="AD807" s="43">
        <v>859800000</v>
      </c>
      <c r="AE807" s="44">
        <v>0</v>
      </c>
      <c r="AF807" s="44">
        <v>0</v>
      </c>
      <c r="AG807" s="43">
        <f>300000000+313000000</f>
        <v>613000000</v>
      </c>
      <c r="AH807" s="43">
        <f>900000+258300000</f>
        <v>259200000</v>
      </c>
      <c r="AI807" s="43">
        <f>AE807-AF807+AG807-AH807</f>
        <v>353800000</v>
      </c>
      <c r="AJ807" s="43">
        <f>AD807+AI807</f>
        <v>1213600000</v>
      </c>
      <c r="AK807" s="44">
        <v>0</v>
      </c>
      <c r="AL807" s="43">
        <v>14000000</v>
      </c>
      <c r="AM807" s="43">
        <v>556776966</v>
      </c>
      <c r="AN807" s="44">
        <v>0</v>
      </c>
      <c r="AO807" s="43">
        <v>14000000</v>
      </c>
      <c r="AP807" s="43">
        <v>556776966</v>
      </c>
      <c r="AQ807" s="34">
        <v>10500000</v>
      </c>
      <c r="AR807" s="110">
        <v>61066667</v>
      </c>
      <c r="AS807" s="110">
        <v>196410001</v>
      </c>
      <c r="AT807" s="111">
        <f t="shared" si="285"/>
        <v>206910001</v>
      </c>
      <c r="AU807" s="18">
        <f>AJ807-AM807</f>
        <v>656823034</v>
      </c>
      <c r="AV807" s="34">
        <f>AM807-AP807</f>
        <v>0</v>
      </c>
      <c r="AW807" s="18">
        <f>AP807-AT807</f>
        <v>349866965</v>
      </c>
      <c r="AX807" s="123">
        <f>AP807/AJ807</f>
        <v>0.4587812837837838</v>
      </c>
    </row>
    <row r="808" spans="1:50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1" t="s">
        <v>1101</v>
      </c>
      <c r="AB808" s="42" t="s">
        <v>1015</v>
      </c>
      <c r="AC808" s="43"/>
      <c r="AD808" s="43">
        <v>0</v>
      </c>
      <c r="AE808" s="43">
        <v>25000000</v>
      </c>
      <c r="AF808" s="44">
        <v>0</v>
      </c>
      <c r="AG808" s="44">
        <v>0</v>
      </c>
      <c r="AH808" s="44">
        <v>0</v>
      </c>
      <c r="AI808" s="43">
        <f>AE808-AF808+AG808-AH808</f>
        <v>25000000</v>
      </c>
      <c r="AJ808" s="43">
        <f>AD808+AI808</f>
        <v>25000000</v>
      </c>
      <c r="AK808" s="44">
        <v>0</v>
      </c>
      <c r="AL808" s="44">
        <v>0</v>
      </c>
      <c r="AM808" s="44">
        <v>0</v>
      </c>
      <c r="AN808" s="44">
        <v>0</v>
      </c>
      <c r="AO808" s="43">
        <v>0</v>
      </c>
      <c r="AP808" s="43">
        <v>0</v>
      </c>
      <c r="AQ808" s="34">
        <v>0</v>
      </c>
      <c r="AR808" s="110">
        <v>0</v>
      </c>
      <c r="AS808" s="110">
        <v>0</v>
      </c>
      <c r="AT808" s="111">
        <f t="shared" ref="AT808" si="300">AQ808+AS808</f>
        <v>0</v>
      </c>
      <c r="AU808" s="18">
        <f>AJ808-AM808</f>
        <v>25000000</v>
      </c>
      <c r="AV808" s="34">
        <f>AM808-AP808</f>
        <v>0</v>
      </c>
      <c r="AW808" s="18">
        <f>AP808-AT808</f>
        <v>0</v>
      </c>
      <c r="AX808" s="123">
        <f>AP808/AJ808</f>
        <v>0</v>
      </c>
    </row>
    <row r="809" spans="1:50" ht="25.5" x14ac:dyDescent="0.2">
      <c r="AA809" s="28" t="s">
        <v>288</v>
      </c>
      <c r="AB809" s="29" t="s">
        <v>608</v>
      </c>
      <c r="AC809" s="17"/>
      <c r="AD809" s="18"/>
      <c r="AE809" s="34"/>
      <c r="AF809" s="34"/>
      <c r="AG809" s="34"/>
      <c r="AH809" s="18"/>
      <c r="AI809" s="18"/>
      <c r="AJ809" s="18"/>
      <c r="AK809" s="34"/>
      <c r="AL809" s="18"/>
      <c r="AM809" s="18"/>
      <c r="AN809" s="34"/>
      <c r="AO809" s="18"/>
      <c r="AP809" s="18"/>
      <c r="AQ809" s="34"/>
      <c r="AR809" s="34"/>
      <c r="AS809" s="34"/>
      <c r="AT809" s="40">
        <f t="shared" si="285"/>
        <v>0</v>
      </c>
      <c r="AU809" s="18"/>
      <c r="AV809" s="34"/>
      <c r="AW809" s="18"/>
      <c r="AX809" s="18"/>
    </row>
    <row r="810" spans="1:50" x14ac:dyDescent="0.2">
      <c r="A810" s="4" t="s">
        <v>55</v>
      </c>
      <c r="B810" s="4" t="s">
        <v>56</v>
      </c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1" t="s">
        <v>609</v>
      </c>
      <c r="AB810" s="42" t="s">
        <v>233</v>
      </c>
      <c r="AC810" s="43" t="s">
        <v>58</v>
      </c>
      <c r="AD810" s="43">
        <v>20000000</v>
      </c>
      <c r="AE810" s="44">
        <v>0</v>
      </c>
      <c r="AF810" s="44">
        <v>0</v>
      </c>
      <c r="AG810" s="44">
        <v>0</v>
      </c>
      <c r="AH810" s="44">
        <v>0</v>
      </c>
      <c r="AI810" s="43">
        <f>AE810-AF810+AG810-AH810</f>
        <v>0</v>
      </c>
      <c r="AJ810" s="43">
        <f>AD810+AI810</f>
        <v>20000000</v>
      </c>
      <c r="AK810" s="44">
        <v>0</v>
      </c>
      <c r="AL810" s="44">
        <v>0</v>
      </c>
      <c r="AM810" s="44">
        <v>0</v>
      </c>
      <c r="AN810" s="44">
        <v>0</v>
      </c>
      <c r="AO810" s="44">
        <f>AP810-'MARZO '!AP689</f>
        <v>0</v>
      </c>
      <c r="AP810" s="44">
        <v>0</v>
      </c>
      <c r="AQ810" s="34">
        <v>0</v>
      </c>
      <c r="AR810" s="34">
        <v>0</v>
      </c>
      <c r="AS810" s="34">
        <v>0</v>
      </c>
      <c r="AT810" s="40">
        <f t="shared" si="285"/>
        <v>0</v>
      </c>
      <c r="AU810" s="18">
        <f>AJ810-AM810</f>
        <v>20000000</v>
      </c>
      <c r="AV810" s="133">
        <f>AM810-AP810</f>
        <v>0</v>
      </c>
      <c r="AW810" s="34">
        <f>AP810-AT810</f>
        <v>0</v>
      </c>
      <c r="AX810" s="123">
        <f>AP810/AJ810</f>
        <v>0</v>
      </c>
    </row>
    <row r="811" spans="1:50" x14ac:dyDescent="0.2">
      <c r="AA811" s="28" t="s">
        <v>288</v>
      </c>
      <c r="AB811" s="29" t="s">
        <v>400</v>
      </c>
      <c r="AC811" s="17"/>
      <c r="AD811" s="18"/>
      <c r="AE811" s="34"/>
      <c r="AF811" s="34"/>
      <c r="AG811" s="34"/>
      <c r="AH811" s="34"/>
      <c r="AI811" s="34"/>
      <c r="AJ811" s="18"/>
      <c r="AK811" s="34"/>
      <c r="AL811" s="18"/>
      <c r="AM811" s="18"/>
      <c r="AN811" s="34"/>
      <c r="AO811" s="34"/>
      <c r="AP811" s="18"/>
      <c r="AQ811" s="34"/>
      <c r="AR811" s="34"/>
      <c r="AS811" s="34"/>
      <c r="AT811" s="40"/>
      <c r="AU811" s="18"/>
      <c r="AV811" s="34"/>
      <c r="AW811" s="18"/>
      <c r="AX811" s="18"/>
    </row>
    <row r="812" spans="1:50" x14ac:dyDescent="0.2">
      <c r="A812" s="4" t="s">
        <v>55</v>
      </c>
      <c r="B812" s="4" t="s">
        <v>56</v>
      </c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1" t="s">
        <v>610</v>
      </c>
      <c r="AB812" s="42" t="s">
        <v>233</v>
      </c>
      <c r="AC812" s="43" t="s">
        <v>58</v>
      </c>
      <c r="AD812" s="43">
        <v>379500000</v>
      </c>
      <c r="AE812" s="44">
        <v>0</v>
      </c>
      <c r="AF812" s="44">
        <v>0</v>
      </c>
      <c r="AG812" s="44">
        <v>0</v>
      </c>
      <c r="AH812" s="44">
        <v>0</v>
      </c>
      <c r="AI812" s="44">
        <v>0</v>
      </c>
      <c r="AJ812" s="43">
        <v>379500000</v>
      </c>
      <c r="AK812" s="44">
        <v>0</v>
      </c>
      <c r="AL812" s="43">
        <v>24500000</v>
      </c>
      <c r="AM812" s="43">
        <v>268500000</v>
      </c>
      <c r="AN812" s="44">
        <v>0</v>
      </c>
      <c r="AO812" s="44">
        <v>24500000</v>
      </c>
      <c r="AP812" s="43">
        <v>268500000</v>
      </c>
      <c r="AQ812" s="18">
        <v>0</v>
      </c>
      <c r="AR812" s="18">
        <v>30500000</v>
      </c>
      <c r="AS812" s="18">
        <v>92950000</v>
      </c>
      <c r="AT812" s="111">
        <f t="shared" ref="AT812" si="301">AQ812+AS812</f>
        <v>92950000</v>
      </c>
      <c r="AU812" s="18">
        <f>AJ812-AM812</f>
        <v>111000000</v>
      </c>
      <c r="AV812" s="133">
        <f>AM812-AP812</f>
        <v>0</v>
      </c>
      <c r="AW812" s="18">
        <f>AP812-AT812</f>
        <v>175550000</v>
      </c>
      <c r="AX812" s="123">
        <f>AP812/AJ812</f>
        <v>0.70750988142292492</v>
      </c>
    </row>
    <row r="813" spans="1:50" x14ac:dyDescent="0.2">
      <c r="AA813" s="16"/>
      <c r="AB813" s="17"/>
      <c r="AC813" s="17"/>
      <c r="AD813" s="18"/>
      <c r="AE813" s="34"/>
      <c r="AF813" s="34"/>
      <c r="AG813" s="34"/>
      <c r="AH813" s="18"/>
      <c r="AI813" s="18"/>
      <c r="AJ813" s="18"/>
      <c r="AK813" s="34"/>
      <c r="AL813" s="18"/>
      <c r="AM813" s="18"/>
      <c r="AN813" s="18"/>
      <c r="AO813" s="18"/>
      <c r="AP813" s="18"/>
      <c r="AQ813" s="34"/>
      <c r="AR813" s="34"/>
      <c r="AS813" s="34"/>
      <c r="AT813" s="40"/>
      <c r="AU813" s="18"/>
      <c r="AV813" s="34"/>
      <c r="AW813" s="18"/>
      <c r="AX813" s="18"/>
    </row>
    <row r="814" spans="1:50" x14ac:dyDescent="0.2">
      <c r="AA814" s="16"/>
      <c r="AB814" s="29" t="s">
        <v>199</v>
      </c>
      <c r="AC814" s="17"/>
      <c r="AD814" s="18"/>
      <c r="AE814" s="34"/>
      <c r="AF814" s="34"/>
      <c r="AG814" s="34"/>
      <c r="AH814" s="18"/>
      <c r="AI814" s="18"/>
      <c r="AJ814" s="18"/>
      <c r="AK814" s="34"/>
      <c r="AL814" s="18"/>
      <c r="AM814" s="18"/>
      <c r="AN814" s="18"/>
      <c r="AO814" s="18"/>
      <c r="AP814" s="18"/>
      <c r="AQ814" s="34"/>
      <c r="AR814" s="34"/>
      <c r="AS814" s="34"/>
      <c r="AT814" s="40"/>
      <c r="AU814" s="18"/>
      <c r="AV814" s="18"/>
      <c r="AW814" s="18"/>
      <c r="AX814" s="18"/>
    </row>
    <row r="815" spans="1:50" ht="38.25" x14ac:dyDescent="0.2">
      <c r="AA815" s="28" t="s">
        <v>288</v>
      </c>
      <c r="AB815" s="29" t="s">
        <v>611</v>
      </c>
      <c r="AC815" s="17"/>
      <c r="AD815" s="18"/>
      <c r="AE815" s="34"/>
      <c r="AF815" s="34"/>
      <c r="AG815" s="34"/>
      <c r="AH815" s="18"/>
      <c r="AI815" s="18"/>
      <c r="AJ815" s="18"/>
      <c r="AK815" s="34"/>
      <c r="AL815" s="18"/>
      <c r="AM815" s="18"/>
      <c r="AN815" s="18"/>
      <c r="AO815" s="18"/>
      <c r="AP815" s="18"/>
      <c r="AQ815" s="34"/>
      <c r="AR815" s="34"/>
      <c r="AS815" s="34"/>
      <c r="AT815" s="40"/>
      <c r="AU815" s="18"/>
      <c r="AV815" s="18"/>
      <c r="AW815" s="18"/>
      <c r="AX815" s="18"/>
    </row>
    <row r="816" spans="1:50" x14ac:dyDescent="0.2">
      <c r="A816" s="4" t="s">
        <v>55</v>
      </c>
      <c r="B816" s="4" t="s">
        <v>56</v>
      </c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1" t="s">
        <v>612</v>
      </c>
      <c r="AB816" s="42" t="s">
        <v>233</v>
      </c>
      <c r="AC816" s="43" t="s">
        <v>58</v>
      </c>
      <c r="AD816" s="43">
        <v>725000000</v>
      </c>
      <c r="AE816" s="44">
        <v>0</v>
      </c>
      <c r="AF816" s="44">
        <v>0</v>
      </c>
      <c r="AG816" s="43">
        <v>20700000</v>
      </c>
      <c r="AH816" s="43">
        <f>17000000+313000000</f>
        <v>330000000</v>
      </c>
      <c r="AI816" s="43">
        <f>AE816-AF816+AG816-AH816</f>
        <v>-309300000</v>
      </c>
      <c r="AJ816" s="43">
        <f>AD816+AI816</f>
        <v>415700000</v>
      </c>
      <c r="AK816" s="44">
        <v>0</v>
      </c>
      <c r="AL816" s="44">
        <v>0</v>
      </c>
      <c r="AM816" s="43">
        <v>395000000</v>
      </c>
      <c r="AN816" s="43">
        <v>0</v>
      </c>
      <c r="AO816" s="43">
        <v>20642175</v>
      </c>
      <c r="AP816" s="114">
        <v>128137396</v>
      </c>
      <c r="AQ816" s="110">
        <v>454260</v>
      </c>
      <c r="AR816" s="110">
        <v>23662910</v>
      </c>
      <c r="AS816" s="110">
        <v>57683136</v>
      </c>
      <c r="AT816" s="111">
        <f t="shared" ref="AT816" si="302">AQ816+AS816</f>
        <v>58137396</v>
      </c>
      <c r="AU816" s="110">
        <f>AJ816-AM816</f>
        <v>20700000</v>
      </c>
      <c r="AV816" s="110">
        <f>AM816-AP816</f>
        <v>266862604</v>
      </c>
      <c r="AW816" s="18">
        <f>AP816-AT816</f>
        <v>70000000</v>
      </c>
      <c r="AX816" s="123">
        <f>AP816/AJ816</f>
        <v>0.30824487851816212</v>
      </c>
    </row>
    <row r="817" spans="1:50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1" t="s">
        <v>1102</v>
      </c>
      <c r="AB817" s="42" t="s">
        <v>1015</v>
      </c>
      <c r="AC817" s="43"/>
      <c r="AD817" s="44">
        <v>0</v>
      </c>
      <c r="AE817" s="43">
        <v>12000000</v>
      </c>
      <c r="AF817" s="44">
        <v>0</v>
      </c>
      <c r="AG817" s="44">
        <v>0</v>
      </c>
      <c r="AH817" s="44">
        <v>0</v>
      </c>
      <c r="AI817" s="43">
        <f>AE817-AF817+AG817-AH817</f>
        <v>12000000</v>
      </c>
      <c r="AJ817" s="43">
        <f>AD817+AI817</f>
        <v>12000000</v>
      </c>
      <c r="AK817" s="44">
        <v>0</v>
      </c>
      <c r="AL817" s="44">
        <v>0</v>
      </c>
      <c r="AM817" s="44">
        <v>0</v>
      </c>
      <c r="AN817" s="43">
        <v>0</v>
      </c>
      <c r="AO817" s="43">
        <v>0</v>
      </c>
      <c r="AP817" s="114">
        <v>0</v>
      </c>
      <c r="AQ817" s="110">
        <v>0</v>
      </c>
      <c r="AR817" s="110">
        <v>0</v>
      </c>
      <c r="AS817" s="110">
        <v>0</v>
      </c>
      <c r="AT817" s="111">
        <f t="shared" ref="AT817" si="303">AQ817+AS817</f>
        <v>0</v>
      </c>
      <c r="AU817" s="110">
        <f>AJ817-AM817</f>
        <v>12000000</v>
      </c>
      <c r="AV817" s="110">
        <f>AM817-AP817</f>
        <v>0</v>
      </c>
      <c r="AW817" s="18">
        <f>AP817-AT817</f>
        <v>0</v>
      </c>
      <c r="AX817" s="123">
        <f>AP817/AJ817</f>
        <v>0</v>
      </c>
    </row>
    <row r="818" spans="1:50" x14ac:dyDescent="0.2">
      <c r="AA818" s="16"/>
      <c r="AB818" s="17"/>
      <c r="AC818" s="17"/>
      <c r="AD818" s="34"/>
      <c r="AE818" s="18"/>
      <c r="AF818" s="18"/>
      <c r="AG818" s="18"/>
      <c r="AH818" s="18"/>
      <c r="AI818" s="18"/>
      <c r="AJ818" s="18"/>
      <c r="AK818" s="34"/>
      <c r="AL818" s="34"/>
      <c r="AM818" s="34"/>
      <c r="AN818" s="18"/>
      <c r="AO818" s="18"/>
      <c r="AP818" s="18"/>
      <c r="AQ818" s="34"/>
      <c r="AR818" s="34"/>
      <c r="AS818" s="34"/>
      <c r="AT818" s="40"/>
      <c r="AU818" s="18"/>
      <c r="AV818" s="18"/>
      <c r="AW818" s="18"/>
      <c r="AX818" s="18"/>
    </row>
    <row r="819" spans="1:50" x14ac:dyDescent="0.2">
      <c r="AA819" s="73" t="s">
        <v>1016</v>
      </c>
      <c r="AB819" s="74" t="s">
        <v>1068</v>
      </c>
      <c r="AC819" s="17"/>
      <c r="AD819" s="34"/>
      <c r="AE819" s="18"/>
      <c r="AF819" s="18"/>
      <c r="AG819" s="18"/>
      <c r="AH819" s="18"/>
      <c r="AI819" s="18"/>
      <c r="AJ819" s="18"/>
      <c r="AK819" s="34"/>
      <c r="AL819" s="34"/>
      <c r="AM819" s="34"/>
      <c r="AN819" s="18"/>
      <c r="AO819" s="18"/>
      <c r="AP819" s="18"/>
      <c r="AQ819" s="34"/>
      <c r="AR819" s="34"/>
      <c r="AS819" s="34"/>
      <c r="AT819" s="40"/>
      <c r="AU819" s="18"/>
      <c r="AV819" s="18"/>
      <c r="AW819" s="18"/>
      <c r="AX819" s="18"/>
    </row>
    <row r="820" spans="1:50" x14ac:dyDescent="0.2">
      <c r="AA820" s="73" t="s">
        <v>1017</v>
      </c>
      <c r="AB820" s="74" t="s">
        <v>1069</v>
      </c>
      <c r="AC820" s="17"/>
      <c r="AD820" s="34"/>
      <c r="AE820" s="18"/>
      <c r="AF820" s="18"/>
      <c r="AG820" s="18"/>
      <c r="AH820" s="18"/>
      <c r="AI820" s="18"/>
      <c r="AJ820" s="18"/>
      <c r="AK820" s="34"/>
      <c r="AL820" s="34"/>
      <c r="AM820" s="34"/>
      <c r="AN820" s="18"/>
      <c r="AO820" s="18"/>
      <c r="AP820" s="18"/>
      <c r="AQ820" s="34"/>
      <c r="AR820" s="34"/>
      <c r="AS820" s="34"/>
      <c r="AT820" s="40"/>
      <c r="AU820" s="18"/>
      <c r="AV820" s="18"/>
      <c r="AW820" s="18"/>
      <c r="AX820" s="18"/>
    </row>
    <row r="821" spans="1:50" x14ac:dyDescent="0.2">
      <c r="AA821" s="73" t="s">
        <v>1018</v>
      </c>
      <c r="AB821" s="74" t="s">
        <v>286</v>
      </c>
      <c r="AC821" s="17"/>
      <c r="AD821" s="34"/>
      <c r="AE821" s="18"/>
      <c r="AF821" s="18"/>
      <c r="AG821" s="18"/>
      <c r="AH821" s="18"/>
      <c r="AI821" s="18"/>
      <c r="AJ821" s="18"/>
      <c r="AK821" s="34"/>
      <c r="AL821" s="34"/>
      <c r="AM821" s="34"/>
      <c r="AN821" s="18"/>
      <c r="AO821" s="18"/>
      <c r="AP821" s="18"/>
      <c r="AQ821" s="34"/>
      <c r="AR821" s="34"/>
      <c r="AS821" s="34"/>
      <c r="AT821" s="40"/>
      <c r="AU821" s="18"/>
      <c r="AV821" s="18"/>
      <c r="AW821" s="18"/>
      <c r="AX821" s="18"/>
    </row>
    <row r="822" spans="1:50" x14ac:dyDescent="0.2">
      <c r="AA822" s="73" t="s">
        <v>1021</v>
      </c>
      <c r="AB822" s="74" t="s">
        <v>1070</v>
      </c>
      <c r="AC822" s="17"/>
      <c r="AD822" s="34"/>
      <c r="AE822" s="18"/>
      <c r="AF822" s="18"/>
      <c r="AG822" s="18"/>
      <c r="AH822" s="18"/>
      <c r="AI822" s="18"/>
      <c r="AJ822" s="18"/>
      <c r="AK822" s="34"/>
      <c r="AL822" s="34"/>
      <c r="AM822" s="34"/>
      <c r="AN822" s="18"/>
      <c r="AO822" s="18"/>
      <c r="AP822" s="18"/>
      <c r="AQ822" s="34"/>
      <c r="AR822" s="34"/>
      <c r="AS822" s="34"/>
      <c r="AT822" s="40"/>
      <c r="AU822" s="18"/>
      <c r="AV822" s="18"/>
      <c r="AW822" s="18"/>
      <c r="AX822" s="18"/>
    </row>
    <row r="823" spans="1:50" x14ac:dyDescent="0.2">
      <c r="AA823" s="16" t="s">
        <v>1019</v>
      </c>
      <c r="AB823" s="17" t="s">
        <v>1005</v>
      </c>
      <c r="AC823" s="17"/>
      <c r="AD823" s="34">
        <v>0</v>
      </c>
      <c r="AE823" s="18">
        <v>6986666</v>
      </c>
      <c r="AF823" s="34">
        <v>0</v>
      </c>
      <c r="AG823" s="34">
        <v>0</v>
      </c>
      <c r="AH823" s="34">
        <v>0</v>
      </c>
      <c r="AI823" s="43">
        <f>AE823-AF823+AG823-AH823</f>
        <v>6986666</v>
      </c>
      <c r="AJ823" s="43">
        <f>AD823+AI823</f>
        <v>6986666</v>
      </c>
      <c r="AK823" s="34">
        <v>0</v>
      </c>
      <c r="AL823" s="34">
        <v>0</v>
      </c>
      <c r="AM823" s="34">
        <v>0</v>
      </c>
      <c r="AN823" s="18">
        <v>0</v>
      </c>
      <c r="AO823" s="18">
        <v>0</v>
      </c>
      <c r="AP823" s="18">
        <v>0</v>
      </c>
      <c r="AQ823" s="34">
        <v>0</v>
      </c>
      <c r="AR823" s="34">
        <v>0</v>
      </c>
      <c r="AS823" s="34">
        <v>0</v>
      </c>
      <c r="AT823" s="111">
        <f t="shared" ref="AT823" si="304">AQ823+AS823</f>
        <v>0</v>
      </c>
      <c r="AU823" s="110">
        <f>AJ823-AM823</f>
        <v>6986666</v>
      </c>
      <c r="AV823" s="133">
        <f>AM823-AP823</f>
        <v>0</v>
      </c>
      <c r="AW823" s="34">
        <f>AP823-AT823</f>
        <v>0</v>
      </c>
      <c r="AX823" s="123">
        <f>AP823/AJ823</f>
        <v>0</v>
      </c>
    </row>
    <row r="824" spans="1:50" x14ac:dyDescent="0.2">
      <c r="AA824" s="16"/>
      <c r="AB824" s="17"/>
      <c r="AC824" s="17"/>
      <c r="AD824" s="18"/>
      <c r="AE824" s="18"/>
      <c r="AF824" s="18"/>
      <c r="AG824" s="18"/>
      <c r="AH824" s="18"/>
      <c r="AI824" s="18"/>
      <c r="AJ824" s="18"/>
      <c r="AK824" s="34"/>
      <c r="AL824" s="34"/>
      <c r="AM824" s="18"/>
      <c r="AN824" s="18"/>
      <c r="AO824" s="18"/>
      <c r="AP824" s="18"/>
      <c r="AQ824" s="34"/>
      <c r="AR824" s="34"/>
      <c r="AS824" s="34"/>
      <c r="AT824" s="40"/>
      <c r="AU824" s="18"/>
      <c r="AV824" s="18"/>
      <c r="AW824" s="18"/>
      <c r="AX824" s="18"/>
    </row>
    <row r="825" spans="1:50" ht="38.25" x14ac:dyDescent="0.2">
      <c r="AA825" s="16"/>
      <c r="AB825" s="29" t="s">
        <v>613</v>
      </c>
      <c r="AC825" s="17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30"/>
      <c r="AU825" s="18"/>
      <c r="AV825" s="18"/>
      <c r="AW825" s="18"/>
      <c r="AX825" s="18"/>
    </row>
    <row r="826" spans="1:50" x14ac:dyDescent="0.2">
      <c r="AA826" s="16"/>
      <c r="AB826" s="29" t="s">
        <v>614</v>
      </c>
      <c r="AC826" s="17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30"/>
      <c r="AU826" s="18"/>
      <c r="AV826" s="18"/>
      <c r="AW826" s="18"/>
      <c r="AX826" s="18"/>
    </row>
    <row r="827" spans="1:50" x14ac:dyDescent="0.2">
      <c r="AA827" s="16"/>
      <c r="AB827" s="29" t="s">
        <v>286</v>
      </c>
      <c r="AC827" s="17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30"/>
      <c r="AU827" s="18"/>
      <c r="AV827" s="18"/>
      <c r="AW827" s="18"/>
      <c r="AX827" s="18"/>
    </row>
    <row r="828" spans="1:50" x14ac:dyDescent="0.2">
      <c r="AA828" s="16"/>
      <c r="AB828" s="29" t="s">
        <v>574</v>
      </c>
      <c r="AC828" s="17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30"/>
      <c r="AU828" s="18"/>
      <c r="AV828" s="18"/>
      <c r="AW828" s="18"/>
      <c r="AX828" s="18"/>
    </row>
    <row r="829" spans="1:50" x14ac:dyDescent="0.2">
      <c r="AA829" s="16"/>
      <c r="AB829" s="29" t="s">
        <v>575</v>
      </c>
      <c r="AC829" s="17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30"/>
      <c r="AU829" s="18"/>
      <c r="AV829" s="18"/>
      <c r="AW829" s="18"/>
      <c r="AX829" s="18"/>
    </row>
    <row r="830" spans="1:50" x14ac:dyDescent="0.2">
      <c r="AA830" s="16"/>
      <c r="AB830" s="29" t="s">
        <v>576</v>
      </c>
      <c r="AC830" s="17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30"/>
      <c r="AU830" s="18"/>
      <c r="AV830" s="18"/>
      <c r="AW830" s="18"/>
      <c r="AX830" s="18"/>
    </row>
    <row r="831" spans="1:50" x14ac:dyDescent="0.2">
      <c r="AA831" s="16"/>
      <c r="AB831" s="29" t="s">
        <v>615</v>
      </c>
      <c r="AC831" s="17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30"/>
      <c r="AU831" s="18"/>
      <c r="AV831" s="18"/>
      <c r="AW831" s="18"/>
      <c r="AX831" s="18"/>
    </row>
    <row r="832" spans="1:50" ht="25.5" x14ac:dyDescent="0.2">
      <c r="AA832" s="16"/>
      <c r="AB832" s="29" t="s">
        <v>579</v>
      </c>
      <c r="AC832" s="17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30"/>
      <c r="AU832" s="18"/>
      <c r="AV832" s="18"/>
      <c r="AW832" s="18"/>
      <c r="AX832" s="18"/>
    </row>
    <row r="833" spans="1:50" ht="25.5" x14ac:dyDescent="0.2">
      <c r="AA833" s="41" t="s">
        <v>1229</v>
      </c>
      <c r="AB833" s="38" t="s">
        <v>1228</v>
      </c>
      <c r="AC833" s="17"/>
      <c r="AD833" s="34">
        <v>0</v>
      </c>
      <c r="AE833" s="34">
        <v>0</v>
      </c>
      <c r="AF833" s="34">
        <v>0</v>
      </c>
      <c r="AG833" s="18">
        <v>31000000</v>
      </c>
      <c r="AH833" s="34">
        <v>0</v>
      </c>
      <c r="AI833" s="43">
        <f>AE833-AF833+AG833-AH833</f>
        <v>31000000</v>
      </c>
      <c r="AJ833" s="43">
        <f>AD833+AI833</f>
        <v>31000000</v>
      </c>
      <c r="AK833" s="34">
        <v>0</v>
      </c>
      <c r="AL833" s="34">
        <v>0</v>
      </c>
      <c r="AM833" s="34">
        <v>0</v>
      </c>
      <c r="AN833" s="18">
        <v>0</v>
      </c>
      <c r="AO833" s="18">
        <v>0</v>
      </c>
      <c r="AP833" s="18">
        <v>0</v>
      </c>
      <c r="AQ833" s="18">
        <v>0</v>
      </c>
      <c r="AR833" s="18">
        <v>0</v>
      </c>
      <c r="AS833" s="18">
        <v>0</v>
      </c>
      <c r="AT833" s="111">
        <f t="shared" ref="AT833" si="305">AQ833+AS833</f>
        <v>0</v>
      </c>
      <c r="AU833" s="110">
        <f>AJ833-AM833</f>
        <v>31000000</v>
      </c>
      <c r="AV833" s="110">
        <f>AM833-AP833</f>
        <v>0</v>
      </c>
      <c r="AW833" s="18">
        <f>AP833-AT833</f>
        <v>0</v>
      </c>
      <c r="AX833" s="123">
        <f>AP833/AJ833</f>
        <v>0</v>
      </c>
    </row>
    <row r="834" spans="1:50" ht="25.5" x14ac:dyDescent="0.2">
      <c r="AA834" s="28" t="s">
        <v>288</v>
      </c>
      <c r="AB834" s="29" t="s">
        <v>616</v>
      </c>
      <c r="AC834" s="17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30"/>
      <c r="AU834" s="18"/>
      <c r="AV834" s="18"/>
      <c r="AW834" s="18"/>
      <c r="AX834" s="18"/>
    </row>
    <row r="835" spans="1:50" x14ac:dyDescent="0.2">
      <c r="A835" s="4" t="s">
        <v>55</v>
      </c>
      <c r="B835" s="4" t="s">
        <v>56</v>
      </c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1" t="s">
        <v>617</v>
      </c>
      <c r="AB835" s="42" t="s">
        <v>618</v>
      </c>
      <c r="AC835" s="43" t="s">
        <v>619</v>
      </c>
      <c r="AD835" s="43">
        <v>100000000</v>
      </c>
      <c r="AE835" s="44">
        <v>0</v>
      </c>
      <c r="AF835" s="44">
        <v>0</v>
      </c>
      <c r="AG835" s="43">
        <f>770000000+704534301</f>
        <v>1474534301</v>
      </c>
      <c r="AH835" s="137">
        <v>0</v>
      </c>
      <c r="AI835" s="43">
        <f>AE835-AF835+AG835-AH835</f>
        <v>1474534301</v>
      </c>
      <c r="AJ835" s="43">
        <f>AD835+AI835</f>
        <v>1574534301</v>
      </c>
      <c r="AK835" s="44">
        <v>0</v>
      </c>
      <c r="AL835" s="114">
        <v>-421099</v>
      </c>
      <c r="AM835" s="114">
        <v>1565609440</v>
      </c>
      <c r="AN835" s="44">
        <v>0</v>
      </c>
      <c r="AO835" s="43">
        <v>1548978000</v>
      </c>
      <c r="AP835" s="43">
        <v>1565609440</v>
      </c>
      <c r="AQ835" s="43">
        <v>16631440</v>
      </c>
      <c r="AR835" s="44">
        <v>0</v>
      </c>
      <c r="AS835" s="44">
        <v>0</v>
      </c>
      <c r="AT835" s="39">
        <f t="shared" ref="AT835" si="306">AQ835+AS835</f>
        <v>16631440</v>
      </c>
      <c r="AU835" s="18">
        <f>AJ835-AM835</f>
        <v>8924861</v>
      </c>
      <c r="AV835" s="110">
        <f>AM835-AP835</f>
        <v>0</v>
      </c>
      <c r="AW835" s="18">
        <f>AP835-AT835</f>
        <v>1548978000</v>
      </c>
      <c r="AX835" s="123">
        <f>AP835/AJ835</f>
        <v>0.99433174558704007</v>
      </c>
    </row>
    <row r="836" spans="1:50" x14ac:dyDescent="0.2">
      <c r="AA836" s="16"/>
      <c r="AB836" s="17"/>
      <c r="AC836" s="17"/>
      <c r="AD836" s="18"/>
      <c r="AE836" s="34"/>
      <c r="AF836" s="34"/>
      <c r="AG836" s="34"/>
      <c r="AH836" s="34"/>
      <c r="AI836" s="34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30"/>
      <c r="AU836" s="18"/>
      <c r="AV836" s="18"/>
      <c r="AW836" s="18"/>
      <c r="AX836" s="18"/>
    </row>
    <row r="837" spans="1:50" x14ac:dyDescent="0.2">
      <c r="AA837" s="16"/>
      <c r="AB837" s="29" t="s">
        <v>620</v>
      </c>
      <c r="AC837" s="17"/>
      <c r="AD837" s="18"/>
      <c r="AE837" s="34"/>
      <c r="AF837" s="34"/>
      <c r="AG837" s="34"/>
      <c r="AH837" s="34"/>
      <c r="AI837" s="34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30"/>
      <c r="AU837" s="18"/>
      <c r="AV837" s="18"/>
      <c r="AW837" s="18"/>
      <c r="AX837" s="18"/>
    </row>
    <row r="838" spans="1:50" ht="25.5" x14ac:dyDescent="0.2">
      <c r="AA838" s="16"/>
      <c r="AB838" s="29" t="s">
        <v>621</v>
      </c>
      <c r="AC838" s="17"/>
      <c r="AD838" s="18"/>
      <c r="AE838" s="34"/>
      <c r="AF838" s="34"/>
      <c r="AG838" s="34"/>
      <c r="AH838" s="34"/>
      <c r="AI838" s="34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30"/>
      <c r="AU838" s="18"/>
      <c r="AV838" s="18"/>
      <c r="AW838" s="18"/>
      <c r="AX838" s="18"/>
    </row>
    <row r="839" spans="1:50" ht="25.5" x14ac:dyDescent="0.2">
      <c r="AA839" s="28" t="s">
        <v>288</v>
      </c>
      <c r="AB839" s="29" t="s">
        <v>616</v>
      </c>
      <c r="AC839" s="17"/>
      <c r="AD839" s="18"/>
      <c r="AE839" s="34"/>
      <c r="AF839" s="34"/>
      <c r="AG839" s="34"/>
      <c r="AH839" s="34"/>
      <c r="AI839" s="34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30"/>
      <c r="AU839" s="18"/>
      <c r="AV839" s="18"/>
      <c r="AW839" s="18"/>
      <c r="AX839" s="18"/>
    </row>
    <row r="840" spans="1:50" x14ac:dyDescent="0.2">
      <c r="A840" s="4" t="s">
        <v>55</v>
      </c>
      <c r="B840" s="4" t="s">
        <v>56</v>
      </c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1" t="s">
        <v>622</v>
      </c>
      <c r="AB840" s="42" t="s">
        <v>618</v>
      </c>
      <c r="AC840" s="43" t="s">
        <v>619</v>
      </c>
      <c r="AD840" s="43">
        <v>162000000</v>
      </c>
      <c r="AE840" s="44">
        <v>0</v>
      </c>
      <c r="AF840" s="44">
        <v>0</v>
      </c>
      <c r="AG840" s="43">
        <f>24729623+163270377</f>
        <v>188000000</v>
      </c>
      <c r="AH840" s="44">
        <v>0</v>
      </c>
      <c r="AI840" s="43">
        <f>AE840-AF840+AG840-AH840</f>
        <v>188000000</v>
      </c>
      <c r="AJ840" s="43">
        <f>AD840+AI840</f>
        <v>350000000</v>
      </c>
      <c r="AK840" s="44">
        <v>0</v>
      </c>
      <c r="AL840" s="44">
        <v>0</v>
      </c>
      <c r="AM840" s="43">
        <v>297576901</v>
      </c>
      <c r="AN840" s="43">
        <v>0</v>
      </c>
      <c r="AO840" s="43">
        <v>0</v>
      </c>
      <c r="AP840" s="43">
        <v>297576901</v>
      </c>
      <c r="AQ840" s="44">
        <v>0</v>
      </c>
      <c r="AR840" s="44">
        <v>0</v>
      </c>
      <c r="AS840" s="44">
        <v>0</v>
      </c>
      <c r="AT840" s="40">
        <f t="shared" ref="AT840" si="307">AQ840+AS840</f>
        <v>0</v>
      </c>
      <c r="AU840" s="18">
        <f>AJ840-AM840</f>
        <v>52423099</v>
      </c>
      <c r="AV840" s="133">
        <f>AM840-AP840</f>
        <v>0</v>
      </c>
      <c r="AW840" s="18">
        <f>AP840-AT840</f>
        <v>297576901</v>
      </c>
      <c r="AX840" s="123">
        <f>AP840/AJ840</f>
        <v>0.85021971714285716</v>
      </c>
    </row>
    <row r="841" spans="1:50" x14ac:dyDescent="0.2">
      <c r="AA841" s="16"/>
      <c r="AB841" s="17"/>
      <c r="AC841" s="17"/>
      <c r="AD841" s="18"/>
      <c r="AE841" s="34"/>
      <c r="AF841" s="34"/>
      <c r="AG841" s="34"/>
      <c r="AH841" s="34"/>
      <c r="AI841" s="34"/>
      <c r="AJ841" s="18"/>
      <c r="AK841" s="34"/>
      <c r="AL841" s="34"/>
      <c r="AM841" s="34"/>
      <c r="AN841" s="34"/>
      <c r="AO841" s="34"/>
      <c r="AP841" s="34"/>
      <c r="AQ841" s="34"/>
      <c r="AR841" s="34"/>
      <c r="AS841" s="34"/>
      <c r="AT841" s="31"/>
      <c r="AU841" s="18"/>
      <c r="AV841" s="18"/>
      <c r="AW841" s="18"/>
      <c r="AX841" s="18"/>
    </row>
    <row r="842" spans="1:50" x14ac:dyDescent="0.2">
      <c r="AA842" s="16"/>
      <c r="AB842" s="29" t="s">
        <v>623</v>
      </c>
      <c r="AC842" s="17"/>
      <c r="AD842" s="18"/>
      <c r="AE842" s="34"/>
      <c r="AF842" s="34"/>
      <c r="AG842" s="34"/>
      <c r="AH842" s="34"/>
      <c r="AI842" s="34"/>
      <c r="AJ842" s="18"/>
      <c r="AK842" s="34"/>
      <c r="AL842" s="34"/>
      <c r="AM842" s="34"/>
      <c r="AN842" s="34"/>
      <c r="AO842" s="34"/>
      <c r="AP842" s="34"/>
      <c r="AQ842" s="34"/>
      <c r="AR842" s="34"/>
      <c r="AS842" s="34"/>
      <c r="AT842" s="31"/>
      <c r="AU842" s="18"/>
      <c r="AV842" s="18"/>
      <c r="AW842" s="18"/>
      <c r="AX842" s="18"/>
    </row>
    <row r="843" spans="1:50" ht="25.5" x14ac:dyDescent="0.2">
      <c r="AA843" s="16"/>
      <c r="AB843" s="29" t="s">
        <v>624</v>
      </c>
      <c r="AC843" s="17"/>
      <c r="AD843" s="18"/>
      <c r="AE843" s="34"/>
      <c r="AF843" s="34"/>
      <c r="AG843" s="34"/>
      <c r="AH843" s="34"/>
      <c r="AI843" s="34"/>
      <c r="AJ843" s="18"/>
      <c r="AK843" s="34"/>
      <c r="AL843" s="34"/>
      <c r="AM843" s="34"/>
      <c r="AN843" s="34"/>
      <c r="AO843" s="34"/>
      <c r="AP843" s="34"/>
      <c r="AQ843" s="34"/>
      <c r="AR843" s="34"/>
      <c r="AS843" s="34"/>
      <c r="AT843" s="31"/>
      <c r="AU843" s="18"/>
      <c r="AV843" s="18"/>
      <c r="AW843" s="18"/>
      <c r="AX843" s="18"/>
    </row>
    <row r="844" spans="1:50" ht="25.5" x14ac:dyDescent="0.2">
      <c r="AA844" s="28" t="s">
        <v>288</v>
      </c>
      <c r="AB844" s="29" t="s">
        <v>616</v>
      </c>
      <c r="AC844" s="17"/>
      <c r="AD844" s="18"/>
      <c r="AE844" s="34"/>
      <c r="AF844" s="34"/>
      <c r="AG844" s="34"/>
      <c r="AH844" s="34"/>
      <c r="AI844" s="34"/>
      <c r="AJ844" s="18"/>
      <c r="AK844" s="34"/>
      <c r="AL844" s="34"/>
      <c r="AM844" s="34"/>
      <c r="AN844" s="34"/>
      <c r="AO844" s="34"/>
      <c r="AP844" s="34"/>
      <c r="AQ844" s="34"/>
      <c r="AR844" s="34"/>
      <c r="AS844" s="34"/>
      <c r="AT844" s="31"/>
      <c r="AU844" s="18"/>
      <c r="AV844" s="18"/>
      <c r="AW844" s="18"/>
      <c r="AX844" s="18"/>
    </row>
    <row r="845" spans="1:50" x14ac:dyDescent="0.2">
      <c r="A845" s="4" t="s">
        <v>55</v>
      </c>
      <c r="B845" s="4" t="s">
        <v>56</v>
      </c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1" t="s">
        <v>625</v>
      </c>
      <c r="AB845" s="42" t="s">
        <v>618</v>
      </c>
      <c r="AC845" s="43" t="s">
        <v>619</v>
      </c>
      <c r="AD845" s="43">
        <v>163270377</v>
      </c>
      <c r="AE845" s="44">
        <v>0</v>
      </c>
      <c r="AF845" s="44">
        <v>0</v>
      </c>
      <c r="AG845" s="44">
        <v>0</v>
      </c>
      <c r="AH845" s="43">
        <v>163270377</v>
      </c>
      <c r="AI845" s="43">
        <f>AE845-AF845+AG845-AH845</f>
        <v>-163270377</v>
      </c>
      <c r="AJ845" s="44">
        <f>AD845+AI845</f>
        <v>0</v>
      </c>
      <c r="AK845" s="44">
        <v>0</v>
      </c>
      <c r="AL845" s="44">
        <v>0</v>
      </c>
      <c r="AM845" s="44">
        <v>0</v>
      </c>
      <c r="AN845" s="44">
        <v>0</v>
      </c>
      <c r="AO845" s="44">
        <v>0</v>
      </c>
      <c r="AP845" s="44">
        <v>0</v>
      </c>
      <c r="AQ845" s="44">
        <v>0</v>
      </c>
      <c r="AR845" s="44">
        <v>0</v>
      </c>
      <c r="AS845" s="44">
        <v>0</v>
      </c>
      <c r="AT845" s="40">
        <f t="shared" ref="AT845" si="308">AQ845+AS845</f>
        <v>0</v>
      </c>
      <c r="AU845" s="34">
        <f>AJ845-AM845</f>
        <v>0</v>
      </c>
      <c r="AV845" s="133">
        <f>AM845-AP845</f>
        <v>0</v>
      </c>
      <c r="AW845" s="34">
        <f>AP845-AT845</f>
        <v>0</v>
      </c>
      <c r="AX845" s="123">
        <v>0</v>
      </c>
    </row>
    <row r="846" spans="1:50" x14ac:dyDescent="0.2">
      <c r="AA846" s="16"/>
      <c r="AB846" s="17"/>
      <c r="AC846" s="17"/>
      <c r="AD846" s="18"/>
      <c r="AE846" s="18"/>
      <c r="AF846" s="18"/>
      <c r="AG846" s="18"/>
      <c r="AH846" s="18"/>
      <c r="AI846" s="18"/>
      <c r="AJ846" s="18"/>
      <c r="AK846" s="34"/>
      <c r="AL846" s="34"/>
      <c r="AM846" s="34"/>
      <c r="AN846" s="34"/>
      <c r="AO846" s="34"/>
      <c r="AP846" s="34"/>
      <c r="AQ846" s="18"/>
      <c r="AR846" s="18"/>
      <c r="AS846" s="18"/>
      <c r="AT846" s="30"/>
      <c r="AU846" s="18"/>
      <c r="AV846" s="18"/>
      <c r="AW846" s="18"/>
      <c r="AX846" s="18"/>
    </row>
    <row r="847" spans="1:50" ht="25.5" x14ac:dyDescent="0.2">
      <c r="AA847" s="16"/>
      <c r="AB847" s="29" t="s">
        <v>626</v>
      </c>
      <c r="AC847" s="17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30"/>
      <c r="AU847" s="18"/>
      <c r="AV847" s="18"/>
      <c r="AW847" s="18"/>
      <c r="AX847" s="18"/>
    </row>
    <row r="848" spans="1:50" ht="25.5" x14ac:dyDescent="0.2">
      <c r="AA848" s="16"/>
      <c r="AB848" s="29" t="s">
        <v>627</v>
      </c>
      <c r="AC848" s="17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30"/>
      <c r="AU848" s="18"/>
      <c r="AV848" s="18"/>
      <c r="AW848" s="18"/>
      <c r="AX848" s="18"/>
    </row>
    <row r="849" spans="1:50" x14ac:dyDescent="0.2">
      <c r="AA849" s="16"/>
      <c r="AB849" s="29" t="s">
        <v>628</v>
      </c>
      <c r="AC849" s="17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30"/>
      <c r="AU849" s="18"/>
      <c r="AV849" s="18"/>
      <c r="AW849" s="18"/>
      <c r="AX849" s="18"/>
    </row>
    <row r="850" spans="1:50" x14ac:dyDescent="0.2">
      <c r="AA850" s="16"/>
      <c r="AB850" s="29" t="s">
        <v>629</v>
      </c>
      <c r="AC850" s="17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30"/>
      <c r="AU850" s="18"/>
      <c r="AV850" s="18"/>
      <c r="AW850" s="18"/>
      <c r="AX850" s="18"/>
    </row>
    <row r="851" spans="1:50" ht="25.5" x14ac:dyDescent="0.2">
      <c r="AA851" s="28" t="s">
        <v>288</v>
      </c>
      <c r="AB851" s="29" t="s">
        <v>616</v>
      </c>
      <c r="AC851" s="17"/>
      <c r="AD851" s="18"/>
      <c r="AE851" s="34"/>
      <c r="AF851" s="34"/>
      <c r="AG851" s="34"/>
      <c r="AH851" s="34"/>
      <c r="AI851" s="34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30"/>
      <c r="AU851" s="18"/>
      <c r="AV851" s="18"/>
      <c r="AW851" s="18"/>
      <c r="AX851" s="18"/>
    </row>
    <row r="852" spans="1:50" x14ac:dyDescent="0.2">
      <c r="A852" s="4" t="s">
        <v>55</v>
      </c>
      <c r="B852" s="4" t="s">
        <v>56</v>
      </c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1" t="s">
        <v>630</v>
      </c>
      <c r="AB852" s="42" t="s">
        <v>618</v>
      </c>
      <c r="AC852" s="43" t="s">
        <v>619</v>
      </c>
      <c r="AD852" s="43">
        <v>100000000</v>
      </c>
      <c r="AE852" s="44">
        <v>0</v>
      </c>
      <c r="AF852" s="44">
        <v>0</v>
      </c>
      <c r="AG852" s="43">
        <v>222721043</v>
      </c>
      <c r="AH852" s="43">
        <v>74931884</v>
      </c>
      <c r="AI852" s="43">
        <f>AE852-AF852+AG852-AH852</f>
        <v>147789159</v>
      </c>
      <c r="AJ852" s="43">
        <f>AD852+AI852</f>
        <v>247789159</v>
      </c>
      <c r="AK852" s="44">
        <v>0</v>
      </c>
      <c r="AL852" s="43">
        <v>-4000</v>
      </c>
      <c r="AM852" s="43">
        <v>17033100</v>
      </c>
      <c r="AN852" s="44">
        <v>0</v>
      </c>
      <c r="AO852" s="44">
        <v>7406000</v>
      </c>
      <c r="AP852" s="43">
        <v>17033100</v>
      </c>
      <c r="AQ852" s="44">
        <v>9627100</v>
      </c>
      <c r="AR852" s="44">
        <v>0</v>
      </c>
      <c r="AS852" s="44">
        <v>0</v>
      </c>
      <c r="AT852" s="40">
        <f t="shared" ref="AT852" si="309">AQ852+AS852</f>
        <v>9627100</v>
      </c>
      <c r="AU852" s="18">
        <f>AJ852-AM852</f>
        <v>230756059</v>
      </c>
      <c r="AV852" s="110">
        <f>AM852-AP852</f>
        <v>0</v>
      </c>
      <c r="AW852" s="18">
        <f>AP852-AT852</f>
        <v>7406000</v>
      </c>
      <c r="AX852" s="123">
        <f>AP852/AJ852</f>
        <v>6.8740295454168765E-2</v>
      </c>
    </row>
    <row r="853" spans="1:50" x14ac:dyDescent="0.2">
      <c r="AA853" s="16"/>
      <c r="AB853" s="17"/>
      <c r="AC853" s="17"/>
      <c r="AD853" s="18"/>
      <c r="AE853" s="34"/>
      <c r="AF853" s="34"/>
      <c r="AG853" s="34"/>
      <c r="AH853" s="34"/>
      <c r="AI853" s="34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30"/>
      <c r="AU853" s="18"/>
      <c r="AV853" s="18"/>
      <c r="AW853" s="18"/>
      <c r="AX853" s="18"/>
    </row>
    <row r="854" spans="1:50" x14ac:dyDescent="0.2">
      <c r="AA854" s="16"/>
      <c r="AB854" s="29" t="s">
        <v>631</v>
      </c>
      <c r="AC854" s="17"/>
      <c r="AD854" s="18"/>
      <c r="AE854" s="34"/>
      <c r="AF854" s="34"/>
      <c r="AG854" s="34"/>
      <c r="AH854" s="34"/>
      <c r="AI854" s="34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30"/>
      <c r="AU854" s="18"/>
      <c r="AV854" s="18"/>
      <c r="AW854" s="18"/>
      <c r="AX854" s="18"/>
    </row>
    <row r="855" spans="1:50" x14ac:dyDescent="0.2">
      <c r="AA855" s="16"/>
      <c r="AB855" s="29" t="s">
        <v>632</v>
      </c>
      <c r="AC855" s="17"/>
      <c r="AD855" s="18"/>
      <c r="AE855" s="34"/>
      <c r="AF855" s="34"/>
      <c r="AG855" s="34"/>
      <c r="AH855" s="34"/>
      <c r="AI855" s="34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30"/>
      <c r="AU855" s="18"/>
      <c r="AV855" s="18"/>
      <c r="AW855" s="18"/>
      <c r="AX855" s="18"/>
    </row>
    <row r="856" spans="1:50" x14ac:dyDescent="0.2">
      <c r="AA856" s="16"/>
      <c r="AB856" s="29" t="s">
        <v>633</v>
      </c>
      <c r="AC856" s="17"/>
      <c r="AD856" s="18"/>
      <c r="AE856" s="34"/>
      <c r="AF856" s="34"/>
      <c r="AG856" s="34"/>
      <c r="AH856" s="34"/>
      <c r="AI856" s="34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30"/>
      <c r="AU856" s="18"/>
      <c r="AV856" s="18"/>
      <c r="AW856" s="18"/>
      <c r="AX856" s="18"/>
    </row>
    <row r="857" spans="1:50" x14ac:dyDescent="0.2">
      <c r="AA857" s="16"/>
      <c r="AB857" s="29" t="s">
        <v>634</v>
      </c>
      <c r="AC857" s="17"/>
      <c r="AD857" s="18"/>
      <c r="AE857" s="34"/>
      <c r="AF857" s="34"/>
      <c r="AG857" s="34"/>
      <c r="AH857" s="34"/>
      <c r="AI857" s="34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30"/>
      <c r="AU857" s="18"/>
      <c r="AV857" s="18"/>
      <c r="AW857" s="18"/>
      <c r="AX857" s="18"/>
    </row>
    <row r="858" spans="1:50" x14ac:dyDescent="0.2">
      <c r="AA858" s="16"/>
      <c r="AB858" s="29" t="s">
        <v>635</v>
      </c>
      <c r="AC858" s="17"/>
      <c r="AD858" s="18"/>
      <c r="AE858" s="34"/>
      <c r="AF858" s="34"/>
      <c r="AG858" s="34"/>
      <c r="AH858" s="34"/>
      <c r="AI858" s="34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30"/>
      <c r="AU858" s="18"/>
      <c r="AV858" s="18"/>
      <c r="AW858" s="18"/>
      <c r="AX858" s="18"/>
    </row>
    <row r="859" spans="1:50" ht="25.5" x14ac:dyDescent="0.2">
      <c r="AA859" s="28" t="s">
        <v>288</v>
      </c>
      <c r="AB859" s="29" t="s">
        <v>616</v>
      </c>
      <c r="AC859" s="17"/>
      <c r="AD859" s="18"/>
      <c r="AE859" s="34"/>
      <c r="AF859" s="34"/>
      <c r="AG859" s="34"/>
      <c r="AH859" s="34"/>
      <c r="AI859" s="34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30"/>
      <c r="AU859" s="18"/>
      <c r="AV859" s="18"/>
      <c r="AW859" s="18"/>
      <c r="AX859" s="18"/>
    </row>
    <row r="860" spans="1:50" ht="18.75" customHeight="1" x14ac:dyDescent="0.2">
      <c r="A860" s="4" t="s">
        <v>55</v>
      </c>
      <c r="B860" s="4" t="s">
        <v>56</v>
      </c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1" t="s">
        <v>636</v>
      </c>
      <c r="AB860" s="42" t="s">
        <v>618</v>
      </c>
      <c r="AC860" s="43" t="s">
        <v>619</v>
      </c>
      <c r="AD860" s="43">
        <v>80000000</v>
      </c>
      <c r="AE860" s="44">
        <v>0</v>
      </c>
      <c r="AF860" s="44">
        <v>0</v>
      </c>
      <c r="AG860" s="44">
        <v>0</v>
      </c>
      <c r="AH860" s="44">
        <v>0</v>
      </c>
      <c r="AI860" s="44">
        <v>0</v>
      </c>
      <c r="AJ860" s="43">
        <v>80000000</v>
      </c>
      <c r="AK860" s="44">
        <v>0</v>
      </c>
      <c r="AL860" s="44">
        <v>0</v>
      </c>
      <c r="AM860" s="44">
        <v>0</v>
      </c>
      <c r="AN860" s="44">
        <v>0</v>
      </c>
      <c r="AO860" s="44">
        <v>0</v>
      </c>
      <c r="AP860" s="44">
        <v>0</v>
      </c>
      <c r="AQ860" s="44">
        <v>0</v>
      </c>
      <c r="AR860" s="44">
        <v>0</v>
      </c>
      <c r="AS860" s="44">
        <v>0</v>
      </c>
      <c r="AT860" s="40">
        <f t="shared" ref="AT860" si="310">AQ860+AS860</f>
        <v>0</v>
      </c>
      <c r="AU860" s="18">
        <f>AJ860-AM860</f>
        <v>80000000</v>
      </c>
      <c r="AV860" s="133">
        <f>AM860-AP860</f>
        <v>0</v>
      </c>
      <c r="AW860" s="34">
        <f>AP860-AT860</f>
        <v>0</v>
      </c>
      <c r="AX860" s="123">
        <f>AP860/AJ860</f>
        <v>0</v>
      </c>
    </row>
    <row r="861" spans="1:50" ht="18.75" customHeight="1" x14ac:dyDescent="0.2">
      <c r="AA861" s="16"/>
      <c r="AB861" s="17"/>
      <c r="AC861" s="17"/>
      <c r="AD861" s="18"/>
      <c r="AE861" s="34"/>
      <c r="AF861" s="34"/>
      <c r="AG861" s="34"/>
      <c r="AH861" s="34"/>
      <c r="AI861" s="34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30"/>
      <c r="AU861" s="18"/>
      <c r="AV861" s="18"/>
      <c r="AW861" s="18"/>
      <c r="AX861" s="18"/>
    </row>
    <row r="862" spans="1:50" ht="18.75" customHeight="1" x14ac:dyDescent="0.2">
      <c r="AA862" s="16"/>
      <c r="AB862" s="29" t="s">
        <v>179</v>
      </c>
      <c r="AC862" s="17"/>
      <c r="AD862" s="18"/>
      <c r="AE862" s="34"/>
      <c r="AF862" s="34"/>
      <c r="AG862" s="34"/>
      <c r="AH862" s="34"/>
      <c r="AI862" s="34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30"/>
      <c r="AU862" s="18"/>
      <c r="AV862" s="18"/>
      <c r="AW862" s="18"/>
      <c r="AX862" s="18"/>
    </row>
    <row r="863" spans="1:50" ht="18.75" customHeight="1" x14ac:dyDescent="0.2">
      <c r="AA863" s="16"/>
      <c r="AB863" s="29" t="s">
        <v>181</v>
      </c>
      <c r="AC863" s="17"/>
      <c r="AD863" s="18"/>
      <c r="AE863" s="34"/>
      <c r="AF863" s="34"/>
      <c r="AG863" s="34"/>
      <c r="AH863" s="34"/>
      <c r="AI863" s="34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30"/>
      <c r="AU863" s="18"/>
      <c r="AV863" s="18"/>
      <c r="AW863" s="18"/>
      <c r="AX863" s="18"/>
    </row>
    <row r="864" spans="1:50" ht="25.5" x14ac:dyDescent="0.2">
      <c r="AA864" s="16"/>
      <c r="AB864" s="29" t="s">
        <v>637</v>
      </c>
      <c r="AC864" s="17"/>
      <c r="AD864" s="18"/>
      <c r="AE864" s="34"/>
      <c r="AF864" s="34"/>
      <c r="AG864" s="34"/>
      <c r="AH864" s="34"/>
      <c r="AI864" s="34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30"/>
      <c r="AU864" s="18"/>
      <c r="AV864" s="18"/>
      <c r="AW864" s="18"/>
      <c r="AX864" s="18"/>
    </row>
    <row r="865" spans="1:50" ht="28.5" customHeight="1" x14ac:dyDescent="0.2">
      <c r="AA865" s="28" t="s">
        <v>288</v>
      </c>
      <c r="AB865" s="29" t="s">
        <v>637</v>
      </c>
      <c r="AC865" s="17"/>
      <c r="AD865" s="18"/>
      <c r="AE865" s="34"/>
      <c r="AF865" s="34"/>
      <c r="AG865" s="34"/>
      <c r="AH865" s="34"/>
      <c r="AI865" s="34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30"/>
      <c r="AU865" s="18"/>
      <c r="AV865" s="18"/>
      <c r="AW865" s="18"/>
      <c r="AX865" s="18"/>
    </row>
    <row r="866" spans="1:50" ht="27.75" customHeight="1" x14ac:dyDescent="0.2">
      <c r="AA866" s="101" t="s">
        <v>1227</v>
      </c>
      <c r="AB866" s="251" t="s">
        <v>1228</v>
      </c>
      <c r="AC866" s="17"/>
      <c r="AD866" s="34">
        <v>0</v>
      </c>
      <c r="AE866" s="34">
        <v>0</v>
      </c>
      <c r="AF866" s="34">
        <v>0</v>
      </c>
      <c r="AG866" s="18">
        <v>70000000</v>
      </c>
      <c r="AH866" s="34">
        <v>0</v>
      </c>
      <c r="AI866" s="43">
        <f>AE866-AF866+AG866-AH866</f>
        <v>70000000</v>
      </c>
      <c r="AJ866" s="43">
        <f>AD866+AI866</f>
        <v>70000000</v>
      </c>
      <c r="AK866" s="34">
        <v>0</v>
      </c>
      <c r="AL866" s="34">
        <v>0</v>
      </c>
      <c r="AM866" s="34">
        <v>0</v>
      </c>
      <c r="AN866" s="18">
        <v>0</v>
      </c>
      <c r="AO866" s="18">
        <v>0</v>
      </c>
      <c r="AP866" s="18">
        <v>0</v>
      </c>
      <c r="AQ866" s="18">
        <v>0</v>
      </c>
      <c r="AR866" s="18">
        <v>0</v>
      </c>
      <c r="AS866" s="18">
        <v>0</v>
      </c>
      <c r="AT866" s="40">
        <f t="shared" ref="AT866" si="311">AQ866+AS866</f>
        <v>0</v>
      </c>
      <c r="AU866" s="18">
        <f>AJ866-AM866</f>
        <v>70000000</v>
      </c>
      <c r="AV866" s="133">
        <f>AM866-AP866</f>
        <v>0</v>
      </c>
      <c r="AW866" s="34">
        <f>AP866-AT866</f>
        <v>0</v>
      </c>
      <c r="AX866" s="123">
        <f>AP866/AJ866</f>
        <v>0</v>
      </c>
    </row>
    <row r="867" spans="1:50" ht="25.5" x14ac:dyDescent="0.2">
      <c r="AA867" s="28" t="s">
        <v>288</v>
      </c>
      <c r="AB867" s="29" t="s">
        <v>616</v>
      </c>
      <c r="AC867" s="17"/>
      <c r="AD867" s="18"/>
      <c r="AE867" s="34"/>
      <c r="AF867" s="34"/>
      <c r="AG867" s="34"/>
      <c r="AH867" s="34"/>
      <c r="AI867" s="34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30"/>
      <c r="AU867" s="18"/>
      <c r="AV867" s="18"/>
      <c r="AW867" s="18"/>
      <c r="AX867" s="18"/>
    </row>
    <row r="868" spans="1:50" x14ac:dyDescent="0.2">
      <c r="A868" s="4" t="s">
        <v>55</v>
      </c>
      <c r="B868" s="4" t="s">
        <v>56</v>
      </c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1" t="s">
        <v>639</v>
      </c>
      <c r="AB868" s="42" t="s">
        <v>618</v>
      </c>
      <c r="AC868" s="43" t="s">
        <v>619</v>
      </c>
      <c r="AD868" s="43">
        <v>1601743650</v>
      </c>
      <c r="AE868" s="44">
        <v>0</v>
      </c>
      <c r="AF868" s="44">
        <v>0</v>
      </c>
      <c r="AG868" s="44">
        <v>0</v>
      </c>
      <c r="AH868" s="43">
        <v>794729623</v>
      </c>
      <c r="AI868" s="43">
        <f>AE868-AF868+AG868-AH868</f>
        <v>-794729623</v>
      </c>
      <c r="AJ868" s="43">
        <f>AD868+AI868</f>
        <v>807014027</v>
      </c>
      <c r="AK868" s="44">
        <v>0</v>
      </c>
      <c r="AL868" s="44">
        <v>0</v>
      </c>
      <c r="AM868" s="44">
        <v>0</v>
      </c>
      <c r="AN868" s="44">
        <v>0</v>
      </c>
      <c r="AO868" s="44">
        <v>0</v>
      </c>
      <c r="AP868" s="44">
        <v>0</v>
      </c>
      <c r="AQ868" s="44">
        <v>0</v>
      </c>
      <c r="AR868" s="44">
        <v>0</v>
      </c>
      <c r="AS868" s="44">
        <v>0</v>
      </c>
      <c r="AT868" s="40">
        <f t="shared" ref="AT868:AT869" si="312">AQ868+AS868</f>
        <v>0</v>
      </c>
      <c r="AU868" s="18">
        <f>AJ868-AM868</f>
        <v>807014027</v>
      </c>
      <c r="AV868" s="133">
        <f>AM868-AP868</f>
        <v>0</v>
      </c>
      <c r="AW868" s="34">
        <f>AP868-AT868</f>
        <v>0</v>
      </c>
      <c r="AX868" s="123">
        <f>AP868/AJ868</f>
        <v>0</v>
      </c>
    </row>
    <row r="869" spans="1:50" ht="23.25" customHeight="1" x14ac:dyDescent="0.2">
      <c r="A869" s="4" t="s">
        <v>55</v>
      </c>
      <c r="B869" s="4" t="s">
        <v>56</v>
      </c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1" t="s">
        <v>640</v>
      </c>
      <c r="AB869" s="42" t="s">
        <v>641</v>
      </c>
      <c r="AC869" s="43" t="s">
        <v>642</v>
      </c>
      <c r="AD869" s="43">
        <v>20790000</v>
      </c>
      <c r="AE869" s="44">
        <v>0</v>
      </c>
      <c r="AF869" s="44">
        <v>0</v>
      </c>
      <c r="AG869" s="44">
        <v>0</v>
      </c>
      <c r="AH869" s="44">
        <v>0</v>
      </c>
      <c r="AI869" s="44">
        <v>0</v>
      </c>
      <c r="AJ869" s="43">
        <v>20790000</v>
      </c>
      <c r="AK869" s="44">
        <v>0</v>
      </c>
      <c r="AL869" s="44">
        <v>0</v>
      </c>
      <c r="AM869" s="44">
        <v>0</v>
      </c>
      <c r="AN869" s="44">
        <v>0</v>
      </c>
      <c r="AO869" s="44">
        <v>0</v>
      </c>
      <c r="AP869" s="44">
        <v>0</v>
      </c>
      <c r="AQ869" s="44">
        <v>0</v>
      </c>
      <c r="AR869" s="44">
        <v>0</v>
      </c>
      <c r="AS869" s="44">
        <v>0</v>
      </c>
      <c r="AT869" s="40">
        <f t="shared" si="312"/>
        <v>0</v>
      </c>
      <c r="AU869" s="18">
        <f>AJ869-AM869</f>
        <v>20790000</v>
      </c>
      <c r="AV869" s="133">
        <f>AM869-AP869</f>
        <v>0</v>
      </c>
      <c r="AW869" s="34">
        <f>AP869-AT869</f>
        <v>0</v>
      </c>
      <c r="AX869" s="123">
        <f>AP869/AJ869</f>
        <v>0</v>
      </c>
    </row>
    <row r="870" spans="1:50" ht="18.75" customHeight="1" x14ac:dyDescent="0.2">
      <c r="AA870" s="16"/>
      <c r="AB870" s="17"/>
      <c r="AC870" s="17"/>
      <c r="AD870" s="18"/>
      <c r="AE870" s="34"/>
      <c r="AF870" s="34"/>
      <c r="AG870" s="34"/>
      <c r="AH870" s="34"/>
      <c r="AI870" s="34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30"/>
      <c r="AU870" s="18"/>
      <c r="AV870" s="18"/>
      <c r="AW870" s="18"/>
      <c r="AX870" s="18"/>
    </row>
    <row r="871" spans="1:50" ht="26.25" customHeight="1" x14ac:dyDescent="0.2">
      <c r="AA871" s="16"/>
      <c r="AB871" s="29" t="s">
        <v>197</v>
      </c>
      <c r="AC871" s="17"/>
      <c r="AD871" s="18"/>
      <c r="AE871" s="34"/>
      <c r="AF871" s="34"/>
      <c r="AG871" s="34"/>
      <c r="AH871" s="34"/>
      <c r="AI871" s="34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30"/>
      <c r="AU871" s="18"/>
      <c r="AV871" s="18"/>
      <c r="AW871" s="18"/>
      <c r="AX871" s="18"/>
    </row>
    <row r="872" spans="1:50" ht="26.25" customHeight="1" x14ac:dyDescent="0.2">
      <c r="AA872" s="28" t="s">
        <v>288</v>
      </c>
      <c r="AB872" s="29" t="s">
        <v>643</v>
      </c>
      <c r="AC872" s="17"/>
      <c r="AD872" s="18"/>
      <c r="AE872" s="34"/>
      <c r="AF872" s="34"/>
      <c r="AG872" s="34"/>
      <c r="AH872" s="34"/>
      <c r="AI872" s="34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30"/>
      <c r="AU872" s="18"/>
      <c r="AV872" s="18"/>
      <c r="AW872" s="18"/>
      <c r="AX872" s="18"/>
    </row>
    <row r="873" spans="1:50" x14ac:dyDescent="0.2">
      <c r="A873" s="4" t="s">
        <v>55</v>
      </c>
      <c r="B873" s="4" t="s">
        <v>56</v>
      </c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1" t="s">
        <v>644</v>
      </c>
      <c r="AB873" s="42" t="s">
        <v>618</v>
      </c>
      <c r="AC873" s="43" t="s">
        <v>619</v>
      </c>
      <c r="AD873" s="43">
        <v>530000000</v>
      </c>
      <c r="AE873" s="44">
        <v>0</v>
      </c>
      <c r="AF873" s="44">
        <v>0</v>
      </c>
      <c r="AG873" s="44">
        <v>0</v>
      </c>
      <c r="AH873" s="44">
        <v>0</v>
      </c>
      <c r="AI873" s="44">
        <v>0</v>
      </c>
      <c r="AJ873" s="43">
        <v>530000000</v>
      </c>
      <c r="AK873" s="44">
        <v>0</v>
      </c>
      <c r="AL873" s="43">
        <v>0</v>
      </c>
      <c r="AM873" s="43">
        <v>434933332</v>
      </c>
      <c r="AN873" s="44">
        <v>0</v>
      </c>
      <c r="AO873" s="43">
        <v>0</v>
      </c>
      <c r="AP873" s="43">
        <v>434933332</v>
      </c>
      <c r="AQ873" s="114">
        <v>2666667</v>
      </c>
      <c r="AR873" s="114">
        <v>47366666</v>
      </c>
      <c r="AS873" s="114">
        <v>164543329</v>
      </c>
      <c r="AT873" s="111">
        <f t="shared" ref="AT873" si="313">AQ873+AS873</f>
        <v>167209996</v>
      </c>
      <c r="AU873" s="18">
        <f>AJ873-AM873</f>
        <v>95066668</v>
      </c>
      <c r="AV873" s="133">
        <f>AM873-AP873</f>
        <v>0</v>
      </c>
      <c r="AW873" s="18">
        <f>AP873-AT873</f>
        <v>267723336</v>
      </c>
      <c r="AX873" s="123">
        <f>AP873/AJ873</f>
        <v>0.82062892830188683</v>
      </c>
    </row>
    <row r="874" spans="1:50" ht="25.5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1" t="s">
        <v>1103</v>
      </c>
      <c r="AB874" s="42" t="s">
        <v>1104</v>
      </c>
      <c r="AC874" s="43"/>
      <c r="AD874" s="43">
        <v>0</v>
      </c>
      <c r="AE874" s="43">
        <v>15774292916.77</v>
      </c>
      <c r="AF874" s="44">
        <v>0</v>
      </c>
      <c r="AG874" s="44">
        <v>0</v>
      </c>
      <c r="AH874" s="43">
        <v>101000000</v>
      </c>
      <c r="AI874" s="43">
        <f>AE874-AF874+AG874-AH874</f>
        <v>15673292916.77</v>
      </c>
      <c r="AJ874" s="43">
        <f>AD874+AI874</f>
        <v>15673292916.77</v>
      </c>
      <c r="AK874" s="44">
        <v>0</v>
      </c>
      <c r="AL874" s="43">
        <v>333000000</v>
      </c>
      <c r="AM874" s="43">
        <v>333000000</v>
      </c>
      <c r="AN874" s="44">
        <v>0</v>
      </c>
      <c r="AO874" s="43">
        <v>333000000</v>
      </c>
      <c r="AP874" s="43">
        <v>333000000</v>
      </c>
      <c r="AQ874" s="114">
        <v>0</v>
      </c>
      <c r="AR874" s="114">
        <v>0</v>
      </c>
      <c r="AS874" s="115">
        <v>0</v>
      </c>
      <c r="AT874" s="135">
        <f t="shared" ref="AT874" si="314">AQ874+AS874</f>
        <v>0</v>
      </c>
      <c r="AU874" s="18">
        <f>AJ874-AM874</f>
        <v>15340292916.77</v>
      </c>
      <c r="AV874" s="133">
        <f>AM874-AP874</f>
        <v>0</v>
      </c>
      <c r="AW874" s="18">
        <f>AP874-AT874</f>
        <v>333000000</v>
      </c>
      <c r="AX874" s="123">
        <f>AP874/AJ874</f>
        <v>2.1246332967062652E-2</v>
      </c>
    </row>
    <row r="875" spans="1:50" ht="25.5" x14ac:dyDescent="0.2">
      <c r="AA875" s="28" t="s">
        <v>288</v>
      </c>
      <c r="AB875" s="29" t="s">
        <v>616</v>
      </c>
      <c r="AC875" s="17"/>
      <c r="AD875" s="18"/>
      <c r="AE875" s="34"/>
      <c r="AF875" s="34"/>
      <c r="AG875" s="34"/>
      <c r="AH875" s="34"/>
      <c r="AI875" s="34"/>
      <c r="AJ875" s="18"/>
      <c r="AK875" s="18"/>
      <c r="AL875" s="18"/>
      <c r="AM875" s="18"/>
      <c r="AN875" s="34"/>
      <c r="AO875" s="18"/>
      <c r="AP875" s="18"/>
      <c r="AQ875" s="18"/>
      <c r="AR875" s="18"/>
      <c r="AS875" s="18"/>
      <c r="AT875" s="30"/>
      <c r="AU875" s="18"/>
      <c r="AV875" s="18"/>
      <c r="AW875" s="18"/>
      <c r="AX875" s="18"/>
    </row>
    <row r="876" spans="1:50" x14ac:dyDescent="0.2">
      <c r="A876" s="4" t="s">
        <v>55</v>
      </c>
      <c r="B876" s="4" t="s">
        <v>56</v>
      </c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1" t="s">
        <v>645</v>
      </c>
      <c r="AB876" s="42" t="s">
        <v>618</v>
      </c>
      <c r="AC876" s="43" t="s">
        <v>619</v>
      </c>
      <c r="AD876" s="43">
        <v>2879425052</v>
      </c>
      <c r="AE876" s="44">
        <v>0</v>
      </c>
      <c r="AF876" s="44">
        <v>0</v>
      </c>
      <c r="AG876" s="44">
        <v>0</v>
      </c>
      <c r="AH876" s="43">
        <f>221572545+222721043</f>
        <v>444293588</v>
      </c>
      <c r="AI876" s="43">
        <f>AE876-AF876+AG876-AH876</f>
        <v>-444293588</v>
      </c>
      <c r="AJ876" s="43">
        <f>AD876+AI876</f>
        <v>2435131464</v>
      </c>
      <c r="AK876" s="43">
        <v>0</v>
      </c>
      <c r="AL876" s="43">
        <v>456964682</v>
      </c>
      <c r="AM876" s="114">
        <v>1518357863.6199999</v>
      </c>
      <c r="AN876" s="115">
        <v>0</v>
      </c>
      <c r="AO876" s="43">
        <v>85078950</v>
      </c>
      <c r="AP876" s="43">
        <v>235078906</v>
      </c>
      <c r="AQ876" s="43">
        <v>0</v>
      </c>
      <c r="AR876" s="43">
        <v>0</v>
      </c>
      <c r="AS876" s="44">
        <v>0</v>
      </c>
      <c r="AT876" s="40">
        <f t="shared" ref="AT876:AT878" si="315">AQ876+AS876</f>
        <v>0</v>
      </c>
      <c r="AU876" s="18">
        <f>AJ876-AM876</f>
        <v>916773600.38000011</v>
      </c>
      <c r="AV876" s="110">
        <f>AM876-AP876</f>
        <v>1283278957.6199999</v>
      </c>
      <c r="AW876" s="18">
        <f>AP876-AT876</f>
        <v>235078906</v>
      </c>
      <c r="AX876" s="123">
        <f>AP876/AJ876</f>
        <v>9.6536433237922298E-2</v>
      </c>
    </row>
    <row r="877" spans="1:50" ht="25.5" x14ac:dyDescent="0.2">
      <c r="A877" s="4" t="s">
        <v>55</v>
      </c>
      <c r="B877" s="4" t="s">
        <v>56</v>
      </c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1" t="s">
        <v>646</v>
      </c>
      <c r="AB877" s="42" t="s">
        <v>647</v>
      </c>
      <c r="AC877" s="43" t="s">
        <v>642</v>
      </c>
      <c r="AD877" s="43">
        <v>404210000</v>
      </c>
      <c r="AE877" s="44">
        <v>0</v>
      </c>
      <c r="AF877" s="44">
        <v>0</v>
      </c>
      <c r="AG877" s="44">
        <v>0</v>
      </c>
      <c r="AH877" s="44">
        <v>0</v>
      </c>
      <c r="AI877" s="44">
        <f t="shared" ref="AI877:AI879" si="316">AE877-AF877+AG877-AH877</f>
        <v>0</v>
      </c>
      <c r="AJ877" s="43">
        <f t="shared" ref="AJ877:AJ879" si="317">AD877+AI877</f>
        <v>404210000</v>
      </c>
      <c r="AK877" s="44">
        <v>0</v>
      </c>
      <c r="AL877" s="44">
        <v>0</v>
      </c>
      <c r="AM877" s="114">
        <v>249600000</v>
      </c>
      <c r="AN877" s="115">
        <v>0</v>
      </c>
      <c r="AO877" s="43">
        <v>0</v>
      </c>
      <c r="AP877" s="43">
        <v>249600000</v>
      </c>
      <c r="AQ877" s="43">
        <v>0</v>
      </c>
      <c r="AR877" s="43">
        <v>18700000</v>
      </c>
      <c r="AS877" s="43">
        <v>46046666</v>
      </c>
      <c r="AT877" s="39">
        <f t="shared" si="315"/>
        <v>46046666</v>
      </c>
      <c r="AU877" s="18">
        <f>AJ877-AM877</f>
        <v>154610000</v>
      </c>
      <c r="AV877" s="133">
        <f>AM877-AP877</f>
        <v>0</v>
      </c>
      <c r="AW877" s="18">
        <f>AP877-AT877</f>
        <v>203553334</v>
      </c>
      <c r="AX877" s="123">
        <f>AP877/AJ877</f>
        <v>0.61750080403750529</v>
      </c>
    </row>
    <row r="878" spans="1:50" ht="25.5" x14ac:dyDescent="0.2">
      <c r="A878" s="4" t="s">
        <v>55</v>
      </c>
      <c r="B878" s="4" t="s">
        <v>56</v>
      </c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1" t="s">
        <v>648</v>
      </c>
      <c r="AB878" s="42" t="s">
        <v>649</v>
      </c>
      <c r="AC878" s="43" t="s">
        <v>650</v>
      </c>
      <c r="AD878" s="43">
        <v>425000000</v>
      </c>
      <c r="AE878" s="44">
        <v>0</v>
      </c>
      <c r="AF878" s="44">
        <v>0</v>
      </c>
      <c r="AG878" s="44">
        <v>0</v>
      </c>
      <c r="AH878" s="44">
        <v>0</v>
      </c>
      <c r="AI878" s="44">
        <f t="shared" si="316"/>
        <v>0</v>
      </c>
      <c r="AJ878" s="43">
        <f t="shared" si="317"/>
        <v>425000000</v>
      </c>
      <c r="AK878" s="44">
        <v>0</v>
      </c>
      <c r="AL878" s="44">
        <v>0</v>
      </c>
      <c r="AM878" s="114">
        <v>145600000</v>
      </c>
      <c r="AN878" s="114">
        <v>0</v>
      </c>
      <c r="AO878" s="43">
        <v>0</v>
      </c>
      <c r="AP878" s="43">
        <v>145600000</v>
      </c>
      <c r="AQ878" s="43">
        <v>3500000</v>
      </c>
      <c r="AR878" s="43">
        <v>14280000</v>
      </c>
      <c r="AS878" s="43">
        <v>40426668</v>
      </c>
      <c r="AT878" s="39">
        <f t="shared" si="315"/>
        <v>43926668</v>
      </c>
      <c r="AU878" s="18">
        <f>AJ878-AM878</f>
        <v>279400000</v>
      </c>
      <c r="AV878" s="133">
        <f>AM878-AP878</f>
        <v>0</v>
      </c>
      <c r="AW878" s="18">
        <f>AP878-AT878</f>
        <v>101673332</v>
      </c>
      <c r="AX878" s="123">
        <f>AP878/AJ878</f>
        <v>0.34258823529411764</v>
      </c>
    </row>
    <row r="879" spans="1:50" ht="25.5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1" t="s">
        <v>1105</v>
      </c>
      <c r="AB879" s="42" t="s">
        <v>1106</v>
      </c>
      <c r="AC879" s="43"/>
      <c r="AD879" s="44">
        <v>0</v>
      </c>
      <c r="AE879" s="43">
        <v>997743934.5</v>
      </c>
      <c r="AF879" s="44">
        <v>0</v>
      </c>
      <c r="AG879" s="44">
        <v>0</v>
      </c>
      <c r="AH879" s="44">
        <v>0</v>
      </c>
      <c r="AI879" s="43">
        <f t="shared" si="316"/>
        <v>997743934.5</v>
      </c>
      <c r="AJ879" s="43">
        <f t="shared" si="317"/>
        <v>997743934.5</v>
      </c>
      <c r="AK879" s="44">
        <v>0</v>
      </c>
      <c r="AL879" s="44">
        <v>0</v>
      </c>
      <c r="AM879" s="115">
        <v>0</v>
      </c>
      <c r="AN879" s="115">
        <v>0</v>
      </c>
      <c r="AO879" s="44">
        <v>0</v>
      </c>
      <c r="AP879" s="43">
        <v>0</v>
      </c>
      <c r="AQ879" s="43">
        <v>0</v>
      </c>
      <c r="AR879" s="43">
        <v>0</v>
      </c>
      <c r="AS879" s="44">
        <v>0</v>
      </c>
      <c r="AT879" s="40">
        <f t="shared" ref="AT879:AT880" si="318">AQ879+AS879</f>
        <v>0</v>
      </c>
      <c r="AU879" s="18">
        <f>AJ879-AM879</f>
        <v>997743934.5</v>
      </c>
      <c r="AV879" s="133">
        <f>AM879-AP879</f>
        <v>0</v>
      </c>
      <c r="AW879" s="34">
        <f>AP879-AT879</f>
        <v>0</v>
      </c>
      <c r="AX879" s="123">
        <f>AP879/AJ879</f>
        <v>0</v>
      </c>
    </row>
    <row r="880" spans="1:50" ht="25.5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1" t="s">
        <v>1107</v>
      </c>
      <c r="AB880" s="42" t="s">
        <v>1108</v>
      </c>
      <c r="AC880" s="43"/>
      <c r="AD880" s="44">
        <v>0</v>
      </c>
      <c r="AE880" s="43">
        <v>997743934.5</v>
      </c>
      <c r="AF880" s="44">
        <v>0</v>
      </c>
      <c r="AG880" s="44">
        <v>0</v>
      </c>
      <c r="AH880" s="44">
        <v>0</v>
      </c>
      <c r="AI880" s="43">
        <f>AE880-AF880+AG880-AH880</f>
        <v>997743934.5</v>
      </c>
      <c r="AJ880" s="43">
        <f>AD880+AI880</f>
        <v>997743934.5</v>
      </c>
      <c r="AK880" s="44">
        <v>0</v>
      </c>
      <c r="AL880" s="44">
        <v>0</v>
      </c>
      <c r="AM880" s="115">
        <v>0</v>
      </c>
      <c r="AN880" s="115">
        <v>0</v>
      </c>
      <c r="AO880" s="44">
        <v>0</v>
      </c>
      <c r="AP880" s="43">
        <v>0</v>
      </c>
      <c r="AQ880" s="43">
        <v>0</v>
      </c>
      <c r="AR880" s="43">
        <v>0</v>
      </c>
      <c r="AS880" s="44">
        <v>0</v>
      </c>
      <c r="AT880" s="40">
        <f t="shared" si="318"/>
        <v>0</v>
      </c>
      <c r="AU880" s="18">
        <f>AJ880-AM880</f>
        <v>997743934.5</v>
      </c>
      <c r="AV880" s="133">
        <f>AM880-AP880</f>
        <v>0</v>
      </c>
      <c r="AW880" s="34">
        <f>AP880-AT880</f>
        <v>0</v>
      </c>
      <c r="AX880" s="123">
        <f>AP880/AJ880</f>
        <v>0</v>
      </c>
    </row>
    <row r="881" spans="1:50" x14ac:dyDescent="0.2">
      <c r="AA881" s="16"/>
      <c r="AB881" s="17"/>
      <c r="AC881" s="17"/>
      <c r="AD881" s="18"/>
      <c r="AE881" s="34"/>
      <c r="AF881" s="34"/>
      <c r="AG881" s="34"/>
      <c r="AH881" s="34"/>
      <c r="AI881" s="34"/>
      <c r="AJ881" s="18"/>
      <c r="AK881" s="34"/>
      <c r="AL881" s="34"/>
      <c r="AM881" s="34"/>
      <c r="AN881" s="34"/>
      <c r="AO881" s="34"/>
      <c r="AP881" s="34"/>
      <c r="AQ881" s="18"/>
      <c r="AR881" s="18"/>
      <c r="AS881" s="18"/>
      <c r="AT881" s="30"/>
      <c r="AU881" s="18"/>
      <c r="AV881" s="18"/>
      <c r="AW881" s="18"/>
      <c r="AX881" s="18"/>
    </row>
    <row r="882" spans="1:50" x14ac:dyDescent="0.2">
      <c r="AA882" s="16"/>
      <c r="AB882" s="29" t="s">
        <v>199</v>
      </c>
      <c r="AC882" s="17"/>
      <c r="AD882" s="18"/>
      <c r="AE882" s="34"/>
      <c r="AF882" s="34"/>
      <c r="AG882" s="34"/>
      <c r="AH882" s="34"/>
      <c r="AI882" s="34"/>
      <c r="AJ882" s="18"/>
      <c r="AK882" s="34"/>
      <c r="AL882" s="34"/>
      <c r="AM882" s="34"/>
      <c r="AN882" s="34"/>
      <c r="AO882" s="34"/>
      <c r="AP882" s="34"/>
      <c r="AQ882" s="18"/>
      <c r="AR882" s="18"/>
      <c r="AS882" s="18"/>
      <c r="AT882" s="30"/>
      <c r="AU882" s="18"/>
      <c r="AV882" s="18"/>
      <c r="AW882" s="18"/>
      <c r="AX882" s="18"/>
    </row>
    <row r="883" spans="1:50" ht="25.5" x14ac:dyDescent="0.2">
      <c r="AA883" s="28" t="s">
        <v>288</v>
      </c>
      <c r="AB883" s="29" t="s">
        <v>616</v>
      </c>
      <c r="AC883" s="17"/>
      <c r="AD883" s="18"/>
      <c r="AE883" s="34"/>
      <c r="AF883" s="34"/>
      <c r="AG883" s="34"/>
      <c r="AH883" s="34"/>
      <c r="AI883" s="34"/>
      <c r="AJ883" s="18"/>
      <c r="AK883" s="34"/>
      <c r="AL883" s="34"/>
      <c r="AM883" s="34"/>
      <c r="AN883" s="34"/>
      <c r="AO883" s="34"/>
      <c r="AP883" s="34"/>
      <c r="AQ883" s="18"/>
      <c r="AR883" s="18"/>
      <c r="AS883" s="18"/>
      <c r="AT883" s="30"/>
      <c r="AU883" s="18"/>
      <c r="AV883" s="18"/>
      <c r="AW883" s="18"/>
      <c r="AX883" s="18"/>
    </row>
    <row r="884" spans="1:50" x14ac:dyDescent="0.2">
      <c r="A884" s="4" t="s">
        <v>55</v>
      </c>
      <c r="B884" s="4" t="s">
        <v>56</v>
      </c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134" t="s">
        <v>651</v>
      </c>
      <c r="AB884" s="42" t="s">
        <v>618</v>
      </c>
      <c r="AC884" s="43" t="s">
        <v>619</v>
      </c>
      <c r="AD884" s="43">
        <v>408029872</v>
      </c>
      <c r="AE884" s="44">
        <v>0</v>
      </c>
      <c r="AF884" s="44">
        <v>0</v>
      </c>
      <c r="AG884" s="44">
        <v>0</v>
      </c>
      <c r="AH884" s="43">
        <v>408029872</v>
      </c>
      <c r="AI884" s="43">
        <f>AE884-AF884+AG884-AH884</f>
        <v>-408029872</v>
      </c>
      <c r="AJ884" s="44">
        <f>AD884+AI884</f>
        <v>0</v>
      </c>
      <c r="AK884" s="44">
        <v>0</v>
      </c>
      <c r="AL884" s="44">
        <v>0</v>
      </c>
      <c r="AM884" s="44">
        <v>0</v>
      </c>
      <c r="AN884" s="44">
        <v>0</v>
      </c>
      <c r="AO884" s="44">
        <v>0</v>
      </c>
      <c r="AP884" s="44">
        <v>0</v>
      </c>
      <c r="AQ884" s="44">
        <v>0</v>
      </c>
      <c r="AR884" s="44">
        <v>0</v>
      </c>
      <c r="AS884" s="44">
        <v>0</v>
      </c>
      <c r="AT884" s="40">
        <f t="shared" ref="AT884:AT885" si="319">AQ884+AS884</f>
        <v>0</v>
      </c>
      <c r="AU884" s="34">
        <f>AJ884-AM884</f>
        <v>0</v>
      </c>
      <c r="AV884" s="133">
        <f>AM884-AP884</f>
        <v>0</v>
      </c>
      <c r="AW884" s="34">
        <f>AP884-AT884</f>
        <v>0</v>
      </c>
      <c r="AX884" s="123">
        <v>0</v>
      </c>
    </row>
    <row r="885" spans="1:50" ht="38.25" x14ac:dyDescent="0.2">
      <c r="A885" s="4" t="s">
        <v>55</v>
      </c>
      <c r="B885" s="4" t="s">
        <v>56</v>
      </c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1" t="s">
        <v>652</v>
      </c>
      <c r="AB885" s="42" t="s">
        <v>653</v>
      </c>
      <c r="AC885" s="43" t="s">
        <v>368</v>
      </c>
      <c r="AD885" s="43">
        <v>159146685.47999999</v>
      </c>
      <c r="AE885" s="44">
        <v>0</v>
      </c>
      <c r="AF885" s="44">
        <v>0</v>
      </c>
      <c r="AG885" s="44">
        <v>0</v>
      </c>
      <c r="AH885" s="44">
        <v>0</v>
      </c>
      <c r="AI885" s="44">
        <f>AE885-AF885+AG885-AH885</f>
        <v>0</v>
      </c>
      <c r="AJ885" s="43">
        <f>AD885+AI885</f>
        <v>159146685.47999999</v>
      </c>
      <c r="AK885" s="44">
        <v>0</v>
      </c>
      <c r="AL885" s="44">
        <v>0</v>
      </c>
      <c r="AM885" s="44">
        <v>0</v>
      </c>
      <c r="AN885" s="44">
        <v>0</v>
      </c>
      <c r="AO885" s="44">
        <v>0</v>
      </c>
      <c r="AP885" s="44">
        <v>0</v>
      </c>
      <c r="AQ885" s="44">
        <v>0</v>
      </c>
      <c r="AR885" s="44">
        <v>0</v>
      </c>
      <c r="AS885" s="44">
        <v>0</v>
      </c>
      <c r="AT885" s="40">
        <f t="shared" si="319"/>
        <v>0</v>
      </c>
      <c r="AU885" s="18">
        <f>AJ885-AM885</f>
        <v>159146685.47999999</v>
      </c>
      <c r="AV885" s="133">
        <f>AM885-AP885</f>
        <v>0</v>
      </c>
      <c r="AW885" s="34">
        <f>AP885-AT885</f>
        <v>0</v>
      </c>
      <c r="AX885" s="123">
        <f>AP885/AJ885</f>
        <v>0</v>
      </c>
    </row>
    <row r="886" spans="1:50" x14ac:dyDescent="0.2">
      <c r="AA886" s="16"/>
      <c r="AB886" s="17"/>
      <c r="AC886" s="17"/>
      <c r="AD886" s="18"/>
      <c r="AE886" s="34"/>
      <c r="AF886" s="34"/>
      <c r="AG886" s="34"/>
      <c r="AH886" s="34"/>
      <c r="AI886" s="34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30"/>
      <c r="AU886" s="18"/>
      <c r="AV886" s="18"/>
      <c r="AW886" s="18"/>
      <c r="AX886" s="18"/>
    </row>
    <row r="887" spans="1:50" x14ac:dyDescent="0.2">
      <c r="AA887" s="16"/>
      <c r="AB887" s="29" t="s">
        <v>654</v>
      </c>
      <c r="AC887" s="17"/>
      <c r="AD887" s="18"/>
      <c r="AE887" s="34"/>
      <c r="AF887" s="34"/>
      <c r="AG887" s="34"/>
      <c r="AH887" s="34"/>
      <c r="AI887" s="34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30"/>
      <c r="AU887" s="18"/>
      <c r="AV887" s="18"/>
      <c r="AW887" s="18"/>
      <c r="AX887" s="18"/>
    </row>
    <row r="888" spans="1:50" x14ac:dyDescent="0.2">
      <c r="AA888" s="16"/>
      <c r="AB888" s="29" t="s">
        <v>614</v>
      </c>
      <c r="AC888" s="17"/>
      <c r="AD888" s="18"/>
      <c r="AE888" s="34"/>
      <c r="AF888" s="34"/>
      <c r="AG888" s="34"/>
      <c r="AH888" s="34"/>
      <c r="AI888" s="34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30"/>
      <c r="AU888" s="18"/>
      <c r="AV888" s="18"/>
      <c r="AW888" s="18"/>
      <c r="AX888" s="18"/>
    </row>
    <row r="889" spans="1:50" x14ac:dyDescent="0.2">
      <c r="AA889" s="16"/>
      <c r="AB889" s="29" t="s">
        <v>286</v>
      </c>
      <c r="AC889" s="17"/>
      <c r="AD889" s="18"/>
      <c r="AE889" s="34"/>
      <c r="AF889" s="34"/>
      <c r="AG889" s="34"/>
      <c r="AH889" s="34"/>
      <c r="AI889" s="34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30"/>
      <c r="AU889" s="18"/>
      <c r="AV889" s="18"/>
      <c r="AW889" s="18"/>
      <c r="AX889" s="18"/>
    </row>
    <row r="890" spans="1:50" x14ac:dyDescent="0.2">
      <c r="AA890" s="16"/>
      <c r="AB890" s="29" t="s">
        <v>181</v>
      </c>
      <c r="AC890" s="17"/>
      <c r="AD890" s="18"/>
      <c r="AE890" s="34"/>
      <c r="AF890" s="34"/>
      <c r="AG890" s="34"/>
      <c r="AH890" s="34"/>
      <c r="AI890" s="34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30"/>
      <c r="AU890" s="18"/>
      <c r="AV890" s="18"/>
      <c r="AW890" s="18"/>
      <c r="AX890" s="18"/>
    </row>
    <row r="891" spans="1:50" ht="25.5" x14ac:dyDescent="0.2">
      <c r="AA891" s="16"/>
      <c r="AB891" s="29" t="s">
        <v>637</v>
      </c>
      <c r="AC891" s="17"/>
      <c r="AD891" s="18"/>
      <c r="AE891" s="34"/>
      <c r="AF891" s="34"/>
      <c r="AG891" s="34"/>
      <c r="AH891" s="34"/>
      <c r="AI891" s="34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30"/>
      <c r="AU891" s="18"/>
      <c r="AV891" s="18"/>
      <c r="AW891" s="18"/>
      <c r="AX891" s="18"/>
    </row>
    <row r="892" spans="1:50" ht="25.5" x14ac:dyDescent="0.2">
      <c r="AA892" s="28" t="s">
        <v>288</v>
      </c>
      <c r="AB892" s="29" t="s">
        <v>655</v>
      </c>
      <c r="AC892" s="17"/>
      <c r="AD892" s="18"/>
      <c r="AE892" s="34"/>
      <c r="AF892" s="34"/>
      <c r="AG892" s="34"/>
      <c r="AH892" s="34"/>
      <c r="AI892" s="34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30"/>
      <c r="AU892" s="18"/>
      <c r="AV892" s="18"/>
      <c r="AW892" s="18"/>
      <c r="AX892" s="18"/>
    </row>
    <row r="893" spans="1:50" x14ac:dyDescent="0.2">
      <c r="A893" s="4" t="s">
        <v>55</v>
      </c>
      <c r="B893" s="4" t="s">
        <v>56</v>
      </c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1" t="s">
        <v>656</v>
      </c>
      <c r="AB893" s="42" t="s">
        <v>233</v>
      </c>
      <c r="AC893" s="43" t="s">
        <v>58</v>
      </c>
      <c r="AD893" s="43">
        <v>800000000</v>
      </c>
      <c r="AE893" s="44">
        <v>0</v>
      </c>
      <c r="AF893" s="44">
        <v>0</v>
      </c>
      <c r="AG893" s="44">
        <v>0</v>
      </c>
      <c r="AH893" s="44">
        <v>0</v>
      </c>
      <c r="AI893" s="44">
        <v>0</v>
      </c>
      <c r="AJ893" s="43">
        <v>800000000</v>
      </c>
      <c r="AK893" s="44">
        <v>0</v>
      </c>
      <c r="AL893" s="44">
        <v>0</v>
      </c>
      <c r="AM893" s="44">
        <v>0</v>
      </c>
      <c r="AN893" s="44">
        <v>0</v>
      </c>
      <c r="AO893" s="44">
        <v>0</v>
      </c>
      <c r="AP893" s="44">
        <v>0</v>
      </c>
      <c r="AQ893" s="44">
        <v>0</v>
      </c>
      <c r="AR893" s="44">
        <v>0</v>
      </c>
      <c r="AS893" s="44">
        <v>0</v>
      </c>
      <c r="AT893" s="40">
        <f t="shared" ref="AT893" si="320">AQ893+AS893</f>
        <v>0</v>
      </c>
      <c r="AU893" s="18">
        <f>AJ893-AM893</f>
        <v>800000000</v>
      </c>
      <c r="AV893" s="133">
        <f>AM893-AP893</f>
        <v>0</v>
      </c>
      <c r="AW893" s="34">
        <f>AP893-AT893</f>
        <v>0</v>
      </c>
      <c r="AX893" s="123">
        <f>AP893/AJ893</f>
        <v>0</v>
      </c>
    </row>
    <row r="894" spans="1:50" ht="18.75" customHeight="1" x14ac:dyDescent="0.2">
      <c r="AA894" s="16"/>
      <c r="AB894" s="29" t="s">
        <v>189</v>
      </c>
      <c r="AC894" s="17"/>
      <c r="AD894" s="18"/>
      <c r="AE894" s="34"/>
      <c r="AF894" s="34"/>
      <c r="AG894" s="34"/>
      <c r="AH894" s="34"/>
      <c r="AI894" s="34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30"/>
      <c r="AU894" s="18"/>
      <c r="AV894" s="18"/>
      <c r="AW894" s="18"/>
      <c r="AX894" s="18"/>
    </row>
    <row r="895" spans="1:50" ht="38.25" x14ac:dyDescent="0.2">
      <c r="AA895" s="16"/>
      <c r="AB895" s="29" t="s">
        <v>193</v>
      </c>
      <c r="AC895" s="17"/>
      <c r="AD895" s="18"/>
      <c r="AE895" s="34"/>
      <c r="AF895" s="34"/>
      <c r="AG895" s="34"/>
      <c r="AH895" s="34"/>
      <c r="AI895" s="34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30"/>
      <c r="AU895" s="18"/>
      <c r="AV895" s="18"/>
      <c r="AW895" s="18"/>
      <c r="AX895" s="18"/>
    </row>
    <row r="896" spans="1:50" ht="25.5" x14ac:dyDescent="0.2">
      <c r="AA896" s="28" t="s">
        <v>288</v>
      </c>
      <c r="AB896" s="29" t="s">
        <v>616</v>
      </c>
      <c r="AC896" s="17"/>
      <c r="AD896" s="18"/>
      <c r="AE896" s="34"/>
      <c r="AF896" s="34"/>
      <c r="AG896" s="34"/>
      <c r="AH896" s="34"/>
      <c r="AI896" s="34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30"/>
      <c r="AU896" s="18"/>
      <c r="AV896" s="18"/>
      <c r="AW896" s="18"/>
      <c r="AX896" s="18"/>
    </row>
    <row r="897" spans="1:50" x14ac:dyDescent="0.2">
      <c r="A897" s="4" t="s">
        <v>37</v>
      </c>
      <c r="B897" s="4" t="s">
        <v>37</v>
      </c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1" t="s">
        <v>657</v>
      </c>
      <c r="AB897" s="42" t="s">
        <v>233</v>
      </c>
      <c r="AC897" s="43" t="s">
        <v>58</v>
      </c>
      <c r="AD897" s="43">
        <v>400000000</v>
      </c>
      <c r="AE897" s="44">
        <v>0</v>
      </c>
      <c r="AF897" s="44">
        <v>0</v>
      </c>
      <c r="AG897" s="44">
        <v>0</v>
      </c>
      <c r="AH897" s="44">
        <v>0</v>
      </c>
      <c r="AI897" s="44">
        <v>0</v>
      </c>
      <c r="AJ897" s="43">
        <v>400000000</v>
      </c>
      <c r="AK897" s="44">
        <v>0</v>
      </c>
      <c r="AL897" s="43">
        <v>0</v>
      </c>
      <c r="AM897" s="43">
        <v>399068768</v>
      </c>
      <c r="AN897" s="43">
        <v>0</v>
      </c>
      <c r="AO897" s="43">
        <v>0</v>
      </c>
      <c r="AP897" s="43">
        <v>399068768</v>
      </c>
      <c r="AQ897" s="44">
        <v>0</v>
      </c>
      <c r="AR897" s="43">
        <v>133951850</v>
      </c>
      <c r="AS897" s="43">
        <v>133951850</v>
      </c>
      <c r="AT897" s="39">
        <f t="shared" ref="AT897" si="321">AQ897+AS897</f>
        <v>133951850</v>
      </c>
      <c r="AU897" s="18">
        <f>AJ897-AM897</f>
        <v>931232</v>
      </c>
      <c r="AV897" s="18">
        <f>AM897-AP897</f>
        <v>0</v>
      </c>
      <c r="AW897" s="18">
        <f>AP897-AT897</f>
        <v>265116918</v>
      </c>
      <c r="AX897" s="123">
        <f>AP897/AJ897</f>
        <v>0.99767192000000005</v>
      </c>
    </row>
    <row r="898" spans="1:50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1" t="s">
        <v>1226</v>
      </c>
      <c r="AB898" s="42" t="s">
        <v>1110</v>
      </c>
      <c r="AC898" s="43"/>
      <c r="AD898" s="43">
        <v>0</v>
      </c>
      <c r="AE898" s="44">
        <v>0</v>
      </c>
      <c r="AF898" s="44">
        <v>0</v>
      </c>
      <c r="AG898" s="43">
        <v>502777408.16000003</v>
      </c>
      <c r="AH898" s="44">
        <v>0</v>
      </c>
      <c r="AI898" s="43">
        <f>AE898-AF898+AG898-AH898</f>
        <v>502777408.16000003</v>
      </c>
      <c r="AJ898" s="43">
        <f>AD898+AI898</f>
        <v>502777408.16000003</v>
      </c>
      <c r="AK898" s="44">
        <v>0</v>
      </c>
      <c r="AL898" s="43">
        <v>199350085</v>
      </c>
      <c r="AM898" s="43">
        <v>199350085</v>
      </c>
      <c r="AN898" s="43">
        <v>199350085</v>
      </c>
      <c r="AO898" s="43">
        <v>0</v>
      </c>
      <c r="AP898" s="43">
        <v>0</v>
      </c>
      <c r="AQ898" s="44">
        <v>0</v>
      </c>
      <c r="AR898" s="44">
        <v>0</v>
      </c>
      <c r="AS898" s="44">
        <v>0</v>
      </c>
      <c r="AT898" s="39">
        <f t="shared" ref="AT898" si="322">AQ898+AS898</f>
        <v>0</v>
      </c>
      <c r="AU898" s="18">
        <f>AJ898-AM898</f>
        <v>303427323.16000003</v>
      </c>
      <c r="AV898" s="18">
        <f>AM898-AP898</f>
        <v>199350085</v>
      </c>
      <c r="AW898" s="18">
        <f>AP898-AT898</f>
        <v>0</v>
      </c>
      <c r="AX898" s="123">
        <f>AP898/AJ898</f>
        <v>0</v>
      </c>
    </row>
    <row r="899" spans="1:50" x14ac:dyDescent="0.2">
      <c r="AA899" s="16"/>
      <c r="AB899" s="17"/>
      <c r="AC899" s="17"/>
      <c r="AD899" s="18"/>
      <c r="AE899" s="34"/>
      <c r="AF899" s="34"/>
      <c r="AG899" s="34"/>
      <c r="AH899" s="34"/>
      <c r="AI899" s="34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30"/>
      <c r="AU899" s="18"/>
      <c r="AV899" s="34"/>
      <c r="AW899" s="34"/>
      <c r="AX899" s="18"/>
    </row>
    <row r="900" spans="1:50" ht="25.5" x14ac:dyDescent="0.2">
      <c r="AA900" s="16"/>
      <c r="AB900" s="29" t="s">
        <v>197</v>
      </c>
      <c r="AC900" s="17"/>
      <c r="AD900" s="18"/>
      <c r="AE900" s="34"/>
      <c r="AF900" s="34"/>
      <c r="AG900" s="34"/>
      <c r="AH900" s="34"/>
      <c r="AI900" s="34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30"/>
      <c r="AU900" s="18"/>
      <c r="AV900" s="34"/>
      <c r="AW900" s="34"/>
      <c r="AX900" s="18"/>
    </row>
    <row r="901" spans="1:50" ht="25.5" x14ac:dyDescent="0.2">
      <c r="AA901" s="28" t="s">
        <v>288</v>
      </c>
      <c r="AB901" s="29" t="s">
        <v>616</v>
      </c>
      <c r="AC901" s="17"/>
      <c r="AD901" s="18"/>
      <c r="AE901" s="34"/>
      <c r="AF901" s="34"/>
      <c r="AG901" s="34"/>
      <c r="AH901" s="34"/>
      <c r="AI901" s="34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30"/>
      <c r="AU901" s="18"/>
      <c r="AV901" s="34"/>
      <c r="AW901" s="34"/>
      <c r="AX901" s="18"/>
    </row>
    <row r="902" spans="1:50" x14ac:dyDescent="0.2">
      <c r="A902" s="4" t="s">
        <v>55</v>
      </c>
      <c r="B902" s="4" t="s">
        <v>56</v>
      </c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1" t="s">
        <v>658</v>
      </c>
      <c r="AB902" s="42" t="s">
        <v>233</v>
      </c>
      <c r="AC902" s="43" t="s">
        <v>58</v>
      </c>
      <c r="AD902" s="43">
        <v>80000001.5</v>
      </c>
      <c r="AE902" s="44">
        <v>0</v>
      </c>
      <c r="AF902" s="44">
        <v>0</v>
      </c>
      <c r="AG902" s="44">
        <v>0</v>
      </c>
      <c r="AH902" s="44">
        <v>0</v>
      </c>
      <c r="AI902" s="44">
        <v>0</v>
      </c>
      <c r="AJ902" s="43">
        <v>80000001.5</v>
      </c>
      <c r="AK902" s="44">
        <v>0</v>
      </c>
      <c r="AL902" s="44">
        <v>0</v>
      </c>
      <c r="AM902" s="44">
        <v>0</v>
      </c>
      <c r="AN902" s="44">
        <v>0</v>
      </c>
      <c r="AO902" s="44">
        <v>0</v>
      </c>
      <c r="AP902" s="44">
        <v>0</v>
      </c>
      <c r="AQ902" s="44">
        <v>0</v>
      </c>
      <c r="AR902" s="44">
        <v>0</v>
      </c>
      <c r="AS902" s="44">
        <v>0</v>
      </c>
      <c r="AT902" s="40">
        <f t="shared" ref="AT902:AT903" si="323">AQ902+AS902</f>
        <v>0</v>
      </c>
      <c r="AU902" s="18">
        <f>AJ902-AM902</f>
        <v>80000001.5</v>
      </c>
      <c r="AV902" s="133">
        <f>AM902-AP902</f>
        <v>0</v>
      </c>
      <c r="AW902" s="34">
        <f>AP902-AT902</f>
        <v>0</v>
      </c>
      <c r="AX902" s="123">
        <f>AP902/AJ902</f>
        <v>0</v>
      </c>
    </row>
    <row r="903" spans="1:50" ht="25.5" x14ac:dyDescent="0.2">
      <c r="A903" s="4" t="s">
        <v>55</v>
      </c>
      <c r="B903" s="4" t="s">
        <v>56</v>
      </c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1" t="s">
        <v>659</v>
      </c>
      <c r="AB903" s="42" t="s">
        <v>660</v>
      </c>
      <c r="AC903" s="43" t="s">
        <v>368</v>
      </c>
      <c r="AD903" s="43">
        <v>18064798.5</v>
      </c>
      <c r="AE903" s="44">
        <v>0</v>
      </c>
      <c r="AF903" s="44">
        <v>0</v>
      </c>
      <c r="AG903" s="44">
        <v>0</v>
      </c>
      <c r="AH903" s="44">
        <v>0</v>
      </c>
      <c r="AI903" s="44">
        <v>0</v>
      </c>
      <c r="AJ903" s="43">
        <v>18064798.5</v>
      </c>
      <c r="AK903" s="44">
        <v>0</v>
      </c>
      <c r="AL903" s="44">
        <v>0</v>
      </c>
      <c r="AM903" s="44">
        <v>0</v>
      </c>
      <c r="AN903" s="44">
        <v>0</v>
      </c>
      <c r="AO903" s="44">
        <v>0</v>
      </c>
      <c r="AP903" s="44">
        <v>0</v>
      </c>
      <c r="AQ903" s="44">
        <v>0</v>
      </c>
      <c r="AR903" s="44">
        <v>0</v>
      </c>
      <c r="AS903" s="44">
        <v>0</v>
      </c>
      <c r="AT903" s="40">
        <f t="shared" si="323"/>
        <v>0</v>
      </c>
      <c r="AU903" s="18">
        <f>AJ903-AM903</f>
        <v>18064798.5</v>
      </c>
      <c r="AV903" s="133">
        <f>AM903-AP903</f>
        <v>0</v>
      </c>
      <c r="AW903" s="34">
        <f>AP903-AT903</f>
        <v>0</v>
      </c>
      <c r="AX903" s="123">
        <f>AP903/AJ903</f>
        <v>0</v>
      </c>
    </row>
    <row r="904" spans="1:50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1" t="s">
        <v>1109</v>
      </c>
      <c r="AB904" s="42" t="s">
        <v>1110</v>
      </c>
      <c r="AC904" s="43"/>
      <c r="AD904" s="44">
        <v>0</v>
      </c>
      <c r="AE904" s="43">
        <v>502777408.16000003</v>
      </c>
      <c r="AF904" s="44">
        <v>0</v>
      </c>
      <c r="AG904" s="44">
        <v>0</v>
      </c>
      <c r="AH904" s="43">
        <v>502777408.16000003</v>
      </c>
      <c r="AI904" s="44">
        <f>AE904-AF904+AG904-AH904</f>
        <v>0</v>
      </c>
      <c r="AJ904" s="44">
        <f>AD904+AI904</f>
        <v>0</v>
      </c>
      <c r="AK904" s="44">
        <v>0</v>
      </c>
      <c r="AL904" s="44">
        <v>0</v>
      </c>
      <c r="AM904" s="44">
        <v>0</v>
      </c>
      <c r="AN904" s="44">
        <v>0</v>
      </c>
      <c r="AO904" s="44">
        <v>0</v>
      </c>
      <c r="AP904" s="44">
        <v>0</v>
      </c>
      <c r="AQ904" s="44">
        <v>0</v>
      </c>
      <c r="AR904" s="44">
        <v>0</v>
      </c>
      <c r="AS904" s="44">
        <v>0</v>
      </c>
      <c r="AT904" s="40">
        <f t="shared" ref="AT904" si="324">AQ904+AS904</f>
        <v>0</v>
      </c>
      <c r="AU904" s="18">
        <f>AJ904-AM904</f>
        <v>0</v>
      </c>
      <c r="AV904" s="133">
        <f>AM904-AP904</f>
        <v>0</v>
      </c>
      <c r="AW904" s="34">
        <f>AP904-AT904</f>
        <v>0</v>
      </c>
      <c r="AX904" s="123">
        <v>0</v>
      </c>
    </row>
    <row r="905" spans="1:50" x14ac:dyDescent="0.2">
      <c r="AA905" s="16"/>
      <c r="AB905" s="17"/>
      <c r="AC905" s="17"/>
      <c r="AD905" s="18"/>
      <c r="AE905" s="34"/>
      <c r="AF905" s="34"/>
      <c r="AG905" s="34"/>
      <c r="AH905" s="34"/>
      <c r="AI905" s="34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30"/>
      <c r="AU905" s="18"/>
      <c r="AV905" s="18"/>
      <c r="AW905" s="18"/>
      <c r="AX905" s="18"/>
    </row>
    <row r="906" spans="1:50" x14ac:dyDescent="0.2">
      <c r="AA906" s="16"/>
      <c r="AB906" s="29" t="s">
        <v>661</v>
      </c>
      <c r="AC906" s="17"/>
      <c r="AD906" s="18"/>
      <c r="AE906" s="34"/>
      <c r="AF906" s="34"/>
      <c r="AG906" s="34"/>
      <c r="AH906" s="34"/>
      <c r="AI906" s="34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30"/>
      <c r="AU906" s="18"/>
      <c r="AV906" s="18"/>
      <c r="AW906" s="18"/>
      <c r="AX906" s="18"/>
    </row>
    <row r="907" spans="1:50" x14ac:dyDescent="0.2">
      <c r="AA907" s="16"/>
      <c r="AB907" s="29" t="s">
        <v>614</v>
      </c>
      <c r="AC907" s="17"/>
      <c r="AD907" s="18"/>
      <c r="AE907" s="34"/>
      <c r="AF907" s="34"/>
      <c r="AG907" s="34"/>
      <c r="AH907" s="34"/>
      <c r="AI907" s="34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30"/>
      <c r="AU907" s="18"/>
      <c r="AV907" s="18"/>
      <c r="AW907" s="18"/>
      <c r="AX907" s="18"/>
    </row>
    <row r="908" spans="1:50" x14ac:dyDescent="0.2">
      <c r="AA908" s="16"/>
      <c r="AB908" s="29" t="s">
        <v>286</v>
      </c>
      <c r="AC908" s="17"/>
      <c r="AD908" s="18"/>
      <c r="AE908" s="34"/>
      <c r="AF908" s="34"/>
      <c r="AG908" s="34"/>
      <c r="AH908" s="34"/>
      <c r="AI908" s="34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30"/>
      <c r="AU908" s="18"/>
      <c r="AV908" s="18"/>
      <c r="AW908" s="18"/>
      <c r="AX908" s="18"/>
    </row>
    <row r="909" spans="1:50" x14ac:dyDescent="0.2">
      <c r="AA909" s="16"/>
      <c r="AB909" s="29" t="s">
        <v>179</v>
      </c>
      <c r="AC909" s="17"/>
      <c r="AD909" s="18"/>
      <c r="AE909" s="34"/>
      <c r="AF909" s="34"/>
      <c r="AG909" s="34"/>
      <c r="AH909" s="34"/>
      <c r="AI909" s="34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30"/>
      <c r="AU909" s="18"/>
      <c r="AV909" s="18"/>
      <c r="AW909" s="18"/>
      <c r="AX909" s="18"/>
    </row>
    <row r="910" spans="1:50" x14ac:dyDescent="0.2">
      <c r="AA910" s="16"/>
      <c r="AB910" s="29" t="s">
        <v>189</v>
      </c>
      <c r="AC910" s="17"/>
      <c r="AD910" s="18"/>
      <c r="AE910" s="34"/>
      <c r="AF910" s="34"/>
      <c r="AG910" s="34"/>
      <c r="AH910" s="34"/>
      <c r="AI910" s="34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30"/>
      <c r="AU910" s="18"/>
      <c r="AV910" s="18"/>
      <c r="AW910" s="18"/>
      <c r="AX910" s="18"/>
    </row>
    <row r="911" spans="1:50" ht="25.5" x14ac:dyDescent="0.2">
      <c r="AA911" s="16"/>
      <c r="AB911" s="29" t="s">
        <v>197</v>
      </c>
      <c r="AC911" s="17"/>
      <c r="AD911" s="18"/>
      <c r="AE911" s="34"/>
      <c r="AF911" s="34"/>
      <c r="AG911" s="34"/>
      <c r="AH911" s="34"/>
      <c r="AI911" s="34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30"/>
      <c r="AU911" s="18"/>
      <c r="AV911" s="18"/>
      <c r="AW911" s="18"/>
      <c r="AX911" s="18"/>
    </row>
    <row r="912" spans="1:50" x14ac:dyDescent="0.2">
      <c r="AA912" s="28" t="s">
        <v>288</v>
      </c>
      <c r="AB912" s="29" t="s">
        <v>591</v>
      </c>
      <c r="AC912" s="17"/>
      <c r="AD912" s="18"/>
      <c r="AE912" s="34"/>
      <c r="AF912" s="34"/>
      <c r="AG912" s="34"/>
      <c r="AH912" s="34"/>
      <c r="AI912" s="34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30"/>
      <c r="AU912" s="18"/>
      <c r="AV912" s="18"/>
      <c r="AW912" s="18"/>
      <c r="AX912" s="18"/>
    </row>
    <row r="913" spans="1:50" ht="25.5" x14ac:dyDescent="0.2">
      <c r="A913" s="4" t="s">
        <v>55</v>
      </c>
      <c r="B913" s="4" t="s">
        <v>56</v>
      </c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1" t="s">
        <v>662</v>
      </c>
      <c r="AB913" s="42" t="s">
        <v>660</v>
      </c>
      <c r="AC913" s="43" t="s">
        <v>368</v>
      </c>
      <c r="AD913" s="43">
        <v>3179405.26</v>
      </c>
      <c r="AE913" s="44">
        <v>0</v>
      </c>
      <c r="AF913" s="44">
        <v>0</v>
      </c>
      <c r="AG913" s="44">
        <v>0</v>
      </c>
      <c r="AH913" s="44">
        <v>0</v>
      </c>
      <c r="AI913" s="44">
        <v>0</v>
      </c>
      <c r="AJ913" s="43">
        <v>3179405.26</v>
      </c>
      <c r="AK913" s="44">
        <v>0</v>
      </c>
      <c r="AL913" s="44">
        <v>0</v>
      </c>
      <c r="AM913" s="43">
        <v>1739249</v>
      </c>
      <c r="AN913" s="44">
        <v>0</v>
      </c>
      <c r="AO913" s="44">
        <v>0</v>
      </c>
      <c r="AP913" s="43">
        <v>1739249</v>
      </c>
      <c r="AQ913" s="44">
        <v>0</v>
      </c>
      <c r="AR913" s="44">
        <v>0</v>
      </c>
      <c r="AS913" s="44">
        <v>0</v>
      </c>
      <c r="AT913" s="40">
        <f t="shared" ref="AT913" si="325">AQ913+AS913</f>
        <v>0</v>
      </c>
      <c r="AU913" s="18">
        <f>AJ913-AM913</f>
        <v>1440156.2599999998</v>
      </c>
      <c r="AV913" s="133">
        <f>AM913-AP913</f>
        <v>0</v>
      </c>
      <c r="AW913" s="18">
        <f>AP913-AT913</f>
        <v>1739249</v>
      </c>
      <c r="AX913" s="123">
        <f>AP913/AJ913</f>
        <v>0.54703595728466525</v>
      </c>
    </row>
    <row r="914" spans="1:50" ht="25.5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1" t="s">
        <v>1111</v>
      </c>
      <c r="AB914" s="42" t="s">
        <v>1112</v>
      </c>
      <c r="AC914" s="43"/>
      <c r="AD914" s="44">
        <v>0</v>
      </c>
      <c r="AE914" s="43">
        <v>58361947.520000003</v>
      </c>
      <c r="AF914" s="44">
        <v>0</v>
      </c>
      <c r="AG914" s="44">
        <v>0</v>
      </c>
      <c r="AH914" s="44">
        <v>0</v>
      </c>
      <c r="AI914" s="43">
        <f>AE914-AF914+AG914-AH914</f>
        <v>58361947.520000003</v>
      </c>
      <c r="AJ914" s="43">
        <f>AD914+AI914</f>
        <v>58361947.520000003</v>
      </c>
      <c r="AK914" s="44">
        <v>0</v>
      </c>
      <c r="AL914" s="44">
        <v>0</v>
      </c>
      <c r="AM914" s="43">
        <v>0</v>
      </c>
      <c r="AN914" s="44">
        <v>0</v>
      </c>
      <c r="AO914" s="44">
        <v>0</v>
      </c>
      <c r="AP914" s="43">
        <v>0</v>
      </c>
      <c r="AQ914" s="44">
        <v>0</v>
      </c>
      <c r="AR914" s="44">
        <v>0</v>
      </c>
      <c r="AS914" s="44">
        <v>0</v>
      </c>
      <c r="AT914" s="40">
        <f t="shared" ref="AT914" si="326">AQ914+AS914</f>
        <v>0</v>
      </c>
      <c r="AU914" s="18">
        <f>AJ914-AM914</f>
        <v>58361947.520000003</v>
      </c>
      <c r="AV914" s="133">
        <f>AM914-AP914</f>
        <v>0</v>
      </c>
      <c r="AW914" s="18">
        <f>AP914-AT914</f>
        <v>0</v>
      </c>
      <c r="AX914" s="123">
        <f>AP914/AJ914</f>
        <v>0</v>
      </c>
    </row>
    <row r="915" spans="1:50" x14ac:dyDescent="0.2">
      <c r="AA915" s="16"/>
      <c r="AB915" s="17"/>
      <c r="AC915" s="17"/>
      <c r="AD915" s="18"/>
      <c r="AE915" s="34"/>
      <c r="AF915" s="34"/>
      <c r="AG915" s="34"/>
      <c r="AH915" s="34"/>
      <c r="AI915" s="34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30"/>
      <c r="AU915" s="18"/>
      <c r="AV915" s="18"/>
      <c r="AW915" s="18"/>
      <c r="AX915" s="18"/>
    </row>
    <row r="916" spans="1:50" ht="25.5" x14ac:dyDescent="0.2">
      <c r="AA916" s="16"/>
      <c r="AB916" s="29" t="s">
        <v>663</v>
      </c>
      <c r="AC916" s="17"/>
      <c r="AD916" s="18"/>
      <c r="AE916" s="34"/>
      <c r="AF916" s="34"/>
      <c r="AG916" s="34"/>
      <c r="AH916" s="34"/>
      <c r="AI916" s="34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30"/>
      <c r="AU916" s="18"/>
      <c r="AV916" s="18"/>
      <c r="AW916" s="18"/>
      <c r="AX916" s="18"/>
    </row>
    <row r="917" spans="1:50" x14ac:dyDescent="0.2">
      <c r="AA917" s="16"/>
      <c r="AB917" s="29" t="s">
        <v>614</v>
      </c>
      <c r="AC917" s="17"/>
      <c r="AD917" s="18"/>
      <c r="AE917" s="34"/>
      <c r="AF917" s="34"/>
      <c r="AG917" s="34"/>
      <c r="AH917" s="34"/>
      <c r="AI917" s="34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30"/>
      <c r="AU917" s="18"/>
      <c r="AV917" s="18"/>
      <c r="AW917" s="18"/>
      <c r="AX917" s="18"/>
    </row>
    <row r="918" spans="1:50" x14ac:dyDescent="0.2">
      <c r="AA918" s="16"/>
      <c r="AB918" s="29" t="s">
        <v>286</v>
      </c>
      <c r="AC918" s="17"/>
      <c r="AD918" s="18"/>
      <c r="AE918" s="34"/>
      <c r="AF918" s="34"/>
      <c r="AG918" s="34"/>
      <c r="AH918" s="34"/>
      <c r="AI918" s="34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30"/>
      <c r="AU918" s="18"/>
      <c r="AV918" s="18"/>
      <c r="AW918" s="18"/>
      <c r="AX918" s="18"/>
    </row>
    <row r="919" spans="1:50" ht="18.75" customHeight="1" x14ac:dyDescent="0.2">
      <c r="AA919" s="16"/>
      <c r="AB919" s="29" t="s">
        <v>664</v>
      </c>
      <c r="AC919" s="17"/>
      <c r="AD919" s="18"/>
      <c r="AE919" s="34"/>
      <c r="AF919" s="34"/>
      <c r="AG919" s="34"/>
      <c r="AH919" s="34"/>
      <c r="AI919" s="34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30"/>
      <c r="AU919" s="18"/>
      <c r="AV919" s="18"/>
      <c r="AW919" s="18"/>
      <c r="AX919" s="18"/>
    </row>
    <row r="920" spans="1:50" ht="18.75" customHeight="1" x14ac:dyDescent="0.2">
      <c r="AA920" s="16"/>
      <c r="AB920" s="29" t="s">
        <v>575</v>
      </c>
      <c r="AC920" s="17"/>
      <c r="AD920" s="18"/>
      <c r="AE920" s="34"/>
      <c r="AF920" s="34"/>
      <c r="AG920" s="34"/>
      <c r="AH920" s="34"/>
      <c r="AI920" s="34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30"/>
      <c r="AU920" s="18"/>
      <c r="AV920" s="18"/>
      <c r="AW920" s="18"/>
      <c r="AX920" s="18"/>
    </row>
    <row r="921" spans="1:50" ht="18.75" customHeight="1" x14ac:dyDescent="0.2">
      <c r="AA921" s="16"/>
      <c r="AB921" s="29" t="s">
        <v>631</v>
      </c>
      <c r="AC921" s="17"/>
      <c r="AD921" s="18"/>
      <c r="AE921" s="34"/>
      <c r="AF921" s="34"/>
      <c r="AG921" s="34"/>
      <c r="AH921" s="34"/>
      <c r="AI921" s="34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30"/>
      <c r="AU921" s="18"/>
      <c r="AV921" s="18"/>
      <c r="AW921" s="18"/>
      <c r="AX921" s="18"/>
    </row>
    <row r="922" spans="1:50" ht="18.75" customHeight="1" x14ac:dyDescent="0.2">
      <c r="AA922" s="16"/>
      <c r="AB922" s="29" t="s">
        <v>632</v>
      </c>
      <c r="AC922" s="17"/>
      <c r="AD922" s="18"/>
      <c r="AE922" s="34"/>
      <c r="AF922" s="34"/>
      <c r="AG922" s="34"/>
      <c r="AH922" s="34"/>
      <c r="AI922" s="34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30"/>
      <c r="AU922" s="18"/>
      <c r="AV922" s="18"/>
      <c r="AW922" s="18"/>
      <c r="AX922" s="18"/>
    </row>
    <row r="923" spans="1:50" ht="18.75" customHeight="1" x14ac:dyDescent="0.2">
      <c r="AA923" s="16"/>
      <c r="AB923" s="29" t="s">
        <v>633</v>
      </c>
      <c r="AC923" s="17"/>
      <c r="AD923" s="18"/>
      <c r="AE923" s="34"/>
      <c r="AF923" s="34"/>
      <c r="AG923" s="34"/>
      <c r="AH923" s="34"/>
      <c r="AI923" s="34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30"/>
      <c r="AU923" s="18"/>
      <c r="AV923" s="18"/>
      <c r="AW923" s="18"/>
      <c r="AX923" s="18"/>
    </row>
    <row r="924" spans="1:50" ht="18.75" customHeight="1" x14ac:dyDescent="0.2">
      <c r="AA924" s="16"/>
      <c r="AB924" s="29" t="s">
        <v>634</v>
      </c>
      <c r="AC924" s="17"/>
      <c r="AD924" s="18"/>
      <c r="AE924" s="34"/>
      <c r="AF924" s="34"/>
      <c r="AG924" s="34"/>
      <c r="AH924" s="34"/>
      <c r="AI924" s="34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30"/>
      <c r="AU924" s="18"/>
      <c r="AV924" s="18"/>
      <c r="AW924" s="18"/>
      <c r="AX924" s="18"/>
    </row>
    <row r="925" spans="1:50" ht="18.75" customHeight="1" x14ac:dyDescent="0.2">
      <c r="AA925" s="16"/>
      <c r="AB925" s="29" t="s">
        <v>635</v>
      </c>
      <c r="AC925" s="17"/>
      <c r="AD925" s="18"/>
      <c r="AE925" s="34"/>
      <c r="AF925" s="34"/>
      <c r="AG925" s="34"/>
      <c r="AH925" s="34"/>
      <c r="AI925" s="34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30"/>
      <c r="AU925" s="18"/>
      <c r="AV925" s="18"/>
      <c r="AW925" s="18"/>
      <c r="AX925" s="18"/>
    </row>
    <row r="926" spans="1:50" ht="18.75" customHeight="1" x14ac:dyDescent="0.2">
      <c r="AA926" s="28" t="s">
        <v>288</v>
      </c>
      <c r="AB926" s="29" t="s">
        <v>665</v>
      </c>
      <c r="AC926" s="17"/>
      <c r="AD926" s="18"/>
      <c r="AE926" s="34"/>
      <c r="AF926" s="34"/>
      <c r="AG926" s="34"/>
      <c r="AH926" s="34"/>
      <c r="AI926" s="34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30"/>
      <c r="AU926" s="18"/>
      <c r="AV926" s="18"/>
      <c r="AW926" s="18"/>
      <c r="AX926" s="18"/>
    </row>
    <row r="927" spans="1:50" ht="18.75" customHeight="1" x14ac:dyDescent="0.2">
      <c r="A927" s="4" t="s">
        <v>37</v>
      </c>
      <c r="B927" s="4" t="s">
        <v>37</v>
      </c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1" t="s">
        <v>666</v>
      </c>
      <c r="AB927" s="42" t="s">
        <v>233</v>
      </c>
      <c r="AC927" s="43" t="s">
        <v>58</v>
      </c>
      <c r="AD927" s="43">
        <v>22000000</v>
      </c>
      <c r="AE927" s="44">
        <v>0</v>
      </c>
      <c r="AF927" s="44">
        <v>0</v>
      </c>
      <c r="AG927" s="44">
        <v>0</v>
      </c>
      <c r="AH927" s="44">
        <v>0</v>
      </c>
      <c r="AI927" s="44">
        <v>0</v>
      </c>
      <c r="AJ927" s="43">
        <v>22000000</v>
      </c>
      <c r="AK927" s="44">
        <v>0</v>
      </c>
      <c r="AL927" s="44">
        <v>0</v>
      </c>
      <c r="AM927" s="44">
        <v>0</v>
      </c>
      <c r="AN927" s="44">
        <v>0</v>
      </c>
      <c r="AO927" s="44">
        <v>0</v>
      </c>
      <c r="AP927" s="44">
        <v>0</v>
      </c>
      <c r="AQ927" s="44">
        <v>0</v>
      </c>
      <c r="AR927" s="44">
        <v>0</v>
      </c>
      <c r="AS927" s="44">
        <v>0</v>
      </c>
      <c r="AT927" s="40">
        <f t="shared" ref="AT927" si="327">AQ927+AS927</f>
        <v>0</v>
      </c>
      <c r="AU927" s="18">
        <f>AJ927-AM927</f>
        <v>22000000</v>
      </c>
      <c r="AV927" s="133">
        <f>AM927-AP927</f>
        <v>0</v>
      </c>
      <c r="AW927" s="34">
        <f>AP927-AT927</f>
        <v>0</v>
      </c>
      <c r="AX927" s="123">
        <f>AP927/AJ927</f>
        <v>0</v>
      </c>
    </row>
    <row r="928" spans="1:50" ht="18.75" customHeight="1" x14ac:dyDescent="0.2">
      <c r="AA928" s="16"/>
      <c r="AB928" s="17"/>
      <c r="AC928" s="17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30"/>
      <c r="AU928" s="18"/>
      <c r="AV928" s="34"/>
      <c r="AW928" s="34"/>
      <c r="AX928" s="18"/>
    </row>
    <row r="929" spans="1:50" ht="18.75" customHeight="1" x14ac:dyDescent="0.2">
      <c r="AA929" s="16"/>
      <c r="AB929" s="29" t="s">
        <v>179</v>
      </c>
      <c r="AC929" s="17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30"/>
      <c r="AU929" s="18"/>
      <c r="AV929" s="34"/>
      <c r="AW929" s="34"/>
      <c r="AX929" s="18"/>
    </row>
    <row r="930" spans="1:50" ht="18.75" customHeight="1" x14ac:dyDescent="0.2">
      <c r="AA930" s="16"/>
      <c r="AB930" s="29" t="s">
        <v>181</v>
      </c>
      <c r="AC930" s="17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30"/>
      <c r="AU930" s="18"/>
      <c r="AV930" s="34"/>
      <c r="AW930" s="34"/>
      <c r="AX930" s="18"/>
    </row>
    <row r="931" spans="1:50" ht="25.5" x14ac:dyDescent="0.2">
      <c r="AA931" s="16"/>
      <c r="AB931" s="29" t="s">
        <v>183</v>
      </c>
      <c r="AC931" s="17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30"/>
      <c r="AU931" s="18"/>
      <c r="AV931" s="34"/>
      <c r="AW931" s="34"/>
      <c r="AX931" s="18"/>
    </row>
    <row r="932" spans="1:50" ht="18.75" customHeight="1" x14ac:dyDescent="0.2">
      <c r="AA932" s="28" t="s">
        <v>288</v>
      </c>
      <c r="AB932" s="29" t="s">
        <v>667</v>
      </c>
      <c r="AC932" s="17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30"/>
      <c r="AU932" s="18"/>
      <c r="AV932" s="34"/>
      <c r="AW932" s="34"/>
      <c r="AX932" s="18"/>
    </row>
    <row r="933" spans="1:50" ht="18.75" customHeight="1" x14ac:dyDescent="0.2">
      <c r="A933" s="4" t="s">
        <v>668</v>
      </c>
      <c r="B933" s="4" t="s">
        <v>669</v>
      </c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1" t="s">
        <v>670</v>
      </c>
      <c r="AB933" s="42" t="s">
        <v>233</v>
      </c>
      <c r="AC933" s="43" t="s">
        <v>58</v>
      </c>
      <c r="AD933" s="43">
        <v>1000000000</v>
      </c>
      <c r="AE933" s="44">
        <v>0</v>
      </c>
      <c r="AF933" s="44">
        <v>0</v>
      </c>
      <c r="AG933" s="44">
        <v>0</v>
      </c>
      <c r="AH933" s="44">
        <v>0</v>
      </c>
      <c r="AI933" s="44">
        <v>0</v>
      </c>
      <c r="AJ933" s="43">
        <v>1000000000</v>
      </c>
      <c r="AK933" s="44">
        <v>0</v>
      </c>
      <c r="AL933" s="44">
        <v>0</v>
      </c>
      <c r="AM933" s="44">
        <v>0</v>
      </c>
      <c r="AN933" s="44">
        <v>0</v>
      </c>
      <c r="AO933" s="44">
        <v>0</v>
      </c>
      <c r="AP933" s="44">
        <v>0</v>
      </c>
      <c r="AQ933" s="44">
        <v>0</v>
      </c>
      <c r="AR933" s="44">
        <v>0</v>
      </c>
      <c r="AS933" s="44">
        <v>0</v>
      </c>
      <c r="AT933" s="40">
        <f t="shared" ref="AT933" si="328">AQ933+AS933</f>
        <v>0</v>
      </c>
      <c r="AU933" s="18">
        <f>AJ933-AM933</f>
        <v>1000000000</v>
      </c>
      <c r="AV933" s="133">
        <f>AM933-AP933</f>
        <v>0</v>
      </c>
      <c r="AW933" s="34">
        <f>AP933-AT933</f>
        <v>0</v>
      </c>
      <c r="AX933" s="123">
        <f>AP933/AJ933</f>
        <v>0</v>
      </c>
    </row>
    <row r="934" spans="1:50" ht="18.75" customHeight="1" x14ac:dyDescent="0.2">
      <c r="AA934" s="16"/>
      <c r="AB934" s="17"/>
      <c r="AC934" s="17"/>
      <c r="AD934" s="18"/>
      <c r="AE934" s="34"/>
      <c r="AF934" s="34"/>
      <c r="AG934" s="34"/>
      <c r="AH934" s="34"/>
      <c r="AI934" s="34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30"/>
      <c r="AU934" s="18"/>
      <c r="AV934" s="34"/>
      <c r="AW934" s="34"/>
      <c r="AX934" s="18"/>
    </row>
    <row r="935" spans="1:50" ht="25.5" x14ac:dyDescent="0.2">
      <c r="AA935" s="16"/>
      <c r="AB935" s="29" t="s">
        <v>637</v>
      </c>
      <c r="AC935" s="17"/>
      <c r="AD935" s="18"/>
      <c r="AE935" s="34"/>
      <c r="AF935" s="34"/>
      <c r="AG935" s="34"/>
      <c r="AH935" s="34"/>
      <c r="AI935" s="34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30"/>
      <c r="AU935" s="18"/>
      <c r="AV935" s="34"/>
      <c r="AW935" s="34"/>
      <c r="AX935" s="18"/>
    </row>
    <row r="936" spans="1:50" ht="18.75" customHeight="1" x14ac:dyDescent="0.2">
      <c r="AA936" s="28" t="s">
        <v>288</v>
      </c>
      <c r="AB936" s="29" t="s">
        <v>667</v>
      </c>
      <c r="AC936" s="17"/>
      <c r="AD936" s="18"/>
      <c r="AE936" s="34"/>
      <c r="AF936" s="34"/>
      <c r="AG936" s="34"/>
      <c r="AH936" s="34"/>
      <c r="AI936" s="34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30"/>
      <c r="AU936" s="18"/>
      <c r="AV936" s="34"/>
      <c r="AW936" s="34"/>
      <c r="AX936" s="18"/>
    </row>
    <row r="937" spans="1:50" ht="18.75" customHeight="1" x14ac:dyDescent="0.2">
      <c r="A937" s="4" t="s">
        <v>55</v>
      </c>
      <c r="B937" s="4" t="s">
        <v>56</v>
      </c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1" t="s">
        <v>671</v>
      </c>
      <c r="AB937" s="42" t="s">
        <v>233</v>
      </c>
      <c r="AC937" s="43" t="s">
        <v>58</v>
      </c>
      <c r="AD937" s="43">
        <v>856200000</v>
      </c>
      <c r="AE937" s="44">
        <v>0</v>
      </c>
      <c r="AF937" s="44">
        <v>0</v>
      </c>
      <c r="AG937" s="44">
        <v>0</v>
      </c>
      <c r="AH937" s="44">
        <v>0</v>
      </c>
      <c r="AI937" s="44">
        <v>0</v>
      </c>
      <c r="AJ937" s="43">
        <v>856200000</v>
      </c>
      <c r="AK937" s="44">
        <v>0</v>
      </c>
      <c r="AL937" s="44">
        <v>0</v>
      </c>
      <c r="AM937" s="44">
        <v>0</v>
      </c>
      <c r="AN937" s="44">
        <v>0</v>
      </c>
      <c r="AO937" s="44">
        <v>0</v>
      </c>
      <c r="AP937" s="44">
        <v>0</v>
      </c>
      <c r="AQ937" s="44">
        <v>0</v>
      </c>
      <c r="AR937" s="44">
        <v>0</v>
      </c>
      <c r="AS937" s="44">
        <v>0</v>
      </c>
      <c r="AT937" s="40">
        <f t="shared" ref="AT937" si="329">AQ937+AS937</f>
        <v>0</v>
      </c>
      <c r="AU937" s="18">
        <f>AJ937-AM937</f>
        <v>856200000</v>
      </c>
      <c r="AV937" s="133">
        <f>AM937-AP937</f>
        <v>0</v>
      </c>
      <c r="AW937" s="34">
        <f>AP937-AT937</f>
        <v>0</v>
      </c>
      <c r="AX937" s="123">
        <f>AP937/AJ937</f>
        <v>0</v>
      </c>
    </row>
    <row r="938" spans="1:50" ht="18.75" customHeight="1" x14ac:dyDescent="0.2">
      <c r="AA938" s="16"/>
      <c r="AB938" s="17"/>
      <c r="AC938" s="17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30"/>
      <c r="AU938" s="18"/>
      <c r="AV938" s="34"/>
      <c r="AW938" s="34"/>
      <c r="AX938" s="18"/>
    </row>
    <row r="939" spans="1:50" ht="18.75" customHeight="1" x14ac:dyDescent="0.2">
      <c r="AA939" s="16"/>
      <c r="AB939" s="29" t="s">
        <v>189</v>
      </c>
      <c r="AC939" s="17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30"/>
      <c r="AU939" s="18"/>
      <c r="AV939" s="34"/>
      <c r="AW939" s="34"/>
      <c r="AX939" s="18"/>
    </row>
    <row r="940" spans="1:50" ht="25.5" x14ac:dyDescent="0.2">
      <c r="AA940" s="16"/>
      <c r="AB940" s="29" t="s">
        <v>197</v>
      </c>
      <c r="AC940" s="17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30"/>
      <c r="AU940" s="18"/>
      <c r="AV940" s="34"/>
      <c r="AW940" s="34"/>
      <c r="AX940" s="18"/>
    </row>
    <row r="941" spans="1:50" ht="18.75" customHeight="1" x14ac:dyDescent="0.2">
      <c r="AA941" s="28" t="s">
        <v>288</v>
      </c>
      <c r="AB941" s="29" t="s">
        <v>667</v>
      </c>
      <c r="AC941" s="17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30"/>
      <c r="AU941" s="18"/>
      <c r="AV941" s="18"/>
      <c r="AW941" s="18"/>
      <c r="AX941" s="18"/>
    </row>
    <row r="942" spans="1:50" ht="18.75" customHeight="1" x14ac:dyDescent="0.2">
      <c r="A942" s="4" t="s">
        <v>55</v>
      </c>
      <c r="B942" s="4" t="s">
        <v>56</v>
      </c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1" t="s">
        <v>672</v>
      </c>
      <c r="AB942" s="42" t="s">
        <v>233</v>
      </c>
      <c r="AC942" s="43" t="s">
        <v>58</v>
      </c>
      <c r="AD942" s="43">
        <v>500000000</v>
      </c>
      <c r="AE942" s="44">
        <v>0</v>
      </c>
      <c r="AF942" s="44">
        <v>0</v>
      </c>
      <c r="AG942" s="44">
        <v>0</v>
      </c>
      <c r="AH942" s="44">
        <v>0</v>
      </c>
      <c r="AI942" s="44">
        <v>0</v>
      </c>
      <c r="AJ942" s="43">
        <v>500000000</v>
      </c>
      <c r="AK942" s="44">
        <v>0</v>
      </c>
      <c r="AL942" s="43">
        <v>13000000</v>
      </c>
      <c r="AM942" s="43">
        <v>161000000</v>
      </c>
      <c r="AN942" s="44">
        <v>0</v>
      </c>
      <c r="AO942" s="44">
        <v>13000000</v>
      </c>
      <c r="AP942" s="114">
        <v>161000000</v>
      </c>
      <c r="AQ942" s="43">
        <v>2333333</v>
      </c>
      <c r="AR942" s="43">
        <v>13500000</v>
      </c>
      <c r="AS942" s="43">
        <v>31700000</v>
      </c>
      <c r="AT942" s="111">
        <f t="shared" ref="AT942" si="330">AQ942+AS942</f>
        <v>34033333</v>
      </c>
      <c r="AU942" s="18">
        <f>AJ942-AM942</f>
        <v>339000000</v>
      </c>
      <c r="AV942" s="133">
        <f>AM942-AP942</f>
        <v>0</v>
      </c>
      <c r="AW942" s="18">
        <f>AP942-AT942</f>
        <v>126966667</v>
      </c>
      <c r="AX942" s="123">
        <f>AP942/AJ942</f>
        <v>0.32200000000000001</v>
      </c>
    </row>
    <row r="943" spans="1:50" ht="28.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1" t="s">
        <v>1113</v>
      </c>
      <c r="AB943" s="42" t="s">
        <v>1114</v>
      </c>
      <c r="AC943" s="43"/>
      <c r="AD943" s="44">
        <v>0</v>
      </c>
      <c r="AE943" s="43">
        <v>116018634.52</v>
      </c>
      <c r="AF943" s="44">
        <v>0</v>
      </c>
      <c r="AG943" s="44">
        <v>0</v>
      </c>
      <c r="AH943" s="44">
        <v>0</v>
      </c>
      <c r="AI943" s="43">
        <f t="shared" ref="AI943:AI944" si="331">AE943-AF943+AG943-AH943</f>
        <v>116018634.52</v>
      </c>
      <c r="AJ943" s="43">
        <f t="shared" ref="AJ943:AJ944" si="332">AD943+AI943</f>
        <v>116018634.52</v>
      </c>
      <c r="AK943" s="44">
        <v>0</v>
      </c>
      <c r="AL943" s="44">
        <v>0</v>
      </c>
      <c r="AM943" s="44">
        <v>0</v>
      </c>
      <c r="AN943" s="44">
        <v>0</v>
      </c>
      <c r="AO943" s="44">
        <v>0</v>
      </c>
      <c r="AP943" s="114">
        <v>0</v>
      </c>
      <c r="AQ943" s="43">
        <v>0</v>
      </c>
      <c r="AR943" s="43">
        <v>0</v>
      </c>
      <c r="AS943" s="44">
        <v>0</v>
      </c>
      <c r="AT943" s="135">
        <f t="shared" ref="AT943:AT944" si="333">AQ943+AS943</f>
        <v>0</v>
      </c>
      <c r="AU943" s="18">
        <f>AJ943-AM943</f>
        <v>116018634.52</v>
      </c>
      <c r="AV943" s="133">
        <f>AM943-AP943</f>
        <v>0</v>
      </c>
      <c r="AW943" s="18">
        <f>AP943-AT943</f>
        <v>0</v>
      </c>
      <c r="AX943" s="123">
        <f>AP943/AJ943</f>
        <v>0</v>
      </c>
    </row>
    <row r="944" spans="1:50" ht="25.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1" t="s">
        <v>1115</v>
      </c>
      <c r="AB944" s="42" t="s">
        <v>1044</v>
      </c>
      <c r="AC944" s="43"/>
      <c r="AD944" s="44">
        <v>0</v>
      </c>
      <c r="AE944" s="43">
        <v>90000000</v>
      </c>
      <c r="AF944" s="44">
        <v>0</v>
      </c>
      <c r="AG944" s="44">
        <v>0</v>
      </c>
      <c r="AH944" s="44">
        <v>0</v>
      </c>
      <c r="AI944" s="43">
        <f t="shared" si="331"/>
        <v>90000000</v>
      </c>
      <c r="AJ944" s="43">
        <f t="shared" si="332"/>
        <v>90000000</v>
      </c>
      <c r="AK944" s="44">
        <v>0</v>
      </c>
      <c r="AL944" s="44">
        <v>0</v>
      </c>
      <c r="AM944" s="44">
        <v>0</v>
      </c>
      <c r="AN944" s="44">
        <v>0</v>
      </c>
      <c r="AO944" s="44">
        <v>0</v>
      </c>
      <c r="AP944" s="114">
        <v>0</v>
      </c>
      <c r="AQ944" s="43">
        <v>0</v>
      </c>
      <c r="AR944" s="43">
        <v>0</v>
      </c>
      <c r="AS944" s="44">
        <v>0</v>
      </c>
      <c r="AT944" s="135">
        <f t="shared" si="333"/>
        <v>0</v>
      </c>
      <c r="AU944" s="18">
        <f>AJ944-AM944</f>
        <v>90000000</v>
      </c>
      <c r="AV944" s="133">
        <f>AM944-AP944</f>
        <v>0</v>
      </c>
      <c r="AW944" s="18">
        <f>AP944-AT944</f>
        <v>0</v>
      </c>
      <c r="AX944" s="123">
        <f>AP944/AJ944</f>
        <v>0</v>
      </c>
    </row>
    <row r="945" spans="1:50" ht="18.75" customHeight="1" x14ac:dyDescent="0.2">
      <c r="AA945" s="16"/>
      <c r="AB945" s="17"/>
      <c r="AC945" s="17"/>
      <c r="AD945" s="18"/>
      <c r="AE945" s="34"/>
      <c r="AF945" s="34"/>
      <c r="AG945" s="34"/>
      <c r="AH945" s="34"/>
      <c r="AI945" s="34"/>
      <c r="AJ945" s="18"/>
      <c r="AK945" s="18"/>
      <c r="AL945" s="18"/>
      <c r="AM945" s="18"/>
      <c r="AN945" s="18"/>
      <c r="AO945" s="18"/>
      <c r="AP945" s="18"/>
      <c r="AQ945" s="34"/>
      <c r="AR945" s="34"/>
      <c r="AS945" s="34"/>
      <c r="AT945" s="31"/>
      <c r="AU945" s="18"/>
      <c r="AV945" s="18"/>
      <c r="AW945" s="18"/>
      <c r="AX945" s="18"/>
    </row>
    <row r="946" spans="1:50" ht="18.75" customHeight="1" x14ac:dyDescent="0.2">
      <c r="AA946" s="16"/>
      <c r="AB946" s="29" t="s">
        <v>199</v>
      </c>
      <c r="AC946" s="17"/>
      <c r="AD946" s="18"/>
      <c r="AE946" s="34"/>
      <c r="AF946" s="34"/>
      <c r="AG946" s="34"/>
      <c r="AH946" s="34"/>
      <c r="AI946" s="34"/>
      <c r="AJ946" s="18"/>
      <c r="AK946" s="18"/>
      <c r="AL946" s="18"/>
      <c r="AM946" s="18"/>
      <c r="AN946" s="18"/>
      <c r="AO946" s="18"/>
      <c r="AP946" s="18"/>
      <c r="AQ946" s="34"/>
      <c r="AR946" s="34"/>
      <c r="AS946" s="34"/>
      <c r="AT946" s="31"/>
      <c r="AU946" s="18"/>
      <c r="AV946" s="18"/>
      <c r="AW946" s="18"/>
      <c r="AX946" s="18"/>
    </row>
    <row r="947" spans="1:50" ht="18.75" customHeight="1" x14ac:dyDescent="0.2">
      <c r="AA947" s="28" t="s">
        <v>288</v>
      </c>
      <c r="AB947" s="29" t="s">
        <v>667</v>
      </c>
      <c r="AC947" s="17"/>
      <c r="AD947" s="18"/>
      <c r="AE947" s="34"/>
      <c r="AF947" s="34"/>
      <c r="AG947" s="34"/>
      <c r="AH947" s="34"/>
      <c r="AI947" s="34"/>
      <c r="AJ947" s="18"/>
      <c r="AK947" s="18"/>
      <c r="AL947" s="18"/>
      <c r="AM947" s="18"/>
      <c r="AN947" s="18"/>
      <c r="AO947" s="18"/>
      <c r="AP947" s="18"/>
      <c r="AQ947" s="34"/>
      <c r="AR947" s="34"/>
      <c r="AS947" s="34"/>
      <c r="AT947" s="31"/>
      <c r="AU947" s="18"/>
      <c r="AV947" s="18"/>
      <c r="AW947" s="18"/>
      <c r="AX947" s="18"/>
    </row>
    <row r="948" spans="1:50" ht="18.75" customHeight="1" x14ac:dyDescent="0.2">
      <c r="A948" s="4" t="s">
        <v>55</v>
      </c>
      <c r="B948" s="4" t="s">
        <v>56</v>
      </c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1" t="s">
        <v>673</v>
      </c>
      <c r="AB948" s="42" t="s">
        <v>233</v>
      </c>
      <c r="AC948" s="43" t="s">
        <v>58</v>
      </c>
      <c r="AD948" s="43">
        <v>121800000</v>
      </c>
      <c r="AE948" s="44">
        <v>0</v>
      </c>
      <c r="AF948" s="44">
        <v>0</v>
      </c>
      <c r="AG948" s="44">
        <v>0</v>
      </c>
      <c r="AH948" s="44">
        <v>0</v>
      </c>
      <c r="AI948" s="44">
        <v>0</v>
      </c>
      <c r="AJ948" s="43">
        <v>121800000</v>
      </c>
      <c r="AK948" s="44">
        <v>0</v>
      </c>
      <c r="AL948" s="43">
        <v>15750000</v>
      </c>
      <c r="AM948" s="43">
        <v>15750000</v>
      </c>
      <c r="AN948" s="43">
        <v>0</v>
      </c>
      <c r="AO948" s="43">
        <v>15750000</v>
      </c>
      <c r="AP948" s="43">
        <v>15750000</v>
      </c>
      <c r="AQ948" s="43">
        <v>0</v>
      </c>
      <c r="AR948" s="43">
        <v>15750000</v>
      </c>
      <c r="AS948" s="43">
        <v>15750000</v>
      </c>
      <c r="AT948" s="39">
        <f t="shared" ref="AT948" si="334">AQ948+AS948</f>
        <v>15750000</v>
      </c>
      <c r="AU948" s="18">
        <f>AJ948-AM948</f>
        <v>106050000</v>
      </c>
      <c r="AV948" s="133">
        <f>AM948-AP948</f>
        <v>0</v>
      </c>
      <c r="AW948" s="34">
        <f>AP948-AT948</f>
        <v>0</v>
      </c>
      <c r="AX948" s="123">
        <f>AP948/AJ948</f>
        <v>0.12931034482758622</v>
      </c>
    </row>
    <row r="949" spans="1:50" ht="18.75" customHeight="1" x14ac:dyDescent="0.2">
      <c r="AA949" s="16"/>
      <c r="AB949" s="17"/>
      <c r="AC949" s="17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34"/>
      <c r="AR949" s="34"/>
      <c r="AS949" s="34"/>
      <c r="AT949" s="31"/>
      <c r="AU949" s="18"/>
      <c r="AV949" s="18"/>
      <c r="AW949" s="18"/>
      <c r="AX949" s="18"/>
    </row>
    <row r="950" spans="1:50" s="50" customFormat="1" ht="18.75" customHeight="1" x14ac:dyDescent="0.2"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46"/>
      <c r="AB950" s="47" t="s">
        <v>674</v>
      </c>
      <c r="AC950" s="47"/>
      <c r="AD950" s="48">
        <f t="shared" ref="AD950:AS950" si="335">SUM(AD763:AD949)</f>
        <v>18199312591</v>
      </c>
      <c r="AE950" s="48">
        <f t="shared" si="335"/>
        <v>18620925441.970001</v>
      </c>
      <c r="AF950" s="49">
        <f t="shared" si="335"/>
        <v>0</v>
      </c>
      <c r="AG950" s="48">
        <f t="shared" si="335"/>
        <v>4154365293.5099998</v>
      </c>
      <c r="AH950" s="48">
        <f t="shared" si="335"/>
        <v>3854365293.5099998</v>
      </c>
      <c r="AI950" s="48">
        <f t="shared" si="335"/>
        <v>18920925441.970001</v>
      </c>
      <c r="AJ950" s="48">
        <f t="shared" si="335"/>
        <v>37120238032.969994</v>
      </c>
      <c r="AK950" s="49">
        <f t="shared" si="335"/>
        <v>0</v>
      </c>
      <c r="AL950" s="48">
        <f t="shared" si="335"/>
        <v>1201739668</v>
      </c>
      <c r="AM950" s="48">
        <f t="shared" si="335"/>
        <v>8729781893.3800011</v>
      </c>
      <c r="AN950" s="49">
        <f t="shared" si="335"/>
        <v>199350085</v>
      </c>
      <c r="AO950" s="48">
        <f t="shared" si="335"/>
        <v>2228955125</v>
      </c>
      <c r="AP950" s="48">
        <f t="shared" si="335"/>
        <v>6980290246.7600002</v>
      </c>
      <c r="AQ950" s="121">
        <f t="shared" si="335"/>
        <v>73329466</v>
      </c>
      <c r="AR950" s="121">
        <f t="shared" si="335"/>
        <v>542239993</v>
      </c>
      <c r="AS950" s="121">
        <f t="shared" si="335"/>
        <v>1272958790</v>
      </c>
      <c r="AT950" s="108">
        <f>AQ950+AS950</f>
        <v>1346288256</v>
      </c>
      <c r="AU950" s="48">
        <f>SUM(AU763:AU949)</f>
        <v>28390456139.59</v>
      </c>
      <c r="AV950" s="48">
        <f>SUM(AV763:AV949)</f>
        <v>1749491646.6199999</v>
      </c>
      <c r="AW950" s="48">
        <f>SUM(AW763:AW949)</f>
        <v>5634001990.7600002</v>
      </c>
      <c r="AX950" s="24">
        <f>AP950/AJ950</f>
        <v>0.18804540640499515</v>
      </c>
    </row>
    <row r="951" spans="1:50" s="79" customFormat="1" ht="18.75" customHeight="1" x14ac:dyDescent="0.2"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  <c r="AA951" s="81"/>
      <c r="AB951" s="82"/>
      <c r="AC951" s="82"/>
      <c r="AD951" s="83"/>
      <c r="AE951" s="83"/>
      <c r="AF951" s="83"/>
      <c r="AG951" s="83"/>
      <c r="AH951" s="83"/>
      <c r="AI951" s="83"/>
      <c r="AJ951" s="83"/>
      <c r="AK951" s="83"/>
      <c r="AL951" s="83"/>
      <c r="AM951" s="83"/>
      <c r="AN951" s="83"/>
      <c r="AO951" s="83"/>
      <c r="AP951" s="83"/>
      <c r="AQ951" s="83"/>
      <c r="AR951" s="83"/>
      <c r="AS951" s="83"/>
      <c r="AT951" s="83"/>
      <c r="AU951" s="83"/>
      <c r="AV951" s="83"/>
      <c r="AW951" s="83"/>
      <c r="AX951" s="83"/>
    </row>
    <row r="952" spans="1:50" s="25" customFormat="1" ht="18.75" customHeight="1" x14ac:dyDescent="0.2"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66"/>
      <c r="AB952" s="21" t="s">
        <v>675</v>
      </c>
      <c r="AC952" s="67"/>
      <c r="AD952" s="63"/>
      <c r="AE952" s="63"/>
      <c r="AF952" s="63"/>
      <c r="AG952" s="63"/>
      <c r="AH952" s="63"/>
      <c r="AI952" s="63"/>
      <c r="AJ952" s="63"/>
      <c r="AK952" s="63"/>
      <c r="AL952" s="63"/>
      <c r="AM952" s="63"/>
      <c r="AN952" s="63"/>
      <c r="AO952" s="63"/>
      <c r="AP952" s="63"/>
      <c r="AQ952" s="63"/>
      <c r="AR952" s="63"/>
      <c r="AS952" s="63"/>
      <c r="AT952" s="63"/>
      <c r="AU952" s="63"/>
      <c r="AV952" s="63"/>
      <c r="AW952" s="63"/>
      <c r="AX952" s="63"/>
    </row>
    <row r="953" spans="1:50" ht="18.75" customHeight="1" x14ac:dyDescent="0.2">
      <c r="AA953" s="16"/>
      <c r="AB953" s="29" t="s">
        <v>676</v>
      </c>
      <c r="AC953" s="17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</row>
    <row r="954" spans="1:50" ht="18.75" customHeight="1" x14ac:dyDescent="0.2">
      <c r="AA954" s="16"/>
      <c r="AB954" s="29" t="s">
        <v>286</v>
      </c>
      <c r="AC954" s="17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</row>
    <row r="955" spans="1:50" ht="18.75" customHeight="1" x14ac:dyDescent="0.2">
      <c r="AA955" s="16"/>
      <c r="AB955" s="29" t="s">
        <v>179</v>
      </c>
      <c r="AC955" s="17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</row>
    <row r="956" spans="1:50" ht="18.75" customHeight="1" x14ac:dyDescent="0.2">
      <c r="AA956" s="16"/>
      <c r="AB956" s="29" t="s">
        <v>181</v>
      </c>
      <c r="AC956" s="17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</row>
    <row r="957" spans="1:50" ht="18.75" customHeight="1" x14ac:dyDescent="0.2">
      <c r="AA957" s="16"/>
      <c r="AB957" s="29" t="s">
        <v>187</v>
      </c>
      <c r="AC957" s="17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30"/>
      <c r="AU957" s="18"/>
      <c r="AV957" s="18"/>
      <c r="AW957" s="18"/>
      <c r="AX957" s="18"/>
    </row>
    <row r="958" spans="1:50" ht="18.75" customHeight="1" x14ac:dyDescent="0.2">
      <c r="AA958" s="28" t="s">
        <v>288</v>
      </c>
      <c r="AB958" s="29" t="s">
        <v>292</v>
      </c>
      <c r="AC958" s="17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30"/>
      <c r="AU958" s="18"/>
      <c r="AV958" s="18"/>
      <c r="AW958" s="18"/>
      <c r="AX958" s="18"/>
    </row>
    <row r="959" spans="1:50" ht="18.75" customHeight="1" x14ac:dyDescent="0.2">
      <c r="A959" s="4" t="s">
        <v>55</v>
      </c>
      <c r="B959" s="4" t="s">
        <v>56</v>
      </c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1" t="s">
        <v>677</v>
      </c>
      <c r="AB959" s="42" t="s">
        <v>233</v>
      </c>
      <c r="AC959" s="43" t="s">
        <v>58</v>
      </c>
      <c r="AD959" s="43">
        <v>10000000</v>
      </c>
      <c r="AE959" s="44">
        <v>0</v>
      </c>
      <c r="AF959" s="44">
        <v>0</v>
      </c>
      <c r="AG959" s="44">
        <v>0</v>
      </c>
      <c r="AH959" s="44">
        <v>0</v>
      </c>
      <c r="AI959" s="44">
        <v>0</v>
      </c>
      <c r="AJ959" s="43">
        <v>10000000</v>
      </c>
      <c r="AK959" s="44">
        <v>0</v>
      </c>
      <c r="AL959" s="44">
        <v>0</v>
      </c>
      <c r="AM959" s="44">
        <v>0</v>
      </c>
      <c r="AN959" s="44">
        <v>0</v>
      </c>
      <c r="AO959" s="44">
        <v>0</v>
      </c>
      <c r="AP959" s="44">
        <v>0</v>
      </c>
      <c r="AQ959" s="44">
        <v>0</v>
      </c>
      <c r="AR959" s="44">
        <v>0</v>
      </c>
      <c r="AS959" s="44">
        <v>0</v>
      </c>
      <c r="AT959" s="40">
        <f t="shared" ref="AT959" si="336">AQ959+AS959</f>
        <v>0</v>
      </c>
      <c r="AU959" s="18">
        <f>AJ959-AM959</f>
        <v>10000000</v>
      </c>
      <c r="AV959" s="133">
        <f>AM959-AP959</f>
        <v>0</v>
      </c>
      <c r="AW959" s="34">
        <f>AP959-AT959</f>
        <v>0</v>
      </c>
      <c r="AX959" s="123">
        <f>AP959/AJ959</f>
        <v>0</v>
      </c>
    </row>
    <row r="960" spans="1:50" ht="25.5" x14ac:dyDescent="0.2">
      <c r="AA960" s="28" t="s">
        <v>288</v>
      </c>
      <c r="AB960" s="29" t="s">
        <v>678</v>
      </c>
      <c r="AC960" s="17"/>
      <c r="AD960" s="18"/>
      <c r="AE960" s="18"/>
      <c r="AF960" s="18"/>
      <c r="AG960" s="18"/>
      <c r="AH960" s="18"/>
      <c r="AI960" s="18"/>
      <c r="AJ960" s="18"/>
      <c r="AK960" s="34"/>
      <c r="AL960" s="34"/>
      <c r="AM960" s="34"/>
      <c r="AN960" s="34"/>
      <c r="AO960" s="34"/>
      <c r="AP960" s="34"/>
      <c r="AQ960" s="34"/>
      <c r="AR960" s="34"/>
      <c r="AS960" s="34"/>
      <c r="AT960" s="40"/>
      <c r="AU960" s="18"/>
      <c r="AV960" s="34"/>
      <c r="AW960" s="34"/>
      <c r="AX960" s="18"/>
    </row>
    <row r="961" spans="1:50" x14ac:dyDescent="0.2">
      <c r="A961" s="4" t="s">
        <v>55</v>
      </c>
      <c r="B961" s="4" t="s">
        <v>56</v>
      </c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1" t="s">
        <v>981</v>
      </c>
      <c r="AB961" s="42" t="s">
        <v>233</v>
      </c>
      <c r="AC961" s="43" t="s">
        <v>58</v>
      </c>
      <c r="AD961" s="43">
        <v>14000000</v>
      </c>
      <c r="AE961" s="44">
        <v>0</v>
      </c>
      <c r="AF961" s="44">
        <v>0</v>
      </c>
      <c r="AG961" s="44">
        <v>0</v>
      </c>
      <c r="AH961" s="44">
        <v>0</v>
      </c>
      <c r="AI961" s="44">
        <v>0</v>
      </c>
      <c r="AJ961" s="43">
        <v>14000000</v>
      </c>
      <c r="AK961" s="44">
        <v>0</v>
      </c>
      <c r="AL961" s="44">
        <v>0</v>
      </c>
      <c r="AM961" s="44">
        <v>0</v>
      </c>
      <c r="AN961" s="44">
        <v>0</v>
      </c>
      <c r="AO961" s="44">
        <v>0</v>
      </c>
      <c r="AP961" s="44">
        <v>0</v>
      </c>
      <c r="AQ961" s="44">
        <v>0</v>
      </c>
      <c r="AR961" s="44">
        <v>0</v>
      </c>
      <c r="AS961" s="44">
        <v>0</v>
      </c>
      <c r="AT961" s="40">
        <f t="shared" ref="AT961:AT985" si="337">AQ961+AS961</f>
        <v>0</v>
      </c>
      <c r="AU961" s="18">
        <f>AJ961-AM961</f>
        <v>14000000</v>
      </c>
      <c r="AV961" s="133">
        <f>AM961-AP961</f>
        <v>0</v>
      </c>
      <c r="AW961" s="34">
        <f>AP961-AT961</f>
        <v>0</v>
      </c>
      <c r="AX961" s="123">
        <f>AP961/AJ961</f>
        <v>0</v>
      </c>
    </row>
    <row r="962" spans="1:50" x14ac:dyDescent="0.2">
      <c r="AA962" s="16"/>
      <c r="AB962" s="17"/>
      <c r="AC962" s="17"/>
      <c r="AD962" s="18"/>
      <c r="AE962" s="34"/>
      <c r="AF962" s="34"/>
      <c r="AG962" s="34"/>
      <c r="AH962" s="34"/>
      <c r="AI962" s="34"/>
      <c r="AJ962" s="18"/>
      <c r="AK962" s="34"/>
      <c r="AL962" s="34"/>
      <c r="AM962" s="34"/>
      <c r="AN962" s="34"/>
      <c r="AO962" s="34"/>
      <c r="AP962" s="34"/>
      <c r="AQ962" s="18"/>
      <c r="AR962" s="18"/>
      <c r="AS962" s="18"/>
      <c r="AT962" s="30"/>
      <c r="AU962" s="18"/>
      <c r="AV962" s="18"/>
      <c r="AW962" s="18"/>
      <c r="AX962" s="18"/>
    </row>
    <row r="963" spans="1:50" x14ac:dyDescent="0.2">
      <c r="AA963" s="16"/>
      <c r="AB963" s="29" t="s">
        <v>189</v>
      </c>
      <c r="AC963" s="17"/>
      <c r="AD963" s="18"/>
      <c r="AE963" s="34"/>
      <c r="AF963" s="34"/>
      <c r="AG963" s="34"/>
      <c r="AH963" s="34"/>
      <c r="AI963" s="34"/>
      <c r="AJ963" s="18"/>
      <c r="AK963" s="34"/>
      <c r="AL963" s="34"/>
      <c r="AM963" s="34"/>
      <c r="AN963" s="34"/>
      <c r="AO963" s="34"/>
      <c r="AP963" s="34"/>
      <c r="AQ963" s="18"/>
      <c r="AR963" s="18"/>
      <c r="AS963" s="18"/>
      <c r="AT963" s="30"/>
      <c r="AU963" s="18"/>
      <c r="AV963" s="18"/>
      <c r="AW963" s="18"/>
      <c r="AX963" s="18"/>
    </row>
    <row r="964" spans="1:50" ht="25.5" x14ac:dyDescent="0.2">
      <c r="AA964" s="16"/>
      <c r="AB964" s="29" t="s">
        <v>197</v>
      </c>
      <c r="AC964" s="17"/>
      <c r="AD964" s="18"/>
      <c r="AE964" s="34"/>
      <c r="AF964" s="34"/>
      <c r="AG964" s="34"/>
      <c r="AH964" s="34"/>
      <c r="AI964" s="34"/>
      <c r="AJ964" s="18"/>
      <c r="AK964" s="34"/>
      <c r="AL964" s="34"/>
      <c r="AM964" s="34"/>
      <c r="AN964" s="34"/>
      <c r="AO964" s="34"/>
      <c r="AP964" s="34"/>
      <c r="AQ964" s="18"/>
      <c r="AR964" s="18"/>
      <c r="AS964" s="18"/>
      <c r="AT964" s="30"/>
      <c r="AU964" s="18"/>
      <c r="AV964" s="18"/>
      <c r="AW964" s="18"/>
      <c r="AX964" s="18"/>
    </row>
    <row r="965" spans="1:50" x14ac:dyDescent="0.2">
      <c r="AA965" s="28" t="s">
        <v>288</v>
      </c>
      <c r="AB965" s="29" t="s">
        <v>292</v>
      </c>
      <c r="AC965" s="17"/>
      <c r="AD965" s="18"/>
      <c r="AE965" s="34"/>
      <c r="AF965" s="34"/>
      <c r="AG965" s="34"/>
      <c r="AH965" s="34"/>
      <c r="AI965" s="34"/>
      <c r="AJ965" s="18"/>
      <c r="AK965" s="34"/>
      <c r="AL965" s="34"/>
      <c r="AM965" s="34"/>
      <c r="AN965" s="34"/>
      <c r="AO965" s="34"/>
      <c r="AP965" s="34"/>
      <c r="AQ965" s="18"/>
      <c r="AR965" s="18"/>
      <c r="AS965" s="18"/>
      <c r="AT965" s="30"/>
      <c r="AU965" s="18"/>
      <c r="AV965" s="18"/>
      <c r="AW965" s="18"/>
      <c r="AX965" s="18"/>
    </row>
    <row r="966" spans="1:50" x14ac:dyDescent="0.2">
      <c r="A966" s="4" t="s">
        <v>55</v>
      </c>
      <c r="B966" s="4" t="s">
        <v>56</v>
      </c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1" t="s">
        <v>680</v>
      </c>
      <c r="AB966" s="42" t="s">
        <v>233</v>
      </c>
      <c r="AC966" s="43" t="s">
        <v>58</v>
      </c>
      <c r="AD966" s="43">
        <v>90000000</v>
      </c>
      <c r="AE966" s="44">
        <v>0</v>
      </c>
      <c r="AF966" s="44">
        <v>0</v>
      </c>
      <c r="AG966" s="44">
        <v>0</v>
      </c>
      <c r="AH966" s="44">
        <v>0</v>
      </c>
      <c r="AI966" s="44">
        <v>0</v>
      </c>
      <c r="AJ966" s="43">
        <v>90000000</v>
      </c>
      <c r="AK966" s="44">
        <v>0</v>
      </c>
      <c r="AL966" s="44">
        <v>0</v>
      </c>
      <c r="AM966" s="44">
        <v>0</v>
      </c>
      <c r="AN966" s="44">
        <v>0</v>
      </c>
      <c r="AO966" s="44">
        <v>0</v>
      </c>
      <c r="AP966" s="44">
        <v>0</v>
      </c>
      <c r="AQ966" s="44">
        <v>0</v>
      </c>
      <c r="AR966" s="44">
        <v>0</v>
      </c>
      <c r="AS966" s="44">
        <v>0</v>
      </c>
      <c r="AT966" s="40">
        <f t="shared" ref="AT966" si="338">AQ966+AS966</f>
        <v>0</v>
      </c>
      <c r="AU966" s="18">
        <f>AJ966-AM966</f>
        <v>90000000</v>
      </c>
      <c r="AV966" s="133">
        <f>AM966-AP966</f>
        <v>0</v>
      </c>
      <c r="AW966" s="34">
        <f>AP966-AT966</f>
        <v>0</v>
      </c>
      <c r="AX966" s="123">
        <f>AP966/AJ966</f>
        <v>0</v>
      </c>
    </row>
    <row r="967" spans="1:50" ht="25.5" x14ac:dyDescent="0.2">
      <c r="AA967" s="28" t="s">
        <v>288</v>
      </c>
      <c r="AB967" s="29" t="s">
        <v>678</v>
      </c>
      <c r="AC967" s="17"/>
      <c r="AD967" s="18"/>
      <c r="AE967" s="34"/>
      <c r="AF967" s="34"/>
      <c r="AG967" s="34"/>
      <c r="AH967" s="34"/>
      <c r="AI967" s="34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30"/>
      <c r="AU967" s="18"/>
      <c r="AV967" s="18"/>
      <c r="AW967" s="18"/>
      <c r="AX967" s="18"/>
    </row>
    <row r="968" spans="1:50" x14ac:dyDescent="0.2">
      <c r="A968" s="4" t="s">
        <v>55</v>
      </c>
      <c r="B968" s="4" t="s">
        <v>56</v>
      </c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1" t="s">
        <v>681</v>
      </c>
      <c r="AB968" s="42" t="s">
        <v>233</v>
      </c>
      <c r="AC968" s="43" t="s">
        <v>58</v>
      </c>
      <c r="AD968" s="43">
        <v>4085500000</v>
      </c>
      <c r="AE968" s="44">
        <v>0</v>
      </c>
      <c r="AF968" s="44">
        <v>0</v>
      </c>
      <c r="AG968" s="43">
        <v>2080000000</v>
      </c>
      <c r="AH968" s="43">
        <f>1800000000+1856300000</f>
        <v>3656300000</v>
      </c>
      <c r="AI968" s="43">
        <f>AE968-AF968+AG968-AH968</f>
        <v>-1576300000</v>
      </c>
      <c r="AJ968" s="43">
        <f>AD968+AI968</f>
        <v>2509200000</v>
      </c>
      <c r="AK968" s="44">
        <v>0</v>
      </c>
      <c r="AL968" s="43">
        <v>55250000</v>
      </c>
      <c r="AM968" s="43">
        <v>1093360000</v>
      </c>
      <c r="AN968" s="43">
        <v>0</v>
      </c>
      <c r="AO968" s="43">
        <v>0</v>
      </c>
      <c r="AP968" s="43">
        <v>1038110000</v>
      </c>
      <c r="AQ968" s="43">
        <v>10500000</v>
      </c>
      <c r="AR968" s="43">
        <v>107016667</v>
      </c>
      <c r="AS968" s="43">
        <v>303189999</v>
      </c>
      <c r="AT968" s="111">
        <f t="shared" ref="AT968" si="339">AQ968+AS968</f>
        <v>313689999</v>
      </c>
      <c r="AU968" s="18">
        <f>AJ968-AM968</f>
        <v>1415840000</v>
      </c>
      <c r="AV968" s="110">
        <f>AM968-AP968</f>
        <v>55250000</v>
      </c>
      <c r="AW968" s="18">
        <f>AP968-AT968</f>
        <v>724420001</v>
      </c>
      <c r="AX968" s="123">
        <f>AP968/AJ968</f>
        <v>0.41372150486210746</v>
      </c>
    </row>
    <row r="969" spans="1:50" ht="25.5" x14ac:dyDescent="0.2">
      <c r="AA969" s="28" t="s">
        <v>288</v>
      </c>
      <c r="AB969" s="29" t="s">
        <v>682</v>
      </c>
      <c r="AC969" s="17"/>
      <c r="AD969" s="18"/>
      <c r="AE969" s="34"/>
      <c r="AF969" s="34"/>
      <c r="AG969" s="34"/>
      <c r="AH969" s="34"/>
      <c r="AI969" s="34"/>
      <c r="AJ969" s="18"/>
      <c r="AK969" s="34"/>
      <c r="AL969" s="18"/>
      <c r="AM969" s="18"/>
      <c r="AN969" s="18"/>
      <c r="AO969" s="18"/>
      <c r="AP969" s="18"/>
      <c r="AQ969" s="18"/>
      <c r="AR969" s="18"/>
      <c r="AS969" s="18"/>
      <c r="AT969" s="31"/>
      <c r="AU969" s="18"/>
      <c r="AV969" s="18"/>
      <c r="AW969" s="18"/>
      <c r="AX969" s="18"/>
    </row>
    <row r="970" spans="1:50" x14ac:dyDescent="0.2">
      <c r="A970" s="4" t="s">
        <v>55</v>
      </c>
      <c r="B970" s="4" t="s">
        <v>56</v>
      </c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1" t="s">
        <v>683</v>
      </c>
      <c r="AB970" s="42" t="s">
        <v>233</v>
      </c>
      <c r="AC970" s="43" t="s">
        <v>58</v>
      </c>
      <c r="AD970" s="43">
        <v>467600000</v>
      </c>
      <c r="AE970" s="44">
        <v>0</v>
      </c>
      <c r="AF970" s="44">
        <v>0</v>
      </c>
      <c r="AG970" s="43">
        <v>2580000000</v>
      </c>
      <c r="AH970" s="43">
        <v>2240000000</v>
      </c>
      <c r="AI970" s="43">
        <f>AE970-AF970+AG970-AH970</f>
        <v>340000000</v>
      </c>
      <c r="AJ970" s="43">
        <f>AD970+AI970</f>
        <v>807600000</v>
      </c>
      <c r="AK970" s="44">
        <v>0</v>
      </c>
      <c r="AL970" s="44">
        <v>0</v>
      </c>
      <c r="AM970" s="43">
        <v>456050000</v>
      </c>
      <c r="AN970" s="44">
        <v>0</v>
      </c>
      <c r="AO970" s="44">
        <v>0</v>
      </c>
      <c r="AP970" s="43">
        <v>396550000</v>
      </c>
      <c r="AQ970" s="43">
        <v>10500000</v>
      </c>
      <c r="AR970" s="43">
        <v>56300000</v>
      </c>
      <c r="AS970" s="43">
        <v>145600000</v>
      </c>
      <c r="AT970" s="111">
        <f t="shared" ref="AT970" si="340">AQ970+AS970</f>
        <v>156100000</v>
      </c>
      <c r="AU970" s="18">
        <f>AJ970-AM970</f>
        <v>351550000</v>
      </c>
      <c r="AV970" s="110">
        <f>AM970-AP970</f>
        <v>59500000</v>
      </c>
      <c r="AW970" s="18">
        <f>AP970-AT970</f>
        <v>240450000</v>
      </c>
      <c r="AX970" s="123">
        <f>AP970/AJ970</f>
        <v>0.49102278355621592</v>
      </c>
    </row>
    <row r="971" spans="1:50" ht="25.5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73" t="s">
        <v>288</v>
      </c>
      <c r="AB971" s="74" t="s">
        <v>197</v>
      </c>
      <c r="AC971" s="43"/>
      <c r="AD971" s="43"/>
      <c r="AE971" s="44"/>
      <c r="AF971" s="44"/>
      <c r="AG971" s="43"/>
      <c r="AH971" s="43"/>
      <c r="AI971" s="43"/>
      <c r="AJ971" s="43"/>
      <c r="AK971" s="44"/>
      <c r="AL971" s="44"/>
      <c r="AM971" s="43"/>
      <c r="AN971" s="44"/>
      <c r="AO971" s="44"/>
      <c r="AP971" s="43"/>
      <c r="AQ971" s="44"/>
      <c r="AR971" s="114"/>
      <c r="AS971" s="114"/>
      <c r="AT971" s="111"/>
      <c r="AU971" s="18"/>
      <c r="AV971" s="110"/>
      <c r="AW971" s="18"/>
      <c r="AX971" s="123"/>
    </row>
    <row r="972" spans="1:50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1" t="s">
        <v>305</v>
      </c>
      <c r="AB972" s="42" t="s">
        <v>233</v>
      </c>
      <c r="AC972" s="43"/>
      <c r="AD972" s="44">
        <v>0</v>
      </c>
      <c r="AE972" s="44">
        <v>0</v>
      </c>
      <c r="AF972" s="44">
        <v>0</v>
      </c>
      <c r="AG972" s="43">
        <f>1800000000+1620000000</f>
        <v>3420000000</v>
      </c>
      <c r="AH972" s="259">
        <v>0</v>
      </c>
      <c r="AI972" s="43">
        <f>AE972-AF972+AG972-AH972</f>
        <v>3420000000</v>
      </c>
      <c r="AJ972" s="43">
        <f>AD972+AI972</f>
        <v>3420000000</v>
      </c>
      <c r="AK972" s="44">
        <v>0</v>
      </c>
      <c r="AL972" s="44">
        <v>0</v>
      </c>
      <c r="AM972" s="43">
        <v>1800000000</v>
      </c>
      <c r="AN972" s="44">
        <v>0</v>
      </c>
      <c r="AO972" s="44">
        <v>0</v>
      </c>
      <c r="AP972" s="43">
        <v>1800000000</v>
      </c>
      <c r="AQ972" s="44">
        <v>0</v>
      </c>
      <c r="AR972" s="114">
        <v>0</v>
      </c>
      <c r="AS972" s="114">
        <v>1800000000</v>
      </c>
      <c r="AT972" s="111">
        <f t="shared" ref="AT972" si="341">AQ972+AS972</f>
        <v>1800000000</v>
      </c>
      <c r="AU972" s="18">
        <f>AJ972-AM972</f>
        <v>1620000000</v>
      </c>
      <c r="AV972" s="133">
        <f>AM972-AP972</f>
        <v>0</v>
      </c>
      <c r="AW972" s="34">
        <f>AP972-AT972</f>
        <v>0</v>
      </c>
      <c r="AX972" s="123">
        <f>AP972/AJ972</f>
        <v>0.52631578947368418</v>
      </c>
    </row>
    <row r="973" spans="1:50" x14ac:dyDescent="0.2">
      <c r="AA973" s="28" t="s">
        <v>288</v>
      </c>
      <c r="AB973" s="68" t="s">
        <v>684</v>
      </c>
      <c r="AC973" s="17"/>
      <c r="AD973" s="18"/>
      <c r="AE973" s="34"/>
      <c r="AF973" s="34"/>
      <c r="AG973" s="34"/>
      <c r="AH973" s="34"/>
      <c r="AI973" s="34"/>
      <c r="AJ973" s="18"/>
      <c r="AK973" s="34"/>
      <c r="AL973" s="18"/>
      <c r="AM973" s="18"/>
      <c r="AN973" s="34"/>
      <c r="AO973" s="34"/>
      <c r="AP973" s="18"/>
      <c r="AQ973" s="34"/>
      <c r="AR973" s="34"/>
      <c r="AS973" s="34"/>
      <c r="AT973" s="31"/>
      <c r="AU973" s="18"/>
      <c r="AV973" s="18"/>
      <c r="AW973" s="18"/>
      <c r="AX973" s="18"/>
    </row>
    <row r="974" spans="1:50" x14ac:dyDescent="0.2">
      <c r="A974" s="4" t="s">
        <v>55</v>
      </c>
      <c r="B974" s="4" t="s">
        <v>56</v>
      </c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1" t="s">
        <v>685</v>
      </c>
      <c r="AB974" s="69" t="s">
        <v>233</v>
      </c>
      <c r="AC974" s="43" t="s">
        <v>58</v>
      </c>
      <c r="AD974" s="43">
        <v>6107898530</v>
      </c>
      <c r="AE974" s="44">
        <v>0</v>
      </c>
      <c r="AF974" s="44">
        <v>0</v>
      </c>
      <c r="AG974" s="44">
        <v>0</v>
      </c>
      <c r="AH974" s="44">
        <v>0</v>
      </c>
      <c r="AI974" s="44">
        <v>0</v>
      </c>
      <c r="AJ974" s="43">
        <v>6107898530</v>
      </c>
      <c r="AK974" s="44">
        <v>0</v>
      </c>
      <c r="AL974" s="44">
        <v>0</v>
      </c>
      <c r="AM974" s="44">
        <v>0</v>
      </c>
      <c r="AN974" s="44">
        <v>0</v>
      </c>
      <c r="AO974" s="44">
        <v>0</v>
      </c>
      <c r="AP974" s="43">
        <v>0</v>
      </c>
      <c r="AQ974" s="44">
        <v>0</v>
      </c>
      <c r="AR974" s="44">
        <v>0</v>
      </c>
      <c r="AS974" s="44">
        <v>0</v>
      </c>
      <c r="AT974" s="40">
        <f t="shared" ref="AT974" si="342">AQ974+AS974</f>
        <v>0</v>
      </c>
      <c r="AU974" s="18">
        <f>AJ974-AM974</f>
        <v>6107898530</v>
      </c>
      <c r="AV974" s="133">
        <f>AM974-AP974</f>
        <v>0</v>
      </c>
      <c r="AW974" s="34">
        <f>AP974-AT974</f>
        <v>0</v>
      </c>
      <c r="AX974" s="123">
        <f>AP974/AJ974</f>
        <v>0</v>
      </c>
    </row>
    <row r="975" spans="1:50" ht="25.5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73" t="s">
        <v>288</v>
      </c>
      <c r="AB975" s="82" t="s">
        <v>197</v>
      </c>
      <c r="AC975" s="43"/>
      <c r="AD975" s="43"/>
      <c r="AE975" s="44"/>
      <c r="AF975" s="44"/>
      <c r="AG975" s="44"/>
      <c r="AH975" s="44"/>
      <c r="AI975" s="44"/>
      <c r="AJ975" s="43"/>
      <c r="AK975" s="44"/>
      <c r="AL975" s="44"/>
      <c r="AM975" s="44"/>
      <c r="AN975" s="43"/>
      <c r="AO975" s="43"/>
      <c r="AP975" s="43"/>
      <c r="AQ975" s="44"/>
      <c r="AR975" s="44"/>
      <c r="AS975" s="44"/>
      <c r="AT975" s="40"/>
      <c r="AU975" s="18"/>
      <c r="AV975" s="133"/>
      <c r="AW975" s="34"/>
      <c r="AX975" s="123"/>
    </row>
    <row r="976" spans="1:50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1" t="s">
        <v>974</v>
      </c>
      <c r="AB976" s="69" t="s">
        <v>233</v>
      </c>
      <c r="AC976" s="43"/>
      <c r="AD976" s="44">
        <v>0</v>
      </c>
      <c r="AE976" s="44">
        <v>0</v>
      </c>
      <c r="AF976" s="44">
        <v>0</v>
      </c>
      <c r="AG976" s="43">
        <v>2240000000</v>
      </c>
      <c r="AH976" s="44">
        <v>0</v>
      </c>
      <c r="AI976" s="43">
        <f>AE976-AF976+AG976-AH976</f>
        <v>2240000000</v>
      </c>
      <c r="AJ976" s="43">
        <f>AD976+AI976</f>
        <v>2240000000</v>
      </c>
      <c r="AK976" s="44">
        <v>0</v>
      </c>
      <c r="AL976" s="44">
        <v>0</v>
      </c>
      <c r="AM976" s="44">
        <v>320123215</v>
      </c>
      <c r="AN976" s="44">
        <v>0</v>
      </c>
      <c r="AO976" s="44">
        <v>0</v>
      </c>
      <c r="AP976" s="43">
        <v>0</v>
      </c>
      <c r="AQ976" s="44">
        <v>0</v>
      </c>
      <c r="AR976" s="44">
        <v>0</v>
      </c>
      <c r="AS976" s="44">
        <v>0</v>
      </c>
      <c r="AT976" s="111">
        <f t="shared" ref="AT976" si="343">AQ976+AS976</f>
        <v>0</v>
      </c>
      <c r="AU976" s="110">
        <f>AJ976-AM976</f>
        <v>1919876785</v>
      </c>
      <c r="AV976" s="18">
        <f>AM976-AP976</f>
        <v>320123215</v>
      </c>
      <c r="AW976" s="18">
        <f>AP976-AT976</f>
        <v>0</v>
      </c>
      <c r="AX976" s="123">
        <f>AP976/AJ976</f>
        <v>0</v>
      </c>
    </row>
    <row r="977" spans="1:50" x14ac:dyDescent="0.2">
      <c r="AA977" s="28" t="s">
        <v>288</v>
      </c>
      <c r="AB977" s="29" t="s">
        <v>306</v>
      </c>
      <c r="AC977" s="17"/>
      <c r="AD977" s="18"/>
      <c r="AE977" s="34"/>
      <c r="AF977" s="34"/>
      <c r="AG977" s="34"/>
      <c r="AH977" s="34"/>
      <c r="AI977" s="34"/>
      <c r="AJ977" s="18"/>
      <c r="AK977" s="34"/>
      <c r="AL977" s="18"/>
      <c r="AM977" s="18"/>
      <c r="AN977" s="34"/>
      <c r="AO977" s="34"/>
      <c r="AP977" s="18"/>
      <c r="AQ977" s="34"/>
      <c r="AR977" s="34"/>
      <c r="AS977" s="34"/>
      <c r="AT977" s="31"/>
      <c r="AU977" s="18"/>
      <c r="AV977" s="34"/>
      <c r="AW977" s="18"/>
      <c r="AX977" s="18"/>
    </row>
    <row r="978" spans="1:50" x14ac:dyDescent="0.2">
      <c r="A978" s="4" t="s">
        <v>55</v>
      </c>
      <c r="B978" s="4" t="s">
        <v>56</v>
      </c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1" t="s">
        <v>307</v>
      </c>
      <c r="AB978" s="42" t="s">
        <v>233</v>
      </c>
      <c r="AC978" s="43" t="s">
        <v>58</v>
      </c>
      <c r="AD978" s="43">
        <v>147500000</v>
      </c>
      <c r="AE978" s="44">
        <v>0</v>
      </c>
      <c r="AF978" s="44">
        <v>0</v>
      </c>
      <c r="AG978" s="43">
        <v>6300000</v>
      </c>
      <c r="AH978" s="44">
        <v>0</v>
      </c>
      <c r="AI978" s="43">
        <f>AE978-AF978+AG978-AH978</f>
        <v>6300000</v>
      </c>
      <c r="AJ978" s="43">
        <f>AD978+AI978</f>
        <v>153800000</v>
      </c>
      <c r="AK978" s="44">
        <v>0</v>
      </c>
      <c r="AL978" s="44">
        <v>0</v>
      </c>
      <c r="AM978" s="43">
        <v>127700000</v>
      </c>
      <c r="AN978" s="44">
        <v>0</v>
      </c>
      <c r="AO978" s="44">
        <v>0</v>
      </c>
      <c r="AP978" s="43">
        <v>127700000</v>
      </c>
      <c r="AQ978" s="43">
        <v>0</v>
      </c>
      <c r="AR978" s="114">
        <v>17566667</v>
      </c>
      <c r="AS978" s="114">
        <v>45850000</v>
      </c>
      <c r="AT978" s="111">
        <f t="shared" ref="AT978" si="344">AQ978+AS978</f>
        <v>45850000</v>
      </c>
      <c r="AU978" s="110">
        <f>AJ978-AM978</f>
        <v>26100000</v>
      </c>
      <c r="AV978" s="133">
        <f>AM978-AP978</f>
        <v>0</v>
      </c>
      <c r="AW978" s="18">
        <f>AP978-AT978</f>
        <v>81850000</v>
      </c>
      <c r="AX978" s="123">
        <f>AP978/AJ978</f>
        <v>0.83029908972691813</v>
      </c>
    </row>
    <row r="979" spans="1:50" x14ac:dyDescent="0.2">
      <c r="AA979" s="28" t="s">
        <v>288</v>
      </c>
      <c r="AB979" s="29" t="s">
        <v>400</v>
      </c>
      <c r="AC979" s="17"/>
      <c r="AD979" s="18"/>
      <c r="AE979" s="34"/>
      <c r="AF979" s="34"/>
      <c r="AG979" s="34"/>
      <c r="AH979" s="34"/>
      <c r="AI979" s="34"/>
      <c r="AJ979" s="18"/>
      <c r="AK979" s="34"/>
      <c r="AL979" s="34"/>
      <c r="AM979" s="18"/>
      <c r="AN979" s="34"/>
      <c r="AO979" s="34"/>
      <c r="AP979" s="18"/>
      <c r="AQ979" s="18"/>
      <c r="AR979" s="110"/>
      <c r="AS979" s="110"/>
      <c r="AT979" s="109"/>
      <c r="AU979" s="110"/>
      <c r="AV979" s="18"/>
      <c r="AW979" s="18"/>
      <c r="AX979" s="18"/>
    </row>
    <row r="980" spans="1:50" x14ac:dyDescent="0.2">
      <c r="A980" s="4" t="s">
        <v>55</v>
      </c>
      <c r="B980" s="4" t="s">
        <v>56</v>
      </c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1" t="s">
        <v>401</v>
      </c>
      <c r="AB980" s="42" t="s">
        <v>233</v>
      </c>
      <c r="AC980" s="43" t="s">
        <v>58</v>
      </c>
      <c r="AD980" s="43">
        <v>996500000</v>
      </c>
      <c r="AE980" s="44">
        <v>0</v>
      </c>
      <c r="AF980" s="44">
        <v>0</v>
      </c>
      <c r="AG980" s="43">
        <v>140000000</v>
      </c>
      <c r="AH980" s="44">
        <v>0</v>
      </c>
      <c r="AI980" s="43">
        <f>AE980-AF980+AG980-AH980</f>
        <v>140000000</v>
      </c>
      <c r="AJ980" s="43">
        <f>AD980+AI980</f>
        <v>1136500000</v>
      </c>
      <c r="AK980" s="44">
        <v>0</v>
      </c>
      <c r="AL980" s="43">
        <v>22750000</v>
      </c>
      <c r="AM980" s="43">
        <v>706500000</v>
      </c>
      <c r="AN980" s="44">
        <v>22750000</v>
      </c>
      <c r="AO980" s="44">
        <v>0</v>
      </c>
      <c r="AP980" s="43">
        <v>683750000</v>
      </c>
      <c r="AQ980" s="18">
        <v>9333333</v>
      </c>
      <c r="AR980" s="110">
        <v>88800000</v>
      </c>
      <c r="AS980" s="110">
        <v>268490001</v>
      </c>
      <c r="AT980" s="111">
        <f t="shared" ref="AT980:AT982" si="345">AQ980+AS980</f>
        <v>277823334</v>
      </c>
      <c r="AU980" s="110">
        <f>AJ980-AM980</f>
        <v>430000000</v>
      </c>
      <c r="AV980" s="133">
        <f>AM980-AP980</f>
        <v>22750000</v>
      </c>
      <c r="AW980" s="18">
        <f>AP980-AT980</f>
        <v>405926666</v>
      </c>
      <c r="AX980" s="123">
        <f>AP980/AJ980</f>
        <v>0.60162780466344035</v>
      </c>
    </row>
    <row r="981" spans="1:50" x14ac:dyDescent="0.2">
      <c r="A981" s="4" t="s">
        <v>55</v>
      </c>
      <c r="B981" s="4" t="s">
        <v>56</v>
      </c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1" t="s">
        <v>686</v>
      </c>
      <c r="AB981" s="42" t="s">
        <v>687</v>
      </c>
      <c r="AC981" s="43" t="s">
        <v>428</v>
      </c>
      <c r="AD981" s="43">
        <v>51500000</v>
      </c>
      <c r="AE981" s="44">
        <v>0</v>
      </c>
      <c r="AF981" s="44">
        <v>0</v>
      </c>
      <c r="AG981" s="44">
        <v>0</v>
      </c>
      <c r="AH981" s="44">
        <v>0</v>
      </c>
      <c r="AI981" s="44">
        <v>0</v>
      </c>
      <c r="AJ981" s="43">
        <v>51500000</v>
      </c>
      <c r="AK981" s="44">
        <v>0</v>
      </c>
      <c r="AL981" s="44">
        <v>0</v>
      </c>
      <c r="AM981" s="43">
        <v>51400000</v>
      </c>
      <c r="AN981" s="44">
        <v>0</v>
      </c>
      <c r="AO981" s="44">
        <v>0</v>
      </c>
      <c r="AP981" s="43">
        <v>51400000</v>
      </c>
      <c r="AQ981" s="18">
        <v>0</v>
      </c>
      <c r="AR981" s="18">
        <v>7800000</v>
      </c>
      <c r="AS981" s="18">
        <v>21840000</v>
      </c>
      <c r="AT981" s="39">
        <f t="shared" si="345"/>
        <v>21840000</v>
      </c>
      <c r="AU981" s="18">
        <f>AJ981-AM981</f>
        <v>100000</v>
      </c>
      <c r="AV981" s="133">
        <f>AM981-AP981</f>
        <v>0</v>
      </c>
      <c r="AW981" s="18">
        <f>AP981-AT981</f>
        <v>29560000</v>
      </c>
      <c r="AX981" s="123">
        <f>AP981/AJ981</f>
        <v>0.99805825242718449</v>
      </c>
    </row>
    <row r="982" spans="1:50" ht="25.5" x14ac:dyDescent="0.2">
      <c r="A982" s="4" t="s">
        <v>55</v>
      </c>
      <c r="B982" s="4" t="s">
        <v>56</v>
      </c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1" t="s">
        <v>688</v>
      </c>
      <c r="AB982" s="42" t="s">
        <v>689</v>
      </c>
      <c r="AC982" s="43" t="s">
        <v>368</v>
      </c>
      <c r="AD982" s="43">
        <v>6785951</v>
      </c>
      <c r="AE982" s="44">
        <v>0</v>
      </c>
      <c r="AF982" s="44">
        <v>0</v>
      </c>
      <c r="AG982" s="44">
        <v>0</v>
      </c>
      <c r="AH982" s="44">
        <v>0</v>
      </c>
      <c r="AI982" s="44">
        <v>0</v>
      </c>
      <c r="AJ982" s="43">
        <v>6785951</v>
      </c>
      <c r="AK982" s="44">
        <v>0</v>
      </c>
      <c r="AL982" s="44">
        <v>0</v>
      </c>
      <c r="AM982" s="44">
        <v>0</v>
      </c>
      <c r="AN982" s="44">
        <v>0</v>
      </c>
      <c r="AO982" s="44">
        <v>0</v>
      </c>
      <c r="AP982" s="44">
        <v>0</v>
      </c>
      <c r="AQ982" s="18">
        <v>0</v>
      </c>
      <c r="AR982" s="34">
        <v>0</v>
      </c>
      <c r="AS982" s="34">
        <v>0</v>
      </c>
      <c r="AT982" s="40">
        <f t="shared" si="345"/>
        <v>0</v>
      </c>
      <c r="AU982" s="18">
        <f>AJ982-AM982</f>
        <v>6785951</v>
      </c>
      <c r="AV982" s="133">
        <f>AM982-AP982</f>
        <v>0</v>
      </c>
      <c r="AW982" s="34">
        <f>AP982-AT982</f>
        <v>0</v>
      </c>
      <c r="AX982" s="123">
        <f>AP982/AJ982</f>
        <v>0</v>
      </c>
    </row>
    <row r="983" spans="1:50" ht="25.5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1" t="s">
        <v>1116</v>
      </c>
      <c r="AB983" s="42" t="s">
        <v>1117</v>
      </c>
      <c r="AC983" s="43"/>
      <c r="AD983" s="44">
        <v>0</v>
      </c>
      <c r="AE983" s="43">
        <v>138409128.97</v>
      </c>
      <c r="AF983" s="44">
        <v>0</v>
      </c>
      <c r="AG983" s="44">
        <v>0</v>
      </c>
      <c r="AH983" s="44">
        <v>0</v>
      </c>
      <c r="AI983" s="43">
        <f>AE983-AF983+AG983-AH983</f>
        <v>138409128.97</v>
      </c>
      <c r="AJ983" s="43">
        <f>AD983+AI983</f>
        <v>138409128.97</v>
      </c>
      <c r="AK983" s="44">
        <v>0</v>
      </c>
      <c r="AL983" s="44">
        <v>0</v>
      </c>
      <c r="AM983" s="44">
        <v>0</v>
      </c>
      <c r="AN983" s="44">
        <v>0</v>
      </c>
      <c r="AO983" s="44">
        <v>0</v>
      </c>
      <c r="AP983" s="44">
        <v>0</v>
      </c>
      <c r="AQ983" s="18">
        <v>0</v>
      </c>
      <c r="AR983" s="34">
        <v>0</v>
      </c>
      <c r="AS983" s="34">
        <v>0</v>
      </c>
      <c r="AT983" s="40">
        <f t="shared" ref="AT983" si="346">AQ983+AS983</f>
        <v>0</v>
      </c>
      <c r="AU983" s="18">
        <f>AJ983-AM983</f>
        <v>138409128.97</v>
      </c>
      <c r="AV983" s="133">
        <f>AM983-AP983</f>
        <v>0</v>
      </c>
      <c r="AW983" s="34">
        <f>AP983-AT983</f>
        <v>0</v>
      </c>
      <c r="AX983" s="123">
        <f>AP983/AJ983</f>
        <v>0</v>
      </c>
    </row>
    <row r="984" spans="1:50" ht="25.5" x14ac:dyDescent="0.2">
      <c r="AA984" s="28" t="s">
        <v>288</v>
      </c>
      <c r="AB984" s="29" t="s">
        <v>690</v>
      </c>
      <c r="AC984" s="17"/>
      <c r="AD984" s="18"/>
      <c r="AE984" s="34"/>
      <c r="AF984" s="34"/>
      <c r="AG984" s="34"/>
      <c r="AH984" s="34"/>
      <c r="AI984" s="34"/>
      <c r="AJ984" s="18"/>
      <c r="AK984" s="34"/>
      <c r="AL984" s="34"/>
      <c r="AM984" s="34"/>
      <c r="AN984" s="34"/>
      <c r="AO984" s="34"/>
      <c r="AP984" s="34"/>
      <c r="AQ984" s="18"/>
      <c r="AR984" s="34"/>
      <c r="AS984" s="34"/>
      <c r="AT984" s="40"/>
      <c r="AU984" s="18"/>
      <c r="AV984" s="34"/>
      <c r="AW984" s="18"/>
      <c r="AX984" s="18"/>
    </row>
    <row r="985" spans="1:50" x14ac:dyDescent="0.2">
      <c r="A985" s="4" t="s">
        <v>55</v>
      </c>
      <c r="B985" s="4" t="s">
        <v>56</v>
      </c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1" t="s">
        <v>691</v>
      </c>
      <c r="AB985" s="42" t="s">
        <v>233</v>
      </c>
      <c r="AC985" s="43" t="s">
        <v>58</v>
      </c>
      <c r="AD985" s="43">
        <v>368900000</v>
      </c>
      <c r="AE985" s="44">
        <v>0</v>
      </c>
      <c r="AF985" s="44">
        <v>0</v>
      </c>
      <c r="AG985" s="43">
        <v>80000000</v>
      </c>
      <c r="AH985" s="44">
        <v>0</v>
      </c>
      <c r="AI985" s="43">
        <f>AE985-AF985+AG985-AH985</f>
        <v>80000000</v>
      </c>
      <c r="AJ985" s="43">
        <f>AD985+AI985</f>
        <v>448900000</v>
      </c>
      <c r="AK985" s="44">
        <v>0</v>
      </c>
      <c r="AL985" s="114">
        <v>50400000</v>
      </c>
      <c r="AM985" s="114">
        <v>307200000</v>
      </c>
      <c r="AN985" s="115">
        <v>0</v>
      </c>
      <c r="AO985" s="114">
        <v>50400000</v>
      </c>
      <c r="AP985" s="114">
        <v>307200000</v>
      </c>
      <c r="AQ985" s="18">
        <v>0</v>
      </c>
      <c r="AR985" s="18">
        <v>36133333</v>
      </c>
      <c r="AS985" s="18">
        <v>72433333</v>
      </c>
      <c r="AT985" s="39">
        <f t="shared" si="337"/>
        <v>72433333</v>
      </c>
      <c r="AU985" s="18">
        <f>AJ985-AM985</f>
        <v>141700000</v>
      </c>
      <c r="AV985" s="133">
        <f>AM985-AP985</f>
        <v>0</v>
      </c>
      <c r="AW985" s="18">
        <f>AP985-AT985</f>
        <v>234766667</v>
      </c>
      <c r="AX985" s="123">
        <f>AP985/AJ985</f>
        <v>0.68433949654711512</v>
      </c>
    </row>
    <row r="986" spans="1:50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1"/>
      <c r="AB986" s="42"/>
      <c r="AC986" s="43"/>
      <c r="AD986" s="43"/>
      <c r="AE986" s="44"/>
      <c r="AF986" s="44"/>
      <c r="AG986" s="44"/>
      <c r="AH986" s="44"/>
      <c r="AI986" s="44"/>
      <c r="AJ986" s="43"/>
      <c r="AK986" s="44"/>
      <c r="AL986" s="114"/>
      <c r="AM986" s="114"/>
      <c r="AN986" s="115"/>
      <c r="AO986" s="114"/>
      <c r="AP986" s="114"/>
      <c r="AQ986" s="18"/>
      <c r="AR986" s="18"/>
      <c r="AS986" s="18"/>
      <c r="AT986" s="39"/>
      <c r="AU986" s="18"/>
      <c r="AV986" s="133"/>
      <c r="AW986" s="18"/>
      <c r="AX986" s="123"/>
    </row>
    <row r="987" spans="1:50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73" t="s">
        <v>288</v>
      </c>
      <c r="AB987" s="74" t="s">
        <v>1230</v>
      </c>
      <c r="AC987" s="43"/>
      <c r="AD987" s="43"/>
      <c r="AE987" s="44"/>
      <c r="AF987" s="44"/>
      <c r="AG987" s="44"/>
      <c r="AH987" s="44"/>
      <c r="AI987" s="44"/>
      <c r="AJ987" s="43"/>
      <c r="AK987" s="44"/>
      <c r="AL987" s="114"/>
      <c r="AM987" s="114"/>
      <c r="AN987" s="115"/>
      <c r="AO987" s="114"/>
      <c r="AP987" s="114"/>
      <c r="AQ987" s="18"/>
      <c r="AR987" s="18"/>
      <c r="AS987" s="18"/>
      <c r="AT987" s="39"/>
      <c r="AU987" s="18"/>
      <c r="AV987" s="133"/>
      <c r="AW987" s="18"/>
      <c r="AX987" s="123"/>
    </row>
    <row r="988" spans="1:50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1" t="s">
        <v>1231</v>
      </c>
      <c r="AB988" s="42" t="s">
        <v>1232</v>
      </c>
      <c r="AC988" s="43"/>
      <c r="AD988" s="44">
        <v>0</v>
      </c>
      <c r="AE988" s="44">
        <v>0</v>
      </c>
      <c r="AF988" s="44">
        <v>0</v>
      </c>
      <c r="AG988" s="43">
        <v>150000000</v>
      </c>
      <c r="AH988" s="44"/>
      <c r="AI988" s="43">
        <f>AE988-AF988+AG988-AH988</f>
        <v>150000000</v>
      </c>
      <c r="AJ988" s="43">
        <f>AD988+AI988</f>
        <v>150000000</v>
      </c>
      <c r="AK988" s="44">
        <v>0</v>
      </c>
      <c r="AL988" s="115">
        <v>0</v>
      </c>
      <c r="AM988" s="115">
        <v>0</v>
      </c>
      <c r="AN988" s="115">
        <v>0</v>
      </c>
      <c r="AO988" s="114">
        <v>0</v>
      </c>
      <c r="AP988" s="114">
        <v>0</v>
      </c>
      <c r="AQ988" s="18">
        <v>0</v>
      </c>
      <c r="AR988" s="18">
        <v>0</v>
      </c>
      <c r="AS988" s="18"/>
      <c r="AT988" s="39">
        <f t="shared" ref="AT988" si="347">AQ988+AS988</f>
        <v>0</v>
      </c>
      <c r="AU988" s="18">
        <f>AJ988-AM988</f>
        <v>150000000</v>
      </c>
      <c r="AV988" s="133">
        <f>AM988-AP988</f>
        <v>0</v>
      </c>
      <c r="AW988" s="18">
        <f>AP988-AT988</f>
        <v>0</v>
      </c>
      <c r="AX988" s="123">
        <f>AP988/AJ988</f>
        <v>0</v>
      </c>
    </row>
    <row r="989" spans="1:50" ht="18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73" t="s">
        <v>1016</v>
      </c>
      <c r="AB989" s="74" t="s">
        <v>1068</v>
      </c>
      <c r="AC989" s="43"/>
      <c r="AD989" s="44"/>
      <c r="AE989" s="44"/>
      <c r="AF989" s="44"/>
      <c r="AG989" s="44"/>
      <c r="AH989" s="44"/>
      <c r="AI989" s="44"/>
      <c r="AJ989" s="43"/>
      <c r="AK989" s="44"/>
      <c r="AL989" s="115"/>
      <c r="AM989" s="115"/>
      <c r="AN989" s="115"/>
      <c r="AO989" s="114"/>
      <c r="AP989" s="114"/>
      <c r="AQ989" s="18"/>
      <c r="AR989" s="18"/>
      <c r="AS989" s="18"/>
      <c r="AT989" s="39"/>
      <c r="AU989" s="18"/>
      <c r="AV989" s="133"/>
      <c r="AW989" s="18"/>
      <c r="AX989" s="123"/>
    </row>
    <row r="990" spans="1:50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73" t="s">
        <v>1017</v>
      </c>
      <c r="AB990" s="74" t="s">
        <v>1069</v>
      </c>
      <c r="AC990" s="43"/>
      <c r="AD990" s="44"/>
      <c r="AE990" s="44"/>
      <c r="AF990" s="44"/>
      <c r="AG990" s="44"/>
      <c r="AH990" s="44"/>
      <c r="AI990" s="44"/>
      <c r="AJ990" s="43"/>
      <c r="AK990" s="44"/>
      <c r="AL990" s="115"/>
      <c r="AM990" s="115"/>
      <c r="AN990" s="115"/>
      <c r="AO990" s="114"/>
      <c r="AP990" s="114"/>
      <c r="AQ990" s="18"/>
      <c r="AR990" s="18"/>
      <c r="AS990" s="18"/>
      <c r="AT990" s="39"/>
      <c r="AU990" s="18"/>
      <c r="AV990" s="133"/>
      <c r="AW990" s="18"/>
      <c r="AX990" s="123"/>
    </row>
    <row r="991" spans="1:50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73" t="s">
        <v>1018</v>
      </c>
      <c r="AB991" s="74" t="s">
        <v>286</v>
      </c>
      <c r="AC991" s="43"/>
      <c r="AD991" s="44"/>
      <c r="AE991" s="44"/>
      <c r="AF991" s="44"/>
      <c r="AG991" s="44"/>
      <c r="AH991" s="44"/>
      <c r="AI991" s="44"/>
      <c r="AJ991" s="43"/>
      <c r="AK991" s="44"/>
      <c r="AL991" s="115"/>
      <c r="AM991" s="115"/>
      <c r="AN991" s="115"/>
      <c r="AO991" s="114"/>
      <c r="AP991" s="114"/>
      <c r="AQ991" s="18"/>
      <c r="AR991" s="18"/>
      <c r="AS991" s="18"/>
      <c r="AT991" s="39"/>
      <c r="AU991" s="18"/>
      <c r="AV991" s="133"/>
      <c r="AW991" s="18"/>
      <c r="AX991" s="123"/>
    </row>
    <row r="992" spans="1:50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73" t="s">
        <v>1021</v>
      </c>
      <c r="AB992" s="74" t="s">
        <v>1070</v>
      </c>
      <c r="AC992" s="43"/>
      <c r="AD992" s="44"/>
      <c r="AE992" s="44"/>
      <c r="AF992" s="44"/>
      <c r="AG992" s="44"/>
      <c r="AH992" s="44"/>
      <c r="AI992" s="44"/>
      <c r="AJ992" s="43"/>
      <c r="AK992" s="44"/>
      <c r="AL992" s="115"/>
      <c r="AM992" s="115"/>
      <c r="AN992" s="115"/>
      <c r="AO992" s="114"/>
      <c r="AP992" s="114"/>
      <c r="AQ992" s="18"/>
      <c r="AR992" s="18"/>
      <c r="AS992" s="18"/>
      <c r="AT992" s="39"/>
      <c r="AU992" s="18"/>
      <c r="AV992" s="133"/>
      <c r="AW992" s="18"/>
      <c r="AX992" s="123"/>
    </row>
    <row r="993" spans="1:50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1" t="s">
        <v>1019</v>
      </c>
      <c r="AB993" s="42" t="s">
        <v>1005</v>
      </c>
      <c r="AC993" s="43"/>
      <c r="AD993" s="44">
        <v>0</v>
      </c>
      <c r="AE993" s="43">
        <v>5053333</v>
      </c>
      <c r="AF993" s="44">
        <v>0</v>
      </c>
      <c r="AG993" s="44">
        <v>0</v>
      </c>
      <c r="AH993" s="44">
        <v>0</v>
      </c>
      <c r="AI993" s="43">
        <f>AE993-AF993+AG993-AH993</f>
        <v>5053333</v>
      </c>
      <c r="AJ993" s="43">
        <f>AD993+AI993</f>
        <v>5053333</v>
      </c>
      <c r="AK993" s="44">
        <v>0</v>
      </c>
      <c r="AL993" s="115">
        <v>0</v>
      </c>
      <c r="AM993" s="115">
        <v>0</v>
      </c>
      <c r="AN993" s="115">
        <v>0</v>
      </c>
      <c r="AO993" s="114">
        <v>0</v>
      </c>
      <c r="AP993" s="114">
        <v>0</v>
      </c>
      <c r="AQ993" s="18">
        <v>0</v>
      </c>
      <c r="AR993" s="18">
        <v>0</v>
      </c>
      <c r="AS993" s="18">
        <v>0</v>
      </c>
      <c r="AT993" s="39">
        <f t="shared" ref="AT993" si="348">AQ993+AS993</f>
        <v>0</v>
      </c>
      <c r="AU993" s="18">
        <f>AJ993-AM993</f>
        <v>5053333</v>
      </c>
      <c r="AV993" s="133">
        <f>AM993-AP993</f>
        <v>0</v>
      </c>
      <c r="AW993" s="18">
        <f>AP993-AT993</f>
        <v>0</v>
      </c>
      <c r="AX993" s="123">
        <f>AP993/AJ993</f>
        <v>0</v>
      </c>
    </row>
    <row r="994" spans="1:50" x14ac:dyDescent="0.2">
      <c r="AA994" s="16"/>
      <c r="AB994" s="17"/>
      <c r="AC994" s="17"/>
      <c r="AD994" s="18"/>
      <c r="AE994" s="34"/>
      <c r="AF994" s="34"/>
      <c r="AG994" s="34"/>
      <c r="AH994" s="34"/>
      <c r="AI994" s="34"/>
      <c r="AJ994" s="18"/>
      <c r="AK994" s="18"/>
      <c r="AL994" s="18"/>
      <c r="AM994" s="18"/>
      <c r="AN994" s="34"/>
      <c r="AO994" s="18"/>
      <c r="AP994" s="18"/>
      <c r="AQ994" s="18"/>
      <c r="AR994" s="34"/>
      <c r="AS994" s="34"/>
      <c r="AT994" s="40"/>
      <c r="AU994" s="18"/>
      <c r="AV994" s="18"/>
      <c r="AW994" s="18"/>
      <c r="AX994" s="18"/>
    </row>
    <row r="995" spans="1:50" ht="18.75" customHeight="1" x14ac:dyDescent="0.2">
      <c r="AA995" s="46"/>
      <c r="AB995" s="47" t="s">
        <v>692</v>
      </c>
      <c r="AC995" s="47"/>
      <c r="AD995" s="48">
        <f>SUM(AD955:AD994)</f>
        <v>12346184481</v>
      </c>
      <c r="AE995" s="48">
        <f>SUM(AE955:AE994)</f>
        <v>143462461.97</v>
      </c>
      <c r="AF995" s="49">
        <f t="shared" ref="AF995:AW995" si="349">SUM(AF955:AF994)</f>
        <v>0</v>
      </c>
      <c r="AG995" s="48">
        <f t="shared" si="349"/>
        <v>10696300000</v>
      </c>
      <c r="AH995" s="48">
        <f t="shared" si="349"/>
        <v>5896300000</v>
      </c>
      <c r="AI995" s="48">
        <f t="shared" si="349"/>
        <v>4943462461.9700003</v>
      </c>
      <c r="AJ995" s="48">
        <f t="shared" si="349"/>
        <v>17289646942.970001</v>
      </c>
      <c r="AK995" s="49">
        <f t="shared" si="349"/>
        <v>0</v>
      </c>
      <c r="AL995" s="48">
        <f t="shared" si="349"/>
        <v>128400000</v>
      </c>
      <c r="AM995" s="48">
        <f t="shared" si="349"/>
        <v>4862333215</v>
      </c>
      <c r="AN995" s="49">
        <f t="shared" si="349"/>
        <v>22750000</v>
      </c>
      <c r="AO995" s="48">
        <f t="shared" si="349"/>
        <v>50400000</v>
      </c>
      <c r="AP995" s="48">
        <f t="shared" si="349"/>
        <v>4404710000</v>
      </c>
      <c r="AQ995" s="48">
        <f t="shared" si="349"/>
        <v>30333333</v>
      </c>
      <c r="AR995" s="121">
        <f t="shared" si="349"/>
        <v>313616667</v>
      </c>
      <c r="AS995" s="121">
        <f t="shared" si="349"/>
        <v>2657403333</v>
      </c>
      <c r="AT995" s="108">
        <f>AQ995+AS995</f>
        <v>2687736666</v>
      </c>
      <c r="AU995" s="48">
        <f t="shared" si="349"/>
        <v>12427313727.969999</v>
      </c>
      <c r="AV995" s="48">
        <f t="shared" si="349"/>
        <v>457623215</v>
      </c>
      <c r="AW995" s="48">
        <f t="shared" si="349"/>
        <v>1716973334</v>
      </c>
      <c r="AX995" s="24">
        <f>AP995/AJ995</f>
        <v>0.25475997367262393</v>
      </c>
    </row>
    <row r="996" spans="1:50" ht="18.75" customHeight="1" x14ac:dyDescent="0.2">
      <c r="AA996" s="16"/>
      <c r="AB996" s="17"/>
      <c r="AC996" s="17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</row>
    <row r="997" spans="1:50" s="25" customFormat="1" ht="18.75" customHeight="1" x14ac:dyDescent="0.2"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66"/>
      <c r="AB997" s="21" t="s">
        <v>693</v>
      </c>
      <c r="AC997" s="67"/>
      <c r="AD997" s="63"/>
      <c r="AE997" s="63"/>
      <c r="AF997" s="63"/>
      <c r="AG997" s="63"/>
      <c r="AH997" s="63"/>
      <c r="AI997" s="63"/>
      <c r="AJ997" s="63"/>
      <c r="AK997" s="63"/>
      <c r="AL997" s="63"/>
      <c r="AM997" s="63"/>
      <c r="AN997" s="63"/>
      <c r="AO997" s="63"/>
      <c r="AP997" s="63"/>
      <c r="AQ997" s="63"/>
      <c r="AR997" s="63"/>
      <c r="AS997" s="63"/>
      <c r="AT997" s="63"/>
      <c r="AU997" s="63"/>
      <c r="AV997" s="63"/>
      <c r="AW997" s="63"/>
      <c r="AX997" s="63"/>
    </row>
    <row r="998" spans="1:50" ht="18.75" customHeight="1" x14ac:dyDescent="0.2">
      <c r="AA998" s="16"/>
      <c r="AB998" s="29" t="s">
        <v>285</v>
      </c>
      <c r="AC998" s="17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</row>
    <row r="999" spans="1:50" ht="18.75" customHeight="1" x14ac:dyDescent="0.2">
      <c r="AA999" s="16"/>
      <c r="AB999" s="29" t="s">
        <v>286</v>
      </c>
      <c r="AC999" s="17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</row>
    <row r="1000" spans="1:50" ht="18.75" customHeight="1" x14ac:dyDescent="0.2">
      <c r="AA1000" s="16"/>
      <c r="AB1000" s="29" t="s">
        <v>179</v>
      </c>
      <c r="AC1000" s="17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</row>
    <row r="1001" spans="1:50" x14ac:dyDescent="0.2">
      <c r="AA1001" s="16"/>
      <c r="AB1001" s="29" t="s">
        <v>189</v>
      </c>
      <c r="AC1001" s="17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</row>
    <row r="1002" spans="1:50" ht="38.25" x14ac:dyDescent="0.2">
      <c r="AA1002" s="16"/>
      <c r="AB1002" s="29" t="s">
        <v>193</v>
      </c>
      <c r="AC1002" s="17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30"/>
      <c r="AU1002" s="18"/>
      <c r="AV1002" s="18"/>
      <c r="AW1002" s="18"/>
      <c r="AX1002" s="18"/>
    </row>
    <row r="1003" spans="1:50" ht="25.5" x14ac:dyDescent="0.2">
      <c r="AA1003" s="28" t="s">
        <v>288</v>
      </c>
      <c r="AB1003" s="29" t="s">
        <v>694</v>
      </c>
      <c r="AC1003" s="17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30"/>
      <c r="AU1003" s="18"/>
      <c r="AV1003" s="18"/>
      <c r="AW1003" s="18"/>
      <c r="AX1003" s="18"/>
    </row>
    <row r="1004" spans="1:50" x14ac:dyDescent="0.2">
      <c r="A1004" s="4" t="s">
        <v>55</v>
      </c>
      <c r="B1004" s="4" t="s">
        <v>56</v>
      </c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1" t="s">
        <v>695</v>
      </c>
      <c r="AB1004" s="42" t="s">
        <v>233</v>
      </c>
      <c r="AC1004" s="43" t="s">
        <v>58</v>
      </c>
      <c r="AD1004" s="43">
        <v>20000000000</v>
      </c>
      <c r="AE1004" s="44">
        <v>0</v>
      </c>
      <c r="AF1004" s="44">
        <v>0</v>
      </c>
      <c r="AG1004" s="44">
        <v>0</v>
      </c>
      <c r="AH1004" s="43">
        <f>10000000000+500000000+431000000</f>
        <v>10931000000</v>
      </c>
      <c r="AI1004" s="43">
        <f>AE1004-AF1004+AG1004-AH1004</f>
        <v>-10931000000</v>
      </c>
      <c r="AJ1004" s="43">
        <f>AD1004+AI1004</f>
        <v>9069000000</v>
      </c>
      <c r="AK1004" s="115">
        <v>0</v>
      </c>
      <c r="AL1004" s="115">
        <v>0</v>
      </c>
      <c r="AM1004" s="114">
        <v>8927500500</v>
      </c>
      <c r="AN1004" s="115">
        <v>0</v>
      </c>
      <c r="AO1004" s="115">
        <v>0</v>
      </c>
      <c r="AP1004" s="114">
        <v>8927500500</v>
      </c>
      <c r="AQ1004" s="115">
        <v>0</v>
      </c>
      <c r="AR1004" s="114">
        <v>927500500</v>
      </c>
      <c r="AS1004" s="114">
        <v>8927500500</v>
      </c>
      <c r="AT1004" s="111">
        <f t="shared" ref="AT1004:AT1018" si="350">AQ1004+AS1004</f>
        <v>8927500500</v>
      </c>
      <c r="AU1004" s="18">
        <f>AJ1004-AM1004</f>
        <v>141499500</v>
      </c>
      <c r="AV1004" s="133">
        <f>AM1004-AP1004</f>
        <v>0</v>
      </c>
      <c r="AW1004" s="18">
        <f>AP1004-AT1004</f>
        <v>0</v>
      </c>
      <c r="AX1004" s="123">
        <f>AP1004/AJ1004</f>
        <v>0.98439745286139602</v>
      </c>
    </row>
    <row r="1005" spans="1:50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1" t="s">
        <v>1118</v>
      </c>
      <c r="AB1005" s="42" t="s">
        <v>1015</v>
      </c>
      <c r="AC1005" s="43"/>
      <c r="AD1005" s="44">
        <v>0</v>
      </c>
      <c r="AE1005" s="43">
        <v>1500000000</v>
      </c>
      <c r="AF1005" s="44">
        <v>0</v>
      </c>
      <c r="AG1005" s="44">
        <v>0</v>
      </c>
      <c r="AH1005" s="43">
        <v>0</v>
      </c>
      <c r="AI1005" s="43">
        <f>AE1005-AF1005+AG1005-AH1005</f>
        <v>1500000000</v>
      </c>
      <c r="AJ1005" s="43">
        <f>AD1005+AI1005</f>
        <v>1500000000</v>
      </c>
      <c r="AK1005" s="115">
        <v>0</v>
      </c>
      <c r="AL1005" s="115">
        <v>0</v>
      </c>
      <c r="AM1005" s="114">
        <v>0</v>
      </c>
      <c r="AN1005" s="115">
        <v>0</v>
      </c>
      <c r="AO1005" s="115">
        <v>0</v>
      </c>
      <c r="AP1005" s="114">
        <v>0</v>
      </c>
      <c r="AQ1005" s="115">
        <v>0</v>
      </c>
      <c r="AR1005" s="114">
        <v>0</v>
      </c>
      <c r="AS1005" s="114">
        <v>0</v>
      </c>
      <c r="AT1005" s="111">
        <f t="shared" ref="AT1005" si="351">AQ1005+AS1005</f>
        <v>0</v>
      </c>
      <c r="AU1005" s="18">
        <f>AJ1005-AM1005</f>
        <v>1500000000</v>
      </c>
      <c r="AV1005" s="133">
        <f>AM1005-AP1005</f>
        <v>0</v>
      </c>
      <c r="AW1005" s="18">
        <f>AP1005-AT1005</f>
        <v>0</v>
      </c>
      <c r="AX1005" s="123">
        <f>AP1005/AJ1005</f>
        <v>0</v>
      </c>
    </row>
    <row r="1006" spans="1:50" x14ac:dyDescent="0.2">
      <c r="AA1006" s="16"/>
      <c r="AB1006" s="17"/>
      <c r="AC1006" s="17"/>
      <c r="AD1006" s="18"/>
      <c r="AE1006" s="34"/>
      <c r="AF1006" s="34"/>
      <c r="AG1006" s="34"/>
      <c r="AH1006" s="34"/>
      <c r="AI1006" s="34"/>
      <c r="AJ1006" s="18"/>
      <c r="AK1006" s="18"/>
      <c r="AL1006" s="18"/>
      <c r="AM1006" s="18"/>
      <c r="AN1006" s="18"/>
      <c r="AO1006" s="18"/>
      <c r="AP1006" s="34"/>
      <c r="AQ1006" s="34"/>
      <c r="AR1006" s="34"/>
      <c r="AS1006" s="34"/>
      <c r="AT1006" s="40"/>
      <c r="AU1006" s="18"/>
      <c r="AV1006" s="18"/>
      <c r="AW1006" s="18"/>
      <c r="AX1006" s="18"/>
    </row>
    <row r="1007" spans="1:50" ht="25.5" x14ac:dyDescent="0.2">
      <c r="AA1007" s="16"/>
      <c r="AB1007" s="29" t="s">
        <v>195</v>
      </c>
      <c r="AC1007" s="17"/>
      <c r="AD1007" s="18"/>
      <c r="AE1007" s="34"/>
      <c r="AF1007" s="34"/>
      <c r="AG1007" s="34"/>
      <c r="AH1007" s="34"/>
      <c r="AI1007" s="34"/>
      <c r="AJ1007" s="18"/>
      <c r="AK1007" s="18"/>
      <c r="AL1007" s="18"/>
      <c r="AM1007" s="18"/>
      <c r="AN1007" s="18"/>
      <c r="AO1007" s="18"/>
      <c r="AP1007" s="34"/>
      <c r="AQ1007" s="34"/>
      <c r="AR1007" s="34"/>
      <c r="AS1007" s="34"/>
      <c r="AT1007" s="40"/>
      <c r="AU1007" s="18"/>
      <c r="AV1007" s="18"/>
      <c r="AW1007" s="18"/>
      <c r="AX1007" s="18"/>
    </row>
    <row r="1008" spans="1:50" ht="25.5" x14ac:dyDescent="0.2">
      <c r="AA1008" s="28" t="s">
        <v>288</v>
      </c>
      <c r="AB1008" s="29" t="s">
        <v>696</v>
      </c>
      <c r="AC1008" s="17"/>
      <c r="AD1008" s="18"/>
      <c r="AE1008" s="34"/>
      <c r="AF1008" s="34"/>
      <c r="AG1008" s="34"/>
      <c r="AH1008" s="34"/>
      <c r="AI1008" s="34"/>
      <c r="AJ1008" s="18"/>
      <c r="AK1008" s="18"/>
      <c r="AL1008" s="18"/>
      <c r="AM1008" s="18"/>
      <c r="AN1008" s="18"/>
      <c r="AO1008" s="18"/>
      <c r="AP1008" s="34"/>
      <c r="AQ1008" s="34"/>
      <c r="AR1008" s="34"/>
      <c r="AS1008" s="34"/>
      <c r="AT1008" s="40"/>
      <c r="AU1008" s="18"/>
      <c r="AV1008" s="18"/>
      <c r="AW1008" s="18"/>
      <c r="AX1008" s="18"/>
    </row>
    <row r="1009" spans="1:50" x14ac:dyDescent="0.2">
      <c r="A1009" s="4" t="s">
        <v>55</v>
      </c>
      <c r="B1009" s="4" t="s">
        <v>56</v>
      </c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1" t="s">
        <v>697</v>
      </c>
      <c r="AB1009" s="42" t="s">
        <v>233</v>
      </c>
      <c r="AC1009" s="43" t="s">
        <v>58</v>
      </c>
      <c r="AD1009" s="43">
        <v>5000000000</v>
      </c>
      <c r="AE1009" s="44">
        <v>0</v>
      </c>
      <c r="AF1009" s="44">
        <v>0</v>
      </c>
      <c r="AG1009" s="44">
        <v>0</v>
      </c>
      <c r="AH1009" s="43">
        <v>5000000000</v>
      </c>
      <c r="AI1009" s="43">
        <f t="shared" ref="AI1009" si="352">AE1009-AF1009+AG1009-AH1009</f>
        <v>-5000000000</v>
      </c>
      <c r="AJ1009" s="44">
        <f t="shared" ref="AJ1009" si="353">AD1009+AI1009</f>
        <v>0</v>
      </c>
      <c r="AK1009" s="44">
        <v>0</v>
      </c>
      <c r="AL1009" s="44">
        <v>0</v>
      </c>
      <c r="AM1009" s="44">
        <v>0</v>
      </c>
      <c r="AN1009" s="44">
        <v>0</v>
      </c>
      <c r="AO1009" s="44">
        <v>0</v>
      </c>
      <c r="AP1009" s="44">
        <v>0</v>
      </c>
      <c r="AQ1009" s="44">
        <v>0</v>
      </c>
      <c r="AR1009" s="44">
        <v>0</v>
      </c>
      <c r="AS1009" s="44">
        <v>0</v>
      </c>
      <c r="AT1009" s="40">
        <f t="shared" ref="AT1009" si="354">AQ1009+AS1009</f>
        <v>0</v>
      </c>
      <c r="AU1009" s="18">
        <f>AJ1009-AM1009</f>
        <v>0</v>
      </c>
      <c r="AV1009" s="133">
        <f>AM1009-AP1009</f>
        <v>0</v>
      </c>
      <c r="AW1009" s="34">
        <f>AP1009-AT1009</f>
        <v>0</v>
      </c>
      <c r="AX1009" s="123">
        <v>0</v>
      </c>
    </row>
    <row r="1010" spans="1:50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1" t="s">
        <v>1119</v>
      </c>
      <c r="AB1010" s="42" t="s">
        <v>1015</v>
      </c>
      <c r="AC1010" s="43"/>
      <c r="AD1010" s="44">
        <v>0</v>
      </c>
      <c r="AE1010" s="43">
        <v>150000000</v>
      </c>
      <c r="AF1010" s="44">
        <v>0</v>
      </c>
      <c r="AG1010" s="44">
        <v>0</v>
      </c>
      <c r="AH1010" s="43">
        <v>150000000</v>
      </c>
      <c r="AI1010" s="43">
        <f>AE1010-AF1010+AG1010-AH1010</f>
        <v>0</v>
      </c>
      <c r="AJ1010" s="44">
        <f>AD1010+AI1010</f>
        <v>0</v>
      </c>
      <c r="AK1010" s="44">
        <v>0</v>
      </c>
      <c r="AL1010" s="44">
        <v>0</v>
      </c>
      <c r="AM1010" s="44">
        <v>0</v>
      </c>
      <c r="AN1010" s="44">
        <v>0</v>
      </c>
      <c r="AO1010" s="44">
        <v>0</v>
      </c>
      <c r="AP1010" s="44">
        <v>0</v>
      </c>
      <c r="AQ1010" s="44">
        <v>0</v>
      </c>
      <c r="AR1010" s="44">
        <v>0</v>
      </c>
      <c r="AS1010" s="44">
        <v>0</v>
      </c>
      <c r="AT1010" s="40">
        <f t="shared" ref="AT1010" si="355">AQ1010+AS1010</f>
        <v>0</v>
      </c>
      <c r="AU1010" s="18">
        <f>AJ1010-AM1010</f>
        <v>0</v>
      </c>
      <c r="AV1010" s="133">
        <f>AM1010-AP1010</f>
        <v>0</v>
      </c>
      <c r="AW1010" s="34">
        <f>AP1010-AT1010</f>
        <v>0</v>
      </c>
      <c r="AX1010" s="123">
        <v>0</v>
      </c>
    </row>
    <row r="1011" spans="1:50" ht="25.5" x14ac:dyDescent="0.2">
      <c r="AA1011" s="28" t="s">
        <v>288</v>
      </c>
      <c r="AB1011" s="29" t="s">
        <v>698</v>
      </c>
      <c r="AC1011" s="17"/>
      <c r="AD1011" s="18"/>
      <c r="AE1011" s="18"/>
      <c r="AF1011" s="18"/>
      <c r="AG1011" s="18"/>
      <c r="AH1011" s="18"/>
      <c r="AI1011" s="18"/>
      <c r="AJ1011" s="18"/>
      <c r="AK1011" s="34"/>
      <c r="AL1011" s="34"/>
      <c r="AM1011" s="34"/>
      <c r="AN1011" s="34"/>
      <c r="AO1011" s="34"/>
      <c r="AP1011" s="34"/>
      <c r="AQ1011" s="18"/>
      <c r="AR1011" s="18"/>
      <c r="AS1011" s="18"/>
      <c r="AT1011" s="39"/>
      <c r="AU1011" s="18"/>
      <c r="AV1011" s="34"/>
      <c r="AW1011" s="34"/>
      <c r="AX1011" s="18"/>
    </row>
    <row r="1012" spans="1:50" x14ac:dyDescent="0.2">
      <c r="A1012" s="4" t="s">
        <v>55</v>
      </c>
      <c r="B1012" s="4" t="s">
        <v>56</v>
      </c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1" t="s">
        <v>699</v>
      </c>
      <c r="AB1012" s="42" t="s">
        <v>233</v>
      </c>
      <c r="AC1012" s="43" t="s">
        <v>58</v>
      </c>
      <c r="AD1012" s="43">
        <v>4500000000</v>
      </c>
      <c r="AE1012" s="44">
        <v>0</v>
      </c>
      <c r="AF1012" s="44">
        <v>0</v>
      </c>
      <c r="AG1012" s="44">
        <v>0</v>
      </c>
      <c r="AH1012" s="44">
        <v>0</v>
      </c>
      <c r="AI1012" s="44">
        <v>0</v>
      </c>
      <c r="AJ1012" s="43">
        <v>4500000000</v>
      </c>
      <c r="AK1012" s="44">
        <v>0</v>
      </c>
      <c r="AL1012" s="44">
        <v>0</v>
      </c>
      <c r="AM1012" s="44">
        <v>0</v>
      </c>
      <c r="AN1012" s="44">
        <v>0</v>
      </c>
      <c r="AO1012" s="44">
        <v>0</v>
      </c>
      <c r="AP1012" s="44">
        <v>0</v>
      </c>
      <c r="AQ1012" s="44">
        <v>0</v>
      </c>
      <c r="AR1012" s="44">
        <v>0</v>
      </c>
      <c r="AS1012" s="44">
        <v>0</v>
      </c>
      <c r="AT1012" s="40">
        <f t="shared" si="350"/>
        <v>0</v>
      </c>
      <c r="AU1012" s="18">
        <f>AJ1012-AM1012</f>
        <v>4500000000</v>
      </c>
      <c r="AV1012" s="133">
        <f>AM1012-AP1012</f>
        <v>0</v>
      </c>
      <c r="AW1012" s="34">
        <f>AP1012-AT1012</f>
        <v>0</v>
      </c>
      <c r="AX1012" s="123">
        <f>AP1012/AJ1012</f>
        <v>0</v>
      </c>
    </row>
    <row r="1013" spans="1:50" x14ac:dyDescent="0.2">
      <c r="AA1013" s="16"/>
      <c r="AB1013" s="17"/>
      <c r="AC1013" s="17"/>
      <c r="AD1013" s="18"/>
      <c r="AE1013" s="34"/>
      <c r="AF1013" s="34"/>
      <c r="AG1013" s="34"/>
      <c r="AH1013" s="34"/>
      <c r="AI1013" s="34"/>
      <c r="AJ1013" s="18"/>
      <c r="AK1013" s="34"/>
      <c r="AL1013" s="34"/>
      <c r="AM1013" s="34"/>
      <c r="AN1013" s="34"/>
      <c r="AO1013" s="34"/>
      <c r="AP1013" s="34"/>
      <c r="AQ1013" s="34"/>
      <c r="AR1013" s="34"/>
      <c r="AS1013" s="34"/>
      <c r="AT1013" s="31"/>
      <c r="AU1013" s="18"/>
      <c r="AV1013" s="34"/>
      <c r="AW1013" s="34"/>
      <c r="AX1013" s="18"/>
    </row>
    <row r="1014" spans="1:50" ht="25.5" x14ac:dyDescent="0.2">
      <c r="AA1014" s="16"/>
      <c r="AB1014" s="29" t="s">
        <v>197</v>
      </c>
      <c r="AC1014" s="17"/>
      <c r="AD1014" s="18"/>
      <c r="AE1014" s="34"/>
      <c r="AF1014" s="34"/>
      <c r="AG1014" s="34"/>
      <c r="AH1014" s="34"/>
      <c r="AI1014" s="34"/>
      <c r="AJ1014" s="18"/>
      <c r="AK1014" s="34"/>
      <c r="AL1014" s="34"/>
      <c r="AM1014" s="34"/>
      <c r="AN1014" s="34"/>
      <c r="AO1014" s="34"/>
      <c r="AP1014" s="34"/>
      <c r="AQ1014" s="34"/>
      <c r="AR1014" s="34"/>
      <c r="AS1014" s="34"/>
      <c r="AT1014" s="31"/>
      <c r="AU1014" s="18"/>
      <c r="AV1014" s="34"/>
      <c r="AW1014" s="34"/>
      <c r="AX1014" s="18"/>
    </row>
    <row r="1015" spans="1:50" ht="25.5" x14ac:dyDescent="0.2">
      <c r="AA1015" s="28" t="s">
        <v>288</v>
      </c>
      <c r="AB1015" s="29" t="s">
        <v>700</v>
      </c>
      <c r="AC1015" s="17"/>
      <c r="AD1015" s="18"/>
      <c r="AE1015" s="34"/>
      <c r="AF1015" s="34"/>
      <c r="AG1015" s="34"/>
      <c r="AH1015" s="34"/>
      <c r="AI1015" s="34"/>
      <c r="AJ1015" s="18"/>
      <c r="AK1015" s="34"/>
      <c r="AL1015" s="34"/>
      <c r="AM1015" s="34"/>
      <c r="AN1015" s="34"/>
      <c r="AO1015" s="34"/>
      <c r="AP1015" s="34"/>
      <c r="AQ1015" s="34"/>
      <c r="AR1015" s="34"/>
      <c r="AS1015" s="34"/>
      <c r="AT1015" s="31"/>
      <c r="AU1015" s="18"/>
      <c r="AV1015" s="34"/>
      <c r="AW1015" s="34"/>
      <c r="AX1015" s="18"/>
    </row>
    <row r="1016" spans="1:50" x14ac:dyDescent="0.2">
      <c r="A1016" s="4" t="s">
        <v>55</v>
      </c>
      <c r="B1016" s="4" t="s">
        <v>56</v>
      </c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1" t="s">
        <v>701</v>
      </c>
      <c r="AB1016" s="42" t="s">
        <v>233</v>
      </c>
      <c r="AC1016" s="43" t="s">
        <v>58</v>
      </c>
      <c r="AD1016" s="43">
        <v>4500000000</v>
      </c>
      <c r="AE1016" s="44">
        <v>0</v>
      </c>
      <c r="AF1016" s="44">
        <v>0</v>
      </c>
      <c r="AG1016" s="44">
        <v>0</v>
      </c>
      <c r="AH1016" s="44">
        <v>0</v>
      </c>
      <c r="AI1016" s="44">
        <v>0</v>
      </c>
      <c r="AJ1016" s="43">
        <v>4500000000</v>
      </c>
      <c r="AK1016" s="44">
        <v>0</v>
      </c>
      <c r="AL1016" s="44">
        <v>0</v>
      </c>
      <c r="AM1016" s="43">
        <v>1755606000</v>
      </c>
      <c r="AN1016" s="44">
        <v>0</v>
      </c>
      <c r="AO1016" s="44">
        <v>0</v>
      </c>
      <c r="AP1016" s="44">
        <v>0</v>
      </c>
      <c r="AQ1016" s="44">
        <v>0</v>
      </c>
      <c r="AR1016" s="44">
        <v>0</v>
      </c>
      <c r="AS1016" s="44">
        <v>0</v>
      </c>
      <c r="AT1016" s="40">
        <f t="shared" si="350"/>
        <v>0</v>
      </c>
      <c r="AU1016" s="18">
        <f>AJ1016-AM1016</f>
        <v>2744394000</v>
      </c>
      <c r="AV1016" s="18">
        <f>AM1016-AP1016</f>
        <v>1755606000</v>
      </c>
      <c r="AW1016" s="34">
        <f>AP1016-AT1016</f>
        <v>0</v>
      </c>
      <c r="AX1016" s="123">
        <f>AP1016/AJ1016</f>
        <v>0</v>
      </c>
    </row>
    <row r="1017" spans="1:50" x14ac:dyDescent="0.2">
      <c r="AA1017" s="28" t="s">
        <v>288</v>
      </c>
      <c r="AB1017" s="29" t="s">
        <v>400</v>
      </c>
      <c r="AC1017" s="17"/>
      <c r="AD1017" s="18"/>
      <c r="AE1017" s="34"/>
      <c r="AF1017" s="34"/>
      <c r="AG1017" s="34"/>
      <c r="AH1017" s="34"/>
      <c r="AI1017" s="34"/>
      <c r="AJ1017" s="18"/>
      <c r="AK1017" s="34"/>
      <c r="AL1017" s="34"/>
      <c r="AM1017" s="18"/>
      <c r="AN1017" s="34"/>
      <c r="AO1017" s="34"/>
      <c r="AP1017" s="18"/>
      <c r="AQ1017" s="18"/>
      <c r="AR1017" s="18"/>
      <c r="AS1017" s="18"/>
      <c r="AT1017" s="31"/>
      <c r="AU1017" s="18"/>
      <c r="AV1017" s="18"/>
      <c r="AW1017" s="18"/>
      <c r="AX1017" s="18"/>
    </row>
    <row r="1018" spans="1:50" x14ac:dyDescent="0.2">
      <c r="A1018" s="4" t="s">
        <v>55</v>
      </c>
      <c r="B1018" s="4" t="s">
        <v>56</v>
      </c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1" t="s">
        <v>401</v>
      </c>
      <c r="AB1018" s="42" t="s">
        <v>233</v>
      </c>
      <c r="AC1018" s="43" t="s">
        <v>58</v>
      </c>
      <c r="AD1018" s="43">
        <v>4899360013</v>
      </c>
      <c r="AE1018" s="44">
        <v>0</v>
      </c>
      <c r="AF1018" s="44">
        <v>0</v>
      </c>
      <c r="AG1018" s="44">
        <v>0</v>
      </c>
      <c r="AH1018" s="44">
        <v>0</v>
      </c>
      <c r="AI1018" s="44">
        <v>0</v>
      </c>
      <c r="AJ1018" s="43">
        <v>4899360013</v>
      </c>
      <c r="AK1018" s="43">
        <v>0</v>
      </c>
      <c r="AL1018" s="43">
        <v>137450000</v>
      </c>
      <c r="AM1018" s="43">
        <v>1889902618</v>
      </c>
      <c r="AN1018" s="43">
        <v>0</v>
      </c>
      <c r="AO1018" s="43">
        <v>110750000</v>
      </c>
      <c r="AP1018" s="43">
        <v>1847902618</v>
      </c>
      <c r="AQ1018" s="43">
        <v>52450238</v>
      </c>
      <c r="AR1018" s="43">
        <v>161666905</v>
      </c>
      <c r="AS1018" s="43">
        <v>477007382</v>
      </c>
      <c r="AT1018" s="111">
        <f t="shared" si="350"/>
        <v>529457620</v>
      </c>
      <c r="AU1018" s="18">
        <f>AJ1018-AM1018</f>
        <v>3009457395</v>
      </c>
      <c r="AV1018" s="18">
        <f>AM1018-AP1018</f>
        <v>42000000</v>
      </c>
      <c r="AW1018" s="18">
        <f>AP1018-AT1018</f>
        <v>1318444998</v>
      </c>
      <c r="AX1018" s="123">
        <f>AP1018/AJ1018</f>
        <v>0.37717224557835327</v>
      </c>
    </row>
    <row r="1019" spans="1:50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1" t="s">
        <v>401</v>
      </c>
      <c r="AB1019" s="42" t="s">
        <v>1015</v>
      </c>
      <c r="AC1019" s="43"/>
      <c r="AD1019" s="44">
        <v>0</v>
      </c>
      <c r="AE1019" s="43">
        <v>533723107.06</v>
      </c>
      <c r="AF1019" s="44">
        <v>0</v>
      </c>
      <c r="AG1019" s="44">
        <v>0</v>
      </c>
      <c r="AH1019" s="44">
        <v>0</v>
      </c>
      <c r="AI1019" s="43">
        <f>AE1019-AF1019+AG1019-AH1019</f>
        <v>533723107.06</v>
      </c>
      <c r="AJ1019" s="43">
        <f>AD1019+AI1019</f>
        <v>533723107.06</v>
      </c>
      <c r="AK1019" s="44">
        <v>0</v>
      </c>
      <c r="AL1019" s="44">
        <v>0</v>
      </c>
      <c r="AM1019" s="43">
        <v>0</v>
      </c>
      <c r="AN1019" s="44">
        <v>0</v>
      </c>
      <c r="AO1019" s="44">
        <v>0</v>
      </c>
      <c r="AP1019" s="43">
        <v>0</v>
      </c>
      <c r="AQ1019" s="43">
        <v>0</v>
      </c>
      <c r="AR1019" s="43">
        <v>0</v>
      </c>
      <c r="AS1019" s="43">
        <v>0</v>
      </c>
      <c r="AT1019" s="111">
        <f t="shared" ref="AT1019" si="356">AQ1019+AS1019</f>
        <v>0</v>
      </c>
      <c r="AU1019" s="18">
        <f>AJ1019-AM1019</f>
        <v>533723107.06</v>
      </c>
      <c r="AV1019" s="18">
        <f>AM1019-AP1019</f>
        <v>0</v>
      </c>
      <c r="AW1019" s="18">
        <f>AP1019-AT1019</f>
        <v>0</v>
      </c>
      <c r="AX1019" s="123">
        <f>AP1019/AJ1019</f>
        <v>0</v>
      </c>
    </row>
    <row r="1020" spans="1:50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1"/>
      <c r="AB1020" s="42"/>
      <c r="AC1020" s="43"/>
      <c r="AD1020" s="44"/>
      <c r="AE1020" s="43"/>
      <c r="AF1020" s="44"/>
      <c r="AG1020" s="44"/>
      <c r="AH1020" s="44"/>
      <c r="AI1020" s="44"/>
      <c r="AJ1020" s="43"/>
      <c r="AK1020" s="44"/>
      <c r="AL1020" s="44"/>
      <c r="AM1020" s="43"/>
      <c r="AN1020" s="44"/>
      <c r="AO1020" s="44"/>
      <c r="AP1020" s="43"/>
      <c r="AQ1020" s="43"/>
      <c r="AR1020" s="43"/>
      <c r="AS1020" s="43"/>
      <c r="AT1020" s="111"/>
      <c r="AU1020" s="18"/>
      <c r="AV1020" s="18"/>
      <c r="AW1020" s="18"/>
      <c r="AX1020" s="123"/>
    </row>
    <row r="1021" spans="1:50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73" t="s">
        <v>1016</v>
      </c>
      <c r="AB1021" s="74" t="s">
        <v>1068</v>
      </c>
      <c r="AC1021" s="43"/>
      <c r="AD1021" s="44"/>
      <c r="AE1021" s="43"/>
      <c r="AF1021" s="44"/>
      <c r="AG1021" s="44"/>
      <c r="AH1021" s="44"/>
      <c r="AI1021" s="44"/>
      <c r="AJ1021" s="43"/>
      <c r="AK1021" s="44"/>
      <c r="AL1021" s="44"/>
      <c r="AM1021" s="43"/>
      <c r="AN1021" s="44"/>
      <c r="AO1021" s="44"/>
      <c r="AP1021" s="43"/>
      <c r="AQ1021" s="43"/>
      <c r="AR1021" s="43"/>
      <c r="AS1021" s="43"/>
      <c r="AT1021" s="111"/>
      <c r="AU1021" s="18"/>
      <c r="AV1021" s="18"/>
      <c r="AW1021" s="18"/>
      <c r="AX1021" s="123"/>
    </row>
    <row r="1022" spans="1:50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73" t="s">
        <v>1017</v>
      </c>
      <c r="AB1022" s="74" t="s">
        <v>1069</v>
      </c>
      <c r="AC1022" s="43"/>
      <c r="AD1022" s="44"/>
      <c r="AE1022" s="43"/>
      <c r="AF1022" s="44"/>
      <c r="AG1022" s="44"/>
      <c r="AH1022" s="44"/>
      <c r="AI1022" s="44"/>
      <c r="AJ1022" s="43"/>
      <c r="AK1022" s="44"/>
      <c r="AL1022" s="44"/>
      <c r="AM1022" s="43"/>
      <c r="AN1022" s="44"/>
      <c r="AO1022" s="44"/>
      <c r="AP1022" s="43"/>
      <c r="AQ1022" s="43"/>
      <c r="AR1022" s="43"/>
      <c r="AS1022" s="43"/>
      <c r="AT1022" s="111"/>
      <c r="AU1022" s="18"/>
      <c r="AV1022" s="18"/>
      <c r="AW1022" s="18"/>
      <c r="AX1022" s="123"/>
    </row>
    <row r="1023" spans="1:50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73" t="s">
        <v>1018</v>
      </c>
      <c r="AB1023" s="74" t="s">
        <v>286</v>
      </c>
      <c r="AC1023" s="43"/>
      <c r="AD1023" s="44"/>
      <c r="AE1023" s="43"/>
      <c r="AF1023" s="44"/>
      <c r="AG1023" s="44"/>
      <c r="AH1023" s="44"/>
      <c r="AI1023" s="44"/>
      <c r="AJ1023" s="43"/>
      <c r="AK1023" s="44"/>
      <c r="AL1023" s="44"/>
      <c r="AM1023" s="43"/>
      <c r="AN1023" s="44"/>
      <c r="AO1023" s="44"/>
      <c r="AP1023" s="43"/>
      <c r="AQ1023" s="43"/>
      <c r="AR1023" s="43"/>
      <c r="AS1023" s="43"/>
      <c r="AT1023" s="111"/>
      <c r="AU1023" s="18"/>
      <c r="AV1023" s="18"/>
      <c r="AW1023" s="18"/>
      <c r="AX1023" s="123"/>
    </row>
    <row r="1024" spans="1:50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73" t="s">
        <v>1021</v>
      </c>
      <c r="AB1024" s="74" t="s">
        <v>1070</v>
      </c>
      <c r="AC1024" s="43"/>
      <c r="AD1024" s="44"/>
      <c r="AE1024" s="43"/>
      <c r="AF1024" s="44"/>
      <c r="AG1024" s="44"/>
      <c r="AH1024" s="44"/>
      <c r="AI1024" s="44"/>
      <c r="AJ1024" s="43"/>
      <c r="AK1024" s="44"/>
      <c r="AL1024" s="44"/>
      <c r="AM1024" s="43"/>
      <c r="AN1024" s="44"/>
      <c r="AO1024" s="44"/>
      <c r="AP1024" s="43"/>
      <c r="AQ1024" s="43"/>
      <c r="AR1024" s="43"/>
      <c r="AS1024" s="43"/>
      <c r="AT1024" s="111"/>
      <c r="AU1024" s="18"/>
      <c r="AV1024" s="18"/>
      <c r="AW1024" s="18"/>
      <c r="AX1024" s="123"/>
    </row>
    <row r="1025" spans="1:50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1" t="s">
        <v>1019</v>
      </c>
      <c r="AB1025" s="42" t="s">
        <v>1005</v>
      </c>
      <c r="AC1025" s="43"/>
      <c r="AD1025" s="44">
        <v>0</v>
      </c>
      <c r="AE1025" s="43">
        <v>546274807</v>
      </c>
      <c r="AF1025" s="44">
        <v>0</v>
      </c>
      <c r="AG1025" s="44">
        <v>0</v>
      </c>
      <c r="AH1025" s="44">
        <v>0</v>
      </c>
      <c r="AI1025" s="43">
        <f>AE1025-AF1025+AG1025-AH1025</f>
        <v>546274807</v>
      </c>
      <c r="AJ1025" s="43">
        <f>AD1025+AI1025</f>
        <v>546274807</v>
      </c>
      <c r="AK1025" s="44">
        <v>0</v>
      </c>
      <c r="AL1025" s="44">
        <v>0</v>
      </c>
      <c r="AM1025" s="43">
        <v>0</v>
      </c>
      <c r="AN1025" s="44">
        <v>0</v>
      </c>
      <c r="AO1025" s="44">
        <v>0</v>
      </c>
      <c r="AP1025" s="43">
        <v>0</v>
      </c>
      <c r="AQ1025" s="43">
        <v>0</v>
      </c>
      <c r="AR1025" s="43">
        <v>0</v>
      </c>
      <c r="AS1025" s="43">
        <v>0</v>
      </c>
      <c r="AT1025" s="111">
        <f t="shared" ref="AT1025" si="357">AQ1025+AS1025</f>
        <v>0</v>
      </c>
      <c r="AU1025" s="18">
        <f>AJ1025-AM1025</f>
        <v>546274807</v>
      </c>
      <c r="AV1025" s="18">
        <f>AM1025-AP1025</f>
        <v>0</v>
      </c>
      <c r="AW1025" s="18">
        <f>AP1025-AT1025</f>
        <v>0</v>
      </c>
      <c r="AX1025" s="123">
        <f>AP1025/AJ1025</f>
        <v>0</v>
      </c>
    </row>
    <row r="1026" spans="1:50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1"/>
      <c r="AB1026" s="42"/>
      <c r="AC1026" s="43"/>
      <c r="AD1026" s="43"/>
      <c r="AE1026" s="43"/>
      <c r="AF1026" s="44"/>
      <c r="AG1026" s="44"/>
      <c r="AH1026" s="44"/>
      <c r="AI1026" s="44"/>
      <c r="AJ1026" s="43"/>
      <c r="AK1026" s="44"/>
      <c r="AL1026" s="44"/>
      <c r="AM1026" s="43"/>
      <c r="AN1026" s="44"/>
      <c r="AO1026" s="44"/>
      <c r="AP1026" s="43"/>
      <c r="AQ1026" s="43"/>
      <c r="AR1026" s="43"/>
      <c r="AS1026" s="43"/>
      <c r="AT1026" s="111"/>
      <c r="AU1026" s="18"/>
      <c r="AV1026" s="18"/>
      <c r="AW1026" s="18"/>
      <c r="AX1026" s="123"/>
    </row>
    <row r="1027" spans="1:50" s="50" customFormat="1" x14ac:dyDescent="0.2">
      <c r="B1027" s="77"/>
      <c r="C1027" s="77"/>
      <c r="D1027" s="77"/>
      <c r="E1027" s="77"/>
      <c r="F1027" s="77"/>
      <c r="G1027" s="77"/>
      <c r="H1027" s="77"/>
      <c r="I1027" s="77"/>
      <c r="J1027" s="77"/>
      <c r="K1027" s="77"/>
      <c r="L1027" s="77"/>
      <c r="M1027" s="77"/>
      <c r="N1027" s="77"/>
      <c r="O1027" s="77"/>
      <c r="P1027" s="77"/>
      <c r="Q1027" s="77"/>
      <c r="R1027" s="77"/>
      <c r="S1027" s="77"/>
      <c r="T1027" s="77"/>
      <c r="U1027" s="77"/>
      <c r="V1027" s="77"/>
      <c r="W1027" s="77"/>
      <c r="X1027" s="77"/>
      <c r="Y1027" s="77"/>
      <c r="Z1027" s="77"/>
      <c r="AA1027" s="46"/>
      <c r="AB1027" s="47" t="s">
        <v>702</v>
      </c>
      <c r="AC1027" s="47"/>
      <c r="AD1027" s="48">
        <f t="shared" ref="AD1027:AW1027" si="358">SUM(AD1001:AD1026)</f>
        <v>38899360013</v>
      </c>
      <c r="AE1027" s="48">
        <f t="shared" si="358"/>
        <v>2729997914.0599999</v>
      </c>
      <c r="AF1027" s="49">
        <f t="shared" si="358"/>
        <v>0</v>
      </c>
      <c r="AG1027" s="49">
        <f t="shared" si="358"/>
        <v>0</v>
      </c>
      <c r="AH1027" s="48">
        <f t="shared" si="358"/>
        <v>16081000000</v>
      </c>
      <c r="AI1027" s="48">
        <f t="shared" si="358"/>
        <v>-13351002085.940001</v>
      </c>
      <c r="AJ1027" s="48">
        <f t="shared" si="358"/>
        <v>25548357927.060001</v>
      </c>
      <c r="AK1027" s="49">
        <f t="shared" si="358"/>
        <v>0</v>
      </c>
      <c r="AL1027" s="48">
        <f t="shared" si="358"/>
        <v>137450000</v>
      </c>
      <c r="AM1027" s="48">
        <f t="shared" si="358"/>
        <v>12573009118</v>
      </c>
      <c r="AN1027" s="48">
        <f t="shared" si="358"/>
        <v>0</v>
      </c>
      <c r="AO1027" s="48">
        <f t="shared" si="358"/>
        <v>110750000</v>
      </c>
      <c r="AP1027" s="48">
        <f t="shared" si="358"/>
        <v>10775403118</v>
      </c>
      <c r="AQ1027" s="48">
        <f t="shared" si="358"/>
        <v>52450238</v>
      </c>
      <c r="AR1027" s="48">
        <f t="shared" si="358"/>
        <v>1089167405</v>
      </c>
      <c r="AS1027" s="48">
        <f t="shared" si="358"/>
        <v>9404507882</v>
      </c>
      <c r="AT1027" s="48">
        <f t="shared" si="358"/>
        <v>9456958120</v>
      </c>
      <c r="AU1027" s="48">
        <f t="shared" si="358"/>
        <v>12975348809.059999</v>
      </c>
      <c r="AV1027" s="48">
        <f t="shared" si="358"/>
        <v>1797606000</v>
      </c>
      <c r="AW1027" s="48">
        <f t="shared" si="358"/>
        <v>1318444998</v>
      </c>
      <c r="AX1027" s="24">
        <f>AP1027/AJ1027</f>
        <v>0.42176499752992103</v>
      </c>
    </row>
    <row r="1028" spans="1:50" x14ac:dyDescent="0.2">
      <c r="AA1028" s="16"/>
      <c r="AB1028" s="17"/>
      <c r="AC1028" s="17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</row>
    <row r="1029" spans="1:50" s="25" customFormat="1" x14ac:dyDescent="0.2">
      <c r="B1029" s="71"/>
      <c r="C1029" s="71"/>
      <c r="D1029" s="71"/>
      <c r="E1029" s="71"/>
      <c r="F1029" s="71"/>
      <c r="G1029" s="71"/>
      <c r="H1029" s="71"/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71"/>
      <c r="T1029" s="71"/>
      <c r="U1029" s="71"/>
      <c r="V1029" s="71"/>
      <c r="W1029" s="71"/>
      <c r="X1029" s="71"/>
      <c r="Y1029" s="71"/>
      <c r="Z1029" s="71"/>
      <c r="AA1029" s="66"/>
      <c r="AB1029" s="21" t="s">
        <v>703</v>
      </c>
      <c r="AC1029" s="67"/>
      <c r="AD1029" s="63"/>
      <c r="AE1029" s="63"/>
      <c r="AF1029" s="63"/>
      <c r="AG1029" s="63"/>
      <c r="AH1029" s="63"/>
      <c r="AI1029" s="63"/>
      <c r="AJ1029" s="63"/>
      <c r="AK1029" s="63"/>
      <c r="AL1029" s="63"/>
      <c r="AM1029" s="63"/>
      <c r="AN1029" s="63"/>
      <c r="AO1029" s="63"/>
      <c r="AP1029" s="63"/>
      <c r="AQ1029" s="63"/>
      <c r="AR1029" s="63"/>
      <c r="AS1029" s="63"/>
      <c r="AT1029" s="63"/>
      <c r="AU1029" s="63"/>
      <c r="AV1029" s="63"/>
      <c r="AW1029" s="63"/>
      <c r="AX1029" s="63"/>
    </row>
    <row r="1030" spans="1:50" x14ac:dyDescent="0.2">
      <c r="AA1030" s="16"/>
      <c r="AB1030" s="29" t="s">
        <v>676</v>
      </c>
      <c r="AC1030" s="17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</row>
    <row r="1031" spans="1:50" ht="18.75" customHeight="1" x14ac:dyDescent="0.2">
      <c r="AA1031" s="16"/>
      <c r="AB1031" s="29" t="s">
        <v>286</v>
      </c>
      <c r="AC1031" s="17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</row>
    <row r="1032" spans="1:50" ht="18.75" customHeight="1" x14ac:dyDescent="0.2">
      <c r="AA1032" s="16"/>
      <c r="AB1032" s="29" t="s">
        <v>179</v>
      </c>
      <c r="AC1032" s="17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</row>
    <row r="1033" spans="1:50" ht="18.75" customHeight="1" x14ac:dyDescent="0.2">
      <c r="AA1033" s="16"/>
      <c r="AB1033" s="29" t="s">
        <v>189</v>
      </c>
      <c r="AC1033" s="17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</row>
    <row r="1034" spans="1:50" ht="18.75" customHeight="1" x14ac:dyDescent="0.2">
      <c r="AA1034" s="16"/>
      <c r="AB1034" s="29" t="s">
        <v>199</v>
      </c>
      <c r="AC1034" s="17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30"/>
      <c r="AU1034" s="18"/>
      <c r="AV1034" s="18"/>
      <c r="AW1034" s="18"/>
      <c r="AX1034" s="18"/>
    </row>
    <row r="1035" spans="1:50" ht="39" customHeight="1" x14ac:dyDescent="0.2">
      <c r="AA1035" s="170" t="s">
        <v>288</v>
      </c>
      <c r="AB1035" s="165" t="s">
        <v>1124</v>
      </c>
      <c r="AC1035" s="161"/>
      <c r="AD1035" s="18"/>
      <c r="AE1035" s="222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30"/>
      <c r="AU1035" s="18"/>
      <c r="AV1035" s="18"/>
      <c r="AW1035" s="18"/>
      <c r="AX1035" s="18"/>
    </row>
    <row r="1036" spans="1:50" ht="28.5" customHeight="1" x14ac:dyDescent="0.2">
      <c r="AA1036" s="166" t="s">
        <v>1129</v>
      </c>
      <c r="AB1036" s="167" t="s">
        <v>1130</v>
      </c>
      <c r="AC1036" s="161"/>
      <c r="AD1036" s="34">
        <v>0</v>
      </c>
      <c r="AE1036" s="217">
        <v>13266452.33</v>
      </c>
      <c r="AF1036" s="232">
        <v>0</v>
      </c>
      <c r="AG1036" s="34">
        <v>0</v>
      </c>
      <c r="AH1036" s="34">
        <v>0</v>
      </c>
      <c r="AI1036" s="43">
        <f>AE1036-AF1036+AG1036-AH1036</f>
        <v>13266452.33</v>
      </c>
      <c r="AJ1036" s="43">
        <f>AD1036+AI1036</f>
        <v>13266452.33</v>
      </c>
      <c r="AK1036" s="34">
        <v>0</v>
      </c>
      <c r="AL1036" s="34">
        <v>0</v>
      </c>
      <c r="AM1036" s="34">
        <v>0</v>
      </c>
      <c r="AN1036" s="18">
        <v>0</v>
      </c>
      <c r="AO1036" s="18">
        <v>0</v>
      </c>
      <c r="AP1036" s="34">
        <v>0</v>
      </c>
      <c r="AQ1036" s="34">
        <v>0</v>
      </c>
      <c r="AR1036" s="34">
        <v>0</v>
      </c>
      <c r="AS1036" s="34">
        <v>0</v>
      </c>
      <c r="AT1036" s="135">
        <f t="shared" ref="AT1036:AT1038" si="359">AQ1036+AS1036</f>
        <v>0</v>
      </c>
      <c r="AU1036" s="18">
        <f>AJ1036-AM1036</f>
        <v>13266452.33</v>
      </c>
      <c r="AV1036" s="133">
        <f>AM1036-AP1036</f>
        <v>0</v>
      </c>
      <c r="AW1036" s="18">
        <f>AP1036-AT1036</f>
        <v>0</v>
      </c>
      <c r="AX1036" s="123">
        <f>AP1036/AJ1036</f>
        <v>0</v>
      </c>
    </row>
    <row r="1037" spans="1:50" ht="18.75" customHeight="1" x14ac:dyDescent="0.2">
      <c r="AA1037" s="166" t="s">
        <v>1127</v>
      </c>
      <c r="AB1037" s="167" t="s">
        <v>1128</v>
      </c>
      <c r="AC1037" s="161"/>
      <c r="AD1037" s="34">
        <v>0</v>
      </c>
      <c r="AE1037" s="217">
        <v>10555526.43</v>
      </c>
      <c r="AF1037" s="232">
        <v>0</v>
      </c>
      <c r="AG1037" s="34">
        <v>0</v>
      </c>
      <c r="AH1037" s="34">
        <v>0</v>
      </c>
      <c r="AI1037" s="43">
        <f>AE1037-AF1037+AG1037-AH1037</f>
        <v>10555526.43</v>
      </c>
      <c r="AJ1037" s="43">
        <f>AD1037+AI1037</f>
        <v>10555526.43</v>
      </c>
      <c r="AK1037" s="34">
        <v>0</v>
      </c>
      <c r="AL1037" s="34">
        <v>0</v>
      </c>
      <c r="AM1037" s="34">
        <v>0</v>
      </c>
      <c r="AN1037" s="18"/>
      <c r="AO1037" s="18"/>
      <c r="AP1037" s="34">
        <v>0</v>
      </c>
      <c r="AQ1037" s="34">
        <v>0</v>
      </c>
      <c r="AR1037" s="34">
        <v>0</v>
      </c>
      <c r="AS1037" s="34">
        <v>0</v>
      </c>
      <c r="AT1037" s="135">
        <f t="shared" si="359"/>
        <v>0</v>
      </c>
      <c r="AU1037" s="18">
        <f>AJ1037-AM1037</f>
        <v>10555526.43</v>
      </c>
      <c r="AV1037" s="133">
        <f>AM1037-AP1037</f>
        <v>0</v>
      </c>
      <c r="AW1037" s="18">
        <f>AP1037-AT1037</f>
        <v>0</v>
      </c>
      <c r="AX1037" s="123">
        <f>AP1037/AJ1037</f>
        <v>0</v>
      </c>
    </row>
    <row r="1038" spans="1:50" ht="25.5" customHeight="1" x14ac:dyDescent="0.2">
      <c r="AA1038" s="166" t="s">
        <v>1125</v>
      </c>
      <c r="AB1038" s="167" t="s">
        <v>1126</v>
      </c>
      <c r="AC1038" s="161"/>
      <c r="AD1038" s="34">
        <v>0</v>
      </c>
      <c r="AE1038" s="217">
        <v>4178021.24</v>
      </c>
      <c r="AF1038" s="232">
        <v>0</v>
      </c>
      <c r="AG1038" s="34">
        <v>0</v>
      </c>
      <c r="AH1038" s="34">
        <v>0</v>
      </c>
      <c r="AI1038" s="43">
        <f t="shared" ref="AI1038" si="360">AE1038-AF1038+AG1038-AH1038</f>
        <v>4178021.24</v>
      </c>
      <c r="AJ1038" s="43">
        <f t="shared" ref="AJ1038" si="361">AD1038+AI1038</f>
        <v>4178021.24</v>
      </c>
      <c r="AK1038" s="34">
        <v>0</v>
      </c>
      <c r="AL1038" s="34">
        <v>0</v>
      </c>
      <c r="AM1038" s="34">
        <v>0</v>
      </c>
      <c r="AN1038" s="18"/>
      <c r="AO1038" s="18"/>
      <c r="AP1038" s="34">
        <v>0</v>
      </c>
      <c r="AQ1038" s="34">
        <v>0</v>
      </c>
      <c r="AR1038" s="34">
        <v>0</v>
      </c>
      <c r="AS1038" s="34">
        <v>0</v>
      </c>
      <c r="AT1038" s="135">
        <f t="shared" si="359"/>
        <v>0</v>
      </c>
      <c r="AU1038" s="18">
        <f>AJ1038-AM1038</f>
        <v>4178021.24</v>
      </c>
      <c r="AV1038" s="133">
        <f>AM1038-AP1038</f>
        <v>0</v>
      </c>
      <c r="AW1038" s="18">
        <f>AP1038-AT1038</f>
        <v>0</v>
      </c>
      <c r="AX1038" s="123">
        <f>AP1038/AJ1038</f>
        <v>0</v>
      </c>
    </row>
    <row r="1039" spans="1:50" x14ac:dyDescent="0.2">
      <c r="AA1039" s="28" t="s">
        <v>288</v>
      </c>
      <c r="AB1039" s="29" t="s">
        <v>704</v>
      </c>
      <c r="AC1039" s="17"/>
      <c r="AD1039" s="18"/>
      <c r="AE1039" s="18"/>
      <c r="AF1039" s="18"/>
      <c r="AG1039" s="18"/>
      <c r="AH1039" s="18"/>
      <c r="AI1039" s="18"/>
      <c r="AJ1039" s="18"/>
      <c r="AK1039" s="34"/>
      <c r="AL1039" s="34"/>
      <c r="AM1039" s="34"/>
      <c r="AN1039" s="34"/>
      <c r="AO1039" s="34"/>
      <c r="AP1039" s="34"/>
      <c r="AQ1039" s="34"/>
      <c r="AR1039" s="34"/>
      <c r="AS1039" s="34"/>
      <c r="AT1039" s="31"/>
      <c r="AU1039" s="18"/>
      <c r="AV1039" s="18"/>
      <c r="AW1039" s="18"/>
      <c r="AX1039" s="18"/>
    </row>
    <row r="1040" spans="1:50" x14ac:dyDescent="0.2">
      <c r="A1040" s="4" t="s">
        <v>55</v>
      </c>
      <c r="B1040" s="4" t="s">
        <v>56</v>
      </c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1" t="s">
        <v>705</v>
      </c>
      <c r="AB1040" s="42" t="s">
        <v>233</v>
      </c>
      <c r="AC1040" s="43" t="s">
        <v>58</v>
      </c>
      <c r="AD1040" s="43">
        <v>221000000</v>
      </c>
      <c r="AE1040" s="44">
        <v>0</v>
      </c>
      <c r="AF1040" s="44">
        <v>0</v>
      </c>
      <c r="AG1040" s="44">
        <v>0</v>
      </c>
      <c r="AH1040" s="43">
        <v>221000000</v>
      </c>
      <c r="AI1040" s="136">
        <f>AE1040-AF1040+AG1040-AH1040</f>
        <v>-221000000</v>
      </c>
      <c r="AJ1040" s="44">
        <f>AD1040+AI1040</f>
        <v>0</v>
      </c>
      <c r="AK1040" s="44">
        <v>0</v>
      </c>
      <c r="AL1040" s="44">
        <v>0</v>
      </c>
      <c r="AM1040" s="44">
        <v>0</v>
      </c>
      <c r="AN1040" s="44">
        <v>0</v>
      </c>
      <c r="AO1040" s="44">
        <v>0</v>
      </c>
      <c r="AP1040" s="44">
        <v>0</v>
      </c>
      <c r="AQ1040" s="44">
        <v>0</v>
      </c>
      <c r="AR1040" s="44">
        <v>0</v>
      </c>
      <c r="AS1040" s="44">
        <v>0</v>
      </c>
      <c r="AT1040" s="40">
        <f t="shared" ref="AT1040:AT1046" si="362">AQ1040+AS1040</f>
        <v>0</v>
      </c>
      <c r="AU1040" s="34">
        <f>AJ1040-AM1040</f>
        <v>0</v>
      </c>
      <c r="AV1040" s="133">
        <f>AM1040-AP1040</f>
        <v>0</v>
      </c>
      <c r="AW1040" s="34">
        <f>AP1040-AT1040</f>
        <v>0</v>
      </c>
      <c r="AX1040" s="123">
        <v>0</v>
      </c>
    </row>
    <row r="1041" spans="1:50" ht="25.5" x14ac:dyDescent="0.2">
      <c r="AA1041" s="28" t="s">
        <v>288</v>
      </c>
      <c r="AB1041" s="29" t="s">
        <v>706</v>
      </c>
      <c r="AC1041" s="17"/>
      <c r="AD1041" s="18"/>
      <c r="AE1041" s="34"/>
      <c r="AF1041" s="34"/>
      <c r="AG1041" s="34"/>
      <c r="AH1041" s="18"/>
      <c r="AI1041" s="18"/>
      <c r="AJ1041" s="18"/>
      <c r="AK1041" s="34"/>
      <c r="AL1041" s="18"/>
      <c r="AM1041" s="18"/>
      <c r="AN1041" s="18"/>
      <c r="AO1041" s="18"/>
      <c r="AP1041" s="18"/>
      <c r="AQ1041" s="18"/>
      <c r="AR1041" s="18"/>
      <c r="AS1041" s="18"/>
      <c r="AT1041" s="31"/>
      <c r="AU1041" s="18"/>
      <c r="AV1041" s="18"/>
      <c r="AW1041" s="18"/>
      <c r="AX1041" s="18"/>
    </row>
    <row r="1042" spans="1:50" x14ac:dyDescent="0.2">
      <c r="A1042" s="4" t="s">
        <v>55</v>
      </c>
      <c r="B1042" s="4" t="s">
        <v>56</v>
      </c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1" t="s">
        <v>982</v>
      </c>
      <c r="AB1042" s="42" t="s">
        <v>233</v>
      </c>
      <c r="AC1042" s="43" t="s">
        <v>58</v>
      </c>
      <c r="AD1042" s="43">
        <v>2458264706</v>
      </c>
      <c r="AE1042" s="44">
        <v>0</v>
      </c>
      <c r="AF1042" s="44">
        <v>0</v>
      </c>
      <c r="AG1042" s="44">
        <v>0</v>
      </c>
      <c r="AH1042" s="44">
        <v>0</v>
      </c>
      <c r="AI1042" s="97">
        <f>AE1042-AF1042+AG1042-AH1042</f>
        <v>0</v>
      </c>
      <c r="AJ1042" s="43">
        <f>AD1042+AI1042</f>
        <v>2458264706</v>
      </c>
      <c r="AK1042" s="44">
        <v>0</v>
      </c>
      <c r="AL1042" s="44">
        <v>0</v>
      </c>
      <c r="AM1042" s="43">
        <v>2079364706</v>
      </c>
      <c r="AN1042" s="44">
        <v>0</v>
      </c>
      <c r="AO1042" s="43">
        <v>0</v>
      </c>
      <c r="AP1042" s="43">
        <v>2079364706</v>
      </c>
      <c r="AQ1042" s="43">
        <v>42800000</v>
      </c>
      <c r="AR1042" s="43">
        <v>24120000</v>
      </c>
      <c r="AS1042" s="43">
        <v>67778667</v>
      </c>
      <c r="AT1042" s="111">
        <f t="shared" si="362"/>
        <v>110578667</v>
      </c>
      <c r="AU1042" s="18">
        <f>AJ1042-AM1042</f>
        <v>378900000</v>
      </c>
      <c r="AV1042" s="133">
        <f>AM1042-AP1042</f>
        <v>0</v>
      </c>
      <c r="AW1042" s="18">
        <f>AP1042-AT1042</f>
        <v>1968786039</v>
      </c>
      <c r="AX1042" s="123">
        <f>AP1042/AJ1042</f>
        <v>0.84586688362925222</v>
      </c>
    </row>
    <row r="1043" spans="1:50" ht="38.25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73" t="s">
        <v>288</v>
      </c>
      <c r="AB1043" s="74" t="s">
        <v>1122</v>
      </c>
      <c r="AC1043" s="43"/>
      <c r="AD1043" s="43"/>
      <c r="AE1043" s="44"/>
      <c r="AF1043" s="44"/>
      <c r="AG1043" s="44"/>
      <c r="AH1043" s="44"/>
      <c r="AI1043" s="97"/>
      <c r="AJ1043" s="43"/>
      <c r="AK1043" s="44"/>
      <c r="AL1043" s="44"/>
      <c r="AM1043" s="43"/>
      <c r="AN1043" s="44"/>
      <c r="AO1043" s="43"/>
      <c r="AP1043" s="43"/>
      <c r="AQ1043" s="43"/>
      <c r="AR1043" s="43"/>
      <c r="AS1043" s="43"/>
      <c r="AT1043" s="111"/>
      <c r="AU1043" s="18"/>
      <c r="AV1043" s="133"/>
      <c r="AW1043" s="18"/>
      <c r="AX1043" s="123"/>
    </row>
    <row r="1044" spans="1:50" ht="25.5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1" t="s">
        <v>1123</v>
      </c>
      <c r="AB1044" s="42" t="s">
        <v>1121</v>
      </c>
      <c r="AC1044" s="43"/>
      <c r="AD1044" s="44">
        <v>0</v>
      </c>
      <c r="AE1044" s="43">
        <v>3500000</v>
      </c>
      <c r="AF1044" s="44">
        <v>0</v>
      </c>
      <c r="AG1044" s="44">
        <v>0</v>
      </c>
      <c r="AH1044" s="44">
        <v>0</v>
      </c>
      <c r="AI1044" s="136">
        <f>AE1044-AF1044+AG1044-AH1044</f>
        <v>3500000</v>
      </c>
      <c r="AJ1044" s="43">
        <f>AD1044+AI1044</f>
        <v>3500000</v>
      </c>
      <c r="AK1044" s="44">
        <v>0</v>
      </c>
      <c r="AL1044" s="44">
        <v>0</v>
      </c>
      <c r="AM1044" s="43">
        <v>0</v>
      </c>
      <c r="AN1044" s="44">
        <v>0</v>
      </c>
      <c r="AO1044" s="43">
        <v>0</v>
      </c>
      <c r="AP1044" s="43">
        <v>0</v>
      </c>
      <c r="AQ1044" s="43">
        <v>0</v>
      </c>
      <c r="AR1044" s="43">
        <v>0</v>
      </c>
      <c r="AS1044" s="43">
        <v>0</v>
      </c>
      <c r="AT1044" s="111"/>
      <c r="AU1044" s="18">
        <f>AJ1044-AM1044</f>
        <v>3500000</v>
      </c>
      <c r="AV1044" s="133">
        <f>AM1044-AP1044</f>
        <v>0</v>
      </c>
      <c r="AW1044" s="18">
        <f>AP1044-AT1044</f>
        <v>0</v>
      </c>
      <c r="AX1044" s="123">
        <f>AP1044/AJ1044</f>
        <v>0</v>
      </c>
    </row>
    <row r="1045" spans="1:50" ht="25.5" x14ac:dyDescent="0.2">
      <c r="AA1045" s="28" t="s">
        <v>288</v>
      </c>
      <c r="AB1045" s="29" t="s">
        <v>708</v>
      </c>
      <c r="AC1045" s="17"/>
      <c r="AD1045" s="18"/>
      <c r="AE1045" s="34"/>
      <c r="AF1045" s="34"/>
      <c r="AG1045" s="34"/>
      <c r="AH1045" s="18"/>
      <c r="AI1045" s="18"/>
      <c r="AJ1045" s="18"/>
      <c r="AK1045" s="34"/>
      <c r="AL1045" s="34"/>
      <c r="AM1045" s="18"/>
      <c r="AN1045" s="34"/>
      <c r="AO1045" s="18"/>
      <c r="AP1045" s="18"/>
      <c r="AQ1045" s="18"/>
      <c r="AR1045" s="18"/>
      <c r="AS1045" s="18"/>
      <c r="AT1045" s="31"/>
      <c r="AU1045" s="18"/>
      <c r="AV1045" s="18"/>
      <c r="AW1045" s="18"/>
      <c r="AX1045" s="18"/>
    </row>
    <row r="1046" spans="1:50" x14ac:dyDescent="0.2">
      <c r="A1046" s="4" t="s">
        <v>55</v>
      </c>
      <c r="B1046" s="4" t="s">
        <v>56</v>
      </c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1" t="s">
        <v>709</v>
      </c>
      <c r="AB1046" s="42" t="s">
        <v>233</v>
      </c>
      <c r="AC1046" s="43" t="s">
        <v>58</v>
      </c>
      <c r="AD1046" s="43">
        <v>501500000</v>
      </c>
      <c r="AE1046" s="44">
        <v>0</v>
      </c>
      <c r="AF1046" s="44">
        <v>0</v>
      </c>
      <c r="AG1046" s="43">
        <v>204500000</v>
      </c>
      <c r="AH1046" s="43">
        <v>501500000</v>
      </c>
      <c r="AI1046" s="136">
        <f>AE1046-AF1046+AG1046-AH1046</f>
        <v>-297000000</v>
      </c>
      <c r="AJ1046" s="43">
        <f>AD1046+AI1046</f>
        <v>204500000</v>
      </c>
      <c r="AK1046" s="44">
        <v>0</v>
      </c>
      <c r="AL1046" s="44">
        <v>0</v>
      </c>
      <c r="AM1046" s="43">
        <v>192393333</v>
      </c>
      <c r="AN1046" s="44">
        <v>0</v>
      </c>
      <c r="AO1046" s="43">
        <v>0</v>
      </c>
      <c r="AP1046" s="43">
        <v>192393333</v>
      </c>
      <c r="AQ1046" s="43">
        <v>8340000</v>
      </c>
      <c r="AR1046" s="43">
        <v>16443334</v>
      </c>
      <c r="AS1046" s="43">
        <v>16443334</v>
      </c>
      <c r="AT1046" s="39">
        <f t="shared" si="362"/>
        <v>24783334</v>
      </c>
      <c r="AU1046" s="18">
        <f>AJ1046-AM1046</f>
        <v>12106667</v>
      </c>
      <c r="AV1046" s="18">
        <f>AM1046-AP1046</f>
        <v>0</v>
      </c>
      <c r="AW1046" s="18">
        <f>AP1046-AT1046</f>
        <v>167609999</v>
      </c>
      <c r="AX1046" s="123">
        <f>AP1046/AJ1046</f>
        <v>0.94079869437652808</v>
      </c>
    </row>
    <row r="1047" spans="1:50" x14ac:dyDescent="0.2">
      <c r="AA1047" s="28" t="s">
        <v>288</v>
      </c>
      <c r="AB1047" s="29" t="s">
        <v>710</v>
      </c>
      <c r="AC1047" s="17"/>
      <c r="AD1047" s="18"/>
      <c r="AE1047" s="18"/>
      <c r="AF1047" s="18"/>
      <c r="AG1047" s="18"/>
      <c r="AH1047" s="18"/>
      <c r="AI1047" s="18"/>
      <c r="AJ1047" s="18"/>
      <c r="AK1047" s="34"/>
      <c r="AL1047" s="34"/>
      <c r="AM1047" s="18"/>
      <c r="AN1047" s="34"/>
      <c r="AO1047" s="18"/>
      <c r="AP1047" s="18"/>
      <c r="AQ1047" s="18"/>
      <c r="AR1047" s="18"/>
      <c r="AS1047" s="18"/>
      <c r="AT1047" s="31"/>
      <c r="AU1047" s="18"/>
      <c r="AV1047" s="34"/>
      <c r="AW1047" s="34"/>
      <c r="AX1047" s="18"/>
    </row>
    <row r="1048" spans="1:50" ht="16.5" customHeight="1" x14ac:dyDescent="0.2">
      <c r="A1048" s="4" t="s">
        <v>55</v>
      </c>
      <c r="B1048" s="4" t="s">
        <v>56</v>
      </c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1" t="s">
        <v>711</v>
      </c>
      <c r="AB1048" s="17" t="s">
        <v>233</v>
      </c>
      <c r="AC1048" s="43" t="s">
        <v>58</v>
      </c>
      <c r="AD1048" s="44">
        <v>0</v>
      </c>
      <c r="AE1048" s="44">
        <v>0</v>
      </c>
      <c r="AF1048" s="44">
        <v>0</v>
      </c>
      <c r="AG1048" s="43">
        <v>3086332698</v>
      </c>
      <c r="AH1048" s="44">
        <v>0</v>
      </c>
      <c r="AI1048" s="136">
        <f>AE1048-AF1048+AG1048-AH1048</f>
        <v>3086332698</v>
      </c>
      <c r="AJ1048" s="43">
        <f>AD1048+AI1048</f>
        <v>3086332698</v>
      </c>
      <c r="AK1048" s="44">
        <v>0</v>
      </c>
      <c r="AL1048" s="44">
        <v>0</v>
      </c>
      <c r="AM1048" s="43">
        <v>0</v>
      </c>
      <c r="AN1048" s="44">
        <v>0</v>
      </c>
      <c r="AO1048" s="44">
        <v>0</v>
      </c>
      <c r="AP1048" s="44">
        <v>0</v>
      </c>
      <c r="AQ1048" s="44">
        <v>0</v>
      </c>
      <c r="AR1048" s="44">
        <v>0</v>
      </c>
      <c r="AS1048" s="44">
        <v>0</v>
      </c>
      <c r="AT1048" s="40">
        <f t="shared" ref="AT1048" si="363">AQ1048+AS1048</f>
        <v>0</v>
      </c>
      <c r="AU1048" s="18">
        <f>AJ1048-AM1048</f>
        <v>3086332698</v>
      </c>
      <c r="AV1048" s="133">
        <f>AM1048-AP1048</f>
        <v>0</v>
      </c>
      <c r="AW1048" s="34">
        <f>AP1048-AT1048</f>
        <v>0</v>
      </c>
      <c r="AX1048" s="123">
        <f>AP1048/AJ1048</f>
        <v>0</v>
      </c>
    </row>
    <row r="1049" spans="1:50" ht="16.5" customHeight="1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166" t="s">
        <v>1131</v>
      </c>
      <c r="AB1049" s="167" t="s">
        <v>1015</v>
      </c>
      <c r="AC1049" s="168"/>
      <c r="AD1049" s="44">
        <v>0</v>
      </c>
      <c r="AE1049" s="43">
        <v>2950125891</v>
      </c>
      <c r="AF1049" s="44">
        <v>0</v>
      </c>
      <c r="AG1049" s="44">
        <v>0</v>
      </c>
      <c r="AH1049" s="44">
        <v>0</v>
      </c>
      <c r="AI1049" s="136">
        <f>AE1049-AF1049+AG1049-AH1049</f>
        <v>2950125891</v>
      </c>
      <c r="AJ1049" s="43">
        <f>AD1049+AI1049</f>
        <v>2950125891</v>
      </c>
      <c r="AK1049" s="44">
        <v>0</v>
      </c>
      <c r="AL1049" s="44">
        <v>0</v>
      </c>
      <c r="AM1049" s="43">
        <v>0</v>
      </c>
      <c r="AN1049" s="44">
        <v>0</v>
      </c>
      <c r="AO1049" s="44">
        <v>0</v>
      </c>
      <c r="AP1049" s="44">
        <v>0</v>
      </c>
      <c r="AQ1049" s="44">
        <v>0</v>
      </c>
      <c r="AR1049" s="44">
        <v>0</v>
      </c>
      <c r="AS1049" s="44">
        <v>0</v>
      </c>
      <c r="AT1049" s="40">
        <f t="shared" ref="AT1049" si="364">AQ1049+AS1049</f>
        <v>0</v>
      </c>
      <c r="AU1049" s="18">
        <f>AJ1049-AM1049</f>
        <v>2950125891</v>
      </c>
      <c r="AV1049" s="133">
        <f>AM1049-AP1049</f>
        <v>0</v>
      </c>
      <c r="AW1049" s="34">
        <f>AP1049-AT1049</f>
        <v>0</v>
      </c>
      <c r="AX1049" s="123">
        <f>AP1049/AJ1049</f>
        <v>0</v>
      </c>
    </row>
    <row r="1050" spans="1:50" x14ac:dyDescent="0.2">
      <c r="AA1050" s="169" t="s">
        <v>288</v>
      </c>
      <c r="AB1050" s="163" t="s">
        <v>712</v>
      </c>
      <c r="AC1050" s="17"/>
      <c r="AD1050" s="34"/>
      <c r="AE1050" s="34"/>
      <c r="AF1050" s="34"/>
      <c r="AG1050" s="18"/>
      <c r="AH1050" s="18"/>
      <c r="AI1050" s="18"/>
      <c r="AJ1050" s="18"/>
      <c r="AK1050" s="34"/>
      <c r="AL1050" s="34"/>
      <c r="AM1050" s="34"/>
      <c r="AN1050" s="34"/>
      <c r="AO1050" s="34"/>
      <c r="AP1050" s="34"/>
      <c r="AQ1050" s="18"/>
      <c r="AR1050" s="18"/>
      <c r="AS1050" s="34"/>
      <c r="AT1050" s="31"/>
      <c r="AU1050" s="18"/>
      <c r="AV1050" s="34"/>
      <c r="AW1050" s="34"/>
      <c r="AX1050" s="18"/>
    </row>
    <row r="1051" spans="1:50" x14ac:dyDescent="0.2">
      <c r="A1051" s="4" t="s">
        <v>55</v>
      </c>
      <c r="B1051" s="4" t="s">
        <v>56</v>
      </c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1" t="s">
        <v>713</v>
      </c>
      <c r="AB1051" s="17" t="s">
        <v>233</v>
      </c>
      <c r="AC1051" s="43" t="s">
        <v>58</v>
      </c>
      <c r="AD1051" s="44">
        <v>0</v>
      </c>
      <c r="AE1051" s="44">
        <v>0</v>
      </c>
      <c r="AF1051" s="44">
        <v>0</v>
      </c>
      <c r="AG1051" s="43">
        <v>501500000</v>
      </c>
      <c r="AH1051" s="43">
        <v>204500000</v>
      </c>
      <c r="AI1051" s="136">
        <f>AE1051-AF1051+AG1051-AH1051</f>
        <v>297000000</v>
      </c>
      <c r="AJ1051" s="43">
        <f>AD1051+AI1051</f>
        <v>297000000</v>
      </c>
      <c r="AK1051" s="44">
        <v>0</v>
      </c>
      <c r="AL1051" s="115">
        <v>0</v>
      </c>
      <c r="AM1051" s="114">
        <v>259500000</v>
      </c>
      <c r="AN1051" s="44">
        <v>0</v>
      </c>
      <c r="AO1051" s="114">
        <v>0</v>
      </c>
      <c r="AP1051" s="114">
        <v>259500000</v>
      </c>
      <c r="AQ1051" s="43">
        <v>6000000</v>
      </c>
      <c r="AR1051" s="43">
        <v>33000000</v>
      </c>
      <c r="AS1051" s="43">
        <v>61133334</v>
      </c>
      <c r="AT1051" s="39">
        <f t="shared" ref="AT1051" si="365">AQ1051+AS1051</f>
        <v>67133334</v>
      </c>
      <c r="AU1051" s="18">
        <f>AJ1051-AM1051</f>
        <v>37500000</v>
      </c>
      <c r="AV1051" s="133">
        <f>AM1051-AP1051</f>
        <v>0</v>
      </c>
      <c r="AW1051" s="18">
        <f>AP1051-AT1051</f>
        <v>192366666</v>
      </c>
      <c r="AX1051" s="123">
        <f>AP1051/AJ1051</f>
        <v>0.8737373737373737</v>
      </c>
    </row>
    <row r="1052" spans="1:50" ht="16.5" customHeight="1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170" t="s">
        <v>288</v>
      </c>
      <c r="AB1052" s="165" t="s">
        <v>1132</v>
      </c>
      <c r="AC1052" s="168"/>
      <c r="AD1052" s="44"/>
      <c r="AE1052" s="44"/>
      <c r="AF1052" s="44"/>
      <c r="AG1052" s="43"/>
      <c r="AH1052" s="43"/>
      <c r="AI1052" s="136"/>
      <c r="AJ1052" s="43"/>
      <c r="AK1052" s="44"/>
      <c r="AL1052" s="115"/>
      <c r="AM1052" s="114"/>
      <c r="AN1052" s="44"/>
      <c r="AO1052" s="114"/>
      <c r="AP1052" s="114"/>
      <c r="AQ1052" s="43"/>
      <c r="AR1052" s="43"/>
      <c r="AS1052" s="43"/>
      <c r="AT1052" s="39"/>
      <c r="AU1052" s="18"/>
      <c r="AV1052" s="133"/>
      <c r="AW1052" s="18"/>
      <c r="AX1052" s="123"/>
    </row>
    <row r="1053" spans="1:50" ht="25.5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166" t="s">
        <v>1133</v>
      </c>
      <c r="AB1053" s="167" t="s">
        <v>1044</v>
      </c>
      <c r="AC1053" s="168"/>
      <c r="AD1053" s="44">
        <v>0</v>
      </c>
      <c r="AE1053" s="43">
        <v>128000000</v>
      </c>
      <c r="AF1053" s="44">
        <v>0</v>
      </c>
      <c r="AG1053" s="44">
        <v>0</v>
      </c>
      <c r="AH1053" s="44">
        <v>0</v>
      </c>
      <c r="AI1053" s="136">
        <f>AE1053-AF1053+AG1053-AH1053</f>
        <v>128000000</v>
      </c>
      <c r="AJ1053" s="43">
        <f>AD1053+AI1053</f>
        <v>128000000</v>
      </c>
      <c r="AK1053" s="44">
        <v>0</v>
      </c>
      <c r="AL1053" s="115">
        <v>0</v>
      </c>
      <c r="AM1053" s="114">
        <v>0</v>
      </c>
      <c r="AN1053" s="44">
        <v>0</v>
      </c>
      <c r="AO1053" s="114">
        <v>0</v>
      </c>
      <c r="AP1053" s="114">
        <v>0</v>
      </c>
      <c r="AQ1053" s="43">
        <v>0</v>
      </c>
      <c r="AR1053" s="43">
        <v>0</v>
      </c>
      <c r="AS1053" s="43">
        <v>0</v>
      </c>
      <c r="AT1053" s="39"/>
      <c r="AU1053" s="18">
        <f>AJ1053-AM1053</f>
        <v>128000000</v>
      </c>
      <c r="AV1053" s="133">
        <f>AM1053-AP1053</f>
        <v>0</v>
      </c>
      <c r="AW1053" s="18">
        <f>AP1053-AT1053</f>
        <v>0</v>
      </c>
      <c r="AX1053" s="123">
        <f>AP1053/AJ1053</f>
        <v>0</v>
      </c>
    </row>
    <row r="1054" spans="1:50" ht="25.5" x14ac:dyDescent="0.2">
      <c r="AA1054" s="169" t="s">
        <v>288</v>
      </c>
      <c r="AB1054" s="163" t="s">
        <v>714</v>
      </c>
      <c r="AC1054" s="17"/>
      <c r="AD1054" s="18"/>
      <c r="AE1054" s="18"/>
      <c r="AF1054" s="18"/>
      <c r="AG1054" s="18"/>
      <c r="AH1054" s="18"/>
      <c r="AI1054" s="18"/>
      <c r="AJ1054" s="18"/>
      <c r="AK1054" s="34"/>
      <c r="AL1054" s="34"/>
      <c r="AM1054" s="34"/>
      <c r="AN1054" s="34"/>
      <c r="AO1054" s="34"/>
      <c r="AP1054" s="34"/>
      <c r="AQ1054" s="34"/>
      <c r="AR1054" s="34"/>
      <c r="AS1054" s="34"/>
      <c r="AT1054" s="31"/>
      <c r="AU1054" s="18"/>
      <c r="AV1054" s="34"/>
      <c r="AW1054" s="34"/>
      <c r="AX1054" s="18"/>
    </row>
    <row r="1055" spans="1:50" x14ac:dyDescent="0.2">
      <c r="A1055" s="4" t="s">
        <v>55</v>
      </c>
      <c r="B1055" s="4" t="s">
        <v>56</v>
      </c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1" t="s">
        <v>715</v>
      </c>
      <c r="AB1055" s="17" t="s">
        <v>233</v>
      </c>
      <c r="AC1055" s="43" t="s">
        <v>58</v>
      </c>
      <c r="AD1055" s="43">
        <v>3086332698</v>
      </c>
      <c r="AE1055" s="44">
        <v>0</v>
      </c>
      <c r="AF1055" s="44">
        <v>0</v>
      </c>
      <c r="AG1055" s="44">
        <v>0</v>
      </c>
      <c r="AH1055" s="43">
        <v>3086332698</v>
      </c>
      <c r="AI1055" s="136">
        <f>AE1055-AF1055+AG1055-AH1055</f>
        <v>-3086332698</v>
      </c>
      <c r="AJ1055" s="44">
        <f>AD1055+AI1055</f>
        <v>0</v>
      </c>
      <c r="AK1055" s="44">
        <v>0</v>
      </c>
      <c r="AL1055" s="44">
        <v>0</v>
      </c>
      <c r="AM1055" s="44">
        <v>0</v>
      </c>
      <c r="AN1055" s="44">
        <v>0</v>
      </c>
      <c r="AO1055" s="44">
        <v>0</v>
      </c>
      <c r="AP1055" s="44">
        <v>0</v>
      </c>
      <c r="AQ1055" s="44">
        <v>0</v>
      </c>
      <c r="AR1055" s="44">
        <v>0</v>
      </c>
      <c r="AS1055" s="44">
        <v>0</v>
      </c>
      <c r="AT1055" s="40">
        <f t="shared" ref="AT1055" si="366">AQ1055+AS1055</f>
        <v>0</v>
      </c>
      <c r="AU1055" s="34">
        <f>AJ1055-AM1055</f>
        <v>0</v>
      </c>
      <c r="AV1055" s="133">
        <f>AM1055-AP1055</f>
        <v>0</v>
      </c>
      <c r="AW1055" s="34">
        <f>AP1055-AT1055</f>
        <v>0</v>
      </c>
      <c r="AX1055" s="123">
        <v>0</v>
      </c>
    </row>
    <row r="1056" spans="1:50" ht="25.5" x14ac:dyDescent="0.2">
      <c r="AA1056" s="28" t="s">
        <v>288</v>
      </c>
      <c r="AB1056" s="29" t="s">
        <v>716</v>
      </c>
      <c r="AC1056" s="17"/>
      <c r="AD1056" s="18"/>
      <c r="AE1056" s="34"/>
      <c r="AF1056" s="34"/>
      <c r="AG1056" s="18"/>
      <c r="AH1056" s="18"/>
      <c r="AI1056" s="18"/>
      <c r="AJ1056" s="18"/>
      <c r="AK1056" s="34"/>
      <c r="AL1056" s="34"/>
      <c r="AM1056" s="34"/>
      <c r="AN1056" s="34"/>
      <c r="AO1056" s="34"/>
      <c r="AP1056" s="34"/>
      <c r="AQ1056" s="34"/>
      <c r="AR1056" s="34"/>
      <c r="AS1056" s="34"/>
      <c r="AT1056" s="31"/>
      <c r="AU1056" s="18"/>
      <c r="AV1056" s="34"/>
      <c r="AW1056" s="18"/>
      <c r="AX1056" s="18"/>
    </row>
    <row r="1057" spans="1:50" x14ac:dyDescent="0.2">
      <c r="A1057" s="4" t="s">
        <v>55</v>
      </c>
      <c r="B1057" s="4" t="s">
        <v>56</v>
      </c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1" t="s">
        <v>717</v>
      </c>
      <c r="AB1057" s="17" t="s">
        <v>233</v>
      </c>
      <c r="AC1057" s="43" t="s">
        <v>58</v>
      </c>
      <c r="AD1057" s="44">
        <v>0</v>
      </c>
      <c r="AE1057" s="44">
        <v>0</v>
      </c>
      <c r="AF1057" s="44">
        <v>0</v>
      </c>
      <c r="AG1057" s="43">
        <v>221000000</v>
      </c>
      <c r="AH1057" s="44">
        <v>0</v>
      </c>
      <c r="AI1057" s="136">
        <f>AE1057-AF1057+AG1057-AH1057</f>
        <v>221000000</v>
      </c>
      <c r="AJ1057" s="43">
        <f>AD1057+AI1057</f>
        <v>221000000</v>
      </c>
      <c r="AK1057" s="44">
        <v>0</v>
      </c>
      <c r="AL1057" s="43">
        <v>-7333334</v>
      </c>
      <c r="AM1057" s="43">
        <v>137966666</v>
      </c>
      <c r="AN1057" s="44">
        <v>0</v>
      </c>
      <c r="AO1057" s="43">
        <v>42166666</v>
      </c>
      <c r="AP1057" s="43">
        <v>137966666</v>
      </c>
      <c r="AQ1057" s="43">
        <v>0</v>
      </c>
      <c r="AR1057" s="43">
        <v>8463333</v>
      </c>
      <c r="AS1057" s="43">
        <v>8463333</v>
      </c>
      <c r="AT1057" s="40">
        <f t="shared" ref="AT1057" si="367">AQ1057+AS1057</f>
        <v>8463333</v>
      </c>
      <c r="AU1057" s="18">
        <f>AJ1057-AM1057</f>
        <v>83033334</v>
      </c>
      <c r="AV1057" s="18">
        <f>AM1057-AP1057</f>
        <v>0</v>
      </c>
      <c r="AW1057" s="18">
        <f>AP1057-AT1057</f>
        <v>129503333</v>
      </c>
      <c r="AX1057" s="123">
        <f>AP1057/AJ1057</f>
        <v>0.62428355656108603</v>
      </c>
    </row>
    <row r="1058" spans="1:50" x14ac:dyDescent="0.2">
      <c r="AA1058" s="28" t="s">
        <v>288</v>
      </c>
      <c r="AB1058" s="29" t="s">
        <v>718</v>
      </c>
      <c r="AC1058" s="17"/>
      <c r="AD1058" s="18"/>
      <c r="AE1058" s="34"/>
      <c r="AF1058" s="34"/>
      <c r="AG1058" s="18"/>
      <c r="AH1058" s="18"/>
      <c r="AI1058" s="18"/>
      <c r="AJ1058" s="18"/>
      <c r="AK1058" s="34"/>
      <c r="AL1058" s="18"/>
      <c r="AM1058" s="18"/>
      <c r="AN1058" s="34"/>
      <c r="AO1058" s="18"/>
      <c r="AP1058" s="18"/>
      <c r="AQ1058" s="18"/>
      <c r="AR1058" s="18"/>
      <c r="AS1058" s="18"/>
      <c r="AT1058" s="31"/>
      <c r="AU1058" s="18"/>
      <c r="AV1058" s="18"/>
      <c r="AW1058" s="18"/>
      <c r="AX1058" s="18"/>
    </row>
    <row r="1059" spans="1:50" x14ac:dyDescent="0.2">
      <c r="A1059" s="4" t="s">
        <v>55</v>
      </c>
      <c r="B1059" s="4" t="s">
        <v>56</v>
      </c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1" t="s">
        <v>719</v>
      </c>
      <c r="AB1059" s="42" t="s">
        <v>233</v>
      </c>
      <c r="AC1059" s="43" t="s">
        <v>58</v>
      </c>
      <c r="AD1059" s="43">
        <v>546100000</v>
      </c>
      <c r="AE1059" s="44">
        <v>0</v>
      </c>
      <c r="AF1059" s="44">
        <v>0</v>
      </c>
      <c r="AG1059" s="44">
        <v>0</v>
      </c>
      <c r="AH1059" s="44">
        <v>0</v>
      </c>
      <c r="AI1059" s="44">
        <v>0</v>
      </c>
      <c r="AJ1059" s="43">
        <v>546100000</v>
      </c>
      <c r="AK1059" s="44">
        <v>0</v>
      </c>
      <c r="AL1059" s="44">
        <v>0</v>
      </c>
      <c r="AM1059" s="43">
        <v>521700000</v>
      </c>
      <c r="AN1059" s="44">
        <v>0</v>
      </c>
      <c r="AO1059" s="43">
        <v>0</v>
      </c>
      <c r="AP1059" s="43">
        <v>488700000</v>
      </c>
      <c r="AQ1059" s="43">
        <v>4500000</v>
      </c>
      <c r="AR1059" s="43">
        <v>54500000</v>
      </c>
      <c r="AS1059" s="43">
        <v>125050000</v>
      </c>
      <c r="AT1059" s="39">
        <f t="shared" ref="AT1059" si="368">AQ1059+AS1059</f>
        <v>129550000</v>
      </c>
      <c r="AU1059" s="18">
        <f>AJ1059-AM1059</f>
        <v>24400000</v>
      </c>
      <c r="AV1059" s="110">
        <f>AM1059-AP1059</f>
        <v>33000000</v>
      </c>
      <c r="AW1059" s="18">
        <f>AP1059-AT1059</f>
        <v>359150000</v>
      </c>
      <c r="AX1059" s="123">
        <f>AP1059/AJ1059</f>
        <v>0.89489104559604471</v>
      </c>
    </row>
    <row r="1060" spans="1:50" ht="25.5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1" t="s">
        <v>1120</v>
      </c>
      <c r="AB1060" s="42" t="s">
        <v>1121</v>
      </c>
      <c r="AC1060" s="43"/>
      <c r="AD1060" s="44">
        <v>0</v>
      </c>
      <c r="AE1060" s="43">
        <v>117051260.84999999</v>
      </c>
      <c r="AF1060" s="44">
        <v>0</v>
      </c>
      <c r="AG1060" s="44">
        <v>0</v>
      </c>
      <c r="AH1060" s="44">
        <v>0</v>
      </c>
      <c r="AI1060" s="136">
        <f>AE1060-AF1060+AG1060-AH1060</f>
        <v>117051260.84999999</v>
      </c>
      <c r="AJ1060" s="43">
        <f>AD1060+AI1060</f>
        <v>117051260.84999999</v>
      </c>
      <c r="AK1060" s="44">
        <v>0</v>
      </c>
      <c r="AL1060" s="44">
        <v>0</v>
      </c>
      <c r="AM1060" s="43">
        <v>0</v>
      </c>
      <c r="AN1060" s="44">
        <v>0</v>
      </c>
      <c r="AO1060" s="43">
        <v>0</v>
      </c>
      <c r="AP1060" s="43">
        <v>0</v>
      </c>
      <c r="AQ1060" s="43">
        <v>0</v>
      </c>
      <c r="AR1060" s="43">
        <v>0</v>
      </c>
      <c r="AS1060" s="43">
        <v>0</v>
      </c>
      <c r="AT1060" s="39">
        <f t="shared" ref="AT1060" si="369">AQ1060+AS1060</f>
        <v>0</v>
      </c>
      <c r="AU1060" s="18">
        <f>AJ1060-AM1060</f>
        <v>117051260.84999999</v>
      </c>
      <c r="AV1060" s="110">
        <f>AM1060-AP1060</f>
        <v>0</v>
      </c>
      <c r="AW1060" s="18">
        <f>AP1060-AT1060</f>
        <v>0</v>
      </c>
      <c r="AX1060" s="123">
        <f>AP1060/AJ1060</f>
        <v>0</v>
      </c>
    </row>
    <row r="1061" spans="1:50" x14ac:dyDescent="0.2">
      <c r="AA1061" s="16"/>
      <c r="AB1061" s="17"/>
      <c r="AC1061" s="17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34"/>
      <c r="AQ1061" s="34"/>
      <c r="AR1061" s="34"/>
      <c r="AS1061" s="34"/>
      <c r="AT1061" s="31"/>
      <c r="AU1061" s="18"/>
      <c r="AV1061" s="18"/>
      <c r="AW1061" s="18"/>
      <c r="AX1061" s="18"/>
    </row>
    <row r="1062" spans="1:50" x14ac:dyDescent="0.2">
      <c r="AA1062" s="16"/>
      <c r="AB1062" s="29" t="s">
        <v>720</v>
      </c>
      <c r="AC1062" s="17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30"/>
      <c r="AU1062" s="18"/>
      <c r="AV1062" s="18"/>
      <c r="AW1062" s="18"/>
      <c r="AX1062" s="18"/>
    </row>
    <row r="1063" spans="1:50" x14ac:dyDescent="0.2">
      <c r="AA1063" s="16"/>
      <c r="AB1063" s="29" t="s">
        <v>676</v>
      </c>
      <c r="AC1063" s="17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30"/>
      <c r="AU1063" s="18"/>
      <c r="AV1063" s="18"/>
      <c r="AW1063" s="18"/>
      <c r="AX1063" s="18"/>
    </row>
    <row r="1064" spans="1:50" x14ac:dyDescent="0.2">
      <c r="AA1064" s="16"/>
      <c r="AB1064" s="29" t="s">
        <v>286</v>
      </c>
      <c r="AC1064" s="17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30"/>
      <c r="AU1064" s="18"/>
      <c r="AV1064" s="18"/>
      <c r="AW1064" s="18"/>
      <c r="AX1064" s="18"/>
    </row>
    <row r="1065" spans="1:50" x14ac:dyDescent="0.2">
      <c r="AA1065" s="16"/>
      <c r="AB1065" s="29" t="s">
        <v>179</v>
      </c>
      <c r="AC1065" s="17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30"/>
      <c r="AU1065" s="18"/>
      <c r="AV1065" s="18"/>
      <c r="AW1065" s="18"/>
      <c r="AX1065" s="18"/>
    </row>
    <row r="1066" spans="1:50" x14ac:dyDescent="0.2">
      <c r="AA1066" s="16"/>
      <c r="AB1066" s="29" t="s">
        <v>189</v>
      </c>
      <c r="AC1066" s="17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30"/>
      <c r="AU1066" s="18"/>
      <c r="AV1066" s="18"/>
      <c r="AW1066" s="18"/>
      <c r="AX1066" s="18"/>
    </row>
    <row r="1067" spans="1:50" x14ac:dyDescent="0.2">
      <c r="AA1067" s="16"/>
      <c r="AB1067" s="29" t="s">
        <v>199</v>
      </c>
      <c r="AC1067" s="17"/>
      <c r="AD1067" s="18"/>
      <c r="AE1067" s="18"/>
      <c r="AF1067" s="18"/>
      <c r="AG1067" s="18"/>
      <c r="AH1067" s="18"/>
      <c r="AI1067" s="18"/>
      <c r="AJ1067" s="18"/>
      <c r="AK1067" s="18"/>
      <c r="AL1067" s="18"/>
      <c r="AM1067" s="18"/>
      <c r="AN1067" s="18"/>
      <c r="AO1067" s="18"/>
      <c r="AP1067" s="18"/>
      <c r="AQ1067" s="18"/>
      <c r="AR1067" s="18"/>
      <c r="AS1067" s="18"/>
      <c r="AT1067" s="30"/>
      <c r="AU1067" s="18"/>
      <c r="AV1067" s="18"/>
      <c r="AW1067" s="18"/>
      <c r="AX1067" s="18"/>
    </row>
    <row r="1068" spans="1:50" x14ac:dyDescent="0.2">
      <c r="AA1068" s="28" t="s">
        <v>288</v>
      </c>
      <c r="AB1068" s="29" t="s">
        <v>718</v>
      </c>
      <c r="AC1068" s="17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30"/>
      <c r="AU1068" s="18"/>
      <c r="AV1068" s="18"/>
      <c r="AW1068" s="18"/>
      <c r="AX1068" s="18"/>
    </row>
    <row r="1069" spans="1:50" x14ac:dyDescent="0.2">
      <c r="A1069" s="4" t="s">
        <v>55</v>
      </c>
      <c r="B1069" s="4" t="s">
        <v>56</v>
      </c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1" t="s">
        <v>721</v>
      </c>
      <c r="AB1069" s="42" t="s">
        <v>722</v>
      </c>
      <c r="AC1069" s="43" t="s">
        <v>723</v>
      </c>
      <c r="AD1069" s="43">
        <v>7643630</v>
      </c>
      <c r="AE1069" s="44">
        <v>0</v>
      </c>
      <c r="AF1069" s="44">
        <v>0</v>
      </c>
      <c r="AG1069" s="44">
        <v>0</v>
      </c>
      <c r="AH1069" s="44">
        <v>0</v>
      </c>
      <c r="AI1069" s="44">
        <v>0</v>
      </c>
      <c r="AJ1069" s="43">
        <v>7643630</v>
      </c>
      <c r="AK1069" s="44">
        <v>0</v>
      </c>
      <c r="AL1069" s="44">
        <v>0</v>
      </c>
      <c r="AM1069" s="44">
        <v>0</v>
      </c>
      <c r="AN1069" s="44">
        <v>0</v>
      </c>
      <c r="AO1069" s="44">
        <v>0</v>
      </c>
      <c r="AP1069" s="44">
        <v>0</v>
      </c>
      <c r="AQ1069" s="44">
        <v>0</v>
      </c>
      <c r="AR1069" s="44">
        <v>0</v>
      </c>
      <c r="AS1069" s="44">
        <v>0</v>
      </c>
      <c r="AT1069" s="40">
        <f t="shared" ref="AT1069:AT1070" si="370">AQ1069+AS1069</f>
        <v>0</v>
      </c>
      <c r="AU1069" s="18">
        <f>AJ1069-AM1069</f>
        <v>7643630</v>
      </c>
      <c r="AV1069" s="133">
        <f>AM1069-AP1069</f>
        <v>0</v>
      </c>
      <c r="AW1069" s="34">
        <f>AP1069-AT1069</f>
        <v>0</v>
      </c>
      <c r="AX1069" s="123">
        <f>AP1069/AJ1069</f>
        <v>0</v>
      </c>
    </row>
    <row r="1070" spans="1:50" x14ac:dyDescent="0.2">
      <c r="A1070" s="4" t="s">
        <v>55</v>
      </c>
      <c r="B1070" s="4" t="s">
        <v>56</v>
      </c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1" t="s">
        <v>724</v>
      </c>
      <c r="AB1070" s="42" t="s">
        <v>725</v>
      </c>
      <c r="AC1070" s="43" t="s">
        <v>428</v>
      </c>
      <c r="AD1070" s="43">
        <v>56100000</v>
      </c>
      <c r="AE1070" s="44">
        <v>0</v>
      </c>
      <c r="AF1070" s="44">
        <v>0</v>
      </c>
      <c r="AG1070" s="44">
        <v>0</v>
      </c>
      <c r="AH1070" s="44">
        <v>0</v>
      </c>
      <c r="AI1070" s="44">
        <v>0</v>
      </c>
      <c r="AJ1070" s="43">
        <v>56100000</v>
      </c>
      <c r="AK1070" s="44">
        <v>0</v>
      </c>
      <c r="AL1070" s="44">
        <v>0</v>
      </c>
      <c r="AM1070" s="44">
        <v>0</v>
      </c>
      <c r="AN1070" s="44">
        <v>0</v>
      </c>
      <c r="AO1070" s="44">
        <v>0</v>
      </c>
      <c r="AP1070" s="44">
        <v>0</v>
      </c>
      <c r="AQ1070" s="44">
        <v>0</v>
      </c>
      <c r="AR1070" s="44">
        <v>0</v>
      </c>
      <c r="AS1070" s="44">
        <v>0</v>
      </c>
      <c r="AT1070" s="40">
        <f t="shared" si="370"/>
        <v>0</v>
      </c>
      <c r="AU1070" s="18">
        <f>AJ1070-AM1070</f>
        <v>56100000</v>
      </c>
      <c r="AV1070" s="133">
        <f>AM1070-AP1070</f>
        <v>0</v>
      </c>
      <c r="AW1070" s="34">
        <f>AP1070-AT1070</f>
        <v>0</v>
      </c>
      <c r="AX1070" s="123">
        <f>AP1070/AJ1070</f>
        <v>0</v>
      </c>
    </row>
    <row r="1071" spans="1:50" ht="18.75" customHeight="1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170" t="s">
        <v>1016</v>
      </c>
      <c r="AB1071" s="165" t="s">
        <v>997</v>
      </c>
      <c r="AC1071" s="168"/>
      <c r="AD1071" s="43"/>
      <c r="AE1071" s="44"/>
      <c r="AF1071" s="44"/>
      <c r="AG1071" s="44"/>
      <c r="AH1071" s="44"/>
      <c r="AI1071" s="44"/>
      <c r="AJ1071" s="43"/>
      <c r="AK1071" s="44"/>
      <c r="AL1071" s="44"/>
      <c r="AM1071" s="44"/>
      <c r="AN1071" s="44"/>
      <c r="AO1071" s="44"/>
      <c r="AP1071" s="44"/>
      <c r="AQ1071" s="44"/>
      <c r="AR1071" s="44"/>
      <c r="AS1071" s="44"/>
      <c r="AT1071" s="40"/>
      <c r="AU1071" s="18"/>
      <c r="AV1071" s="133"/>
      <c r="AW1071" s="34"/>
      <c r="AX1071" s="123"/>
    </row>
    <row r="1072" spans="1:50" ht="15.75" customHeight="1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170" t="s">
        <v>1017</v>
      </c>
      <c r="AB1072" s="165" t="s">
        <v>999</v>
      </c>
      <c r="AC1072" s="168"/>
      <c r="AD1072" s="43"/>
      <c r="AE1072" s="44"/>
      <c r="AF1072" s="44"/>
      <c r="AG1072" s="44"/>
      <c r="AH1072" s="44"/>
      <c r="AI1072" s="44"/>
      <c r="AJ1072" s="43"/>
      <c r="AK1072" s="44"/>
      <c r="AL1072" s="44"/>
      <c r="AM1072" s="44"/>
      <c r="AN1072" s="44"/>
      <c r="AO1072" s="44"/>
      <c r="AP1072" s="44"/>
      <c r="AQ1072" s="44"/>
      <c r="AR1072" s="44"/>
      <c r="AS1072" s="44"/>
      <c r="AT1072" s="40"/>
      <c r="AU1072" s="18"/>
      <c r="AV1072" s="133"/>
      <c r="AW1072" s="34"/>
      <c r="AX1072" s="123"/>
    </row>
    <row r="1073" spans="1:50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170" t="s">
        <v>1018</v>
      </c>
      <c r="AB1073" s="165" t="s">
        <v>1001</v>
      </c>
      <c r="AC1073" s="168"/>
      <c r="AD1073" s="43"/>
      <c r="AE1073" s="44"/>
      <c r="AF1073" s="44"/>
      <c r="AG1073" s="44"/>
      <c r="AH1073" s="44"/>
      <c r="AI1073" s="44"/>
      <c r="AJ1073" s="43"/>
      <c r="AK1073" s="44"/>
      <c r="AL1073" s="44"/>
      <c r="AM1073" s="44"/>
      <c r="AN1073" s="44"/>
      <c r="AO1073" s="44"/>
      <c r="AP1073" s="44"/>
      <c r="AQ1073" s="44"/>
      <c r="AR1073" s="44"/>
      <c r="AS1073" s="44"/>
      <c r="AT1073" s="40"/>
      <c r="AU1073" s="18"/>
      <c r="AV1073" s="133"/>
      <c r="AW1073" s="34"/>
      <c r="AX1073" s="123"/>
    </row>
    <row r="1074" spans="1:50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170" t="s">
        <v>1021</v>
      </c>
      <c r="AB1074" s="165" t="s">
        <v>1003</v>
      </c>
      <c r="AC1074" s="168"/>
      <c r="AD1074" s="43"/>
      <c r="AE1074" s="44"/>
      <c r="AF1074" s="44"/>
      <c r="AG1074" s="44"/>
      <c r="AH1074" s="44"/>
      <c r="AI1074" s="44"/>
      <c r="AJ1074" s="43"/>
      <c r="AK1074" s="44"/>
      <c r="AL1074" s="44"/>
      <c r="AM1074" s="44"/>
      <c r="AN1074" s="44"/>
      <c r="AO1074" s="44"/>
      <c r="AP1074" s="44"/>
      <c r="AQ1074" s="44"/>
      <c r="AR1074" s="44"/>
      <c r="AS1074" s="44"/>
      <c r="AT1074" s="40"/>
      <c r="AU1074" s="18"/>
      <c r="AV1074" s="133"/>
      <c r="AW1074" s="34"/>
      <c r="AX1074" s="123"/>
    </row>
    <row r="1075" spans="1:50" ht="25.5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166" t="s">
        <v>1056</v>
      </c>
      <c r="AB1075" s="167" t="s">
        <v>1057</v>
      </c>
      <c r="AC1075" s="168"/>
      <c r="AD1075" s="44">
        <v>0</v>
      </c>
      <c r="AE1075" s="43">
        <v>170856060</v>
      </c>
      <c r="AF1075" s="44">
        <v>0</v>
      </c>
      <c r="AG1075" s="44">
        <v>0</v>
      </c>
      <c r="AH1075" s="44">
        <v>0</v>
      </c>
      <c r="AI1075" s="43">
        <f>AE1075-AF1075+AG1075-AH1075</f>
        <v>170856060</v>
      </c>
      <c r="AJ1075" s="43">
        <f>AD1075+AI1075</f>
        <v>170856060</v>
      </c>
      <c r="AK1075" s="44">
        <v>0</v>
      </c>
      <c r="AL1075" s="44">
        <v>0</v>
      </c>
      <c r="AM1075" s="44">
        <v>0</v>
      </c>
      <c r="AN1075" s="44">
        <v>0</v>
      </c>
      <c r="AO1075" s="44">
        <v>0</v>
      </c>
      <c r="AP1075" s="44">
        <v>0</v>
      </c>
      <c r="AQ1075" s="44">
        <v>0</v>
      </c>
      <c r="AR1075" s="44">
        <v>0</v>
      </c>
      <c r="AS1075" s="44">
        <v>0</v>
      </c>
      <c r="AT1075" s="40">
        <f t="shared" ref="AT1075" si="371">AQ1075+AS1075</f>
        <v>0</v>
      </c>
      <c r="AU1075" s="18">
        <f>AJ1075-AM1075</f>
        <v>170856060</v>
      </c>
      <c r="AV1075" s="133">
        <f>AM1075-AP1075</f>
        <v>0</v>
      </c>
      <c r="AW1075" s="34">
        <f>AP1075-AT1075</f>
        <v>0</v>
      </c>
      <c r="AX1075" s="123">
        <f>AP1075/AJ1075</f>
        <v>0</v>
      </c>
    </row>
    <row r="1076" spans="1:50" x14ac:dyDescent="0.2">
      <c r="AA1076" s="162"/>
      <c r="AB1076" s="223"/>
      <c r="AC1076" s="17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34"/>
      <c r="AR1076" s="34"/>
      <c r="AS1076" s="34"/>
      <c r="AT1076" s="31"/>
      <c r="AU1076" s="18"/>
      <c r="AV1076" s="18"/>
      <c r="AW1076" s="18"/>
      <c r="AX1076" s="18"/>
    </row>
    <row r="1077" spans="1:50" s="50" customFormat="1" ht="18.75" customHeight="1" x14ac:dyDescent="0.2">
      <c r="B1077" s="77"/>
      <c r="C1077" s="77"/>
      <c r="D1077" s="77"/>
      <c r="E1077" s="77"/>
      <c r="F1077" s="77"/>
      <c r="G1077" s="77"/>
      <c r="H1077" s="77"/>
      <c r="I1077" s="77"/>
      <c r="J1077" s="77"/>
      <c r="K1077" s="77"/>
      <c r="L1077" s="77"/>
      <c r="M1077" s="77"/>
      <c r="N1077" s="77"/>
      <c r="O1077" s="77"/>
      <c r="P1077" s="77"/>
      <c r="Q1077" s="77"/>
      <c r="R1077" s="77"/>
      <c r="S1077" s="77"/>
      <c r="T1077" s="77"/>
      <c r="U1077" s="77"/>
      <c r="V1077" s="77"/>
      <c r="W1077" s="77"/>
      <c r="X1077" s="77"/>
      <c r="Y1077" s="77"/>
      <c r="Z1077" s="77"/>
      <c r="AA1077" s="46"/>
      <c r="AB1077" s="47" t="s">
        <v>726</v>
      </c>
      <c r="AC1077" s="47"/>
      <c r="AD1077" s="48">
        <f t="shared" ref="AD1077:AW1077" si="372">SUM(AD1034:AD1076)</f>
        <v>6876941034</v>
      </c>
      <c r="AE1077" s="48">
        <f t="shared" si="372"/>
        <v>3397533211.8499999</v>
      </c>
      <c r="AF1077" s="49">
        <f t="shared" si="372"/>
        <v>0</v>
      </c>
      <c r="AG1077" s="48">
        <f t="shared" si="372"/>
        <v>4013332698</v>
      </c>
      <c r="AH1077" s="48">
        <f t="shared" si="372"/>
        <v>4013332698</v>
      </c>
      <c r="AI1077" s="48">
        <f t="shared" si="372"/>
        <v>3397533211.8499999</v>
      </c>
      <c r="AJ1077" s="48">
        <f t="shared" si="372"/>
        <v>10274474245.85</v>
      </c>
      <c r="AK1077" s="49">
        <f t="shared" si="372"/>
        <v>0</v>
      </c>
      <c r="AL1077" s="48">
        <f t="shared" si="372"/>
        <v>-7333334</v>
      </c>
      <c r="AM1077" s="48">
        <f t="shared" si="372"/>
        <v>3190924705</v>
      </c>
      <c r="AN1077" s="48">
        <f t="shared" si="372"/>
        <v>0</v>
      </c>
      <c r="AO1077" s="48">
        <f t="shared" si="372"/>
        <v>42166666</v>
      </c>
      <c r="AP1077" s="48">
        <f t="shared" si="372"/>
        <v>3157924705</v>
      </c>
      <c r="AQ1077" s="48">
        <f t="shared" si="372"/>
        <v>61640000</v>
      </c>
      <c r="AR1077" s="48">
        <f t="shared" si="372"/>
        <v>136526667</v>
      </c>
      <c r="AS1077" s="48">
        <f t="shared" si="372"/>
        <v>278868668</v>
      </c>
      <c r="AT1077" s="48">
        <f t="shared" si="372"/>
        <v>340508668</v>
      </c>
      <c r="AU1077" s="48">
        <f t="shared" si="372"/>
        <v>7083549540.8500004</v>
      </c>
      <c r="AV1077" s="48">
        <f t="shared" si="372"/>
        <v>33000000</v>
      </c>
      <c r="AW1077" s="48">
        <f t="shared" si="372"/>
        <v>2817416037</v>
      </c>
      <c r="AX1077" s="24">
        <f>AP1077/AJ1077</f>
        <v>0.30735633078992131</v>
      </c>
    </row>
    <row r="1078" spans="1:50" ht="18.75" customHeight="1" x14ac:dyDescent="0.2">
      <c r="AA1078" s="16"/>
      <c r="AB1078" s="17"/>
      <c r="AC1078" s="17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</row>
    <row r="1079" spans="1:50" s="25" customFormat="1" ht="18.75" customHeight="1" x14ac:dyDescent="0.2">
      <c r="B1079" s="71"/>
      <c r="C1079" s="71"/>
      <c r="D1079" s="71"/>
      <c r="E1079" s="71"/>
      <c r="F1079" s="71"/>
      <c r="G1079" s="71"/>
      <c r="H1079" s="71"/>
      <c r="I1079" s="71"/>
      <c r="J1079" s="71"/>
      <c r="K1079" s="71"/>
      <c r="L1079" s="71"/>
      <c r="M1079" s="71"/>
      <c r="N1079" s="71"/>
      <c r="O1079" s="71"/>
      <c r="P1079" s="71"/>
      <c r="Q1079" s="71"/>
      <c r="R1079" s="71"/>
      <c r="S1079" s="71"/>
      <c r="T1079" s="71"/>
      <c r="U1079" s="71"/>
      <c r="V1079" s="71"/>
      <c r="W1079" s="71"/>
      <c r="X1079" s="71"/>
      <c r="Y1079" s="71"/>
      <c r="Z1079" s="71"/>
      <c r="AA1079" s="66"/>
      <c r="AB1079" s="21" t="s">
        <v>727</v>
      </c>
      <c r="AC1079" s="67"/>
      <c r="AD1079" s="63"/>
      <c r="AE1079" s="63"/>
      <c r="AF1079" s="63"/>
      <c r="AG1079" s="63"/>
      <c r="AH1079" s="63"/>
      <c r="AI1079" s="63"/>
      <c r="AJ1079" s="63"/>
      <c r="AK1079" s="63"/>
      <c r="AL1079" s="63"/>
      <c r="AM1079" s="63"/>
      <c r="AN1079" s="63"/>
      <c r="AO1079" s="63"/>
      <c r="AP1079" s="63"/>
      <c r="AQ1079" s="63"/>
      <c r="AR1079" s="63"/>
      <c r="AS1079" s="63"/>
      <c r="AT1079" s="63"/>
      <c r="AU1079" s="63"/>
      <c r="AV1079" s="63"/>
      <c r="AW1079" s="63"/>
      <c r="AX1079" s="63"/>
    </row>
    <row r="1080" spans="1:50" ht="18.75" customHeight="1" x14ac:dyDescent="0.2">
      <c r="AA1080" s="16"/>
      <c r="AB1080" s="29" t="s">
        <v>285</v>
      </c>
      <c r="AC1080" s="17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</row>
    <row r="1081" spans="1:50" ht="18.75" customHeight="1" x14ac:dyDescent="0.2">
      <c r="AA1081" s="16"/>
      <c r="AB1081" s="29" t="s">
        <v>202</v>
      </c>
      <c r="AC1081" s="17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</row>
    <row r="1082" spans="1:50" ht="18.75" customHeight="1" x14ac:dyDescent="0.2">
      <c r="AA1082" s="16"/>
      <c r="AB1082" s="29" t="s">
        <v>203</v>
      </c>
      <c r="AC1082" s="17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</row>
    <row r="1083" spans="1:50" x14ac:dyDescent="0.2">
      <c r="AA1083" s="16"/>
      <c r="AB1083" s="29" t="s">
        <v>204</v>
      </c>
      <c r="AC1083" s="17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</row>
    <row r="1084" spans="1:50" ht="25.5" x14ac:dyDescent="0.2">
      <c r="AA1084" s="16"/>
      <c r="AB1084" s="29" t="s">
        <v>205</v>
      </c>
      <c r="AC1084" s="17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</row>
    <row r="1085" spans="1:50" ht="25.5" x14ac:dyDescent="0.2">
      <c r="AA1085" s="16"/>
      <c r="AB1085" s="29" t="s">
        <v>205</v>
      </c>
      <c r="AC1085" s="17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</row>
    <row r="1086" spans="1:50" ht="25.5" x14ac:dyDescent="0.2">
      <c r="AA1086" s="28" t="s">
        <v>288</v>
      </c>
      <c r="AB1086" s="29" t="s">
        <v>728</v>
      </c>
      <c r="AC1086" s="17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30">
        <f t="shared" ref="AT1086:AT1090" si="373">AQ1086+AS1086</f>
        <v>0</v>
      </c>
      <c r="AU1086" s="18"/>
      <c r="AV1086" s="18"/>
      <c r="AW1086" s="18"/>
      <c r="AX1086" s="18"/>
    </row>
    <row r="1087" spans="1:50" x14ac:dyDescent="0.2">
      <c r="A1087" s="4" t="s">
        <v>55</v>
      </c>
      <c r="B1087" s="4" t="s">
        <v>56</v>
      </c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1" t="s">
        <v>729</v>
      </c>
      <c r="AB1087" s="42" t="s">
        <v>233</v>
      </c>
      <c r="AC1087" s="43" t="s">
        <v>58</v>
      </c>
      <c r="AD1087" s="43">
        <v>1500000000</v>
      </c>
      <c r="AE1087" s="44">
        <v>0</v>
      </c>
      <c r="AF1087" s="44">
        <v>0</v>
      </c>
      <c r="AG1087" s="44">
        <v>0</v>
      </c>
      <c r="AH1087" s="44">
        <v>0</v>
      </c>
      <c r="AI1087" s="44">
        <f t="shared" ref="AI1087:AI1093" si="374">AE1087-AF1087+AG1087-AH1087</f>
        <v>0</v>
      </c>
      <c r="AJ1087" s="43">
        <f t="shared" ref="AJ1087:AJ1093" si="375">AD1087+AI1087</f>
        <v>1500000000</v>
      </c>
      <c r="AK1087" s="44">
        <v>0</v>
      </c>
      <c r="AL1087" s="114">
        <v>125000000</v>
      </c>
      <c r="AM1087" s="114">
        <v>625000000</v>
      </c>
      <c r="AN1087" s="44">
        <v>0</v>
      </c>
      <c r="AO1087" s="114">
        <v>125000000</v>
      </c>
      <c r="AP1087" s="114">
        <v>625000000</v>
      </c>
      <c r="AQ1087" s="44">
        <v>0</v>
      </c>
      <c r="AR1087" s="114">
        <v>125000000</v>
      </c>
      <c r="AS1087" s="114">
        <v>625000000</v>
      </c>
      <c r="AT1087" s="111">
        <f t="shared" si="373"/>
        <v>625000000</v>
      </c>
      <c r="AU1087" s="18">
        <f t="shared" ref="AU1087:AU1093" si="376">AJ1087-AM1087</f>
        <v>875000000</v>
      </c>
      <c r="AV1087" s="133">
        <f t="shared" ref="AV1087:AV1093" si="377">AM1087-AP1087</f>
        <v>0</v>
      </c>
      <c r="AW1087" s="34">
        <f t="shared" ref="AW1087:AW1093" si="378">AP1087-AT1087</f>
        <v>0</v>
      </c>
      <c r="AX1087" s="123">
        <f t="shared" ref="AX1087:AX1093" si="379">AP1087/AJ1087</f>
        <v>0.41666666666666669</v>
      </c>
    </row>
    <row r="1088" spans="1:50" x14ac:dyDescent="0.2">
      <c r="A1088" s="4" t="s">
        <v>55</v>
      </c>
      <c r="B1088" s="4" t="s">
        <v>56</v>
      </c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1" t="s">
        <v>730</v>
      </c>
      <c r="AB1088" s="42" t="s">
        <v>731</v>
      </c>
      <c r="AC1088" s="43" t="s">
        <v>732</v>
      </c>
      <c r="AD1088" s="43">
        <v>1531432613</v>
      </c>
      <c r="AE1088" s="44">
        <v>0</v>
      </c>
      <c r="AF1088" s="44">
        <v>0</v>
      </c>
      <c r="AG1088" s="44">
        <v>0</v>
      </c>
      <c r="AH1088" s="44">
        <v>0</v>
      </c>
      <c r="AI1088" s="44">
        <f t="shared" si="374"/>
        <v>0</v>
      </c>
      <c r="AJ1088" s="43">
        <f t="shared" si="375"/>
        <v>1531432613</v>
      </c>
      <c r="AK1088" s="44">
        <v>0</v>
      </c>
      <c r="AL1088" s="114">
        <v>127619384</v>
      </c>
      <c r="AM1088" s="114">
        <v>638096920</v>
      </c>
      <c r="AN1088" s="44">
        <v>0</v>
      </c>
      <c r="AO1088" s="114">
        <v>127619384</v>
      </c>
      <c r="AP1088" s="114">
        <v>638096920</v>
      </c>
      <c r="AQ1088" s="44">
        <v>0</v>
      </c>
      <c r="AR1088" s="114">
        <v>127619384</v>
      </c>
      <c r="AS1088" s="114">
        <v>638096920</v>
      </c>
      <c r="AT1088" s="111">
        <f t="shared" si="373"/>
        <v>638096920</v>
      </c>
      <c r="AU1088" s="18">
        <f t="shared" si="376"/>
        <v>893335693</v>
      </c>
      <c r="AV1088" s="133">
        <f t="shared" si="377"/>
        <v>0</v>
      </c>
      <c r="AW1088" s="34">
        <f t="shared" si="378"/>
        <v>0</v>
      </c>
      <c r="AX1088" s="123">
        <f t="shared" si="379"/>
        <v>0.41666666530628471</v>
      </c>
    </row>
    <row r="1089" spans="1:50" x14ac:dyDescent="0.2">
      <c r="A1089" s="4" t="s">
        <v>55</v>
      </c>
      <c r="B1089" s="4" t="s">
        <v>56</v>
      </c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1" t="s">
        <v>733</v>
      </c>
      <c r="AB1089" s="42" t="s">
        <v>734</v>
      </c>
      <c r="AC1089" s="43" t="s">
        <v>383</v>
      </c>
      <c r="AD1089" s="43">
        <v>2000000000</v>
      </c>
      <c r="AE1089" s="44">
        <v>0</v>
      </c>
      <c r="AF1089" s="44">
        <v>0</v>
      </c>
      <c r="AG1089" s="44">
        <v>0</v>
      </c>
      <c r="AH1089" s="44">
        <v>0</v>
      </c>
      <c r="AI1089" s="44">
        <f t="shared" si="374"/>
        <v>0</v>
      </c>
      <c r="AJ1089" s="43">
        <f t="shared" si="375"/>
        <v>2000000000</v>
      </c>
      <c r="AK1089" s="44">
        <v>0</v>
      </c>
      <c r="AL1089" s="114">
        <v>166666667</v>
      </c>
      <c r="AM1089" s="114">
        <v>833333335</v>
      </c>
      <c r="AN1089" s="44">
        <v>0</v>
      </c>
      <c r="AO1089" s="114">
        <v>166666667</v>
      </c>
      <c r="AP1089" s="114">
        <v>833333335</v>
      </c>
      <c r="AQ1089" s="44">
        <v>0</v>
      </c>
      <c r="AR1089" s="114">
        <v>166666667</v>
      </c>
      <c r="AS1089" s="114">
        <v>833333335</v>
      </c>
      <c r="AT1089" s="111">
        <f t="shared" si="373"/>
        <v>833333335</v>
      </c>
      <c r="AU1089" s="18">
        <f t="shared" si="376"/>
        <v>1166666665</v>
      </c>
      <c r="AV1089" s="133">
        <f t="shared" si="377"/>
        <v>0</v>
      </c>
      <c r="AW1089" s="34">
        <f t="shared" si="378"/>
        <v>0</v>
      </c>
      <c r="AX1089" s="123">
        <f t="shared" si="379"/>
        <v>0.41666666749999998</v>
      </c>
    </row>
    <row r="1090" spans="1:50" ht="25.5" x14ac:dyDescent="0.2">
      <c r="A1090" s="4" t="s">
        <v>55</v>
      </c>
      <c r="B1090" s="4" t="s">
        <v>56</v>
      </c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1" t="s">
        <v>735</v>
      </c>
      <c r="AB1090" s="42" t="s">
        <v>736</v>
      </c>
      <c r="AC1090" s="43" t="s">
        <v>428</v>
      </c>
      <c r="AD1090" s="43">
        <v>24512970</v>
      </c>
      <c r="AE1090" s="44">
        <v>0</v>
      </c>
      <c r="AF1090" s="44">
        <v>0</v>
      </c>
      <c r="AG1090" s="44">
        <v>0</v>
      </c>
      <c r="AH1090" s="44">
        <v>0</v>
      </c>
      <c r="AI1090" s="44">
        <f t="shared" si="374"/>
        <v>0</v>
      </c>
      <c r="AJ1090" s="43">
        <f t="shared" si="375"/>
        <v>24512970</v>
      </c>
      <c r="AK1090" s="44">
        <v>0</v>
      </c>
      <c r="AL1090" s="44">
        <v>0</v>
      </c>
      <c r="AM1090" s="44">
        <v>0</v>
      </c>
      <c r="AN1090" s="44">
        <v>0</v>
      </c>
      <c r="AO1090" s="44">
        <v>0</v>
      </c>
      <c r="AP1090" s="44">
        <v>0</v>
      </c>
      <c r="AQ1090" s="44">
        <v>0</v>
      </c>
      <c r="AR1090" s="44">
        <v>0</v>
      </c>
      <c r="AS1090" s="44">
        <v>0</v>
      </c>
      <c r="AT1090" s="40">
        <f t="shared" si="373"/>
        <v>0</v>
      </c>
      <c r="AU1090" s="18">
        <f t="shared" si="376"/>
        <v>24512970</v>
      </c>
      <c r="AV1090" s="133">
        <f t="shared" si="377"/>
        <v>0</v>
      </c>
      <c r="AW1090" s="34">
        <f t="shared" si="378"/>
        <v>0</v>
      </c>
      <c r="AX1090" s="123">
        <f t="shared" si="379"/>
        <v>0</v>
      </c>
    </row>
    <row r="1091" spans="1:50" ht="25.5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166" t="s">
        <v>1134</v>
      </c>
      <c r="AB1091" s="167" t="s">
        <v>1055</v>
      </c>
      <c r="AC1091" s="168"/>
      <c r="AD1091" s="44">
        <v>0</v>
      </c>
      <c r="AE1091" s="217">
        <v>628300000</v>
      </c>
      <c r="AF1091" s="216">
        <v>0</v>
      </c>
      <c r="AG1091" s="44">
        <v>0</v>
      </c>
      <c r="AH1091" s="44">
        <v>0</v>
      </c>
      <c r="AI1091" s="43">
        <f t="shared" si="374"/>
        <v>628300000</v>
      </c>
      <c r="AJ1091" s="43">
        <f t="shared" si="375"/>
        <v>628300000</v>
      </c>
      <c r="AK1091" s="44">
        <v>0</v>
      </c>
      <c r="AL1091" s="44">
        <v>0</v>
      </c>
      <c r="AM1091" s="44">
        <v>0</v>
      </c>
      <c r="AN1091" s="44">
        <v>0</v>
      </c>
      <c r="AO1091" s="44">
        <v>0</v>
      </c>
      <c r="AP1091" s="44">
        <v>0</v>
      </c>
      <c r="AQ1091" s="44">
        <v>0</v>
      </c>
      <c r="AR1091" s="44">
        <v>0</v>
      </c>
      <c r="AS1091" s="44">
        <v>0</v>
      </c>
      <c r="AT1091" s="40">
        <f t="shared" ref="AT1091:AT1093" si="380">AQ1091+AS1091</f>
        <v>0</v>
      </c>
      <c r="AU1091" s="18">
        <f t="shared" si="376"/>
        <v>628300000</v>
      </c>
      <c r="AV1091" s="133">
        <f t="shared" si="377"/>
        <v>0</v>
      </c>
      <c r="AW1091" s="34">
        <f t="shared" si="378"/>
        <v>0</v>
      </c>
      <c r="AX1091" s="123">
        <f t="shared" si="379"/>
        <v>0</v>
      </c>
    </row>
    <row r="1092" spans="1:50" ht="25.5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166" t="s">
        <v>1135</v>
      </c>
      <c r="AB1092" s="167" t="s">
        <v>1055</v>
      </c>
      <c r="AC1092" s="168"/>
      <c r="AD1092" s="44">
        <v>0</v>
      </c>
      <c r="AE1092" s="217">
        <v>371700000</v>
      </c>
      <c r="AF1092" s="216">
        <v>0</v>
      </c>
      <c r="AG1092" s="44">
        <v>0</v>
      </c>
      <c r="AH1092" s="44">
        <v>0</v>
      </c>
      <c r="AI1092" s="43">
        <f t="shared" si="374"/>
        <v>371700000</v>
      </c>
      <c r="AJ1092" s="43">
        <f t="shared" si="375"/>
        <v>371700000</v>
      </c>
      <c r="AK1092" s="44">
        <v>0</v>
      </c>
      <c r="AL1092" s="44">
        <v>0</v>
      </c>
      <c r="AM1092" s="44">
        <v>0</v>
      </c>
      <c r="AN1092" s="44">
        <v>0</v>
      </c>
      <c r="AO1092" s="44">
        <v>0</v>
      </c>
      <c r="AP1092" s="44">
        <v>0</v>
      </c>
      <c r="AQ1092" s="44">
        <v>0</v>
      </c>
      <c r="AR1092" s="44">
        <v>0</v>
      </c>
      <c r="AS1092" s="44">
        <v>0</v>
      </c>
      <c r="AT1092" s="40">
        <f t="shared" si="380"/>
        <v>0</v>
      </c>
      <c r="AU1092" s="18">
        <f t="shared" si="376"/>
        <v>371700000</v>
      </c>
      <c r="AV1092" s="133">
        <f t="shared" si="377"/>
        <v>0</v>
      </c>
      <c r="AW1092" s="34">
        <f t="shared" si="378"/>
        <v>0</v>
      </c>
      <c r="AX1092" s="123">
        <f t="shared" si="379"/>
        <v>0</v>
      </c>
    </row>
    <row r="1093" spans="1:50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166" t="s">
        <v>1136</v>
      </c>
      <c r="AB1093" s="167" t="s">
        <v>1137</v>
      </c>
      <c r="AC1093" s="168"/>
      <c r="AD1093" s="44">
        <v>0</v>
      </c>
      <c r="AE1093" s="217">
        <v>179021213</v>
      </c>
      <c r="AF1093" s="216">
        <v>0</v>
      </c>
      <c r="AG1093" s="44">
        <v>0</v>
      </c>
      <c r="AH1093" s="44">
        <v>0</v>
      </c>
      <c r="AI1093" s="43">
        <f t="shared" si="374"/>
        <v>179021213</v>
      </c>
      <c r="AJ1093" s="43">
        <f t="shared" si="375"/>
        <v>179021213</v>
      </c>
      <c r="AK1093" s="44">
        <v>0</v>
      </c>
      <c r="AL1093" s="44">
        <v>0</v>
      </c>
      <c r="AM1093" s="44">
        <v>0</v>
      </c>
      <c r="AN1093" s="44">
        <v>0</v>
      </c>
      <c r="AO1093" s="44">
        <v>0</v>
      </c>
      <c r="AP1093" s="44">
        <v>0</v>
      </c>
      <c r="AQ1093" s="44">
        <v>0</v>
      </c>
      <c r="AR1093" s="44">
        <v>0</v>
      </c>
      <c r="AS1093" s="44">
        <v>0</v>
      </c>
      <c r="AT1093" s="40">
        <f t="shared" si="380"/>
        <v>0</v>
      </c>
      <c r="AU1093" s="18">
        <f t="shared" si="376"/>
        <v>179021213</v>
      </c>
      <c r="AV1093" s="133">
        <f t="shared" si="377"/>
        <v>0</v>
      </c>
      <c r="AW1093" s="34">
        <f t="shared" si="378"/>
        <v>0</v>
      </c>
      <c r="AX1093" s="123">
        <f t="shared" si="379"/>
        <v>0</v>
      </c>
    </row>
    <row r="1094" spans="1:50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206"/>
      <c r="AB1094" s="207"/>
      <c r="AC1094" s="43"/>
      <c r="AD1094" s="43"/>
      <c r="AE1094" s="224"/>
      <c r="AF1094" s="44"/>
      <c r="AG1094" s="44"/>
      <c r="AH1094" s="44"/>
      <c r="AI1094" s="44"/>
      <c r="AJ1094" s="43"/>
      <c r="AK1094" s="44"/>
      <c r="AL1094" s="44"/>
      <c r="AM1094" s="44"/>
      <c r="AN1094" s="44"/>
      <c r="AO1094" s="44"/>
      <c r="AP1094" s="44"/>
      <c r="AQ1094" s="44"/>
      <c r="AR1094" s="44"/>
      <c r="AS1094" s="44"/>
      <c r="AT1094" s="40"/>
      <c r="AU1094" s="18"/>
      <c r="AV1094" s="133"/>
      <c r="AW1094" s="34"/>
      <c r="AX1094" s="123"/>
    </row>
    <row r="1095" spans="1:50" s="50" customFormat="1" x14ac:dyDescent="0.2">
      <c r="B1095" s="77"/>
      <c r="C1095" s="77"/>
      <c r="D1095" s="77"/>
      <c r="E1095" s="77"/>
      <c r="F1095" s="77"/>
      <c r="G1095" s="77"/>
      <c r="H1095" s="77"/>
      <c r="I1095" s="77"/>
      <c r="J1095" s="77"/>
      <c r="K1095" s="77"/>
      <c r="L1095" s="77"/>
      <c r="M1095" s="77"/>
      <c r="N1095" s="77"/>
      <c r="O1095" s="77"/>
      <c r="P1095" s="77"/>
      <c r="Q1095" s="77"/>
      <c r="R1095" s="77"/>
      <c r="S1095" s="77"/>
      <c r="T1095" s="77"/>
      <c r="U1095" s="77"/>
      <c r="V1095" s="77"/>
      <c r="W1095" s="77"/>
      <c r="X1095" s="77"/>
      <c r="Y1095" s="77"/>
      <c r="Z1095" s="77"/>
      <c r="AA1095" s="46"/>
      <c r="AB1095" s="47" t="s">
        <v>737</v>
      </c>
      <c r="AC1095" s="47"/>
      <c r="AD1095" s="48">
        <f t="shared" ref="AD1095:AS1095" si="381">SUM(AD1087:AD1094)</f>
        <v>5055945583</v>
      </c>
      <c r="AE1095" s="48">
        <f t="shared" si="381"/>
        <v>1179021213</v>
      </c>
      <c r="AF1095" s="49">
        <f t="shared" si="381"/>
        <v>0</v>
      </c>
      <c r="AG1095" s="49">
        <f t="shared" si="381"/>
        <v>0</v>
      </c>
      <c r="AH1095" s="49">
        <f t="shared" si="381"/>
        <v>0</v>
      </c>
      <c r="AI1095" s="49">
        <f t="shared" si="381"/>
        <v>1179021213</v>
      </c>
      <c r="AJ1095" s="48">
        <f t="shared" si="381"/>
        <v>6234966796</v>
      </c>
      <c r="AK1095" s="49">
        <f t="shared" si="381"/>
        <v>0</v>
      </c>
      <c r="AL1095" s="121">
        <f t="shared" si="381"/>
        <v>419286051</v>
      </c>
      <c r="AM1095" s="121">
        <f t="shared" si="381"/>
        <v>2096430255</v>
      </c>
      <c r="AN1095" s="49">
        <f t="shared" si="381"/>
        <v>0</v>
      </c>
      <c r="AO1095" s="121">
        <f t="shared" si="381"/>
        <v>419286051</v>
      </c>
      <c r="AP1095" s="121">
        <f t="shared" si="381"/>
        <v>2096430255</v>
      </c>
      <c r="AQ1095" s="49">
        <f t="shared" si="381"/>
        <v>0</v>
      </c>
      <c r="AR1095" s="121">
        <f t="shared" si="381"/>
        <v>419286051</v>
      </c>
      <c r="AS1095" s="121">
        <f t="shared" si="381"/>
        <v>2096430255</v>
      </c>
      <c r="AT1095" s="108">
        <f>AQ1095+AS1095</f>
        <v>2096430255</v>
      </c>
      <c r="AU1095" s="48">
        <f>SUM(AU1087:AU1094)</f>
        <v>4138536541</v>
      </c>
      <c r="AV1095" s="49">
        <f>SUM(AV1087:AV1094)</f>
        <v>0</v>
      </c>
      <c r="AW1095" s="49">
        <f>SUM(AW1087:AW1094)</f>
        <v>0</v>
      </c>
      <c r="AX1095" s="24">
        <f>AP1095/AJ1095</f>
        <v>0.33623759734293218</v>
      </c>
    </row>
    <row r="1096" spans="1:50" x14ac:dyDescent="0.2">
      <c r="AA1096" s="16"/>
      <c r="AB1096" s="17"/>
      <c r="AC1096" s="17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</row>
    <row r="1097" spans="1:50" s="25" customFormat="1" x14ac:dyDescent="0.2">
      <c r="B1097" s="71"/>
      <c r="C1097" s="71"/>
      <c r="D1097" s="71"/>
      <c r="E1097" s="71"/>
      <c r="F1097" s="71"/>
      <c r="G1097" s="71"/>
      <c r="H1097" s="71"/>
      <c r="I1097" s="71"/>
      <c r="J1097" s="71"/>
      <c r="K1097" s="71"/>
      <c r="L1097" s="71"/>
      <c r="M1097" s="71"/>
      <c r="N1097" s="71"/>
      <c r="O1097" s="71"/>
      <c r="P1097" s="71"/>
      <c r="Q1097" s="71"/>
      <c r="R1097" s="71"/>
      <c r="S1097" s="71"/>
      <c r="T1097" s="71"/>
      <c r="U1097" s="71"/>
      <c r="V1097" s="71"/>
      <c r="W1097" s="71"/>
      <c r="X1097" s="71"/>
      <c r="Y1097" s="71"/>
      <c r="Z1097" s="71"/>
      <c r="AA1097" s="66"/>
      <c r="AB1097" s="21" t="s">
        <v>738</v>
      </c>
      <c r="AC1097" s="67"/>
      <c r="AD1097" s="63"/>
      <c r="AE1097" s="63"/>
      <c r="AF1097" s="63"/>
      <c r="AG1097" s="63"/>
      <c r="AH1097" s="63"/>
      <c r="AI1097" s="63"/>
      <c r="AJ1097" s="63"/>
      <c r="AK1097" s="63"/>
      <c r="AL1097" s="63"/>
      <c r="AM1097" s="63"/>
      <c r="AN1097" s="63"/>
      <c r="AO1097" s="63"/>
      <c r="AP1097" s="63"/>
      <c r="AQ1097" s="63"/>
      <c r="AR1097" s="63"/>
      <c r="AS1097" s="63"/>
      <c r="AT1097" s="63"/>
      <c r="AU1097" s="63"/>
      <c r="AV1097" s="63"/>
      <c r="AW1097" s="63"/>
      <c r="AX1097" s="63"/>
    </row>
    <row r="1098" spans="1:50" x14ac:dyDescent="0.2">
      <c r="AA1098" s="16"/>
      <c r="AB1098" s="29" t="s">
        <v>285</v>
      </c>
      <c r="AC1098" s="17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</row>
    <row r="1099" spans="1:50" x14ac:dyDescent="0.2">
      <c r="AA1099" s="16"/>
      <c r="AB1099" s="29" t="s">
        <v>202</v>
      </c>
      <c r="AC1099" s="17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</row>
    <row r="1100" spans="1:50" x14ac:dyDescent="0.2">
      <c r="AA1100" s="16"/>
      <c r="AB1100" s="29" t="s">
        <v>203</v>
      </c>
      <c r="AC1100" s="17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</row>
    <row r="1101" spans="1:50" x14ac:dyDescent="0.2">
      <c r="AA1101" s="16"/>
      <c r="AB1101" s="29" t="s">
        <v>204</v>
      </c>
      <c r="AC1101" s="17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</row>
    <row r="1102" spans="1:50" ht="25.5" x14ac:dyDescent="0.2">
      <c r="AA1102" s="16"/>
      <c r="AB1102" s="29" t="s">
        <v>739</v>
      </c>
      <c r="AC1102" s="17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</row>
    <row r="1103" spans="1:50" ht="25.5" x14ac:dyDescent="0.2">
      <c r="AA1103" s="16"/>
      <c r="AB1103" s="29" t="s">
        <v>205</v>
      </c>
      <c r="AC1103" s="17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30"/>
      <c r="AU1103" s="18"/>
      <c r="AV1103" s="18"/>
      <c r="AW1103" s="18"/>
      <c r="AX1103" s="18"/>
    </row>
    <row r="1104" spans="1:50" ht="25.5" x14ac:dyDescent="0.2">
      <c r="AA1104" s="28" t="s">
        <v>288</v>
      </c>
      <c r="AB1104" s="29" t="s">
        <v>740</v>
      </c>
      <c r="AC1104" s="17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30"/>
      <c r="AU1104" s="18"/>
      <c r="AV1104" s="18"/>
      <c r="AW1104" s="18"/>
      <c r="AX1104" s="18"/>
    </row>
    <row r="1105" spans="1:50" x14ac:dyDescent="0.2">
      <c r="A1105" s="4" t="s">
        <v>55</v>
      </c>
      <c r="B1105" s="4" t="s">
        <v>56</v>
      </c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1" t="s">
        <v>741</v>
      </c>
      <c r="AB1105" s="42" t="s">
        <v>233</v>
      </c>
      <c r="AC1105" s="43" t="s">
        <v>58</v>
      </c>
      <c r="AD1105" s="43">
        <v>9645837227</v>
      </c>
      <c r="AE1105" s="44">
        <v>0</v>
      </c>
      <c r="AF1105" s="44">
        <v>0</v>
      </c>
      <c r="AG1105" s="44">
        <v>0</v>
      </c>
      <c r="AH1105" s="44">
        <v>0</v>
      </c>
      <c r="AI1105" s="44">
        <v>0</v>
      </c>
      <c r="AJ1105" s="43">
        <v>9645837227</v>
      </c>
      <c r="AK1105" s="44">
        <v>0</v>
      </c>
      <c r="AL1105" s="43">
        <v>803819769</v>
      </c>
      <c r="AM1105" s="43">
        <v>4019098845</v>
      </c>
      <c r="AN1105" s="44">
        <v>0</v>
      </c>
      <c r="AO1105" s="43">
        <v>803819769</v>
      </c>
      <c r="AP1105" s="43">
        <v>4019098845</v>
      </c>
      <c r="AQ1105" s="44">
        <v>0</v>
      </c>
      <c r="AR1105" s="114">
        <v>803819769</v>
      </c>
      <c r="AS1105" s="114">
        <v>4019098845</v>
      </c>
      <c r="AT1105" s="111">
        <f t="shared" ref="AT1105:AT1109" si="382">AQ1105+AS1105</f>
        <v>4019098845</v>
      </c>
      <c r="AU1105" s="110">
        <f>AJ1105-AM1105</f>
        <v>5626738382</v>
      </c>
      <c r="AV1105" s="133">
        <f>AM1105-AP1105</f>
        <v>0</v>
      </c>
      <c r="AW1105" s="34">
        <f>AP1105-AT1105</f>
        <v>0</v>
      </c>
      <c r="AX1105" s="123">
        <f>AP1105/AJ1105</f>
        <v>0.41666666670986319</v>
      </c>
    </row>
    <row r="1106" spans="1:50" x14ac:dyDescent="0.2">
      <c r="A1106" s="4" t="s">
        <v>55</v>
      </c>
      <c r="B1106" s="4" t="s">
        <v>56</v>
      </c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134" t="s">
        <v>742</v>
      </c>
      <c r="AB1106" s="69" t="s">
        <v>743</v>
      </c>
      <c r="AC1106" s="43" t="s">
        <v>744</v>
      </c>
      <c r="AD1106" s="43">
        <v>1148574460</v>
      </c>
      <c r="AE1106" s="44">
        <v>0</v>
      </c>
      <c r="AF1106" s="44">
        <v>0</v>
      </c>
      <c r="AG1106" s="44">
        <v>0</v>
      </c>
      <c r="AH1106" s="44">
        <v>0</v>
      </c>
      <c r="AI1106" s="44">
        <v>0</v>
      </c>
      <c r="AJ1106" s="43">
        <v>1148574460</v>
      </c>
      <c r="AK1106" s="44">
        <v>0</v>
      </c>
      <c r="AL1106" s="43">
        <v>95714538</v>
      </c>
      <c r="AM1106" s="43">
        <v>478572690</v>
      </c>
      <c r="AN1106" s="44">
        <v>0</v>
      </c>
      <c r="AO1106" s="43">
        <v>95714538</v>
      </c>
      <c r="AP1106" s="43">
        <v>478572690</v>
      </c>
      <c r="AQ1106" s="44">
        <v>0</v>
      </c>
      <c r="AR1106" s="114">
        <v>95714538</v>
      </c>
      <c r="AS1106" s="114">
        <v>478572690</v>
      </c>
      <c r="AT1106" s="111">
        <f t="shared" si="382"/>
        <v>478572690</v>
      </c>
      <c r="AU1106" s="110">
        <f>AJ1106-AM1106</f>
        <v>670001770</v>
      </c>
      <c r="AV1106" s="133">
        <f>AM1106-AP1106</f>
        <v>0</v>
      </c>
      <c r="AW1106" s="34">
        <f>AP1106-AT1106</f>
        <v>0</v>
      </c>
      <c r="AX1106" s="123">
        <f>AP1106/AJ1106</f>
        <v>0.41666666521559254</v>
      </c>
    </row>
    <row r="1107" spans="1:50" x14ac:dyDescent="0.2">
      <c r="A1107" s="4" t="s">
        <v>55</v>
      </c>
      <c r="B1107" s="4" t="s">
        <v>56</v>
      </c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134" t="s">
        <v>745</v>
      </c>
      <c r="AB1107" s="69" t="s">
        <v>281</v>
      </c>
      <c r="AC1107" s="43" t="s">
        <v>253</v>
      </c>
      <c r="AD1107" s="43">
        <v>3200000000</v>
      </c>
      <c r="AE1107" s="44">
        <v>0</v>
      </c>
      <c r="AF1107" s="44">
        <v>0</v>
      </c>
      <c r="AG1107" s="44">
        <v>0</v>
      </c>
      <c r="AH1107" s="44">
        <v>0</v>
      </c>
      <c r="AI1107" s="44">
        <v>0</v>
      </c>
      <c r="AJ1107" s="43">
        <v>3200000000</v>
      </c>
      <c r="AK1107" s="44">
        <v>0</v>
      </c>
      <c r="AL1107" s="43">
        <v>202272646</v>
      </c>
      <c r="AM1107" s="43">
        <v>835577298</v>
      </c>
      <c r="AN1107" s="44">
        <v>0</v>
      </c>
      <c r="AO1107" s="43">
        <v>202272646</v>
      </c>
      <c r="AP1107" s="43">
        <v>835577298</v>
      </c>
      <c r="AQ1107" s="44">
        <v>202272646</v>
      </c>
      <c r="AR1107" s="114">
        <v>0</v>
      </c>
      <c r="AS1107" s="114">
        <v>633304652</v>
      </c>
      <c r="AT1107" s="111">
        <f t="shared" si="382"/>
        <v>835577298</v>
      </c>
      <c r="AU1107" s="110">
        <f>AJ1107-AM1107</f>
        <v>2364422702</v>
      </c>
      <c r="AV1107" s="133">
        <f>AM1107-AP1107</f>
        <v>0</v>
      </c>
      <c r="AW1107" s="34">
        <f>AP1107-AT1107</f>
        <v>0</v>
      </c>
      <c r="AX1107" s="123">
        <f>AP1107/AJ1107</f>
        <v>0.26111790562499998</v>
      </c>
    </row>
    <row r="1108" spans="1:50" ht="25.5" x14ac:dyDescent="0.2">
      <c r="A1108" s="4" t="s">
        <v>55</v>
      </c>
      <c r="B1108" s="4" t="s">
        <v>56</v>
      </c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1" t="s">
        <v>746</v>
      </c>
      <c r="AB1108" s="42" t="s">
        <v>747</v>
      </c>
      <c r="AC1108" s="43" t="s">
        <v>258</v>
      </c>
      <c r="AD1108" s="43">
        <v>35443183</v>
      </c>
      <c r="AE1108" s="44">
        <v>0</v>
      </c>
      <c r="AF1108" s="44">
        <v>0</v>
      </c>
      <c r="AG1108" s="44">
        <v>0</v>
      </c>
      <c r="AH1108" s="44">
        <v>0</v>
      </c>
      <c r="AI1108" s="44">
        <v>0</v>
      </c>
      <c r="AJ1108" s="43">
        <v>35443183</v>
      </c>
      <c r="AK1108" s="44">
        <v>0</v>
      </c>
      <c r="AL1108" s="44">
        <v>0</v>
      </c>
      <c r="AM1108" s="44">
        <v>0</v>
      </c>
      <c r="AN1108" s="44">
        <v>0</v>
      </c>
      <c r="AO1108" s="44">
        <v>0</v>
      </c>
      <c r="AP1108" s="44">
        <v>0</v>
      </c>
      <c r="AQ1108" s="44">
        <v>0</v>
      </c>
      <c r="AR1108" s="44">
        <v>0</v>
      </c>
      <c r="AS1108" s="44">
        <v>0</v>
      </c>
      <c r="AT1108" s="135">
        <f t="shared" si="382"/>
        <v>0</v>
      </c>
      <c r="AU1108" s="110">
        <f>AJ1108-AM1108</f>
        <v>35443183</v>
      </c>
      <c r="AV1108" s="133">
        <f>AM1108-AP1108</f>
        <v>0</v>
      </c>
      <c r="AW1108" s="34">
        <f>AP1108-AT1108</f>
        <v>0</v>
      </c>
      <c r="AX1108" s="123">
        <f>AP1108/AJ1108</f>
        <v>0</v>
      </c>
    </row>
    <row r="1109" spans="1:50" x14ac:dyDescent="0.2">
      <c r="A1109" s="4" t="s">
        <v>55</v>
      </c>
      <c r="B1109" s="4" t="s">
        <v>56</v>
      </c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1" t="s">
        <v>748</v>
      </c>
      <c r="AB1109" s="42" t="s">
        <v>749</v>
      </c>
      <c r="AC1109" s="43" t="s">
        <v>368</v>
      </c>
      <c r="AD1109" s="43">
        <v>30000000</v>
      </c>
      <c r="AE1109" s="44">
        <v>0</v>
      </c>
      <c r="AF1109" s="44">
        <v>0</v>
      </c>
      <c r="AG1109" s="44">
        <v>0</v>
      </c>
      <c r="AH1109" s="44">
        <v>0</v>
      </c>
      <c r="AI1109" s="44">
        <v>0</v>
      </c>
      <c r="AJ1109" s="43">
        <v>30000000</v>
      </c>
      <c r="AK1109" s="44">
        <v>0</v>
      </c>
      <c r="AL1109" s="44">
        <v>0</v>
      </c>
      <c r="AM1109" s="44">
        <v>0</v>
      </c>
      <c r="AN1109" s="44">
        <v>0</v>
      </c>
      <c r="AO1109" s="44">
        <v>0</v>
      </c>
      <c r="AP1109" s="44">
        <v>0</v>
      </c>
      <c r="AQ1109" s="44">
        <v>0</v>
      </c>
      <c r="AR1109" s="44">
        <v>0</v>
      </c>
      <c r="AS1109" s="44">
        <v>0</v>
      </c>
      <c r="AT1109" s="135">
        <f t="shared" si="382"/>
        <v>0</v>
      </c>
      <c r="AU1109" s="110">
        <f>AJ1109-AM1109</f>
        <v>30000000</v>
      </c>
      <c r="AV1109" s="133">
        <f>AM1109-AP1109</f>
        <v>0</v>
      </c>
      <c r="AW1109" s="34">
        <f>AP1109-AT1109</f>
        <v>0</v>
      </c>
      <c r="AX1109" s="123">
        <f>AP1109/AJ1109</f>
        <v>0</v>
      </c>
    </row>
    <row r="1110" spans="1:50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1"/>
      <c r="AB1110" s="42"/>
      <c r="AC1110" s="43"/>
      <c r="AD1110" s="43"/>
      <c r="AE1110" s="44"/>
      <c r="AF1110" s="44"/>
      <c r="AG1110" s="44"/>
      <c r="AH1110" s="44"/>
      <c r="AI1110" s="44"/>
      <c r="AJ1110" s="43"/>
      <c r="AK1110" s="44"/>
      <c r="AL1110" s="44"/>
      <c r="AM1110" s="44"/>
      <c r="AN1110" s="44"/>
      <c r="AO1110" s="44"/>
      <c r="AP1110" s="44"/>
      <c r="AQ1110" s="44"/>
      <c r="AR1110" s="44"/>
      <c r="AS1110" s="44"/>
      <c r="AT1110" s="135"/>
      <c r="AU1110" s="110"/>
      <c r="AV1110" s="133"/>
      <c r="AW1110" s="34"/>
      <c r="AX1110" s="123"/>
    </row>
    <row r="1111" spans="1:50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225" t="s">
        <v>288</v>
      </c>
      <c r="AB1111" s="226" t="s">
        <v>1138</v>
      </c>
      <c r="AC1111" s="43"/>
      <c r="AD1111" s="43"/>
      <c r="AE1111" s="233"/>
      <c r="AF1111" s="44"/>
      <c r="AG1111" s="44"/>
      <c r="AH1111" s="44"/>
      <c r="AI1111" s="44"/>
      <c r="AJ1111" s="43"/>
      <c r="AK1111" s="44"/>
      <c r="AL1111" s="44"/>
      <c r="AM1111" s="44"/>
      <c r="AN1111" s="44"/>
      <c r="AO1111" s="44"/>
      <c r="AP1111" s="44"/>
      <c r="AQ1111" s="44"/>
      <c r="AR1111" s="44"/>
      <c r="AS1111" s="44"/>
      <c r="AT1111" s="135"/>
      <c r="AU1111" s="110"/>
      <c r="AV1111" s="133"/>
      <c r="AW1111" s="34"/>
      <c r="AX1111" s="123"/>
    </row>
    <row r="1112" spans="1:50" ht="25.5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166" t="s">
        <v>1139</v>
      </c>
      <c r="AB1112" s="167" t="s">
        <v>1055</v>
      </c>
      <c r="AC1112" s="168"/>
      <c r="AD1112" s="255">
        <v>0</v>
      </c>
      <c r="AE1112" s="217">
        <v>140000000</v>
      </c>
      <c r="AF1112" s="216">
        <v>0</v>
      </c>
      <c r="AG1112" s="44">
        <v>0</v>
      </c>
      <c r="AH1112" s="44">
        <v>0</v>
      </c>
      <c r="AI1112" s="43">
        <f t="shared" ref="AI1112:AI1113" si="383">AE1112-AF1112+AG1112-AH1112</f>
        <v>140000000</v>
      </c>
      <c r="AJ1112" s="43">
        <f t="shared" ref="AJ1112:AJ1113" si="384">AD1112+AI1112</f>
        <v>140000000</v>
      </c>
      <c r="AK1112" s="44">
        <v>0</v>
      </c>
      <c r="AL1112" s="43">
        <v>140000000</v>
      </c>
      <c r="AM1112" s="43">
        <v>140000000</v>
      </c>
      <c r="AN1112" s="43">
        <v>0</v>
      </c>
      <c r="AO1112" s="43">
        <v>140000000</v>
      </c>
      <c r="AP1112" s="43">
        <v>140000000</v>
      </c>
      <c r="AQ1112" s="43">
        <v>140000000</v>
      </c>
      <c r="AR1112" s="43">
        <v>0</v>
      </c>
      <c r="AS1112" s="43">
        <v>0</v>
      </c>
      <c r="AT1112" s="39">
        <f t="shared" ref="AT1112:AT1113" si="385">AQ1112+AS1112</f>
        <v>140000000</v>
      </c>
      <c r="AU1112" s="110">
        <f>AJ1112-AM1112</f>
        <v>0</v>
      </c>
      <c r="AV1112" s="133">
        <f>AM1112-AP1112</f>
        <v>0</v>
      </c>
      <c r="AW1112" s="34">
        <f>AP1112-AT1112</f>
        <v>0</v>
      </c>
      <c r="AX1112" s="123">
        <f>AP1112/AJ1112</f>
        <v>1</v>
      </c>
    </row>
    <row r="1113" spans="1:50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166" t="s">
        <v>1140</v>
      </c>
      <c r="AB1113" s="167" t="s">
        <v>1013</v>
      </c>
      <c r="AC1113" s="168"/>
      <c r="AD1113" s="255">
        <v>0</v>
      </c>
      <c r="AE1113" s="217">
        <v>92624671.799999997</v>
      </c>
      <c r="AF1113" s="216">
        <v>0</v>
      </c>
      <c r="AG1113" s="216">
        <v>0</v>
      </c>
      <c r="AH1113" s="216">
        <v>0</v>
      </c>
      <c r="AI1113" s="43">
        <f t="shared" si="383"/>
        <v>92624671.799999997</v>
      </c>
      <c r="AJ1113" s="43">
        <f t="shared" si="384"/>
        <v>92624671.799999997</v>
      </c>
      <c r="AK1113" s="44">
        <v>0</v>
      </c>
      <c r="AL1113" s="43">
        <v>92624671.799999997</v>
      </c>
      <c r="AM1113" s="43">
        <v>92624671.799999997</v>
      </c>
      <c r="AN1113" s="43">
        <v>0</v>
      </c>
      <c r="AO1113" s="43">
        <v>92624671.799999997</v>
      </c>
      <c r="AP1113" s="43">
        <v>92624671.799999997</v>
      </c>
      <c r="AQ1113" s="43">
        <v>92624671.799999997</v>
      </c>
      <c r="AR1113" s="43">
        <v>0</v>
      </c>
      <c r="AS1113" s="43">
        <v>0</v>
      </c>
      <c r="AT1113" s="39">
        <f t="shared" si="385"/>
        <v>92624671.799999997</v>
      </c>
      <c r="AU1113" s="110">
        <f>AJ1113-AM1113</f>
        <v>0</v>
      </c>
      <c r="AV1113" s="133">
        <f>AM1113-AP1113</f>
        <v>0</v>
      </c>
      <c r="AW1113" s="34">
        <f>AP1113-AT1113</f>
        <v>0</v>
      </c>
      <c r="AX1113" s="123">
        <f>AP1113/AJ1113</f>
        <v>1</v>
      </c>
    </row>
    <row r="1114" spans="1:50" ht="25.5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170" t="s">
        <v>288</v>
      </c>
      <c r="AB1114" s="165" t="s">
        <v>1141</v>
      </c>
      <c r="AC1114" s="168"/>
      <c r="AD1114" s="255"/>
      <c r="AE1114" s="235"/>
      <c r="AF1114" s="216"/>
      <c r="AG1114" s="44"/>
      <c r="AH1114" s="44"/>
      <c r="AI1114" s="44"/>
      <c r="AJ1114" s="43"/>
      <c r="AK1114" s="44"/>
      <c r="AL1114" s="44"/>
      <c r="AM1114" s="44"/>
      <c r="AN1114" s="44"/>
      <c r="AO1114" s="44"/>
      <c r="AP1114" s="44"/>
      <c r="AQ1114" s="44"/>
      <c r="AR1114" s="44"/>
      <c r="AS1114" s="44"/>
      <c r="AT1114" s="135"/>
      <c r="AU1114" s="110"/>
      <c r="AV1114" s="133"/>
      <c r="AW1114" s="34"/>
      <c r="AX1114" s="123"/>
    </row>
    <row r="1115" spans="1:50" ht="25.5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166" t="s">
        <v>1142</v>
      </c>
      <c r="AB1115" s="167" t="s">
        <v>1055</v>
      </c>
      <c r="AC1115" s="168"/>
      <c r="AD1115" s="255">
        <v>0</v>
      </c>
      <c r="AE1115" s="217">
        <v>15000000</v>
      </c>
      <c r="AF1115" s="216">
        <v>0</v>
      </c>
      <c r="AG1115" s="216">
        <v>0</v>
      </c>
      <c r="AH1115" s="216">
        <v>0</v>
      </c>
      <c r="AI1115" s="43">
        <f t="shared" ref="AI1115:AI1118" si="386">AE1115-AF1115+AG1115-AH1115</f>
        <v>15000000</v>
      </c>
      <c r="AJ1115" s="43">
        <f t="shared" ref="AJ1115:AJ1118" si="387">AD1115+AI1115</f>
        <v>15000000</v>
      </c>
      <c r="AK1115" s="44">
        <v>0</v>
      </c>
      <c r="AL1115" s="43">
        <v>15000000</v>
      </c>
      <c r="AM1115" s="43">
        <v>15000000</v>
      </c>
      <c r="AN1115" s="43">
        <v>0</v>
      </c>
      <c r="AO1115" s="43">
        <v>15000000</v>
      </c>
      <c r="AP1115" s="43">
        <v>15000000</v>
      </c>
      <c r="AQ1115" s="43">
        <v>15000000</v>
      </c>
      <c r="AR1115" s="43">
        <v>0</v>
      </c>
      <c r="AS1115" s="43">
        <v>0</v>
      </c>
      <c r="AT1115" s="39">
        <f t="shared" ref="AT1115:AT1118" si="388">AQ1115+AS1115</f>
        <v>15000000</v>
      </c>
      <c r="AU1115" s="110">
        <f>AJ1115-AM1115</f>
        <v>0</v>
      </c>
      <c r="AV1115" s="133">
        <f>AM1115-AP1115</f>
        <v>0</v>
      </c>
      <c r="AW1115" s="34">
        <f>AP1115-AT1115</f>
        <v>0</v>
      </c>
      <c r="AX1115" s="123">
        <f>AP1115/AJ1115</f>
        <v>1</v>
      </c>
    </row>
    <row r="1116" spans="1:50" ht="25.5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166" t="s">
        <v>1143</v>
      </c>
      <c r="AB1116" s="167" t="s">
        <v>1055</v>
      </c>
      <c r="AC1116" s="168"/>
      <c r="AD1116" s="255">
        <v>0</v>
      </c>
      <c r="AE1116" s="217">
        <v>100000000</v>
      </c>
      <c r="AF1116" s="216">
        <v>0</v>
      </c>
      <c r="AG1116" s="216">
        <v>0</v>
      </c>
      <c r="AH1116" s="216">
        <v>0</v>
      </c>
      <c r="AI1116" s="43">
        <f t="shared" si="386"/>
        <v>100000000</v>
      </c>
      <c r="AJ1116" s="43">
        <f t="shared" si="387"/>
        <v>100000000</v>
      </c>
      <c r="AK1116" s="44">
        <v>0</v>
      </c>
      <c r="AL1116" s="43">
        <v>100000000</v>
      </c>
      <c r="AM1116" s="43">
        <v>100000000</v>
      </c>
      <c r="AN1116" s="43">
        <v>0</v>
      </c>
      <c r="AO1116" s="43">
        <v>100000000</v>
      </c>
      <c r="AP1116" s="43">
        <v>100000000</v>
      </c>
      <c r="AQ1116" s="43">
        <v>100000000</v>
      </c>
      <c r="AR1116" s="43">
        <v>0</v>
      </c>
      <c r="AS1116" s="43">
        <v>0</v>
      </c>
      <c r="AT1116" s="39">
        <f t="shared" si="388"/>
        <v>100000000</v>
      </c>
      <c r="AU1116" s="110">
        <f>AJ1116-AM1116</f>
        <v>0</v>
      </c>
      <c r="AV1116" s="133">
        <f>AM1116-AP1116</f>
        <v>0</v>
      </c>
      <c r="AW1116" s="34">
        <f>AP1116-AT1116</f>
        <v>0</v>
      </c>
      <c r="AX1116" s="123">
        <f>AP1116/AJ1116</f>
        <v>1</v>
      </c>
    </row>
    <row r="1117" spans="1:50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166" t="s">
        <v>1144</v>
      </c>
      <c r="AB1117" s="167" t="s">
        <v>1013</v>
      </c>
      <c r="AC1117" s="168"/>
      <c r="AD1117" s="255">
        <v>0</v>
      </c>
      <c r="AE1117" s="217">
        <v>80000000</v>
      </c>
      <c r="AF1117" s="216">
        <v>0</v>
      </c>
      <c r="AG1117" s="216">
        <v>0</v>
      </c>
      <c r="AH1117" s="216">
        <v>0</v>
      </c>
      <c r="AI1117" s="43">
        <f t="shared" si="386"/>
        <v>80000000</v>
      </c>
      <c r="AJ1117" s="43">
        <f t="shared" si="387"/>
        <v>80000000</v>
      </c>
      <c r="AK1117" s="44">
        <v>0</v>
      </c>
      <c r="AL1117" s="43">
        <v>80000000</v>
      </c>
      <c r="AM1117" s="43">
        <v>80000000</v>
      </c>
      <c r="AN1117" s="43">
        <v>0</v>
      </c>
      <c r="AO1117" s="43">
        <v>80000000</v>
      </c>
      <c r="AP1117" s="43">
        <v>80000000</v>
      </c>
      <c r="AQ1117" s="43">
        <v>80000000</v>
      </c>
      <c r="AR1117" s="43">
        <v>0</v>
      </c>
      <c r="AS1117" s="43">
        <v>0</v>
      </c>
      <c r="AT1117" s="39">
        <f t="shared" si="388"/>
        <v>80000000</v>
      </c>
      <c r="AU1117" s="110">
        <f>AJ1117-AM1117</f>
        <v>0</v>
      </c>
      <c r="AV1117" s="133">
        <f>AM1117-AP1117</f>
        <v>0</v>
      </c>
      <c r="AW1117" s="34">
        <f>AP1117-AT1117</f>
        <v>0</v>
      </c>
      <c r="AX1117" s="123">
        <f>AP1117/AJ1117</f>
        <v>1</v>
      </c>
    </row>
    <row r="1118" spans="1:50" ht="25.5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166" t="s">
        <v>1145</v>
      </c>
      <c r="AB1118" s="167" t="s">
        <v>1044</v>
      </c>
      <c r="AC1118" s="168"/>
      <c r="AD1118" s="255">
        <v>0</v>
      </c>
      <c r="AE1118" s="217">
        <v>22000000</v>
      </c>
      <c r="AF1118" s="216">
        <v>0</v>
      </c>
      <c r="AG1118" s="216">
        <v>0</v>
      </c>
      <c r="AH1118" s="216">
        <v>0</v>
      </c>
      <c r="AI1118" s="43">
        <f t="shared" si="386"/>
        <v>22000000</v>
      </c>
      <c r="AJ1118" s="43">
        <f t="shared" si="387"/>
        <v>22000000</v>
      </c>
      <c r="AK1118" s="44">
        <v>0</v>
      </c>
      <c r="AL1118" s="43">
        <v>22000000</v>
      </c>
      <c r="AM1118" s="43">
        <v>22000000</v>
      </c>
      <c r="AN1118" s="43">
        <v>0</v>
      </c>
      <c r="AO1118" s="43">
        <v>22000000</v>
      </c>
      <c r="AP1118" s="43">
        <v>22000000</v>
      </c>
      <c r="AQ1118" s="43">
        <v>0</v>
      </c>
      <c r="AR1118" s="43">
        <v>22000000</v>
      </c>
      <c r="AS1118" s="43">
        <v>22000000</v>
      </c>
      <c r="AT1118" s="39">
        <f t="shared" si="388"/>
        <v>22000000</v>
      </c>
      <c r="AU1118" s="110">
        <f>AJ1118-AM1118</f>
        <v>0</v>
      </c>
      <c r="AV1118" s="133">
        <f>AM1118-AP1118</f>
        <v>0</v>
      </c>
      <c r="AW1118" s="34">
        <f>AP1118-AT1118</f>
        <v>0</v>
      </c>
      <c r="AX1118" s="123">
        <f>AP1118/AJ1118</f>
        <v>1</v>
      </c>
    </row>
    <row r="1119" spans="1:50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170" t="s">
        <v>288</v>
      </c>
      <c r="AB1119" s="165" t="s">
        <v>199</v>
      </c>
      <c r="AC1119" s="168"/>
      <c r="AD1119" s="255"/>
      <c r="AE1119" s="235"/>
      <c r="AF1119" s="216"/>
      <c r="AG1119" s="44"/>
      <c r="AH1119" s="44"/>
      <c r="AI1119" s="44"/>
      <c r="AJ1119" s="43"/>
      <c r="AK1119" s="44"/>
      <c r="AL1119" s="44"/>
      <c r="AM1119" s="44"/>
      <c r="AN1119" s="44"/>
      <c r="AO1119" s="44"/>
      <c r="AP1119" s="44"/>
      <c r="AQ1119" s="44"/>
      <c r="AR1119" s="44"/>
      <c r="AS1119" s="44"/>
      <c r="AT1119" s="135"/>
      <c r="AU1119" s="110"/>
      <c r="AV1119" s="133"/>
      <c r="AW1119" s="34"/>
      <c r="AX1119" s="123"/>
    </row>
    <row r="1120" spans="1:50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166" t="s">
        <v>1146</v>
      </c>
      <c r="AB1120" s="167" t="s">
        <v>1147</v>
      </c>
      <c r="AC1120" s="168"/>
      <c r="AD1120" s="255">
        <v>0</v>
      </c>
      <c r="AE1120" s="217">
        <v>134265906</v>
      </c>
      <c r="AF1120" s="216">
        <v>0</v>
      </c>
      <c r="AG1120" s="44">
        <v>0</v>
      </c>
      <c r="AH1120" s="44">
        <v>0</v>
      </c>
      <c r="AI1120" s="43">
        <f t="shared" ref="AI1120:AI1121" si="389">AE1120-AF1120+AG1120-AH1120</f>
        <v>134265906</v>
      </c>
      <c r="AJ1120" s="43">
        <f t="shared" ref="AJ1120:AJ1121" si="390">AD1120+AI1120</f>
        <v>134265906</v>
      </c>
      <c r="AK1120" s="44">
        <v>0</v>
      </c>
      <c r="AL1120" s="43">
        <v>134265906</v>
      </c>
      <c r="AM1120" s="43">
        <v>134265906</v>
      </c>
      <c r="AN1120" s="43">
        <v>0</v>
      </c>
      <c r="AO1120" s="43">
        <v>134265906</v>
      </c>
      <c r="AP1120" s="43">
        <v>134265906</v>
      </c>
      <c r="AQ1120" s="43">
        <v>134265906</v>
      </c>
      <c r="AR1120" s="43">
        <v>0</v>
      </c>
      <c r="AS1120" s="43">
        <v>0</v>
      </c>
      <c r="AT1120" s="39">
        <f t="shared" ref="AT1120:AT1121" si="391">AQ1120+AS1120</f>
        <v>134265906</v>
      </c>
      <c r="AU1120" s="110">
        <f>AJ1120-AM1120</f>
        <v>0</v>
      </c>
      <c r="AV1120" s="133">
        <f>AM1120-AP1120</f>
        <v>0</v>
      </c>
      <c r="AW1120" s="34">
        <f>AP1120-AT1120</f>
        <v>0</v>
      </c>
      <c r="AX1120" s="123">
        <f>AP1120/AJ1120</f>
        <v>1</v>
      </c>
    </row>
    <row r="1121" spans="1:50" ht="25.5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166" t="s">
        <v>1148</v>
      </c>
      <c r="AB1121" s="167" t="s">
        <v>1149</v>
      </c>
      <c r="AC1121" s="168"/>
      <c r="AD1121" s="255">
        <v>0</v>
      </c>
      <c r="AE1121" s="217">
        <v>24691137.52</v>
      </c>
      <c r="AF1121" s="216">
        <v>0</v>
      </c>
      <c r="AG1121" s="216">
        <v>0</v>
      </c>
      <c r="AH1121" s="216">
        <v>0</v>
      </c>
      <c r="AI1121" s="43">
        <f t="shared" si="389"/>
        <v>24691137.52</v>
      </c>
      <c r="AJ1121" s="43">
        <f t="shared" si="390"/>
        <v>24691137.52</v>
      </c>
      <c r="AK1121" s="44">
        <v>0</v>
      </c>
      <c r="AL1121" s="43">
        <v>24691137.52</v>
      </c>
      <c r="AM1121" s="43">
        <v>24691137.52</v>
      </c>
      <c r="AN1121" s="43">
        <v>0</v>
      </c>
      <c r="AO1121" s="43">
        <v>24691137.52</v>
      </c>
      <c r="AP1121" s="43">
        <v>24691137.52</v>
      </c>
      <c r="AQ1121" s="43">
        <v>24691137.52</v>
      </c>
      <c r="AR1121" s="43">
        <v>0</v>
      </c>
      <c r="AS1121" s="43">
        <v>0</v>
      </c>
      <c r="AT1121" s="39">
        <f t="shared" si="391"/>
        <v>24691137.52</v>
      </c>
      <c r="AU1121" s="110">
        <f>AJ1121-AM1121</f>
        <v>0</v>
      </c>
      <c r="AV1121" s="133">
        <f>AM1121-AP1121</f>
        <v>0</v>
      </c>
      <c r="AW1121" s="34">
        <f>AP1121-AT1121</f>
        <v>0</v>
      </c>
      <c r="AX1121" s="123">
        <f>AP1121/AJ1121</f>
        <v>1</v>
      </c>
    </row>
    <row r="1122" spans="1:50" ht="25.5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170" t="s">
        <v>288</v>
      </c>
      <c r="AB1122" s="165" t="s">
        <v>1150</v>
      </c>
      <c r="AC1122" s="168"/>
      <c r="AD1122" s="231"/>
      <c r="AE1122" s="236"/>
      <c r="AF1122" s="216"/>
      <c r="AG1122" s="44"/>
      <c r="AH1122" s="44"/>
      <c r="AI1122" s="44"/>
      <c r="AJ1122" s="43"/>
      <c r="AK1122" s="44"/>
      <c r="AL1122" s="44"/>
      <c r="AM1122" s="44"/>
      <c r="AN1122" s="44"/>
      <c r="AO1122" s="44"/>
      <c r="AP1122" s="44"/>
      <c r="AQ1122" s="44"/>
      <c r="AR1122" s="44"/>
      <c r="AS1122" s="44"/>
      <c r="AT1122" s="135"/>
      <c r="AU1122" s="110"/>
      <c r="AV1122" s="133"/>
      <c r="AW1122" s="34"/>
      <c r="AX1122" s="123"/>
    </row>
    <row r="1123" spans="1:50" ht="25.5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166" t="s">
        <v>1151</v>
      </c>
      <c r="AB1123" s="167" t="s">
        <v>1055</v>
      </c>
      <c r="AC1123" s="168"/>
      <c r="AD1123" s="255">
        <v>0</v>
      </c>
      <c r="AE1123" s="217">
        <v>233600000</v>
      </c>
      <c r="AF1123" s="216">
        <v>0</v>
      </c>
      <c r="AG1123" s="216">
        <v>0</v>
      </c>
      <c r="AH1123" s="216">
        <v>0</v>
      </c>
      <c r="AI1123" s="43">
        <f t="shared" ref="AI1123" si="392">AE1123-AF1123+AG1123-AH1123</f>
        <v>233600000</v>
      </c>
      <c r="AJ1123" s="43">
        <f t="shared" ref="AJ1123" si="393">AD1123+AI1123</f>
        <v>233600000</v>
      </c>
      <c r="AK1123" s="44">
        <v>0</v>
      </c>
      <c r="AL1123" s="43">
        <v>233600000</v>
      </c>
      <c r="AM1123" s="43">
        <v>233600000</v>
      </c>
      <c r="AN1123" s="43">
        <v>0</v>
      </c>
      <c r="AO1123" s="43">
        <v>233600000</v>
      </c>
      <c r="AP1123" s="43">
        <v>233600000</v>
      </c>
      <c r="AQ1123" s="43">
        <v>233600000</v>
      </c>
      <c r="AR1123" s="43">
        <v>0</v>
      </c>
      <c r="AS1123" s="43">
        <v>0</v>
      </c>
      <c r="AT1123" s="39">
        <f t="shared" ref="AT1123" si="394">AQ1123+AS1123</f>
        <v>233600000</v>
      </c>
      <c r="AU1123" s="110">
        <f>AJ1123-AM1123</f>
        <v>0</v>
      </c>
      <c r="AV1123" s="133">
        <f>AM1123-AP1123</f>
        <v>0</v>
      </c>
      <c r="AW1123" s="34">
        <f>AP1123-AT1123</f>
        <v>0</v>
      </c>
      <c r="AX1123" s="123">
        <f>AP1123/AJ1123</f>
        <v>1</v>
      </c>
    </row>
    <row r="1124" spans="1:50" ht="25.5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170" t="s">
        <v>288</v>
      </c>
      <c r="AB1124" s="165" t="s">
        <v>1152</v>
      </c>
      <c r="AC1124" s="168"/>
      <c r="AD1124" s="231"/>
      <c r="AE1124" s="236"/>
      <c r="AF1124" s="216"/>
      <c r="AG1124" s="44"/>
      <c r="AH1124" s="44"/>
      <c r="AI1124" s="44"/>
      <c r="AJ1124" s="43"/>
      <c r="AK1124" s="44"/>
      <c r="AL1124" s="44"/>
      <c r="AM1124" s="44"/>
      <c r="AN1124" s="44"/>
      <c r="AO1124" s="44"/>
      <c r="AP1124" s="44"/>
      <c r="AQ1124" s="44"/>
      <c r="AR1124" s="44"/>
      <c r="AS1124" s="44"/>
      <c r="AT1124" s="135"/>
      <c r="AU1124" s="110"/>
      <c r="AV1124" s="133"/>
      <c r="AW1124" s="34"/>
      <c r="AX1124" s="123"/>
    </row>
    <row r="1125" spans="1:50" ht="25.5" x14ac:dyDescent="0.2">
      <c r="A1125" s="4"/>
      <c r="B1125" s="4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166" t="s">
        <v>1153</v>
      </c>
      <c r="AB1125" s="167" t="s">
        <v>1055</v>
      </c>
      <c r="AC1125" s="168"/>
      <c r="AD1125" s="255">
        <v>0</v>
      </c>
      <c r="AE1125" s="217">
        <v>61400000</v>
      </c>
      <c r="AF1125" s="216">
        <v>0</v>
      </c>
      <c r="AG1125" s="216">
        <v>0</v>
      </c>
      <c r="AH1125" s="216">
        <v>0</v>
      </c>
      <c r="AI1125" s="43">
        <f t="shared" ref="AI1125" si="395">AE1125-AF1125+AG1125-AH1125</f>
        <v>61400000</v>
      </c>
      <c r="AJ1125" s="43">
        <f t="shared" ref="AJ1125" si="396">AD1125+AI1125</f>
        <v>61400000</v>
      </c>
      <c r="AK1125" s="44">
        <v>0</v>
      </c>
      <c r="AL1125" s="43">
        <v>61400000</v>
      </c>
      <c r="AM1125" s="43">
        <v>61400000</v>
      </c>
      <c r="AN1125" s="44">
        <v>0</v>
      </c>
      <c r="AO1125" s="43">
        <v>61400000</v>
      </c>
      <c r="AP1125" s="43">
        <v>61400000</v>
      </c>
      <c r="AQ1125" s="43">
        <v>61400000</v>
      </c>
      <c r="AR1125" s="44">
        <v>0</v>
      </c>
      <c r="AS1125" s="44">
        <v>0</v>
      </c>
      <c r="AT1125" s="39">
        <f t="shared" ref="AT1125" si="397">AQ1125+AS1125</f>
        <v>61400000</v>
      </c>
      <c r="AU1125" s="133">
        <f>AJ1125-AM1125</f>
        <v>0</v>
      </c>
      <c r="AV1125" s="133">
        <f>AM1125-AP1125</f>
        <v>0</v>
      </c>
      <c r="AW1125" s="34">
        <f>AP1125-AT1125</f>
        <v>0</v>
      </c>
      <c r="AX1125" s="123">
        <f>AP1125/AJ1125</f>
        <v>1</v>
      </c>
    </row>
    <row r="1126" spans="1:50" x14ac:dyDescent="0.2">
      <c r="A1126" s="4"/>
      <c r="B1126" s="4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170" t="s">
        <v>288</v>
      </c>
      <c r="AB1126" s="165" t="s">
        <v>1154</v>
      </c>
      <c r="AC1126" s="168"/>
      <c r="AD1126" s="255"/>
      <c r="AE1126" s="236"/>
      <c r="AF1126" s="216"/>
      <c r="AG1126" s="44"/>
      <c r="AH1126" s="44"/>
      <c r="AI1126" s="44"/>
      <c r="AJ1126" s="43"/>
      <c r="AK1126" s="44"/>
      <c r="AL1126" s="44"/>
      <c r="AM1126" s="44"/>
      <c r="AN1126" s="44"/>
      <c r="AO1126" s="44"/>
      <c r="AP1126" s="44"/>
      <c r="AQ1126" s="44"/>
      <c r="AR1126" s="44"/>
      <c r="AS1126" s="44"/>
      <c r="AT1126" s="135"/>
      <c r="AU1126" s="133"/>
      <c r="AV1126" s="133"/>
      <c r="AW1126" s="34"/>
      <c r="AX1126" s="123"/>
    </row>
    <row r="1127" spans="1:50" ht="25.5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166" t="s">
        <v>1155</v>
      </c>
      <c r="AB1127" s="167" t="s">
        <v>1055</v>
      </c>
      <c r="AC1127" s="168"/>
      <c r="AD1127" s="255">
        <v>0</v>
      </c>
      <c r="AE1127" s="217">
        <v>200000000</v>
      </c>
      <c r="AF1127" s="216">
        <v>0</v>
      </c>
      <c r="AG1127" s="216">
        <v>0</v>
      </c>
      <c r="AH1127" s="216">
        <v>0</v>
      </c>
      <c r="AI1127" s="43">
        <f t="shared" ref="AI1127" si="398">AE1127-AF1127+AG1127-AH1127</f>
        <v>200000000</v>
      </c>
      <c r="AJ1127" s="43">
        <f t="shared" ref="AJ1127" si="399">AD1127+AI1127</f>
        <v>200000000</v>
      </c>
      <c r="AK1127" s="44">
        <v>0</v>
      </c>
      <c r="AL1127" s="43">
        <v>200000000</v>
      </c>
      <c r="AM1127" s="43">
        <v>200000000</v>
      </c>
      <c r="AN1127" s="44">
        <v>0</v>
      </c>
      <c r="AO1127" s="43">
        <v>200000000</v>
      </c>
      <c r="AP1127" s="43">
        <v>200000000</v>
      </c>
      <c r="AQ1127" s="43">
        <v>200000000</v>
      </c>
      <c r="AR1127" s="44">
        <v>0</v>
      </c>
      <c r="AS1127" s="44">
        <v>0</v>
      </c>
      <c r="AT1127" s="39">
        <f t="shared" ref="AT1127" si="400">AQ1127+AS1127</f>
        <v>200000000</v>
      </c>
      <c r="AU1127" s="133">
        <f>AJ1127-AM1127</f>
        <v>0</v>
      </c>
      <c r="AV1127" s="133">
        <f>AM1127-AP1127</f>
        <v>0</v>
      </c>
      <c r="AW1127" s="34">
        <f>AP1127-AT1127</f>
        <v>0</v>
      </c>
      <c r="AX1127" s="123">
        <f>AP1127/AJ1127</f>
        <v>1</v>
      </c>
    </row>
    <row r="1128" spans="1:50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170" t="s">
        <v>288</v>
      </c>
      <c r="AB1128" s="165" t="s">
        <v>1156</v>
      </c>
      <c r="AC1128" s="168"/>
      <c r="AD1128" s="255"/>
      <c r="AE1128" s="236"/>
      <c r="AF1128" s="216"/>
      <c r="AG1128" s="44"/>
      <c r="AH1128" s="44"/>
      <c r="AI1128" s="44"/>
      <c r="AJ1128" s="43"/>
      <c r="AK1128" s="44"/>
      <c r="AL1128" s="44"/>
      <c r="AM1128" s="44"/>
      <c r="AN1128" s="44"/>
      <c r="AO1128" s="44"/>
      <c r="AP1128" s="44"/>
      <c r="AQ1128" s="44"/>
      <c r="AR1128" s="44"/>
      <c r="AS1128" s="44"/>
      <c r="AT1128" s="135"/>
      <c r="AU1128" s="133"/>
      <c r="AV1128" s="133"/>
      <c r="AW1128" s="34"/>
      <c r="AX1128" s="123"/>
    </row>
    <row r="1129" spans="1:50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166" t="s">
        <v>1157</v>
      </c>
      <c r="AB1129" s="167" t="s">
        <v>1013</v>
      </c>
      <c r="AC1129" s="168"/>
      <c r="AD1129" s="255">
        <v>0</v>
      </c>
      <c r="AE1129" s="217">
        <v>70000000</v>
      </c>
      <c r="AF1129" s="216">
        <v>0</v>
      </c>
      <c r="AG1129" s="216">
        <v>0</v>
      </c>
      <c r="AH1129" s="216">
        <v>0</v>
      </c>
      <c r="AI1129" s="43">
        <f t="shared" ref="AI1129" si="401">AE1129-AF1129+AG1129-AH1129</f>
        <v>70000000</v>
      </c>
      <c r="AJ1129" s="43">
        <f t="shared" ref="AJ1129" si="402">AD1129+AI1129</f>
        <v>70000000</v>
      </c>
      <c r="AK1129" s="44">
        <v>0</v>
      </c>
      <c r="AL1129" s="43">
        <v>70000000</v>
      </c>
      <c r="AM1129" s="43">
        <v>70000000</v>
      </c>
      <c r="AN1129" s="44">
        <v>0</v>
      </c>
      <c r="AO1129" s="43">
        <v>70000000</v>
      </c>
      <c r="AP1129" s="43">
        <v>70000000</v>
      </c>
      <c r="AQ1129" s="43">
        <v>70000000</v>
      </c>
      <c r="AR1129" s="44">
        <v>0</v>
      </c>
      <c r="AS1129" s="44">
        <v>0</v>
      </c>
      <c r="AT1129" s="39">
        <f t="shared" ref="AT1129" si="403">AQ1129+AS1129</f>
        <v>70000000</v>
      </c>
      <c r="AU1129" s="133">
        <f>AJ1129-AM1129</f>
        <v>0</v>
      </c>
      <c r="AV1129" s="133">
        <f>AM1129-AP1129</f>
        <v>0</v>
      </c>
      <c r="AW1129" s="34">
        <f>AP1129-AT1129</f>
        <v>0</v>
      </c>
      <c r="AX1129" s="123">
        <f>AP1129/AJ1129</f>
        <v>1</v>
      </c>
    </row>
    <row r="1130" spans="1:50" ht="25.5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170" t="s">
        <v>288</v>
      </c>
      <c r="AB1130" s="165" t="s">
        <v>1158</v>
      </c>
      <c r="AC1130" s="168"/>
      <c r="AD1130" s="255"/>
      <c r="AE1130" s="236"/>
      <c r="AF1130" s="216"/>
      <c r="AG1130" s="44"/>
      <c r="AH1130" s="44"/>
      <c r="AI1130" s="44"/>
      <c r="AJ1130" s="43"/>
      <c r="AK1130" s="44"/>
      <c r="AL1130" s="44"/>
      <c r="AM1130" s="44"/>
      <c r="AN1130" s="44"/>
      <c r="AO1130" s="44"/>
      <c r="AP1130" s="44"/>
      <c r="AQ1130" s="44"/>
      <c r="AR1130" s="44"/>
      <c r="AS1130" s="44"/>
      <c r="AT1130" s="135"/>
      <c r="AU1130" s="133"/>
      <c r="AV1130" s="133"/>
      <c r="AW1130" s="34"/>
      <c r="AX1130" s="123"/>
    </row>
    <row r="1131" spans="1:50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166" t="s">
        <v>1159</v>
      </c>
      <c r="AB1131" s="167" t="s">
        <v>1013</v>
      </c>
      <c r="AC1131" s="168"/>
      <c r="AD1131" s="255">
        <v>0</v>
      </c>
      <c r="AE1131" s="217">
        <v>34660667.719999999</v>
      </c>
      <c r="AF1131" s="216">
        <v>0</v>
      </c>
      <c r="AG1131" s="216">
        <v>0</v>
      </c>
      <c r="AH1131" s="216">
        <v>0</v>
      </c>
      <c r="AI1131" s="43">
        <f t="shared" ref="AI1131" si="404">AE1131-AF1131+AG1131-AH1131</f>
        <v>34660667.719999999</v>
      </c>
      <c r="AJ1131" s="43">
        <f t="shared" ref="AJ1131" si="405">AD1131+AI1131</f>
        <v>34660667.719999999</v>
      </c>
      <c r="AK1131" s="44">
        <v>0</v>
      </c>
      <c r="AL1131" s="43">
        <v>34660667.719999999</v>
      </c>
      <c r="AM1131" s="43">
        <v>34660667.719999999</v>
      </c>
      <c r="AN1131" s="44">
        <v>0</v>
      </c>
      <c r="AO1131" s="43">
        <v>34660667.719999999</v>
      </c>
      <c r="AP1131" s="43">
        <v>34660667.719999999</v>
      </c>
      <c r="AQ1131" s="43">
        <v>34660667.719999999</v>
      </c>
      <c r="AR1131" s="44">
        <v>0</v>
      </c>
      <c r="AS1131" s="44">
        <v>0</v>
      </c>
      <c r="AT1131" s="39">
        <f t="shared" ref="AT1131" si="406">AQ1131+AS1131</f>
        <v>34660667.719999999</v>
      </c>
      <c r="AU1131" s="133">
        <f>AJ1131-AM1131</f>
        <v>0</v>
      </c>
      <c r="AV1131" s="133">
        <f>AM1131-AP1131</f>
        <v>0</v>
      </c>
      <c r="AW1131" s="34">
        <f>AP1131-AT1131</f>
        <v>0</v>
      </c>
      <c r="AX1131" s="123">
        <f>AP1131/AJ1131</f>
        <v>1</v>
      </c>
    </row>
    <row r="1132" spans="1:50" ht="17.25" customHeight="1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170" t="s">
        <v>288</v>
      </c>
      <c r="AB1132" s="165" t="s">
        <v>1160</v>
      </c>
      <c r="AC1132" s="168"/>
      <c r="AD1132" s="255"/>
      <c r="AE1132" s="236"/>
      <c r="AF1132" s="216"/>
      <c r="AG1132" s="44"/>
      <c r="AH1132" s="44"/>
      <c r="AI1132" s="44"/>
      <c r="AJ1132" s="43"/>
      <c r="AK1132" s="44"/>
      <c r="AL1132" s="44"/>
      <c r="AM1132" s="44"/>
      <c r="AN1132" s="44"/>
      <c r="AO1132" s="44"/>
      <c r="AP1132" s="44"/>
      <c r="AQ1132" s="44"/>
      <c r="AR1132" s="44"/>
      <c r="AS1132" s="44"/>
      <c r="AT1132" s="135"/>
      <c r="AU1132" s="133"/>
      <c r="AV1132" s="133"/>
      <c r="AW1132" s="34"/>
      <c r="AX1132" s="123"/>
    </row>
    <row r="1133" spans="1:50" ht="31.5" customHeight="1" x14ac:dyDescent="0.2">
      <c r="AA1133" s="166" t="s">
        <v>1161</v>
      </c>
      <c r="AB1133" s="167" t="s">
        <v>1044</v>
      </c>
      <c r="AC1133" s="161"/>
      <c r="AD1133" s="256">
        <v>0</v>
      </c>
      <c r="AE1133" s="217">
        <v>106000000</v>
      </c>
      <c r="AF1133" s="216">
        <v>0</v>
      </c>
      <c r="AG1133" s="216">
        <v>0</v>
      </c>
      <c r="AH1133" s="216">
        <v>0</v>
      </c>
      <c r="AI1133" s="43">
        <f t="shared" ref="AI1133" si="407">AE1133-AF1133+AG1133-AH1133</f>
        <v>106000000</v>
      </c>
      <c r="AJ1133" s="43">
        <f t="shared" ref="AJ1133" si="408">AD1133+AI1133</f>
        <v>106000000</v>
      </c>
      <c r="AK1133" s="34">
        <v>0</v>
      </c>
      <c r="AL1133" s="18">
        <v>106000000</v>
      </c>
      <c r="AM1133" s="18">
        <v>106000000</v>
      </c>
      <c r="AN1133" s="34">
        <v>0</v>
      </c>
      <c r="AO1133" s="18">
        <v>106000000</v>
      </c>
      <c r="AP1133" s="18">
        <v>106000000</v>
      </c>
      <c r="AQ1133" s="18">
        <v>0</v>
      </c>
      <c r="AR1133" s="18">
        <v>106000000</v>
      </c>
      <c r="AS1133" s="18">
        <v>106000000</v>
      </c>
      <c r="AT1133" s="39">
        <f t="shared" ref="AT1133" si="409">AQ1133+AS1133</f>
        <v>106000000</v>
      </c>
      <c r="AU1133" s="133">
        <f>AJ1133-AM1133</f>
        <v>0</v>
      </c>
      <c r="AV1133" s="133">
        <f>AM1133-AP1133</f>
        <v>0</v>
      </c>
      <c r="AW1133" s="34">
        <f>AP1133-AT1133</f>
        <v>0</v>
      </c>
      <c r="AX1133" s="123">
        <f>AP1133/AJ1133</f>
        <v>1</v>
      </c>
    </row>
    <row r="1134" spans="1:50" ht="14.25" customHeight="1" x14ac:dyDescent="0.2">
      <c r="AA1134" s="229"/>
      <c r="AB1134" s="230"/>
      <c r="AC1134" s="161"/>
      <c r="AD1134" s="18"/>
      <c r="AE1134" s="234"/>
      <c r="AF1134" s="34"/>
      <c r="AG1134" s="34"/>
      <c r="AH1134" s="34"/>
      <c r="AI1134" s="34"/>
      <c r="AJ1134" s="18"/>
      <c r="AK1134" s="34"/>
      <c r="AL1134" s="18"/>
      <c r="AM1134" s="18"/>
      <c r="AN1134" s="34"/>
      <c r="AO1134" s="18"/>
      <c r="AP1134" s="18"/>
      <c r="AQ1134" s="18"/>
      <c r="AR1134" s="18"/>
      <c r="AS1134" s="18"/>
      <c r="AT1134" s="30"/>
      <c r="AU1134" s="18"/>
      <c r="AV1134" s="18"/>
      <c r="AW1134" s="18"/>
      <c r="AX1134" s="18"/>
    </row>
    <row r="1135" spans="1:50" s="50" customFormat="1" ht="15.75" customHeight="1" x14ac:dyDescent="0.2">
      <c r="B1135" s="77"/>
      <c r="C1135" s="77"/>
      <c r="D1135" s="77"/>
      <c r="E1135" s="77"/>
      <c r="F1135" s="77"/>
      <c r="G1135" s="77"/>
      <c r="H1135" s="77"/>
      <c r="I1135" s="77"/>
      <c r="J1135" s="77"/>
      <c r="K1135" s="77"/>
      <c r="L1135" s="77"/>
      <c r="M1135" s="77"/>
      <c r="N1135" s="77"/>
      <c r="O1135" s="77"/>
      <c r="P1135" s="77"/>
      <c r="Q1135" s="77"/>
      <c r="R1135" s="77"/>
      <c r="S1135" s="77"/>
      <c r="T1135" s="77"/>
      <c r="U1135" s="77"/>
      <c r="V1135" s="77"/>
      <c r="W1135" s="77"/>
      <c r="X1135" s="77"/>
      <c r="Y1135" s="77"/>
      <c r="Z1135" s="77"/>
      <c r="AA1135" s="227"/>
      <c r="AB1135" s="228" t="s">
        <v>750</v>
      </c>
      <c r="AC1135" s="22" t="s">
        <v>751</v>
      </c>
      <c r="AD1135" s="22">
        <f>SUM(AD1105:AD1133)</f>
        <v>14059854870</v>
      </c>
      <c r="AE1135" s="22">
        <f t="shared" ref="AE1135:AW1135" si="410">SUM(AE1105:AE1133)</f>
        <v>1314242383.04</v>
      </c>
      <c r="AF1135" s="23">
        <f t="shared" si="410"/>
        <v>0</v>
      </c>
      <c r="AG1135" s="23">
        <f t="shared" si="410"/>
        <v>0</v>
      </c>
      <c r="AH1135" s="23">
        <f t="shared" si="410"/>
        <v>0</v>
      </c>
      <c r="AI1135" s="23">
        <f t="shared" si="410"/>
        <v>1314242383.04</v>
      </c>
      <c r="AJ1135" s="22">
        <f t="shared" si="410"/>
        <v>15374097253.039999</v>
      </c>
      <c r="AK1135" s="23">
        <f t="shared" si="410"/>
        <v>0</v>
      </c>
      <c r="AL1135" s="22">
        <f t="shared" si="410"/>
        <v>2416049336.0399995</v>
      </c>
      <c r="AM1135" s="22">
        <f t="shared" si="410"/>
        <v>6647491216.0400009</v>
      </c>
      <c r="AN1135" s="23">
        <f t="shared" si="410"/>
        <v>0</v>
      </c>
      <c r="AO1135" s="22">
        <f t="shared" si="410"/>
        <v>2416049336.0399995</v>
      </c>
      <c r="AP1135" s="22">
        <f t="shared" si="410"/>
        <v>6647491216.0400009</v>
      </c>
      <c r="AQ1135" s="23">
        <f t="shared" si="410"/>
        <v>1388515029.04</v>
      </c>
      <c r="AR1135" s="22">
        <f t="shared" si="410"/>
        <v>1027534307</v>
      </c>
      <c r="AS1135" s="22">
        <f t="shared" si="410"/>
        <v>5258976187</v>
      </c>
      <c r="AT1135" s="22">
        <f>AQ1135+AS1135</f>
        <v>6647491216.04</v>
      </c>
      <c r="AU1135" s="22">
        <f t="shared" si="410"/>
        <v>8726606037</v>
      </c>
      <c r="AV1135" s="23">
        <f t="shared" si="410"/>
        <v>0</v>
      </c>
      <c r="AW1135" s="23">
        <f t="shared" si="410"/>
        <v>0</v>
      </c>
      <c r="AX1135" s="24">
        <f>AP1135/AJ1135</f>
        <v>0.43238253971143303</v>
      </c>
    </row>
    <row r="1136" spans="1:50" x14ac:dyDescent="0.2">
      <c r="AA1136" s="16"/>
      <c r="AB1136" s="17"/>
      <c r="AC1136" s="17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</row>
    <row r="1137" spans="1:50" x14ac:dyDescent="0.2">
      <c r="AA1137" s="16"/>
      <c r="AB1137" s="29" t="s">
        <v>207</v>
      </c>
      <c r="AC1137" s="17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  <c r="AQ1137" s="18"/>
      <c r="AR1137" s="18"/>
      <c r="AS1137" s="18"/>
      <c r="AT1137" s="18"/>
      <c r="AU1137" s="18"/>
      <c r="AV1137" s="18"/>
      <c r="AW1137" s="18"/>
      <c r="AX1137" s="18"/>
    </row>
    <row r="1138" spans="1:50" x14ac:dyDescent="0.2">
      <c r="AA1138" s="16"/>
      <c r="AB1138" s="29" t="s">
        <v>285</v>
      </c>
      <c r="AC1138" s="17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</row>
    <row r="1139" spans="1:50" x14ac:dyDescent="0.2">
      <c r="AA1139" s="16"/>
      <c r="AB1139" s="29" t="s">
        <v>202</v>
      </c>
      <c r="AC1139" s="17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</row>
    <row r="1140" spans="1:50" x14ac:dyDescent="0.2">
      <c r="AA1140" s="16"/>
      <c r="AB1140" s="29" t="s">
        <v>203</v>
      </c>
      <c r="AC1140" s="17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</row>
    <row r="1141" spans="1:50" x14ac:dyDescent="0.2">
      <c r="AA1141" s="16"/>
      <c r="AB1141" s="29" t="s">
        <v>752</v>
      </c>
      <c r="AC1141" s="17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</row>
    <row r="1142" spans="1:50" ht="25.5" x14ac:dyDescent="0.2">
      <c r="AA1142" s="16"/>
      <c r="AB1142" s="29" t="s">
        <v>205</v>
      </c>
      <c r="AC1142" s="17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</row>
    <row r="1143" spans="1:50" ht="25.5" x14ac:dyDescent="0.2">
      <c r="AA1143" s="16"/>
      <c r="AB1143" s="29" t="s">
        <v>205</v>
      </c>
      <c r="AC1143" s="17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30"/>
      <c r="AU1143" s="18"/>
      <c r="AV1143" s="18"/>
      <c r="AW1143" s="18"/>
      <c r="AX1143" s="18"/>
    </row>
    <row r="1144" spans="1:50" ht="25.5" x14ac:dyDescent="0.2">
      <c r="AA1144" s="28" t="s">
        <v>288</v>
      </c>
      <c r="AB1144" s="29" t="s">
        <v>753</v>
      </c>
      <c r="AC1144" s="17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30"/>
      <c r="AU1144" s="18"/>
      <c r="AV1144" s="18"/>
      <c r="AW1144" s="18"/>
      <c r="AX1144" s="18"/>
    </row>
    <row r="1145" spans="1:50" x14ac:dyDescent="0.2">
      <c r="A1145" s="4" t="s">
        <v>55</v>
      </c>
      <c r="B1145" s="4" t="s">
        <v>56</v>
      </c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1" t="s">
        <v>754</v>
      </c>
      <c r="AB1145" s="42" t="s">
        <v>233</v>
      </c>
      <c r="AC1145" s="43" t="s">
        <v>58</v>
      </c>
      <c r="AD1145" s="43">
        <v>3500000000</v>
      </c>
      <c r="AE1145" s="44">
        <v>0</v>
      </c>
      <c r="AF1145" s="44">
        <v>0</v>
      </c>
      <c r="AG1145" s="44">
        <v>0</v>
      </c>
      <c r="AH1145" s="44">
        <v>0</v>
      </c>
      <c r="AI1145" s="44">
        <f t="shared" ref="AI1145:AI1146" si="411">AE1145-AF1145+AG1145-AH1145</f>
        <v>0</v>
      </c>
      <c r="AJ1145" s="43">
        <f t="shared" ref="AJ1145:AJ1146" si="412">AD1145+AI1145</f>
        <v>3500000000</v>
      </c>
      <c r="AK1145" s="44">
        <v>0</v>
      </c>
      <c r="AL1145" s="43">
        <v>291666667</v>
      </c>
      <c r="AM1145" s="43">
        <v>1458333335</v>
      </c>
      <c r="AN1145" s="44">
        <v>0</v>
      </c>
      <c r="AO1145" s="43">
        <v>291666667</v>
      </c>
      <c r="AP1145" s="43">
        <v>1458333335</v>
      </c>
      <c r="AQ1145" s="44">
        <v>0</v>
      </c>
      <c r="AR1145" s="43">
        <v>291666667</v>
      </c>
      <c r="AS1145" s="43">
        <v>1458333335</v>
      </c>
      <c r="AT1145" s="111">
        <f t="shared" ref="AT1145:AT1146" si="413">AQ1145+AS1145</f>
        <v>1458333335</v>
      </c>
      <c r="AU1145" s="110">
        <f>AJ1145-AM1145</f>
        <v>2041666665</v>
      </c>
      <c r="AV1145" s="133">
        <f>AM1145-AP1145</f>
        <v>0</v>
      </c>
      <c r="AW1145" s="34">
        <f>AP1145-AT1145</f>
        <v>0</v>
      </c>
      <c r="AX1145" s="123">
        <f>AP1145/AJ1145</f>
        <v>0.41666666714285716</v>
      </c>
    </row>
    <row r="1146" spans="1:50" x14ac:dyDescent="0.2">
      <c r="A1146" s="4" t="s">
        <v>55</v>
      </c>
      <c r="B1146" s="4" t="s">
        <v>56</v>
      </c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1" t="s">
        <v>755</v>
      </c>
      <c r="AB1146" s="42" t="s">
        <v>756</v>
      </c>
      <c r="AC1146" s="43" t="s">
        <v>757</v>
      </c>
      <c r="AD1146" s="43">
        <v>103000000</v>
      </c>
      <c r="AE1146" s="44">
        <v>0</v>
      </c>
      <c r="AF1146" s="44">
        <v>0</v>
      </c>
      <c r="AG1146" s="44">
        <v>0</v>
      </c>
      <c r="AH1146" s="44">
        <v>0</v>
      </c>
      <c r="AI1146" s="44">
        <f t="shared" si="411"/>
        <v>0</v>
      </c>
      <c r="AJ1146" s="43">
        <f t="shared" si="412"/>
        <v>103000000</v>
      </c>
      <c r="AK1146" s="44">
        <v>0</v>
      </c>
      <c r="AL1146" s="43">
        <v>0</v>
      </c>
      <c r="AM1146" s="43">
        <v>11617249</v>
      </c>
      <c r="AN1146" s="44">
        <v>0</v>
      </c>
      <c r="AO1146" s="43">
        <v>0</v>
      </c>
      <c r="AP1146" s="43">
        <v>11617249</v>
      </c>
      <c r="AQ1146" s="44">
        <v>0</v>
      </c>
      <c r="AR1146" s="44">
        <v>0</v>
      </c>
      <c r="AS1146" s="44">
        <v>11617249</v>
      </c>
      <c r="AT1146" s="135">
        <f t="shared" si="413"/>
        <v>11617249</v>
      </c>
      <c r="AU1146" s="110">
        <f>AJ1146-AM1146</f>
        <v>91382751</v>
      </c>
      <c r="AV1146" s="133">
        <f>AM1146-AP1146</f>
        <v>0</v>
      </c>
      <c r="AW1146" s="34">
        <f>AP1146-AT1146</f>
        <v>0</v>
      </c>
      <c r="AX1146" s="123">
        <f>AP1146/AJ1146</f>
        <v>0.11278882524271845</v>
      </c>
    </row>
    <row r="1147" spans="1:50" x14ac:dyDescent="0.2">
      <c r="AA1147" s="162"/>
      <c r="AB1147" s="223"/>
      <c r="AC1147" s="17"/>
      <c r="AD1147" s="18"/>
      <c r="AE1147" s="34"/>
      <c r="AF1147" s="34"/>
      <c r="AG1147" s="34"/>
      <c r="AH1147" s="34"/>
      <c r="AI1147" s="34"/>
      <c r="AJ1147" s="18"/>
      <c r="AK1147" s="34"/>
      <c r="AL1147" s="18"/>
      <c r="AM1147" s="18"/>
      <c r="AN1147" s="34"/>
      <c r="AO1147" s="18"/>
      <c r="AP1147" s="18"/>
      <c r="AQ1147" s="34"/>
      <c r="AR1147" s="18"/>
      <c r="AS1147" s="18"/>
      <c r="AT1147" s="30"/>
      <c r="AU1147" s="18"/>
      <c r="AV1147" s="18"/>
      <c r="AW1147" s="18"/>
      <c r="AX1147" s="18"/>
    </row>
    <row r="1148" spans="1:50" s="50" customFormat="1" x14ac:dyDescent="0.2">
      <c r="B1148" s="77"/>
      <c r="C1148" s="77"/>
      <c r="D1148" s="77"/>
      <c r="E1148" s="77"/>
      <c r="F1148" s="77"/>
      <c r="G1148" s="77"/>
      <c r="H1148" s="77"/>
      <c r="I1148" s="77"/>
      <c r="J1148" s="77"/>
      <c r="K1148" s="77"/>
      <c r="L1148" s="77"/>
      <c r="M1148" s="77"/>
      <c r="N1148" s="77"/>
      <c r="O1148" s="77"/>
      <c r="P1148" s="77"/>
      <c r="Q1148" s="77"/>
      <c r="R1148" s="77"/>
      <c r="S1148" s="77"/>
      <c r="T1148" s="77"/>
      <c r="U1148" s="77"/>
      <c r="V1148" s="77"/>
      <c r="W1148" s="77"/>
      <c r="X1148" s="77"/>
      <c r="Y1148" s="77"/>
      <c r="Z1148" s="77"/>
      <c r="AA1148" s="46"/>
      <c r="AB1148" s="47" t="s">
        <v>758</v>
      </c>
      <c r="AC1148" s="22" t="s">
        <v>759</v>
      </c>
      <c r="AD1148" s="22">
        <f t="shared" ref="AD1148:AS1148" si="414">SUM(AD1145:AD1147)</f>
        <v>3603000000</v>
      </c>
      <c r="AE1148" s="23">
        <f t="shared" si="414"/>
        <v>0</v>
      </c>
      <c r="AF1148" s="23">
        <f t="shared" si="414"/>
        <v>0</v>
      </c>
      <c r="AG1148" s="23">
        <f t="shared" si="414"/>
        <v>0</v>
      </c>
      <c r="AH1148" s="23">
        <f t="shared" si="414"/>
        <v>0</v>
      </c>
      <c r="AI1148" s="23">
        <f t="shared" si="414"/>
        <v>0</v>
      </c>
      <c r="AJ1148" s="22">
        <f t="shared" si="414"/>
        <v>3603000000</v>
      </c>
      <c r="AK1148" s="23">
        <f t="shared" si="414"/>
        <v>0</v>
      </c>
      <c r="AL1148" s="22">
        <f t="shared" si="414"/>
        <v>291666667</v>
      </c>
      <c r="AM1148" s="22">
        <f t="shared" si="414"/>
        <v>1469950584</v>
      </c>
      <c r="AN1148" s="23">
        <f t="shared" si="414"/>
        <v>0</v>
      </c>
      <c r="AO1148" s="22">
        <f t="shared" si="414"/>
        <v>291666667</v>
      </c>
      <c r="AP1148" s="22">
        <f t="shared" si="414"/>
        <v>1469950584</v>
      </c>
      <c r="AQ1148" s="23">
        <f t="shared" si="414"/>
        <v>0</v>
      </c>
      <c r="AR1148" s="22">
        <f t="shared" si="414"/>
        <v>291666667</v>
      </c>
      <c r="AS1148" s="22">
        <f t="shared" si="414"/>
        <v>1469950584</v>
      </c>
      <c r="AT1148" s="22">
        <f>AQ1148+AS1148</f>
        <v>1469950584</v>
      </c>
      <c r="AU1148" s="22">
        <f>SUM(AU1145:AU1147)</f>
        <v>2133049416</v>
      </c>
      <c r="AV1148" s="23">
        <f>SUM(AV1145:AV1147)</f>
        <v>0</v>
      </c>
      <c r="AW1148" s="23">
        <f>SUM(AW1145:AW1147)</f>
        <v>0</v>
      </c>
      <c r="AX1148" s="22">
        <f>SUM(AX1145:AX1147)</f>
        <v>0.52945549238557565</v>
      </c>
    </row>
    <row r="1149" spans="1:50" x14ac:dyDescent="0.2">
      <c r="AA1149" s="16"/>
      <c r="AB1149" s="17"/>
      <c r="AC1149" s="17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</row>
    <row r="1150" spans="1:50" s="25" customFormat="1" x14ac:dyDescent="0.2">
      <c r="B1150" s="71"/>
      <c r="C1150" s="71"/>
      <c r="D1150" s="71"/>
      <c r="E1150" s="71"/>
      <c r="F1150" s="71"/>
      <c r="G1150" s="71"/>
      <c r="H1150" s="71"/>
      <c r="I1150" s="71"/>
      <c r="J1150" s="71"/>
      <c r="K1150" s="71"/>
      <c r="L1150" s="71"/>
      <c r="M1150" s="71"/>
      <c r="N1150" s="71"/>
      <c r="O1150" s="71"/>
      <c r="P1150" s="71"/>
      <c r="Q1150" s="71"/>
      <c r="R1150" s="71"/>
      <c r="S1150" s="71"/>
      <c r="T1150" s="71"/>
      <c r="U1150" s="71"/>
      <c r="V1150" s="71"/>
      <c r="W1150" s="71"/>
      <c r="X1150" s="71"/>
      <c r="Y1150" s="71"/>
      <c r="Z1150" s="71"/>
      <c r="AA1150" s="66"/>
      <c r="AB1150" s="21" t="s">
        <v>760</v>
      </c>
      <c r="AC1150" s="67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</row>
    <row r="1151" spans="1:50" x14ac:dyDescent="0.2">
      <c r="AA1151" s="16"/>
      <c r="AB1151" s="29" t="s">
        <v>285</v>
      </c>
      <c r="AC1151" s="17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</row>
    <row r="1152" spans="1:50" x14ac:dyDescent="0.2">
      <c r="AA1152" s="16"/>
      <c r="AB1152" s="29" t="s">
        <v>177</v>
      </c>
      <c r="AC1152" s="17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</row>
    <row r="1153" spans="1:50" x14ac:dyDescent="0.2">
      <c r="AA1153" s="16"/>
      <c r="AB1153" s="29" t="s">
        <v>179</v>
      </c>
      <c r="AC1153" s="17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</row>
    <row r="1154" spans="1:50" x14ac:dyDescent="0.2">
      <c r="AA1154" s="16"/>
      <c r="AB1154" s="29" t="s">
        <v>761</v>
      </c>
      <c r="AC1154" s="17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</row>
    <row r="1155" spans="1:50" ht="25.5" x14ac:dyDescent="0.2">
      <c r="AA1155" s="16"/>
      <c r="AB1155" s="29" t="s">
        <v>298</v>
      </c>
      <c r="AC1155" s="17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</row>
    <row r="1156" spans="1:50" x14ac:dyDescent="0.2">
      <c r="AA1156" s="28" t="s">
        <v>288</v>
      </c>
      <c r="AB1156" s="29">
        <v>0</v>
      </c>
      <c r="AC1156" s="17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30"/>
      <c r="AU1156" s="18"/>
      <c r="AV1156" s="18"/>
      <c r="AW1156" s="18"/>
      <c r="AX1156" s="18"/>
    </row>
    <row r="1157" spans="1:50" x14ac:dyDescent="0.2">
      <c r="A1157" s="4" t="s">
        <v>55</v>
      </c>
      <c r="B1157" s="4" t="s">
        <v>56</v>
      </c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1" t="s">
        <v>763</v>
      </c>
      <c r="AB1157" s="42" t="s">
        <v>233</v>
      </c>
      <c r="AC1157" s="43" t="s">
        <v>58</v>
      </c>
      <c r="AD1157" s="43">
        <v>123000000</v>
      </c>
      <c r="AE1157" s="44">
        <v>0</v>
      </c>
      <c r="AF1157" s="44">
        <v>0</v>
      </c>
      <c r="AG1157" s="43">
        <v>431000000</v>
      </c>
      <c r="AH1157" s="43">
        <f>431000000+9000000</f>
        <v>440000000</v>
      </c>
      <c r="AI1157" s="43">
        <f>AE1157-AF1157+AG1157-AH1157</f>
        <v>-9000000</v>
      </c>
      <c r="AJ1157" s="43">
        <f>AD1157+AI1157</f>
        <v>114000000</v>
      </c>
      <c r="AK1157" s="44">
        <v>0</v>
      </c>
      <c r="AL1157" s="43">
        <v>-10350000</v>
      </c>
      <c r="AM1157" s="43">
        <v>101430000</v>
      </c>
      <c r="AN1157" s="43">
        <v>0</v>
      </c>
      <c r="AO1157" s="43">
        <v>-10350000</v>
      </c>
      <c r="AP1157" s="43">
        <v>101430000</v>
      </c>
      <c r="AQ1157" s="43">
        <v>0</v>
      </c>
      <c r="AR1157" s="43">
        <v>11733334</v>
      </c>
      <c r="AS1157" s="43">
        <v>36150000</v>
      </c>
      <c r="AT1157" s="111">
        <f t="shared" ref="AT1157:AT1161" si="415">AQ1157+AS1157</f>
        <v>36150000</v>
      </c>
      <c r="AU1157" s="110">
        <f>AJ1157-AM1157</f>
        <v>12570000</v>
      </c>
      <c r="AV1157" s="133">
        <f>AM1157-AP1157</f>
        <v>0</v>
      </c>
      <c r="AW1157" s="110">
        <f>AP1157-AT1157</f>
        <v>65280000</v>
      </c>
      <c r="AX1157" s="123">
        <f>AP1157/AJ1157</f>
        <v>0.88973684210526316</v>
      </c>
    </row>
    <row r="1158" spans="1:50" ht="25.5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1" t="s">
        <v>288</v>
      </c>
      <c r="AB1158" s="74" t="s">
        <v>990</v>
      </c>
      <c r="AC1158" s="43"/>
      <c r="AD1158" s="43"/>
      <c r="AE1158" s="44"/>
      <c r="AF1158" s="44"/>
      <c r="AG1158" s="43"/>
      <c r="AH1158" s="44"/>
      <c r="AI1158" s="43"/>
      <c r="AJ1158" s="43"/>
      <c r="AK1158" s="44"/>
      <c r="AL1158" s="43"/>
      <c r="AM1158" s="43"/>
      <c r="AN1158" s="43"/>
      <c r="AO1158" s="43"/>
      <c r="AP1158" s="43"/>
      <c r="AQ1158" s="43"/>
      <c r="AR1158" s="43"/>
      <c r="AS1158" s="43"/>
      <c r="AT1158" s="191"/>
      <c r="AU1158" s="110"/>
      <c r="AV1158" s="133"/>
      <c r="AW1158" s="110"/>
      <c r="AX1158" s="123"/>
    </row>
    <row r="1159" spans="1:50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1" t="s">
        <v>989</v>
      </c>
      <c r="AB1159" s="42" t="s">
        <v>233</v>
      </c>
      <c r="AC1159" s="43"/>
      <c r="AD1159" s="44">
        <v>0</v>
      </c>
      <c r="AE1159" s="44">
        <v>0</v>
      </c>
      <c r="AF1159" s="44">
        <v>0</v>
      </c>
      <c r="AG1159" s="43">
        <f>431000000+9000000</f>
        <v>440000000</v>
      </c>
      <c r="AH1159" s="44"/>
      <c r="AI1159" s="43">
        <f>AE1159-AF1159+AG1159-AH1159</f>
        <v>440000000</v>
      </c>
      <c r="AJ1159" s="43">
        <f>AD1159+AI1159</f>
        <v>440000000</v>
      </c>
      <c r="AK1159" s="44">
        <v>0</v>
      </c>
      <c r="AL1159" s="43">
        <v>366891664.64999998</v>
      </c>
      <c r="AM1159" s="43">
        <v>366891664.64999998</v>
      </c>
      <c r="AN1159" s="43">
        <v>0</v>
      </c>
      <c r="AO1159" s="43">
        <v>351891664.64999998</v>
      </c>
      <c r="AP1159" s="43">
        <v>351891664.64999998</v>
      </c>
      <c r="AQ1159" s="43">
        <v>0</v>
      </c>
      <c r="AR1159" s="43">
        <v>0</v>
      </c>
      <c r="AS1159" s="43">
        <v>0</v>
      </c>
      <c r="AT1159" s="191">
        <f t="shared" ref="AT1159" si="416">AQ1159+AS1159</f>
        <v>0</v>
      </c>
      <c r="AU1159" s="110">
        <f>AJ1159-AM1159</f>
        <v>73108335.350000024</v>
      </c>
      <c r="AV1159" s="18">
        <f>AM1159-AP1159</f>
        <v>15000000</v>
      </c>
      <c r="AW1159" s="133">
        <f>AP1159-AT1159</f>
        <v>351891664.64999998</v>
      </c>
      <c r="AX1159" s="123">
        <f>AP1159/AJ1159</f>
        <v>0.79975378329545455</v>
      </c>
    </row>
    <row r="1160" spans="1:50" x14ac:dyDescent="0.2">
      <c r="AA1160" s="28" t="s">
        <v>288</v>
      </c>
      <c r="AB1160" s="29" t="s">
        <v>764</v>
      </c>
      <c r="AC1160" s="17"/>
      <c r="AD1160" s="18"/>
      <c r="AE1160" s="18"/>
      <c r="AF1160" s="18"/>
      <c r="AG1160" s="18"/>
      <c r="AH1160" s="18"/>
      <c r="AI1160" s="18"/>
      <c r="AJ1160" s="18"/>
      <c r="AK1160" s="34"/>
      <c r="AL1160" s="18"/>
      <c r="AM1160" s="18"/>
      <c r="AN1160" s="18"/>
      <c r="AO1160" s="18"/>
      <c r="AP1160" s="18"/>
      <c r="AQ1160" s="18"/>
      <c r="AR1160" s="18"/>
      <c r="AS1160" s="18"/>
      <c r="AT1160" s="31"/>
      <c r="AU1160" s="18"/>
      <c r="AV1160" s="18"/>
      <c r="AW1160" s="110"/>
      <c r="AX1160" s="18"/>
    </row>
    <row r="1161" spans="1:50" x14ac:dyDescent="0.2">
      <c r="A1161" s="4" t="s">
        <v>55</v>
      </c>
      <c r="B1161" s="4" t="s">
        <v>56</v>
      </c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1" t="s">
        <v>765</v>
      </c>
      <c r="AB1161" s="42" t="s">
        <v>233</v>
      </c>
      <c r="AC1161" s="43" t="s">
        <v>58</v>
      </c>
      <c r="AD1161" s="43">
        <v>77000000</v>
      </c>
      <c r="AE1161" s="44">
        <v>0</v>
      </c>
      <c r="AF1161" s="44">
        <v>0</v>
      </c>
      <c r="AG1161" s="44">
        <v>0</v>
      </c>
      <c r="AH1161" s="44">
        <v>0</v>
      </c>
      <c r="AI1161" s="44">
        <v>0</v>
      </c>
      <c r="AJ1161" s="43">
        <v>77000000</v>
      </c>
      <c r="AK1161" s="44">
        <v>0</v>
      </c>
      <c r="AL1161" s="44">
        <v>0</v>
      </c>
      <c r="AM1161" s="43">
        <v>65000000</v>
      </c>
      <c r="AN1161" s="43">
        <v>0</v>
      </c>
      <c r="AO1161" s="43">
        <v>0</v>
      </c>
      <c r="AP1161" s="43">
        <v>65000000</v>
      </c>
      <c r="AQ1161" s="43">
        <v>0</v>
      </c>
      <c r="AR1161" s="43">
        <v>7000000</v>
      </c>
      <c r="AS1161" s="43">
        <v>20733333</v>
      </c>
      <c r="AT1161" s="39">
        <f t="shared" si="415"/>
        <v>20733333</v>
      </c>
      <c r="AU1161" s="110">
        <f>AJ1161-AM1161</f>
        <v>12000000</v>
      </c>
      <c r="AV1161" s="133">
        <f>AM1161-AP1161</f>
        <v>0</v>
      </c>
      <c r="AW1161" s="110">
        <f>AP1161-AT1161</f>
        <v>44266667</v>
      </c>
      <c r="AX1161" s="123">
        <f>AP1161/AJ1161</f>
        <v>0.8441558441558441</v>
      </c>
    </row>
    <row r="1162" spans="1:50" x14ac:dyDescent="0.2">
      <c r="AA1162" s="16"/>
      <c r="AB1162" s="17"/>
      <c r="AC1162" s="17"/>
      <c r="AD1162" s="18"/>
      <c r="AE1162" s="34"/>
      <c r="AF1162" s="34"/>
      <c r="AG1162" s="34"/>
      <c r="AH1162" s="34"/>
      <c r="AI1162" s="34"/>
      <c r="AJ1162" s="18"/>
      <c r="AK1162" s="34"/>
      <c r="AL1162" s="34"/>
      <c r="AM1162" s="18"/>
      <c r="AN1162" s="34"/>
      <c r="AO1162" s="34"/>
      <c r="AP1162" s="18"/>
      <c r="AQ1162" s="34"/>
      <c r="AR1162" s="34"/>
      <c r="AS1162" s="34"/>
      <c r="AT1162" s="31"/>
      <c r="AU1162" s="18"/>
      <c r="AV1162" s="18"/>
      <c r="AW1162" s="18"/>
      <c r="AX1162" s="18"/>
    </row>
    <row r="1163" spans="1:50" s="50" customFormat="1" x14ac:dyDescent="0.2">
      <c r="B1163" s="77"/>
      <c r="C1163" s="77"/>
      <c r="D1163" s="77"/>
      <c r="E1163" s="77"/>
      <c r="F1163" s="77"/>
      <c r="G1163" s="77"/>
      <c r="H1163" s="77"/>
      <c r="I1163" s="77"/>
      <c r="J1163" s="77"/>
      <c r="K1163" s="77"/>
      <c r="L1163" s="77"/>
      <c r="M1163" s="77"/>
      <c r="N1163" s="77"/>
      <c r="O1163" s="77"/>
      <c r="P1163" s="77"/>
      <c r="Q1163" s="77"/>
      <c r="R1163" s="77"/>
      <c r="S1163" s="77"/>
      <c r="T1163" s="77"/>
      <c r="U1163" s="77"/>
      <c r="V1163" s="77"/>
      <c r="W1163" s="77"/>
      <c r="X1163" s="77"/>
      <c r="Y1163" s="77"/>
      <c r="Z1163" s="77"/>
      <c r="AA1163" s="46"/>
      <c r="AB1163" s="47" t="s">
        <v>766</v>
      </c>
      <c r="AC1163" s="22" t="s">
        <v>767</v>
      </c>
      <c r="AD1163" s="22">
        <f>SUM(AD1156:AD1161)</f>
        <v>200000000</v>
      </c>
      <c r="AE1163" s="23">
        <f t="shared" ref="AE1163:AW1163" si="417">SUM(AE1156:AE1161)</f>
        <v>0</v>
      </c>
      <c r="AF1163" s="23">
        <f t="shared" si="417"/>
        <v>0</v>
      </c>
      <c r="AG1163" s="22">
        <f t="shared" si="417"/>
        <v>871000000</v>
      </c>
      <c r="AH1163" s="22">
        <f t="shared" si="417"/>
        <v>440000000</v>
      </c>
      <c r="AI1163" s="189">
        <f t="shared" si="417"/>
        <v>431000000</v>
      </c>
      <c r="AJ1163" s="22">
        <f t="shared" si="417"/>
        <v>631000000</v>
      </c>
      <c r="AK1163" s="23">
        <f t="shared" si="417"/>
        <v>0</v>
      </c>
      <c r="AL1163" s="22">
        <f t="shared" si="417"/>
        <v>356541664.64999998</v>
      </c>
      <c r="AM1163" s="22">
        <f t="shared" si="417"/>
        <v>533321664.64999998</v>
      </c>
      <c r="AN1163" s="23">
        <f t="shared" si="417"/>
        <v>0</v>
      </c>
      <c r="AO1163" s="23">
        <f t="shared" si="417"/>
        <v>341541664.64999998</v>
      </c>
      <c r="AP1163" s="22">
        <f t="shared" si="417"/>
        <v>518321664.64999998</v>
      </c>
      <c r="AQ1163" s="22">
        <f t="shared" si="417"/>
        <v>0</v>
      </c>
      <c r="AR1163" s="108">
        <f t="shared" si="417"/>
        <v>18733334</v>
      </c>
      <c r="AS1163" s="108">
        <f t="shared" si="417"/>
        <v>56883333</v>
      </c>
      <c r="AT1163" s="108">
        <f>AQ1163+AS1163</f>
        <v>56883333</v>
      </c>
      <c r="AU1163" s="22">
        <f t="shared" si="417"/>
        <v>97678335.350000024</v>
      </c>
      <c r="AV1163" s="22">
        <f t="shared" si="417"/>
        <v>15000000</v>
      </c>
      <c r="AW1163" s="22">
        <f t="shared" si="417"/>
        <v>461438331.64999998</v>
      </c>
      <c r="AX1163" s="24">
        <f>AP1163/AJ1163</f>
        <v>0.82142894556259904</v>
      </c>
    </row>
    <row r="1164" spans="1:50" x14ac:dyDescent="0.2">
      <c r="AA1164" s="16"/>
      <c r="AB1164" s="17"/>
      <c r="AC1164" s="17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</row>
    <row r="1165" spans="1:50" s="25" customFormat="1" x14ac:dyDescent="0.2">
      <c r="B1165" s="71"/>
      <c r="C1165" s="71"/>
      <c r="D1165" s="71"/>
      <c r="E1165" s="71"/>
      <c r="F1165" s="71"/>
      <c r="G1165" s="71"/>
      <c r="H1165" s="71"/>
      <c r="I1165" s="71"/>
      <c r="J1165" s="71"/>
      <c r="K1165" s="71"/>
      <c r="L1165" s="71"/>
      <c r="M1165" s="71"/>
      <c r="N1165" s="71"/>
      <c r="O1165" s="71"/>
      <c r="P1165" s="71"/>
      <c r="Q1165" s="71"/>
      <c r="R1165" s="71"/>
      <c r="S1165" s="71"/>
      <c r="T1165" s="71"/>
      <c r="U1165" s="71"/>
      <c r="V1165" s="71"/>
      <c r="W1165" s="71"/>
      <c r="X1165" s="71"/>
      <c r="Y1165" s="71"/>
      <c r="Z1165" s="71"/>
      <c r="AA1165" s="66"/>
      <c r="AB1165" s="21" t="s">
        <v>768</v>
      </c>
      <c r="AC1165" s="67"/>
      <c r="AD1165" s="63"/>
      <c r="AE1165" s="63"/>
      <c r="AF1165" s="63"/>
      <c r="AG1165" s="63"/>
      <c r="AH1165" s="63"/>
      <c r="AI1165" s="63"/>
      <c r="AJ1165" s="63"/>
      <c r="AK1165" s="63"/>
      <c r="AL1165" s="63"/>
      <c r="AM1165" s="63"/>
      <c r="AN1165" s="63"/>
      <c r="AO1165" s="63"/>
      <c r="AP1165" s="63"/>
      <c r="AQ1165" s="63"/>
      <c r="AR1165" s="63"/>
      <c r="AS1165" s="63"/>
      <c r="AT1165" s="63"/>
      <c r="AU1165" s="63"/>
      <c r="AV1165" s="63"/>
      <c r="AW1165" s="63"/>
      <c r="AX1165" s="63"/>
    </row>
    <row r="1166" spans="1:50" x14ac:dyDescent="0.2">
      <c r="AA1166" s="16"/>
      <c r="AB1166" s="29" t="s">
        <v>285</v>
      </c>
      <c r="AC1166" s="17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</row>
    <row r="1167" spans="1:50" x14ac:dyDescent="0.2">
      <c r="AA1167" s="16"/>
      <c r="AB1167" s="29" t="s">
        <v>202</v>
      </c>
      <c r="AC1167" s="17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</row>
    <row r="1168" spans="1:50" x14ac:dyDescent="0.2">
      <c r="AA1168" s="16"/>
      <c r="AB1168" s="29" t="s">
        <v>203</v>
      </c>
      <c r="AC1168" s="17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</row>
    <row r="1169" spans="1:50" x14ac:dyDescent="0.2">
      <c r="AA1169" s="16"/>
      <c r="AB1169" s="29" t="s">
        <v>204</v>
      </c>
      <c r="AC1169" s="17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</row>
    <row r="1170" spans="1:50" ht="25.5" x14ac:dyDescent="0.2">
      <c r="AA1170" s="16"/>
      <c r="AB1170" s="29" t="s">
        <v>205</v>
      </c>
      <c r="AC1170" s="17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</row>
    <row r="1171" spans="1:50" ht="25.5" x14ac:dyDescent="0.2">
      <c r="AA1171" s="28" t="s">
        <v>288</v>
      </c>
      <c r="AB1171" s="29" t="s">
        <v>769</v>
      </c>
      <c r="AC1171" s="17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30"/>
      <c r="AU1171" s="18"/>
      <c r="AV1171" s="18"/>
      <c r="AW1171" s="18"/>
      <c r="AX1171" s="18"/>
    </row>
    <row r="1172" spans="1:50" s="150" customFormat="1" x14ac:dyDescent="0.2">
      <c r="A1172" s="140" t="s">
        <v>55</v>
      </c>
      <c r="B1172" s="140" t="s">
        <v>56</v>
      </c>
      <c r="C1172" s="140"/>
      <c r="D1172" s="140"/>
      <c r="E1172" s="140"/>
      <c r="F1172" s="140"/>
      <c r="G1172" s="140"/>
      <c r="H1172" s="140"/>
      <c r="I1172" s="140"/>
      <c r="J1172" s="140"/>
      <c r="K1172" s="140"/>
      <c r="L1172" s="140"/>
      <c r="M1172" s="140"/>
      <c r="N1172" s="140"/>
      <c r="O1172" s="140"/>
      <c r="P1172" s="140"/>
      <c r="Q1172" s="140"/>
      <c r="R1172" s="140"/>
      <c r="S1172" s="140"/>
      <c r="T1172" s="140"/>
      <c r="U1172" s="140"/>
      <c r="V1172" s="140"/>
      <c r="W1172" s="140"/>
      <c r="X1172" s="140"/>
      <c r="Y1172" s="140"/>
      <c r="Z1172" s="140"/>
      <c r="AA1172" s="134" t="s">
        <v>770</v>
      </c>
      <c r="AB1172" s="69" t="s">
        <v>233</v>
      </c>
      <c r="AC1172" s="142" t="s">
        <v>58</v>
      </c>
      <c r="AD1172" s="142">
        <v>4000000000</v>
      </c>
      <c r="AE1172" s="143">
        <v>0</v>
      </c>
      <c r="AF1172" s="143">
        <v>0</v>
      </c>
      <c r="AG1172" s="143">
        <v>0</v>
      </c>
      <c r="AH1172" s="143">
        <v>0</v>
      </c>
      <c r="AI1172" s="143">
        <v>0</v>
      </c>
      <c r="AJ1172" s="142">
        <v>4000000000</v>
      </c>
      <c r="AK1172" s="143">
        <v>0</v>
      </c>
      <c r="AL1172" s="142">
        <v>333333333</v>
      </c>
      <c r="AM1172" s="142">
        <v>1666666665</v>
      </c>
      <c r="AN1172" s="143">
        <v>0</v>
      </c>
      <c r="AO1172" s="142">
        <v>333333333</v>
      </c>
      <c r="AP1172" s="142">
        <v>1666666665</v>
      </c>
      <c r="AQ1172" s="143">
        <v>0</v>
      </c>
      <c r="AR1172" s="142">
        <v>333333333</v>
      </c>
      <c r="AS1172" s="142">
        <v>1666666665</v>
      </c>
      <c r="AT1172" s="174">
        <f t="shared" ref="AT1172" si="418">AQ1172+AS1172</f>
        <v>1666666665</v>
      </c>
      <c r="AU1172" s="148">
        <f>AJ1172-AM1172</f>
        <v>2333333335</v>
      </c>
      <c r="AV1172" s="175">
        <f>AM1172-AP1172</f>
        <v>0</v>
      </c>
      <c r="AW1172" s="175">
        <f>AP1172-AT1172</f>
        <v>0</v>
      </c>
      <c r="AX1172" s="149">
        <f>AP1172/AJ1172</f>
        <v>0.41666666624999998</v>
      </c>
    </row>
    <row r="1173" spans="1:50" s="150" customFormat="1" x14ac:dyDescent="0.2">
      <c r="A1173" s="140"/>
      <c r="B1173" s="140"/>
      <c r="C1173" s="140"/>
      <c r="D1173" s="140"/>
      <c r="E1173" s="140"/>
      <c r="F1173" s="140"/>
      <c r="G1173" s="140"/>
      <c r="H1173" s="140"/>
      <c r="I1173" s="140"/>
      <c r="J1173" s="140"/>
      <c r="K1173" s="140"/>
      <c r="L1173" s="140"/>
      <c r="M1173" s="140"/>
      <c r="N1173" s="140"/>
      <c r="O1173" s="140"/>
      <c r="P1173" s="140"/>
      <c r="Q1173" s="140"/>
      <c r="R1173" s="140"/>
      <c r="S1173" s="140"/>
      <c r="T1173" s="140"/>
      <c r="U1173" s="140"/>
      <c r="V1173" s="140"/>
      <c r="W1173" s="140"/>
      <c r="X1173" s="140"/>
      <c r="Y1173" s="140"/>
      <c r="Z1173" s="140"/>
      <c r="AA1173" s="134"/>
      <c r="AB1173" s="69"/>
      <c r="AC1173" s="142"/>
      <c r="AD1173" s="142"/>
      <c r="AE1173" s="143"/>
      <c r="AF1173" s="143"/>
      <c r="AG1173" s="143"/>
      <c r="AH1173" s="143"/>
      <c r="AI1173" s="143"/>
      <c r="AJ1173" s="142"/>
      <c r="AK1173" s="143"/>
      <c r="AL1173" s="142"/>
      <c r="AM1173" s="142"/>
      <c r="AN1173" s="143"/>
      <c r="AO1173" s="142"/>
      <c r="AP1173" s="142"/>
      <c r="AQ1173" s="143"/>
      <c r="AR1173" s="142"/>
      <c r="AS1173" s="142"/>
      <c r="AT1173" s="174"/>
      <c r="AU1173" s="148"/>
      <c r="AV1173" s="175"/>
      <c r="AW1173" s="175"/>
      <c r="AX1173" s="149"/>
    </row>
    <row r="1174" spans="1:50" ht="13.5" customHeight="1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170" t="s">
        <v>288</v>
      </c>
      <c r="AB1174" s="165" t="s">
        <v>199</v>
      </c>
      <c r="AC1174" s="168"/>
      <c r="AD1174" s="43"/>
      <c r="AE1174" s="44"/>
      <c r="AF1174" s="44"/>
      <c r="AG1174" s="44"/>
      <c r="AH1174" s="44"/>
      <c r="AI1174" s="44"/>
      <c r="AJ1174" s="43"/>
      <c r="AK1174" s="44"/>
      <c r="AL1174" s="43"/>
      <c r="AM1174" s="43"/>
      <c r="AN1174" s="44"/>
      <c r="AO1174" s="43"/>
      <c r="AP1174" s="43"/>
      <c r="AQ1174" s="44"/>
      <c r="AR1174" s="44"/>
      <c r="AS1174" s="44"/>
      <c r="AT1174" s="135"/>
      <c r="AU1174" s="110"/>
      <c r="AV1174" s="133"/>
      <c r="AW1174" s="34"/>
      <c r="AX1174" s="123"/>
    </row>
    <row r="1175" spans="1:50" ht="25.5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166" t="s">
        <v>1162</v>
      </c>
      <c r="AB1175" s="167" t="s">
        <v>1044</v>
      </c>
      <c r="AC1175" s="168"/>
      <c r="AD1175" s="44">
        <v>0</v>
      </c>
      <c r="AE1175" s="43">
        <v>384000000</v>
      </c>
      <c r="AF1175" s="44">
        <v>0</v>
      </c>
      <c r="AG1175" s="44">
        <v>0</v>
      </c>
      <c r="AH1175" s="44">
        <v>0</v>
      </c>
      <c r="AI1175" s="43">
        <f t="shared" ref="AI1175:AI1176" si="419">AE1175-AF1175+AG1175-AH1175</f>
        <v>384000000</v>
      </c>
      <c r="AJ1175" s="43">
        <f t="shared" ref="AJ1175:AJ1176" si="420">AD1175+AI1175</f>
        <v>384000000</v>
      </c>
      <c r="AK1175" s="44">
        <v>0</v>
      </c>
      <c r="AL1175" s="44">
        <v>0</v>
      </c>
      <c r="AM1175" s="44">
        <v>0</v>
      </c>
      <c r="AN1175" s="44">
        <v>0</v>
      </c>
      <c r="AO1175" s="43">
        <v>0</v>
      </c>
      <c r="AP1175" s="43">
        <v>0</v>
      </c>
      <c r="AQ1175" s="44">
        <v>0</v>
      </c>
      <c r="AR1175" s="44">
        <v>0</v>
      </c>
      <c r="AS1175" s="44">
        <v>0</v>
      </c>
      <c r="AT1175" s="135">
        <f t="shared" ref="AT1175:AT1176" si="421">AQ1175+AS1175</f>
        <v>0</v>
      </c>
      <c r="AU1175" s="110">
        <f>AJ1175-AM1175</f>
        <v>384000000</v>
      </c>
      <c r="AV1175" s="133">
        <f>AM1175-AP1175</f>
        <v>0</v>
      </c>
      <c r="AW1175" s="34">
        <f>AP1175-AT1175</f>
        <v>0</v>
      </c>
      <c r="AX1175" s="123">
        <f>AP1175/AJ1175</f>
        <v>0</v>
      </c>
    </row>
    <row r="1176" spans="1:50" ht="15.75" customHeight="1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166" t="s">
        <v>1163</v>
      </c>
      <c r="AB1176" s="167" t="s">
        <v>1015</v>
      </c>
      <c r="AC1176" s="168"/>
      <c r="AD1176" s="44">
        <v>0</v>
      </c>
      <c r="AE1176" s="43">
        <v>270000000</v>
      </c>
      <c r="AF1176" s="44">
        <v>0</v>
      </c>
      <c r="AG1176" s="44">
        <v>0</v>
      </c>
      <c r="AH1176" s="44">
        <v>0</v>
      </c>
      <c r="AI1176" s="43">
        <f t="shared" si="419"/>
        <v>270000000</v>
      </c>
      <c r="AJ1176" s="43">
        <f t="shared" si="420"/>
        <v>270000000</v>
      </c>
      <c r="AK1176" s="44">
        <v>0</v>
      </c>
      <c r="AL1176" s="44">
        <v>0</v>
      </c>
      <c r="AM1176" s="44">
        <v>0</v>
      </c>
      <c r="AN1176" s="44">
        <v>0</v>
      </c>
      <c r="AO1176" s="43">
        <v>0</v>
      </c>
      <c r="AP1176" s="43">
        <v>0</v>
      </c>
      <c r="AQ1176" s="44">
        <v>0</v>
      </c>
      <c r="AR1176" s="44">
        <v>0</v>
      </c>
      <c r="AS1176" s="44">
        <v>0</v>
      </c>
      <c r="AT1176" s="135">
        <f t="shared" si="421"/>
        <v>0</v>
      </c>
      <c r="AU1176" s="110">
        <f>AJ1176-AM1176</f>
        <v>270000000</v>
      </c>
      <c r="AV1176" s="133">
        <f>AM1176-AP1176</f>
        <v>0</v>
      </c>
      <c r="AW1176" s="34">
        <f>AP1176-AT1176</f>
        <v>0</v>
      </c>
      <c r="AX1176" s="123">
        <f>AP1176/AJ1176</f>
        <v>0</v>
      </c>
    </row>
    <row r="1177" spans="1:50" x14ac:dyDescent="0.2">
      <c r="AA1177" s="16"/>
      <c r="AB1177" s="17"/>
      <c r="AC1177" s="17"/>
      <c r="AD1177" s="18"/>
      <c r="AE1177" s="34"/>
      <c r="AF1177" s="34"/>
      <c r="AG1177" s="34"/>
      <c r="AH1177" s="34"/>
      <c r="AI1177" s="34"/>
      <c r="AJ1177" s="18"/>
      <c r="AK1177" s="34"/>
      <c r="AL1177" s="18"/>
      <c r="AM1177" s="18"/>
      <c r="AN1177" s="34"/>
      <c r="AO1177" s="18"/>
      <c r="AP1177" s="18"/>
      <c r="AQ1177" s="34"/>
      <c r="AR1177" s="18"/>
      <c r="AS1177" s="18"/>
      <c r="AT1177" s="30"/>
      <c r="AU1177" s="18"/>
      <c r="AV1177" s="34"/>
      <c r="AW1177" s="34"/>
      <c r="AX1177" s="18"/>
    </row>
    <row r="1178" spans="1:50" s="50" customFormat="1" x14ac:dyDescent="0.2">
      <c r="B1178" s="77"/>
      <c r="C1178" s="77"/>
      <c r="D1178" s="77"/>
      <c r="E1178" s="77"/>
      <c r="F1178" s="77"/>
      <c r="G1178" s="77"/>
      <c r="H1178" s="77"/>
      <c r="I1178" s="77"/>
      <c r="J1178" s="77"/>
      <c r="K1178" s="77"/>
      <c r="L1178" s="77"/>
      <c r="M1178" s="77"/>
      <c r="N1178" s="77"/>
      <c r="O1178" s="77"/>
      <c r="P1178" s="77"/>
      <c r="Q1178" s="77"/>
      <c r="R1178" s="77"/>
      <c r="S1178" s="77"/>
      <c r="T1178" s="77"/>
      <c r="U1178" s="77"/>
      <c r="V1178" s="77"/>
      <c r="W1178" s="77"/>
      <c r="X1178" s="77"/>
      <c r="Y1178" s="77"/>
      <c r="Z1178" s="77"/>
      <c r="AA1178" s="46"/>
      <c r="AB1178" s="47" t="s">
        <v>771</v>
      </c>
      <c r="AC1178" s="22" t="s">
        <v>772</v>
      </c>
      <c r="AD1178" s="22">
        <f>SUM(AD1172:AD1177)</f>
        <v>4000000000</v>
      </c>
      <c r="AE1178" s="22">
        <f t="shared" ref="AE1178:AW1178" si="422">SUM(AE1172:AE1177)</f>
        <v>654000000</v>
      </c>
      <c r="AF1178" s="23">
        <f t="shared" si="422"/>
        <v>0</v>
      </c>
      <c r="AG1178" s="23">
        <f t="shared" si="422"/>
        <v>0</v>
      </c>
      <c r="AH1178" s="23">
        <f t="shared" si="422"/>
        <v>0</v>
      </c>
      <c r="AI1178" s="22">
        <f t="shared" si="422"/>
        <v>654000000</v>
      </c>
      <c r="AJ1178" s="22">
        <f t="shared" si="422"/>
        <v>4654000000</v>
      </c>
      <c r="AK1178" s="23">
        <f t="shared" si="422"/>
        <v>0</v>
      </c>
      <c r="AL1178" s="22">
        <f t="shared" si="422"/>
        <v>333333333</v>
      </c>
      <c r="AM1178" s="22">
        <f t="shared" si="422"/>
        <v>1666666665</v>
      </c>
      <c r="AN1178" s="23">
        <f t="shared" si="422"/>
        <v>0</v>
      </c>
      <c r="AO1178" s="22">
        <f t="shared" si="422"/>
        <v>333333333</v>
      </c>
      <c r="AP1178" s="22">
        <f t="shared" si="422"/>
        <v>1666666665</v>
      </c>
      <c r="AQ1178" s="23">
        <f t="shared" si="422"/>
        <v>0</v>
      </c>
      <c r="AR1178" s="22">
        <f t="shared" si="422"/>
        <v>333333333</v>
      </c>
      <c r="AS1178" s="22">
        <f t="shared" si="422"/>
        <v>1666666665</v>
      </c>
      <c r="AT1178" s="22">
        <f>AQ1178+AS1178</f>
        <v>1666666665</v>
      </c>
      <c r="AU1178" s="22">
        <f t="shared" si="422"/>
        <v>2987333335</v>
      </c>
      <c r="AV1178" s="23">
        <f t="shared" si="422"/>
        <v>0</v>
      </c>
      <c r="AW1178" s="23">
        <f t="shared" si="422"/>
        <v>0</v>
      </c>
      <c r="AX1178" s="24">
        <f>AP1178/AJ1178</f>
        <v>0.35811488289643317</v>
      </c>
    </row>
    <row r="1179" spans="1:50" x14ac:dyDescent="0.2">
      <c r="AA1179" s="16"/>
      <c r="AB1179" s="17"/>
      <c r="AC1179" s="17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34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</row>
    <row r="1180" spans="1:50" s="25" customFormat="1" x14ac:dyDescent="0.2">
      <c r="B1180" s="71"/>
      <c r="C1180" s="71"/>
      <c r="D1180" s="71"/>
      <c r="E1180" s="71"/>
      <c r="F1180" s="71"/>
      <c r="G1180" s="71"/>
      <c r="H1180" s="71"/>
      <c r="I1180" s="71"/>
      <c r="J1180" s="71"/>
      <c r="K1180" s="71"/>
      <c r="L1180" s="71"/>
      <c r="M1180" s="71"/>
      <c r="N1180" s="71"/>
      <c r="O1180" s="71"/>
      <c r="P1180" s="71"/>
      <c r="Q1180" s="71"/>
      <c r="R1180" s="71"/>
      <c r="S1180" s="71"/>
      <c r="T1180" s="71"/>
      <c r="U1180" s="71"/>
      <c r="V1180" s="71"/>
      <c r="W1180" s="71"/>
      <c r="X1180" s="71"/>
      <c r="Y1180" s="71"/>
      <c r="Z1180" s="71"/>
      <c r="AA1180" s="85"/>
      <c r="AB1180" s="86" t="s">
        <v>773</v>
      </c>
      <c r="AC1180" s="87"/>
      <c r="AD1180" s="63"/>
      <c r="AE1180" s="88"/>
      <c r="AF1180" s="88"/>
      <c r="AG1180" s="88"/>
      <c r="AH1180" s="88"/>
      <c r="AI1180" s="88"/>
      <c r="AJ1180" s="88"/>
      <c r="AK1180" s="88"/>
      <c r="AL1180" s="88"/>
      <c r="AM1180" s="88"/>
      <c r="AN1180" s="88"/>
      <c r="AO1180" s="88"/>
      <c r="AP1180" s="88"/>
      <c r="AQ1180" s="88"/>
      <c r="AR1180" s="88"/>
      <c r="AS1180" s="88"/>
      <c r="AT1180" s="88"/>
      <c r="AU1180" s="88"/>
      <c r="AV1180" s="88"/>
      <c r="AW1180" s="88"/>
      <c r="AX1180" s="88"/>
    </row>
    <row r="1181" spans="1:50" x14ac:dyDescent="0.2">
      <c r="AA1181" s="89"/>
      <c r="AB1181" s="90" t="s">
        <v>676</v>
      </c>
      <c r="AC1181" s="91"/>
      <c r="AD1181" s="18"/>
      <c r="AE1181" s="92"/>
      <c r="AF1181" s="92"/>
      <c r="AG1181" s="92"/>
      <c r="AH1181" s="92"/>
      <c r="AI1181" s="92"/>
      <c r="AJ1181" s="92"/>
      <c r="AK1181" s="92"/>
      <c r="AL1181" s="92"/>
      <c r="AM1181" s="92"/>
      <c r="AN1181" s="92"/>
      <c r="AO1181" s="92"/>
      <c r="AP1181" s="92"/>
      <c r="AQ1181" s="92"/>
      <c r="AR1181" s="92"/>
      <c r="AS1181" s="92"/>
      <c r="AT1181" s="92"/>
      <c r="AU1181" s="92"/>
      <c r="AV1181" s="92"/>
      <c r="AW1181" s="92"/>
      <c r="AX1181" s="92"/>
    </row>
    <row r="1182" spans="1:50" x14ac:dyDescent="0.2">
      <c r="AA1182" s="89"/>
      <c r="AB1182" s="90" t="s">
        <v>286</v>
      </c>
      <c r="AC1182" s="91"/>
      <c r="AD1182" s="18"/>
      <c r="AE1182" s="92"/>
      <c r="AF1182" s="92"/>
      <c r="AG1182" s="92"/>
      <c r="AH1182" s="92"/>
      <c r="AI1182" s="92"/>
      <c r="AJ1182" s="92"/>
      <c r="AK1182" s="92"/>
      <c r="AL1182" s="92"/>
      <c r="AM1182" s="92"/>
      <c r="AN1182" s="92"/>
      <c r="AO1182" s="92"/>
      <c r="AP1182" s="92"/>
      <c r="AQ1182" s="92"/>
      <c r="AR1182" s="92"/>
      <c r="AS1182" s="92"/>
      <c r="AT1182" s="92"/>
      <c r="AU1182" s="92"/>
      <c r="AV1182" s="92"/>
      <c r="AW1182" s="92"/>
      <c r="AX1182" s="92"/>
    </row>
    <row r="1183" spans="1:50" x14ac:dyDescent="0.2">
      <c r="AA1183" s="89"/>
      <c r="AB1183" s="90" t="s">
        <v>179</v>
      </c>
      <c r="AC1183" s="91"/>
      <c r="AD1183" s="18"/>
      <c r="AE1183" s="92"/>
      <c r="AF1183" s="92"/>
      <c r="AG1183" s="92"/>
      <c r="AH1183" s="92"/>
      <c r="AI1183" s="92"/>
      <c r="AJ1183" s="92"/>
      <c r="AK1183" s="92"/>
      <c r="AL1183" s="92"/>
      <c r="AM1183" s="92"/>
      <c r="AN1183" s="92"/>
      <c r="AO1183" s="92"/>
      <c r="AP1183" s="92"/>
      <c r="AQ1183" s="92"/>
      <c r="AR1183" s="92"/>
      <c r="AS1183" s="92"/>
      <c r="AT1183" s="92"/>
      <c r="AU1183" s="92"/>
      <c r="AV1183" s="92"/>
      <c r="AW1183" s="92"/>
      <c r="AX1183" s="92"/>
    </row>
    <row r="1184" spans="1:50" x14ac:dyDescent="0.2">
      <c r="AA1184" s="89"/>
      <c r="AB1184" s="90" t="s">
        <v>189</v>
      </c>
      <c r="AC1184" s="91"/>
      <c r="AD1184" s="18"/>
      <c r="AE1184" s="92"/>
      <c r="AF1184" s="92"/>
      <c r="AG1184" s="92"/>
      <c r="AH1184" s="92"/>
      <c r="AI1184" s="92"/>
      <c r="AJ1184" s="92"/>
      <c r="AK1184" s="92"/>
      <c r="AL1184" s="92"/>
      <c r="AM1184" s="92"/>
      <c r="AN1184" s="92"/>
      <c r="AO1184" s="92"/>
      <c r="AP1184" s="92"/>
      <c r="AQ1184" s="92"/>
      <c r="AR1184" s="92"/>
      <c r="AS1184" s="92"/>
      <c r="AT1184" s="92"/>
      <c r="AU1184" s="92"/>
      <c r="AV1184" s="92"/>
      <c r="AW1184" s="92"/>
      <c r="AX1184" s="92"/>
    </row>
    <row r="1185" spans="27:50" x14ac:dyDescent="0.2">
      <c r="AA1185" s="89"/>
      <c r="AB1185" s="90" t="s">
        <v>191</v>
      </c>
      <c r="AC1185" s="91"/>
      <c r="AD1185" s="18"/>
      <c r="AE1185" s="92"/>
      <c r="AF1185" s="92"/>
      <c r="AG1185" s="92"/>
      <c r="AH1185" s="92"/>
      <c r="AI1185" s="92"/>
      <c r="AJ1185" s="92"/>
      <c r="AK1185" s="92"/>
      <c r="AL1185" s="92"/>
      <c r="AM1185" s="92"/>
      <c r="AN1185" s="92"/>
      <c r="AO1185" s="92"/>
      <c r="AP1185" s="92"/>
      <c r="AQ1185" s="92"/>
      <c r="AR1185" s="92"/>
      <c r="AS1185" s="92"/>
      <c r="AT1185" s="92"/>
      <c r="AU1185" s="92"/>
      <c r="AV1185" s="92"/>
      <c r="AW1185" s="92"/>
      <c r="AX1185" s="92"/>
    </row>
    <row r="1186" spans="27:50" ht="38.25" x14ac:dyDescent="0.2">
      <c r="AA1186" s="93" t="s">
        <v>288</v>
      </c>
      <c r="AB1186" s="90" t="s">
        <v>774</v>
      </c>
      <c r="AC1186" s="91"/>
      <c r="AD1186" s="18"/>
      <c r="AE1186" s="92"/>
      <c r="AF1186" s="92"/>
      <c r="AG1186" s="92"/>
      <c r="AH1186" s="92"/>
      <c r="AI1186" s="92"/>
      <c r="AJ1186" s="92"/>
      <c r="AK1186" s="92"/>
      <c r="AL1186" s="92"/>
      <c r="AM1186" s="92"/>
      <c r="AN1186" s="92"/>
      <c r="AO1186" s="92"/>
      <c r="AP1186" s="92"/>
      <c r="AQ1186" s="92"/>
      <c r="AR1186" s="92"/>
      <c r="AS1186" s="92"/>
      <c r="AT1186" s="30"/>
      <c r="AU1186" s="92"/>
      <c r="AV1186" s="92"/>
      <c r="AW1186" s="92"/>
      <c r="AX1186" s="92"/>
    </row>
    <row r="1187" spans="27:50" ht="25.5" x14ac:dyDescent="0.2">
      <c r="AA1187" s="94" t="s">
        <v>775</v>
      </c>
      <c r="AB1187" s="95" t="s">
        <v>776</v>
      </c>
      <c r="AC1187" s="96" t="s">
        <v>777</v>
      </c>
      <c r="AD1187" s="44">
        <v>0</v>
      </c>
      <c r="AE1187" s="97">
        <v>0</v>
      </c>
      <c r="AF1187" s="97">
        <v>0</v>
      </c>
      <c r="AG1187" s="43">
        <v>5536570240</v>
      </c>
      <c r="AH1187" s="96">
        <v>0</v>
      </c>
      <c r="AI1187" s="136">
        <f>AE1187-AF1187+AG1187-AH1187</f>
        <v>5536570240</v>
      </c>
      <c r="AJ1187" s="43">
        <f>AD1187+AI1187</f>
        <v>5536570240</v>
      </c>
      <c r="AK1187" s="97">
        <v>0</v>
      </c>
      <c r="AL1187" s="114">
        <f>AM1187-ABRIL!AM992</f>
        <v>-15116180</v>
      </c>
      <c r="AM1187" s="114">
        <v>2033615320</v>
      </c>
      <c r="AN1187" s="43">
        <v>0</v>
      </c>
      <c r="AO1187" s="114">
        <f>AP1187-ABRIL!AP992</f>
        <v>34980000</v>
      </c>
      <c r="AP1187" s="114">
        <v>1855996666</v>
      </c>
      <c r="AQ1187" s="43">
        <v>42013333</v>
      </c>
      <c r="AR1187" s="43">
        <v>166610001</v>
      </c>
      <c r="AS1187" s="43">
        <v>307656665</v>
      </c>
      <c r="AT1187" s="39">
        <f t="shared" ref="AT1187" si="423">AQ1187+AS1187</f>
        <v>349669998</v>
      </c>
      <c r="AU1187" s="18">
        <f>AJ1187-AM1187</f>
        <v>3502954920</v>
      </c>
      <c r="AV1187" s="18">
        <f>AM1187-AP1187</f>
        <v>177618654</v>
      </c>
      <c r="AW1187" s="110">
        <f>AP1187-AT1187</f>
        <v>1506326668</v>
      </c>
      <c r="AX1187" s="123">
        <f>AP1187/AJ1187</f>
        <v>0.33522498325605998</v>
      </c>
    </row>
    <row r="1188" spans="27:50" ht="25.5" x14ac:dyDescent="0.2">
      <c r="AA1188" s="93" t="s">
        <v>288</v>
      </c>
      <c r="AB1188" s="90" t="s">
        <v>778</v>
      </c>
      <c r="AC1188" s="91"/>
      <c r="AD1188" s="18"/>
      <c r="AE1188" s="98"/>
      <c r="AF1188" s="98"/>
      <c r="AG1188" s="92"/>
      <c r="AH1188" s="92"/>
      <c r="AI1188" s="92"/>
      <c r="AJ1188" s="18"/>
      <c r="AK1188" s="98"/>
      <c r="AL1188" s="98"/>
      <c r="AM1188" s="98"/>
      <c r="AN1188" s="98"/>
      <c r="AO1188" s="98"/>
      <c r="AP1188" s="98"/>
      <c r="AQ1188" s="98"/>
      <c r="AR1188" s="98"/>
      <c r="AS1188" s="98"/>
      <c r="AT1188" s="31"/>
      <c r="AU1188" s="18"/>
      <c r="AV1188" s="34"/>
      <c r="AW1188" s="34"/>
      <c r="AX1188" s="92"/>
    </row>
    <row r="1189" spans="27:50" x14ac:dyDescent="0.2">
      <c r="AA1189" s="94" t="s">
        <v>779</v>
      </c>
      <c r="AB1189" s="95" t="s">
        <v>780</v>
      </c>
      <c r="AC1189" s="96" t="s">
        <v>368</v>
      </c>
      <c r="AD1189" s="43">
        <v>920421961</v>
      </c>
      <c r="AE1189" s="97">
        <v>0</v>
      </c>
      <c r="AF1189" s="97">
        <v>0</v>
      </c>
      <c r="AG1189" s="96">
        <v>0</v>
      </c>
      <c r="AH1189" s="96">
        <v>0</v>
      </c>
      <c r="AI1189" s="136">
        <f>AE1189-AF1189+AG1189-AH1189</f>
        <v>0</v>
      </c>
      <c r="AJ1189" s="43">
        <f>AD1189+AI1189</f>
        <v>920421961</v>
      </c>
      <c r="AK1189" s="97">
        <v>0</v>
      </c>
      <c r="AL1189" s="97">
        <v>0</v>
      </c>
      <c r="AM1189" s="97">
        <v>0</v>
      </c>
      <c r="AN1189" s="97">
        <v>0</v>
      </c>
      <c r="AO1189" s="97">
        <v>0</v>
      </c>
      <c r="AP1189" s="97">
        <v>0</v>
      </c>
      <c r="AQ1189" s="97">
        <v>0</v>
      </c>
      <c r="AR1189" s="97">
        <v>0</v>
      </c>
      <c r="AS1189" s="97">
        <v>0</v>
      </c>
      <c r="AT1189" s="135">
        <f t="shared" ref="AT1189:AT1190" si="424">AQ1189+AS1189</f>
        <v>0</v>
      </c>
      <c r="AU1189" s="110">
        <f>AJ1189-AM1189</f>
        <v>920421961</v>
      </c>
      <c r="AV1189" s="133">
        <f>AM1189-AP1189</f>
        <v>0</v>
      </c>
      <c r="AW1189" s="133">
        <f>AP1189-AT1189</f>
        <v>0</v>
      </c>
      <c r="AX1189" s="123">
        <f>AP1189/AJ1189</f>
        <v>0</v>
      </c>
    </row>
    <row r="1190" spans="27:50" ht="25.5" x14ac:dyDescent="0.2">
      <c r="AA1190" s="94" t="s">
        <v>781</v>
      </c>
      <c r="AB1190" s="95" t="s">
        <v>776</v>
      </c>
      <c r="AC1190" s="96" t="s">
        <v>777</v>
      </c>
      <c r="AD1190" s="43">
        <v>23813351805</v>
      </c>
      <c r="AE1190" s="97">
        <v>0</v>
      </c>
      <c r="AF1190" s="97">
        <v>0</v>
      </c>
      <c r="AG1190" s="96">
        <v>0</v>
      </c>
      <c r="AH1190" s="43">
        <v>5536570240</v>
      </c>
      <c r="AI1190" s="136">
        <f>AE1190-AF1190+AG1190-AH1190</f>
        <v>-5536570240</v>
      </c>
      <c r="AJ1190" s="43">
        <f>AD1190+AI1190</f>
        <v>18276781565</v>
      </c>
      <c r="AK1190" s="97">
        <v>0</v>
      </c>
      <c r="AL1190" s="97">
        <v>0</v>
      </c>
      <c r="AM1190" s="97">
        <v>0</v>
      </c>
      <c r="AN1190" s="97">
        <v>0</v>
      </c>
      <c r="AO1190" s="97">
        <v>0</v>
      </c>
      <c r="AP1190" s="97">
        <v>0</v>
      </c>
      <c r="AQ1190" s="97">
        <v>0</v>
      </c>
      <c r="AR1190" s="97">
        <v>0</v>
      </c>
      <c r="AS1190" s="97">
        <v>0</v>
      </c>
      <c r="AT1190" s="135">
        <f t="shared" si="424"/>
        <v>0</v>
      </c>
      <c r="AU1190" s="110">
        <f>AJ1190-AM1190</f>
        <v>18276781565</v>
      </c>
      <c r="AV1190" s="133">
        <f>AM1190-AP1190</f>
        <v>0</v>
      </c>
      <c r="AW1190" s="133">
        <f>AP1190-AT1190</f>
        <v>0</v>
      </c>
      <c r="AX1190" s="123">
        <f>AP1190/AJ1190</f>
        <v>0</v>
      </c>
    </row>
    <row r="1191" spans="27:50" x14ac:dyDescent="0.2">
      <c r="AA1191" s="89"/>
      <c r="AB1191" s="91"/>
      <c r="AC1191" s="91"/>
      <c r="AD1191" s="18"/>
      <c r="AE1191" s="92"/>
      <c r="AF1191" s="92"/>
      <c r="AG1191" s="92"/>
      <c r="AH1191" s="92"/>
      <c r="AI1191" s="92"/>
      <c r="AJ1191" s="18"/>
      <c r="AK1191" s="98"/>
      <c r="AL1191" s="98"/>
      <c r="AM1191" s="98"/>
      <c r="AN1191" s="98"/>
      <c r="AO1191" s="98"/>
      <c r="AP1191" s="98"/>
      <c r="AQ1191" s="98"/>
      <c r="AR1191" s="98"/>
      <c r="AS1191" s="92"/>
      <c r="AT1191" s="30"/>
      <c r="AU1191" s="18"/>
      <c r="AV1191" s="18"/>
      <c r="AW1191" s="18"/>
      <c r="AX1191" s="92"/>
    </row>
    <row r="1192" spans="27:50" x14ac:dyDescent="0.2">
      <c r="AA1192" s="89"/>
      <c r="AB1192" s="90" t="s">
        <v>199</v>
      </c>
      <c r="AC1192" s="91"/>
      <c r="AD1192" s="18"/>
      <c r="AE1192" s="92"/>
      <c r="AF1192" s="92"/>
      <c r="AG1192" s="92"/>
      <c r="AH1192" s="92"/>
      <c r="AI1192" s="92"/>
      <c r="AJ1192" s="18"/>
      <c r="AK1192" s="98"/>
      <c r="AL1192" s="98"/>
      <c r="AM1192" s="98"/>
      <c r="AN1192" s="98"/>
      <c r="AO1192" s="98"/>
      <c r="AP1192" s="98"/>
      <c r="AQ1192" s="98"/>
      <c r="AR1192" s="98"/>
      <c r="AS1192" s="92"/>
      <c r="AT1192" s="30"/>
      <c r="AU1192" s="18"/>
      <c r="AV1192" s="18"/>
      <c r="AW1192" s="18"/>
      <c r="AX1192" s="92"/>
    </row>
    <row r="1193" spans="27:50" x14ac:dyDescent="0.2">
      <c r="AA1193" s="93" t="s">
        <v>288</v>
      </c>
      <c r="AB1193" s="90" t="s">
        <v>782</v>
      </c>
      <c r="AC1193" s="91"/>
      <c r="AD1193" s="18"/>
      <c r="AE1193" s="92"/>
      <c r="AF1193" s="92"/>
      <c r="AG1193" s="92"/>
      <c r="AH1193" s="92"/>
      <c r="AI1193" s="92"/>
      <c r="AJ1193" s="18"/>
      <c r="AK1193" s="98"/>
      <c r="AL1193" s="98"/>
      <c r="AM1193" s="98"/>
      <c r="AN1193" s="98"/>
      <c r="AO1193" s="98"/>
      <c r="AP1193" s="98"/>
      <c r="AQ1193" s="98"/>
      <c r="AR1193" s="98"/>
      <c r="AS1193" s="92"/>
      <c r="AT1193" s="30"/>
      <c r="AU1193" s="18"/>
      <c r="AV1193" s="18"/>
      <c r="AW1193" s="18"/>
      <c r="AX1193" s="92"/>
    </row>
    <row r="1194" spans="27:50" ht="25.5" x14ac:dyDescent="0.2">
      <c r="AA1194" s="94" t="s">
        <v>783</v>
      </c>
      <c r="AB1194" s="95" t="s">
        <v>784</v>
      </c>
      <c r="AC1194" s="96" t="s">
        <v>368</v>
      </c>
      <c r="AD1194" s="43">
        <v>40000000</v>
      </c>
      <c r="AE1194" s="96">
        <v>0</v>
      </c>
      <c r="AF1194" s="216">
        <v>0</v>
      </c>
      <c r="AG1194" s="216">
        <v>0</v>
      </c>
      <c r="AH1194" s="216">
        <v>0</v>
      </c>
      <c r="AI1194" s="136">
        <f>AE1194-AF1194+AG1194-AH1194</f>
        <v>0</v>
      </c>
      <c r="AJ1194" s="43">
        <f>AD1194+AI1194</f>
        <v>40000000</v>
      </c>
      <c r="AK1194" s="97">
        <v>0</v>
      </c>
      <c r="AL1194" s="34">
        <v>0</v>
      </c>
      <c r="AM1194" s="137">
        <v>0</v>
      </c>
      <c r="AN1194" s="97">
        <v>0</v>
      </c>
      <c r="AO1194" s="97">
        <v>0</v>
      </c>
      <c r="AP1194" s="97">
        <v>0</v>
      </c>
      <c r="AQ1194" s="97">
        <v>0</v>
      </c>
      <c r="AR1194" s="97">
        <v>0</v>
      </c>
      <c r="AS1194" s="97">
        <v>0</v>
      </c>
      <c r="AT1194" s="135">
        <f t="shared" ref="AT1194:AT1196" si="425">AQ1194+AS1194</f>
        <v>0</v>
      </c>
      <c r="AU1194" s="110">
        <f>AJ1194-AM1194</f>
        <v>40000000</v>
      </c>
      <c r="AV1194" s="133">
        <f>AM1194-AP1194</f>
        <v>0</v>
      </c>
      <c r="AW1194" s="133">
        <f>AP1194-AT1194</f>
        <v>0</v>
      </c>
      <c r="AX1194" s="123">
        <f>AP1194/AJ1194</f>
        <v>0</v>
      </c>
    </row>
    <row r="1195" spans="27:50" ht="25.5" x14ac:dyDescent="0.2">
      <c r="AA1195" s="94" t="s">
        <v>785</v>
      </c>
      <c r="AB1195" s="242" t="s">
        <v>786</v>
      </c>
      <c r="AC1195" s="96" t="s">
        <v>258</v>
      </c>
      <c r="AD1195" s="43">
        <v>2438425656.1900001</v>
      </c>
      <c r="AE1195" s="96">
        <v>0</v>
      </c>
      <c r="AF1195" s="216">
        <v>0</v>
      </c>
      <c r="AG1195" s="216">
        <v>0</v>
      </c>
      <c r="AH1195" s="216">
        <v>0</v>
      </c>
      <c r="AI1195" s="136">
        <f t="shared" ref="AI1195:AI1197" si="426">AE1195-AF1195+AG1195-AH1195</f>
        <v>0</v>
      </c>
      <c r="AJ1195" s="43">
        <f t="shared" ref="AJ1195:AJ1197" si="427">AD1195+AI1195</f>
        <v>2438425656.1900001</v>
      </c>
      <c r="AK1195" s="44">
        <v>0</v>
      </c>
      <c r="AL1195" s="114">
        <v>0</v>
      </c>
      <c r="AM1195" s="114">
        <v>55000000</v>
      </c>
      <c r="AN1195" s="92">
        <v>0</v>
      </c>
      <c r="AO1195" s="18">
        <v>0</v>
      </c>
      <c r="AP1195" s="18">
        <v>55000000</v>
      </c>
      <c r="AQ1195" s="43">
        <v>0</v>
      </c>
      <c r="AR1195" s="18">
        <v>5500000</v>
      </c>
      <c r="AS1195" s="43">
        <v>11000000</v>
      </c>
      <c r="AT1195" s="39">
        <f t="shared" si="425"/>
        <v>11000000</v>
      </c>
      <c r="AU1195" s="110">
        <f>AJ1195-AM1195</f>
        <v>2383425656.1900001</v>
      </c>
      <c r="AV1195" s="110">
        <f>AM1195-AP1195</f>
        <v>0</v>
      </c>
      <c r="AW1195" s="18">
        <f>AP1195-AT1195</f>
        <v>44000000</v>
      </c>
      <c r="AX1195" s="123">
        <f>AP1195/AJ1195</f>
        <v>2.2555536954912372E-2</v>
      </c>
    </row>
    <row r="1196" spans="27:50" x14ac:dyDescent="0.2">
      <c r="AA1196" s="94" t="s">
        <v>787</v>
      </c>
      <c r="AB1196" s="242" t="s">
        <v>788</v>
      </c>
      <c r="AC1196" s="96" t="s">
        <v>789</v>
      </c>
      <c r="AD1196" s="43">
        <v>886001426</v>
      </c>
      <c r="AE1196" s="96">
        <v>0</v>
      </c>
      <c r="AF1196" s="216">
        <v>0</v>
      </c>
      <c r="AG1196" s="216">
        <v>0</v>
      </c>
      <c r="AH1196" s="216">
        <v>0</v>
      </c>
      <c r="AI1196" s="136">
        <f t="shared" si="426"/>
        <v>0</v>
      </c>
      <c r="AJ1196" s="43">
        <f t="shared" si="427"/>
        <v>886001426</v>
      </c>
      <c r="AK1196" s="44">
        <v>0</v>
      </c>
      <c r="AL1196" s="114">
        <v>72949898</v>
      </c>
      <c r="AM1196" s="18">
        <v>366816476</v>
      </c>
      <c r="AN1196" s="92">
        <v>0</v>
      </c>
      <c r="AO1196" s="179">
        <v>72949898</v>
      </c>
      <c r="AP1196" s="18">
        <v>366816476</v>
      </c>
      <c r="AQ1196" s="96">
        <v>0</v>
      </c>
      <c r="AR1196" s="18">
        <v>72949898</v>
      </c>
      <c r="AS1196" s="43">
        <v>366816476</v>
      </c>
      <c r="AT1196" s="39">
        <f t="shared" si="425"/>
        <v>366816476</v>
      </c>
      <c r="AU1196" s="110">
        <f>AJ1196-AM1196</f>
        <v>519184950</v>
      </c>
      <c r="AV1196" s="133">
        <f>AM1196-AP1196</f>
        <v>0</v>
      </c>
      <c r="AW1196" s="133">
        <f>AP1196-AT1196</f>
        <v>0</v>
      </c>
      <c r="AX1196" s="123">
        <f>AP1196/AJ1196</f>
        <v>0.41401341491746085</v>
      </c>
    </row>
    <row r="1197" spans="27:50" ht="25.5" x14ac:dyDescent="0.2">
      <c r="AA1197" s="166" t="s">
        <v>1197</v>
      </c>
      <c r="AB1197" s="242" t="s">
        <v>1198</v>
      </c>
      <c r="AC1197" s="96"/>
      <c r="AD1197" s="43">
        <v>0</v>
      </c>
      <c r="AE1197" s="43">
        <v>57159458.270000003</v>
      </c>
      <c r="AF1197" s="216">
        <v>0</v>
      </c>
      <c r="AG1197" s="216">
        <v>0</v>
      </c>
      <c r="AH1197" s="216">
        <v>0</v>
      </c>
      <c r="AI1197" s="136">
        <f t="shared" si="426"/>
        <v>57159458.270000003</v>
      </c>
      <c r="AJ1197" s="43">
        <f t="shared" si="427"/>
        <v>57159458.270000003</v>
      </c>
      <c r="AK1197" s="44">
        <v>0</v>
      </c>
      <c r="AL1197" s="115">
        <v>0</v>
      </c>
      <c r="AM1197" s="18">
        <v>0</v>
      </c>
      <c r="AN1197" s="92">
        <v>0</v>
      </c>
      <c r="AO1197" s="179">
        <v>0</v>
      </c>
      <c r="AP1197" s="18">
        <v>0</v>
      </c>
      <c r="AQ1197" s="96">
        <v>0</v>
      </c>
      <c r="AR1197" s="18">
        <v>0</v>
      </c>
      <c r="AS1197" s="43">
        <v>0</v>
      </c>
      <c r="AT1197" s="39">
        <f t="shared" ref="AT1197" si="428">AQ1197+AS1197</f>
        <v>0</v>
      </c>
      <c r="AU1197" s="110">
        <f>AJ1197-AM1197</f>
        <v>57159458.270000003</v>
      </c>
      <c r="AV1197" s="133">
        <f>AM1197-AP1197</f>
        <v>0</v>
      </c>
      <c r="AW1197" s="133">
        <f>AP1197-AT1197</f>
        <v>0</v>
      </c>
      <c r="AX1197" s="123">
        <f>AP1197/AJ1197</f>
        <v>0</v>
      </c>
    </row>
    <row r="1198" spans="27:50" x14ac:dyDescent="0.2">
      <c r="AA1198" s="93" t="s">
        <v>288</v>
      </c>
      <c r="AB1198" s="243" t="s">
        <v>790</v>
      </c>
      <c r="AC1198" s="91"/>
      <c r="AD1198" s="18"/>
      <c r="AE1198" s="92"/>
      <c r="AF1198" s="92"/>
      <c r="AG1198" s="92"/>
      <c r="AH1198" s="92"/>
      <c r="AI1198" s="92"/>
      <c r="AJ1198" s="18"/>
      <c r="AK1198" s="18"/>
      <c r="AL1198" s="115">
        <f>AM1198-'MARZO '!AM995</f>
        <v>0</v>
      </c>
      <c r="AM1198" s="18"/>
      <c r="AN1198" s="92"/>
      <c r="AO1198" s="18"/>
      <c r="AP1198" s="18"/>
      <c r="AQ1198" s="92"/>
      <c r="AR1198" s="92"/>
      <c r="AS1198" s="92"/>
      <c r="AT1198" s="30"/>
      <c r="AU1198" s="18"/>
      <c r="AV1198" s="110"/>
      <c r="AW1198" s="18"/>
      <c r="AX1198" s="92"/>
    </row>
    <row r="1199" spans="27:50" x14ac:dyDescent="0.2">
      <c r="AA1199" s="94" t="s">
        <v>791</v>
      </c>
      <c r="AB1199" s="95" t="s">
        <v>233</v>
      </c>
      <c r="AC1199" s="96" t="s">
        <v>58</v>
      </c>
      <c r="AD1199" s="43">
        <v>300000000</v>
      </c>
      <c r="AE1199" s="96">
        <v>0</v>
      </c>
      <c r="AF1199" s="216">
        <v>0</v>
      </c>
      <c r="AG1199" s="216">
        <v>0</v>
      </c>
      <c r="AH1199" s="216">
        <v>0</v>
      </c>
      <c r="AI1199" s="136">
        <f t="shared" ref="AI1199:AI1202" si="429">AE1199-AF1199+AG1199-AH1199</f>
        <v>0</v>
      </c>
      <c r="AJ1199" s="43">
        <f t="shared" ref="AJ1199:AJ1202" si="430">AD1199+AI1199</f>
        <v>300000000</v>
      </c>
      <c r="AK1199" s="44">
        <v>0</v>
      </c>
      <c r="AL1199" s="115">
        <v>0</v>
      </c>
      <c r="AM1199" s="18">
        <v>300000000</v>
      </c>
      <c r="AN1199" s="92">
        <v>0</v>
      </c>
      <c r="AO1199" s="18">
        <v>0</v>
      </c>
      <c r="AP1199" s="18">
        <v>300000000</v>
      </c>
      <c r="AQ1199" s="96">
        <v>0</v>
      </c>
      <c r="AR1199" s="43">
        <v>27272727</v>
      </c>
      <c r="AS1199" s="43">
        <v>40000000</v>
      </c>
      <c r="AT1199" s="39">
        <f t="shared" ref="AT1199:AT1200" si="431">AQ1199+AS1199</f>
        <v>40000000</v>
      </c>
      <c r="AU1199" s="133">
        <f>AJ1199-AM1199</f>
        <v>0</v>
      </c>
      <c r="AV1199" s="133">
        <f>AM1199-AP1199</f>
        <v>0</v>
      </c>
      <c r="AW1199" s="110">
        <f>AP1199-AT1199</f>
        <v>260000000</v>
      </c>
      <c r="AX1199" s="123">
        <f>AP1199/AJ1199</f>
        <v>1</v>
      </c>
    </row>
    <row r="1200" spans="27:50" x14ac:dyDescent="0.2">
      <c r="AA1200" s="94" t="s">
        <v>792</v>
      </c>
      <c r="AB1200" s="95" t="s">
        <v>793</v>
      </c>
      <c r="AC1200" s="96" t="s">
        <v>794</v>
      </c>
      <c r="AD1200" s="43">
        <v>664600000</v>
      </c>
      <c r="AE1200" s="96">
        <v>0</v>
      </c>
      <c r="AF1200" s="216">
        <v>0</v>
      </c>
      <c r="AG1200" s="216">
        <v>0</v>
      </c>
      <c r="AH1200" s="216">
        <v>0</v>
      </c>
      <c r="AI1200" s="136">
        <f t="shared" si="429"/>
        <v>0</v>
      </c>
      <c r="AJ1200" s="43">
        <f t="shared" si="430"/>
        <v>664600000</v>
      </c>
      <c r="AK1200" s="44">
        <v>0</v>
      </c>
      <c r="AL1200" s="115">
        <v>0</v>
      </c>
      <c r="AM1200" s="18">
        <v>664510000</v>
      </c>
      <c r="AN1200" s="92">
        <v>0</v>
      </c>
      <c r="AO1200" s="18">
        <v>0</v>
      </c>
      <c r="AP1200" s="18">
        <v>664510000</v>
      </c>
      <c r="AQ1200" s="114">
        <v>15730000</v>
      </c>
      <c r="AR1200" s="43">
        <v>63702122</v>
      </c>
      <c r="AS1200" s="43">
        <v>114596668</v>
      </c>
      <c r="AT1200" s="111">
        <f t="shared" si="431"/>
        <v>130326668</v>
      </c>
      <c r="AU1200" s="110">
        <f>AJ1200-AM1200</f>
        <v>90000</v>
      </c>
      <c r="AV1200" s="110">
        <f>AM1200-AP1200</f>
        <v>0</v>
      </c>
      <c r="AW1200" s="110">
        <f>AP1200-AT1200</f>
        <v>534183332</v>
      </c>
      <c r="AX1200" s="123">
        <f>AP1200/AJ1200</f>
        <v>0.99986458019861568</v>
      </c>
    </row>
    <row r="1201" spans="27:50" x14ac:dyDescent="0.2">
      <c r="AA1201" s="173" t="s">
        <v>1180</v>
      </c>
      <c r="AB1201" s="95" t="s">
        <v>1181</v>
      </c>
      <c r="AC1201" s="96"/>
      <c r="AD1201" s="44">
        <v>0</v>
      </c>
      <c r="AE1201" s="43">
        <f>54400000+23058182</f>
        <v>77458182</v>
      </c>
      <c r="AF1201" s="216">
        <v>0</v>
      </c>
      <c r="AG1201" s="216">
        <v>0</v>
      </c>
      <c r="AH1201" s="216">
        <v>0</v>
      </c>
      <c r="AI1201" s="136">
        <f t="shared" si="429"/>
        <v>77458182</v>
      </c>
      <c r="AJ1201" s="43">
        <f t="shared" si="430"/>
        <v>77458182</v>
      </c>
      <c r="AK1201" s="44">
        <v>0</v>
      </c>
      <c r="AL1201" s="115">
        <v>0</v>
      </c>
      <c r="AM1201" s="18">
        <v>0</v>
      </c>
      <c r="AN1201" s="92">
        <v>0</v>
      </c>
      <c r="AO1201" s="18">
        <v>0</v>
      </c>
      <c r="AP1201" s="18">
        <v>0</v>
      </c>
      <c r="AQ1201" s="114">
        <v>0</v>
      </c>
      <c r="AR1201" s="43">
        <v>0</v>
      </c>
      <c r="AS1201" s="43">
        <v>0</v>
      </c>
      <c r="AT1201" s="111">
        <f t="shared" ref="AT1201:AT1202" si="432">AQ1201+AS1201</f>
        <v>0</v>
      </c>
      <c r="AU1201" s="110">
        <f>AJ1201-AM1201</f>
        <v>77458182</v>
      </c>
      <c r="AV1201" s="110">
        <f>AM1201-AP1201</f>
        <v>0</v>
      </c>
      <c r="AW1201" s="110">
        <f>AP1201-AT1201</f>
        <v>0</v>
      </c>
      <c r="AX1201" s="123">
        <f>AP1201/AJ1201</f>
        <v>0</v>
      </c>
    </row>
    <row r="1202" spans="27:50" ht="13.5" thickBot="1" x14ac:dyDescent="0.25">
      <c r="AA1202" s="221" t="s">
        <v>1185</v>
      </c>
      <c r="AB1202" s="95" t="s">
        <v>1015</v>
      </c>
      <c r="AC1202" s="96"/>
      <c r="AD1202" s="44">
        <v>0</v>
      </c>
      <c r="AE1202" s="43">
        <v>26941817.940000001</v>
      </c>
      <c r="AF1202" s="216">
        <v>0</v>
      </c>
      <c r="AG1202" s="216">
        <v>0</v>
      </c>
      <c r="AH1202" s="216">
        <v>0</v>
      </c>
      <c r="AI1202" s="136">
        <f t="shared" si="429"/>
        <v>26941817.940000001</v>
      </c>
      <c r="AJ1202" s="43">
        <f t="shared" si="430"/>
        <v>26941817.940000001</v>
      </c>
      <c r="AK1202" s="44">
        <v>0</v>
      </c>
      <c r="AL1202" s="115">
        <v>0</v>
      </c>
      <c r="AM1202" s="18">
        <v>0</v>
      </c>
      <c r="AN1202" s="92">
        <v>0</v>
      </c>
      <c r="AO1202" s="18">
        <v>0</v>
      </c>
      <c r="AP1202" s="18">
        <v>0</v>
      </c>
      <c r="AQ1202" s="114">
        <v>0</v>
      </c>
      <c r="AR1202" s="43">
        <v>0</v>
      </c>
      <c r="AS1202" s="43">
        <v>0</v>
      </c>
      <c r="AT1202" s="111">
        <f t="shared" si="432"/>
        <v>0</v>
      </c>
      <c r="AU1202" s="110">
        <f>AJ1202-AM1202</f>
        <v>26941817.940000001</v>
      </c>
      <c r="AV1202" s="110">
        <f>AM1202-AP1202</f>
        <v>0</v>
      </c>
      <c r="AW1202" s="110">
        <f>AP1202-AT1202</f>
        <v>0</v>
      </c>
      <c r="AX1202" s="123">
        <f>AP1202/AJ1202</f>
        <v>0</v>
      </c>
    </row>
    <row r="1203" spans="27:50" ht="25.5" x14ac:dyDescent="0.2">
      <c r="AA1203" s="93" t="s">
        <v>288</v>
      </c>
      <c r="AB1203" s="90" t="s">
        <v>795</v>
      </c>
      <c r="AC1203" s="91"/>
      <c r="AD1203" s="18"/>
      <c r="AE1203" s="92"/>
      <c r="AF1203" s="92"/>
      <c r="AG1203" s="92"/>
      <c r="AH1203" s="92"/>
      <c r="AI1203" s="92"/>
      <c r="AJ1203" s="18"/>
      <c r="AK1203" s="34"/>
      <c r="AL1203" s="18"/>
      <c r="AM1203" s="18"/>
      <c r="AN1203" s="92"/>
      <c r="AO1203" s="18"/>
      <c r="AP1203" s="18"/>
      <c r="AQ1203" s="92"/>
      <c r="AR1203" s="92"/>
      <c r="AS1203" s="92"/>
      <c r="AT1203" s="40"/>
      <c r="AU1203" s="18"/>
      <c r="AV1203" s="110"/>
      <c r="AW1203" s="18"/>
      <c r="AX1203" s="92"/>
    </row>
    <row r="1204" spans="27:50" x14ac:dyDescent="0.2">
      <c r="AA1204" s="94" t="s">
        <v>796</v>
      </c>
      <c r="AB1204" s="95" t="s">
        <v>233</v>
      </c>
      <c r="AC1204" s="96" t="s">
        <v>58</v>
      </c>
      <c r="AD1204" s="43">
        <v>242950000</v>
      </c>
      <c r="AE1204" s="96">
        <v>0</v>
      </c>
      <c r="AF1204" s="216">
        <v>0</v>
      </c>
      <c r="AG1204" s="216">
        <v>0</v>
      </c>
      <c r="AH1204" s="216">
        <v>0</v>
      </c>
      <c r="AI1204" s="136">
        <f t="shared" ref="AI1204:AI1209" si="433">AE1204-AF1204+AG1204-AH1204</f>
        <v>0</v>
      </c>
      <c r="AJ1204" s="43">
        <f t="shared" ref="AJ1204:AJ1209" si="434">AD1204+AI1204</f>
        <v>242950000</v>
      </c>
      <c r="AK1204" s="44">
        <v>0</v>
      </c>
      <c r="AL1204" s="44">
        <v>0</v>
      </c>
      <c r="AM1204" s="44">
        <v>0</v>
      </c>
      <c r="AN1204" s="97">
        <v>0</v>
      </c>
      <c r="AO1204" s="44">
        <v>0</v>
      </c>
      <c r="AP1204" s="44">
        <v>0</v>
      </c>
      <c r="AQ1204" s="97">
        <v>0</v>
      </c>
      <c r="AR1204" s="97">
        <v>0</v>
      </c>
      <c r="AS1204" s="96">
        <v>0</v>
      </c>
      <c r="AT1204" s="135">
        <f t="shared" ref="AT1204:AT1207" si="435">AQ1204+AS1204</f>
        <v>0</v>
      </c>
      <c r="AU1204" s="110">
        <f t="shared" ref="AU1204:AU1209" si="436">AJ1204-AM1204</f>
        <v>242950000</v>
      </c>
      <c r="AV1204" s="133">
        <f t="shared" ref="AV1204:AV1209" si="437">AM1204-AP1204</f>
        <v>0</v>
      </c>
      <c r="AW1204" s="133">
        <f t="shared" ref="AW1204:AW1209" si="438">AP1204-AT1204</f>
        <v>0</v>
      </c>
      <c r="AX1204" s="123">
        <f t="shared" ref="AX1204:AX1209" si="439">AP1204/AJ1204</f>
        <v>0</v>
      </c>
    </row>
    <row r="1205" spans="27:50" x14ac:dyDescent="0.2">
      <c r="AA1205" s="94" t="s">
        <v>797</v>
      </c>
      <c r="AB1205" s="95" t="s">
        <v>793</v>
      </c>
      <c r="AC1205" s="96" t="s">
        <v>794</v>
      </c>
      <c r="AD1205" s="43">
        <v>1746250000</v>
      </c>
      <c r="AE1205" s="43">
        <v>22486525</v>
      </c>
      <c r="AF1205" s="216">
        <v>0</v>
      </c>
      <c r="AG1205" s="216">
        <v>0</v>
      </c>
      <c r="AH1205" s="216">
        <v>0</v>
      </c>
      <c r="AI1205" s="136">
        <f t="shared" si="433"/>
        <v>22486525</v>
      </c>
      <c r="AJ1205" s="43">
        <f t="shared" si="434"/>
        <v>1768736525</v>
      </c>
      <c r="AK1205" s="44">
        <v>0</v>
      </c>
      <c r="AL1205" s="43">
        <v>28000000</v>
      </c>
      <c r="AM1205" s="114">
        <v>1187450000</v>
      </c>
      <c r="AN1205" s="97">
        <v>0</v>
      </c>
      <c r="AO1205" s="114">
        <v>0</v>
      </c>
      <c r="AP1205" s="114">
        <v>1159450000</v>
      </c>
      <c r="AQ1205" s="43">
        <v>0</v>
      </c>
      <c r="AR1205" s="43">
        <v>49233333</v>
      </c>
      <c r="AS1205" s="43">
        <v>86300001</v>
      </c>
      <c r="AT1205" s="39">
        <f t="shared" si="435"/>
        <v>86300001</v>
      </c>
      <c r="AU1205" s="18">
        <f t="shared" si="436"/>
        <v>581286525</v>
      </c>
      <c r="AV1205" s="18">
        <f t="shared" si="437"/>
        <v>28000000</v>
      </c>
      <c r="AW1205" s="18">
        <f t="shared" si="438"/>
        <v>1073149999</v>
      </c>
      <c r="AX1205" s="123">
        <f t="shared" si="439"/>
        <v>0.65552442865960492</v>
      </c>
    </row>
    <row r="1206" spans="27:50" ht="18.75" customHeight="1" x14ac:dyDescent="0.2">
      <c r="AA1206" s="94" t="s">
        <v>798</v>
      </c>
      <c r="AB1206" s="95" t="s">
        <v>799</v>
      </c>
      <c r="AC1206" s="96" t="s">
        <v>368</v>
      </c>
      <c r="AD1206" s="43">
        <v>20000000</v>
      </c>
      <c r="AE1206" s="96">
        <v>0</v>
      </c>
      <c r="AF1206" s="216">
        <v>0</v>
      </c>
      <c r="AG1206" s="216">
        <v>0</v>
      </c>
      <c r="AH1206" s="216">
        <v>0</v>
      </c>
      <c r="AI1206" s="136">
        <f t="shared" si="433"/>
        <v>0</v>
      </c>
      <c r="AJ1206" s="43">
        <f t="shared" si="434"/>
        <v>20000000</v>
      </c>
      <c r="AK1206" s="44">
        <v>0</v>
      </c>
      <c r="AL1206" s="44">
        <v>0</v>
      </c>
      <c r="AM1206" s="44">
        <v>0</v>
      </c>
      <c r="AN1206" s="97">
        <v>0</v>
      </c>
      <c r="AO1206" s="44">
        <v>0</v>
      </c>
      <c r="AP1206" s="44">
        <v>0</v>
      </c>
      <c r="AQ1206" s="97">
        <v>0</v>
      </c>
      <c r="AR1206" s="97">
        <v>0</v>
      </c>
      <c r="AS1206" s="97">
        <v>0</v>
      </c>
      <c r="AT1206" s="135">
        <f t="shared" si="435"/>
        <v>0</v>
      </c>
      <c r="AU1206" s="110">
        <f t="shared" si="436"/>
        <v>20000000</v>
      </c>
      <c r="AV1206" s="34">
        <f t="shared" si="437"/>
        <v>0</v>
      </c>
      <c r="AW1206" s="18">
        <f t="shared" si="438"/>
        <v>0</v>
      </c>
      <c r="AX1206" s="123">
        <f t="shared" si="439"/>
        <v>0</v>
      </c>
    </row>
    <row r="1207" spans="27:50" x14ac:dyDescent="0.2">
      <c r="AA1207" s="94" t="s">
        <v>800</v>
      </c>
      <c r="AB1207" s="95" t="s">
        <v>801</v>
      </c>
      <c r="AC1207" s="96" t="s">
        <v>802</v>
      </c>
      <c r="AD1207" s="43">
        <v>300000000</v>
      </c>
      <c r="AE1207" s="96">
        <v>0</v>
      </c>
      <c r="AF1207" s="216">
        <v>0</v>
      </c>
      <c r="AG1207" s="216">
        <v>0</v>
      </c>
      <c r="AH1207" s="216">
        <v>0</v>
      </c>
      <c r="AI1207" s="136">
        <f t="shared" si="433"/>
        <v>0</v>
      </c>
      <c r="AJ1207" s="43">
        <f t="shared" si="434"/>
        <v>300000000</v>
      </c>
      <c r="AK1207" s="115">
        <v>0</v>
      </c>
      <c r="AL1207" s="76">
        <v>0</v>
      </c>
      <c r="AM1207" s="18">
        <v>266450000</v>
      </c>
      <c r="AN1207" s="92">
        <v>0</v>
      </c>
      <c r="AO1207" s="18">
        <v>0</v>
      </c>
      <c r="AP1207" s="18">
        <v>266450000</v>
      </c>
      <c r="AQ1207" s="114">
        <v>22186667</v>
      </c>
      <c r="AR1207" s="114">
        <v>81080000</v>
      </c>
      <c r="AS1207" s="114">
        <v>186816666</v>
      </c>
      <c r="AT1207" s="111">
        <f t="shared" si="435"/>
        <v>209003333</v>
      </c>
      <c r="AU1207" s="110">
        <f t="shared" si="436"/>
        <v>33550000</v>
      </c>
      <c r="AV1207" s="34">
        <f t="shared" si="437"/>
        <v>0</v>
      </c>
      <c r="AW1207" s="18">
        <f t="shared" si="438"/>
        <v>57446667</v>
      </c>
      <c r="AX1207" s="123">
        <f t="shared" si="439"/>
        <v>0.88816666666666666</v>
      </c>
    </row>
    <row r="1208" spans="27:50" x14ac:dyDescent="0.2">
      <c r="AA1208" s="173" t="s">
        <v>1171</v>
      </c>
      <c r="AB1208" s="95" t="s">
        <v>1015</v>
      </c>
      <c r="AC1208" s="96"/>
      <c r="AD1208" s="44">
        <v>0</v>
      </c>
      <c r="AE1208" s="43">
        <f>168359999+463053476</f>
        <v>631413475</v>
      </c>
      <c r="AF1208" s="216">
        <v>0</v>
      </c>
      <c r="AG1208" s="216">
        <v>0</v>
      </c>
      <c r="AH1208" s="216">
        <v>0</v>
      </c>
      <c r="AI1208" s="136">
        <f t="shared" si="433"/>
        <v>631413475</v>
      </c>
      <c r="AJ1208" s="43">
        <f t="shared" si="434"/>
        <v>631413475</v>
      </c>
      <c r="AK1208" s="115">
        <v>0</v>
      </c>
      <c r="AL1208" s="76">
        <v>0</v>
      </c>
      <c r="AM1208" s="18">
        <v>0</v>
      </c>
      <c r="AN1208" s="92">
        <v>0</v>
      </c>
      <c r="AO1208" s="18">
        <v>0</v>
      </c>
      <c r="AP1208" s="18">
        <v>0</v>
      </c>
      <c r="AQ1208" s="114">
        <v>0</v>
      </c>
      <c r="AR1208" s="114">
        <v>0</v>
      </c>
      <c r="AS1208" s="114">
        <v>0</v>
      </c>
      <c r="AT1208" s="111">
        <f t="shared" ref="AT1208:AT1209" si="440">AQ1208+AS1208</f>
        <v>0</v>
      </c>
      <c r="AU1208" s="110">
        <f t="shared" si="436"/>
        <v>631413475</v>
      </c>
      <c r="AV1208" s="34">
        <f t="shared" si="437"/>
        <v>0</v>
      </c>
      <c r="AW1208" s="18">
        <f t="shared" si="438"/>
        <v>0</v>
      </c>
      <c r="AX1208" s="123">
        <f t="shared" si="439"/>
        <v>0</v>
      </c>
    </row>
    <row r="1209" spans="27:50" x14ac:dyDescent="0.2">
      <c r="AA1209" s="173" t="s">
        <v>1189</v>
      </c>
      <c r="AB1209" s="95" t="s">
        <v>1190</v>
      </c>
      <c r="AC1209" s="96"/>
      <c r="AD1209" s="44">
        <v>0</v>
      </c>
      <c r="AE1209" s="43">
        <v>1323800000</v>
      </c>
      <c r="AF1209" s="216">
        <v>0</v>
      </c>
      <c r="AG1209" s="216">
        <v>0</v>
      </c>
      <c r="AH1209" s="216">
        <v>0</v>
      </c>
      <c r="AI1209" s="136">
        <f t="shared" si="433"/>
        <v>1323800000</v>
      </c>
      <c r="AJ1209" s="43">
        <f t="shared" si="434"/>
        <v>1323800000</v>
      </c>
      <c r="AK1209" s="115">
        <v>0</v>
      </c>
      <c r="AL1209" s="18">
        <v>258300000</v>
      </c>
      <c r="AM1209" s="18">
        <v>258300000</v>
      </c>
      <c r="AN1209" s="92">
        <v>0</v>
      </c>
      <c r="AO1209" s="18">
        <v>105000000</v>
      </c>
      <c r="AP1209" s="18">
        <v>105000000</v>
      </c>
      <c r="AQ1209" s="114">
        <v>0</v>
      </c>
      <c r="AR1209" s="114">
        <v>0</v>
      </c>
      <c r="AS1209" s="114">
        <v>0</v>
      </c>
      <c r="AT1209" s="111">
        <f t="shared" si="440"/>
        <v>0</v>
      </c>
      <c r="AU1209" s="110">
        <f t="shared" si="436"/>
        <v>1065500000</v>
      </c>
      <c r="AV1209" s="18">
        <f t="shared" si="437"/>
        <v>153300000</v>
      </c>
      <c r="AW1209" s="18">
        <f t="shared" si="438"/>
        <v>105000000</v>
      </c>
      <c r="AX1209" s="123">
        <f t="shared" si="439"/>
        <v>7.9317117389333738E-2</v>
      </c>
    </row>
    <row r="1210" spans="27:50" ht="25.5" x14ac:dyDescent="0.2">
      <c r="AA1210" s="93" t="s">
        <v>288</v>
      </c>
      <c r="AB1210" s="90" t="s">
        <v>803</v>
      </c>
      <c r="AC1210" s="91"/>
      <c r="AD1210" s="18"/>
      <c r="AE1210" s="92"/>
      <c r="AF1210" s="92"/>
      <c r="AG1210" s="92"/>
      <c r="AH1210" s="92"/>
      <c r="AI1210" s="92"/>
      <c r="AJ1210" s="18"/>
      <c r="AK1210" s="34"/>
      <c r="AL1210" s="18"/>
      <c r="AM1210" s="18"/>
      <c r="AN1210" s="92"/>
      <c r="AO1210" s="18"/>
      <c r="AP1210" s="18"/>
      <c r="AQ1210" s="92"/>
      <c r="AR1210" s="92"/>
      <c r="AS1210" s="98"/>
      <c r="AT1210" s="31"/>
      <c r="AU1210" s="18"/>
      <c r="AV1210" s="34"/>
      <c r="AW1210" s="18"/>
      <c r="AX1210" s="92"/>
    </row>
    <row r="1211" spans="27:50" x14ac:dyDescent="0.2">
      <c r="AA1211" s="94" t="s">
        <v>804</v>
      </c>
      <c r="AB1211" s="95" t="s">
        <v>793</v>
      </c>
      <c r="AC1211" s="96" t="s">
        <v>794</v>
      </c>
      <c r="AD1211" s="43">
        <v>485467000</v>
      </c>
      <c r="AE1211" s="96">
        <v>0</v>
      </c>
      <c r="AF1211" s="216">
        <v>0</v>
      </c>
      <c r="AG1211" s="216">
        <v>0</v>
      </c>
      <c r="AH1211" s="216">
        <v>0</v>
      </c>
      <c r="AI1211" s="136">
        <f t="shared" ref="AI1211:AI1212" si="441">AE1211-AF1211+AG1211-AH1211</f>
        <v>0</v>
      </c>
      <c r="AJ1211" s="43">
        <f t="shared" ref="AJ1211:AJ1212" si="442">AD1211+AI1211</f>
        <v>485467000</v>
      </c>
      <c r="AK1211" s="97">
        <v>0</v>
      </c>
      <c r="AL1211" s="44">
        <v>0</v>
      </c>
      <c r="AM1211" s="43">
        <v>485467000</v>
      </c>
      <c r="AN1211" s="97">
        <v>0</v>
      </c>
      <c r="AO1211" s="43">
        <v>0</v>
      </c>
      <c r="AP1211" s="43">
        <v>485467000</v>
      </c>
      <c r="AQ1211" s="43">
        <v>0</v>
      </c>
      <c r="AR1211" s="43">
        <v>7600000</v>
      </c>
      <c r="AS1211" s="43">
        <v>8866667</v>
      </c>
      <c r="AT1211" s="39">
        <f t="shared" ref="AT1211" si="443">AQ1211+AS1211</f>
        <v>8866667</v>
      </c>
      <c r="AU1211" s="110">
        <f>AJ1211-AM1211</f>
        <v>0</v>
      </c>
      <c r="AV1211" s="34">
        <f>AM1211-AP1211</f>
        <v>0</v>
      </c>
      <c r="AW1211" s="18">
        <f>AP1211-AT1211</f>
        <v>476600333</v>
      </c>
      <c r="AX1211" s="123">
        <f>AP1211/AJ1211</f>
        <v>1</v>
      </c>
    </row>
    <row r="1212" spans="27:50" x14ac:dyDescent="0.2">
      <c r="AA1212" s="173" t="s">
        <v>1172</v>
      </c>
      <c r="AB1212" s="95" t="s">
        <v>1015</v>
      </c>
      <c r="AC1212" s="96"/>
      <c r="AD1212" s="43">
        <v>0</v>
      </c>
      <c r="AE1212" s="43">
        <v>7600000</v>
      </c>
      <c r="AF1212" s="216">
        <v>0</v>
      </c>
      <c r="AG1212" s="216">
        <v>0</v>
      </c>
      <c r="AH1212" s="216">
        <v>0</v>
      </c>
      <c r="AI1212" s="136">
        <f t="shared" si="441"/>
        <v>7600000</v>
      </c>
      <c r="AJ1212" s="43">
        <f t="shared" si="442"/>
        <v>7600000</v>
      </c>
      <c r="AK1212" s="97">
        <v>0</v>
      </c>
      <c r="AL1212" s="44">
        <v>0</v>
      </c>
      <c r="AM1212" s="43">
        <v>0</v>
      </c>
      <c r="AN1212" s="97">
        <v>0</v>
      </c>
      <c r="AO1212" s="43">
        <v>0</v>
      </c>
      <c r="AP1212" s="43">
        <v>0</v>
      </c>
      <c r="AQ1212" s="43">
        <v>0</v>
      </c>
      <c r="AR1212" s="43">
        <v>0</v>
      </c>
      <c r="AS1212" s="43">
        <v>0</v>
      </c>
      <c r="AT1212" s="39">
        <f t="shared" ref="AT1212" si="444">AQ1212+AS1212</f>
        <v>0</v>
      </c>
      <c r="AU1212" s="110">
        <f>AJ1212-AM1212</f>
        <v>7600000</v>
      </c>
      <c r="AV1212" s="34">
        <f>AM1212-AP1212</f>
        <v>0</v>
      </c>
      <c r="AW1212" s="18">
        <f>AP1212-AT1212</f>
        <v>0</v>
      </c>
      <c r="AX1212" s="123">
        <f>AP1212/AJ1212</f>
        <v>0</v>
      </c>
    </row>
    <row r="1213" spans="27:50" ht="25.5" x14ac:dyDescent="0.2">
      <c r="AA1213" s="93" t="s">
        <v>288</v>
      </c>
      <c r="AB1213" s="90" t="s">
        <v>805</v>
      </c>
      <c r="AC1213" s="91"/>
      <c r="AD1213" s="18"/>
      <c r="AE1213" s="92"/>
      <c r="AF1213" s="92"/>
      <c r="AG1213" s="92"/>
      <c r="AH1213" s="92"/>
      <c r="AI1213" s="92"/>
      <c r="AJ1213" s="18"/>
      <c r="AK1213" s="98"/>
      <c r="AL1213" s="133"/>
      <c r="AM1213" s="110"/>
      <c r="AN1213" s="92"/>
      <c r="AO1213" s="92"/>
      <c r="AP1213" s="92"/>
      <c r="AQ1213" s="92"/>
      <c r="AR1213" s="92"/>
      <c r="AS1213" s="98"/>
      <c r="AT1213" s="31"/>
      <c r="AU1213" s="18"/>
      <c r="AV1213" s="34"/>
      <c r="AW1213" s="18"/>
      <c r="AX1213" s="92"/>
    </row>
    <row r="1214" spans="27:50" x14ac:dyDescent="0.2">
      <c r="AA1214" s="94" t="s">
        <v>806</v>
      </c>
      <c r="AB1214" s="95" t="s">
        <v>793</v>
      </c>
      <c r="AC1214" s="96" t="s">
        <v>794</v>
      </c>
      <c r="AD1214" s="43">
        <v>402000000</v>
      </c>
      <c r="AE1214" s="96">
        <v>0</v>
      </c>
      <c r="AF1214" s="216">
        <v>0</v>
      </c>
      <c r="AG1214" s="216">
        <v>0</v>
      </c>
      <c r="AH1214" s="216">
        <v>0</v>
      </c>
      <c r="AI1214" s="136">
        <f t="shared" ref="AI1214:AI1215" si="445">AE1214-AF1214+AG1214-AH1214</f>
        <v>0</v>
      </c>
      <c r="AJ1214" s="43">
        <f t="shared" ref="AJ1214:AJ1215" si="446">AD1214+AI1214</f>
        <v>402000000</v>
      </c>
      <c r="AK1214" s="97">
        <v>0</v>
      </c>
      <c r="AL1214" s="115">
        <v>0</v>
      </c>
      <c r="AM1214" s="114">
        <v>366000000</v>
      </c>
      <c r="AN1214" s="97">
        <v>0</v>
      </c>
      <c r="AO1214" s="114">
        <v>0</v>
      </c>
      <c r="AP1214" s="43">
        <v>366000000</v>
      </c>
      <c r="AQ1214" s="43">
        <v>0</v>
      </c>
      <c r="AR1214" s="43">
        <v>8000000</v>
      </c>
      <c r="AS1214" s="43">
        <v>17866666</v>
      </c>
      <c r="AT1214" s="39">
        <f t="shared" ref="AT1214" si="447">AQ1214+AS1214</f>
        <v>17866666</v>
      </c>
      <c r="AU1214" s="18">
        <f>AJ1214-AM1214</f>
        <v>36000000</v>
      </c>
      <c r="AV1214" s="34">
        <f>AM1214-AP1214</f>
        <v>0</v>
      </c>
      <c r="AW1214" s="18">
        <f>AP1214-AT1214</f>
        <v>348133334</v>
      </c>
      <c r="AX1214" s="123">
        <f>AP1214/AJ1214</f>
        <v>0.91044776119402981</v>
      </c>
    </row>
    <row r="1215" spans="27:50" x14ac:dyDescent="0.2">
      <c r="AA1215" s="173" t="s">
        <v>1173</v>
      </c>
      <c r="AB1215" s="95" t="s">
        <v>1015</v>
      </c>
      <c r="AC1215" s="96"/>
      <c r="AD1215" s="43">
        <v>0</v>
      </c>
      <c r="AE1215" s="43">
        <v>12000000</v>
      </c>
      <c r="AF1215" s="216">
        <v>0</v>
      </c>
      <c r="AG1215" s="216">
        <v>0</v>
      </c>
      <c r="AH1215" s="216">
        <v>0</v>
      </c>
      <c r="AI1215" s="136">
        <f t="shared" si="445"/>
        <v>12000000</v>
      </c>
      <c r="AJ1215" s="43">
        <f t="shared" si="446"/>
        <v>12000000</v>
      </c>
      <c r="AK1215" s="97"/>
      <c r="AL1215" s="115"/>
      <c r="AM1215" s="114"/>
      <c r="AN1215" s="97"/>
      <c r="AO1215" s="114"/>
      <c r="AP1215" s="43"/>
      <c r="AQ1215" s="43"/>
      <c r="AR1215" s="43"/>
      <c r="AS1215" s="43"/>
      <c r="AT1215" s="39">
        <f t="shared" ref="AT1215" si="448">AQ1215+AS1215</f>
        <v>0</v>
      </c>
      <c r="AU1215" s="18">
        <f>AJ1215-AM1215</f>
        <v>12000000</v>
      </c>
      <c r="AV1215" s="34">
        <f>AM1215-AP1215</f>
        <v>0</v>
      </c>
      <c r="AW1215" s="18">
        <f>AP1215-AT1215</f>
        <v>0</v>
      </c>
      <c r="AX1215" s="123">
        <f>AP1215/AJ1215</f>
        <v>0</v>
      </c>
    </row>
    <row r="1216" spans="27:50" ht="38.25" x14ac:dyDescent="0.2">
      <c r="AA1216" s="93" t="s">
        <v>288</v>
      </c>
      <c r="AB1216" s="90" t="s">
        <v>807</v>
      </c>
      <c r="AC1216" s="91"/>
      <c r="AD1216" s="18"/>
      <c r="AE1216" s="92"/>
      <c r="AF1216" s="92"/>
      <c r="AG1216" s="92"/>
      <c r="AH1216" s="92"/>
      <c r="AI1216" s="92"/>
      <c r="AJ1216" s="18"/>
      <c r="AK1216" s="98"/>
      <c r="AL1216" s="98"/>
      <c r="AM1216" s="98"/>
      <c r="AN1216" s="98"/>
      <c r="AO1216" s="98"/>
      <c r="AP1216" s="98"/>
      <c r="AQ1216" s="98"/>
      <c r="AR1216" s="98"/>
      <c r="AS1216" s="98"/>
      <c r="AT1216" s="31"/>
      <c r="AU1216" s="18"/>
      <c r="AV1216" s="18"/>
      <c r="AW1216" s="18"/>
      <c r="AX1216" s="92"/>
    </row>
    <row r="1217" spans="27:50" x14ac:dyDescent="0.2">
      <c r="AA1217" s="94" t="s">
        <v>808</v>
      </c>
      <c r="AB1217" s="95" t="s">
        <v>233</v>
      </c>
      <c r="AC1217" s="96" t="s">
        <v>58</v>
      </c>
      <c r="AD1217" s="43">
        <v>313050000.81</v>
      </c>
      <c r="AE1217" s="96">
        <v>0</v>
      </c>
      <c r="AF1217" s="216">
        <v>0</v>
      </c>
      <c r="AG1217" s="216">
        <v>0</v>
      </c>
      <c r="AH1217" s="43">
        <v>136150000</v>
      </c>
      <c r="AI1217" s="136">
        <f t="shared" ref="AI1217:AI1222" si="449">AE1217-AF1217+AG1217-AH1217</f>
        <v>-136150000</v>
      </c>
      <c r="AJ1217" s="43">
        <f t="shared" ref="AJ1217:AJ1222" si="450">AD1217+AI1217</f>
        <v>176900000.81</v>
      </c>
      <c r="AK1217" s="97">
        <v>0</v>
      </c>
      <c r="AL1217" s="115">
        <v>0</v>
      </c>
      <c r="AM1217" s="114">
        <v>175300000</v>
      </c>
      <c r="AN1217" s="97">
        <v>0</v>
      </c>
      <c r="AO1217" s="114">
        <v>0</v>
      </c>
      <c r="AP1217" s="43">
        <v>175300000</v>
      </c>
      <c r="AQ1217" s="43">
        <v>0</v>
      </c>
      <c r="AR1217" s="43">
        <v>18200000</v>
      </c>
      <c r="AS1217" s="43">
        <v>41203333</v>
      </c>
      <c r="AT1217" s="39">
        <f t="shared" ref="AT1217:AT1219" si="451">AQ1217+AS1217</f>
        <v>41203333</v>
      </c>
      <c r="AU1217" s="110">
        <f t="shared" ref="AU1217:AU1222" si="452">AJ1217-AM1217</f>
        <v>1600000.8100000024</v>
      </c>
      <c r="AV1217" s="18">
        <f t="shared" ref="AV1217:AV1222" si="453">AM1217-AP1217</f>
        <v>0</v>
      </c>
      <c r="AW1217" s="18">
        <f t="shared" ref="AW1217:AW1222" si="454">AP1217-AT1217</f>
        <v>134096667</v>
      </c>
      <c r="AX1217" s="123">
        <f t="shared" ref="AX1217:AX1222" si="455">AP1217/AJ1217</f>
        <v>0.99095533746368669</v>
      </c>
    </row>
    <row r="1218" spans="27:50" x14ac:dyDescent="0.2">
      <c r="AA1218" s="94" t="s">
        <v>809</v>
      </c>
      <c r="AB1218" s="95" t="s">
        <v>793</v>
      </c>
      <c r="AC1218" s="96" t="s">
        <v>794</v>
      </c>
      <c r="AD1218" s="43">
        <v>256800000</v>
      </c>
      <c r="AE1218" s="96">
        <v>0</v>
      </c>
      <c r="AF1218" s="216">
        <v>0</v>
      </c>
      <c r="AG1218" s="216">
        <v>0</v>
      </c>
      <c r="AH1218" s="216">
        <v>0</v>
      </c>
      <c r="AI1218" s="136">
        <f t="shared" si="449"/>
        <v>0</v>
      </c>
      <c r="AJ1218" s="43">
        <f t="shared" si="450"/>
        <v>256800000</v>
      </c>
      <c r="AK1218" s="97">
        <v>0</v>
      </c>
      <c r="AL1218" s="115">
        <v>0</v>
      </c>
      <c r="AM1218" s="114">
        <v>256800000</v>
      </c>
      <c r="AN1218" s="97">
        <v>0</v>
      </c>
      <c r="AO1218" s="114">
        <v>90000000</v>
      </c>
      <c r="AP1218" s="43">
        <v>256800000</v>
      </c>
      <c r="AQ1218" s="43">
        <v>0</v>
      </c>
      <c r="AR1218" s="43">
        <v>3800000</v>
      </c>
      <c r="AS1218" s="43">
        <v>8043333</v>
      </c>
      <c r="AT1218" s="39">
        <f t="shared" si="451"/>
        <v>8043333</v>
      </c>
      <c r="AU1218" s="110">
        <f t="shared" si="452"/>
        <v>0</v>
      </c>
      <c r="AV1218" s="18">
        <f t="shared" si="453"/>
        <v>0</v>
      </c>
      <c r="AW1218" s="18">
        <f t="shared" si="454"/>
        <v>248756667</v>
      </c>
      <c r="AX1218" s="123">
        <f t="shared" si="455"/>
        <v>1</v>
      </c>
    </row>
    <row r="1219" spans="27:50" x14ac:dyDescent="0.2">
      <c r="AA1219" s="94" t="s">
        <v>810</v>
      </c>
      <c r="AB1219" s="95" t="s">
        <v>811</v>
      </c>
      <c r="AC1219" s="96" t="s">
        <v>368</v>
      </c>
      <c r="AD1219" s="43">
        <v>90000000</v>
      </c>
      <c r="AE1219" s="96">
        <v>0</v>
      </c>
      <c r="AF1219" s="216">
        <v>0</v>
      </c>
      <c r="AG1219" s="216">
        <v>0</v>
      </c>
      <c r="AH1219" s="216">
        <v>0</v>
      </c>
      <c r="AI1219" s="136">
        <f t="shared" si="449"/>
        <v>0</v>
      </c>
      <c r="AJ1219" s="43">
        <f t="shared" si="450"/>
        <v>90000000</v>
      </c>
      <c r="AK1219" s="97">
        <v>0</v>
      </c>
      <c r="AL1219" s="115">
        <v>0</v>
      </c>
      <c r="AM1219" s="114">
        <v>86600000</v>
      </c>
      <c r="AN1219" s="97">
        <v>0</v>
      </c>
      <c r="AO1219" s="114">
        <v>0</v>
      </c>
      <c r="AP1219" s="43">
        <v>86600000</v>
      </c>
      <c r="AQ1219" s="43">
        <v>0</v>
      </c>
      <c r="AR1219" s="43">
        <v>8283333</v>
      </c>
      <c r="AS1219" s="43">
        <v>15083333</v>
      </c>
      <c r="AT1219" s="39">
        <f t="shared" si="451"/>
        <v>15083333</v>
      </c>
      <c r="AU1219" s="18">
        <f t="shared" si="452"/>
        <v>3400000</v>
      </c>
      <c r="AV1219" s="34">
        <f t="shared" si="453"/>
        <v>0</v>
      </c>
      <c r="AW1219" s="18">
        <f t="shared" si="454"/>
        <v>71516667</v>
      </c>
      <c r="AX1219" s="123">
        <f t="shared" si="455"/>
        <v>0.9622222222222222</v>
      </c>
    </row>
    <row r="1220" spans="27:50" x14ac:dyDescent="0.2">
      <c r="AA1220" s="173" t="s">
        <v>1166</v>
      </c>
      <c r="AB1220" s="95" t="s">
        <v>1167</v>
      </c>
      <c r="AC1220" s="96"/>
      <c r="AD1220" s="44">
        <v>0</v>
      </c>
      <c r="AE1220" s="43">
        <v>77813000</v>
      </c>
      <c r="AF1220" s="216">
        <v>0</v>
      </c>
      <c r="AG1220" s="216">
        <v>0</v>
      </c>
      <c r="AH1220" s="216">
        <v>0</v>
      </c>
      <c r="AI1220" s="136">
        <f t="shared" si="449"/>
        <v>77813000</v>
      </c>
      <c r="AJ1220" s="43">
        <f t="shared" si="450"/>
        <v>77813000</v>
      </c>
      <c r="AK1220" s="97">
        <v>0</v>
      </c>
      <c r="AL1220" s="115">
        <v>0</v>
      </c>
      <c r="AM1220" s="114">
        <v>0</v>
      </c>
      <c r="AN1220" s="97">
        <v>0</v>
      </c>
      <c r="AO1220" s="114">
        <v>0</v>
      </c>
      <c r="AP1220" s="43">
        <v>0</v>
      </c>
      <c r="AQ1220" s="43">
        <v>0</v>
      </c>
      <c r="AR1220" s="43">
        <v>0</v>
      </c>
      <c r="AS1220" s="43">
        <v>0</v>
      </c>
      <c r="AT1220" s="39">
        <f t="shared" ref="AT1220:AT1222" si="456">AQ1220+AS1220</f>
        <v>0</v>
      </c>
      <c r="AU1220" s="18">
        <f t="shared" si="452"/>
        <v>77813000</v>
      </c>
      <c r="AV1220" s="34">
        <f t="shared" si="453"/>
        <v>0</v>
      </c>
      <c r="AW1220" s="18">
        <f t="shared" si="454"/>
        <v>0</v>
      </c>
      <c r="AX1220" s="123">
        <f t="shared" si="455"/>
        <v>0</v>
      </c>
    </row>
    <row r="1221" spans="27:50" x14ac:dyDescent="0.2">
      <c r="AA1221" s="173" t="s">
        <v>1174</v>
      </c>
      <c r="AB1221" s="95" t="s">
        <v>1015</v>
      </c>
      <c r="AC1221" s="96"/>
      <c r="AD1221" s="44">
        <v>0</v>
      </c>
      <c r="AE1221" s="43">
        <v>165050000</v>
      </c>
      <c r="AF1221" s="216">
        <v>0</v>
      </c>
      <c r="AG1221" s="216">
        <v>0</v>
      </c>
      <c r="AH1221" s="216">
        <v>0</v>
      </c>
      <c r="AI1221" s="136">
        <f t="shared" si="449"/>
        <v>165050000</v>
      </c>
      <c r="AJ1221" s="43">
        <f t="shared" si="450"/>
        <v>165050000</v>
      </c>
      <c r="AK1221" s="97">
        <v>0</v>
      </c>
      <c r="AL1221" s="114">
        <v>136150000</v>
      </c>
      <c r="AM1221" s="114">
        <v>136150000</v>
      </c>
      <c r="AN1221" s="97">
        <v>0</v>
      </c>
      <c r="AO1221" s="114">
        <v>0</v>
      </c>
      <c r="AP1221" s="43">
        <v>0</v>
      </c>
      <c r="AQ1221" s="43">
        <v>0</v>
      </c>
      <c r="AR1221" s="43">
        <v>0</v>
      </c>
      <c r="AS1221" s="43">
        <v>0</v>
      </c>
      <c r="AT1221" s="39">
        <f t="shared" si="456"/>
        <v>0</v>
      </c>
      <c r="AU1221" s="18">
        <f t="shared" si="452"/>
        <v>28900000</v>
      </c>
      <c r="AV1221" s="34">
        <f t="shared" si="453"/>
        <v>136150000</v>
      </c>
      <c r="AW1221" s="18">
        <f t="shared" si="454"/>
        <v>0</v>
      </c>
      <c r="AX1221" s="123">
        <f t="shared" si="455"/>
        <v>0</v>
      </c>
    </row>
    <row r="1222" spans="27:50" x14ac:dyDescent="0.2">
      <c r="AA1222" s="173" t="s">
        <v>1183</v>
      </c>
      <c r="AB1222" s="95" t="s">
        <v>1184</v>
      </c>
      <c r="AC1222" s="96"/>
      <c r="AD1222" s="44">
        <v>0</v>
      </c>
      <c r="AE1222" s="43">
        <v>43150983.530000001</v>
      </c>
      <c r="AF1222" s="216">
        <v>0</v>
      </c>
      <c r="AG1222" s="216">
        <v>0</v>
      </c>
      <c r="AH1222" s="216">
        <v>0</v>
      </c>
      <c r="AI1222" s="136">
        <f t="shared" si="449"/>
        <v>43150983.530000001</v>
      </c>
      <c r="AJ1222" s="43">
        <f t="shared" si="450"/>
        <v>43150983.530000001</v>
      </c>
      <c r="AK1222" s="97">
        <v>0</v>
      </c>
      <c r="AL1222" s="114">
        <v>0</v>
      </c>
      <c r="AM1222" s="114">
        <v>0</v>
      </c>
      <c r="AN1222" s="97">
        <v>0</v>
      </c>
      <c r="AO1222" s="114"/>
      <c r="AP1222" s="43">
        <v>0</v>
      </c>
      <c r="AQ1222" s="43">
        <v>0</v>
      </c>
      <c r="AR1222" s="43">
        <v>0</v>
      </c>
      <c r="AS1222" s="43"/>
      <c r="AT1222" s="39">
        <f t="shared" si="456"/>
        <v>0</v>
      </c>
      <c r="AU1222" s="18">
        <f t="shared" si="452"/>
        <v>43150983.530000001</v>
      </c>
      <c r="AV1222" s="34">
        <f t="shared" si="453"/>
        <v>0</v>
      </c>
      <c r="AW1222" s="18">
        <f t="shared" si="454"/>
        <v>0</v>
      </c>
      <c r="AX1222" s="123">
        <f t="shared" si="455"/>
        <v>0</v>
      </c>
    </row>
    <row r="1223" spans="27:50" ht="25.5" x14ac:dyDescent="0.2">
      <c r="AA1223" s="93" t="s">
        <v>288</v>
      </c>
      <c r="AB1223" s="90" t="s">
        <v>812</v>
      </c>
      <c r="AC1223" s="91"/>
      <c r="AD1223" s="18"/>
      <c r="AE1223" s="92"/>
      <c r="AF1223" s="92"/>
      <c r="AG1223" s="92"/>
      <c r="AH1223" s="92"/>
      <c r="AI1223" s="92"/>
      <c r="AJ1223" s="18"/>
      <c r="AK1223" s="98"/>
      <c r="AL1223" s="98"/>
      <c r="AM1223" s="98"/>
      <c r="AN1223" s="98"/>
      <c r="AO1223" s="98"/>
      <c r="AP1223" s="98"/>
      <c r="AQ1223" s="98"/>
      <c r="AR1223" s="98"/>
      <c r="AS1223" s="98"/>
      <c r="AT1223" s="31"/>
      <c r="AU1223" s="18"/>
      <c r="AV1223" s="34"/>
      <c r="AW1223" s="18"/>
      <c r="AX1223" s="92"/>
    </row>
    <row r="1224" spans="27:50" x14ac:dyDescent="0.2">
      <c r="AA1224" s="94" t="s">
        <v>813</v>
      </c>
      <c r="AB1224" s="95" t="s">
        <v>793</v>
      </c>
      <c r="AC1224" s="96" t="s">
        <v>794</v>
      </c>
      <c r="AD1224" s="43">
        <v>57600000</v>
      </c>
      <c r="AE1224" s="96">
        <v>0</v>
      </c>
      <c r="AF1224" s="216">
        <v>0</v>
      </c>
      <c r="AG1224" s="216">
        <v>0</v>
      </c>
      <c r="AH1224" s="216">
        <v>0</v>
      </c>
      <c r="AI1224" s="136">
        <f t="shared" ref="AI1224:AI1225" si="457">AE1224-AF1224+AG1224-AH1224</f>
        <v>0</v>
      </c>
      <c r="AJ1224" s="43">
        <f t="shared" ref="AJ1224:AJ1225" si="458">AD1224+AI1224</f>
        <v>57600000</v>
      </c>
      <c r="AK1224" s="44">
        <v>0</v>
      </c>
      <c r="AL1224" s="44">
        <v>0</v>
      </c>
      <c r="AM1224" s="43">
        <v>49750000</v>
      </c>
      <c r="AN1224" s="43">
        <v>0</v>
      </c>
      <c r="AO1224" s="43">
        <v>0</v>
      </c>
      <c r="AP1224" s="43">
        <v>49750000</v>
      </c>
      <c r="AQ1224" s="43">
        <v>3013333</v>
      </c>
      <c r="AR1224" s="43">
        <v>0</v>
      </c>
      <c r="AS1224" s="43">
        <v>0</v>
      </c>
      <c r="AT1224" s="135">
        <f t="shared" ref="AT1224:AT1255" si="459">AQ1224+AS1224</f>
        <v>3013333</v>
      </c>
      <c r="AU1224" s="110">
        <f>AJ1224-AM1224</f>
        <v>7850000</v>
      </c>
      <c r="AV1224" s="34">
        <f>AM1224-AP1224</f>
        <v>0</v>
      </c>
      <c r="AW1224" s="18">
        <f>AP1224-AT1224</f>
        <v>46736667</v>
      </c>
      <c r="AX1224" s="123">
        <f>AP1224/AJ1224</f>
        <v>0.86371527777777779</v>
      </c>
    </row>
    <row r="1225" spans="27:50" x14ac:dyDescent="0.2">
      <c r="AA1225" s="173" t="s">
        <v>1175</v>
      </c>
      <c r="AB1225" s="95" t="s">
        <v>1015</v>
      </c>
      <c r="AC1225" s="96"/>
      <c r="AD1225" s="44">
        <v>0</v>
      </c>
      <c r="AE1225" s="43">
        <v>6400000</v>
      </c>
      <c r="AF1225" s="216">
        <v>0</v>
      </c>
      <c r="AG1225" s="216">
        <v>0</v>
      </c>
      <c r="AH1225" s="216">
        <v>0</v>
      </c>
      <c r="AI1225" s="136">
        <f t="shared" si="457"/>
        <v>6400000</v>
      </c>
      <c r="AJ1225" s="43">
        <f t="shared" si="458"/>
        <v>6400000</v>
      </c>
      <c r="AK1225" s="44">
        <v>0</v>
      </c>
      <c r="AL1225" s="44">
        <v>0</v>
      </c>
      <c r="AM1225" s="43">
        <v>0</v>
      </c>
      <c r="AN1225" s="43">
        <v>0</v>
      </c>
      <c r="AO1225" s="43">
        <v>0</v>
      </c>
      <c r="AP1225" s="43">
        <v>0</v>
      </c>
      <c r="AQ1225" s="43">
        <v>0</v>
      </c>
      <c r="AR1225" s="43">
        <v>0</v>
      </c>
      <c r="AS1225" s="43">
        <v>0</v>
      </c>
      <c r="AT1225" s="135">
        <f t="shared" ref="AT1225" si="460">AQ1225+AS1225</f>
        <v>0</v>
      </c>
      <c r="AU1225" s="110">
        <f>AJ1225-AM1225</f>
        <v>6400000</v>
      </c>
      <c r="AV1225" s="34">
        <f>AM1225-AP1225</f>
        <v>0</v>
      </c>
      <c r="AW1225" s="18">
        <f>AP1225-AT1225</f>
        <v>0</v>
      </c>
      <c r="AX1225" s="123">
        <f>AP1225/AJ1225</f>
        <v>0</v>
      </c>
    </row>
    <row r="1226" spans="27:50" ht="25.5" x14ac:dyDescent="0.2">
      <c r="AA1226" s="93" t="s">
        <v>288</v>
      </c>
      <c r="AB1226" s="90" t="s">
        <v>814</v>
      </c>
      <c r="AC1226" s="91"/>
      <c r="AD1226" s="18"/>
      <c r="AE1226" s="92"/>
      <c r="AF1226" s="92"/>
      <c r="AG1226" s="92"/>
      <c r="AH1226" s="92"/>
      <c r="AI1226" s="92"/>
      <c r="AJ1226" s="18"/>
      <c r="AK1226" s="92"/>
      <c r="AL1226" s="92"/>
      <c r="AM1226" s="92"/>
      <c r="AN1226" s="92"/>
      <c r="AO1226" s="92"/>
      <c r="AP1226" s="98"/>
      <c r="AQ1226" s="98"/>
      <c r="AR1226" s="98"/>
      <c r="AS1226" s="98"/>
      <c r="AT1226" s="40"/>
      <c r="AU1226" s="18"/>
      <c r="AV1226" s="34"/>
      <c r="AW1226" s="18"/>
      <c r="AX1226" s="92"/>
    </row>
    <row r="1227" spans="27:50" x14ac:dyDescent="0.2">
      <c r="AA1227" s="94" t="s">
        <v>815</v>
      </c>
      <c r="AB1227" s="95" t="s">
        <v>793</v>
      </c>
      <c r="AC1227" s="96" t="s">
        <v>794</v>
      </c>
      <c r="AD1227" s="43">
        <v>414513482</v>
      </c>
      <c r="AE1227" s="96">
        <v>0</v>
      </c>
      <c r="AF1227" s="216">
        <v>0</v>
      </c>
      <c r="AG1227" s="216">
        <v>0</v>
      </c>
      <c r="AH1227" s="216">
        <v>0</v>
      </c>
      <c r="AI1227" s="136">
        <f t="shared" ref="AI1227:AI1230" si="461">AE1227-AF1227+AG1227-AH1227</f>
        <v>0</v>
      </c>
      <c r="AJ1227" s="43">
        <f t="shared" ref="AJ1227:AJ1230" si="462">AD1227+AI1227</f>
        <v>414513482</v>
      </c>
      <c r="AK1227" s="97">
        <v>0</v>
      </c>
      <c r="AL1227" s="18">
        <v>28000000</v>
      </c>
      <c r="AM1227" s="18">
        <v>406513482</v>
      </c>
      <c r="AN1227" s="92">
        <v>0</v>
      </c>
      <c r="AO1227" s="110">
        <v>28000000</v>
      </c>
      <c r="AP1227" s="110">
        <v>406513482</v>
      </c>
      <c r="AQ1227" s="43">
        <v>4700000</v>
      </c>
      <c r="AR1227" s="43">
        <v>20796667</v>
      </c>
      <c r="AS1227" s="43">
        <v>55810000</v>
      </c>
      <c r="AT1227" s="39">
        <f t="shared" ref="AT1227" si="463">AQ1227+AS1227</f>
        <v>60510000</v>
      </c>
      <c r="AU1227" s="110">
        <f>AJ1227-AM1227</f>
        <v>8000000</v>
      </c>
      <c r="AV1227" s="34">
        <f>AM1227-AP1227</f>
        <v>0</v>
      </c>
      <c r="AW1227" s="18">
        <f>AP1227-AT1227</f>
        <v>346003482</v>
      </c>
      <c r="AX1227" s="123">
        <f>AP1227/AJ1227</f>
        <v>0.98070026586011017</v>
      </c>
    </row>
    <row r="1228" spans="27:50" x14ac:dyDescent="0.2">
      <c r="AA1228" s="173" t="s">
        <v>1176</v>
      </c>
      <c r="AB1228" s="95" t="s">
        <v>1015</v>
      </c>
      <c r="AC1228" s="96"/>
      <c r="AD1228" s="44">
        <v>0</v>
      </c>
      <c r="AE1228" s="43">
        <v>44300000</v>
      </c>
      <c r="AF1228" s="216">
        <v>0</v>
      </c>
      <c r="AG1228" s="216">
        <v>0</v>
      </c>
      <c r="AH1228" s="216">
        <v>0</v>
      </c>
      <c r="AI1228" s="136">
        <f>AE1228-AF1228+AG1228-AH1228</f>
        <v>44300000</v>
      </c>
      <c r="AJ1228" s="43">
        <f>AD1228+AI1228</f>
        <v>44300000</v>
      </c>
      <c r="AK1228" s="97">
        <v>0</v>
      </c>
      <c r="AL1228" s="34">
        <v>0</v>
      </c>
      <c r="AM1228" s="18">
        <v>0</v>
      </c>
      <c r="AN1228" s="92">
        <v>0</v>
      </c>
      <c r="AO1228" s="110">
        <v>0</v>
      </c>
      <c r="AP1228" s="110">
        <v>0</v>
      </c>
      <c r="AQ1228" s="43">
        <v>0</v>
      </c>
      <c r="AR1228" s="43">
        <v>0</v>
      </c>
      <c r="AS1228" s="43">
        <v>0</v>
      </c>
      <c r="AT1228" s="39">
        <f t="shared" ref="AT1228:AT1230" si="464">AQ1228+AS1228</f>
        <v>0</v>
      </c>
      <c r="AU1228" s="110">
        <f>AJ1228-AM1228</f>
        <v>44300000</v>
      </c>
      <c r="AV1228" s="34">
        <f>AM1228-AP1228</f>
        <v>0</v>
      </c>
      <c r="AW1228" s="18">
        <f>AP1228-AT1228</f>
        <v>0</v>
      </c>
      <c r="AX1228" s="123">
        <f>AP1228/AJ1228</f>
        <v>0</v>
      </c>
    </row>
    <row r="1229" spans="27:50" x14ac:dyDescent="0.2">
      <c r="AA1229" s="173" t="s">
        <v>1168</v>
      </c>
      <c r="AB1229" s="95" t="s">
        <v>1169</v>
      </c>
      <c r="AC1229" s="96"/>
      <c r="AD1229" s="44">
        <v>0</v>
      </c>
      <c r="AE1229" s="43">
        <v>1272607864.71</v>
      </c>
      <c r="AF1229" s="216">
        <v>0</v>
      </c>
      <c r="AG1229" s="216">
        <v>0</v>
      </c>
      <c r="AH1229" s="216">
        <v>0</v>
      </c>
      <c r="AI1229" s="136">
        <f t="shared" si="461"/>
        <v>1272607864.71</v>
      </c>
      <c r="AJ1229" s="43">
        <f t="shared" si="462"/>
        <v>1272607864.71</v>
      </c>
      <c r="AK1229" s="97">
        <v>0</v>
      </c>
      <c r="AL1229" s="34">
        <v>0</v>
      </c>
      <c r="AM1229" s="18">
        <v>0</v>
      </c>
      <c r="AN1229" s="92">
        <v>0</v>
      </c>
      <c r="AO1229" s="110">
        <v>0</v>
      </c>
      <c r="AP1229" s="110">
        <v>0</v>
      </c>
      <c r="AQ1229" s="43">
        <v>0</v>
      </c>
      <c r="AR1229" s="43">
        <v>0</v>
      </c>
      <c r="AS1229" s="43">
        <v>0</v>
      </c>
      <c r="AT1229" s="39">
        <f t="shared" si="464"/>
        <v>0</v>
      </c>
      <c r="AU1229" s="110">
        <f>AJ1229-AM1229</f>
        <v>1272607864.71</v>
      </c>
      <c r="AV1229" s="34">
        <f>AM1229-AP1229</f>
        <v>0</v>
      </c>
      <c r="AW1229" s="18">
        <f>AP1229-AT1229</f>
        <v>0</v>
      </c>
      <c r="AX1229" s="123">
        <f>AP1229/AJ1229</f>
        <v>0</v>
      </c>
    </row>
    <row r="1230" spans="27:50" x14ac:dyDescent="0.2">
      <c r="AA1230" s="173" t="s">
        <v>1182</v>
      </c>
      <c r="AB1230" s="95" t="s">
        <v>1181</v>
      </c>
      <c r="AC1230" s="96"/>
      <c r="AD1230" s="44">
        <v>0</v>
      </c>
      <c r="AE1230" s="43">
        <v>17636386</v>
      </c>
      <c r="AF1230" s="216">
        <v>0</v>
      </c>
      <c r="AG1230" s="216">
        <v>0</v>
      </c>
      <c r="AH1230" s="216">
        <v>0</v>
      </c>
      <c r="AI1230" s="136">
        <f t="shared" si="461"/>
        <v>17636386</v>
      </c>
      <c r="AJ1230" s="43">
        <f t="shared" si="462"/>
        <v>17636386</v>
      </c>
      <c r="AK1230" s="97">
        <v>0</v>
      </c>
      <c r="AL1230" s="34">
        <v>0</v>
      </c>
      <c r="AM1230" s="18">
        <v>0</v>
      </c>
      <c r="AN1230" s="92">
        <v>0</v>
      </c>
      <c r="AO1230" s="110">
        <v>0</v>
      </c>
      <c r="AP1230" s="110">
        <v>0</v>
      </c>
      <c r="AQ1230" s="43">
        <v>0</v>
      </c>
      <c r="AR1230" s="43">
        <v>0</v>
      </c>
      <c r="AS1230" s="43">
        <v>0</v>
      </c>
      <c r="AT1230" s="39">
        <f t="shared" si="464"/>
        <v>0</v>
      </c>
      <c r="AU1230" s="110">
        <f>AJ1230-AM1230</f>
        <v>17636386</v>
      </c>
      <c r="AV1230" s="34">
        <f>AM1230-AP1230</f>
        <v>0</v>
      </c>
      <c r="AW1230" s="18">
        <f>AP1230-AT1230</f>
        <v>0</v>
      </c>
      <c r="AX1230" s="123">
        <f>AP1230/AJ1230</f>
        <v>0</v>
      </c>
    </row>
    <row r="1231" spans="27:50" ht="25.5" x14ac:dyDescent="0.2">
      <c r="AA1231" s="93" t="s">
        <v>288</v>
      </c>
      <c r="AB1231" s="90" t="s">
        <v>816</v>
      </c>
      <c r="AC1231" s="91"/>
      <c r="AD1231" s="18"/>
      <c r="AE1231" s="92"/>
      <c r="AF1231" s="92"/>
      <c r="AG1231" s="92"/>
      <c r="AH1231" s="92"/>
      <c r="AI1231" s="92"/>
      <c r="AJ1231" s="18"/>
      <c r="AK1231" s="98"/>
      <c r="AL1231" s="98"/>
      <c r="AM1231" s="92"/>
      <c r="AN1231" s="92"/>
      <c r="AO1231" s="92"/>
      <c r="AP1231" s="92"/>
      <c r="AQ1231" s="92"/>
      <c r="AR1231" s="92"/>
      <c r="AS1231" s="92"/>
      <c r="AT1231" s="40"/>
      <c r="AU1231" s="18"/>
      <c r="AV1231" s="34"/>
      <c r="AW1231" s="18"/>
      <c r="AX1231" s="92"/>
    </row>
    <row r="1232" spans="27:50" x14ac:dyDescent="0.2">
      <c r="AA1232" s="94" t="s">
        <v>817</v>
      </c>
      <c r="AB1232" s="95" t="s">
        <v>793</v>
      </c>
      <c r="AC1232" s="96" t="s">
        <v>794</v>
      </c>
      <c r="AD1232" s="43">
        <v>76500000</v>
      </c>
      <c r="AE1232" s="96">
        <v>0</v>
      </c>
      <c r="AF1232" s="216">
        <v>0</v>
      </c>
      <c r="AG1232" s="216">
        <v>0</v>
      </c>
      <c r="AH1232" s="216">
        <v>0</v>
      </c>
      <c r="AI1232" s="136">
        <f t="shared" ref="AI1232:AI1235" si="465">AE1232-AF1232+AG1232-AH1232</f>
        <v>0</v>
      </c>
      <c r="AJ1232" s="43">
        <f t="shared" ref="AJ1232:AJ1235" si="466">AD1232+AI1232</f>
        <v>76500000</v>
      </c>
      <c r="AK1232" s="97">
        <v>0</v>
      </c>
      <c r="AL1232" s="133">
        <v>0</v>
      </c>
      <c r="AM1232" s="18">
        <v>76500000</v>
      </c>
      <c r="AN1232" s="34">
        <v>0</v>
      </c>
      <c r="AO1232" s="18">
        <v>0</v>
      </c>
      <c r="AP1232" s="18">
        <v>76500000</v>
      </c>
      <c r="AQ1232" s="96">
        <v>0</v>
      </c>
      <c r="AR1232" s="114">
        <v>8500000</v>
      </c>
      <c r="AS1232" s="114">
        <v>26130000</v>
      </c>
      <c r="AT1232" s="111">
        <f t="shared" ref="AT1232" si="467">AQ1232+AS1232</f>
        <v>26130000</v>
      </c>
      <c r="AU1232" s="133">
        <f>AJ1232-AM1232</f>
        <v>0</v>
      </c>
      <c r="AV1232" s="34">
        <f>AM1232-AP1232</f>
        <v>0</v>
      </c>
      <c r="AW1232" s="18">
        <f>AP1232-AT1232</f>
        <v>50370000</v>
      </c>
      <c r="AX1232" s="123">
        <f>AP1232/AJ1232</f>
        <v>1</v>
      </c>
    </row>
    <row r="1233" spans="27:50" x14ac:dyDescent="0.2">
      <c r="AA1233" s="173" t="s">
        <v>1170</v>
      </c>
      <c r="AB1233" s="95" t="s">
        <v>1169</v>
      </c>
      <c r="AC1233" s="96"/>
      <c r="AD1233" s="44">
        <v>0</v>
      </c>
      <c r="AE1233" s="43">
        <v>221250000</v>
      </c>
      <c r="AF1233" s="216">
        <v>0</v>
      </c>
      <c r="AG1233" s="216">
        <v>0</v>
      </c>
      <c r="AH1233" s="216">
        <v>0</v>
      </c>
      <c r="AI1233" s="136">
        <f t="shared" si="465"/>
        <v>221250000</v>
      </c>
      <c r="AJ1233" s="43">
        <f t="shared" si="466"/>
        <v>221250000</v>
      </c>
      <c r="AK1233" s="97">
        <v>0</v>
      </c>
      <c r="AL1233" s="133">
        <v>0</v>
      </c>
      <c r="AM1233" s="18">
        <v>0</v>
      </c>
      <c r="AN1233" s="34">
        <v>0</v>
      </c>
      <c r="AO1233" s="18">
        <v>0</v>
      </c>
      <c r="AP1233" s="18">
        <v>0</v>
      </c>
      <c r="AQ1233" s="96">
        <v>0</v>
      </c>
      <c r="AR1233" s="114">
        <v>0</v>
      </c>
      <c r="AS1233" s="114">
        <v>0</v>
      </c>
      <c r="AT1233" s="111">
        <f t="shared" ref="AT1233:AT1235" si="468">AQ1233+AS1233</f>
        <v>0</v>
      </c>
      <c r="AU1233" s="18">
        <f>AJ1233-AM1233</f>
        <v>221250000</v>
      </c>
      <c r="AV1233" s="34">
        <f>AM1233-AP1233</f>
        <v>0</v>
      </c>
      <c r="AW1233" s="18">
        <f>AP1233-AT1233</f>
        <v>0</v>
      </c>
      <c r="AX1233" s="123">
        <f>AP1233/AJ1233</f>
        <v>0</v>
      </c>
    </row>
    <row r="1234" spans="27:50" x14ac:dyDescent="0.2">
      <c r="AA1234" s="173" t="s">
        <v>1192</v>
      </c>
      <c r="AB1234" s="95" t="s">
        <v>1193</v>
      </c>
      <c r="AC1234" s="96"/>
      <c r="AD1234" s="44">
        <v>0</v>
      </c>
      <c r="AE1234" s="43">
        <v>97859303.769999996</v>
      </c>
      <c r="AF1234" s="216">
        <v>0</v>
      </c>
      <c r="AG1234" s="216">
        <v>0</v>
      </c>
      <c r="AH1234" s="216">
        <v>0</v>
      </c>
      <c r="AI1234" s="136">
        <f>AE1234-AF1234+AG1234-AH1234</f>
        <v>97859303.769999996</v>
      </c>
      <c r="AJ1234" s="43">
        <f>AD1234+AI1234</f>
        <v>97859303.769999996</v>
      </c>
      <c r="AK1234" s="97">
        <v>0</v>
      </c>
      <c r="AL1234" s="133">
        <v>0</v>
      </c>
      <c r="AM1234" s="18">
        <v>0</v>
      </c>
      <c r="AN1234" s="34">
        <v>0</v>
      </c>
      <c r="AO1234" s="18">
        <v>0</v>
      </c>
      <c r="AP1234" s="18">
        <v>0</v>
      </c>
      <c r="AQ1234" s="96">
        <v>0</v>
      </c>
      <c r="AR1234" s="114">
        <v>0</v>
      </c>
      <c r="AS1234" s="114">
        <v>0</v>
      </c>
      <c r="AT1234" s="111">
        <f t="shared" si="468"/>
        <v>0</v>
      </c>
      <c r="AU1234" s="18">
        <f>AJ1234-AM1234</f>
        <v>97859303.769999996</v>
      </c>
      <c r="AV1234" s="34">
        <f>AM1234-AP1234</f>
        <v>0</v>
      </c>
      <c r="AW1234" s="18">
        <f>AP1234-AT1234</f>
        <v>0</v>
      </c>
      <c r="AX1234" s="123">
        <f>AP1234/AJ1234</f>
        <v>0</v>
      </c>
    </row>
    <row r="1235" spans="27:50" x14ac:dyDescent="0.2">
      <c r="AA1235" s="173" t="s">
        <v>1191</v>
      </c>
      <c r="AB1235" s="95" t="s">
        <v>1181</v>
      </c>
      <c r="AC1235" s="96"/>
      <c r="AD1235" s="44">
        <v>0</v>
      </c>
      <c r="AE1235" s="43">
        <v>52140696.289999999</v>
      </c>
      <c r="AF1235" s="216">
        <v>0</v>
      </c>
      <c r="AG1235" s="216">
        <v>0</v>
      </c>
      <c r="AH1235" s="216">
        <v>0</v>
      </c>
      <c r="AI1235" s="136">
        <f t="shared" si="465"/>
        <v>52140696.289999999</v>
      </c>
      <c r="AJ1235" s="43">
        <f t="shared" si="466"/>
        <v>52140696.289999999</v>
      </c>
      <c r="AK1235" s="97">
        <v>0</v>
      </c>
      <c r="AL1235" s="133">
        <v>0</v>
      </c>
      <c r="AM1235" s="18">
        <v>0</v>
      </c>
      <c r="AN1235" s="34">
        <v>0</v>
      </c>
      <c r="AO1235" s="18">
        <v>0</v>
      </c>
      <c r="AP1235" s="18">
        <v>0</v>
      </c>
      <c r="AQ1235" s="96">
        <v>0</v>
      </c>
      <c r="AR1235" s="114">
        <v>0</v>
      </c>
      <c r="AS1235" s="114">
        <v>0</v>
      </c>
      <c r="AT1235" s="111">
        <f t="shared" si="468"/>
        <v>0</v>
      </c>
      <c r="AU1235" s="18">
        <f>AJ1235-AM1235</f>
        <v>52140696.289999999</v>
      </c>
      <c r="AV1235" s="34">
        <f>AM1235-AP1235</f>
        <v>0</v>
      </c>
      <c r="AW1235" s="18">
        <f>AP1235-AT1235</f>
        <v>0</v>
      </c>
      <c r="AX1235" s="123">
        <f>AP1235/AJ1235</f>
        <v>0</v>
      </c>
    </row>
    <row r="1236" spans="27:50" ht="38.25" x14ac:dyDescent="0.2">
      <c r="AA1236" s="93" t="s">
        <v>288</v>
      </c>
      <c r="AB1236" s="90" t="s">
        <v>818</v>
      </c>
      <c r="AC1236" s="91"/>
      <c r="AD1236" s="18"/>
      <c r="AE1236" s="92"/>
      <c r="AF1236" s="92"/>
      <c r="AG1236" s="92"/>
      <c r="AH1236" s="92"/>
      <c r="AI1236" s="92"/>
      <c r="AJ1236" s="18"/>
      <c r="AK1236" s="98"/>
      <c r="AL1236" s="98"/>
      <c r="AM1236" s="92"/>
      <c r="AN1236" s="98"/>
      <c r="AO1236" s="92"/>
      <c r="AP1236" s="92"/>
      <c r="AQ1236" s="92"/>
      <c r="AR1236" s="92"/>
      <c r="AS1236" s="92"/>
      <c r="AT1236" s="40"/>
      <c r="AU1236" s="18"/>
      <c r="AV1236" s="18"/>
      <c r="AW1236" s="18"/>
      <c r="AX1236" s="92"/>
    </row>
    <row r="1237" spans="27:50" x14ac:dyDescent="0.2">
      <c r="AA1237" s="94" t="s">
        <v>819</v>
      </c>
      <c r="AB1237" s="95" t="s">
        <v>793</v>
      </c>
      <c r="AC1237" s="96" t="s">
        <v>794</v>
      </c>
      <c r="AD1237" s="43">
        <v>150000000</v>
      </c>
      <c r="AE1237" s="96">
        <v>0</v>
      </c>
      <c r="AF1237" s="216">
        <v>0</v>
      </c>
      <c r="AG1237" s="216">
        <v>0</v>
      </c>
      <c r="AH1237" s="216">
        <v>0</v>
      </c>
      <c r="AI1237" s="136">
        <f t="shared" ref="AI1237:AI1238" si="469">AE1237-AF1237+AG1237-AH1237</f>
        <v>0</v>
      </c>
      <c r="AJ1237" s="43">
        <f t="shared" ref="AJ1237:AJ1238" si="470">AD1237+AI1237</f>
        <v>150000000</v>
      </c>
      <c r="AK1237" s="44">
        <v>0</v>
      </c>
      <c r="AL1237" s="43">
        <v>28000000</v>
      </c>
      <c r="AM1237" s="43">
        <v>142000000</v>
      </c>
      <c r="AN1237" s="44">
        <v>0</v>
      </c>
      <c r="AO1237" s="43">
        <v>0</v>
      </c>
      <c r="AP1237" s="43">
        <v>114000000</v>
      </c>
      <c r="AQ1237" s="43">
        <v>0</v>
      </c>
      <c r="AR1237" s="43">
        <v>4000000</v>
      </c>
      <c r="AS1237" s="43">
        <v>4666667</v>
      </c>
      <c r="AT1237" s="39">
        <f t="shared" ref="AT1237" si="471">AQ1237+AS1237</f>
        <v>4666667</v>
      </c>
      <c r="AU1237" s="18">
        <f>AJ1237-AM1237</f>
        <v>8000000</v>
      </c>
      <c r="AV1237" s="18">
        <f>AM1237-AP1237</f>
        <v>28000000</v>
      </c>
      <c r="AW1237" s="18">
        <f>AP1237-AT1237</f>
        <v>109333333</v>
      </c>
      <c r="AX1237" s="123">
        <f>AP1237/AJ1237</f>
        <v>0.76</v>
      </c>
    </row>
    <row r="1238" spans="27:50" x14ac:dyDescent="0.2">
      <c r="AA1238" s="173" t="s">
        <v>1177</v>
      </c>
      <c r="AB1238" s="95" t="s">
        <v>1015</v>
      </c>
      <c r="AC1238" s="96"/>
      <c r="AD1238" s="43">
        <v>0</v>
      </c>
      <c r="AE1238" s="43">
        <v>8000000</v>
      </c>
      <c r="AF1238" s="216">
        <v>0</v>
      </c>
      <c r="AG1238" s="216">
        <v>0</v>
      </c>
      <c r="AH1238" s="216">
        <v>0</v>
      </c>
      <c r="AI1238" s="136">
        <f t="shared" si="469"/>
        <v>8000000</v>
      </c>
      <c r="AJ1238" s="43">
        <f t="shared" si="470"/>
        <v>8000000</v>
      </c>
      <c r="AK1238" s="44">
        <v>0</v>
      </c>
      <c r="AL1238" s="44">
        <v>0</v>
      </c>
      <c r="AM1238" s="43">
        <v>0</v>
      </c>
      <c r="AN1238" s="44">
        <v>0</v>
      </c>
      <c r="AO1238" s="43">
        <v>0</v>
      </c>
      <c r="AP1238" s="43">
        <v>0</v>
      </c>
      <c r="AQ1238" s="43">
        <v>0</v>
      </c>
      <c r="AR1238" s="43">
        <v>0</v>
      </c>
      <c r="AS1238" s="43">
        <v>0</v>
      </c>
      <c r="AT1238" s="39">
        <f t="shared" ref="AT1238" si="472">AQ1238+AS1238</f>
        <v>0</v>
      </c>
      <c r="AU1238" s="18">
        <f>AJ1238-AM1238</f>
        <v>8000000</v>
      </c>
      <c r="AV1238" s="34">
        <f>AM1238-AP1238</f>
        <v>0</v>
      </c>
      <c r="AW1238" s="18">
        <f>AP1238-AT1238</f>
        <v>0</v>
      </c>
      <c r="AX1238" s="123">
        <f>AP1238/AJ1238</f>
        <v>0</v>
      </c>
    </row>
    <row r="1239" spans="27:50" ht="25.5" x14ac:dyDescent="0.2">
      <c r="AA1239" s="93" t="s">
        <v>288</v>
      </c>
      <c r="AB1239" s="90" t="s">
        <v>820</v>
      </c>
      <c r="AC1239" s="91"/>
      <c r="AD1239" s="18"/>
      <c r="AE1239" s="92"/>
      <c r="AF1239" s="92"/>
      <c r="AG1239" s="92"/>
      <c r="AH1239" s="92"/>
      <c r="AI1239" s="92"/>
      <c r="AJ1239" s="18"/>
      <c r="AK1239" s="34"/>
      <c r="AL1239" s="18"/>
      <c r="AM1239" s="18"/>
      <c r="AN1239" s="34"/>
      <c r="AO1239" s="18"/>
      <c r="AP1239" s="18"/>
      <c r="AQ1239" s="18"/>
      <c r="AR1239" s="18"/>
      <c r="AS1239" s="18"/>
      <c r="AT1239" s="39"/>
      <c r="AU1239" s="18"/>
      <c r="AV1239" s="34"/>
      <c r="AW1239" s="18"/>
      <c r="AX1239" s="92"/>
    </row>
    <row r="1240" spans="27:50" x14ac:dyDescent="0.2">
      <c r="AA1240" s="94" t="s">
        <v>821</v>
      </c>
      <c r="AB1240" s="95" t="s">
        <v>233</v>
      </c>
      <c r="AC1240" s="96" t="s">
        <v>58</v>
      </c>
      <c r="AD1240" s="43">
        <v>144000000</v>
      </c>
      <c r="AE1240" s="96">
        <v>0</v>
      </c>
      <c r="AF1240" s="216">
        <v>0</v>
      </c>
      <c r="AG1240" s="216">
        <v>0</v>
      </c>
      <c r="AH1240" s="216">
        <v>0</v>
      </c>
      <c r="AI1240" s="136">
        <f t="shared" ref="AI1240:AI1242" si="473">AE1240-AF1240+AG1240-AH1240</f>
        <v>0</v>
      </c>
      <c r="AJ1240" s="43">
        <f t="shared" ref="AJ1240:AJ1242" si="474">AD1240+AI1240</f>
        <v>144000000</v>
      </c>
      <c r="AK1240" s="44">
        <v>0</v>
      </c>
      <c r="AL1240" s="44">
        <v>0</v>
      </c>
      <c r="AM1240" s="43">
        <v>144000000</v>
      </c>
      <c r="AN1240" s="44">
        <v>0</v>
      </c>
      <c r="AO1240" s="44">
        <v>0</v>
      </c>
      <c r="AP1240" s="43">
        <v>144000000</v>
      </c>
      <c r="AQ1240" s="43">
        <v>12000000</v>
      </c>
      <c r="AR1240" s="43">
        <v>17866667</v>
      </c>
      <c r="AS1240" s="43">
        <v>28400001</v>
      </c>
      <c r="AT1240" s="39">
        <f t="shared" si="459"/>
        <v>40400001</v>
      </c>
      <c r="AU1240" s="18">
        <f>AJ1240-AM1240</f>
        <v>0</v>
      </c>
      <c r="AV1240" s="34">
        <f>AM1240-AP1240</f>
        <v>0</v>
      </c>
      <c r="AW1240" s="18">
        <f>AP1240-AT1240</f>
        <v>103599999</v>
      </c>
      <c r="AX1240" s="123">
        <f>AP1240/AJ1240</f>
        <v>1</v>
      </c>
    </row>
    <row r="1241" spans="27:50" x14ac:dyDescent="0.2">
      <c r="AA1241" s="94" t="s">
        <v>822</v>
      </c>
      <c r="AB1241" s="95" t="s">
        <v>793</v>
      </c>
      <c r="AC1241" s="96" t="s">
        <v>794</v>
      </c>
      <c r="AD1241" s="43">
        <v>72000000</v>
      </c>
      <c r="AE1241" s="96">
        <v>0</v>
      </c>
      <c r="AF1241" s="216">
        <v>0</v>
      </c>
      <c r="AG1241" s="216">
        <v>0</v>
      </c>
      <c r="AH1241" s="216">
        <v>0</v>
      </c>
      <c r="AI1241" s="136">
        <f t="shared" si="473"/>
        <v>0</v>
      </c>
      <c r="AJ1241" s="43">
        <f t="shared" si="474"/>
        <v>72000000</v>
      </c>
      <c r="AK1241" s="44">
        <v>0</v>
      </c>
      <c r="AL1241" s="44">
        <v>0</v>
      </c>
      <c r="AM1241" s="43">
        <v>68500000</v>
      </c>
      <c r="AN1241" s="44">
        <v>0</v>
      </c>
      <c r="AO1241" s="44">
        <v>0</v>
      </c>
      <c r="AP1241" s="43">
        <v>68500000</v>
      </c>
      <c r="AQ1241" s="43">
        <v>0</v>
      </c>
      <c r="AR1241" s="43">
        <v>8000000</v>
      </c>
      <c r="AS1241" s="43">
        <v>18650000</v>
      </c>
      <c r="AT1241" s="39">
        <f t="shared" si="459"/>
        <v>18650000</v>
      </c>
      <c r="AU1241" s="18">
        <f>AJ1241-AM1241</f>
        <v>3500000</v>
      </c>
      <c r="AV1241" s="34">
        <f>AM1241-AP1241</f>
        <v>0</v>
      </c>
      <c r="AW1241" s="18">
        <f>AP1241-AT1241</f>
        <v>49850000</v>
      </c>
      <c r="AX1241" s="123">
        <f>AP1241/AJ1241</f>
        <v>0.95138888888888884</v>
      </c>
    </row>
    <row r="1242" spans="27:50" x14ac:dyDescent="0.2">
      <c r="AA1242" s="173" t="s">
        <v>1178</v>
      </c>
      <c r="AB1242" s="95" t="s">
        <v>1179</v>
      </c>
      <c r="AC1242" s="96"/>
      <c r="AD1242" s="44">
        <v>0</v>
      </c>
      <c r="AE1242" s="43">
        <v>79500000</v>
      </c>
      <c r="AF1242" s="216">
        <v>0</v>
      </c>
      <c r="AG1242" s="216">
        <v>0</v>
      </c>
      <c r="AH1242" s="216">
        <v>0</v>
      </c>
      <c r="AI1242" s="136">
        <f t="shared" si="473"/>
        <v>79500000</v>
      </c>
      <c r="AJ1242" s="43">
        <f t="shared" si="474"/>
        <v>79500000</v>
      </c>
      <c r="AK1242" s="44">
        <v>0</v>
      </c>
      <c r="AL1242" s="44">
        <v>0</v>
      </c>
      <c r="AM1242" s="43">
        <v>0</v>
      </c>
      <c r="AN1242" s="44">
        <v>0</v>
      </c>
      <c r="AO1242" s="44">
        <v>0</v>
      </c>
      <c r="AP1242" s="43">
        <v>0</v>
      </c>
      <c r="AQ1242" s="43">
        <v>0</v>
      </c>
      <c r="AR1242" s="43">
        <v>0</v>
      </c>
      <c r="AS1242" s="43">
        <v>0</v>
      </c>
      <c r="AT1242" s="39">
        <f t="shared" ref="AT1242" si="475">AQ1242+AS1242</f>
        <v>0</v>
      </c>
      <c r="AU1242" s="18">
        <f>AJ1242-AM1242</f>
        <v>79500000</v>
      </c>
      <c r="AV1242" s="34">
        <f>AM1242-AP1242</f>
        <v>0</v>
      </c>
      <c r="AW1242" s="18">
        <f>AP1242-AT1242</f>
        <v>0</v>
      </c>
      <c r="AX1242" s="123">
        <f>AP1242/AJ1242</f>
        <v>0</v>
      </c>
    </row>
    <row r="1243" spans="27:50" ht="25.5" x14ac:dyDescent="0.2">
      <c r="AA1243" s="241" t="s">
        <v>288</v>
      </c>
      <c r="AB1243" s="138" t="s">
        <v>805</v>
      </c>
      <c r="AC1243" s="96"/>
      <c r="AD1243" s="44"/>
      <c r="AE1243" s="43"/>
      <c r="AF1243" s="96"/>
      <c r="AG1243" s="96"/>
      <c r="AH1243" s="96"/>
      <c r="AI1243" s="96"/>
      <c r="AJ1243" s="43"/>
      <c r="AK1243" s="44"/>
      <c r="AL1243" s="44"/>
      <c r="AM1243" s="43"/>
      <c r="AN1243" s="44"/>
      <c r="AO1243" s="44"/>
      <c r="AP1243" s="43"/>
      <c r="AQ1243" s="43"/>
      <c r="AR1243" s="43"/>
      <c r="AS1243" s="43"/>
      <c r="AT1243" s="39"/>
      <c r="AU1243" s="18"/>
      <c r="AV1243" s="34"/>
      <c r="AW1243" s="18"/>
      <c r="AX1243" s="123"/>
    </row>
    <row r="1244" spans="27:50" x14ac:dyDescent="0.2">
      <c r="AA1244" s="173" t="s">
        <v>1194</v>
      </c>
      <c r="AB1244" s="95" t="s">
        <v>1193</v>
      </c>
      <c r="AC1244" s="96"/>
      <c r="AD1244" s="44">
        <v>0</v>
      </c>
      <c r="AE1244" s="43">
        <v>135118963.86000001</v>
      </c>
      <c r="AF1244" s="216">
        <v>0</v>
      </c>
      <c r="AG1244" s="216">
        <v>0</v>
      </c>
      <c r="AH1244" s="216">
        <v>0</v>
      </c>
      <c r="AI1244" s="136">
        <f>AE1244-AF1244+AG1244-AH1244</f>
        <v>135118963.86000001</v>
      </c>
      <c r="AJ1244" s="43">
        <f>AD1244+AI1244</f>
        <v>135118963.86000001</v>
      </c>
      <c r="AK1244" s="44">
        <v>0</v>
      </c>
      <c r="AL1244" s="44">
        <v>0</v>
      </c>
      <c r="AM1244" s="43">
        <v>0</v>
      </c>
      <c r="AN1244" s="44">
        <v>0</v>
      </c>
      <c r="AO1244" s="44">
        <v>0</v>
      </c>
      <c r="AP1244" s="43">
        <v>0</v>
      </c>
      <c r="AQ1244" s="43">
        <v>0</v>
      </c>
      <c r="AR1244" s="43">
        <v>0</v>
      </c>
      <c r="AS1244" s="43">
        <v>0</v>
      </c>
      <c r="AT1244" s="39">
        <f t="shared" ref="AT1244" si="476">AQ1244+AS1244</f>
        <v>0</v>
      </c>
      <c r="AU1244" s="18">
        <f>AJ1244-AM1244</f>
        <v>135118963.86000001</v>
      </c>
      <c r="AV1244" s="34">
        <f>AM1244-AP1244</f>
        <v>0</v>
      </c>
      <c r="AW1244" s="18">
        <f>AP1244-AT1244</f>
        <v>0</v>
      </c>
      <c r="AX1244" s="123">
        <f>AP1244/AJ1244</f>
        <v>0</v>
      </c>
    </row>
    <row r="1245" spans="27:50" ht="38.25" x14ac:dyDescent="0.2">
      <c r="AA1245" s="240" t="s">
        <v>288</v>
      </c>
      <c r="AB1245" s="138" t="s">
        <v>912</v>
      </c>
      <c r="AC1245" s="96"/>
      <c r="AD1245" s="44"/>
      <c r="AE1245" s="96"/>
      <c r="AF1245" s="96"/>
      <c r="AG1245" s="96"/>
      <c r="AH1245" s="96"/>
      <c r="AI1245" s="96"/>
      <c r="AJ1245" s="43"/>
      <c r="AK1245" s="44"/>
      <c r="AL1245" s="44"/>
      <c r="AM1245" s="44"/>
      <c r="AN1245" s="97"/>
      <c r="AO1245" s="44"/>
      <c r="AP1245" s="44"/>
      <c r="AQ1245" s="97"/>
      <c r="AR1245" s="96"/>
      <c r="AS1245" s="97"/>
      <c r="AT1245" s="40"/>
      <c r="AU1245" s="43"/>
      <c r="AV1245" s="44"/>
      <c r="AW1245" s="44"/>
      <c r="AX1245" s="32"/>
    </row>
    <row r="1246" spans="27:50" x14ac:dyDescent="0.2">
      <c r="AA1246" s="94" t="s">
        <v>913</v>
      </c>
      <c r="AB1246" s="95" t="s">
        <v>233</v>
      </c>
      <c r="AC1246" s="96"/>
      <c r="AD1246" s="44">
        <v>0</v>
      </c>
      <c r="AE1246" s="96">
        <v>0</v>
      </c>
      <c r="AF1246" s="96">
        <v>0</v>
      </c>
      <c r="AG1246" s="43">
        <v>136150000</v>
      </c>
      <c r="AH1246" s="96"/>
      <c r="AI1246" s="136">
        <f>AE1246-AF1246+AG1246-AH1246</f>
        <v>136150000</v>
      </c>
      <c r="AJ1246" s="43">
        <f>AD1246+AI1246</f>
        <v>136150000</v>
      </c>
      <c r="AK1246" s="44">
        <v>0</v>
      </c>
      <c r="AL1246" s="115">
        <v>0</v>
      </c>
      <c r="AM1246" s="114">
        <v>94724710</v>
      </c>
      <c r="AN1246" s="97">
        <v>0</v>
      </c>
      <c r="AO1246" s="43">
        <v>0</v>
      </c>
      <c r="AP1246" s="43">
        <v>94724710</v>
      </c>
      <c r="AQ1246" s="43">
        <v>0</v>
      </c>
      <c r="AR1246" s="43">
        <v>2100000</v>
      </c>
      <c r="AS1246" s="43">
        <v>2100000</v>
      </c>
      <c r="AT1246" s="39">
        <f t="shared" ref="AT1246" si="477">AQ1246+AS1246</f>
        <v>2100000</v>
      </c>
      <c r="AU1246" s="110">
        <f>AJ1246-AM1246</f>
        <v>41425290</v>
      </c>
      <c r="AV1246" s="133">
        <f>AM1246-AP1246</f>
        <v>0</v>
      </c>
      <c r="AW1246" s="18">
        <f>AP1246-AT1246</f>
        <v>92624710</v>
      </c>
      <c r="AX1246" s="123">
        <f>AP1246/AJ1246</f>
        <v>0.69573786265148729</v>
      </c>
    </row>
    <row r="1247" spans="27:50" x14ac:dyDescent="0.2">
      <c r="AA1247" s="94"/>
      <c r="AB1247" s="95"/>
      <c r="AC1247" s="96"/>
      <c r="AD1247" s="44"/>
      <c r="AE1247" s="96"/>
      <c r="AF1247" s="96"/>
      <c r="AG1247" s="43"/>
      <c r="AH1247" s="96"/>
      <c r="AI1247" s="136"/>
      <c r="AJ1247" s="43"/>
      <c r="AK1247" s="44"/>
      <c r="AL1247" s="115"/>
      <c r="AM1247" s="114"/>
      <c r="AN1247" s="97"/>
      <c r="AO1247" s="43"/>
      <c r="AP1247" s="43"/>
      <c r="AQ1247" s="43"/>
      <c r="AR1247" s="96"/>
      <c r="AS1247" s="97"/>
      <c r="AT1247" s="135"/>
      <c r="AU1247" s="110"/>
      <c r="AV1247" s="133"/>
      <c r="AW1247" s="18"/>
      <c r="AX1247" s="123"/>
    </row>
    <row r="1248" spans="27:50" x14ac:dyDescent="0.2">
      <c r="AA1248" s="170" t="s">
        <v>288</v>
      </c>
      <c r="AB1248" s="165" t="s">
        <v>1164</v>
      </c>
      <c r="AC1248" s="237"/>
      <c r="AD1248" s="44"/>
      <c r="AE1248" s="96"/>
      <c r="AF1248" s="96"/>
      <c r="AG1248" s="43"/>
      <c r="AH1248" s="96"/>
      <c r="AI1248" s="136"/>
      <c r="AJ1248" s="43"/>
      <c r="AK1248" s="44"/>
      <c r="AL1248" s="115"/>
      <c r="AM1248" s="114"/>
      <c r="AN1248" s="97"/>
      <c r="AO1248" s="43"/>
      <c r="AP1248" s="43"/>
      <c r="AQ1248" s="43"/>
      <c r="AR1248" s="96"/>
      <c r="AS1248" s="97"/>
      <c r="AT1248" s="135"/>
      <c r="AU1248" s="110"/>
      <c r="AV1248" s="133"/>
      <c r="AW1248" s="18"/>
      <c r="AX1248" s="123"/>
    </row>
    <row r="1249" spans="2:50" x14ac:dyDescent="0.2">
      <c r="AA1249" s="166" t="s">
        <v>1165</v>
      </c>
      <c r="AB1249" s="167" t="s">
        <v>1015</v>
      </c>
      <c r="AC1249" s="237"/>
      <c r="AD1249" s="44">
        <v>0</v>
      </c>
      <c r="AE1249" s="43">
        <v>400000000</v>
      </c>
      <c r="AF1249" s="216">
        <v>0</v>
      </c>
      <c r="AG1249" s="216">
        <v>0</v>
      </c>
      <c r="AH1249" s="216">
        <v>0</v>
      </c>
      <c r="AI1249" s="136">
        <f>AE1249-AF1249+AG1249-AH1249</f>
        <v>400000000</v>
      </c>
      <c r="AJ1249" s="43">
        <f>AD1249+AI1249</f>
        <v>400000000</v>
      </c>
      <c r="AK1249" s="44">
        <v>0</v>
      </c>
      <c r="AL1249" s="115">
        <v>0</v>
      </c>
      <c r="AM1249" s="114">
        <v>0</v>
      </c>
      <c r="AN1249" s="97">
        <v>0</v>
      </c>
      <c r="AO1249" s="43">
        <v>0</v>
      </c>
      <c r="AP1249" s="43">
        <v>0</v>
      </c>
      <c r="AQ1249" s="43">
        <v>0</v>
      </c>
      <c r="AR1249" s="96">
        <v>0</v>
      </c>
      <c r="AS1249" s="97">
        <v>0</v>
      </c>
      <c r="AT1249" s="39">
        <f t="shared" ref="AT1249" si="478">AQ1249+AS1249</f>
        <v>0</v>
      </c>
      <c r="AU1249" s="110">
        <f>AJ1249-AM1249</f>
        <v>400000000</v>
      </c>
      <c r="AV1249" s="133">
        <f>AM1249-AP1249</f>
        <v>0</v>
      </c>
      <c r="AW1249" s="18">
        <f>AP1249-AT1249</f>
        <v>0</v>
      </c>
      <c r="AX1249" s="123">
        <f>AP1249/AJ1249</f>
        <v>0</v>
      </c>
    </row>
    <row r="1250" spans="2:50" ht="25.5" x14ac:dyDescent="0.2">
      <c r="AA1250" s="238" t="s">
        <v>288</v>
      </c>
      <c r="AB1250" s="239" t="s">
        <v>778</v>
      </c>
      <c r="AC1250" s="91"/>
      <c r="AD1250" s="18"/>
      <c r="AE1250" s="92"/>
      <c r="AF1250" s="92"/>
      <c r="AG1250" s="92"/>
      <c r="AH1250" s="92"/>
      <c r="AI1250" s="92"/>
      <c r="AJ1250" s="18"/>
      <c r="AK1250" s="34"/>
      <c r="AL1250" s="18"/>
      <c r="AM1250" s="18"/>
      <c r="AN1250" s="92"/>
      <c r="AO1250" s="18"/>
      <c r="AP1250" s="18"/>
      <c r="AQ1250" s="92"/>
      <c r="AR1250" s="92"/>
      <c r="AS1250" s="92"/>
      <c r="AT1250" s="30"/>
      <c r="AU1250" s="18"/>
      <c r="AV1250" s="18"/>
      <c r="AW1250" s="18"/>
      <c r="AX1250" s="92"/>
    </row>
    <row r="1251" spans="2:50" x14ac:dyDescent="0.2">
      <c r="AA1251" s="94" t="s">
        <v>823</v>
      </c>
      <c r="AB1251" s="95" t="s">
        <v>824</v>
      </c>
      <c r="AC1251" s="96" t="s">
        <v>794</v>
      </c>
      <c r="AD1251" s="43">
        <v>68497522112</v>
      </c>
      <c r="AE1251" s="43">
        <v>11382993803</v>
      </c>
      <c r="AF1251" s="216">
        <v>0</v>
      </c>
      <c r="AG1251" s="216">
        <v>0</v>
      </c>
      <c r="AH1251" s="216">
        <v>0</v>
      </c>
      <c r="AI1251" s="136">
        <f t="shared" ref="AI1251:AI1256" si="479">AE1251-AF1251+AG1251-AH1251</f>
        <v>11382993803</v>
      </c>
      <c r="AJ1251" s="43">
        <f t="shared" ref="AJ1251:AJ1256" si="480">AD1251+AI1251</f>
        <v>79880515915</v>
      </c>
      <c r="AK1251" s="44">
        <v>0</v>
      </c>
      <c r="AL1251" s="44">
        <v>0</v>
      </c>
      <c r="AM1251" s="18">
        <v>68497522112</v>
      </c>
      <c r="AN1251" s="34">
        <v>0</v>
      </c>
      <c r="AO1251" s="18">
        <v>6711410086</v>
      </c>
      <c r="AP1251" s="43">
        <v>32900645315</v>
      </c>
      <c r="AQ1251" s="44">
        <v>0</v>
      </c>
      <c r="AR1251" s="18">
        <v>6711410086</v>
      </c>
      <c r="AS1251" s="43">
        <v>32900645315</v>
      </c>
      <c r="AT1251" s="111">
        <f t="shared" si="459"/>
        <v>32900645315</v>
      </c>
      <c r="AU1251" s="18">
        <f t="shared" ref="AU1251:AU1256" si="481">AJ1251-AM1251</f>
        <v>11382993803</v>
      </c>
      <c r="AV1251" s="18">
        <f t="shared" ref="AV1251:AV1256" si="482">AM1251-AP1251</f>
        <v>35596876797</v>
      </c>
      <c r="AW1251" s="133">
        <f t="shared" ref="AW1251:AW1256" si="483">AP1251-AT1251</f>
        <v>0</v>
      </c>
      <c r="AX1251" s="123">
        <f t="shared" ref="AX1251:AX1256" si="484">AP1251/AJ1251</f>
        <v>0.41187322012303007</v>
      </c>
    </row>
    <row r="1252" spans="2:50" x14ac:dyDescent="0.2">
      <c r="AA1252" s="94" t="s">
        <v>825</v>
      </c>
      <c r="AB1252" s="95" t="s">
        <v>826</v>
      </c>
      <c r="AC1252" s="96" t="s">
        <v>802</v>
      </c>
      <c r="AD1252" s="43">
        <v>6053442339</v>
      </c>
      <c r="AE1252" s="96">
        <v>0</v>
      </c>
      <c r="AF1252" s="216">
        <v>0</v>
      </c>
      <c r="AG1252" s="216">
        <v>0</v>
      </c>
      <c r="AH1252" s="216">
        <v>0</v>
      </c>
      <c r="AI1252" s="97">
        <f t="shared" si="479"/>
        <v>0</v>
      </c>
      <c r="AJ1252" s="43">
        <f t="shared" si="480"/>
        <v>6053442339</v>
      </c>
      <c r="AK1252" s="44">
        <v>0</v>
      </c>
      <c r="AL1252" s="44">
        <v>0</v>
      </c>
      <c r="AM1252" s="18">
        <v>3247805756</v>
      </c>
      <c r="AN1252" s="34">
        <v>0</v>
      </c>
      <c r="AO1252" s="18">
        <v>476107892</v>
      </c>
      <c r="AP1252" s="43">
        <v>1466158525.01</v>
      </c>
      <c r="AQ1252" s="44">
        <v>0</v>
      </c>
      <c r="AR1252" s="18">
        <v>476107892</v>
      </c>
      <c r="AS1252" s="43">
        <v>1466158525.01</v>
      </c>
      <c r="AT1252" s="111">
        <f t="shared" si="459"/>
        <v>1466158525.01</v>
      </c>
      <c r="AU1252" s="18">
        <f t="shared" si="481"/>
        <v>2805636583</v>
      </c>
      <c r="AV1252" s="18">
        <f t="shared" si="482"/>
        <v>1781647230.99</v>
      </c>
      <c r="AW1252" s="133">
        <f t="shared" si="483"/>
        <v>0</v>
      </c>
      <c r="AX1252" s="123">
        <f t="shared" si="484"/>
        <v>0.24220244332123306</v>
      </c>
    </row>
    <row r="1253" spans="2:50" ht="25.5" x14ac:dyDescent="0.2">
      <c r="AA1253" s="94" t="s">
        <v>827</v>
      </c>
      <c r="AB1253" s="95" t="s">
        <v>776</v>
      </c>
      <c r="AC1253" s="96" t="s">
        <v>777</v>
      </c>
      <c r="AD1253" s="43">
        <v>5590188172</v>
      </c>
      <c r="AE1253" s="96">
        <v>0</v>
      </c>
      <c r="AF1253" s="216">
        <v>0</v>
      </c>
      <c r="AG1253" s="216">
        <v>0</v>
      </c>
      <c r="AH1253" s="216">
        <v>0</v>
      </c>
      <c r="AI1253" s="97">
        <f t="shared" si="479"/>
        <v>0</v>
      </c>
      <c r="AJ1253" s="43">
        <f t="shared" si="480"/>
        <v>5590188172</v>
      </c>
      <c r="AK1253" s="44">
        <v>0</v>
      </c>
      <c r="AL1253" s="44">
        <v>0</v>
      </c>
      <c r="AM1253" s="18">
        <v>188387793</v>
      </c>
      <c r="AN1253" s="34">
        <v>0</v>
      </c>
      <c r="AO1253" s="34">
        <v>0</v>
      </c>
      <c r="AP1253" s="43">
        <v>188387793</v>
      </c>
      <c r="AQ1253" s="44">
        <v>0</v>
      </c>
      <c r="AR1253" s="18">
        <v>0</v>
      </c>
      <c r="AS1253" s="43">
        <v>188387793</v>
      </c>
      <c r="AT1253" s="111">
        <f t="shared" si="459"/>
        <v>188387793</v>
      </c>
      <c r="AU1253" s="18">
        <f t="shared" si="481"/>
        <v>5401800379</v>
      </c>
      <c r="AV1253" s="18">
        <f t="shared" si="482"/>
        <v>0</v>
      </c>
      <c r="AW1253" s="133">
        <f t="shared" si="483"/>
        <v>0</v>
      </c>
      <c r="AX1253" s="123">
        <f t="shared" si="484"/>
        <v>3.3699723015334665E-2</v>
      </c>
    </row>
    <row r="1254" spans="2:50" ht="16.5" customHeight="1" x14ac:dyDescent="0.2">
      <c r="AA1254" s="94" t="s">
        <v>828</v>
      </c>
      <c r="AB1254" s="95" t="s">
        <v>829</v>
      </c>
      <c r="AC1254" s="96" t="s">
        <v>789</v>
      </c>
      <c r="AD1254" s="43">
        <v>134040044112</v>
      </c>
      <c r="AE1254" s="96">
        <v>0</v>
      </c>
      <c r="AF1254" s="216">
        <v>0</v>
      </c>
      <c r="AG1254" s="216">
        <v>0</v>
      </c>
      <c r="AH1254" s="216">
        <v>0</v>
      </c>
      <c r="AI1254" s="97">
        <f t="shared" si="479"/>
        <v>0</v>
      </c>
      <c r="AJ1254" s="43">
        <f t="shared" si="480"/>
        <v>134040044112</v>
      </c>
      <c r="AK1254" s="44">
        <v>0</v>
      </c>
      <c r="AL1254" s="44">
        <v>0</v>
      </c>
      <c r="AM1254" s="18">
        <v>129958738901</v>
      </c>
      <c r="AN1254" s="34">
        <v>0</v>
      </c>
      <c r="AO1254" s="179">
        <v>8491343560.1899996</v>
      </c>
      <c r="AP1254" s="43">
        <v>50859437387.790001</v>
      </c>
      <c r="AQ1254" s="44">
        <v>0</v>
      </c>
      <c r="AR1254" s="18">
        <v>8491343560.1899996</v>
      </c>
      <c r="AS1254" s="43">
        <v>50859437387.790001</v>
      </c>
      <c r="AT1254" s="111">
        <f t="shared" si="459"/>
        <v>50859437387.790001</v>
      </c>
      <c r="AU1254" s="18">
        <f t="shared" si="481"/>
        <v>4081305211</v>
      </c>
      <c r="AV1254" s="18">
        <f t="shared" si="482"/>
        <v>79099301513.209991</v>
      </c>
      <c r="AW1254" s="133">
        <f t="shared" si="483"/>
        <v>0</v>
      </c>
      <c r="AX1254" s="123">
        <f t="shared" si="484"/>
        <v>0.37943465122477371</v>
      </c>
    </row>
    <row r="1255" spans="2:50" ht="25.5" x14ac:dyDescent="0.2">
      <c r="AA1255" s="94" t="s">
        <v>830</v>
      </c>
      <c r="AB1255" s="95" t="s">
        <v>831</v>
      </c>
      <c r="AC1255" s="96" t="s">
        <v>832</v>
      </c>
      <c r="AD1255" s="43">
        <v>12909348026</v>
      </c>
      <c r="AE1255" s="43">
        <v>955692586</v>
      </c>
      <c r="AF1255" s="216">
        <v>0</v>
      </c>
      <c r="AG1255" s="216">
        <v>0</v>
      </c>
      <c r="AH1255" s="216">
        <v>0</v>
      </c>
      <c r="AI1255" s="136">
        <f t="shared" si="479"/>
        <v>955692586</v>
      </c>
      <c r="AJ1255" s="43">
        <f t="shared" si="480"/>
        <v>13865040612</v>
      </c>
      <c r="AK1255" s="44">
        <v>0</v>
      </c>
      <c r="AL1255" s="44">
        <v>0</v>
      </c>
      <c r="AM1255" s="18">
        <v>12909348026</v>
      </c>
      <c r="AN1255" s="34">
        <v>0</v>
      </c>
      <c r="AO1255" s="18">
        <v>2558771422.5300002</v>
      </c>
      <c r="AP1255" s="43">
        <v>6478036311.4799995</v>
      </c>
      <c r="AQ1255" s="44">
        <v>0</v>
      </c>
      <c r="AR1255" s="43">
        <v>2558771422.5300002</v>
      </c>
      <c r="AS1255" s="43">
        <v>6478036311.4799995</v>
      </c>
      <c r="AT1255" s="111">
        <f t="shared" si="459"/>
        <v>6478036311.4799995</v>
      </c>
      <c r="AU1255" s="18">
        <f t="shared" si="481"/>
        <v>955692586</v>
      </c>
      <c r="AV1255" s="18">
        <f t="shared" si="482"/>
        <v>6431311714.5200005</v>
      </c>
      <c r="AW1255" s="133">
        <f t="shared" si="483"/>
        <v>0</v>
      </c>
      <c r="AX1255" s="123">
        <f t="shared" si="484"/>
        <v>0.46722086813603336</v>
      </c>
    </row>
    <row r="1256" spans="2:50" ht="26.25" thickBot="1" x14ac:dyDescent="0.25">
      <c r="AA1256" s="221" t="s">
        <v>1195</v>
      </c>
      <c r="AB1256" s="95" t="s">
        <v>1196</v>
      </c>
      <c r="AC1256" s="96"/>
      <c r="AD1256" s="44">
        <v>0</v>
      </c>
      <c r="AE1256" s="43">
        <v>969348211.46000004</v>
      </c>
      <c r="AF1256" s="216">
        <v>0</v>
      </c>
      <c r="AG1256" s="216">
        <v>0</v>
      </c>
      <c r="AH1256" s="216">
        <v>0</v>
      </c>
      <c r="AI1256" s="136">
        <f t="shared" si="479"/>
        <v>969348211.46000004</v>
      </c>
      <c r="AJ1256" s="43">
        <f t="shared" si="480"/>
        <v>969348211.46000004</v>
      </c>
      <c r="AK1256" s="44">
        <v>0</v>
      </c>
      <c r="AL1256" s="44">
        <v>0</v>
      </c>
      <c r="AM1256" s="34">
        <v>0</v>
      </c>
      <c r="AN1256" s="34">
        <v>0</v>
      </c>
      <c r="AO1256" s="34">
        <v>0</v>
      </c>
      <c r="AP1256" s="44">
        <v>0</v>
      </c>
      <c r="AQ1256" s="44">
        <v>0</v>
      </c>
      <c r="AR1256" s="44">
        <v>0</v>
      </c>
      <c r="AS1256" s="44">
        <v>0</v>
      </c>
      <c r="AT1256" s="135">
        <f t="shared" ref="AT1256" si="485">AQ1256+AS1256</f>
        <v>0</v>
      </c>
      <c r="AU1256" s="18">
        <f t="shared" si="481"/>
        <v>969348211.46000004</v>
      </c>
      <c r="AV1256" s="34">
        <f t="shared" si="482"/>
        <v>0</v>
      </c>
      <c r="AW1256" s="133">
        <f t="shared" si="483"/>
        <v>0</v>
      </c>
      <c r="AX1256" s="123">
        <f t="shared" si="484"/>
        <v>0</v>
      </c>
    </row>
    <row r="1257" spans="2:50" ht="38.25" x14ac:dyDescent="0.2">
      <c r="AA1257" s="240" t="s">
        <v>288</v>
      </c>
      <c r="AB1257" s="138" t="s">
        <v>1186</v>
      </c>
      <c r="AC1257" s="96"/>
      <c r="AD1257" s="44"/>
      <c r="AE1257" s="96"/>
      <c r="AF1257" s="96"/>
      <c r="AG1257" s="96"/>
      <c r="AH1257" s="96"/>
      <c r="AI1257" s="96"/>
      <c r="AJ1257" s="43"/>
      <c r="AK1257" s="44"/>
      <c r="AL1257" s="44"/>
      <c r="AM1257" s="34"/>
      <c r="AN1257" s="34"/>
      <c r="AO1257" s="34"/>
      <c r="AP1257" s="44"/>
      <c r="AQ1257" s="44"/>
      <c r="AR1257" s="44"/>
      <c r="AS1257" s="44"/>
      <c r="AT1257" s="135"/>
      <c r="AU1257" s="133"/>
      <c r="AV1257" s="133"/>
      <c r="AW1257" s="133"/>
      <c r="AX1257" s="123"/>
    </row>
    <row r="1258" spans="2:50" x14ac:dyDescent="0.2">
      <c r="AA1258" s="173" t="s">
        <v>1187</v>
      </c>
      <c r="AB1258" s="95" t="s">
        <v>1188</v>
      </c>
      <c r="AC1258" s="96"/>
      <c r="AD1258" s="44">
        <v>0</v>
      </c>
      <c r="AE1258" s="43">
        <v>350000000</v>
      </c>
      <c r="AF1258" s="216">
        <v>0</v>
      </c>
      <c r="AG1258" s="216">
        <v>0</v>
      </c>
      <c r="AH1258" s="216">
        <v>0</v>
      </c>
      <c r="AI1258" s="136">
        <f>AE1258-AF1258+AG1258-AH1258</f>
        <v>350000000</v>
      </c>
      <c r="AJ1258" s="43">
        <f>AD1258+AI1258</f>
        <v>350000000</v>
      </c>
      <c r="AK1258" s="44">
        <v>0</v>
      </c>
      <c r="AL1258" s="44">
        <v>0</v>
      </c>
      <c r="AM1258" s="34">
        <v>0</v>
      </c>
      <c r="AN1258" s="34">
        <v>0</v>
      </c>
      <c r="AO1258" s="34">
        <v>0</v>
      </c>
      <c r="AP1258" s="44">
        <v>0</v>
      </c>
      <c r="AQ1258" s="44">
        <v>0</v>
      </c>
      <c r="AR1258" s="44">
        <v>0</v>
      </c>
      <c r="AS1258" s="44">
        <v>0</v>
      </c>
      <c r="AT1258" s="135">
        <f t="shared" ref="AT1258" si="486">AQ1258+AS1258</f>
        <v>0</v>
      </c>
      <c r="AU1258" s="18">
        <f>AJ1258-AM1258</f>
        <v>350000000</v>
      </c>
      <c r="AV1258" s="34">
        <f>AM1258-AP1258</f>
        <v>0</v>
      </c>
      <c r="AW1258" s="133">
        <f>AP1258-AT1258</f>
        <v>0</v>
      </c>
      <c r="AX1258" s="123">
        <f>AP1258/AJ1258</f>
        <v>0</v>
      </c>
    </row>
    <row r="1259" spans="2:50" x14ac:dyDescent="0.2">
      <c r="AA1259" s="89"/>
      <c r="AB1259" s="91"/>
      <c r="AC1259" s="91"/>
      <c r="AD1259" s="18"/>
      <c r="AE1259" s="92"/>
      <c r="AF1259" s="92"/>
      <c r="AG1259" s="92"/>
      <c r="AH1259" s="92"/>
      <c r="AI1259" s="92"/>
      <c r="AJ1259" s="92"/>
      <c r="AK1259" s="98"/>
      <c r="AL1259" s="92"/>
      <c r="AM1259" s="92"/>
      <c r="AN1259" s="92"/>
      <c r="AO1259" s="92"/>
      <c r="AP1259" s="92"/>
      <c r="AQ1259" s="98"/>
      <c r="AR1259" s="92"/>
      <c r="AS1259" s="92"/>
      <c r="AT1259" s="92"/>
      <c r="AU1259" s="92"/>
      <c r="AV1259" s="92"/>
      <c r="AW1259" s="92"/>
      <c r="AX1259" s="92"/>
    </row>
    <row r="1260" spans="2:50" s="50" customFormat="1" x14ac:dyDescent="0.2">
      <c r="B1260" s="77"/>
      <c r="C1260" s="77"/>
      <c r="D1260" s="77"/>
      <c r="E1260" s="77"/>
      <c r="F1260" s="77"/>
      <c r="G1260" s="77"/>
      <c r="H1260" s="77"/>
      <c r="I1260" s="77"/>
      <c r="J1260" s="77"/>
      <c r="K1260" s="77"/>
      <c r="L1260" s="77"/>
      <c r="M1260" s="77"/>
      <c r="N1260" s="77"/>
      <c r="O1260" s="77"/>
      <c r="P1260" s="77"/>
      <c r="Q1260" s="77"/>
      <c r="R1260" s="77"/>
      <c r="S1260" s="77"/>
      <c r="T1260" s="77"/>
      <c r="U1260" s="77"/>
      <c r="V1260" s="77"/>
      <c r="W1260" s="77"/>
      <c r="X1260" s="77"/>
      <c r="Y1260" s="77"/>
      <c r="Z1260" s="77"/>
      <c r="AA1260" s="46"/>
      <c r="AB1260" s="47" t="s">
        <v>833</v>
      </c>
      <c r="AC1260" s="47"/>
      <c r="AD1260" s="48">
        <f t="shared" ref="AD1260:AW1260" si="487">SUM(AD1184:AD1259)</f>
        <v>260924476092</v>
      </c>
      <c r="AE1260" s="48">
        <f t="shared" si="487"/>
        <v>18437721256.829998</v>
      </c>
      <c r="AF1260" s="49">
        <f t="shared" si="487"/>
        <v>0</v>
      </c>
      <c r="AG1260" s="48">
        <f t="shared" si="487"/>
        <v>5672720240</v>
      </c>
      <c r="AH1260" s="48">
        <f t="shared" si="487"/>
        <v>5672720240</v>
      </c>
      <c r="AI1260" s="48">
        <f t="shared" si="487"/>
        <v>18437721256.830002</v>
      </c>
      <c r="AJ1260" s="48">
        <f t="shared" si="487"/>
        <v>279362197348.83002</v>
      </c>
      <c r="AK1260" s="49">
        <f t="shared" si="487"/>
        <v>0</v>
      </c>
      <c r="AL1260" s="48">
        <f t="shared" si="487"/>
        <v>536283718</v>
      </c>
      <c r="AM1260" s="48">
        <f t="shared" si="487"/>
        <v>222422249576</v>
      </c>
      <c r="AN1260" s="48">
        <f t="shared" si="487"/>
        <v>0</v>
      </c>
      <c r="AO1260" s="48">
        <f t="shared" si="487"/>
        <v>18568562858.719997</v>
      </c>
      <c r="AP1260" s="48">
        <f t="shared" si="487"/>
        <v>98990043666.279999</v>
      </c>
      <c r="AQ1260" s="48">
        <f t="shared" si="487"/>
        <v>99643333</v>
      </c>
      <c r="AR1260" s="48">
        <f t="shared" si="487"/>
        <v>18811127708.719997</v>
      </c>
      <c r="AS1260" s="48">
        <f t="shared" si="487"/>
        <v>93232671808.279999</v>
      </c>
      <c r="AT1260" s="48">
        <f t="shared" si="487"/>
        <v>93332315141.279999</v>
      </c>
      <c r="AU1260" s="48">
        <f t="shared" si="487"/>
        <v>56939947772.829994</v>
      </c>
      <c r="AV1260" s="48">
        <f t="shared" si="487"/>
        <v>123432205909.71999</v>
      </c>
      <c r="AW1260" s="48">
        <f t="shared" si="487"/>
        <v>5657728525</v>
      </c>
      <c r="AX1260" s="24">
        <f>AP1260/AJ1260</f>
        <v>0.35434301636264165</v>
      </c>
    </row>
    <row r="1265" spans="28:31" ht="13.5" thickBot="1" x14ac:dyDescent="0.25">
      <c r="AB1265" s="152"/>
    </row>
    <row r="1266" spans="28:31" ht="15.75" x14ac:dyDescent="0.2">
      <c r="AB1266" s="153" t="s">
        <v>914</v>
      </c>
    </row>
    <row r="1267" spans="28:31" x14ac:dyDescent="0.2">
      <c r="AB1267" s="154" t="s">
        <v>916</v>
      </c>
    </row>
    <row r="1268" spans="28:31" x14ac:dyDescent="0.2">
      <c r="AB1268" s="154" t="s">
        <v>917</v>
      </c>
    </row>
    <row r="1272" spans="28:31" x14ac:dyDescent="0.2">
      <c r="AE1272" s="188" t="s">
        <v>980</v>
      </c>
    </row>
  </sheetData>
  <mergeCells count="23">
    <mergeCell ref="AX7:AX8"/>
    <mergeCell ref="AK7:AM7"/>
    <mergeCell ref="AN7:AP7"/>
    <mergeCell ref="AQ7:AS7"/>
    <mergeCell ref="AU7:AU8"/>
    <mergeCell ref="AV7:AV8"/>
    <mergeCell ref="AW7:AW8"/>
    <mergeCell ref="AJ7:AJ8"/>
    <mergeCell ref="A2:AW2"/>
    <mergeCell ref="A3:AW3"/>
    <mergeCell ref="A4:AW4"/>
    <mergeCell ref="A5:AW5"/>
    <mergeCell ref="A7:A9"/>
    <mergeCell ref="B7:B9"/>
    <mergeCell ref="AA7:AA9"/>
    <mergeCell ref="AB7:AB9"/>
    <mergeCell ref="AC7:AC9"/>
    <mergeCell ref="AD7:AD8"/>
    <mergeCell ref="AE7:AE8"/>
    <mergeCell ref="AF7:AF8"/>
    <mergeCell ref="AG7:AG8"/>
    <mergeCell ref="AH7:AH8"/>
    <mergeCell ref="AI7:AI8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8EF71-2D1F-4899-95C5-965A9BC1BE4F}">
  <dimension ref="A1:AZ1316"/>
  <sheetViews>
    <sheetView zoomScale="80" zoomScaleNormal="80" workbookViewId="0">
      <pane xSplit="29" ySplit="10" topLeftCell="AN11" activePane="bottomRight" state="frozen"/>
      <selection pane="topRight" activeCell="AD1" sqref="AD1"/>
      <selection pane="bottomLeft" activeCell="A11" sqref="A11"/>
      <selection pane="bottomRight" activeCell="AR31" sqref="AR31"/>
    </sheetView>
  </sheetViews>
  <sheetFormatPr baseColWidth="10" defaultColWidth="9.140625" defaultRowHeight="12.75" x14ac:dyDescent="0.2"/>
  <cols>
    <col min="1" max="1" width="7" style="33" customWidth="1"/>
    <col min="2" max="2" width="38.42578125" style="51" hidden="1" customWidth="1"/>
    <col min="3" max="3" width="27.7109375" style="51" hidden="1" customWidth="1"/>
    <col min="4" max="4" width="18.7109375" style="51" hidden="1" customWidth="1"/>
    <col min="5" max="5" width="13.85546875" style="51" hidden="1" customWidth="1"/>
    <col min="6" max="6" width="14.42578125" style="51" hidden="1" customWidth="1"/>
    <col min="7" max="7" width="10.85546875" style="51" hidden="1" customWidth="1"/>
    <col min="8" max="8" width="9.85546875" style="51" hidden="1" customWidth="1"/>
    <col min="9" max="9" width="23" style="51" hidden="1" customWidth="1"/>
    <col min="10" max="10" width="14.5703125" style="51" hidden="1" customWidth="1"/>
    <col min="11" max="11" width="18.85546875" style="51" hidden="1" customWidth="1"/>
    <col min="12" max="12" width="12" style="51" hidden="1" customWidth="1"/>
    <col min="13" max="13" width="16.85546875" style="51" hidden="1" customWidth="1"/>
    <col min="14" max="14" width="20.5703125" style="51" hidden="1" customWidth="1"/>
    <col min="15" max="15" width="22.7109375" style="51" hidden="1" customWidth="1"/>
    <col min="16" max="16" width="29" style="51" hidden="1" customWidth="1"/>
    <col min="17" max="17" width="20" style="51" hidden="1" customWidth="1"/>
    <col min="18" max="19" width="23.5703125" style="51" hidden="1" customWidth="1"/>
    <col min="20" max="20" width="27.140625" style="51" hidden="1" customWidth="1"/>
    <col min="21" max="21" width="25.5703125" style="51" hidden="1" customWidth="1"/>
    <col min="22" max="22" width="18.85546875" style="51" hidden="1" customWidth="1"/>
    <col min="23" max="23" width="18.5703125" style="51" hidden="1" customWidth="1"/>
    <col min="24" max="24" width="20.85546875" style="51" hidden="1" customWidth="1"/>
    <col min="25" max="26" width="29.7109375" style="51" hidden="1" customWidth="1"/>
    <col min="27" max="27" width="37.5703125" style="99" customWidth="1"/>
    <col min="28" max="28" width="60.140625" style="51" customWidth="1"/>
    <col min="29" max="29" width="60.7109375" style="51" hidden="1" customWidth="1"/>
    <col min="30" max="30" width="23.42578125" style="33" customWidth="1"/>
    <col min="31" max="31" width="22.5703125" style="33" hidden="1" customWidth="1"/>
    <col min="32" max="32" width="20.7109375" style="33" hidden="1" customWidth="1"/>
    <col min="33" max="33" width="22" style="33" hidden="1" customWidth="1"/>
    <col min="34" max="34" width="27.85546875" style="33" hidden="1" customWidth="1"/>
    <col min="35" max="35" width="22.140625" style="33" hidden="1" customWidth="1"/>
    <col min="36" max="36" width="26" style="33" customWidth="1"/>
    <col min="37" max="37" width="24.140625" style="33" hidden="1" customWidth="1"/>
    <col min="38" max="39" width="27.7109375" style="33" hidden="1" customWidth="1"/>
    <col min="40" max="40" width="20.7109375" style="33" customWidth="1"/>
    <col min="41" max="41" width="22.42578125" style="33" customWidth="1"/>
    <col min="42" max="42" width="23.42578125" style="33" customWidth="1"/>
    <col min="43" max="43" width="20.7109375" style="33" customWidth="1"/>
    <col min="44" max="44" width="22.28515625" style="33" customWidth="1"/>
    <col min="45" max="45" width="23.7109375" style="33" customWidth="1"/>
    <col min="46" max="46" width="22.28515625" style="33" customWidth="1"/>
    <col min="47" max="47" width="23" style="33" customWidth="1"/>
    <col min="48" max="48" width="23.42578125" style="33" customWidth="1"/>
    <col min="49" max="49" width="24.140625" style="33" customWidth="1"/>
    <col min="50" max="50" width="12.140625" style="33" customWidth="1"/>
    <col min="51" max="281" width="9.140625" style="33"/>
    <col min="282" max="283" width="0" style="33" hidden="1" customWidth="1"/>
    <col min="284" max="284" width="29.42578125" style="33" customWidth="1"/>
    <col min="285" max="285" width="75.7109375" style="33" customWidth="1"/>
    <col min="286" max="286" width="0" style="33" hidden="1" customWidth="1"/>
    <col min="287" max="305" width="20.7109375" style="33" customWidth="1"/>
    <col min="306" max="306" width="12.140625" style="33" customWidth="1"/>
    <col min="307" max="537" width="9.140625" style="33"/>
    <col min="538" max="539" width="0" style="33" hidden="1" customWidth="1"/>
    <col min="540" max="540" width="29.42578125" style="33" customWidth="1"/>
    <col min="541" max="541" width="75.7109375" style="33" customWidth="1"/>
    <col min="542" max="542" width="0" style="33" hidden="1" customWidth="1"/>
    <col min="543" max="561" width="20.7109375" style="33" customWidth="1"/>
    <col min="562" max="562" width="12.140625" style="33" customWidth="1"/>
    <col min="563" max="793" width="9.140625" style="33"/>
    <col min="794" max="795" width="0" style="33" hidden="1" customWidth="1"/>
    <col min="796" max="796" width="29.42578125" style="33" customWidth="1"/>
    <col min="797" max="797" width="75.7109375" style="33" customWidth="1"/>
    <col min="798" max="798" width="0" style="33" hidden="1" customWidth="1"/>
    <col min="799" max="817" width="20.7109375" style="33" customWidth="1"/>
    <col min="818" max="818" width="12.140625" style="33" customWidth="1"/>
    <col min="819" max="1049" width="9.140625" style="33"/>
    <col min="1050" max="1051" width="0" style="33" hidden="1" customWidth="1"/>
    <col min="1052" max="1052" width="29.42578125" style="33" customWidth="1"/>
    <col min="1053" max="1053" width="75.7109375" style="33" customWidth="1"/>
    <col min="1054" max="1054" width="0" style="33" hidden="1" customWidth="1"/>
    <col min="1055" max="1073" width="20.7109375" style="33" customWidth="1"/>
    <col min="1074" max="1074" width="12.140625" style="33" customWidth="1"/>
    <col min="1075" max="1305" width="9.140625" style="33"/>
    <col min="1306" max="1307" width="0" style="33" hidden="1" customWidth="1"/>
    <col min="1308" max="1308" width="29.42578125" style="33" customWidth="1"/>
    <col min="1309" max="1309" width="75.7109375" style="33" customWidth="1"/>
    <col min="1310" max="1310" width="0" style="33" hidden="1" customWidth="1"/>
    <col min="1311" max="1329" width="20.7109375" style="33" customWidth="1"/>
    <col min="1330" max="1330" width="12.140625" style="33" customWidth="1"/>
    <col min="1331" max="1561" width="9.140625" style="33"/>
    <col min="1562" max="1563" width="0" style="33" hidden="1" customWidth="1"/>
    <col min="1564" max="1564" width="29.42578125" style="33" customWidth="1"/>
    <col min="1565" max="1565" width="75.7109375" style="33" customWidth="1"/>
    <col min="1566" max="1566" width="0" style="33" hidden="1" customWidth="1"/>
    <col min="1567" max="1585" width="20.7109375" style="33" customWidth="1"/>
    <col min="1586" max="1586" width="12.140625" style="33" customWidth="1"/>
    <col min="1587" max="1817" width="9.140625" style="33"/>
    <col min="1818" max="1819" width="0" style="33" hidden="1" customWidth="1"/>
    <col min="1820" max="1820" width="29.42578125" style="33" customWidth="1"/>
    <col min="1821" max="1821" width="75.7109375" style="33" customWidth="1"/>
    <col min="1822" max="1822" width="0" style="33" hidden="1" customWidth="1"/>
    <col min="1823" max="1841" width="20.7109375" style="33" customWidth="1"/>
    <col min="1842" max="1842" width="12.140625" style="33" customWidth="1"/>
    <col min="1843" max="2073" width="9.140625" style="33"/>
    <col min="2074" max="2075" width="0" style="33" hidden="1" customWidth="1"/>
    <col min="2076" max="2076" width="29.42578125" style="33" customWidth="1"/>
    <col min="2077" max="2077" width="75.7109375" style="33" customWidth="1"/>
    <col min="2078" max="2078" width="0" style="33" hidden="1" customWidth="1"/>
    <col min="2079" max="2097" width="20.7109375" style="33" customWidth="1"/>
    <col min="2098" max="2098" width="12.140625" style="33" customWidth="1"/>
    <col min="2099" max="2329" width="9.140625" style="33"/>
    <col min="2330" max="2331" width="0" style="33" hidden="1" customWidth="1"/>
    <col min="2332" max="2332" width="29.42578125" style="33" customWidth="1"/>
    <col min="2333" max="2333" width="75.7109375" style="33" customWidth="1"/>
    <col min="2334" max="2334" width="0" style="33" hidden="1" customWidth="1"/>
    <col min="2335" max="2353" width="20.7109375" style="33" customWidth="1"/>
    <col min="2354" max="2354" width="12.140625" style="33" customWidth="1"/>
    <col min="2355" max="2585" width="9.140625" style="33"/>
    <col min="2586" max="2587" width="0" style="33" hidden="1" customWidth="1"/>
    <col min="2588" max="2588" width="29.42578125" style="33" customWidth="1"/>
    <col min="2589" max="2589" width="75.7109375" style="33" customWidth="1"/>
    <col min="2590" max="2590" width="0" style="33" hidden="1" customWidth="1"/>
    <col min="2591" max="2609" width="20.7109375" style="33" customWidth="1"/>
    <col min="2610" max="2610" width="12.140625" style="33" customWidth="1"/>
    <col min="2611" max="2841" width="9.140625" style="33"/>
    <col min="2842" max="2843" width="0" style="33" hidden="1" customWidth="1"/>
    <col min="2844" max="2844" width="29.42578125" style="33" customWidth="1"/>
    <col min="2845" max="2845" width="75.7109375" style="33" customWidth="1"/>
    <col min="2846" max="2846" width="0" style="33" hidden="1" customWidth="1"/>
    <col min="2847" max="2865" width="20.7109375" style="33" customWidth="1"/>
    <col min="2866" max="2866" width="12.140625" style="33" customWidth="1"/>
    <col min="2867" max="3097" width="9.140625" style="33"/>
    <col min="3098" max="3099" width="0" style="33" hidden="1" customWidth="1"/>
    <col min="3100" max="3100" width="29.42578125" style="33" customWidth="1"/>
    <col min="3101" max="3101" width="75.7109375" style="33" customWidth="1"/>
    <col min="3102" max="3102" width="0" style="33" hidden="1" customWidth="1"/>
    <col min="3103" max="3121" width="20.7109375" style="33" customWidth="1"/>
    <col min="3122" max="3122" width="12.140625" style="33" customWidth="1"/>
    <col min="3123" max="3353" width="9.140625" style="33"/>
    <col min="3354" max="3355" width="0" style="33" hidden="1" customWidth="1"/>
    <col min="3356" max="3356" width="29.42578125" style="33" customWidth="1"/>
    <col min="3357" max="3357" width="75.7109375" style="33" customWidth="1"/>
    <col min="3358" max="3358" width="0" style="33" hidden="1" customWidth="1"/>
    <col min="3359" max="3377" width="20.7109375" style="33" customWidth="1"/>
    <col min="3378" max="3378" width="12.140625" style="33" customWidth="1"/>
    <col min="3379" max="3609" width="9.140625" style="33"/>
    <col min="3610" max="3611" width="0" style="33" hidden="1" customWidth="1"/>
    <col min="3612" max="3612" width="29.42578125" style="33" customWidth="1"/>
    <col min="3613" max="3613" width="75.7109375" style="33" customWidth="1"/>
    <col min="3614" max="3614" width="0" style="33" hidden="1" customWidth="1"/>
    <col min="3615" max="3633" width="20.7109375" style="33" customWidth="1"/>
    <col min="3634" max="3634" width="12.140625" style="33" customWidth="1"/>
    <col min="3635" max="3865" width="9.140625" style="33"/>
    <col min="3866" max="3867" width="0" style="33" hidden="1" customWidth="1"/>
    <col min="3868" max="3868" width="29.42578125" style="33" customWidth="1"/>
    <col min="3869" max="3869" width="75.7109375" style="33" customWidth="1"/>
    <col min="3870" max="3870" width="0" style="33" hidden="1" customWidth="1"/>
    <col min="3871" max="3889" width="20.7109375" style="33" customWidth="1"/>
    <col min="3890" max="3890" width="12.140625" style="33" customWidth="1"/>
    <col min="3891" max="4121" width="9.140625" style="33"/>
    <col min="4122" max="4123" width="0" style="33" hidden="1" customWidth="1"/>
    <col min="4124" max="4124" width="29.42578125" style="33" customWidth="1"/>
    <col min="4125" max="4125" width="75.7109375" style="33" customWidth="1"/>
    <col min="4126" max="4126" width="0" style="33" hidden="1" customWidth="1"/>
    <col min="4127" max="4145" width="20.7109375" style="33" customWidth="1"/>
    <col min="4146" max="4146" width="12.140625" style="33" customWidth="1"/>
    <col min="4147" max="4377" width="9.140625" style="33"/>
    <col min="4378" max="4379" width="0" style="33" hidden="1" customWidth="1"/>
    <col min="4380" max="4380" width="29.42578125" style="33" customWidth="1"/>
    <col min="4381" max="4381" width="75.7109375" style="33" customWidth="1"/>
    <col min="4382" max="4382" width="0" style="33" hidden="1" customWidth="1"/>
    <col min="4383" max="4401" width="20.7109375" style="33" customWidth="1"/>
    <col min="4402" max="4402" width="12.140625" style="33" customWidth="1"/>
    <col min="4403" max="4633" width="9.140625" style="33"/>
    <col min="4634" max="4635" width="0" style="33" hidden="1" customWidth="1"/>
    <col min="4636" max="4636" width="29.42578125" style="33" customWidth="1"/>
    <col min="4637" max="4637" width="75.7109375" style="33" customWidth="1"/>
    <col min="4638" max="4638" width="0" style="33" hidden="1" customWidth="1"/>
    <col min="4639" max="4657" width="20.7109375" style="33" customWidth="1"/>
    <col min="4658" max="4658" width="12.140625" style="33" customWidth="1"/>
    <col min="4659" max="4889" width="9.140625" style="33"/>
    <col min="4890" max="4891" width="0" style="33" hidden="1" customWidth="1"/>
    <col min="4892" max="4892" width="29.42578125" style="33" customWidth="1"/>
    <col min="4893" max="4893" width="75.7109375" style="33" customWidth="1"/>
    <col min="4894" max="4894" width="0" style="33" hidden="1" customWidth="1"/>
    <col min="4895" max="4913" width="20.7109375" style="33" customWidth="1"/>
    <col min="4914" max="4914" width="12.140625" style="33" customWidth="1"/>
    <col min="4915" max="5145" width="9.140625" style="33"/>
    <col min="5146" max="5147" width="0" style="33" hidden="1" customWidth="1"/>
    <col min="5148" max="5148" width="29.42578125" style="33" customWidth="1"/>
    <col min="5149" max="5149" width="75.7109375" style="33" customWidth="1"/>
    <col min="5150" max="5150" width="0" style="33" hidden="1" customWidth="1"/>
    <col min="5151" max="5169" width="20.7109375" style="33" customWidth="1"/>
    <col min="5170" max="5170" width="12.140625" style="33" customWidth="1"/>
    <col min="5171" max="5401" width="9.140625" style="33"/>
    <col min="5402" max="5403" width="0" style="33" hidden="1" customWidth="1"/>
    <col min="5404" max="5404" width="29.42578125" style="33" customWidth="1"/>
    <col min="5405" max="5405" width="75.7109375" style="33" customWidth="1"/>
    <col min="5406" max="5406" width="0" style="33" hidden="1" customWidth="1"/>
    <col min="5407" max="5425" width="20.7109375" style="33" customWidth="1"/>
    <col min="5426" max="5426" width="12.140625" style="33" customWidth="1"/>
    <col min="5427" max="5657" width="9.140625" style="33"/>
    <col min="5658" max="5659" width="0" style="33" hidden="1" customWidth="1"/>
    <col min="5660" max="5660" width="29.42578125" style="33" customWidth="1"/>
    <col min="5661" max="5661" width="75.7109375" style="33" customWidth="1"/>
    <col min="5662" max="5662" width="0" style="33" hidden="1" customWidth="1"/>
    <col min="5663" max="5681" width="20.7109375" style="33" customWidth="1"/>
    <col min="5682" max="5682" width="12.140625" style="33" customWidth="1"/>
    <col min="5683" max="5913" width="9.140625" style="33"/>
    <col min="5914" max="5915" width="0" style="33" hidden="1" customWidth="1"/>
    <col min="5916" max="5916" width="29.42578125" style="33" customWidth="1"/>
    <col min="5917" max="5917" width="75.7109375" style="33" customWidth="1"/>
    <col min="5918" max="5918" width="0" style="33" hidden="1" customWidth="1"/>
    <col min="5919" max="5937" width="20.7109375" style="33" customWidth="1"/>
    <col min="5938" max="5938" width="12.140625" style="33" customWidth="1"/>
    <col min="5939" max="6169" width="9.140625" style="33"/>
    <col min="6170" max="6171" width="0" style="33" hidden="1" customWidth="1"/>
    <col min="6172" max="6172" width="29.42578125" style="33" customWidth="1"/>
    <col min="6173" max="6173" width="75.7109375" style="33" customWidth="1"/>
    <col min="6174" max="6174" width="0" style="33" hidden="1" customWidth="1"/>
    <col min="6175" max="6193" width="20.7109375" style="33" customWidth="1"/>
    <col min="6194" max="6194" width="12.140625" style="33" customWidth="1"/>
    <col min="6195" max="6425" width="9.140625" style="33"/>
    <col min="6426" max="6427" width="0" style="33" hidden="1" customWidth="1"/>
    <col min="6428" max="6428" width="29.42578125" style="33" customWidth="1"/>
    <col min="6429" max="6429" width="75.7109375" style="33" customWidth="1"/>
    <col min="6430" max="6430" width="0" style="33" hidden="1" customWidth="1"/>
    <col min="6431" max="6449" width="20.7109375" style="33" customWidth="1"/>
    <col min="6450" max="6450" width="12.140625" style="33" customWidth="1"/>
    <col min="6451" max="6681" width="9.140625" style="33"/>
    <col min="6682" max="6683" width="0" style="33" hidden="1" customWidth="1"/>
    <col min="6684" max="6684" width="29.42578125" style="33" customWidth="1"/>
    <col min="6685" max="6685" width="75.7109375" style="33" customWidth="1"/>
    <col min="6686" max="6686" width="0" style="33" hidden="1" customWidth="1"/>
    <col min="6687" max="6705" width="20.7109375" style="33" customWidth="1"/>
    <col min="6706" max="6706" width="12.140625" style="33" customWidth="1"/>
    <col min="6707" max="6937" width="9.140625" style="33"/>
    <col min="6938" max="6939" width="0" style="33" hidden="1" customWidth="1"/>
    <col min="6940" max="6940" width="29.42578125" style="33" customWidth="1"/>
    <col min="6941" max="6941" width="75.7109375" style="33" customWidth="1"/>
    <col min="6942" max="6942" width="0" style="33" hidden="1" customWidth="1"/>
    <col min="6943" max="6961" width="20.7109375" style="33" customWidth="1"/>
    <col min="6962" max="6962" width="12.140625" style="33" customWidth="1"/>
    <col min="6963" max="7193" width="9.140625" style="33"/>
    <col min="7194" max="7195" width="0" style="33" hidden="1" customWidth="1"/>
    <col min="7196" max="7196" width="29.42578125" style="33" customWidth="1"/>
    <col min="7197" max="7197" width="75.7109375" style="33" customWidth="1"/>
    <col min="7198" max="7198" width="0" style="33" hidden="1" customWidth="1"/>
    <col min="7199" max="7217" width="20.7109375" style="33" customWidth="1"/>
    <col min="7218" max="7218" width="12.140625" style="33" customWidth="1"/>
    <col min="7219" max="7449" width="9.140625" style="33"/>
    <col min="7450" max="7451" width="0" style="33" hidden="1" customWidth="1"/>
    <col min="7452" max="7452" width="29.42578125" style="33" customWidth="1"/>
    <col min="7453" max="7453" width="75.7109375" style="33" customWidth="1"/>
    <col min="7454" max="7454" width="0" style="33" hidden="1" customWidth="1"/>
    <col min="7455" max="7473" width="20.7109375" style="33" customWidth="1"/>
    <col min="7474" max="7474" width="12.140625" style="33" customWidth="1"/>
    <col min="7475" max="7705" width="9.140625" style="33"/>
    <col min="7706" max="7707" width="0" style="33" hidden="1" customWidth="1"/>
    <col min="7708" max="7708" width="29.42578125" style="33" customWidth="1"/>
    <col min="7709" max="7709" width="75.7109375" style="33" customWidth="1"/>
    <col min="7710" max="7710" width="0" style="33" hidden="1" customWidth="1"/>
    <col min="7711" max="7729" width="20.7109375" style="33" customWidth="1"/>
    <col min="7730" max="7730" width="12.140625" style="33" customWidth="1"/>
    <col min="7731" max="7961" width="9.140625" style="33"/>
    <col min="7962" max="7963" width="0" style="33" hidden="1" customWidth="1"/>
    <col min="7964" max="7964" width="29.42578125" style="33" customWidth="1"/>
    <col min="7965" max="7965" width="75.7109375" style="33" customWidth="1"/>
    <col min="7966" max="7966" width="0" style="33" hidden="1" customWidth="1"/>
    <col min="7967" max="7985" width="20.7109375" style="33" customWidth="1"/>
    <col min="7986" max="7986" width="12.140625" style="33" customWidth="1"/>
    <col min="7987" max="8217" width="9.140625" style="33"/>
    <col min="8218" max="8219" width="0" style="33" hidden="1" customWidth="1"/>
    <col min="8220" max="8220" width="29.42578125" style="33" customWidth="1"/>
    <col min="8221" max="8221" width="75.7109375" style="33" customWidth="1"/>
    <col min="8222" max="8222" width="0" style="33" hidden="1" customWidth="1"/>
    <col min="8223" max="8241" width="20.7109375" style="33" customWidth="1"/>
    <col min="8242" max="8242" width="12.140625" style="33" customWidth="1"/>
    <col min="8243" max="8473" width="9.140625" style="33"/>
    <col min="8474" max="8475" width="0" style="33" hidden="1" customWidth="1"/>
    <col min="8476" max="8476" width="29.42578125" style="33" customWidth="1"/>
    <col min="8477" max="8477" width="75.7109375" style="33" customWidth="1"/>
    <col min="8478" max="8478" width="0" style="33" hidden="1" customWidth="1"/>
    <col min="8479" max="8497" width="20.7109375" style="33" customWidth="1"/>
    <col min="8498" max="8498" width="12.140625" style="33" customWidth="1"/>
    <col min="8499" max="8729" width="9.140625" style="33"/>
    <col min="8730" max="8731" width="0" style="33" hidden="1" customWidth="1"/>
    <col min="8732" max="8732" width="29.42578125" style="33" customWidth="1"/>
    <col min="8733" max="8733" width="75.7109375" style="33" customWidth="1"/>
    <col min="8734" max="8734" width="0" style="33" hidden="1" customWidth="1"/>
    <col min="8735" max="8753" width="20.7109375" style="33" customWidth="1"/>
    <col min="8754" max="8754" width="12.140625" style="33" customWidth="1"/>
    <col min="8755" max="8985" width="9.140625" style="33"/>
    <col min="8986" max="8987" width="0" style="33" hidden="1" customWidth="1"/>
    <col min="8988" max="8988" width="29.42578125" style="33" customWidth="1"/>
    <col min="8989" max="8989" width="75.7109375" style="33" customWidth="1"/>
    <col min="8990" max="8990" width="0" style="33" hidden="1" customWidth="1"/>
    <col min="8991" max="9009" width="20.7109375" style="33" customWidth="1"/>
    <col min="9010" max="9010" width="12.140625" style="33" customWidth="1"/>
    <col min="9011" max="9241" width="9.140625" style="33"/>
    <col min="9242" max="9243" width="0" style="33" hidden="1" customWidth="1"/>
    <col min="9244" max="9244" width="29.42578125" style="33" customWidth="1"/>
    <col min="9245" max="9245" width="75.7109375" style="33" customWidth="1"/>
    <col min="9246" max="9246" width="0" style="33" hidden="1" customWidth="1"/>
    <col min="9247" max="9265" width="20.7109375" style="33" customWidth="1"/>
    <col min="9266" max="9266" width="12.140625" style="33" customWidth="1"/>
    <col min="9267" max="9497" width="9.140625" style="33"/>
    <col min="9498" max="9499" width="0" style="33" hidden="1" customWidth="1"/>
    <col min="9500" max="9500" width="29.42578125" style="33" customWidth="1"/>
    <col min="9501" max="9501" width="75.7109375" style="33" customWidth="1"/>
    <col min="9502" max="9502" width="0" style="33" hidden="1" customWidth="1"/>
    <col min="9503" max="9521" width="20.7109375" style="33" customWidth="1"/>
    <col min="9522" max="9522" width="12.140625" style="33" customWidth="1"/>
    <col min="9523" max="9753" width="9.140625" style="33"/>
    <col min="9754" max="9755" width="0" style="33" hidden="1" customWidth="1"/>
    <col min="9756" max="9756" width="29.42578125" style="33" customWidth="1"/>
    <col min="9757" max="9757" width="75.7109375" style="33" customWidth="1"/>
    <col min="9758" max="9758" width="0" style="33" hidden="1" customWidth="1"/>
    <col min="9759" max="9777" width="20.7109375" style="33" customWidth="1"/>
    <col min="9778" max="9778" width="12.140625" style="33" customWidth="1"/>
    <col min="9779" max="10009" width="9.140625" style="33"/>
    <col min="10010" max="10011" width="0" style="33" hidden="1" customWidth="1"/>
    <col min="10012" max="10012" width="29.42578125" style="33" customWidth="1"/>
    <col min="10013" max="10013" width="75.7109375" style="33" customWidth="1"/>
    <col min="10014" max="10014" width="0" style="33" hidden="1" customWidth="1"/>
    <col min="10015" max="10033" width="20.7109375" style="33" customWidth="1"/>
    <col min="10034" max="10034" width="12.140625" style="33" customWidth="1"/>
    <col min="10035" max="10265" width="9.140625" style="33"/>
    <col min="10266" max="10267" width="0" style="33" hidden="1" customWidth="1"/>
    <col min="10268" max="10268" width="29.42578125" style="33" customWidth="1"/>
    <col min="10269" max="10269" width="75.7109375" style="33" customWidth="1"/>
    <col min="10270" max="10270" width="0" style="33" hidden="1" customWidth="1"/>
    <col min="10271" max="10289" width="20.7109375" style="33" customWidth="1"/>
    <col min="10290" max="10290" width="12.140625" style="33" customWidth="1"/>
    <col min="10291" max="10521" width="9.140625" style="33"/>
    <col min="10522" max="10523" width="0" style="33" hidden="1" customWidth="1"/>
    <col min="10524" max="10524" width="29.42578125" style="33" customWidth="1"/>
    <col min="10525" max="10525" width="75.7109375" style="33" customWidth="1"/>
    <col min="10526" max="10526" width="0" style="33" hidden="1" customWidth="1"/>
    <col min="10527" max="10545" width="20.7109375" style="33" customWidth="1"/>
    <col min="10546" max="10546" width="12.140625" style="33" customWidth="1"/>
    <col min="10547" max="10777" width="9.140625" style="33"/>
    <col min="10778" max="10779" width="0" style="33" hidden="1" customWidth="1"/>
    <col min="10780" max="10780" width="29.42578125" style="33" customWidth="1"/>
    <col min="10781" max="10781" width="75.7109375" style="33" customWidth="1"/>
    <col min="10782" max="10782" width="0" style="33" hidden="1" customWidth="1"/>
    <col min="10783" max="10801" width="20.7109375" style="33" customWidth="1"/>
    <col min="10802" max="10802" width="12.140625" style="33" customWidth="1"/>
    <col min="10803" max="11033" width="9.140625" style="33"/>
    <col min="11034" max="11035" width="0" style="33" hidden="1" customWidth="1"/>
    <col min="11036" max="11036" width="29.42578125" style="33" customWidth="1"/>
    <col min="11037" max="11037" width="75.7109375" style="33" customWidth="1"/>
    <col min="11038" max="11038" width="0" style="33" hidden="1" customWidth="1"/>
    <col min="11039" max="11057" width="20.7109375" style="33" customWidth="1"/>
    <col min="11058" max="11058" width="12.140625" style="33" customWidth="1"/>
    <col min="11059" max="11289" width="9.140625" style="33"/>
    <col min="11290" max="11291" width="0" style="33" hidden="1" customWidth="1"/>
    <col min="11292" max="11292" width="29.42578125" style="33" customWidth="1"/>
    <col min="11293" max="11293" width="75.7109375" style="33" customWidth="1"/>
    <col min="11294" max="11294" width="0" style="33" hidden="1" customWidth="1"/>
    <col min="11295" max="11313" width="20.7109375" style="33" customWidth="1"/>
    <col min="11314" max="11314" width="12.140625" style="33" customWidth="1"/>
    <col min="11315" max="11545" width="9.140625" style="33"/>
    <col min="11546" max="11547" width="0" style="33" hidden="1" customWidth="1"/>
    <col min="11548" max="11548" width="29.42578125" style="33" customWidth="1"/>
    <col min="11549" max="11549" width="75.7109375" style="33" customWidth="1"/>
    <col min="11550" max="11550" width="0" style="33" hidden="1" customWidth="1"/>
    <col min="11551" max="11569" width="20.7109375" style="33" customWidth="1"/>
    <col min="11570" max="11570" width="12.140625" style="33" customWidth="1"/>
    <col min="11571" max="11801" width="9.140625" style="33"/>
    <col min="11802" max="11803" width="0" style="33" hidden="1" customWidth="1"/>
    <col min="11804" max="11804" width="29.42578125" style="33" customWidth="1"/>
    <col min="11805" max="11805" width="75.7109375" style="33" customWidth="1"/>
    <col min="11806" max="11806" width="0" style="33" hidden="1" customWidth="1"/>
    <col min="11807" max="11825" width="20.7109375" style="33" customWidth="1"/>
    <col min="11826" max="11826" width="12.140625" style="33" customWidth="1"/>
    <col min="11827" max="12057" width="9.140625" style="33"/>
    <col min="12058" max="12059" width="0" style="33" hidden="1" customWidth="1"/>
    <col min="12060" max="12060" width="29.42578125" style="33" customWidth="1"/>
    <col min="12061" max="12061" width="75.7109375" style="33" customWidth="1"/>
    <col min="12062" max="12062" width="0" style="33" hidden="1" customWidth="1"/>
    <col min="12063" max="12081" width="20.7109375" style="33" customWidth="1"/>
    <col min="12082" max="12082" width="12.140625" style="33" customWidth="1"/>
    <col min="12083" max="12313" width="9.140625" style="33"/>
    <col min="12314" max="12315" width="0" style="33" hidden="1" customWidth="1"/>
    <col min="12316" max="12316" width="29.42578125" style="33" customWidth="1"/>
    <col min="12317" max="12317" width="75.7109375" style="33" customWidth="1"/>
    <col min="12318" max="12318" width="0" style="33" hidden="1" customWidth="1"/>
    <col min="12319" max="12337" width="20.7109375" style="33" customWidth="1"/>
    <col min="12338" max="12338" width="12.140625" style="33" customWidth="1"/>
    <col min="12339" max="12569" width="9.140625" style="33"/>
    <col min="12570" max="12571" width="0" style="33" hidden="1" customWidth="1"/>
    <col min="12572" max="12572" width="29.42578125" style="33" customWidth="1"/>
    <col min="12573" max="12573" width="75.7109375" style="33" customWidth="1"/>
    <col min="12574" max="12574" width="0" style="33" hidden="1" customWidth="1"/>
    <col min="12575" max="12593" width="20.7109375" style="33" customWidth="1"/>
    <col min="12594" max="12594" width="12.140625" style="33" customWidth="1"/>
    <col min="12595" max="12825" width="9.140625" style="33"/>
    <col min="12826" max="12827" width="0" style="33" hidden="1" customWidth="1"/>
    <col min="12828" max="12828" width="29.42578125" style="33" customWidth="1"/>
    <col min="12829" max="12829" width="75.7109375" style="33" customWidth="1"/>
    <col min="12830" max="12830" width="0" style="33" hidden="1" customWidth="1"/>
    <col min="12831" max="12849" width="20.7109375" style="33" customWidth="1"/>
    <col min="12850" max="12850" width="12.140625" style="33" customWidth="1"/>
    <col min="12851" max="13081" width="9.140625" style="33"/>
    <col min="13082" max="13083" width="0" style="33" hidden="1" customWidth="1"/>
    <col min="13084" max="13084" width="29.42578125" style="33" customWidth="1"/>
    <col min="13085" max="13085" width="75.7109375" style="33" customWidth="1"/>
    <col min="13086" max="13086" width="0" style="33" hidden="1" customWidth="1"/>
    <col min="13087" max="13105" width="20.7109375" style="33" customWidth="1"/>
    <col min="13106" max="13106" width="12.140625" style="33" customWidth="1"/>
    <col min="13107" max="13337" width="9.140625" style="33"/>
    <col min="13338" max="13339" width="0" style="33" hidden="1" customWidth="1"/>
    <col min="13340" max="13340" width="29.42578125" style="33" customWidth="1"/>
    <col min="13341" max="13341" width="75.7109375" style="33" customWidth="1"/>
    <col min="13342" max="13342" width="0" style="33" hidden="1" customWidth="1"/>
    <col min="13343" max="13361" width="20.7109375" style="33" customWidth="1"/>
    <col min="13362" max="13362" width="12.140625" style="33" customWidth="1"/>
    <col min="13363" max="13593" width="9.140625" style="33"/>
    <col min="13594" max="13595" width="0" style="33" hidden="1" customWidth="1"/>
    <col min="13596" max="13596" width="29.42578125" style="33" customWidth="1"/>
    <col min="13597" max="13597" width="75.7109375" style="33" customWidth="1"/>
    <col min="13598" max="13598" width="0" style="33" hidden="1" customWidth="1"/>
    <col min="13599" max="13617" width="20.7109375" style="33" customWidth="1"/>
    <col min="13618" max="13618" width="12.140625" style="33" customWidth="1"/>
    <col min="13619" max="13849" width="9.140625" style="33"/>
    <col min="13850" max="13851" width="0" style="33" hidden="1" customWidth="1"/>
    <col min="13852" max="13852" width="29.42578125" style="33" customWidth="1"/>
    <col min="13853" max="13853" width="75.7109375" style="33" customWidth="1"/>
    <col min="13854" max="13854" width="0" style="33" hidden="1" customWidth="1"/>
    <col min="13855" max="13873" width="20.7109375" style="33" customWidth="1"/>
    <col min="13874" max="13874" width="12.140625" style="33" customWidth="1"/>
    <col min="13875" max="14105" width="9.140625" style="33"/>
    <col min="14106" max="14107" width="0" style="33" hidden="1" customWidth="1"/>
    <col min="14108" max="14108" width="29.42578125" style="33" customWidth="1"/>
    <col min="14109" max="14109" width="75.7109375" style="33" customWidth="1"/>
    <col min="14110" max="14110" width="0" style="33" hidden="1" customWidth="1"/>
    <col min="14111" max="14129" width="20.7109375" style="33" customWidth="1"/>
    <col min="14130" max="14130" width="12.140625" style="33" customWidth="1"/>
    <col min="14131" max="14361" width="9.140625" style="33"/>
    <col min="14362" max="14363" width="0" style="33" hidden="1" customWidth="1"/>
    <col min="14364" max="14364" width="29.42578125" style="33" customWidth="1"/>
    <col min="14365" max="14365" width="75.7109375" style="33" customWidth="1"/>
    <col min="14366" max="14366" width="0" style="33" hidden="1" customWidth="1"/>
    <col min="14367" max="14385" width="20.7109375" style="33" customWidth="1"/>
    <col min="14386" max="14386" width="12.140625" style="33" customWidth="1"/>
    <col min="14387" max="14617" width="9.140625" style="33"/>
    <col min="14618" max="14619" width="0" style="33" hidden="1" customWidth="1"/>
    <col min="14620" max="14620" width="29.42578125" style="33" customWidth="1"/>
    <col min="14621" max="14621" width="75.7109375" style="33" customWidth="1"/>
    <col min="14622" max="14622" width="0" style="33" hidden="1" customWidth="1"/>
    <col min="14623" max="14641" width="20.7109375" style="33" customWidth="1"/>
    <col min="14642" max="14642" width="12.140625" style="33" customWidth="1"/>
    <col min="14643" max="14873" width="9.140625" style="33"/>
    <col min="14874" max="14875" width="0" style="33" hidden="1" customWidth="1"/>
    <col min="14876" max="14876" width="29.42578125" style="33" customWidth="1"/>
    <col min="14877" max="14877" width="75.7109375" style="33" customWidth="1"/>
    <col min="14878" max="14878" width="0" style="33" hidden="1" customWidth="1"/>
    <col min="14879" max="14897" width="20.7109375" style="33" customWidth="1"/>
    <col min="14898" max="14898" width="12.140625" style="33" customWidth="1"/>
    <col min="14899" max="15129" width="9.140625" style="33"/>
    <col min="15130" max="15131" width="0" style="33" hidden="1" customWidth="1"/>
    <col min="15132" max="15132" width="29.42578125" style="33" customWidth="1"/>
    <col min="15133" max="15133" width="75.7109375" style="33" customWidth="1"/>
    <col min="15134" max="15134" width="0" style="33" hidden="1" customWidth="1"/>
    <col min="15135" max="15153" width="20.7109375" style="33" customWidth="1"/>
    <col min="15154" max="15154" width="12.140625" style="33" customWidth="1"/>
    <col min="15155" max="15385" width="9.140625" style="33"/>
    <col min="15386" max="15387" width="0" style="33" hidden="1" customWidth="1"/>
    <col min="15388" max="15388" width="29.42578125" style="33" customWidth="1"/>
    <col min="15389" max="15389" width="75.7109375" style="33" customWidth="1"/>
    <col min="15390" max="15390" width="0" style="33" hidden="1" customWidth="1"/>
    <col min="15391" max="15409" width="20.7109375" style="33" customWidth="1"/>
    <col min="15410" max="15410" width="12.140625" style="33" customWidth="1"/>
    <col min="15411" max="15641" width="9.140625" style="33"/>
    <col min="15642" max="15643" width="0" style="33" hidden="1" customWidth="1"/>
    <col min="15644" max="15644" width="29.42578125" style="33" customWidth="1"/>
    <col min="15645" max="15645" width="75.7109375" style="33" customWidth="1"/>
    <col min="15646" max="15646" width="0" style="33" hidden="1" customWidth="1"/>
    <col min="15647" max="15665" width="20.7109375" style="33" customWidth="1"/>
    <col min="15666" max="15666" width="12.140625" style="33" customWidth="1"/>
    <col min="15667" max="15897" width="9.140625" style="33"/>
    <col min="15898" max="15899" width="0" style="33" hidden="1" customWidth="1"/>
    <col min="15900" max="15900" width="29.42578125" style="33" customWidth="1"/>
    <col min="15901" max="15901" width="75.7109375" style="33" customWidth="1"/>
    <col min="15902" max="15902" width="0" style="33" hidden="1" customWidth="1"/>
    <col min="15903" max="15921" width="20.7109375" style="33" customWidth="1"/>
    <col min="15922" max="15922" width="12.140625" style="33" customWidth="1"/>
    <col min="15923" max="16153" width="9.140625" style="33"/>
    <col min="16154" max="16155" width="0" style="33" hidden="1" customWidth="1"/>
    <col min="16156" max="16156" width="29.42578125" style="33" customWidth="1"/>
    <col min="16157" max="16157" width="75.7109375" style="33" customWidth="1"/>
    <col min="16158" max="16158" width="0" style="33" hidden="1" customWidth="1"/>
    <col min="16159" max="16177" width="20.7109375" style="33" customWidth="1"/>
    <col min="16178" max="16178" width="12.140625" style="33" customWidth="1"/>
    <col min="16179" max="16384" width="9.140625" style="33"/>
  </cols>
  <sheetData>
    <row r="1" spans="1:50" s="1" customFormat="1" x14ac:dyDescent="0.2">
      <c r="AA1" s="2"/>
      <c r="AB1" s="3"/>
    </row>
    <row r="2" spans="1:50" s="4" customFormat="1" ht="20.25" x14ac:dyDescent="0.3">
      <c r="A2" s="339" t="s">
        <v>0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</row>
    <row r="3" spans="1:50" s="4" customFormat="1" ht="20.25" x14ac:dyDescent="0.3">
      <c r="A3" s="339" t="s">
        <v>1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</row>
    <row r="4" spans="1:50" s="4" customFormat="1" ht="20.25" x14ac:dyDescent="0.3">
      <c r="A4" s="339" t="s">
        <v>915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</row>
    <row r="5" spans="1:50" s="4" customFormat="1" ht="20.25" x14ac:dyDescent="0.3">
      <c r="A5" s="339" t="s">
        <v>1239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 s="339"/>
      <c r="AU5" s="339"/>
      <c r="AV5" s="339"/>
      <c r="AW5" s="339"/>
    </row>
    <row r="6" spans="1:50" s="4" customFormat="1" ht="16.5" customHeight="1" x14ac:dyDescent="0.3">
      <c r="A6" s="263"/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3"/>
      <c r="Y6" s="263"/>
      <c r="Z6" s="263"/>
      <c r="AA6" s="6"/>
      <c r="AB6" s="7"/>
      <c r="AC6" s="263"/>
      <c r="AD6" s="8">
        <f>AD12-AD108-AD109-AD110-AD154</f>
        <v>164625424585.5</v>
      </c>
      <c r="AE6" s="8"/>
      <c r="AF6" s="8"/>
      <c r="AG6" s="8"/>
      <c r="AH6" s="8"/>
      <c r="AI6" s="8"/>
      <c r="AJ6" s="8"/>
      <c r="AK6" s="184"/>
      <c r="AL6" s="8"/>
      <c r="AM6" s="8"/>
      <c r="AP6" s="8">
        <f>AP12+AP162-AP155-AP156-AP109-AP108-AP110</f>
        <v>111733635169.13</v>
      </c>
      <c r="AR6" s="8"/>
      <c r="AS6" s="8">
        <f>AS12+AS162-AS155-AS156-AS109-AS108-AS110</f>
        <v>99812019583.030014</v>
      </c>
      <c r="AT6" s="8">
        <f>AT12+AT162-AT155-AT156-AT109-AT108-AT110</f>
        <v>100789894924.66</v>
      </c>
      <c r="AU6" s="8"/>
      <c r="AV6" s="8"/>
      <c r="AW6" s="263"/>
    </row>
    <row r="7" spans="1:50" s="4" customFormat="1" ht="16.5" customHeight="1" x14ac:dyDescent="0.2">
      <c r="A7" s="340" t="s">
        <v>3</v>
      </c>
      <c r="B7" s="341" t="s">
        <v>4</v>
      </c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  <c r="AA7" s="342" t="s">
        <v>5</v>
      </c>
      <c r="AB7" s="337" t="s">
        <v>6</v>
      </c>
      <c r="AC7" s="337" t="s">
        <v>7</v>
      </c>
      <c r="AD7" s="342" t="s">
        <v>8</v>
      </c>
      <c r="AE7" s="342" t="s">
        <v>9</v>
      </c>
      <c r="AF7" s="337" t="s">
        <v>10</v>
      </c>
      <c r="AG7" s="337" t="s">
        <v>11</v>
      </c>
      <c r="AH7" s="337" t="s">
        <v>12</v>
      </c>
      <c r="AI7" s="337" t="s">
        <v>13</v>
      </c>
      <c r="AJ7" s="337" t="s">
        <v>14</v>
      </c>
      <c r="AK7" s="338" t="s">
        <v>15</v>
      </c>
      <c r="AL7" s="338"/>
      <c r="AM7" s="338"/>
      <c r="AN7" s="338" t="s">
        <v>16</v>
      </c>
      <c r="AO7" s="338"/>
      <c r="AP7" s="338"/>
      <c r="AQ7" s="338" t="s">
        <v>17</v>
      </c>
      <c r="AR7" s="338"/>
      <c r="AS7" s="338"/>
      <c r="AT7" s="262"/>
      <c r="AU7" s="337" t="s">
        <v>18</v>
      </c>
      <c r="AV7" s="337" t="s">
        <v>19</v>
      </c>
      <c r="AW7" s="337" t="s">
        <v>20</v>
      </c>
      <c r="AX7" s="337" t="s">
        <v>21</v>
      </c>
    </row>
    <row r="8" spans="1:50" s="4" customFormat="1" ht="30" customHeight="1" x14ac:dyDescent="0.2">
      <c r="A8" s="340"/>
      <c r="B8" s="341"/>
      <c r="C8" s="264" t="s">
        <v>949</v>
      </c>
      <c r="D8" s="264" t="s">
        <v>950</v>
      </c>
      <c r="E8" s="264" t="s">
        <v>951</v>
      </c>
      <c r="F8" s="264" t="s">
        <v>952</v>
      </c>
      <c r="G8" s="264" t="s">
        <v>919</v>
      </c>
      <c r="H8" s="264" t="s">
        <v>920</v>
      </c>
      <c r="I8" s="264" t="s">
        <v>929</v>
      </c>
      <c r="J8" s="264" t="s">
        <v>930</v>
      </c>
      <c r="K8" s="264" t="s">
        <v>921</v>
      </c>
      <c r="L8" s="264" t="s">
        <v>922</v>
      </c>
      <c r="M8" s="264" t="s">
        <v>923</v>
      </c>
      <c r="N8" s="264" t="s">
        <v>924</v>
      </c>
      <c r="O8" s="264" t="s">
        <v>925</v>
      </c>
      <c r="P8" s="264" t="s">
        <v>926</v>
      </c>
      <c r="Q8" s="264" t="s">
        <v>927</v>
      </c>
      <c r="R8" s="264" t="s">
        <v>928</v>
      </c>
      <c r="S8" s="264" t="s">
        <v>953</v>
      </c>
      <c r="T8" s="264" t="s">
        <v>954</v>
      </c>
      <c r="U8" s="264" t="s">
        <v>955</v>
      </c>
      <c r="V8" s="264" t="s">
        <v>956</v>
      </c>
      <c r="W8" s="264" t="s">
        <v>957</v>
      </c>
      <c r="X8" s="264" t="s">
        <v>931</v>
      </c>
      <c r="Y8" s="264"/>
      <c r="Z8" s="264"/>
      <c r="AA8" s="342"/>
      <c r="AB8" s="337"/>
      <c r="AC8" s="337"/>
      <c r="AD8" s="342"/>
      <c r="AE8" s="342"/>
      <c r="AF8" s="337"/>
      <c r="AG8" s="337"/>
      <c r="AH8" s="337"/>
      <c r="AI8" s="337"/>
      <c r="AJ8" s="337"/>
      <c r="AK8" s="261" t="s">
        <v>22</v>
      </c>
      <c r="AL8" s="261" t="s">
        <v>23</v>
      </c>
      <c r="AM8" s="261" t="s">
        <v>24</v>
      </c>
      <c r="AN8" s="261" t="s">
        <v>25</v>
      </c>
      <c r="AO8" s="261" t="s">
        <v>26</v>
      </c>
      <c r="AP8" s="261" t="s">
        <v>27</v>
      </c>
      <c r="AQ8" s="261" t="s">
        <v>28</v>
      </c>
      <c r="AR8" s="261" t="s">
        <v>29</v>
      </c>
      <c r="AS8" s="261" t="s">
        <v>30</v>
      </c>
      <c r="AT8" s="261" t="s">
        <v>31</v>
      </c>
      <c r="AU8" s="337"/>
      <c r="AV8" s="337"/>
      <c r="AW8" s="337"/>
      <c r="AX8" s="337"/>
    </row>
    <row r="9" spans="1:50" s="4" customFormat="1" ht="18" customHeight="1" x14ac:dyDescent="0.2">
      <c r="A9" s="340"/>
      <c r="B9" s="341"/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342"/>
      <c r="AB9" s="337"/>
      <c r="AC9" s="337"/>
      <c r="AD9" s="262">
        <v>1</v>
      </c>
      <c r="AE9" s="11"/>
      <c r="AF9" s="12"/>
      <c r="AG9" s="12"/>
      <c r="AH9" s="12"/>
      <c r="AI9" s="261">
        <v>2</v>
      </c>
      <c r="AJ9" s="262" t="s">
        <v>32</v>
      </c>
      <c r="AK9" s="262"/>
      <c r="AL9" s="262"/>
      <c r="AM9" s="262">
        <v>5</v>
      </c>
      <c r="AN9" s="262"/>
      <c r="AO9" s="262"/>
      <c r="AP9" s="262">
        <v>7</v>
      </c>
      <c r="AQ9" s="262"/>
      <c r="AR9" s="262"/>
      <c r="AS9" s="262">
        <v>9</v>
      </c>
      <c r="AT9" s="262"/>
      <c r="AU9" s="262" t="s">
        <v>33</v>
      </c>
      <c r="AV9" s="262" t="s">
        <v>34</v>
      </c>
      <c r="AW9" s="262" t="s">
        <v>35</v>
      </c>
      <c r="AX9" s="13" t="s">
        <v>36</v>
      </c>
    </row>
    <row r="10" spans="1:50" s="14" customForma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6"/>
      <c r="AB10" s="17"/>
      <c r="AC10" s="17"/>
      <c r="AD10" s="18"/>
      <c r="AE10" s="18"/>
      <c r="AF10" s="17"/>
      <c r="AG10" s="18">
        <f>AH11-AG11</f>
        <v>0</v>
      </c>
      <c r="AH10" s="18"/>
      <c r="AI10" s="17"/>
      <c r="AJ10" s="18"/>
      <c r="AK10" s="18"/>
      <c r="AL10" s="17"/>
      <c r="AM10" s="18"/>
      <c r="AN10" s="18"/>
      <c r="AO10" s="17"/>
      <c r="AP10" s="18"/>
      <c r="AQ10" s="18"/>
      <c r="AR10" s="17"/>
      <c r="AS10" s="18"/>
      <c r="AT10" s="18"/>
      <c r="AU10" s="18"/>
      <c r="AV10" s="17"/>
      <c r="AW10" s="18"/>
      <c r="AX10" s="18"/>
    </row>
    <row r="11" spans="1:50" s="25" customFormat="1" ht="18.75" customHeight="1" x14ac:dyDescent="0.2">
      <c r="A11" s="19" t="s">
        <v>37</v>
      </c>
      <c r="B11" s="19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20">
        <v>2</v>
      </c>
      <c r="AB11" s="21" t="s">
        <v>38</v>
      </c>
      <c r="AC11" s="22" t="s">
        <v>37</v>
      </c>
      <c r="AD11" s="22">
        <f t="shared" ref="AD11:AS11" si="0">AD12+AD162+AD190</f>
        <v>1017611726826</v>
      </c>
      <c r="AE11" s="22">
        <f t="shared" si="0"/>
        <v>235338892695.65005</v>
      </c>
      <c r="AF11" s="23">
        <f t="shared" si="0"/>
        <v>0</v>
      </c>
      <c r="AG11" s="22">
        <f t="shared" si="0"/>
        <v>108452095000.34999</v>
      </c>
      <c r="AH11" s="22">
        <f t="shared" si="0"/>
        <v>108452095000.34999</v>
      </c>
      <c r="AI11" s="22">
        <f t="shared" si="0"/>
        <v>235338892695.65005</v>
      </c>
      <c r="AJ11" s="22">
        <f t="shared" si="0"/>
        <v>1252950619521.6499</v>
      </c>
      <c r="AK11" s="22">
        <f t="shared" si="0"/>
        <v>228485280</v>
      </c>
      <c r="AL11" s="22">
        <f t="shared" si="0"/>
        <v>82614313450.959991</v>
      </c>
      <c r="AM11" s="22">
        <f t="shared" si="0"/>
        <v>708158553886.57996</v>
      </c>
      <c r="AN11" s="22">
        <f t="shared" si="0"/>
        <v>1669754549.3299999</v>
      </c>
      <c r="AO11" s="22">
        <f t="shared" si="0"/>
        <v>72512489560.459991</v>
      </c>
      <c r="AP11" s="22">
        <f t="shared" si="0"/>
        <v>522428716176.17993</v>
      </c>
      <c r="AQ11" s="22">
        <f t="shared" si="0"/>
        <v>6946995921.5799999</v>
      </c>
      <c r="AR11" s="22">
        <f t="shared" si="0"/>
        <v>77734954909.049988</v>
      </c>
      <c r="AS11" s="22">
        <f t="shared" si="0"/>
        <v>382124018905.53998</v>
      </c>
      <c r="AT11" s="22">
        <f>AQ11+AS11</f>
        <v>389071014827.12</v>
      </c>
      <c r="AU11" s="22">
        <f>AU12+AU162+AU190</f>
        <v>544792065635.06995</v>
      </c>
      <c r="AV11" s="22">
        <f>AV12+AV162+AV190</f>
        <v>185729837710.40002</v>
      </c>
      <c r="AW11" s="22">
        <f>AW12+AW162+AW190</f>
        <v>133357701349.06</v>
      </c>
      <c r="AX11" s="24">
        <f t="shared" ref="AX11:AX20" si="1">AP11/AJ11</f>
        <v>0.41695874365394558</v>
      </c>
    </row>
    <row r="12" spans="1:50" s="25" customFormat="1" ht="18.75" customHeight="1" x14ac:dyDescent="0.2">
      <c r="A12" s="19" t="s">
        <v>37</v>
      </c>
      <c r="B12" s="19" t="s">
        <v>37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26" t="s">
        <v>39</v>
      </c>
      <c r="AB12" s="21" t="s">
        <v>40</v>
      </c>
      <c r="AC12" s="22" t="s">
        <v>37</v>
      </c>
      <c r="AD12" s="22">
        <f>AD13+AD86+AD101+AD148+AD143</f>
        <v>180471642183</v>
      </c>
      <c r="AE12" s="22">
        <f t="shared" ref="AE12:AW12" si="2">AE13+AE86+AE101+AE148+AE143</f>
        <v>698388543.49000001</v>
      </c>
      <c r="AF12" s="23">
        <f t="shared" si="2"/>
        <v>0</v>
      </c>
      <c r="AG12" s="22">
        <f t="shared" si="2"/>
        <v>3924700000</v>
      </c>
      <c r="AH12" s="22">
        <f t="shared" si="2"/>
        <v>3924700000</v>
      </c>
      <c r="AI12" s="22">
        <f t="shared" si="2"/>
        <v>698388543.49000001</v>
      </c>
      <c r="AJ12" s="22">
        <f t="shared" si="2"/>
        <v>181170030726.48999</v>
      </c>
      <c r="AK12" s="23">
        <f t="shared" si="2"/>
        <v>0</v>
      </c>
      <c r="AL12" s="22">
        <f t="shared" si="2"/>
        <v>13818729287.779999</v>
      </c>
      <c r="AM12" s="22">
        <f t="shared" si="2"/>
        <v>106291632654.39999</v>
      </c>
      <c r="AN12" s="22">
        <f t="shared" si="2"/>
        <v>66239433</v>
      </c>
      <c r="AO12" s="22">
        <f t="shared" si="2"/>
        <v>14053448041.51</v>
      </c>
      <c r="AP12" s="22">
        <f t="shared" si="2"/>
        <v>105302824699.10001</v>
      </c>
      <c r="AQ12" s="22">
        <f t="shared" si="2"/>
        <v>1154205824.78</v>
      </c>
      <c r="AR12" s="22">
        <f t="shared" si="2"/>
        <v>18553482595.5</v>
      </c>
      <c r="AS12" s="22">
        <f t="shared" si="2"/>
        <v>93600208755.240005</v>
      </c>
      <c r="AT12" s="22">
        <f t="shared" si="2"/>
        <v>94754414580.020004</v>
      </c>
      <c r="AU12" s="22">
        <f t="shared" si="2"/>
        <v>74878398072.089996</v>
      </c>
      <c r="AV12" s="22">
        <f t="shared" si="2"/>
        <v>988807955.30000031</v>
      </c>
      <c r="AW12" s="22">
        <f t="shared" si="2"/>
        <v>10548410119.08</v>
      </c>
      <c r="AX12" s="24">
        <f t="shared" si="1"/>
        <v>0.58123754948231088</v>
      </c>
    </row>
    <row r="13" spans="1:50" s="25" customFormat="1" ht="18.75" customHeight="1" x14ac:dyDescent="0.2">
      <c r="A13" s="19" t="s">
        <v>41</v>
      </c>
      <c r="B13" s="19" t="s">
        <v>42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26" t="s">
        <v>43</v>
      </c>
      <c r="AB13" s="21" t="s">
        <v>44</v>
      </c>
      <c r="AC13" s="22" t="s">
        <v>37</v>
      </c>
      <c r="AD13" s="22">
        <f>AD14</f>
        <v>38718257195.5</v>
      </c>
      <c r="AE13" s="23">
        <f t="shared" ref="AE13:AW13" si="3">AE14</f>
        <v>0</v>
      </c>
      <c r="AF13" s="23">
        <f t="shared" si="3"/>
        <v>0</v>
      </c>
      <c r="AG13" s="22">
        <f t="shared" si="3"/>
        <v>172000000</v>
      </c>
      <c r="AH13" s="22">
        <f t="shared" si="3"/>
        <v>630500000</v>
      </c>
      <c r="AI13" s="22">
        <f t="shared" si="3"/>
        <v>-458500000</v>
      </c>
      <c r="AJ13" s="22">
        <f>AJ14</f>
        <v>38259757195.5</v>
      </c>
      <c r="AK13" s="23">
        <f t="shared" si="3"/>
        <v>0</v>
      </c>
      <c r="AL13" s="22">
        <f t="shared" si="3"/>
        <v>3138467211</v>
      </c>
      <c r="AM13" s="22">
        <f t="shared" si="3"/>
        <v>15435856765</v>
      </c>
      <c r="AN13" s="23">
        <f t="shared" si="3"/>
        <v>0</v>
      </c>
      <c r="AO13" s="22">
        <f t="shared" si="3"/>
        <v>3138467211</v>
      </c>
      <c r="AP13" s="22">
        <f t="shared" si="3"/>
        <v>15435856765</v>
      </c>
      <c r="AQ13" s="268">
        <f t="shared" si="3"/>
        <v>0</v>
      </c>
      <c r="AR13" s="22">
        <f t="shared" si="3"/>
        <v>3132040250</v>
      </c>
      <c r="AS13" s="22">
        <f t="shared" si="3"/>
        <v>15312717505</v>
      </c>
      <c r="AT13" s="22">
        <f t="shared" ref="AT13" si="4">AQ13+AS13</f>
        <v>15312717505</v>
      </c>
      <c r="AU13" s="22">
        <f t="shared" si="3"/>
        <v>22823900430.5</v>
      </c>
      <c r="AV13" s="23">
        <f t="shared" si="3"/>
        <v>0</v>
      </c>
      <c r="AW13" s="22">
        <f t="shared" si="3"/>
        <v>123139260</v>
      </c>
      <c r="AX13" s="24">
        <f t="shared" si="1"/>
        <v>0.40344889503939457</v>
      </c>
    </row>
    <row r="14" spans="1:50" ht="18.75" customHeight="1" x14ac:dyDescent="0.2">
      <c r="A14" s="27" t="s">
        <v>41</v>
      </c>
      <c r="B14" s="27" t="s">
        <v>42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8" t="s">
        <v>45</v>
      </c>
      <c r="AB14" s="29" t="s">
        <v>46</v>
      </c>
      <c r="AC14" s="30" t="s">
        <v>37</v>
      </c>
      <c r="AD14" s="30">
        <f>AD15+AD42+AD70</f>
        <v>38718257195.5</v>
      </c>
      <c r="AE14" s="31">
        <f t="shared" ref="AE14:AW14" si="5">AE15+AE42+AE70</f>
        <v>0</v>
      </c>
      <c r="AF14" s="31">
        <f t="shared" si="5"/>
        <v>0</v>
      </c>
      <c r="AG14" s="30">
        <f>AG15+AG42+AG70</f>
        <v>172000000</v>
      </c>
      <c r="AH14" s="30">
        <f t="shared" si="5"/>
        <v>630500000</v>
      </c>
      <c r="AI14" s="30">
        <f>AI15+AI42+AI70</f>
        <v>-458500000</v>
      </c>
      <c r="AJ14" s="30">
        <f t="shared" si="5"/>
        <v>38259757195.5</v>
      </c>
      <c r="AK14" s="31">
        <f t="shared" si="5"/>
        <v>0</v>
      </c>
      <c r="AL14" s="30">
        <f t="shared" si="5"/>
        <v>3138467211</v>
      </c>
      <c r="AM14" s="30">
        <f t="shared" si="5"/>
        <v>15435856765</v>
      </c>
      <c r="AN14" s="31">
        <f t="shared" si="5"/>
        <v>0</v>
      </c>
      <c r="AO14" s="30">
        <f t="shared" si="5"/>
        <v>3138467211</v>
      </c>
      <c r="AP14" s="30">
        <f t="shared" si="5"/>
        <v>15435856765</v>
      </c>
      <c r="AQ14" s="172">
        <f t="shared" si="5"/>
        <v>0</v>
      </c>
      <c r="AR14" s="30">
        <f t="shared" si="5"/>
        <v>3132040250</v>
      </c>
      <c r="AS14" s="30">
        <f t="shared" si="5"/>
        <v>15312717505</v>
      </c>
      <c r="AT14" s="30">
        <f>AQ14+AS14</f>
        <v>15312717505</v>
      </c>
      <c r="AU14" s="30">
        <f t="shared" si="5"/>
        <v>22823900430.5</v>
      </c>
      <c r="AV14" s="31">
        <f t="shared" si="5"/>
        <v>0</v>
      </c>
      <c r="AW14" s="30">
        <f t="shared" si="5"/>
        <v>123139260</v>
      </c>
      <c r="AX14" s="32">
        <f t="shared" si="1"/>
        <v>0.40344889503939457</v>
      </c>
    </row>
    <row r="15" spans="1:50" ht="18.75" customHeight="1" x14ac:dyDescent="0.2">
      <c r="A15" s="27" t="s">
        <v>41</v>
      </c>
      <c r="B15" s="27" t="s">
        <v>42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8" t="s">
        <v>47</v>
      </c>
      <c r="AB15" s="29" t="s">
        <v>48</v>
      </c>
      <c r="AC15" s="30" t="s">
        <v>37</v>
      </c>
      <c r="AD15" s="30">
        <f>AD16+AD39</f>
        <v>25931861921.5</v>
      </c>
      <c r="AE15" s="31">
        <f t="shared" ref="AE15:AW15" si="6">AE16+AE39</f>
        <v>0</v>
      </c>
      <c r="AF15" s="31">
        <f t="shared" si="6"/>
        <v>0</v>
      </c>
      <c r="AG15" s="30">
        <f t="shared" si="6"/>
        <v>100000000</v>
      </c>
      <c r="AH15" s="30">
        <f t="shared" si="6"/>
        <v>432000000</v>
      </c>
      <c r="AI15" s="30">
        <f t="shared" si="6"/>
        <v>-332000000</v>
      </c>
      <c r="AJ15" s="30">
        <f t="shared" si="6"/>
        <v>25599861921.5</v>
      </c>
      <c r="AK15" s="31">
        <f t="shared" si="6"/>
        <v>0</v>
      </c>
      <c r="AL15" s="30">
        <f t="shared" si="6"/>
        <v>2424980029</v>
      </c>
      <c r="AM15" s="30">
        <f t="shared" si="6"/>
        <v>10692672851</v>
      </c>
      <c r="AN15" s="31">
        <f t="shared" si="6"/>
        <v>0</v>
      </c>
      <c r="AO15" s="30">
        <f t="shared" si="6"/>
        <v>2424980029</v>
      </c>
      <c r="AP15" s="30">
        <f t="shared" si="6"/>
        <v>10692672851</v>
      </c>
      <c r="AQ15" s="31">
        <f t="shared" si="6"/>
        <v>0</v>
      </c>
      <c r="AR15" s="30">
        <f t="shared" si="6"/>
        <v>2382170843</v>
      </c>
      <c r="AS15" s="30">
        <f t="shared" si="6"/>
        <v>10600254088</v>
      </c>
      <c r="AT15" s="30">
        <f t="shared" ref="AT15:AT38" si="7">AQ15+AS15</f>
        <v>10600254088</v>
      </c>
      <c r="AU15" s="30">
        <f t="shared" si="6"/>
        <v>14907189070.5</v>
      </c>
      <c r="AV15" s="31">
        <f t="shared" si="6"/>
        <v>0</v>
      </c>
      <c r="AW15" s="30">
        <f t="shared" si="6"/>
        <v>92418763</v>
      </c>
      <c r="AX15" s="32">
        <f t="shared" si="1"/>
        <v>0.41768478610502885</v>
      </c>
    </row>
    <row r="16" spans="1:50" ht="18.75" customHeight="1" x14ac:dyDescent="0.2">
      <c r="A16" s="27" t="s">
        <v>49</v>
      </c>
      <c r="B16" s="27" t="s">
        <v>50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8" t="s">
        <v>51</v>
      </c>
      <c r="AB16" s="29" t="s">
        <v>52</v>
      </c>
      <c r="AC16" s="30" t="s">
        <v>37</v>
      </c>
      <c r="AD16" s="30">
        <f>AD17+AD20+AD21+AD22+AD23++AD24+AD27+AD30+AD37+AD38</f>
        <v>25908449467.5</v>
      </c>
      <c r="AE16" s="31">
        <f t="shared" ref="AE16:AW16" si="8">AE17+AE20+AE21+AE22+AE23++AE24+AE27+AE30+AE37+AE38</f>
        <v>0</v>
      </c>
      <c r="AF16" s="31">
        <f t="shared" si="8"/>
        <v>0</v>
      </c>
      <c r="AG16" s="30">
        <f t="shared" si="8"/>
        <v>100000000</v>
      </c>
      <c r="AH16" s="30">
        <f>AH17+AH20+AH21+AH22+AH23++AH24+AH27+AH30+AH37+AH38</f>
        <v>432000000</v>
      </c>
      <c r="AI16" s="30">
        <f t="shared" si="8"/>
        <v>-332000000</v>
      </c>
      <c r="AJ16" s="30">
        <f t="shared" si="8"/>
        <v>25576449467.5</v>
      </c>
      <c r="AK16" s="31">
        <f t="shared" si="8"/>
        <v>0</v>
      </c>
      <c r="AL16" s="30">
        <f t="shared" si="8"/>
        <v>2424980029</v>
      </c>
      <c r="AM16" s="30">
        <f t="shared" si="8"/>
        <v>10692672851</v>
      </c>
      <c r="AN16" s="31">
        <f t="shared" si="8"/>
        <v>0</v>
      </c>
      <c r="AO16" s="30">
        <f t="shared" si="8"/>
        <v>2424980029</v>
      </c>
      <c r="AP16" s="30">
        <f t="shared" si="8"/>
        <v>10692672851</v>
      </c>
      <c r="AQ16" s="31">
        <f t="shared" si="8"/>
        <v>0</v>
      </c>
      <c r="AR16" s="30">
        <f t="shared" si="8"/>
        <v>2382170843</v>
      </c>
      <c r="AS16" s="30">
        <f t="shared" si="8"/>
        <v>10600254088</v>
      </c>
      <c r="AT16" s="30">
        <f t="shared" si="7"/>
        <v>10600254088</v>
      </c>
      <c r="AU16" s="30">
        <f t="shared" si="8"/>
        <v>14883776616.5</v>
      </c>
      <c r="AV16" s="31">
        <f t="shared" si="8"/>
        <v>0</v>
      </c>
      <c r="AW16" s="30">
        <f t="shared" si="8"/>
        <v>92418763</v>
      </c>
      <c r="AX16" s="32">
        <f t="shared" si="1"/>
        <v>0.4180671310373702</v>
      </c>
    </row>
    <row r="17" spans="1:50" ht="18.75" customHeight="1" x14ac:dyDescent="0.2">
      <c r="A17" s="27" t="s">
        <v>41</v>
      </c>
      <c r="B17" s="27" t="s">
        <v>42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8" t="s">
        <v>53</v>
      </c>
      <c r="AB17" s="29" t="s">
        <v>54</v>
      </c>
      <c r="AC17" s="30" t="s">
        <v>37</v>
      </c>
      <c r="AD17" s="30">
        <f>AD18+AD19</f>
        <v>19589756868.5</v>
      </c>
      <c r="AE17" s="31">
        <f t="shared" ref="AE17:AW17" si="9">AE18+AE19</f>
        <v>0</v>
      </c>
      <c r="AF17" s="31">
        <f t="shared" si="9"/>
        <v>0</v>
      </c>
      <c r="AG17" s="31">
        <f t="shared" si="9"/>
        <v>0</v>
      </c>
      <c r="AH17" s="30">
        <f t="shared" si="9"/>
        <v>100000000</v>
      </c>
      <c r="AI17" s="30">
        <f t="shared" si="9"/>
        <v>-100000000</v>
      </c>
      <c r="AJ17" s="30">
        <f t="shared" si="9"/>
        <v>19489756868.5</v>
      </c>
      <c r="AK17" s="31">
        <f t="shared" si="9"/>
        <v>0</v>
      </c>
      <c r="AL17" s="30">
        <f t="shared" si="9"/>
        <v>1495176644</v>
      </c>
      <c r="AM17" s="30">
        <f t="shared" si="9"/>
        <v>9049254958</v>
      </c>
      <c r="AN17" s="31">
        <f t="shared" si="9"/>
        <v>0</v>
      </c>
      <c r="AO17" s="30">
        <f t="shared" si="9"/>
        <v>1495176644</v>
      </c>
      <c r="AP17" s="30">
        <f t="shared" si="9"/>
        <v>9049254958</v>
      </c>
      <c r="AQ17" s="31">
        <f t="shared" si="9"/>
        <v>0</v>
      </c>
      <c r="AR17" s="30">
        <f t="shared" si="9"/>
        <v>1495176644</v>
      </c>
      <c r="AS17" s="30">
        <f t="shared" si="9"/>
        <v>9013820886</v>
      </c>
      <c r="AT17" s="30">
        <f t="shared" si="7"/>
        <v>9013820886</v>
      </c>
      <c r="AU17" s="30">
        <f t="shared" si="9"/>
        <v>10440501910.5</v>
      </c>
      <c r="AV17" s="31">
        <f t="shared" si="9"/>
        <v>0</v>
      </c>
      <c r="AW17" s="30">
        <f t="shared" si="9"/>
        <v>35434072</v>
      </c>
      <c r="AX17" s="32">
        <f t="shared" si="1"/>
        <v>0.46430825274304527</v>
      </c>
    </row>
    <row r="18" spans="1:50" ht="18.75" customHeight="1" x14ac:dyDescent="0.2">
      <c r="A18" s="14" t="s">
        <v>55</v>
      </c>
      <c r="B18" s="15" t="s">
        <v>56</v>
      </c>
      <c r="C18" s="15"/>
      <c r="D18" s="15" t="s">
        <v>40</v>
      </c>
      <c r="E18" s="15"/>
      <c r="F18" s="15"/>
      <c r="G18" s="15" t="s">
        <v>41</v>
      </c>
      <c r="H18" s="15"/>
      <c r="I18" s="15" t="s">
        <v>936</v>
      </c>
      <c r="J18" s="15"/>
      <c r="K18" s="15" t="s">
        <v>932</v>
      </c>
      <c r="L18" s="15"/>
      <c r="M18" s="15" t="s">
        <v>933</v>
      </c>
      <c r="N18" s="15"/>
      <c r="O18" s="15" t="s">
        <v>938</v>
      </c>
      <c r="P18" s="15"/>
      <c r="Q18" s="15" t="s">
        <v>939</v>
      </c>
      <c r="R18" s="15"/>
      <c r="S18" s="15" t="s">
        <v>940</v>
      </c>
      <c r="T18" s="15">
        <v>0</v>
      </c>
      <c r="U18" s="15">
        <v>0</v>
      </c>
      <c r="V18" s="15">
        <v>0</v>
      </c>
      <c r="W18" s="15">
        <v>0</v>
      </c>
      <c r="X18" s="15" t="s">
        <v>937</v>
      </c>
      <c r="Y18" s="15"/>
      <c r="Z18" s="15"/>
      <c r="AA18" s="16" t="s">
        <v>57</v>
      </c>
      <c r="AB18" s="17" t="s">
        <v>54</v>
      </c>
      <c r="AC18" s="17" t="s">
        <v>58</v>
      </c>
      <c r="AD18" s="18">
        <v>18005571308.5</v>
      </c>
      <c r="AE18" s="34">
        <v>0</v>
      </c>
      <c r="AF18" s="34">
        <v>0</v>
      </c>
      <c r="AG18" s="34">
        <v>0</v>
      </c>
      <c r="AH18" s="18">
        <v>100000000</v>
      </c>
      <c r="AI18" s="18">
        <f>AE18-AF18+AG18-AH18</f>
        <v>-100000000</v>
      </c>
      <c r="AJ18" s="18">
        <f>AD18+AI18</f>
        <v>17905571308.5</v>
      </c>
      <c r="AK18" s="34">
        <v>0</v>
      </c>
      <c r="AL18" s="18">
        <v>1381600070</v>
      </c>
      <c r="AM18" s="18">
        <v>8366694723</v>
      </c>
      <c r="AN18" s="34">
        <v>0</v>
      </c>
      <c r="AO18" s="18">
        <v>1381600070</v>
      </c>
      <c r="AP18" s="18">
        <v>8366694723</v>
      </c>
      <c r="AQ18" s="34">
        <v>0</v>
      </c>
      <c r="AR18" s="18">
        <v>1381600070</v>
      </c>
      <c r="AS18" s="18">
        <v>8331260651</v>
      </c>
      <c r="AT18" s="39">
        <f t="shared" si="7"/>
        <v>8331260651</v>
      </c>
      <c r="AU18" s="18">
        <f t="shared" ref="AU18:AU38" si="10">AJ18-AM18</f>
        <v>9538876585.5</v>
      </c>
      <c r="AV18" s="34">
        <f t="shared" ref="AV18:AV38" si="11">AM18-AP18</f>
        <v>0</v>
      </c>
      <c r="AW18" s="18">
        <f t="shared" ref="AW18:AW38" si="12">AP18-AT18</f>
        <v>35434072</v>
      </c>
      <c r="AX18" s="32">
        <f t="shared" si="1"/>
        <v>0.46726767768801797</v>
      </c>
    </row>
    <row r="19" spans="1:50" ht="18.75" customHeight="1" x14ac:dyDescent="0.2">
      <c r="A19" s="14" t="s">
        <v>55</v>
      </c>
      <c r="B19" s="15" t="s">
        <v>56</v>
      </c>
      <c r="C19" s="15"/>
      <c r="D19" s="15" t="s">
        <v>40</v>
      </c>
      <c r="E19" s="15"/>
      <c r="F19" s="15"/>
      <c r="G19" s="15" t="s">
        <v>41</v>
      </c>
      <c r="H19" s="15"/>
      <c r="I19" s="15" t="s">
        <v>941</v>
      </c>
      <c r="J19" s="15"/>
      <c r="K19" s="15" t="s">
        <v>932</v>
      </c>
      <c r="L19" s="15"/>
      <c r="M19" s="15" t="s">
        <v>933</v>
      </c>
      <c r="N19" s="15"/>
      <c r="O19" s="15" t="s">
        <v>938</v>
      </c>
      <c r="P19" s="15"/>
      <c r="Q19" s="15" t="s">
        <v>939</v>
      </c>
      <c r="R19" s="15"/>
      <c r="S19" s="15" t="s">
        <v>940</v>
      </c>
      <c r="T19" s="15">
        <v>0</v>
      </c>
      <c r="U19" s="15">
        <v>0</v>
      </c>
      <c r="V19" s="15">
        <v>0</v>
      </c>
      <c r="W19" s="15">
        <v>0</v>
      </c>
      <c r="X19" s="15" t="s">
        <v>937</v>
      </c>
      <c r="Y19" s="15"/>
      <c r="Z19" s="15"/>
      <c r="AA19" s="16" t="s">
        <v>59</v>
      </c>
      <c r="AB19" s="17" t="s">
        <v>60</v>
      </c>
      <c r="AC19" s="17" t="s">
        <v>61</v>
      </c>
      <c r="AD19" s="18">
        <v>1584185560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18">
        <v>1584185560</v>
      </c>
      <c r="AK19" s="34">
        <v>0</v>
      </c>
      <c r="AL19" s="18">
        <v>113576574</v>
      </c>
      <c r="AM19" s="18">
        <v>682560235</v>
      </c>
      <c r="AN19" s="34">
        <v>0</v>
      </c>
      <c r="AO19" s="18">
        <v>113576574</v>
      </c>
      <c r="AP19" s="18">
        <v>682560235</v>
      </c>
      <c r="AQ19" s="34">
        <v>0</v>
      </c>
      <c r="AR19" s="18">
        <v>113576574</v>
      </c>
      <c r="AS19" s="18">
        <v>682560235</v>
      </c>
      <c r="AT19" s="39">
        <f t="shared" si="7"/>
        <v>682560235</v>
      </c>
      <c r="AU19" s="18">
        <f t="shared" si="10"/>
        <v>901625325</v>
      </c>
      <c r="AV19" s="34">
        <f t="shared" si="11"/>
        <v>0</v>
      </c>
      <c r="AW19" s="34">
        <f t="shared" si="12"/>
        <v>0</v>
      </c>
      <c r="AX19" s="32">
        <f t="shared" si="1"/>
        <v>0.43085876568651466</v>
      </c>
    </row>
    <row r="20" spans="1:50" ht="18.75" customHeight="1" x14ac:dyDescent="0.2">
      <c r="A20" s="14" t="s">
        <v>49</v>
      </c>
      <c r="B20" s="15" t="s">
        <v>50</v>
      </c>
      <c r="C20" s="15"/>
      <c r="D20" s="15" t="s">
        <v>40</v>
      </c>
      <c r="E20" s="15"/>
      <c r="F20" s="15"/>
      <c r="G20" s="15" t="s">
        <v>41</v>
      </c>
      <c r="H20" s="15"/>
      <c r="I20" s="15" t="s">
        <v>936</v>
      </c>
      <c r="J20" s="15"/>
      <c r="K20" s="15" t="s">
        <v>932</v>
      </c>
      <c r="L20" s="15"/>
      <c r="M20" s="15" t="s">
        <v>933</v>
      </c>
      <c r="N20" s="15"/>
      <c r="O20" s="15" t="s">
        <v>938</v>
      </c>
      <c r="P20" s="15"/>
      <c r="Q20" s="15" t="s">
        <v>939</v>
      </c>
      <c r="R20" s="15"/>
      <c r="S20" s="15" t="s">
        <v>940</v>
      </c>
      <c r="T20" s="15">
        <v>0</v>
      </c>
      <c r="U20" s="15">
        <v>0</v>
      </c>
      <c r="V20" s="15">
        <v>0</v>
      </c>
      <c r="W20" s="15">
        <v>0</v>
      </c>
      <c r="X20" s="15" t="s">
        <v>937</v>
      </c>
      <c r="Y20" s="15"/>
      <c r="Z20" s="15"/>
      <c r="AA20" s="16" t="s">
        <v>62</v>
      </c>
      <c r="AB20" s="17" t="s">
        <v>63</v>
      </c>
      <c r="AC20" s="17" t="s">
        <v>58</v>
      </c>
      <c r="AD20" s="18">
        <v>398412895</v>
      </c>
      <c r="AE20" s="34">
        <v>0</v>
      </c>
      <c r="AF20" s="34">
        <v>0</v>
      </c>
      <c r="AG20" s="18">
        <v>100000000</v>
      </c>
      <c r="AH20" s="34">
        <v>0</v>
      </c>
      <c r="AI20" s="18">
        <f>AE20-AF20+AG20-AH20</f>
        <v>100000000</v>
      </c>
      <c r="AJ20" s="18">
        <f>AD20+AI20</f>
        <v>498412895</v>
      </c>
      <c r="AK20" s="34">
        <v>0</v>
      </c>
      <c r="AL20" s="18">
        <v>32237759</v>
      </c>
      <c r="AM20" s="18">
        <v>189050141</v>
      </c>
      <c r="AN20" s="34">
        <v>0</v>
      </c>
      <c r="AO20" s="18">
        <v>32237759</v>
      </c>
      <c r="AP20" s="18">
        <v>189050141</v>
      </c>
      <c r="AQ20" s="34">
        <v>0</v>
      </c>
      <c r="AR20" s="18">
        <v>32237759</v>
      </c>
      <c r="AS20" s="18">
        <v>185567125</v>
      </c>
      <c r="AT20" s="39">
        <f t="shared" si="7"/>
        <v>185567125</v>
      </c>
      <c r="AU20" s="18">
        <f t="shared" si="10"/>
        <v>309362754</v>
      </c>
      <c r="AV20" s="34">
        <f t="shared" si="11"/>
        <v>0</v>
      </c>
      <c r="AW20" s="18">
        <f t="shared" si="12"/>
        <v>3483016</v>
      </c>
      <c r="AX20" s="32">
        <f t="shared" si="1"/>
        <v>0.37930427341772527</v>
      </c>
    </row>
    <row r="21" spans="1:50" ht="18.75" customHeight="1" x14ac:dyDescent="0.2">
      <c r="A21" s="14" t="s">
        <v>49</v>
      </c>
      <c r="B21" s="15" t="s">
        <v>50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6" t="s">
        <v>64</v>
      </c>
      <c r="AB21" s="17" t="s">
        <v>65</v>
      </c>
      <c r="AC21" s="17" t="s">
        <v>58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40">
        <f t="shared" si="7"/>
        <v>0</v>
      </c>
      <c r="AU21" s="34">
        <f t="shared" si="10"/>
        <v>0</v>
      </c>
      <c r="AV21" s="34">
        <f t="shared" si="11"/>
        <v>0</v>
      </c>
      <c r="AW21" s="34">
        <f t="shared" si="12"/>
        <v>0</v>
      </c>
      <c r="AX21" s="32">
        <v>0</v>
      </c>
    </row>
    <row r="22" spans="1:50" ht="18.75" customHeight="1" x14ac:dyDescent="0.2">
      <c r="A22" s="14" t="s">
        <v>49</v>
      </c>
      <c r="B22" s="15" t="s">
        <v>50</v>
      </c>
      <c r="C22" s="15"/>
      <c r="D22" s="15" t="s">
        <v>40</v>
      </c>
      <c r="E22" s="15"/>
      <c r="F22" s="15"/>
      <c r="G22" s="15" t="s">
        <v>41</v>
      </c>
      <c r="H22" s="15"/>
      <c r="I22" s="15" t="s">
        <v>936</v>
      </c>
      <c r="J22" s="15"/>
      <c r="K22" s="15" t="s">
        <v>932</v>
      </c>
      <c r="L22" s="15"/>
      <c r="M22" s="15" t="s">
        <v>933</v>
      </c>
      <c r="N22" s="15"/>
      <c r="O22" s="15" t="s">
        <v>938</v>
      </c>
      <c r="P22" s="15"/>
      <c r="Q22" s="15" t="s">
        <v>939</v>
      </c>
      <c r="R22" s="15"/>
      <c r="S22" s="15" t="s">
        <v>940</v>
      </c>
      <c r="T22" s="15">
        <v>0</v>
      </c>
      <c r="U22" s="15">
        <v>0</v>
      </c>
      <c r="V22" s="15">
        <v>0</v>
      </c>
      <c r="W22" s="15">
        <v>0</v>
      </c>
      <c r="X22" s="15" t="s">
        <v>937</v>
      </c>
      <c r="Y22" s="15"/>
      <c r="Z22" s="15"/>
      <c r="AA22" s="16" t="s">
        <v>66</v>
      </c>
      <c r="AB22" s="17" t="s">
        <v>67</v>
      </c>
      <c r="AC22" s="17" t="s">
        <v>58</v>
      </c>
      <c r="AD22" s="18">
        <v>13303349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18">
        <v>13303349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40">
        <f t="shared" si="7"/>
        <v>0</v>
      </c>
      <c r="AU22" s="18">
        <f t="shared" si="10"/>
        <v>13303349</v>
      </c>
      <c r="AV22" s="34">
        <f t="shared" si="11"/>
        <v>0</v>
      </c>
      <c r="AW22" s="34">
        <f t="shared" si="12"/>
        <v>0</v>
      </c>
      <c r="AX22" s="32">
        <f t="shared" ref="AX22:AX37" si="13">AP22/AJ22</f>
        <v>0</v>
      </c>
    </row>
    <row r="23" spans="1:50" ht="18.75" customHeight="1" x14ac:dyDescent="0.2">
      <c r="A23" s="14" t="s">
        <v>49</v>
      </c>
      <c r="B23" s="15" t="s">
        <v>50</v>
      </c>
      <c r="C23" s="15"/>
      <c r="D23" s="15" t="s">
        <v>40</v>
      </c>
      <c r="E23" s="15"/>
      <c r="F23" s="15"/>
      <c r="G23" s="15" t="s">
        <v>41</v>
      </c>
      <c r="H23" s="15"/>
      <c r="I23" s="15" t="s">
        <v>936</v>
      </c>
      <c r="J23" s="15"/>
      <c r="K23" s="15" t="s">
        <v>932</v>
      </c>
      <c r="L23" s="15"/>
      <c r="M23" s="15" t="s">
        <v>933</v>
      </c>
      <c r="N23" s="15"/>
      <c r="O23" s="15" t="s">
        <v>938</v>
      </c>
      <c r="P23" s="15"/>
      <c r="Q23" s="15" t="s">
        <v>939</v>
      </c>
      <c r="R23" s="15"/>
      <c r="S23" s="15" t="s">
        <v>940</v>
      </c>
      <c r="T23" s="15">
        <v>0</v>
      </c>
      <c r="U23" s="15">
        <v>0</v>
      </c>
      <c r="V23" s="15">
        <v>0</v>
      </c>
      <c r="W23" s="15">
        <v>0</v>
      </c>
      <c r="X23" s="15" t="s">
        <v>937</v>
      </c>
      <c r="Y23" s="15"/>
      <c r="Z23" s="15"/>
      <c r="AA23" s="16" t="s">
        <v>68</v>
      </c>
      <c r="AB23" s="17" t="s">
        <v>69</v>
      </c>
      <c r="AC23" s="17" t="s">
        <v>58</v>
      </c>
      <c r="AD23" s="18">
        <v>37582851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18">
        <v>37582851</v>
      </c>
      <c r="AK23" s="34">
        <v>0</v>
      </c>
      <c r="AL23" s="18">
        <v>2874258</v>
      </c>
      <c r="AM23" s="18">
        <v>17245548</v>
      </c>
      <c r="AN23" s="34">
        <v>0</v>
      </c>
      <c r="AO23" s="18">
        <v>2874258</v>
      </c>
      <c r="AP23" s="18">
        <v>17245548</v>
      </c>
      <c r="AQ23" s="34">
        <v>0</v>
      </c>
      <c r="AR23" s="18">
        <v>2874258</v>
      </c>
      <c r="AS23" s="18">
        <v>14371290</v>
      </c>
      <c r="AT23" s="39">
        <f t="shared" si="7"/>
        <v>14371290</v>
      </c>
      <c r="AU23" s="18">
        <f t="shared" si="10"/>
        <v>20337303</v>
      </c>
      <c r="AV23" s="34">
        <f t="shared" si="11"/>
        <v>0</v>
      </c>
      <c r="AW23" s="18">
        <f t="shared" si="12"/>
        <v>2874258</v>
      </c>
      <c r="AX23" s="32">
        <f t="shared" si="13"/>
        <v>0.45886747655200505</v>
      </c>
    </row>
    <row r="24" spans="1:50" ht="18.75" customHeight="1" x14ac:dyDescent="0.2">
      <c r="A24" s="27" t="s">
        <v>49</v>
      </c>
      <c r="B24" s="27" t="s">
        <v>50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8" t="s">
        <v>70</v>
      </c>
      <c r="AB24" s="29" t="s">
        <v>71</v>
      </c>
      <c r="AC24" s="30" t="s">
        <v>37</v>
      </c>
      <c r="AD24" s="30">
        <f>AD25+AD26</f>
        <v>1845616015</v>
      </c>
      <c r="AE24" s="31">
        <f t="shared" ref="AE24:AS24" si="14">AE25+AE26</f>
        <v>0</v>
      </c>
      <c r="AF24" s="31">
        <f t="shared" si="14"/>
        <v>0</v>
      </c>
      <c r="AG24" s="31">
        <f t="shared" si="14"/>
        <v>0</v>
      </c>
      <c r="AH24" s="30">
        <f t="shared" si="14"/>
        <v>140000000</v>
      </c>
      <c r="AI24" s="30">
        <f t="shared" si="14"/>
        <v>-140000000</v>
      </c>
      <c r="AJ24" s="30">
        <f t="shared" si="14"/>
        <v>1705616015</v>
      </c>
      <c r="AK24" s="31">
        <f t="shared" si="14"/>
        <v>0</v>
      </c>
      <c r="AL24" s="30">
        <f t="shared" si="14"/>
        <v>782457097</v>
      </c>
      <c r="AM24" s="30">
        <f t="shared" si="14"/>
        <v>799152181</v>
      </c>
      <c r="AN24" s="31">
        <f t="shared" si="14"/>
        <v>0</v>
      </c>
      <c r="AO24" s="30">
        <f t="shared" si="14"/>
        <v>782457097</v>
      </c>
      <c r="AP24" s="30">
        <f t="shared" si="14"/>
        <v>799152181</v>
      </c>
      <c r="AQ24" s="31">
        <f t="shared" si="14"/>
        <v>0</v>
      </c>
      <c r="AR24" s="30">
        <f t="shared" si="14"/>
        <v>739647911</v>
      </c>
      <c r="AS24" s="30">
        <f t="shared" si="14"/>
        <v>756342995</v>
      </c>
      <c r="AT24" s="30">
        <f t="shared" si="7"/>
        <v>756342995</v>
      </c>
      <c r="AU24" s="176">
        <f t="shared" si="10"/>
        <v>906463834</v>
      </c>
      <c r="AV24" s="177">
        <f t="shared" si="11"/>
        <v>0</v>
      </c>
      <c r="AW24" s="176">
        <f t="shared" si="12"/>
        <v>42809186</v>
      </c>
      <c r="AX24" s="32">
        <f t="shared" si="13"/>
        <v>0.46854167290402698</v>
      </c>
    </row>
    <row r="25" spans="1:50" ht="18.75" customHeight="1" x14ac:dyDescent="0.2">
      <c r="A25" s="14" t="s">
        <v>55</v>
      </c>
      <c r="B25" s="15" t="s">
        <v>56</v>
      </c>
      <c r="C25" s="15"/>
      <c r="D25" s="15" t="s">
        <v>40</v>
      </c>
      <c r="E25" s="15"/>
      <c r="F25" s="15"/>
      <c r="G25" s="15" t="s">
        <v>41</v>
      </c>
      <c r="H25" s="15"/>
      <c r="I25" s="15" t="s">
        <v>936</v>
      </c>
      <c r="J25" s="15"/>
      <c r="K25" s="15" t="s">
        <v>932</v>
      </c>
      <c r="L25" s="15"/>
      <c r="M25" s="15" t="s">
        <v>933</v>
      </c>
      <c r="N25" s="15"/>
      <c r="O25" s="15" t="s">
        <v>938</v>
      </c>
      <c r="P25" s="15"/>
      <c r="Q25" s="15" t="s">
        <v>939</v>
      </c>
      <c r="R25" s="15"/>
      <c r="S25" s="15" t="s">
        <v>940</v>
      </c>
      <c r="T25" s="15">
        <v>0</v>
      </c>
      <c r="U25" s="15">
        <v>0</v>
      </c>
      <c r="V25" s="15">
        <v>0</v>
      </c>
      <c r="W25" s="15">
        <v>0</v>
      </c>
      <c r="X25" s="15" t="s">
        <v>937</v>
      </c>
      <c r="Y25" s="15"/>
      <c r="Z25" s="15"/>
      <c r="AA25" s="16" t="s">
        <v>72</v>
      </c>
      <c r="AB25" s="17" t="s">
        <v>71</v>
      </c>
      <c r="AC25" s="17" t="s">
        <v>58</v>
      </c>
      <c r="AD25" s="18">
        <v>1777683059</v>
      </c>
      <c r="AE25" s="34">
        <v>0</v>
      </c>
      <c r="AF25" s="34">
        <v>0</v>
      </c>
      <c r="AG25" s="34">
        <v>0</v>
      </c>
      <c r="AH25" s="18">
        <v>140000000</v>
      </c>
      <c r="AI25" s="18">
        <f>AE25-AF25+AG25-AH25</f>
        <v>-140000000</v>
      </c>
      <c r="AJ25" s="18">
        <f>AD25+AI25</f>
        <v>1637683059</v>
      </c>
      <c r="AK25" s="34">
        <v>0</v>
      </c>
      <c r="AL25" s="18">
        <v>735625342</v>
      </c>
      <c r="AM25" s="18">
        <v>747847825</v>
      </c>
      <c r="AN25" s="34">
        <v>0</v>
      </c>
      <c r="AO25" s="18">
        <v>735625342</v>
      </c>
      <c r="AP25" s="18">
        <v>747847825</v>
      </c>
      <c r="AQ25" s="34">
        <v>0</v>
      </c>
      <c r="AR25" s="18">
        <v>735625342</v>
      </c>
      <c r="AS25" s="18">
        <v>747847825</v>
      </c>
      <c r="AT25" s="39">
        <f t="shared" si="7"/>
        <v>747847825</v>
      </c>
      <c r="AU25" s="18">
        <f t="shared" si="10"/>
        <v>889835234</v>
      </c>
      <c r="AV25" s="34">
        <f t="shared" si="11"/>
        <v>0</v>
      </c>
      <c r="AW25" s="34">
        <f t="shared" si="12"/>
        <v>0</v>
      </c>
      <c r="AX25" s="32">
        <f t="shared" si="13"/>
        <v>0.45664991213663159</v>
      </c>
    </row>
    <row r="26" spans="1:50" ht="18.75" customHeight="1" x14ac:dyDescent="0.2">
      <c r="A26" s="14" t="s">
        <v>55</v>
      </c>
      <c r="B26" s="15" t="s">
        <v>56</v>
      </c>
      <c r="C26" s="15"/>
      <c r="D26" s="15" t="s">
        <v>40</v>
      </c>
      <c r="E26" s="15"/>
      <c r="F26" s="15"/>
      <c r="G26" s="15" t="s">
        <v>41</v>
      </c>
      <c r="H26" s="15"/>
      <c r="I26" s="15" t="s">
        <v>941</v>
      </c>
      <c r="J26" s="15"/>
      <c r="K26" s="15" t="s">
        <v>932</v>
      </c>
      <c r="L26" s="15"/>
      <c r="M26" s="15" t="s">
        <v>933</v>
      </c>
      <c r="N26" s="15"/>
      <c r="O26" s="15" t="s">
        <v>938</v>
      </c>
      <c r="P26" s="15"/>
      <c r="Q26" s="15" t="s">
        <v>939</v>
      </c>
      <c r="R26" s="15"/>
      <c r="S26" s="15" t="s">
        <v>940</v>
      </c>
      <c r="T26" s="15">
        <v>0</v>
      </c>
      <c r="U26" s="15">
        <v>0</v>
      </c>
      <c r="V26" s="15">
        <v>0</v>
      </c>
      <c r="W26" s="15">
        <v>0</v>
      </c>
      <c r="X26" s="15" t="s">
        <v>937</v>
      </c>
      <c r="Y26" s="15"/>
      <c r="Z26" s="15"/>
      <c r="AA26" s="16" t="s">
        <v>73</v>
      </c>
      <c r="AB26" s="17" t="s">
        <v>74</v>
      </c>
      <c r="AC26" s="17" t="s">
        <v>61</v>
      </c>
      <c r="AD26" s="18">
        <v>67932956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18">
        <v>67932956</v>
      </c>
      <c r="AK26" s="34">
        <v>0</v>
      </c>
      <c r="AL26" s="34">
        <v>46831755</v>
      </c>
      <c r="AM26" s="18">
        <v>51304356</v>
      </c>
      <c r="AN26" s="34">
        <v>0</v>
      </c>
      <c r="AO26" s="18">
        <v>46831755</v>
      </c>
      <c r="AP26" s="18">
        <v>51304356</v>
      </c>
      <c r="AQ26" s="34">
        <v>0</v>
      </c>
      <c r="AR26" s="18">
        <v>4022569</v>
      </c>
      <c r="AS26" s="18">
        <v>8495170</v>
      </c>
      <c r="AT26" s="40">
        <f t="shared" si="7"/>
        <v>8495170</v>
      </c>
      <c r="AU26" s="18">
        <f t="shared" si="10"/>
        <v>16628600</v>
      </c>
      <c r="AV26" s="34">
        <f t="shared" si="11"/>
        <v>0</v>
      </c>
      <c r="AW26" s="18">
        <f t="shared" si="12"/>
        <v>42809186</v>
      </c>
      <c r="AX26" s="32">
        <f t="shared" si="13"/>
        <v>0.75522042644515575</v>
      </c>
    </row>
    <row r="27" spans="1:50" ht="18.75" customHeight="1" x14ac:dyDescent="0.2">
      <c r="A27" s="27" t="s">
        <v>49</v>
      </c>
      <c r="B27" s="27" t="s">
        <v>50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8" t="s">
        <v>75</v>
      </c>
      <c r="AB27" s="29" t="s">
        <v>76</v>
      </c>
      <c r="AC27" s="30" t="s">
        <v>37</v>
      </c>
      <c r="AD27" s="30">
        <f>AD28+AD29</f>
        <v>592992922</v>
      </c>
      <c r="AE27" s="31">
        <f t="shared" ref="AE27:AS27" si="15">AE28+AE29</f>
        <v>0</v>
      </c>
      <c r="AF27" s="31">
        <f t="shared" si="15"/>
        <v>0</v>
      </c>
      <c r="AG27" s="31">
        <f t="shared" si="15"/>
        <v>0</v>
      </c>
      <c r="AH27" s="31">
        <f t="shared" si="15"/>
        <v>0</v>
      </c>
      <c r="AI27" s="31">
        <f t="shared" si="15"/>
        <v>0</v>
      </c>
      <c r="AJ27" s="30">
        <f t="shared" si="15"/>
        <v>592992922</v>
      </c>
      <c r="AK27" s="31">
        <f t="shared" si="15"/>
        <v>0</v>
      </c>
      <c r="AL27" s="30">
        <f t="shared" si="15"/>
        <v>34021032</v>
      </c>
      <c r="AM27" s="30">
        <f t="shared" si="15"/>
        <v>254827413</v>
      </c>
      <c r="AN27" s="31">
        <f t="shared" si="15"/>
        <v>0</v>
      </c>
      <c r="AO27" s="30">
        <f t="shared" si="15"/>
        <v>34021032</v>
      </c>
      <c r="AP27" s="30">
        <f t="shared" si="15"/>
        <v>254827413</v>
      </c>
      <c r="AQ27" s="31">
        <f t="shared" si="15"/>
        <v>0</v>
      </c>
      <c r="AR27" s="30">
        <f t="shared" si="15"/>
        <v>34021032</v>
      </c>
      <c r="AS27" s="30">
        <f t="shared" si="15"/>
        <v>254827413</v>
      </c>
      <c r="AT27" s="30">
        <f t="shared" si="7"/>
        <v>254827413</v>
      </c>
      <c r="AU27" s="176">
        <f t="shared" si="10"/>
        <v>338165509</v>
      </c>
      <c r="AV27" s="177">
        <f t="shared" si="11"/>
        <v>0</v>
      </c>
      <c r="AW27" s="177">
        <f t="shared" si="12"/>
        <v>0</v>
      </c>
      <c r="AX27" s="32">
        <f t="shared" si="13"/>
        <v>0.42973095216809348</v>
      </c>
    </row>
    <row r="28" spans="1:50" ht="18.75" customHeight="1" x14ac:dyDescent="0.2">
      <c r="A28" s="14" t="s">
        <v>55</v>
      </c>
      <c r="B28" s="15" t="s">
        <v>56</v>
      </c>
      <c r="C28" s="15"/>
      <c r="D28" s="15" t="s">
        <v>40</v>
      </c>
      <c r="E28" s="15"/>
      <c r="F28" s="15"/>
      <c r="G28" s="15" t="s">
        <v>41</v>
      </c>
      <c r="H28" s="15"/>
      <c r="I28" s="15" t="s">
        <v>936</v>
      </c>
      <c r="J28" s="15"/>
      <c r="K28" s="15" t="s">
        <v>932</v>
      </c>
      <c r="L28" s="15"/>
      <c r="M28" s="15" t="s">
        <v>933</v>
      </c>
      <c r="N28" s="15"/>
      <c r="O28" s="15" t="s">
        <v>938</v>
      </c>
      <c r="P28" s="15"/>
      <c r="Q28" s="15" t="s">
        <v>939</v>
      </c>
      <c r="R28" s="15"/>
      <c r="S28" s="15" t="s">
        <v>940</v>
      </c>
      <c r="T28" s="15">
        <v>0</v>
      </c>
      <c r="U28" s="15">
        <v>0</v>
      </c>
      <c r="V28" s="15">
        <v>0</v>
      </c>
      <c r="W28" s="15">
        <v>0</v>
      </c>
      <c r="X28" s="15" t="s">
        <v>937</v>
      </c>
      <c r="Y28" s="15"/>
      <c r="Z28" s="15"/>
      <c r="AA28" s="16" t="s">
        <v>77</v>
      </c>
      <c r="AB28" s="17" t="s">
        <v>76</v>
      </c>
      <c r="AC28" s="17" t="s">
        <v>58</v>
      </c>
      <c r="AD28" s="18">
        <v>546787511</v>
      </c>
      <c r="AE28" s="34">
        <v>0</v>
      </c>
      <c r="AF28" s="34">
        <v>0</v>
      </c>
      <c r="AG28" s="34">
        <v>0</v>
      </c>
      <c r="AH28" s="34">
        <v>0</v>
      </c>
      <c r="AI28" s="34">
        <v>0</v>
      </c>
      <c r="AJ28" s="18">
        <v>546787511</v>
      </c>
      <c r="AK28" s="34">
        <v>0</v>
      </c>
      <c r="AL28" s="18">
        <v>28992205</v>
      </c>
      <c r="AM28" s="18">
        <v>246254281</v>
      </c>
      <c r="AN28" s="34">
        <v>0</v>
      </c>
      <c r="AO28" s="18">
        <v>28992205</v>
      </c>
      <c r="AP28" s="18">
        <v>246254281</v>
      </c>
      <c r="AQ28" s="34">
        <v>0</v>
      </c>
      <c r="AR28" s="18">
        <v>28992205</v>
      </c>
      <c r="AS28" s="18">
        <v>246254281</v>
      </c>
      <c r="AT28" s="39">
        <f t="shared" si="7"/>
        <v>246254281</v>
      </c>
      <c r="AU28" s="18">
        <f t="shared" si="10"/>
        <v>300533230</v>
      </c>
      <c r="AV28" s="34">
        <f t="shared" si="11"/>
        <v>0</v>
      </c>
      <c r="AW28" s="34">
        <f t="shared" si="12"/>
        <v>0</v>
      </c>
      <c r="AX28" s="32">
        <f t="shared" si="13"/>
        <v>0.45036559183591157</v>
      </c>
    </row>
    <row r="29" spans="1:50" ht="18.75" customHeight="1" x14ac:dyDescent="0.2">
      <c r="A29" s="14" t="s">
        <v>55</v>
      </c>
      <c r="B29" s="15" t="s">
        <v>56</v>
      </c>
      <c r="C29" s="15"/>
      <c r="D29" s="15" t="s">
        <v>40</v>
      </c>
      <c r="E29" s="15"/>
      <c r="F29" s="15"/>
      <c r="G29" s="15" t="s">
        <v>41</v>
      </c>
      <c r="H29" s="15"/>
      <c r="I29" s="15" t="s">
        <v>941</v>
      </c>
      <c r="J29" s="15"/>
      <c r="K29" s="15" t="s">
        <v>932</v>
      </c>
      <c r="L29" s="15"/>
      <c r="M29" s="15" t="s">
        <v>933</v>
      </c>
      <c r="N29" s="15"/>
      <c r="O29" s="15" t="s">
        <v>938</v>
      </c>
      <c r="P29" s="15"/>
      <c r="Q29" s="15" t="s">
        <v>939</v>
      </c>
      <c r="R29" s="15"/>
      <c r="S29" s="15" t="s">
        <v>940</v>
      </c>
      <c r="T29" s="15">
        <v>0</v>
      </c>
      <c r="U29" s="15">
        <v>0</v>
      </c>
      <c r="V29" s="15">
        <v>0</v>
      </c>
      <c r="W29" s="15">
        <v>0</v>
      </c>
      <c r="X29" s="15" t="s">
        <v>937</v>
      </c>
      <c r="Y29" s="15"/>
      <c r="Z29" s="15"/>
      <c r="AA29" s="16" t="s">
        <v>78</v>
      </c>
      <c r="AB29" s="17" t="s">
        <v>79</v>
      </c>
      <c r="AC29" s="17" t="s">
        <v>58</v>
      </c>
      <c r="AD29" s="18">
        <v>46205411</v>
      </c>
      <c r="AE29" s="34">
        <v>0</v>
      </c>
      <c r="AF29" s="34">
        <v>0</v>
      </c>
      <c r="AG29" s="34">
        <v>0</v>
      </c>
      <c r="AH29" s="34">
        <v>0</v>
      </c>
      <c r="AI29" s="34">
        <v>0</v>
      </c>
      <c r="AJ29" s="18">
        <v>46205411</v>
      </c>
      <c r="AK29" s="34">
        <v>0</v>
      </c>
      <c r="AL29" s="34">
        <v>5028827</v>
      </c>
      <c r="AM29" s="18">
        <v>8573132</v>
      </c>
      <c r="AN29" s="34">
        <v>0</v>
      </c>
      <c r="AO29" s="18">
        <v>5028827</v>
      </c>
      <c r="AP29" s="18">
        <v>8573132</v>
      </c>
      <c r="AQ29" s="34">
        <v>0</v>
      </c>
      <c r="AR29" s="18">
        <v>5028827</v>
      </c>
      <c r="AS29" s="18">
        <v>8573132</v>
      </c>
      <c r="AT29" s="39">
        <f t="shared" si="7"/>
        <v>8573132</v>
      </c>
      <c r="AU29" s="18">
        <f t="shared" si="10"/>
        <v>37632279</v>
      </c>
      <c r="AV29" s="34">
        <f t="shared" si="11"/>
        <v>0</v>
      </c>
      <c r="AW29" s="34">
        <f t="shared" si="12"/>
        <v>0</v>
      </c>
      <c r="AX29" s="32">
        <f t="shared" si="13"/>
        <v>0.18554389657955861</v>
      </c>
    </row>
    <row r="30" spans="1:50" ht="18.75" customHeight="1" x14ac:dyDescent="0.2">
      <c r="A30" s="27" t="s">
        <v>49</v>
      </c>
      <c r="B30" s="27" t="s">
        <v>50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8" t="s">
        <v>80</v>
      </c>
      <c r="AB30" s="29" t="s">
        <v>81</v>
      </c>
      <c r="AC30" s="30" t="s">
        <v>37</v>
      </c>
      <c r="AD30" s="30">
        <f>AD31+AD34</f>
        <v>3301831967</v>
      </c>
      <c r="AE30" s="31">
        <f t="shared" ref="AE30:AS30" si="16">AE31+AE34</f>
        <v>0</v>
      </c>
      <c r="AF30" s="31">
        <f t="shared" si="16"/>
        <v>0</v>
      </c>
      <c r="AG30" s="31">
        <f t="shared" si="16"/>
        <v>0</v>
      </c>
      <c r="AH30" s="30">
        <f t="shared" si="16"/>
        <v>120000000</v>
      </c>
      <c r="AI30" s="30">
        <f t="shared" si="16"/>
        <v>-120000000</v>
      </c>
      <c r="AJ30" s="30">
        <f t="shared" si="16"/>
        <v>3181831967</v>
      </c>
      <c r="AK30" s="31">
        <f t="shared" si="16"/>
        <v>0</v>
      </c>
      <c r="AL30" s="30">
        <f t="shared" si="16"/>
        <v>78213239</v>
      </c>
      <c r="AM30" s="30">
        <f t="shared" si="16"/>
        <v>383142610</v>
      </c>
      <c r="AN30" s="31">
        <f t="shared" si="16"/>
        <v>0</v>
      </c>
      <c r="AO30" s="30">
        <f t="shared" si="16"/>
        <v>78213239</v>
      </c>
      <c r="AP30" s="30">
        <f t="shared" si="16"/>
        <v>383142610</v>
      </c>
      <c r="AQ30" s="31">
        <f t="shared" si="16"/>
        <v>0</v>
      </c>
      <c r="AR30" s="30">
        <f t="shared" si="16"/>
        <v>78213239</v>
      </c>
      <c r="AS30" s="30">
        <f t="shared" si="16"/>
        <v>375324379</v>
      </c>
      <c r="AT30" s="39">
        <f t="shared" si="7"/>
        <v>375324379</v>
      </c>
      <c r="AU30" s="18">
        <f t="shared" si="10"/>
        <v>2798689357</v>
      </c>
      <c r="AV30" s="34">
        <f t="shared" si="11"/>
        <v>0</v>
      </c>
      <c r="AW30" s="18">
        <f t="shared" si="12"/>
        <v>7818231</v>
      </c>
      <c r="AX30" s="32">
        <f t="shared" si="13"/>
        <v>0.12041572715772517</v>
      </c>
    </row>
    <row r="31" spans="1:50" ht="18.75" customHeight="1" x14ac:dyDescent="0.2">
      <c r="A31" s="27" t="s">
        <v>49</v>
      </c>
      <c r="B31" s="27" t="s">
        <v>50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8" t="s">
        <v>82</v>
      </c>
      <c r="AB31" s="29" t="s">
        <v>83</v>
      </c>
      <c r="AC31" s="30" t="s">
        <v>37</v>
      </c>
      <c r="AD31" s="30">
        <f>AD32+AD33</f>
        <v>2120123016</v>
      </c>
      <c r="AE31" s="31">
        <f t="shared" ref="AE31:AS31" si="17">AE32+AE33</f>
        <v>0</v>
      </c>
      <c r="AF31" s="31">
        <f t="shared" si="17"/>
        <v>0</v>
      </c>
      <c r="AG31" s="31">
        <f t="shared" si="17"/>
        <v>0</v>
      </c>
      <c r="AH31" s="31">
        <f t="shared" si="17"/>
        <v>0</v>
      </c>
      <c r="AI31" s="31">
        <f t="shared" si="17"/>
        <v>0</v>
      </c>
      <c r="AJ31" s="30">
        <f t="shared" si="17"/>
        <v>2120123016</v>
      </c>
      <c r="AK31" s="31">
        <f t="shared" si="17"/>
        <v>0</v>
      </c>
      <c r="AL31" s="30">
        <f t="shared" si="17"/>
        <v>14594183</v>
      </c>
      <c r="AM31" s="30">
        <f t="shared" si="17"/>
        <v>42159948</v>
      </c>
      <c r="AN31" s="31">
        <f t="shared" si="17"/>
        <v>0</v>
      </c>
      <c r="AO31" s="30">
        <f>AO32+AO33</f>
        <v>14594183</v>
      </c>
      <c r="AP31" s="30">
        <f t="shared" si="17"/>
        <v>42159948</v>
      </c>
      <c r="AQ31" s="31">
        <f t="shared" si="17"/>
        <v>0</v>
      </c>
      <c r="AR31" s="30">
        <f t="shared" si="17"/>
        <v>14594183</v>
      </c>
      <c r="AS31" s="30">
        <f t="shared" si="17"/>
        <v>42159948</v>
      </c>
      <c r="AT31" s="39">
        <f t="shared" si="7"/>
        <v>42159948</v>
      </c>
      <c r="AU31" s="18">
        <f t="shared" si="10"/>
        <v>2077963068</v>
      </c>
      <c r="AV31" s="34">
        <f t="shared" si="11"/>
        <v>0</v>
      </c>
      <c r="AW31" s="34">
        <f t="shared" si="12"/>
        <v>0</v>
      </c>
      <c r="AX31" s="32">
        <f t="shared" si="13"/>
        <v>1.988561403363398E-2</v>
      </c>
    </row>
    <row r="32" spans="1:50" ht="18.75" customHeight="1" x14ac:dyDescent="0.2">
      <c r="A32" s="14" t="s">
        <v>55</v>
      </c>
      <c r="B32" s="15" t="s">
        <v>56</v>
      </c>
      <c r="C32" s="15"/>
      <c r="D32" s="15" t="s">
        <v>40</v>
      </c>
      <c r="E32" s="15"/>
      <c r="F32" s="15"/>
      <c r="G32" s="15" t="s">
        <v>41</v>
      </c>
      <c r="H32" s="15"/>
      <c r="I32" s="15" t="s">
        <v>941</v>
      </c>
      <c r="J32" s="15"/>
      <c r="K32" s="15" t="s">
        <v>932</v>
      </c>
      <c r="L32" s="15"/>
      <c r="M32" s="15" t="s">
        <v>933</v>
      </c>
      <c r="N32" s="15"/>
      <c r="O32" s="15" t="s">
        <v>938</v>
      </c>
      <c r="P32" s="15"/>
      <c r="Q32" s="15" t="s">
        <v>939</v>
      </c>
      <c r="R32" s="15"/>
      <c r="S32" s="15" t="s">
        <v>940</v>
      </c>
      <c r="T32" s="15">
        <v>0</v>
      </c>
      <c r="U32" s="15">
        <v>0</v>
      </c>
      <c r="V32" s="15">
        <v>0</v>
      </c>
      <c r="W32" s="15">
        <v>0</v>
      </c>
      <c r="X32" s="15" t="s">
        <v>937</v>
      </c>
      <c r="Y32" s="15"/>
      <c r="Z32" s="15"/>
      <c r="AA32" s="16" t="s">
        <v>84</v>
      </c>
      <c r="AB32" s="17" t="s">
        <v>85</v>
      </c>
      <c r="AC32" s="17" t="s">
        <v>61</v>
      </c>
      <c r="AD32" s="18">
        <v>151225079</v>
      </c>
      <c r="AE32" s="34">
        <v>0</v>
      </c>
      <c r="AF32" s="34">
        <v>0</v>
      </c>
      <c r="AG32" s="34">
        <v>0</v>
      </c>
      <c r="AH32" s="34">
        <v>0</v>
      </c>
      <c r="AI32" s="34">
        <v>0</v>
      </c>
      <c r="AJ32" s="18">
        <v>151225079</v>
      </c>
      <c r="AK32" s="34">
        <v>0</v>
      </c>
      <c r="AL32" s="34">
        <v>4137972</v>
      </c>
      <c r="AM32" s="18">
        <v>7328646</v>
      </c>
      <c r="AN32" s="34">
        <v>0</v>
      </c>
      <c r="AO32" s="18">
        <v>4137972</v>
      </c>
      <c r="AP32" s="18">
        <v>7328646</v>
      </c>
      <c r="AQ32" s="34">
        <v>0</v>
      </c>
      <c r="AR32" s="18">
        <v>4137972</v>
      </c>
      <c r="AS32" s="18">
        <v>7328646</v>
      </c>
      <c r="AT32" s="39">
        <f t="shared" si="7"/>
        <v>7328646</v>
      </c>
      <c r="AU32" s="18">
        <f t="shared" si="10"/>
        <v>143896433</v>
      </c>
      <c r="AV32" s="34">
        <f t="shared" si="11"/>
        <v>0</v>
      </c>
      <c r="AW32" s="34">
        <f t="shared" si="12"/>
        <v>0</v>
      </c>
      <c r="AX32" s="32">
        <f t="shared" si="13"/>
        <v>4.8461842760882272E-2</v>
      </c>
    </row>
    <row r="33" spans="1:50" ht="18.75" customHeight="1" x14ac:dyDescent="0.2">
      <c r="A33" s="14" t="s">
        <v>55</v>
      </c>
      <c r="B33" s="15" t="s">
        <v>56</v>
      </c>
      <c r="C33" s="15"/>
      <c r="D33" s="15" t="s">
        <v>40</v>
      </c>
      <c r="E33" s="15"/>
      <c r="F33" s="15"/>
      <c r="G33" s="15" t="s">
        <v>41</v>
      </c>
      <c r="H33" s="15"/>
      <c r="I33" s="15" t="s">
        <v>936</v>
      </c>
      <c r="J33" s="15"/>
      <c r="K33" s="15" t="s">
        <v>932</v>
      </c>
      <c r="L33" s="15"/>
      <c r="M33" s="15" t="s">
        <v>933</v>
      </c>
      <c r="N33" s="15"/>
      <c r="O33" s="15" t="s">
        <v>938</v>
      </c>
      <c r="P33" s="15"/>
      <c r="Q33" s="15" t="s">
        <v>939</v>
      </c>
      <c r="R33" s="15"/>
      <c r="S33" s="15" t="s">
        <v>940</v>
      </c>
      <c r="T33" s="15">
        <v>0</v>
      </c>
      <c r="U33" s="15">
        <v>0</v>
      </c>
      <c r="V33" s="15">
        <v>0</v>
      </c>
      <c r="W33" s="15">
        <v>0</v>
      </c>
      <c r="X33" s="15" t="s">
        <v>937</v>
      </c>
      <c r="Y33" s="15"/>
      <c r="Z33" s="15"/>
      <c r="AA33" s="16" t="s">
        <v>86</v>
      </c>
      <c r="AB33" s="17" t="s">
        <v>83</v>
      </c>
      <c r="AC33" s="17" t="s">
        <v>58</v>
      </c>
      <c r="AD33" s="18">
        <v>1968897937</v>
      </c>
      <c r="AE33" s="34">
        <v>0</v>
      </c>
      <c r="AF33" s="34">
        <v>0</v>
      </c>
      <c r="AG33" s="34">
        <v>0</v>
      </c>
      <c r="AH33" s="34">
        <v>0</v>
      </c>
      <c r="AI33" s="34">
        <v>0</v>
      </c>
      <c r="AJ33" s="18">
        <v>1968897937</v>
      </c>
      <c r="AK33" s="34">
        <v>0</v>
      </c>
      <c r="AL33" s="18">
        <v>10456211</v>
      </c>
      <c r="AM33" s="18">
        <v>34831302</v>
      </c>
      <c r="AN33" s="34">
        <v>0</v>
      </c>
      <c r="AO33" s="18">
        <v>10456211</v>
      </c>
      <c r="AP33" s="18">
        <v>34831302</v>
      </c>
      <c r="AQ33" s="34">
        <v>0</v>
      </c>
      <c r="AR33" s="18">
        <v>10456211</v>
      </c>
      <c r="AS33" s="18">
        <v>34831302</v>
      </c>
      <c r="AT33" s="39">
        <f t="shared" si="7"/>
        <v>34831302</v>
      </c>
      <c r="AU33" s="18">
        <f t="shared" si="10"/>
        <v>1934066635</v>
      </c>
      <c r="AV33" s="34">
        <f t="shared" si="11"/>
        <v>0</v>
      </c>
      <c r="AW33" s="34">
        <f t="shared" si="12"/>
        <v>0</v>
      </c>
      <c r="AX33" s="32">
        <f t="shared" si="13"/>
        <v>1.7690760574960163E-2</v>
      </c>
    </row>
    <row r="34" spans="1:50" ht="18.75" customHeight="1" x14ac:dyDescent="0.2">
      <c r="A34" s="27" t="s">
        <v>49</v>
      </c>
      <c r="B34" s="27" t="s">
        <v>50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8" t="s">
        <v>87</v>
      </c>
      <c r="AB34" s="29" t="s">
        <v>88</v>
      </c>
      <c r="AC34" s="30" t="s">
        <v>37</v>
      </c>
      <c r="AD34" s="30">
        <f>AD35+AD36</f>
        <v>1181708951</v>
      </c>
      <c r="AE34" s="31">
        <f t="shared" ref="AE34:AS34" si="18">AE35+AE36</f>
        <v>0</v>
      </c>
      <c r="AF34" s="31">
        <f t="shared" si="18"/>
        <v>0</v>
      </c>
      <c r="AG34" s="31">
        <f t="shared" si="18"/>
        <v>0</v>
      </c>
      <c r="AH34" s="30">
        <f t="shared" si="18"/>
        <v>120000000</v>
      </c>
      <c r="AI34" s="30">
        <f t="shared" si="18"/>
        <v>-120000000</v>
      </c>
      <c r="AJ34" s="30">
        <f t="shared" si="18"/>
        <v>1061708951</v>
      </c>
      <c r="AK34" s="31">
        <f t="shared" si="18"/>
        <v>0</v>
      </c>
      <c r="AL34" s="30">
        <f t="shared" si="18"/>
        <v>63619056</v>
      </c>
      <c r="AM34" s="30">
        <f t="shared" si="18"/>
        <v>340982662</v>
      </c>
      <c r="AN34" s="31">
        <f t="shared" si="18"/>
        <v>0</v>
      </c>
      <c r="AO34" s="30">
        <f t="shared" si="18"/>
        <v>63619056</v>
      </c>
      <c r="AP34" s="30">
        <f t="shared" si="18"/>
        <v>340982662</v>
      </c>
      <c r="AQ34" s="31">
        <f t="shared" si="18"/>
        <v>0</v>
      </c>
      <c r="AR34" s="30">
        <f t="shared" si="18"/>
        <v>63619056</v>
      </c>
      <c r="AS34" s="30">
        <f t="shared" si="18"/>
        <v>333164431</v>
      </c>
      <c r="AT34" s="30">
        <f t="shared" si="7"/>
        <v>333164431</v>
      </c>
      <c r="AU34" s="176">
        <f t="shared" si="10"/>
        <v>720726289</v>
      </c>
      <c r="AV34" s="177">
        <f t="shared" si="11"/>
        <v>0</v>
      </c>
      <c r="AW34" s="176">
        <f t="shared" si="12"/>
        <v>7818231</v>
      </c>
      <c r="AX34" s="32">
        <f t="shared" si="13"/>
        <v>0.32116397029415267</v>
      </c>
    </row>
    <row r="35" spans="1:50" ht="18.75" customHeight="1" x14ac:dyDescent="0.2">
      <c r="A35" s="35" t="s">
        <v>55</v>
      </c>
      <c r="B35" s="36" t="s">
        <v>56</v>
      </c>
      <c r="C35" s="36"/>
      <c r="D35" s="36" t="s">
        <v>40</v>
      </c>
      <c r="E35" s="36"/>
      <c r="F35" s="36"/>
      <c r="G35" s="36" t="s">
        <v>41</v>
      </c>
      <c r="H35" s="36"/>
      <c r="I35" s="36" t="s">
        <v>936</v>
      </c>
      <c r="J35" s="36"/>
      <c r="K35" s="36" t="s">
        <v>932</v>
      </c>
      <c r="L35" s="36"/>
      <c r="M35" s="36" t="s">
        <v>933</v>
      </c>
      <c r="N35" s="36"/>
      <c r="O35" s="36" t="s">
        <v>938</v>
      </c>
      <c r="P35" s="36"/>
      <c r="Q35" s="36" t="s">
        <v>939</v>
      </c>
      <c r="R35" s="36"/>
      <c r="S35" s="36" t="s">
        <v>940</v>
      </c>
      <c r="T35" s="36">
        <v>0</v>
      </c>
      <c r="U35" s="36">
        <v>0</v>
      </c>
      <c r="V35" s="36">
        <v>0</v>
      </c>
      <c r="W35" s="36">
        <v>0</v>
      </c>
      <c r="X35" s="36" t="s">
        <v>937</v>
      </c>
      <c r="Y35" s="36"/>
      <c r="Z35" s="36"/>
      <c r="AA35" s="37" t="s">
        <v>89</v>
      </c>
      <c r="AB35" s="38" t="s">
        <v>88</v>
      </c>
      <c r="AC35" s="38" t="s">
        <v>58</v>
      </c>
      <c r="AD35" s="39">
        <v>1110945455</v>
      </c>
      <c r="AE35" s="40">
        <v>0</v>
      </c>
      <c r="AF35" s="40">
        <v>0</v>
      </c>
      <c r="AG35" s="40">
        <v>0</v>
      </c>
      <c r="AH35" s="39">
        <v>120000000</v>
      </c>
      <c r="AI35" s="18">
        <f>AE35-AF35+AG35-AH35</f>
        <v>-120000000</v>
      </c>
      <c r="AJ35" s="18">
        <f>AD35+AI35</f>
        <v>990945455</v>
      </c>
      <c r="AK35" s="40">
        <v>0</v>
      </c>
      <c r="AL35" s="39">
        <v>55995727</v>
      </c>
      <c r="AM35" s="39">
        <v>327689239</v>
      </c>
      <c r="AN35" s="40">
        <v>0</v>
      </c>
      <c r="AO35" s="39">
        <v>55995727</v>
      </c>
      <c r="AP35" s="39">
        <v>327689239</v>
      </c>
      <c r="AQ35" s="40">
        <v>0</v>
      </c>
      <c r="AR35" s="18">
        <v>55995727</v>
      </c>
      <c r="AS35" s="39">
        <v>319871008</v>
      </c>
      <c r="AT35" s="39">
        <f t="shared" si="7"/>
        <v>319871008</v>
      </c>
      <c r="AU35" s="18">
        <f t="shared" si="10"/>
        <v>663256216</v>
      </c>
      <c r="AV35" s="34">
        <f t="shared" si="11"/>
        <v>0</v>
      </c>
      <c r="AW35" s="18">
        <f t="shared" si="12"/>
        <v>7818231</v>
      </c>
      <c r="AX35" s="32">
        <f t="shared" si="13"/>
        <v>0.33068342697025638</v>
      </c>
    </row>
    <row r="36" spans="1:50" ht="18.75" customHeight="1" x14ac:dyDescent="0.2">
      <c r="A36" s="14" t="s">
        <v>55</v>
      </c>
      <c r="B36" s="15" t="s">
        <v>56</v>
      </c>
      <c r="C36" s="15"/>
      <c r="D36" s="15" t="s">
        <v>40</v>
      </c>
      <c r="E36" s="15"/>
      <c r="F36" s="15"/>
      <c r="G36" s="15" t="s">
        <v>41</v>
      </c>
      <c r="H36" s="15"/>
      <c r="I36" s="15" t="s">
        <v>941</v>
      </c>
      <c r="J36" s="15"/>
      <c r="K36" s="15" t="s">
        <v>932</v>
      </c>
      <c r="L36" s="15"/>
      <c r="M36" s="15" t="s">
        <v>933</v>
      </c>
      <c r="N36" s="15"/>
      <c r="O36" s="15" t="s">
        <v>938</v>
      </c>
      <c r="P36" s="15"/>
      <c r="Q36" s="15" t="s">
        <v>939</v>
      </c>
      <c r="R36" s="15"/>
      <c r="S36" s="15" t="s">
        <v>940</v>
      </c>
      <c r="T36" s="15">
        <v>0</v>
      </c>
      <c r="U36" s="15">
        <v>0</v>
      </c>
      <c r="V36" s="15">
        <v>0</v>
      </c>
      <c r="W36" s="15">
        <v>0</v>
      </c>
      <c r="X36" s="15" t="s">
        <v>937</v>
      </c>
      <c r="Y36" s="15"/>
      <c r="Z36" s="15"/>
      <c r="AA36" s="16" t="s">
        <v>90</v>
      </c>
      <c r="AB36" s="17" t="s">
        <v>91</v>
      </c>
      <c r="AC36" s="17" t="s">
        <v>61</v>
      </c>
      <c r="AD36" s="18">
        <v>70763496</v>
      </c>
      <c r="AE36" s="34">
        <v>0</v>
      </c>
      <c r="AF36" s="34">
        <v>0</v>
      </c>
      <c r="AG36" s="34">
        <v>0</v>
      </c>
      <c r="AH36" s="34">
        <v>0</v>
      </c>
      <c r="AI36" s="34">
        <v>0</v>
      </c>
      <c r="AJ36" s="18">
        <v>70763496</v>
      </c>
      <c r="AK36" s="34">
        <v>0</v>
      </c>
      <c r="AL36" s="40">
        <v>7623329</v>
      </c>
      <c r="AM36" s="18">
        <v>13293423</v>
      </c>
      <c r="AN36" s="34">
        <v>0</v>
      </c>
      <c r="AO36" s="39">
        <v>7623329</v>
      </c>
      <c r="AP36" s="18">
        <v>13293423</v>
      </c>
      <c r="AQ36" s="34">
        <v>0</v>
      </c>
      <c r="AR36" s="18">
        <v>7623329</v>
      </c>
      <c r="AS36" s="18">
        <v>13293423</v>
      </c>
      <c r="AT36" s="39">
        <f t="shared" si="7"/>
        <v>13293423</v>
      </c>
      <c r="AU36" s="18">
        <f t="shared" si="10"/>
        <v>57470073</v>
      </c>
      <c r="AV36" s="34">
        <f t="shared" si="11"/>
        <v>0</v>
      </c>
      <c r="AW36" s="34">
        <f t="shared" si="12"/>
        <v>0</v>
      </c>
      <c r="AX36" s="32">
        <f t="shared" si="13"/>
        <v>0.18785706969593474</v>
      </c>
    </row>
    <row r="37" spans="1:50" ht="18.75" customHeight="1" x14ac:dyDescent="0.2">
      <c r="A37" s="14" t="s">
        <v>49</v>
      </c>
      <c r="B37" s="15" t="s">
        <v>50</v>
      </c>
      <c r="C37" s="15"/>
      <c r="D37" s="15" t="s">
        <v>40</v>
      </c>
      <c r="E37" s="15"/>
      <c r="F37" s="15"/>
      <c r="G37" s="15" t="s">
        <v>41</v>
      </c>
      <c r="H37" s="15"/>
      <c r="I37" s="15" t="s">
        <v>936</v>
      </c>
      <c r="J37" s="15"/>
      <c r="K37" s="15" t="s">
        <v>932</v>
      </c>
      <c r="L37" s="15"/>
      <c r="M37" s="15" t="s">
        <v>933</v>
      </c>
      <c r="N37" s="15"/>
      <c r="O37" s="15" t="s">
        <v>938</v>
      </c>
      <c r="P37" s="15"/>
      <c r="Q37" s="15" t="s">
        <v>939</v>
      </c>
      <c r="R37" s="15"/>
      <c r="S37" s="15" t="s">
        <v>940</v>
      </c>
      <c r="T37" s="15">
        <v>0</v>
      </c>
      <c r="U37" s="15">
        <v>0</v>
      </c>
      <c r="V37" s="15">
        <v>0</v>
      </c>
      <c r="W37" s="15">
        <v>0</v>
      </c>
      <c r="X37" s="15" t="s">
        <v>937</v>
      </c>
      <c r="Y37" s="15"/>
      <c r="Z37" s="15"/>
      <c r="AA37" s="16" t="s">
        <v>92</v>
      </c>
      <c r="AB37" s="17" t="s">
        <v>93</v>
      </c>
      <c r="AC37" s="17" t="s">
        <v>58</v>
      </c>
      <c r="AD37" s="18">
        <v>128952600</v>
      </c>
      <c r="AE37" s="34">
        <v>0</v>
      </c>
      <c r="AF37" s="34">
        <v>0</v>
      </c>
      <c r="AG37" s="34">
        <v>0</v>
      </c>
      <c r="AH37" s="18">
        <v>72000000</v>
      </c>
      <c r="AI37" s="18">
        <f>AE37-AF37+AG37-AH37</f>
        <v>-72000000</v>
      </c>
      <c r="AJ37" s="18">
        <f>AD37+AI37</f>
        <v>56952600</v>
      </c>
      <c r="AK37" s="34">
        <v>0</v>
      </c>
      <c r="AL37" s="40">
        <v>0</v>
      </c>
      <c r="AM37" s="34">
        <v>0</v>
      </c>
      <c r="AN37" s="34">
        <v>0</v>
      </c>
      <c r="AO37" s="40">
        <v>0</v>
      </c>
      <c r="AP37" s="34">
        <v>0</v>
      </c>
      <c r="AQ37" s="34">
        <v>0</v>
      </c>
      <c r="AR37" s="34">
        <v>0</v>
      </c>
      <c r="AS37" s="34">
        <v>0</v>
      </c>
      <c r="AT37" s="40">
        <f t="shared" si="7"/>
        <v>0</v>
      </c>
      <c r="AU37" s="18">
        <f t="shared" si="10"/>
        <v>56952600</v>
      </c>
      <c r="AV37" s="34">
        <f t="shared" si="11"/>
        <v>0</v>
      </c>
      <c r="AW37" s="34">
        <f t="shared" si="12"/>
        <v>0</v>
      </c>
      <c r="AX37" s="32">
        <f t="shared" si="13"/>
        <v>0</v>
      </c>
    </row>
    <row r="38" spans="1:50" ht="18.75" customHeight="1" x14ac:dyDescent="0.2">
      <c r="A38" s="35" t="s">
        <v>49</v>
      </c>
      <c r="B38" s="36" t="s">
        <v>50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7" t="s">
        <v>94</v>
      </c>
      <c r="AB38" s="38" t="s">
        <v>95</v>
      </c>
      <c r="AC38" s="38" t="s">
        <v>56</v>
      </c>
      <c r="AD38" s="40">
        <v>0</v>
      </c>
      <c r="AE38" s="40">
        <v>0</v>
      </c>
      <c r="AF38" s="40">
        <v>0</v>
      </c>
      <c r="AG38" s="40">
        <v>0</v>
      </c>
      <c r="AH38" s="40">
        <v>0</v>
      </c>
      <c r="AI38" s="40">
        <v>0</v>
      </c>
      <c r="AJ38" s="40">
        <v>0</v>
      </c>
      <c r="AK38" s="40">
        <v>0</v>
      </c>
      <c r="AL38" s="40">
        <f>AM38-ABRIL!AM38</f>
        <v>0</v>
      </c>
      <c r="AM38" s="40">
        <v>0</v>
      </c>
      <c r="AN38" s="40">
        <v>0</v>
      </c>
      <c r="AO38" s="40">
        <f>AP38-ABRIL!AP38</f>
        <v>0</v>
      </c>
      <c r="AP38" s="40">
        <v>0</v>
      </c>
      <c r="AQ38" s="40">
        <v>0</v>
      </c>
      <c r="AR38" s="34">
        <f>AS38-ABRIL!AS38</f>
        <v>0</v>
      </c>
      <c r="AS38" s="40">
        <v>0</v>
      </c>
      <c r="AT38" s="40">
        <f t="shared" si="7"/>
        <v>0</v>
      </c>
      <c r="AU38" s="34">
        <f t="shared" si="10"/>
        <v>0</v>
      </c>
      <c r="AV38" s="34">
        <f t="shared" si="11"/>
        <v>0</v>
      </c>
      <c r="AW38" s="34">
        <f t="shared" si="12"/>
        <v>0</v>
      </c>
      <c r="AX38" s="32">
        <v>0</v>
      </c>
    </row>
    <row r="39" spans="1:50" s="25" customFormat="1" ht="18.75" customHeight="1" x14ac:dyDescent="0.2">
      <c r="A39" s="19" t="s">
        <v>49</v>
      </c>
      <c r="B39" s="19" t="s">
        <v>50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26" t="s">
        <v>96</v>
      </c>
      <c r="AB39" s="21" t="s">
        <v>97</v>
      </c>
      <c r="AC39" s="22" t="s">
        <v>37</v>
      </c>
      <c r="AD39" s="22">
        <f>AD40</f>
        <v>23412454</v>
      </c>
      <c r="AE39" s="23">
        <f t="shared" ref="AE39:AW40" si="19">AE40</f>
        <v>0</v>
      </c>
      <c r="AF39" s="23">
        <f t="shared" si="19"/>
        <v>0</v>
      </c>
      <c r="AG39" s="23">
        <f t="shared" si="19"/>
        <v>0</v>
      </c>
      <c r="AH39" s="23">
        <f t="shared" si="19"/>
        <v>0</v>
      </c>
      <c r="AI39" s="23">
        <f t="shared" si="19"/>
        <v>0</v>
      </c>
      <c r="AJ39" s="22">
        <f t="shared" si="19"/>
        <v>23412454</v>
      </c>
      <c r="AK39" s="23">
        <f t="shared" si="19"/>
        <v>0</v>
      </c>
      <c r="AL39" s="23">
        <f t="shared" si="19"/>
        <v>0</v>
      </c>
      <c r="AM39" s="23">
        <f t="shared" si="19"/>
        <v>0</v>
      </c>
      <c r="AN39" s="23">
        <f t="shared" si="19"/>
        <v>0</v>
      </c>
      <c r="AO39" s="23">
        <f t="shared" si="19"/>
        <v>0</v>
      </c>
      <c r="AP39" s="23">
        <f t="shared" si="19"/>
        <v>0</v>
      </c>
      <c r="AQ39" s="23">
        <f t="shared" si="19"/>
        <v>0</v>
      </c>
      <c r="AR39" s="23">
        <f t="shared" si="19"/>
        <v>0</v>
      </c>
      <c r="AS39" s="23">
        <f t="shared" si="19"/>
        <v>0</v>
      </c>
      <c r="AT39" s="23">
        <f>AQ39+AS39</f>
        <v>0</v>
      </c>
      <c r="AU39" s="22">
        <f t="shared" si="19"/>
        <v>23412454</v>
      </c>
      <c r="AV39" s="23">
        <f t="shared" si="19"/>
        <v>0</v>
      </c>
      <c r="AW39" s="23">
        <f t="shared" si="19"/>
        <v>0</v>
      </c>
      <c r="AX39" s="24">
        <f t="shared" ref="AX39:AX104" si="20">AP39/AJ39</f>
        <v>0</v>
      </c>
    </row>
    <row r="40" spans="1:50" ht="18.75" customHeight="1" x14ac:dyDescent="0.2">
      <c r="A40" s="27" t="s">
        <v>55</v>
      </c>
      <c r="B40" s="27" t="s">
        <v>56</v>
      </c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8" t="s">
        <v>98</v>
      </c>
      <c r="AB40" s="29" t="s">
        <v>99</v>
      </c>
      <c r="AC40" s="30" t="s">
        <v>37</v>
      </c>
      <c r="AD40" s="30">
        <f>AD41</f>
        <v>23412454</v>
      </c>
      <c r="AE40" s="31">
        <f t="shared" si="19"/>
        <v>0</v>
      </c>
      <c r="AF40" s="31">
        <f t="shared" si="19"/>
        <v>0</v>
      </c>
      <c r="AG40" s="31">
        <f t="shared" si="19"/>
        <v>0</v>
      </c>
      <c r="AH40" s="31">
        <f t="shared" si="19"/>
        <v>0</v>
      </c>
      <c r="AI40" s="31">
        <f t="shared" si="19"/>
        <v>0</v>
      </c>
      <c r="AJ40" s="30">
        <f t="shared" si="19"/>
        <v>23412454</v>
      </c>
      <c r="AK40" s="31">
        <f t="shared" si="19"/>
        <v>0</v>
      </c>
      <c r="AL40" s="31">
        <f t="shared" si="19"/>
        <v>0</v>
      </c>
      <c r="AM40" s="31">
        <f t="shared" si="19"/>
        <v>0</v>
      </c>
      <c r="AN40" s="31">
        <f t="shared" si="19"/>
        <v>0</v>
      </c>
      <c r="AO40" s="31">
        <f t="shared" si="19"/>
        <v>0</v>
      </c>
      <c r="AP40" s="31">
        <f t="shared" si="19"/>
        <v>0</v>
      </c>
      <c r="AQ40" s="31">
        <f t="shared" si="19"/>
        <v>0</v>
      </c>
      <c r="AR40" s="31">
        <f t="shared" si="19"/>
        <v>0</v>
      </c>
      <c r="AS40" s="31">
        <f t="shared" si="19"/>
        <v>0</v>
      </c>
      <c r="AT40" s="31">
        <f t="shared" ref="AT40:AT41" si="21">AQ40+AS40</f>
        <v>0</v>
      </c>
      <c r="AU40" s="18">
        <f>AJ40-AM40</f>
        <v>23412454</v>
      </c>
      <c r="AV40" s="34">
        <f>AM40-AP40</f>
        <v>0</v>
      </c>
      <c r="AW40" s="34">
        <f>AP40-AT40</f>
        <v>0</v>
      </c>
      <c r="AX40" s="32">
        <f t="shared" si="20"/>
        <v>0</v>
      </c>
    </row>
    <row r="41" spans="1:50" ht="18.75" customHeight="1" x14ac:dyDescent="0.2">
      <c r="A41" s="14" t="s">
        <v>55</v>
      </c>
      <c r="B41" s="15" t="s">
        <v>56</v>
      </c>
      <c r="C41" s="15"/>
      <c r="D41" s="15" t="s">
        <v>40</v>
      </c>
      <c r="E41" s="15"/>
      <c r="F41" s="15"/>
      <c r="G41" s="15" t="s">
        <v>41</v>
      </c>
      <c r="H41" s="15"/>
      <c r="I41" s="15" t="s">
        <v>936</v>
      </c>
      <c r="J41" s="15"/>
      <c r="K41" s="15" t="s">
        <v>932</v>
      </c>
      <c r="L41" s="15"/>
      <c r="M41" s="15" t="s">
        <v>933</v>
      </c>
      <c r="N41" s="15"/>
      <c r="O41" s="15" t="s">
        <v>938</v>
      </c>
      <c r="P41" s="15"/>
      <c r="Q41" s="15" t="s">
        <v>939</v>
      </c>
      <c r="R41" s="15"/>
      <c r="S41" s="15" t="s">
        <v>940</v>
      </c>
      <c r="T41" s="15">
        <v>0</v>
      </c>
      <c r="U41" s="15">
        <v>0</v>
      </c>
      <c r="V41" s="15">
        <v>0</v>
      </c>
      <c r="W41" s="15">
        <v>0</v>
      </c>
      <c r="X41" s="15" t="s">
        <v>937</v>
      </c>
      <c r="Y41" s="15"/>
      <c r="Z41" s="15"/>
      <c r="AA41" s="16" t="s">
        <v>100</v>
      </c>
      <c r="AB41" s="17" t="s">
        <v>101</v>
      </c>
      <c r="AC41" s="17" t="s">
        <v>58</v>
      </c>
      <c r="AD41" s="18">
        <v>23412454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18">
        <v>23412454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1">
        <f t="shared" si="21"/>
        <v>0</v>
      </c>
      <c r="AU41" s="18">
        <f>AJ41-AM41</f>
        <v>23412454</v>
      </c>
      <c r="AV41" s="34">
        <f>AM41-AP41</f>
        <v>0</v>
      </c>
      <c r="AW41" s="34">
        <f>AP41-AT41</f>
        <v>0</v>
      </c>
      <c r="AX41" s="32">
        <f t="shared" si="20"/>
        <v>0</v>
      </c>
    </row>
    <row r="42" spans="1:50" s="25" customFormat="1" ht="18.75" customHeight="1" x14ac:dyDescent="0.2">
      <c r="A42" s="19" t="s">
        <v>49</v>
      </c>
      <c r="B42" s="19" t="s">
        <v>50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6" t="s">
        <v>102</v>
      </c>
      <c r="AB42" s="21" t="s">
        <v>103</v>
      </c>
      <c r="AC42" s="22" t="s">
        <v>37</v>
      </c>
      <c r="AD42" s="22">
        <f>AD43+AD46+AD49+AD52+AD55+AD58+AD61+AD64+AD67</f>
        <v>9938807657</v>
      </c>
      <c r="AE42" s="23">
        <f t="shared" ref="AE42:AW42" si="22">AE43+AE46+AE49+AE52+AE55+AE58+AE61+AE64+AE67</f>
        <v>0</v>
      </c>
      <c r="AF42" s="23">
        <f t="shared" si="22"/>
        <v>0</v>
      </c>
      <c r="AG42" s="23">
        <f>AG43+AG46+AG49+AG52+AG55+AG58+AG61+AG64+AG67</f>
        <v>0</v>
      </c>
      <c r="AH42" s="22">
        <f>AH43+AH46+AH49+AH52+AH55+AH58+AH61+AH64+AH67</f>
        <v>186500000</v>
      </c>
      <c r="AI42" s="22">
        <f t="shared" si="22"/>
        <v>-186500000</v>
      </c>
      <c r="AJ42" s="22">
        <f t="shared" si="22"/>
        <v>9752307657</v>
      </c>
      <c r="AK42" s="23">
        <f t="shared" si="22"/>
        <v>0</v>
      </c>
      <c r="AL42" s="22">
        <f t="shared" si="22"/>
        <v>565708359</v>
      </c>
      <c r="AM42" s="22">
        <f t="shared" si="22"/>
        <v>4047205741</v>
      </c>
      <c r="AN42" s="23">
        <f t="shared" si="22"/>
        <v>0</v>
      </c>
      <c r="AO42" s="22">
        <f t="shared" si="22"/>
        <v>565708359</v>
      </c>
      <c r="AP42" s="22">
        <f t="shared" si="22"/>
        <v>4047205741</v>
      </c>
      <c r="AQ42" s="23">
        <f t="shared" si="22"/>
        <v>0</v>
      </c>
      <c r="AR42" s="22">
        <f t="shared" si="22"/>
        <v>602090584</v>
      </c>
      <c r="AS42" s="22">
        <f t="shared" si="22"/>
        <v>4047205741</v>
      </c>
      <c r="AT42" s="22">
        <f>AQ42+AS42</f>
        <v>4047205741</v>
      </c>
      <c r="AU42" s="22">
        <f t="shared" si="22"/>
        <v>5705101916</v>
      </c>
      <c r="AV42" s="23">
        <f t="shared" si="22"/>
        <v>0</v>
      </c>
      <c r="AW42" s="23">
        <f t="shared" si="22"/>
        <v>0</v>
      </c>
      <c r="AX42" s="24">
        <f t="shared" si="20"/>
        <v>0.4149998014157194</v>
      </c>
    </row>
    <row r="43" spans="1:50" ht="18.75" customHeight="1" x14ac:dyDescent="0.2">
      <c r="A43" s="27" t="s">
        <v>49</v>
      </c>
      <c r="B43" s="27" t="s">
        <v>50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8" t="s">
        <v>104</v>
      </c>
      <c r="AB43" s="29" t="s">
        <v>105</v>
      </c>
      <c r="AC43" s="30" t="s">
        <v>37</v>
      </c>
      <c r="AD43" s="30">
        <f>AD44+AD45</f>
        <v>2694944550</v>
      </c>
      <c r="AE43" s="31">
        <f t="shared" ref="AE43:AS43" si="23">AE44+AE45</f>
        <v>0</v>
      </c>
      <c r="AF43" s="31">
        <f t="shared" si="23"/>
        <v>0</v>
      </c>
      <c r="AG43" s="31">
        <f t="shared" si="23"/>
        <v>0</v>
      </c>
      <c r="AH43" s="30">
        <f t="shared" si="23"/>
        <v>70000000</v>
      </c>
      <c r="AI43" s="30">
        <f t="shared" si="23"/>
        <v>-70000000</v>
      </c>
      <c r="AJ43" s="30">
        <f t="shared" si="23"/>
        <v>2624944550</v>
      </c>
      <c r="AK43" s="31">
        <f t="shared" si="23"/>
        <v>0</v>
      </c>
      <c r="AL43" s="30">
        <f t="shared" si="23"/>
        <v>195942500</v>
      </c>
      <c r="AM43" s="30">
        <f t="shared" si="23"/>
        <v>981011200</v>
      </c>
      <c r="AN43" s="31">
        <f t="shared" si="23"/>
        <v>0</v>
      </c>
      <c r="AO43" s="30">
        <f t="shared" si="23"/>
        <v>195942500</v>
      </c>
      <c r="AP43" s="30">
        <f t="shared" si="23"/>
        <v>981011200</v>
      </c>
      <c r="AQ43" s="31">
        <f t="shared" si="23"/>
        <v>0</v>
      </c>
      <c r="AR43" s="30">
        <f t="shared" si="23"/>
        <v>210201800</v>
      </c>
      <c r="AS43" s="30">
        <f t="shared" si="23"/>
        <v>981011200</v>
      </c>
      <c r="AT43" s="30">
        <f t="shared" ref="AT43:AT69" si="24">AQ43+AS43</f>
        <v>981011200</v>
      </c>
      <c r="AU43" s="18">
        <f t="shared" ref="AU43:AU69" si="25">AJ43-AM43</f>
        <v>1643933350</v>
      </c>
      <c r="AV43" s="34">
        <f t="shared" ref="AV43:AV69" si="26">AM43-AP43</f>
        <v>0</v>
      </c>
      <c r="AW43" s="34">
        <f t="shared" ref="AW43:AW69" si="27">AP43-AT43</f>
        <v>0</v>
      </c>
      <c r="AX43" s="32">
        <f t="shared" si="20"/>
        <v>0.37372644690723084</v>
      </c>
    </row>
    <row r="44" spans="1:50" ht="18.75" customHeight="1" x14ac:dyDescent="0.2">
      <c r="A44" s="14" t="s">
        <v>55</v>
      </c>
      <c r="B44" s="15" t="s">
        <v>56</v>
      </c>
      <c r="C44" s="15"/>
      <c r="D44" s="15" t="s">
        <v>40</v>
      </c>
      <c r="E44" s="15"/>
      <c r="F44" s="15"/>
      <c r="G44" s="15" t="s">
        <v>41</v>
      </c>
      <c r="H44" s="15"/>
      <c r="I44" s="15" t="s">
        <v>936</v>
      </c>
      <c r="J44" s="15"/>
      <c r="K44" s="15" t="s">
        <v>932</v>
      </c>
      <c r="L44" s="15"/>
      <c r="M44" s="15" t="s">
        <v>933</v>
      </c>
      <c r="N44" s="15"/>
      <c r="O44" s="15" t="s">
        <v>938</v>
      </c>
      <c r="P44" s="15"/>
      <c r="Q44" s="15" t="s">
        <v>939</v>
      </c>
      <c r="R44" s="15"/>
      <c r="S44" s="15" t="s">
        <v>940</v>
      </c>
      <c r="T44" s="15">
        <v>0</v>
      </c>
      <c r="U44" s="15">
        <v>0</v>
      </c>
      <c r="V44" s="15">
        <v>0</v>
      </c>
      <c r="W44" s="15">
        <v>0</v>
      </c>
      <c r="X44" s="15" t="s">
        <v>937</v>
      </c>
      <c r="Y44" s="15"/>
      <c r="Z44" s="15"/>
      <c r="AA44" s="16" t="s">
        <v>106</v>
      </c>
      <c r="AB44" s="17" t="s">
        <v>105</v>
      </c>
      <c r="AC44" s="17" t="s">
        <v>58</v>
      </c>
      <c r="AD44" s="18">
        <v>2434081998</v>
      </c>
      <c r="AE44" s="34">
        <v>0</v>
      </c>
      <c r="AF44" s="34">
        <v>0</v>
      </c>
      <c r="AG44" s="34">
        <v>0</v>
      </c>
      <c r="AH44" s="18">
        <v>70000000</v>
      </c>
      <c r="AI44" s="18">
        <f>AE44-AF44+AG44-AH44</f>
        <v>-70000000</v>
      </c>
      <c r="AJ44" s="18">
        <f>AD44+AI44</f>
        <v>2364081998</v>
      </c>
      <c r="AK44" s="34">
        <v>0</v>
      </c>
      <c r="AL44" s="18">
        <v>181917100</v>
      </c>
      <c r="AM44" s="18">
        <v>898193800</v>
      </c>
      <c r="AN44" s="34">
        <v>0</v>
      </c>
      <c r="AO44" s="18">
        <v>181917100</v>
      </c>
      <c r="AP44" s="18">
        <v>898193800</v>
      </c>
      <c r="AQ44" s="34">
        <v>0</v>
      </c>
      <c r="AR44" s="18">
        <v>181917100</v>
      </c>
      <c r="AS44" s="18">
        <v>898193800</v>
      </c>
      <c r="AT44" s="39">
        <f t="shared" si="24"/>
        <v>898193800</v>
      </c>
      <c r="AU44" s="18">
        <f t="shared" si="25"/>
        <v>1465888198</v>
      </c>
      <c r="AV44" s="34">
        <f t="shared" si="26"/>
        <v>0</v>
      </c>
      <c r="AW44" s="34">
        <f t="shared" si="27"/>
        <v>0</v>
      </c>
      <c r="AX44" s="32">
        <f t="shared" si="20"/>
        <v>0.37993343748646063</v>
      </c>
    </row>
    <row r="45" spans="1:50" ht="27" customHeight="1" x14ac:dyDescent="0.2">
      <c r="A45" s="14" t="s">
        <v>55</v>
      </c>
      <c r="B45" s="15" t="s">
        <v>56</v>
      </c>
      <c r="C45" s="15"/>
      <c r="D45" s="15" t="s">
        <v>40</v>
      </c>
      <c r="E45" s="15"/>
      <c r="F45" s="15"/>
      <c r="G45" s="15" t="s">
        <v>41</v>
      </c>
      <c r="H45" s="15"/>
      <c r="I45" s="15" t="s">
        <v>941</v>
      </c>
      <c r="J45" s="15"/>
      <c r="K45" s="15" t="s">
        <v>932</v>
      </c>
      <c r="L45" s="15"/>
      <c r="M45" s="15" t="s">
        <v>933</v>
      </c>
      <c r="N45" s="15"/>
      <c r="O45" s="15" t="s">
        <v>938</v>
      </c>
      <c r="P45" s="15"/>
      <c r="Q45" s="15" t="s">
        <v>939</v>
      </c>
      <c r="R45" s="15"/>
      <c r="S45" s="15" t="s">
        <v>940</v>
      </c>
      <c r="T45" s="15">
        <v>0</v>
      </c>
      <c r="U45" s="15">
        <v>0</v>
      </c>
      <c r="V45" s="15">
        <v>0</v>
      </c>
      <c r="W45" s="15">
        <v>0</v>
      </c>
      <c r="X45" s="15" t="s">
        <v>937</v>
      </c>
      <c r="Y45" s="15"/>
      <c r="Z45" s="15"/>
      <c r="AA45" s="16" t="s">
        <v>107</v>
      </c>
      <c r="AB45" s="17" t="s">
        <v>108</v>
      </c>
      <c r="AC45" s="17" t="s">
        <v>61</v>
      </c>
      <c r="AD45" s="18">
        <v>260862552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18">
        <v>260862552</v>
      </c>
      <c r="AK45" s="34">
        <v>0</v>
      </c>
      <c r="AL45" s="18">
        <v>14025400</v>
      </c>
      <c r="AM45" s="18">
        <v>82817400</v>
      </c>
      <c r="AN45" s="34">
        <v>0</v>
      </c>
      <c r="AO45" s="18">
        <v>14025400</v>
      </c>
      <c r="AP45" s="18">
        <v>82817400</v>
      </c>
      <c r="AQ45" s="34">
        <v>0</v>
      </c>
      <c r="AR45" s="18">
        <v>28284700</v>
      </c>
      <c r="AS45" s="18">
        <v>82817400</v>
      </c>
      <c r="AT45" s="39">
        <f t="shared" si="24"/>
        <v>82817400</v>
      </c>
      <c r="AU45" s="18">
        <f t="shared" si="25"/>
        <v>178045152</v>
      </c>
      <c r="AV45" s="34">
        <f t="shared" si="26"/>
        <v>0</v>
      </c>
      <c r="AW45" s="34">
        <f t="shared" si="27"/>
        <v>0</v>
      </c>
      <c r="AX45" s="32">
        <f t="shared" si="20"/>
        <v>0.31747523500421787</v>
      </c>
    </row>
    <row r="46" spans="1:50" ht="18.75" customHeight="1" x14ac:dyDescent="0.2">
      <c r="A46" s="27" t="s">
        <v>49</v>
      </c>
      <c r="B46" s="27" t="s">
        <v>50</v>
      </c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8" t="s">
        <v>109</v>
      </c>
      <c r="AB46" s="29" t="s">
        <v>110</v>
      </c>
      <c r="AC46" s="30" t="s">
        <v>37</v>
      </c>
      <c r="AD46" s="30">
        <f>AD47+AD48</f>
        <v>1966170915</v>
      </c>
      <c r="AE46" s="31">
        <f t="shared" ref="AE46:AS46" si="28">AE47+AE48</f>
        <v>0</v>
      </c>
      <c r="AF46" s="31">
        <f t="shared" si="28"/>
        <v>0</v>
      </c>
      <c r="AG46" s="31">
        <f t="shared" si="28"/>
        <v>0</v>
      </c>
      <c r="AH46" s="31">
        <f t="shared" si="28"/>
        <v>0</v>
      </c>
      <c r="AI46" s="31">
        <f t="shared" si="28"/>
        <v>0</v>
      </c>
      <c r="AJ46" s="30">
        <f t="shared" si="28"/>
        <v>1966170915</v>
      </c>
      <c r="AK46" s="31">
        <f t="shared" si="28"/>
        <v>0</v>
      </c>
      <c r="AL46" s="30">
        <f t="shared" si="28"/>
        <v>143104900</v>
      </c>
      <c r="AM46" s="30">
        <f t="shared" si="28"/>
        <v>715623500</v>
      </c>
      <c r="AN46" s="31">
        <f t="shared" si="28"/>
        <v>0</v>
      </c>
      <c r="AO46" s="30">
        <f t="shared" si="28"/>
        <v>143104900</v>
      </c>
      <c r="AP46" s="30">
        <f t="shared" si="28"/>
        <v>715623500</v>
      </c>
      <c r="AQ46" s="31">
        <f t="shared" si="28"/>
        <v>0</v>
      </c>
      <c r="AR46" s="30">
        <f t="shared" si="28"/>
        <v>153205200</v>
      </c>
      <c r="AS46" s="109">
        <f t="shared" si="28"/>
        <v>715623500</v>
      </c>
      <c r="AT46" s="39">
        <f t="shared" si="24"/>
        <v>715623500</v>
      </c>
      <c r="AU46" s="18">
        <f t="shared" si="25"/>
        <v>1250547415</v>
      </c>
      <c r="AV46" s="34">
        <f t="shared" si="26"/>
        <v>0</v>
      </c>
      <c r="AW46" s="34">
        <f t="shared" si="27"/>
        <v>0</v>
      </c>
      <c r="AX46" s="32">
        <f t="shared" si="20"/>
        <v>0.36396810396312879</v>
      </c>
    </row>
    <row r="47" spans="1:50" ht="18.75" customHeight="1" x14ac:dyDescent="0.2">
      <c r="A47" s="35" t="s">
        <v>55</v>
      </c>
      <c r="B47" s="36" t="s">
        <v>56</v>
      </c>
      <c r="C47" s="36"/>
      <c r="D47" s="36" t="s">
        <v>40</v>
      </c>
      <c r="E47" s="36"/>
      <c r="F47" s="36"/>
      <c r="G47" s="36" t="s">
        <v>41</v>
      </c>
      <c r="H47" s="36"/>
      <c r="I47" s="36" t="s">
        <v>936</v>
      </c>
      <c r="J47" s="36"/>
      <c r="K47" s="36" t="s">
        <v>932</v>
      </c>
      <c r="L47" s="36"/>
      <c r="M47" s="36" t="s">
        <v>933</v>
      </c>
      <c r="N47" s="36"/>
      <c r="O47" s="36" t="s">
        <v>938</v>
      </c>
      <c r="P47" s="36"/>
      <c r="Q47" s="36" t="s">
        <v>939</v>
      </c>
      <c r="R47" s="36"/>
      <c r="S47" s="36" t="s">
        <v>940</v>
      </c>
      <c r="T47" s="36">
        <v>0</v>
      </c>
      <c r="U47" s="36">
        <v>0</v>
      </c>
      <c r="V47" s="36">
        <v>0</v>
      </c>
      <c r="W47" s="36">
        <v>0</v>
      </c>
      <c r="X47" s="36" t="s">
        <v>937</v>
      </c>
      <c r="Y47" s="36"/>
      <c r="Z47" s="36"/>
      <c r="AA47" s="37" t="s">
        <v>111</v>
      </c>
      <c r="AB47" s="38" t="s">
        <v>110</v>
      </c>
      <c r="AC47" s="38" t="s">
        <v>58</v>
      </c>
      <c r="AD47" s="39">
        <v>1757106683</v>
      </c>
      <c r="AE47" s="40">
        <v>0</v>
      </c>
      <c r="AF47" s="40">
        <v>0</v>
      </c>
      <c r="AG47" s="40">
        <v>0</v>
      </c>
      <c r="AH47" s="40">
        <v>0</v>
      </c>
      <c r="AI47" s="40">
        <v>0</v>
      </c>
      <c r="AJ47" s="39">
        <v>1757106683</v>
      </c>
      <c r="AK47" s="40">
        <v>0</v>
      </c>
      <c r="AL47" s="39">
        <v>133170200</v>
      </c>
      <c r="AM47" s="39">
        <v>656954900</v>
      </c>
      <c r="AN47" s="40">
        <v>0</v>
      </c>
      <c r="AO47" s="18">
        <v>133170200</v>
      </c>
      <c r="AP47" s="39">
        <v>656954900</v>
      </c>
      <c r="AQ47" s="40">
        <v>0</v>
      </c>
      <c r="AR47" s="39">
        <v>133170200</v>
      </c>
      <c r="AS47" s="111">
        <v>656954900</v>
      </c>
      <c r="AT47" s="39">
        <f t="shared" si="24"/>
        <v>656954900</v>
      </c>
      <c r="AU47" s="18">
        <f t="shared" si="25"/>
        <v>1100151783</v>
      </c>
      <c r="AV47" s="34">
        <f t="shared" si="26"/>
        <v>0</v>
      </c>
      <c r="AW47" s="34">
        <f t="shared" si="27"/>
        <v>0</v>
      </c>
      <c r="AX47" s="32">
        <f t="shared" si="20"/>
        <v>0.37388446948386</v>
      </c>
    </row>
    <row r="48" spans="1:50" ht="18.75" customHeight="1" x14ac:dyDescent="0.2">
      <c r="A48" s="14" t="s">
        <v>55</v>
      </c>
      <c r="B48" s="15" t="s">
        <v>56</v>
      </c>
      <c r="C48" s="15"/>
      <c r="D48" s="15" t="s">
        <v>40</v>
      </c>
      <c r="E48" s="15"/>
      <c r="F48" s="15"/>
      <c r="G48" s="15" t="s">
        <v>41</v>
      </c>
      <c r="H48" s="15"/>
      <c r="I48" s="15" t="s">
        <v>941</v>
      </c>
      <c r="J48" s="15"/>
      <c r="K48" s="15" t="s">
        <v>932</v>
      </c>
      <c r="L48" s="15"/>
      <c r="M48" s="15" t="s">
        <v>933</v>
      </c>
      <c r="N48" s="15"/>
      <c r="O48" s="15" t="s">
        <v>938</v>
      </c>
      <c r="P48" s="15"/>
      <c r="Q48" s="15" t="s">
        <v>939</v>
      </c>
      <c r="R48" s="15"/>
      <c r="S48" s="15" t="s">
        <v>940</v>
      </c>
      <c r="T48" s="15">
        <v>0</v>
      </c>
      <c r="U48" s="15">
        <v>0</v>
      </c>
      <c r="V48" s="15">
        <v>0</v>
      </c>
      <c r="W48" s="15">
        <v>0</v>
      </c>
      <c r="X48" s="15" t="s">
        <v>937</v>
      </c>
      <c r="Y48" s="15"/>
      <c r="Z48" s="15"/>
      <c r="AA48" s="16" t="s">
        <v>112</v>
      </c>
      <c r="AB48" s="17" t="s">
        <v>113</v>
      </c>
      <c r="AC48" s="17" t="s">
        <v>61</v>
      </c>
      <c r="AD48" s="18">
        <v>209064232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18">
        <v>209064232</v>
      </c>
      <c r="AK48" s="34">
        <v>0</v>
      </c>
      <c r="AL48" s="39">
        <v>9934700</v>
      </c>
      <c r="AM48" s="18">
        <v>58668600</v>
      </c>
      <c r="AN48" s="34">
        <v>0</v>
      </c>
      <c r="AO48" s="18">
        <v>9934700</v>
      </c>
      <c r="AP48" s="18">
        <v>58668600</v>
      </c>
      <c r="AQ48" s="34">
        <v>0</v>
      </c>
      <c r="AR48" s="39">
        <v>20035000</v>
      </c>
      <c r="AS48" s="110">
        <v>58668600</v>
      </c>
      <c r="AT48" s="39">
        <f t="shared" si="24"/>
        <v>58668600</v>
      </c>
      <c r="AU48" s="18">
        <f t="shared" si="25"/>
        <v>150395632</v>
      </c>
      <c r="AV48" s="34">
        <f t="shared" si="26"/>
        <v>0</v>
      </c>
      <c r="AW48" s="34">
        <f t="shared" si="27"/>
        <v>0</v>
      </c>
      <c r="AX48" s="32">
        <f t="shared" si="20"/>
        <v>0.28062476033681361</v>
      </c>
    </row>
    <row r="49" spans="1:50" ht="18.75" customHeight="1" x14ac:dyDescent="0.2">
      <c r="A49" s="27" t="s">
        <v>49</v>
      </c>
      <c r="B49" s="27" t="s">
        <v>50</v>
      </c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8" t="s">
        <v>114</v>
      </c>
      <c r="AB49" s="29" t="s">
        <v>115</v>
      </c>
      <c r="AC49" s="30" t="s">
        <v>37</v>
      </c>
      <c r="AD49" s="30">
        <f>AD50+AD51</f>
        <v>2387025947</v>
      </c>
      <c r="AE49" s="31">
        <f t="shared" ref="AE49:AS49" si="29">AE50+AE51</f>
        <v>0</v>
      </c>
      <c r="AF49" s="31">
        <f t="shared" si="29"/>
        <v>0</v>
      </c>
      <c r="AG49" s="31">
        <f t="shared" si="29"/>
        <v>0</v>
      </c>
      <c r="AH49" s="31">
        <f t="shared" si="29"/>
        <v>0</v>
      </c>
      <c r="AI49" s="31">
        <f t="shared" si="29"/>
        <v>0</v>
      </c>
      <c r="AJ49" s="30">
        <f t="shared" si="29"/>
        <v>2387025947</v>
      </c>
      <c r="AK49" s="31">
        <f t="shared" si="29"/>
        <v>0</v>
      </c>
      <c r="AL49" s="30">
        <f t="shared" si="29"/>
        <v>50029059</v>
      </c>
      <c r="AM49" s="30">
        <f t="shared" si="29"/>
        <v>1505321341</v>
      </c>
      <c r="AN49" s="31">
        <f t="shared" si="29"/>
        <v>0</v>
      </c>
      <c r="AO49" s="30">
        <f t="shared" si="29"/>
        <v>50029059</v>
      </c>
      <c r="AP49" s="30">
        <f t="shared" si="29"/>
        <v>1505321341</v>
      </c>
      <c r="AQ49" s="31">
        <f t="shared" si="29"/>
        <v>0</v>
      </c>
      <c r="AR49" s="30">
        <f t="shared" si="29"/>
        <v>50732284</v>
      </c>
      <c r="AS49" s="30">
        <f t="shared" si="29"/>
        <v>1505321341</v>
      </c>
      <c r="AT49" s="39">
        <f t="shared" si="24"/>
        <v>1505321341</v>
      </c>
      <c r="AU49" s="18">
        <f t="shared" si="25"/>
        <v>881704606</v>
      </c>
      <c r="AV49" s="34">
        <f t="shared" si="26"/>
        <v>0</v>
      </c>
      <c r="AW49" s="18">
        <f t="shared" si="27"/>
        <v>0</v>
      </c>
      <c r="AX49" s="32">
        <f t="shared" si="20"/>
        <v>0.63062630001650333</v>
      </c>
    </row>
    <row r="50" spans="1:50" ht="18.75" customHeight="1" x14ac:dyDescent="0.2">
      <c r="A50" s="14" t="s">
        <v>55</v>
      </c>
      <c r="B50" s="15" t="s">
        <v>56</v>
      </c>
      <c r="C50" s="15"/>
      <c r="D50" s="15" t="s">
        <v>40</v>
      </c>
      <c r="E50" s="15"/>
      <c r="F50" s="15"/>
      <c r="G50" s="15" t="s">
        <v>41</v>
      </c>
      <c r="H50" s="15"/>
      <c r="I50" s="15" t="s">
        <v>936</v>
      </c>
      <c r="J50" s="15"/>
      <c r="K50" s="15" t="s">
        <v>932</v>
      </c>
      <c r="L50" s="15"/>
      <c r="M50" s="15" t="s">
        <v>933</v>
      </c>
      <c r="N50" s="15"/>
      <c r="O50" s="15" t="s">
        <v>938</v>
      </c>
      <c r="P50" s="15"/>
      <c r="Q50" s="15" t="s">
        <v>939</v>
      </c>
      <c r="R50" s="15"/>
      <c r="S50" s="15" t="s">
        <v>940</v>
      </c>
      <c r="T50" s="15">
        <v>0</v>
      </c>
      <c r="U50" s="15">
        <v>0</v>
      </c>
      <c r="V50" s="15">
        <v>0</v>
      </c>
      <c r="W50" s="15">
        <v>0</v>
      </c>
      <c r="X50" s="15" t="s">
        <v>937</v>
      </c>
      <c r="Y50" s="15"/>
      <c r="Z50" s="15"/>
      <c r="AA50" s="16" t="s">
        <v>116</v>
      </c>
      <c r="AB50" s="17" t="s">
        <v>115</v>
      </c>
      <c r="AC50" s="17" t="s">
        <v>58</v>
      </c>
      <c r="AD50" s="18">
        <v>2208060292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18">
        <v>2208060292</v>
      </c>
      <c r="AK50" s="34">
        <v>0</v>
      </c>
      <c r="AL50" s="18">
        <v>47276650</v>
      </c>
      <c r="AM50" s="18">
        <v>1432278185</v>
      </c>
      <c r="AN50" s="34">
        <v>0</v>
      </c>
      <c r="AO50" s="18">
        <v>47276650</v>
      </c>
      <c r="AP50" s="18">
        <v>1432278185</v>
      </c>
      <c r="AQ50" s="34">
        <v>0</v>
      </c>
      <c r="AR50" s="39">
        <v>47276650</v>
      </c>
      <c r="AS50" s="110">
        <v>1432278185</v>
      </c>
      <c r="AT50" s="39">
        <f t="shared" si="24"/>
        <v>1432278185</v>
      </c>
      <c r="AU50" s="18">
        <f t="shared" si="25"/>
        <v>775782107</v>
      </c>
      <c r="AV50" s="34">
        <f t="shared" si="26"/>
        <v>0</v>
      </c>
      <c r="AW50" s="18">
        <f t="shared" si="27"/>
        <v>0</v>
      </c>
      <c r="AX50" s="32">
        <f t="shared" si="20"/>
        <v>0.64865900183490099</v>
      </c>
    </row>
    <row r="51" spans="1:50" ht="18.75" customHeight="1" x14ac:dyDescent="0.2">
      <c r="A51" s="14" t="s">
        <v>55</v>
      </c>
      <c r="B51" s="15" t="s">
        <v>56</v>
      </c>
      <c r="C51" s="15"/>
      <c r="D51" s="15" t="s">
        <v>40</v>
      </c>
      <c r="E51" s="15"/>
      <c r="F51" s="15"/>
      <c r="G51" s="15" t="s">
        <v>41</v>
      </c>
      <c r="H51" s="15"/>
      <c r="I51" s="15" t="s">
        <v>941</v>
      </c>
      <c r="J51" s="15"/>
      <c r="K51" s="15" t="s">
        <v>932</v>
      </c>
      <c r="L51" s="15"/>
      <c r="M51" s="15" t="s">
        <v>933</v>
      </c>
      <c r="N51" s="15"/>
      <c r="O51" s="15" t="s">
        <v>938</v>
      </c>
      <c r="P51" s="15"/>
      <c r="Q51" s="15" t="s">
        <v>939</v>
      </c>
      <c r="R51" s="15"/>
      <c r="S51" s="15" t="s">
        <v>940</v>
      </c>
      <c r="T51" s="15">
        <v>0</v>
      </c>
      <c r="U51" s="15">
        <v>0</v>
      </c>
      <c r="V51" s="15">
        <v>0</v>
      </c>
      <c r="W51" s="15">
        <v>0</v>
      </c>
      <c r="X51" s="15" t="s">
        <v>937</v>
      </c>
      <c r="Y51" s="15"/>
      <c r="Z51" s="15"/>
      <c r="AA51" s="16" t="s">
        <v>117</v>
      </c>
      <c r="AB51" s="17" t="s">
        <v>115</v>
      </c>
      <c r="AC51" s="17" t="s">
        <v>61</v>
      </c>
      <c r="AD51" s="18">
        <v>178965655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18">
        <v>178965655</v>
      </c>
      <c r="AK51" s="34">
        <v>0</v>
      </c>
      <c r="AL51" s="18">
        <v>2752409</v>
      </c>
      <c r="AM51" s="18">
        <v>73043156</v>
      </c>
      <c r="AN51" s="34">
        <v>0</v>
      </c>
      <c r="AO51" s="18">
        <v>2752409</v>
      </c>
      <c r="AP51" s="18">
        <v>73043156</v>
      </c>
      <c r="AQ51" s="34">
        <v>0</v>
      </c>
      <c r="AR51" s="39">
        <v>3455634</v>
      </c>
      <c r="AS51" s="110">
        <v>73043156</v>
      </c>
      <c r="AT51" s="39">
        <f t="shared" si="24"/>
        <v>73043156</v>
      </c>
      <c r="AU51" s="18">
        <f t="shared" si="25"/>
        <v>105922499</v>
      </c>
      <c r="AV51" s="34">
        <f t="shared" si="26"/>
        <v>0</v>
      </c>
      <c r="AW51" s="18">
        <f t="shared" si="27"/>
        <v>0</v>
      </c>
      <c r="AX51" s="32">
        <f t="shared" si="20"/>
        <v>0.40814063458153466</v>
      </c>
    </row>
    <row r="52" spans="1:50" ht="18.75" customHeight="1" x14ac:dyDescent="0.2">
      <c r="A52" s="27" t="s">
        <v>49</v>
      </c>
      <c r="B52" s="27" t="s">
        <v>50</v>
      </c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8" t="s">
        <v>118</v>
      </c>
      <c r="AB52" s="29" t="s">
        <v>119</v>
      </c>
      <c r="AC52" s="30" t="s">
        <v>37</v>
      </c>
      <c r="AD52" s="30">
        <f>AD53+AD54</f>
        <v>1154194065</v>
      </c>
      <c r="AE52" s="31">
        <f t="shared" ref="AE52:AS52" si="30">AE53+AE54</f>
        <v>0</v>
      </c>
      <c r="AF52" s="31">
        <f t="shared" si="30"/>
        <v>0</v>
      </c>
      <c r="AG52" s="31">
        <f t="shared" si="30"/>
        <v>0</v>
      </c>
      <c r="AH52" s="30">
        <f t="shared" si="30"/>
        <v>79000000</v>
      </c>
      <c r="AI52" s="30">
        <f t="shared" si="30"/>
        <v>-79000000</v>
      </c>
      <c r="AJ52" s="30">
        <f t="shared" si="30"/>
        <v>1075194065</v>
      </c>
      <c r="AK52" s="31">
        <f t="shared" si="30"/>
        <v>0</v>
      </c>
      <c r="AL52" s="30">
        <f t="shared" si="30"/>
        <v>71136600</v>
      </c>
      <c r="AM52" s="30">
        <f t="shared" si="30"/>
        <v>340405500</v>
      </c>
      <c r="AN52" s="31">
        <f t="shared" si="30"/>
        <v>0</v>
      </c>
      <c r="AO52" s="30">
        <f t="shared" si="30"/>
        <v>71136600</v>
      </c>
      <c r="AP52" s="30">
        <f t="shared" si="30"/>
        <v>340405500</v>
      </c>
      <c r="AQ52" s="31">
        <f t="shared" si="30"/>
        <v>0</v>
      </c>
      <c r="AR52" s="30">
        <f t="shared" si="30"/>
        <v>75890800</v>
      </c>
      <c r="AS52" s="30">
        <f t="shared" si="30"/>
        <v>340405500</v>
      </c>
      <c r="AT52" s="30">
        <f t="shared" si="24"/>
        <v>340405500</v>
      </c>
      <c r="AU52" s="18">
        <f t="shared" si="25"/>
        <v>734788565</v>
      </c>
      <c r="AV52" s="34">
        <f t="shared" si="26"/>
        <v>0</v>
      </c>
      <c r="AW52" s="34">
        <f t="shared" si="27"/>
        <v>0</v>
      </c>
      <c r="AX52" s="32">
        <f t="shared" si="20"/>
        <v>0.31659912482868846</v>
      </c>
    </row>
    <row r="53" spans="1:50" ht="18.75" customHeight="1" x14ac:dyDescent="0.2">
      <c r="A53" s="14" t="s">
        <v>55</v>
      </c>
      <c r="B53" s="15" t="s">
        <v>56</v>
      </c>
      <c r="C53" s="15"/>
      <c r="D53" s="15" t="s">
        <v>40</v>
      </c>
      <c r="E53" s="15"/>
      <c r="F53" s="15"/>
      <c r="G53" s="15" t="s">
        <v>41</v>
      </c>
      <c r="H53" s="15"/>
      <c r="I53" s="15" t="s">
        <v>936</v>
      </c>
      <c r="J53" s="15"/>
      <c r="K53" s="15" t="s">
        <v>932</v>
      </c>
      <c r="L53" s="15"/>
      <c r="M53" s="15" t="s">
        <v>933</v>
      </c>
      <c r="N53" s="15"/>
      <c r="O53" s="15" t="s">
        <v>938</v>
      </c>
      <c r="P53" s="15"/>
      <c r="Q53" s="15" t="s">
        <v>939</v>
      </c>
      <c r="R53" s="15"/>
      <c r="S53" s="15" t="s">
        <v>940</v>
      </c>
      <c r="T53" s="15">
        <v>0</v>
      </c>
      <c r="U53" s="15">
        <v>0</v>
      </c>
      <c r="V53" s="15">
        <v>0</v>
      </c>
      <c r="W53" s="15">
        <v>0</v>
      </c>
      <c r="X53" s="15" t="s">
        <v>937</v>
      </c>
      <c r="Y53" s="15"/>
      <c r="Z53" s="15"/>
      <c r="AA53" s="16" t="s">
        <v>120</v>
      </c>
      <c r="AB53" s="17" t="s">
        <v>119</v>
      </c>
      <c r="AC53" s="17" t="s">
        <v>58</v>
      </c>
      <c r="AD53" s="18">
        <v>1088978427</v>
      </c>
      <c r="AE53" s="34">
        <v>0</v>
      </c>
      <c r="AF53" s="34">
        <v>0</v>
      </c>
      <c r="AG53" s="34">
        <v>0</v>
      </c>
      <c r="AH53" s="18">
        <v>79000000</v>
      </c>
      <c r="AI53" s="18">
        <f>AE53-AF53+AG53-AH53</f>
        <v>-79000000</v>
      </c>
      <c r="AJ53" s="18">
        <f>AD53+AI53</f>
        <v>1009978427</v>
      </c>
      <c r="AK53" s="34">
        <v>0</v>
      </c>
      <c r="AL53" s="18">
        <v>64382500</v>
      </c>
      <c r="AM53" s="18">
        <v>310248000</v>
      </c>
      <c r="AN53" s="34">
        <v>0</v>
      </c>
      <c r="AO53" s="18">
        <v>64382500</v>
      </c>
      <c r="AP53" s="18">
        <v>310248000</v>
      </c>
      <c r="AQ53" s="34">
        <v>0</v>
      </c>
      <c r="AR53" s="39">
        <v>64382500</v>
      </c>
      <c r="AS53" s="110">
        <v>310248000</v>
      </c>
      <c r="AT53" s="39">
        <f t="shared" si="24"/>
        <v>310248000</v>
      </c>
      <c r="AU53" s="18">
        <f t="shared" si="25"/>
        <v>699730427</v>
      </c>
      <c r="AV53" s="34">
        <f t="shared" si="26"/>
        <v>0</v>
      </c>
      <c r="AW53" s="34">
        <f t="shared" si="27"/>
        <v>0</v>
      </c>
      <c r="AX53" s="32">
        <f t="shared" si="20"/>
        <v>0.30718279886586131</v>
      </c>
    </row>
    <row r="54" spans="1:50" ht="28.5" customHeight="1" x14ac:dyDescent="0.2">
      <c r="A54" s="14" t="s">
        <v>55</v>
      </c>
      <c r="B54" s="15" t="s">
        <v>56</v>
      </c>
      <c r="C54" s="15"/>
      <c r="D54" s="15" t="s">
        <v>40</v>
      </c>
      <c r="E54" s="15"/>
      <c r="F54" s="15"/>
      <c r="G54" s="15" t="s">
        <v>41</v>
      </c>
      <c r="H54" s="15"/>
      <c r="I54" s="15" t="s">
        <v>941</v>
      </c>
      <c r="J54" s="15"/>
      <c r="K54" s="15" t="s">
        <v>932</v>
      </c>
      <c r="L54" s="15"/>
      <c r="M54" s="15" t="s">
        <v>933</v>
      </c>
      <c r="N54" s="15"/>
      <c r="O54" s="15" t="s">
        <v>938</v>
      </c>
      <c r="P54" s="15"/>
      <c r="Q54" s="15" t="s">
        <v>939</v>
      </c>
      <c r="R54" s="15"/>
      <c r="S54" s="15" t="s">
        <v>940</v>
      </c>
      <c r="T54" s="15">
        <v>0</v>
      </c>
      <c r="U54" s="15">
        <v>0</v>
      </c>
      <c r="V54" s="15">
        <v>0</v>
      </c>
      <c r="W54" s="15">
        <v>0</v>
      </c>
      <c r="X54" s="15" t="s">
        <v>937</v>
      </c>
      <c r="Y54" s="15"/>
      <c r="Z54" s="15"/>
      <c r="AA54" s="16" t="s">
        <v>121</v>
      </c>
      <c r="AB54" s="17" t="s">
        <v>122</v>
      </c>
      <c r="AC54" s="17" t="s">
        <v>61</v>
      </c>
      <c r="AD54" s="18">
        <v>65215638</v>
      </c>
      <c r="AE54" s="34">
        <v>0</v>
      </c>
      <c r="AF54" s="34">
        <v>0</v>
      </c>
      <c r="AG54" s="34">
        <v>0</v>
      </c>
      <c r="AH54" s="34">
        <v>0</v>
      </c>
      <c r="AI54" s="34">
        <v>0</v>
      </c>
      <c r="AJ54" s="18">
        <v>65215638</v>
      </c>
      <c r="AK54" s="34">
        <v>0</v>
      </c>
      <c r="AL54" s="18">
        <v>6754100</v>
      </c>
      <c r="AM54" s="18">
        <v>30157500</v>
      </c>
      <c r="AN54" s="34">
        <v>0</v>
      </c>
      <c r="AO54" s="18">
        <v>6754100</v>
      </c>
      <c r="AP54" s="18">
        <v>30157500</v>
      </c>
      <c r="AQ54" s="34">
        <v>0</v>
      </c>
      <c r="AR54" s="39">
        <v>11508300</v>
      </c>
      <c r="AS54" s="18">
        <v>30157500</v>
      </c>
      <c r="AT54" s="39">
        <f t="shared" si="24"/>
        <v>30157500</v>
      </c>
      <c r="AU54" s="18">
        <f t="shared" si="25"/>
        <v>35058138</v>
      </c>
      <c r="AV54" s="34">
        <f t="shared" si="26"/>
        <v>0</v>
      </c>
      <c r="AW54" s="34">
        <f t="shared" si="27"/>
        <v>0</v>
      </c>
      <c r="AX54" s="32">
        <f t="shared" si="20"/>
        <v>0.4624274318990792</v>
      </c>
    </row>
    <row r="55" spans="1:50" ht="18.75" customHeight="1" x14ac:dyDescent="0.2">
      <c r="A55" s="27" t="s">
        <v>49</v>
      </c>
      <c r="B55" s="27" t="s">
        <v>50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8" t="s">
        <v>123</v>
      </c>
      <c r="AB55" s="29" t="s">
        <v>124</v>
      </c>
      <c r="AC55" s="30" t="s">
        <v>37</v>
      </c>
      <c r="AD55" s="30">
        <f>AD56+AD57</f>
        <v>308515529</v>
      </c>
      <c r="AE55" s="31">
        <f t="shared" ref="AE55:AS55" si="31">AE56+AE57</f>
        <v>0</v>
      </c>
      <c r="AF55" s="31">
        <f t="shared" si="31"/>
        <v>0</v>
      </c>
      <c r="AG55" s="31">
        <f t="shared" si="31"/>
        <v>0</v>
      </c>
      <c r="AH55" s="30">
        <f t="shared" si="31"/>
        <v>37500000</v>
      </c>
      <c r="AI55" s="30">
        <f t="shared" si="31"/>
        <v>-37500000</v>
      </c>
      <c r="AJ55" s="30">
        <f t="shared" si="31"/>
        <v>271015529</v>
      </c>
      <c r="AK55" s="31">
        <f t="shared" si="31"/>
        <v>0</v>
      </c>
      <c r="AL55" s="30">
        <f t="shared" si="31"/>
        <v>16523200</v>
      </c>
      <c r="AM55" s="30">
        <f t="shared" si="31"/>
        <v>79087500</v>
      </c>
      <c r="AN55" s="31">
        <f t="shared" si="31"/>
        <v>0</v>
      </c>
      <c r="AO55" s="30">
        <f t="shared" si="31"/>
        <v>16523200</v>
      </c>
      <c r="AP55" s="30">
        <f t="shared" si="31"/>
        <v>79087500</v>
      </c>
      <c r="AQ55" s="31">
        <f t="shared" si="31"/>
        <v>0</v>
      </c>
      <c r="AR55" s="30">
        <f t="shared" si="31"/>
        <v>17144800</v>
      </c>
      <c r="AS55" s="30">
        <f t="shared" si="31"/>
        <v>79087500</v>
      </c>
      <c r="AT55" s="30">
        <f t="shared" si="24"/>
        <v>79087500</v>
      </c>
      <c r="AU55" s="18">
        <f t="shared" si="25"/>
        <v>191928029</v>
      </c>
      <c r="AV55" s="34">
        <f t="shared" si="26"/>
        <v>0</v>
      </c>
      <c r="AW55" s="34">
        <f t="shared" si="27"/>
        <v>0</v>
      </c>
      <c r="AX55" s="32">
        <f t="shared" si="20"/>
        <v>0.29181907137136781</v>
      </c>
    </row>
    <row r="56" spans="1:50" ht="18.75" customHeight="1" x14ac:dyDescent="0.2">
      <c r="A56" s="35" t="s">
        <v>55</v>
      </c>
      <c r="B56" s="36" t="s">
        <v>56</v>
      </c>
      <c r="C56" s="36"/>
      <c r="D56" s="36" t="s">
        <v>40</v>
      </c>
      <c r="E56" s="36"/>
      <c r="F56" s="36"/>
      <c r="G56" s="36" t="s">
        <v>41</v>
      </c>
      <c r="H56" s="36"/>
      <c r="I56" s="36" t="s">
        <v>936</v>
      </c>
      <c r="J56" s="36"/>
      <c r="K56" s="36" t="s">
        <v>932</v>
      </c>
      <c r="L56" s="36"/>
      <c r="M56" s="36" t="s">
        <v>933</v>
      </c>
      <c r="N56" s="36"/>
      <c r="O56" s="36" t="s">
        <v>938</v>
      </c>
      <c r="P56" s="36"/>
      <c r="Q56" s="36" t="s">
        <v>939</v>
      </c>
      <c r="R56" s="36"/>
      <c r="S56" s="36" t="s">
        <v>940</v>
      </c>
      <c r="T56" s="36">
        <v>0</v>
      </c>
      <c r="U56" s="36">
        <v>0</v>
      </c>
      <c r="V56" s="36">
        <v>0</v>
      </c>
      <c r="W56" s="36">
        <v>0</v>
      </c>
      <c r="X56" s="36" t="s">
        <v>937</v>
      </c>
      <c r="Y56" s="36"/>
      <c r="Z56" s="36"/>
      <c r="AA56" s="37" t="s">
        <v>125</v>
      </c>
      <c r="AB56" s="38" t="s">
        <v>124</v>
      </c>
      <c r="AC56" s="38" t="s">
        <v>58</v>
      </c>
      <c r="AD56" s="39">
        <v>299999998</v>
      </c>
      <c r="AE56" s="40">
        <v>0</v>
      </c>
      <c r="AF56" s="40">
        <v>0</v>
      </c>
      <c r="AG56" s="40">
        <v>0</v>
      </c>
      <c r="AH56" s="39">
        <v>37500000</v>
      </c>
      <c r="AI56" s="18">
        <f>AE56-AF56+AG56-AH56</f>
        <v>-37500000</v>
      </c>
      <c r="AJ56" s="18">
        <f>AD56+AI56</f>
        <v>262499998</v>
      </c>
      <c r="AK56" s="40">
        <v>0</v>
      </c>
      <c r="AL56" s="39">
        <v>15911800</v>
      </c>
      <c r="AM56" s="39">
        <v>75507600</v>
      </c>
      <c r="AN56" s="40">
        <v>0</v>
      </c>
      <c r="AO56" s="18">
        <v>15911800</v>
      </c>
      <c r="AP56" s="39">
        <v>75507600</v>
      </c>
      <c r="AQ56" s="40">
        <v>0</v>
      </c>
      <c r="AR56" s="39">
        <v>15911800</v>
      </c>
      <c r="AS56" s="111">
        <v>75507600</v>
      </c>
      <c r="AT56" s="39">
        <f t="shared" si="24"/>
        <v>75507600</v>
      </c>
      <c r="AU56" s="18">
        <f t="shared" si="25"/>
        <v>186992398</v>
      </c>
      <c r="AV56" s="34">
        <f t="shared" si="26"/>
        <v>0</v>
      </c>
      <c r="AW56" s="34">
        <f t="shared" si="27"/>
        <v>0</v>
      </c>
      <c r="AX56" s="32">
        <f t="shared" si="20"/>
        <v>0.2876480021916038</v>
      </c>
    </row>
    <row r="57" spans="1:50" ht="26.25" customHeight="1" x14ac:dyDescent="0.2">
      <c r="A57" s="35" t="s">
        <v>55</v>
      </c>
      <c r="B57" s="36" t="s">
        <v>56</v>
      </c>
      <c r="C57" s="36"/>
      <c r="D57" s="36" t="s">
        <v>40</v>
      </c>
      <c r="E57" s="36"/>
      <c r="F57" s="36"/>
      <c r="G57" s="36" t="s">
        <v>41</v>
      </c>
      <c r="H57" s="36"/>
      <c r="I57" s="36" t="s">
        <v>941</v>
      </c>
      <c r="J57" s="36"/>
      <c r="K57" s="36" t="s">
        <v>932</v>
      </c>
      <c r="L57" s="36"/>
      <c r="M57" s="36" t="s">
        <v>933</v>
      </c>
      <c r="N57" s="36"/>
      <c r="O57" s="36" t="s">
        <v>938</v>
      </c>
      <c r="P57" s="36"/>
      <c r="Q57" s="36" t="s">
        <v>939</v>
      </c>
      <c r="R57" s="36"/>
      <c r="S57" s="36" t="s">
        <v>940</v>
      </c>
      <c r="T57" s="36">
        <v>0</v>
      </c>
      <c r="U57" s="36">
        <v>0</v>
      </c>
      <c r="V57" s="36">
        <v>0</v>
      </c>
      <c r="W57" s="36">
        <v>0</v>
      </c>
      <c r="X57" s="36" t="s">
        <v>937</v>
      </c>
      <c r="Y57" s="36"/>
      <c r="Z57" s="36"/>
      <c r="AA57" s="37" t="s">
        <v>126</v>
      </c>
      <c r="AB57" s="38" t="s">
        <v>127</v>
      </c>
      <c r="AC57" s="38" t="s">
        <v>61</v>
      </c>
      <c r="AD57" s="39">
        <v>8515531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39">
        <v>8515531</v>
      </c>
      <c r="AK57" s="40">
        <v>0</v>
      </c>
      <c r="AL57" s="39">
        <v>611400</v>
      </c>
      <c r="AM57" s="39">
        <v>3579900</v>
      </c>
      <c r="AN57" s="40">
        <v>0</v>
      </c>
      <c r="AO57" s="18">
        <v>611400</v>
      </c>
      <c r="AP57" s="39">
        <v>3579900</v>
      </c>
      <c r="AQ57" s="40">
        <v>0</v>
      </c>
      <c r="AR57" s="39">
        <v>1233000</v>
      </c>
      <c r="AS57" s="39">
        <v>3579900</v>
      </c>
      <c r="AT57" s="39">
        <f t="shared" si="24"/>
        <v>3579900</v>
      </c>
      <c r="AU57" s="18">
        <f t="shared" si="25"/>
        <v>4935631</v>
      </c>
      <c r="AV57" s="34">
        <f t="shared" si="26"/>
        <v>0</v>
      </c>
      <c r="AW57" s="34">
        <f t="shared" si="27"/>
        <v>0</v>
      </c>
      <c r="AX57" s="32">
        <f t="shared" si="20"/>
        <v>0.42039656716651025</v>
      </c>
    </row>
    <row r="58" spans="1:50" ht="18.75" customHeight="1" x14ac:dyDescent="0.2">
      <c r="A58" s="27" t="s">
        <v>49</v>
      </c>
      <c r="B58" s="27" t="s">
        <v>50</v>
      </c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8" t="s">
        <v>128</v>
      </c>
      <c r="AB58" s="29" t="s">
        <v>129</v>
      </c>
      <c r="AC58" s="30" t="s">
        <v>37</v>
      </c>
      <c r="AD58" s="30">
        <f>AD59+AD60</f>
        <v>865645548</v>
      </c>
      <c r="AE58" s="31">
        <f t="shared" ref="AE58:AS58" si="32">AE59+AE60</f>
        <v>0</v>
      </c>
      <c r="AF58" s="31">
        <f t="shared" si="32"/>
        <v>0</v>
      </c>
      <c r="AG58" s="31">
        <f t="shared" si="32"/>
        <v>0</v>
      </c>
      <c r="AH58" s="31">
        <f t="shared" si="32"/>
        <v>0</v>
      </c>
      <c r="AI58" s="31">
        <f t="shared" si="32"/>
        <v>0</v>
      </c>
      <c r="AJ58" s="30">
        <f t="shared" si="32"/>
        <v>865645548</v>
      </c>
      <c r="AK58" s="31">
        <f t="shared" si="32"/>
        <v>0</v>
      </c>
      <c r="AL58" s="30">
        <f t="shared" si="32"/>
        <v>53352800</v>
      </c>
      <c r="AM58" s="30">
        <f t="shared" si="32"/>
        <v>255306400</v>
      </c>
      <c r="AN58" s="31">
        <f t="shared" si="32"/>
        <v>0</v>
      </c>
      <c r="AO58" s="30">
        <f t="shared" si="32"/>
        <v>53352800</v>
      </c>
      <c r="AP58" s="30">
        <f t="shared" si="32"/>
        <v>255306400</v>
      </c>
      <c r="AQ58" s="31">
        <f t="shared" si="32"/>
        <v>0</v>
      </c>
      <c r="AR58" s="30">
        <f t="shared" si="32"/>
        <v>56918300</v>
      </c>
      <c r="AS58" s="30">
        <f t="shared" si="32"/>
        <v>255306400</v>
      </c>
      <c r="AT58" s="30">
        <f t="shared" si="24"/>
        <v>255306400</v>
      </c>
      <c r="AU58" s="176">
        <f t="shared" si="25"/>
        <v>610339148</v>
      </c>
      <c r="AV58" s="34">
        <f t="shared" si="26"/>
        <v>0</v>
      </c>
      <c r="AW58" s="34">
        <f t="shared" si="27"/>
        <v>0</v>
      </c>
      <c r="AX58" s="32">
        <f t="shared" si="20"/>
        <v>0.29493180042323741</v>
      </c>
    </row>
    <row r="59" spans="1:50" ht="18.75" customHeight="1" x14ac:dyDescent="0.2">
      <c r="A59" s="14" t="s">
        <v>55</v>
      </c>
      <c r="B59" s="15" t="s">
        <v>56</v>
      </c>
      <c r="C59" s="15"/>
      <c r="D59" s="15" t="s">
        <v>40</v>
      </c>
      <c r="E59" s="15"/>
      <c r="F59" s="15"/>
      <c r="G59" s="15" t="s">
        <v>41</v>
      </c>
      <c r="H59" s="15"/>
      <c r="I59" s="15" t="s">
        <v>936</v>
      </c>
      <c r="J59" s="15"/>
      <c r="K59" s="15" t="s">
        <v>932</v>
      </c>
      <c r="L59" s="15"/>
      <c r="M59" s="15" t="s">
        <v>933</v>
      </c>
      <c r="N59" s="15"/>
      <c r="O59" s="15" t="s">
        <v>938</v>
      </c>
      <c r="P59" s="15"/>
      <c r="Q59" s="15" t="s">
        <v>939</v>
      </c>
      <c r="R59" s="15"/>
      <c r="S59" s="15" t="s">
        <v>940</v>
      </c>
      <c r="T59" s="15">
        <v>0</v>
      </c>
      <c r="U59" s="15">
        <v>0</v>
      </c>
      <c r="V59" s="15">
        <v>0</v>
      </c>
      <c r="W59" s="15">
        <v>0</v>
      </c>
      <c r="X59" s="15" t="s">
        <v>937</v>
      </c>
      <c r="Y59" s="15"/>
      <c r="Z59" s="15"/>
      <c r="AA59" s="16" t="s">
        <v>130</v>
      </c>
      <c r="AB59" s="17" t="s">
        <v>129</v>
      </c>
      <c r="AC59" s="17" t="s">
        <v>58</v>
      </c>
      <c r="AD59" s="18">
        <v>816733820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18">
        <v>816733820</v>
      </c>
      <c r="AK59" s="34">
        <v>0</v>
      </c>
      <c r="AL59" s="18">
        <v>48287200</v>
      </c>
      <c r="AM59" s="18">
        <v>232688900</v>
      </c>
      <c r="AN59" s="34">
        <v>0</v>
      </c>
      <c r="AO59" s="18">
        <v>48287200</v>
      </c>
      <c r="AP59" s="18">
        <v>232688900</v>
      </c>
      <c r="AQ59" s="34">
        <v>0</v>
      </c>
      <c r="AR59" s="39">
        <v>48287200</v>
      </c>
      <c r="AS59" s="18">
        <v>232688900</v>
      </c>
      <c r="AT59" s="39">
        <f t="shared" si="24"/>
        <v>232688900</v>
      </c>
      <c r="AU59" s="18">
        <f t="shared" si="25"/>
        <v>584044920</v>
      </c>
      <c r="AV59" s="34">
        <f t="shared" si="26"/>
        <v>0</v>
      </c>
      <c r="AW59" s="34">
        <f t="shared" si="27"/>
        <v>0</v>
      </c>
      <c r="AX59" s="32">
        <f t="shared" si="20"/>
        <v>0.28490175660902595</v>
      </c>
    </row>
    <row r="60" spans="1:50" ht="18.75" customHeight="1" x14ac:dyDescent="0.2">
      <c r="A60" s="14" t="s">
        <v>55</v>
      </c>
      <c r="B60" s="15" t="s">
        <v>56</v>
      </c>
      <c r="C60" s="15"/>
      <c r="D60" s="15" t="s">
        <v>40</v>
      </c>
      <c r="E60" s="15"/>
      <c r="F60" s="15"/>
      <c r="G60" s="15" t="s">
        <v>41</v>
      </c>
      <c r="H60" s="15"/>
      <c r="I60" s="15" t="s">
        <v>941</v>
      </c>
      <c r="J60" s="15"/>
      <c r="K60" s="15" t="s">
        <v>932</v>
      </c>
      <c r="L60" s="15"/>
      <c r="M60" s="15" t="s">
        <v>933</v>
      </c>
      <c r="N60" s="15"/>
      <c r="O60" s="15" t="s">
        <v>938</v>
      </c>
      <c r="P60" s="15"/>
      <c r="Q60" s="15" t="s">
        <v>939</v>
      </c>
      <c r="R60" s="15"/>
      <c r="S60" s="15" t="s">
        <v>940</v>
      </c>
      <c r="T60" s="15">
        <v>0</v>
      </c>
      <c r="U60" s="15">
        <v>0</v>
      </c>
      <c r="V60" s="15">
        <v>0</v>
      </c>
      <c r="W60" s="15">
        <v>0</v>
      </c>
      <c r="X60" s="15" t="s">
        <v>937</v>
      </c>
      <c r="Y60" s="15"/>
      <c r="Z60" s="15"/>
      <c r="AA60" s="16" t="s">
        <v>131</v>
      </c>
      <c r="AB60" s="17" t="s">
        <v>129</v>
      </c>
      <c r="AC60" s="17" t="s">
        <v>61</v>
      </c>
      <c r="AD60" s="18">
        <v>48911728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18">
        <v>48911728</v>
      </c>
      <c r="AK60" s="34">
        <v>0</v>
      </c>
      <c r="AL60" s="18">
        <v>5065600</v>
      </c>
      <c r="AM60" s="18">
        <v>22617500</v>
      </c>
      <c r="AN60" s="34">
        <v>0</v>
      </c>
      <c r="AO60" s="18">
        <v>5065600</v>
      </c>
      <c r="AP60" s="18">
        <v>22617500</v>
      </c>
      <c r="AQ60" s="34">
        <v>0</v>
      </c>
      <c r="AR60" s="39">
        <v>8631100</v>
      </c>
      <c r="AS60" s="192">
        <v>22617500</v>
      </c>
      <c r="AT60" s="39">
        <f t="shared" si="24"/>
        <v>22617500</v>
      </c>
      <c r="AU60" s="18">
        <f t="shared" si="25"/>
        <v>26294228</v>
      </c>
      <c r="AV60" s="34">
        <f t="shared" si="26"/>
        <v>0</v>
      </c>
      <c r="AW60" s="34">
        <f t="shared" si="27"/>
        <v>0</v>
      </c>
      <c r="AX60" s="32">
        <f t="shared" si="20"/>
        <v>0.46241465850480684</v>
      </c>
    </row>
    <row r="61" spans="1:50" ht="18.75" customHeight="1" x14ac:dyDescent="0.2">
      <c r="A61" s="27" t="s">
        <v>49</v>
      </c>
      <c r="B61" s="27" t="s">
        <v>50</v>
      </c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8" t="s">
        <v>132</v>
      </c>
      <c r="AB61" s="29" t="s">
        <v>133</v>
      </c>
      <c r="AC61" s="30" t="s">
        <v>37</v>
      </c>
      <c r="AD61" s="30">
        <f>AD62+AD63</f>
        <v>144274257</v>
      </c>
      <c r="AE61" s="31">
        <f t="shared" ref="AE61:AS61" si="33">AE62+AE63</f>
        <v>0</v>
      </c>
      <c r="AF61" s="31">
        <f t="shared" si="33"/>
        <v>0</v>
      </c>
      <c r="AG61" s="31">
        <f t="shared" si="33"/>
        <v>0</v>
      </c>
      <c r="AH61" s="31">
        <f t="shared" si="33"/>
        <v>0</v>
      </c>
      <c r="AI61" s="31">
        <f t="shared" si="33"/>
        <v>0</v>
      </c>
      <c r="AJ61" s="30">
        <f t="shared" si="33"/>
        <v>144274257</v>
      </c>
      <c r="AK61" s="31">
        <f t="shared" si="33"/>
        <v>0</v>
      </c>
      <c r="AL61" s="30">
        <f t="shared" si="33"/>
        <v>8910000</v>
      </c>
      <c r="AM61" s="30">
        <f t="shared" si="33"/>
        <v>42637300</v>
      </c>
      <c r="AN61" s="31">
        <f t="shared" si="33"/>
        <v>0</v>
      </c>
      <c r="AO61" s="30">
        <f t="shared" si="33"/>
        <v>8910000</v>
      </c>
      <c r="AP61" s="30">
        <f t="shared" si="33"/>
        <v>42637300</v>
      </c>
      <c r="AQ61" s="31">
        <f t="shared" si="33"/>
        <v>0</v>
      </c>
      <c r="AR61" s="30">
        <f t="shared" si="33"/>
        <v>9504700</v>
      </c>
      <c r="AS61" s="30">
        <f t="shared" si="33"/>
        <v>42637300</v>
      </c>
      <c r="AT61" s="30">
        <f t="shared" si="24"/>
        <v>42637300</v>
      </c>
      <c r="AU61" s="176">
        <f t="shared" si="25"/>
        <v>101636957</v>
      </c>
      <c r="AV61" s="34">
        <f t="shared" si="26"/>
        <v>0</v>
      </c>
      <c r="AW61" s="34">
        <f t="shared" si="27"/>
        <v>0</v>
      </c>
      <c r="AX61" s="32">
        <f t="shared" si="20"/>
        <v>0.29552950669501626</v>
      </c>
    </row>
    <row r="62" spans="1:50" ht="18.75" customHeight="1" x14ac:dyDescent="0.2">
      <c r="A62" s="14" t="s">
        <v>55</v>
      </c>
      <c r="B62" s="15" t="s">
        <v>56</v>
      </c>
      <c r="C62" s="15"/>
      <c r="D62" s="15" t="s">
        <v>40</v>
      </c>
      <c r="E62" s="15"/>
      <c r="F62" s="15"/>
      <c r="G62" s="15" t="s">
        <v>41</v>
      </c>
      <c r="H62" s="15"/>
      <c r="I62" s="15" t="s">
        <v>936</v>
      </c>
      <c r="J62" s="15"/>
      <c r="K62" s="15" t="s">
        <v>932</v>
      </c>
      <c r="L62" s="15"/>
      <c r="M62" s="15" t="s">
        <v>933</v>
      </c>
      <c r="N62" s="15"/>
      <c r="O62" s="15" t="s">
        <v>938</v>
      </c>
      <c r="P62" s="15"/>
      <c r="Q62" s="15" t="s">
        <v>939</v>
      </c>
      <c r="R62" s="15"/>
      <c r="S62" s="15" t="s">
        <v>940</v>
      </c>
      <c r="T62" s="15">
        <v>0</v>
      </c>
      <c r="U62" s="15">
        <v>0</v>
      </c>
      <c r="V62" s="15">
        <v>0</v>
      </c>
      <c r="W62" s="15">
        <v>0</v>
      </c>
      <c r="X62" s="15" t="s">
        <v>937</v>
      </c>
      <c r="Y62" s="15"/>
      <c r="Z62" s="15"/>
      <c r="AA62" s="16" t="s">
        <v>134</v>
      </c>
      <c r="AB62" s="17" t="s">
        <v>133</v>
      </c>
      <c r="AC62" s="17" t="s">
        <v>58</v>
      </c>
      <c r="AD62" s="18">
        <v>136122303</v>
      </c>
      <c r="AE62" s="34">
        <v>0</v>
      </c>
      <c r="AF62" s="34">
        <v>0</v>
      </c>
      <c r="AG62" s="34">
        <v>0</v>
      </c>
      <c r="AH62" s="34">
        <v>0</v>
      </c>
      <c r="AI62" s="34">
        <v>0</v>
      </c>
      <c r="AJ62" s="18">
        <v>136122303</v>
      </c>
      <c r="AK62" s="34">
        <v>0</v>
      </c>
      <c r="AL62" s="18">
        <v>8064600</v>
      </c>
      <c r="AM62" s="18">
        <v>38864200</v>
      </c>
      <c r="AN62" s="34">
        <v>0</v>
      </c>
      <c r="AO62" s="18">
        <v>8064600</v>
      </c>
      <c r="AP62" s="18">
        <v>38864200</v>
      </c>
      <c r="AQ62" s="34">
        <v>0</v>
      </c>
      <c r="AR62" s="39">
        <v>8064600</v>
      </c>
      <c r="AS62" s="18">
        <v>38864200</v>
      </c>
      <c r="AT62" s="39">
        <f t="shared" si="24"/>
        <v>38864200</v>
      </c>
      <c r="AU62" s="18">
        <f t="shared" si="25"/>
        <v>97258103</v>
      </c>
      <c r="AV62" s="34">
        <f t="shared" si="26"/>
        <v>0</v>
      </c>
      <c r="AW62" s="34">
        <f t="shared" si="27"/>
        <v>0</v>
      </c>
      <c r="AX62" s="32">
        <f t="shared" si="20"/>
        <v>0.28550942162652065</v>
      </c>
    </row>
    <row r="63" spans="1:50" ht="18.75" customHeight="1" x14ac:dyDescent="0.2">
      <c r="A63" s="14" t="s">
        <v>55</v>
      </c>
      <c r="B63" s="15" t="s">
        <v>56</v>
      </c>
      <c r="C63" s="15"/>
      <c r="D63" s="15" t="s">
        <v>40</v>
      </c>
      <c r="E63" s="15"/>
      <c r="F63" s="15"/>
      <c r="G63" s="15" t="s">
        <v>41</v>
      </c>
      <c r="H63" s="15"/>
      <c r="I63" s="15" t="s">
        <v>941</v>
      </c>
      <c r="J63" s="15"/>
      <c r="K63" s="15" t="s">
        <v>932</v>
      </c>
      <c r="L63" s="15"/>
      <c r="M63" s="15" t="s">
        <v>933</v>
      </c>
      <c r="N63" s="15"/>
      <c r="O63" s="15" t="s">
        <v>938</v>
      </c>
      <c r="P63" s="15"/>
      <c r="Q63" s="15" t="s">
        <v>939</v>
      </c>
      <c r="R63" s="15"/>
      <c r="S63" s="15" t="s">
        <v>940</v>
      </c>
      <c r="T63" s="15">
        <v>0</v>
      </c>
      <c r="U63" s="15">
        <v>0</v>
      </c>
      <c r="V63" s="15">
        <v>0</v>
      </c>
      <c r="W63" s="15">
        <v>0</v>
      </c>
      <c r="X63" s="15" t="s">
        <v>937</v>
      </c>
      <c r="Y63" s="15"/>
      <c r="Z63" s="15"/>
      <c r="AA63" s="16" t="s">
        <v>135</v>
      </c>
      <c r="AB63" s="17" t="s">
        <v>136</v>
      </c>
      <c r="AC63" s="17" t="s">
        <v>61</v>
      </c>
      <c r="AD63" s="18">
        <v>8151954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18">
        <v>8151954</v>
      </c>
      <c r="AK63" s="34">
        <v>0</v>
      </c>
      <c r="AL63" s="18">
        <v>845400</v>
      </c>
      <c r="AM63" s="18">
        <v>3773100</v>
      </c>
      <c r="AN63" s="34">
        <v>0</v>
      </c>
      <c r="AO63" s="18">
        <v>845400</v>
      </c>
      <c r="AP63" s="18">
        <v>3773100</v>
      </c>
      <c r="AQ63" s="34">
        <v>0</v>
      </c>
      <c r="AR63" s="39">
        <v>1440100</v>
      </c>
      <c r="AS63" s="18">
        <v>3773100</v>
      </c>
      <c r="AT63" s="39">
        <f t="shared" si="24"/>
        <v>3773100</v>
      </c>
      <c r="AU63" s="18">
        <f t="shared" si="25"/>
        <v>4378854</v>
      </c>
      <c r="AV63" s="34">
        <f t="shared" si="26"/>
        <v>0</v>
      </c>
      <c r="AW63" s="34">
        <f t="shared" si="27"/>
        <v>0</v>
      </c>
      <c r="AX63" s="32">
        <f t="shared" si="20"/>
        <v>0.46284608573600883</v>
      </c>
    </row>
    <row r="64" spans="1:50" ht="18.75" customHeight="1" x14ac:dyDescent="0.2">
      <c r="A64" s="27" t="s">
        <v>49</v>
      </c>
      <c r="B64" s="27" t="s">
        <v>50</v>
      </c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8" t="s">
        <v>137</v>
      </c>
      <c r="AB64" s="29" t="s">
        <v>138</v>
      </c>
      <c r="AC64" s="30" t="s">
        <v>37</v>
      </c>
      <c r="AD64" s="30">
        <f>AD65+AD66</f>
        <v>144274257</v>
      </c>
      <c r="AE64" s="31">
        <f t="shared" ref="AE64:AS64" si="34">AE65+AE66</f>
        <v>0</v>
      </c>
      <c r="AF64" s="31">
        <f t="shared" si="34"/>
        <v>0</v>
      </c>
      <c r="AG64" s="31">
        <f t="shared" si="34"/>
        <v>0</v>
      </c>
      <c r="AH64" s="31">
        <f t="shared" si="34"/>
        <v>0</v>
      </c>
      <c r="AI64" s="31">
        <f t="shared" si="34"/>
        <v>0</v>
      </c>
      <c r="AJ64" s="30">
        <f t="shared" si="34"/>
        <v>144274257</v>
      </c>
      <c r="AK64" s="31">
        <f t="shared" si="34"/>
        <v>0</v>
      </c>
      <c r="AL64" s="31">
        <f t="shared" si="34"/>
        <v>8910000</v>
      </c>
      <c r="AM64" s="30">
        <f t="shared" si="34"/>
        <v>42637300</v>
      </c>
      <c r="AN64" s="31">
        <f t="shared" si="34"/>
        <v>0</v>
      </c>
      <c r="AO64" s="30">
        <f t="shared" si="34"/>
        <v>8910000</v>
      </c>
      <c r="AP64" s="30">
        <f t="shared" si="34"/>
        <v>42637300</v>
      </c>
      <c r="AQ64" s="31">
        <f t="shared" si="34"/>
        <v>0</v>
      </c>
      <c r="AR64" s="30">
        <f t="shared" si="34"/>
        <v>9504700</v>
      </c>
      <c r="AS64" s="30">
        <f t="shared" si="34"/>
        <v>42637300</v>
      </c>
      <c r="AT64" s="30">
        <f t="shared" si="24"/>
        <v>42637300</v>
      </c>
      <c r="AU64" s="83">
        <f t="shared" si="25"/>
        <v>101636957</v>
      </c>
      <c r="AV64" s="34">
        <f t="shared" si="26"/>
        <v>0</v>
      </c>
      <c r="AW64" s="34">
        <f t="shared" si="27"/>
        <v>0</v>
      </c>
      <c r="AX64" s="32">
        <f t="shared" si="20"/>
        <v>0.29552950669501626</v>
      </c>
    </row>
    <row r="65" spans="1:50" ht="18.75" customHeight="1" x14ac:dyDescent="0.2">
      <c r="A65" s="14" t="s">
        <v>55</v>
      </c>
      <c r="B65" s="15" t="s">
        <v>56</v>
      </c>
      <c r="C65" s="15"/>
      <c r="D65" s="15" t="s">
        <v>40</v>
      </c>
      <c r="E65" s="15"/>
      <c r="F65" s="15"/>
      <c r="G65" s="15" t="s">
        <v>41</v>
      </c>
      <c r="H65" s="15"/>
      <c r="I65" s="15" t="s">
        <v>936</v>
      </c>
      <c r="J65" s="15"/>
      <c r="K65" s="15" t="s">
        <v>932</v>
      </c>
      <c r="L65" s="15"/>
      <c r="M65" s="15" t="s">
        <v>933</v>
      </c>
      <c r="N65" s="15"/>
      <c r="O65" s="15" t="s">
        <v>938</v>
      </c>
      <c r="P65" s="15"/>
      <c r="Q65" s="15" t="s">
        <v>939</v>
      </c>
      <c r="R65" s="15"/>
      <c r="S65" s="15" t="s">
        <v>940</v>
      </c>
      <c r="T65" s="15">
        <v>0</v>
      </c>
      <c r="U65" s="15">
        <v>0</v>
      </c>
      <c r="V65" s="15">
        <v>0</v>
      </c>
      <c r="W65" s="15">
        <v>0</v>
      </c>
      <c r="X65" s="15" t="s">
        <v>937</v>
      </c>
      <c r="Y65" s="15"/>
      <c r="Z65" s="15"/>
      <c r="AA65" s="16" t="s">
        <v>139</v>
      </c>
      <c r="AB65" s="17" t="s">
        <v>138</v>
      </c>
      <c r="AC65" s="17" t="s">
        <v>58</v>
      </c>
      <c r="AD65" s="18">
        <v>136122303</v>
      </c>
      <c r="AE65" s="34">
        <v>0</v>
      </c>
      <c r="AF65" s="34">
        <v>0</v>
      </c>
      <c r="AG65" s="34">
        <v>0</v>
      </c>
      <c r="AH65" s="34">
        <v>0</v>
      </c>
      <c r="AI65" s="34">
        <v>0</v>
      </c>
      <c r="AJ65" s="18">
        <v>136122303</v>
      </c>
      <c r="AK65" s="34">
        <v>0</v>
      </c>
      <c r="AL65" s="18">
        <v>8064600</v>
      </c>
      <c r="AM65" s="18">
        <v>38864200</v>
      </c>
      <c r="AN65" s="34">
        <v>0</v>
      </c>
      <c r="AO65" s="18">
        <v>8064600</v>
      </c>
      <c r="AP65" s="18">
        <v>38864200</v>
      </c>
      <c r="AQ65" s="34">
        <v>0</v>
      </c>
      <c r="AR65" s="39">
        <v>8064600</v>
      </c>
      <c r="AS65" s="18">
        <v>38864200</v>
      </c>
      <c r="AT65" s="39">
        <f t="shared" si="24"/>
        <v>38864200</v>
      </c>
      <c r="AU65" s="18">
        <f t="shared" si="25"/>
        <v>97258103</v>
      </c>
      <c r="AV65" s="34">
        <f t="shared" si="26"/>
        <v>0</v>
      </c>
      <c r="AW65" s="34">
        <f t="shared" si="27"/>
        <v>0</v>
      </c>
      <c r="AX65" s="32">
        <f t="shared" si="20"/>
        <v>0.28550942162652065</v>
      </c>
    </row>
    <row r="66" spans="1:50" ht="18.75" customHeight="1" x14ac:dyDescent="0.2">
      <c r="A66" s="14" t="s">
        <v>55</v>
      </c>
      <c r="B66" s="15" t="s">
        <v>56</v>
      </c>
      <c r="C66" s="15"/>
      <c r="D66" s="15" t="s">
        <v>40</v>
      </c>
      <c r="E66" s="15"/>
      <c r="F66" s="15"/>
      <c r="G66" s="15" t="s">
        <v>41</v>
      </c>
      <c r="H66" s="15"/>
      <c r="I66" s="15" t="s">
        <v>941</v>
      </c>
      <c r="J66" s="15"/>
      <c r="K66" s="15" t="s">
        <v>932</v>
      </c>
      <c r="L66" s="15"/>
      <c r="M66" s="15" t="s">
        <v>933</v>
      </c>
      <c r="N66" s="15"/>
      <c r="O66" s="15" t="s">
        <v>938</v>
      </c>
      <c r="P66" s="15"/>
      <c r="Q66" s="15" t="s">
        <v>939</v>
      </c>
      <c r="R66" s="15"/>
      <c r="S66" s="15" t="s">
        <v>940</v>
      </c>
      <c r="T66" s="15">
        <v>0</v>
      </c>
      <c r="U66" s="15">
        <v>0</v>
      </c>
      <c r="V66" s="15">
        <v>0</v>
      </c>
      <c r="W66" s="15">
        <v>0</v>
      </c>
      <c r="X66" s="15" t="s">
        <v>937</v>
      </c>
      <c r="Y66" s="15"/>
      <c r="Z66" s="15"/>
      <c r="AA66" s="16" t="s">
        <v>140</v>
      </c>
      <c r="AB66" s="17" t="s">
        <v>141</v>
      </c>
      <c r="AC66" s="17" t="s">
        <v>61</v>
      </c>
      <c r="AD66" s="18">
        <v>8151954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18">
        <v>8151954</v>
      </c>
      <c r="AK66" s="34">
        <v>0</v>
      </c>
      <c r="AL66" s="18">
        <v>845400</v>
      </c>
      <c r="AM66" s="18">
        <v>3773100</v>
      </c>
      <c r="AN66" s="34">
        <v>0</v>
      </c>
      <c r="AO66" s="18">
        <v>845400</v>
      </c>
      <c r="AP66" s="18">
        <v>3773100</v>
      </c>
      <c r="AQ66" s="34">
        <v>0</v>
      </c>
      <c r="AR66" s="39">
        <v>1440100</v>
      </c>
      <c r="AS66" s="18">
        <v>3773100</v>
      </c>
      <c r="AT66" s="39">
        <f t="shared" si="24"/>
        <v>3773100</v>
      </c>
      <c r="AU66" s="18">
        <f t="shared" si="25"/>
        <v>4378854</v>
      </c>
      <c r="AV66" s="34">
        <f t="shared" si="26"/>
        <v>0</v>
      </c>
      <c r="AW66" s="34">
        <f t="shared" si="27"/>
        <v>0</v>
      </c>
      <c r="AX66" s="32">
        <f t="shared" si="20"/>
        <v>0.46284608573600883</v>
      </c>
    </row>
    <row r="67" spans="1:50" ht="18.75" customHeight="1" x14ac:dyDescent="0.2">
      <c r="A67" s="27" t="s">
        <v>55</v>
      </c>
      <c r="B67" s="27" t="s">
        <v>56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8" t="s">
        <v>142</v>
      </c>
      <c r="AB67" s="29" t="s">
        <v>143</v>
      </c>
      <c r="AC67" s="30" t="s">
        <v>37</v>
      </c>
      <c r="AD67" s="30">
        <f>AD68+AD69</f>
        <v>273762589</v>
      </c>
      <c r="AE67" s="31">
        <f t="shared" ref="AE67:AS67" si="35">AE68+AE69</f>
        <v>0</v>
      </c>
      <c r="AF67" s="31">
        <f t="shared" si="35"/>
        <v>0</v>
      </c>
      <c r="AG67" s="31">
        <f t="shared" si="35"/>
        <v>0</v>
      </c>
      <c r="AH67" s="31">
        <f t="shared" si="35"/>
        <v>0</v>
      </c>
      <c r="AI67" s="31">
        <f t="shared" si="35"/>
        <v>0</v>
      </c>
      <c r="AJ67" s="30">
        <f t="shared" si="35"/>
        <v>273762589</v>
      </c>
      <c r="AK67" s="31">
        <f t="shared" si="35"/>
        <v>0</v>
      </c>
      <c r="AL67" s="30">
        <f t="shared" si="35"/>
        <v>17799300</v>
      </c>
      <c r="AM67" s="30">
        <f t="shared" si="35"/>
        <v>85175700</v>
      </c>
      <c r="AN67" s="31">
        <f t="shared" si="35"/>
        <v>0</v>
      </c>
      <c r="AO67" s="30">
        <f t="shared" si="35"/>
        <v>17799300</v>
      </c>
      <c r="AP67" s="30">
        <f t="shared" si="35"/>
        <v>85175700</v>
      </c>
      <c r="AQ67" s="31">
        <f t="shared" si="35"/>
        <v>0</v>
      </c>
      <c r="AR67" s="30">
        <f t="shared" si="35"/>
        <v>18988000</v>
      </c>
      <c r="AS67" s="30">
        <f t="shared" si="35"/>
        <v>85175700</v>
      </c>
      <c r="AT67" s="30">
        <f t="shared" si="24"/>
        <v>85175700</v>
      </c>
      <c r="AU67" s="176">
        <f t="shared" si="25"/>
        <v>188586889</v>
      </c>
      <c r="AV67" s="34">
        <f t="shared" si="26"/>
        <v>0</v>
      </c>
      <c r="AW67" s="34">
        <f t="shared" si="27"/>
        <v>0</v>
      </c>
      <c r="AX67" s="32">
        <f t="shared" si="20"/>
        <v>0.31112980159608294</v>
      </c>
    </row>
    <row r="68" spans="1:50" ht="18.75" customHeight="1" x14ac:dyDescent="0.2">
      <c r="A68" s="35" t="s">
        <v>55</v>
      </c>
      <c r="B68" s="36" t="s">
        <v>56</v>
      </c>
      <c r="C68" s="36"/>
      <c r="D68" s="36" t="s">
        <v>40</v>
      </c>
      <c r="E68" s="36"/>
      <c r="F68" s="36"/>
      <c r="G68" s="36" t="s">
        <v>41</v>
      </c>
      <c r="H68" s="36"/>
      <c r="I68" s="36" t="s">
        <v>936</v>
      </c>
      <c r="J68" s="36"/>
      <c r="K68" s="36" t="s">
        <v>932</v>
      </c>
      <c r="L68" s="36"/>
      <c r="M68" s="36" t="s">
        <v>933</v>
      </c>
      <c r="N68" s="36"/>
      <c r="O68" s="36" t="s">
        <v>938</v>
      </c>
      <c r="P68" s="36"/>
      <c r="Q68" s="36" t="s">
        <v>939</v>
      </c>
      <c r="R68" s="36"/>
      <c r="S68" s="36" t="s">
        <v>940</v>
      </c>
      <c r="T68" s="36">
        <v>0</v>
      </c>
      <c r="U68" s="36">
        <v>0</v>
      </c>
      <c r="V68" s="36">
        <v>0</v>
      </c>
      <c r="W68" s="36">
        <v>0</v>
      </c>
      <c r="X68" s="36" t="s">
        <v>937</v>
      </c>
      <c r="Y68" s="36"/>
      <c r="Z68" s="36"/>
      <c r="AA68" s="37" t="s">
        <v>144</v>
      </c>
      <c r="AB68" s="38" t="s">
        <v>145</v>
      </c>
      <c r="AC68" s="38" t="s">
        <v>58</v>
      </c>
      <c r="AD68" s="39">
        <v>257458680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  <c r="AJ68" s="39">
        <v>257458680</v>
      </c>
      <c r="AK68" s="40">
        <v>0</v>
      </c>
      <c r="AL68" s="39">
        <v>16109900</v>
      </c>
      <c r="AM68" s="39">
        <v>77634500</v>
      </c>
      <c r="AN68" s="40">
        <v>0</v>
      </c>
      <c r="AO68" s="18">
        <v>16109900</v>
      </c>
      <c r="AP68" s="39">
        <v>77634500</v>
      </c>
      <c r="AQ68" s="40">
        <v>0</v>
      </c>
      <c r="AR68" s="39">
        <v>16109900</v>
      </c>
      <c r="AS68" s="39">
        <v>77634500</v>
      </c>
      <c r="AT68" s="39">
        <f t="shared" si="24"/>
        <v>77634500</v>
      </c>
      <c r="AU68" s="18">
        <f t="shared" si="25"/>
        <v>179824180</v>
      </c>
      <c r="AV68" s="34">
        <f t="shared" si="26"/>
        <v>0</v>
      </c>
      <c r="AW68" s="34">
        <f t="shared" si="27"/>
        <v>0</v>
      </c>
      <c r="AX68" s="32">
        <f t="shared" si="20"/>
        <v>0.30154159106230172</v>
      </c>
    </row>
    <row r="69" spans="1:50" ht="31.5" customHeight="1" x14ac:dyDescent="0.2">
      <c r="A69" s="14" t="s">
        <v>55</v>
      </c>
      <c r="B69" s="15" t="s">
        <v>56</v>
      </c>
      <c r="C69" s="15"/>
      <c r="D69" s="15" t="s">
        <v>40</v>
      </c>
      <c r="E69" s="15"/>
      <c r="F69" s="15"/>
      <c r="G69" s="15" t="s">
        <v>41</v>
      </c>
      <c r="H69" s="15"/>
      <c r="I69" s="15" t="s">
        <v>941</v>
      </c>
      <c r="J69" s="15"/>
      <c r="K69" s="15" t="s">
        <v>932</v>
      </c>
      <c r="L69" s="15"/>
      <c r="M69" s="15" t="s">
        <v>933</v>
      </c>
      <c r="N69" s="15"/>
      <c r="O69" s="15" t="s">
        <v>938</v>
      </c>
      <c r="P69" s="15"/>
      <c r="Q69" s="15" t="s">
        <v>939</v>
      </c>
      <c r="R69" s="15"/>
      <c r="S69" s="15" t="s">
        <v>940</v>
      </c>
      <c r="T69" s="15">
        <v>0</v>
      </c>
      <c r="U69" s="15">
        <v>0</v>
      </c>
      <c r="V69" s="15">
        <v>0</v>
      </c>
      <c r="W69" s="15">
        <v>0</v>
      </c>
      <c r="X69" s="15" t="s">
        <v>937</v>
      </c>
      <c r="Y69" s="15"/>
      <c r="Z69" s="15"/>
      <c r="AA69" s="16" t="s">
        <v>146</v>
      </c>
      <c r="AB69" s="17" t="s">
        <v>147</v>
      </c>
      <c r="AC69" s="17" t="s">
        <v>61</v>
      </c>
      <c r="AD69" s="18">
        <v>16303909</v>
      </c>
      <c r="AE69" s="34">
        <v>0</v>
      </c>
      <c r="AF69" s="34">
        <v>0</v>
      </c>
      <c r="AG69" s="34">
        <v>0</v>
      </c>
      <c r="AH69" s="34">
        <v>0</v>
      </c>
      <c r="AI69" s="34">
        <v>0</v>
      </c>
      <c r="AJ69" s="18">
        <v>16303909</v>
      </c>
      <c r="AK69" s="34">
        <v>0</v>
      </c>
      <c r="AL69" s="39">
        <v>1689400</v>
      </c>
      <c r="AM69" s="18">
        <v>7541200</v>
      </c>
      <c r="AN69" s="34">
        <v>0</v>
      </c>
      <c r="AO69" s="18">
        <v>1689400</v>
      </c>
      <c r="AP69" s="18">
        <v>7541200</v>
      </c>
      <c r="AQ69" s="34">
        <v>0</v>
      </c>
      <c r="AR69" s="39">
        <v>2878100</v>
      </c>
      <c r="AS69" s="18">
        <v>7541200</v>
      </c>
      <c r="AT69" s="39">
        <f t="shared" si="24"/>
        <v>7541200</v>
      </c>
      <c r="AU69" s="18">
        <f t="shared" si="25"/>
        <v>8762709</v>
      </c>
      <c r="AV69" s="34">
        <f t="shared" si="26"/>
        <v>0</v>
      </c>
      <c r="AW69" s="34">
        <f t="shared" si="27"/>
        <v>0</v>
      </c>
      <c r="AX69" s="32">
        <f t="shared" si="20"/>
        <v>0.46253938242663156</v>
      </c>
    </row>
    <row r="70" spans="1:50" s="25" customFormat="1" ht="18.75" customHeight="1" x14ac:dyDescent="0.2">
      <c r="A70" s="19" t="s">
        <v>49</v>
      </c>
      <c r="B70" s="19" t="s">
        <v>50</v>
      </c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26" t="s">
        <v>148</v>
      </c>
      <c r="AB70" s="21" t="s">
        <v>149</v>
      </c>
      <c r="AC70" s="22" t="s">
        <v>37</v>
      </c>
      <c r="AD70" s="22">
        <f>AD71+AD81+AD82+AD83+AD84+AD85</f>
        <v>2847587617</v>
      </c>
      <c r="AE70" s="23">
        <f t="shared" ref="AE70:AW70" si="36">AE71+AE81+AE82+AE83+AE84+AE85</f>
        <v>0</v>
      </c>
      <c r="AF70" s="23">
        <f t="shared" si="36"/>
        <v>0</v>
      </c>
      <c r="AG70" s="22">
        <f>AG71+AG81+AG82+AG83+AG84+AG85</f>
        <v>72000000</v>
      </c>
      <c r="AH70" s="22">
        <f>AH71+AH81+AH82+AH83+AH84+AH85</f>
        <v>12000000</v>
      </c>
      <c r="AI70" s="22">
        <f t="shared" si="36"/>
        <v>60000000</v>
      </c>
      <c r="AJ70" s="22">
        <f>AJ71+AJ81+AJ82+AJ83+AJ84+AJ85</f>
        <v>2907587617</v>
      </c>
      <c r="AK70" s="23">
        <f t="shared" si="36"/>
        <v>0</v>
      </c>
      <c r="AL70" s="22">
        <f t="shared" si="36"/>
        <v>147778823</v>
      </c>
      <c r="AM70" s="22">
        <f t="shared" si="36"/>
        <v>695978173</v>
      </c>
      <c r="AN70" s="23">
        <f t="shared" si="36"/>
        <v>0</v>
      </c>
      <c r="AO70" s="22">
        <f t="shared" si="36"/>
        <v>147778823</v>
      </c>
      <c r="AP70" s="22">
        <f t="shared" si="36"/>
        <v>695978173</v>
      </c>
      <c r="AQ70" s="23">
        <f t="shared" si="36"/>
        <v>0</v>
      </c>
      <c r="AR70" s="22">
        <f t="shared" si="36"/>
        <v>147778823</v>
      </c>
      <c r="AS70" s="22">
        <f t="shared" si="36"/>
        <v>665257676</v>
      </c>
      <c r="AT70" s="22">
        <f t="shared" si="36"/>
        <v>665257676</v>
      </c>
      <c r="AU70" s="22">
        <f t="shared" si="36"/>
        <v>2211609444</v>
      </c>
      <c r="AV70" s="23">
        <f t="shared" si="36"/>
        <v>0</v>
      </c>
      <c r="AW70" s="22">
        <f t="shared" si="36"/>
        <v>30720497</v>
      </c>
      <c r="AX70" s="24">
        <f t="shared" si="20"/>
        <v>0.23936619104125179</v>
      </c>
    </row>
    <row r="71" spans="1:50" ht="18.75" customHeight="1" x14ac:dyDescent="0.2">
      <c r="A71" s="27" t="s">
        <v>49</v>
      </c>
      <c r="B71" s="27" t="s">
        <v>50</v>
      </c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8" t="s">
        <v>150</v>
      </c>
      <c r="AB71" s="29" t="s">
        <v>81</v>
      </c>
      <c r="AC71" s="30" t="s">
        <v>37</v>
      </c>
      <c r="AD71" s="30">
        <f>AD72+AD75+AD78</f>
        <v>2386452170</v>
      </c>
      <c r="AE71" s="31">
        <f t="shared" ref="AE71:AS71" si="37">AE72+AE75+AE78</f>
        <v>0</v>
      </c>
      <c r="AF71" s="31">
        <f t="shared" si="37"/>
        <v>0</v>
      </c>
      <c r="AG71" s="31">
        <f t="shared" si="37"/>
        <v>0</v>
      </c>
      <c r="AH71" s="30">
        <f t="shared" si="37"/>
        <v>12000000</v>
      </c>
      <c r="AI71" s="30">
        <f t="shared" si="37"/>
        <v>-12000000</v>
      </c>
      <c r="AJ71" s="30">
        <f t="shared" si="37"/>
        <v>2374452170</v>
      </c>
      <c r="AK71" s="31">
        <f t="shared" si="37"/>
        <v>0</v>
      </c>
      <c r="AL71" s="30">
        <f t="shared" si="37"/>
        <v>94607182</v>
      </c>
      <c r="AM71" s="30">
        <f t="shared" si="37"/>
        <v>435492729</v>
      </c>
      <c r="AN71" s="31">
        <f t="shared" si="37"/>
        <v>0</v>
      </c>
      <c r="AO71" s="30">
        <f t="shared" si="37"/>
        <v>94607182</v>
      </c>
      <c r="AP71" s="30">
        <f t="shared" si="37"/>
        <v>435492729</v>
      </c>
      <c r="AQ71" s="31">
        <f t="shared" si="37"/>
        <v>0</v>
      </c>
      <c r="AR71" s="30">
        <f t="shared" si="37"/>
        <v>94607182</v>
      </c>
      <c r="AS71" s="30">
        <f t="shared" si="37"/>
        <v>433679535</v>
      </c>
      <c r="AT71" s="30">
        <f t="shared" ref="AT71:AT91" si="38">AQ71+AS71</f>
        <v>433679535</v>
      </c>
      <c r="AU71" s="176">
        <f t="shared" ref="AU71:AU85" si="39">AJ71-AM71</f>
        <v>1938959441</v>
      </c>
      <c r="AV71" s="34">
        <f t="shared" ref="AV71:AV85" si="40">AM71-AP71</f>
        <v>0</v>
      </c>
      <c r="AW71" s="18">
        <f t="shared" ref="AW71:AW85" si="41">AP71-AT71</f>
        <v>1813194</v>
      </c>
      <c r="AX71" s="32">
        <f t="shared" si="20"/>
        <v>0.18340766535634195</v>
      </c>
    </row>
    <row r="72" spans="1:50" ht="18.75" customHeight="1" x14ac:dyDescent="0.2">
      <c r="A72" s="27" t="s">
        <v>49</v>
      </c>
      <c r="B72" s="27" t="s">
        <v>50</v>
      </c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8" t="s">
        <v>151</v>
      </c>
      <c r="AB72" s="29" t="s">
        <v>152</v>
      </c>
      <c r="AC72" s="30" t="s">
        <v>37</v>
      </c>
      <c r="AD72" s="30">
        <f>AD73+AD74</f>
        <v>1664997140</v>
      </c>
      <c r="AE72" s="31">
        <f t="shared" ref="AE72:AS72" si="42">AE73+AE74</f>
        <v>0</v>
      </c>
      <c r="AF72" s="31">
        <f t="shared" si="42"/>
        <v>0</v>
      </c>
      <c r="AG72" s="31">
        <f t="shared" si="42"/>
        <v>0</v>
      </c>
      <c r="AH72" s="31">
        <f t="shared" si="42"/>
        <v>0</v>
      </c>
      <c r="AI72" s="31">
        <f t="shared" si="42"/>
        <v>0</v>
      </c>
      <c r="AJ72" s="30">
        <f t="shared" si="42"/>
        <v>1664997140</v>
      </c>
      <c r="AK72" s="31">
        <f t="shared" si="42"/>
        <v>0</v>
      </c>
      <c r="AL72" s="30">
        <f t="shared" si="42"/>
        <v>76689227</v>
      </c>
      <c r="AM72" s="30">
        <f t="shared" si="42"/>
        <v>237920067</v>
      </c>
      <c r="AN72" s="31">
        <f t="shared" si="42"/>
        <v>0</v>
      </c>
      <c r="AO72" s="30">
        <f t="shared" si="42"/>
        <v>76689227</v>
      </c>
      <c r="AP72" s="30">
        <f t="shared" si="42"/>
        <v>237920067</v>
      </c>
      <c r="AQ72" s="31">
        <f t="shared" si="42"/>
        <v>0</v>
      </c>
      <c r="AR72" s="30">
        <f t="shared" si="42"/>
        <v>76689227</v>
      </c>
      <c r="AS72" s="30">
        <f t="shared" si="42"/>
        <v>237920067</v>
      </c>
      <c r="AT72" s="30">
        <f t="shared" si="38"/>
        <v>237920067</v>
      </c>
      <c r="AU72" s="176">
        <f t="shared" si="39"/>
        <v>1427077073</v>
      </c>
      <c r="AV72" s="34">
        <f t="shared" si="40"/>
        <v>0</v>
      </c>
      <c r="AW72" s="34">
        <f t="shared" si="41"/>
        <v>0</v>
      </c>
      <c r="AX72" s="32">
        <f t="shared" si="20"/>
        <v>0.14289518058871861</v>
      </c>
    </row>
    <row r="73" spans="1:50" ht="18.75" customHeight="1" x14ac:dyDescent="0.2">
      <c r="A73" s="14" t="s">
        <v>55</v>
      </c>
      <c r="B73" s="15" t="s">
        <v>56</v>
      </c>
      <c r="C73" s="15"/>
      <c r="D73" s="15" t="s">
        <v>40</v>
      </c>
      <c r="E73" s="15"/>
      <c r="F73" s="15"/>
      <c r="G73" s="15" t="s">
        <v>41</v>
      </c>
      <c r="H73" s="15"/>
      <c r="I73" s="15" t="s">
        <v>936</v>
      </c>
      <c r="J73" s="15"/>
      <c r="K73" s="15" t="s">
        <v>932</v>
      </c>
      <c r="L73" s="15"/>
      <c r="M73" s="15" t="s">
        <v>933</v>
      </c>
      <c r="N73" s="15"/>
      <c r="O73" s="15" t="s">
        <v>938</v>
      </c>
      <c r="P73" s="15"/>
      <c r="Q73" s="15" t="s">
        <v>939</v>
      </c>
      <c r="R73" s="15"/>
      <c r="S73" s="15" t="s">
        <v>940</v>
      </c>
      <c r="T73" s="15">
        <v>0</v>
      </c>
      <c r="U73" s="15">
        <v>0</v>
      </c>
      <c r="V73" s="15">
        <v>0</v>
      </c>
      <c r="W73" s="15">
        <v>0</v>
      </c>
      <c r="X73" s="15" t="s">
        <v>937</v>
      </c>
      <c r="Y73" s="15"/>
      <c r="Z73" s="15"/>
      <c r="AA73" s="16" t="s">
        <v>153</v>
      </c>
      <c r="AB73" s="17" t="s">
        <v>152</v>
      </c>
      <c r="AC73" s="17" t="s">
        <v>58</v>
      </c>
      <c r="AD73" s="18">
        <v>1564997140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18">
        <v>1564997140</v>
      </c>
      <c r="AK73" s="34">
        <v>0</v>
      </c>
      <c r="AL73" s="18">
        <v>65215524</v>
      </c>
      <c r="AM73" s="18">
        <v>219059165</v>
      </c>
      <c r="AN73" s="34">
        <v>0</v>
      </c>
      <c r="AO73" s="18">
        <v>65215524</v>
      </c>
      <c r="AP73" s="18">
        <v>219059165</v>
      </c>
      <c r="AQ73" s="34">
        <v>0</v>
      </c>
      <c r="AR73" s="18">
        <v>65215524</v>
      </c>
      <c r="AS73" s="18">
        <v>219059165</v>
      </c>
      <c r="AT73" s="39">
        <f t="shared" si="38"/>
        <v>219059165</v>
      </c>
      <c r="AU73" s="18">
        <f t="shared" si="39"/>
        <v>1345937975</v>
      </c>
      <c r="AV73" s="34">
        <f t="shared" si="40"/>
        <v>0</v>
      </c>
      <c r="AW73" s="34">
        <f t="shared" si="41"/>
        <v>0</v>
      </c>
      <c r="AX73" s="32">
        <f t="shared" si="20"/>
        <v>0.13997416314767194</v>
      </c>
    </row>
    <row r="74" spans="1:50" ht="18.75" customHeight="1" x14ac:dyDescent="0.2">
      <c r="A74" s="35" t="s">
        <v>55</v>
      </c>
      <c r="B74" s="36" t="s">
        <v>56</v>
      </c>
      <c r="C74" s="36"/>
      <c r="D74" s="36" t="s">
        <v>40</v>
      </c>
      <c r="E74" s="36"/>
      <c r="F74" s="36"/>
      <c r="G74" s="36" t="s">
        <v>41</v>
      </c>
      <c r="H74" s="36"/>
      <c r="I74" s="36" t="s">
        <v>941</v>
      </c>
      <c r="J74" s="36"/>
      <c r="K74" s="36" t="s">
        <v>932</v>
      </c>
      <c r="L74" s="36"/>
      <c r="M74" s="36" t="s">
        <v>933</v>
      </c>
      <c r="N74" s="36"/>
      <c r="O74" s="36" t="s">
        <v>938</v>
      </c>
      <c r="P74" s="36"/>
      <c r="Q74" s="36" t="s">
        <v>939</v>
      </c>
      <c r="R74" s="36"/>
      <c r="S74" s="36" t="s">
        <v>940</v>
      </c>
      <c r="T74" s="36">
        <v>0</v>
      </c>
      <c r="U74" s="36">
        <v>0</v>
      </c>
      <c r="V74" s="36">
        <v>0</v>
      </c>
      <c r="W74" s="36">
        <v>0</v>
      </c>
      <c r="X74" s="36" t="s">
        <v>937</v>
      </c>
      <c r="Y74" s="36"/>
      <c r="Z74" s="36"/>
      <c r="AA74" s="37" t="s">
        <v>154</v>
      </c>
      <c r="AB74" s="38" t="s">
        <v>155</v>
      </c>
      <c r="AC74" s="38" t="s">
        <v>61</v>
      </c>
      <c r="AD74" s="39">
        <v>100000000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39">
        <v>100000000</v>
      </c>
      <c r="AK74" s="40">
        <v>0</v>
      </c>
      <c r="AL74" s="40">
        <v>11473703</v>
      </c>
      <c r="AM74" s="39">
        <v>18860902</v>
      </c>
      <c r="AN74" s="40">
        <v>0</v>
      </c>
      <c r="AO74" s="39">
        <v>11473703</v>
      </c>
      <c r="AP74" s="39">
        <v>18860902</v>
      </c>
      <c r="AQ74" s="40">
        <v>0</v>
      </c>
      <c r="AR74" s="18">
        <v>11473703</v>
      </c>
      <c r="AS74" s="39">
        <v>18860902</v>
      </c>
      <c r="AT74" s="40">
        <f t="shared" si="38"/>
        <v>18860902</v>
      </c>
      <c r="AU74" s="18">
        <f t="shared" si="39"/>
        <v>81139098</v>
      </c>
      <c r="AV74" s="34">
        <f t="shared" si="40"/>
        <v>0</v>
      </c>
      <c r="AW74" s="34">
        <f t="shared" si="41"/>
        <v>0</v>
      </c>
      <c r="AX74" s="32">
        <f t="shared" si="20"/>
        <v>0.18860901999999999</v>
      </c>
    </row>
    <row r="75" spans="1:50" ht="18.75" customHeight="1" x14ac:dyDescent="0.2">
      <c r="A75" s="27" t="s">
        <v>49</v>
      </c>
      <c r="B75" s="27" t="s">
        <v>50</v>
      </c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8" t="s">
        <v>156</v>
      </c>
      <c r="AB75" s="29" t="s">
        <v>157</v>
      </c>
      <c r="AC75" s="30" t="s">
        <v>37</v>
      </c>
      <c r="AD75" s="30">
        <f>AD76+AD77</f>
        <v>608504027</v>
      </c>
      <c r="AE75" s="31">
        <f t="shared" ref="AE75:AS75" si="43">AE76+AE77</f>
        <v>0</v>
      </c>
      <c r="AF75" s="31">
        <f t="shared" si="43"/>
        <v>0</v>
      </c>
      <c r="AG75" s="31">
        <f t="shared" si="43"/>
        <v>0</v>
      </c>
      <c r="AH75" s="30">
        <f t="shared" si="43"/>
        <v>12000000</v>
      </c>
      <c r="AI75" s="30">
        <f t="shared" si="43"/>
        <v>-12000000</v>
      </c>
      <c r="AJ75" s="30">
        <f t="shared" si="43"/>
        <v>596504027</v>
      </c>
      <c r="AK75" s="31">
        <f t="shared" si="43"/>
        <v>0</v>
      </c>
      <c r="AL75" s="30">
        <f t="shared" si="43"/>
        <v>10739990</v>
      </c>
      <c r="AM75" s="30">
        <f t="shared" si="43"/>
        <v>159841946</v>
      </c>
      <c r="AN75" s="31">
        <f t="shared" si="43"/>
        <v>0</v>
      </c>
      <c r="AO75" s="30">
        <f t="shared" si="43"/>
        <v>10739990</v>
      </c>
      <c r="AP75" s="30">
        <f t="shared" si="43"/>
        <v>159841946</v>
      </c>
      <c r="AQ75" s="31">
        <f t="shared" si="43"/>
        <v>0</v>
      </c>
      <c r="AR75" s="30">
        <f t="shared" si="43"/>
        <v>10739990</v>
      </c>
      <c r="AS75" s="30">
        <f t="shared" si="43"/>
        <v>158179353</v>
      </c>
      <c r="AT75" s="30">
        <f t="shared" si="38"/>
        <v>158179353</v>
      </c>
      <c r="AU75" s="18">
        <f t="shared" si="39"/>
        <v>436662081</v>
      </c>
      <c r="AV75" s="34">
        <f t="shared" si="40"/>
        <v>0</v>
      </c>
      <c r="AW75" s="18">
        <f t="shared" si="41"/>
        <v>1662593</v>
      </c>
      <c r="AX75" s="32">
        <f t="shared" si="20"/>
        <v>0.26796457151160186</v>
      </c>
    </row>
    <row r="76" spans="1:50" ht="18.75" customHeight="1" x14ac:dyDescent="0.2">
      <c r="A76" s="14" t="s">
        <v>55</v>
      </c>
      <c r="B76" s="15" t="s">
        <v>56</v>
      </c>
      <c r="C76" s="15"/>
      <c r="D76" s="15" t="s">
        <v>40</v>
      </c>
      <c r="E76" s="15"/>
      <c r="F76" s="15"/>
      <c r="G76" s="15" t="s">
        <v>41</v>
      </c>
      <c r="H76" s="15"/>
      <c r="I76" s="15" t="s">
        <v>936</v>
      </c>
      <c r="J76" s="15"/>
      <c r="K76" s="15" t="s">
        <v>932</v>
      </c>
      <c r="L76" s="15"/>
      <c r="M76" s="15" t="s">
        <v>933</v>
      </c>
      <c r="N76" s="15"/>
      <c r="O76" s="15" t="s">
        <v>938</v>
      </c>
      <c r="P76" s="15"/>
      <c r="Q76" s="15" t="s">
        <v>939</v>
      </c>
      <c r="R76" s="15"/>
      <c r="S76" s="15" t="s">
        <v>940</v>
      </c>
      <c r="T76" s="15">
        <v>0</v>
      </c>
      <c r="U76" s="15">
        <v>0</v>
      </c>
      <c r="V76" s="15">
        <v>0</v>
      </c>
      <c r="W76" s="15">
        <v>0</v>
      </c>
      <c r="X76" s="15" t="s">
        <v>937</v>
      </c>
      <c r="Y76" s="15"/>
      <c r="Z76" s="15"/>
      <c r="AA76" s="16" t="s">
        <v>158</v>
      </c>
      <c r="AB76" s="17" t="s">
        <v>157</v>
      </c>
      <c r="AC76" s="17" t="s">
        <v>58</v>
      </c>
      <c r="AD76" s="18">
        <v>600000000</v>
      </c>
      <c r="AE76" s="34">
        <v>0</v>
      </c>
      <c r="AF76" s="34">
        <v>0</v>
      </c>
      <c r="AG76" s="34">
        <v>0</v>
      </c>
      <c r="AH76" s="18">
        <v>12000000</v>
      </c>
      <c r="AI76" s="18">
        <f>AE76-AF76+AG76-AH76</f>
        <v>-12000000</v>
      </c>
      <c r="AJ76" s="18">
        <f>AD76+AI76</f>
        <v>588000000</v>
      </c>
      <c r="AK76" s="34">
        <v>0</v>
      </c>
      <c r="AL76" s="18">
        <v>10739990</v>
      </c>
      <c r="AM76" s="18">
        <v>159841946</v>
      </c>
      <c r="AN76" s="34">
        <v>0</v>
      </c>
      <c r="AO76" s="18">
        <v>10739990</v>
      </c>
      <c r="AP76" s="18">
        <v>159841946</v>
      </c>
      <c r="AQ76" s="34">
        <v>0</v>
      </c>
      <c r="AR76" s="18">
        <v>10739990</v>
      </c>
      <c r="AS76" s="18">
        <v>158179353</v>
      </c>
      <c r="AT76" s="30">
        <f t="shared" si="38"/>
        <v>158179353</v>
      </c>
      <c r="AU76" s="18">
        <f t="shared" si="39"/>
        <v>428158054</v>
      </c>
      <c r="AV76" s="34">
        <f t="shared" si="40"/>
        <v>0</v>
      </c>
      <c r="AW76" s="18">
        <f t="shared" si="41"/>
        <v>1662593</v>
      </c>
      <c r="AX76" s="32">
        <f t="shared" si="20"/>
        <v>0.27184004421768709</v>
      </c>
    </row>
    <row r="77" spans="1:50" ht="18.75" customHeight="1" x14ac:dyDescent="0.2">
      <c r="A77" s="14" t="s">
        <v>55</v>
      </c>
      <c r="B77" s="15" t="s">
        <v>56</v>
      </c>
      <c r="C77" s="15"/>
      <c r="D77" s="15" t="s">
        <v>40</v>
      </c>
      <c r="E77" s="15"/>
      <c r="F77" s="15"/>
      <c r="G77" s="15" t="s">
        <v>41</v>
      </c>
      <c r="H77" s="15"/>
      <c r="I77" s="15" t="s">
        <v>941</v>
      </c>
      <c r="J77" s="15"/>
      <c r="K77" s="15" t="s">
        <v>932</v>
      </c>
      <c r="L77" s="15"/>
      <c r="M77" s="15" t="s">
        <v>933</v>
      </c>
      <c r="N77" s="15"/>
      <c r="O77" s="15" t="s">
        <v>938</v>
      </c>
      <c r="P77" s="15"/>
      <c r="Q77" s="15" t="s">
        <v>939</v>
      </c>
      <c r="R77" s="15"/>
      <c r="S77" s="15" t="s">
        <v>940</v>
      </c>
      <c r="T77" s="15">
        <v>0</v>
      </c>
      <c r="U77" s="15">
        <v>0</v>
      </c>
      <c r="V77" s="15">
        <v>0</v>
      </c>
      <c r="W77" s="15">
        <v>0</v>
      </c>
      <c r="X77" s="15" t="s">
        <v>937</v>
      </c>
      <c r="Y77" s="15"/>
      <c r="Z77" s="15"/>
      <c r="AA77" s="16" t="s">
        <v>159</v>
      </c>
      <c r="AB77" s="17" t="s">
        <v>160</v>
      </c>
      <c r="AC77" s="17" t="s">
        <v>61</v>
      </c>
      <c r="AD77" s="18">
        <v>8504027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18">
        <v>8504027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18">
        <v>0</v>
      </c>
      <c r="AS77" s="34">
        <v>0</v>
      </c>
      <c r="AT77" s="31">
        <f t="shared" si="38"/>
        <v>0</v>
      </c>
      <c r="AU77" s="18">
        <f t="shared" si="39"/>
        <v>8504027</v>
      </c>
      <c r="AV77" s="34">
        <f t="shared" si="40"/>
        <v>0</v>
      </c>
      <c r="AW77" s="34">
        <f t="shared" si="41"/>
        <v>0</v>
      </c>
      <c r="AX77" s="32">
        <f t="shared" si="20"/>
        <v>0</v>
      </c>
    </row>
    <row r="78" spans="1:50" ht="18.75" customHeight="1" x14ac:dyDescent="0.2">
      <c r="A78" s="27" t="s">
        <v>49</v>
      </c>
      <c r="B78" s="27" t="s">
        <v>50</v>
      </c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8" t="s">
        <v>161</v>
      </c>
      <c r="AB78" s="29" t="s">
        <v>162</v>
      </c>
      <c r="AC78" s="30" t="s">
        <v>37</v>
      </c>
      <c r="AD78" s="30">
        <f>AD79+AD80</f>
        <v>112951003</v>
      </c>
      <c r="AE78" s="31">
        <f t="shared" ref="AE78:AS78" si="44">AE79+AE80</f>
        <v>0</v>
      </c>
      <c r="AF78" s="31">
        <f t="shared" si="44"/>
        <v>0</v>
      </c>
      <c r="AG78" s="31">
        <f t="shared" si="44"/>
        <v>0</v>
      </c>
      <c r="AH78" s="31">
        <f t="shared" si="44"/>
        <v>0</v>
      </c>
      <c r="AI78" s="31">
        <f t="shared" si="44"/>
        <v>0</v>
      </c>
      <c r="AJ78" s="30">
        <f>AJ79+AJ80</f>
        <v>112951003</v>
      </c>
      <c r="AK78" s="31">
        <f t="shared" si="44"/>
        <v>0</v>
      </c>
      <c r="AL78" s="30">
        <f t="shared" si="44"/>
        <v>7177965</v>
      </c>
      <c r="AM78" s="30">
        <f t="shared" si="44"/>
        <v>37730716</v>
      </c>
      <c r="AN78" s="31">
        <f t="shared" si="44"/>
        <v>0</v>
      </c>
      <c r="AO78" s="30">
        <f t="shared" si="44"/>
        <v>7177965</v>
      </c>
      <c r="AP78" s="30">
        <f t="shared" si="44"/>
        <v>37730716</v>
      </c>
      <c r="AQ78" s="31">
        <f t="shared" si="44"/>
        <v>0</v>
      </c>
      <c r="AR78" s="30">
        <f>AR79+AR80</f>
        <v>7177965</v>
      </c>
      <c r="AS78" s="30">
        <f t="shared" si="44"/>
        <v>37580115</v>
      </c>
      <c r="AT78" s="30">
        <f t="shared" si="38"/>
        <v>37580115</v>
      </c>
      <c r="AU78" s="176">
        <f t="shared" si="39"/>
        <v>75220287</v>
      </c>
      <c r="AV78" s="177">
        <f t="shared" si="40"/>
        <v>0</v>
      </c>
      <c r="AW78" s="176">
        <f t="shared" si="41"/>
        <v>150601</v>
      </c>
      <c r="AX78" s="32">
        <f t="shared" si="20"/>
        <v>0.33404498408925154</v>
      </c>
    </row>
    <row r="79" spans="1:50" ht="18.75" customHeight="1" x14ac:dyDescent="0.2">
      <c r="A79" s="14" t="s">
        <v>55</v>
      </c>
      <c r="B79" s="15" t="s">
        <v>56</v>
      </c>
      <c r="C79" s="15"/>
      <c r="D79" s="15" t="s">
        <v>40</v>
      </c>
      <c r="E79" s="15"/>
      <c r="F79" s="15"/>
      <c r="G79" s="15" t="s">
        <v>41</v>
      </c>
      <c r="H79" s="15"/>
      <c r="I79" s="15" t="s">
        <v>936</v>
      </c>
      <c r="J79" s="15"/>
      <c r="K79" s="15" t="s">
        <v>932</v>
      </c>
      <c r="L79" s="15"/>
      <c r="M79" s="15" t="s">
        <v>933</v>
      </c>
      <c r="N79" s="15"/>
      <c r="O79" s="15" t="s">
        <v>938</v>
      </c>
      <c r="P79" s="15"/>
      <c r="Q79" s="15" t="s">
        <v>939</v>
      </c>
      <c r="R79" s="15"/>
      <c r="S79" s="15" t="s">
        <v>940</v>
      </c>
      <c r="T79" s="15">
        <v>0</v>
      </c>
      <c r="U79" s="15">
        <v>0</v>
      </c>
      <c r="V79" s="15">
        <v>0</v>
      </c>
      <c r="W79" s="15">
        <v>0</v>
      </c>
      <c r="X79" s="15" t="s">
        <v>937</v>
      </c>
      <c r="Y79" s="15"/>
      <c r="Z79" s="15"/>
      <c r="AA79" s="16" t="s">
        <v>163</v>
      </c>
      <c r="AB79" s="17" t="s">
        <v>162</v>
      </c>
      <c r="AC79" s="17" t="s">
        <v>58</v>
      </c>
      <c r="AD79" s="18">
        <v>104149973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18">
        <v>104149973</v>
      </c>
      <c r="AK79" s="34">
        <v>0</v>
      </c>
      <c r="AL79" s="18">
        <v>6225570</v>
      </c>
      <c r="AM79" s="18">
        <v>36054570</v>
      </c>
      <c r="AN79" s="34">
        <v>0</v>
      </c>
      <c r="AO79" s="18">
        <v>6225570</v>
      </c>
      <c r="AP79" s="18">
        <v>36054570</v>
      </c>
      <c r="AQ79" s="34">
        <v>0</v>
      </c>
      <c r="AR79" s="18">
        <v>6225570</v>
      </c>
      <c r="AS79" s="18">
        <v>35903969</v>
      </c>
      <c r="AT79" s="39">
        <f t="shared" si="38"/>
        <v>35903969</v>
      </c>
      <c r="AU79" s="18">
        <f t="shared" si="39"/>
        <v>68095403</v>
      </c>
      <c r="AV79" s="34">
        <f t="shared" si="40"/>
        <v>0</v>
      </c>
      <c r="AW79" s="18">
        <f t="shared" si="41"/>
        <v>150601</v>
      </c>
      <c r="AX79" s="32">
        <f t="shared" si="20"/>
        <v>0.34617935042575576</v>
      </c>
    </row>
    <row r="80" spans="1:50" ht="18.75" customHeight="1" x14ac:dyDescent="0.2">
      <c r="A80" s="14" t="s">
        <v>55</v>
      </c>
      <c r="B80" s="15" t="s">
        <v>56</v>
      </c>
      <c r="C80" s="15"/>
      <c r="D80" s="15" t="s">
        <v>40</v>
      </c>
      <c r="E80" s="15"/>
      <c r="F80" s="15"/>
      <c r="G80" s="15" t="s">
        <v>41</v>
      </c>
      <c r="H80" s="15"/>
      <c r="I80" s="15" t="s">
        <v>941</v>
      </c>
      <c r="J80" s="15"/>
      <c r="K80" s="15" t="s">
        <v>932</v>
      </c>
      <c r="L80" s="15"/>
      <c r="M80" s="15" t="s">
        <v>933</v>
      </c>
      <c r="N80" s="15"/>
      <c r="O80" s="15" t="s">
        <v>938</v>
      </c>
      <c r="P80" s="15"/>
      <c r="Q80" s="15" t="s">
        <v>939</v>
      </c>
      <c r="R80" s="15"/>
      <c r="S80" s="15" t="s">
        <v>940</v>
      </c>
      <c r="T80" s="15">
        <v>0</v>
      </c>
      <c r="U80" s="15">
        <v>0</v>
      </c>
      <c r="V80" s="15">
        <v>0</v>
      </c>
      <c r="W80" s="15">
        <v>0</v>
      </c>
      <c r="X80" s="15" t="s">
        <v>937</v>
      </c>
      <c r="Y80" s="15"/>
      <c r="Z80" s="15"/>
      <c r="AA80" s="16" t="s">
        <v>164</v>
      </c>
      <c r="AB80" s="17" t="s">
        <v>165</v>
      </c>
      <c r="AC80" s="17" t="s">
        <v>61</v>
      </c>
      <c r="AD80" s="18">
        <v>8801030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18">
        <v>8801030</v>
      </c>
      <c r="AK80" s="34">
        <v>0</v>
      </c>
      <c r="AL80" s="34">
        <v>952395</v>
      </c>
      <c r="AM80" s="34">
        <v>1676146</v>
      </c>
      <c r="AN80" s="34">
        <v>0</v>
      </c>
      <c r="AO80" s="18">
        <v>952395</v>
      </c>
      <c r="AP80" s="18">
        <v>1676146</v>
      </c>
      <c r="AQ80" s="34">
        <v>0</v>
      </c>
      <c r="AR80" s="18">
        <v>952395</v>
      </c>
      <c r="AS80" s="18">
        <v>1676146</v>
      </c>
      <c r="AT80" s="39">
        <f t="shared" si="38"/>
        <v>1676146</v>
      </c>
      <c r="AU80" s="18">
        <f t="shared" si="39"/>
        <v>7124884</v>
      </c>
      <c r="AV80" s="34">
        <f t="shared" si="40"/>
        <v>0</v>
      </c>
      <c r="AW80" s="34">
        <f t="shared" si="41"/>
        <v>0</v>
      </c>
      <c r="AX80" s="32">
        <f t="shared" si="20"/>
        <v>0.19044884519198321</v>
      </c>
    </row>
    <row r="81" spans="1:50" ht="29.25" customHeight="1" x14ac:dyDescent="0.2">
      <c r="A81" s="14" t="s">
        <v>49</v>
      </c>
      <c r="B81" s="15" t="s">
        <v>50</v>
      </c>
      <c r="C81" s="15"/>
      <c r="D81" s="15" t="s">
        <v>40</v>
      </c>
      <c r="E81" s="15"/>
      <c r="F81" s="15"/>
      <c r="G81" s="15" t="s">
        <v>41</v>
      </c>
      <c r="H81" s="15"/>
      <c r="I81" s="15" t="s">
        <v>936</v>
      </c>
      <c r="J81" s="15"/>
      <c r="K81" s="15" t="s">
        <v>932</v>
      </c>
      <c r="L81" s="15"/>
      <c r="M81" s="15" t="s">
        <v>933</v>
      </c>
      <c r="N81" s="15"/>
      <c r="O81" s="15" t="s">
        <v>938</v>
      </c>
      <c r="P81" s="15"/>
      <c r="Q81" s="15" t="s">
        <v>939</v>
      </c>
      <c r="R81" s="15"/>
      <c r="S81" s="15" t="s">
        <v>940</v>
      </c>
      <c r="T81" s="15">
        <v>0</v>
      </c>
      <c r="U81" s="15">
        <v>0</v>
      </c>
      <c r="V81" s="15">
        <v>0</v>
      </c>
      <c r="W81" s="15">
        <v>0</v>
      </c>
      <c r="X81" s="15" t="s">
        <v>937</v>
      </c>
      <c r="Y81" s="15"/>
      <c r="Z81" s="15"/>
      <c r="AA81" s="16" t="s">
        <v>166</v>
      </c>
      <c r="AB81" s="17" t="s">
        <v>167</v>
      </c>
      <c r="AC81" s="17" t="s">
        <v>56</v>
      </c>
      <c r="AD81" s="18">
        <v>60643852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18">
        <v>60643852</v>
      </c>
      <c r="AK81" s="34">
        <v>0</v>
      </c>
      <c r="AL81" s="34">
        <v>0</v>
      </c>
      <c r="AM81" s="34">
        <v>19252016</v>
      </c>
      <c r="AN81" s="34">
        <v>0</v>
      </c>
      <c r="AO81" s="18">
        <v>0</v>
      </c>
      <c r="AP81" s="18">
        <v>19252016</v>
      </c>
      <c r="AQ81" s="34">
        <v>0</v>
      </c>
      <c r="AR81" s="34">
        <v>0</v>
      </c>
      <c r="AS81" s="34">
        <v>0</v>
      </c>
      <c r="AT81" s="40">
        <f t="shared" si="38"/>
        <v>0</v>
      </c>
      <c r="AU81" s="18">
        <f t="shared" si="39"/>
        <v>41391836</v>
      </c>
      <c r="AV81" s="34">
        <f t="shared" si="40"/>
        <v>0</v>
      </c>
      <c r="AW81" s="18">
        <f t="shared" si="41"/>
        <v>19252016</v>
      </c>
      <c r="AX81" s="32">
        <f t="shared" si="20"/>
        <v>0.31746030908458783</v>
      </c>
    </row>
    <row r="82" spans="1:50" ht="18.75" customHeight="1" x14ac:dyDescent="0.2">
      <c r="A82" s="35" t="s">
        <v>49</v>
      </c>
      <c r="B82" s="36" t="s">
        <v>50</v>
      </c>
      <c r="C82" s="36"/>
      <c r="D82" s="36" t="s">
        <v>40</v>
      </c>
      <c r="E82" s="36"/>
      <c r="F82" s="36"/>
      <c r="G82" s="36" t="s">
        <v>41</v>
      </c>
      <c r="H82" s="36"/>
      <c r="I82" s="36" t="s">
        <v>936</v>
      </c>
      <c r="J82" s="36"/>
      <c r="K82" s="36" t="s">
        <v>932</v>
      </c>
      <c r="L82" s="36"/>
      <c r="M82" s="36" t="s">
        <v>933</v>
      </c>
      <c r="N82" s="36"/>
      <c r="O82" s="36" t="s">
        <v>938</v>
      </c>
      <c r="P82" s="36"/>
      <c r="Q82" s="36" t="s">
        <v>939</v>
      </c>
      <c r="R82" s="36"/>
      <c r="S82" s="36" t="s">
        <v>940</v>
      </c>
      <c r="T82" s="36">
        <v>0</v>
      </c>
      <c r="U82" s="36">
        <v>0</v>
      </c>
      <c r="V82" s="36">
        <v>0</v>
      </c>
      <c r="W82" s="36">
        <v>0</v>
      </c>
      <c r="X82" s="36" t="s">
        <v>937</v>
      </c>
      <c r="Y82" s="36"/>
      <c r="Z82" s="36"/>
      <c r="AA82" s="37" t="s">
        <v>168</v>
      </c>
      <c r="AB82" s="38" t="s">
        <v>169</v>
      </c>
      <c r="AC82" s="38" t="s">
        <v>56</v>
      </c>
      <c r="AD82" s="39">
        <v>15160962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39">
        <v>15160962</v>
      </c>
      <c r="AK82" s="40">
        <v>0</v>
      </c>
      <c r="AL82" s="40">
        <v>7219506</v>
      </c>
      <c r="AM82" s="40">
        <v>7219506</v>
      </c>
      <c r="AN82" s="40">
        <v>0</v>
      </c>
      <c r="AO82" s="18">
        <v>7219506</v>
      </c>
      <c r="AP82" s="39">
        <v>7219506</v>
      </c>
      <c r="AQ82" s="40">
        <v>0</v>
      </c>
      <c r="AR82" s="39">
        <v>7219506</v>
      </c>
      <c r="AS82" s="39">
        <v>7219506</v>
      </c>
      <c r="AT82" s="39">
        <f t="shared" si="38"/>
        <v>7219506</v>
      </c>
      <c r="AU82" s="18">
        <f t="shared" si="39"/>
        <v>7941456</v>
      </c>
      <c r="AV82" s="34">
        <f t="shared" si="40"/>
        <v>0</v>
      </c>
      <c r="AW82" s="34">
        <f t="shared" si="41"/>
        <v>0</v>
      </c>
      <c r="AX82" s="32">
        <f t="shared" si="20"/>
        <v>0.47619049503586908</v>
      </c>
    </row>
    <row r="83" spans="1:50" ht="18.75" customHeight="1" x14ac:dyDescent="0.2">
      <c r="A83" s="14" t="s">
        <v>55</v>
      </c>
      <c r="B83" s="15" t="s">
        <v>56</v>
      </c>
      <c r="C83" s="15"/>
      <c r="D83" s="15" t="s">
        <v>40</v>
      </c>
      <c r="E83" s="15"/>
      <c r="F83" s="15"/>
      <c r="G83" s="15" t="s">
        <v>41</v>
      </c>
      <c r="H83" s="15"/>
      <c r="I83" s="15" t="s">
        <v>936</v>
      </c>
      <c r="J83" s="15"/>
      <c r="K83" s="15" t="s">
        <v>932</v>
      </c>
      <c r="L83" s="15"/>
      <c r="M83" s="15" t="s">
        <v>933</v>
      </c>
      <c r="N83" s="15"/>
      <c r="O83" s="15" t="s">
        <v>938</v>
      </c>
      <c r="P83" s="15"/>
      <c r="Q83" s="15" t="s">
        <v>939</v>
      </c>
      <c r="R83" s="15"/>
      <c r="S83" s="15" t="s">
        <v>940</v>
      </c>
      <c r="T83" s="15">
        <v>0</v>
      </c>
      <c r="U83" s="15">
        <v>0</v>
      </c>
      <c r="V83" s="15">
        <v>0</v>
      </c>
      <c r="W83" s="15">
        <v>0</v>
      </c>
      <c r="X83" s="15" t="s">
        <v>937</v>
      </c>
      <c r="Y83" s="15"/>
      <c r="Z83" s="15"/>
      <c r="AA83" s="16" t="s">
        <v>170</v>
      </c>
      <c r="AB83" s="17" t="s">
        <v>171</v>
      </c>
      <c r="AC83" s="17" t="s">
        <v>58</v>
      </c>
      <c r="AD83" s="18">
        <v>35475597</v>
      </c>
      <c r="AE83" s="34">
        <v>0</v>
      </c>
      <c r="AF83" s="34">
        <v>0</v>
      </c>
      <c r="AG83" s="34">
        <v>0</v>
      </c>
      <c r="AH83" s="34">
        <v>0</v>
      </c>
      <c r="AI83" s="34">
        <v>0</v>
      </c>
      <c r="AJ83" s="18">
        <v>35475597</v>
      </c>
      <c r="AK83" s="34">
        <v>0</v>
      </c>
      <c r="AL83" s="34">
        <v>16248708</v>
      </c>
      <c r="AM83" s="34">
        <v>16248708</v>
      </c>
      <c r="AN83" s="34">
        <v>0</v>
      </c>
      <c r="AO83" s="18">
        <v>16248708</v>
      </c>
      <c r="AP83" s="18">
        <v>16248708</v>
      </c>
      <c r="AQ83" s="34">
        <v>0</v>
      </c>
      <c r="AR83" s="18">
        <v>16248708</v>
      </c>
      <c r="AS83" s="18">
        <v>16248708</v>
      </c>
      <c r="AT83" s="39">
        <f t="shared" si="38"/>
        <v>16248708</v>
      </c>
      <c r="AU83" s="18">
        <f t="shared" si="39"/>
        <v>19226889</v>
      </c>
      <c r="AV83" s="34">
        <f t="shared" si="40"/>
        <v>0</v>
      </c>
      <c r="AW83" s="34">
        <f t="shared" si="41"/>
        <v>0</v>
      </c>
      <c r="AX83" s="32">
        <f t="shared" si="20"/>
        <v>0.45802493471780054</v>
      </c>
    </row>
    <row r="84" spans="1:50" ht="18.75" customHeight="1" x14ac:dyDescent="0.2">
      <c r="A84" s="35" t="s">
        <v>55</v>
      </c>
      <c r="B84" s="36" t="s">
        <v>56</v>
      </c>
      <c r="C84" s="36"/>
      <c r="D84" s="36" t="s">
        <v>40</v>
      </c>
      <c r="E84" s="36"/>
      <c r="F84" s="36"/>
      <c r="G84" s="36" t="s">
        <v>41</v>
      </c>
      <c r="H84" s="36"/>
      <c r="I84" s="36" t="s">
        <v>936</v>
      </c>
      <c r="J84" s="36"/>
      <c r="K84" s="36" t="s">
        <v>932</v>
      </c>
      <c r="L84" s="36"/>
      <c r="M84" s="36" t="s">
        <v>933</v>
      </c>
      <c r="N84" s="36"/>
      <c r="O84" s="36" t="s">
        <v>938</v>
      </c>
      <c r="P84" s="36"/>
      <c r="Q84" s="36" t="s">
        <v>939</v>
      </c>
      <c r="R84" s="36"/>
      <c r="S84" s="36" t="s">
        <v>940</v>
      </c>
      <c r="T84" s="36">
        <v>0</v>
      </c>
      <c r="U84" s="36">
        <v>0</v>
      </c>
      <c r="V84" s="36">
        <v>0</v>
      </c>
      <c r="W84" s="36">
        <v>0</v>
      </c>
      <c r="X84" s="36" t="s">
        <v>937</v>
      </c>
      <c r="Y84" s="36"/>
      <c r="Z84" s="36"/>
      <c r="AA84" s="37" t="s">
        <v>172</v>
      </c>
      <c r="AB84" s="38" t="s">
        <v>173</v>
      </c>
      <c r="AC84" s="38" t="s">
        <v>58</v>
      </c>
      <c r="AD84" s="39">
        <v>49855036</v>
      </c>
      <c r="AE84" s="40">
        <v>0</v>
      </c>
      <c r="AF84" s="40">
        <v>0</v>
      </c>
      <c r="AG84" s="39">
        <v>72000000</v>
      </c>
      <c r="AI84" s="18">
        <f>AE84-AF84+AG84-AH84</f>
        <v>72000000</v>
      </c>
      <c r="AJ84" s="18">
        <f>AD84+AI84</f>
        <v>121855036</v>
      </c>
      <c r="AK84" s="40">
        <v>0</v>
      </c>
      <c r="AL84" s="39">
        <v>9655287</v>
      </c>
      <c r="AM84" s="39">
        <v>57622367</v>
      </c>
      <c r="AN84" s="40">
        <v>0</v>
      </c>
      <c r="AO84" s="18">
        <v>9655287</v>
      </c>
      <c r="AP84" s="39">
        <v>57622367</v>
      </c>
      <c r="AQ84" s="40">
        <v>0</v>
      </c>
      <c r="AR84" s="39">
        <v>9655287</v>
      </c>
      <c r="AS84" s="39">
        <v>47967080</v>
      </c>
      <c r="AT84" s="39">
        <f t="shared" si="38"/>
        <v>47967080</v>
      </c>
      <c r="AU84" s="18">
        <f t="shared" si="39"/>
        <v>64232669</v>
      </c>
      <c r="AV84" s="34">
        <f t="shared" si="40"/>
        <v>0</v>
      </c>
      <c r="AW84" s="18">
        <f t="shared" si="41"/>
        <v>9655287</v>
      </c>
      <c r="AX84" s="32">
        <f t="shared" si="20"/>
        <v>0.47287636926224369</v>
      </c>
    </row>
    <row r="85" spans="1:50" ht="18.75" customHeight="1" x14ac:dyDescent="0.2">
      <c r="A85" s="14" t="s">
        <v>55</v>
      </c>
      <c r="B85" s="15" t="s">
        <v>56</v>
      </c>
      <c r="C85" s="15"/>
      <c r="D85" s="15" t="s">
        <v>40</v>
      </c>
      <c r="E85" s="15"/>
      <c r="F85" s="15"/>
      <c r="G85" s="15" t="s">
        <v>41</v>
      </c>
      <c r="H85" s="15"/>
      <c r="I85" s="15" t="s">
        <v>936</v>
      </c>
      <c r="J85" s="15"/>
      <c r="K85" s="15" t="s">
        <v>932</v>
      </c>
      <c r="L85" s="15"/>
      <c r="M85" s="15" t="s">
        <v>933</v>
      </c>
      <c r="N85" s="15"/>
      <c r="O85" s="15" t="s">
        <v>938</v>
      </c>
      <c r="P85" s="15"/>
      <c r="Q85" s="15" t="s">
        <v>942</v>
      </c>
      <c r="R85" s="15"/>
      <c r="S85" s="15" t="s">
        <v>940</v>
      </c>
      <c r="T85" s="15">
        <v>0</v>
      </c>
      <c r="U85" s="15">
        <v>0</v>
      </c>
      <c r="V85" s="15">
        <v>0</v>
      </c>
      <c r="W85" s="15">
        <v>0</v>
      </c>
      <c r="X85" s="15" t="s">
        <v>937</v>
      </c>
      <c r="Y85" s="15"/>
      <c r="Z85" s="15"/>
      <c r="AA85" s="16" t="s">
        <v>174</v>
      </c>
      <c r="AB85" s="17" t="s">
        <v>175</v>
      </c>
      <c r="AC85" s="17" t="s">
        <v>58</v>
      </c>
      <c r="AD85" s="18">
        <v>300000000</v>
      </c>
      <c r="AE85" s="34">
        <v>0</v>
      </c>
      <c r="AF85" s="34">
        <v>0</v>
      </c>
      <c r="AG85" s="34">
        <v>0</v>
      </c>
      <c r="AH85" s="34">
        <v>0</v>
      </c>
      <c r="AI85" s="34">
        <v>0</v>
      </c>
      <c r="AJ85" s="18">
        <v>300000000</v>
      </c>
      <c r="AK85" s="34">
        <v>0</v>
      </c>
      <c r="AL85" s="18">
        <v>20048140</v>
      </c>
      <c r="AM85" s="18">
        <v>160142847</v>
      </c>
      <c r="AN85" s="34">
        <v>0</v>
      </c>
      <c r="AO85" s="18">
        <v>20048140</v>
      </c>
      <c r="AP85" s="18">
        <v>160142847</v>
      </c>
      <c r="AQ85" s="34">
        <v>0</v>
      </c>
      <c r="AR85" s="18">
        <v>20048140</v>
      </c>
      <c r="AS85" s="18">
        <v>160142847</v>
      </c>
      <c r="AT85" s="39">
        <f t="shared" si="38"/>
        <v>160142847</v>
      </c>
      <c r="AU85" s="18">
        <f t="shared" si="39"/>
        <v>139857153</v>
      </c>
      <c r="AV85" s="34">
        <f t="shared" si="40"/>
        <v>0</v>
      </c>
      <c r="AW85" s="34">
        <f t="shared" si="41"/>
        <v>0</v>
      </c>
      <c r="AX85" s="32">
        <f t="shared" si="20"/>
        <v>0.53380949</v>
      </c>
    </row>
    <row r="86" spans="1:50" s="25" customFormat="1" ht="18.75" customHeight="1" x14ac:dyDescent="0.2">
      <c r="A86" s="19" t="s">
        <v>55</v>
      </c>
      <c r="B86" s="19" t="s">
        <v>56</v>
      </c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26" t="s">
        <v>176</v>
      </c>
      <c r="AB86" s="21" t="s">
        <v>177</v>
      </c>
      <c r="AC86" s="22" t="s">
        <v>37</v>
      </c>
      <c r="AD86" s="22">
        <f>AD87</f>
        <v>23932782621</v>
      </c>
      <c r="AE86" s="23">
        <f t="shared" ref="AE86:AW86" si="45">AE87</f>
        <v>0</v>
      </c>
      <c r="AF86" s="23">
        <f t="shared" si="45"/>
        <v>0</v>
      </c>
      <c r="AG86" s="22">
        <f t="shared" si="45"/>
        <v>3010700000</v>
      </c>
      <c r="AH86" s="22">
        <f t="shared" si="45"/>
        <v>2394200000</v>
      </c>
      <c r="AI86" s="22">
        <f>AI87</f>
        <v>616500000</v>
      </c>
      <c r="AJ86" s="22">
        <f t="shared" si="45"/>
        <v>24549282621</v>
      </c>
      <c r="AK86" s="23">
        <f t="shared" si="45"/>
        <v>0</v>
      </c>
      <c r="AL86" s="22">
        <f t="shared" si="45"/>
        <v>545788782</v>
      </c>
      <c r="AM86" s="22">
        <f t="shared" si="45"/>
        <v>20488287341.84</v>
      </c>
      <c r="AN86" s="22">
        <f t="shared" si="45"/>
        <v>65994978</v>
      </c>
      <c r="AO86" s="22">
        <f t="shared" si="45"/>
        <v>780624244</v>
      </c>
      <c r="AP86" s="22">
        <f t="shared" si="45"/>
        <v>19506916649.41</v>
      </c>
      <c r="AQ86" s="108">
        <f t="shared" si="45"/>
        <v>923012695</v>
      </c>
      <c r="AR86" s="22">
        <f t="shared" si="45"/>
        <v>3673794418</v>
      </c>
      <c r="AS86" s="22">
        <f t="shared" si="45"/>
        <v>8460530375.5600004</v>
      </c>
      <c r="AT86" s="22">
        <f t="shared" si="38"/>
        <v>9383543070.5600014</v>
      </c>
      <c r="AU86" s="22">
        <f t="shared" si="45"/>
        <v>4060995279.1599998</v>
      </c>
      <c r="AV86" s="22">
        <f t="shared" si="45"/>
        <v>981370692.43000031</v>
      </c>
      <c r="AW86" s="22">
        <f t="shared" si="45"/>
        <v>10123373578.85</v>
      </c>
      <c r="AX86" s="24">
        <f t="shared" si="20"/>
        <v>0.79460230877473181</v>
      </c>
    </row>
    <row r="87" spans="1:50" s="25" customFormat="1" ht="18.75" customHeight="1" x14ac:dyDescent="0.2">
      <c r="A87" s="19" t="s">
        <v>55</v>
      </c>
      <c r="B87" s="19" t="s">
        <v>56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26" t="s">
        <v>178</v>
      </c>
      <c r="AB87" s="21" t="s">
        <v>179</v>
      </c>
      <c r="AC87" s="22" t="s">
        <v>37</v>
      </c>
      <c r="AD87" s="22">
        <f t="shared" ref="AD87:AS87" si="46">AD88+AD94</f>
        <v>23932782621</v>
      </c>
      <c r="AE87" s="23">
        <f t="shared" si="46"/>
        <v>0</v>
      </c>
      <c r="AF87" s="23">
        <f t="shared" si="46"/>
        <v>0</v>
      </c>
      <c r="AG87" s="22">
        <f t="shared" si="46"/>
        <v>3010700000</v>
      </c>
      <c r="AH87" s="22">
        <f t="shared" si="46"/>
        <v>2394200000</v>
      </c>
      <c r="AI87" s="22">
        <f t="shared" si="46"/>
        <v>616500000</v>
      </c>
      <c r="AJ87" s="22">
        <f t="shared" si="46"/>
        <v>24549282621</v>
      </c>
      <c r="AK87" s="23">
        <f t="shared" si="46"/>
        <v>0</v>
      </c>
      <c r="AL87" s="22">
        <f t="shared" si="46"/>
        <v>545788782</v>
      </c>
      <c r="AM87" s="22">
        <f t="shared" si="46"/>
        <v>20488287341.84</v>
      </c>
      <c r="AN87" s="22">
        <f t="shared" si="46"/>
        <v>65994978</v>
      </c>
      <c r="AO87" s="22">
        <f t="shared" si="46"/>
        <v>780624244</v>
      </c>
      <c r="AP87" s="22">
        <f t="shared" si="46"/>
        <v>19506916649.41</v>
      </c>
      <c r="AQ87" s="108">
        <f t="shared" si="46"/>
        <v>923012695</v>
      </c>
      <c r="AR87" s="22">
        <f t="shared" si="46"/>
        <v>3673794418</v>
      </c>
      <c r="AS87" s="22">
        <f t="shared" si="46"/>
        <v>8460530375.5600004</v>
      </c>
      <c r="AT87" s="22">
        <f t="shared" si="38"/>
        <v>9383543070.5600014</v>
      </c>
      <c r="AU87" s="22">
        <f>AU88+AU94</f>
        <v>4060995279.1599998</v>
      </c>
      <c r="AV87" s="22">
        <f>AV88+AV94</f>
        <v>981370692.43000031</v>
      </c>
      <c r="AW87" s="22">
        <f>AW88+AW94</f>
        <v>10123373578.85</v>
      </c>
      <c r="AX87" s="24">
        <f t="shared" si="20"/>
        <v>0.79460230877473181</v>
      </c>
    </row>
    <row r="88" spans="1:50" s="25" customFormat="1" ht="18.75" customHeight="1" x14ac:dyDescent="0.2">
      <c r="A88" s="19" t="s">
        <v>55</v>
      </c>
      <c r="B88" s="19" t="s">
        <v>56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26" t="s">
        <v>180</v>
      </c>
      <c r="AB88" s="21" t="s">
        <v>181</v>
      </c>
      <c r="AC88" s="22" t="s">
        <v>37</v>
      </c>
      <c r="AD88" s="22">
        <f>AD89+AD90+AD91+AD92+AD93</f>
        <v>918000000</v>
      </c>
      <c r="AE88" s="22">
        <f t="shared" ref="AE88:AW88" si="47">AE89+AE90+AE91+AE92+AE93</f>
        <v>0</v>
      </c>
      <c r="AF88" s="22">
        <f t="shared" si="47"/>
        <v>0</v>
      </c>
      <c r="AG88" s="22">
        <f t="shared" si="47"/>
        <v>746500000</v>
      </c>
      <c r="AH88" s="22">
        <f t="shared" si="47"/>
        <v>0</v>
      </c>
      <c r="AI88" s="22">
        <f t="shared" si="47"/>
        <v>746500000</v>
      </c>
      <c r="AJ88" s="22">
        <f t="shared" si="47"/>
        <v>1664500000</v>
      </c>
      <c r="AK88" s="22">
        <f t="shared" si="47"/>
        <v>0</v>
      </c>
      <c r="AL88" s="22">
        <f t="shared" si="47"/>
        <v>9580</v>
      </c>
      <c r="AM88" s="22">
        <f t="shared" si="47"/>
        <v>706347840</v>
      </c>
      <c r="AN88" s="23">
        <f t="shared" si="47"/>
        <v>0</v>
      </c>
      <c r="AO88" s="22">
        <f t="shared" si="47"/>
        <v>326765370</v>
      </c>
      <c r="AP88" s="22">
        <f t="shared" si="47"/>
        <v>550327840</v>
      </c>
      <c r="AQ88" s="22">
        <f t="shared" si="47"/>
        <v>29578500</v>
      </c>
      <c r="AR88" s="22">
        <f t="shared" si="47"/>
        <v>77278940</v>
      </c>
      <c r="AS88" s="22">
        <f t="shared" si="47"/>
        <v>122602062.02</v>
      </c>
      <c r="AT88" s="22">
        <f t="shared" si="47"/>
        <v>152180562.01999998</v>
      </c>
      <c r="AU88" s="22">
        <f t="shared" si="47"/>
        <v>958152160</v>
      </c>
      <c r="AV88" s="22">
        <f t="shared" si="47"/>
        <v>156020000</v>
      </c>
      <c r="AW88" s="22">
        <f t="shared" si="47"/>
        <v>398147277.98000002</v>
      </c>
      <c r="AX88" s="24">
        <f t="shared" si="20"/>
        <v>0.3306265184740162</v>
      </c>
    </row>
    <row r="89" spans="1:50" ht="29.25" customHeight="1" x14ac:dyDescent="0.2">
      <c r="A89" s="35" t="s">
        <v>55</v>
      </c>
      <c r="B89" s="36" t="s">
        <v>56</v>
      </c>
      <c r="C89" s="36"/>
      <c r="D89" s="36" t="s">
        <v>40</v>
      </c>
      <c r="E89" s="36"/>
      <c r="F89" s="36"/>
      <c r="G89" s="36" t="s">
        <v>41</v>
      </c>
      <c r="H89" s="36"/>
      <c r="I89" s="36" t="s">
        <v>936</v>
      </c>
      <c r="J89" s="36"/>
      <c r="K89" s="36" t="s">
        <v>932</v>
      </c>
      <c r="L89" s="36"/>
      <c r="M89" s="36" t="s">
        <v>933</v>
      </c>
      <c r="N89" s="36"/>
      <c r="O89" s="36" t="s">
        <v>938</v>
      </c>
      <c r="P89" s="36"/>
      <c r="Q89" s="36" t="s">
        <v>942</v>
      </c>
      <c r="R89" s="36"/>
      <c r="S89" s="36" t="s">
        <v>940</v>
      </c>
      <c r="T89" s="36">
        <v>0</v>
      </c>
      <c r="U89" s="36">
        <v>0</v>
      </c>
      <c r="V89" s="36">
        <v>0</v>
      </c>
      <c r="W89" s="36">
        <v>0</v>
      </c>
      <c r="X89" s="36" t="s">
        <v>937</v>
      </c>
      <c r="Y89" s="36"/>
      <c r="Z89" s="36"/>
      <c r="AA89" s="37" t="s">
        <v>182</v>
      </c>
      <c r="AB89" s="38" t="s">
        <v>183</v>
      </c>
      <c r="AC89" s="38" t="s">
        <v>58</v>
      </c>
      <c r="AD89" s="39">
        <v>50000000</v>
      </c>
      <c r="AE89" s="40">
        <v>0</v>
      </c>
      <c r="AF89" s="40">
        <v>0</v>
      </c>
      <c r="AG89" s="39">
        <v>70000000</v>
      </c>
      <c r="AH89" s="40">
        <v>0</v>
      </c>
      <c r="AI89" s="18">
        <f>AE89-AF89+AG89-AH89</f>
        <v>70000000</v>
      </c>
      <c r="AJ89" s="18">
        <f>AD89+AI89</f>
        <v>120000000</v>
      </c>
      <c r="AK89" s="40">
        <v>0</v>
      </c>
      <c r="AL89" s="40">
        <v>0</v>
      </c>
      <c r="AM89" s="39">
        <v>50000000</v>
      </c>
      <c r="AN89" s="40">
        <v>0</v>
      </c>
      <c r="AO89" s="39">
        <v>28980000</v>
      </c>
      <c r="AP89" s="39">
        <v>28980000</v>
      </c>
      <c r="AQ89" s="40">
        <v>0</v>
      </c>
      <c r="AR89" s="40">
        <v>0</v>
      </c>
      <c r="AS89" s="40">
        <v>0</v>
      </c>
      <c r="AT89" s="31">
        <f t="shared" si="38"/>
        <v>0</v>
      </c>
      <c r="AU89" s="18">
        <f>AJ89-AM89</f>
        <v>70000000</v>
      </c>
      <c r="AV89" s="18">
        <f>AM89-AP89</f>
        <v>21020000</v>
      </c>
      <c r="AW89" s="18">
        <f>AP89-AT89</f>
        <v>28980000</v>
      </c>
      <c r="AX89" s="32">
        <f t="shared" si="20"/>
        <v>0.24149999999999999</v>
      </c>
    </row>
    <row r="90" spans="1:50" ht="32.25" customHeight="1" x14ac:dyDescent="0.2">
      <c r="A90" s="14" t="s">
        <v>55</v>
      </c>
      <c r="B90" s="15" t="s">
        <v>56</v>
      </c>
      <c r="C90" s="15"/>
      <c r="D90" s="15" t="s">
        <v>40</v>
      </c>
      <c r="E90" s="15"/>
      <c r="F90" s="15"/>
      <c r="G90" s="15" t="s">
        <v>41</v>
      </c>
      <c r="H90" s="15"/>
      <c r="I90" s="15" t="s">
        <v>936</v>
      </c>
      <c r="J90" s="15"/>
      <c r="K90" s="15" t="s">
        <v>932</v>
      </c>
      <c r="L90" s="15"/>
      <c r="M90" s="15" t="s">
        <v>933</v>
      </c>
      <c r="N90" s="15"/>
      <c r="O90" s="15" t="s">
        <v>938</v>
      </c>
      <c r="P90" s="15"/>
      <c r="Q90" s="15" t="s">
        <v>942</v>
      </c>
      <c r="R90" s="15"/>
      <c r="S90" s="15" t="s">
        <v>940</v>
      </c>
      <c r="T90" s="15">
        <v>0</v>
      </c>
      <c r="U90" s="15">
        <v>0</v>
      </c>
      <c r="V90" s="15">
        <v>0</v>
      </c>
      <c r="W90" s="15">
        <v>0</v>
      </c>
      <c r="X90" s="15" t="s">
        <v>937</v>
      </c>
      <c r="Y90" s="15"/>
      <c r="Z90" s="15"/>
      <c r="AA90" s="16" t="s">
        <v>184</v>
      </c>
      <c r="AB90" s="17" t="s">
        <v>185</v>
      </c>
      <c r="AC90" s="17" t="s">
        <v>58</v>
      </c>
      <c r="AD90" s="18">
        <v>758000000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18">
        <v>758000000</v>
      </c>
      <c r="AK90" s="34">
        <v>0</v>
      </c>
      <c r="AL90" s="18">
        <v>9580</v>
      </c>
      <c r="AM90" s="18">
        <v>656347840</v>
      </c>
      <c r="AN90" s="34">
        <v>0</v>
      </c>
      <c r="AO90" s="18">
        <v>297785370</v>
      </c>
      <c r="AP90" s="18">
        <v>521347840</v>
      </c>
      <c r="AQ90" s="18">
        <v>29578500</v>
      </c>
      <c r="AR90" s="18">
        <v>77278940</v>
      </c>
      <c r="AS90" s="18">
        <v>122602062.02</v>
      </c>
      <c r="AT90" s="39">
        <f t="shared" si="38"/>
        <v>152180562.01999998</v>
      </c>
      <c r="AU90" s="18">
        <f>AJ90-AM90</f>
        <v>101652160</v>
      </c>
      <c r="AV90" s="18">
        <f>AM90-AP90</f>
        <v>135000000</v>
      </c>
      <c r="AW90" s="18">
        <f>AP90-AT90</f>
        <v>369167277.98000002</v>
      </c>
      <c r="AX90" s="32">
        <f t="shared" si="20"/>
        <v>0.68779398416886539</v>
      </c>
    </row>
    <row r="91" spans="1:50" ht="23.25" customHeight="1" x14ac:dyDescent="0.2">
      <c r="A91" s="14" t="s">
        <v>55</v>
      </c>
      <c r="B91" s="15" t="s">
        <v>56</v>
      </c>
      <c r="C91" s="15"/>
      <c r="D91" s="15" t="s">
        <v>40</v>
      </c>
      <c r="E91" s="15"/>
      <c r="F91" s="15"/>
      <c r="G91" s="15" t="s">
        <v>41</v>
      </c>
      <c r="H91" s="15"/>
      <c r="I91" s="15" t="s">
        <v>936</v>
      </c>
      <c r="J91" s="15"/>
      <c r="K91" s="15" t="s">
        <v>932</v>
      </c>
      <c r="L91" s="15"/>
      <c r="M91" s="15" t="s">
        <v>933</v>
      </c>
      <c r="N91" s="15"/>
      <c r="O91" s="15" t="s">
        <v>938</v>
      </c>
      <c r="P91" s="15"/>
      <c r="Q91" s="15" t="s">
        <v>942</v>
      </c>
      <c r="R91" s="15"/>
      <c r="S91" s="15" t="s">
        <v>940</v>
      </c>
      <c r="T91" s="15">
        <v>0</v>
      </c>
      <c r="U91" s="15">
        <v>0</v>
      </c>
      <c r="V91" s="15">
        <v>0</v>
      </c>
      <c r="W91" s="15">
        <v>0</v>
      </c>
      <c r="X91" s="15" t="s">
        <v>937</v>
      </c>
      <c r="Y91" s="15"/>
      <c r="Z91" s="15"/>
      <c r="AA91" s="16" t="s">
        <v>186</v>
      </c>
      <c r="AB91" s="17" t="s">
        <v>187</v>
      </c>
      <c r="AC91" s="17" t="s">
        <v>58</v>
      </c>
      <c r="AD91" s="18">
        <v>110000000</v>
      </c>
      <c r="AE91" s="34">
        <v>0</v>
      </c>
      <c r="AF91" s="34">
        <v>0</v>
      </c>
      <c r="AG91" s="18">
        <v>300000000</v>
      </c>
      <c r="AH91" s="34">
        <v>0</v>
      </c>
      <c r="AI91" s="18">
        <f>AE91-AF91+AG91-AH91</f>
        <v>300000000</v>
      </c>
      <c r="AJ91" s="18">
        <f>AD91+AI91</f>
        <v>410000000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1">
        <f t="shared" si="38"/>
        <v>0</v>
      </c>
      <c r="AU91" s="18">
        <f>AJ91-AM91</f>
        <v>410000000</v>
      </c>
      <c r="AV91" s="34">
        <f>AM91-AP91</f>
        <v>0</v>
      </c>
      <c r="AW91" s="34">
        <f>AP91-AT91</f>
        <v>0</v>
      </c>
      <c r="AX91" s="32">
        <f t="shared" si="20"/>
        <v>0</v>
      </c>
    </row>
    <row r="92" spans="1:50" ht="39" customHeight="1" x14ac:dyDescent="0.2">
      <c r="A92" s="14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41" t="s">
        <v>1269</v>
      </c>
      <c r="AB92" s="17" t="s">
        <v>1267</v>
      </c>
      <c r="AC92" s="17"/>
      <c r="AD92" s="34">
        <v>0</v>
      </c>
      <c r="AE92" s="34">
        <v>0</v>
      </c>
      <c r="AF92" s="34">
        <v>0</v>
      </c>
      <c r="AG92" s="18">
        <v>37500000</v>
      </c>
      <c r="AH92" s="34">
        <v>0</v>
      </c>
      <c r="AI92" s="18">
        <f t="shared" ref="AI92" si="48">AE92-AF92+AG92-AH92</f>
        <v>37500000</v>
      </c>
      <c r="AJ92" s="18">
        <f t="shared" ref="AJ92" si="49">AD92+AI92</f>
        <v>37500000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1">
        <f t="shared" ref="AT92:AT93" si="50">AQ92+AS92</f>
        <v>0</v>
      </c>
      <c r="AU92" s="18">
        <f t="shared" ref="AU92:AU93" si="51">AJ92-AM92</f>
        <v>37500000</v>
      </c>
      <c r="AV92" s="34">
        <f t="shared" ref="AV92:AV93" si="52">AM92-AP92</f>
        <v>0</v>
      </c>
      <c r="AW92" s="34">
        <f t="shared" ref="AW92:AW93" si="53">AP92-AT92</f>
        <v>0</v>
      </c>
      <c r="AX92" s="32">
        <f t="shared" ref="AX92:AX93" si="54">AP92/AJ92</f>
        <v>0</v>
      </c>
    </row>
    <row r="93" spans="1:50" ht="31.5" customHeight="1" x14ac:dyDescent="0.2">
      <c r="A93" s="14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41" t="s">
        <v>1270</v>
      </c>
      <c r="AB93" s="17" t="s">
        <v>1268</v>
      </c>
      <c r="AC93" s="17"/>
      <c r="AD93" s="34">
        <v>0</v>
      </c>
      <c r="AE93" s="34">
        <v>0</v>
      </c>
      <c r="AF93" s="34">
        <v>0</v>
      </c>
      <c r="AG93" s="39">
        <f>260000000+79000000</f>
        <v>339000000</v>
      </c>
      <c r="AH93" s="34">
        <v>0</v>
      </c>
      <c r="AI93" s="18">
        <f t="shared" ref="AI93" si="55">AE93-AF93+AG93-AH93</f>
        <v>339000000</v>
      </c>
      <c r="AJ93" s="18">
        <f t="shared" ref="AJ93" si="56">AD93+AI93</f>
        <v>339000000</v>
      </c>
      <c r="AK93" s="34">
        <v>0</v>
      </c>
      <c r="AL93" s="34">
        <v>0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1">
        <f t="shared" si="50"/>
        <v>0</v>
      </c>
      <c r="AU93" s="18">
        <f t="shared" si="51"/>
        <v>339000000</v>
      </c>
      <c r="AV93" s="34">
        <f t="shared" si="52"/>
        <v>0</v>
      </c>
      <c r="AW93" s="34">
        <f t="shared" si="53"/>
        <v>0</v>
      </c>
      <c r="AX93" s="32">
        <f t="shared" si="54"/>
        <v>0</v>
      </c>
    </row>
    <row r="94" spans="1:50" s="25" customFormat="1" ht="18.75" customHeight="1" x14ac:dyDescent="0.2">
      <c r="A94" s="19" t="s">
        <v>55</v>
      </c>
      <c r="B94" s="19" t="s">
        <v>56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26" t="s">
        <v>188</v>
      </c>
      <c r="AB94" s="21" t="s">
        <v>189</v>
      </c>
      <c r="AC94" s="22" t="s">
        <v>56</v>
      </c>
      <c r="AD94" s="22">
        <f>SUM(AD95:AD100)</f>
        <v>23014782621</v>
      </c>
      <c r="AE94" s="23">
        <f t="shared" ref="AE94:AW94" si="57">SUM(AE95:AE100)</f>
        <v>0</v>
      </c>
      <c r="AF94" s="23">
        <f t="shared" si="57"/>
        <v>0</v>
      </c>
      <c r="AG94" s="22">
        <f>SUM(AG95:AG100)</f>
        <v>2264200000</v>
      </c>
      <c r="AH94" s="22">
        <f>SUM(AH95:AH100)</f>
        <v>2394200000</v>
      </c>
      <c r="AI94" s="22">
        <f>SUM(AI95:AI100)</f>
        <v>-130000000</v>
      </c>
      <c r="AJ94" s="22">
        <f>SUM(AJ95:AJ100)</f>
        <v>22884782621</v>
      </c>
      <c r="AK94" s="23">
        <f t="shared" si="57"/>
        <v>0</v>
      </c>
      <c r="AL94" s="22">
        <f t="shared" si="57"/>
        <v>545779202</v>
      </c>
      <c r="AM94" s="22">
        <f t="shared" si="57"/>
        <v>19781939501.84</v>
      </c>
      <c r="AN94" s="22">
        <f t="shared" si="57"/>
        <v>65994978</v>
      </c>
      <c r="AO94" s="22">
        <f t="shared" si="57"/>
        <v>453858874</v>
      </c>
      <c r="AP94" s="22">
        <f t="shared" si="57"/>
        <v>18956588809.41</v>
      </c>
      <c r="AQ94" s="23">
        <f t="shared" si="57"/>
        <v>893434195</v>
      </c>
      <c r="AR94" s="22">
        <f t="shared" si="57"/>
        <v>3596515478</v>
      </c>
      <c r="AS94" s="22">
        <f t="shared" si="57"/>
        <v>8337928313.54</v>
      </c>
      <c r="AT94" s="22">
        <f>AQ94+AS94</f>
        <v>9231362508.5400009</v>
      </c>
      <c r="AU94" s="22">
        <f t="shared" si="57"/>
        <v>3102843119.1599998</v>
      </c>
      <c r="AV94" s="22">
        <f t="shared" si="57"/>
        <v>825350692.43000031</v>
      </c>
      <c r="AW94" s="22">
        <f t="shared" si="57"/>
        <v>9725226300.8700008</v>
      </c>
      <c r="AX94" s="24">
        <f t="shared" si="20"/>
        <v>0.82834908783510441</v>
      </c>
    </row>
    <row r="95" spans="1:50" ht="18.75" customHeight="1" x14ac:dyDescent="0.2">
      <c r="A95" s="14" t="s">
        <v>55</v>
      </c>
      <c r="B95" s="15" t="s">
        <v>56</v>
      </c>
      <c r="C95" s="15"/>
      <c r="D95" s="15" t="s">
        <v>40</v>
      </c>
      <c r="E95" s="15"/>
      <c r="F95" s="15"/>
      <c r="G95" s="15" t="s">
        <v>41</v>
      </c>
      <c r="H95" s="15"/>
      <c r="I95" s="15" t="s">
        <v>936</v>
      </c>
      <c r="J95" s="15"/>
      <c r="K95" s="15" t="s">
        <v>932</v>
      </c>
      <c r="L95" s="15"/>
      <c r="M95" s="15" t="s">
        <v>933</v>
      </c>
      <c r="N95" s="15"/>
      <c r="O95" s="15" t="s">
        <v>938</v>
      </c>
      <c r="P95" s="15"/>
      <c r="Q95" s="15" t="s">
        <v>942</v>
      </c>
      <c r="R95" s="15"/>
      <c r="S95" s="15" t="s">
        <v>940</v>
      </c>
      <c r="T95" s="15">
        <v>0</v>
      </c>
      <c r="U95" s="15">
        <v>0</v>
      </c>
      <c r="V95" s="15">
        <v>0</v>
      </c>
      <c r="W95" s="15">
        <v>0</v>
      </c>
      <c r="X95" s="15" t="s">
        <v>937</v>
      </c>
      <c r="Y95" s="15"/>
      <c r="Z95" s="15"/>
      <c r="AA95" s="16" t="s">
        <v>190</v>
      </c>
      <c r="AB95" s="17" t="s">
        <v>191</v>
      </c>
      <c r="AC95" s="17" t="s">
        <v>58</v>
      </c>
      <c r="AD95" s="18">
        <v>200000000</v>
      </c>
      <c r="AE95" s="34">
        <v>0</v>
      </c>
      <c r="AF95" s="34">
        <v>0</v>
      </c>
      <c r="AG95" s="34">
        <v>0</v>
      </c>
      <c r="AH95" s="18">
        <f>90000000+20000000</f>
        <v>110000000</v>
      </c>
      <c r="AI95" s="18">
        <f>AE95-AF95+AG95-AH95</f>
        <v>-110000000</v>
      </c>
      <c r="AJ95" s="18">
        <f>AD95+AI95</f>
        <v>90000000</v>
      </c>
      <c r="AK95" s="34">
        <v>0</v>
      </c>
      <c r="AL95" s="34">
        <f>AM95-MAYO!AM93</f>
        <v>0</v>
      </c>
      <c r="AM95" s="18">
        <v>77224700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1">
        <f t="shared" ref="AT95:AT116" si="58">AQ95+AS95</f>
        <v>0</v>
      </c>
      <c r="AU95" s="18">
        <f t="shared" ref="AU95:AU100" si="59">AJ95-AM95</f>
        <v>12775300</v>
      </c>
      <c r="AV95" s="18">
        <f t="shared" ref="AV95:AV100" si="60">AM95-AP95</f>
        <v>77224700</v>
      </c>
      <c r="AW95" s="34">
        <f t="shared" ref="AW95:AW100" si="61">AP95-AT95</f>
        <v>0</v>
      </c>
      <c r="AX95" s="32">
        <f t="shared" si="20"/>
        <v>0</v>
      </c>
    </row>
    <row r="96" spans="1:50" ht="27.75" customHeight="1" x14ac:dyDescent="0.2">
      <c r="A96" s="35" t="s">
        <v>55</v>
      </c>
      <c r="B96" s="36" t="s">
        <v>56</v>
      </c>
      <c r="C96" s="36"/>
      <c r="D96" s="36" t="s">
        <v>40</v>
      </c>
      <c r="E96" s="36"/>
      <c r="F96" s="36"/>
      <c r="G96" s="36" t="s">
        <v>41</v>
      </c>
      <c r="H96" s="36"/>
      <c r="I96" s="36" t="s">
        <v>936</v>
      </c>
      <c r="J96" s="36"/>
      <c r="K96" s="36" t="s">
        <v>932</v>
      </c>
      <c r="L96" s="36"/>
      <c r="M96" s="36" t="s">
        <v>933</v>
      </c>
      <c r="N96" s="36"/>
      <c r="O96" s="36" t="s">
        <v>938</v>
      </c>
      <c r="P96" s="36"/>
      <c r="Q96" s="36" t="s">
        <v>942</v>
      </c>
      <c r="R96" s="36"/>
      <c r="S96" s="36" t="s">
        <v>940</v>
      </c>
      <c r="T96" s="36">
        <v>0</v>
      </c>
      <c r="U96" s="36">
        <v>0</v>
      </c>
      <c r="V96" s="36">
        <v>0</v>
      </c>
      <c r="W96" s="36">
        <v>0</v>
      </c>
      <c r="X96" s="36" t="s">
        <v>937</v>
      </c>
      <c r="Y96" s="36"/>
      <c r="Z96" s="36"/>
      <c r="AA96" s="37" t="s">
        <v>192</v>
      </c>
      <c r="AB96" s="38" t="s">
        <v>193</v>
      </c>
      <c r="AC96" s="38" t="s">
        <v>58</v>
      </c>
      <c r="AD96" s="39">
        <v>1740000000</v>
      </c>
      <c r="AE96" s="40">
        <v>0</v>
      </c>
      <c r="AF96" s="40">
        <v>0</v>
      </c>
      <c r="AG96" s="39">
        <f>200000000</f>
        <v>200000000</v>
      </c>
      <c r="AH96" s="39">
        <v>490000000</v>
      </c>
      <c r="AI96" s="18">
        <f>AE96-AF96+AG96-AH96</f>
        <v>-290000000</v>
      </c>
      <c r="AJ96" s="18">
        <f>AD96+AI96</f>
        <v>1450000000</v>
      </c>
      <c r="AK96" s="40">
        <v>0</v>
      </c>
      <c r="AL96" s="18">
        <f>AM96-MAYO!AM94</f>
        <v>239054105</v>
      </c>
      <c r="AM96" s="39">
        <v>1082207607</v>
      </c>
      <c r="AN96" s="40">
        <v>0</v>
      </c>
      <c r="AO96" s="18">
        <v>39054105</v>
      </c>
      <c r="AP96" s="39">
        <v>882207607</v>
      </c>
      <c r="AQ96" s="39">
        <v>38969995</v>
      </c>
      <c r="AR96" s="18">
        <v>41379925</v>
      </c>
      <c r="AS96" s="39">
        <v>393237512.92000002</v>
      </c>
      <c r="AT96" s="30">
        <f t="shared" si="58"/>
        <v>432207507.92000002</v>
      </c>
      <c r="AU96" s="18">
        <f t="shared" si="59"/>
        <v>367792393</v>
      </c>
      <c r="AV96" s="18">
        <f t="shared" si="60"/>
        <v>200000000</v>
      </c>
      <c r="AW96" s="18">
        <f t="shared" si="61"/>
        <v>450000099.07999998</v>
      </c>
      <c r="AX96" s="32">
        <f t="shared" si="20"/>
        <v>0.6084190393103448</v>
      </c>
    </row>
    <row r="97" spans="1:50" ht="27.75" customHeight="1" x14ac:dyDescent="0.2">
      <c r="A97" s="35" t="s">
        <v>55</v>
      </c>
      <c r="B97" s="36" t="s">
        <v>56</v>
      </c>
      <c r="C97" s="36"/>
      <c r="D97" s="36" t="s">
        <v>40</v>
      </c>
      <c r="E97" s="36"/>
      <c r="F97" s="36"/>
      <c r="G97" s="36" t="s">
        <v>41</v>
      </c>
      <c r="H97" s="36"/>
      <c r="I97" s="36" t="s">
        <v>936</v>
      </c>
      <c r="J97" s="36"/>
      <c r="K97" s="36" t="s">
        <v>932</v>
      </c>
      <c r="L97" s="36"/>
      <c r="M97" s="36" t="s">
        <v>933</v>
      </c>
      <c r="N97" s="36"/>
      <c r="O97" s="36" t="s">
        <v>938</v>
      </c>
      <c r="P97" s="36"/>
      <c r="Q97" s="36" t="s">
        <v>942</v>
      </c>
      <c r="R97" s="36"/>
      <c r="S97" s="36" t="s">
        <v>940</v>
      </c>
      <c r="T97" s="36">
        <v>0</v>
      </c>
      <c r="U97" s="36">
        <v>0</v>
      </c>
      <c r="V97" s="36">
        <v>0</v>
      </c>
      <c r="W97" s="36">
        <v>0</v>
      </c>
      <c r="X97" s="36" t="s">
        <v>937</v>
      </c>
      <c r="Y97" s="36"/>
      <c r="Z97" s="36"/>
      <c r="AA97" s="37" t="s">
        <v>194</v>
      </c>
      <c r="AB97" s="38" t="s">
        <v>195</v>
      </c>
      <c r="AC97" s="38" t="s">
        <v>58</v>
      </c>
      <c r="AD97" s="39">
        <v>3623000000</v>
      </c>
      <c r="AE97" s="40">
        <v>0</v>
      </c>
      <c r="AF97" s="40">
        <v>0</v>
      </c>
      <c r="AG97" s="33">
        <v>0</v>
      </c>
      <c r="AH97" s="39">
        <v>10000000</v>
      </c>
      <c r="AI97" s="18">
        <f>AE97-AF97+AG97-AH97</f>
        <v>-10000000</v>
      </c>
      <c r="AJ97" s="18">
        <f>AD97+AI97</f>
        <v>3613000000</v>
      </c>
      <c r="AK97" s="40">
        <v>0</v>
      </c>
      <c r="AL97" s="18">
        <f>AM97-MAYO!AM95</f>
        <v>40329216</v>
      </c>
      <c r="AM97" s="39">
        <v>3290483166</v>
      </c>
      <c r="AN97" s="40">
        <v>0</v>
      </c>
      <c r="AO97" s="18">
        <v>88393866</v>
      </c>
      <c r="AP97" s="39">
        <v>3283604022</v>
      </c>
      <c r="AQ97" s="39">
        <v>539096</v>
      </c>
      <c r="AR97" s="18">
        <v>2545802540</v>
      </c>
      <c r="AS97" s="39">
        <v>3087090276</v>
      </c>
      <c r="AT97" s="30">
        <f t="shared" si="58"/>
        <v>3087629372</v>
      </c>
      <c r="AU97" s="18">
        <f t="shared" si="59"/>
        <v>322516834</v>
      </c>
      <c r="AV97" s="18">
        <f t="shared" si="60"/>
        <v>6879144</v>
      </c>
      <c r="AW97" s="18">
        <f t="shared" si="61"/>
        <v>195974650</v>
      </c>
      <c r="AX97" s="32">
        <f t="shared" si="20"/>
        <v>0.90883034099086635</v>
      </c>
    </row>
    <row r="98" spans="1:50" ht="25.5" customHeight="1" x14ac:dyDescent="0.2">
      <c r="A98" s="14" t="s">
        <v>55</v>
      </c>
      <c r="B98" s="15" t="s">
        <v>56</v>
      </c>
      <c r="C98" s="15"/>
      <c r="D98" s="15" t="s">
        <v>40</v>
      </c>
      <c r="E98" s="15"/>
      <c r="F98" s="15"/>
      <c r="G98" s="15" t="s">
        <v>41</v>
      </c>
      <c r="H98" s="15"/>
      <c r="I98" s="15" t="s">
        <v>936</v>
      </c>
      <c r="J98" s="15"/>
      <c r="K98" s="15" t="s">
        <v>932</v>
      </c>
      <c r="L98" s="15"/>
      <c r="M98" s="15" t="s">
        <v>933</v>
      </c>
      <c r="N98" s="15"/>
      <c r="O98" s="15" t="s">
        <v>938</v>
      </c>
      <c r="P98" s="15"/>
      <c r="Q98" s="15" t="s">
        <v>942</v>
      </c>
      <c r="R98" s="15"/>
      <c r="S98" s="15" t="s">
        <v>940</v>
      </c>
      <c r="T98" s="15">
        <v>0</v>
      </c>
      <c r="U98" s="15">
        <v>0</v>
      </c>
      <c r="V98" s="15">
        <v>0</v>
      </c>
      <c r="W98" s="15">
        <v>0</v>
      </c>
      <c r="X98" s="15" t="s">
        <v>937</v>
      </c>
      <c r="Y98" s="15"/>
      <c r="Z98" s="15"/>
      <c r="AA98" s="134" t="s">
        <v>196</v>
      </c>
      <c r="AB98" s="70" t="s">
        <v>197</v>
      </c>
      <c r="AC98" s="17" t="s">
        <v>58</v>
      </c>
      <c r="AD98" s="18">
        <v>17003782621</v>
      </c>
      <c r="AE98" s="34">
        <v>0</v>
      </c>
      <c r="AF98" s="34">
        <v>0</v>
      </c>
      <c r="AG98" s="18">
        <f>1580000000+150000000+300000000+34200000</f>
        <v>2064200000</v>
      </c>
      <c r="AH98" s="18">
        <f>1000000000+450000000+300000000+34200000</f>
        <v>1784200000</v>
      </c>
      <c r="AI98" s="18">
        <f>AE98-AF98+AG98-AH98</f>
        <v>280000000</v>
      </c>
      <c r="AJ98" s="18">
        <f>AD98+AI98</f>
        <v>17283782621</v>
      </c>
      <c r="AK98" s="133">
        <v>0</v>
      </c>
      <c r="AL98" s="18">
        <f>AM98-MAYO!AM96</f>
        <v>259972031</v>
      </c>
      <c r="AM98" s="110">
        <v>15250376807.34</v>
      </c>
      <c r="AN98" s="18">
        <v>65200000</v>
      </c>
      <c r="AO98" s="18">
        <v>320782031</v>
      </c>
      <c r="AP98" s="18">
        <v>14711993780.91</v>
      </c>
      <c r="AQ98" s="18">
        <v>853925104</v>
      </c>
      <c r="AR98" s="18">
        <v>995565124</v>
      </c>
      <c r="AS98" s="18">
        <v>4823618477.1199999</v>
      </c>
      <c r="AT98" s="30">
        <f t="shared" si="58"/>
        <v>5677543581.1199999</v>
      </c>
      <c r="AU98" s="18">
        <f t="shared" si="59"/>
        <v>2033405813.6599998</v>
      </c>
      <c r="AV98" s="18">
        <f t="shared" si="60"/>
        <v>538383026.43000031</v>
      </c>
      <c r="AW98" s="18">
        <f t="shared" si="61"/>
        <v>9034450199.7900009</v>
      </c>
      <c r="AX98" s="32">
        <f t="shared" si="20"/>
        <v>0.85120219939787678</v>
      </c>
    </row>
    <row r="99" spans="1:50" ht="18.75" customHeight="1" x14ac:dyDescent="0.2">
      <c r="A99" s="14" t="s">
        <v>55</v>
      </c>
      <c r="B99" s="15" t="s">
        <v>56</v>
      </c>
      <c r="C99" s="15"/>
      <c r="D99" s="15" t="s">
        <v>40</v>
      </c>
      <c r="E99" s="15"/>
      <c r="F99" s="15"/>
      <c r="G99" s="15" t="s">
        <v>41</v>
      </c>
      <c r="H99" s="15"/>
      <c r="I99" s="15" t="s">
        <v>936</v>
      </c>
      <c r="J99" s="15"/>
      <c r="K99" s="15" t="s">
        <v>932</v>
      </c>
      <c r="L99" s="15"/>
      <c r="M99" s="15" t="s">
        <v>933</v>
      </c>
      <c r="N99" s="15"/>
      <c r="O99" s="15" t="s">
        <v>938</v>
      </c>
      <c r="P99" s="15"/>
      <c r="Q99" s="15" t="s">
        <v>942</v>
      </c>
      <c r="R99" s="15"/>
      <c r="S99" s="15" t="s">
        <v>940</v>
      </c>
      <c r="T99" s="15">
        <v>0</v>
      </c>
      <c r="U99" s="15">
        <v>0</v>
      </c>
      <c r="V99" s="15">
        <v>0</v>
      </c>
      <c r="W99" s="15">
        <v>0</v>
      </c>
      <c r="X99" s="15" t="s">
        <v>937</v>
      </c>
      <c r="Y99" s="15"/>
      <c r="Z99" s="15"/>
      <c r="AA99" s="16" t="s">
        <v>198</v>
      </c>
      <c r="AB99" s="17" t="s">
        <v>199</v>
      </c>
      <c r="AC99" s="17" t="s">
        <v>58</v>
      </c>
      <c r="AD99" s="18">
        <v>348000000</v>
      </c>
      <c r="AE99" s="34">
        <v>0</v>
      </c>
      <c r="AF99" s="34">
        <v>0</v>
      </c>
      <c r="AG99" s="34">
        <v>0</v>
      </c>
      <c r="AH99" s="34">
        <v>0</v>
      </c>
      <c r="AI99" s="34">
        <v>0</v>
      </c>
      <c r="AJ99" s="18">
        <v>348000000</v>
      </c>
      <c r="AK99" s="34">
        <v>0</v>
      </c>
      <c r="AL99" s="18">
        <f>AM99-MAYO!AM97</f>
        <v>0</v>
      </c>
      <c r="AM99" s="110">
        <v>50000000</v>
      </c>
      <c r="AN99" s="34">
        <v>0</v>
      </c>
      <c r="AO99" s="18">
        <v>0</v>
      </c>
      <c r="AP99" s="18">
        <v>50000000</v>
      </c>
      <c r="AQ99" s="34">
        <v>0</v>
      </c>
      <c r="AR99" s="18">
        <v>9533329</v>
      </c>
      <c r="AS99" s="18">
        <v>9533329</v>
      </c>
      <c r="AT99" s="30">
        <f t="shared" si="58"/>
        <v>9533329</v>
      </c>
      <c r="AU99" s="18">
        <f t="shared" si="59"/>
        <v>298000000</v>
      </c>
      <c r="AV99" s="34">
        <f t="shared" si="60"/>
        <v>0</v>
      </c>
      <c r="AW99" s="18">
        <f t="shared" si="61"/>
        <v>40466671</v>
      </c>
      <c r="AX99" s="32">
        <f t="shared" si="20"/>
        <v>0.14367816091954022</v>
      </c>
    </row>
    <row r="100" spans="1:50" ht="18.75" customHeight="1" x14ac:dyDescent="0.2">
      <c r="A100" s="14" t="s">
        <v>55</v>
      </c>
      <c r="B100" s="15" t="s">
        <v>56</v>
      </c>
      <c r="C100" s="15"/>
      <c r="D100" s="15" t="s">
        <v>40</v>
      </c>
      <c r="E100" s="15"/>
      <c r="F100" s="15"/>
      <c r="G100" s="15" t="s">
        <v>41</v>
      </c>
      <c r="H100" s="15"/>
      <c r="I100" s="15" t="s">
        <v>936</v>
      </c>
      <c r="J100" s="15"/>
      <c r="K100" s="15" t="s">
        <v>932</v>
      </c>
      <c r="L100" s="15"/>
      <c r="M100" s="15" t="s">
        <v>933</v>
      </c>
      <c r="N100" s="15"/>
      <c r="O100" s="15" t="s">
        <v>938</v>
      </c>
      <c r="P100" s="15"/>
      <c r="Q100" s="15" t="s">
        <v>942</v>
      </c>
      <c r="R100" s="15"/>
      <c r="S100" s="15" t="s">
        <v>940</v>
      </c>
      <c r="T100" s="15">
        <v>0</v>
      </c>
      <c r="U100" s="15">
        <v>0</v>
      </c>
      <c r="V100" s="15">
        <v>0</v>
      </c>
      <c r="W100" s="15">
        <v>0</v>
      </c>
      <c r="X100" s="15" t="s">
        <v>937</v>
      </c>
      <c r="Y100" s="15"/>
      <c r="Z100" s="15"/>
      <c r="AA100" s="16" t="s">
        <v>200</v>
      </c>
      <c r="AB100" s="17" t="s">
        <v>201</v>
      </c>
      <c r="AC100" s="17" t="s">
        <v>58</v>
      </c>
      <c r="AD100" s="18">
        <v>100000000</v>
      </c>
      <c r="AE100" s="34">
        <v>0</v>
      </c>
      <c r="AF100" s="34">
        <v>0</v>
      </c>
      <c r="AG100" s="34">
        <v>0</v>
      </c>
      <c r="AH100" s="34">
        <v>0</v>
      </c>
      <c r="AI100" s="34">
        <v>0</v>
      </c>
      <c r="AJ100" s="18">
        <v>100000000</v>
      </c>
      <c r="AK100" s="34">
        <v>0</v>
      </c>
      <c r="AL100" s="18">
        <f>AM100-MAYO!AM98</f>
        <v>6423850</v>
      </c>
      <c r="AM100" s="110">
        <v>31647221.5</v>
      </c>
      <c r="AN100" s="34">
        <v>794978</v>
      </c>
      <c r="AO100" s="18">
        <v>5628872</v>
      </c>
      <c r="AP100" s="18">
        <v>28783399.5</v>
      </c>
      <c r="AQ100" s="34">
        <v>0</v>
      </c>
      <c r="AR100" s="18">
        <v>4234560</v>
      </c>
      <c r="AS100" s="18">
        <v>24448718.5</v>
      </c>
      <c r="AT100" s="30">
        <f t="shared" si="58"/>
        <v>24448718.5</v>
      </c>
      <c r="AU100" s="18">
        <f t="shared" si="59"/>
        <v>68352778.5</v>
      </c>
      <c r="AV100" s="18">
        <f t="shared" si="60"/>
        <v>2863822</v>
      </c>
      <c r="AW100" s="18">
        <f t="shared" si="61"/>
        <v>4334681</v>
      </c>
      <c r="AX100" s="32">
        <f t="shared" si="20"/>
        <v>0.28783399500000001</v>
      </c>
    </row>
    <row r="101" spans="1:50" s="25" customFormat="1" ht="18.75" customHeight="1" x14ac:dyDescent="0.2">
      <c r="A101" s="19" t="s">
        <v>37</v>
      </c>
      <c r="B101" s="19" t="s">
        <v>37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26" t="s">
        <v>868</v>
      </c>
      <c r="AB101" s="21" t="s">
        <v>202</v>
      </c>
      <c r="AC101" s="22" t="s">
        <v>37</v>
      </c>
      <c r="AD101" s="22">
        <f t="shared" ref="AD101:AS101" si="62">AD102+AD123+AD139</f>
        <v>113142608950</v>
      </c>
      <c r="AE101" s="23">
        <f t="shared" si="62"/>
        <v>432574880.49000001</v>
      </c>
      <c r="AF101" s="23">
        <f t="shared" si="62"/>
        <v>0</v>
      </c>
      <c r="AG101" s="22">
        <f t="shared" si="62"/>
        <v>700000000</v>
      </c>
      <c r="AH101" s="22">
        <f t="shared" si="62"/>
        <v>900000000</v>
      </c>
      <c r="AI101" s="22">
        <f t="shared" si="62"/>
        <v>232574880.49000001</v>
      </c>
      <c r="AJ101" s="22">
        <f t="shared" si="62"/>
        <v>113375183830.48999</v>
      </c>
      <c r="AK101" s="23">
        <f t="shared" si="62"/>
        <v>0</v>
      </c>
      <c r="AL101" s="22">
        <f t="shared" si="62"/>
        <v>7262825683.2799997</v>
      </c>
      <c r="AM101" s="22">
        <f t="shared" si="62"/>
        <v>65603476849.059998</v>
      </c>
      <c r="AN101" s="23">
        <f t="shared" si="62"/>
        <v>0</v>
      </c>
      <c r="AO101" s="22">
        <f t="shared" si="62"/>
        <v>7262953430.0100002</v>
      </c>
      <c r="AP101" s="22">
        <f t="shared" si="62"/>
        <v>65596284051.189995</v>
      </c>
      <c r="AQ101" s="22">
        <f t="shared" si="62"/>
        <v>231193129.78</v>
      </c>
      <c r="AR101" s="22">
        <f t="shared" si="62"/>
        <v>9135485101</v>
      </c>
      <c r="AS101" s="22">
        <f t="shared" si="62"/>
        <v>65322484271.18</v>
      </c>
      <c r="AT101" s="22">
        <f t="shared" si="58"/>
        <v>65553677400.959999</v>
      </c>
      <c r="AU101" s="22">
        <f>AU102+AU123+AU139</f>
        <v>47771706981.43</v>
      </c>
      <c r="AV101" s="22">
        <f>AV102+AV123+AV139</f>
        <v>7192797.8699999973</v>
      </c>
      <c r="AW101" s="22">
        <f>AW102+AW123+AW139</f>
        <v>42606650.230000004</v>
      </c>
      <c r="AX101" s="24">
        <f t="shared" si="20"/>
        <v>0.57857709099078158</v>
      </c>
    </row>
    <row r="102" spans="1:50" s="25" customFormat="1" ht="18.75" customHeight="1" x14ac:dyDescent="0.2">
      <c r="A102" s="19" t="s">
        <v>55</v>
      </c>
      <c r="B102" s="19" t="s">
        <v>56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26" t="s">
        <v>869</v>
      </c>
      <c r="AB102" s="21" t="s">
        <v>203</v>
      </c>
      <c r="AC102" s="22" t="s">
        <v>37</v>
      </c>
      <c r="AD102" s="22">
        <f t="shared" ref="AD102:AS102" si="63">AD103+AD117</f>
        <v>70789582622</v>
      </c>
      <c r="AE102" s="22">
        <f t="shared" si="63"/>
        <v>2649057.39</v>
      </c>
      <c r="AF102" s="23">
        <f t="shared" si="63"/>
        <v>0</v>
      </c>
      <c r="AG102" s="22">
        <f t="shared" si="63"/>
        <v>700000000</v>
      </c>
      <c r="AH102" s="23">
        <f t="shared" si="63"/>
        <v>0</v>
      </c>
      <c r="AI102" s="22">
        <f t="shared" si="63"/>
        <v>702649057.38999999</v>
      </c>
      <c r="AJ102" s="22">
        <f t="shared" si="63"/>
        <v>71492231679.389999</v>
      </c>
      <c r="AK102" s="23">
        <f t="shared" si="63"/>
        <v>0</v>
      </c>
      <c r="AL102" s="22">
        <f t="shared" si="63"/>
        <v>3356560756.9899998</v>
      </c>
      <c r="AM102" s="22">
        <f t="shared" si="63"/>
        <v>50535718052.419998</v>
      </c>
      <c r="AN102" s="23">
        <f t="shared" si="63"/>
        <v>0</v>
      </c>
      <c r="AO102" s="22">
        <f t="shared" si="63"/>
        <v>3356560756.9899998</v>
      </c>
      <c r="AP102" s="22">
        <f t="shared" si="63"/>
        <v>50535718052.419998</v>
      </c>
      <c r="AQ102" s="22">
        <f t="shared" si="63"/>
        <v>226100991</v>
      </c>
      <c r="AR102" s="22">
        <f t="shared" si="63"/>
        <v>3130459765.9899998</v>
      </c>
      <c r="AS102" s="22">
        <f t="shared" si="63"/>
        <v>50309617061.419998</v>
      </c>
      <c r="AT102" s="22">
        <f t="shared" si="58"/>
        <v>50535718052.419998</v>
      </c>
      <c r="AU102" s="22">
        <f>AU103+AU117</f>
        <v>20956513626.970001</v>
      </c>
      <c r="AV102" s="23">
        <f>AV103+AV117</f>
        <v>0</v>
      </c>
      <c r="AW102" s="23">
        <f>AW103+AW117</f>
        <v>0</v>
      </c>
      <c r="AX102" s="24">
        <f t="shared" si="20"/>
        <v>0.70687005938001224</v>
      </c>
    </row>
    <row r="103" spans="1:50" s="25" customFormat="1" ht="18.75" customHeight="1" x14ac:dyDescent="0.2">
      <c r="A103" s="19" t="s">
        <v>55</v>
      </c>
      <c r="B103" s="19" t="s">
        <v>56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26" t="s">
        <v>870</v>
      </c>
      <c r="AB103" s="21" t="s">
        <v>204</v>
      </c>
      <c r="AC103" s="22" t="s">
        <v>56</v>
      </c>
      <c r="AD103" s="22">
        <f>AD104</f>
        <v>34789582622</v>
      </c>
      <c r="AE103" s="22">
        <f t="shared" ref="AE103:AW103" si="64">AE104</f>
        <v>2649057.39</v>
      </c>
      <c r="AF103" s="23">
        <f t="shared" si="64"/>
        <v>0</v>
      </c>
      <c r="AG103" s="22">
        <f>AG104</f>
        <v>700000000</v>
      </c>
      <c r="AH103" s="23">
        <f t="shared" si="64"/>
        <v>0</v>
      </c>
      <c r="AI103" s="22">
        <f t="shared" si="64"/>
        <v>702649057.38999999</v>
      </c>
      <c r="AJ103" s="22">
        <f t="shared" si="64"/>
        <v>35492231679.389999</v>
      </c>
      <c r="AK103" s="23">
        <f t="shared" si="64"/>
        <v>0</v>
      </c>
      <c r="AL103" s="22">
        <f t="shared" si="64"/>
        <v>3356560756.9899998</v>
      </c>
      <c r="AM103" s="22">
        <f t="shared" si="64"/>
        <v>25745836749.419998</v>
      </c>
      <c r="AN103" s="23">
        <f t="shared" si="64"/>
        <v>0</v>
      </c>
      <c r="AO103" s="22">
        <f t="shared" si="64"/>
        <v>3356560756.9899998</v>
      </c>
      <c r="AP103" s="22">
        <f t="shared" si="64"/>
        <v>25745836749.419998</v>
      </c>
      <c r="AQ103" s="22">
        <f t="shared" si="64"/>
        <v>226100991</v>
      </c>
      <c r="AR103" s="22">
        <f t="shared" si="64"/>
        <v>3130459765.9899998</v>
      </c>
      <c r="AS103" s="22">
        <f t="shared" si="64"/>
        <v>25519735758.419998</v>
      </c>
      <c r="AT103" s="22">
        <f t="shared" si="58"/>
        <v>25745836749.419998</v>
      </c>
      <c r="AU103" s="22">
        <f t="shared" si="64"/>
        <v>9746394929.9699993</v>
      </c>
      <c r="AV103" s="23">
        <f t="shared" si="64"/>
        <v>0</v>
      </c>
      <c r="AW103" s="23">
        <f t="shared" si="64"/>
        <v>0</v>
      </c>
      <c r="AX103" s="24">
        <f t="shared" si="20"/>
        <v>0.72539357293698614</v>
      </c>
    </row>
    <row r="104" spans="1:50" ht="28.5" customHeight="1" x14ac:dyDescent="0.2">
      <c r="A104" s="27" t="s">
        <v>55</v>
      </c>
      <c r="B104" s="27" t="s">
        <v>56</v>
      </c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101" t="s">
        <v>871</v>
      </c>
      <c r="AB104" s="38" t="s">
        <v>205</v>
      </c>
      <c r="AC104" s="30" t="s">
        <v>56</v>
      </c>
      <c r="AD104" s="30">
        <f t="shared" ref="AD104:AF104" si="65">SUM(AD105:AD115)</f>
        <v>34789582622</v>
      </c>
      <c r="AE104" s="30">
        <f t="shared" si="65"/>
        <v>2649057.39</v>
      </c>
      <c r="AF104" s="31">
        <f t="shared" si="65"/>
        <v>0</v>
      </c>
      <c r="AG104" s="30">
        <f>SUM(AG105:AG116)</f>
        <v>700000000</v>
      </c>
      <c r="AH104" s="31">
        <f t="shared" ref="AH104:AW104" si="66">SUM(AH105:AH116)</f>
        <v>0</v>
      </c>
      <c r="AI104" s="30">
        <f t="shared" si="66"/>
        <v>702649057.38999999</v>
      </c>
      <c r="AJ104" s="30">
        <f t="shared" si="66"/>
        <v>35492231679.389999</v>
      </c>
      <c r="AK104" s="31">
        <f t="shared" si="66"/>
        <v>0</v>
      </c>
      <c r="AL104" s="30">
        <f t="shared" si="66"/>
        <v>3356560756.9899998</v>
      </c>
      <c r="AM104" s="30">
        <f t="shared" si="66"/>
        <v>25745836749.419998</v>
      </c>
      <c r="AN104" s="31">
        <f t="shared" si="66"/>
        <v>0</v>
      </c>
      <c r="AO104" s="30">
        <f t="shared" si="66"/>
        <v>3356560756.9899998</v>
      </c>
      <c r="AP104" s="30">
        <f t="shared" si="66"/>
        <v>25745836749.419998</v>
      </c>
      <c r="AQ104" s="30">
        <f t="shared" si="66"/>
        <v>226100991</v>
      </c>
      <c r="AR104" s="30">
        <f t="shared" si="66"/>
        <v>3130459765.9899998</v>
      </c>
      <c r="AS104" s="30">
        <f t="shared" si="66"/>
        <v>25519735758.419998</v>
      </c>
      <c r="AT104" s="30">
        <f t="shared" si="66"/>
        <v>25745836749.419998</v>
      </c>
      <c r="AU104" s="30">
        <f t="shared" si="66"/>
        <v>9746394929.9699993</v>
      </c>
      <c r="AV104" s="31">
        <f t="shared" si="66"/>
        <v>0</v>
      </c>
      <c r="AW104" s="31">
        <f t="shared" si="66"/>
        <v>0</v>
      </c>
      <c r="AX104" s="32">
        <f t="shared" si="20"/>
        <v>0.72539357293698614</v>
      </c>
    </row>
    <row r="105" spans="1:50" ht="18.75" customHeight="1" x14ac:dyDescent="0.2">
      <c r="A105" s="35" t="s">
        <v>55</v>
      </c>
      <c r="B105" s="36" t="s">
        <v>56</v>
      </c>
      <c r="C105" s="36"/>
      <c r="D105" s="36" t="s">
        <v>40</v>
      </c>
      <c r="E105" s="36"/>
      <c r="F105" s="36"/>
      <c r="G105" s="36" t="s">
        <v>41</v>
      </c>
      <c r="H105" s="36"/>
      <c r="I105" s="36" t="s">
        <v>936</v>
      </c>
      <c r="J105" s="36"/>
      <c r="K105" s="36" t="s">
        <v>932</v>
      </c>
      <c r="L105" s="36"/>
      <c r="M105" s="36" t="s">
        <v>933</v>
      </c>
      <c r="N105" s="36"/>
      <c r="O105" s="36" t="s">
        <v>938</v>
      </c>
      <c r="P105" s="36"/>
      <c r="Q105" s="36" t="s">
        <v>942</v>
      </c>
      <c r="R105" s="36"/>
      <c r="S105" s="36" t="s">
        <v>940</v>
      </c>
      <c r="T105" s="36">
        <v>0</v>
      </c>
      <c r="U105" s="36">
        <v>0</v>
      </c>
      <c r="V105" s="36">
        <v>0</v>
      </c>
      <c r="W105" s="36">
        <v>0</v>
      </c>
      <c r="X105" s="36" t="s">
        <v>937</v>
      </c>
      <c r="Y105" s="36"/>
      <c r="Z105" s="36"/>
      <c r="AA105" s="101" t="s">
        <v>872</v>
      </c>
      <c r="AB105" s="38" t="s">
        <v>206</v>
      </c>
      <c r="AC105" s="38" t="s">
        <v>58</v>
      </c>
      <c r="AD105" s="39">
        <v>2500000000</v>
      </c>
      <c r="AE105" s="40">
        <v>0</v>
      </c>
      <c r="AF105" s="40">
        <v>0</v>
      </c>
      <c r="AG105" s="40">
        <v>0</v>
      </c>
      <c r="AH105" s="40">
        <v>0</v>
      </c>
      <c r="AI105" s="40">
        <v>0</v>
      </c>
      <c r="AJ105" s="39">
        <v>2500000000</v>
      </c>
      <c r="AK105" s="40">
        <v>0</v>
      </c>
      <c r="AL105" s="39">
        <v>416666666</v>
      </c>
      <c r="AM105" s="39">
        <v>1249999998</v>
      </c>
      <c r="AN105" s="40">
        <v>0</v>
      </c>
      <c r="AO105" s="39">
        <v>416666666</v>
      </c>
      <c r="AP105" s="39">
        <v>1249999998</v>
      </c>
      <c r="AQ105" s="40">
        <v>0</v>
      </c>
      <c r="AR105" s="39">
        <v>416666666</v>
      </c>
      <c r="AS105" s="39">
        <v>1249999998</v>
      </c>
      <c r="AT105" s="39">
        <f t="shared" si="58"/>
        <v>1249999998</v>
      </c>
      <c r="AU105" s="18">
        <f t="shared" ref="AU105:AU116" si="67">AJ105-AM105</f>
        <v>1250000002</v>
      </c>
      <c r="AV105" s="34">
        <f t="shared" ref="AV105:AV116" si="68">AM105-AP105</f>
        <v>0</v>
      </c>
      <c r="AW105" s="34">
        <f t="shared" ref="AW105:AW116" si="69">AP105-AT105</f>
        <v>0</v>
      </c>
      <c r="AX105" s="32">
        <f t="shared" ref="AX105:AX135" si="70">AP105/AJ105</f>
        <v>0.49999999919999999</v>
      </c>
    </row>
    <row r="106" spans="1:50" ht="18.75" customHeight="1" x14ac:dyDescent="0.2">
      <c r="A106" s="14" t="s">
        <v>55</v>
      </c>
      <c r="B106" s="15" t="s">
        <v>56</v>
      </c>
      <c r="C106" s="15"/>
      <c r="D106" s="15" t="s">
        <v>40</v>
      </c>
      <c r="E106" s="15"/>
      <c r="F106" s="15"/>
      <c r="G106" s="15" t="s">
        <v>41</v>
      </c>
      <c r="H106" s="15"/>
      <c r="I106" s="15" t="s">
        <v>936</v>
      </c>
      <c r="J106" s="15"/>
      <c r="K106" s="15" t="s">
        <v>932</v>
      </c>
      <c r="L106" s="15"/>
      <c r="M106" s="15" t="s">
        <v>933</v>
      </c>
      <c r="N106" s="15"/>
      <c r="O106" s="15" t="s">
        <v>938</v>
      </c>
      <c r="P106" s="15"/>
      <c r="Q106" s="15" t="s">
        <v>942</v>
      </c>
      <c r="R106" s="15"/>
      <c r="S106" s="15" t="s">
        <v>940</v>
      </c>
      <c r="T106" s="15">
        <v>0</v>
      </c>
      <c r="U106" s="15">
        <v>0</v>
      </c>
      <c r="V106" s="15">
        <v>0</v>
      </c>
      <c r="W106" s="15">
        <v>0</v>
      </c>
      <c r="X106" s="15" t="s">
        <v>937</v>
      </c>
      <c r="Y106" s="15"/>
      <c r="Z106" s="15"/>
      <c r="AA106" s="41" t="s">
        <v>873</v>
      </c>
      <c r="AB106" s="17" t="s">
        <v>207</v>
      </c>
      <c r="AC106" s="17" t="s">
        <v>58</v>
      </c>
      <c r="AD106" s="18">
        <v>3557080000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18">
        <v>3557080000</v>
      </c>
      <c r="AK106" s="34">
        <v>0</v>
      </c>
      <c r="AL106" s="39">
        <v>296423333</v>
      </c>
      <c r="AM106" s="18">
        <v>1778539998</v>
      </c>
      <c r="AN106" s="34">
        <v>0</v>
      </c>
      <c r="AO106" s="18">
        <v>296423333</v>
      </c>
      <c r="AP106" s="18">
        <v>1778539998</v>
      </c>
      <c r="AQ106" s="34">
        <v>0</v>
      </c>
      <c r="AR106" s="39">
        <v>296423333</v>
      </c>
      <c r="AS106" s="18">
        <v>1778539998</v>
      </c>
      <c r="AT106" s="39">
        <f t="shared" si="58"/>
        <v>1778539998</v>
      </c>
      <c r="AU106" s="18">
        <f t="shared" si="67"/>
        <v>1778540002</v>
      </c>
      <c r="AV106" s="34">
        <f t="shared" si="68"/>
        <v>0</v>
      </c>
      <c r="AW106" s="34">
        <f t="shared" si="69"/>
        <v>0</v>
      </c>
      <c r="AX106" s="32">
        <f t="shared" si="70"/>
        <v>0.49999999943774109</v>
      </c>
    </row>
    <row r="107" spans="1:50" ht="18.75" customHeight="1" x14ac:dyDescent="0.2">
      <c r="A107" s="35" t="s">
        <v>55</v>
      </c>
      <c r="B107" s="36" t="s">
        <v>56</v>
      </c>
      <c r="C107" s="36"/>
      <c r="D107" s="36" t="s">
        <v>40</v>
      </c>
      <c r="E107" s="36"/>
      <c r="F107" s="36"/>
      <c r="G107" s="36" t="s">
        <v>41</v>
      </c>
      <c r="H107" s="36"/>
      <c r="I107" s="36" t="s">
        <v>936</v>
      </c>
      <c r="J107" s="36"/>
      <c r="K107" s="36" t="s">
        <v>932</v>
      </c>
      <c r="L107" s="36"/>
      <c r="M107" s="36" t="s">
        <v>933</v>
      </c>
      <c r="N107" s="36"/>
      <c r="O107" s="36" t="s">
        <v>938</v>
      </c>
      <c r="P107" s="36"/>
      <c r="Q107" s="36" t="s">
        <v>942</v>
      </c>
      <c r="R107" s="36"/>
      <c r="S107" s="36" t="s">
        <v>940</v>
      </c>
      <c r="T107" s="36">
        <v>0</v>
      </c>
      <c r="U107" s="36">
        <v>0</v>
      </c>
      <c r="V107" s="36">
        <v>0</v>
      </c>
      <c r="W107" s="36">
        <v>0</v>
      </c>
      <c r="X107" s="36" t="s">
        <v>937</v>
      </c>
      <c r="Y107" s="36"/>
      <c r="Z107" s="36"/>
      <c r="AA107" s="101" t="s">
        <v>874</v>
      </c>
      <c r="AB107" s="38" t="s">
        <v>208</v>
      </c>
      <c r="AC107" s="38" t="s">
        <v>58</v>
      </c>
      <c r="AD107" s="39">
        <v>2747397800</v>
      </c>
      <c r="AE107" s="40">
        <v>0</v>
      </c>
      <c r="AF107" s="40">
        <v>0</v>
      </c>
      <c r="AG107" s="40">
        <v>0</v>
      </c>
      <c r="AH107" s="40">
        <v>0</v>
      </c>
      <c r="AI107" s="40">
        <v>0</v>
      </c>
      <c r="AJ107" s="39">
        <v>2747397800</v>
      </c>
      <c r="AK107" s="40">
        <v>0</v>
      </c>
      <c r="AL107" s="39">
        <v>228949817</v>
      </c>
      <c r="AM107" s="39">
        <v>1373698902</v>
      </c>
      <c r="AN107" s="40">
        <v>0</v>
      </c>
      <c r="AO107" s="18">
        <v>228949817</v>
      </c>
      <c r="AP107" s="39">
        <v>1373698902</v>
      </c>
      <c r="AQ107" s="40">
        <v>0</v>
      </c>
      <c r="AR107" s="39">
        <v>228949817</v>
      </c>
      <c r="AS107" s="39">
        <v>1373698902</v>
      </c>
      <c r="AT107" s="39">
        <f t="shared" si="58"/>
        <v>1373698902</v>
      </c>
      <c r="AU107" s="18">
        <f t="shared" si="67"/>
        <v>1373698898</v>
      </c>
      <c r="AV107" s="34">
        <f t="shared" si="68"/>
        <v>0</v>
      </c>
      <c r="AW107" s="34">
        <f t="shared" si="69"/>
        <v>0</v>
      </c>
      <c r="AX107" s="32">
        <f t="shared" si="70"/>
        <v>0.50000000072796158</v>
      </c>
    </row>
    <row r="108" spans="1:50" ht="18.75" customHeight="1" x14ac:dyDescent="0.2">
      <c r="A108" s="14" t="s">
        <v>55</v>
      </c>
      <c r="B108" s="15" t="s">
        <v>56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41" t="s">
        <v>875</v>
      </c>
      <c r="AB108" s="17" t="s">
        <v>209</v>
      </c>
      <c r="AC108" s="17" t="s">
        <v>58</v>
      </c>
      <c r="AD108" s="18">
        <v>1627586535</v>
      </c>
      <c r="AE108" s="34">
        <v>0</v>
      </c>
      <c r="AF108" s="34">
        <v>0</v>
      </c>
      <c r="AG108" s="34">
        <v>0</v>
      </c>
      <c r="AH108" s="34">
        <v>0</v>
      </c>
      <c r="AI108" s="34">
        <v>0</v>
      </c>
      <c r="AJ108" s="18">
        <v>1627586535</v>
      </c>
      <c r="AK108" s="34">
        <v>0</v>
      </c>
      <c r="AL108" s="39">
        <v>48479930</v>
      </c>
      <c r="AM108" s="18">
        <v>620009482</v>
      </c>
      <c r="AN108" s="34">
        <v>0</v>
      </c>
      <c r="AO108" s="18">
        <v>48479930</v>
      </c>
      <c r="AP108" s="18">
        <v>620009482</v>
      </c>
      <c r="AQ108" s="18">
        <v>0</v>
      </c>
      <c r="AR108" s="39">
        <v>48479930</v>
      </c>
      <c r="AS108" s="18">
        <v>620009482</v>
      </c>
      <c r="AT108" s="39">
        <f t="shared" si="58"/>
        <v>620009482</v>
      </c>
      <c r="AU108" s="18">
        <f t="shared" si="67"/>
        <v>1007577053</v>
      </c>
      <c r="AV108" s="34">
        <f t="shared" si="68"/>
        <v>0</v>
      </c>
      <c r="AW108" s="34">
        <f t="shared" si="69"/>
        <v>0</v>
      </c>
      <c r="AX108" s="32">
        <f t="shared" si="70"/>
        <v>0.38093795240202083</v>
      </c>
    </row>
    <row r="109" spans="1:50" ht="18.75" customHeight="1" x14ac:dyDescent="0.2">
      <c r="A109" s="14" t="s">
        <v>55</v>
      </c>
      <c r="B109" s="15" t="s">
        <v>56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41" t="s">
        <v>876</v>
      </c>
      <c r="AB109" s="17" t="s">
        <v>210</v>
      </c>
      <c r="AC109" s="17" t="s">
        <v>58</v>
      </c>
      <c r="AD109" s="18">
        <v>4565923897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18">
        <v>4565923897</v>
      </c>
      <c r="AK109" s="34">
        <v>0</v>
      </c>
      <c r="AL109" s="39">
        <v>195599109.99000001</v>
      </c>
      <c r="AM109" s="18">
        <v>3606393624.4200001</v>
      </c>
      <c r="AN109" s="34">
        <v>0</v>
      </c>
      <c r="AO109" s="18">
        <v>195599109.99000001</v>
      </c>
      <c r="AP109" s="18">
        <v>3606393624.4200001</v>
      </c>
      <c r="AQ109" s="34">
        <v>0</v>
      </c>
      <c r="AR109" s="39">
        <v>195599109.99000001</v>
      </c>
      <c r="AS109" s="18">
        <v>3606393624.4200001</v>
      </c>
      <c r="AT109" s="39">
        <f t="shared" si="58"/>
        <v>3606393624.4200001</v>
      </c>
      <c r="AU109" s="18">
        <f t="shared" si="67"/>
        <v>959530272.57999992</v>
      </c>
      <c r="AV109" s="34">
        <f t="shared" si="68"/>
        <v>0</v>
      </c>
      <c r="AW109" s="34">
        <f t="shared" si="69"/>
        <v>0</v>
      </c>
      <c r="AX109" s="32">
        <f t="shared" si="70"/>
        <v>0.78984970090928353</v>
      </c>
    </row>
    <row r="110" spans="1:50" ht="18.75" customHeight="1" x14ac:dyDescent="0.2">
      <c r="A110" s="35" t="s">
        <v>55</v>
      </c>
      <c r="B110" s="36" t="s">
        <v>56</v>
      </c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101" t="s">
        <v>877</v>
      </c>
      <c r="AB110" s="38" t="s">
        <v>211</v>
      </c>
      <c r="AC110" s="38" t="s">
        <v>58</v>
      </c>
      <c r="AD110" s="39">
        <v>5174713749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  <c r="AJ110" s="39">
        <v>5174713749</v>
      </c>
      <c r="AK110" s="40">
        <v>0</v>
      </c>
      <c r="AL110" s="39">
        <v>221678991</v>
      </c>
      <c r="AM110" s="39">
        <v>4087246106</v>
      </c>
      <c r="AN110" s="40">
        <v>0</v>
      </c>
      <c r="AO110" s="18">
        <v>221678991</v>
      </c>
      <c r="AP110" s="39">
        <v>4087246106</v>
      </c>
      <c r="AQ110" s="39">
        <v>221678991</v>
      </c>
      <c r="AR110" s="40">
        <v>0</v>
      </c>
      <c r="AS110" s="39">
        <v>3865567115</v>
      </c>
      <c r="AT110" s="39">
        <f t="shared" si="58"/>
        <v>4087246106</v>
      </c>
      <c r="AU110" s="18">
        <f t="shared" si="67"/>
        <v>1087467643</v>
      </c>
      <c r="AV110" s="34">
        <f t="shared" si="68"/>
        <v>0</v>
      </c>
      <c r="AW110" s="34">
        <f t="shared" si="69"/>
        <v>0</v>
      </c>
      <c r="AX110" s="32">
        <f t="shared" si="70"/>
        <v>0.78984970072786143</v>
      </c>
    </row>
    <row r="111" spans="1:50" ht="18.75" customHeight="1" x14ac:dyDescent="0.2">
      <c r="A111" s="35" t="s">
        <v>55</v>
      </c>
      <c r="B111" s="36" t="s">
        <v>56</v>
      </c>
      <c r="C111" s="36"/>
      <c r="D111" s="36" t="s">
        <v>40</v>
      </c>
      <c r="E111" s="36"/>
      <c r="F111" s="36"/>
      <c r="G111" s="36" t="s">
        <v>41</v>
      </c>
      <c r="H111" s="36"/>
      <c r="I111" s="36" t="s">
        <v>936</v>
      </c>
      <c r="J111" s="36"/>
      <c r="K111" s="36" t="s">
        <v>932</v>
      </c>
      <c r="L111" s="36"/>
      <c r="M111" s="36" t="s">
        <v>933</v>
      </c>
      <c r="N111" s="36"/>
      <c r="O111" s="36" t="s">
        <v>943</v>
      </c>
      <c r="P111" s="36"/>
      <c r="Q111" s="36" t="s">
        <v>939</v>
      </c>
      <c r="R111" s="36"/>
      <c r="S111" s="36" t="s">
        <v>940</v>
      </c>
      <c r="T111" s="36">
        <v>0</v>
      </c>
      <c r="U111" s="36">
        <v>0</v>
      </c>
      <c r="V111" s="36">
        <v>0</v>
      </c>
      <c r="W111" s="36">
        <v>0</v>
      </c>
      <c r="X111" s="36" t="s">
        <v>937</v>
      </c>
      <c r="Y111" s="36"/>
      <c r="Z111" s="36"/>
      <c r="AA111" s="101" t="s">
        <v>878</v>
      </c>
      <c r="AB111" s="38" t="s">
        <v>212</v>
      </c>
      <c r="AC111" s="38" t="s">
        <v>58</v>
      </c>
      <c r="AD111" s="39">
        <v>286350464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39">
        <v>286350464</v>
      </c>
      <c r="AK111" s="40">
        <v>0</v>
      </c>
      <c r="AL111" s="112">
        <v>0</v>
      </c>
      <c r="AM111" s="40">
        <v>0</v>
      </c>
      <c r="AN111" s="40">
        <v>0</v>
      </c>
      <c r="AO111" s="34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f t="shared" si="58"/>
        <v>0</v>
      </c>
      <c r="AU111" s="18">
        <f t="shared" si="67"/>
        <v>286350464</v>
      </c>
      <c r="AV111" s="34">
        <f t="shared" si="68"/>
        <v>0</v>
      </c>
      <c r="AW111" s="34">
        <f t="shared" si="69"/>
        <v>0</v>
      </c>
      <c r="AX111" s="32">
        <f t="shared" si="70"/>
        <v>0</v>
      </c>
    </row>
    <row r="112" spans="1:50" ht="18.75" customHeight="1" x14ac:dyDescent="0.2">
      <c r="A112" s="14" t="s">
        <v>55</v>
      </c>
      <c r="B112" s="15" t="s">
        <v>56</v>
      </c>
      <c r="C112" s="15"/>
      <c r="D112" s="15" t="s">
        <v>40</v>
      </c>
      <c r="E112" s="15"/>
      <c r="F112" s="15"/>
      <c r="G112" s="15" t="s">
        <v>41</v>
      </c>
      <c r="H112" s="15"/>
      <c r="I112" s="15" t="s">
        <v>936</v>
      </c>
      <c r="J112" s="15"/>
      <c r="K112" s="15" t="s">
        <v>932</v>
      </c>
      <c r="L112" s="15"/>
      <c r="M112" s="15" t="s">
        <v>933</v>
      </c>
      <c r="N112" s="15"/>
      <c r="O112" s="15" t="s">
        <v>943</v>
      </c>
      <c r="P112" s="15"/>
      <c r="Q112" s="15" t="s">
        <v>939</v>
      </c>
      <c r="R112" s="15"/>
      <c r="S112" s="15" t="s">
        <v>940</v>
      </c>
      <c r="T112" s="15">
        <v>0</v>
      </c>
      <c r="U112" s="15">
        <v>0</v>
      </c>
      <c r="V112" s="15">
        <v>0</v>
      </c>
      <c r="W112" s="15">
        <v>0</v>
      </c>
      <c r="X112" s="15" t="s">
        <v>937</v>
      </c>
      <c r="Y112" s="15"/>
      <c r="Z112" s="15"/>
      <c r="AA112" s="41" t="s">
        <v>879</v>
      </c>
      <c r="AB112" s="17" t="s">
        <v>213</v>
      </c>
      <c r="AC112" s="17" t="s">
        <v>58</v>
      </c>
      <c r="AD112" s="18">
        <v>3748529000</v>
      </c>
      <c r="AE112" s="34">
        <v>0</v>
      </c>
      <c r="AF112" s="34">
        <v>0</v>
      </c>
      <c r="AG112" s="34">
        <v>0</v>
      </c>
      <c r="AH112" s="34">
        <v>0</v>
      </c>
      <c r="AI112" s="34">
        <v>0</v>
      </c>
      <c r="AJ112" s="18">
        <v>3748529000</v>
      </c>
      <c r="AK112" s="34">
        <v>0</v>
      </c>
      <c r="AL112" s="39">
        <v>312377417</v>
      </c>
      <c r="AM112" s="18">
        <v>1874264502</v>
      </c>
      <c r="AN112" s="34">
        <v>0</v>
      </c>
      <c r="AO112" s="18">
        <v>312377417</v>
      </c>
      <c r="AP112" s="18">
        <v>1874264502</v>
      </c>
      <c r="AQ112" s="34">
        <v>0</v>
      </c>
      <c r="AR112" s="39">
        <v>312377417</v>
      </c>
      <c r="AS112" s="18">
        <v>1874264502</v>
      </c>
      <c r="AT112" s="39">
        <f t="shared" si="58"/>
        <v>1874264502</v>
      </c>
      <c r="AU112" s="18">
        <f t="shared" si="67"/>
        <v>1874264498</v>
      </c>
      <c r="AV112" s="34">
        <f t="shared" si="68"/>
        <v>0</v>
      </c>
      <c r="AW112" s="34">
        <f t="shared" si="69"/>
        <v>0</v>
      </c>
      <c r="AX112" s="32">
        <f t="shared" si="70"/>
        <v>0.50000000053354265</v>
      </c>
    </row>
    <row r="113" spans="1:50" ht="18.75" customHeight="1" x14ac:dyDescent="0.2">
      <c r="A113" s="35" t="s">
        <v>55</v>
      </c>
      <c r="B113" s="36" t="s">
        <v>56</v>
      </c>
      <c r="C113" s="36"/>
      <c r="D113" s="36" t="s">
        <v>40</v>
      </c>
      <c r="E113" s="36"/>
      <c r="F113" s="36"/>
      <c r="G113" s="36" t="s">
        <v>41</v>
      </c>
      <c r="H113" s="36"/>
      <c r="I113" s="36" t="s">
        <v>936</v>
      </c>
      <c r="J113" s="36"/>
      <c r="K113" s="36" t="s">
        <v>932</v>
      </c>
      <c r="L113" s="36"/>
      <c r="M113" s="36" t="s">
        <v>933</v>
      </c>
      <c r="N113" s="36"/>
      <c r="O113" s="36" t="s">
        <v>943</v>
      </c>
      <c r="P113" s="36"/>
      <c r="Q113" s="36" t="s">
        <v>944</v>
      </c>
      <c r="R113" s="36"/>
      <c r="S113" s="36" t="s">
        <v>940</v>
      </c>
      <c r="T113" s="36">
        <v>0</v>
      </c>
      <c r="U113" s="36">
        <v>0</v>
      </c>
      <c r="V113" s="36">
        <v>0</v>
      </c>
      <c r="W113" s="36">
        <v>0</v>
      </c>
      <c r="X113" s="36" t="s">
        <v>937</v>
      </c>
      <c r="Y113" s="36"/>
      <c r="Z113" s="36"/>
      <c r="AA113" s="101" t="s">
        <v>880</v>
      </c>
      <c r="AB113" s="38" t="s">
        <v>214</v>
      </c>
      <c r="AC113" s="38" t="s">
        <v>58</v>
      </c>
      <c r="AD113" s="39">
        <v>80525000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39">
        <v>80525000</v>
      </c>
      <c r="AK113" s="40">
        <v>0</v>
      </c>
      <c r="AL113" s="40">
        <v>0</v>
      </c>
      <c r="AM113" s="39">
        <v>80525000</v>
      </c>
      <c r="AN113" s="40">
        <v>0</v>
      </c>
      <c r="AO113" s="34">
        <v>0</v>
      </c>
      <c r="AP113" s="39">
        <v>80525000</v>
      </c>
      <c r="AQ113" s="40">
        <v>0</v>
      </c>
      <c r="AR113" s="40">
        <v>0</v>
      </c>
      <c r="AS113" s="39">
        <v>80525000</v>
      </c>
      <c r="AT113" s="39">
        <f t="shared" si="58"/>
        <v>80525000</v>
      </c>
      <c r="AU113" s="34">
        <f t="shared" si="67"/>
        <v>0</v>
      </c>
      <c r="AV113" s="34">
        <f t="shared" si="68"/>
        <v>0</v>
      </c>
      <c r="AW113" s="34">
        <f t="shared" si="69"/>
        <v>0</v>
      </c>
      <c r="AX113" s="32">
        <f t="shared" si="70"/>
        <v>1</v>
      </c>
    </row>
    <row r="114" spans="1:50" ht="18.75" customHeight="1" x14ac:dyDescent="0.2">
      <c r="A114" s="14" t="s">
        <v>55</v>
      </c>
      <c r="B114" s="15" t="s">
        <v>56</v>
      </c>
      <c r="C114" s="15"/>
      <c r="D114" s="15" t="s">
        <v>40</v>
      </c>
      <c r="E114" s="15"/>
      <c r="F114" s="15"/>
      <c r="G114" s="15" t="s">
        <v>41</v>
      </c>
      <c r="H114" s="15"/>
      <c r="I114" s="15" t="s">
        <v>936</v>
      </c>
      <c r="J114" s="15"/>
      <c r="K114" s="15" t="s">
        <v>932</v>
      </c>
      <c r="L114" s="15"/>
      <c r="M114" s="15" t="s">
        <v>933</v>
      </c>
      <c r="N114" s="15"/>
      <c r="O114" s="15" t="s">
        <v>945</v>
      </c>
      <c r="P114" s="15"/>
      <c r="Q114" s="15" t="s">
        <v>944</v>
      </c>
      <c r="R114" s="15"/>
      <c r="S114" s="15" t="s">
        <v>940</v>
      </c>
      <c r="T114" s="15">
        <v>0</v>
      </c>
      <c r="U114" s="15">
        <v>0</v>
      </c>
      <c r="V114" s="15">
        <v>0</v>
      </c>
      <c r="W114" s="15">
        <v>0</v>
      </c>
      <c r="X114" s="15" t="s">
        <v>937</v>
      </c>
      <c r="Y114" s="15"/>
      <c r="Z114" s="15"/>
      <c r="AA114" s="41" t="s">
        <v>881</v>
      </c>
      <c r="AB114" s="17" t="s">
        <v>214</v>
      </c>
      <c r="AC114" s="17" t="s">
        <v>215</v>
      </c>
      <c r="AD114" s="18">
        <v>10351476177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18">
        <v>10351476177</v>
      </c>
      <c r="AK114" s="34">
        <v>0</v>
      </c>
      <c r="AL114" s="40">
        <v>1631963493</v>
      </c>
      <c r="AM114" s="39">
        <v>10351476177</v>
      </c>
      <c r="AN114" s="34">
        <v>0</v>
      </c>
      <c r="AO114" s="18">
        <v>1631963493</v>
      </c>
      <c r="AP114" s="18">
        <v>10351476177</v>
      </c>
      <c r="AQ114" s="34">
        <v>0</v>
      </c>
      <c r="AR114" s="39">
        <v>1631963493</v>
      </c>
      <c r="AS114" s="18">
        <v>10351476177</v>
      </c>
      <c r="AT114" s="39">
        <f t="shared" si="58"/>
        <v>10351476177</v>
      </c>
      <c r="AU114" s="18">
        <f t="shared" si="67"/>
        <v>0</v>
      </c>
      <c r="AV114" s="34">
        <f t="shared" si="68"/>
        <v>0</v>
      </c>
      <c r="AW114" s="34">
        <f t="shared" si="69"/>
        <v>0</v>
      </c>
      <c r="AX114" s="32">
        <f t="shared" si="70"/>
        <v>1</v>
      </c>
    </row>
    <row r="115" spans="1:50" ht="26.25" customHeight="1" x14ac:dyDescent="0.2">
      <c r="A115" s="14" t="s">
        <v>55</v>
      </c>
      <c r="B115" s="15" t="s">
        <v>56</v>
      </c>
      <c r="C115" s="15"/>
      <c r="D115" s="15" t="s">
        <v>40</v>
      </c>
      <c r="E115" s="15"/>
      <c r="F115" s="15"/>
      <c r="G115" s="15" t="s">
        <v>41</v>
      </c>
      <c r="H115" s="15"/>
      <c r="I115" s="15" t="s">
        <v>936</v>
      </c>
      <c r="J115" s="15"/>
      <c r="K115" s="15" t="s">
        <v>932</v>
      </c>
      <c r="L115" s="15"/>
      <c r="M115" s="15" t="s">
        <v>933</v>
      </c>
      <c r="N115" s="15"/>
      <c r="O115" s="15" t="s">
        <v>946</v>
      </c>
      <c r="P115" s="15"/>
      <c r="Q115" s="15" t="s">
        <v>944</v>
      </c>
      <c r="R115" s="15"/>
      <c r="S115" s="15" t="s">
        <v>940</v>
      </c>
      <c r="T115" s="15">
        <v>0</v>
      </c>
      <c r="U115" s="15">
        <v>0</v>
      </c>
      <c r="V115" s="15">
        <v>0</v>
      </c>
      <c r="W115" s="15">
        <v>0</v>
      </c>
      <c r="X115" s="15" t="s">
        <v>937</v>
      </c>
      <c r="Y115" s="15"/>
      <c r="Z115" s="15"/>
      <c r="AA115" s="41" t="s">
        <v>882</v>
      </c>
      <c r="AB115" s="17" t="s">
        <v>205</v>
      </c>
      <c r="AC115" s="17" t="s">
        <v>216</v>
      </c>
      <c r="AD115" s="18">
        <v>150000000</v>
      </c>
      <c r="AE115" s="18">
        <v>2649057.39</v>
      </c>
      <c r="AF115" s="34">
        <v>0</v>
      </c>
      <c r="AG115" s="34">
        <v>0</v>
      </c>
      <c r="AH115" s="34">
        <v>0</v>
      </c>
      <c r="AI115" s="18">
        <f>AE115-AF115+AG115-AH115</f>
        <v>2649057.39</v>
      </c>
      <c r="AJ115" s="18">
        <f>AD115+AI115</f>
        <v>152649057.38999999</v>
      </c>
      <c r="AK115" s="34">
        <v>0</v>
      </c>
      <c r="AL115" s="39">
        <v>4422000</v>
      </c>
      <c r="AM115" s="39">
        <v>23682960</v>
      </c>
      <c r="AN115" s="34">
        <v>0</v>
      </c>
      <c r="AO115" s="18">
        <v>4422000</v>
      </c>
      <c r="AP115" s="18">
        <v>23682960</v>
      </c>
      <c r="AQ115" s="18">
        <v>4422000</v>
      </c>
      <c r="AR115" s="40">
        <v>0</v>
      </c>
      <c r="AS115" s="18">
        <v>19260960</v>
      </c>
      <c r="AT115" s="39">
        <f t="shared" si="58"/>
        <v>23682960</v>
      </c>
      <c r="AU115" s="18">
        <f t="shared" si="67"/>
        <v>128966097.38999999</v>
      </c>
      <c r="AV115" s="34">
        <f t="shared" si="68"/>
        <v>0</v>
      </c>
      <c r="AW115" s="34">
        <f t="shared" si="69"/>
        <v>0</v>
      </c>
      <c r="AX115" s="32">
        <f t="shared" si="70"/>
        <v>0.15514645425875698</v>
      </c>
    </row>
    <row r="116" spans="1:50" ht="26.25" customHeight="1" x14ac:dyDescent="0.2">
      <c r="A116" s="14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41" t="s">
        <v>984</v>
      </c>
      <c r="AB116" s="42" t="s">
        <v>985</v>
      </c>
      <c r="AC116" s="17"/>
      <c r="AD116" s="34">
        <v>0</v>
      </c>
      <c r="AE116" s="34">
        <v>0</v>
      </c>
      <c r="AF116" s="34">
        <v>0</v>
      </c>
      <c r="AG116" s="18">
        <v>700000000</v>
      </c>
      <c r="AH116" s="34">
        <v>0</v>
      </c>
      <c r="AI116" s="18">
        <f>AE116-AF116+AG116-AH116</f>
        <v>700000000</v>
      </c>
      <c r="AJ116" s="18">
        <f>AD116+AI116</f>
        <v>700000000</v>
      </c>
      <c r="AK116" s="34">
        <v>0</v>
      </c>
      <c r="AL116" s="40">
        <v>0</v>
      </c>
      <c r="AM116" s="39">
        <v>700000000</v>
      </c>
      <c r="AN116" s="34">
        <v>0</v>
      </c>
      <c r="AO116" s="34">
        <v>0</v>
      </c>
      <c r="AP116" s="18">
        <v>700000000</v>
      </c>
      <c r="AQ116" s="34">
        <v>0</v>
      </c>
      <c r="AR116" s="40">
        <v>0</v>
      </c>
      <c r="AS116" s="18">
        <v>700000000</v>
      </c>
      <c r="AT116" s="39">
        <f t="shared" si="58"/>
        <v>700000000</v>
      </c>
      <c r="AU116" s="34">
        <f t="shared" si="67"/>
        <v>0</v>
      </c>
      <c r="AV116" s="34">
        <f t="shared" si="68"/>
        <v>0</v>
      </c>
      <c r="AW116" s="34">
        <f t="shared" si="69"/>
        <v>0</v>
      </c>
      <c r="AX116" s="32">
        <f t="shared" si="70"/>
        <v>1</v>
      </c>
    </row>
    <row r="117" spans="1:50" s="25" customFormat="1" ht="18.75" customHeight="1" x14ac:dyDescent="0.2">
      <c r="A117" s="19" t="s">
        <v>55</v>
      </c>
      <c r="B117" s="19" t="s">
        <v>56</v>
      </c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26" t="s">
        <v>883</v>
      </c>
      <c r="AB117" s="21" t="s">
        <v>217</v>
      </c>
      <c r="AC117" s="22" t="s">
        <v>37</v>
      </c>
      <c r="AD117" s="22">
        <f>AD118</f>
        <v>36000000000</v>
      </c>
      <c r="AE117" s="23">
        <f t="shared" ref="AE117:AW119" si="71">AE118</f>
        <v>0</v>
      </c>
      <c r="AF117" s="23">
        <f t="shared" si="71"/>
        <v>0</v>
      </c>
      <c r="AG117" s="23">
        <f t="shared" si="71"/>
        <v>0</v>
      </c>
      <c r="AH117" s="23">
        <f t="shared" si="71"/>
        <v>0</v>
      </c>
      <c r="AI117" s="23">
        <f t="shared" si="71"/>
        <v>0</v>
      </c>
      <c r="AJ117" s="22">
        <f t="shared" si="71"/>
        <v>36000000000</v>
      </c>
      <c r="AK117" s="23">
        <f t="shared" si="71"/>
        <v>0</v>
      </c>
      <c r="AL117" s="23">
        <f t="shared" si="71"/>
        <v>0</v>
      </c>
      <c r="AM117" s="22">
        <f t="shared" si="71"/>
        <v>24789881303</v>
      </c>
      <c r="AN117" s="23">
        <f t="shared" si="71"/>
        <v>0</v>
      </c>
      <c r="AO117" s="23">
        <f t="shared" si="71"/>
        <v>0</v>
      </c>
      <c r="AP117" s="22">
        <f t="shared" si="71"/>
        <v>24789881303</v>
      </c>
      <c r="AQ117" s="23">
        <f t="shared" si="71"/>
        <v>0</v>
      </c>
      <c r="AR117" s="23">
        <f t="shared" si="71"/>
        <v>0</v>
      </c>
      <c r="AS117" s="22">
        <f t="shared" si="71"/>
        <v>24789881303</v>
      </c>
      <c r="AT117" s="22">
        <f>AQ117+AS117</f>
        <v>24789881303</v>
      </c>
      <c r="AU117" s="22">
        <f t="shared" si="71"/>
        <v>11210118697</v>
      </c>
      <c r="AV117" s="23">
        <f t="shared" si="71"/>
        <v>0</v>
      </c>
      <c r="AW117" s="23">
        <f t="shared" si="71"/>
        <v>0</v>
      </c>
      <c r="AX117" s="24">
        <f t="shared" si="70"/>
        <v>0.68860781397222226</v>
      </c>
    </row>
    <row r="118" spans="1:50" ht="18.75" customHeight="1" x14ac:dyDescent="0.2">
      <c r="A118" s="27" t="s">
        <v>55</v>
      </c>
      <c r="B118" s="27" t="s">
        <v>56</v>
      </c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8" t="s">
        <v>218</v>
      </c>
      <c r="AB118" s="29" t="s">
        <v>219</v>
      </c>
      <c r="AC118" s="30" t="s">
        <v>37</v>
      </c>
      <c r="AD118" s="30">
        <f>AD119</f>
        <v>36000000000</v>
      </c>
      <c r="AE118" s="31">
        <f t="shared" si="71"/>
        <v>0</v>
      </c>
      <c r="AF118" s="31">
        <f t="shared" si="71"/>
        <v>0</v>
      </c>
      <c r="AG118" s="31">
        <f t="shared" si="71"/>
        <v>0</v>
      </c>
      <c r="AH118" s="31">
        <f t="shared" si="71"/>
        <v>0</v>
      </c>
      <c r="AI118" s="31">
        <f t="shared" si="71"/>
        <v>0</v>
      </c>
      <c r="AJ118" s="30">
        <f t="shared" si="71"/>
        <v>36000000000</v>
      </c>
      <c r="AK118" s="31">
        <f t="shared" si="71"/>
        <v>0</v>
      </c>
      <c r="AL118" s="31">
        <f t="shared" si="71"/>
        <v>0</v>
      </c>
      <c r="AM118" s="30">
        <f t="shared" si="71"/>
        <v>24789881303</v>
      </c>
      <c r="AN118" s="31">
        <f t="shared" si="71"/>
        <v>0</v>
      </c>
      <c r="AO118" s="31">
        <f t="shared" si="71"/>
        <v>0</v>
      </c>
      <c r="AP118" s="30">
        <f t="shared" si="71"/>
        <v>24789881303</v>
      </c>
      <c r="AQ118" s="31">
        <f t="shared" si="71"/>
        <v>0</v>
      </c>
      <c r="AR118" s="31">
        <f t="shared" si="71"/>
        <v>0</v>
      </c>
      <c r="AS118" s="30">
        <f t="shared" si="71"/>
        <v>24789881303</v>
      </c>
      <c r="AT118" s="30">
        <f t="shared" ref="AT118:AT122" si="72">AQ118+AS118</f>
        <v>24789881303</v>
      </c>
      <c r="AU118" s="18">
        <f>AJ118-AM118</f>
        <v>11210118697</v>
      </c>
      <c r="AV118" s="34">
        <f>AM118-AP118</f>
        <v>0</v>
      </c>
      <c r="AW118" s="34">
        <f>AP118-AT118</f>
        <v>0</v>
      </c>
      <c r="AX118" s="32">
        <f t="shared" si="70"/>
        <v>0.68860781397222226</v>
      </c>
    </row>
    <row r="119" spans="1:50" ht="22.5" customHeight="1" x14ac:dyDescent="0.2">
      <c r="A119" s="27" t="s">
        <v>55</v>
      </c>
      <c r="B119" s="27" t="s">
        <v>56</v>
      </c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8" t="s">
        <v>220</v>
      </c>
      <c r="AB119" s="29" t="s">
        <v>221</v>
      </c>
      <c r="AC119" s="30" t="s">
        <v>37</v>
      </c>
      <c r="AD119" s="30">
        <f>AD120</f>
        <v>36000000000</v>
      </c>
      <c r="AE119" s="31">
        <f t="shared" si="71"/>
        <v>0</v>
      </c>
      <c r="AF119" s="31">
        <f t="shared" si="71"/>
        <v>0</v>
      </c>
      <c r="AG119" s="31">
        <f t="shared" si="71"/>
        <v>0</v>
      </c>
      <c r="AH119" s="31">
        <f t="shared" si="71"/>
        <v>0</v>
      </c>
      <c r="AI119" s="31">
        <f t="shared" si="71"/>
        <v>0</v>
      </c>
      <c r="AJ119" s="30">
        <f t="shared" si="71"/>
        <v>36000000000</v>
      </c>
      <c r="AK119" s="31">
        <f t="shared" si="71"/>
        <v>0</v>
      </c>
      <c r="AL119" s="31">
        <f t="shared" si="71"/>
        <v>0</v>
      </c>
      <c r="AM119" s="30">
        <f t="shared" si="71"/>
        <v>24789881303</v>
      </c>
      <c r="AN119" s="31">
        <f t="shared" si="71"/>
        <v>0</v>
      </c>
      <c r="AO119" s="31">
        <f t="shared" si="71"/>
        <v>0</v>
      </c>
      <c r="AP119" s="30">
        <f t="shared" si="71"/>
        <v>24789881303</v>
      </c>
      <c r="AQ119" s="31">
        <f t="shared" si="71"/>
        <v>0</v>
      </c>
      <c r="AR119" s="31">
        <f t="shared" si="71"/>
        <v>0</v>
      </c>
      <c r="AS119" s="30">
        <f t="shared" si="71"/>
        <v>24789881303</v>
      </c>
      <c r="AT119" s="30">
        <f t="shared" si="72"/>
        <v>24789881303</v>
      </c>
      <c r="AU119" s="18">
        <f>AJ119-AM119</f>
        <v>11210118697</v>
      </c>
      <c r="AV119" s="34">
        <f>AM119-AP119</f>
        <v>0</v>
      </c>
      <c r="AW119" s="34">
        <f>AP119-AT119</f>
        <v>0</v>
      </c>
      <c r="AX119" s="32">
        <f t="shared" si="70"/>
        <v>0.68860781397222226</v>
      </c>
    </row>
    <row r="120" spans="1:50" ht="27" customHeight="1" x14ac:dyDescent="0.2">
      <c r="A120" s="27" t="s">
        <v>55</v>
      </c>
      <c r="B120" s="27" t="s">
        <v>56</v>
      </c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8" t="s">
        <v>222</v>
      </c>
      <c r="AB120" s="29" t="s">
        <v>223</v>
      </c>
      <c r="AC120" s="30" t="s">
        <v>37</v>
      </c>
      <c r="AD120" s="30">
        <f>AD121+AD122</f>
        <v>36000000000</v>
      </c>
      <c r="AE120" s="31">
        <f t="shared" ref="AE120:AS120" si="73">AE121+AE122</f>
        <v>0</v>
      </c>
      <c r="AF120" s="31">
        <f t="shared" si="73"/>
        <v>0</v>
      </c>
      <c r="AG120" s="31">
        <f t="shared" si="73"/>
        <v>0</v>
      </c>
      <c r="AH120" s="31">
        <f t="shared" si="73"/>
        <v>0</v>
      </c>
      <c r="AI120" s="31">
        <f t="shared" si="73"/>
        <v>0</v>
      </c>
      <c r="AJ120" s="30">
        <f t="shared" si="73"/>
        <v>36000000000</v>
      </c>
      <c r="AK120" s="31">
        <f t="shared" si="73"/>
        <v>0</v>
      </c>
      <c r="AL120" s="31">
        <f t="shared" si="73"/>
        <v>0</v>
      </c>
      <c r="AM120" s="30">
        <f t="shared" si="73"/>
        <v>24789881303</v>
      </c>
      <c r="AN120" s="31">
        <f t="shared" si="73"/>
        <v>0</v>
      </c>
      <c r="AO120" s="31">
        <f t="shared" si="73"/>
        <v>0</v>
      </c>
      <c r="AP120" s="30">
        <f t="shared" si="73"/>
        <v>24789881303</v>
      </c>
      <c r="AQ120" s="31">
        <f t="shared" si="73"/>
        <v>0</v>
      </c>
      <c r="AR120" s="31">
        <f t="shared" si="73"/>
        <v>0</v>
      </c>
      <c r="AS120" s="30">
        <f t="shared" si="73"/>
        <v>24789881303</v>
      </c>
      <c r="AT120" s="30">
        <f t="shared" si="72"/>
        <v>24789881303</v>
      </c>
      <c r="AU120" s="18">
        <f>AJ120-AM120</f>
        <v>11210118697</v>
      </c>
      <c r="AV120" s="34">
        <f>AM120-AP120</f>
        <v>0</v>
      </c>
      <c r="AW120" s="34">
        <f>AP120-AT120</f>
        <v>0</v>
      </c>
      <c r="AX120" s="32">
        <f t="shared" si="70"/>
        <v>0.68860781397222226</v>
      </c>
    </row>
    <row r="121" spans="1:50" ht="18.75" customHeight="1" x14ac:dyDescent="0.2">
      <c r="A121" s="14" t="s">
        <v>55</v>
      </c>
      <c r="B121" s="15" t="s">
        <v>56</v>
      </c>
      <c r="C121" s="15"/>
      <c r="D121" s="15" t="s">
        <v>40</v>
      </c>
      <c r="E121" s="15"/>
      <c r="F121" s="15"/>
      <c r="G121" s="15" t="s">
        <v>41</v>
      </c>
      <c r="H121" s="15"/>
      <c r="I121" s="15" t="s">
        <v>936</v>
      </c>
      <c r="J121" s="15"/>
      <c r="K121" s="15" t="s">
        <v>932</v>
      </c>
      <c r="L121" s="15"/>
      <c r="M121" s="15" t="s">
        <v>933</v>
      </c>
      <c r="N121" s="15"/>
      <c r="O121" s="15" t="s">
        <v>943</v>
      </c>
      <c r="P121" s="15"/>
      <c r="Q121" s="15" t="s">
        <v>939</v>
      </c>
      <c r="R121" s="15"/>
      <c r="S121" s="15" t="s">
        <v>940</v>
      </c>
      <c r="T121" s="15">
        <v>0</v>
      </c>
      <c r="U121" s="15">
        <v>0</v>
      </c>
      <c r="V121" s="15">
        <v>0</v>
      </c>
      <c r="W121" s="15">
        <v>0</v>
      </c>
      <c r="X121" s="15" t="s">
        <v>937</v>
      </c>
      <c r="Y121" s="15"/>
      <c r="Z121" s="15"/>
      <c r="AA121" s="16" t="s">
        <v>224</v>
      </c>
      <c r="AB121" s="17" t="s">
        <v>225</v>
      </c>
      <c r="AC121" s="17" t="s">
        <v>226</v>
      </c>
      <c r="AD121" s="18">
        <v>35280000000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18">
        <v>35280000000</v>
      </c>
      <c r="AK121" s="34">
        <v>0</v>
      </c>
      <c r="AL121" s="34">
        <v>0</v>
      </c>
      <c r="AM121" s="18">
        <v>24647223511</v>
      </c>
      <c r="AN121" s="34">
        <v>0</v>
      </c>
      <c r="AO121" s="34">
        <v>0</v>
      </c>
      <c r="AP121" s="18">
        <v>24647223511</v>
      </c>
      <c r="AQ121" s="34">
        <v>0</v>
      </c>
      <c r="AR121" s="34">
        <v>0</v>
      </c>
      <c r="AS121" s="18">
        <v>24647223511</v>
      </c>
      <c r="AT121" s="39">
        <f t="shared" si="72"/>
        <v>24647223511</v>
      </c>
      <c r="AU121" s="18">
        <f>AJ121-AM121</f>
        <v>10632776489</v>
      </c>
      <c r="AV121" s="34">
        <f>AM121-AP121</f>
        <v>0</v>
      </c>
      <c r="AW121" s="34">
        <f>AP121-AT121</f>
        <v>0</v>
      </c>
      <c r="AX121" s="32">
        <f t="shared" si="70"/>
        <v>0.69861744645691615</v>
      </c>
    </row>
    <row r="122" spans="1:50" ht="18.75" customHeight="1" x14ac:dyDescent="0.2">
      <c r="A122" s="14" t="s">
        <v>55</v>
      </c>
      <c r="B122" s="15" t="s">
        <v>56</v>
      </c>
      <c r="C122" s="15"/>
      <c r="D122" s="15" t="s">
        <v>40</v>
      </c>
      <c r="E122" s="15"/>
      <c r="F122" s="15"/>
      <c r="G122" s="15" t="s">
        <v>41</v>
      </c>
      <c r="H122" s="15"/>
      <c r="I122" s="15" t="s">
        <v>936</v>
      </c>
      <c r="J122" s="15"/>
      <c r="K122" s="15" t="s">
        <v>932</v>
      </c>
      <c r="L122" s="15"/>
      <c r="M122" s="15" t="s">
        <v>933</v>
      </c>
      <c r="N122" s="15"/>
      <c r="O122" s="15" t="s">
        <v>943</v>
      </c>
      <c r="P122" s="15"/>
      <c r="Q122" s="15" t="s">
        <v>939</v>
      </c>
      <c r="R122" s="15"/>
      <c r="S122" s="15" t="s">
        <v>940</v>
      </c>
      <c r="T122" s="15">
        <v>0</v>
      </c>
      <c r="U122" s="15">
        <v>0</v>
      </c>
      <c r="V122" s="15">
        <v>0</v>
      </c>
      <c r="W122" s="15">
        <v>0</v>
      </c>
      <c r="X122" s="15" t="s">
        <v>937</v>
      </c>
      <c r="Y122" s="15"/>
      <c r="Z122" s="15"/>
      <c r="AA122" s="16" t="s">
        <v>227</v>
      </c>
      <c r="AB122" s="17" t="s">
        <v>228</v>
      </c>
      <c r="AC122" s="17" t="s">
        <v>226</v>
      </c>
      <c r="AD122" s="18">
        <v>720000000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18">
        <v>720000000</v>
      </c>
      <c r="AK122" s="34">
        <v>0</v>
      </c>
      <c r="AL122" s="34">
        <v>0</v>
      </c>
      <c r="AM122" s="18">
        <v>142657792</v>
      </c>
      <c r="AN122" s="34">
        <v>0</v>
      </c>
      <c r="AO122" s="34">
        <v>0</v>
      </c>
      <c r="AP122" s="18">
        <v>142657792</v>
      </c>
      <c r="AQ122" s="34">
        <v>0</v>
      </c>
      <c r="AR122" s="34">
        <v>0</v>
      </c>
      <c r="AS122" s="18">
        <v>142657792</v>
      </c>
      <c r="AT122" s="39">
        <f t="shared" si="72"/>
        <v>142657792</v>
      </c>
      <c r="AU122" s="18">
        <f>AJ122-AM122</f>
        <v>577342208</v>
      </c>
      <c r="AV122" s="34">
        <f>AM122-AP122</f>
        <v>0</v>
      </c>
      <c r="AW122" s="34">
        <f>AP122-AT122</f>
        <v>0</v>
      </c>
      <c r="AX122" s="32">
        <f t="shared" si="70"/>
        <v>0.19813582222222223</v>
      </c>
    </row>
    <row r="123" spans="1:50" s="25" customFormat="1" ht="18.75" customHeight="1" x14ac:dyDescent="0.2">
      <c r="A123" s="19" t="s">
        <v>55</v>
      </c>
      <c r="B123" s="19" t="s">
        <v>56</v>
      </c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26" t="s">
        <v>884</v>
      </c>
      <c r="AB123" s="21" t="s">
        <v>229</v>
      </c>
      <c r="AC123" s="22" t="s">
        <v>56</v>
      </c>
      <c r="AD123" s="22">
        <f>AD124</f>
        <v>42253026328</v>
      </c>
      <c r="AE123" s="22">
        <f t="shared" ref="AE123:AW123" si="74">AE124</f>
        <v>429925823.10000002</v>
      </c>
      <c r="AF123" s="23">
        <f t="shared" si="74"/>
        <v>0</v>
      </c>
      <c r="AG123" s="23">
        <f t="shared" si="74"/>
        <v>0</v>
      </c>
      <c r="AH123" s="22">
        <f t="shared" si="74"/>
        <v>900000000</v>
      </c>
      <c r="AI123" s="22">
        <f t="shared" si="74"/>
        <v>-470074176.89999998</v>
      </c>
      <c r="AJ123" s="22">
        <f t="shared" si="74"/>
        <v>41782952151.099998</v>
      </c>
      <c r="AK123" s="23">
        <f t="shared" si="74"/>
        <v>0</v>
      </c>
      <c r="AL123" s="22">
        <f t="shared" si="74"/>
        <v>3898923946.6799998</v>
      </c>
      <c r="AM123" s="22">
        <f t="shared" si="74"/>
        <v>15017805456.43</v>
      </c>
      <c r="AN123" s="23">
        <f t="shared" si="74"/>
        <v>0</v>
      </c>
      <c r="AO123" s="22">
        <f t="shared" si="74"/>
        <v>3898923946.6799998</v>
      </c>
      <c r="AP123" s="22">
        <f t="shared" si="74"/>
        <v>15017805456.43</v>
      </c>
      <c r="AQ123" s="22">
        <f t="shared" si="74"/>
        <v>5092138.78</v>
      </c>
      <c r="AR123" s="22">
        <f t="shared" si="74"/>
        <v>5998145453.8999996</v>
      </c>
      <c r="AS123" s="22">
        <f t="shared" si="74"/>
        <v>14970695512.65</v>
      </c>
      <c r="AT123" s="22">
        <f>AQ123+AS123</f>
        <v>14975787651.43</v>
      </c>
      <c r="AU123" s="22">
        <f t="shared" si="74"/>
        <v>26765146694.669998</v>
      </c>
      <c r="AV123" s="23">
        <f t="shared" si="74"/>
        <v>0</v>
      </c>
      <c r="AW123" s="22">
        <f t="shared" si="74"/>
        <v>42017805</v>
      </c>
      <c r="AX123" s="24">
        <f t="shared" si="70"/>
        <v>0.35942423125395734</v>
      </c>
    </row>
    <row r="124" spans="1:50" ht="18.75" customHeight="1" x14ac:dyDescent="0.2">
      <c r="A124" s="27" t="s">
        <v>55</v>
      </c>
      <c r="B124" s="27" t="s">
        <v>56</v>
      </c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8" t="s">
        <v>885</v>
      </c>
      <c r="AB124" s="29" t="s">
        <v>230</v>
      </c>
      <c r="AC124" s="30" t="s">
        <v>56</v>
      </c>
      <c r="AD124" s="30">
        <f>AD125+AD131+AD134+AD136+AD137+AD138</f>
        <v>42253026328</v>
      </c>
      <c r="AE124" s="30">
        <f t="shared" ref="AE124:AS124" si="75">AE125+AE131+AE134+AE136+AE137+AE138</f>
        <v>429925823.10000002</v>
      </c>
      <c r="AF124" s="31">
        <f t="shared" si="75"/>
        <v>0</v>
      </c>
      <c r="AG124" s="31">
        <f t="shared" si="75"/>
        <v>0</v>
      </c>
      <c r="AH124" s="30">
        <f t="shared" si="75"/>
        <v>900000000</v>
      </c>
      <c r="AI124" s="30">
        <f t="shared" si="75"/>
        <v>-470074176.89999998</v>
      </c>
      <c r="AJ124" s="30">
        <f t="shared" si="75"/>
        <v>41782952151.099998</v>
      </c>
      <c r="AK124" s="31">
        <f t="shared" si="75"/>
        <v>0</v>
      </c>
      <c r="AL124" s="30">
        <f t="shared" si="75"/>
        <v>3898923946.6799998</v>
      </c>
      <c r="AM124" s="30">
        <f t="shared" si="75"/>
        <v>15017805456.43</v>
      </c>
      <c r="AN124" s="31">
        <f t="shared" si="75"/>
        <v>0</v>
      </c>
      <c r="AO124" s="30">
        <f t="shared" si="75"/>
        <v>3898923946.6799998</v>
      </c>
      <c r="AP124" s="30">
        <f t="shared" si="75"/>
        <v>15017805456.43</v>
      </c>
      <c r="AQ124" s="30">
        <f t="shared" si="75"/>
        <v>5092138.78</v>
      </c>
      <c r="AR124" s="30">
        <f t="shared" si="75"/>
        <v>5998145453.8999996</v>
      </c>
      <c r="AS124" s="30">
        <f t="shared" si="75"/>
        <v>14970695512.65</v>
      </c>
      <c r="AT124" s="30">
        <f t="shared" ref="AT124:AT138" si="76">AQ124+AS124</f>
        <v>14975787651.43</v>
      </c>
      <c r="AU124" s="18">
        <f>AJ124-AM124</f>
        <v>26765146694.669998</v>
      </c>
      <c r="AV124" s="34">
        <f>AM124-AP124</f>
        <v>0</v>
      </c>
      <c r="AW124" s="18">
        <f>AP124-AT124</f>
        <v>42017805</v>
      </c>
      <c r="AX124" s="32">
        <f t="shared" si="70"/>
        <v>0.35942423125395734</v>
      </c>
    </row>
    <row r="125" spans="1:50" ht="18.75" customHeight="1" x14ac:dyDescent="0.2">
      <c r="A125" s="27" t="s">
        <v>55</v>
      </c>
      <c r="B125" s="27" t="s">
        <v>56</v>
      </c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8" t="s">
        <v>886</v>
      </c>
      <c r="AB125" s="29" t="s">
        <v>231</v>
      </c>
      <c r="AC125" s="30" t="s">
        <v>56</v>
      </c>
      <c r="AD125" s="30">
        <f>AD126</f>
        <v>40897026328</v>
      </c>
      <c r="AE125" s="30">
        <f>AE126</f>
        <v>429925823.10000002</v>
      </c>
      <c r="AF125" s="31">
        <f t="shared" ref="AF125:AS125" si="77">AF126</f>
        <v>0</v>
      </c>
      <c r="AG125" s="31">
        <f t="shared" si="77"/>
        <v>0</v>
      </c>
      <c r="AH125" s="30">
        <f t="shared" si="77"/>
        <v>900000000</v>
      </c>
      <c r="AI125" s="30">
        <f t="shared" si="77"/>
        <v>-470074176.89999998</v>
      </c>
      <c r="AJ125" s="30">
        <f t="shared" si="77"/>
        <v>40426952151.099998</v>
      </c>
      <c r="AK125" s="31">
        <f t="shared" si="77"/>
        <v>0</v>
      </c>
      <c r="AL125" s="30">
        <f t="shared" si="77"/>
        <v>3868004596</v>
      </c>
      <c r="AM125" s="30">
        <f t="shared" si="77"/>
        <v>14399960258</v>
      </c>
      <c r="AN125" s="31">
        <f t="shared" si="77"/>
        <v>0</v>
      </c>
      <c r="AO125" s="30">
        <f t="shared" si="77"/>
        <v>3868004596</v>
      </c>
      <c r="AP125" s="30">
        <f t="shared" si="77"/>
        <v>14399960258</v>
      </c>
      <c r="AQ125" s="31">
        <f t="shared" si="77"/>
        <v>0</v>
      </c>
      <c r="AR125" s="113">
        <f t="shared" si="77"/>
        <v>5970058323</v>
      </c>
      <c r="AS125" s="113">
        <f t="shared" si="77"/>
        <v>14361305038</v>
      </c>
      <c r="AT125" s="30">
        <f t="shared" si="76"/>
        <v>14361305038</v>
      </c>
      <c r="AU125" s="18">
        <f>AJ125-AM125</f>
        <v>26026991893.099998</v>
      </c>
      <c r="AV125" s="34">
        <f>AM125-AP125</f>
        <v>0</v>
      </c>
      <c r="AW125" s="18">
        <f>AP125-AT125</f>
        <v>38655220</v>
      </c>
      <c r="AX125" s="32">
        <f t="shared" si="70"/>
        <v>0.35619702925361846</v>
      </c>
    </row>
    <row r="126" spans="1:50" ht="29.25" customHeight="1" x14ac:dyDescent="0.2">
      <c r="A126" s="27" t="s">
        <v>55</v>
      </c>
      <c r="B126" s="27" t="s">
        <v>56</v>
      </c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8" t="s">
        <v>887</v>
      </c>
      <c r="AB126" s="29" t="s">
        <v>232</v>
      </c>
      <c r="AC126" s="30" t="s">
        <v>37</v>
      </c>
      <c r="AD126" s="30">
        <f>AD127+AD128+AD129+AD130</f>
        <v>40897026328</v>
      </c>
      <c r="AE126" s="30">
        <f t="shared" ref="AE126:AW126" si="78">AE127+AE128+AE129+AE130</f>
        <v>429925823.10000002</v>
      </c>
      <c r="AF126" s="31">
        <f t="shared" si="78"/>
        <v>0</v>
      </c>
      <c r="AG126" s="31">
        <f t="shared" si="78"/>
        <v>0</v>
      </c>
      <c r="AH126" s="30">
        <f t="shared" si="78"/>
        <v>900000000</v>
      </c>
      <c r="AI126" s="30">
        <f t="shared" si="78"/>
        <v>-470074176.89999998</v>
      </c>
      <c r="AJ126" s="30">
        <f t="shared" si="78"/>
        <v>40426952151.099998</v>
      </c>
      <c r="AK126" s="31">
        <f t="shared" si="78"/>
        <v>0</v>
      </c>
      <c r="AL126" s="30">
        <f t="shared" si="78"/>
        <v>3868004596</v>
      </c>
      <c r="AM126" s="30">
        <f t="shared" si="78"/>
        <v>14399960258</v>
      </c>
      <c r="AN126" s="31">
        <f t="shared" si="78"/>
        <v>0</v>
      </c>
      <c r="AO126" s="30">
        <f t="shared" si="78"/>
        <v>3868004596</v>
      </c>
      <c r="AP126" s="30">
        <f t="shared" si="78"/>
        <v>14399960258</v>
      </c>
      <c r="AQ126" s="31">
        <f t="shared" si="78"/>
        <v>0</v>
      </c>
      <c r="AR126" s="30">
        <f t="shared" si="78"/>
        <v>5970058323</v>
      </c>
      <c r="AS126" s="30">
        <f t="shared" si="78"/>
        <v>14361305038</v>
      </c>
      <c r="AT126" s="30">
        <f t="shared" si="78"/>
        <v>14361305038</v>
      </c>
      <c r="AU126" s="30">
        <f t="shared" si="78"/>
        <v>26026991893.099998</v>
      </c>
      <c r="AV126" s="30">
        <f t="shared" si="78"/>
        <v>0</v>
      </c>
      <c r="AW126" s="30">
        <f t="shared" si="78"/>
        <v>38655220</v>
      </c>
      <c r="AX126" s="32">
        <f t="shared" si="70"/>
        <v>0.35619702925361846</v>
      </c>
    </row>
    <row r="127" spans="1:50" ht="18.75" customHeight="1" x14ac:dyDescent="0.2">
      <c r="A127" s="14" t="s">
        <v>55</v>
      </c>
      <c r="B127" s="15" t="s">
        <v>56</v>
      </c>
      <c r="C127" s="15"/>
      <c r="D127" s="15" t="s">
        <v>40</v>
      </c>
      <c r="E127" s="15"/>
      <c r="F127" s="15"/>
      <c r="G127" s="15" t="s">
        <v>41</v>
      </c>
      <c r="H127" s="15"/>
      <c r="I127" s="15" t="s">
        <v>936</v>
      </c>
      <c r="J127" s="15"/>
      <c r="K127" s="15" t="s">
        <v>932</v>
      </c>
      <c r="L127" s="15"/>
      <c r="M127" s="15" t="s">
        <v>933</v>
      </c>
      <c r="N127" s="15"/>
      <c r="O127" s="15" t="s">
        <v>938</v>
      </c>
      <c r="P127" s="15"/>
      <c r="Q127" s="15" t="s">
        <v>939</v>
      </c>
      <c r="R127" s="15"/>
      <c r="S127" s="15" t="s">
        <v>940</v>
      </c>
      <c r="T127" s="15">
        <v>0</v>
      </c>
      <c r="U127" s="15">
        <v>0</v>
      </c>
      <c r="V127" s="15">
        <v>0</v>
      </c>
      <c r="W127" s="15">
        <v>0</v>
      </c>
      <c r="X127" s="15" t="s">
        <v>937</v>
      </c>
      <c r="Y127" s="15"/>
      <c r="Z127" s="15"/>
      <c r="AA127" s="41" t="s">
        <v>888</v>
      </c>
      <c r="AB127" s="17" t="s">
        <v>233</v>
      </c>
      <c r="AC127" s="17" t="s">
        <v>58</v>
      </c>
      <c r="AD127" s="18">
        <v>28000000000</v>
      </c>
      <c r="AE127" s="34">
        <v>0</v>
      </c>
      <c r="AF127" s="34">
        <v>0</v>
      </c>
      <c r="AG127" s="34">
        <v>0</v>
      </c>
      <c r="AH127" s="18">
        <v>900000000</v>
      </c>
      <c r="AI127" s="18">
        <f>AE127-AF127+AG127-AH127</f>
        <v>-900000000</v>
      </c>
      <c r="AJ127" s="18">
        <f>AD127+AI127</f>
        <v>27100000000</v>
      </c>
      <c r="AK127" s="34">
        <v>0</v>
      </c>
      <c r="AL127" s="18">
        <v>3302609780</v>
      </c>
      <c r="AM127" s="18">
        <v>3302609780</v>
      </c>
      <c r="AN127" s="34">
        <v>0</v>
      </c>
      <c r="AO127" s="18">
        <v>3302609780</v>
      </c>
      <c r="AP127" s="18">
        <v>3302609780</v>
      </c>
      <c r="AQ127" s="34">
        <v>0</v>
      </c>
      <c r="AR127" s="18">
        <v>3302609780</v>
      </c>
      <c r="AS127" s="18">
        <v>3302609780</v>
      </c>
      <c r="AT127" s="39">
        <f t="shared" si="76"/>
        <v>3302609780</v>
      </c>
      <c r="AU127" s="18">
        <f t="shared" ref="AU127:AU138" si="79">AJ127-AM127</f>
        <v>23797390220</v>
      </c>
      <c r="AV127" s="34">
        <f t="shared" ref="AV127:AV138" si="80">AM127-AP127</f>
        <v>0</v>
      </c>
      <c r="AW127" s="34">
        <f t="shared" ref="AW127:AW138" si="81">AP127-AT127</f>
        <v>0</v>
      </c>
      <c r="AX127" s="32">
        <f t="shared" si="70"/>
        <v>0.12186751955719557</v>
      </c>
    </row>
    <row r="128" spans="1:50" ht="28.5" customHeight="1" x14ac:dyDescent="0.2">
      <c r="A128" s="4" t="s">
        <v>55</v>
      </c>
      <c r="B128" s="4" t="s">
        <v>56</v>
      </c>
      <c r="C128" s="4"/>
      <c r="D128" s="4" t="s">
        <v>40</v>
      </c>
      <c r="E128" s="4"/>
      <c r="F128" s="4"/>
      <c r="G128" s="4" t="s">
        <v>41</v>
      </c>
      <c r="H128" s="4"/>
      <c r="I128" s="4" t="s">
        <v>936</v>
      </c>
      <c r="J128" s="4"/>
      <c r="K128" s="4" t="s">
        <v>932</v>
      </c>
      <c r="L128" s="4"/>
      <c r="M128" s="4" t="s">
        <v>933</v>
      </c>
      <c r="N128" s="4"/>
      <c r="O128" s="4" t="s">
        <v>938</v>
      </c>
      <c r="P128" s="4"/>
      <c r="Q128" s="4" t="s">
        <v>939</v>
      </c>
      <c r="R128" s="4"/>
      <c r="S128" s="4" t="s">
        <v>940</v>
      </c>
      <c r="T128" s="4">
        <v>0</v>
      </c>
      <c r="U128" s="4">
        <v>0</v>
      </c>
      <c r="V128" s="4">
        <v>0</v>
      </c>
      <c r="W128" s="4">
        <v>0</v>
      </c>
      <c r="X128" s="4" t="s">
        <v>937</v>
      </c>
      <c r="Y128" s="4"/>
      <c r="Z128" s="4"/>
      <c r="AA128" s="41" t="s">
        <v>889</v>
      </c>
      <c r="AB128" s="42" t="s">
        <v>234</v>
      </c>
      <c r="AC128" s="43" t="s">
        <v>235</v>
      </c>
      <c r="AD128" s="43">
        <v>10000000000</v>
      </c>
      <c r="AE128" s="44">
        <v>0</v>
      </c>
      <c r="AF128" s="44">
        <v>0</v>
      </c>
      <c r="AG128" s="44">
        <v>0</v>
      </c>
      <c r="AH128" s="44">
        <v>0</v>
      </c>
      <c r="AI128" s="44">
        <v>0</v>
      </c>
      <c r="AJ128" s="43">
        <v>10000000000</v>
      </c>
      <c r="AK128" s="44">
        <v>0</v>
      </c>
      <c r="AL128" s="43">
        <v>260827291</v>
      </c>
      <c r="AM128" s="43">
        <v>10000000000</v>
      </c>
      <c r="AN128" s="44">
        <v>0</v>
      </c>
      <c r="AO128" s="43">
        <v>260827291</v>
      </c>
      <c r="AP128" s="43">
        <v>10000000000</v>
      </c>
      <c r="AQ128" s="44">
        <v>0</v>
      </c>
      <c r="AR128" s="18">
        <v>2204173618</v>
      </c>
      <c r="AS128" s="114">
        <v>10000000000</v>
      </c>
      <c r="AT128" s="39">
        <f t="shared" si="76"/>
        <v>10000000000</v>
      </c>
      <c r="AU128" s="18">
        <f t="shared" si="79"/>
        <v>0</v>
      </c>
      <c r="AV128" s="34">
        <f t="shared" si="80"/>
        <v>0</v>
      </c>
      <c r="AW128" s="18">
        <f t="shared" si="81"/>
        <v>0</v>
      </c>
      <c r="AX128" s="32">
        <f t="shared" si="70"/>
        <v>1</v>
      </c>
    </row>
    <row r="129" spans="1:50" ht="27" customHeight="1" x14ac:dyDescent="0.2">
      <c r="A129" s="4" t="s">
        <v>55</v>
      </c>
      <c r="B129" s="4" t="s">
        <v>56</v>
      </c>
      <c r="C129" s="4"/>
      <c r="D129" s="4" t="s">
        <v>40</v>
      </c>
      <c r="E129" s="4"/>
      <c r="F129" s="4"/>
      <c r="G129" s="4" t="s">
        <v>41</v>
      </c>
      <c r="H129" s="4"/>
      <c r="I129" s="4" t="s">
        <v>936</v>
      </c>
      <c r="J129" s="4"/>
      <c r="K129" s="4" t="s">
        <v>932</v>
      </c>
      <c r="L129" s="4"/>
      <c r="M129" s="4" t="s">
        <v>933</v>
      </c>
      <c r="N129" s="4"/>
      <c r="O129" s="4" t="s">
        <v>938</v>
      </c>
      <c r="P129" s="4"/>
      <c r="Q129" s="4" t="s">
        <v>939</v>
      </c>
      <c r="R129" s="4"/>
      <c r="S129" s="4" t="s">
        <v>940</v>
      </c>
      <c r="T129" s="4">
        <v>0</v>
      </c>
      <c r="U129" s="4">
        <v>0</v>
      </c>
      <c r="V129" s="4">
        <v>0</v>
      </c>
      <c r="W129" s="4">
        <v>0</v>
      </c>
      <c r="X129" s="4" t="s">
        <v>937</v>
      </c>
      <c r="Y129" s="4"/>
      <c r="Z129" s="4"/>
      <c r="AA129" s="41" t="s">
        <v>890</v>
      </c>
      <c r="AB129" s="42" t="s">
        <v>236</v>
      </c>
      <c r="AC129" s="38" t="s">
        <v>237</v>
      </c>
      <c r="AD129" s="39">
        <v>2897026328</v>
      </c>
      <c r="AE129" s="40">
        <v>0</v>
      </c>
      <c r="AF129" s="40">
        <v>0</v>
      </c>
      <c r="AG129" s="40">
        <v>0</v>
      </c>
      <c r="AH129" s="40">
        <v>0</v>
      </c>
      <c r="AI129" s="40">
        <v>0</v>
      </c>
      <c r="AJ129" s="39">
        <v>2897026328</v>
      </c>
      <c r="AK129" s="40">
        <v>0</v>
      </c>
      <c r="AL129" s="39">
        <v>304567525</v>
      </c>
      <c r="AM129" s="39">
        <v>1097350478</v>
      </c>
      <c r="AN129" s="40">
        <v>0</v>
      </c>
      <c r="AO129" s="39">
        <v>304567525</v>
      </c>
      <c r="AP129" s="39">
        <v>1097350478</v>
      </c>
      <c r="AQ129" s="40">
        <v>0</v>
      </c>
      <c r="AR129" s="18">
        <v>463274925</v>
      </c>
      <c r="AS129" s="39">
        <v>1058695258</v>
      </c>
      <c r="AT129" s="39">
        <f t="shared" si="76"/>
        <v>1058695258</v>
      </c>
      <c r="AU129" s="18">
        <f t="shared" si="79"/>
        <v>1799675850</v>
      </c>
      <c r="AV129" s="34">
        <f t="shared" si="80"/>
        <v>0</v>
      </c>
      <c r="AW129" s="18">
        <f t="shared" si="81"/>
        <v>38655220</v>
      </c>
      <c r="AX129" s="32">
        <f t="shared" si="70"/>
        <v>0.37878512438565592</v>
      </c>
    </row>
    <row r="130" spans="1:50" ht="27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1" t="s">
        <v>994</v>
      </c>
      <c r="AB130" s="42" t="s">
        <v>995</v>
      </c>
      <c r="AC130" s="38"/>
      <c r="AD130" s="39">
        <v>0</v>
      </c>
      <c r="AE130" s="39">
        <v>429925823.10000002</v>
      </c>
      <c r="AF130" s="40">
        <v>0</v>
      </c>
      <c r="AG130" s="40">
        <v>0</v>
      </c>
      <c r="AH130" s="40">
        <v>0</v>
      </c>
      <c r="AI130" s="18">
        <f>AE130-AF130+AG130-AH130</f>
        <v>429925823.10000002</v>
      </c>
      <c r="AJ130" s="18">
        <f>AD130+AI130</f>
        <v>429925823.10000002</v>
      </c>
      <c r="AK130" s="40">
        <v>0</v>
      </c>
      <c r="AL130" s="40">
        <v>0</v>
      </c>
      <c r="AM130" s="40">
        <v>0</v>
      </c>
      <c r="AN130" s="40">
        <v>0</v>
      </c>
      <c r="AO130" s="40">
        <v>0</v>
      </c>
      <c r="AP130" s="40">
        <v>0</v>
      </c>
      <c r="AQ130" s="40">
        <v>0</v>
      </c>
      <c r="AR130" s="34">
        <v>0</v>
      </c>
      <c r="AS130" s="40">
        <v>0</v>
      </c>
      <c r="AT130" s="30">
        <f t="shared" si="76"/>
        <v>0</v>
      </c>
      <c r="AU130" s="18">
        <f t="shared" si="79"/>
        <v>429925823.10000002</v>
      </c>
      <c r="AV130" s="34">
        <f t="shared" si="80"/>
        <v>0</v>
      </c>
      <c r="AW130" s="18">
        <f t="shared" si="81"/>
        <v>0</v>
      </c>
      <c r="AX130" s="32">
        <f t="shared" si="70"/>
        <v>0</v>
      </c>
    </row>
    <row r="131" spans="1:50" ht="18.75" customHeight="1" x14ac:dyDescent="0.2">
      <c r="A131" s="27" t="s">
        <v>55</v>
      </c>
      <c r="B131" s="27" t="s">
        <v>56</v>
      </c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8" t="s">
        <v>891</v>
      </c>
      <c r="AB131" s="29" t="s">
        <v>238</v>
      </c>
      <c r="AC131" s="30" t="s">
        <v>37</v>
      </c>
      <c r="AD131" s="30">
        <f>AD132+AD133</f>
        <v>1000000000</v>
      </c>
      <c r="AE131" s="31">
        <f t="shared" ref="AE131:AS131" si="82">AE132+AE133</f>
        <v>0</v>
      </c>
      <c r="AF131" s="31">
        <f t="shared" si="82"/>
        <v>0</v>
      </c>
      <c r="AG131" s="31">
        <f t="shared" si="82"/>
        <v>0</v>
      </c>
      <c r="AH131" s="31">
        <f t="shared" si="82"/>
        <v>0</v>
      </c>
      <c r="AI131" s="31">
        <f t="shared" si="82"/>
        <v>0</v>
      </c>
      <c r="AJ131" s="30">
        <f t="shared" si="82"/>
        <v>1000000000</v>
      </c>
      <c r="AK131" s="31">
        <f t="shared" si="82"/>
        <v>0</v>
      </c>
      <c r="AL131" s="109">
        <f t="shared" si="82"/>
        <v>19380031.68</v>
      </c>
      <c r="AM131" s="109">
        <f t="shared" si="82"/>
        <v>373405413.43000001</v>
      </c>
      <c r="AN131" s="31">
        <f t="shared" si="82"/>
        <v>0</v>
      </c>
      <c r="AO131" s="109">
        <f t="shared" si="82"/>
        <v>19380031.68</v>
      </c>
      <c r="AP131" s="109">
        <f t="shared" si="82"/>
        <v>373405413.43000001</v>
      </c>
      <c r="AQ131" s="31">
        <f t="shared" si="82"/>
        <v>549508.78</v>
      </c>
      <c r="AR131" s="109">
        <f t="shared" si="82"/>
        <v>21090441.899999999</v>
      </c>
      <c r="AS131" s="109">
        <f t="shared" si="82"/>
        <v>372855904.64999998</v>
      </c>
      <c r="AT131" s="30">
        <f t="shared" si="76"/>
        <v>373405413.42999995</v>
      </c>
      <c r="AU131" s="176">
        <f t="shared" si="79"/>
        <v>626594586.56999993</v>
      </c>
      <c r="AV131" s="34">
        <f t="shared" si="80"/>
        <v>0</v>
      </c>
      <c r="AW131" s="18">
        <f t="shared" si="81"/>
        <v>0</v>
      </c>
      <c r="AX131" s="32">
        <f t="shared" si="70"/>
        <v>0.37340541343</v>
      </c>
    </row>
    <row r="132" spans="1:50" ht="18.75" customHeight="1" x14ac:dyDescent="0.2">
      <c r="A132" s="4" t="s">
        <v>55</v>
      </c>
      <c r="B132" s="4" t="s">
        <v>56</v>
      </c>
      <c r="C132" s="4"/>
      <c r="D132" s="4" t="s">
        <v>40</v>
      </c>
      <c r="E132" s="4"/>
      <c r="F132" s="4"/>
      <c r="G132" s="4" t="s">
        <v>41</v>
      </c>
      <c r="H132" s="4"/>
      <c r="I132" s="4" t="s">
        <v>936</v>
      </c>
      <c r="J132" s="4"/>
      <c r="K132" s="4" t="s">
        <v>932</v>
      </c>
      <c r="L132" s="4"/>
      <c r="M132" s="4" t="s">
        <v>933</v>
      </c>
      <c r="N132" s="4"/>
      <c r="O132" s="4" t="s">
        <v>938</v>
      </c>
      <c r="P132" s="4"/>
      <c r="Q132" s="4" t="s">
        <v>939</v>
      </c>
      <c r="R132" s="4"/>
      <c r="S132" s="4" t="s">
        <v>940</v>
      </c>
      <c r="T132" s="4">
        <v>0</v>
      </c>
      <c r="U132" s="4">
        <v>0</v>
      </c>
      <c r="V132" s="4">
        <v>0</v>
      </c>
      <c r="W132" s="4">
        <v>0</v>
      </c>
      <c r="X132" s="4" t="s">
        <v>937</v>
      </c>
      <c r="Y132" s="4"/>
      <c r="Z132" s="4"/>
      <c r="AA132" s="41" t="s">
        <v>893</v>
      </c>
      <c r="AB132" s="42" t="s">
        <v>233</v>
      </c>
      <c r="AC132" s="43" t="s">
        <v>58</v>
      </c>
      <c r="AD132" s="43">
        <v>500000000</v>
      </c>
      <c r="AE132" s="44">
        <v>0</v>
      </c>
      <c r="AF132" s="44">
        <v>0</v>
      </c>
      <c r="AG132" s="44">
        <v>0</v>
      </c>
      <c r="AH132" s="44">
        <v>0</v>
      </c>
      <c r="AI132" s="44">
        <v>0</v>
      </c>
      <c r="AJ132" s="43">
        <v>500000000</v>
      </c>
      <c r="AK132" s="44">
        <v>0</v>
      </c>
      <c r="AL132" s="114">
        <v>4887031.68</v>
      </c>
      <c r="AM132" s="43">
        <v>12692160.43</v>
      </c>
      <c r="AN132" s="44">
        <v>0</v>
      </c>
      <c r="AO132" s="43">
        <v>4887031.68</v>
      </c>
      <c r="AP132" s="43">
        <v>12692160.43</v>
      </c>
      <c r="AQ132" s="43">
        <v>549508.78</v>
      </c>
      <c r="AR132" s="43">
        <v>6597441.9000000004</v>
      </c>
      <c r="AS132" s="43">
        <v>12142651.65</v>
      </c>
      <c r="AT132" s="39">
        <f t="shared" si="76"/>
        <v>12692160.43</v>
      </c>
      <c r="AU132" s="18">
        <f t="shared" si="79"/>
        <v>487307839.56999999</v>
      </c>
      <c r="AV132" s="34">
        <f t="shared" si="80"/>
        <v>0</v>
      </c>
      <c r="AW132" s="18">
        <f t="shared" si="81"/>
        <v>0</v>
      </c>
      <c r="AX132" s="32">
        <f t="shared" si="70"/>
        <v>2.538432086E-2</v>
      </c>
    </row>
    <row r="133" spans="1:50" ht="18.75" customHeight="1" x14ac:dyDescent="0.2">
      <c r="A133" s="4" t="s">
        <v>55</v>
      </c>
      <c r="B133" s="4" t="s">
        <v>56</v>
      </c>
      <c r="C133" s="4"/>
      <c r="D133" s="4" t="s">
        <v>40</v>
      </c>
      <c r="E133" s="4"/>
      <c r="F133" s="4"/>
      <c r="G133" s="4" t="s">
        <v>41</v>
      </c>
      <c r="H133" s="4"/>
      <c r="I133" s="4" t="s">
        <v>936</v>
      </c>
      <c r="J133" s="4"/>
      <c r="K133" s="4" t="s">
        <v>932</v>
      </c>
      <c r="L133" s="4"/>
      <c r="M133" s="4" t="s">
        <v>933</v>
      </c>
      <c r="N133" s="4"/>
      <c r="O133" s="4" t="s">
        <v>938</v>
      </c>
      <c r="P133" s="4"/>
      <c r="Q133" s="4" t="s">
        <v>939</v>
      </c>
      <c r="R133" s="4"/>
      <c r="S133" s="4" t="s">
        <v>940</v>
      </c>
      <c r="T133" s="4">
        <v>0</v>
      </c>
      <c r="U133" s="4">
        <v>0</v>
      </c>
      <c r="V133" s="4">
        <v>0</v>
      </c>
      <c r="W133" s="4">
        <v>0</v>
      </c>
      <c r="X133" s="4" t="s">
        <v>937</v>
      </c>
      <c r="Y133" s="4"/>
      <c r="Z133" s="4"/>
      <c r="AA133" s="41" t="s">
        <v>892</v>
      </c>
      <c r="AB133" s="42" t="s">
        <v>239</v>
      </c>
      <c r="AC133" s="43" t="s">
        <v>240</v>
      </c>
      <c r="AD133" s="43">
        <v>500000000</v>
      </c>
      <c r="AE133" s="44">
        <v>0</v>
      </c>
      <c r="AF133" s="44">
        <v>0</v>
      </c>
      <c r="AG133" s="44">
        <v>0</v>
      </c>
      <c r="AH133" s="44">
        <v>0</v>
      </c>
      <c r="AI133" s="44">
        <v>0</v>
      </c>
      <c r="AJ133" s="43">
        <v>500000000</v>
      </c>
      <c r="AK133" s="44">
        <v>0</v>
      </c>
      <c r="AL133" s="43">
        <v>14493000</v>
      </c>
      <c r="AM133" s="114">
        <v>360713253</v>
      </c>
      <c r="AN133" s="44">
        <v>0</v>
      </c>
      <c r="AO133" s="114">
        <v>14493000</v>
      </c>
      <c r="AP133" s="114">
        <v>360713253</v>
      </c>
      <c r="AQ133" s="44">
        <v>0</v>
      </c>
      <c r="AR133" s="114">
        <v>14493000</v>
      </c>
      <c r="AS133" s="114">
        <v>360713253</v>
      </c>
      <c r="AT133" s="39">
        <f t="shared" si="76"/>
        <v>360713253</v>
      </c>
      <c r="AU133" s="18">
        <f t="shared" si="79"/>
        <v>139286747</v>
      </c>
      <c r="AV133" s="34">
        <f t="shared" si="80"/>
        <v>0</v>
      </c>
      <c r="AW133" s="34">
        <f t="shared" si="81"/>
        <v>0</v>
      </c>
      <c r="AX133" s="32">
        <f t="shared" si="70"/>
        <v>0.72142650600000002</v>
      </c>
    </row>
    <row r="134" spans="1:50" ht="18.75" customHeight="1" x14ac:dyDescent="0.2">
      <c r="A134" s="27" t="s">
        <v>55</v>
      </c>
      <c r="B134" s="27" t="s">
        <v>56</v>
      </c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8" t="s">
        <v>894</v>
      </c>
      <c r="AB134" s="29" t="s">
        <v>241</v>
      </c>
      <c r="AC134" s="30" t="s">
        <v>37</v>
      </c>
      <c r="AD134" s="30">
        <f>AD135</f>
        <v>80000000</v>
      </c>
      <c r="AE134" s="31">
        <f t="shared" ref="AE134:AS134" si="83">AE135</f>
        <v>0</v>
      </c>
      <c r="AF134" s="31">
        <f t="shared" si="83"/>
        <v>0</v>
      </c>
      <c r="AG134" s="31">
        <f t="shared" si="83"/>
        <v>0</v>
      </c>
      <c r="AH134" s="31">
        <f t="shared" si="83"/>
        <v>0</v>
      </c>
      <c r="AI134" s="31">
        <f t="shared" si="83"/>
        <v>0</v>
      </c>
      <c r="AJ134" s="30">
        <f t="shared" si="83"/>
        <v>80000000</v>
      </c>
      <c r="AK134" s="31">
        <f t="shared" si="83"/>
        <v>0</v>
      </c>
      <c r="AL134" s="30">
        <f t="shared" si="83"/>
        <v>4542630</v>
      </c>
      <c r="AM134" s="109">
        <f t="shared" si="83"/>
        <v>76149405</v>
      </c>
      <c r="AN134" s="31">
        <f t="shared" si="83"/>
        <v>0</v>
      </c>
      <c r="AO134" s="109">
        <f t="shared" si="83"/>
        <v>4542630</v>
      </c>
      <c r="AP134" s="109">
        <f t="shared" si="83"/>
        <v>76149405</v>
      </c>
      <c r="AQ134" s="30">
        <f t="shared" si="83"/>
        <v>4542630</v>
      </c>
      <c r="AR134" s="172">
        <f t="shared" si="83"/>
        <v>0</v>
      </c>
      <c r="AS134" s="109">
        <f t="shared" si="83"/>
        <v>71606775</v>
      </c>
      <c r="AT134" s="30">
        <f t="shared" si="76"/>
        <v>76149405</v>
      </c>
      <c r="AU134" s="176">
        <f t="shared" si="79"/>
        <v>3850595</v>
      </c>
      <c r="AV134" s="34">
        <f t="shared" si="80"/>
        <v>0</v>
      </c>
      <c r="AW134" s="34">
        <f t="shared" si="81"/>
        <v>0</v>
      </c>
      <c r="AX134" s="32">
        <f t="shared" si="70"/>
        <v>0.95186756250000004</v>
      </c>
    </row>
    <row r="135" spans="1:50" ht="18.75" customHeight="1" x14ac:dyDescent="0.2">
      <c r="A135" s="4" t="s">
        <v>55</v>
      </c>
      <c r="B135" s="4" t="s">
        <v>56</v>
      </c>
      <c r="C135" s="4"/>
      <c r="D135" s="4" t="s">
        <v>40</v>
      </c>
      <c r="E135" s="4"/>
      <c r="F135" s="4"/>
      <c r="G135" s="4" t="s">
        <v>41</v>
      </c>
      <c r="H135" s="4"/>
      <c r="I135" s="4" t="s">
        <v>936</v>
      </c>
      <c r="J135" s="4"/>
      <c r="K135" s="4" t="s">
        <v>932</v>
      </c>
      <c r="L135" s="4"/>
      <c r="M135" s="4" t="s">
        <v>933</v>
      </c>
      <c r="N135" s="4"/>
      <c r="O135" s="4" t="s">
        <v>938</v>
      </c>
      <c r="P135" s="4"/>
      <c r="Q135" s="4" t="s">
        <v>939</v>
      </c>
      <c r="R135" s="4"/>
      <c r="S135" s="4" t="s">
        <v>940</v>
      </c>
      <c r="T135" s="4">
        <v>0</v>
      </c>
      <c r="U135" s="4">
        <v>0</v>
      </c>
      <c r="V135" s="4">
        <v>0</v>
      </c>
      <c r="W135" s="4">
        <v>0</v>
      </c>
      <c r="X135" s="4" t="s">
        <v>937</v>
      </c>
      <c r="Y135" s="4"/>
      <c r="Z135" s="4"/>
      <c r="AA135" s="41" t="s">
        <v>895</v>
      </c>
      <c r="AB135" s="42" t="s">
        <v>242</v>
      </c>
      <c r="AC135" s="43" t="s">
        <v>58</v>
      </c>
      <c r="AD135" s="43">
        <v>80000000</v>
      </c>
      <c r="AE135" s="44">
        <v>0</v>
      </c>
      <c r="AF135" s="44">
        <v>0</v>
      </c>
      <c r="AG135" s="44">
        <v>0</v>
      </c>
      <c r="AH135" s="44">
        <v>0</v>
      </c>
      <c r="AI135" s="44">
        <v>0</v>
      </c>
      <c r="AJ135" s="43">
        <v>80000000</v>
      </c>
      <c r="AK135" s="44">
        <v>0</v>
      </c>
      <c r="AL135" s="43">
        <v>4542630</v>
      </c>
      <c r="AM135" s="114">
        <v>76149405</v>
      </c>
      <c r="AN135" s="44">
        <v>0</v>
      </c>
      <c r="AO135" s="114">
        <v>4542630</v>
      </c>
      <c r="AP135" s="114">
        <v>76149405</v>
      </c>
      <c r="AQ135" s="43">
        <v>4542630</v>
      </c>
      <c r="AR135" s="115">
        <v>0</v>
      </c>
      <c r="AS135" s="114">
        <v>71606775</v>
      </c>
      <c r="AT135" s="39">
        <f t="shared" si="76"/>
        <v>76149405</v>
      </c>
      <c r="AU135" s="18">
        <f t="shared" si="79"/>
        <v>3850595</v>
      </c>
      <c r="AV135" s="34">
        <f t="shared" si="80"/>
        <v>0</v>
      </c>
      <c r="AW135" s="34">
        <f t="shared" si="81"/>
        <v>0</v>
      </c>
      <c r="AX135" s="32">
        <f t="shared" si="70"/>
        <v>0.95186756250000004</v>
      </c>
    </row>
    <row r="136" spans="1:50" ht="18.75" customHeight="1" x14ac:dyDescent="0.2">
      <c r="A136" s="4" t="s">
        <v>55</v>
      </c>
      <c r="B136" s="4" t="s">
        <v>56</v>
      </c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1" t="s">
        <v>896</v>
      </c>
      <c r="AB136" s="42" t="s">
        <v>243</v>
      </c>
      <c r="AC136" s="43" t="s">
        <v>58</v>
      </c>
      <c r="AD136" s="44">
        <v>0</v>
      </c>
      <c r="AE136" s="44">
        <v>0</v>
      </c>
      <c r="AF136" s="44">
        <v>0</v>
      </c>
      <c r="AG136" s="44">
        <v>0</v>
      </c>
      <c r="AH136" s="44">
        <v>0</v>
      </c>
      <c r="AI136" s="44">
        <v>0</v>
      </c>
      <c r="AJ136" s="44">
        <v>0</v>
      </c>
      <c r="AK136" s="44">
        <v>0</v>
      </c>
      <c r="AL136" s="44">
        <v>0</v>
      </c>
      <c r="AM136" s="44">
        <v>0</v>
      </c>
      <c r="AN136" s="44">
        <v>0</v>
      </c>
      <c r="AO136" s="44">
        <v>0</v>
      </c>
      <c r="AP136" s="44">
        <v>0</v>
      </c>
      <c r="AQ136" s="44">
        <v>0</v>
      </c>
      <c r="AR136" s="44">
        <v>0</v>
      </c>
      <c r="AS136" s="44">
        <v>0</v>
      </c>
      <c r="AT136" s="40">
        <f t="shared" si="76"/>
        <v>0</v>
      </c>
      <c r="AU136" s="34">
        <f t="shared" si="79"/>
        <v>0</v>
      </c>
      <c r="AV136" s="34">
        <f t="shared" si="80"/>
        <v>0</v>
      </c>
      <c r="AW136" s="34">
        <f t="shared" si="81"/>
        <v>0</v>
      </c>
      <c r="AX136" s="32">
        <v>0</v>
      </c>
    </row>
    <row r="137" spans="1:50" ht="18.75" customHeight="1" x14ac:dyDescent="0.2">
      <c r="A137" s="4" t="s">
        <v>55</v>
      </c>
      <c r="B137" s="4" t="s">
        <v>56</v>
      </c>
      <c r="C137" s="4"/>
      <c r="D137" s="4" t="s">
        <v>40</v>
      </c>
      <c r="E137" s="4"/>
      <c r="F137" s="4"/>
      <c r="G137" s="4" t="s">
        <v>41</v>
      </c>
      <c r="H137" s="4"/>
      <c r="I137" s="4" t="s">
        <v>936</v>
      </c>
      <c r="J137" s="4"/>
      <c r="K137" s="4" t="s">
        <v>932</v>
      </c>
      <c r="L137" s="4"/>
      <c r="M137" s="4" t="s">
        <v>933</v>
      </c>
      <c r="N137" s="4"/>
      <c r="O137" s="4" t="s">
        <v>938</v>
      </c>
      <c r="P137" s="4"/>
      <c r="Q137" s="4" t="s">
        <v>939</v>
      </c>
      <c r="R137" s="4"/>
      <c r="S137" s="4" t="s">
        <v>940</v>
      </c>
      <c r="T137" s="4">
        <v>0</v>
      </c>
      <c r="U137" s="4">
        <v>0</v>
      </c>
      <c r="V137" s="4">
        <v>0</v>
      </c>
      <c r="W137" s="4">
        <v>0</v>
      </c>
      <c r="X137" s="4" t="s">
        <v>937</v>
      </c>
      <c r="Y137" s="4"/>
      <c r="Z137" s="4"/>
      <c r="AA137" s="41" t="s">
        <v>897</v>
      </c>
      <c r="AB137" s="42" t="s">
        <v>244</v>
      </c>
      <c r="AC137" s="43" t="s">
        <v>58</v>
      </c>
      <c r="AD137" s="43">
        <v>10000000</v>
      </c>
      <c r="AE137" s="44">
        <v>0</v>
      </c>
      <c r="AF137" s="44">
        <v>0</v>
      </c>
      <c r="AG137" s="44">
        <v>0</v>
      </c>
      <c r="AH137" s="44">
        <v>0</v>
      </c>
      <c r="AI137" s="44">
        <v>0</v>
      </c>
      <c r="AJ137" s="43">
        <v>10000000</v>
      </c>
      <c r="AK137" s="44">
        <v>0</v>
      </c>
      <c r="AL137" s="44">
        <v>3634104</v>
      </c>
      <c r="AM137" s="43">
        <v>8023119</v>
      </c>
      <c r="AN137" s="44">
        <v>0</v>
      </c>
      <c r="AO137" s="44">
        <v>3634104</v>
      </c>
      <c r="AP137" s="43">
        <v>8023119</v>
      </c>
      <c r="AQ137" s="44">
        <v>0</v>
      </c>
      <c r="AR137" s="44">
        <v>3634104</v>
      </c>
      <c r="AS137" s="43">
        <v>8023119</v>
      </c>
      <c r="AT137" s="39">
        <f t="shared" si="76"/>
        <v>8023119</v>
      </c>
      <c r="AU137" s="18">
        <f t="shared" si="79"/>
        <v>1976881</v>
      </c>
      <c r="AV137" s="34">
        <f t="shared" si="80"/>
        <v>0</v>
      </c>
      <c r="AW137" s="34">
        <f t="shared" si="81"/>
        <v>0</v>
      </c>
      <c r="AX137" s="32">
        <f t="shared" ref="AX137:AX143" si="84">AP137/AJ137</f>
        <v>0.80231189999999997</v>
      </c>
    </row>
    <row r="138" spans="1:50" ht="18.75" customHeight="1" x14ac:dyDescent="0.2">
      <c r="A138" s="4" t="s">
        <v>55</v>
      </c>
      <c r="B138" s="4" t="s">
        <v>56</v>
      </c>
      <c r="C138" s="4"/>
      <c r="D138" s="4" t="s">
        <v>40</v>
      </c>
      <c r="E138" s="4"/>
      <c r="F138" s="4"/>
      <c r="G138" s="4" t="s">
        <v>41</v>
      </c>
      <c r="H138" s="4"/>
      <c r="I138" s="4" t="s">
        <v>936</v>
      </c>
      <c r="J138" s="4"/>
      <c r="K138" s="4" t="s">
        <v>932</v>
      </c>
      <c r="L138" s="4"/>
      <c r="M138" s="4" t="s">
        <v>933</v>
      </c>
      <c r="N138" s="4"/>
      <c r="O138" s="4" t="s">
        <v>938</v>
      </c>
      <c r="P138" s="4"/>
      <c r="Q138" s="4" t="s">
        <v>942</v>
      </c>
      <c r="R138" s="4"/>
      <c r="S138" s="4" t="s">
        <v>940</v>
      </c>
      <c r="T138" s="4">
        <v>0</v>
      </c>
      <c r="U138" s="4">
        <v>0</v>
      </c>
      <c r="V138" s="4">
        <v>0</v>
      </c>
      <c r="W138" s="4">
        <v>0</v>
      </c>
      <c r="X138" s="4" t="s">
        <v>937</v>
      </c>
      <c r="Y138" s="4"/>
      <c r="Z138" s="4"/>
      <c r="AA138" s="41" t="s">
        <v>898</v>
      </c>
      <c r="AB138" s="42" t="s">
        <v>245</v>
      </c>
      <c r="AC138" s="43" t="s">
        <v>58</v>
      </c>
      <c r="AD138" s="43">
        <v>266000000</v>
      </c>
      <c r="AE138" s="44">
        <v>0</v>
      </c>
      <c r="AF138" s="44">
        <v>0</v>
      </c>
      <c r="AG138" s="44">
        <v>0</v>
      </c>
      <c r="AH138" s="44">
        <v>0</v>
      </c>
      <c r="AI138" s="44">
        <v>0</v>
      </c>
      <c r="AJ138" s="43">
        <v>266000000</v>
      </c>
      <c r="AK138" s="44">
        <v>0</v>
      </c>
      <c r="AL138" s="43">
        <v>3362585</v>
      </c>
      <c r="AM138" s="43">
        <v>160267261</v>
      </c>
      <c r="AN138" s="44">
        <v>0</v>
      </c>
      <c r="AO138" s="43">
        <v>3362585</v>
      </c>
      <c r="AP138" s="43">
        <v>160267261</v>
      </c>
      <c r="AQ138" s="44">
        <v>0</v>
      </c>
      <c r="AR138" s="43">
        <v>3362585</v>
      </c>
      <c r="AS138" s="114">
        <v>156904676</v>
      </c>
      <c r="AT138" s="39">
        <f t="shared" si="76"/>
        <v>156904676</v>
      </c>
      <c r="AU138" s="18">
        <f t="shared" si="79"/>
        <v>105732739</v>
      </c>
      <c r="AV138" s="34">
        <f t="shared" si="80"/>
        <v>0</v>
      </c>
      <c r="AW138" s="18">
        <f t="shared" si="81"/>
        <v>3362585</v>
      </c>
      <c r="AX138" s="32">
        <f t="shared" si="84"/>
        <v>0.6025085</v>
      </c>
    </row>
    <row r="139" spans="1:50" s="25" customFormat="1" ht="18.75" customHeight="1" x14ac:dyDescent="0.2">
      <c r="A139" s="19" t="s">
        <v>55</v>
      </c>
      <c r="B139" s="19" t="s">
        <v>56</v>
      </c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26" t="s">
        <v>899</v>
      </c>
      <c r="AB139" s="21" t="s">
        <v>246</v>
      </c>
      <c r="AC139" s="22" t="s">
        <v>37</v>
      </c>
      <c r="AD139" s="22">
        <f>AD140</f>
        <v>100000000</v>
      </c>
      <c r="AE139" s="23">
        <f t="shared" ref="AE139:AW139" si="85">AE140</f>
        <v>0</v>
      </c>
      <c r="AF139" s="23">
        <f t="shared" si="85"/>
        <v>0</v>
      </c>
      <c r="AG139" s="23">
        <f t="shared" si="85"/>
        <v>0</v>
      </c>
      <c r="AH139" s="23">
        <f t="shared" si="85"/>
        <v>0</v>
      </c>
      <c r="AI139" s="23">
        <f t="shared" si="85"/>
        <v>0</v>
      </c>
      <c r="AJ139" s="22">
        <f t="shared" si="85"/>
        <v>100000000</v>
      </c>
      <c r="AK139" s="23">
        <f t="shared" si="85"/>
        <v>0</v>
      </c>
      <c r="AL139" s="22">
        <f t="shared" si="85"/>
        <v>7340979.6100000003</v>
      </c>
      <c r="AM139" s="22">
        <f t="shared" si="85"/>
        <v>49953340.210000001</v>
      </c>
      <c r="AN139" s="23">
        <f t="shared" si="85"/>
        <v>0</v>
      </c>
      <c r="AO139" s="22">
        <f t="shared" si="85"/>
        <v>7468726.3399999999</v>
      </c>
      <c r="AP139" s="22">
        <f t="shared" si="85"/>
        <v>42760542.340000004</v>
      </c>
      <c r="AQ139" s="23">
        <f t="shared" si="85"/>
        <v>0</v>
      </c>
      <c r="AR139" s="22">
        <f t="shared" si="85"/>
        <v>6879881.1100000003</v>
      </c>
      <c r="AS139" s="22">
        <f t="shared" si="85"/>
        <v>42171697.109999999</v>
      </c>
      <c r="AT139" s="22">
        <f>AQ139+AS139</f>
        <v>42171697.109999999</v>
      </c>
      <c r="AU139" s="22">
        <f t="shared" si="85"/>
        <v>50046659.789999999</v>
      </c>
      <c r="AV139" s="22">
        <f t="shared" si="85"/>
        <v>7192797.8699999973</v>
      </c>
      <c r="AW139" s="22">
        <f t="shared" si="85"/>
        <v>588845.23000000417</v>
      </c>
      <c r="AX139" s="24">
        <f t="shared" si="84"/>
        <v>0.42760542340000002</v>
      </c>
    </row>
    <row r="140" spans="1:50" ht="18.75" customHeight="1" x14ac:dyDescent="0.2">
      <c r="A140" s="27" t="s">
        <v>55</v>
      </c>
      <c r="B140" s="27" t="s">
        <v>56</v>
      </c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8" t="s">
        <v>900</v>
      </c>
      <c r="AB140" s="29" t="s">
        <v>247</v>
      </c>
      <c r="AC140" s="30" t="s">
        <v>37</v>
      </c>
      <c r="AD140" s="30">
        <f>AD141+AD142</f>
        <v>100000000</v>
      </c>
      <c r="AE140" s="31">
        <f t="shared" ref="AE140:AS140" si="86">AE141+AE142</f>
        <v>0</v>
      </c>
      <c r="AF140" s="31">
        <f t="shared" si="86"/>
        <v>0</v>
      </c>
      <c r="AG140" s="31">
        <f t="shared" si="86"/>
        <v>0</v>
      </c>
      <c r="AH140" s="31">
        <f t="shared" si="86"/>
        <v>0</v>
      </c>
      <c r="AI140" s="31">
        <f t="shared" si="86"/>
        <v>0</v>
      </c>
      <c r="AJ140" s="30">
        <f t="shared" si="86"/>
        <v>100000000</v>
      </c>
      <c r="AK140" s="31">
        <f t="shared" si="86"/>
        <v>0</v>
      </c>
      <c r="AL140" s="30">
        <f t="shared" si="86"/>
        <v>7340979.6100000003</v>
      </c>
      <c r="AM140" s="30">
        <f t="shared" si="86"/>
        <v>49953340.210000001</v>
      </c>
      <c r="AN140" s="31">
        <f t="shared" si="86"/>
        <v>0</v>
      </c>
      <c r="AO140" s="30">
        <f t="shared" si="86"/>
        <v>7468726.3399999999</v>
      </c>
      <c r="AP140" s="30">
        <f t="shared" si="86"/>
        <v>42760542.340000004</v>
      </c>
      <c r="AQ140" s="31">
        <f t="shared" si="86"/>
        <v>0</v>
      </c>
      <c r="AR140" s="30">
        <f t="shared" si="86"/>
        <v>6879881.1100000003</v>
      </c>
      <c r="AS140" s="30">
        <f t="shared" si="86"/>
        <v>42171697.109999999</v>
      </c>
      <c r="AT140" s="30">
        <f t="shared" ref="AT140:AT142" si="87">AQ140+AS140</f>
        <v>42171697.109999999</v>
      </c>
      <c r="AU140" s="18">
        <f>AJ140-AM140</f>
        <v>50046659.789999999</v>
      </c>
      <c r="AV140" s="110">
        <f>AM140-AP140</f>
        <v>7192797.8699999973</v>
      </c>
      <c r="AW140" s="18">
        <f>AP140-AT140</f>
        <v>588845.23000000417</v>
      </c>
      <c r="AX140" s="32">
        <f t="shared" si="84"/>
        <v>0.42760542340000002</v>
      </c>
    </row>
    <row r="141" spans="1:50" ht="18.75" customHeight="1" x14ac:dyDescent="0.2">
      <c r="A141" s="4" t="s">
        <v>55</v>
      </c>
      <c r="B141" s="4" t="s">
        <v>56</v>
      </c>
      <c r="C141" s="4"/>
      <c r="D141" s="4" t="s">
        <v>40</v>
      </c>
      <c r="E141" s="4"/>
      <c r="F141" s="4"/>
      <c r="G141" s="4" t="s">
        <v>41</v>
      </c>
      <c r="H141" s="4"/>
      <c r="I141" s="4" t="s">
        <v>936</v>
      </c>
      <c r="J141" s="4"/>
      <c r="K141" s="4" t="s">
        <v>932</v>
      </c>
      <c r="L141" s="4"/>
      <c r="M141" s="4" t="s">
        <v>933</v>
      </c>
      <c r="N141" s="4"/>
      <c r="O141" s="4" t="s">
        <v>938</v>
      </c>
      <c r="P141" s="4"/>
      <c r="Q141" s="4" t="s">
        <v>942</v>
      </c>
      <c r="R141" s="4"/>
      <c r="S141" s="4" t="s">
        <v>940</v>
      </c>
      <c r="T141" s="4">
        <v>0</v>
      </c>
      <c r="U141" s="4">
        <v>0</v>
      </c>
      <c r="V141" s="4">
        <v>0</v>
      </c>
      <c r="W141" s="4">
        <v>0</v>
      </c>
      <c r="X141" s="4" t="s">
        <v>937</v>
      </c>
      <c r="Y141" s="4"/>
      <c r="Z141" s="4"/>
      <c r="AA141" s="41" t="s">
        <v>901</v>
      </c>
      <c r="AB141" s="42" t="s">
        <v>248</v>
      </c>
      <c r="AC141" s="43" t="s">
        <v>58</v>
      </c>
      <c r="AD141" s="43">
        <v>70000000</v>
      </c>
      <c r="AE141" s="44">
        <v>0</v>
      </c>
      <c r="AF141" s="44">
        <v>0</v>
      </c>
      <c r="AG141" s="44">
        <v>0</v>
      </c>
      <c r="AH141" s="44">
        <v>0</v>
      </c>
      <c r="AI141" s="44">
        <v>0</v>
      </c>
      <c r="AJ141" s="43">
        <v>70000000</v>
      </c>
      <c r="AK141" s="44">
        <v>0</v>
      </c>
      <c r="AL141" s="43">
        <v>7340979.6100000003</v>
      </c>
      <c r="AM141" s="43">
        <v>49953340.210000001</v>
      </c>
      <c r="AN141" s="44">
        <v>0</v>
      </c>
      <c r="AO141" s="43">
        <v>7468726.3399999999</v>
      </c>
      <c r="AP141" s="43">
        <v>42760542.340000004</v>
      </c>
      <c r="AQ141" s="44">
        <v>0</v>
      </c>
      <c r="AR141" s="43">
        <v>6879881.1100000003</v>
      </c>
      <c r="AS141" s="43">
        <v>42171697.109999999</v>
      </c>
      <c r="AT141" s="30">
        <f t="shared" si="87"/>
        <v>42171697.109999999</v>
      </c>
      <c r="AU141" s="18">
        <f>AJ141-AM141</f>
        <v>20046659.789999999</v>
      </c>
      <c r="AV141" s="110">
        <f>AM141-AP141</f>
        <v>7192797.8699999973</v>
      </c>
      <c r="AW141" s="18">
        <f>AP141-AT141</f>
        <v>588845.23000000417</v>
      </c>
      <c r="AX141" s="32">
        <f t="shared" si="84"/>
        <v>0.61086489057142868</v>
      </c>
    </row>
    <row r="142" spans="1:50" ht="18.75" customHeight="1" x14ac:dyDescent="0.2">
      <c r="A142" s="4" t="s">
        <v>55</v>
      </c>
      <c r="B142" s="4" t="s">
        <v>56</v>
      </c>
      <c r="C142" s="4"/>
      <c r="D142" s="4" t="s">
        <v>40</v>
      </c>
      <c r="E142" s="4"/>
      <c r="F142" s="4"/>
      <c r="G142" s="4" t="s">
        <v>41</v>
      </c>
      <c r="H142" s="4"/>
      <c r="I142" s="4" t="s">
        <v>936</v>
      </c>
      <c r="J142" s="4"/>
      <c r="K142" s="4" t="s">
        <v>932</v>
      </c>
      <c r="L142" s="4"/>
      <c r="M142" s="4" t="s">
        <v>933</v>
      </c>
      <c r="N142" s="4"/>
      <c r="O142" s="4" t="s">
        <v>938</v>
      </c>
      <c r="P142" s="4"/>
      <c r="Q142" s="4" t="s">
        <v>942</v>
      </c>
      <c r="R142" s="4"/>
      <c r="S142" s="4" t="s">
        <v>940</v>
      </c>
      <c r="T142" s="4">
        <v>0</v>
      </c>
      <c r="U142" s="4">
        <v>0</v>
      </c>
      <c r="V142" s="4">
        <v>0</v>
      </c>
      <c r="W142" s="4">
        <v>0</v>
      </c>
      <c r="X142" s="4" t="s">
        <v>937</v>
      </c>
      <c r="Y142" s="4"/>
      <c r="Z142" s="4"/>
      <c r="AA142" s="41" t="s">
        <v>902</v>
      </c>
      <c r="AB142" s="42" t="s">
        <v>249</v>
      </c>
      <c r="AC142" s="43" t="s">
        <v>58</v>
      </c>
      <c r="AD142" s="43">
        <v>30000000</v>
      </c>
      <c r="AE142" s="44">
        <v>0</v>
      </c>
      <c r="AF142" s="44">
        <v>0</v>
      </c>
      <c r="AG142" s="44">
        <v>0</v>
      </c>
      <c r="AH142" s="44">
        <v>0</v>
      </c>
      <c r="AI142" s="44">
        <v>0</v>
      </c>
      <c r="AJ142" s="43">
        <v>30000000</v>
      </c>
      <c r="AK142" s="44">
        <v>0</v>
      </c>
      <c r="AL142" s="44">
        <v>0</v>
      </c>
      <c r="AM142" s="44">
        <v>0</v>
      </c>
      <c r="AN142" s="44">
        <v>0</v>
      </c>
      <c r="AO142" s="44">
        <v>0</v>
      </c>
      <c r="AP142" s="44">
        <v>0</v>
      </c>
      <c r="AQ142" s="44">
        <v>0</v>
      </c>
      <c r="AR142" s="44">
        <v>0</v>
      </c>
      <c r="AS142" s="44">
        <v>0</v>
      </c>
      <c r="AT142" s="31">
        <f t="shared" si="87"/>
        <v>0</v>
      </c>
      <c r="AU142" s="18">
        <f>AJ142-AM142</f>
        <v>30000000</v>
      </c>
      <c r="AV142" s="34">
        <f>AM142-AP142</f>
        <v>0</v>
      </c>
      <c r="AW142" s="34">
        <f>AP142-AT142</f>
        <v>0</v>
      </c>
      <c r="AX142" s="32">
        <f t="shared" si="84"/>
        <v>0</v>
      </c>
    </row>
    <row r="143" spans="1:50" s="201" customFormat="1" ht="18.75" customHeight="1" x14ac:dyDescent="0.2">
      <c r="A143" s="199"/>
      <c r="B143" s="199"/>
      <c r="C143" s="199"/>
      <c r="D143" s="199"/>
      <c r="E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70" t="s">
        <v>996</v>
      </c>
      <c r="AB143" s="165" t="s">
        <v>997</v>
      </c>
      <c r="AC143" s="200"/>
      <c r="AD143" s="177">
        <f>AD147</f>
        <v>0</v>
      </c>
      <c r="AE143" s="176">
        <f t="shared" ref="AE143:AW143" si="88">AE147</f>
        <v>265813663</v>
      </c>
      <c r="AF143" s="177">
        <f t="shared" si="88"/>
        <v>0</v>
      </c>
      <c r="AG143" s="177">
        <f t="shared" si="88"/>
        <v>0</v>
      </c>
      <c r="AH143" s="177">
        <f t="shared" si="88"/>
        <v>0</v>
      </c>
      <c r="AI143" s="176">
        <f t="shared" si="88"/>
        <v>265813663</v>
      </c>
      <c r="AJ143" s="176">
        <f t="shared" si="88"/>
        <v>265813663</v>
      </c>
      <c r="AK143" s="177">
        <f t="shared" si="88"/>
        <v>0</v>
      </c>
      <c r="AL143" s="176">
        <f t="shared" si="88"/>
        <v>259240330</v>
      </c>
      <c r="AM143" s="176">
        <f t="shared" si="88"/>
        <v>259240330</v>
      </c>
      <c r="AN143" s="177">
        <f t="shared" si="88"/>
        <v>0</v>
      </c>
      <c r="AO143" s="176">
        <f t="shared" si="88"/>
        <v>259240330</v>
      </c>
      <c r="AP143" s="176">
        <f t="shared" si="88"/>
        <v>259240330</v>
      </c>
      <c r="AQ143" s="177">
        <f t="shared" si="88"/>
        <v>0</v>
      </c>
      <c r="AR143" s="177">
        <f t="shared" si="88"/>
        <v>0</v>
      </c>
      <c r="AS143" s="177">
        <f t="shared" si="88"/>
        <v>0</v>
      </c>
      <c r="AT143" s="177">
        <f t="shared" si="88"/>
        <v>0</v>
      </c>
      <c r="AU143" s="176">
        <f t="shared" si="88"/>
        <v>6573333</v>
      </c>
      <c r="AV143" s="177">
        <f t="shared" si="88"/>
        <v>0</v>
      </c>
      <c r="AW143" s="176">
        <f t="shared" si="88"/>
        <v>259240330</v>
      </c>
      <c r="AX143" s="32">
        <f t="shared" si="84"/>
        <v>0.97527089869718242</v>
      </c>
    </row>
    <row r="144" spans="1:50" ht="18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166" t="s">
        <v>998</v>
      </c>
      <c r="AB144" s="167" t="s">
        <v>999</v>
      </c>
      <c r="AC144" s="168"/>
      <c r="AD144" s="44"/>
      <c r="AE144" s="44"/>
      <c r="AF144" s="44"/>
      <c r="AG144" s="44"/>
      <c r="AH144" s="44"/>
      <c r="AI144" s="44"/>
      <c r="AJ144" s="43"/>
      <c r="AK144" s="44"/>
      <c r="AL144" s="44"/>
      <c r="AM144" s="44"/>
      <c r="AN144" s="44"/>
      <c r="AO144" s="43"/>
      <c r="AP144" s="43"/>
      <c r="AQ144" s="44"/>
      <c r="AR144" s="44"/>
      <c r="AS144" s="44"/>
      <c r="AT144" s="31"/>
      <c r="AU144" s="18"/>
      <c r="AV144" s="34"/>
      <c r="AW144" s="18"/>
      <c r="AX144" s="32"/>
    </row>
    <row r="145" spans="1:50" ht="18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166" t="s">
        <v>1000</v>
      </c>
      <c r="AB145" s="167" t="s">
        <v>1001</v>
      </c>
      <c r="AC145" s="168"/>
      <c r="AD145" s="44"/>
      <c r="AE145" s="44"/>
      <c r="AF145" s="44"/>
      <c r="AG145" s="44"/>
      <c r="AH145" s="44"/>
      <c r="AI145" s="44"/>
      <c r="AJ145" s="43"/>
      <c r="AK145" s="44"/>
      <c r="AL145" s="44"/>
      <c r="AM145" s="44"/>
      <c r="AN145" s="44"/>
      <c r="AO145" s="43"/>
      <c r="AP145" s="43"/>
      <c r="AQ145" s="44"/>
      <c r="AR145" s="44"/>
      <c r="AS145" s="44"/>
      <c r="AT145" s="31"/>
      <c r="AU145" s="18"/>
      <c r="AV145" s="34"/>
      <c r="AW145" s="18"/>
      <c r="AX145" s="32"/>
    </row>
    <row r="146" spans="1:50" ht="18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166" t="s">
        <v>1002</v>
      </c>
      <c r="AB146" s="167" t="s">
        <v>1003</v>
      </c>
      <c r="AC146" s="168"/>
      <c r="AD146" s="44"/>
      <c r="AE146" s="44"/>
      <c r="AF146" s="44"/>
      <c r="AG146" s="44"/>
      <c r="AH146" s="44"/>
      <c r="AI146" s="44"/>
      <c r="AJ146" s="43"/>
      <c r="AK146" s="44"/>
      <c r="AL146" s="44"/>
      <c r="AM146" s="44"/>
      <c r="AN146" s="44"/>
      <c r="AO146" s="43"/>
      <c r="AP146" s="43"/>
      <c r="AQ146" s="44"/>
      <c r="AR146" s="44"/>
      <c r="AS146" s="44"/>
      <c r="AT146" s="31"/>
      <c r="AU146" s="18"/>
      <c r="AV146" s="34"/>
      <c r="AW146" s="18"/>
      <c r="AX146" s="32"/>
    </row>
    <row r="147" spans="1:50" ht="18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166" t="s">
        <v>1004</v>
      </c>
      <c r="AB147" s="167" t="s">
        <v>1005</v>
      </c>
      <c r="AC147" s="168"/>
      <c r="AD147" s="44">
        <v>0</v>
      </c>
      <c r="AE147" s="43">
        <v>265813663</v>
      </c>
      <c r="AF147" s="44">
        <v>0</v>
      </c>
      <c r="AG147" s="44">
        <v>0</v>
      </c>
      <c r="AH147" s="44">
        <v>0</v>
      </c>
      <c r="AI147" s="18">
        <f>AE147-AF147+AG147-AH147</f>
        <v>265813663</v>
      </c>
      <c r="AJ147" s="18">
        <f>AD147+AI147</f>
        <v>265813663</v>
      </c>
      <c r="AK147" s="44">
        <v>0</v>
      </c>
      <c r="AL147" s="43">
        <v>259240330</v>
      </c>
      <c r="AM147" s="43">
        <v>259240330</v>
      </c>
      <c r="AN147" s="44">
        <v>0</v>
      </c>
      <c r="AO147" s="43">
        <v>259240330</v>
      </c>
      <c r="AP147" s="43">
        <v>259240330</v>
      </c>
      <c r="AQ147" s="44">
        <v>0</v>
      </c>
      <c r="AR147" s="44">
        <v>0</v>
      </c>
      <c r="AS147" s="44">
        <v>0</v>
      </c>
      <c r="AT147" s="31">
        <f t="shared" ref="AT147" si="89">AQ147+AS147</f>
        <v>0</v>
      </c>
      <c r="AU147" s="18">
        <f>AJ147-AM147</f>
        <v>6573333</v>
      </c>
      <c r="AV147" s="34">
        <f>AM147-AP147</f>
        <v>0</v>
      </c>
      <c r="AW147" s="18">
        <f>AP147-AT147</f>
        <v>259240330</v>
      </c>
      <c r="AX147" s="32">
        <f>AP147/AJ147</f>
        <v>0.97527089869718242</v>
      </c>
    </row>
    <row r="148" spans="1:50" s="25" customFormat="1" ht="27.75" customHeight="1" x14ac:dyDescent="0.2">
      <c r="A148" s="19" t="s">
        <v>55</v>
      </c>
      <c r="B148" s="19" t="s">
        <v>56</v>
      </c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7" t="s">
        <v>903</v>
      </c>
      <c r="AB148" s="198" t="s">
        <v>250</v>
      </c>
      <c r="AC148" s="22" t="s">
        <v>37</v>
      </c>
      <c r="AD148" s="22">
        <f>AD149+AD153+AD158+AD151</f>
        <v>4677993416.5</v>
      </c>
      <c r="AE148" s="23">
        <f t="shared" ref="AE148:AK148" si="90">AE149+AE153+AE158+AE151</f>
        <v>0</v>
      </c>
      <c r="AF148" s="23">
        <f t="shared" si="90"/>
        <v>0</v>
      </c>
      <c r="AG148" s="22">
        <f>AG149+AG153+AG158+AG151+AG152</f>
        <v>42000000</v>
      </c>
      <c r="AH148" s="22">
        <f t="shared" ref="AH148:AJ148" si="91">AH149+AH153+AH158+AH151+AH152</f>
        <v>0</v>
      </c>
      <c r="AI148" s="22">
        <f t="shared" si="91"/>
        <v>42000000</v>
      </c>
      <c r="AJ148" s="22">
        <f t="shared" si="91"/>
        <v>4719993416.5</v>
      </c>
      <c r="AK148" s="23">
        <f t="shared" si="90"/>
        <v>0</v>
      </c>
      <c r="AL148" s="22">
        <f>AL149+AL153+AL158+AL151+AL152</f>
        <v>2612407281.5</v>
      </c>
      <c r="AM148" s="22">
        <f t="shared" ref="AM148:AW148" si="92">AM149+AM153+AM158+AM151+AM152</f>
        <v>4504771368.5</v>
      </c>
      <c r="AN148" s="22">
        <f t="shared" si="92"/>
        <v>244455</v>
      </c>
      <c r="AO148" s="22">
        <f t="shared" si="92"/>
        <v>2612162826.5</v>
      </c>
      <c r="AP148" s="22">
        <f t="shared" si="92"/>
        <v>4504526903.5</v>
      </c>
      <c r="AQ148" s="23">
        <f t="shared" si="92"/>
        <v>0</v>
      </c>
      <c r="AR148" s="22">
        <f t="shared" si="92"/>
        <v>2612162826.5</v>
      </c>
      <c r="AS148" s="22">
        <f t="shared" si="92"/>
        <v>4504476603.5</v>
      </c>
      <c r="AT148" s="22">
        <f t="shared" si="92"/>
        <v>4504476603.5</v>
      </c>
      <c r="AU148" s="22">
        <f t="shared" si="92"/>
        <v>215222048</v>
      </c>
      <c r="AV148" s="22">
        <f t="shared" si="92"/>
        <v>244465</v>
      </c>
      <c r="AW148" s="22">
        <f t="shared" si="92"/>
        <v>50300</v>
      </c>
      <c r="AX148" s="24">
        <f>AP148/AJ148</f>
        <v>0.95435025136967799</v>
      </c>
    </row>
    <row r="149" spans="1:50" ht="18.75" customHeight="1" x14ac:dyDescent="0.2">
      <c r="A149" s="27" t="s">
        <v>55</v>
      </c>
      <c r="B149" s="27" t="s">
        <v>56</v>
      </c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8" t="s">
        <v>904</v>
      </c>
      <c r="AB149" s="29" t="s">
        <v>251</v>
      </c>
      <c r="AC149" s="30" t="s">
        <v>37</v>
      </c>
      <c r="AD149" s="30">
        <f>AD150</f>
        <v>50000000</v>
      </c>
      <c r="AE149" s="31">
        <f t="shared" ref="AE149:AW149" si="93">AE150</f>
        <v>0</v>
      </c>
      <c r="AF149" s="31">
        <f t="shared" si="93"/>
        <v>0</v>
      </c>
      <c r="AG149" s="31">
        <f t="shared" si="93"/>
        <v>0</v>
      </c>
      <c r="AH149" s="31">
        <f t="shared" si="93"/>
        <v>0</v>
      </c>
      <c r="AI149" s="31">
        <f t="shared" si="93"/>
        <v>0</v>
      </c>
      <c r="AJ149" s="30">
        <f>AJ150</f>
        <v>50000000</v>
      </c>
      <c r="AK149" s="31">
        <f t="shared" si="93"/>
        <v>0</v>
      </c>
      <c r="AL149" s="31">
        <f t="shared" si="93"/>
        <v>0</v>
      </c>
      <c r="AM149" s="31">
        <f t="shared" si="93"/>
        <v>0</v>
      </c>
      <c r="AN149" s="31">
        <f t="shared" si="93"/>
        <v>0</v>
      </c>
      <c r="AO149" s="31">
        <f t="shared" si="93"/>
        <v>0</v>
      </c>
      <c r="AP149" s="31">
        <f t="shared" si="93"/>
        <v>0</v>
      </c>
      <c r="AQ149" s="31">
        <f t="shared" si="93"/>
        <v>0</v>
      </c>
      <c r="AR149" s="31">
        <f t="shared" si="93"/>
        <v>0</v>
      </c>
      <c r="AS149" s="31">
        <f t="shared" si="93"/>
        <v>0</v>
      </c>
      <c r="AT149" s="40">
        <f t="shared" si="93"/>
        <v>0</v>
      </c>
      <c r="AU149" s="30">
        <f t="shared" si="93"/>
        <v>50000000</v>
      </c>
      <c r="AV149" s="31">
        <f t="shared" si="93"/>
        <v>0</v>
      </c>
      <c r="AW149" s="31">
        <f t="shared" si="93"/>
        <v>0</v>
      </c>
      <c r="AX149" s="32">
        <f>AP149/AJ149</f>
        <v>0</v>
      </c>
    </row>
    <row r="150" spans="1:50" ht="18.75" customHeight="1" x14ac:dyDescent="0.2">
      <c r="A150" s="4" t="s">
        <v>55</v>
      </c>
      <c r="B150" s="4" t="s">
        <v>56</v>
      </c>
      <c r="C150" s="4"/>
      <c r="D150" s="4" t="s">
        <v>40</v>
      </c>
      <c r="E150" s="4"/>
      <c r="F150" s="4"/>
      <c r="G150" s="4" t="s">
        <v>41</v>
      </c>
      <c r="H150" s="4"/>
      <c r="I150" s="4" t="s">
        <v>936</v>
      </c>
      <c r="J150" s="4"/>
      <c r="K150" s="4" t="s">
        <v>932</v>
      </c>
      <c r="L150" s="4"/>
      <c r="M150" s="4" t="s">
        <v>933</v>
      </c>
      <c r="N150" s="4"/>
      <c r="O150" s="4" t="s">
        <v>938</v>
      </c>
      <c r="P150" s="4"/>
      <c r="Q150" s="4" t="s">
        <v>942</v>
      </c>
      <c r="R150" s="4"/>
      <c r="S150" s="4" t="s">
        <v>940</v>
      </c>
      <c r="T150" s="4">
        <v>0</v>
      </c>
      <c r="U150" s="4">
        <v>0</v>
      </c>
      <c r="V150" s="4">
        <v>0</v>
      </c>
      <c r="W150" s="4">
        <v>0</v>
      </c>
      <c r="X150" s="4" t="s">
        <v>937</v>
      </c>
      <c r="Y150" s="4"/>
      <c r="Z150" s="4"/>
      <c r="AA150" s="41" t="s">
        <v>905</v>
      </c>
      <c r="AB150" s="42" t="s">
        <v>252</v>
      </c>
      <c r="AC150" s="43" t="s">
        <v>58</v>
      </c>
      <c r="AD150" s="43">
        <v>50000000</v>
      </c>
      <c r="AE150" s="44">
        <v>0</v>
      </c>
      <c r="AF150" s="44">
        <v>0</v>
      </c>
      <c r="AG150" s="44">
        <v>0</v>
      </c>
      <c r="AH150" s="44">
        <v>0</v>
      </c>
      <c r="AI150" s="44">
        <v>0</v>
      </c>
      <c r="AJ150" s="43">
        <v>50000000</v>
      </c>
      <c r="AK150" s="44">
        <v>0</v>
      </c>
      <c r="AL150" s="44">
        <v>0</v>
      </c>
      <c r="AM150" s="44">
        <v>0</v>
      </c>
      <c r="AN150" s="44">
        <v>0</v>
      </c>
      <c r="AO150" s="44">
        <v>0</v>
      </c>
      <c r="AP150" s="44">
        <v>0</v>
      </c>
      <c r="AQ150" s="44">
        <v>0</v>
      </c>
      <c r="AR150" s="44">
        <v>0</v>
      </c>
      <c r="AS150" s="44">
        <v>0</v>
      </c>
      <c r="AT150" s="40">
        <f t="shared" ref="AT150:AT168" si="94">AQ150+AS150</f>
        <v>0</v>
      </c>
      <c r="AU150" s="18">
        <f t="shared" ref="AU150:AU161" si="95">AJ150-AM150</f>
        <v>50000000</v>
      </c>
      <c r="AV150" s="34">
        <f t="shared" ref="AV150:AV161" si="96">AM150-AP150</f>
        <v>0</v>
      </c>
      <c r="AW150" s="34">
        <f t="shared" ref="AW150:AW161" si="97">AP150-AT150</f>
        <v>0</v>
      </c>
      <c r="AX150" s="32">
        <f>AP150/AJ150</f>
        <v>0</v>
      </c>
    </row>
    <row r="151" spans="1:50" ht="18.75" customHeight="1" x14ac:dyDescent="0.2">
      <c r="A151" s="4" t="s">
        <v>55</v>
      </c>
      <c r="B151" s="4" t="s">
        <v>56</v>
      </c>
      <c r="C151" s="4"/>
      <c r="D151" s="4" t="s">
        <v>40</v>
      </c>
      <c r="E151" s="4"/>
      <c r="F151" s="4"/>
      <c r="G151" s="4" t="s">
        <v>41</v>
      </c>
      <c r="H151" s="4"/>
      <c r="I151" s="4" t="s">
        <v>936</v>
      </c>
      <c r="J151" s="4"/>
      <c r="K151" s="4" t="s">
        <v>932</v>
      </c>
      <c r="L151" s="4"/>
      <c r="M151" s="4" t="s">
        <v>933</v>
      </c>
      <c r="N151" s="4"/>
      <c r="O151" s="4" t="s">
        <v>938</v>
      </c>
      <c r="P151" s="4"/>
      <c r="Q151" s="4" t="s">
        <v>942</v>
      </c>
      <c r="R151" s="4"/>
      <c r="S151" s="4" t="s">
        <v>940</v>
      </c>
      <c r="T151" s="4">
        <v>0</v>
      </c>
      <c r="U151" s="4">
        <v>0</v>
      </c>
      <c r="V151" s="4">
        <v>0</v>
      </c>
      <c r="W151" s="4">
        <v>0</v>
      </c>
      <c r="X151" s="4" t="s">
        <v>937</v>
      </c>
      <c r="Y151" s="4"/>
      <c r="Z151" s="4"/>
      <c r="AA151" s="41" t="s">
        <v>867</v>
      </c>
      <c r="AB151" s="42" t="s">
        <v>253</v>
      </c>
      <c r="AC151" s="43" t="s">
        <v>58</v>
      </c>
      <c r="AD151" s="43">
        <v>50000000</v>
      </c>
      <c r="AE151" s="44">
        <v>0</v>
      </c>
      <c r="AF151" s="44">
        <v>0</v>
      </c>
      <c r="AG151" s="44">
        <v>0</v>
      </c>
      <c r="AH151" s="44">
        <v>0</v>
      </c>
      <c r="AI151" s="44">
        <v>0</v>
      </c>
      <c r="AJ151" s="43">
        <v>50000000</v>
      </c>
      <c r="AK151" s="44">
        <v>0</v>
      </c>
      <c r="AL151" s="44">
        <v>0</v>
      </c>
      <c r="AM151" s="43">
        <v>662900</v>
      </c>
      <c r="AN151" s="115">
        <v>0</v>
      </c>
      <c r="AO151" s="44">
        <v>0</v>
      </c>
      <c r="AP151" s="43">
        <v>662890</v>
      </c>
      <c r="AQ151" s="44">
        <v>0</v>
      </c>
      <c r="AR151" s="44">
        <v>0</v>
      </c>
      <c r="AS151" s="43">
        <v>612590</v>
      </c>
      <c r="AT151" s="39">
        <f t="shared" si="94"/>
        <v>612590</v>
      </c>
      <c r="AU151" s="18">
        <f t="shared" si="95"/>
        <v>49337100</v>
      </c>
      <c r="AV151" s="110">
        <f t="shared" si="96"/>
        <v>10</v>
      </c>
      <c r="AW151" s="18">
        <f t="shared" si="97"/>
        <v>50300</v>
      </c>
      <c r="AX151" s="32">
        <f>AP151/AJ151</f>
        <v>1.32578E-2</v>
      </c>
    </row>
    <row r="152" spans="1:50" ht="18.75" customHeight="1" x14ac:dyDescent="0.2">
      <c r="A152" s="4" t="s">
        <v>55</v>
      </c>
      <c r="B152" s="4" t="s">
        <v>56</v>
      </c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1" t="s">
        <v>866</v>
      </c>
      <c r="AB152" s="42" t="s">
        <v>254</v>
      </c>
      <c r="AC152" s="43" t="s">
        <v>58</v>
      </c>
      <c r="AD152" s="44">
        <v>0</v>
      </c>
      <c r="AE152" s="44">
        <v>0</v>
      </c>
      <c r="AF152" s="44">
        <v>0</v>
      </c>
      <c r="AG152" s="43">
        <f>10000000+12000000</f>
        <v>22000000</v>
      </c>
      <c r="AH152" s="44">
        <v>0</v>
      </c>
      <c r="AI152" s="18">
        <f>AE152-AF152+AG152-AH152</f>
        <v>22000000</v>
      </c>
      <c r="AJ152" s="18">
        <f>AD152+AI152</f>
        <v>22000000</v>
      </c>
      <c r="AK152" s="44">
        <v>0</v>
      </c>
      <c r="AL152" s="43">
        <v>244455</v>
      </c>
      <c r="AM152" s="43">
        <v>5292922</v>
      </c>
      <c r="AN152" s="44">
        <v>244455</v>
      </c>
      <c r="AO152" s="44">
        <v>0</v>
      </c>
      <c r="AP152" s="43">
        <v>5048467</v>
      </c>
      <c r="AQ152" s="44">
        <v>0</v>
      </c>
      <c r="AR152" s="44">
        <v>0</v>
      </c>
      <c r="AS152" s="43">
        <v>5048467</v>
      </c>
      <c r="AT152" s="39">
        <f t="shared" si="94"/>
        <v>5048467</v>
      </c>
      <c r="AU152" s="18">
        <f t="shared" si="95"/>
        <v>16707078</v>
      </c>
      <c r="AV152" s="18">
        <f t="shared" si="96"/>
        <v>244455</v>
      </c>
      <c r="AW152" s="34">
        <f t="shared" si="97"/>
        <v>0</v>
      </c>
      <c r="AX152" s="32">
        <v>0</v>
      </c>
    </row>
    <row r="153" spans="1:50" ht="18.75" customHeight="1" x14ac:dyDescent="0.2">
      <c r="A153" s="27" t="s">
        <v>55</v>
      </c>
      <c r="B153" s="27" t="s">
        <v>56</v>
      </c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8" t="s">
        <v>865</v>
      </c>
      <c r="AB153" s="29" t="s">
        <v>255</v>
      </c>
      <c r="AC153" s="30" t="s">
        <v>37</v>
      </c>
      <c r="AD153" s="30">
        <f>AD154+AD157</f>
        <v>4527993416.5</v>
      </c>
      <c r="AE153" s="31">
        <f t="shared" ref="AE153:AS153" si="98">AE154+AE157</f>
        <v>0</v>
      </c>
      <c r="AF153" s="31">
        <f t="shared" si="98"/>
        <v>0</v>
      </c>
      <c r="AG153" s="30">
        <f t="shared" si="98"/>
        <v>20000000</v>
      </c>
      <c r="AH153" s="31">
        <f t="shared" si="98"/>
        <v>0</v>
      </c>
      <c r="AI153" s="18">
        <f>AE153-AF153+AG153-AH153</f>
        <v>20000000</v>
      </c>
      <c r="AJ153" s="18">
        <f>AD153+AI153</f>
        <v>4547993416.5</v>
      </c>
      <c r="AK153" s="31">
        <f t="shared" si="98"/>
        <v>0</v>
      </c>
      <c r="AL153" s="30">
        <f t="shared" si="98"/>
        <v>2612162826.5</v>
      </c>
      <c r="AM153" s="30">
        <f t="shared" si="98"/>
        <v>4498565546.5</v>
      </c>
      <c r="AN153" s="31">
        <f t="shared" si="98"/>
        <v>0</v>
      </c>
      <c r="AO153" s="30">
        <f t="shared" si="98"/>
        <v>2612162826.5</v>
      </c>
      <c r="AP153" s="30">
        <f t="shared" si="98"/>
        <v>4498565546.5</v>
      </c>
      <c r="AQ153" s="31">
        <f t="shared" si="98"/>
        <v>0</v>
      </c>
      <c r="AR153" s="30">
        <f t="shared" si="98"/>
        <v>2612162826.5</v>
      </c>
      <c r="AS153" s="30">
        <f t="shared" si="98"/>
        <v>4498565546.5</v>
      </c>
      <c r="AT153" s="39">
        <f t="shared" si="94"/>
        <v>4498565546.5</v>
      </c>
      <c r="AU153" s="18">
        <f t="shared" si="95"/>
        <v>49427870</v>
      </c>
      <c r="AV153" s="34">
        <f t="shared" si="96"/>
        <v>0</v>
      </c>
      <c r="AW153" s="34">
        <f t="shared" si="97"/>
        <v>0</v>
      </c>
      <c r="AX153" s="32">
        <f t="shared" ref="AX153:AX188" si="99">AP153/AJ153</f>
        <v>0.98913193897320151</v>
      </c>
    </row>
    <row r="154" spans="1:50" ht="18.75" customHeight="1" x14ac:dyDescent="0.2">
      <c r="A154" s="27" t="s">
        <v>55</v>
      </c>
      <c r="B154" s="27" t="s">
        <v>56</v>
      </c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8" t="s">
        <v>864</v>
      </c>
      <c r="AB154" s="29" t="s">
        <v>256</v>
      </c>
      <c r="AC154" s="30" t="s">
        <v>37</v>
      </c>
      <c r="AD154" s="30">
        <f>AD155+AD156</f>
        <v>4477993416.5</v>
      </c>
      <c r="AE154" s="31">
        <f t="shared" ref="AE154:AS154" si="100">AE155+AE156</f>
        <v>0</v>
      </c>
      <c r="AF154" s="31">
        <f t="shared" si="100"/>
        <v>0</v>
      </c>
      <c r="AG154" s="31">
        <f t="shared" si="100"/>
        <v>0</v>
      </c>
      <c r="AH154" s="31">
        <f t="shared" si="100"/>
        <v>0</v>
      </c>
      <c r="AI154" s="31">
        <f t="shared" si="100"/>
        <v>0</v>
      </c>
      <c r="AJ154" s="30">
        <f t="shared" si="100"/>
        <v>4477993416.5</v>
      </c>
      <c r="AK154" s="31">
        <f t="shared" si="100"/>
        <v>0</v>
      </c>
      <c r="AL154" s="30">
        <f t="shared" si="100"/>
        <v>2612162826.5</v>
      </c>
      <c r="AM154" s="30">
        <f t="shared" si="100"/>
        <v>4477993416.5</v>
      </c>
      <c r="AN154" s="31">
        <f t="shared" si="100"/>
        <v>0</v>
      </c>
      <c r="AO154" s="30">
        <f t="shared" si="100"/>
        <v>2612162826.5</v>
      </c>
      <c r="AP154" s="30">
        <f t="shared" si="100"/>
        <v>4477993416.5</v>
      </c>
      <c r="AQ154" s="31">
        <f t="shared" si="100"/>
        <v>0</v>
      </c>
      <c r="AR154" s="30">
        <f t="shared" si="100"/>
        <v>2612162826.5</v>
      </c>
      <c r="AS154" s="30">
        <f t="shared" si="100"/>
        <v>4477993416.5</v>
      </c>
      <c r="AT154" s="39">
        <f t="shared" si="94"/>
        <v>4477993416.5</v>
      </c>
      <c r="AU154" s="34">
        <f t="shared" si="95"/>
        <v>0</v>
      </c>
      <c r="AV154" s="34">
        <f t="shared" si="96"/>
        <v>0</v>
      </c>
      <c r="AW154" s="34">
        <f t="shared" si="97"/>
        <v>0</v>
      </c>
      <c r="AX154" s="32">
        <f t="shared" si="99"/>
        <v>1</v>
      </c>
    </row>
    <row r="155" spans="1:50" ht="18.75" customHeight="1" x14ac:dyDescent="0.2">
      <c r="A155" s="4" t="s">
        <v>55</v>
      </c>
      <c r="B155" s="4" t="s">
        <v>56</v>
      </c>
      <c r="C155" s="4"/>
      <c r="D155" s="4" t="s">
        <v>40</v>
      </c>
      <c r="E155" s="4"/>
      <c r="F155" s="4"/>
      <c r="G155" s="4" t="s">
        <v>41</v>
      </c>
      <c r="H155" s="4"/>
      <c r="I155" s="4" t="s">
        <v>936</v>
      </c>
      <c r="J155" s="4"/>
      <c r="K155" s="4" t="s">
        <v>932</v>
      </c>
      <c r="L155" s="4"/>
      <c r="M155" s="4" t="s">
        <v>933</v>
      </c>
      <c r="N155" s="4"/>
      <c r="O155" s="4" t="s">
        <v>938</v>
      </c>
      <c r="P155" s="4"/>
      <c r="Q155" s="4" t="s">
        <v>942</v>
      </c>
      <c r="R155" s="4"/>
      <c r="S155" s="4" t="s">
        <v>940</v>
      </c>
      <c r="T155" s="4">
        <v>0</v>
      </c>
      <c r="U155" s="4">
        <v>0</v>
      </c>
      <c r="V155" s="4">
        <v>0</v>
      </c>
      <c r="W155" s="4">
        <v>0</v>
      </c>
      <c r="X155" s="4" t="s">
        <v>937</v>
      </c>
      <c r="Y155" s="4"/>
      <c r="Z155" s="4"/>
      <c r="AA155" s="41" t="s">
        <v>863</v>
      </c>
      <c r="AB155" s="42" t="s">
        <v>233</v>
      </c>
      <c r="AC155" s="43" t="s">
        <v>58</v>
      </c>
      <c r="AD155" s="43">
        <v>3177230763</v>
      </c>
      <c r="AE155" s="44">
        <v>0</v>
      </c>
      <c r="AF155" s="44">
        <v>0</v>
      </c>
      <c r="AG155" s="44">
        <v>0</v>
      </c>
      <c r="AH155" s="44">
        <v>0</v>
      </c>
      <c r="AI155" s="44">
        <v>0</v>
      </c>
      <c r="AJ155" s="43">
        <v>3177230763</v>
      </c>
      <c r="AK155" s="44">
        <v>0</v>
      </c>
      <c r="AL155" s="43">
        <v>1853384613</v>
      </c>
      <c r="AM155" s="43">
        <v>3177230763</v>
      </c>
      <c r="AN155" s="44">
        <v>0</v>
      </c>
      <c r="AO155" s="43">
        <v>1853384613</v>
      </c>
      <c r="AP155" s="43">
        <v>3177230763</v>
      </c>
      <c r="AQ155" s="44">
        <v>0</v>
      </c>
      <c r="AR155" s="43">
        <v>1853384613</v>
      </c>
      <c r="AS155" s="43">
        <v>3177230763</v>
      </c>
      <c r="AT155" s="39">
        <f t="shared" si="94"/>
        <v>3177230763</v>
      </c>
      <c r="AU155" s="34">
        <f t="shared" si="95"/>
        <v>0</v>
      </c>
      <c r="AV155" s="34">
        <f t="shared" si="96"/>
        <v>0</v>
      </c>
      <c r="AW155" s="34">
        <f t="shared" si="97"/>
        <v>0</v>
      </c>
      <c r="AX155" s="32">
        <f t="shared" si="99"/>
        <v>1</v>
      </c>
    </row>
    <row r="156" spans="1:50" ht="18.75" customHeight="1" x14ac:dyDescent="0.2">
      <c r="A156" s="4" t="s">
        <v>55</v>
      </c>
      <c r="B156" s="4" t="s">
        <v>56</v>
      </c>
      <c r="C156" s="4"/>
      <c r="D156" s="4" t="s">
        <v>40</v>
      </c>
      <c r="E156" s="4"/>
      <c r="F156" s="4"/>
      <c r="G156" s="4" t="s">
        <v>41</v>
      </c>
      <c r="H156" s="4"/>
      <c r="I156" s="4" t="s">
        <v>936</v>
      </c>
      <c r="J156" s="4"/>
      <c r="K156" s="4" t="s">
        <v>932</v>
      </c>
      <c r="L156" s="4"/>
      <c r="M156" s="4" t="s">
        <v>933</v>
      </c>
      <c r="N156" s="4"/>
      <c r="O156" s="4" t="s">
        <v>938</v>
      </c>
      <c r="P156" s="4"/>
      <c r="Q156" s="4" t="s">
        <v>942</v>
      </c>
      <c r="R156" s="4"/>
      <c r="S156" s="4" t="s">
        <v>940</v>
      </c>
      <c r="T156" s="4">
        <v>0</v>
      </c>
      <c r="U156" s="4">
        <v>0</v>
      </c>
      <c r="V156" s="4">
        <v>0</v>
      </c>
      <c r="W156" s="4">
        <v>0</v>
      </c>
      <c r="X156" s="4" t="s">
        <v>937</v>
      </c>
      <c r="Y156" s="4"/>
      <c r="Z156" s="4"/>
      <c r="AA156" s="41" t="s">
        <v>862</v>
      </c>
      <c r="AB156" s="42" t="s">
        <v>257</v>
      </c>
      <c r="AC156" s="43" t="s">
        <v>258</v>
      </c>
      <c r="AD156" s="43">
        <v>1300762653.5</v>
      </c>
      <c r="AE156" s="44">
        <v>0</v>
      </c>
      <c r="AF156" s="44">
        <v>0</v>
      </c>
      <c r="AG156" s="44">
        <v>0</v>
      </c>
      <c r="AH156" s="44">
        <v>0</v>
      </c>
      <c r="AI156" s="44">
        <v>0</v>
      </c>
      <c r="AJ156" s="43">
        <v>1300762653.5</v>
      </c>
      <c r="AK156" s="44">
        <v>0</v>
      </c>
      <c r="AL156" s="43">
        <v>758778213.5</v>
      </c>
      <c r="AM156" s="43">
        <v>1300762653.5</v>
      </c>
      <c r="AN156" s="44">
        <v>0</v>
      </c>
      <c r="AO156" s="43">
        <v>758778213.5</v>
      </c>
      <c r="AP156" s="43">
        <v>1300762653.5</v>
      </c>
      <c r="AQ156" s="44">
        <v>0</v>
      </c>
      <c r="AR156" s="43">
        <v>758778213.5</v>
      </c>
      <c r="AS156" s="43">
        <v>1300762653.5</v>
      </c>
      <c r="AT156" s="39">
        <f t="shared" si="94"/>
        <v>1300762653.5</v>
      </c>
      <c r="AU156" s="34">
        <f t="shared" si="95"/>
        <v>0</v>
      </c>
      <c r="AV156" s="34">
        <f t="shared" si="96"/>
        <v>0</v>
      </c>
      <c r="AW156" s="34">
        <f t="shared" si="97"/>
        <v>0</v>
      </c>
      <c r="AX156" s="32">
        <f t="shared" si="99"/>
        <v>1</v>
      </c>
    </row>
    <row r="157" spans="1:50" ht="18.75" customHeight="1" x14ac:dyDescent="0.2">
      <c r="A157" s="4" t="s">
        <v>55</v>
      </c>
      <c r="B157" s="4" t="s">
        <v>56</v>
      </c>
      <c r="C157" s="4"/>
      <c r="D157" s="4" t="s">
        <v>40</v>
      </c>
      <c r="E157" s="4"/>
      <c r="F157" s="4"/>
      <c r="G157" s="4" t="s">
        <v>41</v>
      </c>
      <c r="H157" s="4"/>
      <c r="I157" s="4" t="s">
        <v>936</v>
      </c>
      <c r="J157" s="4"/>
      <c r="K157" s="4" t="s">
        <v>932</v>
      </c>
      <c r="L157" s="4"/>
      <c r="M157" s="4" t="s">
        <v>933</v>
      </c>
      <c r="N157" s="4"/>
      <c r="O157" s="4" t="s">
        <v>938</v>
      </c>
      <c r="P157" s="4"/>
      <c r="Q157" s="4" t="s">
        <v>942</v>
      </c>
      <c r="R157" s="4"/>
      <c r="S157" s="4" t="s">
        <v>940</v>
      </c>
      <c r="T157" s="4">
        <v>0</v>
      </c>
      <c r="U157" s="4">
        <v>0</v>
      </c>
      <c r="V157" s="4">
        <v>0</v>
      </c>
      <c r="W157" s="4">
        <v>0</v>
      </c>
      <c r="X157" s="4" t="s">
        <v>937</v>
      </c>
      <c r="Y157" s="4"/>
      <c r="Z157" s="4"/>
      <c r="AA157" s="41" t="s">
        <v>861</v>
      </c>
      <c r="AB157" s="42" t="s">
        <v>259</v>
      </c>
      <c r="AC157" s="43" t="s">
        <v>58</v>
      </c>
      <c r="AD157" s="43">
        <v>50000000</v>
      </c>
      <c r="AE157" s="44">
        <v>0</v>
      </c>
      <c r="AF157" s="44">
        <v>0</v>
      </c>
      <c r="AG157" s="43">
        <v>20000000</v>
      </c>
      <c r="AH157" s="44">
        <v>0</v>
      </c>
      <c r="AI157" s="18">
        <f>AE157-AF157+AG157-AH157</f>
        <v>20000000</v>
      </c>
      <c r="AJ157" s="18">
        <f>AD157+AI157</f>
        <v>70000000</v>
      </c>
      <c r="AK157" s="44">
        <v>0</v>
      </c>
      <c r="AL157" s="44">
        <v>0</v>
      </c>
      <c r="AM157" s="43">
        <v>20572130</v>
      </c>
      <c r="AN157" s="44">
        <v>0</v>
      </c>
      <c r="AO157" s="44">
        <v>0</v>
      </c>
      <c r="AP157" s="43">
        <v>20572130</v>
      </c>
      <c r="AQ157" s="44">
        <v>0</v>
      </c>
      <c r="AR157" s="44">
        <v>0</v>
      </c>
      <c r="AS157" s="43">
        <v>20572130</v>
      </c>
      <c r="AT157" s="39">
        <f t="shared" si="94"/>
        <v>20572130</v>
      </c>
      <c r="AU157" s="18">
        <f t="shared" si="95"/>
        <v>49427870</v>
      </c>
      <c r="AV157" s="34">
        <f t="shared" si="96"/>
        <v>0</v>
      </c>
      <c r="AW157" s="34">
        <f t="shared" si="97"/>
        <v>0</v>
      </c>
      <c r="AX157" s="32">
        <f t="shared" si="99"/>
        <v>0.29388757142857141</v>
      </c>
    </row>
    <row r="158" spans="1:50" ht="18.75" customHeight="1" x14ac:dyDescent="0.2">
      <c r="A158" s="27" t="s">
        <v>55</v>
      </c>
      <c r="B158" s="27" t="s">
        <v>56</v>
      </c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8" t="s">
        <v>860</v>
      </c>
      <c r="AB158" s="29" t="s">
        <v>260</v>
      </c>
      <c r="AC158" s="30" t="s">
        <v>37</v>
      </c>
      <c r="AD158" s="30">
        <f>AD159+AD161</f>
        <v>50000000</v>
      </c>
      <c r="AE158" s="31">
        <f t="shared" ref="AE158:AS158" si="101">AE159+AE161</f>
        <v>0</v>
      </c>
      <c r="AF158" s="31">
        <f t="shared" si="101"/>
        <v>0</v>
      </c>
      <c r="AG158" s="31">
        <f t="shared" si="101"/>
        <v>0</v>
      </c>
      <c r="AH158" s="31">
        <f t="shared" si="101"/>
        <v>0</v>
      </c>
      <c r="AI158" s="31">
        <f t="shared" si="101"/>
        <v>0</v>
      </c>
      <c r="AJ158" s="30">
        <f t="shared" si="101"/>
        <v>50000000</v>
      </c>
      <c r="AK158" s="31">
        <f t="shared" si="101"/>
        <v>0</v>
      </c>
      <c r="AL158" s="172">
        <f t="shared" si="101"/>
        <v>0</v>
      </c>
      <c r="AM158" s="109">
        <f t="shared" si="101"/>
        <v>250000</v>
      </c>
      <c r="AN158" s="31">
        <f t="shared" si="101"/>
        <v>0</v>
      </c>
      <c r="AO158" s="172">
        <f t="shared" si="101"/>
        <v>0</v>
      </c>
      <c r="AP158" s="109">
        <f t="shared" si="101"/>
        <v>250000</v>
      </c>
      <c r="AQ158" s="31">
        <f t="shared" si="101"/>
        <v>0</v>
      </c>
      <c r="AR158" s="31">
        <f t="shared" si="101"/>
        <v>0</v>
      </c>
      <c r="AS158" s="30">
        <f t="shared" si="101"/>
        <v>250000</v>
      </c>
      <c r="AT158" s="39">
        <f t="shared" si="94"/>
        <v>250000</v>
      </c>
      <c r="AU158" s="176">
        <f t="shared" si="95"/>
        <v>49750000</v>
      </c>
      <c r="AV158" s="34">
        <f t="shared" si="96"/>
        <v>0</v>
      </c>
      <c r="AW158" s="34">
        <f t="shared" si="97"/>
        <v>0</v>
      </c>
      <c r="AX158" s="32">
        <f t="shared" si="99"/>
        <v>5.0000000000000001E-3</v>
      </c>
    </row>
    <row r="159" spans="1:50" ht="18.75" customHeight="1" x14ac:dyDescent="0.2">
      <c r="A159" s="27" t="s">
        <v>55</v>
      </c>
      <c r="B159" s="27" t="s">
        <v>56</v>
      </c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8" t="s">
        <v>859</v>
      </c>
      <c r="AB159" s="29" t="s">
        <v>261</v>
      </c>
      <c r="AC159" s="30" t="s">
        <v>37</v>
      </c>
      <c r="AD159" s="30">
        <f>AD160</f>
        <v>10000000</v>
      </c>
      <c r="AE159" s="31">
        <f t="shared" ref="AE159:AS159" si="102">AE160</f>
        <v>0</v>
      </c>
      <c r="AF159" s="31">
        <f t="shared" si="102"/>
        <v>0</v>
      </c>
      <c r="AG159" s="31">
        <f t="shared" si="102"/>
        <v>0</v>
      </c>
      <c r="AH159" s="31">
        <f t="shared" si="102"/>
        <v>0</v>
      </c>
      <c r="AI159" s="31">
        <f t="shared" si="102"/>
        <v>0</v>
      </c>
      <c r="AJ159" s="30">
        <f t="shared" si="102"/>
        <v>10000000</v>
      </c>
      <c r="AK159" s="31">
        <f t="shared" si="102"/>
        <v>0</v>
      </c>
      <c r="AL159" s="172">
        <f t="shared" si="102"/>
        <v>0</v>
      </c>
      <c r="AM159" s="109">
        <f t="shared" si="102"/>
        <v>250000</v>
      </c>
      <c r="AN159" s="31">
        <f t="shared" si="102"/>
        <v>0</v>
      </c>
      <c r="AO159" s="172">
        <f t="shared" si="102"/>
        <v>0</v>
      </c>
      <c r="AP159" s="109">
        <f t="shared" si="102"/>
        <v>250000</v>
      </c>
      <c r="AQ159" s="31">
        <f t="shared" si="102"/>
        <v>0</v>
      </c>
      <c r="AR159" s="31">
        <f t="shared" si="102"/>
        <v>0</v>
      </c>
      <c r="AS159" s="30">
        <f t="shared" si="102"/>
        <v>250000</v>
      </c>
      <c r="AT159" s="39">
        <f t="shared" si="94"/>
        <v>250000</v>
      </c>
      <c r="AU159" s="176">
        <f t="shared" si="95"/>
        <v>9750000</v>
      </c>
      <c r="AV159" s="34">
        <f t="shared" si="96"/>
        <v>0</v>
      </c>
      <c r="AW159" s="34">
        <f t="shared" si="97"/>
        <v>0</v>
      </c>
      <c r="AX159" s="32">
        <f t="shared" si="99"/>
        <v>2.5000000000000001E-2</v>
      </c>
    </row>
    <row r="160" spans="1:50" ht="18.75" customHeight="1" x14ac:dyDescent="0.2">
      <c r="A160" s="4" t="s">
        <v>55</v>
      </c>
      <c r="B160" s="4" t="s">
        <v>56</v>
      </c>
      <c r="C160" s="4"/>
      <c r="D160" s="4" t="s">
        <v>40</v>
      </c>
      <c r="E160" s="4"/>
      <c r="F160" s="4"/>
      <c r="G160" s="4" t="s">
        <v>41</v>
      </c>
      <c r="H160" s="4"/>
      <c r="I160" s="4" t="s">
        <v>936</v>
      </c>
      <c r="J160" s="4"/>
      <c r="K160" s="4" t="s">
        <v>932</v>
      </c>
      <c r="L160" s="4"/>
      <c r="M160" s="4" t="s">
        <v>933</v>
      </c>
      <c r="N160" s="4"/>
      <c r="O160" s="4" t="s">
        <v>938</v>
      </c>
      <c r="P160" s="4"/>
      <c r="Q160" s="4" t="s">
        <v>942</v>
      </c>
      <c r="R160" s="4"/>
      <c r="S160" s="4" t="s">
        <v>940</v>
      </c>
      <c r="T160" s="4">
        <v>0</v>
      </c>
      <c r="U160" s="4">
        <v>0</v>
      </c>
      <c r="V160" s="4">
        <v>0</v>
      </c>
      <c r="W160" s="4">
        <v>0</v>
      </c>
      <c r="X160" s="4" t="s">
        <v>937</v>
      </c>
      <c r="Y160" s="4"/>
      <c r="Z160" s="4"/>
      <c r="AA160" s="41" t="s">
        <v>858</v>
      </c>
      <c r="AB160" s="42" t="s">
        <v>262</v>
      </c>
      <c r="AC160" s="43" t="s">
        <v>58</v>
      </c>
      <c r="AD160" s="43">
        <v>10000000</v>
      </c>
      <c r="AE160" s="44">
        <v>0</v>
      </c>
      <c r="AF160" s="44">
        <v>0</v>
      </c>
      <c r="AG160" s="44">
        <v>0</v>
      </c>
      <c r="AH160" s="44">
        <v>0</v>
      </c>
      <c r="AI160" s="44">
        <v>0</v>
      </c>
      <c r="AJ160" s="43">
        <v>10000000</v>
      </c>
      <c r="AK160" s="44">
        <v>0</v>
      </c>
      <c r="AL160" s="115">
        <v>0</v>
      </c>
      <c r="AM160" s="114">
        <v>250000</v>
      </c>
      <c r="AN160" s="44">
        <v>0</v>
      </c>
      <c r="AO160" s="115">
        <v>0</v>
      </c>
      <c r="AP160" s="114">
        <v>250000</v>
      </c>
      <c r="AQ160" s="44">
        <v>0</v>
      </c>
      <c r="AR160" s="44">
        <v>0</v>
      </c>
      <c r="AS160" s="43">
        <v>250000</v>
      </c>
      <c r="AT160" s="39">
        <f t="shared" si="94"/>
        <v>250000</v>
      </c>
      <c r="AU160" s="18">
        <f t="shared" si="95"/>
        <v>9750000</v>
      </c>
      <c r="AV160" s="34">
        <f t="shared" si="96"/>
        <v>0</v>
      </c>
      <c r="AW160" s="34">
        <f t="shared" si="97"/>
        <v>0</v>
      </c>
      <c r="AX160" s="32">
        <f t="shared" si="99"/>
        <v>2.5000000000000001E-2</v>
      </c>
    </row>
    <row r="161" spans="1:50" ht="18.75" customHeight="1" x14ac:dyDescent="0.2">
      <c r="A161" s="4" t="s">
        <v>55</v>
      </c>
      <c r="B161" s="4" t="s">
        <v>56</v>
      </c>
      <c r="C161" s="4"/>
      <c r="D161" s="4" t="s">
        <v>40</v>
      </c>
      <c r="E161" s="4"/>
      <c r="F161" s="4"/>
      <c r="G161" s="4" t="s">
        <v>41</v>
      </c>
      <c r="H161" s="4"/>
      <c r="I161" s="4" t="s">
        <v>936</v>
      </c>
      <c r="J161" s="4"/>
      <c r="K161" s="4" t="s">
        <v>932</v>
      </c>
      <c r="L161" s="4"/>
      <c r="M161" s="4" t="s">
        <v>933</v>
      </c>
      <c r="N161" s="4"/>
      <c r="O161" s="4" t="s">
        <v>938</v>
      </c>
      <c r="P161" s="4"/>
      <c r="Q161" s="4" t="s">
        <v>942</v>
      </c>
      <c r="R161" s="4"/>
      <c r="S161" s="4" t="s">
        <v>940</v>
      </c>
      <c r="T161" s="4">
        <v>0</v>
      </c>
      <c r="U161" s="4">
        <v>0</v>
      </c>
      <c r="V161" s="4">
        <v>0</v>
      </c>
      <c r="W161" s="4">
        <v>0</v>
      </c>
      <c r="X161" s="4" t="s">
        <v>937</v>
      </c>
      <c r="Y161" s="4"/>
      <c r="Z161" s="4"/>
      <c r="AA161" s="41" t="s">
        <v>857</v>
      </c>
      <c r="AB161" s="42" t="s">
        <v>263</v>
      </c>
      <c r="AC161" s="43" t="s">
        <v>58</v>
      </c>
      <c r="AD161" s="43">
        <v>40000000</v>
      </c>
      <c r="AE161" s="44">
        <v>0</v>
      </c>
      <c r="AF161" s="44">
        <v>0</v>
      </c>
      <c r="AG161" s="44">
        <v>0</v>
      </c>
      <c r="AH161" s="44">
        <v>0</v>
      </c>
      <c r="AI161" s="44">
        <v>0</v>
      </c>
      <c r="AJ161" s="43">
        <v>40000000</v>
      </c>
      <c r="AK161" s="44">
        <v>0</v>
      </c>
      <c r="AL161" s="44">
        <v>0</v>
      </c>
      <c r="AM161" s="44">
        <v>0</v>
      </c>
      <c r="AN161" s="44">
        <v>0</v>
      </c>
      <c r="AO161" s="44">
        <v>0</v>
      </c>
      <c r="AP161" s="44">
        <v>0</v>
      </c>
      <c r="AQ161" s="44">
        <v>0</v>
      </c>
      <c r="AR161" s="44">
        <v>0</v>
      </c>
      <c r="AS161" s="44">
        <v>0</v>
      </c>
      <c r="AT161" s="40">
        <f t="shared" si="94"/>
        <v>0</v>
      </c>
      <c r="AU161" s="18">
        <f t="shared" si="95"/>
        <v>40000000</v>
      </c>
      <c r="AV161" s="34">
        <f t="shared" si="96"/>
        <v>0</v>
      </c>
      <c r="AW161" s="34">
        <f t="shared" si="97"/>
        <v>0</v>
      </c>
      <c r="AX161" s="32">
        <f t="shared" si="99"/>
        <v>0</v>
      </c>
    </row>
    <row r="162" spans="1:50" s="25" customFormat="1" ht="18.75" customHeight="1" x14ac:dyDescent="0.2">
      <c r="A162" s="19" t="s">
        <v>49</v>
      </c>
      <c r="B162" s="19" t="s">
        <v>50</v>
      </c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26" t="s">
        <v>856</v>
      </c>
      <c r="AB162" s="21" t="s">
        <v>264</v>
      </c>
      <c r="AC162" s="22" t="s">
        <v>37</v>
      </c>
      <c r="AD162" s="22">
        <f>AD163</f>
        <v>58452467165</v>
      </c>
      <c r="AE162" s="22">
        <f t="shared" ref="AE162:AW162" si="103">AE163</f>
        <v>5987472683.25</v>
      </c>
      <c r="AF162" s="23">
        <f t="shared" si="103"/>
        <v>0</v>
      </c>
      <c r="AG162" s="23">
        <f t="shared" si="103"/>
        <v>0</v>
      </c>
      <c r="AH162" s="23">
        <f t="shared" si="103"/>
        <v>0</v>
      </c>
      <c r="AI162" s="22">
        <f t="shared" si="103"/>
        <v>5987472683.25</v>
      </c>
      <c r="AJ162" s="22">
        <f>AJ163</f>
        <v>64439939848.25</v>
      </c>
      <c r="AK162" s="23">
        <f t="shared" si="103"/>
        <v>0</v>
      </c>
      <c r="AL162" s="22">
        <f t="shared" si="103"/>
        <v>4443103254.6000004</v>
      </c>
      <c r="AM162" s="22">
        <f t="shared" si="103"/>
        <v>19663067370.799999</v>
      </c>
      <c r="AN162" s="23">
        <f t="shared" si="103"/>
        <v>0</v>
      </c>
      <c r="AO162" s="22">
        <f t="shared" si="103"/>
        <v>4436842476</v>
      </c>
      <c r="AP162" s="22">
        <f t="shared" si="103"/>
        <v>19222453098.949997</v>
      </c>
      <c r="AQ162" s="22">
        <f t="shared" si="103"/>
        <v>45348507.850000001</v>
      </c>
      <c r="AR162" s="22">
        <f t="shared" si="103"/>
        <v>4500976573.0600004</v>
      </c>
      <c r="AS162" s="22">
        <f t="shared" si="103"/>
        <v>18781774465.709999</v>
      </c>
      <c r="AT162" s="22">
        <f t="shared" si="94"/>
        <v>18827122973.559998</v>
      </c>
      <c r="AU162" s="22">
        <f t="shared" si="103"/>
        <v>44776872477.450005</v>
      </c>
      <c r="AV162" s="108">
        <f t="shared" si="103"/>
        <v>440614271.85000002</v>
      </c>
      <c r="AW162" s="22">
        <f t="shared" si="103"/>
        <v>395330125.38999999</v>
      </c>
      <c r="AX162" s="24">
        <f t="shared" si="99"/>
        <v>0.29830029550333331</v>
      </c>
    </row>
    <row r="163" spans="1:50" s="25" customFormat="1" ht="18.75" customHeight="1" x14ac:dyDescent="0.2">
      <c r="A163" s="19" t="s">
        <v>55</v>
      </c>
      <c r="B163" s="19" t="s">
        <v>56</v>
      </c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26" t="s">
        <v>855</v>
      </c>
      <c r="AB163" s="21" t="s">
        <v>265</v>
      </c>
      <c r="AC163" s="22" t="s">
        <v>37</v>
      </c>
      <c r="AD163" s="22">
        <f>AD164+AD174+AD179+AD169+AD178</f>
        <v>58452467165</v>
      </c>
      <c r="AE163" s="22">
        <f t="shared" ref="AE163:AI163" si="104">AE164+AE174+AE179+AE169+AE178</f>
        <v>5987472683.25</v>
      </c>
      <c r="AF163" s="23">
        <f t="shared" si="104"/>
        <v>0</v>
      </c>
      <c r="AG163" s="23">
        <f t="shared" si="104"/>
        <v>0</v>
      </c>
      <c r="AH163" s="23">
        <f t="shared" si="104"/>
        <v>0</v>
      </c>
      <c r="AI163" s="22">
        <f t="shared" si="104"/>
        <v>5987472683.25</v>
      </c>
      <c r="AJ163" s="22">
        <f t="shared" ref="AJ163:AW163" si="105">AJ164+AJ174+AJ179+AJ169+AJ178</f>
        <v>64439939848.25</v>
      </c>
      <c r="AK163" s="22">
        <f t="shared" si="105"/>
        <v>0</v>
      </c>
      <c r="AL163" s="22">
        <f t="shared" si="105"/>
        <v>4443103254.6000004</v>
      </c>
      <c r="AM163" s="22">
        <f t="shared" si="105"/>
        <v>19663067370.799999</v>
      </c>
      <c r="AN163" s="23">
        <f t="shared" si="105"/>
        <v>0</v>
      </c>
      <c r="AO163" s="22">
        <f t="shared" si="105"/>
        <v>4436842476</v>
      </c>
      <c r="AP163" s="22">
        <f t="shared" si="105"/>
        <v>19222453098.949997</v>
      </c>
      <c r="AQ163" s="22">
        <f t="shared" si="105"/>
        <v>45348507.850000001</v>
      </c>
      <c r="AR163" s="22">
        <f t="shared" si="105"/>
        <v>4500976573.0600004</v>
      </c>
      <c r="AS163" s="22">
        <f t="shared" si="105"/>
        <v>18781774465.709999</v>
      </c>
      <c r="AT163" s="22">
        <f t="shared" si="105"/>
        <v>18827122973.559998</v>
      </c>
      <c r="AU163" s="22">
        <f t="shared" si="105"/>
        <v>44776872477.450005</v>
      </c>
      <c r="AV163" s="22">
        <f t="shared" si="105"/>
        <v>440614271.85000002</v>
      </c>
      <c r="AW163" s="22">
        <f t="shared" si="105"/>
        <v>395330125.38999999</v>
      </c>
      <c r="AX163" s="24">
        <f t="shared" si="99"/>
        <v>0.29830029550333331</v>
      </c>
    </row>
    <row r="164" spans="1:50" s="25" customFormat="1" ht="18.75" customHeight="1" x14ac:dyDescent="0.2">
      <c r="A164" s="19" t="s">
        <v>37</v>
      </c>
      <c r="B164" s="19" t="s">
        <v>37</v>
      </c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26" t="s">
        <v>854</v>
      </c>
      <c r="AB164" s="21" t="s">
        <v>266</v>
      </c>
      <c r="AC164" s="22" t="s">
        <v>37</v>
      </c>
      <c r="AD164" s="22">
        <f>AD165</f>
        <v>28000000000.57</v>
      </c>
      <c r="AE164" s="23">
        <f t="shared" ref="AE164:AW167" si="106">AE165</f>
        <v>0</v>
      </c>
      <c r="AF164" s="23">
        <f t="shared" si="106"/>
        <v>0</v>
      </c>
      <c r="AG164" s="23">
        <f t="shared" si="106"/>
        <v>0</v>
      </c>
      <c r="AH164" s="23">
        <f t="shared" si="106"/>
        <v>0</v>
      </c>
      <c r="AI164" s="23">
        <f t="shared" si="106"/>
        <v>0</v>
      </c>
      <c r="AJ164" s="22">
        <f t="shared" si="106"/>
        <v>28000000000.57</v>
      </c>
      <c r="AK164" s="23">
        <f t="shared" si="106"/>
        <v>0</v>
      </c>
      <c r="AL164" s="22">
        <f t="shared" si="106"/>
        <v>1374756112.46</v>
      </c>
      <c r="AM164" s="22">
        <f t="shared" si="106"/>
        <v>10549142958.959999</v>
      </c>
      <c r="AN164" s="23">
        <f t="shared" si="106"/>
        <v>0</v>
      </c>
      <c r="AO164" s="22">
        <f t="shared" si="106"/>
        <v>1374756112.46</v>
      </c>
      <c r="AP164" s="22">
        <f t="shared" si="106"/>
        <v>10549142958.959999</v>
      </c>
      <c r="AQ164" s="23">
        <f t="shared" si="106"/>
        <v>0</v>
      </c>
      <c r="AR164" s="22">
        <f t="shared" si="106"/>
        <v>1374756112.46</v>
      </c>
      <c r="AS164" s="22">
        <f t="shared" si="106"/>
        <v>10549142958.959999</v>
      </c>
      <c r="AT164" s="22">
        <f t="shared" si="94"/>
        <v>10549142958.959999</v>
      </c>
      <c r="AU164" s="22">
        <f t="shared" si="106"/>
        <v>17450857041.610001</v>
      </c>
      <c r="AV164" s="23">
        <f t="shared" si="106"/>
        <v>0</v>
      </c>
      <c r="AW164" s="23">
        <f t="shared" si="106"/>
        <v>0</v>
      </c>
      <c r="AX164" s="24">
        <f t="shared" si="99"/>
        <v>0.37675510566947318</v>
      </c>
    </row>
    <row r="165" spans="1:50" ht="18.75" customHeight="1" x14ac:dyDescent="0.2">
      <c r="A165" s="27" t="s">
        <v>37</v>
      </c>
      <c r="B165" s="27" t="s">
        <v>37</v>
      </c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8" t="s">
        <v>853</v>
      </c>
      <c r="AB165" s="29" t="s">
        <v>267</v>
      </c>
      <c r="AC165" s="30" t="s">
        <v>37</v>
      </c>
      <c r="AD165" s="30">
        <f>AD166</f>
        <v>28000000000.57</v>
      </c>
      <c r="AE165" s="31">
        <f t="shared" si="106"/>
        <v>0</v>
      </c>
      <c r="AF165" s="31">
        <f t="shared" si="106"/>
        <v>0</v>
      </c>
      <c r="AG165" s="31">
        <f t="shared" si="106"/>
        <v>0</v>
      </c>
      <c r="AH165" s="31">
        <f t="shared" si="106"/>
        <v>0</v>
      </c>
      <c r="AI165" s="31">
        <f t="shared" si="106"/>
        <v>0</v>
      </c>
      <c r="AJ165" s="30">
        <f t="shared" si="106"/>
        <v>28000000000.57</v>
      </c>
      <c r="AK165" s="31">
        <f t="shared" si="106"/>
        <v>0</v>
      </c>
      <c r="AL165" s="30">
        <f t="shared" si="106"/>
        <v>1374756112.46</v>
      </c>
      <c r="AM165" s="30">
        <f t="shared" si="106"/>
        <v>10549142958.959999</v>
      </c>
      <c r="AN165" s="31">
        <f t="shared" si="106"/>
        <v>0</v>
      </c>
      <c r="AO165" s="30">
        <f t="shared" si="106"/>
        <v>1374756112.46</v>
      </c>
      <c r="AP165" s="30">
        <f t="shared" si="106"/>
        <v>10549142958.959999</v>
      </c>
      <c r="AQ165" s="31">
        <f t="shared" si="106"/>
        <v>0</v>
      </c>
      <c r="AR165" s="30">
        <f t="shared" si="106"/>
        <v>1374756112.46</v>
      </c>
      <c r="AS165" s="30">
        <f t="shared" si="106"/>
        <v>10549142958.959999</v>
      </c>
      <c r="AT165" s="30">
        <f t="shared" si="94"/>
        <v>10549142958.959999</v>
      </c>
      <c r="AU165" s="18">
        <f>AJ165-AM165</f>
        <v>17450857041.610001</v>
      </c>
      <c r="AV165" s="34">
        <f>AM165-AP165</f>
        <v>0</v>
      </c>
      <c r="AW165" s="34">
        <f>AP165-AT165</f>
        <v>0</v>
      </c>
      <c r="AX165" s="32">
        <f t="shared" si="99"/>
        <v>0.37675510566947318</v>
      </c>
    </row>
    <row r="166" spans="1:50" ht="18.75" customHeight="1" x14ac:dyDescent="0.2">
      <c r="A166" s="27" t="s">
        <v>37</v>
      </c>
      <c r="B166" s="27" t="s">
        <v>37</v>
      </c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8" t="s">
        <v>852</v>
      </c>
      <c r="AB166" s="29" t="s">
        <v>268</v>
      </c>
      <c r="AC166" s="30" t="s">
        <v>37</v>
      </c>
      <c r="AD166" s="30">
        <f>AD167</f>
        <v>28000000000.57</v>
      </c>
      <c r="AE166" s="31">
        <f t="shared" si="106"/>
        <v>0</v>
      </c>
      <c r="AF166" s="31">
        <f t="shared" si="106"/>
        <v>0</v>
      </c>
      <c r="AG166" s="31">
        <f t="shared" si="106"/>
        <v>0</v>
      </c>
      <c r="AH166" s="31">
        <f t="shared" si="106"/>
        <v>0</v>
      </c>
      <c r="AI166" s="31">
        <f t="shared" si="106"/>
        <v>0</v>
      </c>
      <c r="AJ166" s="30">
        <f t="shared" si="106"/>
        <v>28000000000.57</v>
      </c>
      <c r="AK166" s="31">
        <f t="shared" si="106"/>
        <v>0</v>
      </c>
      <c r="AL166" s="30">
        <f t="shared" si="106"/>
        <v>1374756112.46</v>
      </c>
      <c r="AM166" s="30">
        <f t="shared" si="106"/>
        <v>10549142958.959999</v>
      </c>
      <c r="AN166" s="31">
        <f t="shared" si="106"/>
        <v>0</v>
      </c>
      <c r="AO166" s="30">
        <f t="shared" si="106"/>
        <v>1374756112.46</v>
      </c>
      <c r="AP166" s="30">
        <f t="shared" si="106"/>
        <v>10549142958.959999</v>
      </c>
      <c r="AQ166" s="31">
        <f t="shared" si="106"/>
        <v>0</v>
      </c>
      <c r="AR166" s="30">
        <f t="shared" si="106"/>
        <v>1374756112.46</v>
      </c>
      <c r="AS166" s="30">
        <f t="shared" si="106"/>
        <v>10549142958.959999</v>
      </c>
      <c r="AT166" s="30">
        <f t="shared" si="94"/>
        <v>10549142958.959999</v>
      </c>
      <c r="AU166" s="18">
        <f>AJ166-AM166</f>
        <v>17450857041.610001</v>
      </c>
      <c r="AV166" s="34">
        <f>AM166-AP166</f>
        <v>0</v>
      </c>
      <c r="AW166" s="34">
        <f>AP166-AT166</f>
        <v>0</v>
      </c>
      <c r="AX166" s="32">
        <f t="shared" si="99"/>
        <v>0.37675510566947318</v>
      </c>
    </row>
    <row r="167" spans="1:50" ht="18.75" customHeight="1" x14ac:dyDescent="0.2">
      <c r="A167" s="27" t="s">
        <v>37</v>
      </c>
      <c r="B167" s="27" t="s">
        <v>37</v>
      </c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8" t="s">
        <v>851</v>
      </c>
      <c r="AB167" s="29" t="s">
        <v>269</v>
      </c>
      <c r="AC167" s="30" t="s">
        <v>37</v>
      </c>
      <c r="AD167" s="30">
        <f>AD168</f>
        <v>28000000000.57</v>
      </c>
      <c r="AE167" s="31">
        <f t="shared" si="106"/>
        <v>0</v>
      </c>
      <c r="AF167" s="31">
        <f t="shared" si="106"/>
        <v>0</v>
      </c>
      <c r="AG167" s="31">
        <f t="shared" si="106"/>
        <v>0</v>
      </c>
      <c r="AH167" s="31">
        <f t="shared" si="106"/>
        <v>0</v>
      </c>
      <c r="AI167" s="31">
        <f t="shared" si="106"/>
        <v>0</v>
      </c>
      <c r="AJ167" s="30">
        <f t="shared" si="106"/>
        <v>28000000000.57</v>
      </c>
      <c r="AK167" s="31">
        <f t="shared" si="106"/>
        <v>0</v>
      </c>
      <c r="AL167" s="30">
        <f t="shared" si="106"/>
        <v>1374756112.46</v>
      </c>
      <c r="AM167" s="30">
        <f t="shared" si="106"/>
        <v>10549142958.959999</v>
      </c>
      <c r="AN167" s="31">
        <f t="shared" si="106"/>
        <v>0</v>
      </c>
      <c r="AO167" s="30">
        <f t="shared" si="106"/>
        <v>1374756112.46</v>
      </c>
      <c r="AP167" s="30">
        <f t="shared" si="106"/>
        <v>10549142958.959999</v>
      </c>
      <c r="AQ167" s="31">
        <f t="shared" si="106"/>
        <v>0</v>
      </c>
      <c r="AR167" s="30">
        <f t="shared" si="106"/>
        <v>1374756112.46</v>
      </c>
      <c r="AS167" s="30">
        <f t="shared" si="106"/>
        <v>10549142958.959999</v>
      </c>
      <c r="AT167" s="30">
        <f t="shared" si="94"/>
        <v>10549142958.959999</v>
      </c>
      <c r="AU167" s="18">
        <f>AJ167-AM167</f>
        <v>17450857041.610001</v>
      </c>
      <c r="AV167" s="34">
        <f>AM167-AP167</f>
        <v>0</v>
      </c>
      <c r="AW167" s="34">
        <f>AP167-AT167</f>
        <v>0</v>
      </c>
      <c r="AX167" s="32">
        <f t="shared" si="99"/>
        <v>0.37675510566947318</v>
      </c>
    </row>
    <row r="168" spans="1:50" ht="18.75" customHeight="1" x14ac:dyDescent="0.2">
      <c r="A168" s="4" t="s">
        <v>55</v>
      </c>
      <c r="B168" s="4" t="s">
        <v>56</v>
      </c>
      <c r="C168" s="4"/>
      <c r="D168" s="4" t="s">
        <v>947</v>
      </c>
      <c r="E168" s="4"/>
      <c r="F168" s="4"/>
      <c r="G168" s="4" t="s">
        <v>41</v>
      </c>
      <c r="H168" s="4"/>
      <c r="I168" s="4" t="s">
        <v>936</v>
      </c>
      <c r="J168" s="4"/>
      <c r="K168" s="4" t="s">
        <v>932</v>
      </c>
      <c r="L168" s="4"/>
      <c r="M168" s="4" t="s">
        <v>933</v>
      </c>
      <c r="N168" s="4"/>
      <c r="O168" s="4" t="s">
        <v>934</v>
      </c>
      <c r="P168" s="4"/>
      <c r="Q168" s="4" t="s">
        <v>935</v>
      </c>
      <c r="R168" s="4"/>
      <c r="S168" s="4" t="s">
        <v>940</v>
      </c>
      <c r="T168" s="4">
        <v>0</v>
      </c>
      <c r="U168" s="4">
        <v>0</v>
      </c>
      <c r="V168" s="4">
        <v>0</v>
      </c>
      <c r="W168" s="4"/>
      <c r="X168" s="4" t="s">
        <v>937</v>
      </c>
      <c r="Y168" s="4"/>
      <c r="Z168" s="4"/>
      <c r="AA168" s="41" t="s">
        <v>850</v>
      </c>
      <c r="AB168" s="42" t="s">
        <v>269</v>
      </c>
      <c r="AC168" s="43" t="s">
        <v>58</v>
      </c>
      <c r="AD168" s="43">
        <v>28000000000.57</v>
      </c>
      <c r="AE168" s="44">
        <v>0</v>
      </c>
      <c r="AF168" s="44">
        <v>0</v>
      </c>
      <c r="AG168" s="44">
        <v>0</v>
      </c>
      <c r="AH168" s="44">
        <v>0</v>
      </c>
      <c r="AI168" s="44">
        <v>0</v>
      </c>
      <c r="AJ168" s="43">
        <v>28000000000.57</v>
      </c>
      <c r="AK168" s="44">
        <v>0</v>
      </c>
      <c r="AL168" s="43">
        <v>1374756112.46</v>
      </c>
      <c r="AM168" s="43">
        <v>10549142958.959999</v>
      </c>
      <c r="AN168" s="44">
        <v>0</v>
      </c>
      <c r="AO168" s="43">
        <v>1374756112.46</v>
      </c>
      <c r="AP168" s="43">
        <v>10549142958.959999</v>
      </c>
      <c r="AQ168" s="44">
        <v>0</v>
      </c>
      <c r="AR168" s="43">
        <v>1374756112.46</v>
      </c>
      <c r="AS168" s="43">
        <v>10549142958.959999</v>
      </c>
      <c r="AT168" s="39">
        <f t="shared" si="94"/>
        <v>10549142958.959999</v>
      </c>
      <c r="AU168" s="18">
        <f>AJ168-AM168</f>
        <v>17450857041.610001</v>
      </c>
      <c r="AV168" s="34">
        <f>AM168-AP168</f>
        <v>0</v>
      </c>
      <c r="AW168" s="34">
        <f>AP168-AT168</f>
        <v>0</v>
      </c>
      <c r="AX168" s="32">
        <f t="shared" si="99"/>
        <v>0.37675510566947318</v>
      </c>
    </row>
    <row r="169" spans="1:50" s="25" customFormat="1" ht="18.75" customHeight="1" x14ac:dyDescent="0.2">
      <c r="A169" s="19" t="s">
        <v>37</v>
      </c>
      <c r="B169" s="19" t="s">
        <v>37</v>
      </c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26" t="s">
        <v>270</v>
      </c>
      <c r="AB169" s="21" t="s">
        <v>271</v>
      </c>
      <c r="AC169" s="22" t="s">
        <v>37</v>
      </c>
      <c r="AD169" s="22">
        <f>AD170</f>
        <v>21500000000</v>
      </c>
      <c r="AE169" s="23">
        <f t="shared" ref="AE169:AW172" si="107">AE170</f>
        <v>0</v>
      </c>
      <c r="AF169" s="23">
        <f t="shared" si="107"/>
        <v>0</v>
      </c>
      <c r="AG169" s="23">
        <f t="shared" si="107"/>
        <v>0</v>
      </c>
      <c r="AH169" s="23">
        <f t="shared" si="107"/>
        <v>0</v>
      </c>
      <c r="AI169" s="23">
        <f t="shared" si="107"/>
        <v>0</v>
      </c>
      <c r="AJ169" s="22">
        <f t="shared" si="107"/>
        <v>21500000000</v>
      </c>
      <c r="AK169" s="23">
        <f t="shared" si="107"/>
        <v>0</v>
      </c>
      <c r="AL169" s="22">
        <f t="shared" si="107"/>
        <v>2711071449.6100001</v>
      </c>
      <c r="AM169" s="22">
        <f t="shared" si="107"/>
        <v>6816381161.2700005</v>
      </c>
      <c r="AN169" s="23">
        <f t="shared" si="107"/>
        <v>0</v>
      </c>
      <c r="AO169" s="22">
        <f t="shared" si="107"/>
        <v>2711071449.6100001</v>
      </c>
      <c r="AP169" s="22">
        <f t="shared" si="107"/>
        <v>6816381161.2700005</v>
      </c>
      <c r="AQ169" s="23">
        <f t="shared" si="107"/>
        <v>0</v>
      </c>
      <c r="AR169" s="22">
        <f t="shared" si="107"/>
        <v>2711071449.6100001</v>
      </c>
      <c r="AS169" s="22">
        <f t="shared" si="107"/>
        <v>6816381161.2700005</v>
      </c>
      <c r="AT169" s="22">
        <f t="shared" si="107"/>
        <v>6816381161.2700005</v>
      </c>
      <c r="AU169" s="22">
        <f t="shared" si="107"/>
        <v>14683618838.73</v>
      </c>
      <c r="AV169" s="23">
        <f t="shared" si="107"/>
        <v>0</v>
      </c>
      <c r="AW169" s="23">
        <f t="shared" si="107"/>
        <v>0</v>
      </c>
      <c r="AX169" s="24">
        <f t="shared" si="99"/>
        <v>0.31704098424511629</v>
      </c>
    </row>
    <row r="170" spans="1:50" ht="18.75" customHeight="1" x14ac:dyDescent="0.2">
      <c r="A170" s="27" t="s">
        <v>37</v>
      </c>
      <c r="B170" s="27" t="s">
        <v>37</v>
      </c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8" t="s">
        <v>849</v>
      </c>
      <c r="AB170" s="29" t="s">
        <v>272</v>
      </c>
      <c r="AC170" s="30" t="s">
        <v>56</v>
      </c>
      <c r="AD170" s="30">
        <f>AD171</f>
        <v>21500000000</v>
      </c>
      <c r="AE170" s="31">
        <f t="shared" si="107"/>
        <v>0</v>
      </c>
      <c r="AF170" s="31">
        <f t="shared" si="107"/>
        <v>0</v>
      </c>
      <c r="AG170" s="31">
        <f t="shared" si="107"/>
        <v>0</v>
      </c>
      <c r="AH170" s="31">
        <f t="shared" si="107"/>
        <v>0</v>
      </c>
      <c r="AI170" s="31">
        <f t="shared" si="107"/>
        <v>0</v>
      </c>
      <c r="AJ170" s="30">
        <f t="shared" si="107"/>
        <v>21500000000</v>
      </c>
      <c r="AK170" s="31">
        <f t="shared" si="107"/>
        <v>0</v>
      </c>
      <c r="AL170" s="30">
        <f t="shared" si="107"/>
        <v>2711071449.6100001</v>
      </c>
      <c r="AM170" s="30">
        <f t="shared" si="107"/>
        <v>6816381161.2700005</v>
      </c>
      <c r="AN170" s="31">
        <f t="shared" si="107"/>
        <v>0</v>
      </c>
      <c r="AO170" s="30">
        <f t="shared" si="107"/>
        <v>2711071449.6100001</v>
      </c>
      <c r="AP170" s="30">
        <f t="shared" si="107"/>
        <v>6816381161.2700005</v>
      </c>
      <c r="AQ170" s="31">
        <f t="shared" si="107"/>
        <v>0</v>
      </c>
      <c r="AR170" s="30">
        <f t="shared" si="107"/>
        <v>2711071449.6100001</v>
      </c>
      <c r="AS170" s="30">
        <f t="shared" si="107"/>
        <v>6816381161.2700005</v>
      </c>
      <c r="AT170" s="30">
        <f t="shared" ref="AT170:AT173" si="108">AQ170+AS170</f>
        <v>6816381161.2700005</v>
      </c>
      <c r="AU170" s="18">
        <f>AJ170-AM170</f>
        <v>14683618838.73</v>
      </c>
      <c r="AV170" s="34">
        <f>AM170-AP170</f>
        <v>0</v>
      </c>
      <c r="AW170" s="34">
        <f>AP170-AT170</f>
        <v>0</v>
      </c>
      <c r="AX170" s="32">
        <f t="shared" si="99"/>
        <v>0.31704098424511629</v>
      </c>
    </row>
    <row r="171" spans="1:50" ht="18.75" customHeight="1" x14ac:dyDescent="0.2">
      <c r="A171" s="27" t="s">
        <v>37</v>
      </c>
      <c r="B171" s="27" t="s">
        <v>37</v>
      </c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8" t="s">
        <v>848</v>
      </c>
      <c r="AB171" s="29" t="s">
        <v>268</v>
      </c>
      <c r="AC171" s="30" t="s">
        <v>37</v>
      </c>
      <c r="AD171" s="30">
        <f>AD172</f>
        <v>21500000000</v>
      </c>
      <c r="AE171" s="31">
        <f t="shared" si="107"/>
        <v>0</v>
      </c>
      <c r="AF171" s="31">
        <f t="shared" si="107"/>
        <v>0</v>
      </c>
      <c r="AG171" s="31">
        <f t="shared" si="107"/>
        <v>0</v>
      </c>
      <c r="AH171" s="31">
        <f t="shared" si="107"/>
        <v>0</v>
      </c>
      <c r="AI171" s="31">
        <f t="shared" si="107"/>
        <v>0</v>
      </c>
      <c r="AJ171" s="30">
        <f t="shared" si="107"/>
        <v>21500000000</v>
      </c>
      <c r="AK171" s="31">
        <f t="shared" si="107"/>
        <v>0</v>
      </c>
      <c r="AL171" s="30">
        <f t="shared" si="107"/>
        <v>2711071449.6100001</v>
      </c>
      <c r="AM171" s="30">
        <f t="shared" si="107"/>
        <v>6816381161.2700005</v>
      </c>
      <c r="AN171" s="31">
        <f t="shared" si="107"/>
        <v>0</v>
      </c>
      <c r="AO171" s="30">
        <f t="shared" si="107"/>
        <v>2711071449.6100001</v>
      </c>
      <c r="AP171" s="30">
        <f t="shared" si="107"/>
        <v>6816381161.2700005</v>
      </c>
      <c r="AQ171" s="31">
        <f t="shared" si="107"/>
        <v>0</v>
      </c>
      <c r="AR171" s="30">
        <f t="shared" si="107"/>
        <v>2711071449.6100001</v>
      </c>
      <c r="AS171" s="30">
        <f t="shared" si="107"/>
        <v>6816381161.2700005</v>
      </c>
      <c r="AT171" s="30">
        <f t="shared" si="108"/>
        <v>6816381161.2700005</v>
      </c>
      <c r="AU171" s="18">
        <f>AJ171-AM171</f>
        <v>14683618838.73</v>
      </c>
      <c r="AV171" s="34">
        <f>AM171-AP171</f>
        <v>0</v>
      </c>
      <c r="AW171" s="34">
        <f>AP171-AT171</f>
        <v>0</v>
      </c>
      <c r="AX171" s="32">
        <f t="shared" si="99"/>
        <v>0.31704098424511629</v>
      </c>
    </row>
    <row r="172" spans="1:50" ht="18.75" customHeight="1" x14ac:dyDescent="0.2">
      <c r="A172" s="27" t="s">
        <v>37</v>
      </c>
      <c r="B172" s="27" t="s">
        <v>37</v>
      </c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8" t="s">
        <v>847</v>
      </c>
      <c r="AB172" s="29" t="s">
        <v>269</v>
      </c>
      <c r="AC172" s="30" t="s">
        <v>37</v>
      </c>
      <c r="AD172" s="30">
        <f>AD173</f>
        <v>21500000000</v>
      </c>
      <c r="AE172" s="31">
        <f t="shared" si="107"/>
        <v>0</v>
      </c>
      <c r="AF172" s="31">
        <f t="shared" si="107"/>
        <v>0</v>
      </c>
      <c r="AG172" s="31">
        <f t="shared" si="107"/>
        <v>0</v>
      </c>
      <c r="AH172" s="31">
        <f t="shared" si="107"/>
        <v>0</v>
      </c>
      <c r="AI172" s="31">
        <f t="shared" si="107"/>
        <v>0</v>
      </c>
      <c r="AJ172" s="30">
        <f t="shared" si="107"/>
        <v>21500000000</v>
      </c>
      <c r="AK172" s="31">
        <f t="shared" si="107"/>
        <v>0</v>
      </c>
      <c r="AL172" s="30">
        <f t="shared" si="107"/>
        <v>2711071449.6100001</v>
      </c>
      <c r="AM172" s="30">
        <f t="shared" si="107"/>
        <v>6816381161.2700005</v>
      </c>
      <c r="AN172" s="31">
        <f t="shared" si="107"/>
        <v>0</v>
      </c>
      <c r="AO172" s="30">
        <f t="shared" si="107"/>
        <v>2711071449.6100001</v>
      </c>
      <c r="AP172" s="30">
        <f t="shared" si="107"/>
        <v>6816381161.2700005</v>
      </c>
      <c r="AQ172" s="31">
        <f t="shared" si="107"/>
        <v>0</v>
      </c>
      <c r="AR172" s="30">
        <f t="shared" si="107"/>
        <v>2711071449.6100001</v>
      </c>
      <c r="AS172" s="30">
        <f t="shared" si="107"/>
        <v>6816381161.2700005</v>
      </c>
      <c r="AT172" s="30">
        <f t="shared" si="108"/>
        <v>6816381161.2700005</v>
      </c>
      <c r="AU172" s="18">
        <f>AJ172-AM172</f>
        <v>14683618838.73</v>
      </c>
      <c r="AV172" s="34">
        <f>AM172-AP172</f>
        <v>0</v>
      </c>
      <c r="AW172" s="34">
        <f>AP172-AT172</f>
        <v>0</v>
      </c>
      <c r="AX172" s="32">
        <f t="shared" si="99"/>
        <v>0.31704098424511629</v>
      </c>
    </row>
    <row r="173" spans="1:50" ht="18.75" customHeight="1" x14ac:dyDescent="0.2">
      <c r="A173" s="4" t="s">
        <v>55</v>
      </c>
      <c r="B173" s="4" t="s">
        <v>56</v>
      </c>
      <c r="C173" s="4"/>
      <c r="D173" s="4" t="s">
        <v>947</v>
      </c>
      <c r="E173" s="4"/>
      <c r="F173" s="4"/>
      <c r="G173" s="4" t="s">
        <v>41</v>
      </c>
      <c r="H173" s="4"/>
      <c r="I173" s="4" t="s">
        <v>936</v>
      </c>
      <c r="J173" s="4"/>
      <c r="K173" s="4" t="s">
        <v>932</v>
      </c>
      <c r="L173" s="4"/>
      <c r="M173" s="4" t="s">
        <v>933</v>
      </c>
      <c r="N173" s="4"/>
      <c r="O173" s="4" t="s">
        <v>934</v>
      </c>
      <c r="P173" s="4"/>
      <c r="Q173" s="4" t="s">
        <v>935</v>
      </c>
      <c r="R173" s="4"/>
      <c r="S173" s="4" t="s">
        <v>940</v>
      </c>
      <c r="T173" s="4">
        <v>0</v>
      </c>
      <c r="U173" s="4">
        <v>0</v>
      </c>
      <c r="V173" s="4">
        <v>0</v>
      </c>
      <c r="W173" s="4"/>
      <c r="X173" s="4" t="s">
        <v>937</v>
      </c>
      <c r="Y173" s="4"/>
      <c r="Z173" s="4"/>
      <c r="AA173" s="41" t="s">
        <v>846</v>
      </c>
      <c r="AB173" s="42" t="s">
        <v>269</v>
      </c>
      <c r="AC173" s="43" t="s">
        <v>58</v>
      </c>
      <c r="AD173" s="43">
        <v>21500000000</v>
      </c>
      <c r="AE173" s="44">
        <v>0</v>
      </c>
      <c r="AF173" s="44">
        <v>0</v>
      </c>
      <c r="AG173" s="44">
        <v>0</v>
      </c>
      <c r="AH173" s="44">
        <v>0</v>
      </c>
      <c r="AI173" s="44">
        <v>0</v>
      </c>
      <c r="AJ173" s="43">
        <v>21500000000</v>
      </c>
      <c r="AK173" s="44">
        <v>0</v>
      </c>
      <c r="AL173" s="43">
        <v>2711071449.6100001</v>
      </c>
      <c r="AM173" s="43">
        <v>6816381161.2700005</v>
      </c>
      <c r="AN173" s="44">
        <v>0</v>
      </c>
      <c r="AO173" s="43">
        <v>2711071449.6100001</v>
      </c>
      <c r="AP173" s="43">
        <v>6816381161.2700005</v>
      </c>
      <c r="AQ173" s="44">
        <v>0</v>
      </c>
      <c r="AR173" s="43">
        <v>2711071449.6100001</v>
      </c>
      <c r="AS173" s="43">
        <v>6816381161.2700005</v>
      </c>
      <c r="AT173" s="39">
        <f t="shared" si="108"/>
        <v>6816381161.2700005</v>
      </c>
      <c r="AU173" s="18">
        <f>AJ173-AM173</f>
        <v>14683618838.73</v>
      </c>
      <c r="AV173" s="34">
        <f>AM173-AP173</f>
        <v>0</v>
      </c>
      <c r="AW173" s="34">
        <f>AP173-AT173</f>
        <v>0</v>
      </c>
      <c r="AX173" s="32">
        <f t="shared" si="99"/>
        <v>0.31704098424511629</v>
      </c>
    </row>
    <row r="174" spans="1:50" s="25" customFormat="1" ht="18.75" customHeight="1" x14ac:dyDescent="0.2">
      <c r="A174" s="19" t="s">
        <v>37</v>
      </c>
      <c r="B174" s="19" t="s">
        <v>37</v>
      </c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26" t="s">
        <v>273</v>
      </c>
      <c r="AB174" s="21" t="s">
        <v>274</v>
      </c>
      <c r="AC174" s="22" t="s">
        <v>37</v>
      </c>
      <c r="AD174" s="22">
        <f>AD175</f>
        <v>200000000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2">
        <f>AJ175</f>
        <v>200000000</v>
      </c>
      <c r="AK174" s="23">
        <f t="shared" ref="AK174:AW176" si="109">AK175</f>
        <v>0</v>
      </c>
      <c r="AL174" s="23">
        <f t="shared" si="109"/>
        <v>0</v>
      </c>
      <c r="AM174" s="23">
        <f t="shared" si="109"/>
        <v>0</v>
      </c>
      <c r="AN174" s="23">
        <f t="shared" si="109"/>
        <v>0</v>
      </c>
      <c r="AO174" s="23">
        <f t="shared" si="109"/>
        <v>0</v>
      </c>
      <c r="AP174" s="23">
        <f t="shared" si="109"/>
        <v>0</v>
      </c>
      <c r="AQ174" s="23">
        <f t="shared" si="109"/>
        <v>0</v>
      </c>
      <c r="AR174" s="23">
        <f t="shared" si="109"/>
        <v>0</v>
      </c>
      <c r="AS174" s="23">
        <f t="shared" si="109"/>
        <v>0</v>
      </c>
      <c r="AT174" s="23">
        <f t="shared" si="109"/>
        <v>0</v>
      </c>
      <c r="AU174" s="22">
        <f t="shared" si="109"/>
        <v>200000000</v>
      </c>
      <c r="AV174" s="23">
        <f t="shared" si="109"/>
        <v>0</v>
      </c>
      <c r="AW174" s="23">
        <f t="shared" si="109"/>
        <v>0</v>
      </c>
      <c r="AX174" s="24">
        <f t="shared" si="99"/>
        <v>0</v>
      </c>
    </row>
    <row r="175" spans="1:50" ht="18.75" customHeight="1" x14ac:dyDescent="0.2">
      <c r="A175" s="27" t="s">
        <v>37</v>
      </c>
      <c r="B175" s="27" t="s">
        <v>37</v>
      </c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8" t="s">
        <v>843</v>
      </c>
      <c r="AB175" s="29" t="s">
        <v>267</v>
      </c>
      <c r="AC175" s="30" t="s">
        <v>37</v>
      </c>
      <c r="AD175" s="30">
        <f>AD176</f>
        <v>200000000</v>
      </c>
      <c r="AE175" s="31">
        <v>0</v>
      </c>
      <c r="AF175" s="31">
        <v>0</v>
      </c>
      <c r="AG175" s="31">
        <v>0</v>
      </c>
      <c r="AH175" s="31">
        <v>0</v>
      </c>
      <c r="AI175" s="31">
        <v>0</v>
      </c>
      <c r="AJ175" s="30">
        <f t="shared" ref="AJ175:AJ176" si="110">AJ176</f>
        <v>200000000</v>
      </c>
      <c r="AK175" s="31">
        <f t="shared" si="109"/>
        <v>0</v>
      </c>
      <c r="AL175" s="31">
        <f t="shared" si="109"/>
        <v>0</v>
      </c>
      <c r="AM175" s="31">
        <f t="shared" si="109"/>
        <v>0</v>
      </c>
      <c r="AN175" s="31">
        <f t="shared" si="109"/>
        <v>0</v>
      </c>
      <c r="AO175" s="31">
        <f t="shared" si="109"/>
        <v>0</v>
      </c>
      <c r="AP175" s="31">
        <f t="shared" si="109"/>
        <v>0</v>
      </c>
      <c r="AQ175" s="31">
        <f t="shared" si="109"/>
        <v>0</v>
      </c>
      <c r="AR175" s="31">
        <f t="shared" si="109"/>
        <v>0</v>
      </c>
      <c r="AS175" s="31">
        <f t="shared" si="109"/>
        <v>0</v>
      </c>
      <c r="AT175" s="40">
        <f t="shared" si="109"/>
        <v>0</v>
      </c>
      <c r="AU175" s="30">
        <f t="shared" si="109"/>
        <v>200000000</v>
      </c>
      <c r="AV175" s="31">
        <f t="shared" si="109"/>
        <v>0</v>
      </c>
      <c r="AW175" s="31">
        <f t="shared" si="109"/>
        <v>0</v>
      </c>
      <c r="AX175" s="32">
        <f t="shared" si="99"/>
        <v>0</v>
      </c>
    </row>
    <row r="176" spans="1:50" ht="18.75" customHeight="1" x14ac:dyDescent="0.2">
      <c r="A176" s="27" t="s">
        <v>37</v>
      </c>
      <c r="B176" s="27" t="s">
        <v>37</v>
      </c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8" t="s">
        <v>845</v>
      </c>
      <c r="AB176" s="29" t="s">
        <v>268</v>
      </c>
      <c r="AC176" s="30" t="s">
        <v>37</v>
      </c>
      <c r="AD176" s="30">
        <f>AD177</f>
        <v>200000000</v>
      </c>
      <c r="AE176" s="31">
        <v>0</v>
      </c>
      <c r="AF176" s="31">
        <v>0</v>
      </c>
      <c r="AG176" s="31">
        <v>0</v>
      </c>
      <c r="AH176" s="31">
        <v>0</v>
      </c>
      <c r="AI176" s="31">
        <v>0</v>
      </c>
      <c r="AJ176" s="30">
        <f t="shared" si="110"/>
        <v>200000000</v>
      </c>
      <c r="AK176" s="31">
        <f t="shared" si="109"/>
        <v>0</v>
      </c>
      <c r="AL176" s="31">
        <f t="shared" si="109"/>
        <v>0</v>
      </c>
      <c r="AM176" s="31">
        <f t="shared" si="109"/>
        <v>0</v>
      </c>
      <c r="AN176" s="31">
        <f t="shared" si="109"/>
        <v>0</v>
      </c>
      <c r="AO176" s="31">
        <f t="shared" si="109"/>
        <v>0</v>
      </c>
      <c r="AP176" s="31">
        <f t="shared" si="109"/>
        <v>0</v>
      </c>
      <c r="AQ176" s="31">
        <f t="shared" si="109"/>
        <v>0</v>
      </c>
      <c r="AR176" s="31">
        <f t="shared" si="109"/>
        <v>0</v>
      </c>
      <c r="AS176" s="31">
        <f t="shared" si="109"/>
        <v>0</v>
      </c>
      <c r="AT176" s="40">
        <f t="shared" si="109"/>
        <v>0</v>
      </c>
      <c r="AU176" s="30">
        <f t="shared" si="109"/>
        <v>200000000</v>
      </c>
      <c r="AV176" s="31">
        <f t="shared" si="109"/>
        <v>0</v>
      </c>
      <c r="AW176" s="31">
        <f t="shared" si="109"/>
        <v>0</v>
      </c>
      <c r="AX176" s="32">
        <f t="shared" si="99"/>
        <v>0</v>
      </c>
    </row>
    <row r="177" spans="1:50" ht="18.75" customHeight="1" x14ac:dyDescent="0.2">
      <c r="A177" s="4" t="s">
        <v>55</v>
      </c>
      <c r="B177" s="4" t="s">
        <v>56</v>
      </c>
      <c r="C177" s="4"/>
      <c r="D177" s="4" t="s">
        <v>947</v>
      </c>
      <c r="E177" s="4"/>
      <c r="F177" s="4"/>
      <c r="G177" s="4" t="s">
        <v>41</v>
      </c>
      <c r="H177" s="4"/>
      <c r="I177" s="4" t="s">
        <v>936</v>
      </c>
      <c r="J177" s="4"/>
      <c r="K177" s="4" t="s">
        <v>932</v>
      </c>
      <c r="L177" s="4"/>
      <c r="M177" s="4" t="s">
        <v>933</v>
      </c>
      <c r="N177" s="4"/>
      <c r="O177" s="4" t="s">
        <v>934</v>
      </c>
      <c r="P177" s="4"/>
      <c r="Q177" s="4" t="s">
        <v>935</v>
      </c>
      <c r="R177" s="4"/>
      <c r="S177" s="4" t="s">
        <v>940</v>
      </c>
      <c r="T177" s="4">
        <v>0</v>
      </c>
      <c r="U177" s="4">
        <v>0</v>
      </c>
      <c r="V177" s="4">
        <v>0</v>
      </c>
      <c r="W177" s="4"/>
      <c r="X177" s="4" t="s">
        <v>937</v>
      </c>
      <c r="Y177" s="4"/>
      <c r="Z177" s="4"/>
      <c r="AA177" s="41" t="s">
        <v>844</v>
      </c>
      <c r="AB177" s="42" t="s">
        <v>269</v>
      </c>
      <c r="AC177" s="43" t="s">
        <v>58</v>
      </c>
      <c r="AD177" s="43">
        <v>200000000</v>
      </c>
      <c r="AE177" s="44">
        <v>0</v>
      </c>
      <c r="AF177" s="44">
        <v>0</v>
      </c>
      <c r="AG177" s="44">
        <v>0</v>
      </c>
      <c r="AH177" s="44">
        <v>0</v>
      </c>
      <c r="AI177" s="44">
        <v>0</v>
      </c>
      <c r="AJ177" s="43">
        <v>200000000</v>
      </c>
      <c r="AK177" s="44">
        <v>0</v>
      </c>
      <c r="AL177" s="44">
        <v>0</v>
      </c>
      <c r="AM177" s="44">
        <v>0</v>
      </c>
      <c r="AN177" s="44">
        <v>0</v>
      </c>
      <c r="AO177" s="44">
        <v>0</v>
      </c>
      <c r="AP177" s="44">
        <v>0</v>
      </c>
      <c r="AQ177" s="44">
        <v>0</v>
      </c>
      <c r="AR177" s="44">
        <v>0</v>
      </c>
      <c r="AS177" s="44">
        <v>0</v>
      </c>
      <c r="AT177" s="40">
        <f t="shared" ref="AT177:AT188" si="111">AQ177+AS177</f>
        <v>0</v>
      </c>
      <c r="AU177" s="18">
        <f>AJ177-AM177</f>
        <v>200000000</v>
      </c>
      <c r="AV177" s="34">
        <f>AM177-AP177</f>
        <v>0</v>
      </c>
      <c r="AW177" s="34">
        <f>AP177-AT177</f>
        <v>0</v>
      </c>
      <c r="AX177" s="32">
        <f t="shared" si="99"/>
        <v>0</v>
      </c>
    </row>
    <row r="178" spans="1:50" s="79" customFormat="1" ht="18.75" customHeight="1" x14ac:dyDescent="0.2">
      <c r="A178" s="117" t="s">
        <v>55</v>
      </c>
      <c r="B178" s="117" t="s">
        <v>56</v>
      </c>
      <c r="C178" s="117"/>
      <c r="D178" s="117" t="s">
        <v>947</v>
      </c>
      <c r="E178" s="117"/>
      <c r="F178" s="117"/>
      <c r="G178" s="117" t="s">
        <v>41</v>
      </c>
      <c r="H178" s="117"/>
      <c r="I178" s="117" t="s">
        <v>936</v>
      </c>
      <c r="J178" s="117"/>
      <c r="K178" s="117" t="s">
        <v>932</v>
      </c>
      <c r="L178" s="117"/>
      <c r="M178" s="117" t="s">
        <v>933</v>
      </c>
      <c r="N178" s="117"/>
      <c r="O178" s="117" t="s">
        <v>934</v>
      </c>
      <c r="P178" s="117"/>
      <c r="Q178" s="117" t="s">
        <v>935</v>
      </c>
      <c r="R178" s="117"/>
      <c r="S178" s="117" t="s">
        <v>940</v>
      </c>
      <c r="T178" s="117">
        <v>0</v>
      </c>
      <c r="U178" s="117">
        <v>0</v>
      </c>
      <c r="V178" s="117">
        <v>0</v>
      </c>
      <c r="W178" s="117"/>
      <c r="X178" s="117" t="s">
        <v>937</v>
      </c>
      <c r="Y178" s="117"/>
      <c r="Z178" s="117"/>
      <c r="AA178" s="81" t="s">
        <v>842</v>
      </c>
      <c r="AB178" s="82" t="s">
        <v>275</v>
      </c>
      <c r="AC178" s="83" t="s">
        <v>58</v>
      </c>
      <c r="AD178" s="83">
        <v>5000000000</v>
      </c>
      <c r="AE178" s="79">
        <f>5188937855.29+310221537.39</f>
        <v>5499159392.6800003</v>
      </c>
      <c r="AF178" s="118">
        <v>0</v>
      </c>
      <c r="AG178" s="118">
        <v>0</v>
      </c>
      <c r="AH178" s="118">
        <v>0</v>
      </c>
      <c r="AI178" s="18">
        <f t="shared" ref="AI178" si="112">AE178-AF178+AG178-AH178</f>
        <v>5499159392.6800003</v>
      </c>
      <c r="AJ178" s="176">
        <f>AD178+AI178</f>
        <v>10499159392.68</v>
      </c>
      <c r="AK178" s="118">
        <v>0</v>
      </c>
      <c r="AL178" s="119">
        <v>174930855</v>
      </c>
      <c r="AM178" s="119">
        <v>1137223126.6400001</v>
      </c>
      <c r="AN178" s="118">
        <v>0</v>
      </c>
      <c r="AO178" s="83">
        <v>168670077</v>
      </c>
      <c r="AP178" s="83">
        <v>696608855.38999999</v>
      </c>
      <c r="AQ178" s="118">
        <v>0</v>
      </c>
      <c r="AR178" s="83">
        <v>168670077</v>
      </c>
      <c r="AS178" s="83">
        <v>337616002</v>
      </c>
      <c r="AT178" s="147">
        <f t="shared" si="111"/>
        <v>337616002</v>
      </c>
      <c r="AU178" s="119">
        <f>AJ178-AM178</f>
        <v>9361936266.0400009</v>
      </c>
      <c r="AV178" s="119">
        <f>AM178-AP178</f>
        <v>440614271.25000012</v>
      </c>
      <c r="AW178" s="83">
        <f>AP178-AT178</f>
        <v>358992853.38999999</v>
      </c>
      <c r="AX178" s="118">
        <f t="shared" si="99"/>
        <v>6.6349012271941954E-2</v>
      </c>
    </row>
    <row r="179" spans="1:50" s="25" customFormat="1" ht="18.75" customHeight="1" x14ac:dyDescent="0.2">
      <c r="A179" s="19" t="s">
        <v>37</v>
      </c>
      <c r="B179" s="19" t="s">
        <v>37</v>
      </c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7" t="s">
        <v>841</v>
      </c>
      <c r="AB179" s="198" t="s">
        <v>276</v>
      </c>
      <c r="AC179" s="22" t="s">
        <v>37</v>
      </c>
      <c r="AD179" s="22">
        <f t="shared" ref="AD179:AS179" si="113">AD180+AD187</f>
        <v>3752467164.4300003</v>
      </c>
      <c r="AE179" s="22">
        <f t="shared" si="113"/>
        <v>488313290.56999999</v>
      </c>
      <c r="AF179" s="23">
        <f t="shared" si="113"/>
        <v>0</v>
      </c>
      <c r="AG179" s="23">
        <f t="shared" si="113"/>
        <v>0</v>
      </c>
      <c r="AH179" s="23">
        <f t="shared" si="113"/>
        <v>0</v>
      </c>
      <c r="AI179" s="22">
        <f t="shared" si="113"/>
        <v>488313290.56999999</v>
      </c>
      <c r="AJ179" s="22">
        <f t="shared" si="113"/>
        <v>4240780455.0000005</v>
      </c>
      <c r="AK179" s="23">
        <f t="shared" si="113"/>
        <v>0</v>
      </c>
      <c r="AL179" s="22">
        <f t="shared" si="113"/>
        <v>182344837.53</v>
      </c>
      <c r="AM179" s="22">
        <f t="shared" si="113"/>
        <v>1160320123.9299998</v>
      </c>
      <c r="AN179" s="23">
        <f t="shared" si="113"/>
        <v>0</v>
      </c>
      <c r="AO179" s="22">
        <f t="shared" si="113"/>
        <v>182344836.93000001</v>
      </c>
      <c r="AP179" s="22">
        <f t="shared" si="113"/>
        <v>1160320123.3299999</v>
      </c>
      <c r="AQ179" s="23">
        <f t="shared" si="113"/>
        <v>45348507.850000001</v>
      </c>
      <c r="AR179" s="22">
        <f t="shared" si="113"/>
        <v>246478933.99000001</v>
      </c>
      <c r="AS179" s="22">
        <f t="shared" si="113"/>
        <v>1078634343.48</v>
      </c>
      <c r="AT179" s="121">
        <f t="shared" si="111"/>
        <v>1123982851.3299999</v>
      </c>
      <c r="AU179" s="121">
        <f>AJ179-AM179</f>
        <v>3080460331.0700006</v>
      </c>
      <c r="AV179" s="122">
        <f>AM179-AP179</f>
        <v>0.59999990463256836</v>
      </c>
      <c r="AW179" s="121">
        <f>AP179-AT179</f>
        <v>36337272</v>
      </c>
      <c r="AX179" s="49">
        <f t="shared" si="99"/>
        <v>0.27361004316126519</v>
      </c>
    </row>
    <row r="180" spans="1:50" ht="18.75" customHeight="1" x14ac:dyDescent="0.2">
      <c r="A180" s="27" t="s">
        <v>37</v>
      </c>
      <c r="B180" s="27" t="s">
        <v>37</v>
      </c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8" t="s">
        <v>840</v>
      </c>
      <c r="AB180" s="29" t="s">
        <v>277</v>
      </c>
      <c r="AC180" s="30" t="s">
        <v>37</v>
      </c>
      <c r="AD180" s="30">
        <f t="shared" ref="AD180:AW180" si="114">AD181+AD182+AD183+AD184+AD186+AD185</f>
        <v>3552467164.4300003</v>
      </c>
      <c r="AE180" s="30">
        <f t="shared" si="114"/>
        <v>488313290.56999999</v>
      </c>
      <c r="AF180" s="31">
        <f t="shared" si="114"/>
        <v>0</v>
      </c>
      <c r="AG180" s="31">
        <f t="shared" si="114"/>
        <v>0</v>
      </c>
      <c r="AH180" s="31">
        <f t="shared" si="114"/>
        <v>0</v>
      </c>
      <c r="AI180" s="30">
        <f t="shared" si="114"/>
        <v>488313290.56999999</v>
      </c>
      <c r="AJ180" s="30">
        <f t="shared" si="114"/>
        <v>4040780455.0000005</v>
      </c>
      <c r="AK180" s="31">
        <f t="shared" si="114"/>
        <v>0</v>
      </c>
      <c r="AL180" s="30">
        <f t="shared" si="114"/>
        <v>182344837.53</v>
      </c>
      <c r="AM180" s="30">
        <f t="shared" si="114"/>
        <v>1160320123.9299998</v>
      </c>
      <c r="AN180" s="31">
        <f t="shared" si="114"/>
        <v>0</v>
      </c>
      <c r="AO180" s="30">
        <f t="shared" si="114"/>
        <v>182344836.93000001</v>
      </c>
      <c r="AP180" s="30">
        <f t="shared" si="114"/>
        <v>1160320123.3299999</v>
      </c>
      <c r="AQ180" s="30">
        <f t="shared" si="114"/>
        <v>45348507.850000001</v>
      </c>
      <c r="AR180" s="30">
        <f t="shared" si="114"/>
        <v>246478933.99000001</v>
      </c>
      <c r="AS180" s="30">
        <f t="shared" si="114"/>
        <v>1078634343.48</v>
      </c>
      <c r="AT180" s="30">
        <f t="shared" si="114"/>
        <v>1123982851.3299999</v>
      </c>
      <c r="AU180" s="30">
        <f t="shared" si="114"/>
        <v>2880460331.0700002</v>
      </c>
      <c r="AV180" s="30">
        <f t="shared" si="114"/>
        <v>0.60000002384185791</v>
      </c>
      <c r="AW180" s="30">
        <f t="shared" si="114"/>
        <v>36337272</v>
      </c>
      <c r="AX180" s="123">
        <f t="shared" si="99"/>
        <v>0.28715247864907817</v>
      </c>
    </row>
    <row r="181" spans="1:50" ht="18.75" customHeight="1" x14ac:dyDescent="0.2">
      <c r="A181" s="4" t="s">
        <v>55</v>
      </c>
      <c r="B181" s="4" t="s">
        <v>56</v>
      </c>
      <c r="C181" s="4"/>
      <c r="D181" s="4" t="s">
        <v>947</v>
      </c>
      <c r="E181" s="4"/>
      <c r="F181" s="4"/>
      <c r="G181" s="4" t="s">
        <v>41</v>
      </c>
      <c r="H181" s="4"/>
      <c r="I181" s="4" t="s">
        <v>936</v>
      </c>
      <c r="J181" s="4"/>
      <c r="K181" s="4" t="s">
        <v>932</v>
      </c>
      <c r="L181" s="4"/>
      <c r="M181" s="4" t="s">
        <v>933</v>
      </c>
      <c r="N181" s="4"/>
      <c r="O181" s="4" t="s">
        <v>934</v>
      </c>
      <c r="P181" s="4"/>
      <c r="Q181" s="4" t="s">
        <v>935</v>
      </c>
      <c r="R181" s="4"/>
      <c r="S181" s="4" t="s">
        <v>940</v>
      </c>
      <c r="T181" s="4">
        <v>0</v>
      </c>
      <c r="U181" s="4">
        <v>0</v>
      </c>
      <c r="V181" s="4">
        <v>0</v>
      </c>
      <c r="W181" s="4"/>
      <c r="X181" s="4" t="s">
        <v>937</v>
      </c>
      <c r="Y181" s="4"/>
      <c r="Z181" s="4"/>
      <c r="AA181" s="41" t="s">
        <v>839</v>
      </c>
      <c r="AB181" s="42" t="s">
        <v>233</v>
      </c>
      <c r="AC181" s="43" t="s">
        <v>58</v>
      </c>
      <c r="AD181" s="43">
        <v>530000000</v>
      </c>
      <c r="AE181" s="44">
        <v>0</v>
      </c>
      <c r="AF181" s="44">
        <v>0</v>
      </c>
      <c r="AG181" s="44">
        <v>0</v>
      </c>
      <c r="AH181" s="44">
        <v>0</v>
      </c>
      <c r="AI181" s="44">
        <v>0</v>
      </c>
      <c r="AJ181" s="43">
        <v>530000000</v>
      </c>
      <c r="AK181" s="44">
        <v>0</v>
      </c>
      <c r="AL181" s="44">
        <v>0</v>
      </c>
      <c r="AM181" s="44">
        <v>0</v>
      </c>
      <c r="AN181" s="44">
        <v>0</v>
      </c>
      <c r="AO181" s="44">
        <v>0</v>
      </c>
      <c r="AP181" s="44">
        <v>0</v>
      </c>
      <c r="AQ181" s="44">
        <v>0</v>
      </c>
      <c r="AR181" s="44">
        <v>0</v>
      </c>
      <c r="AS181" s="44">
        <v>0</v>
      </c>
      <c r="AT181" s="40">
        <f t="shared" si="111"/>
        <v>0</v>
      </c>
      <c r="AU181" s="18">
        <f t="shared" ref="AU181:AU188" si="115">AJ181-AM181</f>
        <v>530000000</v>
      </c>
      <c r="AV181" s="34">
        <f t="shared" ref="AV181:AV188" si="116">AM181-AP181</f>
        <v>0</v>
      </c>
      <c r="AW181" s="34">
        <f t="shared" ref="AW181:AW188" si="117">AP181-AT181</f>
        <v>0</v>
      </c>
      <c r="AX181" s="123">
        <f t="shared" si="99"/>
        <v>0</v>
      </c>
    </row>
    <row r="182" spans="1:50" s="150" customFormat="1" ht="18.75" customHeight="1" x14ac:dyDescent="0.2">
      <c r="A182" s="140" t="s">
        <v>55</v>
      </c>
      <c r="B182" s="140" t="s">
        <v>56</v>
      </c>
      <c r="C182" s="140"/>
      <c r="D182" s="140" t="s">
        <v>947</v>
      </c>
      <c r="E182" s="140"/>
      <c r="F182" s="140"/>
      <c r="G182" s="140" t="s">
        <v>41</v>
      </c>
      <c r="H182" s="140"/>
      <c r="I182" s="140" t="s">
        <v>936</v>
      </c>
      <c r="J182" s="140"/>
      <c r="K182" s="140" t="s">
        <v>932</v>
      </c>
      <c r="L182" s="140"/>
      <c r="M182" s="140" t="s">
        <v>933</v>
      </c>
      <c r="N182" s="140"/>
      <c r="O182" s="140" t="s">
        <v>934</v>
      </c>
      <c r="P182" s="140"/>
      <c r="Q182" s="140" t="s">
        <v>935</v>
      </c>
      <c r="R182" s="140"/>
      <c r="S182" s="140" t="s">
        <v>940</v>
      </c>
      <c r="T182" s="140">
        <v>0</v>
      </c>
      <c r="U182" s="140">
        <v>0</v>
      </c>
      <c r="V182" s="140">
        <v>0</v>
      </c>
      <c r="W182" s="140"/>
      <c r="X182" s="140" t="s">
        <v>937</v>
      </c>
      <c r="Y182" s="140"/>
      <c r="Z182" s="140"/>
      <c r="AA182" s="134" t="s">
        <v>838</v>
      </c>
      <c r="AB182" s="69" t="s">
        <v>278</v>
      </c>
      <c r="AC182" s="142" t="s">
        <v>253</v>
      </c>
      <c r="AD182" s="142">
        <v>600000000</v>
      </c>
      <c r="AE182" s="143">
        <v>0</v>
      </c>
      <c r="AF182" s="143">
        <v>0</v>
      </c>
      <c r="AG182" s="143">
        <v>0</v>
      </c>
      <c r="AH182" s="143">
        <v>0</v>
      </c>
      <c r="AI182" s="143">
        <v>0</v>
      </c>
      <c r="AJ182" s="142">
        <v>600000000</v>
      </c>
      <c r="AK182" s="143">
        <v>0</v>
      </c>
      <c r="AL182" s="143">
        <v>0</v>
      </c>
      <c r="AM182" s="142">
        <v>158326163</v>
      </c>
      <c r="AN182" s="143">
        <v>0</v>
      </c>
      <c r="AO182" s="143">
        <v>0</v>
      </c>
      <c r="AP182" s="142">
        <v>158326163</v>
      </c>
      <c r="AQ182" s="143">
        <v>0</v>
      </c>
      <c r="AR182" s="143">
        <v>0</v>
      </c>
      <c r="AS182" s="142">
        <v>158326163</v>
      </c>
      <c r="AT182" s="267">
        <f t="shared" si="111"/>
        <v>158326163</v>
      </c>
      <c r="AU182" s="147">
        <f t="shared" si="115"/>
        <v>441673837</v>
      </c>
      <c r="AV182" s="145">
        <f t="shared" si="116"/>
        <v>0</v>
      </c>
      <c r="AW182" s="145">
        <f t="shared" si="117"/>
        <v>0</v>
      </c>
      <c r="AX182" s="149">
        <f t="shared" si="99"/>
        <v>0.26387693833333331</v>
      </c>
    </row>
    <row r="183" spans="1:50" ht="25.5" customHeight="1" x14ac:dyDescent="0.2">
      <c r="A183" s="4" t="s">
        <v>55</v>
      </c>
      <c r="B183" s="4" t="s">
        <v>56</v>
      </c>
      <c r="C183" s="4"/>
      <c r="D183" s="4" t="s">
        <v>947</v>
      </c>
      <c r="E183" s="4"/>
      <c r="F183" s="4"/>
      <c r="G183" s="4" t="s">
        <v>41</v>
      </c>
      <c r="H183" s="4"/>
      <c r="I183" s="4" t="s">
        <v>936</v>
      </c>
      <c r="J183" s="4"/>
      <c r="K183" s="4" t="s">
        <v>932</v>
      </c>
      <c r="L183" s="4"/>
      <c r="M183" s="4" t="s">
        <v>933</v>
      </c>
      <c r="N183" s="4"/>
      <c r="O183" s="4" t="s">
        <v>934</v>
      </c>
      <c r="P183" s="4"/>
      <c r="Q183" s="4" t="s">
        <v>935</v>
      </c>
      <c r="R183" s="4"/>
      <c r="S183" s="4" t="s">
        <v>940</v>
      </c>
      <c r="T183" s="4">
        <v>0</v>
      </c>
      <c r="U183" s="4">
        <v>0</v>
      </c>
      <c r="V183" s="4">
        <v>0</v>
      </c>
      <c r="W183" s="4"/>
      <c r="X183" s="4" t="s">
        <v>937</v>
      </c>
      <c r="Y183" s="4"/>
      <c r="Z183" s="4"/>
      <c r="AA183" s="134" t="s">
        <v>837</v>
      </c>
      <c r="AB183" s="69" t="s">
        <v>279</v>
      </c>
      <c r="AC183" s="142" t="s">
        <v>253</v>
      </c>
      <c r="AD183" s="142">
        <v>961836799</v>
      </c>
      <c r="AE183" s="44">
        <v>0</v>
      </c>
      <c r="AF183" s="44">
        <v>0</v>
      </c>
      <c r="AG183" s="44">
        <v>0</v>
      </c>
      <c r="AH183" s="44">
        <v>0</v>
      </c>
      <c r="AI183" s="44">
        <v>0</v>
      </c>
      <c r="AJ183" s="43">
        <v>961836799</v>
      </c>
      <c r="AK183" s="44">
        <v>0</v>
      </c>
      <c r="AL183" s="43">
        <v>61162249.149999999</v>
      </c>
      <c r="AM183" s="43">
        <v>331990910.14999998</v>
      </c>
      <c r="AN183" s="44">
        <v>0</v>
      </c>
      <c r="AO183" s="43">
        <v>61162249.149999999</v>
      </c>
      <c r="AP183" s="43">
        <v>331990910.14999998</v>
      </c>
      <c r="AQ183" s="44">
        <v>0</v>
      </c>
      <c r="AR183" s="43">
        <v>61162249.149999999</v>
      </c>
      <c r="AS183" s="43">
        <v>295653638.14999998</v>
      </c>
      <c r="AT183" s="39">
        <f t="shared" si="111"/>
        <v>295653638.14999998</v>
      </c>
      <c r="AU183" s="18">
        <f t="shared" si="115"/>
        <v>629845888.85000002</v>
      </c>
      <c r="AV183" s="34">
        <f t="shared" si="116"/>
        <v>0</v>
      </c>
      <c r="AW183" s="18">
        <f t="shared" si="117"/>
        <v>36337272</v>
      </c>
      <c r="AX183" s="123">
        <f t="shared" si="99"/>
        <v>0.34516345236027923</v>
      </c>
    </row>
    <row r="184" spans="1:50" ht="18.75" customHeight="1" x14ac:dyDescent="0.2">
      <c r="A184" s="4" t="s">
        <v>55</v>
      </c>
      <c r="B184" s="4" t="s">
        <v>56</v>
      </c>
      <c r="C184" s="4"/>
      <c r="D184" s="4" t="s">
        <v>947</v>
      </c>
      <c r="E184" s="4"/>
      <c r="F184" s="4"/>
      <c r="G184" s="4" t="s">
        <v>41</v>
      </c>
      <c r="H184" s="4"/>
      <c r="I184" s="4" t="s">
        <v>936</v>
      </c>
      <c r="J184" s="4"/>
      <c r="K184" s="4" t="s">
        <v>932</v>
      </c>
      <c r="L184" s="4"/>
      <c r="M184" s="4" t="s">
        <v>933</v>
      </c>
      <c r="N184" s="4"/>
      <c r="O184" s="4" t="s">
        <v>934</v>
      </c>
      <c r="P184" s="4"/>
      <c r="Q184" s="4" t="s">
        <v>935</v>
      </c>
      <c r="R184" s="4"/>
      <c r="S184" s="4" t="s">
        <v>940</v>
      </c>
      <c r="T184" s="4">
        <v>0</v>
      </c>
      <c r="U184" s="4">
        <v>0</v>
      </c>
      <c r="V184" s="4">
        <v>0</v>
      </c>
      <c r="W184" s="4"/>
      <c r="X184" s="4" t="s">
        <v>937</v>
      </c>
      <c r="Y184" s="4"/>
      <c r="Z184" s="4"/>
      <c r="AA184" s="134" t="s">
        <v>836</v>
      </c>
      <c r="AB184" s="69" t="s">
        <v>239</v>
      </c>
      <c r="AC184" s="142" t="s">
        <v>240</v>
      </c>
      <c r="AD184" s="142">
        <v>1460630365.4300001</v>
      </c>
      <c r="AE184" s="44">
        <v>0</v>
      </c>
      <c r="AF184" s="44">
        <v>0</v>
      </c>
      <c r="AG184" s="44">
        <v>0</v>
      </c>
      <c r="AH184" s="44">
        <v>0</v>
      </c>
      <c r="AI184" s="44">
        <v>0</v>
      </c>
      <c r="AJ184" s="43">
        <v>1460630365.4300001</v>
      </c>
      <c r="AK184" s="44">
        <v>0</v>
      </c>
      <c r="AL184" s="43">
        <v>121182588.38</v>
      </c>
      <c r="AM184" s="43">
        <v>670003050.77999997</v>
      </c>
      <c r="AN184" s="44">
        <v>0</v>
      </c>
      <c r="AO184" s="43">
        <v>121182587.78</v>
      </c>
      <c r="AP184" s="43">
        <v>670003050.17999995</v>
      </c>
      <c r="AQ184" s="44">
        <v>45348507.850000001</v>
      </c>
      <c r="AR184" s="43">
        <v>185316684.84</v>
      </c>
      <c r="AS184" s="43">
        <v>624654542.33000004</v>
      </c>
      <c r="AT184" s="39">
        <f t="shared" si="111"/>
        <v>670003050.18000007</v>
      </c>
      <c r="AU184" s="18">
        <f t="shared" si="115"/>
        <v>790627314.6500001</v>
      </c>
      <c r="AV184" s="34">
        <f t="shared" si="116"/>
        <v>0.60000002384185791</v>
      </c>
      <c r="AW184" s="34">
        <f t="shared" si="117"/>
        <v>0</v>
      </c>
      <c r="AX184" s="123">
        <f t="shared" si="99"/>
        <v>0.45870814823348921</v>
      </c>
    </row>
    <row r="185" spans="1:50" ht="18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166" t="s">
        <v>1012</v>
      </c>
      <c r="AB185" s="167" t="s">
        <v>1013</v>
      </c>
      <c r="AC185" s="203"/>
      <c r="AD185" s="143">
        <v>0</v>
      </c>
      <c r="AE185" s="43">
        <v>69321334.879999995</v>
      </c>
      <c r="AF185" s="44"/>
      <c r="AG185" s="44"/>
      <c r="AH185" s="44"/>
      <c r="AI185" s="18">
        <f>AE185-AF185+AG185-AH185</f>
        <v>69321334.879999995</v>
      </c>
      <c r="AJ185" s="18">
        <f>AD185+AI185</f>
        <v>69321334.879999995</v>
      </c>
      <c r="AK185" s="44">
        <v>0</v>
      </c>
      <c r="AL185" s="44">
        <v>0</v>
      </c>
      <c r="AM185" s="44">
        <v>0</v>
      </c>
      <c r="AN185" s="44">
        <v>0</v>
      </c>
      <c r="AO185" s="44">
        <v>0</v>
      </c>
      <c r="AP185" s="44">
        <v>0</v>
      </c>
      <c r="AQ185" s="44">
        <v>0</v>
      </c>
      <c r="AR185" s="44">
        <v>0</v>
      </c>
      <c r="AS185" s="44">
        <v>0</v>
      </c>
      <c r="AT185" s="40">
        <f t="shared" si="111"/>
        <v>0</v>
      </c>
      <c r="AU185" s="18">
        <f t="shared" si="115"/>
        <v>69321334.879999995</v>
      </c>
      <c r="AV185" s="34">
        <f t="shared" si="116"/>
        <v>0</v>
      </c>
      <c r="AW185" s="34">
        <f t="shared" si="117"/>
        <v>0</v>
      </c>
      <c r="AX185" s="123">
        <f t="shared" si="99"/>
        <v>0</v>
      </c>
    </row>
    <row r="186" spans="1:50" ht="26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166" t="s">
        <v>1010</v>
      </c>
      <c r="AB186" s="167" t="s">
        <v>1011</v>
      </c>
      <c r="AC186" s="203"/>
      <c r="AD186" s="143">
        <v>0</v>
      </c>
      <c r="AE186" s="43">
        <v>418991955.69</v>
      </c>
      <c r="AF186" s="44">
        <v>0</v>
      </c>
      <c r="AG186" s="44">
        <v>0</v>
      </c>
      <c r="AH186" s="44">
        <v>0</v>
      </c>
      <c r="AI186" s="18">
        <f t="shared" ref="AI186" si="118">AE186-AF186+AG186-AH186</f>
        <v>418991955.69</v>
      </c>
      <c r="AJ186" s="18">
        <f t="shared" ref="AJ186" si="119">AD186+AI186</f>
        <v>418991955.69</v>
      </c>
      <c r="AK186" s="44">
        <v>0</v>
      </c>
      <c r="AL186" s="44">
        <v>0</v>
      </c>
      <c r="AM186" s="44">
        <v>0</v>
      </c>
      <c r="AN186" s="44">
        <v>0</v>
      </c>
      <c r="AO186" s="44">
        <v>0</v>
      </c>
      <c r="AP186" s="44">
        <v>0</v>
      </c>
      <c r="AQ186" s="44">
        <v>0</v>
      </c>
      <c r="AR186" s="44">
        <v>0</v>
      </c>
      <c r="AS186" s="44">
        <v>0</v>
      </c>
      <c r="AT186" s="40">
        <f t="shared" si="111"/>
        <v>0</v>
      </c>
      <c r="AU186" s="18">
        <f t="shared" si="115"/>
        <v>418991955.69</v>
      </c>
      <c r="AV186" s="34">
        <f t="shared" si="116"/>
        <v>0</v>
      </c>
      <c r="AW186" s="34">
        <f t="shared" si="117"/>
        <v>0</v>
      </c>
      <c r="AX186" s="123">
        <f t="shared" si="99"/>
        <v>0</v>
      </c>
    </row>
    <row r="187" spans="1:50" ht="18.75" customHeight="1" x14ac:dyDescent="0.2">
      <c r="A187" s="27" t="s">
        <v>37</v>
      </c>
      <c r="B187" s="27" t="s">
        <v>37</v>
      </c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04" t="s">
        <v>835</v>
      </c>
      <c r="AB187" s="205" t="s">
        <v>280</v>
      </c>
      <c r="AC187" s="187" t="s">
        <v>37</v>
      </c>
      <c r="AD187" s="187">
        <f>AD188</f>
        <v>200000000</v>
      </c>
      <c r="AE187" s="31">
        <f t="shared" ref="AE187:AS187" si="120">AE188</f>
        <v>0</v>
      </c>
      <c r="AF187" s="31">
        <f t="shared" si="120"/>
        <v>0</v>
      </c>
      <c r="AG187" s="31">
        <f t="shared" si="120"/>
        <v>0</v>
      </c>
      <c r="AH187" s="31">
        <f t="shared" si="120"/>
        <v>0</v>
      </c>
      <c r="AI187" s="31">
        <f t="shared" si="120"/>
        <v>0</v>
      </c>
      <c r="AJ187" s="30">
        <f t="shared" si="120"/>
        <v>200000000</v>
      </c>
      <c r="AK187" s="31">
        <f t="shared" si="120"/>
        <v>0</v>
      </c>
      <c r="AL187" s="31">
        <f t="shared" si="120"/>
        <v>0</v>
      </c>
      <c r="AM187" s="31">
        <f t="shared" si="120"/>
        <v>0</v>
      </c>
      <c r="AN187" s="31">
        <f t="shared" si="120"/>
        <v>0</v>
      </c>
      <c r="AO187" s="31">
        <f t="shared" si="120"/>
        <v>0</v>
      </c>
      <c r="AP187" s="31">
        <f t="shared" si="120"/>
        <v>0</v>
      </c>
      <c r="AQ187" s="31">
        <f t="shared" si="120"/>
        <v>0</v>
      </c>
      <c r="AR187" s="31">
        <f t="shared" si="120"/>
        <v>0</v>
      </c>
      <c r="AS187" s="31">
        <f t="shared" si="120"/>
        <v>0</v>
      </c>
      <c r="AT187" s="40">
        <f t="shared" si="111"/>
        <v>0</v>
      </c>
      <c r="AU187" s="18">
        <f t="shared" si="115"/>
        <v>200000000</v>
      </c>
      <c r="AV187" s="34">
        <f t="shared" si="116"/>
        <v>0</v>
      </c>
      <c r="AW187" s="34">
        <f t="shared" si="117"/>
        <v>0</v>
      </c>
      <c r="AX187" s="123">
        <f t="shared" si="99"/>
        <v>0</v>
      </c>
    </row>
    <row r="188" spans="1:50" s="150" customFormat="1" ht="18.75" customHeight="1" x14ac:dyDescent="0.2">
      <c r="A188" s="140" t="s">
        <v>55</v>
      </c>
      <c r="B188" s="140" t="s">
        <v>56</v>
      </c>
      <c r="C188" s="140"/>
      <c r="D188" s="140" t="s">
        <v>947</v>
      </c>
      <c r="E188" s="140"/>
      <c r="F188" s="140"/>
      <c r="G188" s="140" t="s">
        <v>41</v>
      </c>
      <c r="H188" s="140"/>
      <c r="I188" s="140" t="s">
        <v>936</v>
      </c>
      <c r="J188" s="140"/>
      <c r="K188" s="140" t="s">
        <v>932</v>
      </c>
      <c r="L188" s="140"/>
      <c r="M188" s="140" t="s">
        <v>933</v>
      </c>
      <c r="N188" s="140"/>
      <c r="O188" s="140" t="s">
        <v>934</v>
      </c>
      <c r="P188" s="140"/>
      <c r="Q188" s="140" t="s">
        <v>935</v>
      </c>
      <c r="R188" s="140"/>
      <c r="S188" s="140" t="s">
        <v>940</v>
      </c>
      <c r="T188" s="140">
        <v>0</v>
      </c>
      <c r="U188" s="140">
        <v>0</v>
      </c>
      <c r="V188" s="140">
        <v>0</v>
      </c>
      <c r="W188" s="140"/>
      <c r="X188" s="140" t="s">
        <v>937</v>
      </c>
      <c r="Y188" s="140"/>
      <c r="Z188" s="140"/>
      <c r="AA188" s="134" t="s">
        <v>834</v>
      </c>
      <c r="AB188" s="69" t="s">
        <v>281</v>
      </c>
      <c r="AC188" s="142" t="s">
        <v>253</v>
      </c>
      <c r="AD188" s="142">
        <v>200000000</v>
      </c>
      <c r="AE188" s="143">
        <v>0</v>
      </c>
      <c r="AF188" s="143">
        <v>0</v>
      </c>
      <c r="AG188" s="143">
        <v>0</v>
      </c>
      <c r="AH188" s="143">
        <v>0</v>
      </c>
      <c r="AI188" s="143">
        <v>0</v>
      </c>
      <c r="AJ188" s="142">
        <v>200000000</v>
      </c>
      <c r="AK188" s="143">
        <v>0</v>
      </c>
      <c r="AL188" s="143">
        <v>0</v>
      </c>
      <c r="AM188" s="143">
        <v>0</v>
      </c>
      <c r="AN188" s="143">
        <v>0</v>
      </c>
      <c r="AO188" s="143">
        <v>0</v>
      </c>
      <c r="AP188" s="143">
        <v>0</v>
      </c>
      <c r="AQ188" s="143">
        <v>0</v>
      </c>
      <c r="AR188" s="143">
        <v>0</v>
      </c>
      <c r="AS188" s="143">
        <v>0</v>
      </c>
      <c r="AT188" s="146">
        <f t="shared" si="111"/>
        <v>0</v>
      </c>
      <c r="AU188" s="147">
        <f t="shared" si="115"/>
        <v>200000000</v>
      </c>
      <c r="AV188" s="145">
        <f t="shared" si="116"/>
        <v>0</v>
      </c>
      <c r="AW188" s="145">
        <f t="shared" si="117"/>
        <v>0</v>
      </c>
      <c r="AX188" s="149">
        <f t="shared" si="99"/>
        <v>0</v>
      </c>
    </row>
    <row r="189" spans="1:50" ht="18.75" customHeight="1" x14ac:dyDescent="0.2">
      <c r="AA189" s="16"/>
      <c r="AB189" s="17"/>
      <c r="AC189" s="17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34"/>
      <c r="AT189" s="39"/>
      <c r="AU189" s="18"/>
      <c r="AV189" s="34"/>
      <c r="AW189" s="34"/>
      <c r="AX189" s="123"/>
    </row>
    <row r="190" spans="1:50" s="124" customFormat="1" ht="18.75" customHeigh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7" t="s">
        <v>282</v>
      </c>
      <c r="AB190" s="128" t="s">
        <v>283</v>
      </c>
      <c r="AC190" s="128"/>
      <c r="AD190" s="129">
        <f t="shared" ref="AD190:AS190" si="121">AD243+AD515+AD687+AD767+AD1024+AD1056+AD1106+AD1124+AD1164+AD1177+AD1192+AD1207+AD1304+AD979</f>
        <v>778687617478</v>
      </c>
      <c r="AE190" s="129">
        <f t="shared" si="121"/>
        <v>228653031468.91006</v>
      </c>
      <c r="AF190" s="130">
        <f t="shared" si="121"/>
        <v>0</v>
      </c>
      <c r="AG190" s="129">
        <f t="shared" si="121"/>
        <v>104527395000.34999</v>
      </c>
      <c r="AH190" s="129">
        <f t="shared" si="121"/>
        <v>104527395000.34999</v>
      </c>
      <c r="AI190" s="129">
        <f t="shared" si="121"/>
        <v>228653031468.91006</v>
      </c>
      <c r="AJ190" s="129">
        <f t="shared" si="121"/>
        <v>1007340648946.91</v>
      </c>
      <c r="AK190" s="130">
        <f t="shared" si="121"/>
        <v>228485280</v>
      </c>
      <c r="AL190" s="129">
        <f t="shared" si="121"/>
        <v>64352480908.579994</v>
      </c>
      <c r="AM190" s="129">
        <f t="shared" si="121"/>
        <v>582203853861.38</v>
      </c>
      <c r="AN190" s="129">
        <f t="shared" si="121"/>
        <v>1603515116.3299999</v>
      </c>
      <c r="AO190" s="129">
        <f t="shared" si="121"/>
        <v>54022199042.949997</v>
      </c>
      <c r="AP190" s="129">
        <f t="shared" si="121"/>
        <v>397903438378.12994</v>
      </c>
      <c r="AQ190" s="129">
        <f t="shared" si="121"/>
        <v>5747441588.9499998</v>
      </c>
      <c r="AR190" s="129">
        <f t="shared" si="121"/>
        <v>54680495740.48999</v>
      </c>
      <c r="AS190" s="129">
        <f t="shared" si="121"/>
        <v>269742035684.58997</v>
      </c>
      <c r="AT190" s="131">
        <f>AQ190+AS190</f>
        <v>275489477273.53998</v>
      </c>
      <c r="AU190" s="129">
        <f>AU243+AU515+AU687+AU767+AU1024+AU1056+AU1106+AU1124+AU1164+AU1177+AU1192+AU1207+AU1304+AU979</f>
        <v>425136795085.52997</v>
      </c>
      <c r="AV190" s="129">
        <f>AV243+AV515+AV687+AV767+AV1024+AV1056+AV1106+AV1124+AV1164+AV1177+AV1192+AV1207+AV1304+AV979</f>
        <v>184300415483.25003</v>
      </c>
      <c r="AW190" s="129">
        <f>AW243+AW515+AW687+AW767+AW1024+AW1056+AW1106+AW1124+AW1164+AW1177+AW1192+AW1207+AW1304+AW979</f>
        <v>122413961104.59</v>
      </c>
      <c r="AX190" s="132">
        <f>AP190/AJ190</f>
        <v>0.3950038537550376</v>
      </c>
    </row>
    <row r="191" spans="1:50" ht="18.75" customHeight="1" x14ac:dyDescent="0.2">
      <c r="AA191" s="16"/>
      <c r="AB191" s="17"/>
      <c r="AC191" s="17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</row>
    <row r="192" spans="1:50" s="25" customFormat="1" ht="18.75" customHeight="1" x14ac:dyDescent="0.2">
      <c r="A192" s="58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60"/>
      <c r="AB192" s="21" t="s">
        <v>284</v>
      </c>
      <c r="AC192" s="61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3"/>
    </row>
    <row r="193" spans="1:50" ht="18.75" customHeight="1" x14ac:dyDescent="0.2">
      <c r="A193" s="35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7"/>
      <c r="AB193" s="29" t="s">
        <v>285</v>
      </c>
      <c r="AC193" s="38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0"/>
      <c r="AU193" s="39"/>
      <c r="AV193" s="39"/>
      <c r="AW193" s="39"/>
      <c r="AX193" s="18"/>
    </row>
    <row r="194" spans="1:50" ht="18.75" customHeight="1" x14ac:dyDescent="0.2">
      <c r="A194" s="35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7"/>
      <c r="AB194" s="29" t="s">
        <v>286</v>
      </c>
      <c r="AC194" s="38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0"/>
      <c r="AU194" s="39"/>
      <c r="AV194" s="39"/>
      <c r="AW194" s="39"/>
      <c r="AX194" s="18"/>
    </row>
    <row r="195" spans="1:50" ht="18.75" customHeight="1" x14ac:dyDescent="0.2">
      <c r="A195" s="35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7"/>
      <c r="AB195" s="29" t="s">
        <v>179</v>
      </c>
      <c r="AC195" s="38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0"/>
      <c r="AU195" s="39"/>
      <c r="AV195" s="39"/>
      <c r="AW195" s="39"/>
      <c r="AX195" s="18"/>
    </row>
    <row r="196" spans="1:50" ht="18.75" customHeight="1" x14ac:dyDescent="0.2">
      <c r="A196" s="14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6"/>
      <c r="AB196" s="29" t="s">
        <v>181</v>
      </c>
      <c r="AC196" s="17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30"/>
      <c r="AU196" s="18"/>
      <c r="AV196" s="18"/>
      <c r="AW196" s="18"/>
      <c r="AX196" s="18"/>
    </row>
    <row r="197" spans="1:50" ht="18.75" customHeight="1" x14ac:dyDescent="0.2">
      <c r="A197" s="14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6"/>
      <c r="AB197" s="29" t="s">
        <v>287</v>
      </c>
      <c r="AC197" s="17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30"/>
      <c r="AU197" s="18"/>
      <c r="AV197" s="18"/>
      <c r="AW197" s="18"/>
      <c r="AX197" s="18"/>
    </row>
    <row r="198" spans="1:50" ht="25.5" x14ac:dyDescent="0.2">
      <c r="A198" s="35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28" t="s">
        <v>288</v>
      </c>
      <c r="AB198" s="29" t="s">
        <v>289</v>
      </c>
      <c r="AC198" s="38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0"/>
      <c r="AU198" s="39"/>
      <c r="AV198" s="39"/>
      <c r="AW198" s="39"/>
      <c r="AX198" s="18"/>
    </row>
    <row r="199" spans="1:50" ht="18.75" customHeight="1" x14ac:dyDescent="0.2">
      <c r="A199" s="14" t="s">
        <v>55</v>
      </c>
      <c r="B199" s="15" t="s">
        <v>56</v>
      </c>
      <c r="C199" s="15"/>
      <c r="D199" s="15"/>
      <c r="E199" s="15"/>
      <c r="F199" s="15"/>
      <c r="G199" s="15" t="s">
        <v>41</v>
      </c>
      <c r="H199" s="15"/>
      <c r="I199" s="15" t="s">
        <v>936</v>
      </c>
      <c r="J199" s="15"/>
      <c r="K199" s="15" t="s">
        <v>932</v>
      </c>
      <c r="L199" s="15"/>
      <c r="M199" s="15" t="s">
        <v>933</v>
      </c>
      <c r="N199" s="15"/>
      <c r="O199" s="15" t="s">
        <v>948</v>
      </c>
      <c r="P199" s="15"/>
      <c r="Q199" s="15" t="s">
        <v>942</v>
      </c>
      <c r="R199" s="15"/>
      <c r="S199" s="15" t="s">
        <v>940</v>
      </c>
      <c r="T199" s="15">
        <v>0</v>
      </c>
      <c r="U199" s="15">
        <v>0</v>
      </c>
      <c r="V199" s="15">
        <v>0</v>
      </c>
      <c r="W199" s="15"/>
      <c r="X199" s="15" t="s">
        <v>937</v>
      </c>
      <c r="Y199" s="15"/>
      <c r="Z199" s="15"/>
      <c r="AA199" s="16" t="s">
        <v>290</v>
      </c>
      <c r="AB199" s="17" t="s">
        <v>233</v>
      </c>
      <c r="AC199" s="17" t="s">
        <v>58</v>
      </c>
      <c r="AD199" s="18">
        <v>100000000</v>
      </c>
      <c r="AE199" s="34">
        <v>0</v>
      </c>
      <c r="AF199" s="34">
        <v>0</v>
      </c>
      <c r="AG199" s="34">
        <v>0</v>
      </c>
      <c r="AH199" s="18">
        <v>40000000</v>
      </c>
      <c r="AI199" s="18">
        <f>AE199-AF199+AG199-AH199</f>
        <v>-40000000</v>
      </c>
      <c r="AJ199" s="18">
        <f>AD199+AI199</f>
        <v>60000000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0</v>
      </c>
      <c r="AT199" s="40">
        <f t="shared" ref="AT199" si="122">AQ199+AS199</f>
        <v>0</v>
      </c>
      <c r="AU199" s="18">
        <f>AJ199-AM199</f>
        <v>60000000</v>
      </c>
      <c r="AV199" s="34">
        <f>AM199-AP199</f>
        <v>0</v>
      </c>
      <c r="AW199" s="34">
        <f>AP199-AT199</f>
        <v>0</v>
      </c>
      <c r="AX199" s="123">
        <f>AP199/AJ199</f>
        <v>0</v>
      </c>
    </row>
    <row r="200" spans="1:50" ht="18.75" customHeight="1" x14ac:dyDescent="0.2">
      <c r="A200" s="14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41" t="s">
        <v>288</v>
      </c>
      <c r="AB200" s="29" t="s">
        <v>291</v>
      </c>
      <c r="AC200" s="17"/>
      <c r="AD200" s="18"/>
      <c r="AE200" s="18"/>
      <c r="AF200" s="18"/>
      <c r="AG200" s="18"/>
      <c r="AH200" s="18"/>
      <c r="AI200" s="18"/>
      <c r="AJ200" s="18"/>
      <c r="AK200" s="18"/>
      <c r="AL200" s="18"/>
      <c r="AM200" s="34"/>
      <c r="AN200" s="34"/>
      <c r="AO200" s="34"/>
      <c r="AP200" s="34"/>
      <c r="AQ200" s="34"/>
      <c r="AR200" s="34"/>
      <c r="AS200" s="34"/>
      <c r="AT200" s="31"/>
      <c r="AU200" s="18"/>
      <c r="AV200" s="34"/>
      <c r="AW200" s="34"/>
      <c r="AX200" s="18"/>
    </row>
    <row r="201" spans="1:50" ht="18.75" customHeight="1" x14ac:dyDescent="0.2">
      <c r="A201" s="14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41" t="s">
        <v>1217</v>
      </c>
      <c r="AB201" s="38" t="s">
        <v>1015</v>
      </c>
      <c r="AC201" s="17"/>
      <c r="AD201" s="34">
        <v>0</v>
      </c>
      <c r="AE201" s="34">
        <v>0</v>
      </c>
      <c r="AF201" s="34">
        <v>0</v>
      </c>
      <c r="AG201" s="18">
        <v>1252674808</v>
      </c>
      <c r="AH201" s="34">
        <v>0</v>
      </c>
      <c r="AI201" s="18">
        <f>AE201-AF201+AG201-AH201</f>
        <v>1252674808</v>
      </c>
      <c r="AJ201" s="18">
        <f>AD201+AI201</f>
        <v>1252674808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40">
        <f t="shared" ref="AT201" si="123">AQ201+AS201</f>
        <v>0</v>
      </c>
      <c r="AU201" s="18">
        <f>AJ201-AM201</f>
        <v>1252674808</v>
      </c>
      <c r="AV201" s="34">
        <f>AM201-AP201</f>
        <v>0</v>
      </c>
      <c r="AW201" s="34">
        <f>AP201-AT201</f>
        <v>0</v>
      </c>
      <c r="AX201" s="123">
        <f>AP201/AJ201</f>
        <v>0</v>
      </c>
    </row>
    <row r="202" spans="1:50" ht="18.75" customHeight="1" x14ac:dyDescent="0.2">
      <c r="A202" s="14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28" t="s">
        <v>288</v>
      </c>
      <c r="AB202" s="29" t="s">
        <v>292</v>
      </c>
      <c r="AC202" s="17"/>
      <c r="AD202" s="18"/>
      <c r="AE202" s="34"/>
      <c r="AF202" s="34"/>
      <c r="AG202" s="34"/>
      <c r="AH202" s="34"/>
      <c r="AI202" s="34"/>
      <c r="AJ202" s="18"/>
      <c r="AK202" s="18"/>
      <c r="AL202" s="18"/>
      <c r="AM202" s="34"/>
      <c r="AN202" s="34"/>
      <c r="AO202" s="34"/>
      <c r="AP202" s="34"/>
      <c r="AQ202" s="34"/>
      <c r="AR202" s="34"/>
      <c r="AS202" s="34"/>
      <c r="AT202" s="31"/>
      <c r="AU202" s="18"/>
      <c r="AV202" s="34"/>
      <c r="AW202" s="34"/>
      <c r="AX202" s="18"/>
    </row>
    <row r="203" spans="1:50" ht="18.75" customHeight="1" x14ac:dyDescent="0.2">
      <c r="A203" s="14" t="s">
        <v>55</v>
      </c>
      <c r="B203" s="15" t="s">
        <v>56</v>
      </c>
      <c r="C203" s="15"/>
      <c r="D203" s="15"/>
      <c r="E203" s="15"/>
      <c r="F203" s="15"/>
      <c r="G203" s="15" t="s">
        <v>41</v>
      </c>
      <c r="H203" s="15"/>
      <c r="I203" s="15" t="s">
        <v>936</v>
      </c>
      <c r="J203" s="15"/>
      <c r="K203" s="15" t="s">
        <v>932</v>
      </c>
      <c r="L203" s="15"/>
      <c r="M203" s="15" t="s">
        <v>933</v>
      </c>
      <c r="N203" s="15"/>
      <c r="O203" s="15" t="s">
        <v>948</v>
      </c>
      <c r="P203" s="15"/>
      <c r="Q203" s="15" t="s">
        <v>942</v>
      </c>
      <c r="R203" s="15"/>
      <c r="S203" s="15" t="s">
        <v>940</v>
      </c>
      <c r="T203" s="15">
        <v>0</v>
      </c>
      <c r="U203" s="15">
        <v>0</v>
      </c>
      <c r="V203" s="15">
        <v>0</v>
      </c>
      <c r="W203" s="15"/>
      <c r="X203" s="15" t="s">
        <v>937</v>
      </c>
      <c r="Y203" s="15"/>
      <c r="Z203" s="15"/>
      <c r="AA203" s="16" t="s">
        <v>293</v>
      </c>
      <c r="AB203" s="17" t="s">
        <v>233</v>
      </c>
      <c r="AC203" s="161" t="s">
        <v>58</v>
      </c>
      <c r="AD203" s="18">
        <v>500000000</v>
      </c>
      <c r="AE203" s="34">
        <v>0</v>
      </c>
      <c r="AF203" s="34">
        <v>0</v>
      </c>
      <c r="AH203" s="34">
        <v>0</v>
      </c>
      <c r="AI203" s="34">
        <f t="shared" ref="AI203:AI204" si="124">AE203-AF203+AG203-AH203</f>
        <v>0</v>
      </c>
      <c r="AJ203" s="18">
        <f t="shared" ref="AJ203:AJ204" si="125">AD203+AI203</f>
        <v>500000000</v>
      </c>
      <c r="AK203" s="34">
        <v>0</v>
      </c>
      <c r="AL203" s="34">
        <v>0</v>
      </c>
      <c r="AM203" s="18">
        <v>500000000</v>
      </c>
      <c r="AN203" s="34">
        <v>0</v>
      </c>
      <c r="AO203" s="34">
        <v>0</v>
      </c>
      <c r="AP203" s="18">
        <v>500000000</v>
      </c>
      <c r="AQ203" s="34">
        <v>0</v>
      </c>
      <c r="AR203" s="34">
        <v>0</v>
      </c>
      <c r="AS203" s="34">
        <v>0</v>
      </c>
      <c r="AT203" s="40">
        <f t="shared" ref="AT203:AT204" si="126">AQ203+AS203</f>
        <v>0</v>
      </c>
      <c r="AU203" s="34">
        <f>AJ203-AM203</f>
        <v>0</v>
      </c>
      <c r="AV203" s="34">
        <f>AM203-AP203</f>
        <v>0</v>
      </c>
      <c r="AW203" s="18">
        <f>AP203-AT203</f>
        <v>500000000</v>
      </c>
      <c r="AX203" s="123">
        <f>AP203/AJ203</f>
        <v>1</v>
      </c>
    </row>
    <row r="204" spans="1:50" ht="18.75" customHeight="1" x14ac:dyDescent="0.2">
      <c r="A204" s="14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66" t="s">
        <v>1014</v>
      </c>
      <c r="AB204" s="167" t="s">
        <v>1015</v>
      </c>
      <c r="AC204" s="161"/>
      <c r="AD204" s="34">
        <v>0</v>
      </c>
      <c r="AE204" s="18">
        <v>3410000000</v>
      </c>
      <c r="AF204" s="34">
        <v>0</v>
      </c>
      <c r="AG204" s="137">
        <v>0</v>
      </c>
      <c r="AH204" s="18">
        <v>3410000000</v>
      </c>
      <c r="AI204" s="34">
        <f t="shared" si="124"/>
        <v>0</v>
      </c>
      <c r="AJ204" s="34">
        <f t="shared" si="125"/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40">
        <f t="shared" si="126"/>
        <v>0</v>
      </c>
      <c r="AU204" s="34">
        <f>AJ204-AM204</f>
        <v>0</v>
      </c>
      <c r="AV204" s="34">
        <f>AM204-AP204</f>
        <v>0</v>
      </c>
      <c r="AW204" s="34">
        <f>AP204-AT204</f>
        <v>0</v>
      </c>
      <c r="AX204" s="123">
        <v>0</v>
      </c>
    </row>
    <row r="205" spans="1:50" ht="27" customHeight="1" x14ac:dyDescent="0.2">
      <c r="A205" s="14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69" t="s">
        <v>288</v>
      </c>
      <c r="AB205" s="163" t="s">
        <v>294</v>
      </c>
      <c r="AC205" s="17"/>
      <c r="AD205" s="18"/>
      <c r="AE205" s="34"/>
      <c r="AF205" s="34"/>
      <c r="AG205" s="34"/>
      <c r="AH205" s="34"/>
      <c r="AI205" s="34"/>
      <c r="AJ205" s="18"/>
      <c r="AK205" s="34"/>
      <c r="AL205" s="34"/>
      <c r="AM205" s="34"/>
      <c r="AN205" s="34"/>
      <c r="AO205" s="34"/>
      <c r="AP205" s="34"/>
      <c r="AQ205" s="34"/>
      <c r="AR205" s="34"/>
      <c r="AS205" s="34"/>
      <c r="AT205" s="31"/>
      <c r="AU205" s="18"/>
      <c r="AV205" s="34"/>
      <c r="AW205" s="34"/>
      <c r="AX205" s="18"/>
    </row>
    <row r="206" spans="1:50" ht="18.75" customHeight="1" x14ac:dyDescent="0.2">
      <c r="A206" s="14" t="s">
        <v>55</v>
      </c>
      <c r="B206" s="15" t="s">
        <v>56</v>
      </c>
      <c r="C206" s="15"/>
      <c r="D206" s="15"/>
      <c r="E206" s="15"/>
      <c r="F206" s="15"/>
      <c r="G206" s="15" t="s">
        <v>41</v>
      </c>
      <c r="H206" s="15"/>
      <c r="I206" s="15" t="s">
        <v>936</v>
      </c>
      <c r="J206" s="15"/>
      <c r="K206" s="15" t="s">
        <v>932</v>
      </c>
      <c r="L206" s="15"/>
      <c r="M206" s="15" t="s">
        <v>933</v>
      </c>
      <c r="N206" s="15"/>
      <c r="O206" s="15" t="s">
        <v>948</v>
      </c>
      <c r="P206" s="15"/>
      <c r="Q206" s="15" t="s">
        <v>942</v>
      </c>
      <c r="R206" s="15"/>
      <c r="S206" s="15" t="s">
        <v>940</v>
      </c>
      <c r="T206" s="15">
        <v>0</v>
      </c>
      <c r="U206" s="15">
        <v>0</v>
      </c>
      <c r="V206" s="15">
        <v>0</v>
      </c>
      <c r="W206" s="15"/>
      <c r="X206" s="15" t="s">
        <v>937</v>
      </c>
      <c r="Y206" s="15"/>
      <c r="Z206" s="15"/>
      <c r="AA206" s="16" t="s">
        <v>295</v>
      </c>
      <c r="AB206" s="17" t="s">
        <v>233</v>
      </c>
      <c r="AC206" s="17" t="s">
        <v>58</v>
      </c>
      <c r="AD206" s="18">
        <v>400000000</v>
      </c>
      <c r="AE206" s="34">
        <v>0</v>
      </c>
      <c r="AF206" s="34">
        <v>0</v>
      </c>
      <c r="AG206" s="34">
        <v>0</v>
      </c>
      <c r="AH206" s="34">
        <v>0</v>
      </c>
      <c r="AI206" s="34">
        <f>AE206-AF206+AG206-AH206</f>
        <v>0</v>
      </c>
      <c r="AJ206" s="18">
        <f>AD206+AI206</f>
        <v>400000000</v>
      </c>
      <c r="AK206" s="34">
        <v>0</v>
      </c>
      <c r="AL206" s="110">
        <v>-128596209.40000001</v>
      </c>
      <c r="AM206" s="110">
        <v>163425926.59999999</v>
      </c>
      <c r="AN206" s="34">
        <v>0</v>
      </c>
      <c r="AO206" s="110">
        <v>31260395</v>
      </c>
      <c r="AP206" s="110">
        <v>157322759.59999999</v>
      </c>
      <c r="AQ206" s="18">
        <v>6500000</v>
      </c>
      <c r="AR206" s="18">
        <v>73135636</v>
      </c>
      <c r="AS206" s="18">
        <v>73135636</v>
      </c>
      <c r="AT206" s="39">
        <f t="shared" ref="AT206" si="127">AQ206+AS206</f>
        <v>79635636</v>
      </c>
      <c r="AU206" s="18">
        <f>AJ206-AM206</f>
        <v>236574073.40000001</v>
      </c>
      <c r="AV206" s="110">
        <f>AM206-AP206</f>
        <v>6103167</v>
      </c>
      <c r="AW206" s="18">
        <f>AP206-AT206</f>
        <v>77687123.599999994</v>
      </c>
      <c r="AX206" s="123">
        <f>AP206/AJ206</f>
        <v>0.39330689899999999</v>
      </c>
    </row>
    <row r="207" spans="1:50" ht="18.75" customHeight="1" x14ac:dyDescent="0.2">
      <c r="A207" s="14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6"/>
      <c r="AB207" s="17"/>
      <c r="AC207" s="17"/>
      <c r="AD207" s="18"/>
      <c r="AE207" s="34"/>
      <c r="AF207" s="34"/>
      <c r="AG207" s="34"/>
      <c r="AH207" s="34"/>
      <c r="AI207" s="34"/>
      <c r="AJ207" s="18"/>
      <c r="AK207" s="34"/>
      <c r="AL207" s="34"/>
      <c r="AM207" s="34"/>
      <c r="AN207" s="34"/>
      <c r="AO207" s="34"/>
      <c r="AP207" s="34"/>
      <c r="AQ207" s="34"/>
      <c r="AR207" s="34"/>
      <c r="AS207" s="18"/>
      <c r="AT207" s="30"/>
      <c r="AU207" s="18"/>
      <c r="AV207" s="18"/>
      <c r="AW207" s="18"/>
      <c r="AX207" s="18"/>
    </row>
    <row r="208" spans="1:50" ht="18.75" customHeight="1" x14ac:dyDescent="0.2">
      <c r="A208" s="14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6"/>
      <c r="AB208" s="29" t="s">
        <v>189</v>
      </c>
      <c r="AC208" s="17"/>
      <c r="AD208" s="18"/>
      <c r="AE208" s="34"/>
      <c r="AF208" s="34"/>
      <c r="AG208" s="34"/>
      <c r="AH208" s="34"/>
      <c r="AI208" s="34"/>
      <c r="AJ208" s="18"/>
      <c r="AK208" s="34"/>
      <c r="AL208" s="34"/>
      <c r="AM208" s="34"/>
      <c r="AN208" s="34"/>
      <c r="AO208" s="34"/>
      <c r="AP208" s="34"/>
      <c r="AQ208" s="34"/>
      <c r="AR208" s="34"/>
      <c r="AS208" s="18"/>
      <c r="AT208" s="30"/>
      <c r="AU208" s="18"/>
      <c r="AV208" s="18"/>
      <c r="AW208" s="18"/>
      <c r="AX208" s="18"/>
    </row>
    <row r="209" spans="1:50" ht="18.75" customHeight="1" x14ac:dyDescent="0.2">
      <c r="A209" s="14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6"/>
      <c r="AB209" s="29" t="s">
        <v>191</v>
      </c>
      <c r="AC209" s="17"/>
      <c r="AD209" s="18"/>
      <c r="AE209" s="34"/>
      <c r="AF209" s="34"/>
      <c r="AG209" s="34"/>
      <c r="AH209" s="34"/>
      <c r="AI209" s="34"/>
      <c r="AJ209" s="18"/>
      <c r="AK209" s="34"/>
      <c r="AL209" s="34"/>
      <c r="AM209" s="34"/>
      <c r="AN209" s="34"/>
      <c r="AO209" s="34"/>
      <c r="AP209" s="34"/>
      <c r="AQ209" s="34"/>
      <c r="AR209" s="34"/>
      <c r="AS209" s="18"/>
      <c r="AT209" s="30"/>
      <c r="AU209" s="18"/>
      <c r="AV209" s="18"/>
      <c r="AW209" s="18"/>
      <c r="AX209" s="18"/>
    </row>
    <row r="210" spans="1:50" ht="18.75" customHeight="1" x14ac:dyDescent="0.2">
      <c r="A210" s="14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28" t="s">
        <v>288</v>
      </c>
      <c r="AB210" s="29" t="s">
        <v>296</v>
      </c>
      <c r="AC210" s="17"/>
      <c r="AD210" s="18"/>
      <c r="AE210" s="34"/>
      <c r="AF210" s="34"/>
      <c r="AG210" s="34"/>
      <c r="AH210" s="34"/>
      <c r="AI210" s="34"/>
      <c r="AJ210" s="18"/>
      <c r="AK210" s="34"/>
      <c r="AL210" s="34"/>
      <c r="AM210" s="34"/>
      <c r="AN210" s="34"/>
      <c r="AO210" s="34"/>
      <c r="AP210" s="34"/>
      <c r="AQ210" s="34"/>
      <c r="AR210" s="34"/>
      <c r="AS210" s="18"/>
      <c r="AT210" s="30"/>
      <c r="AU210" s="18"/>
      <c r="AV210" s="18"/>
      <c r="AW210" s="18"/>
      <c r="AX210" s="18"/>
    </row>
    <row r="211" spans="1:50" ht="18.75" customHeight="1" x14ac:dyDescent="0.2">
      <c r="A211" s="14" t="s">
        <v>55</v>
      </c>
      <c r="B211" s="15" t="s">
        <v>56</v>
      </c>
      <c r="C211" s="15"/>
      <c r="D211" s="15"/>
      <c r="E211" s="15"/>
      <c r="F211" s="15"/>
      <c r="G211" s="15" t="s">
        <v>41</v>
      </c>
      <c r="H211" s="15"/>
      <c r="I211" s="15" t="s">
        <v>936</v>
      </c>
      <c r="J211" s="15"/>
      <c r="K211" s="15" t="s">
        <v>932</v>
      </c>
      <c r="L211" s="15"/>
      <c r="M211" s="15" t="s">
        <v>933</v>
      </c>
      <c r="N211" s="15"/>
      <c r="O211" s="15" t="s">
        <v>948</v>
      </c>
      <c r="P211" s="15"/>
      <c r="Q211" s="15" t="s">
        <v>942</v>
      </c>
      <c r="R211" s="15"/>
      <c r="S211" s="15" t="s">
        <v>940</v>
      </c>
      <c r="T211" s="15">
        <v>0</v>
      </c>
      <c r="U211" s="15">
        <v>0</v>
      </c>
      <c r="V211" s="15">
        <v>0</v>
      </c>
      <c r="W211" s="15"/>
      <c r="X211" s="15" t="s">
        <v>937</v>
      </c>
      <c r="Y211" s="15"/>
      <c r="Z211" s="15"/>
      <c r="AA211" s="16" t="s">
        <v>297</v>
      </c>
      <c r="AB211" s="17" t="s">
        <v>233</v>
      </c>
      <c r="AC211" s="17" t="s">
        <v>58</v>
      </c>
      <c r="AD211" s="18">
        <v>200000000</v>
      </c>
      <c r="AE211" s="34">
        <v>0</v>
      </c>
      <c r="AF211" s="34">
        <v>0</v>
      </c>
      <c r="AG211" s="18">
        <f>40000000+20000000</f>
        <v>60000000</v>
      </c>
      <c r="AH211" s="34">
        <v>0</v>
      </c>
      <c r="AI211" s="18">
        <f>AE211-AF211+AG211-AH211</f>
        <v>60000000</v>
      </c>
      <c r="AJ211" s="18">
        <f>AD211+AI211</f>
        <v>260000000</v>
      </c>
      <c r="AK211" s="34">
        <v>0</v>
      </c>
      <c r="AL211" s="34">
        <v>0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40">
        <f t="shared" ref="AT211" si="128">AQ211+AS211</f>
        <v>0</v>
      </c>
      <c r="AU211" s="18">
        <f>AJ211-AM211</f>
        <v>260000000</v>
      </c>
      <c r="AV211" s="34">
        <f>AM211-AP211</f>
        <v>0</v>
      </c>
      <c r="AW211" s="34">
        <f>AP211-AT211</f>
        <v>0</v>
      </c>
      <c r="AX211" s="123">
        <f>AP211/AJ211</f>
        <v>0</v>
      </c>
    </row>
    <row r="212" spans="1:50" ht="24" customHeight="1" x14ac:dyDescent="0.2">
      <c r="A212" s="14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6"/>
      <c r="AB212" s="29" t="s">
        <v>298</v>
      </c>
      <c r="AC212" s="17"/>
      <c r="AD212" s="18"/>
      <c r="AE212" s="34"/>
      <c r="AF212" s="34"/>
      <c r="AG212" s="34"/>
      <c r="AH212" s="34"/>
      <c r="AI212" s="34"/>
      <c r="AJ212" s="18"/>
      <c r="AK212" s="18"/>
      <c r="AL212" s="18"/>
      <c r="AM212" s="18"/>
      <c r="AN212" s="18"/>
      <c r="AO212" s="18"/>
      <c r="AP212" s="18"/>
      <c r="AQ212" s="18"/>
      <c r="AR212" s="18"/>
      <c r="AS212" s="34"/>
      <c r="AT212" s="31"/>
      <c r="AU212" s="18"/>
      <c r="AV212" s="18"/>
      <c r="AW212" s="18"/>
      <c r="AX212" s="18"/>
    </row>
    <row r="213" spans="1:50" ht="18.75" customHeight="1" x14ac:dyDescent="0.2">
      <c r="A213" s="14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28" t="s">
        <v>288</v>
      </c>
      <c r="AB213" s="29" t="s">
        <v>299</v>
      </c>
      <c r="AC213" s="17"/>
      <c r="AD213" s="18"/>
      <c r="AE213" s="34"/>
      <c r="AF213" s="34"/>
      <c r="AG213" s="34"/>
      <c r="AH213" s="34"/>
      <c r="AI213" s="34"/>
      <c r="AJ213" s="18"/>
      <c r="AK213" s="18"/>
      <c r="AL213" s="18"/>
      <c r="AM213" s="18"/>
      <c r="AN213" s="18"/>
      <c r="AO213" s="18"/>
      <c r="AP213" s="18"/>
      <c r="AQ213" s="18"/>
      <c r="AR213" s="18"/>
      <c r="AS213" s="34"/>
      <c r="AT213" s="31"/>
      <c r="AU213" s="18"/>
      <c r="AV213" s="18"/>
      <c r="AW213" s="18"/>
      <c r="AX213" s="18"/>
    </row>
    <row r="214" spans="1:50" ht="18.75" customHeight="1" x14ac:dyDescent="0.2">
      <c r="A214" s="14" t="s">
        <v>55</v>
      </c>
      <c r="B214" s="15" t="s">
        <v>56</v>
      </c>
      <c r="C214" s="15"/>
      <c r="D214" s="15"/>
      <c r="E214" s="15"/>
      <c r="F214" s="15"/>
      <c r="G214" s="15" t="s">
        <v>41</v>
      </c>
      <c r="H214" s="15"/>
      <c r="I214" s="15" t="s">
        <v>936</v>
      </c>
      <c r="J214" s="15"/>
      <c r="K214" s="15" t="s">
        <v>932</v>
      </c>
      <c r="L214" s="15"/>
      <c r="M214" s="15" t="s">
        <v>933</v>
      </c>
      <c r="N214" s="15"/>
      <c r="O214" s="15" t="s">
        <v>948</v>
      </c>
      <c r="P214" s="15"/>
      <c r="Q214" s="15" t="s">
        <v>942</v>
      </c>
      <c r="R214" s="15"/>
      <c r="S214" s="15" t="s">
        <v>940</v>
      </c>
      <c r="T214" s="15">
        <v>0</v>
      </c>
      <c r="U214" s="15">
        <v>0</v>
      </c>
      <c r="V214" s="15">
        <v>0</v>
      </c>
      <c r="W214" s="15"/>
      <c r="X214" s="15" t="s">
        <v>937</v>
      </c>
      <c r="Y214" s="15"/>
      <c r="Z214" s="15"/>
      <c r="AA214" s="16" t="s">
        <v>300</v>
      </c>
      <c r="AB214" s="17" t="s">
        <v>233</v>
      </c>
      <c r="AC214" s="17" t="s">
        <v>58</v>
      </c>
      <c r="AD214" s="18">
        <v>250000000</v>
      </c>
      <c r="AE214" s="34">
        <v>0</v>
      </c>
      <c r="AF214" s="34">
        <v>0</v>
      </c>
      <c r="AG214" s="18">
        <v>200000000</v>
      </c>
      <c r="AH214" s="34">
        <v>0</v>
      </c>
      <c r="AI214" s="18">
        <f>AE214-AF214+AG214-AH214</f>
        <v>200000000</v>
      </c>
      <c r="AJ214" s="18">
        <f>AD214+AI214</f>
        <v>450000000</v>
      </c>
      <c r="AK214" s="34">
        <v>0</v>
      </c>
      <c r="AL214" s="18">
        <v>20000000</v>
      </c>
      <c r="AM214" s="18">
        <v>267000000</v>
      </c>
      <c r="AN214" s="34">
        <v>0</v>
      </c>
      <c r="AO214" s="34">
        <v>0</v>
      </c>
      <c r="AP214" s="18">
        <v>247000000</v>
      </c>
      <c r="AQ214" s="18">
        <v>66383334</v>
      </c>
      <c r="AR214" s="18">
        <v>22983334</v>
      </c>
      <c r="AS214" s="18">
        <v>119616665</v>
      </c>
      <c r="AT214" s="39">
        <f t="shared" ref="AT214:AT229" si="129">AQ214+AS214</f>
        <v>185999999</v>
      </c>
      <c r="AU214" s="18">
        <f>AJ214-AM214</f>
        <v>183000000</v>
      </c>
      <c r="AV214" s="110">
        <f>AM214-AP214</f>
        <v>20000000</v>
      </c>
      <c r="AW214" s="110">
        <f>AP214-AT214</f>
        <v>61000001</v>
      </c>
      <c r="AX214" s="123">
        <f>AP214/AJ214</f>
        <v>0.54888888888888887</v>
      </c>
    </row>
    <row r="215" spans="1:50" ht="18.75" customHeight="1" x14ac:dyDescent="0.2">
      <c r="A215" s="14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28" t="s">
        <v>288</v>
      </c>
      <c r="AB215" s="29" t="s">
        <v>292</v>
      </c>
      <c r="AC215" s="17"/>
      <c r="AD215" s="18"/>
      <c r="AE215" s="34"/>
      <c r="AF215" s="34"/>
      <c r="AG215" s="34"/>
      <c r="AH215" s="34"/>
      <c r="AI215" s="34"/>
      <c r="AJ215" s="18"/>
      <c r="AK215" s="34"/>
      <c r="AL215" s="18"/>
      <c r="AM215" s="18"/>
      <c r="AN215" s="34"/>
      <c r="AO215" s="34"/>
      <c r="AP215" s="18"/>
      <c r="AQ215" s="18"/>
      <c r="AR215" s="18"/>
      <c r="AS215" s="34"/>
      <c r="AT215" s="31"/>
      <c r="AU215" s="18"/>
      <c r="AV215" s="18"/>
      <c r="AW215" s="18"/>
      <c r="AX215" s="18"/>
    </row>
    <row r="216" spans="1:50" ht="18.75" customHeight="1" x14ac:dyDescent="0.2">
      <c r="A216" s="35" t="s">
        <v>55</v>
      </c>
      <c r="B216" s="36" t="s">
        <v>56</v>
      </c>
      <c r="C216" s="36"/>
      <c r="D216" s="36"/>
      <c r="E216" s="36"/>
      <c r="F216" s="36"/>
      <c r="G216" s="36" t="s">
        <v>41</v>
      </c>
      <c r="H216" s="36"/>
      <c r="I216" s="36" t="s">
        <v>936</v>
      </c>
      <c r="J216" s="36"/>
      <c r="K216" s="36" t="s">
        <v>932</v>
      </c>
      <c r="L216" s="36"/>
      <c r="M216" s="36" t="s">
        <v>933</v>
      </c>
      <c r="N216" s="36"/>
      <c r="O216" s="36" t="s">
        <v>948</v>
      </c>
      <c r="P216" s="36"/>
      <c r="Q216" s="36" t="s">
        <v>942</v>
      </c>
      <c r="R216" s="36"/>
      <c r="S216" s="36" t="s">
        <v>940</v>
      </c>
      <c r="T216" s="36">
        <v>0</v>
      </c>
      <c r="U216" s="36">
        <v>0</v>
      </c>
      <c r="V216" s="36">
        <v>0</v>
      </c>
      <c r="W216" s="36"/>
      <c r="X216" s="36" t="s">
        <v>937</v>
      </c>
      <c r="Y216" s="36"/>
      <c r="Z216" s="36"/>
      <c r="AA216" s="37" t="s">
        <v>301</v>
      </c>
      <c r="AB216" s="38" t="s">
        <v>233</v>
      </c>
      <c r="AC216" s="38" t="s">
        <v>58</v>
      </c>
      <c r="AD216" s="39">
        <v>200000000</v>
      </c>
      <c r="AE216" s="40">
        <v>0</v>
      </c>
      <c r="AF216" s="40">
        <v>0</v>
      </c>
      <c r="AG216" s="18">
        <v>64995888</v>
      </c>
      <c r="AH216" s="40">
        <v>0</v>
      </c>
      <c r="AI216" s="18">
        <f t="shared" ref="AI216:AI217" si="130">AE216-AF216+AG216-AH216</f>
        <v>64995888</v>
      </c>
      <c r="AJ216" s="18">
        <f t="shared" ref="AJ216:AJ217" si="131">AD216+AI216</f>
        <v>264995888</v>
      </c>
      <c r="AK216" s="40">
        <v>0</v>
      </c>
      <c r="AL216" s="39">
        <v>43251802</v>
      </c>
      <c r="AM216" s="39">
        <v>121551269.01000001</v>
      </c>
      <c r="AN216" s="40">
        <v>0</v>
      </c>
      <c r="AO216" s="40">
        <v>0</v>
      </c>
      <c r="AP216" s="39">
        <v>66600016</v>
      </c>
      <c r="AQ216" s="40">
        <v>0</v>
      </c>
      <c r="AR216" s="40">
        <v>0</v>
      </c>
      <c r="AS216" s="40">
        <v>0</v>
      </c>
      <c r="AT216" s="40">
        <f t="shared" ref="AT216:AT219" si="132">AQ216+AS216</f>
        <v>0</v>
      </c>
      <c r="AU216" s="18">
        <f>AJ216-AM216</f>
        <v>143444618.99000001</v>
      </c>
      <c r="AV216" s="18">
        <f>AM216-AP216</f>
        <v>54951253.010000005</v>
      </c>
      <c r="AW216" s="18">
        <f>AP216-AT216</f>
        <v>66600016</v>
      </c>
      <c r="AX216" s="123">
        <f>AP216/AJ216</f>
        <v>0.2513247148951987</v>
      </c>
    </row>
    <row r="217" spans="1:50" ht="18.75" customHeight="1" x14ac:dyDescent="0.2">
      <c r="A217" s="35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101" t="s">
        <v>1234</v>
      </c>
      <c r="AB217" s="251" t="s">
        <v>1015</v>
      </c>
      <c r="AC217" s="38"/>
      <c r="AD217" s="40">
        <v>0</v>
      </c>
      <c r="AE217" s="40"/>
      <c r="AF217" s="40"/>
      <c r="AG217" s="18">
        <v>2307325192</v>
      </c>
      <c r="AH217" s="40">
        <v>0</v>
      </c>
      <c r="AI217" s="18">
        <f t="shared" si="130"/>
        <v>2307325192</v>
      </c>
      <c r="AJ217" s="18">
        <f t="shared" si="131"/>
        <v>2307325192</v>
      </c>
      <c r="AK217" s="40">
        <v>0</v>
      </c>
      <c r="AL217" s="40">
        <v>0</v>
      </c>
      <c r="AM217" s="40">
        <v>0</v>
      </c>
      <c r="AN217" s="40">
        <v>0</v>
      </c>
      <c r="AO217" s="40">
        <v>0</v>
      </c>
      <c r="AP217" s="40">
        <v>0</v>
      </c>
      <c r="AQ217" s="40">
        <v>0</v>
      </c>
      <c r="AR217" s="40">
        <v>0</v>
      </c>
      <c r="AS217" s="40">
        <v>0</v>
      </c>
      <c r="AT217" s="40">
        <f t="shared" si="132"/>
        <v>0</v>
      </c>
      <c r="AU217" s="18">
        <f>AJ217-AM217</f>
        <v>2307325192</v>
      </c>
      <c r="AV217" s="34">
        <f>AM217-AP217</f>
        <v>0</v>
      </c>
      <c r="AW217" s="34">
        <f>AP217-AT217</f>
        <v>0</v>
      </c>
      <c r="AX217" s="123">
        <f>AP217/AJ217</f>
        <v>0</v>
      </c>
    </row>
    <row r="218" spans="1:50" ht="26.25" customHeight="1" x14ac:dyDescent="0.2">
      <c r="A218" s="35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28" t="s">
        <v>288</v>
      </c>
      <c r="AB218" s="29" t="s">
        <v>298</v>
      </c>
      <c r="AC218" s="38"/>
      <c r="AD218" s="40"/>
      <c r="AE218" s="40"/>
      <c r="AF218" s="40"/>
      <c r="AG218" s="40"/>
      <c r="AH218" s="40"/>
      <c r="AI218" s="40"/>
      <c r="AJ218" s="39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>
        <f t="shared" si="132"/>
        <v>0</v>
      </c>
      <c r="AU218" s="18">
        <f>AJ218-AM218</f>
        <v>0</v>
      </c>
      <c r="AV218" s="34">
        <f>AM218-AP218</f>
        <v>0</v>
      </c>
      <c r="AW218" s="34">
        <f>AP218-AT218</f>
        <v>0</v>
      </c>
      <c r="AX218" s="123">
        <v>0</v>
      </c>
    </row>
    <row r="219" spans="1:50" ht="18.75" customHeight="1" x14ac:dyDescent="0.2">
      <c r="A219" s="35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101" t="s">
        <v>1218</v>
      </c>
      <c r="AB219" s="251" t="s">
        <v>233</v>
      </c>
      <c r="AC219" s="38"/>
      <c r="AD219" s="40">
        <v>0</v>
      </c>
      <c r="AE219" s="40">
        <v>0</v>
      </c>
      <c r="AF219" s="40">
        <v>0</v>
      </c>
      <c r="AG219" s="39">
        <v>4935004112</v>
      </c>
      <c r="AH219" s="40">
        <v>0</v>
      </c>
      <c r="AI219" s="18">
        <f>AE219-AF219+AG219-AH219</f>
        <v>4935004112</v>
      </c>
      <c r="AJ219" s="18">
        <f>AD219+AI219</f>
        <v>4935004112</v>
      </c>
      <c r="AK219" s="40">
        <v>0</v>
      </c>
      <c r="AL219" s="39">
        <v>4525996292</v>
      </c>
      <c r="AM219" s="39">
        <v>4525996292</v>
      </c>
      <c r="AN219" s="40">
        <v>0</v>
      </c>
      <c r="AO219" s="40">
        <v>0</v>
      </c>
      <c r="AP219" s="40">
        <v>0</v>
      </c>
      <c r="AQ219" s="40">
        <v>0</v>
      </c>
      <c r="AR219" s="40">
        <v>0</v>
      </c>
      <c r="AS219" s="40">
        <v>0</v>
      </c>
      <c r="AT219" s="40">
        <f t="shared" si="132"/>
        <v>0</v>
      </c>
      <c r="AU219" s="18">
        <f>AJ219-AM219</f>
        <v>409007820</v>
      </c>
      <c r="AV219" s="18">
        <f>AM219-AP219</f>
        <v>4525996292</v>
      </c>
      <c r="AW219" s="34">
        <f>AP219-AT219</f>
        <v>0</v>
      </c>
      <c r="AX219" s="123">
        <f>AP219/AJ219</f>
        <v>0</v>
      </c>
    </row>
    <row r="220" spans="1:50" ht="24.75" customHeight="1" x14ac:dyDescent="0.2">
      <c r="A220" s="14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28" t="s">
        <v>288</v>
      </c>
      <c r="AB220" s="29" t="s">
        <v>302</v>
      </c>
      <c r="AC220" s="17"/>
      <c r="AD220" s="18"/>
      <c r="AE220" s="34"/>
      <c r="AF220" s="34"/>
      <c r="AG220" s="34"/>
      <c r="AH220" s="34"/>
      <c r="AI220" s="34"/>
      <c r="AJ220" s="18"/>
      <c r="AK220" s="34"/>
      <c r="AL220" s="34"/>
      <c r="AM220" s="34"/>
      <c r="AN220" s="34"/>
      <c r="AO220" s="34"/>
      <c r="AP220" s="34"/>
      <c r="AQ220" s="34"/>
      <c r="AR220" s="34"/>
      <c r="AS220" s="34"/>
      <c r="AT220" s="31"/>
      <c r="AU220" s="18"/>
      <c r="AV220" s="34"/>
      <c r="AW220" s="34"/>
      <c r="AX220" s="18"/>
    </row>
    <row r="221" spans="1:50" ht="18.75" customHeight="1" x14ac:dyDescent="0.2">
      <c r="A221" s="14" t="s">
        <v>55</v>
      </c>
      <c r="B221" s="15" t="s">
        <v>56</v>
      </c>
      <c r="C221" s="15"/>
      <c r="D221" s="15"/>
      <c r="E221" s="15"/>
      <c r="F221" s="15"/>
      <c r="G221" s="15" t="s">
        <v>41</v>
      </c>
      <c r="H221" s="15"/>
      <c r="I221" s="15" t="s">
        <v>936</v>
      </c>
      <c r="J221" s="15"/>
      <c r="K221" s="15" t="s">
        <v>932</v>
      </c>
      <c r="L221" s="15"/>
      <c r="M221" s="15" t="s">
        <v>933</v>
      </c>
      <c r="N221" s="15"/>
      <c r="O221" s="15" t="s">
        <v>948</v>
      </c>
      <c r="P221" s="15"/>
      <c r="Q221" s="15" t="s">
        <v>942</v>
      </c>
      <c r="R221" s="15"/>
      <c r="S221" s="15" t="s">
        <v>940</v>
      </c>
      <c r="T221" s="15">
        <v>0</v>
      </c>
      <c r="U221" s="15">
        <v>0</v>
      </c>
      <c r="V221" s="15">
        <v>0</v>
      </c>
      <c r="W221" s="15"/>
      <c r="X221" s="15" t="s">
        <v>937</v>
      </c>
      <c r="Y221" s="15"/>
      <c r="Z221" s="15"/>
      <c r="AA221" s="16" t="s">
        <v>303</v>
      </c>
      <c r="AB221" s="17" t="s">
        <v>233</v>
      </c>
      <c r="AC221" s="17" t="s">
        <v>58</v>
      </c>
      <c r="AD221" s="18">
        <v>850000000</v>
      </c>
      <c r="AE221" s="34">
        <v>0</v>
      </c>
      <c r="AF221" s="34">
        <v>0</v>
      </c>
      <c r="AG221" s="34">
        <v>0</v>
      </c>
      <c r="AH221" s="34">
        <v>0</v>
      </c>
      <c r="AI221" s="34">
        <f>AE221-AF221+AG221-AH221</f>
        <v>0</v>
      </c>
      <c r="AJ221" s="18">
        <f>AD221+AI221</f>
        <v>850000000</v>
      </c>
      <c r="AK221" s="34">
        <v>0</v>
      </c>
      <c r="AL221" s="34">
        <v>0</v>
      </c>
      <c r="AM221" s="110">
        <v>663607711</v>
      </c>
      <c r="AN221" s="110">
        <v>18000000</v>
      </c>
      <c r="AO221" s="133">
        <v>0</v>
      </c>
      <c r="AP221" s="110">
        <v>644679430</v>
      </c>
      <c r="AQ221" s="18">
        <v>102300000</v>
      </c>
      <c r="AR221" s="18">
        <v>76615920</v>
      </c>
      <c r="AS221" s="18">
        <v>255309427.65000001</v>
      </c>
      <c r="AT221" s="39">
        <f t="shared" ref="AT221" si="133">AQ221+AS221</f>
        <v>357609427.64999998</v>
      </c>
      <c r="AU221" s="18">
        <f>AJ221-AM221</f>
        <v>186392289</v>
      </c>
      <c r="AV221" s="110">
        <f>AM221-AP221</f>
        <v>18928281</v>
      </c>
      <c r="AW221" s="110">
        <f>AP221-AT221</f>
        <v>287070002.35000002</v>
      </c>
      <c r="AX221" s="123">
        <f>AP221/AJ221</f>
        <v>0.75844638823529409</v>
      </c>
    </row>
    <row r="222" spans="1:50" ht="18.75" customHeight="1" x14ac:dyDescent="0.2">
      <c r="A222" s="35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28" t="s">
        <v>288</v>
      </c>
      <c r="AB222" s="29" t="s">
        <v>304</v>
      </c>
      <c r="AC222" s="38"/>
      <c r="AD222" s="39"/>
      <c r="AE222" s="40"/>
      <c r="AF222" s="40"/>
      <c r="AG222" s="40"/>
      <c r="AH222" s="40"/>
      <c r="AI222" s="40"/>
      <c r="AJ222" s="39"/>
      <c r="AK222" s="39"/>
      <c r="AL222" s="39"/>
      <c r="AM222" s="40"/>
      <c r="AN222" s="40"/>
      <c r="AO222" s="40"/>
      <c r="AP222" s="40"/>
      <c r="AQ222" s="40"/>
      <c r="AR222" s="40"/>
      <c r="AS222" s="40"/>
      <c r="AT222" s="31"/>
      <c r="AU222" s="39"/>
      <c r="AV222" s="40"/>
      <c r="AW222" s="40"/>
      <c r="AX222" s="18"/>
    </row>
    <row r="223" spans="1:50" ht="18.75" customHeight="1" x14ac:dyDescent="0.2">
      <c r="A223" s="14" t="s">
        <v>55</v>
      </c>
      <c r="B223" s="15" t="s">
        <v>56</v>
      </c>
      <c r="C223" s="15"/>
      <c r="D223" s="15"/>
      <c r="E223" s="15"/>
      <c r="F223" s="15"/>
      <c r="G223" s="15" t="s">
        <v>41</v>
      </c>
      <c r="H223" s="15"/>
      <c r="I223" s="15" t="s">
        <v>936</v>
      </c>
      <c r="J223" s="15"/>
      <c r="K223" s="15" t="s">
        <v>932</v>
      </c>
      <c r="L223" s="15"/>
      <c r="M223" s="15" t="s">
        <v>933</v>
      </c>
      <c r="N223" s="15"/>
      <c r="O223" s="15" t="s">
        <v>948</v>
      </c>
      <c r="P223" s="15"/>
      <c r="Q223" s="15" t="s">
        <v>942</v>
      </c>
      <c r="R223" s="15"/>
      <c r="S223" s="15" t="s">
        <v>940</v>
      </c>
      <c r="T223" s="15">
        <v>0</v>
      </c>
      <c r="U223" s="15">
        <v>0</v>
      </c>
      <c r="V223" s="15">
        <v>0</v>
      </c>
      <c r="W223" s="15"/>
      <c r="X223" s="15" t="s">
        <v>937</v>
      </c>
      <c r="Y223" s="15"/>
      <c r="Z223" s="15"/>
      <c r="AA223" s="16" t="s">
        <v>305</v>
      </c>
      <c r="AB223" s="17" t="s">
        <v>233</v>
      </c>
      <c r="AC223" s="17" t="s">
        <v>58</v>
      </c>
      <c r="AD223" s="18">
        <v>100000000</v>
      </c>
      <c r="AE223" s="34">
        <v>0</v>
      </c>
      <c r="AF223" s="34">
        <v>0</v>
      </c>
      <c r="AG223" s="34">
        <v>0</v>
      </c>
      <c r="AH223" s="34">
        <v>0</v>
      </c>
      <c r="AI223" s="34">
        <f>AE223-AF223+AG223-AH223</f>
        <v>0</v>
      </c>
      <c r="AJ223" s="18">
        <f>AD223+AI223</f>
        <v>100000000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40">
        <f t="shared" ref="AT223:AT225" si="134">AQ223+AS223</f>
        <v>0</v>
      </c>
      <c r="AU223" s="18">
        <f>AJ223-AM223</f>
        <v>100000000</v>
      </c>
      <c r="AV223" s="34">
        <f>AM223-AP223</f>
        <v>0</v>
      </c>
      <c r="AW223" s="34">
        <f>AP223-AT223</f>
        <v>0</v>
      </c>
      <c r="AX223" s="123">
        <f>AP223/AJ223</f>
        <v>0</v>
      </c>
    </row>
    <row r="224" spans="1:50" ht="40.5" customHeight="1" x14ac:dyDescent="0.2">
      <c r="A224" s="14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73" t="s">
        <v>288</v>
      </c>
      <c r="AB224" s="247" t="s">
        <v>958</v>
      </c>
      <c r="AC224" s="17"/>
      <c r="AD224" s="18"/>
      <c r="AE224" s="34"/>
      <c r="AF224" s="34"/>
      <c r="AG224" s="34"/>
      <c r="AH224" s="34"/>
      <c r="AI224" s="34"/>
      <c r="AJ224" s="18"/>
      <c r="AK224" s="34"/>
      <c r="AL224" s="34"/>
      <c r="AM224" s="34"/>
      <c r="AN224" s="34"/>
      <c r="AO224" s="34"/>
      <c r="AP224" s="34"/>
      <c r="AQ224" s="34"/>
      <c r="AR224" s="34"/>
      <c r="AS224" s="34"/>
      <c r="AT224" s="40"/>
      <c r="AU224" s="18"/>
      <c r="AV224" s="34"/>
      <c r="AW224" s="34"/>
      <c r="AX224" s="123"/>
    </row>
    <row r="225" spans="1:50" ht="30" customHeight="1" x14ac:dyDescent="0.2">
      <c r="A225" s="14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250" t="s">
        <v>765</v>
      </c>
      <c r="AB225" s="248" t="s">
        <v>233</v>
      </c>
      <c r="AC225" s="17"/>
      <c r="AD225" s="34">
        <v>0</v>
      </c>
      <c r="AE225" s="34">
        <v>0</v>
      </c>
      <c r="AF225" s="34">
        <v>0</v>
      </c>
      <c r="AG225" s="18">
        <v>200000000</v>
      </c>
      <c r="AH225" s="18">
        <v>200000000</v>
      </c>
      <c r="AI225" s="34">
        <f>AE225-AF225+AG225-AH225</f>
        <v>0</v>
      </c>
      <c r="AJ225" s="34">
        <f>AD225+AI225</f>
        <v>0</v>
      </c>
      <c r="AK225" s="34">
        <v>0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  <c r="AS225" s="34">
        <v>0</v>
      </c>
      <c r="AT225" s="40">
        <f t="shared" si="134"/>
        <v>0</v>
      </c>
      <c r="AU225" s="18">
        <f>AJ225-AM225</f>
        <v>0</v>
      </c>
      <c r="AV225" s="34">
        <f>AM225-AP225</f>
        <v>0</v>
      </c>
      <c r="AW225" s="34">
        <f>AP225-AT225</f>
        <v>0</v>
      </c>
      <c r="AX225" s="123">
        <v>0</v>
      </c>
    </row>
    <row r="226" spans="1:50" ht="18.75" customHeight="1" x14ac:dyDescent="0.2">
      <c r="A226" s="35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28" t="s">
        <v>288</v>
      </c>
      <c r="AB226" s="249" t="s">
        <v>306</v>
      </c>
      <c r="AC226" s="38"/>
      <c r="AD226" s="39"/>
      <c r="AE226" s="40"/>
      <c r="AF226" s="40"/>
      <c r="AG226" s="40"/>
      <c r="AH226" s="40"/>
      <c r="AI226" s="40"/>
      <c r="AJ226" s="39"/>
      <c r="AK226" s="40"/>
      <c r="AL226" s="40"/>
      <c r="AM226" s="40"/>
      <c r="AN226" s="40"/>
      <c r="AO226" s="40"/>
      <c r="AP226" s="40"/>
      <c r="AQ226" s="40"/>
      <c r="AR226" s="40"/>
      <c r="AS226" s="39"/>
      <c r="AT226" s="30"/>
      <c r="AU226" s="39"/>
      <c r="AV226" s="39"/>
      <c r="AW226" s="40"/>
      <c r="AX226" s="18"/>
    </row>
    <row r="227" spans="1:50" ht="18.75" customHeight="1" x14ac:dyDescent="0.2">
      <c r="A227" s="14" t="s">
        <v>55</v>
      </c>
      <c r="B227" s="15" t="s">
        <v>56</v>
      </c>
      <c r="C227" s="15"/>
      <c r="D227" s="15"/>
      <c r="E227" s="15"/>
      <c r="F227" s="15"/>
      <c r="G227" s="15" t="s">
        <v>41</v>
      </c>
      <c r="H227" s="15"/>
      <c r="I227" s="15" t="s">
        <v>936</v>
      </c>
      <c r="J227" s="15"/>
      <c r="K227" s="15" t="s">
        <v>932</v>
      </c>
      <c r="L227" s="15"/>
      <c r="M227" s="15" t="s">
        <v>933</v>
      </c>
      <c r="N227" s="15"/>
      <c r="O227" s="15" t="s">
        <v>948</v>
      </c>
      <c r="P227" s="15"/>
      <c r="Q227" s="15" t="s">
        <v>942</v>
      </c>
      <c r="R227" s="15"/>
      <c r="S227" s="15" t="s">
        <v>940</v>
      </c>
      <c r="T227" s="15">
        <v>0</v>
      </c>
      <c r="U227" s="15">
        <v>0</v>
      </c>
      <c r="V227" s="15">
        <v>0</v>
      </c>
      <c r="W227" s="15"/>
      <c r="X227" s="15" t="s">
        <v>937</v>
      </c>
      <c r="Y227" s="15"/>
      <c r="Z227" s="15"/>
      <c r="AA227" s="16" t="s">
        <v>307</v>
      </c>
      <c r="AB227" s="17" t="s">
        <v>233</v>
      </c>
      <c r="AC227" s="17" t="s">
        <v>58</v>
      </c>
      <c r="AD227" s="18">
        <v>50000000</v>
      </c>
      <c r="AE227" s="34">
        <v>0</v>
      </c>
      <c r="AF227" s="34">
        <v>0</v>
      </c>
      <c r="AG227" s="34">
        <v>0</v>
      </c>
      <c r="AH227" s="34">
        <v>0</v>
      </c>
      <c r="AI227" s="34">
        <f>AE227-AF227+AG227-AH227</f>
        <v>0</v>
      </c>
      <c r="AJ227" s="18">
        <f>AD227+AI227</f>
        <v>50000000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40">
        <f t="shared" si="129"/>
        <v>0</v>
      </c>
      <c r="AU227" s="18">
        <f>AJ227-AM227</f>
        <v>50000000</v>
      </c>
      <c r="AV227" s="34">
        <f>AM227-AP227</f>
        <v>0</v>
      </c>
      <c r="AW227" s="34">
        <f>AP227-AT227</f>
        <v>0</v>
      </c>
      <c r="AX227" s="123">
        <f>AP227/AJ227</f>
        <v>0</v>
      </c>
    </row>
    <row r="228" spans="1:50" ht="18.75" customHeight="1" x14ac:dyDescent="0.2">
      <c r="A228" s="14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28" t="s">
        <v>288</v>
      </c>
      <c r="AB228" s="29" t="s">
        <v>308</v>
      </c>
      <c r="AC228" s="17"/>
      <c r="AD228" s="18"/>
      <c r="AE228" s="34"/>
      <c r="AF228" s="34"/>
      <c r="AG228" s="34"/>
      <c r="AH228" s="34"/>
      <c r="AI228" s="34"/>
      <c r="AJ228" s="18"/>
      <c r="AK228" s="34"/>
      <c r="AL228" s="34"/>
      <c r="AM228" s="34"/>
      <c r="AN228" s="34"/>
      <c r="AO228" s="34"/>
      <c r="AP228" s="34"/>
      <c r="AQ228" s="34"/>
      <c r="AR228" s="34"/>
      <c r="AS228" s="34"/>
      <c r="AT228" s="31"/>
      <c r="AU228" s="18"/>
      <c r="AV228" s="18"/>
      <c r="AW228" s="34"/>
      <c r="AX228" s="18"/>
    </row>
    <row r="229" spans="1:50" ht="18.75" customHeight="1" x14ac:dyDescent="0.2">
      <c r="A229" s="35" t="s">
        <v>55</v>
      </c>
      <c r="B229" s="36" t="s">
        <v>56</v>
      </c>
      <c r="C229" s="36"/>
      <c r="D229" s="36"/>
      <c r="E229" s="36"/>
      <c r="F229" s="36"/>
      <c r="G229" s="36" t="s">
        <v>41</v>
      </c>
      <c r="H229" s="36"/>
      <c r="I229" s="36" t="s">
        <v>936</v>
      </c>
      <c r="J229" s="36"/>
      <c r="K229" s="36" t="s">
        <v>932</v>
      </c>
      <c r="L229" s="36"/>
      <c r="M229" s="36" t="s">
        <v>933</v>
      </c>
      <c r="N229" s="36"/>
      <c r="O229" s="36" t="s">
        <v>948</v>
      </c>
      <c r="P229" s="36"/>
      <c r="Q229" s="36" t="s">
        <v>942</v>
      </c>
      <c r="R229" s="36"/>
      <c r="S229" s="36" t="s">
        <v>940</v>
      </c>
      <c r="T229" s="36">
        <v>0</v>
      </c>
      <c r="U229" s="36">
        <v>0</v>
      </c>
      <c r="V229" s="36">
        <v>0</v>
      </c>
      <c r="W229" s="36"/>
      <c r="X229" s="36" t="s">
        <v>937</v>
      </c>
      <c r="Y229" s="36"/>
      <c r="Z229" s="36"/>
      <c r="AA229" s="37" t="s">
        <v>309</v>
      </c>
      <c r="AB229" s="38" t="s">
        <v>233</v>
      </c>
      <c r="AC229" s="38" t="s">
        <v>58</v>
      </c>
      <c r="AD229" s="39">
        <v>50000000</v>
      </c>
      <c r="AE229" s="40">
        <v>0</v>
      </c>
      <c r="AF229" s="40">
        <v>0</v>
      </c>
      <c r="AG229" s="40">
        <v>0</v>
      </c>
      <c r="AH229" s="39">
        <v>20000000</v>
      </c>
      <c r="AI229" s="18">
        <f>AE229-AF229+AG229-AH229</f>
        <v>-20000000</v>
      </c>
      <c r="AJ229" s="18">
        <f>AD229+AI229</f>
        <v>30000000</v>
      </c>
      <c r="AK229" s="40">
        <v>0</v>
      </c>
      <c r="AL229" s="40">
        <v>0</v>
      </c>
      <c r="AM229" s="40">
        <v>0</v>
      </c>
      <c r="AN229" s="40">
        <v>0</v>
      </c>
      <c r="AO229" s="40">
        <v>0</v>
      </c>
      <c r="AP229" s="40">
        <v>0</v>
      </c>
      <c r="AQ229" s="40">
        <v>0</v>
      </c>
      <c r="AR229" s="40">
        <v>0</v>
      </c>
      <c r="AS229" s="40">
        <v>0</v>
      </c>
      <c r="AT229" s="40">
        <f t="shared" si="129"/>
        <v>0</v>
      </c>
      <c r="AU229" s="18">
        <f>AJ229-AM229</f>
        <v>30000000</v>
      </c>
      <c r="AV229" s="34">
        <f>AM229-AP229</f>
        <v>0</v>
      </c>
      <c r="AW229" s="34">
        <f>AP229-AT229</f>
        <v>0</v>
      </c>
      <c r="AX229" s="123">
        <f>AP229/AJ229</f>
        <v>0</v>
      </c>
    </row>
    <row r="230" spans="1:50" ht="18.75" customHeight="1" x14ac:dyDescent="0.2">
      <c r="A230" s="14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28" t="s">
        <v>288</v>
      </c>
      <c r="AB230" s="29" t="s">
        <v>310</v>
      </c>
      <c r="AC230" s="17"/>
      <c r="AD230" s="18"/>
      <c r="AE230" s="34"/>
      <c r="AF230" s="34"/>
      <c r="AG230" s="34"/>
      <c r="AH230" s="34"/>
      <c r="AI230" s="34"/>
      <c r="AJ230" s="18"/>
      <c r="AK230" s="18"/>
      <c r="AL230" s="18"/>
      <c r="AM230" s="18"/>
      <c r="AN230" s="18"/>
      <c r="AO230" s="18"/>
      <c r="AP230" s="18"/>
      <c r="AQ230" s="18"/>
      <c r="AR230" s="18"/>
      <c r="AS230" s="34"/>
      <c r="AT230" s="31"/>
      <c r="AU230" s="18"/>
      <c r="AV230" s="18"/>
      <c r="AW230" s="18"/>
      <c r="AX230" s="18"/>
    </row>
    <row r="231" spans="1:50" ht="18.75" customHeight="1" x14ac:dyDescent="0.2">
      <c r="A231" s="14" t="s">
        <v>55</v>
      </c>
      <c r="B231" s="15" t="s">
        <v>56</v>
      </c>
      <c r="C231" s="15"/>
      <c r="D231" s="15"/>
      <c r="E231" s="15"/>
      <c r="F231" s="15"/>
      <c r="G231" s="15" t="s">
        <v>41</v>
      </c>
      <c r="H231" s="15"/>
      <c r="I231" s="15" t="s">
        <v>936</v>
      </c>
      <c r="J231" s="15"/>
      <c r="K231" s="15" t="s">
        <v>932</v>
      </c>
      <c r="L231" s="15"/>
      <c r="M231" s="15" t="s">
        <v>933</v>
      </c>
      <c r="N231" s="15"/>
      <c r="O231" s="15" t="s">
        <v>948</v>
      </c>
      <c r="P231" s="15"/>
      <c r="Q231" s="15" t="s">
        <v>942</v>
      </c>
      <c r="R231" s="15"/>
      <c r="S231" s="15" t="s">
        <v>940</v>
      </c>
      <c r="T231" s="15">
        <v>0</v>
      </c>
      <c r="U231" s="15">
        <v>0</v>
      </c>
      <c r="V231" s="15">
        <v>0</v>
      </c>
      <c r="W231" s="15"/>
      <c r="X231" s="15" t="s">
        <v>937</v>
      </c>
      <c r="Y231" s="15"/>
      <c r="Z231" s="15"/>
      <c r="AA231" s="16" t="s">
        <v>311</v>
      </c>
      <c r="AB231" s="17" t="s">
        <v>233</v>
      </c>
      <c r="AC231" s="17" t="s">
        <v>58</v>
      </c>
      <c r="AD231" s="18">
        <v>1400000000</v>
      </c>
      <c r="AE231" s="34">
        <v>0</v>
      </c>
      <c r="AF231" s="34">
        <v>0</v>
      </c>
      <c r="AG231" s="34">
        <v>0</v>
      </c>
      <c r="AH231" s="34">
        <v>0</v>
      </c>
      <c r="AI231" s="18">
        <f t="shared" ref="AI231:AI232" si="135">AE231-AF231+AG231-AH231</f>
        <v>0</v>
      </c>
      <c r="AJ231" s="18">
        <f t="shared" ref="AJ231:AJ232" si="136">AD231+AI231</f>
        <v>1400000000</v>
      </c>
      <c r="AK231" s="34">
        <v>0</v>
      </c>
      <c r="AL231" s="34">
        <v>0</v>
      </c>
      <c r="AM231" s="18">
        <v>1205735923</v>
      </c>
      <c r="AN231" s="34">
        <v>0</v>
      </c>
      <c r="AO231" s="34">
        <v>0</v>
      </c>
      <c r="AP231" s="18">
        <v>1171960870</v>
      </c>
      <c r="AQ231" s="18">
        <v>37200000</v>
      </c>
      <c r="AR231" s="18">
        <v>46200000</v>
      </c>
      <c r="AS231" s="18">
        <v>179749999</v>
      </c>
      <c r="AT231" s="111">
        <f t="shared" ref="AT231" si="137">AQ231+AS231</f>
        <v>216949999</v>
      </c>
      <c r="AU231" s="18">
        <f>AJ231-AM231</f>
        <v>194264077</v>
      </c>
      <c r="AV231" s="110">
        <f>AM231-AP231</f>
        <v>33775053</v>
      </c>
      <c r="AW231" s="18">
        <f>AP231-AT231</f>
        <v>955010871</v>
      </c>
      <c r="AX231" s="123">
        <f>AP231/AJ231</f>
        <v>0.83711490714285719</v>
      </c>
    </row>
    <row r="232" spans="1:50" ht="18.75" customHeight="1" x14ac:dyDescent="0.2">
      <c r="A232" s="14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41" t="s">
        <v>1262</v>
      </c>
      <c r="AB232" s="42" t="s">
        <v>1015</v>
      </c>
      <c r="AC232" s="17"/>
      <c r="AD232" s="34">
        <v>0</v>
      </c>
      <c r="AE232" s="34">
        <v>0</v>
      </c>
      <c r="AF232" s="34">
        <v>0</v>
      </c>
      <c r="AG232" s="18">
        <v>200000000</v>
      </c>
      <c r="AH232" s="34"/>
      <c r="AI232" s="18">
        <f t="shared" si="135"/>
        <v>200000000</v>
      </c>
      <c r="AJ232" s="18">
        <f t="shared" si="136"/>
        <v>200000000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135">
        <f t="shared" ref="AT232" si="138">AQ232+AS232</f>
        <v>0</v>
      </c>
      <c r="AU232" s="18">
        <f>AJ232-AM232</f>
        <v>200000000</v>
      </c>
      <c r="AV232" s="110">
        <f>AM232-AP232</f>
        <v>0</v>
      </c>
      <c r="AW232" s="18">
        <f>AP232-AT232</f>
        <v>0</v>
      </c>
      <c r="AX232" s="123">
        <f>AP232/AJ232</f>
        <v>0</v>
      </c>
    </row>
    <row r="233" spans="1:50" ht="18.75" customHeight="1" x14ac:dyDescent="0.2">
      <c r="A233" s="35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7"/>
      <c r="AB233" s="29" t="s">
        <v>199</v>
      </c>
      <c r="AC233" s="38"/>
      <c r="AD233" s="39"/>
      <c r="AE233" s="40"/>
      <c r="AF233" s="40"/>
      <c r="AG233" s="40"/>
      <c r="AH233" s="40"/>
      <c r="AI233" s="40"/>
      <c r="AJ233" s="39"/>
      <c r="AK233" s="40"/>
      <c r="AL233" s="39"/>
      <c r="AM233" s="39"/>
      <c r="AN233" s="39"/>
      <c r="AO233" s="39"/>
      <c r="AP233" s="39"/>
      <c r="AQ233" s="40"/>
      <c r="AR233" s="40"/>
      <c r="AS233" s="40"/>
      <c r="AT233" s="31"/>
      <c r="AU233" s="39"/>
      <c r="AV233" s="39"/>
      <c r="AW233" s="39"/>
      <c r="AX233" s="18"/>
    </row>
    <row r="234" spans="1:50" ht="26.25" customHeight="1" x14ac:dyDescent="0.2">
      <c r="A234" s="14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28" t="s">
        <v>288</v>
      </c>
      <c r="AB234" s="29" t="s">
        <v>312</v>
      </c>
      <c r="AC234" s="17"/>
      <c r="AD234" s="18"/>
      <c r="AE234" s="34"/>
      <c r="AF234" s="34"/>
      <c r="AG234" s="34"/>
      <c r="AH234" s="34"/>
      <c r="AI234" s="34"/>
      <c r="AJ234" s="18"/>
      <c r="AK234" s="34"/>
      <c r="AL234" s="18"/>
      <c r="AM234" s="18"/>
      <c r="AN234" s="18"/>
      <c r="AO234" s="18"/>
      <c r="AP234" s="18"/>
      <c r="AQ234" s="34"/>
      <c r="AR234" s="34"/>
      <c r="AS234" s="34"/>
      <c r="AT234" s="31"/>
      <c r="AU234" s="18"/>
      <c r="AV234" s="18"/>
      <c r="AW234" s="18"/>
      <c r="AX234" s="18"/>
    </row>
    <row r="235" spans="1:50" ht="18.75" customHeight="1" x14ac:dyDescent="0.2">
      <c r="A235" s="14" t="s">
        <v>55</v>
      </c>
      <c r="B235" s="15" t="s">
        <v>56</v>
      </c>
      <c r="C235" s="15"/>
      <c r="D235" s="15"/>
      <c r="E235" s="15"/>
      <c r="F235" s="15"/>
      <c r="G235" s="15" t="s">
        <v>41</v>
      </c>
      <c r="H235" s="15"/>
      <c r="I235" s="15" t="s">
        <v>936</v>
      </c>
      <c r="J235" s="15"/>
      <c r="K235" s="15" t="s">
        <v>932</v>
      </c>
      <c r="L235" s="15"/>
      <c r="M235" s="15" t="s">
        <v>933</v>
      </c>
      <c r="N235" s="15"/>
      <c r="O235" s="15" t="s">
        <v>948</v>
      </c>
      <c r="P235" s="15"/>
      <c r="Q235" s="15" t="s">
        <v>942</v>
      </c>
      <c r="R235" s="15"/>
      <c r="S235" s="15" t="s">
        <v>940</v>
      </c>
      <c r="T235" s="15">
        <v>0</v>
      </c>
      <c r="U235" s="15">
        <v>0</v>
      </c>
      <c r="V235" s="15">
        <v>0</v>
      </c>
      <c r="W235" s="15"/>
      <c r="X235" s="15" t="s">
        <v>937</v>
      </c>
      <c r="Y235" s="15"/>
      <c r="Z235" s="15"/>
      <c r="AA235" s="16" t="s">
        <v>313</v>
      </c>
      <c r="AB235" s="17" t="s">
        <v>233</v>
      </c>
      <c r="AC235" s="17" t="s">
        <v>58</v>
      </c>
      <c r="AD235" s="18">
        <v>400000000</v>
      </c>
      <c r="AE235" s="34">
        <v>0</v>
      </c>
      <c r="AF235" s="34">
        <v>0</v>
      </c>
      <c r="AG235" s="34">
        <v>0</v>
      </c>
      <c r="AH235" s="18">
        <v>400000000</v>
      </c>
      <c r="AI235" s="18">
        <f>AE235-AF235+AG235-AH235</f>
        <v>-400000000</v>
      </c>
      <c r="AJ235" s="34">
        <f>AD235+AI235</f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40">
        <f t="shared" ref="AT235" si="139">AQ235+AS235</f>
        <v>0</v>
      </c>
      <c r="AU235" s="18">
        <f>AJ235-AM235</f>
        <v>0</v>
      </c>
      <c r="AV235" s="34">
        <f>AM235-AP235</f>
        <v>0</v>
      </c>
      <c r="AW235" s="34">
        <f>AP235-AT235</f>
        <v>0</v>
      </c>
      <c r="AX235" s="123">
        <v>0</v>
      </c>
    </row>
    <row r="236" spans="1:50" ht="18.75" customHeight="1" x14ac:dyDescent="0.2">
      <c r="A236" s="14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6"/>
      <c r="AB236" s="17"/>
      <c r="AC236" s="17"/>
      <c r="AD236" s="18"/>
      <c r="AE236" s="34"/>
      <c r="AF236" s="34"/>
      <c r="AG236" s="34"/>
      <c r="AH236" s="18"/>
      <c r="AI236" s="18"/>
      <c r="AJ236" s="18"/>
      <c r="AK236" s="34"/>
      <c r="AL236" s="34"/>
      <c r="AM236" s="34"/>
      <c r="AN236" s="34"/>
      <c r="AO236" s="34"/>
      <c r="AP236" s="34"/>
      <c r="AQ236" s="34"/>
      <c r="AR236" s="34"/>
      <c r="AS236" s="34"/>
      <c r="AT236" s="40"/>
      <c r="AU236" s="18"/>
      <c r="AV236" s="34"/>
      <c r="AW236" s="34"/>
      <c r="AX236" s="123"/>
    </row>
    <row r="237" spans="1:50" ht="27" customHeight="1" x14ac:dyDescent="0.2">
      <c r="A237" s="14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73" t="s">
        <v>288</v>
      </c>
      <c r="AB237" s="74" t="s">
        <v>312</v>
      </c>
      <c r="AC237" s="17"/>
      <c r="AD237" s="18"/>
      <c r="AE237" s="34"/>
      <c r="AF237" s="34"/>
      <c r="AG237" s="34"/>
      <c r="AH237" s="18"/>
      <c r="AI237" s="18"/>
      <c r="AJ237" s="18"/>
      <c r="AK237" s="34"/>
      <c r="AL237" s="34"/>
      <c r="AM237" s="34"/>
      <c r="AN237" s="34"/>
      <c r="AO237" s="34"/>
      <c r="AP237" s="34"/>
      <c r="AQ237" s="34"/>
      <c r="AR237" s="34"/>
      <c r="AS237" s="34"/>
      <c r="AT237" s="40"/>
      <c r="AU237" s="18"/>
      <c r="AV237" s="34"/>
      <c r="AW237" s="34"/>
      <c r="AX237" s="123"/>
    </row>
    <row r="238" spans="1:50" ht="18.75" customHeight="1" x14ac:dyDescent="0.2">
      <c r="A238" s="14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41" t="s">
        <v>1240</v>
      </c>
      <c r="AB238" s="42" t="s">
        <v>233</v>
      </c>
      <c r="AC238" s="17"/>
      <c r="AD238" s="34">
        <v>0</v>
      </c>
      <c r="AE238" s="34">
        <v>0</v>
      </c>
      <c r="AF238" s="34">
        <v>0</v>
      </c>
      <c r="AG238" s="18">
        <v>400000000</v>
      </c>
      <c r="AH238" s="44">
        <v>0</v>
      </c>
      <c r="AI238" s="18">
        <f>AE238-AF238+AG238-AH238</f>
        <v>400000000</v>
      </c>
      <c r="AJ238" s="18">
        <f>AD238+AI238</f>
        <v>400000000</v>
      </c>
      <c r="AK238" s="34">
        <v>0</v>
      </c>
      <c r="AL238" s="34">
        <v>0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40">
        <f t="shared" ref="AT238" si="140">AQ238+AS238</f>
        <v>0</v>
      </c>
      <c r="AU238" s="18">
        <f>AJ238-AM238</f>
        <v>400000000</v>
      </c>
      <c r="AV238" s="34">
        <f>AM238-AP238</f>
        <v>0</v>
      </c>
      <c r="AW238" s="34">
        <f>AP238-AT238</f>
        <v>0</v>
      </c>
      <c r="AX238" s="123">
        <v>0</v>
      </c>
    </row>
    <row r="239" spans="1:50" ht="18.75" customHeight="1" x14ac:dyDescent="0.2">
      <c r="A239" s="14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70" t="s">
        <v>1016</v>
      </c>
      <c r="AB239" s="165" t="s">
        <v>997</v>
      </c>
      <c r="AC239" s="161"/>
      <c r="AD239" s="18"/>
      <c r="AE239" s="34"/>
      <c r="AF239" s="34"/>
      <c r="AG239" s="34"/>
      <c r="AH239" s="34"/>
      <c r="AI239" s="34"/>
      <c r="AJ239" s="18"/>
      <c r="AK239" s="34"/>
      <c r="AL239" s="34"/>
      <c r="AM239" s="34"/>
      <c r="AN239" s="34"/>
      <c r="AO239" s="34"/>
      <c r="AP239" s="34"/>
      <c r="AQ239" s="34"/>
      <c r="AR239" s="34"/>
      <c r="AS239" s="34"/>
      <c r="AT239" s="40"/>
      <c r="AU239" s="18"/>
      <c r="AV239" s="34"/>
      <c r="AW239" s="34"/>
      <c r="AX239" s="123"/>
    </row>
    <row r="240" spans="1:50" ht="18.75" customHeight="1" x14ac:dyDescent="0.2">
      <c r="A240" s="14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70" t="s">
        <v>1017</v>
      </c>
      <c r="AB240" s="165" t="s">
        <v>999</v>
      </c>
      <c r="AC240" s="161"/>
      <c r="AD240" s="18"/>
      <c r="AE240" s="34"/>
      <c r="AF240" s="34"/>
      <c r="AG240" s="34"/>
      <c r="AH240" s="34"/>
      <c r="AI240" s="34"/>
      <c r="AJ240" s="18"/>
      <c r="AK240" s="34"/>
      <c r="AL240" s="34"/>
      <c r="AM240" s="34"/>
      <c r="AN240" s="34"/>
      <c r="AO240" s="34"/>
      <c r="AP240" s="34"/>
      <c r="AQ240" s="34"/>
      <c r="AR240" s="34"/>
      <c r="AS240" s="34"/>
      <c r="AT240" s="40"/>
      <c r="AU240" s="18"/>
      <c r="AV240" s="34"/>
      <c r="AW240" s="34"/>
      <c r="AX240" s="123"/>
    </row>
    <row r="241" spans="1:50" ht="18.75" customHeight="1" x14ac:dyDescent="0.2">
      <c r="A241" s="14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70" t="s">
        <v>1018</v>
      </c>
      <c r="AB241" s="165" t="s">
        <v>1001</v>
      </c>
      <c r="AC241" s="161"/>
      <c r="AD241" s="18"/>
      <c r="AE241" s="34"/>
      <c r="AF241" s="34"/>
      <c r="AG241" s="34"/>
      <c r="AH241" s="34"/>
      <c r="AI241" s="34"/>
      <c r="AJ241" s="18"/>
      <c r="AK241" s="34"/>
      <c r="AL241" s="34"/>
      <c r="AM241" s="34"/>
      <c r="AN241" s="34"/>
      <c r="AO241" s="34"/>
      <c r="AP241" s="34"/>
      <c r="AQ241" s="34"/>
      <c r="AR241" s="34"/>
      <c r="AS241" s="34"/>
      <c r="AT241" s="40"/>
      <c r="AU241" s="18"/>
      <c r="AV241" s="34"/>
      <c r="AW241" s="34"/>
      <c r="AX241" s="123"/>
    </row>
    <row r="242" spans="1:50" ht="18.75" customHeight="1" x14ac:dyDescent="0.2">
      <c r="A242" s="14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66" t="s">
        <v>1019</v>
      </c>
      <c r="AB242" s="167" t="s">
        <v>1005</v>
      </c>
      <c r="AC242" s="161"/>
      <c r="AD242" s="34">
        <v>0</v>
      </c>
      <c r="AE242" s="18">
        <v>390355846.72000003</v>
      </c>
      <c r="AF242" s="34">
        <v>0</v>
      </c>
      <c r="AG242" s="34">
        <v>0</v>
      </c>
      <c r="AH242" s="34">
        <v>0</v>
      </c>
      <c r="AI242" s="18">
        <f>AE242-AF242+AG242-AH242</f>
        <v>390355846.72000003</v>
      </c>
      <c r="AJ242" s="18">
        <f>AD242+AI242</f>
        <v>390355846.72000003</v>
      </c>
      <c r="AK242" s="34">
        <v>0</v>
      </c>
      <c r="AL242" s="34">
        <v>0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0</v>
      </c>
      <c r="AT242" s="40">
        <f t="shared" ref="AT242" si="141">AQ242+AS242</f>
        <v>0</v>
      </c>
      <c r="AU242" s="18">
        <f>AJ242-AM242</f>
        <v>390355846.72000003</v>
      </c>
      <c r="AV242" s="34">
        <f>AM242-AP242</f>
        <v>0</v>
      </c>
      <c r="AW242" s="34">
        <f>AP242-AT242</f>
        <v>0</v>
      </c>
      <c r="AX242" s="123">
        <f>AP242/AJ242</f>
        <v>0</v>
      </c>
    </row>
    <row r="243" spans="1:50" s="25" customFormat="1" ht="18.75" customHeight="1" x14ac:dyDescent="0.2">
      <c r="A243" s="64"/>
      <c r="B243" s="65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  <c r="AA243" s="66"/>
      <c r="AB243" s="47" t="s">
        <v>314</v>
      </c>
      <c r="AC243" s="22" t="s">
        <v>315</v>
      </c>
      <c r="AD243" s="22">
        <f t="shared" ref="AD243:AW243" si="142">SUM(AD198:AD242)</f>
        <v>4500000000</v>
      </c>
      <c r="AE243" s="22">
        <f t="shared" si="142"/>
        <v>3800355846.7200003</v>
      </c>
      <c r="AF243" s="23">
        <f t="shared" si="142"/>
        <v>0</v>
      </c>
      <c r="AG243" s="22">
        <f t="shared" si="142"/>
        <v>9620000000</v>
      </c>
      <c r="AH243" s="22">
        <f t="shared" si="142"/>
        <v>4070000000</v>
      </c>
      <c r="AI243" s="22">
        <f t="shared" si="142"/>
        <v>9350355846.7199993</v>
      </c>
      <c r="AJ243" s="22">
        <f t="shared" si="142"/>
        <v>13850355846.719999</v>
      </c>
      <c r="AK243" s="23">
        <f t="shared" si="142"/>
        <v>0</v>
      </c>
      <c r="AL243" s="22">
        <f t="shared" si="142"/>
        <v>4460651884.6000004</v>
      </c>
      <c r="AM243" s="22">
        <f t="shared" si="142"/>
        <v>7447317121.6099997</v>
      </c>
      <c r="AN243" s="22">
        <f t="shared" si="142"/>
        <v>18000000</v>
      </c>
      <c r="AO243" s="22">
        <f t="shared" si="142"/>
        <v>31260395</v>
      </c>
      <c r="AP243" s="22">
        <f t="shared" si="142"/>
        <v>2787563075.5999999</v>
      </c>
      <c r="AQ243" s="22">
        <f t="shared" si="142"/>
        <v>212383334</v>
      </c>
      <c r="AR243" s="22">
        <f t="shared" si="142"/>
        <v>218934890</v>
      </c>
      <c r="AS243" s="22">
        <f t="shared" si="142"/>
        <v>627811727.64999998</v>
      </c>
      <c r="AT243" s="22">
        <f t="shared" si="142"/>
        <v>840195061.64999998</v>
      </c>
      <c r="AU243" s="22">
        <f t="shared" si="142"/>
        <v>6403038725.1100006</v>
      </c>
      <c r="AV243" s="22">
        <f t="shared" si="142"/>
        <v>4659754046.0100002</v>
      </c>
      <c r="AW243" s="22">
        <f t="shared" si="142"/>
        <v>1947368013.95</v>
      </c>
      <c r="AX243" s="24">
        <f>AP243/AJ243</f>
        <v>0.20126292107217897</v>
      </c>
    </row>
    <row r="244" spans="1:50" ht="18.75" customHeight="1" x14ac:dyDescent="0.2">
      <c r="A244" s="14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6"/>
      <c r="AB244" s="17"/>
      <c r="AC244" s="17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</row>
    <row r="245" spans="1:50" s="25" customFormat="1" ht="18.75" customHeight="1" x14ac:dyDescent="0.2">
      <c r="A245" s="64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  <c r="AA245" s="66"/>
      <c r="AB245" s="21" t="s">
        <v>316</v>
      </c>
      <c r="AC245" s="67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</row>
    <row r="246" spans="1:50" ht="18.75" customHeight="1" x14ac:dyDescent="0.2">
      <c r="A246" s="14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6"/>
      <c r="AB246" s="29" t="s">
        <v>317</v>
      </c>
      <c r="AC246" s="17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30"/>
      <c r="AU246" s="18"/>
      <c r="AV246" s="18"/>
      <c r="AW246" s="18"/>
      <c r="AX246" s="18"/>
    </row>
    <row r="247" spans="1:50" ht="18.75" customHeight="1" x14ac:dyDescent="0.2">
      <c r="A247" s="14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6"/>
      <c r="AB247" s="29" t="s">
        <v>318</v>
      </c>
      <c r="AC247" s="17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30"/>
      <c r="AU247" s="18"/>
      <c r="AV247" s="18"/>
      <c r="AW247" s="18"/>
      <c r="AX247" s="18"/>
    </row>
    <row r="248" spans="1:50" ht="25.5" x14ac:dyDescent="0.2">
      <c r="A248" s="35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7"/>
      <c r="AB248" s="29" t="s">
        <v>319</v>
      </c>
      <c r="AC248" s="38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0"/>
      <c r="AU248" s="39"/>
      <c r="AV248" s="39"/>
      <c r="AW248" s="39"/>
      <c r="AX248" s="18"/>
    </row>
    <row r="249" spans="1:50" ht="18.75" customHeight="1" x14ac:dyDescent="0.2">
      <c r="A249" s="35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7"/>
      <c r="AB249" s="29" t="s">
        <v>320</v>
      </c>
      <c r="AC249" s="38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0"/>
      <c r="AU249" s="39"/>
      <c r="AV249" s="39"/>
      <c r="AW249" s="39"/>
      <c r="AX249" s="18"/>
    </row>
    <row r="250" spans="1:50" ht="18.75" customHeight="1" x14ac:dyDescent="0.2">
      <c r="A250" s="14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6"/>
      <c r="AB250" s="29" t="s">
        <v>46</v>
      </c>
      <c r="AC250" s="17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30"/>
      <c r="AU250" s="18"/>
      <c r="AV250" s="18"/>
      <c r="AW250" s="18"/>
      <c r="AX250" s="18"/>
    </row>
    <row r="251" spans="1:50" ht="18.75" customHeight="1" x14ac:dyDescent="0.2">
      <c r="A251" s="14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6"/>
      <c r="AB251" s="29" t="s">
        <v>48</v>
      </c>
      <c r="AC251" s="17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30"/>
      <c r="AU251" s="18"/>
      <c r="AV251" s="18"/>
      <c r="AW251" s="18"/>
      <c r="AX251" s="18"/>
    </row>
    <row r="252" spans="1:50" ht="18.75" customHeight="1" x14ac:dyDescent="0.2">
      <c r="A252" s="14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6"/>
      <c r="AB252" s="29" t="s">
        <v>52</v>
      </c>
      <c r="AC252" s="17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30"/>
      <c r="AU252" s="18"/>
      <c r="AV252" s="18"/>
      <c r="AW252" s="18"/>
      <c r="AX252" s="18"/>
    </row>
    <row r="253" spans="1:50" ht="18.75" customHeight="1" x14ac:dyDescent="0.2">
      <c r="AA253" s="28" t="s">
        <v>288</v>
      </c>
      <c r="AB253" s="29" t="s">
        <v>54</v>
      </c>
      <c r="AC253" s="17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30"/>
      <c r="AU253" s="18"/>
      <c r="AV253" s="18"/>
      <c r="AW253" s="18"/>
      <c r="AX253" s="18"/>
    </row>
    <row r="254" spans="1:50" ht="18.75" customHeight="1" x14ac:dyDescent="0.2">
      <c r="A254" s="4" t="s">
        <v>55</v>
      </c>
      <c r="B254" s="4" t="s">
        <v>56</v>
      </c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1" t="s">
        <v>321</v>
      </c>
      <c r="AB254" s="42" t="s">
        <v>322</v>
      </c>
      <c r="AC254" s="38" t="s">
        <v>58</v>
      </c>
      <c r="AD254" s="39">
        <v>1139356981</v>
      </c>
      <c r="AE254" s="40">
        <v>0</v>
      </c>
      <c r="AF254" s="40">
        <v>0</v>
      </c>
      <c r="AG254" s="40">
        <v>0</v>
      </c>
      <c r="AH254" s="40">
        <v>0</v>
      </c>
      <c r="AI254" s="34">
        <f>AE254-AF254+AG254-AH350</f>
        <v>0</v>
      </c>
      <c r="AJ254" s="18">
        <f>AD254+AI254</f>
        <v>1139356981</v>
      </c>
      <c r="AK254" s="40">
        <v>0</v>
      </c>
      <c r="AL254" s="40">
        <v>0</v>
      </c>
      <c r="AM254" s="39">
        <v>1587428</v>
      </c>
      <c r="AN254" s="40">
        <v>0</v>
      </c>
      <c r="AO254" s="40">
        <v>0</v>
      </c>
      <c r="AP254" s="39">
        <v>678902</v>
      </c>
      <c r="AQ254" s="40">
        <v>0</v>
      </c>
      <c r="AR254" s="40">
        <v>0</v>
      </c>
      <c r="AS254" s="39">
        <v>678902</v>
      </c>
      <c r="AT254" s="39">
        <f t="shared" ref="AT254:AT255" si="143">AQ254+AS254</f>
        <v>678902</v>
      </c>
      <c r="AU254" s="18">
        <f>AJ254-AM254</f>
        <v>1137769553</v>
      </c>
      <c r="AV254" s="110">
        <f>AM254-AP254</f>
        <v>908526</v>
      </c>
      <c r="AW254" s="34">
        <f>AP254-AT254</f>
        <v>0</v>
      </c>
      <c r="AX254" s="123">
        <f>AP254/AJ254</f>
        <v>5.9586416840500314E-4</v>
      </c>
    </row>
    <row r="255" spans="1:50" ht="18.75" customHeight="1" x14ac:dyDescent="0.2">
      <c r="A255" s="4" t="s">
        <v>55</v>
      </c>
      <c r="B255" s="4" t="s">
        <v>56</v>
      </c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211" t="s">
        <v>323</v>
      </c>
      <c r="AB255" s="212" t="s">
        <v>324</v>
      </c>
      <c r="AC255" s="244" t="s">
        <v>61</v>
      </c>
      <c r="AD255" s="244">
        <v>9000660718</v>
      </c>
      <c r="AE255" s="233">
        <v>0</v>
      </c>
      <c r="AF255" s="233">
        <v>0</v>
      </c>
      <c r="AG255" s="233">
        <v>0</v>
      </c>
      <c r="AH255" s="137">
        <v>0</v>
      </c>
      <c r="AI255" s="260">
        <v>0</v>
      </c>
      <c r="AJ255" s="18">
        <f>AD255+AI255</f>
        <v>9000660718</v>
      </c>
      <c r="AK255" s="44">
        <v>0</v>
      </c>
      <c r="AL255" s="39">
        <v>677493917</v>
      </c>
      <c r="AM255" s="43">
        <v>4082006203</v>
      </c>
      <c r="AN255" s="44">
        <v>0</v>
      </c>
      <c r="AO255" s="43">
        <v>677493917</v>
      </c>
      <c r="AP255" s="43">
        <v>4080987849</v>
      </c>
      <c r="AQ255" s="44">
        <v>0</v>
      </c>
      <c r="AR255" s="43">
        <v>677493917</v>
      </c>
      <c r="AS255" s="43">
        <v>4080987849</v>
      </c>
      <c r="AT255" s="39">
        <f t="shared" si="143"/>
        <v>4080987849</v>
      </c>
      <c r="AU255" s="18">
        <f>AJ255-AM255</f>
        <v>4918654515</v>
      </c>
      <c r="AV255" s="110">
        <f>AM255-AP255</f>
        <v>1018354</v>
      </c>
      <c r="AW255" s="34">
        <f>AP255-AT255</f>
        <v>0</v>
      </c>
      <c r="AX255" s="123">
        <f>AP255/AJ255</f>
        <v>0.45340980810871179</v>
      </c>
    </row>
    <row r="256" spans="1:50" x14ac:dyDescent="0.2">
      <c r="AA256" s="16"/>
      <c r="AB256" s="17"/>
      <c r="AC256" s="17"/>
      <c r="AD256" s="18"/>
      <c r="AE256" s="18"/>
      <c r="AF256" s="18"/>
      <c r="AG256" s="18"/>
      <c r="AH256" s="18"/>
      <c r="AI256" s="34"/>
      <c r="AW256" s="137"/>
    </row>
    <row r="257" spans="1:50" ht="18.75" customHeight="1" x14ac:dyDescent="0.2">
      <c r="AA257" s="28" t="s">
        <v>288</v>
      </c>
      <c r="AB257" s="29" t="s">
        <v>71</v>
      </c>
      <c r="AC257" s="17"/>
      <c r="AD257" s="18"/>
      <c r="AE257" s="34"/>
      <c r="AF257" s="34"/>
      <c r="AG257" s="34"/>
      <c r="AH257" s="34"/>
      <c r="AI257" s="34"/>
      <c r="AJ257" s="18"/>
      <c r="AK257" s="34"/>
      <c r="AL257" s="18"/>
      <c r="AM257" s="18"/>
      <c r="AN257" s="34"/>
      <c r="AO257" s="18"/>
      <c r="AP257" s="18"/>
      <c r="AQ257" s="34"/>
      <c r="AR257" s="18"/>
      <c r="AS257" s="18"/>
      <c r="AT257" s="30"/>
      <c r="AU257" s="18"/>
      <c r="AV257" s="18"/>
      <c r="AW257" s="34"/>
      <c r="AX257" s="18"/>
    </row>
    <row r="258" spans="1:50" ht="18.75" customHeight="1" x14ac:dyDescent="0.2">
      <c r="A258" s="4" t="s">
        <v>325</v>
      </c>
      <c r="B258" s="4" t="s">
        <v>326</v>
      </c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1" t="s">
        <v>327</v>
      </c>
      <c r="AB258" s="42" t="s">
        <v>328</v>
      </c>
      <c r="AC258" s="43" t="s">
        <v>61</v>
      </c>
      <c r="AD258" s="43">
        <v>391454539</v>
      </c>
      <c r="AE258" s="44">
        <v>0</v>
      </c>
      <c r="AF258" s="44">
        <v>0</v>
      </c>
      <c r="AG258" s="44">
        <v>0</v>
      </c>
      <c r="AH258" s="44">
        <v>0</v>
      </c>
      <c r="AI258" s="34">
        <f>AE258-AF258+AG258-AH354</f>
        <v>0</v>
      </c>
      <c r="AJ258" s="18">
        <f>AD258+AI258</f>
        <v>391454539</v>
      </c>
      <c r="AK258" s="44">
        <v>0</v>
      </c>
      <c r="AL258" s="43">
        <v>322474601</v>
      </c>
      <c r="AM258" s="43">
        <v>335262701</v>
      </c>
      <c r="AN258" s="44">
        <v>0</v>
      </c>
      <c r="AO258" s="43">
        <v>322474601</v>
      </c>
      <c r="AP258" s="43">
        <v>335262701</v>
      </c>
      <c r="AQ258" s="44">
        <v>0</v>
      </c>
      <c r="AR258" s="43">
        <v>1116659</v>
      </c>
      <c r="AS258" s="43">
        <v>13904759</v>
      </c>
      <c r="AT258" s="39">
        <f t="shared" ref="AT258" si="144">AQ258+AS258</f>
        <v>13904759</v>
      </c>
      <c r="AU258" s="18">
        <f>AJ258-AM258</f>
        <v>56191838</v>
      </c>
      <c r="AV258" s="34">
        <f>AM258-AP258</f>
        <v>0</v>
      </c>
      <c r="AW258" s="18">
        <f>AP258-AT258</f>
        <v>321357942</v>
      </c>
      <c r="AX258" s="123">
        <f>AP258/AJ258</f>
        <v>0.85645373242178702</v>
      </c>
    </row>
    <row r="259" spans="1:50" ht="18.75" customHeight="1" x14ac:dyDescent="0.2">
      <c r="AA259" s="28" t="s">
        <v>288</v>
      </c>
      <c r="AB259" s="29" t="s">
        <v>76</v>
      </c>
      <c r="AC259" s="17"/>
      <c r="AD259" s="18"/>
      <c r="AE259" s="18"/>
      <c r="AF259" s="18"/>
      <c r="AG259" s="18"/>
      <c r="AH259" s="18"/>
      <c r="AI259" s="18"/>
      <c r="AJ259" s="18"/>
      <c r="AK259" s="34"/>
      <c r="AL259" s="18"/>
      <c r="AM259" s="18"/>
      <c r="AN259" s="34"/>
      <c r="AO259" s="18"/>
      <c r="AP259" s="18"/>
      <c r="AQ259" s="34"/>
      <c r="AR259" s="18"/>
      <c r="AS259" s="18"/>
      <c r="AT259" s="30"/>
      <c r="AU259" s="18"/>
      <c r="AV259" s="18"/>
      <c r="AW259" s="34"/>
      <c r="AX259" s="18"/>
    </row>
    <row r="260" spans="1:50" ht="18.75" customHeight="1" x14ac:dyDescent="0.2">
      <c r="A260" s="4" t="s">
        <v>325</v>
      </c>
      <c r="B260" s="4" t="s">
        <v>326</v>
      </c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1" t="s">
        <v>329</v>
      </c>
      <c r="AB260" s="42" t="s">
        <v>328</v>
      </c>
      <c r="AC260" s="43" t="s">
        <v>61</v>
      </c>
      <c r="AD260" s="43">
        <v>277293782</v>
      </c>
      <c r="AE260" s="44">
        <v>0</v>
      </c>
      <c r="AF260" s="44">
        <v>0</v>
      </c>
      <c r="AG260" s="44">
        <v>0</v>
      </c>
      <c r="AH260" s="44">
        <v>0</v>
      </c>
      <c r="AI260" s="44">
        <v>0</v>
      </c>
      <c r="AJ260" s="43">
        <v>277293782</v>
      </c>
      <c r="AK260" s="44">
        <v>0</v>
      </c>
      <c r="AL260" s="43">
        <v>25037235</v>
      </c>
      <c r="AM260" s="43">
        <v>85329628</v>
      </c>
      <c r="AN260" s="44">
        <v>0</v>
      </c>
      <c r="AO260" s="43">
        <v>25037235</v>
      </c>
      <c r="AP260" s="43">
        <v>85329628</v>
      </c>
      <c r="AQ260" s="44">
        <v>0</v>
      </c>
      <c r="AR260" s="43">
        <v>25037235</v>
      </c>
      <c r="AS260" s="43">
        <v>85329628</v>
      </c>
      <c r="AT260" s="39">
        <f t="shared" ref="AT260" si="145">AQ260+AS260</f>
        <v>85329628</v>
      </c>
      <c r="AU260" s="18">
        <f>AJ260-AM260</f>
        <v>191964154</v>
      </c>
      <c r="AV260" s="34">
        <f>AM260-AP260</f>
        <v>0</v>
      </c>
      <c r="AW260" s="34">
        <f>AP260-AT260</f>
        <v>0</v>
      </c>
      <c r="AX260" s="123">
        <f>AP260/AJ260</f>
        <v>0.30772283238576192</v>
      </c>
    </row>
    <row r="261" spans="1:50" ht="18.75" customHeight="1" x14ac:dyDescent="0.2">
      <c r="AA261" s="16"/>
      <c r="AB261" s="29" t="s">
        <v>81</v>
      </c>
      <c r="AC261" s="17"/>
      <c r="AD261" s="18"/>
      <c r="AE261" s="34"/>
      <c r="AF261" s="34"/>
      <c r="AG261" s="34"/>
      <c r="AH261" s="34"/>
      <c r="AI261" s="34"/>
      <c r="AJ261" s="18"/>
      <c r="AK261" s="34"/>
      <c r="AL261" s="18"/>
      <c r="AM261" s="18"/>
      <c r="AN261" s="34"/>
      <c r="AO261" s="18"/>
      <c r="AP261" s="18"/>
      <c r="AQ261" s="34"/>
      <c r="AR261" s="18"/>
      <c r="AS261" s="18"/>
      <c r="AT261" s="30"/>
      <c r="AU261" s="18"/>
      <c r="AV261" s="18"/>
      <c r="AW261" s="18"/>
      <c r="AX261" s="18"/>
    </row>
    <row r="262" spans="1:50" ht="18.75" customHeight="1" x14ac:dyDescent="0.2">
      <c r="AA262" s="28" t="s">
        <v>288</v>
      </c>
      <c r="AB262" s="29" t="s">
        <v>83</v>
      </c>
      <c r="AC262" s="17"/>
      <c r="AD262" s="18"/>
      <c r="AE262" s="34"/>
      <c r="AF262" s="34"/>
      <c r="AG262" s="34"/>
      <c r="AH262" s="34"/>
      <c r="AI262" s="34"/>
      <c r="AJ262" s="18"/>
      <c r="AK262" s="34"/>
      <c r="AL262" s="18"/>
      <c r="AM262" s="18"/>
      <c r="AN262" s="34"/>
      <c r="AO262" s="18"/>
      <c r="AP262" s="18"/>
      <c r="AQ262" s="34"/>
      <c r="AR262" s="18"/>
      <c r="AS262" s="18"/>
      <c r="AT262" s="30"/>
      <c r="AU262" s="18"/>
      <c r="AV262" s="18"/>
      <c r="AW262" s="18"/>
      <c r="AX262" s="18"/>
    </row>
    <row r="263" spans="1:50" ht="18.75" customHeight="1" x14ac:dyDescent="0.2">
      <c r="A263" s="4" t="s">
        <v>325</v>
      </c>
      <c r="B263" s="4" t="s">
        <v>326</v>
      </c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1" t="s">
        <v>330</v>
      </c>
      <c r="AB263" s="42" t="s">
        <v>328</v>
      </c>
      <c r="AC263" s="43" t="s">
        <v>61</v>
      </c>
      <c r="AD263" s="43">
        <v>863231353</v>
      </c>
      <c r="AE263" s="44">
        <v>0</v>
      </c>
      <c r="AF263" s="44">
        <v>0</v>
      </c>
      <c r="AG263" s="44">
        <v>0</v>
      </c>
      <c r="AH263" s="44">
        <v>0</v>
      </c>
      <c r="AI263" s="44">
        <v>0</v>
      </c>
      <c r="AJ263" s="43">
        <v>863231353</v>
      </c>
      <c r="AK263" s="44">
        <v>0</v>
      </c>
      <c r="AL263" s="43">
        <v>1195936</v>
      </c>
      <c r="AM263" s="43">
        <v>8887943</v>
      </c>
      <c r="AN263" s="44">
        <v>0</v>
      </c>
      <c r="AO263" s="43">
        <v>1195936</v>
      </c>
      <c r="AP263" s="43">
        <v>8887943</v>
      </c>
      <c r="AQ263" s="44">
        <v>0</v>
      </c>
      <c r="AR263" s="43">
        <v>1195936</v>
      </c>
      <c r="AS263" s="43">
        <v>8887943</v>
      </c>
      <c r="AT263" s="39">
        <f t="shared" ref="AT263" si="146">AQ263+AS263</f>
        <v>8887943</v>
      </c>
      <c r="AU263" s="18">
        <f>AJ263-AM263</f>
        <v>854343410</v>
      </c>
      <c r="AV263" s="34">
        <f>AM263-AP263</f>
        <v>0</v>
      </c>
      <c r="AW263" s="34">
        <f>AP263-AT263</f>
        <v>0</v>
      </c>
      <c r="AX263" s="123">
        <f>AP263/AJ263</f>
        <v>1.0296130891344027E-2</v>
      </c>
    </row>
    <row r="264" spans="1:50" ht="18.75" customHeight="1" x14ac:dyDescent="0.2">
      <c r="AA264" s="28" t="s">
        <v>288</v>
      </c>
      <c r="AB264" s="29" t="s">
        <v>88</v>
      </c>
      <c r="AC264" s="17"/>
      <c r="AD264" s="18"/>
      <c r="AE264" s="34"/>
      <c r="AF264" s="34"/>
      <c r="AG264" s="34"/>
      <c r="AH264" s="34"/>
      <c r="AI264" s="34"/>
      <c r="AJ264" s="18"/>
      <c r="AK264" s="18"/>
      <c r="AL264" s="18"/>
      <c r="AM264" s="18"/>
      <c r="AN264" s="18"/>
      <c r="AO264" s="18"/>
      <c r="AP264" s="18"/>
      <c r="AQ264" s="34"/>
      <c r="AR264" s="18"/>
      <c r="AS264" s="18"/>
      <c r="AT264" s="30"/>
      <c r="AU264" s="18"/>
      <c r="AV264" s="18"/>
      <c r="AW264" s="34"/>
      <c r="AX264" s="18"/>
    </row>
    <row r="265" spans="1:50" ht="18.75" customHeight="1" x14ac:dyDescent="0.2">
      <c r="A265" s="4" t="s">
        <v>325</v>
      </c>
      <c r="B265" s="4" t="s">
        <v>326</v>
      </c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1" t="s">
        <v>331</v>
      </c>
      <c r="AB265" s="42" t="s">
        <v>328</v>
      </c>
      <c r="AC265" s="43" t="s">
        <v>61</v>
      </c>
      <c r="AD265" s="43">
        <v>240951939</v>
      </c>
      <c r="AE265" s="44">
        <v>0</v>
      </c>
      <c r="AF265" s="44">
        <v>0</v>
      </c>
      <c r="AG265" s="44">
        <v>0</v>
      </c>
      <c r="AH265" s="44">
        <v>0</v>
      </c>
      <c r="AI265" s="44">
        <v>0</v>
      </c>
      <c r="AJ265" s="43">
        <v>240951939</v>
      </c>
      <c r="AK265" s="44">
        <v>0</v>
      </c>
      <c r="AL265" s="43">
        <v>10201615</v>
      </c>
      <c r="AM265" s="43">
        <v>37884607</v>
      </c>
      <c r="AN265" s="43">
        <v>0</v>
      </c>
      <c r="AO265" s="43">
        <v>10201615</v>
      </c>
      <c r="AP265" s="43">
        <v>37884607</v>
      </c>
      <c r="AQ265" s="44">
        <v>0</v>
      </c>
      <c r="AR265" s="43">
        <v>10201615</v>
      </c>
      <c r="AS265" s="43">
        <v>37884607</v>
      </c>
      <c r="AT265" s="39">
        <f t="shared" ref="AT265" si="147">AQ265+AS265</f>
        <v>37884607</v>
      </c>
      <c r="AU265" s="18">
        <f>AJ265-AM265</f>
        <v>203067332</v>
      </c>
      <c r="AV265" s="34">
        <f>AM265-AP265</f>
        <v>0</v>
      </c>
      <c r="AW265" s="34">
        <f>AP265-AT265</f>
        <v>0</v>
      </c>
      <c r="AX265" s="123">
        <f>AP265/AJ265</f>
        <v>0.15722889451410474</v>
      </c>
    </row>
    <row r="266" spans="1:50" ht="18.75" customHeight="1" x14ac:dyDescent="0.2">
      <c r="AA266" s="16"/>
      <c r="AB266" s="29" t="s">
        <v>103</v>
      </c>
      <c r="AC266" s="17"/>
      <c r="AD266" s="18"/>
      <c r="AE266" s="34"/>
      <c r="AF266" s="34"/>
      <c r="AG266" s="34"/>
      <c r="AH266" s="34"/>
      <c r="AI266" s="34"/>
      <c r="AJ266" s="18"/>
      <c r="AK266" s="34"/>
      <c r="AL266" s="18"/>
      <c r="AM266" s="18"/>
      <c r="AN266" s="18"/>
      <c r="AO266" s="18"/>
      <c r="AP266" s="18"/>
      <c r="AQ266" s="18"/>
      <c r="AR266" s="18"/>
      <c r="AS266" s="18"/>
      <c r="AT266" s="30"/>
      <c r="AU266" s="18"/>
      <c r="AV266" s="18"/>
      <c r="AW266" s="34"/>
      <c r="AX266" s="18"/>
    </row>
    <row r="267" spans="1:50" ht="18.75" customHeight="1" x14ac:dyDescent="0.2">
      <c r="AA267" s="28" t="s">
        <v>288</v>
      </c>
      <c r="AB267" s="29" t="s">
        <v>105</v>
      </c>
      <c r="AC267" s="17"/>
      <c r="AD267" s="18"/>
      <c r="AE267" s="34"/>
      <c r="AF267" s="34"/>
      <c r="AG267" s="34"/>
      <c r="AH267" s="34"/>
      <c r="AI267" s="34"/>
      <c r="AJ267" s="18"/>
      <c r="AK267" s="34"/>
      <c r="AL267" s="18"/>
      <c r="AM267" s="18"/>
      <c r="AN267" s="18"/>
      <c r="AO267" s="18"/>
      <c r="AP267" s="18"/>
      <c r="AQ267" s="18"/>
      <c r="AR267" s="18"/>
      <c r="AS267" s="18"/>
      <c r="AT267" s="30"/>
      <c r="AU267" s="18"/>
      <c r="AV267" s="18"/>
      <c r="AW267" s="34"/>
      <c r="AX267" s="18"/>
    </row>
    <row r="268" spans="1:50" ht="18.75" customHeight="1" x14ac:dyDescent="0.2">
      <c r="A268" s="4" t="s">
        <v>325</v>
      </c>
      <c r="B268" s="4" t="s">
        <v>326</v>
      </c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1" t="s">
        <v>332</v>
      </c>
      <c r="AB268" s="42" t="s">
        <v>328</v>
      </c>
      <c r="AC268" s="43" t="s">
        <v>61</v>
      </c>
      <c r="AD268" s="43">
        <v>1112875275</v>
      </c>
      <c r="AE268" s="44">
        <v>0</v>
      </c>
      <c r="AF268" s="44">
        <v>0</v>
      </c>
      <c r="AG268" s="44">
        <v>0</v>
      </c>
      <c r="AH268" s="44">
        <v>0</v>
      </c>
      <c r="AI268" s="44">
        <v>0</v>
      </c>
      <c r="AJ268" s="43">
        <v>1112875275</v>
      </c>
      <c r="AK268" s="44">
        <v>0</v>
      </c>
      <c r="AL268" s="43">
        <v>84830400</v>
      </c>
      <c r="AM268" s="43">
        <v>512685500</v>
      </c>
      <c r="AN268" s="44">
        <v>0</v>
      </c>
      <c r="AO268" s="43">
        <v>85228600</v>
      </c>
      <c r="AP268" s="43">
        <v>510618900</v>
      </c>
      <c r="AQ268" s="133">
        <v>0</v>
      </c>
      <c r="AR268" s="110">
        <v>169678000</v>
      </c>
      <c r="AS268" s="110">
        <v>510618900</v>
      </c>
      <c r="AT268" s="39">
        <f t="shared" ref="AT268" si="148">AQ268+AS268</f>
        <v>510618900</v>
      </c>
      <c r="AU268" s="18">
        <f>AJ268-AM268</f>
        <v>600189775</v>
      </c>
      <c r="AV268" s="110">
        <f>AM268-AP268</f>
        <v>2066600</v>
      </c>
      <c r="AW268" s="34">
        <f>AP268-AT268</f>
        <v>0</v>
      </c>
      <c r="AX268" s="123">
        <f>AP268/AJ268</f>
        <v>0.45882850618637383</v>
      </c>
    </row>
    <row r="269" spans="1:50" ht="18.75" customHeight="1" x14ac:dyDescent="0.2">
      <c r="AA269" s="28" t="s">
        <v>288</v>
      </c>
      <c r="AB269" s="29" t="s">
        <v>333</v>
      </c>
      <c r="AC269" s="17"/>
      <c r="AD269" s="18"/>
      <c r="AE269" s="34"/>
      <c r="AF269" s="34"/>
      <c r="AG269" s="34"/>
      <c r="AH269" s="34"/>
      <c r="AI269" s="34"/>
      <c r="AJ269" s="18"/>
      <c r="AK269" s="34"/>
      <c r="AL269" s="18"/>
      <c r="AM269" s="18"/>
      <c r="AN269" s="34"/>
      <c r="AO269" s="18"/>
      <c r="AP269" s="18"/>
      <c r="AQ269" s="133"/>
      <c r="AR269" s="110"/>
      <c r="AS269" s="110"/>
      <c r="AT269" s="40"/>
      <c r="AU269" s="18"/>
      <c r="AV269" s="110"/>
      <c r="AW269" s="34"/>
      <c r="AX269" s="18"/>
    </row>
    <row r="270" spans="1:50" ht="18.75" customHeight="1" x14ac:dyDescent="0.2">
      <c r="A270" s="4" t="s">
        <v>325</v>
      </c>
      <c r="B270" s="4" t="s">
        <v>326</v>
      </c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1" t="s">
        <v>334</v>
      </c>
      <c r="AB270" s="42" t="s">
        <v>328</v>
      </c>
      <c r="AC270" s="43" t="s">
        <v>61</v>
      </c>
      <c r="AD270" s="43">
        <v>785176343</v>
      </c>
      <c r="AE270" s="44">
        <v>0</v>
      </c>
      <c r="AF270" s="44">
        <v>0</v>
      </c>
      <c r="AG270" s="44">
        <v>0</v>
      </c>
      <c r="AH270" s="44">
        <v>0</v>
      </c>
      <c r="AI270" s="44">
        <v>0</v>
      </c>
      <c r="AJ270" s="43">
        <v>785176343</v>
      </c>
      <c r="AK270" s="44">
        <v>0</v>
      </c>
      <c r="AL270" s="43">
        <v>60309300</v>
      </c>
      <c r="AM270" s="43">
        <v>364591800</v>
      </c>
      <c r="AN270" s="44">
        <v>0</v>
      </c>
      <c r="AO270" s="43">
        <v>60620400</v>
      </c>
      <c r="AP270" s="43">
        <v>362977200</v>
      </c>
      <c r="AQ270" s="133">
        <v>0</v>
      </c>
      <c r="AR270" s="110">
        <v>120660200</v>
      </c>
      <c r="AS270" s="110">
        <v>362977200</v>
      </c>
      <c r="AT270" s="39">
        <f t="shared" ref="AT270" si="149">AQ270+AS270</f>
        <v>362977200</v>
      </c>
      <c r="AU270" s="18">
        <f>AJ270-AM270</f>
        <v>420584543</v>
      </c>
      <c r="AV270" s="110">
        <f>AM270-AP270</f>
        <v>1614600</v>
      </c>
      <c r="AW270" s="34">
        <f>AP270-AT270</f>
        <v>0</v>
      </c>
      <c r="AX270" s="123">
        <f>AP270/AJ270</f>
        <v>0.46228748896475602</v>
      </c>
    </row>
    <row r="271" spans="1:50" ht="18.75" customHeight="1" x14ac:dyDescent="0.2">
      <c r="AA271" s="28" t="s">
        <v>288</v>
      </c>
      <c r="AB271" s="29" t="s">
        <v>115</v>
      </c>
      <c r="AC271" s="17"/>
      <c r="AD271" s="18"/>
      <c r="AE271" s="34"/>
      <c r="AF271" s="34"/>
      <c r="AG271" s="34"/>
      <c r="AH271" s="34"/>
      <c r="AI271" s="34"/>
      <c r="AJ271" s="18"/>
      <c r="AK271" s="34"/>
      <c r="AL271" s="18"/>
      <c r="AM271" s="18"/>
      <c r="AN271" s="34"/>
      <c r="AO271" s="18"/>
      <c r="AP271" s="18"/>
      <c r="AQ271" s="133"/>
      <c r="AR271" s="110"/>
      <c r="AS271" s="110"/>
      <c r="AT271" s="30"/>
      <c r="AU271" s="18"/>
      <c r="AV271" s="18"/>
      <c r="AW271" s="18"/>
      <c r="AX271" s="18"/>
    </row>
    <row r="272" spans="1:50" ht="18.75" customHeight="1" x14ac:dyDescent="0.2">
      <c r="A272" s="4" t="s">
        <v>325</v>
      </c>
      <c r="B272" s="4" t="s">
        <v>326</v>
      </c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1" t="s">
        <v>335</v>
      </c>
      <c r="AB272" s="42" t="s">
        <v>328</v>
      </c>
      <c r="AC272" s="43" t="s">
        <v>61</v>
      </c>
      <c r="AD272" s="43">
        <v>1074031411</v>
      </c>
      <c r="AE272" s="44">
        <v>0</v>
      </c>
      <c r="AF272" s="44">
        <v>0</v>
      </c>
      <c r="AG272" s="44">
        <v>0</v>
      </c>
      <c r="AH272" s="44">
        <v>0</v>
      </c>
      <c r="AI272" s="44">
        <v>0</v>
      </c>
      <c r="AJ272" s="43">
        <v>1074031411</v>
      </c>
      <c r="AK272" s="44">
        <v>0</v>
      </c>
      <c r="AL272" s="43">
        <v>21072575</v>
      </c>
      <c r="AM272" s="43">
        <v>703130849.07000005</v>
      </c>
      <c r="AN272" s="44">
        <v>0</v>
      </c>
      <c r="AO272" s="43">
        <v>21072575</v>
      </c>
      <c r="AP272" s="43">
        <v>703130849.07000005</v>
      </c>
      <c r="AQ272" s="115">
        <v>0</v>
      </c>
      <c r="AR272" s="114">
        <v>43259595.810000002</v>
      </c>
      <c r="AS272" s="114">
        <v>703130849.07000005</v>
      </c>
      <c r="AT272" s="39">
        <f t="shared" ref="AT272" si="150">AQ272+AS272</f>
        <v>703130849.07000005</v>
      </c>
      <c r="AU272" s="18">
        <f>AJ272-AM272</f>
        <v>370900561.92999995</v>
      </c>
      <c r="AV272" s="34">
        <f>AM272-AP272</f>
        <v>0</v>
      </c>
      <c r="AW272" s="18">
        <f>AP272-AT272</f>
        <v>0</v>
      </c>
      <c r="AX272" s="123">
        <f>AP272/AJ272</f>
        <v>0.65466507019132236</v>
      </c>
    </row>
    <row r="273" spans="1:50" ht="18.75" customHeight="1" x14ac:dyDescent="0.2">
      <c r="AA273" s="28" t="s">
        <v>288</v>
      </c>
      <c r="AB273" s="29" t="s">
        <v>119</v>
      </c>
      <c r="AC273" s="17"/>
      <c r="AD273" s="18"/>
      <c r="AE273" s="34"/>
      <c r="AF273" s="34"/>
      <c r="AG273" s="34"/>
      <c r="AH273" s="34"/>
      <c r="AI273" s="34"/>
      <c r="AJ273" s="18"/>
      <c r="AK273" s="18"/>
      <c r="AL273" s="18"/>
      <c r="AM273" s="18"/>
      <c r="AN273" s="34"/>
      <c r="AO273" s="18"/>
      <c r="AP273" s="18"/>
      <c r="AQ273" s="110"/>
      <c r="AR273" s="110"/>
      <c r="AS273" s="110"/>
      <c r="AT273" s="30"/>
      <c r="AU273" s="18"/>
      <c r="AV273" s="18"/>
      <c r="AW273" s="18"/>
      <c r="AX273" s="18"/>
    </row>
    <row r="274" spans="1:50" ht="18.75" customHeight="1" x14ac:dyDescent="0.2">
      <c r="A274" s="4" t="s">
        <v>325</v>
      </c>
      <c r="B274" s="4" t="s">
        <v>326</v>
      </c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1" t="s">
        <v>336</v>
      </c>
      <c r="AB274" s="42" t="s">
        <v>328</v>
      </c>
      <c r="AC274" s="43" t="s">
        <v>61</v>
      </c>
      <c r="AD274" s="43">
        <v>438243332</v>
      </c>
      <c r="AE274" s="44">
        <v>0</v>
      </c>
      <c r="AF274" s="44">
        <v>0</v>
      </c>
      <c r="AG274" s="44">
        <v>0</v>
      </c>
      <c r="AH274" s="44">
        <v>0</v>
      </c>
      <c r="AI274" s="44">
        <v>0</v>
      </c>
      <c r="AJ274" s="43">
        <v>438243332</v>
      </c>
      <c r="AK274" s="44">
        <v>0</v>
      </c>
      <c r="AL274" s="43">
        <v>41400300</v>
      </c>
      <c r="AM274" s="43">
        <v>185053000</v>
      </c>
      <c r="AN274" s="44">
        <v>0</v>
      </c>
      <c r="AO274" s="43">
        <v>41400300</v>
      </c>
      <c r="AP274" s="43">
        <v>185053000</v>
      </c>
      <c r="AQ274" s="133">
        <v>0</v>
      </c>
      <c r="AR274" s="110">
        <v>70077000</v>
      </c>
      <c r="AS274" s="110">
        <v>185053000</v>
      </c>
      <c r="AT274" s="39">
        <f t="shared" ref="AT274:AT288" si="151">AQ274+AS274</f>
        <v>185053000</v>
      </c>
      <c r="AU274" s="18">
        <f>AJ274-AM274</f>
        <v>253190332</v>
      </c>
      <c r="AV274" s="34">
        <f>AM274-AP274</f>
        <v>0</v>
      </c>
      <c r="AW274" s="34">
        <f>AP274-AT274</f>
        <v>0</v>
      </c>
      <c r="AX274" s="123">
        <f>AP274/AJ274</f>
        <v>0.42226084571664402</v>
      </c>
    </row>
    <row r="275" spans="1:50" ht="18.75" customHeight="1" x14ac:dyDescent="0.2">
      <c r="AA275" s="28" t="s">
        <v>288</v>
      </c>
      <c r="AB275" s="29" t="s">
        <v>124</v>
      </c>
      <c r="AC275" s="17"/>
      <c r="AD275" s="18"/>
      <c r="AE275" s="34"/>
      <c r="AF275" s="34"/>
      <c r="AG275" s="34"/>
      <c r="AH275" s="34"/>
      <c r="AI275" s="34"/>
      <c r="AJ275" s="18"/>
      <c r="AK275" s="34"/>
      <c r="AL275" s="18"/>
      <c r="AM275" s="18"/>
      <c r="AN275" s="34"/>
      <c r="AO275" s="18"/>
      <c r="AP275" s="18"/>
      <c r="AQ275" s="34"/>
      <c r="AR275" s="34"/>
      <c r="AS275" s="34"/>
      <c r="AT275" s="40">
        <f t="shared" si="151"/>
        <v>0</v>
      </c>
      <c r="AU275" s="18"/>
      <c r="AV275" s="18"/>
      <c r="AW275" s="34"/>
      <c r="AX275" s="18"/>
    </row>
    <row r="276" spans="1:50" ht="18.75" customHeight="1" x14ac:dyDescent="0.2">
      <c r="A276" s="4" t="s">
        <v>325</v>
      </c>
      <c r="B276" s="4" t="s">
        <v>326</v>
      </c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1" t="s">
        <v>337</v>
      </c>
      <c r="AB276" s="42" t="s">
        <v>328</v>
      </c>
      <c r="AC276" s="43" t="s">
        <v>61</v>
      </c>
      <c r="AD276" s="43">
        <v>46632075</v>
      </c>
      <c r="AE276" s="44">
        <v>0</v>
      </c>
      <c r="AF276" s="44">
        <v>0</v>
      </c>
      <c r="AG276" s="44">
        <v>0</v>
      </c>
      <c r="AH276" s="44">
        <v>0</v>
      </c>
      <c r="AI276" s="44">
        <v>0</v>
      </c>
      <c r="AJ276" s="43">
        <v>46632075</v>
      </c>
      <c r="AK276" s="44">
        <v>0</v>
      </c>
      <c r="AL276" s="43">
        <v>3634800</v>
      </c>
      <c r="AM276" s="43">
        <v>21646000</v>
      </c>
      <c r="AN276" s="44">
        <v>0</v>
      </c>
      <c r="AO276" s="43">
        <v>3634800</v>
      </c>
      <c r="AP276" s="43">
        <v>21646000</v>
      </c>
      <c r="AQ276" s="133">
        <v>0</v>
      </c>
      <c r="AR276" s="110">
        <v>7324100</v>
      </c>
      <c r="AS276" s="110">
        <v>21646000</v>
      </c>
      <c r="AT276" s="39">
        <f t="shared" si="151"/>
        <v>21646000</v>
      </c>
      <c r="AU276" s="18">
        <f>AJ276-AM276</f>
        <v>24986075</v>
      </c>
      <c r="AV276" s="34">
        <f>AM276-AP276</f>
        <v>0</v>
      </c>
      <c r="AW276" s="34">
        <f>AP276-AT276</f>
        <v>0</v>
      </c>
      <c r="AX276" s="123">
        <f>AP276/AJ276</f>
        <v>0.46418693570895142</v>
      </c>
    </row>
    <row r="277" spans="1:50" ht="18.75" customHeight="1" x14ac:dyDescent="0.2">
      <c r="AA277" s="28" t="s">
        <v>288</v>
      </c>
      <c r="AB277" s="29" t="s">
        <v>129</v>
      </c>
      <c r="AC277" s="17"/>
      <c r="AD277" s="18"/>
      <c r="AE277" s="34"/>
      <c r="AF277" s="34"/>
      <c r="AG277" s="34"/>
      <c r="AH277" s="34"/>
      <c r="AI277" s="34"/>
      <c r="AJ277" s="18"/>
      <c r="AK277" s="34"/>
      <c r="AL277" s="18"/>
      <c r="AM277" s="18"/>
      <c r="AN277" s="34"/>
      <c r="AO277" s="18"/>
      <c r="AP277" s="18"/>
      <c r="AQ277" s="133"/>
      <c r="AR277" s="110"/>
      <c r="AS277" s="110"/>
      <c r="AT277" s="40">
        <f t="shared" si="151"/>
        <v>0</v>
      </c>
      <c r="AU277" s="18"/>
      <c r="AV277" s="18"/>
      <c r="AW277" s="34"/>
      <c r="AX277" s="18"/>
    </row>
    <row r="278" spans="1:50" ht="18.75" customHeight="1" x14ac:dyDescent="0.2">
      <c r="A278" s="4" t="s">
        <v>325</v>
      </c>
      <c r="B278" s="4" t="s">
        <v>326</v>
      </c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1" t="s">
        <v>338</v>
      </c>
      <c r="AB278" s="42" t="s">
        <v>328</v>
      </c>
      <c r="AC278" s="43" t="s">
        <v>61</v>
      </c>
      <c r="AD278" s="43">
        <v>328682499</v>
      </c>
      <c r="AE278" s="44">
        <v>0</v>
      </c>
      <c r="AF278" s="44">
        <v>0</v>
      </c>
      <c r="AG278" s="44">
        <v>0</v>
      </c>
      <c r="AH278" s="44">
        <v>0</v>
      </c>
      <c r="AI278" s="44">
        <v>0</v>
      </c>
      <c r="AJ278" s="43">
        <v>328682499</v>
      </c>
      <c r="AK278" s="44">
        <v>0</v>
      </c>
      <c r="AL278" s="43">
        <v>31056600</v>
      </c>
      <c r="AM278" s="43">
        <v>138806300</v>
      </c>
      <c r="AN278" s="44">
        <v>0</v>
      </c>
      <c r="AO278" s="43">
        <v>31056600</v>
      </c>
      <c r="AP278" s="43">
        <v>138806300</v>
      </c>
      <c r="AQ278" s="133">
        <v>0</v>
      </c>
      <c r="AR278" s="110">
        <v>52566400</v>
      </c>
      <c r="AS278" s="110">
        <v>138806300</v>
      </c>
      <c r="AT278" s="39">
        <f t="shared" si="151"/>
        <v>138806300</v>
      </c>
      <c r="AU278" s="18">
        <f>AJ278-AM278</f>
        <v>189876199</v>
      </c>
      <c r="AV278" s="34">
        <f>AM278-AP278</f>
        <v>0</v>
      </c>
      <c r="AW278" s="34">
        <f>AP278-AT278</f>
        <v>0</v>
      </c>
      <c r="AX278" s="123">
        <f>AP278/AJ278</f>
        <v>0.42231119826066554</v>
      </c>
    </row>
    <row r="279" spans="1:50" ht="18.75" customHeight="1" x14ac:dyDescent="0.2">
      <c r="AA279" s="28" t="s">
        <v>288</v>
      </c>
      <c r="AB279" s="29" t="s">
        <v>133</v>
      </c>
      <c r="AC279" s="17"/>
      <c r="AD279" s="18"/>
      <c r="AE279" s="34"/>
      <c r="AF279" s="34"/>
      <c r="AG279" s="34"/>
      <c r="AH279" s="34"/>
      <c r="AI279" s="34"/>
      <c r="AJ279" s="18"/>
      <c r="AK279" s="34"/>
      <c r="AL279" s="18"/>
      <c r="AM279" s="18"/>
      <c r="AN279" s="34"/>
      <c r="AO279" s="18"/>
      <c r="AP279" s="18"/>
      <c r="AQ279" s="133"/>
      <c r="AR279" s="110"/>
      <c r="AS279" s="110"/>
      <c r="AT279" s="40">
        <f t="shared" si="151"/>
        <v>0</v>
      </c>
      <c r="AU279" s="18"/>
      <c r="AV279" s="18"/>
      <c r="AW279" s="34"/>
      <c r="AX279" s="18"/>
    </row>
    <row r="280" spans="1:50" ht="18.75" customHeight="1" x14ac:dyDescent="0.2">
      <c r="A280" s="4" t="s">
        <v>325</v>
      </c>
      <c r="B280" s="4" t="s">
        <v>326</v>
      </c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1" t="s">
        <v>339</v>
      </c>
      <c r="AB280" s="42" t="s">
        <v>328</v>
      </c>
      <c r="AC280" s="43" t="s">
        <v>61</v>
      </c>
      <c r="AD280" s="43">
        <v>54780417</v>
      </c>
      <c r="AE280" s="44">
        <v>0</v>
      </c>
      <c r="AF280" s="44">
        <v>0</v>
      </c>
      <c r="AG280" s="44">
        <v>0</v>
      </c>
      <c r="AH280" s="44">
        <v>0</v>
      </c>
      <c r="AI280" s="44">
        <v>0</v>
      </c>
      <c r="AJ280" s="43">
        <v>54780417</v>
      </c>
      <c r="AK280" s="44">
        <v>0</v>
      </c>
      <c r="AL280" s="43">
        <v>5189300</v>
      </c>
      <c r="AM280" s="43">
        <v>23210900</v>
      </c>
      <c r="AN280" s="44">
        <v>0</v>
      </c>
      <c r="AO280" s="43">
        <v>5189300</v>
      </c>
      <c r="AP280" s="43">
        <v>23210900</v>
      </c>
      <c r="AQ280" s="133">
        <v>0</v>
      </c>
      <c r="AR280" s="110">
        <v>8785900</v>
      </c>
      <c r="AS280" s="110">
        <v>23210900</v>
      </c>
      <c r="AT280" s="39">
        <f t="shared" si="151"/>
        <v>23210900</v>
      </c>
      <c r="AU280" s="18">
        <f>AJ280-AM280</f>
        <v>31569517</v>
      </c>
      <c r="AV280" s="34">
        <f>AM280-AP280</f>
        <v>0</v>
      </c>
      <c r="AW280" s="34">
        <f>AP280-AT280</f>
        <v>0</v>
      </c>
      <c r="AX280" s="123">
        <f>AP280/AJ280</f>
        <v>0.42370798309184099</v>
      </c>
    </row>
    <row r="281" spans="1:50" ht="18.75" customHeight="1" x14ac:dyDescent="0.2">
      <c r="AA281" s="28" t="s">
        <v>288</v>
      </c>
      <c r="AB281" s="29" t="s">
        <v>138</v>
      </c>
      <c r="AC281" s="17"/>
      <c r="AD281" s="18"/>
      <c r="AE281" s="34"/>
      <c r="AF281" s="34"/>
      <c r="AG281" s="34"/>
      <c r="AH281" s="34"/>
      <c r="AI281" s="34"/>
      <c r="AJ281" s="18"/>
      <c r="AK281" s="34"/>
      <c r="AL281" s="18"/>
      <c r="AM281" s="18"/>
      <c r="AN281" s="34"/>
      <c r="AO281" s="18"/>
      <c r="AP281" s="18"/>
      <c r="AQ281" s="133"/>
      <c r="AR281" s="110"/>
      <c r="AS281" s="110"/>
      <c r="AT281" s="40">
        <f t="shared" si="151"/>
        <v>0</v>
      </c>
      <c r="AU281" s="18"/>
      <c r="AV281" s="18"/>
      <c r="AW281" s="34"/>
      <c r="AX281" s="18"/>
    </row>
    <row r="282" spans="1:50" ht="18.75" customHeight="1" x14ac:dyDescent="0.2">
      <c r="A282" s="4" t="s">
        <v>325</v>
      </c>
      <c r="B282" s="4" t="s">
        <v>326</v>
      </c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1" t="s">
        <v>340</v>
      </c>
      <c r="AB282" s="42" t="s">
        <v>328</v>
      </c>
      <c r="AC282" s="43" t="s">
        <v>61</v>
      </c>
      <c r="AD282" s="43">
        <v>54780417</v>
      </c>
      <c r="AE282" s="44">
        <v>0</v>
      </c>
      <c r="AF282" s="44">
        <v>0</v>
      </c>
      <c r="AG282" s="44">
        <v>0</v>
      </c>
      <c r="AH282" s="44">
        <v>0</v>
      </c>
      <c r="AI282" s="44">
        <v>0</v>
      </c>
      <c r="AJ282" s="43">
        <v>54780417</v>
      </c>
      <c r="AK282" s="44">
        <v>0</v>
      </c>
      <c r="AL282" s="43">
        <v>5189300</v>
      </c>
      <c r="AM282" s="43">
        <v>23210900</v>
      </c>
      <c r="AN282" s="44">
        <v>0</v>
      </c>
      <c r="AO282" s="43">
        <v>5189300</v>
      </c>
      <c r="AP282" s="43">
        <v>23210900</v>
      </c>
      <c r="AQ282" s="133">
        <v>0</v>
      </c>
      <c r="AR282" s="110">
        <v>8785900</v>
      </c>
      <c r="AS282" s="110">
        <v>23210900</v>
      </c>
      <c r="AT282" s="39">
        <f t="shared" si="151"/>
        <v>23210900</v>
      </c>
      <c r="AU282" s="18">
        <f>AJ282-AM282</f>
        <v>31569517</v>
      </c>
      <c r="AV282" s="34">
        <f>AM282-AP282</f>
        <v>0</v>
      </c>
      <c r="AW282" s="34">
        <f>AP282-AT282</f>
        <v>0</v>
      </c>
      <c r="AX282" s="123">
        <f>AP282/AJ282</f>
        <v>0.42370798309184099</v>
      </c>
    </row>
    <row r="283" spans="1:50" ht="25.5" x14ac:dyDescent="0.2">
      <c r="AA283" s="28" t="s">
        <v>288</v>
      </c>
      <c r="AB283" s="29" t="s">
        <v>145</v>
      </c>
      <c r="AC283" s="17"/>
      <c r="AD283" s="18"/>
      <c r="AE283" s="34"/>
      <c r="AF283" s="34"/>
      <c r="AG283" s="34"/>
      <c r="AH283" s="34"/>
      <c r="AI283" s="34"/>
      <c r="AJ283" s="18"/>
      <c r="AK283" s="34"/>
      <c r="AL283" s="18"/>
      <c r="AM283" s="18"/>
      <c r="AN283" s="34"/>
      <c r="AO283" s="18"/>
      <c r="AP283" s="18"/>
      <c r="AQ283" s="34"/>
      <c r="AR283" s="34"/>
      <c r="AS283" s="34"/>
      <c r="AT283" s="40">
        <f t="shared" si="151"/>
        <v>0</v>
      </c>
      <c r="AU283" s="18"/>
      <c r="AV283" s="18"/>
      <c r="AW283" s="18"/>
      <c r="AX283" s="18"/>
    </row>
    <row r="284" spans="1:50" ht="18.75" customHeight="1" x14ac:dyDescent="0.2">
      <c r="A284" s="4" t="s">
        <v>325</v>
      </c>
      <c r="B284" s="4" t="s">
        <v>326</v>
      </c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1" t="s">
        <v>341</v>
      </c>
      <c r="AB284" s="42" t="s">
        <v>328</v>
      </c>
      <c r="AC284" s="43" t="s">
        <v>61</v>
      </c>
      <c r="AD284" s="43">
        <v>109560833</v>
      </c>
      <c r="AE284" s="44">
        <v>0</v>
      </c>
      <c r="AF284" s="44">
        <v>0</v>
      </c>
      <c r="AG284" s="44">
        <v>0</v>
      </c>
      <c r="AH284" s="44">
        <v>0</v>
      </c>
      <c r="AI284" s="44">
        <v>0</v>
      </c>
      <c r="AJ284" s="43">
        <v>109560833</v>
      </c>
      <c r="AK284" s="44">
        <v>0</v>
      </c>
      <c r="AL284" s="43">
        <v>10362000</v>
      </c>
      <c r="AM284" s="43">
        <v>46339700</v>
      </c>
      <c r="AN284" s="44">
        <v>0</v>
      </c>
      <c r="AO284" s="43">
        <v>10362000</v>
      </c>
      <c r="AP284" s="43">
        <v>46339700</v>
      </c>
      <c r="AQ284" s="34">
        <v>0</v>
      </c>
      <c r="AR284" s="110">
        <v>17543600</v>
      </c>
      <c r="AS284" s="110">
        <v>46339700</v>
      </c>
      <c r="AT284" s="39">
        <f t="shared" si="151"/>
        <v>46339700</v>
      </c>
      <c r="AU284" s="18">
        <f>AJ284-AM284</f>
        <v>63221133</v>
      </c>
      <c r="AV284" s="34">
        <f>AM284-AP284</f>
        <v>0</v>
      </c>
      <c r="AW284" s="34">
        <f>AP284-AT284</f>
        <v>0</v>
      </c>
      <c r="AX284" s="123">
        <f>AP284/AJ284</f>
        <v>0.42295863157593916</v>
      </c>
    </row>
    <row r="285" spans="1:50" ht="18.75" customHeight="1" x14ac:dyDescent="0.2">
      <c r="AA285" s="16"/>
      <c r="AB285" s="29" t="s">
        <v>149</v>
      </c>
      <c r="AC285" s="17"/>
      <c r="AD285" s="18"/>
      <c r="AE285" s="34"/>
      <c r="AF285" s="34"/>
      <c r="AG285" s="34"/>
      <c r="AH285" s="34"/>
      <c r="AI285" s="34"/>
      <c r="AJ285" s="18"/>
      <c r="AK285" s="34"/>
      <c r="AL285" s="18"/>
      <c r="AM285" s="18"/>
      <c r="AN285" s="34"/>
      <c r="AO285" s="18"/>
      <c r="AP285" s="18"/>
      <c r="AQ285" s="34"/>
      <c r="AR285" s="34"/>
      <c r="AS285" s="34"/>
      <c r="AT285" s="40"/>
      <c r="AU285" s="18"/>
      <c r="AV285" s="18"/>
      <c r="AW285" s="34"/>
      <c r="AX285" s="18"/>
    </row>
    <row r="286" spans="1:50" ht="18.75" customHeight="1" x14ac:dyDescent="0.2">
      <c r="AA286" s="16"/>
      <c r="AB286" s="29" t="s">
        <v>81</v>
      </c>
      <c r="AC286" s="17"/>
      <c r="AD286" s="18"/>
      <c r="AE286" s="34"/>
      <c r="AF286" s="34"/>
      <c r="AG286" s="34"/>
      <c r="AH286" s="34"/>
      <c r="AI286" s="34"/>
      <c r="AJ286" s="18"/>
      <c r="AK286" s="34"/>
      <c r="AL286" s="18"/>
      <c r="AM286" s="18"/>
      <c r="AN286" s="34"/>
      <c r="AO286" s="18"/>
      <c r="AP286" s="18"/>
      <c r="AQ286" s="34"/>
      <c r="AR286" s="34"/>
      <c r="AS286" s="34"/>
      <c r="AT286" s="40"/>
      <c r="AU286" s="18"/>
      <c r="AV286" s="18"/>
      <c r="AW286" s="34"/>
      <c r="AX286" s="18"/>
    </row>
    <row r="287" spans="1:50" ht="18.75" customHeight="1" x14ac:dyDescent="0.2">
      <c r="AA287" s="28" t="s">
        <v>288</v>
      </c>
      <c r="AB287" s="29" t="s">
        <v>152</v>
      </c>
      <c r="AC287" s="17"/>
      <c r="AD287" s="18"/>
      <c r="AE287" s="34"/>
      <c r="AF287" s="34"/>
      <c r="AG287" s="34"/>
      <c r="AH287" s="34"/>
      <c r="AI287" s="34"/>
      <c r="AJ287" s="18"/>
      <c r="AK287" s="34"/>
      <c r="AL287" s="18"/>
      <c r="AM287" s="18"/>
      <c r="AN287" s="34"/>
      <c r="AO287" s="18"/>
      <c r="AP287" s="18"/>
      <c r="AQ287" s="34"/>
      <c r="AR287" s="34"/>
      <c r="AS287" s="34"/>
      <c r="AT287" s="40"/>
      <c r="AU287" s="18"/>
      <c r="AV287" s="18"/>
      <c r="AW287" s="34"/>
      <c r="AX287" s="18"/>
    </row>
    <row r="288" spans="1:50" ht="18.75" customHeight="1" x14ac:dyDescent="0.2">
      <c r="A288" s="4" t="s">
        <v>325</v>
      </c>
      <c r="B288" s="4" t="s">
        <v>326</v>
      </c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1" t="s">
        <v>342</v>
      </c>
      <c r="AB288" s="42" t="s">
        <v>328</v>
      </c>
      <c r="AC288" s="43" t="s">
        <v>61</v>
      </c>
      <c r="AD288" s="43">
        <v>229777776</v>
      </c>
      <c r="AE288" s="44">
        <v>0</v>
      </c>
      <c r="AF288" s="44">
        <v>0</v>
      </c>
      <c r="AG288" s="44">
        <v>0</v>
      </c>
      <c r="AH288" s="44">
        <v>0</v>
      </c>
      <c r="AI288" s="44">
        <v>0</v>
      </c>
      <c r="AJ288" s="43">
        <v>229777776</v>
      </c>
      <c r="AK288" s="44">
        <v>0</v>
      </c>
      <c r="AL288" s="43">
        <v>14704764</v>
      </c>
      <c r="AM288" s="43">
        <v>61995721</v>
      </c>
      <c r="AN288" s="44">
        <v>0</v>
      </c>
      <c r="AO288" s="43">
        <v>14704764</v>
      </c>
      <c r="AP288" s="43">
        <v>61995721</v>
      </c>
      <c r="AQ288" s="34">
        <v>0</v>
      </c>
      <c r="AR288" s="133">
        <v>14704764</v>
      </c>
      <c r="AS288" s="110">
        <v>61995721</v>
      </c>
      <c r="AT288" s="39">
        <f t="shared" si="151"/>
        <v>61995721</v>
      </c>
      <c r="AU288" s="18">
        <f>AJ288-AM288</f>
        <v>167782055</v>
      </c>
      <c r="AV288" s="34">
        <f>AM288-AP288</f>
        <v>0</v>
      </c>
      <c r="AW288" s="34">
        <f>AP288-AT288</f>
        <v>0</v>
      </c>
      <c r="AX288" s="123">
        <f>AP288/AJ288</f>
        <v>0.26980729850914736</v>
      </c>
    </row>
    <row r="289" spans="1:50" ht="18.75" customHeight="1" x14ac:dyDescent="0.2">
      <c r="AA289" s="28" t="s">
        <v>288</v>
      </c>
      <c r="AB289" s="29" t="s">
        <v>343</v>
      </c>
      <c r="AC289" s="17"/>
      <c r="AD289" s="18"/>
      <c r="AE289" s="34"/>
      <c r="AF289" s="34"/>
      <c r="AG289" s="34"/>
      <c r="AH289" s="34"/>
      <c r="AI289" s="34"/>
      <c r="AJ289" s="18"/>
      <c r="AK289" s="34"/>
      <c r="AL289" s="18"/>
      <c r="AM289" s="18"/>
      <c r="AN289" s="34"/>
      <c r="AO289" s="18"/>
      <c r="AP289" s="18"/>
      <c r="AQ289" s="34"/>
      <c r="AR289" s="34"/>
      <c r="AS289" s="34"/>
      <c r="AT289" s="40"/>
      <c r="AU289" s="18"/>
      <c r="AV289" s="18"/>
      <c r="AW289" s="34"/>
      <c r="AX289" s="18"/>
    </row>
    <row r="290" spans="1:50" ht="18.75" customHeight="1" x14ac:dyDescent="0.2">
      <c r="A290" s="4" t="s">
        <v>325</v>
      </c>
      <c r="B290" s="4" t="s">
        <v>326</v>
      </c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1" t="s">
        <v>344</v>
      </c>
      <c r="AB290" s="42" t="s">
        <v>328</v>
      </c>
      <c r="AC290" s="43" t="s">
        <v>61</v>
      </c>
      <c r="AD290" s="43">
        <v>10000000</v>
      </c>
      <c r="AE290" s="44">
        <v>0</v>
      </c>
      <c r="AF290" s="44">
        <v>0</v>
      </c>
      <c r="AG290" s="44">
        <v>0</v>
      </c>
      <c r="AH290" s="44">
        <v>0</v>
      </c>
      <c r="AI290" s="44">
        <v>0</v>
      </c>
      <c r="AJ290" s="43">
        <v>10000000</v>
      </c>
      <c r="AK290" s="44">
        <v>0</v>
      </c>
      <c r="AL290" s="44">
        <v>0</v>
      </c>
      <c r="AM290" s="44">
        <v>0</v>
      </c>
      <c r="AN290" s="44">
        <v>0</v>
      </c>
      <c r="AO290" s="44">
        <v>0</v>
      </c>
      <c r="AP290" s="44">
        <v>0</v>
      </c>
      <c r="AQ290" s="34">
        <v>0</v>
      </c>
      <c r="AR290" s="34">
        <v>0</v>
      </c>
      <c r="AS290" s="34">
        <v>0</v>
      </c>
      <c r="AT290" s="40">
        <f t="shared" ref="AT290" si="152">AQ290+AS290</f>
        <v>0</v>
      </c>
      <c r="AU290" s="18">
        <f>AJ290-AM290</f>
        <v>10000000</v>
      </c>
      <c r="AV290" s="34">
        <f>AM290-AP290</f>
        <v>0</v>
      </c>
      <c r="AW290" s="34">
        <f>AP290-AT290</f>
        <v>0</v>
      </c>
      <c r="AX290" s="123">
        <f>AP290/AJ290</f>
        <v>0</v>
      </c>
    </row>
    <row r="291" spans="1:50" ht="18.75" customHeight="1" x14ac:dyDescent="0.2">
      <c r="AA291" s="28" t="s">
        <v>288</v>
      </c>
      <c r="AB291" s="29" t="s">
        <v>162</v>
      </c>
      <c r="AC291" s="17"/>
      <c r="AD291" s="18"/>
      <c r="AE291" s="34"/>
      <c r="AF291" s="34"/>
      <c r="AG291" s="34"/>
      <c r="AH291" s="34"/>
      <c r="AI291" s="34"/>
      <c r="AJ291" s="18"/>
      <c r="AK291" s="34"/>
      <c r="AL291" s="18"/>
      <c r="AM291" s="18"/>
      <c r="AN291" s="34"/>
      <c r="AO291" s="18"/>
      <c r="AP291" s="18"/>
      <c r="AQ291" s="34"/>
      <c r="AR291" s="34"/>
      <c r="AS291" s="34"/>
      <c r="AT291" s="40"/>
      <c r="AU291" s="18"/>
      <c r="AV291" s="18"/>
      <c r="AW291" s="34"/>
      <c r="AX291" s="18"/>
    </row>
    <row r="292" spans="1:50" ht="18.75" customHeight="1" x14ac:dyDescent="0.2">
      <c r="A292" s="4" t="s">
        <v>325</v>
      </c>
      <c r="B292" s="4" t="s">
        <v>326</v>
      </c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1" t="s">
        <v>345</v>
      </c>
      <c r="AB292" s="42" t="s">
        <v>328</v>
      </c>
      <c r="AC292" s="43" t="s">
        <v>61</v>
      </c>
      <c r="AD292" s="43">
        <v>31208419</v>
      </c>
      <c r="AE292" s="44">
        <v>0</v>
      </c>
      <c r="AF292" s="44">
        <v>0</v>
      </c>
      <c r="AG292" s="44">
        <v>0</v>
      </c>
      <c r="AH292" s="44">
        <v>0</v>
      </c>
      <c r="AI292" s="44">
        <v>0</v>
      </c>
      <c r="AJ292" s="43">
        <v>31208419</v>
      </c>
      <c r="AK292" s="44">
        <v>0</v>
      </c>
      <c r="AL292" s="43">
        <v>1287125</v>
      </c>
      <c r="AM292" s="43">
        <v>4792405</v>
      </c>
      <c r="AN292" s="44">
        <v>0</v>
      </c>
      <c r="AO292" s="43">
        <v>1287125</v>
      </c>
      <c r="AP292" s="43">
        <v>4792405</v>
      </c>
      <c r="AQ292" s="34">
        <v>0</v>
      </c>
      <c r="AR292" s="133">
        <v>1287125</v>
      </c>
      <c r="AS292" s="110">
        <v>4792405</v>
      </c>
      <c r="AT292" s="39">
        <f t="shared" ref="AT292" si="153">AQ292+AS292</f>
        <v>4792405</v>
      </c>
      <c r="AU292" s="18">
        <f>AJ292-AM292</f>
        <v>26416014</v>
      </c>
      <c r="AV292" s="34">
        <f>AM292-AP292</f>
        <v>0</v>
      </c>
      <c r="AW292" s="34">
        <f>AP292-AT292</f>
        <v>0</v>
      </c>
      <c r="AX292" s="123">
        <f>AP292/AJ292</f>
        <v>0.15356128742055147</v>
      </c>
    </row>
    <row r="293" spans="1:50" ht="18.75" customHeight="1" x14ac:dyDescent="0.2">
      <c r="AA293" s="28" t="s">
        <v>288</v>
      </c>
      <c r="AB293" s="29" t="s">
        <v>346</v>
      </c>
      <c r="AC293" s="17"/>
      <c r="AD293" s="18"/>
      <c r="AE293" s="34"/>
      <c r="AF293" s="34"/>
      <c r="AG293" s="34"/>
      <c r="AH293" s="34"/>
      <c r="AI293" s="34"/>
      <c r="AJ293" s="18"/>
      <c r="AK293" s="34"/>
      <c r="AL293" s="18"/>
      <c r="AM293" s="18"/>
      <c r="AN293" s="34"/>
      <c r="AO293" s="18"/>
      <c r="AP293" s="18"/>
      <c r="AQ293" s="34"/>
      <c r="AR293" s="133"/>
      <c r="AS293" s="110"/>
      <c r="AT293" s="40"/>
      <c r="AU293" s="18"/>
      <c r="AV293" s="18"/>
      <c r="AW293" s="34"/>
      <c r="AX293" s="18"/>
    </row>
    <row r="294" spans="1:50" ht="18.75" customHeight="1" x14ac:dyDescent="0.2">
      <c r="A294" s="4" t="s">
        <v>325</v>
      </c>
      <c r="B294" s="4" t="s">
        <v>326</v>
      </c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1" t="s">
        <v>347</v>
      </c>
      <c r="AB294" s="42" t="s">
        <v>328</v>
      </c>
      <c r="AC294" s="43" t="s">
        <v>61</v>
      </c>
      <c r="AD294" s="43">
        <v>1108512330</v>
      </c>
      <c r="AE294" s="44">
        <v>0</v>
      </c>
      <c r="AF294" s="44">
        <v>0</v>
      </c>
      <c r="AG294" s="44">
        <v>0</v>
      </c>
      <c r="AH294" s="44">
        <v>0</v>
      </c>
      <c r="AI294" s="44">
        <v>0</v>
      </c>
      <c r="AJ294" s="43">
        <v>1108512330</v>
      </c>
      <c r="AK294" s="44">
        <v>0</v>
      </c>
      <c r="AL294" s="43">
        <v>71481773</v>
      </c>
      <c r="AM294" s="43">
        <v>437890585</v>
      </c>
      <c r="AN294" s="44">
        <v>0</v>
      </c>
      <c r="AO294" s="43">
        <v>71481773</v>
      </c>
      <c r="AP294" s="43">
        <v>437454589</v>
      </c>
      <c r="AQ294" s="34">
        <v>0</v>
      </c>
      <c r="AR294" s="133">
        <v>71481773</v>
      </c>
      <c r="AS294" s="110">
        <v>437454589</v>
      </c>
      <c r="AT294" s="39">
        <f t="shared" ref="AT294" si="154">AQ294+AS294</f>
        <v>437454589</v>
      </c>
      <c r="AU294" s="18">
        <f>AJ294-AM294</f>
        <v>670621745</v>
      </c>
      <c r="AV294" s="110">
        <f>AM294-AP294</f>
        <v>435996</v>
      </c>
      <c r="AW294" s="34">
        <f>AP294-AT294</f>
        <v>0</v>
      </c>
      <c r="AX294" s="123">
        <f>AP294/AJ294</f>
        <v>0.39463213638769357</v>
      </c>
    </row>
    <row r="295" spans="1:50" ht="18.75" customHeight="1" x14ac:dyDescent="0.2">
      <c r="AA295" s="16"/>
      <c r="AB295" s="29" t="s">
        <v>348</v>
      </c>
      <c r="AC295" s="17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34"/>
      <c r="AO295" s="18"/>
      <c r="AP295" s="18"/>
      <c r="AQ295" s="18"/>
      <c r="AR295" s="18"/>
      <c r="AS295" s="18"/>
      <c r="AT295" s="30"/>
      <c r="AU295" s="18"/>
      <c r="AV295" s="18"/>
      <c r="AW295" s="18"/>
      <c r="AX295" s="18"/>
    </row>
    <row r="296" spans="1:50" ht="18.75" customHeight="1" x14ac:dyDescent="0.2">
      <c r="AA296" s="16"/>
      <c r="AB296" s="29" t="s">
        <v>318</v>
      </c>
      <c r="AC296" s="17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34"/>
      <c r="AO296" s="18"/>
      <c r="AP296" s="18"/>
      <c r="AQ296" s="18"/>
      <c r="AR296" s="18"/>
      <c r="AS296" s="18"/>
      <c r="AT296" s="30"/>
      <c r="AU296" s="18"/>
      <c r="AV296" s="18"/>
      <c r="AW296" s="18"/>
      <c r="AX296" s="18"/>
    </row>
    <row r="297" spans="1:50" ht="25.5" x14ac:dyDescent="0.2">
      <c r="AA297" s="16"/>
      <c r="AB297" s="29" t="s">
        <v>319</v>
      </c>
      <c r="AC297" s="17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34"/>
      <c r="AO297" s="18"/>
      <c r="AP297" s="18"/>
      <c r="AQ297" s="18"/>
      <c r="AR297" s="18"/>
      <c r="AS297" s="18"/>
      <c r="AT297" s="30"/>
      <c r="AU297" s="18"/>
      <c r="AV297" s="18"/>
      <c r="AW297" s="18"/>
      <c r="AX297" s="18"/>
    </row>
    <row r="298" spans="1:50" ht="18.75" customHeight="1" x14ac:dyDescent="0.2">
      <c r="AA298" s="16"/>
      <c r="AB298" s="29" t="s">
        <v>320</v>
      </c>
      <c r="AC298" s="17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34"/>
      <c r="AO298" s="18"/>
      <c r="AP298" s="18"/>
      <c r="AQ298" s="18"/>
      <c r="AR298" s="18"/>
      <c r="AS298" s="18"/>
      <c r="AT298" s="30"/>
      <c r="AU298" s="18"/>
      <c r="AV298" s="18"/>
      <c r="AW298" s="18"/>
      <c r="AX298" s="18"/>
    </row>
    <row r="299" spans="1:50" ht="18.75" customHeight="1" x14ac:dyDescent="0.2">
      <c r="AA299" s="16"/>
      <c r="AB299" s="29" t="s">
        <v>46</v>
      </c>
      <c r="AC299" s="17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34"/>
      <c r="AO299" s="18"/>
      <c r="AP299" s="18"/>
      <c r="AQ299" s="18"/>
      <c r="AR299" s="18"/>
      <c r="AS299" s="18"/>
      <c r="AT299" s="30"/>
      <c r="AU299" s="18"/>
      <c r="AV299" s="18"/>
      <c r="AW299" s="18"/>
      <c r="AX299" s="18"/>
    </row>
    <row r="300" spans="1:50" ht="18.75" customHeight="1" x14ac:dyDescent="0.2">
      <c r="AA300" s="16"/>
      <c r="AB300" s="29" t="s">
        <v>48</v>
      </c>
      <c r="AC300" s="17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34"/>
      <c r="AO300" s="18"/>
      <c r="AP300" s="18"/>
      <c r="AQ300" s="18"/>
      <c r="AR300" s="18"/>
      <c r="AS300" s="18"/>
      <c r="AT300" s="30"/>
      <c r="AU300" s="18"/>
      <c r="AV300" s="18"/>
      <c r="AW300" s="18"/>
      <c r="AX300" s="18"/>
    </row>
    <row r="301" spans="1:50" ht="18.75" customHeight="1" x14ac:dyDescent="0.2">
      <c r="AA301" s="16"/>
      <c r="AB301" s="29" t="s">
        <v>52</v>
      </c>
      <c r="AC301" s="17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34"/>
      <c r="AO301" s="18"/>
      <c r="AP301" s="18"/>
      <c r="AQ301" s="18"/>
      <c r="AR301" s="18"/>
      <c r="AS301" s="18"/>
      <c r="AT301" s="30"/>
      <c r="AU301" s="18"/>
      <c r="AV301" s="18"/>
      <c r="AW301" s="18"/>
      <c r="AX301" s="18"/>
    </row>
    <row r="302" spans="1:50" ht="18.75" customHeight="1" x14ac:dyDescent="0.2">
      <c r="AA302" s="28" t="s">
        <v>288</v>
      </c>
      <c r="AB302" s="29" t="s">
        <v>54</v>
      </c>
      <c r="AC302" s="17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34"/>
      <c r="AO302" s="18"/>
      <c r="AP302" s="18"/>
      <c r="AQ302" s="18"/>
      <c r="AR302" s="18"/>
      <c r="AS302" s="18"/>
      <c r="AT302" s="30"/>
      <c r="AU302" s="18"/>
      <c r="AV302" s="18"/>
      <c r="AW302" s="18"/>
      <c r="AX302" s="18"/>
    </row>
    <row r="303" spans="1:50" ht="18.75" customHeight="1" x14ac:dyDescent="0.2">
      <c r="A303" s="4" t="s">
        <v>55</v>
      </c>
      <c r="B303" s="4" t="s">
        <v>56</v>
      </c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1" t="s">
        <v>323</v>
      </c>
      <c r="AB303" s="42" t="s">
        <v>324</v>
      </c>
      <c r="AC303" s="43" t="s">
        <v>61</v>
      </c>
      <c r="AD303" s="43">
        <v>111646949658</v>
      </c>
      <c r="AE303" s="44">
        <v>0</v>
      </c>
      <c r="AF303" s="44">
        <v>0</v>
      </c>
      <c r="AG303" s="44">
        <v>0</v>
      </c>
      <c r="AH303" s="43">
        <v>316940531.69999999</v>
      </c>
      <c r="AI303" s="18">
        <f t="shared" ref="AI303:AI305" si="155">AE303-AF303+AG303-AH303</f>
        <v>-316940531.69999999</v>
      </c>
      <c r="AJ303" s="18">
        <f t="shared" ref="AJ303:AJ305" si="156">AD303+AI303</f>
        <v>111330009126.3</v>
      </c>
      <c r="AK303" s="44">
        <v>0</v>
      </c>
      <c r="AL303" s="43">
        <v>9746664308</v>
      </c>
      <c r="AM303" s="43">
        <v>51149469598</v>
      </c>
      <c r="AN303" s="44">
        <v>0</v>
      </c>
      <c r="AO303" s="43">
        <v>9746664308</v>
      </c>
      <c r="AP303" s="43">
        <v>51149469598</v>
      </c>
      <c r="AQ303" s="43">
        <v>561132</v>
      </c>
      <c r="AR303" s="43">
        <v>9746664308</v>
      </c>
      <c r="AS303" s="43">
        <v>51148908466</v>
      </c>
      <c r="AT303" s="253">
        <f t="shared" ref="AT303:AT305" si="157">AQ303+AS303</f>
        <v>51149469598</v>
      </c>
      <c r="AU303" s="18">
        <f>AJ303-AM303</f>
        <v>60180539528.300003</v>
      </c>
      <c r="AV303" s="133">
        <f>AM303-AP303</f>
        <v>0</v>
      </c>
      <c r="AW303" s="34">
        <f>AP303-AT303</f>
        <v>0</v>
      </c>
      <c r="AX303" s="123">
        <f>AP303/AJ303</f>
        <v>0.45944009166452787</v>
      </c>
    </row>
    <row r="304" spans="1:50" ht="18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173" t="s">
        <v>962</v>
      </c>
      <c r="AB304" s="42" t="s">
        <v>963</v>
      </c>
      <c r="AC304" s="43"/>
      <c r="AD304" s="44">
        <v>0</v>
      </c>
      <c r="AE304" s="44">
        <v>0</v>
      </c>
      <c r="AF304" s="44">
        <v>0</v>
      </c>
      <c r="AG304" s="43">
        <v>280746171.69999999</v>
      </c>
      <c r="AH304" s="44">
        <v>0</v>
      </c>
      <c r="AI304" s="18">
        <f t="shared" si="155"/>
        <v>280746171.69999999</v>
      </c>
      <c r="AJ304" s="18">
        <f t="shared" si="156"/>
        <v>280746171.69999999</v>
      </c>
      <c r="AK304" s="44">
        <v>0</v>
      </c>
      <c r="AL304" s="44">
        <v>0</v>
      </c>
      <c r="AM304" s="44">
        <v>0</v>
      </c>
      <c r="AN304" s="44">
        <v>0</v>
      </c>
      <c r="AO304" s="44">
        <v>0</v>
      </c>
      <c r="AP304" s="44">
        <v>0</v>
      </c>
      <c r="AQ304" s="44">
        <v>0</v>
      </c>
      <c r="AR304" s="44">
        <v>0</v>
      </c>
      <c r="AS304" s="44">
        <v>0</v>
      </c>
      <c r="AT304" s="275">
        <f t="shared" si="157"/>
        <v>0</v>
      </c>
      <c r="AU304" s="18">
        <f>AJ304-AM304</f>
        <v>280746171.69999999</v>
      </c>
      <c r="AV304" s="133">
        <f>AM304-AP304</f>
        <v>0</v>
      </c>
      <c r="AW304" s="34">
        <f>AP304-AT304</f>
        <v>0</v>
      </c>
      <c r="AX304" s="123">
        <f>AP304/AJ304</f>
        <v>0</v>
      </c>
    </row>
    <row r="305" spans="1:50" ht="26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245" t="s">
        <v>1199</v>
      </c>
      <c r="AB305" s="42" t="s">
        <v>1200</v>
      </c>
      <c r="AC305" s="43"/>
      <c r="AD305" s="44">
        <v>0</v>
      </c>
      <c r="AE305" s="43">
        <v>3259928918.5</v>
      </c>
      <c r="AF305" s="44">
        <v>0</v>
      </c>
      <c r="AG305" s="44">
        <v>0</v>
      </c>
      <c r="AH305" s="34">
        <v>0</v>
      </c>
      <c r="AI305" s="18">
        <f t="shared" si="155"/>
        <v>3259928918.5</v>
      </c>
      <c r="AJ305" s="18">
        <f t="shared" si="156"/>
        <v>3259928918.5</v>
      </c>
      <c r="AK305" s="44">
        <v>0</v>
      </c>
      <c r="AL305" s="44">
        <v>0</v>
      </c>
      <c r="AM305" s="44">
        <v>0</v>
      </c>
      <c r="AN305" s="44">
        <v>0</v>
      </c>
      <c r="AO305" s="44">
        <v>0</v>
      </c>
      <c r="AP305" s="44">
        <v>0</v>
      </c>
      <c r="AQ305" s="44">
        <v>0</v>
      </c>
      <c r="AR305" s="44">
        <v>0</v>
      </c>
      <c r="AS305" s="44">
        <v>0</v>
      </c>
      <c r="AT305" s="275">
        <f t="shared" si="157"/>
        <v>0</v>
      </c>
      <c r="AU305" s="18">
        <f>AJ305-AM305</f>
        <v>3259928918.5</v>
      </c>
      <c r="AV305" s="133">
        <f>AM305-AP305</f>
        <v>0</v>
      </c>
      <c r="AW305" s="34">
        <f>AP305-AT305</f>
        <v>0</v>
      </c>
      <c r="AX305" s="123">
        <f>AP305/AJ305</f>
        <v>0</v>
      </c>
    </row>
    <row r="306" spans="1:50" ht="18.75" customHeight="1" x14ac:dyDescent="0.2">
      <c r="AA306" s="28" t="s">
        <v>288</v>
      </c>
      <c r="AB306" s="29" t="s">
        <v>63</v>
      </c>
      <c r="AC306" s="17"/>
      <c r="AD306" s="18"/>
      <c r="AE306" s="34"/>
      <c r="AF306" s="34"/>
      <c r="AG306" s="34"/>
      <c r="AH306" s="34"/>
      <c r="AI306" s="34"/>
      <c r="AJ306" s="18"/>
      <c r="AK306" s="34"/>
      <c r="AL306" s="18"/>
      <c r="AM306" s="18"/>
      <c r="AN306" s="34"/>
      <c r="AO306" s="18"/>
      <c r="AP306" s="18"/>
      <c r="AQ306" s="18"/>
      <c r="AR306" s="34"/>
      <c r="AS306" s="18"/>
      <c r="AT306" s="30"/>
      <c r="AU306" s="18"/>
      <c r="AV306" s="34"/>
      <c r="AW306" s="34"/>
      <c r="AX306" s="18"/>
    </row>
    <row r="307" spans="1:50" ht="18.75" customHeight="1" x14ac:dyDescent="0.2">
      <c r="A307" s="4" t="s">
        <v>325</v>
      </c>
      <c r="B307" s="4" t="s">
        <v>326</v>
      </c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1" t="s">
        <v>349</v>
      </c>
      <c r="AB307" s="42" t="s">
        <v>328</v>
      </c>
      <c r="AC307" s="43" t="s">
        <v>61</v>
      </c>
      <c r="AD307" s="43">
        <v>1252925726</v>
      </c>
      <c r="AE307" s="44">
        <v>0</v>
      </c>
      <c r="AF307" s="44">
        <v>0</v>
      </c>
      <c r="AG307" s="44">
        <v>0</v>
      </c>
      <c r="AH307" s="44">
        <v>0</v>
      </c>
      <c r="AI307" s="34">
        <f>AE307-AF307+AG307-AH307</f>
        <v>0</v>
      </c>
      <c r="AJ307" s="18">
        <f>AD307+AI307</f>
        <v>1252925726</v>
      </c>
      <c r="AK307" s="44">
        <v>0</v>
      </c>
      <c r="AL307" s="43">
        <v>108653851</v>
      </c>
      <c r="AM307" s="43">
        <v>549879435</v>
      </c>
      <c r="AN307" s="44">
        <v>0</v>
      </c>
      <c r="AO307" s="43">
        <v>108653851</v>
      </c>
      <c r="AP307" s="43">
        <v>549879435</v>
      </c>
      <c r="AQ307" s="44">
        <v>0</v>
      </c>
      <c r="AR307" s="44">
        <v>108653851</v>
      </c>
      <c r="AS307" s="43">
        <v>549879435</v>
      </c>
      <c r="AT307" s="39">
        <f t="shared" ref="AT307" si="158">AQ307+AS307</f>
        <v>549879435</v>
      </c>
      <c r="AU307" s="18">
        <f>AJ307-AM307</f>
        <v>703046291</v>
      </c>
      <c r="AV307" s="34">
        <f>AM307-AP307</f>
        <v>0</v>
      </c>
      <c r="AW307" s="34">
        <f>AP307-AT307</f>
        <v>0</v>
      </c>
      <c r="AX307" s="123">
        <f>AP307/AJ307</f>
        <v>0.43887632250596792</v>
      </c>
    </row>
    <row r="308" spans="1:50" ht="18.75" customHeight="1" x14ac:dyDescent="0.2">
      <c r="AA308" s="28" t="s">
        <v>288</v>
      </c>
      <c r="AB308" s="29" t="s">
        <v>67</v>
      </c>
      <c r="AC308" s="17"/>
      <c r="AD308" s="18"/>
      <c r="AE308" s="34"/>
      <c r="AF308" s="34"/>
      <c r="AG308" s="34"/>
      <c r="AH308" s="34"/>
      <c r="AI308" s="34"/>
      <c r="AJ308" s="18"/>
      <c r="AK308" s="34"/>
      <c r="AL308" s="18"/>
      <c r="AM308" s="18"/>
      <c r="AN308" s="34"/>
      <c r="AO308" s="18"/>
      <c r="AP308" s="18"/>
      <c r="AQ308" s="34"/>
      <c r="AR308" s="34"/>
      <c r="AS308" s="18"/>
      <c r="AT308" s="39"/>
      <c r="AU308" s="18"/>
      <c r="AV308" s="34"/>
      <c r="AW308" s="34"/>
      <c r="AX308" s="18"/>
    </row>
    <row r="309" spans="1:50" ht="18.75" customHeight="1" x14ac:dyDescent="0.2">
      <c r="A309" s="4" t="s">
        <v>325</v>
      </c>
      <c r="B309" s="4" t="s">
        <v>326</v>
      </c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1" t="s">
        <v>350</v>
      </c>
      <c r="AB309" s="42" t="s">
        <v>328</v>
      </c>
      <c r="AC309" s="43" t="s">
        <v>61</v>
      </c>
      <c r="AD309" s="43">
        <v>29846525</v>
      </c>
      <c r="AE309" s="44">
        <v>0</v>
      </c>
      <c r="AF309" s="44">
        <v>0</v>
      </c>
      <c r="AG309" s="44">
        <v>0</v>
      </c>
      <c r="AH309" s="44">
        <v>0</v>
      </c>
      <c r="AI309" s="34">
        <f>AE309-AF309+AG309-AH309</f>
        <v>0</v>
      </c>
      <c r="AJ309" s="18">
        <f>AD309+AI309</f>
        <v>29846525</v>
      </c>
      <c r="AK309" s="44">
        <v>0</v>
      </c>
      <c r="AL309" s="43">
        <v>2478675</v>
      </c>
      <c r="AM309" s="43">
        <v>13636006</v>
      </c>
      <c r="AN309" s="44">
        <v>0</v>
      </c>
      <c r="AO309" s="43">
        <v>2478675</v>
      </c>
      <c r="AP309" s="43">
        <v>13636006</v>
      </c>
      <c r="AQ309" s="44">
        <v>0</v>
      </c>
      <c r="AR309" s="44">
        <v>2478675</v>
      </c>
      <c r="AS309" s="43">
        <v>13636006</v>
      </c>
      <c r="AT309" s="39">
        <f t="shared" ref="AT309" si="159">AQ309+AS309</f>
        <v>13636006</v>
      </c>
      <c r="AU309" s="18">
        <f>AJ309-AM309</f>
        <v>16210519</v>
      </c>
      <c r="AV309" s="34">
        <f>AM309-AP309</f>
        <v>0</v>
      </c>
      <c r="AW309" s="34">
        <f>AP309-AT309</f>
        <v>0</v>
      </c>
      <c r="AX309" s="123">
        <f>AP309/AJ309</f>
        <v>0.45687080824317067</v>
      </c>
    </row>
    <row r="310" spans="1:50" ht="18.75" customHeight="1" x14ac:dyDescent="0.2">
      <c r="AA310" s="28" t="s">
        <v>288</v>
      </c>
      <c r="AB310" s="29" t="s">
        <v>69</v>
      </c>
      <c r="AC310" s="17"/>
      <c r="AD310" s="18"/>
      <c r="AE310" s="34"/>
      <c r="AF310" s="34"/>
      <c r="AG310" s="34"/>
      <c r="AH310" s="34"/>
      <c r="AI310" s="34"/>
      <c r="AJ310" s="18"/>
      <c r="AK310" s="34"/>
      <c r="AL310" s="18"/>
      <c r="AM310" s="18"/>
      <c r="AN310" s="34"/>
      <c r="AO310" s="18"/>
      <c r="AP310" s="18"/>
      <c r="AQ310" s="34"/>
      <c r="AR310" s="18"/>
      <c r="AS310" s="18"/>
      <c r="AT310" s="39"/>
      <c r="AU310" s="18"/>
      <c r="AV310" s="18"/>
      <c r="AW310" s="34"/>
      <c r="AX310" s="18"/>
    </row>
    <row r="311" spans="1:50" ht="18.75" customHeight="1" x14ac:dyDescent="0.2">
      <c r="A311" s="4" t="s">
        <v>325</v>
      </c>
      <c r="B311" s="4" t="s">
        <v>326</v>
      </c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1" t="s">
        <v>351</v>
      </c>
      <c r="AB311" s="42" t="s">
        <v>328</v>
      </c>
      <c r="AC311" s="43" t="s">
        <v>61</v>
      </c>
      <c r="AD311" s="43">
        <v>8723052</v>
      </c>
      <c r="AE311" s="44">
        <v>0</v>
      </c>
      <c r="AF311" s="44">
        <v>0</v>
      </c>
      <c r="AG311" s="43">
        <v>36194360</v>
      </c>
      <c r="AH311" s="44">
        <v>0</v>
      </c>
      <c r="AI311" s="18">
        <f>AE311-AF311+AG311-AH311</f>
        <v>36194360</v>
      </c>
      <c r="AJ311" s="18">
        <f>AD311+AI311</f>
        <v>44917412</v>
      </c>
      <c r="AK311" s="44">
        <v>0</v>
      </c>
      <c r="AL311" s="43">
        <v>3885571</v>
      </c>
      <c r="AM311" s="43">
        <v>21358210</v>
      </c>
      <c r="AN311" s="44">
        <v>0</v>
      </c>
      <c r="AO311" s="43">
        <v>3885571</v>
      </c>
      <c r="AP311" s="43">
        <v>21358210</v>
      </c>
      <c r="AQ311" s="44">
        <v>0</v>
      </c>
      <c r="AR311" s="43">
        <v>3885571</v>
      </c>
      <c r="AS311" s="43">
        <v>21358210</v>
      </c>
      <c r="AT311" s="39">
        <f t="shared" ref="AT311" si="160">AQ311+AS311</f>
        <v>21358210</v>
      </c>
      <c r="AU311" s="18">
        <f>AJ311-AM311</f>
        <v>23559202</v>
      </c>
      <c r="AV311" s="34">
        <f>AM311-AP311</f>
        <v>0</v>
      </c>
      <c r="AW311" s="34">
        <f>AP311-AT311</f>
        <v>0</v>
      </c>
      <c r="AX311" s="123">
        <f>AP311/AJ311</f>
        <v>0.4754995679626422</v>
      </c>
    </row>
    <row r="312" spans="1:50" ht="18.75" customHeight="1" x14ac:dyDescent="0.2">
      <c r="AA312" s="28" t="s">
        <v>288</v>
      </c>
      <c r="AB312" s="29" t="s">
        <v>71</v>
      </c>
      <c r="AC312" s="17"/>
      <c r="AD312" s="18"/>
      <c r="AE312" s="34"/>
      <c r="AF312" s="34"/>
      <c r="AG312" s="34"/>
      <c r="AH312" s="34"/>
      <c r="AI312" s="34"/>
      <c r="AJ312" s="18"/>
      <c r="AK312" s="34"/>
      <c r="AL312" s="18"/>
      <c r="AM312" s="18"/>
      <c r="AN312" s="34"/>
      <c r="AO312" s="18"/>
      <c r="AP312" s="18"/>
      <c r="AQ312" s="34"/>
      <c r="AR312" s="18"/>
      <c r="AS312" s="18"/>
      <c r="AT312" s="39"/>
      <c r="AU312" s="18"/>
      <c r="AV312" s="18"/>
      <c r="AW312" s="18"/>
      <c r="AX312" s="18"/>
    </row>
    <row r="313" spans="1:50" ht="18.75" customHeight="1" x14ac:dyDescent="0.2">
      <c r="A313" s="4" t="s">
        <v>325</v>
      </c>
      <c r="B313" s="4" t="s">
        <v>326</v>
      </c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1" t="s">
        <v>327</v>
      </c>
      <c r="AB313" s="42" t="s">
        <v>328</v>
      </c>
      <c r="AC313" s="43" t="s">
        <v>61</v>
      </c>
      <c r="AD313" s="43">
        <v>5466979223</v>
      </c>
      <c r="AE313" s="44">
        <v>0</v>
      </c>
      <c r="AF313" s="44">
        <v>0</v>
      </c>
      <c r="AG313" s="44">
        <v>0</v>
      </c>
      <c r="AH313" s="44">
        <v>0</v>
      </c>
      <c r="AI313" s="34">
        <f>AE313-AF313+AG313-AH313</f>
        <v>0</v>
      </c>
      <c r="AJ313" s="18">
        <f>AD313+AI313</f>
        <v>5466979223</v>
      </c>
      <c r="AK313" s="44">
        <v>0</v>
      </c>
      <c r="AL313" s="43">
        <v>4803083420</v>
      </c>
      <c r="AM313" s="43">
        <v>4916200003</v>
      </c>
      <c r="AN313" s="44">
        <v>0</v>
      </c>
      <c r="AO313" s="43">
        <v>4803083420</v>
      </c>
      <c r="AP313" s="43">
        <v>4916200003</v>
      </c>
      <c r="AQ313" s="44">
        <v>0</v>
      </c>
      <c r="AR313" s="44">
        <v>11369467</v>
      </c>
      <c r="AS313" s="43">
        <v>124486050</v>
      </c>
      <c r="AT313" s="39">
        <f t="shared" ref="AT313" si="161">AQ313+AS313</f>
        <v>124486050</v>
      </c>
      <c r="AU313" s="18">
        <f>AJ313-AM313</f>
        <v>550779220</v>
      </c>
      <c r="AV313" s="34">
        <f>AM313-AP313</f>
        <v>0</v>
      </c>
      <c r="AW313" s="18">
        <f>AP313-AT313</f>
        <v>4791713953</v>
      </c>
      <c r="AX313" s="123">
        <f>AP313/AJ313</f>
        <v>0.89925346383559868</v>
      </c>
    </row>
    <row r="314" spans="1:50" ht="18.75" customHeight="1" x14ac:dyDescent="0.2">
      <c r="AA314" s="28" t="s">
        <v>288</v>
      </c>
      <c r="AB314" s="29" t="s">
        <v>76</v>
      </c>
      <c r="AC314" s="17"/>
      <c r="AD314" s="18"/>
      <c r="AE314" s="34"/>
      <c r="AF314" s="34"/>
      <c r="AG314" s="34"/>
      <c r="AH314" s="34"/>
      <c r="AI314" s="34"/>
      <c r="AJ314" s="18"/>
      <c r="AK314" s="34"/>
      <c r="AL314" s="18"/>
      <c r="AM314" s="18"/>
      <c r="AN314" s="34"/>
      <c r="AO314" s="18"/>
      <c r="AP314" s="18"/>
      <c r="AQ314" s="18"/>
      <c r="AR314" s="34"/>
      <c r="AS314" s="18"/>
      <c r="AT314" s="39"/>
      <c r="AU314" s="18"/>
      <c r="AV314" s="18"/>
      <c r="AW314" s="34"/>
      <c r="AX314" s="18"/>
    </row>
    <row r="315" spans="1:50" ht="18.75" customHeight="1" x14ac:dyDescent="0.2">
      <c r="A315" s="4" t="s">
        <v>325</v>
      </c>
      <c r="B315" s="4" t="s">
        <v>326</v>
      </c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1" t="s">
        <v>329</v>
      </c>
      <c r="AB315" s="42" t="s">
        <v>328</v>
      </c>
      <c r="AC315" s="43" t="s">
        <v>61</v>
      </c>
      <c r="AD315" s="43">
        <v>3964855703</v>
      </c>
      <c r="AE315" s="44">
        <v>0</v>
      </c>
      <c r="AF315" s="44">
        <v>0</v>
      </c>
      <c r="AG315" s="44">
        <v>0</v>
      </c>
      <c r="AH315" s="44">
        <v>0</v>
      </c>
      <c r="AI315" s="34">
        <f>AE315-AF315+AG315-AH315</f>
        <v>0</v>
      </c>
      <c r="AJ315" s="18">
        <f>AD315+AI315</f>
        <v>3964855703</v>
      </c>
      <c r="AK315" s="44">
        <v>0</v>
      </c>
      <c r="AL315" s="43">
        <v>186190048</v>
      </c>
      <c r="AM315" s="43">
        <v>1903522690</v>
      </c>
      <c r="AN315" s="44">
        <v>0</v>
      </c>
      <c r="AO315" s="43">
        <v>186190048</v>
      </c>
      <c r="AP315" s="43">
        <v>1903522690</v>
      </c>
      <c r="AQ315" s="44">
        <v>0</v>
      </c>
      <c r="AR315" s="44">
        <v>186190048</v>
      </c>
      <c r="AS315" s="43">
        <v>1903522690</v>
      </c>
      <c r="AT315" s="39">
        <f t="shared" ref="AT315" si="162">AQ315+AS315</f>
        <v>1903522690</v>
      </c>
      <c r="AU315" s="18">
        <f>AJ315-AM315</f>
        <v>2061333013</v>
      </c>
      <c r="AV315" s="34">
        <f>AM315-AP315</f>
        <v>0</v>
      </c>
      <c r="AW315" s="34">
        <f>AP315-AT315</f>
        <v>0</v>
      </c>
      <c r="AX315" s="123">
        <f>AP315/AJ315</f>
        <v>0.48009885670232677</v>
      </c>
    </row>
    <row r="316" spans="1:50" ht="18.75" customHeight="1" x14ac:dyDescent="0.2">
      <c r="AA316" s="16"/>
      <c r="AB316" s="29" t="s">
        <v>81</v>
      </c>
      <c r="AC316" s="17"/>
      <c r="AD316" s="18"/>
      <c r="AE316" s="34"/>
      <c r="AF316" s="34"/>
      <c r="AG316" s="34"/>
      <c r="AH316" s="34"/>
      <c r="AI316" s="34"/>
      <c r="AJ316" s="18"/>
      <c r="AK316" s="34"/>
      <c r="AL316" s="18"/>
      <c r="AM316" s="18"/>
      <c r="AN316" s="34"/>
      <c r="AO316" s="18"/>
      <c r="AP316" s="18"/>
      <c r="AQ316" s="34"/>
      <c r="AR316" s="34"/>
      <c r="AS316" s="18"/>
      <c r="AT316" s="30"/>
      <c r="AU316" s="18"/>
      <c r="AV316" s="18"/>
      <c r="AW316" s="34"/>
      <c r="AX316" s="18"/>
    </row>
    <row r="317" spans="1:50" ht="18.75" customHeight="1" x14ac:dyDescent="0.2">
      <c r="AA317" s="28" t="s">
        <v>288</v>
      </c>
      <c r="AB317" s="29" t="s">
        <v>83</v>
      </c>
      <c r="AC317" s="17"/>
      <c r="AD317" s="18"/>
      <c r="AE317" s="34"/>
      <c r="AF317" s="34"/>
      <c r="AG317" s="34"/>
      <c r="AH317" s="34"/>
      <c r="AI317" s="34"/>
      <c r="AJ317" s="18"/>
      <c r="AK317" s="34"/>
      <c r="AL317" s="18"/>
      <c r="AM317" s="18"/>
      <c r="AN317" s="34"/>
      <c r="AO317" s="18"/>
      <c r="AP317" s="18"/>
      <c r="AQ317" s="34"/>
      <c r="AR317" s="34"/>
      <c r="AS317" s="18"/>
      <c r="AT317" s="30"/>
      <c r="AU317" s="18"/>
      <c r="AV317" s="18"/>
      <c r="AW317" s="34"/>
      <c r="AX317" s="18"/>
    </row>
    <row r="318" spans="1:50" ht="18.75" customHeight="1" x14ac:dyDescent="0.2">
      <c r="A318" s="4" t="s">
        <v>325</v>
      </c>
      <c r="B318" s="4" t="s">
        <v>326</v>
      </c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1" t="s">
        <v>330</v>
      </c>
      <c r="AB318" s="42" t="s">
        <v>328</v>
      </c>
      <c r="AC318" s="43" t="s">
        <v>61</v>
      </c>
      <c r="AD318" s="43">
        <v>11363953497</v>
      </c>
      <c r="AE318" s="44">
        <v>0</v>
      </c>
      <c r="AF318" s="44">
        <v>0</v>
      </c>
      <c r="AG318" s="44">
        <v>0</v>
      </c>
      <c r="AH318" s="44">
        <v>0</v>
      </c>
      <c r="AI318" s="34">
        <f>AE318-AF318+AG318-AH318</f>
        <v>0</v>
      </c>
      <c r="AJ318" s="18">
        <f>AD318+AI318</f>
        <v>11363953497</v>
      </c>
      <c r="AK318" s="44">
        <v>0</v>
      </c>
      <c r="AL318" s="43">
        <v>12235993</v>
      </c>
      <c r="AM318" s="43">
        <v>75772453</v>
      </c>
      <c r="AN318" s="44">
        <v>0</v>
      </c>
      <c r="AO318" s="43">
        <v>12235993</v>
      </c>
      <c r="AP318" s="43">
        <v>75772453</v>
      </c>
      <c r="AQ318" s="44">
        <v>0</v>
      </c>
      <c r="AR318" s="44">
        <v>12235993</v>
      </c>
      <c r="AS318" s="43">
        <v>75772453</v>
      </c>
      <c r="AT318" s="39">
        <f t="shared" ref="AT318" si="163">AQ318+AS318</f>
        <v>75772453</v>
      </c>
      <c r="AU318" s="18">
        <f>AJ318-AM318</f>
        <v>11288181044</v>
      </c>
      <c r="AV318" s="34">
        <f>AM318-AP318</f>
        <v>0</v>
      </c>
      <c r="AW318" s="34">
        <f>AP318-AT318</f>
        <v>0</v>
      </c>
      <c r="AX318" s="123">
        <f>AP318/AJ318</f>
        <v>6.6677897810830857E-3</v>
      </c>
    </row>
    <row r="319" spans="1:50" ht="18.75" customHeight="1" x14ac:dyDescent="0.2">
      <c r="AA319" s="28" t="s">
        <v>288</v>
      </c>
      <c r="AB319" s="29" t="s">
        <v>88</v>
      </c>
      <c r="AC319" s="17"/>
      <c r="AD319" s="18"/>
      <c r="AE319" s="34"/>
      <c r="AF319" s="34"/>
      <c r="AG319" s="34"/>
      <c r="AH319" s="34"/>
      <c r="AI319" s="34"/>
      <c r="AJ319" s="18"/>
      <c r="AK319" s="34"/>
      <c r="AL319" s="18"/>
      <c r="AM319" s="18"/>
      <c r="AN319" s="34"/>
      <c r="AO319" s="18"/>
      <c r="AP319" s="18"/>
      <c r="AQ319" s="34"/>
      <c r="AR319" s="18"/>
      <c r="AS319" s="18"/>
      <c r="AT319" s="30"/>
      <c r="AU319" s="18"/>
      <c r="AV319" s="18"/>
      <c r="AW319" s="18"/>
      <c r="AX319" s="18"/>
    </row>
    <row r="320" spans="1:50" ht="18.75" customHeight="1" x14ac:dyDescent="0.2">
      <c r="A320" s="4" t="s">
        <v>325</v>
      </c>
      <c r="B320" s="4" t="s">
        <v>326</v>
      </c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1" t="s">
        <v>331</v>
      </c>
      <c r="AB320" s="42" t="s">
        <v>328</v>
      </c>
      <c r="AC320" s="43" t="s">
        <v>61</v>
      </c>
      <c r="AD320" s="43">
        <v>5983405720</v>
      </c>
      <c r="AE320" s="44">
        <v>0</v>
      </c>
      <c r="AF320" s="44">
        <v>0</v>
      </c>
      <c r="AG320" s="44">
        <v>0</v>
      </c>
      <c r="AH320" s="44">
        <v>0</v>
      </c>
      <c r="AI320" s="34">
        <f>AE320-AF320+AG320-AH320</f>
        <v>0</v>
      </c>
      <c r="AJ320" s="18">
        <f>AD320+AI320</f>
        <v>5983405720</v>
      </c>
      <c r="AK320" s="44">
        <v>0</v>
      </c>
      <c r="AL320" s="44">
        <v>0</v>
      </c>
      <c r="AM320" s="43">
        <v>3961950</v>
      </c>
      <c r="AN320" s="44">
        <v>0</v>
      </c>
      <c r="AO320" s="44">
        <v>0</v>
      </c>
      <c r="AP320" s="43">
        <v>3961950</v>
      </c>
      <c r="AQ320" s="44">
        <v>0</v>
      </c>
      <c r="AR320" s="44">
        <v>0</v>
      </c>
      <c r="AS320" s="43">
        <v>3961950</v>
      </c>
      <c r="AT320" s="39">
        <f t="shared" ref="AT320" si="164">AQ320+AS320</f>
        <v>3961950</v>
      </c>
      <c r="AU320" s="18">
        <f>AJ320-AM320</f>
        <v>5979443770</v>
      </c>
      <c r="AV320" s="34">
        <f>AM320-AP320</f>
        <v>0</v>
      </c>
      <c r="AW320" s="34">
        <f>AP320-AT320</f>
        <v>0</v>
      </c>
      <c r="AX320" s="123">
        <f>AP320/AJ320</f>
        <v>6.6215633460336369E-4</v>
      </c>
    </row>
    <row r="321" spans="1:50" ht="18.75" customHeight="1" x14ac:dyDescent="0.2">
      <c r="AA321" s="16"/>
      <c r="AB321" s="29" t="s">
        <v>103</v>
      </c>
      <c r="AC321" s="17"/>
      <c r="AD321" s="18"/>
      <c r="AE321" s="34"/>
      <c r="AF321" s="34"/>
      <c r="AG321" s="34"/>
      <c r="AH321" s="34"/>
      <c r="AI321" s="34"/>
      <c r="AJ321" s="18"/>
      <c r="AK321" s="34"/>
      <c r="AL321" s="18"/>
      <c r="AM321" s="18"/>
      <c r="AN321" s="34"/>
      <c r="AO321" s="18"/>
      <c r="AP321" s="18"/>
      <c r="AQ321" s="18"/>
      <c r="AR321" s="18"/>
      <c r="AS321" s="18"/>
      <c r="AT321" s="30"/>
      <c r="AU321" s="18"/>
      <c r="AV321" s="18"/>
      <c r="AW321" s="34"/>
      <c r="AX321" s="18"/>
    </row>
    <row r="322" spans="1:50" ht="18.75" customHeight="1" x14ac:dyDescent="0.2">
      <c r="AA322" s="28" t="s">
        <v>288</v>
      </c>
      <c r="AB322" s="29" t="s">
        <v>352</v>
      </c>
      <c r="AC322" s="17"/>
      <c r="AD322" s="18"/>
      <c r="AE322" s="34"/>
      <c r="AF322" s="34"/>
      <c r="AG322" s="34"/>
      <c r="AH322" s="34"/>
      <c r="AI322" s="34"/>
      <c r="AJ322" s="18"/>
      <c r="AK322" s="34"/>
      <c r="AL322" s="18"/>
      <c r="AM322" s="18"/>
      <c r="AN322" s="34"/>
      <c r="AO322" s="18"/>
      <c r="AP322" s="18"/>
      <c r="AQ322" s="18"/>
      <c r="AR322" s="18"/>
      <c r="AS322" s="18"/>
      <c r="AT322" s="30"/>
      <c r="AU322" s="18"/>
      <c r="AV322" s="18"/>
      <c r="AW322" s="34"/>
      <c r="AX322" s="18"/>
    </row>
    <row r="323" spans="1:50" ht="18.75" customHeight="1" x14ac:dyDescent="0.2">
      <c r="A323" s="4" t="s">
        <v>325</v>
      </c>
      <c r="B323" s="4" t="s">
        <v>326</v>
      </c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1" t="s">
        <v>332</v>
      </c>
      <c r="AB323" s="42" t="s">
        <v>328</v>
      </c>
      <c r="AC323" s="43" t="s">
        <v>61</v>
      </c>
      <c r="AD323" s="43">
        <v>13134738179</v>
      </c>
      <c r="AE323" s="44">
        <v>0</v>
      </c>
      <c r="AF323" s="44">
        <v>0</v>
      </c>
      <c r="AG323" s="44">
        <v>0</v>
      </c>
      <c r="AH323" s="44">
        <v>0</v>
      </c>
      <c r="AI323" s="44">
        <v>0</v>
      </c>
      <c r="AJ323" s="43">
        <v>13134738179</v>
      </c>
      <c r="AK323" s="44">
        <v>0</v>
      </c>
      <c r="AL323" s="43">
        <v>797354893</v>
      </c>
      <c r="AM323" s="43">
        <v>4886812216.96</v>
      </c>
      <c r="AN323" s="44">
        <v>0</v>
      </c>
      <c r="AO323" s="43">
        <v>797354893</v>
      </c>
      <c r="AP323" s="43">
        <v>4886812216.96</v>
      </c>
      <c r="AQ323" s="44">
        <v>0</v>
      </c>
      <c r="AR323" s="43">
        <v>797354893</v>
      </c>
      <c r="AS323" s="43">
        <v>4886812216.96</v>
      </c>
      <c r="AT323" s="39">
        <f t="shared" ref="AT323" si="165">AQ323+AS323</f>
        <v>4886812216.96</v>
      </c>
      <c r="AU323" s="18">
        <f>AJ323-AM323</f>
        <v>8247925962.04</v>
      </c>
      <c r="AV323" s="34">
        <f>AM323-AP323</f>
        <v>0</v>
      </c>
      <c r="AW323" s="34">
        <f>AP323-AT323</f>
        <v>0</v>
      </c>
      <c r="AX323" s="123">
        <f>AP323/AJ323</f>
        <v>0.37205250309238008</v>
      </c>
    </row>
    <row r="324" spans="1:50" ht="18.75" customHeight="1" x14ac:dyDescent="0.2">
      <c r="AA324" s="28" t="s">
        <v>288</v>
      </c>
      <c r="AB324" s="29" t="s">
        <v>353</v>
      </c>
      <c r="AC324" s="17"/>
      <c r="AD324" s="18"/>
      <c r="AE324" s="34"/>
      <c r="AF324" s="34"/>
      <c r="AG324" s="34"/>
      <c r="AH324" s="34"/>
      <c r="AI324" s="34"/>
      <c r="AJ324" s="18"/>
      <c r="AK324" s="34"/>
      <c r="AL324" s="18"/>
      <c r="AM324" s="18"/>
      <c r="AN324" s="34"/>
      <c r="AO324" s="18"/>
      <c r="AP324" s="18"/>
      <c r="AQ324" s="34"/>
      <c r="AR324" s="18"/>
      <c r="AS324" s="18"/>
      <c r="AT324" s="30"/>
      <c r="AU324" s="18"/>
      <c r="AV324" s="18"/>
      <c r="AW324" s="34"/>
      <c r="AX324" s="18"/>
    </row>
    <row r="325" spans="1:50" ht="18.75" customHeight="1" x14ac:dyDescent="0.2">
      <c r="A325" s="4" t="s">
        <v>325</v>
      </c>
      <c r="B325" s="4" t="s">
        <v>326</v>
      </c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1" t="s">
        <v>334</v>
      </c>
      <c r="AB325" s="42" t="s">
        <v>328</v>
      </c>
      <c r="AC325" s="43" t="s">
        <v>61</v>
      </c>
      <c r="AD325" s="43">
        <v>9662336131</v>
      </c>
      <c r="AE325" s="44">
        <v>0</v>
      </c>
      <c r="AF325" s="44">
        <v>0</v>
      </c>
      <c r="AG325" s="44">
        <v>0</v>
      </c>
      <c r="AH325" s="44">
        <v>0</v>
      </c>
      <c r="AI325" s="44">
        <v>0</v>
      </c>
      <c r="AJ325" s="43">
        <v>9662336131</v>
      </c>
      <c r="AK325" s="44">
        <v>0</v>
      </c>
      <c r="AL325" s="43">
        <v>847185610</v>
      </c>
      <c r="AM325" s="43">
        <v>4990538699.04</v>
      </c>
      <c r="AN325" s="44">
        <v>0</v>
      </c>
      <c r="AO325" s="43">
        <v>847185610</v>
      </c>
      <c r="AP325" s="43">
        <v>4990538699.04</v>
      </c>
      <c r="AQ325" s="44">
        <v>0</v>
      </c>
      <c r="AR325" s="43">
        <v>847185610</v>
      </c>
      <c r="AS325" s="43">
        <v>4990538699.04</v>
      </c>
      <c r="AT325" s="39">
        <f t="shared" ref="AT325" si="166">AQ325+AS325</f>
        <v>4990538699.04</v>
      </c>
      <c r="AU325" s="18">
        <f>AJ325-AM325</f>
        <v>4671797431.96</v>
      </c>
      <c r="AV325" s="34">
        <f>AM325-AP325</f>
        <v>0</v>
      </c>
      <c r="AW325" s="34">
        <f>AP325-AT325</f>
        <v>0</v>
      </c>
      <c r="AX325" s="123">
        <f>AP325/AJ325</f>
        <v>0.51649400635408305</v>
      </c>
    </row>
    <row r="326" spans="1:50" ht="18.75" customHeight="1" x14ac:dyDescent="0.2">
      <c r="AA326" s="28" t="s">
        <v>288</v>
      </c>
      <c r="AB326" s="29" t="s">
        <v>354</v>
      </c>
      <c r="AC326" s="17"/>
      <c r="AD326" s="18"/>
      <c r="AE326" s="34"/>
      <c r="AF326" s="34"/>
      <c r="AG326" s="34"/>
      <c r="AH326" s="34"/>
      <c r="AI326" s="34"/>
      <c r="AJ326" s="18"/>
      <c r="AK326" s="34"/>
      <c r="AL326" s="18"/>
      <c r="AM326" s="18"/>
      <c r="AN326" s="34"/>
      <c r="AO326" s="18"/>
      <c r="AP326" s="18"/>
      <c r="AQ326" s="34"/>
      <c r="AR326" s="18"/>
      <c r="AS326" s="18"/>
      <c r="AT326" s="30"/>
      <c r="AU326" s="18"/>
      <c r="AV326" s="18"/>
      <c r="AW326" s="18"/>
      <c r="AX326" s="18"/>
    </row>
    <row r="327" spans="1:50" ht="18.75" customHeight="1" x14ac:dyDescent="0.2">
      <c r="A327" s="4" t="s">
        <v>325</v>
      </c>
      <c r="B327" s="4" t="s">
        <v>326</v>
      </c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1" t="s">
        <v>335</v>
      </c>
      <c r="AB327" s="42" t="s">
        <v>328</v>
      </c>
      <c r="AC327" s="43" t="s">
        <v>61</v>
      </c>
      <c r="AD327" s="43">
        <v>8037478566</v>
      </c>
      <c r="AE327" s="44">
        <v>0</v>
      </c>
      <c r="AF327" s="44">
        <v>0</v>
      </c>
      <c r="AG327" s="44">
        <v>0</v>
      </c>
      <c r="AH327" s="44">
        <v>0</v>
      </c>
      <c r="AI327" s="44">
        <v>0</v>
      </c>
      <c r="AJ327" s="43">
        <v>8037478566</v>
      </c>
      <c r="AK327" s="44">
        <v>0</v>
      </c>
      <c r="AL327" s="43">
        <v>1232420847</v>
      </c>
      <c r="AM327" s="43">
        <v>5406259333</v>
      </c>
      <c r="AN327" s="44">
        <v>0</v>
      </c>
      <c r="AO327" s="43">
        <v>1232420847</v>
      </c>
      <c r="AP327" s="43">
        <v>5406259333</v>
      </c>
      <c r="AQ327" s="44">
        <v>0</v>
      </c>
      <c r="AR327" s="43">
        <v>1232420847</v>
      </c>
      <c r="AS327" s="43">
        <v>5406259333</v>
      </c>
      <c r="AT327" s="39">
        <f t="shared" ref="AT327" si="167">AQ327+AS327</f>
        <v>5406259333</v>
      </c>
      <c r="AU327" s="18">
        <f>AJ327-AM327</f>
        <v>2631219233</v>
      </c>
      <c r="AV327" s="34">
        <f>AM327-AP327</f>
        <v>0</v>
      </c>
      <c r="AW327" s="34">
        <f>AP327-AT327</f>
        <v>0</v>
      </c>
      <c r="AX327" s="123">
        <f>AP327/AJ327</f>
        <v>0.67263125974226079</v>
      </c>
    </row>
    <row r="328" spans="1:50" ht="18.75" customHeight="1" x14ac:dyDescent="0.2">
      <c r="AA328" s="28" t="s">
        <v>288</v>
      </c>
      <c r="AB328" s="29" t="s">
        <v>119</v>
      </c>
      <c r="AC328" s="17"/>
      <c r="AD328" s="18"/>
      <c r="AE328" s="34"/>
      <c r="AF328" s="34"/>
      <c r="AG328" s="34"/>
      <c r="AH328" s="34"/>
      <c r="AI328" s="34"/>
      <c r="AJ328" s="18"/>
      <c r="AK328" s="34"/>
      <c r="AL328" s="18"/>
      <c r="AM328" s="18"/>
      <c r="AN328" s="34"/>
      <c r="AO328" s="18"/>
      <c r="AP328" s="18"/>
      <c r="AQ328" s="110"/>
      <c r="AR328" s="110"/>
      <c r="AS328" s="110"/>
      <c r="AT328" s="30"/>
      <c r="AU328" s="18"/>
      <c r="AV328" s="18"/>
      <c r="AW328" s="133"/>
      <c r="AX328" s="18"/>
    </row>
    <row r="329" spans="1:50" ht="18.75" customHeight="1" x14ac:dyDescent="0.2">
      <c r="A329" s="4" t="s">
        <v>325</v>
      </c>
      <c r="B329" s="4" t="s">
        <v>326</v>
      </c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1" t="s">
        <v>336</v>
      </c>
      <c r="AB329" s="42" t="s">
        <v>328</v>
      </c>
      <c r="AC329" s="43" t="s">
        <v>61</v>
      </c>
      <c r="AD329" s="43">
        <v>5595577790</v>
      </c>
      <c r="AE329" s="44">
        <v>0</v>
      </c>
      <c r="AF329" s="44">
        <v>0</v>
      </c>
      <c r="AG329" s="44">
        <v>0</v>
      </c>
      <c r="AH329" s="44">
        <v>0</v>
      </c>
      <c r="AI329" s="44">
        <v>0</v>
      </c>
      <c r="AJ329" s="43">
        <v>5595577790</v>
      </c>
      <c r="AK329" s="44">
        <v>0</v>
      </c>
      <c r="AL329" s="43">
        <v>585962500</v>
      </c>
      <c r="AM329" s="43">
        <v>2567163200</v>
      </c>
      <c r="AN329" s="44">
        <v>0</v>
      </c>
      <c r="AO329" s="43">
        <v>585962500</v>
      </c>
      <c r="AP329" s="43">
        <v>2567163200</v>
      </c>
      <c r="AQ329" s="114">
        <v>0</v>
      </c>
      <c r="AR329" s="114">
        <v>983611000</v>
      </c>
      <c r="AS329" s="114">
        <v>2567163200</v>
      </c>
      <c r="AT329" s="39">
        <f t="shared" ref="AT329" si="168">AQ329+AS329</f>
        <v>2567163200</v>
      </c>
      <c r="AU329" s="18">
        <f>AJ329-AM329</f>
        <v>3028414590</v>
      </c>
      <c r="AV329" s="34">
        <f>AM329-AP329</f>
        <v>0</v>
      </c>
      <c r="AW329" s="133">
        <f>AP329-AT329</f>
        <v>0</v>
      </c>
      <c r="AX329" s="123">
        <f>AP329/AJ329</f>
        <v>0.45878429294430378</v>
      </c>
    </row>
    <row r="330" spans="1:50" ht="18.75" customHeight="1" x14ac:dyDescent="0.2">
      <c r="AA330" s="28"/>
      <c r="AB330" s="29" t="s">
        <v>124</v>
      </c>
      <c r="AC330" s="17"/>
      <c r="AD330" s="18"/>
      <c r="AE330" s="34"/>
      <c r="AF330" s="34"/>
      <c r="AG330" s="34"/>
      <c r="AH330" s="34"/>
      <c r="AI330" s="34"/>
      <c r="AJ330" s="18"/>
      <c r="AK330" s="34"/>
      <c r="AL330" s="18"/>
      <c r="AM330" s="18"/>
      <c r="AN330" s="34"/>
      <c r="AO330" s="18"/>
      <c r="AP330" s="18"/>
      <c r="AQ330" s="110"/>
      <c r="AR330" s="110"/>
      <c r="AS330" s="110"/>
      <c r="AT330" s="31"/>
      <c r="AU330" s="18"/>
      <c r="AV330" s="18"/>
      <c r="AW330" s="18"/>
      <c r="AX330" s="18"/>
    </row>
    <row r="331" spans="1:50" ht="18.75" customHeight="1" x14ac:dyDescent="0.2">
      <c r="AA331" s="28" t="s">
        <v>288</v>
      </c>
      <c r="AB331" s="29" t="s">
        <v>129</v>
      </c>
      <c r="AC331" s="17"/>
      <c r="AD331" s="18"/>
      <c r="AE331" s="34"/>
      <c r="AF331" s="34"/>
      <c r="AG331" s="34"/>
      <c r="AH331" s="34"/>
      <c r="AI331" s="34"/>
      <c r="AJ331" s="18"/>
      <c r="AK331" s="34"/>
      <c r="AL331" s="18"/>
      <c r="AM331" s="18"/>
      <c r="AN331" s="34"/>
      <c r="AO331" s="18"/>
      <c r="AP331" s="18"/>
      <c r="AQ331" s="110"/>
      <c r="AR331" s="110"/>
      <c r="AS331" s="110"/>
      <c r="AT331" s="31"/>
      <c r="AU331" s="18"/>
      <c r="AV331" s="18"/>
      <c r="AW331" s="18"/>
      <c r="AX331" s="18"/>
    </row>
    <row r="332" spans="1:50" ht="18.75" customHeight="1" x14ac:dyDescent="0.2">
      <c r="A332" s="4" t="s">
        <v>325</v>
      </c>
      <c r="B332" s="4" t="s">
        <v>326</v>
      </c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1" t="s">
        <v>338</v>
      </c>
      <c r="AB332" s="42" t="s">
        <v>328</v>
      </c>
      <c r="AC332" s="43" t="s">
        <v>61</v>
      </c>
      <c r="AD332" s="43">
        <v>4197626620</v>
      </c>
      <c r="AE332" s="44">
        <v>0</v>
      </c>
      <c r="AF332" s="44">
        <v>0</v>
      </c>
      <c r="AG332" s="44">
        <v>0</v>
      </c>
      <c r="AH332" s="44">
        <v>0</v>
      </c>
      <c r="AI332" s="44">
        <v>0</v>
      </c>
      <c r="AJ332" s="43">
        <v>4197626620</v>
      </c>
      <c r="AK332" s="44">
        <v>0</v>
      </c>
      <c r="AL332" s="43">
        <v>439444700</v>
      </c>
      <c r="AM332" s="43">
        <v>1925593800</v>
      </c>
      <c r="AN332" s="44">
        <v>0</v>
      </c>
      <c r="AO332" s="43">
        <v>439444700</v>
      </c>
      <c r="AP332" s="43">
        <v>1925593800</v>
      </c>
      <c r="AQ332" s="115">
        <v>0</v>
      </c>
      <c r="AR332" s="114">
        <v>737739100</v>
      </c>
      <c r="AS332" s="114">
        <v>1925593800</v>
      </c>
      <c r="AT332" s="39">
        <f t="shared" ref="AT332" si="169">AQ332+AS332</f>
        <v>1925593800</v>
      </c>
      <c r="AU332" s="18">
        <f>AJ332-AM332</f>
        <v>2272032820</v>
      </c>
      <c r="AV332" s="34">
        <f>AM332-AP332</f>
        <v>0</v>
      </c>
      <c r="AW332" s="34">
        <f>AP332-AT332</f>
        <v>0</v>
      </c>
      <c r="AX332" s="123">
        <f>AP332/AJ332</f>
        <v>0.45873394046657728</v>
      </c>
    </row>
    <row r="333" spans="1:50" ht="18.75" customHeight="1" x14ac:dyDescent="0.2">
      <c r="AA333" s="28" t="s">
        <v>288</v>
      </c>
      <c r="AB333" s="29" t="s">
        <v>133</v>
      </c>
      <c r="AC333" s="17"/>
      <c r="AD333" s="18"/>
      <c r="AE333" s="34"/>
      <c r="AF333" s="34"/>
      <c r="AG333" s="34"/>
      <c r="AH333" s="34"/>
      <c r="AI333" s="34"/>
      <c r="AJ333" s="18"/>
      <c r="AK333" s="34"/>
      <c r="AL333" s="18"/>
      <c r="AM333" s="18"/>
      <c r="AN333" s="34"/>
      <c r="AO333" s="18"/>
      <c r="AP333" s="18"/>
      <c r="AQ333" s="133"/>
      <c r="AR333" s="110"/>
      <c r="AS333" s="110"/>
      <c r="AT333" s="31"/>
      <c r="AU333" s="18"/>
      <c r="AV333" s="18"/>
      <c r="AW333" s="34"/>
      <c r="AX333" s="18"/>
    </row>
    <row r="334" spans="1:50" ht="18.75" customHeight="1" x14ac:dyDescent="0.2">
      <c r="A334" s="4" t="s">
        <v>325</v>
      </c>
      <c r="B334" s="4" t="s">
        <v>326</v>
      </c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1" t="s">
        <v>339</v>
      </c>
      <c r="AB334" s="42" t="s">
        <v>328</v>
      </c>
      <c r="AC334" s="43" t="s">
        <v>61</v>
      </c>
      <c r="AD334" s="43">
        <v>701459880</v>
      </c>
      <c r="AE334" s="44">
        <v>0</v>
      </c>
      <c r="AF334" s="44">
        <v>0</v>
      </c>
      <c r="AG334" s="44">
        <v>0</v>
      </c>
      <c r="AH334" s="44">
        <v>0</v>
      </c>
      <c r="AI334" s="44">
        <v>0</v>
      </c>
      <c r="AJ334" s="43">
        <v>701459880</v>
      </c>
      <c r="AK334" s="44">
        <v>0</v>
      </c>
      <c r="AL334" s="43">
        <v>73339400</v>
      </c>
      <c r="AM334" s="43">
        <v>321780100</v>
      </c>
      <c r="AN334" s="44">
        <v>0</v>
      </c>
      <c r="AO334" s="43">
        <v>73339400</v>
      </c>
      <c r="AP334" s="43">
        <v>321780100</v>
      </c>
      <c r="AQ334" s="115">
        <v>0</v>
      </c>
      <c r="AR334" s="114">
        <v>123185500</v>
      </c>
      <c r="AS334" s="114">
        <v>321780100</v>
      </c>
      <c r="AT334" s="39">
        <f t="shared" ref="AT334" si="170">AQ334+AS334</f>
        <v>321780100</v>
      </c>
      <c r="AU334" s="18">
        <f>AJ334-AM334</f>
        <v>379679780</v>
      </c>
      <c r="AV334" s="34">
        <f>AM334-AP334</f>
        <v>0</v>
      </c>
      <c r="AW334" s="34">
        <f>AP334-AT334</f>
        <v>0</v>
      </c>
      <c r="AX334" s="123">
        <f>AP334/AJ334</f>
        <v>0.45872915782439333</v>
      </c>
    </row>
    <row r="335" spans="1:50" ht="18.75" customHeight="1" x14ac:dyDescent="0.2">
      <c r="AA335" s="28" t="s">
        <v>288</v>
      </c>
      <c r="AB335" s="29" t="s">
        <v>138</v>
      </c>
      <c r="AC335" s="17"/>
      <c r="AD335" s="18"/>
      <c r="AE335" s="34"/>
      <c r="AF335" s="34"/>
      <c r="AG335" s="34"/>
      <c r="AH335" s="34"/>
      <c r="AI335" s="34"/>
      <c r="AJ335" s="18"/>
      <c r="AK335" s="34"/>
      <c r="AL335" s="18"/>
      <c r="AM335" s="18"/>
      <c r="AN335" s="34"/>
      <c r="AO335" s="18"/>
      <c r="AP335" s="18"/>
      <c r="AQ335" s="133"/>
      <c r="AR335" s="110"/>
      <c r="AS335" s="110"/>
      <c r="AT335" s="31"/>
      <c r="AU335" s="18"/>
      <c r="AV335" s="18"/>
      <c r="AW335" s="34"/>
      <c r="AX335" s="18"/>
    </row>
    <row r="336" spans="1:50" ht="18.75" customHeight="1" x14ac:dyDescent="0.2">
      <c r="A336" s="4" t="s">
        <v>325</v>
      </c>
      <c r="B336" s="4" t="s">
        <v>326</v>
      </c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1" t="s">
        <v>340</v>
      </c>
      <c r="AB336" s="42" t="s">
        <v>328</v>
      </c>
      <c r="AC336" s="43" t="s">
        <v>61</v>
      </c>
      <c r="AD336" s="43">
        <v>701459880</v>
      </c>
      <c r="AE336" s="44">
        <v>0</v>
      </c>
      <c r="AF336" s="44">
        <v>0</v>
      </c>
      <c r="AG336" s="44">
        <v>0</v>
      </c>
      <c r="AH336" s="44">
        <v>0</v>
      </c>
      <c r="AI336" s="44">
        <v>0</v>
      </c>
      <c r="AJ336" s="43">
        <v>701459880</v>
      </c>
      <c r="AK336" s="44">
        <v>0</v>
      </c>
      <c r="AL336" s="43">
        <v>73339400</v>
      </c>
      <c r="AM336" s="43">
        <v>321780100</v>
      </c>
      <c r="AN336" s="44">
        <v>0</v>
      </c>
      <c r="AO336" s="43">
        <v>73339400</v>
      </c>
      <c r="AP336" s="43">
        <v>321780100</v>
      </c>
      <c r="AQ336" s="115">
        <v>0</v>
      </c>
      <c r="AR336" s="114">
        <v>123185500</v>
      </c>
      <c r="AS336" s="114">
        <v>321780100</v>
      </c>
      <c r="AT336" s="39">
        <f t="shared" ref="AT336:AT373" si="171">AQ336+AS336</f>
        <v>321780100</v>
      </c>
      <c r="AU336" s="18">
        <f>AJ336-AM336</f>
        <v>379679780</v>
      </c>
      <c r="AV336" s="34">
        <f>AM336-AP336</f>
        <v>0</v>
      </c>
      <c r="AW336" s="34">
        <f>AP336-AT336</f>
        <v>0</v>
      </c>
      <c r="AX336" s="123">
        <f>AP336/AJ336</f>
        <v>0.45872915782439333</v>
      </c>
    </row>
    <row r="337" spans="1:50" ht="25.5" x14ac:dyDescent="0.2">
      <c r="AA337" s="28" t="s">
        <v>288</v>
      </c>
      <c r="AB337" s="29" t="s">
        <v>145</v>
      </c>
      <c r="AC337" s="17"/>
      <c r="AD337" s="18"/>
      <c r="AE337" s="34"/>
      <c r="AF337" s="34"/>
      <c r="AG337" s="34"/>
      <c r="AH337" s="34"/>
      <c r="AI337" s="34"/>
      <c r="AJ337" s="18"/>
      <c r="AK337" s="34"/>
      <c r="AL337" s="18"/>
      <c r="AM337" s="18"/>
      <c r="AN337" s="34"/>
      <c r="AO337" s="18"/>
      <c r="AP337" s="18"/>
      <c r="AQ337" s="133"/>
      <c r="AR337" s="110"/>
      <c r="AS337" s="110"/>
      <c r="AT337" s="31"/>
      <c r="AU337" s="18"/>
      <c r="AV337" s="18"/>
      <c r="AW337" s="34"/>
      <c r="AX337" s="18"/>
    </row>
    <row r="338" spans="1:50" ht="18.75" customHeight="1" x14ac:dyDescent="0.2">
      <c r="A338" s="4" t="s">
        <v>325</v>
      </c>
      <c r="B338" s="4" t="s">
        <v>326</v>
      </c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1" t="s">
        <v>341</v>
      </c>
      <c r="AB338" s="42" t="s">
        <v>328</v>
      </c>
      <c r="AC338" s="43" t="s">
        <v>61</v>
      </c>
      <c r="AD338" s="43">
        <v>1400409285</v>
      </c>
      <c r="AE338" s="44">
        <v>0</v>
      </c>
      <c r="AF338" s="44">
        <v>0</v>
      </c>
      <c r="AG338" s="44">
        <v>0</v>
      </c>
      <c r="AH338" s="44">
        <v>0</v>
      </c>
      <c r="AI338" s="44">
        <v>0</v>
      </c>
      <c r="AJ338" s="43">
        <v>1400409285</v>
      </c>
      <c r="AK338" s="44">
        <v>0</v>
      </c>
      <c r="AL338" s="43">
        <v>146585100</v>
      </c>
      <c r="AM338" s="43">
        <v>642449300</v>
      </c>
      <c r="AN338" s="44">
        <v>0</v>
      </c>
      <c r="AO338" s="43">
        <v>146585100</v>
      </c>
      <c r="AP338" s="43">
        <v>642449300</v>
      </c>
      <c r="AQ338" s="115">
        <v>0</v>
      </c>
      <c r="AR338" s="114">
        <v>246089100</v>
      </c>
      <c r="AS338" s="114">
        <v>642449300</v>
      </c>
      <c r="AT338" s="39">
        <f t="shared" si="171"/>
        <v>642449300</v>
      </c>
      <c r="AU338" s="18">
        <f>AJ338-AM338</f>
        <v>757959985</v>
      </c>
      <c r="AV338" s="34">
        <f>AM338-AP338</f>
        <v>0</v>
      </c>
      <c r="AW338" s="34">
        <f>AP338-AT338</f>
        <v>0</v>
      </c>
      <c r="AX338" s="123">
        <f>AP338/AJ338</f>
        <v>0.45875824080957878</v>
      </c>
    </row>
    <row r="339" spans="1:50" ht="28.5" customHeight="1" x14ac:dyDescent="0.2">
      <c r="AA339" s="16"/>
      <c r="AB339" s="29" t="s">
        <v>149</v>
      </c>
      <c r="AC339" s="17"/>
      <c r="AD339" s="18"/>
      <c r="AE339" s="34"/>
      <c r="AF339" s="34"/>
      <c r="AG339" s="34"/>
      <c r="AH339" s="34"/>
      <c r="AI339" s="34"/>
      <c r="AJ339" s="18"/>
      <c r="AK339" s="34"/>
      <c r="AL339" s="18"/>
      <c r="AM339" s="18"/>
      <c r="AN339" s="34"/>
      <c r="AO339" s="18"/>
      <c r="AP339" s="18"/>
      <c r="AQ339" s="34"/>
      <c r="AR339" s="34"/>
      <c r="AS339" s="34"/>
      <c r="AT339" s="31"/>
      <c r="AU339" s="18"/>
      <c r="AV339" s="18"/>
      <c r="AW339" s="18"/>
      <c r="AX339" s="18"/>
    </row>
    <row r="340" spans="1:50" ht="18.75" customHeight="1" x14ac:dyDescent="0.2">
      <c r="AA340" s="16"/>
      <c r="AB340" s="29" t="s">
        <v>81</v>
      </c>
      <c r="AC340" s="17"/>
      <c r="AD340" s="18"/>
      <c r="AE340" s="34"/>
      <c r="AF340" s="34"/>
      <c r="AG340" s="34"/>
      <c r="AH340" s="34"/>
      <c r="AI340" s="34"/>
      <c r="AJ340" s="18"/>
      <c r="AK340" s="34"/>
      <c r="AL340" s="18"/>
      <c r="AM340" s="18"/>
      <c r="AN340" s="34"/>
      <c r="AO340" s="18"/>
      <c r="AP340" s="18"/>
      <c r="AQ340" s="34"/>
      <c r="AR340" s="34"/>
      <c r="AS340" s="34"/>
      <c r="AT340" s="31"/>
      <c r="AU340" s="18"/>
      <c r="AV340" s="18"/>
      <c r="AW340" s="18"/>
      <c r="AX340" s="18"/>
    </row>
    <row r="341" spans="1:50" ht="18.75" customHeight="1" x14ac:dyDescent="0.2">
      <c r="AA341" s="28" t="s">
        <v>288</v>
      </c>
      <c r="AB341" s="29" t="s">
        <v>152</v>
      </c>
      <c r="AC341" s="17"/>
      <c r="AD341" s="18"/>
      <c r="AE341" s="34"/>
      <c r="AF341" s="34"/>
      <c r="AG341" s="34"/>
      <c r="AH341" s="34"/>
      <c r="AI341" s="34"/>
      <c r="AJ341" s="18"/>
      <c r="AK341" s="34"/>
      <c r="AL341" s="18"/>
      <c r="AM341" s="18"/>
      <c r="AN341" s="34"/>
      <c r="AO341" s="18"/>
      <c r="AP341" s="18"/>
      <c r="AQ341" s="34"/>
      <c r="AR341" s="34"/>
      <c r="AS341" s="34"/>
      <c r="AT341" s="31"/>
      <c r="AU341" s="18"/>
      <c r="AV341" s="18"/>
      <c r="AW341" s="18"/>
      <c r="AX341" s="18"/>
    </row>
    <row r="342" spans="1:50" ht="18.75" customHeight="1" x14ac:dyDescent="0.2">
      <c r="A342" s="4" t="s">
        <v>325</v>
      </c>
      <c r="B342" s="4" t="s">
        <v>326</v>
      </c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1" t="s">
        <v>342</v>
      </c>
      <c r="AB342" s="42" t="s">
        <v>328</v>
      </c>
      <c r="AC342" s="43" t="s">
        <v>61</v>
      </c>
      <c r="AD342" s="43">
        <v>10068147601</v>
      </c>
      <c r="AE342" s="44">
        <v>0</v>
      </c>
      <c r="AF342" s="44">
        <v>0</v>
      </c>
      <c r="AG342" s="44">
        <v>0</v>
      </c>
      <c r="AH342" s="44">
        <v>0</v>
      </c>
      <c r="AI342" s="44">
        <v>0</v>
      </c>
      <c r="AJ342" s="43">
        <v>10068147601</v>
      </c>
      <c r="AK342" s="44">
        <v>0</v>
      </c>
      <c r="AL342" s="43">
        <v>12674058</v>
      </c>
      <c r="AM342" s="43">
        <v>3425157726</v>
      </c>
      <c r="AN342" s="44">
        <v>0</v>
      </c>
      <c r="AO342" s="43">
        <v>12674058</v>
      </c>
      <c r="AP342" s="43">
        <v>3425157726</v>
      </c>
      <c r="AQ342" s="44">
        <v>0</v>
      </c>
      <c r="AR342" s="114">
        <v>12674058</v>
      </c>
      <c r="AS342" s="114">
        <v>3425157726</v>
      </c>
      <c r="AT342" s="39">
        <f t="shared" ref="AT342" si="172">AQ342+AS342</f>
        <v>3425157726</v>
      </c>
      <c r="AU342" s="18">
        <f>AJ342-AM342</f>
        <v>6642989875</v>
      </c>
      <c r="AV342" s="34">
        <f>AM342-AP342</f>
        <v>0</v>
      </c>
      <c r="AW342" s="34">
        <f>AP342-AT342</f>
        <v>0</v>
      </c>
      <c r="AX342" s="123">
        <f>AP342/AJ342</f>
        <v>0.34019740887189642</v>
      </c>
    </row>
    <row r="343" spans="1:50" ht="18.75" customHeight="1" x14ac:dyDescent="0.2">
      <c r="AA343" s="28" t="s">
        <v>288</v>
      </c>
      <c r="AB343" s="29" t="s">
        <v>343</v>
      </c>
      <c r="AC343" s="17"/>
      <c r="AD343" s="18"/>
      <c r="AE343" s="34"/>
      <c r="AF343" s="34"/>
      <c r="AG343" s="34"/>
      <c r="AH343" s="34"/>
      <c r="AI343" s="34"/>
      <c r="AJ343" s="18"/>
      <c r="AK343" s="34"/>
      <c r="AL343" s="18"/>
      <c r="AM343" s="18"/>
      <c r="AN343" s="34"/>
      <c r="AO343" s="18"/>
      <c r="AP343" s="18"/>
      <c r="AQ343" s="34"/>
      <c r="AR343" s="34"/>
      <c r="AS343" s="34"/>
      <c r="AT343" s="31"/>
      <c r="AU343" s="18"/>
      <c r="AV343" s="18"/>
      <c r="AW343" s="34"/>
      <c r="AX343" s="18"/>
    </row>
    <row r="344" spans="1:50" ht="18.75" customHeight="1" x14ac:dyDescent="0.2">
      <c r="A344" s="4" t="s">
        <v>325</v>
      </c>
      <c r="B344" s="4" t="s">
        <v>326</v>
      </c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1" t="s">
        <v>344</v>
      </c>
      <c r="AB344" s="42" t="s">
        <v>328</v>
      </c>
      <c r="AC344" s="43" t="s">
        <v>61</v>
      </c>
      <c r="AD344" s="43">
        <v>10000000</v>
      </c>
      <c r="AE344" s="44">
        <v>0</v>
      </c>
      <c r="AF344" s="44">
        <v>0</v>
      </c>
      <c r="AG344" s="44">
        <v>0</v>
      </c>
      <c r="AH344" s="44">
        <v>0</v>
      </c>
      <c r="AI344" s="44">
        <v>0</v>
      </c>
      <c r="AJ344" s="43">
        <v>10000000</v>
      </c>
      <c r="AK344" s="44">
        <v>0</v>
      </c>
      <c r="AL344" s="44">
        <v>0</v>
      </c>
      <c r="AM344" s="44">
        <v>0</v>
      </c>
      <c r="AN344" s="44">
        <v>0</v>
      </c>
      <c r="AO344" s="44">
        <v>0</v>
      </c>
      <c r="AP344" s="44">
        <v>0</v>
      </c>
      <c r="AQ344" s="44">
        <v>0</v>
      </c>
      <c r="AR344" s="44">
        <v>0</v>
      </c>
      <c r="AS344" s="44">
        <v>0</v>
      </c>
      <c r="AT344" s="40">
        <f t="shared" ref="AT344" si="173">AQ344+AS344</f>
        <v>0</v>
      </c>
      <c r="AU344" s="18">
        <f>AJ344-AM344</f>
        <v>10000000</v>
      </c>
      <c r="AV344" s="34">
        <f>AM344-AP344</f>
        <v>0</v>
      </c>
      <c r="AW344" s="34">
        <f>AP344-AT344</f>
        <v>0</v>
      </c>
      <c r="AX344" s="123">
        <f>AP344/AJ344</f>
        <v>0</v>
      </c>
    </row>
    <row r="345" spans="1:50" ht="18.75" customHeight="1" x14ac:dyDescent="0.2">
      <c r="AA345" s="16"/>
      <c r="AB345" s="29" t="s">
        <v>355</v>
      </c>
      <c r="AC345" s="17"/>
      <c r="AD345" s="18"/>
      <c r="AE345" s="34"/>
      <c r="AF345" s="34"/>
      <c r="AG345" s="34"/>
      <c r="AH345" s="34"/>
      <c r="AI345" s="34"/>
      <c r="AJ345" s="18"/>
      <c r="AK345" s="18"/>
      <c r="AL345" s="34"/>
      <c r="AM345" s="18"/>
      <c r="AN345" s="18"/>
      <c r="AO345" s="18"/>
      <c r="AP345" s="18"/>
      <c r="AQ345" s="18"/>
      <c r="AR345" s="18"/>
      <c r="AS345" s="18"/>
      <c r="AT345" s="30"/>
      <c r="AU345" s="18"/>
      <c r="AV345" s="18"/>
      <c r="AW345" s="18"/>
      <c r="AX345" s="18"/>
    </row>
    <row r="346" spans="1:50" ht="18.75" customHeight="1" x14ac:dyDescent="0.2">
      <c r="AA346" s="16"/>
      <c r="AB346" s="29" t="s">
        <v>320</v>
      </c>
      <c r="AC346" s="17"/>
      <c r="AD346" s="18"/>
      <c r="AE346" s="34"/>
      <c r="AF346" s="34"/>
      <c r="AG346" s="34"/>
      <c r="AH346" s="34"/>
      <c r="AI346" s="34"/>
      <c r="AJ346" s="18"/>
      <c r="AK346" s="18"/>
      <c r="AL346" s="34"/>
      <c r="AM346" s="18"/>
      <c r="AN346" s="18"/>
      <c r="AO346" s="18"/>
      <c r="AP346" s="18"/>
      <c r="AQ346" s="18"/>
      <c r="AR346" s="18"/>
      <c r="AS346" s="18"/>
      <c r="AT346" s="30"/>
      <c r="AU346" s="18"/>
      <c r="AV346" s="18"/>
      <c r="AW346" s="18"/>
      <c r="AX346" s="18"/>
    </row>
    <row r="347" spans="1:50" ht="18.75" customHeight="1" x14ac:dyDescent="0.2">
      <c r="AA347" s="16"/>
      <c r="AB347" s="29" t="s">
        <v>46</v>
      </c>
      <c r="AC347" s="17"/>
      <c r="AD347" s="18"/>
      <c r="AE347" s="34"/>
      <c r="AF347" s="34"/>
      <c r="AG347" s="34"/>
      <c r="AH347" s="34"/>
      <c r="AI347" s="34"/>
      <c r="AJ347" s="18"/>
      <c r="AK347" s="18"/>
      <c r="AL347" s="34"/>
      <c r="AM347" s="18"/>
      <c r="AN347" s="18"/>
      <c r="AO347" s="18"/>
      <c r="AP347" s="18"/>
      <c r="AQ347" s="18"/>
      <c r="AR347" s="18"/>
      <c r="AS347" s="18"/>
      <c r="AT347" s="30"/>
      <c r="AU347" s="18"/>
      <c r="AV347" s="18"/>
      <c r="AW347" s="18"/>
      <c r="AX347" s="18"/>
    </row>
    <row r="348" spans="1:50" ht="18.75" customHeight="1" x14ac:dyDescent="0.2">
      <c r="AA348" s="16"/>
      <c r="AB348" s="29" t="s">
        <v>48</v>
      </c>
      <c r="AC348" s="17"/>
      <c r="AD348" s="18"/>
      <c r="AE348" s="34"/>
      <c r="AF348" s="34"/>
      <c r="AG348" s="34"/>
      <c r="AH348" s="34"/>
      <c r="AI348" s="34"/>
      <c r="AJ348" s="18"/>
      <c r="AK348" s="18"/>
      <c r="AL348" s="34"/>
      <c r="AM348" s="18"/>
      <c r="AN348" s="18"/>
      <c r="AO348" s="18"/>
      <c r="AP348" s="18"/>
      <c r="AQ348" s="18"/>
      <c r="AR348" s="18"/>
      <c r="AS348" s="18"/>
      <c r="AT348" s="30"/>
      <c r="AU348" s="18"/>
      <c r="AV348" s="18"/>
      <c r="AW348" s="18"/>
      <c r="AX348" s="18"/>
    </row>
    <row r="349" spans="1:50" ht="18.75" customHeight="1" x14ac:dyDescent="0.2">
      <c r="AA349" s="16"/>
      <c r="AB349" s="29" t="s">
        <v>52</v>
      </c>
      <c r="AC349" s="17"/>
      <c r="AD349" s="18"/>
      <c r="AE349" s="34"/>
      <c r="AF349" s="34"/>
      <c r="AG349" s="34"/>
      <c r="AH349" s="34"/>
      <c r="AI349" s="34"/>
      <c r="AJ349" s="18"/>
      <c r="AK349" s="18"/>
      <c r="AL349" s="34"/>
      <c r="AM349" s="18"/>
      <c r="AN349" s="18"/>
      <c r="AO349" s="18"/>
      <c r="AP349" s="18"/>
      <c r="AQ349" s="18"/>
      <c r="AR349" s="18"/>
      <c r="AS349" s="18"/>
      <c r="AT349" s="30"/>
      <c r="AU349" s="18"/>
      <c r="AV349" s="18"/>
      <c r="AW349" s="18"/>
      <c r="AX349" s="18"/>
    </row>
    <row r="350" spans="1:50" ht="18.75" customHeight="1" x14ac:dyDescent="0.2">
      <c r="AA350" s="28" t="s">
        <v>288</v>
      </c>
      <c r="AB350" s="29" t="s">
        <v>54</v>
      </c>
      <c r="AC350" s="17"/>
      <c r="AD350" s="18"/>
      <c r="AE350" s="34"/>
      <c r="AF350" s="34"/>
      <c r="AG350" s="34"/>
      <c r="AH350" s="34"/>
      <c r="AI350" s="34"/>
      <c r="AJ350" s="18"/>
      <c r="AK350" s="18"/>
      <c r="AL350" s="34"/>
      <c r="AM350" s="18"/>
      <c r="AN350" s="18"/>
      <c r="AO350" s="18"/>
      <c r="AP350" s="18"/>
      <c r="AQ350" s="18"/>
      <c r="AR350" s="18"/>
      <c r="AS350" s="18"/>
      <c r="AT350" s="30"/>
      <c r="AU350" s="18"/>
      <c r="AV350" s="18"/>
      <c r="AW350" s="18"/>
      <c r="AX350" s="18"/>
    </row>
    <row r="351" spans="1:50" ht="18.75" customHeight="1" x14ac:dyDescent="0.2">
      <c r="A351" s="4" t="s">
        <v>55</v>
      </c>
      <c r="B351" s="4" t="s">
        <v>56</v>
      </c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1" t="s">
        <v>323</v>
      </c>
      <c r="AB351" s="42" t="s">
        <v>324</v>
      </c>
      <c r="AC351" s="43" t="s">
        <v>61</v>
      </c>
      <c r="AD351" s="43">
        <v>10521612007</v>
      </c>
      <c r="AE351" s="44">
        <v>0</v>
      </c>
      <c r="AF351" s="44">
        <v>0</v>
      </c>
      <c r="AG351" s="44">
        <v>0</v>
      </c>
      <c r="AH351" s="137">
        <v>0</v>
      </c>
      <c r="AI351" s="44">
        <v>0</v>
      </c>
      <c r="AJ351" s="43">
        <v>10521612007</v>
      </c>
      <c r="AK351" s="44">
        <v>0</v>
      </c>
      <c r="AL351" s="44">
        <v>0</v>
      </c>
      <c r="AM351" s="43">
        <v>4048976958</v>
      </c>
      <c r="AN351" s="44">
        <v>0</v>
      </c>
      <c r="AO351" s="44">
        <v>0</v>
      </c>
      <c r="AP351" s="43">
        <v>4048976958</v>
      </c>
      <c r="AQ351" s="44">
        <v>0</v>
      </c>
      <c r="AR351" s="44">
        <v>0</v>
      </c>
      <c r="AS351" s="43">
        <v>4048976958</v>
      </c>
      <c r="AT351" s="39">
        <f t="shared" ref="AT351" si="174">AQ351+AS351</f>
        <v>4048976958</v>
      </c>
      <c r="AU351" s="18">
        <f>AJ351-AM351</f>
        <v>6472635049</v>
      </c>
      <c r="AV351" s="34">
        <f>AM351-AP351</f>
        <v>0</v>
      </c>
      <c r="AW351" s="34">
        <f>AP351-AT351</f>
        <v>0</v>
      </c>
      <c r="AX351" s="123">
        <f>AP351/AJ351</f>
        <v>0.38482477355240113</v>
      </c>
    </row>
    <row r="352" spans="1:50" x14ac:dyDescent="0.2">
      <c r="AA352" s="28" t="s">
        <v>288</v>
      </c>
      <c r="AB352" s="29" t="s">
        <v>63</v>
      </c>
      <c r="AC352" s="17"/>
      <c r="AD352" s="18"/>
      <c r="AE352" s="34"/>
      <c r="AF352" s="34"/>
      <c r="AG352" s="34"/>
      <c r="AH352" s="34"/>
      <c r="AI352" s="34"/>
      <c r="AJ352" s="18"/>
      <c r="AK352" s="34"/>
      <c r="AL352" s="18"/>
      <c r="AM352" s="18"/>
      <c r="AN352" s="34"/>
      <c r="AO352" s="18"/>
      <c r="AP352" s="18"/>
      <c r="AQ352" s="34"/>
      <c r="AR352" s="18"/>
      <c r="AS352" s="18"/>
      <c r="AT352" s="30"/>
      <c r="AU352" s="18"/>
      <c r="AV352" s="18"/>
      <c r="AW352" s="34"/>
      <c r="AX352" s="18"/>
    </row>
    <row r="353" spans="1:50" ht="18.75" customHeight="1" x14ac:dyDescent="0.2">
      <c r="A353" s="4" t="s">
        <v>325</v>
      </c>
      <c r="B353" s="4" t="s">
        <v>326</v>
      </c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1" t="s">
        <v>349</v>
      </c>
      <c r="AB353" s="42" t="s">
        <v>328</v>
      </c>
      <c r="AC353" s="43" t="s">
        <v>61</v>
      </c>
      <c r="AD353" s="43">
        <v>112494898</v>
      </c>
      <c r="AE353" s="44">
        <v>0</v>
      </c>
      <c r="AF353" s="44">
        <v>0</v>
      </c>
      <c r="AG353" s="44">
        <v>0</v>
      </c>
      <c r="AH353" s="44">
        <v>0</v>
      </c>
      <c r="AI353" s="44">
        <v>0</v>
      </c>
      <c r="AJ353" s="43">
        <v>112494898</v>
      </c>
      <c r="AK353" s="44">
        <v>0</v>
      </c>
      <c r="AL353" s="43">
        <v>17095511</v>
      </c>
      <c r="AM353" s="43">
        <v>71825828</v>
      </c>
      <c r="AN353" s="44">
        <v>0</v>
      </c>
      <c r="AO353" s="43">
        <v>17095511</v>
      </c>
      <c r="AP353" s="43">
        <v>71825828</v>
      </c>
      <c r="AQ353" s="44">
        <v>0</v>
      </c>
      <c r="AR353" s="43">
        <v>17095511</v>
      </c>
      <c r="AS353" s="43">
        <v>71825828</v>
      </c>
      <c r="AT353" s="39">
        <f t="shared" si="171"/>
        <v>71825828</v>
      </c>
      <c r="AU353" s="18">
        <f>AJ353-AM353</f>
        <v>40669070</v>
      </c>
      <c r="AV353" s="34">
        <f>AM353-AP353</f>
        <v>0</v>
      </c>
      <c r="AW353" s="34">
        <f>AP353-AT353</f>
        <v>0</v>
      </c>
      <c r="AX353" s="123">
        <f>AP353/AJ353</f>
        <v>0.63848076025634515</v>
      </c>
    </row>
    <row r="354" spans="1:50" ht="18.75" customHeight="1" x14ac:dyDescent="0.2">
      <c r="AA354" s="28" t="s">
        <v>288</v>
      </c>
      <c r="AB354" s="29" t="s">
        <v>71</v>
      </c>
      <c r="AC354" s="17"/>
      <c r="AD354" s="18"/>
      <c r="AE354" s="34"/>
      <c r="AF354" s="34"/>
      <c r="AG354" s="34"/>
      <c r="AH354" s="34"/>
      <c r="AI354" s="34"/>
      <c r="AJ354" s="18"/>
      <c r="AK354" s="34"/>
      <c r="AL354" s="18"/>
      <c r="AM354" s="18"/>
      <c r="AN354" s="34"/>
      <c r="AO354" s="18"/>
      <c r="AP354" s="18"/>
      <c r="AQ354" s="34"/>
      <c r="AR354" s="18"/>
      <c r="AS354" s="18"/>
      <c r="AT354" s="30"/>
      <c r="AU354" s="18"/>
      <c r="AV354" s="18"/>
      <c r="AW354" s="34"/>
      <c r="AX354" s="18"/>
    </row>
    <row r="355" spans="1:50" ht="18.75" customHeight="1" x14ac:dyDescent="0.2">
      <c r="A355" s="4" t="s">
        <v>325</v>
      </c>
      <c r="B355" s="4" t="s">
        <v>326</v>
      </c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1" t="s">
        <v>327</v>
      </c>
      <c r="AB355" s="42" t="s">
        <v>328</v>
      </c>
      <c r="AC355" s="43" t="s">
        <v>61</v>
      </c>
      <c r="AD355" s="43">
        <v>532969656</v>
      </c>
      <c r="AE355" s="44">
        <v>0</v>
      </c>
      <c r="AF355" s="44">
        <v>0</v>
      </c>
      <c r="AG355" s="44">
        <v>0</v>
      </c>
      <c r="AH355" s="44">
        <v>0</v>
      </c>
      <c r="AI355" s="44">
        <v>0</v>
      </c>
      <c r="AJ355" s="43">
        <v>532969656</v>
      </c>
      <c r="AK355" s="44">
        <v>0</v>
      </c>
      <c r="AL355" s="43">
        <v>454511449</v>
      </c>
      <c r="AM355" s="43">
        <v>463854444</v>
      </c>
      <c r="AN355" s="44">
        <v>0</v>
      </c>
      <c r="AO355" s="43">
        <v>454511449</v>
      </c>
      <c r="AP355" s="43">
        <v>463854444</v>
      </c>
      <c r="AQ355" s="44">
        <v>0</v>
      </c>
      <c r="AR355" s="44">
        <v>0</v>
      </c>
      <c r="AS355" s="43">
        <v>9342995</v>
      </c>
      <c r="AT355" s="39">
        <f t="shared" si="171"/>
        <v>9342995</v>
      </c>
      <c r="AU355" s="18">
        <f>AJ355-AM355</f>
        <v>69115212</v>
      </c>
      <c r="AV355" s="34">
        <f>AM355-AP355</f>
        <v>0</v>
      </c>
      <c r="AW355" s="18">
        <f>AP355-AT355</f>
        <v>454511449</v>
      </c>
      <c r="AX355" s="123">
        <f>AP355/AJ355</f>
        <v>0.87032054973125905</v>
      </c>
    </row>
    <row r="356" spans="1:50" ht="18.75" customHeight="1" x14ac:dyDescent="0.2">
      <c r="AA356" s="28" t="s">
        <v>288</v>
      </c>
      <c r="AB356" s="29" t="s">
        <v>76</v>
      </c>
      <c r="AC356" s="17"/>
      <c r="AD356" s="18"/>
      <c r="AE356" s="34"/>
      <c r="AF356" s="34"/>
      <c r="AG356" s="34"/>
      <c r="AH356" s="34"/>
      <c r="AI356" s="34"/>
      <c r="AJ356" s="18"/>
      <c r="AK356" s="34"/>
      <c r="AL356" s="18"/>
      <c r="AM356" s="18"/>
      <c r="AN356" s="34"/>
      <c r="AO356" s="18"/>
      <c r="AP356" s="18"/>
      <c r="AQ356" s="34"/>
      <c r="AR356" s="18"/>
      <c r="AS356" s="18"/>
      <c r="AT356" s="30"/>
      <c r="AU356" s="18"/>
      <c r="AV356" s="18"/>
      <c r="AW356" s="34"/>
      <c r="AX356" s="18"/>
    </row>
    <row r="357" spans="1:50" ht="18.75" customHeight="1" x14ac:dyDescent="0.2">
      <c r="A357" s="4" t="s">
        <v>325</v>
      </c>
      <c r="B357" s="4" t="s">
        <v>326</v>
      </c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1" t="s">
        <v>329</v>
      </c>
      <c r="AB357" s="42" t="s">
        <v>328</v>
      </c>
      <c r="AC357" s="43" t="s">
        <v>61</v>
      </c>
      <c r="AD357" s="43">
        <v>318686698</v>
      </c>
      <c r="AE357" s="44">
        <v>0</v>
      </c>
      <c r="AF357" s="44">
        <v>0</v>
      </c>
      <c r="AG357" s="44">
        <v>0</v>
      </c>
      <c r="AH357" s="44">
        <v>0</v>
      </c>
      <c r="AI357" s="44">
        <v>0</v>
      </c>
      <c r="AJ357" s="43">
        <v>318686698</v>
      </c>
      <c r="AK357" s="44">
        <v>0</v>
      </c>
      <c r="AL357" s="43">
        <v>24391239</v>
      </c>
      <c r="AM357" s="43">
        <v>147516817</v>
      </c>
      <c r="AN357" s="44">
        <v>0</v>
      </c>
      <c r="AO357" s="43">
        <v>24391239</v>
      </c>
      <c r="AP357" s="43">
        <v>147516817</v>
      </c>
      <c r="AQ357" s="44">
        <v>0</v>
      </c>
      <c r="AR357" s="43">
        <v>24391239</v>
      </c>
      <c r="AS357" s="43">
        <v>147516817</v>
      </c>
      <c r="AT357" s="39">
        <f t="shared" si="171"/>
        <v>147516817</v>
      </c>
      <c r="AU357" s="18">
        <f>AJ357-AM357</f>
        <v>171169881</v>
      </c>
      <c r="AV357" s="34">
        <f>AM357-AP357</f>
        <v>0</v>
      </c>
      <c r="AW357" s="34">
        <f>AP357-AT357</f>
        <v>0</v>
      </c>
      <c r="AX357" s="123">
        <f>AP357/AJ357</f>
        <v>0.46288978462477276</v>
      </c>
    </row>
    <row r="358" spans="1:50" ht="18.75" customHeight="1" x14ac:dyDescent="0.2">
      <c r="AA358" s="16"/>
      <c r="AB358" s="17"/>
      <c r="AC358" s="17"/>
      <c r="AD358" s="18"/>
      <c r="AE358" s="34"/>
      <c r="AF358" s="34"/>
      <c r="AG358" s="34"/>
      <c r="AH358" s="34"/>
      <c r="AI358" s="34"/>
      <c r="AJ358" s="18"/>
      <c r="AK358" s="18"/>
      <c r="AL358" s="18"/>
      <c r="AM358" s="18"/>
      <c r="AN358" s="34"/>
      <c r="AO358" s="18"/>
      <c r="AP358" s="18"/>
      <c r="AQ358" s="18"/>
      <c r="AR358" s="34"/>
      <c r="AS358" s="18"/>
      <c r="AT358" s="30"/>
      <c r="AU358" s="18"/>
      <c r="AV358" s="18"/>
      <c r="AW358" s="18"/>
      <c r="AX358" s="18"/>
    </row>
    <row r="359" spans="1:50" ht="18.75" customHeight="1" x14ac:dyDescent="0.2">
      <c r="AA359" s="16"/>
      <c r="AB359" s="29" t="s">
        <v>81</v>
      </c>
      <c r="AC359" s="17"/>
      <c r="AD359" s="18"/>
      <c r="AE359" s="34"/>
      <c r="AF359" s="34"/>
      <c r="AG359" s="34"/>
      <c r="AH359" s="34"/>
      <c r="AI359" s="34"/>
      <c r="AJ359" s="18"/>
      <c r="AK359" s="18"/>
      <c r="AL359" s="18"/>
      <c r="AM359" s="18"/>
      <c r="AN359" s="34"/>
      <c r="AO359" s="18"/>
      <c r="AP359" s="18"/>
      <c r="AQ359" s="18"/>
      <c r="AR359" s="34"/>
      <c r="AS359" s="18"/>
      <c r="AT359" s="30"/>
      <c r="AU359" s="18"/>
      <c r="AV359" s="18"/>
      <c r="AW359" s="18"/>
      <c r="AX359" s="18"/>
    </row>
    <row r="360" spans="1:50" ht="18.75" customHeight="1" x14ac:dyDescent="0.2">
      <c r="AA360" s="28" t="s">
        <v>288</v>
      </c>
      <c r="AB360" s="29" t="s">
        <v>83</v>
      </c>
      <c r="AC360" s="17"/>
      <c r="AD360" s="18"/>
      <c r="AE360" s="34"/>
      <c r="AF360" s="34"/>
      <c r="AG360" s="34"/>
      <c r="AH360" s="34"/>
      <c r="AI360" s="34"/>
      <c r="AJ360" s="18"/>
      <c r="AK360" s="18"/>
      <c r="AL360" s="18"/>
      <c r="AM360" s="18"/>
      <c r="AN360" s="34"/>
      <c r="AO360" s="18"/>
      <c r="AP360" s="18"/>
      <c r="AQ360" s="18"/>
      <c r="AR360" s="34"/>
      <c r="AS360" s="18"/>
      <c r="AT360" s="30"/>
      <c r="AU360" s="18"/>
      <c r="AV360" s="18"/>
      <c r="AW360" s="18"/>
      <c r="AX360" s="18"/>
    </row>
    <row r="361" spans="1:50" ht="18.75" customHeight="1" x14ac:dyDescent="0.2">
      <c r="A361" s="4" t="s">
        <v>325</v>
      </c>
      <c r="B361" s="4" t="s">
        <v>326</v>
      </c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1" t="s">
        <v>330</v>
      </c>
      <c r="AB361" s="42" t="s">
        <v>328</v>
      </c>
      <c r="AC361" s="43" t="s">
        <v>61</v>
      </c>
      <c r="AD361" s="43">
        <v>1177756920</v>
      </c>
      <c r="AE361" s="44">
        <v>0</v>
      </c>
      <c r="AF361" s="44">
        <v>0</v>
      </c>
      <c r="AG361" s="44">
        <v>0</v>
      </c>
      <c r="AH361" s="44">
        <v>0</v>
      </c>
      <c r="AI361" s="44">
        <v>0</v>
      </c>
      <c r="AJ361" s="43">
        <v>1177756920</v>
      </c>
      <c r="AK361" s="44">
        <v>0</v>
      </c>
      <c r="AL361" s="44">
        <v>0</v>
      </c>
      <c r="AM361" s="43">
        <v>5570852</v>
      </c>
      <c r="AN361" s="44">
        <v>0</v>
      </c>
      <c r="AO361" s="44">
        <v>0</v>
      </c>
      <c r="AP361" s="110">
        <v>5570852</v>
      </c>
      <c r="AQ361" s="34">
        <v>0</v>
      </c>
      <c r="AR361" s="133">
        <v>0</v>
      </c>
      <c r="AS361" s="110">
        <v>5570852</v>
      </c>
      <c r="AT361" s="39">
        <f t="shared" ref="AT361" si="175">AQ361+AS361</f>
        <v>5570852</v>
      </c>
      <c r="AU361" s="18">
        <f>AJ361-AM361</f>
        <v>1172186068</v>
      </c>
      <c r="AV361" s="34">
        <f>AM361-AP361</f>
        <v>0</v>
      </c>
      <c r="AW361" s="34">
        <f>AP361-AT361</f>
        <v>0</v>
      </c>
      <c r="AX361" s="123">
        <f>AP361/AJ361</f>
        <v>4.7300524457967097E-3</v>
      </c>
    </row>
    <row r="362" spans="1:50" ht="18.75" customHeight="1" x14ac:dyDescent="0.2">
      <c r="AA362" s="28" t="s">
        <v>288</v>
      </c>
      <c r="AB362" s="29" t="s">
        <v>88</v>
      </c>
      <c r="AC362" s="17"/>
      <c r="AD362" s="18"/>
      <c r="AE362" s="34"/>
      <c r="AF362" s="34"/>
      <c r="AG362" s="34"/>
      <c r="AH362" s="34"/>
      <c r="AI362" s="34"/>
      <c r="AJ362" s="18"/>
      <c r="AK362" s="34"/>
      <c r="AL362" s="34"/>
      <c r="AM362" s="18"/>
      <c r="AN362" s="34"/>
      <c r="AO362" s="34"/>
      <c r="AP362" s="18"/>
      <c r="AQ362" s="18"/>
      <c r="AR362" s="34"/>
      <c r="AS362" s="18"/>
      <c r="AT362" s="30"/>
      <c r="AU362" s="18"/>
      <c r="AV362" s="18"/>
      <c r="AW362" s="34"/>
      <c r="AX362" s="18"/>
    </row>
    <row r="363" spans="1:50" ht="18.75" customHeight="1" x14ac:dyDescent="0.2">
      <c r="A363" s="4" t="s">
        <v>325</v>
      </c>
      <c r="B363" s="4" t="s">
        <v>326</v>
      </c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1" t="s">
        <v>331</v>
      </c>
      <c r="AB363" s="42" t="s">
        <v>328</v>
      </c>
      <c r="AC363" s="43" t="s">
        <v>61</v>
      </c>
      <c r="AD363" s="43">
        <v>565323320</v>
      </c>
      <c r="AE363" s="44">
        <v>0</v>
      </c>
      <c r="AF363" s="44">
        <v>0</v>
      </c>
      <c r="AG363" s="44">
        <v>0</v>
      </c>
      <c r="AH363" s="44">
        <v>0</v>
      </c>
      <c r="AI363" s="44">
        <v>0</v>
      </c>
      <c r="AJ363" s="43">
        <v>565323320</v>
      </c>
      <c r="AK363" s="44">
        <v>0</v>
      </c>
      <c r="AL363" s="44">
        <v>0</v>
      </c>
      <c r="AM363" s="43">
        <v>1527575</v>
      </c>
      <c r="AN363" s="44">
        <v>0</v>
      </c>
      <c r="AO363" s="44">
        <v>0</v>
      </c>
      <c r="AP363" s="43">
        <v>1527575</v>
      </c>
      <c r="AQ363" s="44">
        <v>0</v>
      </c>
      <c r="AR363" s="44">
        <v>0</v>
      </c>
      <c r="AS363" s="43">
        <v>1527575</v>
      </c>
      <c r="AT363" s="39">
        <f t="shared" si="171"/>
        <v>1527575</v>
      </c>
      <c r="AU363" s="18">
        <f>AJ363-AM363</f>
        <v>563795745</v>
      </c>
      <c r="AV363" s="34">
        <f>AM363-AP363</f>
        <v>0</v>
      </c>
      <c r="AW363" s="34">
        <f>AP363-AT363</f>
        <v>0</v>
      </c>
      <c r="AX363" s="123">
        <f>AP363/AJ363</f>
        <v>2.7021262805857716E-3</v>
      </c>
    </row>
    <row r="364" spans="1:50" ht="18.75" customHeight="1" x14ac:dyDescent="0.2">
      <c r="AA364" s="16"/>
      <c r="AB364" s="17"/>
      <c r="AC364" s="17"/>
      <c r="AD364" s="18"/>
      <c r="AE364" s="34"/>
      <c r="AF364" s="34"/>
      <c r="AG364" s="34"/>
      <c r="AH364" s="34"/>
      <c r="AI364" s="34"/>
      <c r="AJ364" s="18"/>
      <c r="AK364" s="34"/>
      <c r="AL364" s="18"/>
      <c r="AM364" s="18"/>
      <c r="AN364" s="18"/>
      <c r="AO364" s="18"/>
      <c r="AP364" s="18"/>
      <c r="AQ364" s="34"/>
      <c r="AR364" s="18"/>
      <c r="AS364" s="18"/>
      <c r="AT364" s="30"/>
      <c r="AU364" s="18"/>
      <c r="AV364" s="18"/>
      <c r="AW364" s="18"/>
      <c r="AX364" s="18"/>
    </row>
    <row r="365" spans="1:50" ht="18.75" customHeight="1" x14ac:dyDescent="0.2">
      <c r="AA365" s="16"/>
      <c r="AB365" s="29" t="s">
        <v>103</v>
      </c>
      <c r="AC365" s="17"/>
      <c r="AD365" s="18"/>
      <c r="AE365" s="34"/>
      <c r="AF365" s="34"/>
      <c r="AG365" s="34"/>
      <c r="AH365" s="34"/>
      <c r="AI365" s="34"/>
      <c r="AJ365" s="18"/>
      <c r="AK365" s="34"/>
      <c r="AL365" s="18"/>
      <c r="AM365" s="18"/>
      <c r="AN365" s="18"/>
      <c r="AO365" s="18"/>
      <c r="AP365" s="18"/>
      <c r="AQ365" s="34"/>
      <c r="AR365" s="18"/>
      <c r="AS365" s="18"/>
      <c r="AT365" s="30"/>
      <c r="AU365" s="18"/>
      <c r="AV365" s="18"/>
      <c r="AW365" s="18"/>
      <c r="AX365" s="18"/>
    </row>
    <row r="366" spans="1:50" ht="24.75" customHeight="1" x14ac:dyDescent="0.2">
      <c r="AA366" s="28" t="s">
        <v>288</v>
      </c>
      <c r="AB366" s="29" t="s">
        <v>352</v>
      </c>
      <c r="AC366" s="17"/>
      <c r="AD366" s="18"/>
      <c r="AE366" s="34"/>
      <c r="AF366" s="34"/>
      <c r="AG366" s="34"/>
      <c r="AH366" s="34"/>
      <c r="AI366" s="34"/>
      <c r="AJ366" s="18"/>
      <c r="AK366" s="34"/>
      <c r="AL366" s="18"/>
      <c r="AM366" s="18"/>
      <c r="AN366" s="18"/>
      <c r="AO366" s="18"/>
      <c r="AP366" s="18"/>
      <c r="AQ366" s="34"/>
      <c r="AR366" s="18"/>
      <c r="AS366" s="18"/>
      <c r="AT366" s="39"/>
      <c r="AU366" s="18"/>
      <c r="AV366" s="18"/>
      <c r="AW366" s="18"/>
      <c r="AX366" s="18"/>
    </row>
    <row r="367" spans="1:50" ht="18.75" customHeight="1" x14ac:dyDescent="0.2">
      <c r="A367" s="4" t="s">
        <v>325</v>
      </c>
      <c r="B367" s="4" t="s">
        <v>326</v>
      </c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1" t="s">
        <v>332</v>
      </c>
      <c r="AB367" s="42" t="s">
        <v>328</v>
      </c>
      <c r="AC367" s="43" t="s">
        <v>61</v>
      </c>
      <c r="AD367" s="43">
        <v>1248245788</v>
      </c>
      <c r="AE367" s="44">
        <v>0</v>
      </c>
      <c r="AF367" s="44">
        <v>0</v>
      </c>
      <c r="AG367" s="44">
        <v>0</v>
      </c>
      <c r="AH367" s="44">
        <v>0</v>
      </c>
      <c r="AI367" s="44">
        <v>0</v>
      </c>
      <c r="AJ367" s="43">
        <v>1248245788</v>
      </c>
      <c r="AK367" s="44">
        <v>0</v>
      </c>
      <c r="AL367" s="43">
        <v>75391294</v>
      </c>
      <c r="AM367" s="43">
        <v>460816585.04000002</v>
      </c>
      <c r="AN367" s="44">
        <v>0</v>
      </c>
      <c r="AO367" s="43">
        <v>75391294</v>
      </c>
      <c r="AP367" s="43">
        <v>460816585.04000002</v>
      </c>
      <c r="AQ367" s="44">
        <v>0</v>
      </c>
      <c r="AR367" s="43">
        <v>75391294</v>
      </c>
      <c r="AS367" s="43">
        <v>460816585.04000002</v>
      </c>
      <c r="AT367" s="39">
        <f t="shared" ref="AT367" si="176">AQ367+AS367</f>
        <v>460816585.04000002</v>
      </c>
      <c r="AU367" s="18">
        <f>AJ367-AM367</f>
        <v>787429202.96000004</v>
      </c>
      <c r="AV367" s="34">
        <f>AM367-AP367</f>
        <v>0</v>
      </c>
      <c r="AW367" s="34">
        <f>AP367-AT367</f>
        <v>0</v>
      </c>
      <c r="AX367" s="123">
        <f>AP367/AJ367</f>
        <v>0.36917135188442551</v>
      </c>
    </row>
    <row r="368" spans="1:50" ht="18.75" customHeight="1" x14ac:dyDescent="0.2">
      <c r="AA368" s="28" t="s">
        <v>288</v>
      </c>
      <c r="AB368" s="29" t="s">
        <v>353</v>
      </c>
      <c r="AC368" s="17"/>
      <c r="AD368" s="18"/>
      <c r="AE368" s="34"/>
      <c r="AF368" s="34"/>
      <c r="AG368" s="34"/>
      <c r="AH368" s="34"/>
      <c r="AI368" s="34"/>
      <c r="AJ368" s="18"/>
      <c r="AK368" s="34"/>
      <c r="AL368" s="18"/>
      <c r="AM368" s="18"/>
      <c r="AN368" s="34"/>
      <c r="AO368" s="18"/>
      <c r="AP368" s="18"/>
      <c r="AQ368" s="18"/>
      <c r="AR368" s="18"/>
      <c r="AS368" s="18"/>
      <c r="AT368" s="39"/>
      <c r="AU368" s="18"/>
      <c r="AV368" s="18"/>
      <c r="AW368" s="34"/>
      <c r="AX368" s="18"/>
    </row>
    <row r="369" spans="1:50" ht="18.75" customHeight="1" x14ac:dyDescent="0.2">
      <c r="A369" s="4" t="s">
        <v>325</v>
      </c>
      <c r="B369" s="4" t="s">
        <v>326</v>
      </c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1" t="s">
        <v>334</v>
      </c>
      <c r="AB369" s="42" t="s">
        <v>328</v>
      </c>
      <c r="AC369" s="43" t="s">
        <v>61</v>
      </c>
      <c r="AD369" s="43">
        <v>918279775</v>
      </c>
      <c r="AE369" s="44">
        <v>0</v>
      </c>
      <c r="AF369" s="44">
        <v>0</v>
      </c>
      <c r="AG369" s="44">
        <v>0</v>
      </c>
      <c r="AH369" s="44">
        <v>0</v>
      </c>
      <c r="AI369" s="44">
        <v>0</v>
      </c>
      <c r="AJ369" s="43">
        <v>918279775</v>
      </c>
      <c r="AK369" s="44">
        <v>0</v>
      </c>
      <c r="AL369" s="43">
        <v>80103018</v>
      </c>
      <c r="AM369" s="43">
        <v>470334896.95999998</v>
      </c>
      <c r="AN369" s="44">
        <v>0</v>
      </c>
      <c r="AO369" s="43">
        <v>80103018</v>
      </c>
      <c r="AP369" s="43">
        <v>470334896.95999998</v>
      </c>
      <c r="AQ369" s="44">
        <v>0</v>
      </c>
      <c r="AR369" s="43">
        <v>80103018</v>
      </c>
      <c r="AS369" s="43">
        <v>470334896.95999998</v>
      </c>
      <c r="AT369" s="39">
        <f t="shared" si="171"/>
        <v>470334896.95999998</v>
      </c>
      <c r="AU369" s="18">
        <f>AJ369-AM369</f>
        <v>447944878.04000002</v>
      </c>
      <c r="AV369" s="34">
        <f>AM369-AP369</f>
        <v>0</v>
      </c>
      <c r="AW369" s="34">
        <f>AP369-AT369</f>
        <v>0</v>
      </c>
      <c r="AX369" s="123">
        <f>AP369/AJ369</f>
        <v>0.51219128392542457</v>
      </c>
    </row>
    <row r="370" spans="1:50" ht="18.75" customHeight="1" x14ac:dyDescent="0.2">
      <c r="AA370" s="28" t="s">
        <v>288</v>
      </c>
      <c r="AB370" s="29" t="s">
        <v>354</v>
      </c>
      <c r="AC370" s="17"/>
      <c r="AD370" s="18"/>
      <c r="AE370" s="34"/>
      <c r="AF370" s="34"/>
      <c r="AG370" s="34"/>
      <c r="AH370" s="34"/>
      <c r="AI370" s="34"/>
      <c r="AJ370" s="18"/>
      <c r="AK370" s="18"/>
      <c r="AL370" s="18"/>
      <c r="AM370" s="18"/>
      <c r="AN370" s="34"/>
      <c r="AO370" s="18"/>
      <c r="AP370" s="18"/>
      <c r="AQ370" s="34"/>
      <c r="AR370" s="18"/>
      <c r="AS370" s="18"/>
      <c r="AT370" s="39"/>
      <c r="AU370" s="18"/>
      <c r="AV370" s="18"/>
      <c r="AW370" s="34"/>
      <c r="AX370" s="18"/>
    </row>
    <row r="371" spans="1:50" ht="18.75" customHeight="1" x14ac:dyDescent="0.2">
      <c r="A371" s="4" t="s">
        <v>325</v>
      </c>
      <c r="B371" s="4" t="s">
        <v>326</v>
      </c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1" t="s">
        <v>335</v>
      </c>
      <c r="AB371" s="42" t="s">
        <v>328</v>
      </c>
      <c r="AC371" s="43" t="s">
        <v>61</v>
      </c>
      <c r="AD371" s="43">
        <v>956127578</v>
      </c>
      <c r="AE371" s="44">
        <v>0</v>
      </c>
      <c r="AF371" s="44">
        <v>0</v>
      </c>
      <c r="AG371" s="44">
        <v>0</v>
      </c>
      <c r="AH371" s="44">
        <v>0</v>
      </c>
      <c r="AI371" s="44">
        <v>0</v>
      </c>
      <c r="AJ371" s="43">
        <v>956127578</v>
      </c>
      <c r="AK371" s="44">
        <v>0</v>
      </c>
      <c r="AL371" s="43">
        <v>116404747</v>
      </c>
      <c r="AM371" s="43">
        <v>509817756</v>
      </c>
      <c r="AN371" s="44">
        <v>0</v>
      </c>
      <c r="AO371" s="43">
        <v>116404747</v>
      </c>
      <c r="AP371" s="43">
        <v>509817756</v>
      </c>
      <c r="AQ371" s="44">
        <v>0</v>
      </c>
      <c r="AR371" s="43">
        <v>116404747</v>
      </c>
      <c r="AS371" s="43">
        <v>509817756</v>
      </c>
      <c r="AT371" s="39">
        <f t="shared" si="171"/>
        <v>509817756</v>
      </c>
      <c r="AU371" s="18">
        <f>AJ371-AM371</f>
        <v>446309822</v>
      </c>
      <c r="AV371" s="34">
        <f>AM371-AP371</f>
        <v>0</v>
      </c>
      <c r="AW371" s="34">
        <f>AP371-AT371</f>
        <v>0</v>
      </c>
      <c r="AX371" s="123">
        <f>AP371/AJ371</f>
        <v>0.53321101464976262</v>
      </c>
    </row>
    <row r="372" spans="1:50" ht="18.75" customHeight="1" x14ac:dyDescent="0.2">
      <c r="AA372" s="28" t="s">
        <v>288</v>
      </c>
      <c r="AB372" s="29" t="s">
        <v>119</v>
      </c>
      <c r="AC372" s="17"/>
      <c r="AD372" s="18"/>
      <c r="AE372" s="34"/>
      <c r="AF372" s="34"/>
      <c r="AG372" s="34"/>
      <c r="AH372" s="34"/>
      <c r="AI372" s="34"/>
      <c r="AJ372" s="18"/>
      <c r="AK372" s="34"/>
      <c r="AL372" s="18"/>
      <c r="AM372" s="18"/>
      <c r="AN372" s="34"/>
      <c r="AO372" s="18"/>
      <c r="AP372" s="18"/>
      <c r="AQ372" s="18"/>
      <c r="AR372" s="18"/>
      <c r="AS372" s="18"/>
      <c r="AT372" s="39"/>
      <c r="AU372" s="18"/>
      <c r="AV372" s="18"/>
      <c r="AW372" s="34"/>
      <c r="AX372" s="18"/>
    </row>
    <row r="373" spans="1:50" ht="18.75" customHeight="1" x14ac:dyDescent="0.2">
      <c r="A373" s="4" t="s">
        <v>325</v>
      </c>
      <c r="B373" s="4" t="s">
        <v>326</v>
      </c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1" t="s">
        <v>336</v>
      </c>
      <c r="AB373" s="42" t="s">
        <v>328</v>
      </c>
      <c r="AC373" s="43" t="s">
        <v>61</v>
      </c>
      <c r="AD373" s="43">
        <v>527278620</v>
      </c>
      <c r="AE373" s="44">
        <v>0</v>
      </c>
      <c r="AF373" s="44">
        <v>0</v>
      </c>
      <c r="AG373" s="44">
        <v>0</v>
      </c>
      <c r="AH373" s="44">
        <v>0</v>
      </c>
      <c r="AI373" s="44">
        <v>0</v>
      </c>
      <c r="AJ373" s="43">
        <v>527278620</v>
      </c>
      <c r="AK373" s="44">
        <v>0</v>
      </c>
      <c r="AL373" s="43">
        <v>54981200</v>
      </c>
      <c r="AM373" s="43">
        <v>239069700</v>
      </c>
      <c r="AN373" s="44">
        <v>0</v>
      </c>
      <c r="AO373" s="43">
        <v>54981200</v>
      </c>
      <c r="AP373" s="43">
        <v>239069700</v>
      </c>
      <c r="AQ373" s="115">
        <v>0</v>
      </c>
      <c r="AR373" s="114">
        <v>91934400</v>
      </c>
      <c r="AS373" s="114">
        <v>239069700</v>
      </c>
      <c r="AT373" s="39">
        <f t="shared" si="171"/>
        <v>239069700</v>
      </c>
      <c r="AU373" s="18">
        <f>AJ373-AM373</f>
        <v>288208920</v>
      </c>
      <c r="AV373" s="34">
        <f>AM373-AP373</f>
        <v>0</v>
      </c>
      <c r="AW373" s="34">
        <f>AP373-AT373</f>
        <v>0</v>
      </c>
      <c r="AX373" s="123">
        <f>AP373/AJ373</f>
        <v>0.4534029845549209</v>
      </c>
    </row>
    <row r="374" spans="1:50" ht="18.75" customHeight="1" x14ac:dyDescent="0.2">
      <c r="AA374" s="28" t="s">
        <v>288</v>
      </c>
      <c r="AB374" s="29" t="s">
        <v>124</v>
      </c>
      <c r="AC374" s="17"/>
      <c r="AD374" s="18"/>
      <c r="AE374" s="34"/>
      <c r="AF374" s="34"/>
      <c r="AG374" s="34"/>
      <c r="AH374" s="34"/>
      <c r="AI374" s="34"/>
      <c r="AJ374" s="18"/>
      <c r="AK374" s="34"/>
      <c r="AL374" s="18"/>
      <c r="AM374" s="18"/>
      <c r="AN374" s="34"/>
      <c r="AO374" s="18"/>
      <c r="AP374" s="18"/>
      <c r="AQ374" s="34"/>
      <c r="AR374" s="34"/>
      <c r="AS374" s="34"/>
      <c r="AT374" s="40"/>
      <c r="AU374" s="18"/>
      <c r="AV374" s="18"/>
      <c r="AW374" s="18"/>
      <c r="AX374" s="18"/>
    </row>
    <row r="375" spans="1:50" ht="18.75" customHeight="1" x14ac:dyDescent="0.2">
      <c r="AA375" s="28" t="s">
        <v>288</v>
      </c>
      <c r="AB375" s="29" t="s">
        <v>129</v>
      </c>
      <c r="AC375" s="17"/>
      <c r="AD375" s="18"/>
      <c r="AE375" s="34"/>
      <c r="AF375" s="34"/>
      <c r="AG375" s="34"/>
      <c r="AH375" s="34"/>
      <c r="AI375" s="34"/>
      <c r="AJ375" s="18"/>
      <c r="AK375" s="34"/>
      <c r="AL375" s="18"/>
      <c r="AM375" s="18"/>
      <c r="AN375" s="34"/>
      <c r="AO375" s="18"/>
      <c r="AP375" s="18"/>
      <c r="AQ375" s="34"/>
      <c r="AR375" s="34"/>
      <c r="AS375" s="34"/>
      <c r="AT375" s="40"/>
      <c r="AU375" s="18"/>
      <c r="AV375" s="18"/>
      <c r="AW375" s="18"/>
      <c r="AX375" s="18"/>
    </row>
    <row r="376" spans="1:50" ht="18.75" customHeight="1" x14ac:dyDescent="0.2">
      <c r="A376" s="4" t="s">
        <v>325</v>
      </c>
      <c r="B376" s="4" t="s">
        <v>326</v>
      </c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1" t="s">
        <v>338</v>
      </c>
      <c r="AB376" s="42" t="s">
        <v>328</v>
      </c>
      <c r="AC376" s="43" t="s">
        <v>61</v>
      </c>
      <c r="AD376" s="43">
        <v>395516000</v>
      </c>
      <c r="AE376" s="44">
        <v>0</v>
      </c>
      <c r="AF376" s="44">
        <v>0</v>
      </c>
      <c r="AG376" s="44">
        <v>0</v>
      </c>
      <c r="AH376" s="44">
        <v>0</v>
      </c>
      <c r="AI376" s="44">
        <v>0</v>
      </c>
      <c r="AJ376" s="43">
        <v>395516000</v>
      </c>
      <c r="AK376" s="44">
        <v>0</v>
      </c>
      <c r="AL376" s="43">
        <v>41236400</v>
      </c>
      <c r="AM376" s="43">
        <v>179305400</v>
      </c>
      <c r="AN376" s="44">
        <v>0</v>
      </c>
      <c r="AO376" s="43">
        <v>41236400</v>
      </c>
      <c r="AP376" s="43">
        <v>179305400</v>
      </c>
      <c r="AQ376" s="115">
        <v>0</v>
      </c>
      <c r="AR376" s="114">
        <v>68951200</v>
      </c>
      <c r="AS376" s="114">
        <v>179305400</v>
      </c>
      <c r="AT376" s="39">
        <f t="shared" ref="AT376" si="177">AQ376+AS376</f>
        <v>179305400</v>
      </c>
      <c r="AU376" s="18">
        <f>AJ376-AM376</f>
        <v>216210600</v>
      </c>
      <c r="AV376" s="34">
        <f>AM376-AP376</f>
        <v>0</v>
      </c>
      <c r="AW376" s="34">
        <f>AP376-AT376</f>
        <v>0</v>
      </c>
      <c r="AX376" s="123">
        <f>AP376/AJ376</f>
        <v>0.45334550308963478</v>
      </c>
    </row>
    <row r="377" spans="1:50" ht="18.75" customHeight="1" x14ac:dyDescent="0.2">
      <c r="AA377" s="28" t="s">
        <v>288</v>
      </c>
      <c r="AB377" s="29" t="s">
        <v>133</v>
      </c>
      <c r="AC377" s="17"/>
      <c r="AD377" s="18"/>
      <c r="AE377" s="34"/>
      <c r="AF377" s="34"/>
      <c r="AG377" s="34"/>
      <c r="AH377" s="34"/>
      <c r="AI377" s="34"/>
      <c r="AJ377" s="18"/>
      <c r="AK377" s="34"/>
      <c r="AL377" s="18"/>
      <c r="AM377" s="18"/>
      <c r="AN377" s="34"/>
      <c r="AO377" s="18"/>
      <c r="AP377" s="18"/>
      <c r="AQ377" s="34"/>
      <c r="AR377" s="34"/>
      <c r="AS377" s="34"/>
      <c r="AT377" s="40"/>
      <c r="AU377" s="18"/>
      <c r="AV377" s="18"/>
      <c r="AW377" s="34"/>
      <c r="AX377" s="18"/>
    </row>
    <row r="378" spans="1:50" ht="18.75" customHeight="1" x14ac:dyDescent="0.2">
      <c r="A378" s="4" t="s">
        <v>325</v>
      </c>
      <c r="B378" s="4" t="s">
        <v>326</v>
      </c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1" t="s">
        <v>339</v>
      </c>
      <c r="AB378" s="42" t="s">
        <v>328</v>
      </c>
      <c r="AC378" s="43" t="s">
        <v>61</v>
      </c>
      <c r="AD378" s="43">
        <v>66047960</v>
      </c>
      <c r="AE378" s="44">
        <v>0</v>
      </c>
      <c r="AF378" s="44">
        <v>0</v>
      </c>
      <c r="AG378" s="44">
        <v>0</v>
      </c>
      <c r="AH378" s="44">
        <v>0</v>
      </c>
      <c r="AI378" s="44">
        <v>0</v>
      </c>
      <c r="AJ378" s="43">
        <v>66047960</v>
      </c>
      <c r="AK378" s="44">
        <v>0</v>
      </c>
      <c r="AL378" s="43">
        <v>6880500</v>
      </c>
      <c r="AM378" s="43">
        <v>29927700</v>
      </c>
      <c r="AN378" s="44">
        <v>0</v>
      </c>
      <c r="AO378" s="43">
        <v>6880500</v>
      </c>
      <c r="AP378" s="43">
        <v>29927700</v>
      </c>
      <c r="AQ378" s="115">
        <v>0</v>
      </c>
      <c r="AR378" s="114">
        <v>11506000</v>
      </c>
      <c r="AS378" s="114">
        <v>29927700</v>
      </c>
      <c r="AT378" s="39">
        <f t="shared" ref="AT378" si="178">AQ378+AS378</f>
        <v>29927700</v>
      </c>
      <c r="AU378" s="18">
        <f>AJ378-AM378</f>
        <v>36120260</v>
      </c>
      <c r="AV378" s="34">
        <f>AM378-AP378</f>
        <v>0</v>
      </c>
      <c r="AW378" s="34">
        <f>AP378-AT378</f>
        <v>0</v>
      </c>
      <c r="AX378" s="123">
        <f>AP378/AJ378</f>
        <v>0.45312073226788535</v>
      </c>
    </row>
    <row r="379" spans="1:50" ht="18.75" customHeight="1" x14ac:dyDescent="0.2">
      <c r="AA379" s="28" t="s">
        <v>288</v>
      </c>
      <c r="AB379" s="29" t="s">
        <v>138</v>
      </c>
      <c r="AC379" s="17"/>
      <c r="AD379" s="18"/>
      <c r="AE379" s="34"/>
      <c r="AF379" s="34"/>
      <c r="AG379" s="34"/>
      <c r="AH379" s="34"/>
      <c r="AI379" s="34"/>
      <c r="AJ379" s="18"/>
      <c r="AK379" s="34"/>
      <c r="AL379" s="18"/>
      <c r="AM379" s="18"/>
      <c r="AN379" s="34"/>
      <c r="AO379" s="18"/>
      <c r="AP379" s="18"/>
      <c r="AQ379" s="133"/>
      <c r="AR379" s="110"/>
      <c r="AS379" s="110"/>
      <c r="AT379" s="40"/>
      <c r="AU379" s="18"/>
      <c r="AV379" s="18"/>
      <c r="AW379" s="34"/>
      <c r="AX379" s="18"/>
    </row>
    <row r="380" spans="1:50" ht="18.75" customHeight="1" x14ac:dyDescent="0.2">
      <c r="A380" s="4" t="s">
        <v>325</v>
      </c>
      <c r="B380" s="4" t="s">
        <v>326</v>
      </c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1" t="s">
        <v>340</v>
      </c>
      <c r="AB380" s="42" t="s">
        <v>328</v>
      </c>
      <c r="AC380" s="43" t="s">
        <v>61</v>
      </c>
      <c r="AD380" s="43">
        <v>66047960</v>
      </c>
      <c r="AE380" s="44">
        <v>0</v>
      </c>
      <c r="AF380" s="44">
        <v>0</v>
      </c>
      <c r="AG380" s="44">
        <v>0</v>
      </c>
      <c r="AH380" s="44">
        <v>0</v>
      </c>
      <c r="AI380" s="44">
        <v>0</v>
      </c>
      <c r="AJ380" s="43">
        <v>66047960</v>
      </c>
      <c r="AK380" s="44">
        <v>0</v>
      </c>
      <c r="AL380" s="43">
        <v>6880500</v>
      </c>
      <c r="AM380" s="43">
        <v>29927700</v>
      </c>
      <c r="AN380" s="44">
        <v>0</v>
      </c>
      <c r="AO380" s="43">
        <v>6880500</v>
      </c>
      <c r="AP380" s="43">
        <v>29927700</v>
      </c>
      <c r="AQ380" s="115">
        <v>0</v>
      </c>
      <c r="AR380" s="114">
        <v>11506000</v>
      </c>
      <c r="AS380" s="114">
        <v>29927700</v>
      </c>
      <c r="AT380" s="39">
        <f t="shared" ref="AT380" si="179">AQ380+AS380</f>
        <v>29927700</v>
      </c>
      <c r="AU380" s="18">
        <f>AJ380-AM380</f>
        <v>36120260</v>
      </c>
      <c r="AV380" s="34">
        <f>AM380-AP380</f>
        <v>0</v>
      </c>
      <c r="AW380" s="34">
        <f>AP380-AT380</f>
        <v>0</v>
      </c>
      <c r="AX380" s="123">
        <f>AP380/AJ380</f>
        <v>0.45312073226788535</v>
      </c>
    </row>
    <row r="381" spans="1:50" ht="25.5" x14ac:dyDescent="0.2">
      <c r="AA381" s="28" t="s">
        <v>288</v>
      </c>
      <c r="AB381" s="29" t="s">
        <v>145</v>
      </c>
      <c r="AC381" s="17"/>
      <c r="AD381" s="18"/>
      <c r="AE381" s="34"/>
      <c r="AF381" s="34"/>
      <c r="AG381" s="34"/>
      <c r="AH381" s="34"/>
      <c r="AI381" s="34"/>
      <c r="AJ381" s="18"/>
      <c r="AK381" s="34"/>
      <c r="AL381" s="18"/>
      <c r="AM381" s="18"/>
      <c r="AN381" s="34"/>
      <c r="AO381" s="18"/>
      <c r="AP381" s="18"/>
      <c r="AQ381" s="133"/>
      <c r="AR381" s="110"/>
      <c r="AS381" s="110"/>
      <c r="AT381" s="40"/>
      <c r="AU381" s="18"/>
      <c r="AV381" s="18"/>
      <c r="AW381" s="34"/>
      <c r="AX381" s="18"/>
    </row>
    <row r="382" spans="1:50" ht="18.75" customHeight="1" x14ac:dyDescent="0.2">
      <c r="A382" s="4" t="s">
        <v>325</v>
      </c>
      <c r="B382" s="4" t="s">
        <v>326</v>
      </c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1" t="s">
        <v>341</v>
      </c>
      <c r="AB382" s="42" t="s">
        <v>328</v>
      </c>
      <c r="AC382" s="43" t="s">
        <v>61</v>
      </c>
      <c r="AD382" s="43">
        <v>131938455</v>
      </c>
      <c r="AE382" s="44">
        <v>0</v>
      </c>
      <c r="AF382" s="44">
        <v>0</v>
      </c>
      <c r="AG382" s="44">
        <v>0</v>
      </c>
      <c r="AH382" s="44">
        <v>0</v>
      </c>
      <c r="AI382" s="44">
        <v>0</v>
      </c>
      <c r="AJ382" s="43">
        <v>131938455</v>
      </c>
      <c r="AK382" s="44">
        <v>0</v>
      </c>
      <c r="AL382" s="43">
        <v>13751200</v>
      </c>
      <c r="AM382" s="43">
        <v>59811000</v>
      </c>
      <c r="AN382" s="44">
        <v>0</v>
      </c>
      <c r="AO382" s="43">
        <v>13751200</v>
      </c>
      <c r="AP382" s="43">
        <v>59811000</v>
      </c>
      <c r="AQ382" s="115">
        <v>0</v>
      </c>
      <c r="AR382" s="114">
        <v>22996200</v>
      </c>
      <c r="AS382" s="114">
        <v>59811000</v>
      </c>
      <c r="AT382" s="39">
        <f t="shared" ref="AT382" si="180">AQ382+AS382</f>
        <v>59811000</v>
      </c>
      <c r="AU382" s="18">
        <f>AJ382-AM382</f>
        <v>72127455</v>
      </c>
      <c r="AV382" s="34">
        <f>AM382-AP382</f>
        <v>0</v>
      </c>
      <c r="AW382" s="34">
        <f>AP382-AT382</f>
        <v>0</v>
      </c>
      <c r="AX382" s="123">
        <f>AP382/AJ382</f>
        <v>0.45332499914448748</v>
      </c>
    </row>
    <row r="383" spans="1:50" ht="18.75" customHeight="1" x14ac:dyDescent="0.2">
      <c r="AA383" s="16"/>
      <c r="AB383" s="17"/>
      <c r="AC383" s="17"/>
      <c r="AD383" s="18"/>
      <c r="AE383" s="34"/>
      <c r="AF383" s="34"/>
      <c r="AG383" s="34"/>
      <c r="AH383" s="34"/>
      <c r="AI383" s="34"/>
      <c r="AJ383" s="18"/>
      <c r="AK383" s="34"/>
      <c r="AL383" s="18"/>
      <c r="AM383" s="18"/>
      <c r="AN383" s="34"/>
      <c r="AO383" s="18"/>
      <c r="AP383" s="18"/>
      <c r="AQ383" s="34"/>
      <c r="AR383" s="34"/>
      <c r="AS383" s="34"/>
      <c r="AT383" s="40"/>
      <c r="AU383" s="18"/>
      <c r="AV383" s="18"/>
      <c r="AW383" s="18"/>
      <c r="AX383" s="18"/>
    </row>
    <row r="384" spans="1:50" ht="18.75" customHeight="1" x14ac:dyDescent="0.2">
      <c r="AA384" s="16"/>
      <c r="AB384" s="29" t="s">
        <v>149</v>
      </c>
      <c r="AC384" s="17"/>
      <c r="AD384" s="18"/>
      <c r="AE384" s="34"/>
      <c r="AF384" s="34"/>
      <c r="AG384" s="34"/>
      <c r="AH384" s="34"/>
      <c r="AI384" s="34"/>
      <c r="AJ384" s="18"/>
      <c r="AK384" s="34"/>
      <c r="AL384" s="18"/>
      <c r="AM384" s="18"/>
      <c r="AN384" s="34"/>
      <c r="AO384" s="18"/>
      <c r="AP384" s="18"/>
      <c r="AQ384" s="34"/>
      <c r="AR384" s="34"/>
      <c r="AS384" s="34"/>
      <c r="AT384" s="40"/>
      <c r="AU384" s="18"/>
      <c r="AV384" s="18"/>
      <c r="AW384" s="18"/>
      <c r="AX384" s="18"/>
    </row>
    <row r="385" spans="1:50" ht="18.75" customHeight="1" x14ac:dyDescent="0.2">
      <c r="AA385" s="16"/>
      <c r="AB385" s="29" t="s">
        <v>81</v>
      </c>
      <c r="AC385" s="17"/>
      <c r="AD385" s="18"/>
      <c r="AE385" s="34"/>
      <c r="AF385" s="34"/>
      <c r="AG385" s="34"/>
      <c r="AH385" s="34"/>
      <c r="AI385" s="34"/>
      <c r="AJ385" s="18"/>
      <c r="AK385" s="34"/>
      <c r="AL385" s="18"/>
      <c r="AM385" s="18"/>
      <c r="AN385" s="34"/>
      <c r="AO385" s="18"/>
      <c r="AP385" s="18"/>
      <c r="AQ385" s="34"/>
      <c r="AR385" s="34"/>
      <c r="AS385" s="34"/>
      <c r="AT385" s="40"/>
      <c r="AU385" s="18"/>
      <c r="AV385" s="18"/>
      <c r="AW385" s="18"/>
      <c r="AX385" s="18"/>
    </row>
    <row r="386" spans="1:50" ht="18.75" customHeight="1" x14ac:dyDescent="0.2">
      <c r="AA386" s="28" t="s">
        <v>288</v>
      </c>
      <c r="AB386" s="29" t="s">
        <v>152</v>
      </c>
      <c r="AC386" s="17"/>
      <c r="AD386" s="18"/>
      <c r="AE386" s="34"/>
      <c r="AF386" s="34"/>
      <c r="AG386" s="34"/>
      <c r="AH386" s="34"/>
      <c r="AI386" s="34"/>
      <c r="AJ386" s="18"/>
      <c r="AK386" s="34"/>
      <c r="AL386" s="18"/>
      <c r="AM386" s="18"/>
      <c r="AN386" s="34"/>
      <c r="AO386" s="18"/>
      <c r="AP386" s="18"/>
      <c r="AQ386" s="34"/>
      <c r="AR386" s="34"/>
      <c r="AS386" s="34"/>
      <c r="AT386" s="40"/>
      <c r="AU386" s="18"/>
      <c r="AV386" s="18"/>
      <c r="AW386" s="18"/>
      <c r="AX386" s="18"/>
    </row>
    <row r="387" spans="1:50" ht="18.75" customHeight="1" x14ac:dyDescent="0.2">
      <c r="A387" s="4" t="s">
        <v>325</v>
      </c>
      <c r="B387" s="4" t="s">
        <v>326</v>
      </c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1" t="s">
        <v>342</v>
      </c>
      <c r="AB387" s="42" t="s">
        <v>328</v>
      </c>
      <c r="AC387" s="43" t="s">
        <v>61</v>
      </c>
      <c r="AD387" s="43">
        <v>1121217736</v>
      </c>
      <c r="AE387" s="44">
        <v>0</v>
      </c>
      <c r="AF387" s="44">
        <v>0</v>
      </c>
      <c r="AG387" s="44">
        <v>0</v>
      </c>
      <c r="AH387" s="44">
        <v>0</v>
      </c>
      <c r="AI387" s="44">
        <v>0</v>
      </c>
      <c r="AJ387" s="43">
        <v>1121217736</v>
      </c>
      <c r="AK387" s="44">
        <v>0</v>
      </c>
      <c r="AL387" s="44">
        <v>0</v>
      </c>
      <c r="AM387" s="43">
        <v>261120827</v>
      </c>
      <c r="AN387" s="44">
        <v>0</v>
      </c>
      <c r="AO387" s="44">
        <v>0</v>
      </c>
      <c r="AP387" s="43">
        <v>261120827</v>
      </c>
      <c r="AQ387" s="44">
        <v>0</v>
      </c>
      <c r="AR387" s="115">
        <v>0</v>
      </c>
      <c r="AS387" s="114">
        <v>261120827</v>
      </c>
      <c r="AT387" s="39">
        <f t="shared" ref="AT387" si="181">AQ387+AS387</f>
        <v>261120827</v>
      </c>
      <c r="AU387" s="18">
        <f>AJ387-AM387</f>
        <v>860096909</v>
      </c>
      <c r="AV387" s="34">
        <f>AM387-AP387</f>
        <v>0</v>
      </c>
      <c r="AW387" s="34">
        <f>AP387-AT387</f>
        <v>0</v>
      </c>
      <c r="AX387" s="123">
        <f>AP387/AJ387</f>
        <v>0.23289038214072633</v>
      </c>
    </row>
    <row r="388" spans="1:50" ht="18.75" customHeight="1" x14ac:dyDescent="0.2">
      <c r="AA388" s="28" t="s">
        <v>288</v>
      </c>
      <c r="AB388" s="29" t="s">
        <v>343</v>
      </c>
      <c r="AC388" s="17"/>
      <c r="AD388" s="18"/>
      <c r="AE388" s="34"/>
      <c r="AF388" s="34"/>
      <c r="AG388" s="34"/>
      <c r="AH388" s="34"/>
      <c r="AI388" s="34"/>
      <c r="AJ388" s="18"/>
      <c r="AK388" s="34"/>
      <c r="AL388" s="18"/>
      <c r="AM388" s="18"/>
      <c r="AN388" s="34"/>
      <c r="AO388" s="18"/>
      <c r="AP388" s="18"/>
      <c r="AQ388" s="18"/>
      <c r="AR388" s="18"/>
      <c r="AS388" s="18"/>
      <c r="AT388" s="39"/>
      <c r="AU388" s="18"/>
      <c r="AV388" s="18"/>
      <c r="AW388" s="34"/>
      <c r="AX388" s="18"/>
    </row>
    <row r="389" spans="1:50" ht="18.75" customHeight="1" x14ac:dyDescent="0.2">
      <c r="A389" s="4" t="s">
        <v>325</v>
      </c>
      <c r="B389" s="4" t="s">
        <v>326</v>
      </c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1" t="s">
        <v>344</v>
      </c>
      <c r="AB389" s="42" t="s">
        <v>328</v>
      </c>
      <c r="AC389" s="43" t="s">
        <v>61</v>
      </c>
      <c r="AD389" s="43">
        <v>10000000</v>
      </c>
      <c r="AE389" s="44">
        <v>0</v>
      </c>
      <c r="AF389" s="44">
        <v>0</v>
      </c>
      <c r="AG389" s="44">
        <v>0</v>
      </c>
      <c r="AH389" s="44">
        <v>0</v>
      </c>
      <c r="AI389" s="44">
        <v>0</v>
      </c>
      <c r="AJ389" s="43">
        <v>10000000</v>
      </c>
      <c r="AK389" s="44">
        <v>0</v>
      </c>
      <c r="AL389" s="44">
        <v>0</v>
      </c>
      <c r="AM389" s="44">
        <v>0</v>
      </c>
      <c r="AN389" s="44">
        <v>0</v>
      </c>
      <c r="AO389" s="44">
        <v>0</v>
      </c>
      <c r="AP389" s="44">
        <v>0</v>
      </c>
      <c r="AQ389" s="44">
        <v>0</v>
      </c>
      <c r="AR389" s="44">
        <v>0</v>
      </c>
      <c r="AS389" s="44">
        <v>0</v>
      </c>
      <c r="AT389" s="40">
        <f t="shared" ref="AT389:AT420" si="182">AQ389+AS389</f>
        <v>0</v>
      </c>
      <c r="AU389" s="18">
        <f>AJ389-AM389</f>
        <v>10000000</v>
      </c>
      <c r="AV389" s="34">
        <f>AM389-AP389</f>
        <v>0</v>
      </c>
      <c r="AW389" s="34">
        <f>AP389-AT389</f>
        <v>0</v>
      </c>
      <c r="AX389" s="123">
        <f>AP389/AJ389</f>
        <v>0</v>
      </c>
    </row>
    <row r="390" spans="1:50" ht="18.75" customHeight="1" x14ac:dyDescent="0.2">
      <c r="AA390" s="28" t="s">
        <v>288</v>
      </c>
      <c r="AB390" s="29" t="s">
        <v>162</v>
      </c>
      <c r="AC390" s="17"/>
      <c r="AD390" s="18"/>
      <c r="AE390" s="34"/>
      <c r="AF390" s="34"/>
      <c r="AG390" s="34"/>
      <c r="AH390" s="34"/>
      <c r="AI390" s="34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30"/>
      <c r="AU390" s="18"/>
      <c r="AV390" s="18"/>
      <c r="AW390" s="18"/>
      <c r="AX390" s="18"/>
    </row>
    <row r="391" spans="1:50" ht="18.75" customHeight="1" x14ac:dyDescent="0.2">
      <c r="AA391" s="16"/>
      <c r="AB391" s="17"/>
      <c r="AC391" s="17"/>
      <c r="AD391" s="18"/>
      <c r="AE391" s="34"/>
      <c r="AF391" s="34"/>
      <c r="AG391" s="34"/>
      <c r="AH391" s="34"/>
      <c r="AI391" s="34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30"/>
      <c r="AU391" s="18"/>
      <c r="AV391" s="18"/>
      <c r="AW391" s="18"/>
      <c r="AX391" s="18"/>
    </row>
    <row r="392" spans="1:50" ht="18.75" customHeight="1" x14ac:dyDescent="0.2">
      <c r="AA392" s="16"/>
      <c r="AB392" s="29" t="s">
        <v>356</v>
      </c>
      <c r="AC392" s="17"/>
      <c r="AD392" s="18"/>
      <c r="AE392" s="34"/>
      <c r="AF392" s="34"/>
      <c r="AG392" s="34"/>
      <c r="AH392" s="34"/>
      <c r="AI392" s="34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30"/>
      <c r="AU392" s="18"/>
      <c r="AV392" s="18"/>
      <c r="AW392" s="18"/>
      <c r="AX392" s="18"/>
    </row>
    <row r="393" spans="1:50" ht="18.75" customHeight="1" x14ac:dyDescent="0.2">
      <c r="AA393" s="16"/>
      <c r="AB393" s="29" t="s">
        <v>286</v>
      </c>
      <c r="AC393" s="17"/>
      <c r="AD393" s="18"/>
      <c r="AE393" s="34"/>
      <c r="AF393" s="34"/>
      <c r="AG393" s="34"/>
      <c r="AH393" s="34"/>
      <c r="AI393" s="34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30"/>
      <c r="AU393" s="18"/>
      <c r="AV393" s="18"/>
      <c r="AW393" s="18"/>
      <c r="AX393" s="18"/>
    </row>
    <row r="394" spans="1:50" ht="18.75" customHeight="1" x14ac:dyDescent="0.2">
      <c r="AA394" s="16"/>
      <c r="AB394" s="29" t="s">
        <v>179</v>
      </c>
      <c r="AC394" s="17"/>
      <c r="AD394" s="18"/>
      <c r="AE394" s="34"/>
      <c r="AF394" s="34"/>
      <c r="AG394" s="34"/>
      <c r="AH394" s="34"/>
      <c r="AI394" s="34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30"/>
      <c r="AU394" s="18"/>
      <c r="AV394" s="18"/>
      <c r="AW394" s="18"/>
      <c r="AX394" s="18"/>
    </row>
    <row r="395" spans="1:50" ht="18.75" customHeight="1" x14ac:dyDescent="0.2">
      <c r="AA395" s="16"/>
      <c r="AB395" s="29" t="s">
        <v>181</v>
      </c>
      <c r="AC395" s="17"/>
      <c r="AD395" s="18"/>
      <c r="AE395" s="34"/>
      <c r="AF395" s="34"/>
      <c r="AG395" s="34"/>
      <c r="AH395" s="34"/>
      <c r="AI395" s="34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30"/>
      <c r="AU395" s="18"/>
      <c r="AV395" s="18"/>
      <c r="AW395" s="18"/>
      <c r="AX395" s="18"/>
    </row>
    <row r="396" spans="1:50" ht="25.5" x14ac:dyDescent="0.2">
      <c r="AA396" s="16"/>
      <c r="AB396" s="29" t="s">
        <v>183</v>
      </c>
      <c r="AC396" s="17"/>
      <c r="AD396" s="18"/>
      <c r="AE396" s="34"/>
      <c r="AF396" s="34"/>
      <c r="AG396" s="34"/>
      <c r="AH396" s="34"/>
      <c r="AI396" s="34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30"/>
      <c r="AU396" s="18"/>
      <c r="AV396" s="18"/>
      <c r="AW396" s="18"/>
      <c r="AX396" s="18"/>
    </row>
    <row r="397" spans="1:50" ht="18.75" customHeight="1" x14ac:dyDescent="0.2">
      <c r="AA397" s="28" t="s">
        <v>288</v>
      </c>
      <c r="AB397" s="29" t="s">
        <v>320</v>
      </c>
      <c r="AC397" s="17"/>
      <c r="AD397" s="18"/>
      <c r="AE397" s="34"/>
      <c r="AF397" s="34"/>
      <c r="AG397" s="34"/>
      <c r="AH397" s="34"/>
      <c r="AI397" s="34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30"/>
      <c r="AU397" s="18"/>
      <c r="AV397" s="18"/>
      <c r="AW397" s="18"/>
      <c r="AX397" s="18"/>
    </row>
    <row r="398" spans="1:50" ht="18.75" customHeight="1" x14ac:dyDescent="0.2">
      <c r="A398" s="4" t="s">
        <v>55</v>
      </c>
      <c r="B398" s="4" t="s">
        <v>56</v>
      </c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1" t="s">
        <v>357</v>
      </c>
      <c r="AB398" s="42" t="s">
        <v>328</v>
      </c>
      <c r="AC398" s="43" t="s">
        <v>61</v>
      </c>
      <c r="AD398" s="43">
        <v>33040051</v>
      </c>
      <c r="AE398" s="44">
        <v>0</v>
      </c>
      <c r="AF398" s="44">
        <v>0</v>
      </c>
      <c r="AG398" s="44">
        <v>0</v>
      </c>
      <c r="AH398" s="44">
        <v>0</v>
      </c>
      <c r="AI398" s="44">
        <v>0</v>
      </c>
      <c r="AJ398" s="43">
        <v>33040051</v>
      </c>
      <c r="AK398" s="44">
        <v>0</v>
      </c>
      <c r="AL398" s="44">
        <v>0</v>
      </c>
      <c r="AM398" s="44">
        <v>0</v>
      </c>
      <c r="AN398" s="44">
        <v>0</v>
      </c>
      <c r="AO398" s="44">
        <v>0</v>
      </c>
      <c r="AP398" s="44">
        <v>0</v>
      </c>
      <c r="AQ398" s="44">
        <v>0</v>
      </c>
      <c r="AR398" s="44">
        <v>0</v>
      </c>
      <c r="AS398" s="44">
        <v>0</v>
      </c>
      <c r="AT398" s="40">
        <f t="shared" ref="AT398" si="183">AQ398+AS398</f>
        <v>0</v>
      </c>
      <c r="AU398" s="18">
        <f>AJ398-AM398</f>
        <v>33040051</v>
      </c>
      <c r="AV398" s="34">
        <f>AM398-AP398</f>
        <v>0</v>
      </c>
      <c r="AW398" s="34">
        <f>AP398-AT398</f>
        <v>0</v>
      </c>
      <c r="AX398" s="123">
        <f>AP398/AJ398</f>
        <v>0</v>
      </c>
    </row>
    <row r="399" spans="1:50" ht="18.75" customHeight="1" x14ac:dyDescent="0.2">
      <c r="AA399" s="16"/>
      <c r="AB399" s="17"/>
      <c r="AC399" s="17"/>
      <c r="AD399" s="18"/>
      <c r="AE399" s="34"/>
      <c r="AF399" s="34"/>
      <c r="AG399" s="34"/>
      <c r="AH399" s="34"/>
      <c r="AI399" s="34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31"/>
      <c r="AU399" s="18"/>
      <c r="AV399" s="18"/>
      <c r="AW399" s="34"/>
      <c r="AX399" s="18"/>
    </row>
    <row r="400" spans="1:50" ht="18.75" customHeight="1" x14ac:dyDescent="0.2">
      <c r="AA400" s="16"/>
      <c r="AB400" s="29" t="s">
        <v>187</v>
      </c>
      <c r="AC400" s="17"/>
      <c r="AD400" s="18"/>
      <c r="AE400" s="34"/>
      <c r="AF400" s="34"/>
      <c r="AG400" s="34"/>
      <c r="AH400" s="34"/>
      <c r="AI400" s="34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31"/>
      <c r="AU400" s="18"/>
      <c r="AV400" s="18"/>
      <c r="AW400" s="34"/>
      <c r="AX400" s="18"/>
    </row>
    <row r="401" spans="1:50" ht="25.5" x14ac:dyDescent="0.2">
      <c r="AA401" s="28" t="s">
        <v>288</v>
      </c>
      <c r="AB401" s="68" t="s">
        <v>358</v>
      </c>
      <c r="AC401" s="17"/>
      <c r="AD401" s="18"/>
      <c r="AE401" s="34"/>
      <c r="AF401" s="34"/>
      <c r="AG401" s="34"/>
      <c r="AH401" s="34"/>
      <c r="AI401" s="34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31"/>
      <c r="AU401" s="18"/>
      <c r="AV401" s="18"/>
      <c r="AW401" s="34"/>
      <c r="AX401" s="18"/>
    </row>
    <row r="402" spans="1:50" ht="18.75" customHeight="1" x14ac:dyDescent="0.2">
      <c r="AA402" s="41" t="s">
        <v>908</v>
      </c>
      <c r="AB402" s="69" t="s">
        <v>233</v>
      </c>
      <c r="AC402" s="17"/>
      <c r="AD402" s="34">
        <v>0</v>
      </c>
      <c r="AE402" s="34">
        <v>0</v>
      </c>
      <c r="AF402" s="34">
        <v>0</v>
      </c>
      <c r="AG402" s="18">
        <v>2000000000</v>
      </c>
      <c r="AH402" s="34">
        <v>0</v>
      </c>
      <c r="AI402" s="18">
        <f>AE402-AF402+AG402-AH402</f>
        <v>2000000000</v>
      </c>
      <c r="AJ402" s="18">
        <f>AD402+AI402</f>
        <v>2000000000</v>
      </c>
      <c r="AK402" s="34">
        <v>0</v>
      </c>
      <c r="AL402" s="44">
        <v>0</v>
      </c>
      <c r="AM402" s="18">
        <v>1998371566.72</v>
      </c>
      <c r="AN402" s="34">
        <v>0</v>
      </c>
      <c r="AO402" s="34">
        <v>0</v>
      </c>
      <c r="AP402" s="18">
        <v>1998371566.72</v>
      </c>
      <c r="AQ402" s="34">
        <v>0</v>
      </c>
      <c r="AR402" s="34">
        <v>0</v>
      </c>
      <c r="AS402" s="34">
        <v>0</v>
      </c>
      <c r="AT402" s="40">
        <f>AQ402+AS402</f>
        <v>0</v>
      </c>
      <c r="AU402" s="18">
        <f>AJ402-AM402</f>
        <v>1628433.2799999714</v>
      </c>
      <c r="AV402" s="133">
        <f>AM402-AP402</f>
        <v>0</v>
      </c>
      <c r="AW402" s="18">
        <f>AP402-AT402</f>
        <v>1998371566.72</v>
      </c>
      <c r="AX402" s="123">
        <f>AP402/AJ402</f>
        <v>0.99918578335999997</v>
      </c>
    </row>
    <row r="403" spans="1:50" ht="24.75" customHeight="1" x14ac:dyDescent="0.2">
      <c r="A403" s="4" t="s">
        <v>55</v>
      </c>
      <c r="B403" s="4" t="s">
        <v>56</v>
      </c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134" t="s">
        <v>359</v>
      </c>
      <c r="AB403" s="69" t="s">
        <v>360</v>
      </c>
      <c r="AC403" s="43" t="s">
        <v>361</v>
      </c>
      <c r="AD403" s="43">
        <v>800000000</v>
      </c>
      <c r="AE403" s="44">
        <v>0</v>
      </c>
      <c r="AF403" s="44">
        <v>0</v>
      </c>
      <c r="AG403" s="44">
        <v>0</v>
      </c>
      <c r="AH403" s="44">
        <v>0</v>
      </c>
      <c r="AI403" s="34">
        <f t="shared" ref="AI403" si="184">AE403-AF403+AG403-AH403</f>
        <v>0</v>
      </c>
      <c r="AJ403" s="18">
        <f t="shared" ref="AJ403" si="185">AD403+AI403</f>
        <v>800000000</v>
      </c>
      <c r="AK403" s="44">
        <v>0</v>
      </c>
      <c r="AL403" s="44">
        <v>0</v>
      </c>
      <c r="AM403" s="43">
        <v>800000000</v>
      </c>
      <c r="AN403" s="44">
        <v>0</v>
      </c>
      <c r="AO403" s="44">
        <v>0</v>
      </c>
      <c r="AP403" s="43">
        <v>800000000</v>
      </c>
      <c r="AQ403" s="44">
        <v>0</v>
      </c>
      <c r="AR403" s="44">
        <v>0</v>
      </c>
      <c r="AS403" s="44">
        <v>0</v>
      </c>
      <c r="AT403" s="40">
        <f t="shared" ref="AT403" si="186">AQ403+AS403</f>
        <v>0</v>
      </c>
      <c r="AU403" s="34">
        <f>AJ403-AM403</f>
        <v>0</v>
      </c>
      <c r="AV403" s="133">
        <f>AM403-AP403</f>
        <v>0</v>
      </c>
      <c r="AW403" s="18">
        <f>AP403-AT403</f>
        <v>800000000</v>
      </c>
      <c r="AX403" s="123">
        <f>AP403/AJ403</f>
        <v>1</v>
      </c>
    </row>
    <row r="405" spans="1:50" ht="18.75" customHeight="1" x14ac:dyDescent="0.2">
      <c r="AA405" s="16"/>
      <c r="AB405" s="68" t="s">
        <v>189</v>
      </c>
      <c r="AC405" s="17"/>
      <c r="AD405" s="18"/>
      <c r="AE405" s="34"/>
      <c r="AF405" s="34"/>
      <c r="AG405" s="34"/>
      <c r="AH405" s="34"/>
      <c r="AI405" s="34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31"/>
      <c r="AU405" s="18"/>
      <c r="AV405" s="18"/>
      <c r="AW405" s="34"/>
      <c r="AX405" s="18"/>
    </row>
    <row r="406" spans="1:50" ht="18.75" customHeight="1" x14ac:dyDescent="0.2">
      <c r="AA406" s="16"/>
      <c r="AB406" s="68" t="s">
        <v>191</v>
      </c>
      <c r="AC406" s="17"/>
      <c r="AD406" s="18"/>
      <c r="AE406" s="34"/>
      <c r="AF406" s="34"/>
      <c r="AG406" s="34"/>
      <c r="AH406" s="34"/>
      <c r="AI406" s="34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31"/>
      <c r="AU406" s="18"/>
      <c r="AV406" s="18"/>
      <c r="AW406" s="34"/>
      <c r="AX406" s="18"/>
    </row>
    <row r="407" spans="1:50" ht="18.75" customHeight="1" x14ac:dyDescent="0.2">
      <c r="AA407" s="28" t="s">
        <v>288</v>
      </c>
      <c r="AB407" s="68" t="s">
        <v>362</v>
      </c>
      <c r="AC407" s="17"/>
      <c r="AD407" s="18"/>
      <c r="AE407" s="34"/>
      <c r="AF407" s="34"/>
      <c r="AG407" s="34"/>
      <c r="AH407" s="34"/>
      <c r="AI407" s="34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31"/>
      <c r="AU407" s="18"/>
      <c r="AV407" s="18"/>
      <c r="AW407" s="34"/>
      <c r="AX407" s="18"/>
    </row>
    <row r="408" spans="1:50" ht="18.75" customHeight="1" x14ac:dyDescent="0.2">
      <c r="A408" s="4" t="s">
        <v>55</v>
      </c>
      <c r="B408" s="4" t="s">
        <v>56</v>
      </c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1" t="s">
        <v>363</v>
      </c>
      <c r="AB408" s="69" t="s">
        <v>233</v>
      </c>
      <c r="AC408" s="43" t="s">
        <v>58</v>
      </c>
      <c r="AD408" s="43">
        <v>295200000</v>
      </c>
      <c r="AE408" s="44">
        <v>0</v>
      </c>
      <c r="AF408" s="44">
        <v>0</v>
      </c>
      <c r="AG408" s="44">
        <v>0</v>
      </c>
      <c r="AH408" s="44">
        <v>0</v>
      </c>
      <c r="AI408" s="34">
        <f t="shared" ref="AI408:AI413" si="187">AE408-AF408+AG408-AH408</f>
        <v>0</v>
      </c>
      <c r="AJ408" s="18">
        <f t="shared" ref="AJ408:AJ413" si="188">AD408+AI408</f>
        <v>295200000</v>
      </c>
      <c r="AK408" s="44">
        <v>0</v>
      </c>
      <c r="AL408" s="44">
        <v>0</v>
      </c>
      <c r="AM408" s="44">
        <v>0</v>
      </c>
      <c r="AN408" s="44">
        <v>0</v>
      </c>
      <c r="AO408" s="44">
        <v>0</v>
      </c>
      <c r="AP408" s="44">
        <v>0</v>
      </c>
      <c r="AQ408" s="44">
        <v>0</v>
      </c>
      <c r="AR408" s="44">
        <v>0</v>
      </c>
      <c r="AS408" s="44">
        <v>0</v>
      </c>
      <c r="AT408" s="40">
        <f t="shared" ref="AT408:AT413" si="189">AQ408+AS408</f>
        <v>0</v>
      </c>
      <c r="AU408" s="18">
        <f t="shared" ref="AU408:AU413" si="190">AJ408-AM408</f>
        <v>295200000</v>
      </c>
      <c r="AV408" s="34">
        <f t="shared" ref="AV408:AV413" si="191">AM408-AP408</f>
        <v>0</v>
      </c>
      <c r="AW408" s="34">
        <f t="shared" ref="AW408:AW413" si="192">AP408-AT408</f>
        <v>0</v>
      </c>
      <c r="AX408" s="123">
        <f t="shared" ref="AX408:AX413" si="193">AP408/AJ408</f>
        <v>0</v>
      </c>
    </row>
    <row r="409" spans="1:50" ht="18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1" t="s">
        <v>1263</v>
      </c>
      <c r="AB409" s="69" t="s">
        <v>1264</v>
      </c>
      <c r="AC409" s="43"/>
      <c r="AD409" s="43">
        <v>0</v>
      </c>
      <c r="AE409" s="44">
        <v>0</v>
      </c>
      <c r="AF409" s="44">
        <v>0</v>
      </c>
      <c r="AG409" s="43">
        <v>563696519</v>
      </c>
      <c r="AH409" s="44"/>
      <c r="AI409" s="18">
        <f t="shared" si="187"/>
        <v>563696519</v>
      </c>
      <c r="AJ409" s="18">
        <f t="shared" si="188"/>
        <v>563696519</v>
      </c>
      <c r="AK409" s="44">
        <v>0</v>
      </c>
      <c r="AL409" s="44">
        <v>0</v>
      </c>
      <c r="AM409" s="44">
        <v>0</v>
      </c>
      <c r="AN409" s="44">
        <v>0</v>
      </c>
      <c r="AO409" s="44">
        <v>0</v>
      </c>
      <c r="AP409" s="44">
        <v>0</v>
      </c>
      <c r="AQ409" s="44">
        <v>0</v>
      </c>
      <c r="AR409" s="44">
        <v>0</v>
      </c>
      <c r="AS409" s="44">
        <v>0</v>
      </c>
      <c r="AT409" s="40">
        <f t="shared" ref="AT409" si="194">AQ409+AS409</f>
        <v>0</v>
      </c>
      <c r="AU409" s="18">
        <f t="shared" si="190"/>
        <v>563696519</v>
      </c>
      <c r="AV409" s="34">
        <f t="shared" si="191"/>
        <v>0</v>
      </c>
      <c r="AW409" s="34">
        <f t="shared" si="192"/>
        <v>0</v>
      </c>
      <c r="AX409" s="123">
        <f t="shared" si="193"/>
        <v>0</v>
      </c>
    </row>
    <row r="410" spans="1:50" ht="18.75" customHeight="1" x14ac:dyDescent="0.2">
      <c r="A410" s="4" t="s">
        <v>55</v>
      </c>
      <c r="B410" s="4" t="s">
        <v>56</v>
      </c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1" t="s">
        <v>364</v>
      </c>
      <c r="AB410" s="69" t="s">
        <v>360</v>
      </c>
      <c r="AC410" s="43" t="s">
        <v>361</v>
      </c>
      <c r="AD410" s="43">
        <v>1948457402</v>
      </c>
      <c r="AE410" s="44">
        <v>0</v>
      </c>
      <c r="AF410" s="44">
        <v>0</v>
      </c>
      <c r="AG410" s="44">
        <v>0</v>
      </c>
      <c r="AH410" s="44">
        <v>0</v>
      </c>
      <c r="AI410" s="34">
        <f t="shared" si="187"/>
        <v>0</v>
      </c>
      <c r="AJ410" s="18">
        <f t="shared" si="188"/>
        <v>1948457402</v>
      </c>
      <c r="AK410" s="44">
        <v>0</v>
      </c>
      <c r="AL410" s="44">
        <v>0</v>
      </c>
      <c r="AM410" s="44">
        <v>0</v>
      </c>
      <c r="AN410" s="44">
        <v>0</v>
      </c>
      <c r="AO410" s="44">
        <v>0</v>
      </c>
      <c r="AP410" s="44">
        <v>0</v>
      </c>
      <c r="AQ410" s="44">
        <v>0</v>
      </c>
      <c r="AR410" s="44">
        <v>0</v>
      </c>
      <c r="AS410" s="44">
        <v>0</v>
      </c>
      <c r="AT410" s="40">
        <f t="shared" si="189"/>
        <v>0</v>
      </c>
      <c r="AU410" s="18">
        <f t="shared" si="190"/>
        <v>1948457402</v>
      </c>
      <c r="AV410" s="34">
        <f t="shared" si="191"/>
        <v>0</v>
      </c>
      <c r="AW410" s="34">
        <f t="shared" si="192"/>
        <v>0</v>
      </c>
      <c r="AX410" s="123">
        <f t="shared" si="193"/>
        <v>0</v>
      </c>
    </row>
    <row r="411" spans="1:50" ht="18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245" t="s">
        <v>1206</v>
      </c>
      <c r="AB411" s="69" t="s">
        <v>1204</v>
      </c>
      <c r="AC411" s="43"/>
      <c r="AD411" s="44">
        <v>0</v>
      </c>
      <c r="AE411" s="43">
        <v>1243761503.24</v>
      </c>
      <c r="AF411" s="44">
        <v>0</v>
      </c>
      <c r="AG411" s="44">
        <v>0</v>
      </c>
      <c r="AH411" s="44">
        <v>0</v>
      </c>
      <c r="AI411" s="18">
        <f t="shared" si="187"/>
        <v>1243761503.24</v>
      </c>
      <c r="AJ411" s="18">
        <f t="shared" si="188"/>
        <v>1243761503.24</v>
      </c>
      <c r="AK411" s="44">
        <v>0</v>
      </c>
      <c r="AL411" s="44">
        <v>0</v>
      </c>
      <c r="AM411" s="44">
        <v>0</v>
      </c>
      <c r="AN411" s="44">
        <v>0</v>
      </c>
      <c r="AO411" s="44">
        <v>0</v>
      </c>
      <c r="AP411" s="44">
        <v>0</v>
      </c>
      <c r="AQ411" s="44">
        <v>0</v>
      </c>
      <c r="AR411" s="44">
        <v>0</v>
      </c>
      <c r="AS411" s="44">
        <v>0</v>
      </c>
      <c r="AT411" s="40">
        <f t="shared" si="189"/>
        <v>0</v>
      </c>
      <c r="AU411" s="18">
        <f t="shared" si="190"/>
        <v>1243761503.24</v>
      </c>
      <c r="AV411" s="34">
        <f t="shared" si="191"/>
        <v>0</v>
      </c>
      <c r="AW411" s="34">
        <f t="shared" si="192"/>
        <v>0</v>
      </c>
      <c r="AX411" s="123">
        <f t="shared" si="193"/>
        <v>0</v>
      </c>
    </row>
    <row r="412" spans="1:50" ht="18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245" t="s">
        <v>1207</v>
      </c>
      <c r="AB412" s="69" t="s">
        <v>1208</v>
      </c>
      <c r="AC412" s="43"/>
      <c r="AD412" s="44">
        <v>0</v>
      </c>
      <c r="AE412" s="43">
        <v>33301512</v>
      </c>
      <c r="AF412" s="44">
        <v>0</v>
      </c>
      <c r="AG412" s="44">
        <v>0</v>
      </c>
      <c r="AH412" s="44">
        <v>0</v>
      </c>
      <c r="AI412" s="18">
        <f t="shared" si="187"/>
        <v>33301512</v>
      </c>
      <c r="AJ412" s="18">
        <f t="shared" si="188"/>
        <v>33301512</v>
      </c>
      <c r="AK412" s="44">
        <v>0</v>
      </c>
      <c r="AL412" s="43">
        <v>33301512</v>
      </c>
      <c r="AM412" s="43">
        <v>33301512</v>
      </c>
      <c r="AN412" s="44">
        <v>0</v>
      </c>
      <c r="AO412" s="43">
        <v>33301512</v>
      </c>
      <c r="AP412" s="43">
        <v>33301512</v>
      </c>
      <c r="AQ412" s="43">
        <v>33301512</v>
      </c>
      <c r="AR412" s="44">
        <v>0</v>
      </c>
      <c r="AS412" s="44">
        <v>0</v>
      </c>
      <c r="AT412" s="39">
        <f t="shared" si="189"/>
        <v>33301512</v>
      </c>
      <c r="AU412" s="18">
        <f t="shared" si="190"/>
        <v>0</v>
      </c>
      <c r="AV412" s="34">
        <f t="shared" si="191"/>
        <v>0</v>
      </c>
      <c r="AW412" s="34">
        <f t="shared" si="192"/>
        <v>0</v>
      </c>
      <c r="AX412" s="123">
        <f t="shared" si="193"/>
        <v>1</v>
      </c>
    </row>
    <row r="413" spans="1:50" ht="18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245" t="s">
        <v>1209</v>
      </c>
      <c r="AB413" s="69" t="s">
        <v>1271</v>
      </c>
      <c r="AC413" s="43"/>
      <c r="AD413" s="44">
        <v>0</v>
      </c>
      <c r="AE413" s="43">
        <v>299273185.5</v>
      </c>
      <c r="AF413" s="44">
        <v>0</v>
      </c>
      <c r="AG413" s="44">
        <v>0</v>
      </c>
      <c r="AH413" s="44">
        <v>0</v>
      </c>
      <c r="AI413" s="18">
        <f t="shared" si="187"/>
        <v>299273185.5</v>
      </c>
      <c r="AJ413" s="18">
        <f t="shared" si="188"/>
        <v>299273185.5</v>
      </c>
      <c r="AK413" s="44">
        <v>0</v>
      </c>
      <c r="AL413" s="43">
        <v>278223200</v>
      </c>
      <c r="AM413" s="43">
        <v>278223200</v>
      </c>
      <c r="AN413" s="44">
        <v>0</v>
      </c>
      <c r="AO413" s="43">
        <v>278223200</v>
      </c>
      <c r="AP413" s="43">
        <v>278223200</v>
      </c>
      <c r="AQ413" s="43">
        <v>124621932.45</v>
      </c>
      <c r="AR413" s="44">
        <v>0</v>
      </c>
      <c r="AS413" s="44">
        <v>0</v>
      </c>
      <c r="AT413" s="39">
        <f t="shared" si="189"/>
        <v>124621932.45</v>
      </c>
      <c r="AU413" s="18">
        <f t="shared" si="190"/>
        <v>21049985.5</v>
      </c>
      <c r="AV413" s="34">
        <f t="shared" si="191"/>
        <v>0</v>
      </c>
      <c r="AW413" s="18">
        <f t="shared" si="192"/>
        <v>153601267.55000001</v>
      </c>
      <c r="AX413" s="123">
        <f t="shared" si="193"/>
        <v>0.9296629751013894</v>
      </c>
    </row>
    <row r="414" spans="1:50" ht="18.75" customHeight="1" x14ac:dyDescent="0.2">
      <c r="AA414" s="28" t="s">
        <v>288</v>
      </c>
      <c r="AB414" s="68" t="s">
        <v>365</v>
      </c>
      <c r="AC414" s="17"/>
      <c r="AD414" s="18"/>
      <c r="AE414" s="34"/>
      <c r="AF414" s="34"/>
      <c r="AG414" s="34"/>
      <c r="AH414" s="34"/>
      <c r="AI414" s="34"/>
      <c r="AJ414" s="18"/>
      <c r="AK414" s="34"/>
      <c r="AL414" s="34"/>
      <c r="AM414" s="34"/>
      <c r="AN414" s="34"/>
      <c r="AO414" s="34"/>
      <c r="AP414" s="34"/>
      <c r="AQ414" s="34"/>
      <c r="AR414" s="34"/>
      <c r="AS414" s="34"/>
      <c r="AT414" s="40"/>
      <c r="AU414" s="18"/>
      <c r="AV414" s="18"/>
      <c r="AW414" s="18"/>
      <c r="AX414" s="18"/>
    </row>
    <row r="415" spans="1:50" ht="18.75" customHeight="1" x14ac:dyDescent="0.2">
      <c r="A415" s="4" t="s">
        <v>55</v>
      </c>
      <c r="B415" s="4" t="s">
        <v>56</v>
      </c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1" t="s">
        <v>366</v>
      </c>
      <c r="AB415" s="69" t="s">
        <v>367</v>
      </c>
      <c r="AC415" s="43" t="s">
        <v>368</v>
      </c>
      <c r="AD415" s="43">
        <v>229393430</v>
      </c>
      <c r="AE415" s="44">
        <v>0</v>
      </c>
      <c r="AF415" s="44">
        <v>0</v>
      </c>
      <c r="AG415" s="44">
        <v>0</v>
      </c>
      <c r="AH415" s="44">
        <v>0</v>
      </c>
      <c r="AI415" s="34">
        <f t="shared" ref="AI415:AI416" si="195">AE415-AF415+AG415-AH415</f>
        <v>0</v>
      </c>
      <c r="AJ415" s="18">
        <f t="shared" ref="AJ415:AJ416" si="196">AD415+AI415</f>
        <v>229393430</v>
      </c>
      <c r="AK415" s="44">
        <v>0</v>
      </c>
      <c r="AL415" s="44">
        <v>0</v>
      </c>
      <c r="AM415" s="44">
        <v>0</v>
      </c>
      <c r="AN415" s="44">
        <v>0</v>
      </c>
      <c r="AO415" s="44">
        <v>0</v>
      </c>
      <c r="AP415" s="44">
        <v>0</v>
      </c>
      <c r="AQ415" s="44">
        <v>0</v>
      </c>
      <c r="AR415" s="44">
        <v>0</v>
      </c>
      <c r="AS415" s="44">
        <v>0</v>
      </c>
      <c r="AT415" s="40">
        <f t="shared" si="182"/>
        <v>0</v>
      </c>
      <c r="AU415" s="18">
        <f>AJ415-AM415</f>
        <v>229393430</v>
      </c>
      <c r="AV415" s="34">
        <f>AM415-AP415</f>
        <v>0</v>
      </c>
      <c r="AW415" s="34">
        <f>AP415-AT415</f>
        <v>0</v>
      </c>
      <c r="AX415" s="123">
        <f>AP415/AJ415</f>
        <v>0</v>
      </c>
    </row>
    <row r="416" spans="1:50" ht="18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173" t="s">
        <v>1203</v>
      </c>
      <c r="AB416" s="69" t="s">
        <v>1204</v>
      </c>
      <c r="AC416" s="43"/>
      <c r="AD416" s="43">
        <v>0</v>
      </c>
      <c r="AE416" s="43">
        <v>500000000</v>
      </c>
      <c r="AF416" s="44">
        <v>0</v>
      </c>
      <c r="AG416" s="44">
        <v>0</v>
      </c>
      <c r="AH416" s="44">
        <v>0</v>
      </c>
      <c r="AI416" s="18">
        <f t="shared" si="195"/>
        <v>500000000</v>
      </c>
      <c r="AJ416" s="18">
        <f t="shared" si="196"/>
        <v>500000000</v>
      </c>
      <c r="AK416" s="44">
        <v>0</v>
      </c>
      <c r="AL416" s="44">
        <v>0</v>
      </c>
      <c r="AM416" s="44">
        <v>0</v>
      </c>
      <c r="AN416" s="44">
        <v>0</v>
      </c>
      <c r="AO416" s="44">
        <v>0</v>
      </c>
      <c r="AP416" s="44">
        <v>0</v>
      </c>
      <c r="AQ416" s="44">
        <v>0</v>
      </c>
      <c r="AR416" s="44">
        <v>0</v>
      </c>
      <c r="AS416" s="44">
        <v>0</v>
      </c>
      <c r="AT416" s="40">
        <f t="shared" si="182"/>
        <v>0</v>
      </c>
      <c r="AU416" s="18">
        <f>AJ416-AM416</f>
        <v>500000000</v>
      </c>
      <c r="AV416" s="34">
        <f>AM416-AP416</f>
        <v>0</v>
      </c>
      <c r="AW416" s="34">
        <f>AP416-AT416</f>
        <v>0</v>
      </c>
      <c r="AX416" s="123">
        <f>AP416/AJ416</f>
        <v>0</v>
      </c>
    </row>
    <row r="417" spans="1:50" ht="18.75" customHeight="1" x14ac:dyDescent="0.2">
      <c r="AA417" s="28" t="s">
        <v>288</v>
      </c>
      <c r="AB417" s="68" t="s">
        <v>369</v>
      </c>
      <c r="AC417" s="17"/>
      <c r="AD417" s="18"/>
      <c r="AE417" s="34"/>
      <c r="AF417" s="34"/>
      <c r="AG417" s="34"/>
      <c r="AH417" s="34"/>
      <c r="AI417" s="34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40"/>
      <c r="AU417" s="18"/>
      <c r="AV417" s="18"/>
      <c r="AW417" s="18"/>
      <c r="AX417" s="18"/>
    </row>
    <row r="418" spans="1:50" ht="18.75" customHeight="1" x14ac:dyDescent="0.2">
      <c r="A418" s="4" t="s">
        <v>55</v>
      </c>
      <c r="B418" s="4" t="s">
        <v>56</v>
      </c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1" t="s">
        <v>370</v>
      </c>
      <c r="AB418" s="69" t="s">
        <v>233</v>
      </c>
      <c r="AC418" s="43" t="s">
        <v>58</v>
      </c>
      <c r="AD418" s="43">
        <v>209880000</v>
      </c>
      <c r="AE418" s="44">
        <v>0</v>
      </c>
      <c r="AF418" s="44">
        <v>0</v>
      </c>
      <c r="AG418" s="44">
        <v>0</v>
      </c>
      <c r="AH418" s="44">
        <v>0</v>
      </c>
      <c r="AI418" s="18">
        <f>AE418-AF418+AG418-AH418</f>
        <v>0</v>
      </c>
      <c r="AJ418" s="18">
        <f>AD418+AI418</f>
        <v>209880000</v>
      </c>
      <c r="AK418" s="44">
        <v>0</v>
      </c>
      <c r="AL418" s="44">
        <v>0</v>
      </c>
      <c r="AM418" s="43">
        <v>96000000</v>
      </c>
      <c r="AN418" s="44">
        <v>0</v>
      </c>
      <c r="AO418" s="44">
        <v>0</v>
      </c>
      <c r="AP418" s="43">
        <v>96000000</v>
      </c>
      <c r="AQ418" s="43">
        <v>14000000</v>
      </c>
      <c r="AR418" s="43">
        <v>12000000</v>
      </c>
      <c r="AS418" s="43">
        <v>45133331</v>
      </c>
      <c r="AT418" s="39">
        <f t="shared" si="182"/>
        <v>59133331</v>
      </c>
      <c r="AU418" s="18">
        <f>AJ418-AM418</f>
        <v>113880000</v>
      </c>
      <c r="AV418" s="34">
        <f>AM418-AP418</f>
        <v>0</v>
      </c>
      <c r="AW418" s="18">
        <f>AP418-AT418</f>
        <v>36866669</v>
      </c>
      <c r="AX418" s="123">
        <f>AP418/AJ418</f>
        <v>0.45740423098913663</v>
      </c>
    </row>
    <row r="419" spans="1:50" ht="18.75" customHeight="1" x14ac:dyDescent="0.2">
      <c r="AA419" s="28" t="s">
        <v>288</v>
      </c>
      <c r="AB419" s="68" t="s">
        <v>371</v>
      </c>
      <c r="AC419" s="17"/>
      <c r="AD419" s="18"/>
      <c r="AE419" s="34"/>
      <c r="AF419" s="34"/>
      <c r="AG419" s="34"/>
      <c r="AH419" s="34"/>
      <c r="AI419" s="34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40"/>
      <c r="AU419" s="18"/>
      <c r="AV419" s="18"/>
      <c r="AW419" s="18"/>
      <c r="AX419" s="18"/>
    </row>
    <row r="420" spans="1:50" ht="18.75" customHeight="1" x14ac:dyDescent="0.2">
      <c r="A420" s="4" t="s">
        <v>55</v>
      </c>
      <c r="B420" s="4" t="s">
        <v>56</v>
      </c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1" t="s">
        <v>372</v>
      </c>
      <c r="AB420" s="69" t="s">
        <v>233</v>
      </c>
      <c r="AC420" s="43" t="s">
        <v>58</v>
      </c>
      <c r="AD420" s="43">
        <v>290120000</v>
      </c>
      <c r="AE420" s="44">
        <v>0</v>
      </c>
      <c r="AF420" s="44">
        <v>0</v>
      </c>
      <c r="AG420" s="44">
        <v>0</v>
      </c>
      <c r="AH420" s="44">
        <v>0</v>
      </c>
      <c r="AI420" s="18">
        <f>AE420-AF420+AG420-AH420</f>
        <v>0</v>
      </c>
      <c r="AJ420" s="18">
        <f>AD420+AI420</f>
        <v>290120000</v>
      </c>
      <c r="AK420" s="44">
        <v>0</v>
      </c>
      <c r="AL420" s="43">
        <v>100124000</v>
      </c>
      <c r="AM420" s="43">
        <v>100124000</v>
      </c>
      <c r="AN420" s="44">
        <v>100124000</v>
      </c>
      <c r="AO420" s="44">
        <v>0</v>
      </c>
      <c r="AP420" s="44">
        <v>0</v>
      </c>
      <c r="AQ420" s="44">
        <v>0</v>
      </c>
      <c r="AR420" s="44">
        <v>0</v>
      </c>
      <c r="AS420" s="44">
        <v>0</v>
      </c>
      <c r="AT420" s="40">
        <f t="shared" si="182"/>
        <v>0</v>
      </c>
      <c r="AU420" s="18">
        <f>AJ420-AM420</f>
        <v>189996000</v>
      </c>
      <c r="AV420" s="34">
        <f>AM420-AP420</f>
        <v>100124000</v>
      </c>
      <c r="AW420" s="34">
        <f>AP420-AT420</f>
        <v>0</v>
      </c>
      <c r="AX420" s="123">
        <f>AP420/AJ420</f>
        <v>0</v>
      </c>
    </row>
    <row r="421" spans="1:50" ht="18.75" customHeight="1" x14ac:dyDescent="0.2">
      <c r="AA421" s="16"/>
      <c r="AB421" s="70"/>
      <c r="AC421" s="17"/>
      <c r="AD421" s="18"/>
      <c r="AE421" s="34"/>
      <c r="AF421" s="34"/>
      <c r="AG421" s="34"/>
      <c r="AH421" s="34"/>
      <c r="AI421" s="34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40"/>
      <c r="AU421" s="18"/>
      <c r="AV421" s="18"/>
      <c r="AW421" s="18"/>
      <c r="AX421" s="18"/>
    </row>
    <row r="422" spans="1:50" ht="38.25" x14ac:dyDescent="0.2">
      <c r="AA422" s="16"/>
      <c r="AB422" s="68" t="s">
        <v>373</v>
      </c>
      <c r="AC422" s="17"/>
      <c r="AD422" s="18"/>
      <c r="AE422" s="34"/>
      <c r="AF422" s="34"/>
      <c r="AG422" s="34"/>
      <c r="AH422" s="34"/>
      <c r="AI422" s="34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40"/>
      <c r="AU422" s="18"/>
      <c r="AV422" s="18"/>
      <c r="AW422" s="18"/>
      <c r="AX422" s="18"/>
    </row>
    <row r="423" spans="1:50" ht="25.5" x14ac:dyDescent="0.2">
      <c r="AA423" s="28"/>
      <c r="AB423" s="68" t="s">
        <v>374</v>
      </c>
      <c r="AC423" s="17"/>
      <c r="AD423" s="18"/>
      <c r="AE423" s="34"/>
      <c r="AF423" s="34"/>
      <c r="AG423" s="34"/>
      <c r="AH423" s="34"/>
      <c r="AI423" s="34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40"/>
      <c r="AU423" s="18"/>
      <c r="AV423" s="18"/>
      <c r="AW423" s="18"/>
      <c r="AX423" s="18"/>
    </row>
    <row r="424" spans="1:50" ht="25.5" x14ac:dyDescent="0.2">
      <c r="AA424" s="28" t="s">
        <v>288</v>
      </c>
      <c r="AB424" s="68" t="s">
        <v>375</v>
      </c>
      <c r="AC424" s="17"/>
      <c r="AD424" s="18"/>
      <c r="AE424" s="34"/>
      <c r="AF424" s="34"/>
      <c r="AG424" s="34"/>
      <c r="AH424" s="34"/>
      <c r="AI424" s="34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40"/>
      <c r="AU424" s="18"/>
      <c r="AV424" s="18"/>
      <c r="AW424" s="18"/>
      <c r="AX424" s="18"/>
    </row>
    <row r="425" spans="1:50" x14ac:dyDescent="0.2">
      <c r="A425" s="4" t="s">
        <v>55</v>
      </c>
      <c r="B425" s="4" t="s">
        <v>56</v>
      </c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1" t="s">
        <v>376</v>
      </c>
      <c r="AB425" s="69" t="s">
        <v>233</v>
      </c>
      <c r="AC425" s="43" t="s">
        <v>58</v>
      </c>
      <c r="AD425" s="43">
        <v>3416292195</v>
      </c>
      <c r="AE425" s="44">
        <v>0</v>
      </c>
      <c r="AF425" s="44">
        <v>0</v>
      </c>
      <c r="AG425" s="44">
        <v>0</v>
      </c>
      <c r="AH425" s="44">
        <v>0</v>
      </c>
      <c r="AI425" s="18">
        <f>AE425-AF425+AG425-AH425</f>
        <v>0</v>
      </c>
      <c r="AJ425" s="18">
        <f>AD425+AI425</f>
        <v>3416292195</v>
      </c>
      <c r="AK425" s="44">
        <v>0</v>
      </c>
      <c r="AL425" s="44">
        <v>0</v>
      </c>
      <c r="AM425" s="43">
        <v>3321331218</v>
      </c>
      <c r="AN425" s="44">
        <v>0</v>
      </c>
      <c r="AO425" s="44">
        <v>0</v>
      </c>
      <c r="AP425" s="43">
        <v>3321331218</v>
      </c>
      <c r="AQ425" s="44">
        <v>0</v>
      </c>
      <c r="AR425" s="44">
        <v>0</v>
      </c>
      <c r="AS425" s="43">
        <v>21176441</v>
      </c>
      <c r="AT425" s="39">
        <f t="shared" ref="AT425" si="197">AQ425+AS425</f>
        <v>21176441</v>
      </c>
      <c r="AU425" s="18">
        <f>AJ425-AM425</f>
        <v>94960977</v>
      </c>
      <c r="AV425" s="110">
        <f>AM425-AP425</f>
        <v>0</v>
      </c>
      <c r="AW425" s="18">
        <f>AP425-AT425</f>
        <v>3300154777</v>
      </c>
      <c r="AX425" s="123">
        <f>AP425/AJ425</f>
        <v>0.97220349677964246</v>
      </c>
    </row>
    <row r="426" spans="1:50" ht="18.75" customHeight="1" x14ac:dyDescent="0.2">
      <c r="AA426" s="28" t="s">
        <v>288</v>
      </c>
      <c r="AB426" s="29" t="s">
        <v>320</v>
      </c>
      <c r="AC426" s="17"/>
      <c r="AD426" s="18"/>
      <c r="AE426" s="34"/>
      <c r="AF426" s="34"/>
      <c r="AG426" s="34"/>
      <c r="AH426" s="34"/>
      <c r="AI426" s="34"/>
      <c r="AJ426" s="18"/>
      <c r="AK426" s="34"/>
      <c r="AL426" s="34"/>
      <c r="AM426" s="18"/>
      <c r="AN426" s="34"/>
      <c r="AO426" s="34"/>
      <c r="AP426" s="18"/>
      <c r="AQ426" s="34"/>
      <c r="AR426" s="34"/>
      <c r="AS426" s="34"/>
      <c r="AT426" s="40"/>
      <c r="AU426" s="18"/>
      <c r="AV426" s="18"/>
      <c r="AW426" s="18"/>
      <c r="AX426" s="18"/>
    </row>
    <row r="427" spans="1:50" ht="18.75" customHeight="1" x14ac:dyDescent="0.2">
      <c r="A427" s="4" t="s">
        <v>55</v>
      </c>
      <c r="B427" s="4" t="s">
        <v>56</v>
      </c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1" t="s">
        <v>377</v>
      </c>
      <c r="AB427" s="42" t="s">
        <v>328</v>
      </c>
      <c r="AC427" s="43" t="s">
        <v>61</v>
      </c>
      <c r="AD427" s="43">
        <v>10632000</v>
      </c>
      <c r="AE427" s="44">
        <v>0</v>
      </c>
      <c r="AF427" s="44">
        <v>0</v>
      </c>
      <c r="AG427" s="44">
        <v>0</v>
      </c>
      <c r="AH427" s="44">
        <v>0</v>
      </c>
      <c r="AI427" s="18">
        <f t="shared" ref="AI427:AI429" si="198">AE427-AF427+AG427-AH427</f>
        <v>0</v>
      </c>
      <c r="AJ427" s="18">
        <f t="shared" ref="AJ427:AJ429" si="199">AD427+AI427</f>
        <v>10632000</v>
      </c>
      <c r="AK427" s="44">
        <v>0</v>
      </c>
      <c r="AL427" s="44">
        <v>0</v>
      </c>
      <c r="AM427" s="44">
        <v>0</v>
      </c>
      <c r="AN427" s="44">
        <v>0</v>
      </c>
      <c r="AO427" s="44">
        <v>0</v>
      </c>
      <c r="AP427" s="44">
        <v>0</v>
      </c>
      <c r="AQ427" s="44">
        <v>0</v>
      </c>
      <c r="AR427" s="44">
        <v>0</v>
      </c>
      <c r="AS427" s="44">
        <v>0</v>
      </c>
      <c r="AT427" s="40">
        <f t="shared" ref="AT427:AT429" si="200">AQ427+AS427</f>
        <v>0</v>
      </c>
      <c r="AU427" s="18">
        <f>AJ427-AM427</f>
        <v>10632000</v>
      </c>
      <c r="AV427" s="34">
        <f>AM427-AP427</f>
        <v>0</v>
      </c>
      <c r="AW427" s="34">
        <f>AP427-AT427</f>
        <v>0</v>
      </c>
      <c r="AX427" s="123">
        <f>AP427/AJ427</f>
        <v>0</v>
      </c>
    </row>
    <row r="428" spans="1:50" ht="18.75" customHeight="1" x14ac:dyDescent="0.2">
      <c r="A428" s="4" t="s">
        <v>55</v>
      </c>
      <c r="B428" s="4" t="s">
        <v>56</v>
      </c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1" t="s">
        <v>378</v>
      </c>
      <c r="AB428" s="42" t="s">
        <v>379</v>
      </c>
      <c r="AC428" s="43" t="s">
        <v>380</v>
      </c>
      <c r="AD428" s="43">
        <v>2835585455</v>
      </c>
      <c r="AE428" s="44">
        <v>0</v>
      </c>
      <c r="AF428" s="44">
        <v>0</v>
      </c>
      <c r="AG428" s="44">
        <v>0</v>
      </c>
      <c r="AH428" s="44">
        <v>0</v>
      </c>
      <c r="AI428" s="18">
        <f t="shared" si="198"/>
        <v>0</v>
      </c>
      <c r="AJ428" s="18">
        <f t="shared" si="199"/>
        <v>2835585455</v>
      </c>
      <c r="AK428" s="44">
        <v>0</v>
      </c>
      <c r="AL428" s="43">
        <v>156712797</v>
      </c>
      <c r="AM428" s="43">
        <v>906847776</v>
      </c>
      <c r="AN428" s="44">
        <v>0</v>
      </c>
      <c r="AO428" s="43">
        <v>156712797</v>
      </c>
      <c r="AP428" s="43">
        <v>906847776</v>
      </c>
      <c r="AQ428" s="115">
        <v>0</v>
      </c>
      <c r="AR428" s="43">
        <v>307939725</v>
      </c>
      <c r="AS428" s="43">
        <v>906847776</v>
      </c>
      <c r="AT428" s="39">
        <f t="shared" si="200"/>
        <v>906847776</v>
      </c>
      <c r="AU428" s="18">
        <f>AJ428-AM428</f>
        <v>1928737679</v>
      </c>
      <c r="AV428" s="34">
        <f>AM428-AP428</f>
        <v>0</v>
      </c>
      <c r="AW428" s="18">
        <f>AP428-AT428</f>
        <v>0</v>
      </c>
      <c r="AX428" s="123">
        <f>AP428/AJ428</f>
        <v>0.31980971492181676</v>
      </c>
    </row>
    <row r="429" spans="1:50" ht="18.75" customHeight="1" x14ac:dyDescent="0.2">
      <c r="A429" s="4" t="s">
        <v>55</v>
      </c>
      <c r="B429" s="4" t="s">
        <v>56</v>
      </c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1" t="s">
        <v>381</v>
      </c>
      <c r="AB429" s="42" t="s">
        <v>382</v>
      </c>
      <c r="AC429" s="43" t="s">
        <v>383</v>
      </c>
      <c r="AD429" s="43">
        <v>1274304912</v>
      </c>
      <c r="AE429" s="44">
        <v>0</v>
      </c>
      <c r="AF429" s="44">
        <v>0</v>
      </c>
      <c r="AG429" s="44">
        <v>0</v>
      </c>
      <c r="AH429" s="43">
        <v>563696519</v>
      </c>
      <c r="AI429" s="18">
        <f t="shared" si="198"/>
        <v>-563696519</v>
      </c>
      <c r="AJ429" s="18">
        <f t="shared" si="199"/>
        <v>710608393</v>
      </c>
      <c r="AK429" s="44">
        <v>0</v>
      </c>
      <c r="AL429" s="44">
        <v>0</v>
      </c>
      <c r="AM429" s="44">
        <v>0</v>
      </c>
      <c r="AN429" s="44">
        <v>0</v>
      </c>
      <c r="AO429" s="44">
        <v>0</v>
      </c>
      <c r="AP429" s="44">
        <v>0</v>
      </c>
      <c r="AQ429" s="44">
        <v>0</v>
      </c>
      <c r="AR429" s="44">
        <v>0</v>
      </c>
      <c r="AS429" s="44">
        <v>0</v>
      </c>
      <c r="AT429" s="40">
        <f t="shared" si="200"/>
        <v>0</v>
      </c>
      <c r="AU429" s="18">
        <f>AJ429-AM429</f>
        <v>710608393</v>
      </c>
      <c r="AV429" s="34">
        <f>AM429-AP429</f>
        <v>0</v>
      </c>
      <c r="AW429" s="34">
        <f>AP429-AT429</f>
        <v>0</v>
      </c>
      <c r="AX429" s="123">
        <f>AP429/AJ429</f>
        <v>0</v>
      </c>
    </row>
    <row r="430" spans="1:50" ht="38.25" x14ac:dyDescent="0.2">
      <c r="AA430" s="28" t="s">
        <v>288</v>
      </c>
      <c r="AB430" s="29" t="s">
        <v>384</v>
      </c>
      <c r="AC430" s="17"/>
      <c r="AD430" s="18"/>
      <c r="AE430" s="34"/>
      <c r="AF430" s="34"/>
      <c r="AG430" s="34"/>
      <c r="AH430" s="34"/>
      <c r="AI430" s="34"/>
      <c r="AJ430" s="18"/>
      <c r="AK430" s="18"/>
      <c r="AL430" s="18"/>
      <c r="AM430" s="18"/>
      <c r="AN430" s="34"/>
      <c r="AO430" s="34"/>
      <c r="AP430" s="18"/>
      <c r="AQ430" s="18"/>
      <c r="AR430" s="18"/>
      <c r="AS430" s="18"/>
      <c r="AT430" s="39"/>
      <c r="AU430" s="18"/>
      <c r="AV430" s="18"/>
      <c r="AW430" s="18"/>
      <c r="AX430" s="18"/>
    </row>
    <row r="431" spans="1:50" ht="18.75" customHeight="1" x14ac:dyDescent="0.2">
      <c r="A431" s="4" t="s">
        <v>55</v>
      </c>
      <c r="B431" s="4" t="s">
        <v>56</v>
      </c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1" t="s">
        <v>385</v>
      </c>
      <c r="AB431" s="42" t="s">
        <v>233</v>
      </c>
      <c r="AC431" s="43" t="s">
        <v>58</v>
      </c>
      <c r="AD431" s="43">
        <v>9793380820</v>
      </c>
      <c r="AE431" s="44">
        <v>0</v>
      </c>
      <c r="AF431" s="44">
        <v>0</v>
      </c>
      <c r="AG431" s="44">
        <v>0</v>
      </c>
      <c r="AH431" s="44">
        <v>0</v>
      </c>
      <c r="AI431" s="18">
        <f t="shared" ref="AI431:AI437" si="201">AE431-AF431+AG431-AH431</f>
        <v>0</v>
      </c>
      <c r="AJ431" s="18">
        <f t="shared" ref="AJ431:AJ437" si="202">AD431+AI431</f>
        <v>9793380820</v>
      </c>
      <c r="AK431" s="44">
        <v>0</v>
      </c>
      <c r="AL431" s="43">
        <v>-733976592.20000005</v>
      </c>
      <c r="AM431" s="43">
        <v>8828103480.7999992</v>
      </c>
      <c r="AN431" s="44">
        <v>0</v>
      </c>
      <c r="AO431" s="43">
        <v>-692946619.20000005</v>
      </c>
      <c r="AP431" s="43">
        <v>8828103480.7999992</v>
      </c>
      <c r="AQ431" s="43">
        <v>17000000</v>
      </c>
      <c r="AR431" s="43">
        <v>17000000</v>
      </c>
      <c r="AS431" s="43">
        <v>187568197</v>
      </c>
      <c r="AT431" s="39">
        <f t="shared" ref="AT431:AT438" si="203">AQ431+AS431</f>
        <v>204568197</v>
      </c>
      <c r="AU431" s="18">
        <f t="shared" ref="AU431:AU438" si="204">AJ431-AM431</f>
        <v>965277339.20000076</v>
      </c>
      <c r="AV431" s="110">
        <f t="shared" ref="AV431:AV438" si="205">AM431-AP431</f>
        <v>0</v>
      </c>
      <c r="AW431" s="110">
        <f t="shared" ref="AW431:AW438" si="206">AP431-AT431</f>
        <v>8623535283.7999992</v>
      </c>
      <c r="AX431" s="123">
        <f t="shared" ref="AX431:AX438" si="207">AP431/AJ431</f>
        <v>0.9014357394099578</v>
      </c>
    </row>
    <row r="432" spans="1:50" ht="18.75" customHeight="1" x14ac:dyDescent="0.2">
      <c r="A432" s="4" t="s">
        <v>55</v>
      </c>
      <c r="B432" s="4" t="s">
        <v>56</v>
      </c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1" t="s">
        <v>386</v>
      </c>
      <c r="AB432" s="42" t="s">
        <v>382</v>
      </c>
      <c r="AC432" s="43" t="s">
        <v>383</v>
      </c>
      <c r="AD432" s="43">
        <v>8000000000</v>
      </c>
      <c r="AE432" s="44">
        <v>0</v>
      </c>
      <c r="AF432" s="44">
        <v>0</v>
      </c>
      <c r="AG432" s="44">
        <v>0</v>
      </c>
      <c r="AH432" s="44">
        <v>0</v>
      </c>
      <c r="AI432" s="18">
        <f t="shared" si="201"/>
        <v>0</v>
      </c>
      <c r="AJ432" s="18">
        <f t="shared" si="202"/>
        <v>8000000000</v>
      </c>
      <c r="AK432" s="44">
        <v>0</v>
      </c>
      <c r="AL432" s="43">
        <v>0</v>
      </c>
      <c r="AM432" s="43">
        <v>8000000000</v>
      </c>
      <c r="AN432" s="44">
        <v>0</v>
      </c>
      <c r="AO432" s="43">
        <v>0</v>
      </c>
      <c r="AP432" s="43">
        <v>8000000000</v>
      </c>
      <c r="AQ432" s="44">
        <v>0</v>
      </c>
      <c r="AR432" s="44">
        <v>0</v>
      </c>
      <c r="AS432" s="44">
        <v>0</v>
      </c>
      <c r="AT432" s="40">
        <f t="shared" si="203"/>
        <v>0</v>
      </c>
      <c r="AU432" s="34">
        <f t="shared" si="204"/>
        <v>0</v>
      </c>
      <c r="AV432" s="34">
        <f t="shared" si="205"/>
        <v>0</v>
      </c>
      <c r="AW432" s="18">
        <f t="shared" si="206"/>
        <v>8000000000</v>
      </c>
      <c r="AX432" s="123">
        <f t="shared" si="207"/>
        <v>1</v>
      </c>
    </row>
    <row r="433" spans="1:50" ht="18.75" customHeight="1" x14ac:dyDescent="0.2">
      <c r="A433" s="4" t="s">
        <v>55</v>
      </c>
      <c r="B433" s="4" t="s">
        <v>56</v>
      </c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1" t="s">
        <v>387</v>
      </c>
      <c r="AB433" s="42" t="s">
        <v>388</v>
      </c>
      <c r="AC433" s="43" t="s">
        <v>389</v>
      </c>
      <c r="AD433" s="43">
        <v>951016677</v>
      </c>
      <c r="AE433" s="44">
        <v>0</v>
      </c>
      <c r="AF433" s="44">
        <v>0</v>
      </c>
      <c r="AG433" s="44">
        <v>0</v>
      </c>
      <c r="AH433" s="44">
        <v>0</v>
      </c>
      <c r="AI433" s="18">
        <f t="shared" si="201"/>
        <v>0</v>
      </c>
      <c r="AJ433" s="18">
        <f t="shared" si="202"/>
        <v>951016677</v>
      </c>
      <c r="AK433" s="44">
        <v>0</v>
      </c>
      <c r="AL433" s="43">
        <v>-16936226</v>
      </c>
      <c r="AM433" s="43">
        <v>934080451</v>
      </c>
      <c r="AN433" s="44">
        <v>0</v>
      </c>
      <c r="AO433" s="43">
        <v>-16936226</v>
      </c>
      <c r="AP433" s="43">
        <v>934080451</v>
      </c>
      <c r="AQ433" s="44">
        <v>0</v>
      </c>
      <c r="AR433" s="43">
        <v>934080451</v>
      </c>
      <c r="AS433" s="43">
        <v>934080451</v>
      </c>
      <c r="AT433" s="39">
        <f t="shared" si="203"/>
        <v>934080451</v>
      </c>
      <c r="AU433" s="18">
        <f t="shared" si="204"/>
        <v>16936226</v>
      </c>
      <c r="AV433" s="34">
        <f t="shared" si="205"/>
        <v>0</v>
      </c>
      <c r="AW433" s="18">
        <f t="shared" si="206"/>
        <v>0</v>
      </c>
      <c r="AX433" s="123">
        <f t="shared" si="207"/>
        <v>0.9821914521484254</v>
      </c>
    </row>
    <row r="434" spans="1:50" ht="18.75" customHeight="1" x14ac:dyDescent="0.2">
      <c r="A434" s="4" t="s">
        <v>55</v>
      </c>
      <c r="B434" s="4" t="s">
        <v>56</v>
      </c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1" t="s">
        <v>390</v>
      </c>
      <c r="AB434" s="42" t="s">
        <v>391</v>
      </c>
      <c r="AC434" s="43" t="s">
        <v>392</v>
      </c>
      <c r="AD434" s="43">
        <v>2011708314</v>
      </c>
      <c r="AE434" s="44">
        <v>0</v>
      </c>
      <c r="AF434" s="44">
        <v>0</v>
      </c>
      <c r="AG434" s="44">
        <v>0</v>
      </c>
      <c r="AH434" s="44">
        <v>0</v>
      </c>
      <c r="AI434" s="18">
        <f t="shared" si="201"/>
        <v>0</v>
      </c>
      <c r="AJ434" s="18">
        <f t="shared" si="202"/>
        <v>2011708314</v>
      </c>
      <c r="AK434" s="44">
        <v>0</v>
      </c>
      <c r="AL434" s="43">
        <v>-32982901.5</v>
      </c>
      <c r="AM434" s="43">
        <v>1978725412.5</v>
      </c>
      <c r="AN434" s="44">
        <v>0</v>
      </c>
      <c r="AO434" s="43">
        <v>-32982901.5</v>
      </c>
      <c r="AP434" s="43">
        <v>1978725412.5</v>
      </c>
      <c r="AQ434" s="44">
        <v>0</v>
      </c>
      <c r="AR434" s="43">
        <v>38275711.5</v>
      </c>
      <c r="AS434" s="43">
        <v>38275711.5</v>
      </c>
      <c r="AT434" s="39">
        <f t="shared" si="203"/>
        <v>38275711.5</v>
      </c>
      <c r="AU434" s="18">
        <f t="shared" si="204"/>
        <v>32982901.5</v>
      </c>
      <c r="AV434" s="34">
        <f t="shared" si="205"/>
        <v>0</v>
      </c>
      <c r="AW434" s="18">
        <f t="shared" si="206"/>
        <v>1940449701</v>
      </c>
      <c r="AX434" s="123">
        <f t="shared" si="207"/>
        <v>0.98360453090019884</v>
      </c>
    </row>
    <row r="435" spans="1:50" ht="18.75" customHeight="1" x14ac:dyDescent="0.2">
      <c r="A435" s="4" t="s">
        <v>55</v>
      </c>
      <c r="B435" s="4" t="s">
        <v>56</v>
      </c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1" t="s">
        <v>393</v>
      </c>
      <c r="AB435" s="42" t="s">
        <v>394</v>
      </c>
      <c r="AC435" s="43" t="s">
        <v>368</v>
      </c>
      <c r="AD435" s="43">
        <v>64817304.240000002</v>
      </c>
      <c r="AE435" s="44">
        <v>0</v>
      </c>
      <c r="AF435" s="44">
        <v>0</v>
      </c>
      <c r="AG435" s="44">
        <v>0</v>
      </c>
      <c r="AH435" s="44">
        <v>0</v>
      </c>
      <c r="AI435" s="18">
        <f t="shared" si="201"/>
        <v>0</v>
      </c>
      <c r="AJ435" s="18">
        <f t="shared" si="202"/>
        <v>64817304.240000002</v>
      </c>
      <c r="AK435" s="44">
        <v>0</v>
      </c>
      <c r="AL435" s="43">
        <v>0.24</v>
      </c>
      <c r="AM435" s="43">
        <v>64817304.240000002</v>
      </c>
      <c r="AN435" s="44">
        <v>0</v>
      </c>
      <c r="AO435" s="43">
        <v>0.24</v>
      </c>
      <c r="AP435" s="43">
        <v>64817304.240000002</v>
      </c>
      <c r="AQ435" s="44">
        <v>0</v>
      </c>
      <c r="AR435" s="43">
        <v>60189733.5</v>
      </c>
      <c r="AS435" s="43">
        <v>60189733.5</v>
      </c>
      <c r="AT435" s="39">
        <f t="shared" si="203"/>
        <v>60189733.5</v>
      </c>
      <c r="AU435" s="34">
        <f t="shared" si="204"/>
        <v>0</v>
      </c>
      <c r="AV435" s="34">
        <f t="shared" si="205"/>
        <v>0</v>
      </c>
      <c r="AW435" s="18">
        <f t="shared" si="206"/>
        <v>4627570.7400000021</v>
      </c>
      <c r="AX435" s="123">
        <f t="shared" si="207"/>
        <v>1</v>
      </c>
    </row>
    <row r="436" spans="1:50" ht="18.75" customHeight="1" x14ac:dyDescent="0.2">
      <c r="AA436" s="245" t="s">
        <v>1213</v>
      </c>
      <c r="AB436" s="42" t="s">
        <v>1214</v>
      </c>
      <c r="AC436" s="17"/>
      <c r="AD436" s="34">
        <v>0</v>
      </c>
      <c r="AE436" s="18">
        <v>437225610.45999998</v>
      </c>
      <c r="AF436" s="34">
        <v>0</v>
      </c>
      <c r="AG436" s="34">
        <v>0</v>
      </c>
      <c r="AH436" s="34">
        <v>0</v>
      </c>
      <c r="AI436" s="18">
        <f t="shared" si="201"/>
        <v>437225610.45999998</v>
      </c>
      <c r="AJ436" s="18">
        <f t="shared" si="202"/>
        <v>437225610.45999998</v>
      </c>
      <c r="AK436" s="44">
        <v>0</v>
      </c>
      <c r="AL436" s="43">
        <v>437225610.45999998</v>
      </c>
      <c r="AM436" s="43">
        <v>437225610.45999998</v>
      </c>
      <c r="AN436" s="44">
        <v>0</v>
      </c>
      <c r="AO436" s="43">
        <v>437225610.45999998</v>
      </c>
      <c r="AP436" s="43">
        <v>437225610.45999998</v>
      </c>
      <c r="AQ436" s="44">
        <v>0</v>
      </c>
      <c r="AR436" s="44">
        <v>0</v>
      </c>
      <c r="AS436" s="44">
        <v>0</v>
      </c>
      <c r="AT436" s="40">
        <f t="shared" si="203"/>
        <v>0</v>
      </c>
      <c r="AU436" s="34">
        <f t="shared" si="204"/>
        <v>0</v>
      </c>
      <c r="AV436" s="34">
        <f t="shared" si="205"/>
        <v>0</v>
      </c>
      <c r="AW436" s="18">
        <f t="shared" si="206"/>
        <v>437225610.45999998</v>
      </c>
      <c r="AX436" s="123">
        <f t="shared" si="207"/>
        <v>1</v>
      </c>
    </row>
    <row r="437" spans="1:50" ht="27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245" t="s">
        <v>1211</v>
      </c>
      <c r="AB437" s="42" t="s">
        <v>1212</v>
      </c>
      <c r="AC437" s="43"/>
      <c r="AD437" s="44">
        <v>0</v>
      </c>
      <c r="AE437" s="43">
        <v>17631990</v>
      </c>
      <c r="AF437" s="44">
        <v>0</v>
      </c>
      <c r="AG437" s="44">
        <v>0</v>
      </c>
      <c r="AH437" s="44">
        <v>0</v>
      </c>
      <c r="AI437" s="18">
        <f t="shared" si="201"/>
        <v>17631990</v>
      </c>
      <c r="AJ437" s="18">
        <f t="shared" si="202"/>
        <v>17631990</v>
      </c>
      <c r="AK437" s="44">
        <v>0</v>
      </c>
      <c r="AL437" s="43">
        <v>17631990</v>
      </c>
      <c r="AM437" s="43">
        <v>17631990</v>
      </c>
      <c r="AN437" s="44">
        <v>0</v>
      </c>
      <c r="AO437" s="43">
        <v>17631990</v>
      </c>
      <c r="AP437" s="43">
        <v>17631990</v>
      </c>
      <c r="AQ437" s="44">
        <v>0</v>
      </c>
      <c r="AR437" s="44">
        <v>0</v>
      </c>
      <c r="AS437" s="44">
        <v>0</v>
      </c>
      <c r="AT437" s="40">
        <f t="shared" si="203"/>
        <v>0</v>
      </c>
      <c r="AU437" s="34">
        <f t="shared" si="204"/>
        <v>0</v>
      </c>
      <c r="AV437" s="34">
        <f t="shared" si="205"/>
        <v>0</v>
      </c>
      <c r="AW437" s="18">
        <f t="shared" si="206"/>
        <v>17631990</v>
      </c>
      <c r="AX437" s="123">
        <f t="shared" si="207"/>
        <v>1</v>
      </c>
    </row>
    <row r="438" spans="1:50" ht="30" customHeight="1" x14ac:dyDescent="0.2">
      <c r="AA438" s="246" t="s">
        <v>1215</v>
      </c>
      <c r="AB438" s="42" t="s">
        <v>1216</v>
      </c>
      <c r="AC438" s="17"/>
      <c r="AD438" s="34">
        <v>0</v>
      </c>
      <c r="AE438" s="18">
        <v>288008146</v>
      </c>
      <c r="AF438" s="34">
        <v>0</v>
      </c>
      <c r="AG438" s="34">
        <v>0</v>
      </c>
      <c r="AH438" s="34">
        <v>0</v>
      </c>
      <c r="AI438" s="18">
        <f>AE438-AF438+AG438-AH438</f>
        <v>288008146</v>
      </c>
      <c r="AJ438" s="18">
        <f>AD438+AI438</f>
        <v>288008146</v>
      </c>
      <c r="AK438" s="44">
        <v>0</v>
      </c>
      <c r="AL438" s="43">
        <v>288008146</v>
      </c>
      <c r="AM438" s="43">
        <v>288008146</v>
      </c>
      <c r="AN438" s="44">
        <v>0</v>
      </c>
      <c r="AO438" s="43">
        <v>288008146</v>
      </c>
      <c r="AP438" s="43">
        <v>288008146</v>
      </c>
      <c r="AQ438" s="44">
        <v>0</v>
      </c>
      <c r="AR438" s="44">
        <v>0</v>
      </c>
      <c r="AS438" s="44">
        <v>0</v>
      </c>
      <c r="AT438" s="40">
        <f t="shared" si="203"/>
        <v>0</v>
      </c>
      <c r="AU438" s="34">
        <f t="shared" si="204"/>
        <v>0</v>
      </c>
      <c r="AV438" s="34">
        <f t="shared" si="205"/>
        <v>0</v>
      </c>
      <c r="AW438" s="18">
        <f t="shared" si="206"/>
        <v>288008146</v>
      </c>
      <c r="AX438" s="123">
        <f t="shared" si="207"/>
        <v>1</v>
      </c>
    </row>
    <row r="439" spans="1:50" ht="12.75" customHeight="1" x14ac:dyDescent="0.2">
      <c r="AA439" s="173"/>
      <c r="AB439" s="207"/>
      <c r="AC439" s="17"/>
      <c r="AD439" s="18"/>
      <c r="AE439" s="34"/>
      <c r="AF439" s="34"/>
      <c r="AG439" s="34"/>
      <c r="AH439" s="34"/>
      <c r="AI439" s="34"/>
      <c r="AJ439" s="18"/>
      <c r="AK439" s="18"/>
      <c r="AL439" s="18"/>
      <c r="AM439" s="18"/>
      <c r="AN439" s="34"/>
      <c r="AO439" s="34"/>
      <c r="AP439" s="18"/>
      <c r="AQ439" s="18"/>
      <c r="AR439" s="18"/>
      <c r="AS439" s="18"/>
      <c r="AT439" s="40"/>
      <c r="AU439" s="18"/>
      <c r="AV439" s="18"/>
      <c r="AW439" s="18"/>
      <c r="AX439" s="18"/>
    </row>
    <row r="440" spans="1:50" ht="25.5" x14ac:dyDescent="0.2">
      <c r="AA440" s="16"/>
      <c r="AB440" s="29" t="s">
        <v>195</v>
      </c>
      <c r="AC440" s="17"/>
      <c r="AD440" s="18"/>
      <c r="AE440" s="34"/>
      <c r="AF440" s="34"/>
      <c r="AG440" s="34"/>
      <c r="AH440" s="34"/>
      <c r="AI440" s="34"/>
      <c r="AJ440" s="18"/>
      <c r="AK440" s="18"/>
      <c r="AL440" s="18"/>
      <c r="AM440" s="18"/>
      <c r="AN440" s="34"/>
      <c r="AO440" s="34"/>
      <c r="AP440" s="18"/>
      <c r="AQ440" s="18"/>
      <c r="AR440" s="18"/>
      <c r="AS440" s="18"/>
      <c r="AT440" s="40"/>
      <c r="AU440" s="18"/>
      <c r="AV440" s="18"/>
      <c r="AW440" s="18"/>
      <c r="AX440" s="18"/>
    </row>
    <row r="441" spans="1:50" ht="18.75" customHeight="1" x14ac:dyDescent="0.2">
      <c r="AA441" s="28" t="s">
        <v>288</v>
      </c>
      <c r="AB441" s="29" t="s">
        <v>320</v>
      </c>
      <c r="AC441" s="17"/>
      <c r="AD441" s="18"/>
      <c r="AE441" s="34"/>
      <c r="AF441" s="34"/>
      <c r="AG441" s="34"/>
      <c r="AH441" s="34"/>
      <c r="AI441" s="34"/>
      <c r="AJ441" s="18"/>
      <c r="AK441" s="18"/>
      <c r="AL441" s="18"/>
      <c r="AM441" s="18"/>
      <c r="AN441" s="34"/>
      <c r="AO441" s="34"/>
      <c r="AP441" s="18"/>
      <c r="AQ441" s="18"/>
      <c r="AR441" s="18"/>
      <c r="AS441" s="18"/>
      <c r="AT441" s="40"/>
      <c r="AU441" s="18"/>
      <c r="AV441" s="18"/>
      <c r="AW441" s="18"/>
      <c r="AX441" s="18"/>
    </row>
    <row r="442" spans="1:50" ht="18.75" customHeight="1" x14ac:dyDescent="0.2">
      <c r="A442" s="4" t="s">
        <v>55</v>
      </c>
      <c r="B442" s="4" t="s">
        <v>56</v>
      </c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1" t="s">
        <v>395</v>
      </c>
      <c r="AB442" s="42" t="s">
        <v>233</v>
      </c>
      <c r="AC442" s="43" t="s">
        <v>58</v>
      </c>
      <c r="AD442" s="43">
        <v>77302510</v>
      </c>
      <c r="AE442" s="44">
        <v>0</v>
      </c>
      <c r="AF442" s="44">
        <v>0</v>
      </c>
      <c r="AG442" s="44">
        <v>0</v>
      </c>
      <c r="AH442" s="44">
        <v>0</v>
      </c>
      <c r="AI442" s="44">
        <v>0</v>
      </c>
      <c r="AJ442" s="43">
        <v>77302510</v>
      </c>
      <c r="AK442" s="44">
        <v>0</v>
      </c>
      <c r="AL442" s="44">
        <v>0</v>
      </c>
      <c r="AM442" s="43">
        <v>76566312</v>
      </c>
      <c r="AN442" s="44">
        <v>0</v>
      </c>
      <c r="AO442" s="44">
        <v>0</v>
      </c>
      <c r="AP442" s="43">
        <v>76566312</v>
      </c>
      <c r="AQ442" s="43">
        <v>0</v>
      </c>
      <c r="AR442" s="43">
        <v>12937643</v>
      </c>
      <c r="AS442" s="43">
        <v>21872444</v>
      </c>
      <c r="AT442" s="40">
        <f t="shared" ref="AT442" si="208">AQ442+AS442</f>
        <v>21872444</v>
      </c>
      <c r="AU442" s="18">
        <f>AJ442-AM442</f>
        <v>736198</v>
      </c>
      <c r="AV442" s="34">
        <f>AM442-AP442</f>
        <v>0</v>
      </c>
      <c r="AW442" s="18">
        <f>AP442-AT442</f>
        <v>54693868</v>
      </c>
      <c r="AX442" s="123">
        <f>AP442/AJ442</f>
        <v>0.99047640238331203</v>
      </c>
    </row>
    <row r="443" spans="1:50" ht="18.75" customHeight="1" x14ac:dyDescent="0.2">
      <c r="AA443" s="16"/>
      <c r="AB443" s="17"/>
      <c r="AC443" s="17"/>
      <c r="AD443" s="18"/>
      <c r="AE443" s="34"/>
      <c r="AF443" s="34"/>
      <c r="AG443" s="34"/>
      <c r="AH443" s="34"/>
      <c r="AI443" s="34"/>
      <c r="AJ443" s="18"/>
      <c r="AK443" s="18"/>
      <c r="AL443" s="18"/>
      <c r="AM443" s="18"/>
      <c r="AN443" s="18"/>
      <c r="AO443" s="18"/>
      <c r="AP443" s="18"/>
      <c r="AQ443" s="34"/>
      <c r="AR443" s="34"/>
      <c r="AS443" s="34"/>
      <c r="AT443" s="40"/>
      <c r="AU443" s="18"/>
      <c r="AV443" s="18"/>
      <c r="AW443" s="18"/>
      <c r="AX443" s="18"/>
    </row>
    <row r="444" spans="1:50" ht="25.5" x14ac:dyDescent="0.2">
      <c r="AA444" s="16"/>
      <c r="AB444" s="29" t="s">
        <v>197</v>
      </c>
      <c r="AC444" s="17"/>
      <c r="AD444" s="18"/>
      <c r="AE444" s="34"/>
      <c r="AF444" s="34"/>
      <c r="AG444" s="34"/>
      <c r="AH444" s="34"/>
      <c r="AI444" s="34"/>
      <c r="AJ444" s="18"/>
      <c r="AK444" s="18"/>
      <c r="AL444" s="18"/>
      <c r="AM444" s="18"/>
      <c r="AN444" s="18"/>
      <c r="AO444" s="18"/>
      <c r="AP444" s="18"/>
      <c r="AQ444" s="34"/>
      <c r="AR444" s="34"/>
      <c r="AS444" s="34"/>
      <c r="AT444" s="40"/>
      <c r="AU444" s="18"/>
      <c r="AV444" s="18"/>
      <c r="AW444" s="18"/>
      <c r="AX444" s="18"/>
    </row>
    <row r="445" spans="1:50" ht="25.5" x14ac:dyDescent="0.2">
      <c r="AA445" s="28" t="s">
        <v>288</v>
      </c>
      <c r="AB445" s="29" t="s">
        <v>396</v>
      </c>
      <c r="AC445" s="17"/>
      <c r="AD445" s="18"/>
      <c r="AE445" s="34"/>
      <c r="AF445" s="34"/>
      <c r="AG445" s="34"/>
      <c r="AH445" s="34"/>
      <c r="AI445" s="34"/>
      <c r="AJ445" s="18"/>
      <c r="AK445" s="18"/>
      <c r="AL445" s="18"/>
      <c r="AM445" s="18"/>
      <c r="AN445" s="18"/>
      <c r="AO445" s="18"/>
      <c r="AP445" s="18"/>
      <c r="AQ445" s="34"/>
      <c r="AR445" s="34"/>
      <c r="AS445" s="34"/>
      <c r="AT445" s="40"/>
      <c r="AU445" s="18"/>
      <c r="AV445" s="18"/>
      <c r="AW445" s="18"/>
      <c r="AX445" s="18"/>
    </row>
    <row r="446" spans="1:50" ht="18.75" customHeight="1" x14ac:dyDescent="0.2">
      <c r="A446" s="4" t="s">
        <v>55</v>
      </c>
      <c r="B446" s="4" t="s">
        <v>56</v>
      </c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1" t="s">
        <v>397</v>
      </c>
      <c r="AB446" s="42" t="s">
        <v>328</v>
      </c>
      <c r="AC446" s="43" t="s">
        <v>61</v>
      </c>
      <c r="AD446" s="43">
        <v>838526678</v>
      </c>
      <c r="AE446" s="44">
        <v>0</v>
      </c>
      <c r="AF446" s="44">
        <v>0</v>
      </c>
      <c r="AG446" s="43">
        <v>27102938</v>
      </c>
      <c r="AH446" s="44">
        <v>0</v>
      </c>
      <c r="AI446" s="18">
        <f>AE446-AF446+AG446-AH446</f>
        <v>27102938</v>
      </c>
      <c r="AJ446" s="18">
        <f>AD446+AI446</f>
        <v>865629616</v>
      </c>
      <c r="AK446" s="44">
        <v>0</v>
      </c>
      <c r="AL446" s="44">
        <v>864293138.00999999</v>
      </c>
      <c r="AM446" s="44">
        <v>864293138.00999999</v>
      </c>
      <c r="AN446" s="44">
        <v>0</v>
      </c>
      <c r="AO446" s="44">
        <v>0</v>
      </c>
      <c r="AP446" s="44">
        <v>0</v>
      </c>
      <c r="AQ446" s="44">
        <v>0</v>
      </c>
      <c r="AR446" s="44">
        <v>0</v>
      </c>
      <c r="AS446" s="44">
        <v>0</v>
      </c>
      <c r="AT446" s="40">
        <f t="shared" ref="AT446" si="209">AQ446+AS446</f>
        <v>0</v>
      </c>
      <c r="AU446" s="18">
        <f>AJ446-AM446</f>
        <v>1336477.9900000095</v>
      </c>
      <c r="AV446" s="34">
        <f>AM446-AP446</f>
        <v>864293138.00999999</v>
      </c>
      <c r="AW446" s="34">
        <f>AP446-AT446</f>
        <v>0</v>
      </c>
      <c r="AX446" s="123">
        <f>AP446/AJ446</f>
        <v>0</v>
      </c>
    </row>
    <row r="447" spans="1:50" ht="18.75" customHeight="1" x14ac:dyDescent="0.2">
      <c r="AA447" s="28" t="s">
        <v>288</v>
      </c>
      <c r="AB447" s="29" t="s">
        <v>320</v>
      </c>
      <c r="AC447" s="17"/>
      <c r="AD447" s="18"/>
      <c r="AE447" s="34"/>
      <c r="AF447" s="34"/>
      <c r="AG447" s="34"/>
      <c r="AH447" s="34"/>
      <c r="AI447" s="34"/>
      <c r="AJ447" s="18"/>
      <c r="AK447" s="18"/>
      <c r="AL447" s="18"/>
      <c r="AM447" s="18"/>
      <c r="AN447" s="34"/>
      <c r="AO447" s="18"/>
      <c r="AP447" s="18"/>
      <c r="AQ447" s="34"/>
      <c r="AR447" s="34"/>
      <c r="AS447" s="34"/>
      <c r="AT447" s="40"/>
      <c r="AU447" s="18"/>
      <c r="AV447" s="18"/>
      <c r="AW447" s="18"/>
      <c r="AX447" s="18"/>
    </row>
    <row r="448" spans="1:50" ht="18.75" customHeight="1" x14ac:dyDescent="0.2">
      <c r="A448" s="4" t="s">
        <v>55</v>
      </c>
      <c r="B448" s="4" t="s">
        <v>56</v>
      </c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1" t="s">
        <v>398</v>
      </c>
      <c r="AB448" s="42" t="s">
        <v>233</v>
      </c>
      <c r="AC448" s="43" t="s">
        <v>58</v>
      </c>
      <c r="AD448" s="43">
        <v>9048558947</v>
      </c>
      <c r="AE448" s="143">
        <v>0</v>
      </c>
      <c r="AF448" s="44">
        <v>0</v>
      </c>
      <c r="AG448" s="44">
        <v>0</v>
      </c>
      <c r="AH448" s="44">
        <v>0</v>
      </c>
      <c r="AI448" s="18">
        <f t="shared" ref="AI448:AI449" si="210">AE448-AF448+AG448-AH448</f>
        <v>0</v>
      </c>
      <c r="AJ448" s="18">
        <f t="shared" ref="AJ448:AJ449" si="211">AD448+AI448</f>
        <v>9048558947</v>
      </c>
      <c r="AK448" s="44">
        <v>0</v>
      </c>
      <c r="AL448" s="44">
        <v>0</v>
      </c>
      <c r="AM448" s="43">
        <v>9048558947</v>
      </c>
      <c r="AN448" s="44">
        <v>0</v>
      </c>
      <c r="AO448" s="44">
        <v>0</v>
      </c>
      <c r="AP448" s="43">
        <v>9001641826</v>
      </c>
      <c r="AQ448" s="44">
        <v>0</v>
      </c>
      <c r="AR448" s="44">
        <v>1959693678.3399999</v>
      </c>
      <c r="AS448" s="43">
        <v>2727435879.3400002</v>
      </c>
      <c r="AT448" s="39">
        <f t="shared" ref="AT448:AT451" si="212">AQ448+AS448</f>
        <v>2727435879.3400002</v>
      </c>
      <c r="AU448" s="18">
        <f>AJ448-AM448</f>
        <v>0</v>
      </c>
      <c r="AV448" s="18">
        <f>AM448-AP448</f>
        <v>46917121</v>
      </c>
      <c r="AW448" s="18">
        <f>AP448-AT448</f>
        <v>6274205946.6599998</v>
      </c>
      <c r="AX448" s="123">
        <f>AP448/AJ448</f>
        <v>0.99481496210890519</v>
      </c>
    </row>
    <row r="449" spans="1:50" ht="18.75" customHeight="1" x14ac:dyDescent="0.2">
      <c r="A449" s="4" t="s">
        <v>55</v>
      </c>
      <c r="B449" s="4" t="s">
        <v>56</v>
      </c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1" t="s">
        <v>399</v>
      </c>
      <c r="AB449" s="42" t="s">
        <v>382</v>
      </c>
      <c r="AC449" s="43" t="s">
        <v>383</v>
      </c>
      <c r="AD449" s="43">
        <v>1274304910</v>
      </c>
      <c r="AE449" s="143">
        <v>0</v>
      </c>
      <c r="AF449" s="44">
        <v>0</v>
      </c>
      <c r="AG449" s="44">
        <v>0</v>
      </c>
      <c r="AH449" s="44">
        <v>0</v>
      </c>
      <c r="AI449" s="18">
        <f t="shared" si="210"/>
        <v>0</v>
      </c>
      <c r="AJ449" s="18">
        <f t="shared" si="211"/>
        <v>1274304910</v>
      </c>
      <c r="AK449" s="44">
        <v>0</v>
      </c>
      <c r="AL449" s="44">
        <v>0</v>
      </c>
      <c r="AM449" s="43">
        <v>1274304910</v>
      </c>
      <c r="AN449" s="44">
        <v>0</v>
      </c>
      <c r="AO449" s="44">
        <v>0</v>
      </c>
      <c r="AP449" s="43">
        <v>1274304910</v>
      </c>
      <c r="AQ449" s="44">
        <v>0</v>
      </c>
      <c r="AR449" s="44">
        <v>0</v>
      </c>
      <c r="AS449" s="44">
        <v>0</v>
      </c>
      <c r="AT449" s="40">
        <f t="shared" si="212"/>
        <v>0</v>
      </c>
      <c r="AU449" s="18">
        <f>AJ449-AM449</f>
        <v>0</v>
      </c>
      <c r="AV449" s="34">
        <f>AM449-AP449</f>
        <v>0</v>
      </c>
      <c r="AW449" s="18">
        <f>AP449-AT449</f>
        <v>1274304910</v>
      </c>
      <c r="AX449" s="123">
        <f>AP449/AJ449</f>
        <v>1</v>
      </c>
    </row>
    <row r="450" spans="1:50" ht="18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1" t="s">
        <v>986</v>
      </c>
      <c r="AB450" s="42" t="s">
        <v>987</v>
      </c>
      <c r="AC450" s="43"/>
      <c r="AD450" s="44">
        <v>0</v>
      </c>
      <c r="AE450" s="143">
        <v>0</v>
      </c>
      <c r="AF450" s="44">
        <v>0</v>
      </c>
      <c r="AG450" s="43">
        <v>417383651.70999998</v>
      </c>
      <c r="AH450" s="44">
        <v>0</v>
      </c>
      <c r="AI450" s="18">
        <f>AE450-AF450+AG450-AH450</f>
        <v>417383651.70999998</v>
      </c>
      <c r="AJ450" s="18">
        <f>AD450+AI450</f>
        <v>417383651.70999998</v>
      </c>
      <c r="AK450" s="44">
        <v>0</v>
      </c>
      <c r="AL450" s="44">
        <v>0</v>
      </c>
      <c r="AM450" s="43">
        <v>417383651.70999998</v>
      </c>
      <c r="AN450" s="44">
        <v>0</v>
      </c>
      <c r="AO450" s="44">
        <v>0</v>
      </c>
      <c r="AP450" s="43">
        <v>417383651.70999998</v>
      </c>
      <c r="AQ450" s="44">
        <v>0</v>
      </c>
      <c r="AR450" s="44">
        <v>0</v>
      </c>
      <c r="AS450" s="44">
        <v>0</v>
      </c>
      <c r="AT450" s="40">
        <f t="shared" si="212"/>
        <v>0</v>
      </c>
      <c r="AU450" s="18">
        <f>AJ450-AM450</f>
        <v>0</v>
      </c>
      <c r="AV450" s="34">
        <f>AM450-AP450</f>
        <v>0</v>
      </c>
      <c r="AW450" s="18">
        <f>AP450-AT450</f>
        <v>417383651.70999998</v>
      </c>
      <c r="AX450" s="123">
        <f>AP450/AJ450</f>
        <v>1</v>
      </c>
    </row>
    <row r="451" spans="1:50" ht="18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166" t="s">
        <v>1020</v>
      </c>
      <c r="AB451" s="167" t="s">
        <v>1015</v>
      </c>
      <c r="AC451" s="168"/>
      <c r="AD451" s="44">
        <v>0</v>
      </c>
      <c r="AE451" s="142">
        <v>4862312815</v>
      </c>
      <c r="AF451" s="44"/>
      <c r="AG451" s="43"/>
      <c r="AH451" s="44"/>
      <c r="AI451" s="18">
        <f>AE451-AF451+AG451-AH451</f>
        <v>4862312815</v>
      </c>
      <c r="AJ451" s="18">
        <f>AD451+AI451</f>
        <v>4862312815</v>
      </c>
      <c r="AK451" s="44">
        <v>0</v>
      </c>
      <c r="AL451" s="44">
        <v>0</v>
      </c>
      <c r="AM451" s="43">
        <v>0</v>
      </c>
      <c r="AN451" s="44">
        <v>0</v>
      </c>
      <c r="AO451" s="44">
        <v>0</v>
      </c>
      <c r="AP451" s="43">
        <v>0</v>
      </c>
      <c r="AQ451" s="44">
        <v>0</v>
      </c>
      <c r="AR451" s="44">
        <v>0</v>
      </c>
      <c r="AS451" s="44">
        <v>0</v>
      </c>
      <c r="AT451" s="40">
        <f t="shared" si="212"/>
        <v>0</v>
      </c>
      <c r="AU451" s="18">
        <f>AJ451-AM451</f>
        <v>4862312815</v>
      </c>
      <c r="AV451" s="34">
        <f>AM451-AP451</f>
        <v>0</v>
      </c>
      <c r="AW451" s="34">
        <f>AP451-AT451</f>
        <v>0</v>
      </c>
      <c r="AX451" s="123">
        <f>AP451/AJ451</f>
        <v>0</v>
      </c>
    </row>
    <row r="452" spans="1:50" ht="18.75" customHeight="1" x14ac:dyDescent="0.2">
      <c r="AA452" s="169" t="s">
        <v>288</v>
      </c>
      <c r="AB452" s="163" t="s">
        <v>400</v>
      </c>
      <c r="AC452" s="17"/>
      <c r="AD452" s="18"/>
      <c r="AE452" s="145"/>
      <c r="AF452" s="34"/>
      <c r="AG452" s="34"/>
      <c r="AH452" s="34"/>
      <c r="AI452" s="34"/>
      <c r="AJ452" s="18"/>
      <c r="AK452" s="18"/>
      <c r="AL452" s="18"/>
      <c r="AM452" s="18"/>
      <c r="AN452" s="34"/>
      <c r="AO452" s="18"/>
      <c r="AP452" s="18"/>
      <c r="AQ452" s="34"/>
      <c r="AR452" s="34"/>
      <c r="AS452" s="34"/>
      <c r="AT452" s="40"/>
      <c r="AU452" s="18"/>
      <c r="AV452" s="18"/>
      <c r="AW452" s="18"/>
      <c r="AX452" s="18"/>
    </row>
    <row r="453" spans="1:50" ht="18.75" customHeight="1" x14ac:dyDescent="0.2">
      <c r="A453" s="4" t="s">
        <v>55</v>
      </c>
      <c r="B453" s="4" t="s">
        <v>56</v>
      </c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1" t="s">
        <v>401</v>
      </c>
      <c r="AB453" s="42" t="s">
        <v>233</v>
      </c>
      <c r="AC453" s="43" t="s">
        <v>58</v>
      </c>
      <c r="AD453" s="43">
        <v>1000000000</v>
      </c>
      <c r="AE453" s="143">
        <v>0</v>
      </c>
      <c r="AF453" s="44">
        <v>0</v>
      </c>
      <c r="AG453" s="44">
        <v>0</v>
      </c>
      <c r="AH453" s="44">
        <v>0</v>
      </c>
      <c r="AI453" s="44">
        <v>0</v>
      </c>
      <c r="AJ453" s="43">
        <v>1000000000</v>
      </c>
      <c r="AK453" s="44">
        <v>0</v>
      </c>
      <c r="AL453" s="43">
        <v>72000000</v>
      </c>
      <c r="AM453" s="43">
        <v>812550000</v>
      </c>
      <c r="AN453" s="43">
        <v>0</v>
      </c>
      <c r="AO453" s="43">
        <v>71200000</v>
      </c>
      <c r="AP453" s="43">
        <v>811750000</v>
      </c>
      <c r="AQ453" s="114">
        <v>99250000</v>
      </c>
      <c r="AR453" s="114">
        <v>106950000</v>
      </c>
      <c r="AS453" s="114">
        <v>378483333</v>
      </c>
      <c r="AT453" s="39">
        <f t="shared" ref="AT453:AT485" si="213">AQ453+AS453</f>
        <v>477733333</v>
      </c>
      <c r="AU453" s="110">
        <f>AJ453-AM453</f>
        <v>187450000</v>
      </c>
      <c r="AV453" s="110">
        <f>AM453-AP453</f>
        <v>800000</v>
      </c>
      <c r="AW453" s="18">
        <f>AP453-AT453</f>
        <v>334016667</v>
      </c>
      <c r="AX453" s="123">
        <f>AP453/AJ453</f>
        <v>0.81174999999999997</v>
      </c>
    </row>
    <row r="454" spans="1:50" ht="18.75" customHeight="1" x14ac:dyDescent="0.2">
      <c r="AA454" s="16"/>
      <c r="AB454" s="17"/>
      <c r="AC454" s="17"/>
      <c r="AD454" s="18"/>
      <c r="AE454" s="145"/>
      <c r="AF454" s="34"/>
      <c r="AG454" s="34"/>
      <c r="AH454" s="34"/>
      <c r="AI454" s="34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30"/>
      <c r="AU454" s="18"/>
      <c r="AV454" s="18"/>
      <c r="AW454" s="18"/>
      <c r="AX454" s="18"/>
    </row>
    <row r="455" spans="1:50" ht="26.25" customHeight="1" x14ac:dyDescent="0.2">
      <c r="AA455" s="164" t="s">
        <v>288</v>
      </c>
      <c r="AB455" s="165" t="s">
        <v>964</v>
      </c>
      <c r="AC455" s="161"/>
      <c r="AD455" s="18"/>
      <c r="AE455" s="34"/>
      <c r="AF455" s="34"/>
      <c r="AG455" s="34"/>
      <c r="AH455" s="34"/>
      <c r="AI455" s="34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30"/>
      <c r="AU455" s="18"/>
      <c r="AV455" s="18"/>
      <c r="AW455" s="18"/>
      <c r="AX455" s="18"/>
    </row>
    <row r="456" spans="1:50" ht="18.75" customHeight="1" x14ac:dyDescent="0.2">
      <c r="AA456" s="166" t="s">
        <v>965</v>
      </c>
      <c r="AB456" s="167" t="s">
        <v>966</v>
      </c>
      <c r="AC456" s="161"/>
      <c r="AD456" s="34">
        <v>0</v>
      </c>
      <c r="AE456" s="34">
        <v>0</v>
      </c>
      <c r="AF456" s="34">
        <v>0</v>
      </c>
      <c r="AG456" s="18">
        <v>155990000</v>
      </c>
      <c r="AH456" s="34">
        <v>0</v>
      </c>
      <c r="AI456" s="18">
        <f>AE456-AF456+AG456-AH456</f>
        <v>155990000</v>
      </c>
      <c r="AJ456" s="18">
        <f>AD456+AI456</f>
        <v>155990000</v>
      </c>
      <c r="AK456" s="34">
        <v>0</v>
      </c>
      <c r="AL456" s="34">
        <v>0</v>
      </c>
      <c r="AM456" s="34">
        <v>0</v>
      </c>
      <c r="AN456" s="34">
        <v>0</v>
      </c>
      <c r="AO456" s="34">
        <v>0</v>
      </c>
      <c r="AP456" s="34">
        <v>0</v>
      </c>
      <c r="AQ456" s="34">
        <v>0</v>
      </c>
      <c r="AR456" s="34">
        <v>0</v>
      </c>
      <c r="AS456" s="34">
        <v>0</v>
      </c>
      <c r="AT456" s="40">
        <f t="shared" ref="AT456" si="214">AQ456+AS456</f>
        <v>0</v>
      </c>
      <c r="AU456" s="110">
        <f>AJ456-AM456</f>
        <v>155990000</v>
      </c>
      <c r="AV456" s="133">
        <f>AM456-AP456</f>
        <v>0</v>
      </c>
      <c r="AW456" s="34">
        <f>AP456-AT456</f>
        <v>0</v>
      </c>
      <c r="AX456" s="123">
        <f>AP456/AJ456</f>
        <v>0</v>
      </c>
    </row>
    <row r="457" spans="1:50" ht="25.5" x14ac:dyDescent="0.2">
      <c r="AA457" s="28" t="s">
        <v>288</v>
      </c>
      <c r="AB457" s="29" t="s">
        <v>402</v>
      </c>
      <c r="AC457" s="17"/>
      <c r="AD457" s="18"/>
      <c r="AE457" s="34"/>
      <c r="AF457" s="34"/>
      <c r="AG457" s="34"/>
      <c r="AH457" s="34"/>
      <c r="AI457" s="34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30"/>
      <c r="AU457" s="18"/>
      <c r="AV457" s="18"/>
      <c r="AW457" s="18"/>
      <c r="AX457" s="18"/>
    </row>
    <row r="458" spans="1:50" ht="18.75" customHeight="1" x14ac:dyDescent="0.2">
      <c r="A458" s="4" t="s">
        <v>55</v>
      </c>
      <c r="B458" s="4" t="s">
        <v>56</v>
      </c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1" t="s">
        <v>403</v>
      </c>
      <c r="AB458" s="42" t="s">
        <v>233</v>
      </c>
      <c r="AC458" s="43" t="s">
        <v>58</v>
      </c>
      <c r="AD458" s="43">
        <v>206000002.94</v>
      </c>
      <c r="AE458" s="44">
        <v>0</v>
      </c>
      <c r="AF458" s="44">
        <v>0</v>
      </c>
      <c r="AG458" s="44">
        <v>0</v>
      </c>
      <c r="AH458" s="44">
        <v>0</v>
      </c>
      <c r="AI458" s="44">
        <v>0</v>
      </c>
      <c r="AJ458" s="43">
        <v>206000002.94</v>
      </c>
      <c r="AK458" s="44">
        <v>0</v>
      </c>
      <c r="AL458" s="114">
        <v>20572800</v>
      </c>
      <c r="AM458" s="114">
        <v>85123200</v>
      </c>
      <c r="AN458" s="44">
        <v>0</v>
      </c>
      <c r="AO458" s="114">
        <v>20572800</v>
      </c>
      <c r="AP458" s="114">
        <v>85123200</v>
      </c>
      <c r="AQ458" s="43">
        <v>20572800</v>
      </c>
      <c r="AR458" s="43">
        <v>18984000</v>
      </c>
      <c r="AS458" s="43">
        <v>64550400</v>
      </c>
      <c r="AT458" s="39">
        <f t="shared" ref="AT458" si="215">AQ458+AS458</f>
        <v>85123200</v>
      </c>
      <c r="AU458" s="18">
        <f>AJ458-AM458</f>
        <v>120876802.94</v>
      </c>
      <c r="AV458" s="34">
        <f>AM458-AP458</f>
        <v>0</v>
      </c>
      <c r="AW458" s="34">
        <f>AP458-AT458</f>
        <v>0</v>
      </c>
      <c r="AX458" s="123">
        <f>AP458/AJ458</f>
        <v>0.41321941157832492</v>
      </c>
    </row>
    <row r="459" spans="1:50" ht="18.75" customHeight="1" x14ac:dyDescent="0.2">
      <c r="AA459" s="28" t="s">
        <v>288</v>
      </c>
      <c r="AB459" s="29" t="s">
        <v>404</v>
      </c>
      <c r="AC459" s="17"/>
      <c r="AD459" s="18"/>
      <c r="AE459" s="34"/>
      <c r="AF459" s="34"/>
      <c r="AG459" s="34"/>
      <c r="AH459" s="34"/>
      <c r="AI459" s="34"/>
      <c r="AJ459" s="18"/>
      <c r="AK459" s="34"/>
      <c r="AL459" s="34"/>
      <c r="AM459" s="34"/>
      <c r="AN459" s="34"/>
      <c r="AO459" s="34"/>
      <c r="AP459" s="34"/>
      <c r="AQ459" s="34"/>
      <c r="AR459" s="34"/>
      <c r="AS459" s="34"/>
      <c r="AT459" s="31"/>
      <c r="AU459" s="18"/>
      <c r="AV459" s="34"/>
      <c r="AW459" s="133"/>
      <c r="AX459" s="18"/>
    </row>
    <row r="460" spans="1:50" ht="18.75" customHeight="1" x14ac:dyDescent="0.2">
      <c r="A460" s="4" t="s">
        <v>55</v>
      </c>
      <c r="B460" s="4" t="s">
        <v>56</v>
      </c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1" t="s">
        <v>405</v>
      </c>
      <c r="AB460" s="42" t="s">
        <v>233</v>
      </c>
      <c r="AC460" s="43" t="s">
        <v>58</v>
      </c>
      <c r="AD460" s="43">
        <v>50000000</v>
      </c>
      <c r="AE460" s="44">
        <v>0</v>
      </c>
      <c r="AF460" s="44">
        <v>0</v>
      </c>
      <c r="AG460" s="44">
        <v>0</v>
      </c>
      <c r="AH460" s="44">
        <v>0</v>
      </c>
      <c r="AI460" s="44">
        <v>0</v>
      </c>
      <c r="AJ460" s="43">
        <v>50000000</v>
      </c>
      <c r="AK460" s="44">
        <v>0</v>
      </c>
      <c r="AL460" s="44">
        <v>0</v>
      </c>
      <c r="AM460" s="44">
        <v>0</v>
      </c>
      <c r="AN460" s="44">
        <v>0</v>
      </c>
      <c r="AO460" s="44">
        <v>0</v>
      </c>
      <c r="AP460" s="44">
        <v>0</v>
      </c>
      <c r="AQ460" s="44">
        <v>0</v>
      </c>
      <c r="AR460" s="44">
        <v>0</v>
      </c>
      <c r="AS460" s="44">
        <v>0</v>
      </c>
      <c r="AT460" s="40">
        <f t="shared" si="213"/>
        <v>0</v>
      </c>
      <c r="AU460" s="18">
        <f>AJ460-AM460</f>
        <v>50000000</v>
      </c>
      <c r="AV460" s="34">
        <f>AM460-AP460</f>
        <v>0</v>
      </c>
      <c r="AW460" s="133">
        <f>AP460-AT460</f>
        <v>0</v>
      </c>
      <c r="AX460" s="123">
        <f>AP460/AJ460</f>
        <v>0</v>
      </c>
    </row>
    <row r="461" spans="1:50" ht="18.75" customHeight="1" x14ac:dyDescent="0.2">
      <c r="AA461" s="28" t="s">
        <v>288</v>
      </c>
      <c r="AB461" s="29" t="s">
        <v>362</v>
      </c>
      <c r="AC461" s="17"/>
      <c r="AD461" s="18"/>
      <c r="AE461" s="34"/>
      <c r="AF461" s="34"/>
      <c r="AG461" s="34"/>
      <c r="AH461" s="34"/>
      <c r="AI461" s="34"/>
      <c r="AJ461" s="18"/>
      <c r="AK461" s="34"/>
      <c r="AL461" s="34"/>
      <c r="AM461" s="34"/>
      <c r="AN461" s="34"/>
      <c r="AO461" s="34"/>
      <c r="AP461" s="34"/>
      <c r="AQ461" s="34"/>
      <c r="AR461" s="34"/>
      <c r="AS461" s="34"/>
      <c r="AT461" s="31"/>
      <c r="AU461" s="18"/>
      <c r="AV461" s="34"/>
      <c r="AW461" s="133"/>
      <c r="AX461" s="18"/>
    </row>
    <row r="462" spans="1:50" ht="18.75" customHeight="1" x14ac:dyDescent="0.2">
      <c r="A462" s="4" t="s">
        <v>55</v>
      </c>
      <c r="B462" s="4" t="s">
        <v>56</v>
      </c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1" t="s">
        <v>406</v>
      </c>
      <c r="AB462" s="69" t="s">
        <v>379</v>
      </c>
      <c r="AC462" s="43" t="s">
        <v>380</v>
      </c>
      <c r="AD462" s="43">
        <v>155990000</v>
      </c>
      <c r="AE462" s="44">
        <v>0</v>
      </c>
      <c r="AF462" s="44">
        <v>0</v>
      </c>
      <c r="AG462" s="44">
        <v>0</v>
      </c>
      <c r="AH462" s="43">
        <v>155990000</v>
      </c>
      <c r="AI462" s="18">
        <f>AE462-AF462+AG462-AH462</f>
        <v>-155990000</v>
      </c>
      <c r="AJ462" s="34">
        <f>AD462+AI462</f>
        <v>0</v>
      </c>
      <c r="AK462" s="44">
        <v>0</v>
      </c>
      <c r="AL462" s="44">
        <v>0</v>
      </c>
      <c r="AM462" s="44">
        <v>0</v>
      </c>
      <c r="AN462" s="44">
        <v>0</v>
      </c>
      <c r="AO462" s="44">
        <v>0</v>
      </c>
      <c r="AP462" s="44">
        <v>0</v>
      </c>
      <c r="AQ462" s="44">
        <v>0</v>
      </c>
      <c r="AR462" s="44">
        <v>0</v>
      </c>
      <c r="AS462" s="44">
        <v>0</v>
      </c>
      <c r="AT462" s="40">
        <f t="shared" si="213"/>
        <v>0</v>
      </c>
      <c r="AU462" s="18">
        <f>AJ462-AM462</f>
        <v>0</v>
      </c>
      <c r="AV462" s="34">
        <f>AM462-AP462</f>
        <v>0</v>
      </c>
      <c r="AW462" s="133">
        <f>AP462-AT462</f>
        <v>0</v>
      </c>
      <c r="AX462" s="123">
        <v>0</v>
      </c>
    </row>
    <row r="463" spans="1:50" ht="18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73" t="s">
        <v>288</v>
      </c>
      <c r="AB463" s="82" t="s">
        <v>365</v>
      </c>
      <c r="AC463" s="43"/>
      <c r="AD463" s="43"/>
      <c r="AE463" s="44"/>
      <c r="AF463" s="44"/>
      <c r="AG463" s="44"/>
      <c r="AH463" s="43"/>
      <c r="AI463" s="18"/>
      <c r="AJ463" s="18"/>
      <c r="AK463" s="44"/>
      <c r="AL463" s="44"/>
      <c r="AM463" s="44"/>
      <c r="AN463" s="44"/>
      <c r="AO463" s="44"/>
      <c r="AP463" s="44"/>
      <c r="AQ463" s="44"/>
      <c r="AR463" s="44"/>
      <c r="AS463" s="44"/>
      <c r="AT463" s="40"/>
      <c r="AU463" s="18"/>
      <c r="AV463" s="34"/>
      <c r="AW463" s="133"/>
      <c r="AX463" s="123"/>
    </row>
    <row r="464" spans="1:50" ht="18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1" t="s">
        <v>988</v>
      </c>
      <c r="AB464" s="69" t="s">
        <v>978</v>
      </c>
      <c r="AC464" s="43"/>
      <c r="AD464" s="44">
        <v>0</v>
      </c>
      <c r="AE464" s="44">
        <v>0</v>
      </c>
      <c r="AF464" s="44">
        <v>0</v>
      </c>
      <c r="AG464" s="43">
        <v>1227570664.1400001</v>
      </c>
      <c r="AH464" s="43">
        <v>0</v>
      </c>
      <c r="AI464" s="18">
        <f>AE464-AF464+AG464-AH464</f>
        <v>1227570664.1400001</v>
      </c>
      <c r="AJ464" s="18">
        <f>AD464+AI464</f>
        <v>1227570664.1400001</v>
      </c>
      <c r="AK464" s="44">
        <v>0</v>
      </c>
      <c r="AL464" s="44">
        <v>0</v>
      </c>
      <c r="AM464" s="43">
        <v>436632838.47000003</v>
      </c>
      <c r="AN464" s="43">
        <v>0</v>
      </c>
      <c r="AO464" s="43">
        <v>324849221</v>
      </c>
      <c r="AP464" s="43">
        <v>436632837.25999999</v>
      </c>
      <c r="AQ464" s="43">
        <v>0</v>
      </c>
      <c r="AR464" s="43">
        <v>324849221</v>
      </c>
      <c r="AS464" s="43">
        <v>324849221</v>
      </c>
      <c r="AT464" s="40">
        <f t="shared" ref="AT464" si="216">AQ464+AS464</f>
        <v>324849221</v>
      </c>
      <c r="AU464" s="18">
        <f>AJ464-AM464</f>
        <v>790937825.67000008</v>
      </c>
      <c r="AV464" s="18">
        <f>AM464-AP464</f>
        <v>1.2100000381469727</v>
      </c>
      <c r="AW464" s="18">
        <f>AP464-AT464</f>
        <v>111783616.25999999</v>
      </c>
      <c r="AX464" s="123">
        <v>0</v>
      </c>
    </row>
    <row r="465" spans="1:50" ht="25.5" x14ac:dyDescent="0.2">
      <c r="AA465" s="28" t="s">
        <v>288</v>
      </c>
      <c r="AB465" s="29" t="s">
        <v>407</v>
      </c>
      <c r="AC465" s="17"/>
      <c r="AD465" s="18"/>
      <c r="AE465" s="34"/>
      <c r="AF465" s="34"/>
      <c r="AG465" s="34"/>
      <c r="AH465" s="34"/>
      <c r="AI465" s="34"/>
      <c r="AJ465" s="18"/>
      <c r="AK465" s="34"/>
      <c r="AL465" s="34"/>
      <c r="AM465" s="34"/>
      <c r="AN465" s="34"/>
      <c r="AO465" s="34"/>
      <c r="AP465" s="34"/>
      <c r="AQ465" s="34"/>
      <c r="AR465" s="34"/>
      <c r="AS465" s="34"/>
      <c r="AT465" s="31"/>
      <c r="AU465" s="18"/>
      <c r="AV465" s="34"/>
      <c r="AW465" s="133"/>
      <c r="AX465" s="18"/>
    </row>
    <row r="466" spans="1:50" ht="18.75" customHeight="1" x14ac:dyDescent="0.2">
      <c r="A466" s="4" t="s">
        <v>55</v>
      </c>
      <c r="B466" s="4" t="s">
        <v>56</v>
      </c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1" t="s">
        <v>408</v>
      </c>
      <c r="AB466" s="42" t="s">
        <v>233</v>
      </c>
      <c r="AC466" s="43" t="s">
        <v>58</v>
      </c>
      <c r="AD466" s="43">
        <v>126488672</v>
      </c>
      <c r="AE466" s="44">
        <v>0</v>
      </c>
      <c r="AF466" s="44">
        <v>0</v>
      </c>
      <c r="AG466" s="44">
        <v>0</v>
      </c>
      <c r="AH466" s="44">
        <v>0</v>
      </c>
      <c r="AI466" s="44">
        <v>0</v>
      </c>
      <c r="AJ466" s="43">
        <v>126488672</v>
      </c>
      <c r="AK466" s="44">
        <v>0</v>
      </c>
      <c r="AL466" s="44">
        <v>0</v>
      </c>
      <c r="AM466" s="43">
        <v>126488672</v>
      </c>
      <c r="AN466" s="44">
        <v>0</v>
      </c>
      <c r="AO466" s="43">
        <v>126488672</v>
      </c>
      <c r="AP466" s="43">
        <v>126488672</v>
      </c>
      <c r="AQ466" s="44">
        <v>0</v>
      </c>
      <c r="AR466" s="44">
        <v>0</v>
      </c>
      <c r="AS466" s="44">
        <v>0</v>
      </c>
      <c r="AT466" s="40">
        <f t="shared" ref="AT466:AT467" si="217">AQ466+AS466</f>
        <v>0</v>
      </c>
      <c r="AU466" s="34">
        <f>AJ466-AM466</f>
        <v>0</v>
      </c>
      <c r="AV466" s="34">
        <f>AM466-AP466</f>
        <v>0</v>
      </c>
      <c r="AW466" s="18">
        <f>AP466-AT466</f>
        <v>126488672</v>
      </c>
      <c r="AX466" s="123">
        <f>AP466/AJ466</f>
        <v>1</v>
      </c>
    </row>
    <row r="467" spans="1:50" ht="18.75" customHeight="1" x14ac:dyDescent="0.2">
      <c r="A467" s="4" t="s">
        <v>55</v>
      </c>
      <c r="B467" s="4" t="s">
        <v>56</v>
      </c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1" t="s">
        <v>409</v>
      </c>
      <c r="AB467" s="42" t="s">
        <v>379</v>
      </c>
      <c r="AC467" s="43" t="s">
        <v>380</v>
      </c>
      <c r="AD467" s="43">
        <v>373511328</v>
      </c>
      <c r="AE467" s="44">
        <v>0</v>
      </c>
      <c r="AF467" s="44">
        <v>0</v>
      </c>
      <c r="AG467" s="44">
        <v>0</v>
      </c>
      <c r="AH467" s="44">
        <v>0</v>
      </c>
      <c r="AI467" s="44">
        <v>0</v>
      </c>
      <c r="AJ467" s="43">
        <v>373511328</v>
      </c>
      <c r="AK467" s="44">
        <v>0</v>
      </c>
      <c r="AL467" s="44">
        <v>0</v>
      </c>
      <c r="AM467" s="43">
        <v>373511328</v>
      </c>
      <c r="AN467" s="44">
        <v>0</v>
      </c>
      <c r="AO467" s="43">
        <v>373511328</v>
      </c>
      <c r="AP467" s="43">
        <v>373511328</v>
      </c>
      <c r="AQ467" s="44">
        <v>0</v>
      </c>
      <c r="AR467" s="44">
        <v>0</v>
      </c>
      <c r="AS467" s="44">
        <v>0</v>
      </c>
      <c r="AT467" s="40">
        <f t="shared" si="217"/>
        <v>0</v>
      </c>
      <c r="AU467" s="34">
        <f>AJ467-AM467</f>
        <v>0</v>
      </c>
      <c r="AV467" s="34">
        <f>AM467-AP467</f>
        <v>0</v>
      </c>
      <c r="AW467" s="18">
        <f>AP467-AT467</f>
        <v>373511328</v>
      </c>
      <c r="AX467" s="123">
        <f>AP467/AJ467</f>
        <v>1</v>
      </c>
    </row>
    <row r="468" spans="1:50" ht="25.5" x14ac:dyDescent="0.2">
      <c r="AA468" s="28" t="s">
        <v>288</v>
      </c>
      <c r="AB468" s="29" t="s">
        <v>410</v>
      </c>
      <c r="AC468" s="17"/>
      <c r="AD468" s="18"/>
      <c r="AE468" s="145"/>
      <c r="AF468" s="34"/>
      <c r="AG468" s="34"/>
      <c r="AH468" s="34"/>
      <c r="AI468" s="34"/>
      <c r="AJ468" s="18"/>
      <c r="AK468" s="34"/>
      <c r="AL468" s="34"/>
      <c r="AM468" s="34"/>
      <c r="AN468" s="34"/>
      <c r="AO468" s="34"/>
      <c r="AP468" s="34"/>
      <c r="AQ468" s="34"/>
      <c r="AR468" s="34"/>
      <c r="AS468" s="34"/>
      <c r="AT468" s="31"/>
      <c r="AU468" s="18"/>
      <c r="AV468" s="34"/>
      <c r="AW468" s="18"/>
      <c r="AX468" s="18"/>
    </row>
    <row r="469" spans="1:50" ht="18.75" customHeight="1" x14ac:dyDescent="0.2">
      <c r="A469" s="4" t="s">
        <v>55</v>
      </c>
      <c r="B469" s="4" t="s">
        <v>56</v>
      </c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1" t="s">
        <v>411</v>
      </c>
      <c r="AB469" s="42" t="s">
        <v>412</v>
      </c>
      <c r="AC469" s="43" t="s">
        <v>380</v>
      </c>
      <c r="AD469" s="43">
        <v>6161937303</v>
      </c>
      <c r="AE469" s="143">
        <v>0</v>
      </c>
      <c r="AF469" s="44">
        <v>0</v>
      </c>
      <c r="AG469" s="44">
        <v>0</v>
      </c>
      <c r="AH469" s="44">
        <v>0</v>
      </c>
      <c r="AI469" s="44">
        <v>0</v>
      </c>
      <c r="AJ469" s="43">
        <v>6161937303</v>
      </c>
      <c r="AK469" s="44">
        <v>0</v>
      </c>
      <c r="AL469" s="44">
        <v>0</v>
      </c>
      <c r="AM469" s="43">
        <v>4844629745</v>
      </c>
      <c r="AN469" s="44">
        <v>0</v>
      </c>
      <c r="AO469" s="44">
        <v>0</v>
      </c>
      <c r="AP469" s="43">
        <v>4844629745</v>
      </c>
      <c r="AQ469" s="43">
        <v>0</v>
      </c>
      <c r="AR469" s="44">
        <v>0</v>
      </c>
      <c r="AS469" s="43">
        <v>4844629745</v>
      </c>
      <c r="AT469" s="39">
        <f t="shared" ref="AT469:AT471" si="218">AQ469+AS469</f>
        <v>4844629745</v>
      </c>
      <c r="AU469" s="18">
        <f>AJ469-AM469</f>
        <v>1317307558</v>
      </c>
      <c r="AV469" s="34">
        <f>AM469-AP469</f>
        <v>0</v>
      </c>
      <c r="AW469" s="34">
        <f>AP469-AT469</f>
        <v>0</v>
      </c>
      <c r="AX469" s="123">
        <f>AP469/AJ469</f>
        <v>0.78621860411357058</v>
      </c>
    </row>
    <row r="470" spans="1:50" ht="18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1" t="s">
        <v>977</v>
      </c>
      <c r="AB470" s="42" t="s">
        <v>978</v>
      </c>
      <c r="AC470" s="43"/>
      <c r="AD470" s="43"/>
      <c r="AE470" s="142">
        <v>2137085601</v>
      </c>
      <c r="AF470" s="44">
        <v>0</v>
      </c>
      <c r="AG470" s="44">
        <v>0</v>
      </c>
      <c r="AH470" s="43">
        <v>1644954315.8499999</v>
      </c>
      <c r="AI470" s="18">
        <f>AE470-AF470+AG470-AH470</f>
        <v>492131285.1500001</v>
      </c>
      <c r="AJ470" s="18">
        <f>AD470+AI470</f>
        <v>492131285.1500001</v>
      </c>
      <c r="AK470" s="44">
        <v>0</v>
      </c>
      <c r="AL470" s="44">
        <v>0</v>
      </c>
      <c r="AM470" s="43">
        <v>492131285.14999998</v>
      </c>
      <c r="AN470" s="44">
        <v>0</v>
      </c>
      <c r="AO470" s="44">
        <v>0</v>
      </c>
      <c r="AP470" s="43">
        <v>423802091.47000003</v>
      </c>
      <c r="AQ470" s="44">
        <v>9325985.8200000003</v>
      </c>
      <c r="AR470" s="44">
        <v>0</v>
      </c>
      <c r="AS470" s="44">
        <v>0</v>
      </c>
      <c r="AT470" s="39">
        <f t="shared" si="218"/>
        <v>9325985.8200000003</v>
      </c>
      <c r="AU470" s="18">
        <f>AJ470-AM470</f>
        <v>0</v>
      </c>
      <c r="AV470" s="18">
        <f>AM470-AP470</f>
        <v>68329193.679999948</v>
      </c>
      <c r="AW470" s="18">
        <f>AP470-AT470</f>
        <v>414476105.65000004</v>
      </c>
      <c r="AX470" s="123">
        <f>AP470/AJ470</f>
        <v>0.86115657398376222</v>
      </c>
    </row>
    <row r="471" spans="1:50" ht="18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173" t="s">
        <v>1201</v>
      </c>
      <c r="AB471" s="42" t="s">
        <v>1202</v>
      </c>
      <c r="AC471" s="43"/>
      <c r="AD471" s="44">
        <v>0</v>
      </c>
      <c r="AE471" s="142">
        <v>60900682</v>
      </c>
      <c r="AF471" s="44"/>
      <c r="AG471" s="44"/>
      <c r="AH471" s="43"/>
      <c r="AI471" s="18">
        <f>AE471-AF471+AG471-AH471</f>
        <v>60900682</v>
      </c>
      <c r="AJ471" s="18">
        <f>AD471+AI471</f>
        <v>60900682</v>
      </c>
      <c r="AK471" s="44">
        <v>0</v>
      </c>
      <c r="AL471" s="44">
        <v>0</v>
      </c>
      <c r="AM471" s="43">
        <v>0</v>
      </c>
      <c r="AN471" s="44">
        <v>0</v>
      </c>
      <c r="AO471" s="44">
        <v>0</v>
      </c>
      <c r="AP471" s="43">
        <v>0</v>
      </c>
      <c r="AQ471" s="44">
        <v>0</v>
      </c>
      <c r="AR471" s="44">
        <v>0</v>
      </c>
      <c r="AS471" s="44">
        <v>0</v>
      </c>
      <c r="AT471" s="40">
        <f t="shared" si="218"/>
        <v>0</v>
      </c>
      <c r="AU471" s="18">
        <f>AJ471-AM471</f>
        <v>60900682</v>
      </c>
      <c r="AV471" s="18">
        <f>AM471-AP471</f>
        <v>0</v>
      </c>
      <c r="AW471" s="34">
        <f>AP471-AT471</f>
        <v>0</v>
      </c>
      <c r="AX471" s="123">
        <f>AP471/AJ471</f>
        <v>0</v>
      </c>
    </row>
    <row r="472" spans="1:50" ht="18.75" customHeight="1" x14ac:dyDescent="0.2">
      <c r="AA472" s="28" t="s">
        <v>288</v>
      </c>
      <c r="AB472" s="29" t="s">
        <v>320</v>
      </c>
      <c r="AC472" s="17"/>
      <c r="AD472" s="18"/>
      <c r="AE472" s="145"/>
      <c r="AF472" s="34"/>
      <c r="AG472" s="34"/>
      <c r="AH472" s="34"/>
      <c r="AI472" s="34"/>
      <c r="AJ472" s="18"/>
      <c r="AK472" s="18"/>
      <c r="AL472" s="18"/>
      <c r="AM472" s="18"/>
      <c r="AN472" s="18"/>
      <c r="AO472" s="18"/>
      <c r="AP472" s="18"/>
      <c r="AQ472" s="18"/>
      <c r="AR472" s="34"/>
      <c r="AS472" s="34"/>
      <c r="AT472" s="31"/>
      <c r="AU472" s="18"/>
      <c r="AV472" s="34"/>
      <c r="AW472" s="18"/>
      <c r="AX472" s="18"/>
    </row>
    <row r="473" spans="1:50" ht="18.75" customHeight="1" x14ac:dyDescent="0.2">
      <c r="A473" s="4" t="s">
        <v>37</v>
      </c>
      <c r="B473" s="4" t="s">
        <v>37</v>
      </c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1" t="s">
        <v>413</v>
      </c>
      <c r="AB473" s="42" t="s">
        <v>233</v>
      </c>
      <c r="AC473" s="43" t="s">
        <v>58</v>
      </c>
      <c r="AD473" s="43">
        <v>1212000000</v>
      </c>
      <c r="AE473" s="143">
        <v>0</v>
      </c>
      <c r="AF473" s="44">
        <v>0</v>
      </c>
      <c r="AG473" s="44">
        <v>0</v>
      </c>
      <c r="AH473" s="44">
        <v>0</v>
      </c>
      <c r="AI473" s="44">
        <v>0</v>
      </c>
      <c r="AJ473" s="43">
        <v>1212000000</v>
      </c>
      <c r="AK473" s="44">
        <v>0</v>
      </c>
      <c r="AL473" s="44">
        <v>0</v>
      </c>
      <c r="AM473" s="43">
        <v>1161315332</v>
      </c>
      <c r="AN473" s="44">
        <v>0</v>
      </c>
      <c r="AO473" s="44">
        <v>0</v>
      </c>
      <c r="AP473" s="43">
        <v>1161315332</v>
      </c>
      <c r="AQ473" s="44">
        <v>98352930</v>
      </c>
      <c r="AR473" s="44">
        <v>0</v>
      </c>
      <c r="AS473" s="44">
        <v>0</v>
      </c>
      <c r="AT473" s="39">
        <f t="shared" ref="AT473:AT474" si="219">AQ473+AS473</f>
        <v>98352930</v>
      </c>
      <c r="AU473" s="18">
        <f>AJ473-AM473</f>
        <v>50684668</v>
      </c>
      <c r="AV473" s="34">
        <f>AM473-AP473</f>
        <v>0</v>
      </c>
      <c r="AW473" s="18">
        <f>AP473-AT473</f>
        <v>1062962402</v>
      </c>
      <c r="AX473" s="123">
        <f>AP473/AJ473</f>
        <v>0.95818096699669963</v>
      </c>
    </row>
    <row r="474" spans="1:50" ht="18.75" customHeight="1" x14ac:dyDescent="0.2">
      <c r="A474" s="4" t="s">
        <v>55</v>
      </c>
      <c r="B474" s="4" t="s">
        <v>56</v>
      </c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1" t="s">
        <v>414</v>
      </c>
      <c r="AB474" s="42" t="s">
        <v>328</v>
      </c>
      <c r="AC474" s="43" t="s">
        <v>61</v>
      </c>
      <c r="AD474" s="43">
        <v>13807166550</v>
      </c>
      <c r="AE474" s="44">
        <v>0</v>
      </c>
      <c r="AF474" s="44">
        <v>0</v>
      </c>
      <c r="AG474" s="44">
        <v>0</v>
      </c>
      <c r="AH474" s="43">
        <v>23257108</v>
      </c>
      <c r="AI474" s="18">
        <f>AE474-AF474+AG474-AH474</f>
        <v>-23257108</v>
      </c>
      <c r="AJ474" s="18">
        <f>AD474+AI474</f>
        <v>13783909442</v>
      </c>
      <c r="AK474" s="44">
        <v>0</v>
      </c>
      <c r="AL474" s="43">
        <v>339946299</v>
      </c>
      <c r="AM474" s="43">
        <v>13147919116</v>
      </c>
      <c r="AN474" s="44">
        <v>0</v>
      </c>
      <c r="AO474" s="43">
        <v>339946299</v>
      </c>
      <c r="AP474" s="43">
        <v>13147919116</v>
      </c>
      <c r="AQ474" s="44">
        <v>1447672138</v>
      </c>
      <c r="AR474" s="43">
        <v>1629557937</v>
      </c>
      <c r="AS474" s="43">
        <v>1629557937</v>
      </c>
      <c r="AT474" s="39">
        <f t="shared" si="219"/>
        <v>3077230075</v>
      </c>
      <c r="AU474" s="18">
        <f>AJ474-AM474</f>
        <v>635990326</v>
      </c>
      <c r="AV474" s="34">
        <f>AM474-AP474</f>
        <v>0</v>
      </c>
      <c r="AW474" s="18">
        <f>AP474-AT474</f>
        <v>10070689041</v>
      </c>
      <c r="AX474" s="123">
        <f>AP474/AJ474</f>
        <v>0.953859945998911</v>
      </c>
    </row>
    <row r="475" spans="1:50" ht="38.25" x14ac:dyDescent="0.2">
      <c r="AA475" s="28" t="s">
        <v>288</v>
      </c>
      <c r="AB475" s="29" t="s">
        <v>415</v>
      </c>
      <c r="AC475" s="17"/>
      <c r="AD475" s="18"/>
      <c r="AE475" s="34"/>
      <c r="AF475" s="34"/>
      <c r="AG475" s="34"/>
      <c r="AH475" s="34"/>
      <c r="AI475" s="34"/>
      <c r="AJ475" s="18"/>
      <c r="AK475" s="34"/>
      <c r="AL475" s="34"/>
      <c r="AM475" s="18"/>
      <c r="AN475" s="18"/>
      <c r="AO475" s="18"/>
      <c r="AP475" s="18"/>
      <c r="AQ475" s="34"/>
      <c r="AR475" s="34"/>
      <c r="AS475" s="34"/>
      <c r="AT475" s="40"/>
      <c r="AU475" s="18"/>
      <c r="AV475" s="34"/>
      <c r="AW475" s="18"/>
      <c r="AX475" s="18"/>
    </row>
    <row r="476" spans="1:50" ht="18.75" customHeight="1" x14ac:dyDescent="0.2">
      <c r="A476" s="4" t="s">
        <v>55</v>
      </c>
      <c r="B476" s="4" t="s">
        <v>56</v>
      </c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1" t="s">
        <v>416</v>
      </c>
      <c r="AB476" s="42" t="s">
        <v>379</v>
      </c>
      <c r="AC476" s="43" t="s">
        <v>380</v>
      </c>
      <c r="AD476" s="43">
        <v>50000000</v>
      </c>
      <c r="AE476" s="44">
        <v>0</v>
      </c>
      <c r="AF476" s="44">
        <v>0</v>
      </c>
      <c r="AG476" s="44">
        <v>0</v>
      </c>
      <c r="AH476" s="44">
        <v>0</v>
      </c>
      <c r="AI476" s="44">
        <v>0</v>
      </c>
      <c r="AJ476" s="43">
        <v>50000000</v>
      </c>
      <c r="AK476" s="44">
        <v>0</v>
      </c>
      <c r="AL476" s="43">
        <v>50000000</v>
      </c>
      <c r="AM476" s="43">
        <v>50000000</v>
      </c>
      <c r="AN476" s="44">
        <v>0</v>
      </c>
      <c r="AO476" s="44">
        <v>0</v>
      </c>
      <c r="AP476" s="44">
        <v>0</v>
      </c>
      <c r="AQ476" s="44">
        <v>0</v>
      </c>
      <c r="AR476" s="44">
        <v>0</v>
      </c>
      <c r="AS476" s="44">
        <v>0</v>
      </c>
      <c r="AT476" s="40">
        <f t="shared" ref="AT476:AT477" si="220">AQ476+AS476</f>
        <v>0</v>
      </c>
      <c r="AU476" s="18">
        <f>AJ476-AM476</f>
        <v>0</v>
      </c>
      <c r="AV476" s="18">
        <f>AM476-AP476</f>
        <v>50000000</v>
      </c>
      <c r="AW476" s="34">
        <f>AP476-AT476</f>
        <v>0</v>
      </c>
      <c r="AX476" s="123">
        <f>AP476/AJ476</f>
        <v>0</v>
      </c>
    </row>
    <row r="477" spans="1:50" ht="18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173" t="s">
        <v>1205</v>
      </c>
      <c r="AB477" s="42" t="s">
        <v>1204</v>
      </c>
      <c r="AC477" s="43"/>
      <c r="AD477" s="44">
        <v>0</v>
      </c>
      <c r="AE477" s="43">
        <v>200000000</v>
      </c>
      <c r="AF477" s="44"/>
      <c r="AG477" s="44"/>
      <c r="AH477" s="44"/>
      <c r="AI477" s="18">
        <f>AE477-AF477+AG477-AH477</f>
        <v>200000000</v>
      </c>
      <c r="AJ477" s="18">
        <f>AD477+AI477</f>
        <v>200000000</v>
      </c>
      <c r="AK477" s="44">
        <v>0</v>
      </c>
      <c r="AL477" s="44">
        <v>0</v>
      </c>
      <c r="AM477" s="44">
        <v>0</v>
      </c>
      <c r="AN477" s="44">
        <v>0</v>
      </c>
      <c r="AO477" s="44">
        <v>0</v>
      </c>
      <c r="AP477" s="44">
        <v>0</v>
      </c>
      <c r="AQ477" s="44">
        <v>0</v>
      </c>
      <c r="AR477" s="44">
        <v>0</v>
      </c>
      <c r="AS477" s="44">
        <v>0</v>
      </c>
      <c r="AT477" s="40">
        <f t="shared" si="220"/>
        <v>0</v>
      </c>
      <c r="AU477" s="18">
        <f>AJ477-AM477</f>
        <v>200000000</v>
      </c>
      <c r="AV477" s="34">
        <f>AM477-AP477</f>
        <v>0</v>
      </c>
      <c r="AW477" s="34">
        <f>AP477-AT477</f>
        <v>0</v>
      </c>
      <c r="AX477" s="123">
        <f>AP477/AJ477</f>
        <v>0</v>
      </c>
    </row>
    <row r="478" spans="1:50" ht="25.5" x14ac:dyDescent="0.2">
      <c r="AA478" s="28" t="s">
        <v>288</v>
      </c>
      <c r="AB478" s="29" t="s">
        <v>418</v>
      </c>
      <c r="AC478" s="17"/>
      <c r="AD478" s="18"/>
      <c r="AE478" s="34"/>
      <c r="AF478" s="34"/>
      <c r="AG478" s="34"/>
      <c r="AH478" s="34"/>
      <c r="AI478" s="34"/>
      <c r="AJ478" s="18"/>
      <c r="AK478" s="34"/>
      <c r="AL478" s="34"/>
      <c r="AM478" s="34"/>
      <c r="AN478" s="34"/>
      <c r="AO478" s="34"/>
      <c r="AP478" s="34"/>
      <c r="AQ478" s="34"/>
      <c r="AR478" s="34"/>
      <c r="AS478" s="34"/>
      <c r="AT478" s="40"/>
      <c r="AU478" s="18"/>
      <c r="AV478" s="34"/>
      <c r="AW478" s="34"/>
      <c r="AX478" s="18"/>
    </row>
    <row r="479" spans="1:50" x14ac:dyDescent="0.2">
      <c r="A479" s="4" t="s">
        <v>55</v>
      </c>
      <c r="B479" s="4" t="s">
        <v>56</v>
      </c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1" t="s">
        <v>419</v>
      </c>
      <c r="AB479" s="42" t="s">
        <v>233</v>
      </c>
      <c r="AC479" s="43" t="s">
        <v>58</v>
      </c>
      <c r="AD479" s="43">
        <v>200000000</v>
      </c>
      <c r="AE479" s="44">
        <v>0</v>
      </c>
      <c r="AF479" s="44">
        <v>0</v>
      </c>
      <c r="AG479" s="44">
        <v>0</v>
      </c>
      <c r="AH479" s="44">
        <v>0</v>
      </c>
      <c r="AI479" s="44">
        <v>0</v>
      </c>
      <c r="AJ479" s="43">
        <v>200000000</v>
      </c>
      <c r="AK479" s="44">
        <v>0</v>
      </c>
      <c r="AL479" s="44">
        <v>0</v>
      </c>
      <c r="AM479" s="44">
        <v>0</v>
      </c>
      <c r="AN479" s="44">
        <v>0</v>
      </c>
      <c r="AO479" s="44">
        <v>0</v>
      </c>
      <c r="AP479" s="44">
        <v>0</v>
      </c>
      <c r="AQ479" s="44">
        <v>0</v>
      </c>
      <c r="AR479" s="44">
        <v>0</v>
      </c>
      <c r="AS479" s="44">
        <v>0</v>
      </c>
      <c r="AT479" s="40">
        <f t="shared" si="213"/>
        <v>0</v>
      </c>
      <c r="AU479" s="18">
        <f>AJ479-AM479</f>
        <v>200000000</v>
      </c>
      <c r="AV479" s="34">
        <f>AM479-AP479</f>
        <v>0</v>
      </c>
      <c r="AW479" s="34">
        <f>AP479-AT479</f>
        <v>0</v>
      </c>
      <c r="AX479" s="123">
        <f>AP479/AJ479</f>
        <v>0</v>
      </c>
    </row>
    <row r="480" spans="1:50" ht="51" x14ac:dyDescent="0.2">
      <c r="AA480" s="28" t="s">
        <v>288</v>
      </c>
      <c r="AB480" s="29" t="s">
        <v>420</v>
      </c>
      <c r="AC480" s="17"/>
      <c r="AD480" s="18"/>
      <c r="AE480" s="34"/>
      <c r="AF480" s="34"/>
      <c r="AG480" s="34"/>
      <c r="AH480" s="34"/>
      <c r="AI480" s="34"/>
      <c r="AJ480" s="18"/>
      <c r="AK480" s="34"/>
      <c r="AL480" s="18"/>
      <c r="AM480" s="18"/>
      <c r="AN480" s="18"/>
      <c r="AO480" s="18"/>
      <c r="AP480" s="18"/>
      <c r="AQ480" s="18"/>
      <c r="AR480" s="18"/>
      <c r="AS480" s="18"/>
      <c r="AT480" s="40"/>
      <c r="AU480" s="18"/>
      <c r="AV480" s="18"/>
      <c r="AW480" s="18"/>
      <c r="AX480" s="18"/>
    </row>
    <row r="481" spans="1:50" x14ac:dyDescent="0.2">
      <c r="A481" s="4" t="s">
        <v>55</v>
      </c>
      <c r="B481" s="4" t="s">
        <v>56</v>
      </c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1" t="s">
        <v>421</v>
      </c>
      <c r="AB481" s="42" t="s">
        <v>328</v>
      </c>
      <c r="AC481" s="43" t="s">
        <v>61</v>
      </c>
      <c r="AD481" s="43">
        <v>501573828</v>
      </c>
      <c r="AE481" s="44">
        <v>0</v>
      </c>
      <c r="AF481" s="44">
        <v>0</v>
      </c>
      <c r="AG481" s="43">
        <v>280746171.69999999</v>
      </c>
      <c r="AH481" s="43">
        <v>3845830</v>
      </c>
      <c r="AI481" s="18">
        <f>AE481-AF481+AG481-AH481</f>
        <v>276900341.69999999</v>
      </c>
      <c r="AJ481" s="18">
        <f>AD481+AI481</f>
        <v>778474169.70000005</v>
      </c>
      <c r="AK481" s="44">
        <v>0</v>
      </c>
      <c r="AL481" s="43">
        <v>0</v>
      </c>
      <c r="AM481" s="43">
        <v>532000000</v>
      </c>
      <c r="AN481" s="43">
        <v>0</v>
      </c>
      <c r="AO481" s="43">
        <v>0</v>
      </c>
      <c r="AP481" s="43">
        <v>529200000</v>
      </c>
      <c r="AQ481" s="43">
        <v>160626667</v>
      </c>
      <c r="AR481" s="43">
        <v>61600000</v>
      </c>
      <c r="AS481" s="43">
        <v>157359999</v>
      </c>
      <c r="AT481" s="39">
        <f t="shared" si="213"/>
        <v>317986666</v>
      </c>
      <c r="AU481" s="18">
        <f>AJ481-AM481</f>
        <v>246474169.70000005</v>
      </c>
      <c r="AV481" s="18">
        <f>AM481-AP481</f>
        <v>2800000</v>
      </c>
      <c r="AW481" s="18">
        <f>AP481-AT481</f>
        <v>211213334</v>
      </c>
      <c r="AX481" s="123">
        <f>AP481/AJ481</f>
        <v>0.67979134131571428</v>
      </c>
    </row>
    <row r="482" spans="1:50" ht="25.5" x14ac:dyDescent="0.2">
      <c r="A482" s="4" t="s">
        <v>55</v>
      </c>
      <c r="B482" s="4" t="s">
        <v>56</v>
      </c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1" t="s">
        <v>422</v>
      </c>
      <c r="AB482" s="42" t="s">
        <v>423</v>
      </c>
      <c r="AC482" s="43" t="s">
        <v>424</v>
      </c>
      <c r="AD482" s="43">
        <v>370346171.69999999</v>
      </c>
      <c r="AE482" s="44">
        <v>0</v>
      </c>
      <c r="AF482" s="44">
        <v>0</v>
      </c>
      <c r="AG482" s="44">
        <v>0</v>
      </c>
      <c r="AH482" s="43">
        <v>280746171.69999999</v>
      </c>
      <c r="AI482" s="18">
        <f>AE482-AF482+AG482-AH482</f>
        <v>-280746171.69999999</v>
      </c>
      <c r="AJ482" s="18">
        <f>AD482+AI482</f>
        <v>89600000</v>
      </c>
      <c r="AK482" s="44">
        <v>0</v>
      </c>
      <c r="AL482" s="43">
        <v>0</v>
      </c>
      <c r="AM482" s="43">
        <v>89600000</v>
      </c>
      <c r="AN482" s="43">
        <v>0</v>
      </c>
      <c r="AO482" s="43">
        <v>0</v>
      </c>
      <c r="AP482" s="43">
        <v>89600000</v>
      </c>
      <c r="AQ482" s="43">
        <v>39200000</v>
      </c>
      <c r="AR482" s="43">
        <v>11013334</v>
      </c>
      <c r="AS482" s="43">
        <v>15866668</v>
      </c>
      <c r="AT482" s="39">
        <f t="shared" si="213"/>
        <v>55066668</v>
      </c>
      <c r="AU482" s="18">
        <f>AJ482-AM482</f>
        <v>0</v>
      </c>
      <c r="AV482" s="34">
        <f>AM482-AP482</f>
        <v>0</v>
      </c>
      <c r="AW482" s="18">
        <f>AP482-AT482</f>
        <v>34533332</v>
      </c>
      <c r="AX482" s="123">
        <f>AP482/AJ482</f>
        <v>1</v>
      </c>
    </row>
    <row r="483" spans="1:50" ht="18.75" customHeight="1" x14ac:dyDescent="0.2">
      <c r="AA483" s="28" t="s">
        <v>288</v>
      </c>
      <c r="AB483" s="29" t="s">
        <v>400</v>
      </c>
      <c r="AC483" s="17"/>
      <c r="AD483" s="18"/>
      <c r="AE483" s="34"/>
      <c r="AF483" s="34"/>
      <c r="AG483" s="34"/>
      <c r="AH483" s="34"/>
      <c r="AI483" s="34"/>
      <c r="AJ483" s="18"/>
      <c r="AK483" s="34"/>
      <c r="AL483" s="18"/>
      <c r="AM483" s="18"/>
      <c r="AN483" s="34"/>
      <c r="AO483" s="18"/>
      <c r="AP483" s="18"/>
      <c r="AQ483" s="34"/>
      <c r="AR483" s="34"/>
      <c r="AS483" s="34"/>
      <c r="AT483" s="40"/>
      <c r="AU483" s="18"/>
      <c r="AV483" s="18"/>
      <c r="AW483" s="18"/>
      <c r="AX483" s="18"/>
    </row>
    <row r="484" spans="1:50" ht="18.75" customHeight="1" x14ac:dyDescent="0.2">
      <c r="A484" s="4" t="s">
        <v>55</v>
      </c>
      <c r="B484" s="4" t="s">
        <v>56</v>
      </c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1" t="s">
        <v>425</v>
      </c>
      <c r="AB484" s="42" t="s">
        <v>233</v>
      </c>
      <c r="AC484" s="43" t="s">
        <v>58</v>
      </c>
      <c r="AD484" s="43">
        <v>318078211</v>
      </c>
      <c r="AE484" s="44">
        <v>0</v>
      </c>
      <c r="AF484" s="44">
        <v>0</v>
      </c>
      <c r="AG484" s="44">
        <v>0</v>
      </c>
      <c r="AH484" s="44">
        <v>0</v>
      </c>
      <c r="AI484" s="44">
        <v>0</v>
      </c>
      <c r="AJ484" s="43">
        <v>318078211</v>
      </c>
      <c r="AK484" s="44">
        <v>0</v>
      </c>
      <c r="AL484" s="44">
        <v>0</v>
      </c>
      <c r="AM484" s="43">
        <v>217200000</v>
      </c>
      <c r="AN484" s="44">
        <v>0</v>
      </c>
      <c r="AO484" s="44">
        <v>0</v>
      </c>
      <c r="AP484" s="43">
        <v>217200000</v>
      </c>
      <c r="AQ484" s="44">
        <v>27150000</v>
      </c>
      <c r="AR484" s="114">
        <v>29700000</v>
      </c>
      <c r="AS484" s="114">
        <v>111706667</v>
      </c>
      <c r="AT484" s="39">
        <f t="shared" si="213"/>
        <v>138856667</v>
      </c>
      <c r="AU484" s="18">
        <f>AJ484-AM484</f>
        <v>100878211</v>
      </c>
      <c r="AV484" s="34">
        <f>AM484-AP484</f>
        <v>0</v>
      </c>
      <c r="AW484" s="18">
        <f>AP484-AT484</f>
        <v>78343333</v>
      </c>
      <c r="AX484" s="123">
        <f>AP484/AJ484</f>
        <v>0.68285092310205431</v>
      </c>
    </row>
    <row r="485" spans="1:50" ht="18.75" customHeight="1" x14ac:dyDescent="0.2">
      <c r="A485" s="4" t="s">
        <v>55</v>
      </c>
      <c r="B485" s="4" t="s">
        <v>56</v>
      </c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1" t="s">
        <v>426</v>
      </c>
      <c r="AB485" s="42" t="s">
        <v>427</v>
      </c>
      <c r="AC485" s="43" t="s">
        <v>428</v>
      </c>
      <c r="AD485" s="43">
        <v>12674978.119999999</v>
      </c>
      <c r="AE485" s="44">
        <v>0</v>
      </c>
      <c r="AF485" s="44">
        <v>0</v>
      </c>
      <c r="AG485" s="44">
        <v>0</v>
      </c>
      <c r="AH485" s="44">
        <v>0</v>
      </c>
      <c r="AI485" s="44">
        <v>0</v>
      </c>
      <c r="AJ485" s="43">
        <v>12674978.119999999</v>
      </c>
      <c r="AK485" s="44">
        <v>0</v>
      </c>
      <c r="AL485" s="44">
        <v>0</v>
      </c>
      <c r="AM485" s="44">
        <v>0</v>
      </c>
      <c r="AN485" s="44">
        <v>0</v>
      </c>
      <c r="AO485" s="44">
        <v>0</v>
      </c>
      <c r="AP485" s="44">
        <v>0</v>
      </c>
      <c r="AQ485" s="44">
        <v>0</v>
      </c>
      <c r="AR485" s="44">
        <v>0</v>
      </c>
      <c r="AS485" s="44">
        <v>0</v>
      </c>
      <c r="AT485" s="40">
        <f t="shared" si="213"/>
        <v>0</v>
      </c>
      <c r="AU485" s="18">
        <f>AJ485-AM485</f>
        <v>12674978.119999999</v>
      </c>
      <c r="AV485" s="34">
        <f>AM485-AP485</f>
        <v>0</v>
      </c>
      <c r="AW485" s="34">
        <f>AP485-AT485</f>
        <v>0</v>
      </c>
      <c r="AX485" s="123">
        <f>AP485/AJ485</f>
        <v>0</v>
      </c>
    </row>
    <row r="486" spans="1:50" ht="18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1"/>
      <c r="AB486" s="42"/>
      <c r="AC486" s="168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0"/>
      <c r="AU486" s="18"/>
      <c r="AV486" s="34"/>
      <c r="AW486" s="34"/>
      <c r="AX486" s="123"/>
    </row>
    <row r="487" spans="1:50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170" t="s">
        <v>1016</v>
      </c>
      <c r="AB487" s="170" t="s">
        <v>997</v>
      </c>
      <c r="AC487" s="168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0"/>
      <c r="AU487" s="18"/>
      <c r="AV487" s="34"/>
      <c r="AW487" s="34"/>
      <c r="AX487" s="123"/>
    </row>
    <row r="488" spans="1:50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170" t="s">
        <v>1017</v>
      </c>
      <c r="AB488" s="170" t="s">
        <v>999</v>
      </c>
      <c r="AC488" s="168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0"/>
      <c r="AU488" s="18"/>
      <c r="AV488" s="34"/>
      <c r="AW488" s="34"/>
      <c r="AX488" s="123"/>
    </row>
    <row r="489" spans="1:50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170" t="s">
        <v>1018</v>
      </c>
      <c r="AB489" s="170" t="s">
        <v>1001</v>
      </c>
      <c r="AC489" s="168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0"/>
      <c r="AU489" s="18"/>
      <c r="AV489" s="34"/>
      <c r="AW489" s="34"/>
      <c r="AX489" s="123"/>
    </row>
    <row r="490" spans="1:50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170" t="s">
        <v>1021</v>
      </c>
      <c r="AB490" s="165" t="s">
        <v>1003</v>
      </c>
      <c r="AC490" s="168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0"/>
      <c r="AU490" s="18"/>
      <c r="AV490" s="34"/>
      <c r="AW490" s="34"/>
      <c r="AX490" s="123"/>
    </row>
    <row r="491" spans="1:50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166" t="s">
        <v>1019</v>
      </c>
      <c r="AB491" s="167" t="s">
        <v>1005</v>
      </c>
      <c r="AC491" s="168"/>
      <c r="AD491" s="44">
        <v>0</v>
      </c>
      <c r="AE491" s="43">
        <v>289968755.39999998</v>
      </c>
      <c r="AF491" s="44">
        <v>0</v>
      </c>
      <c r="AG491" s="44">
        <v>0</v>
      </c>
      <c r="AH491" s="44">
        <v>0</v>
      </c>
      <c r="AI491" s="18">
        <f t="shared" ref="AI491:AI492" si="221">AE491-AF491+AG491-AH491</f>
        <v>289968755.39999998</v>
      </c>
      <c r="AJ491" s="18">
        <f t="shared" ref="AJ491:AJ492" si="222">AD491+AI491</f>
        <v>289968755.39999998</v>
      </c>
      <c r="AK491" s="44">
        <v>0</v>
      </c>
      <c r="AL491" s="43">
        <v>97697299.079999998</v>
      </c>
      <c r="AM491" s="43">
        <v>97697299.079999998</v>
      </c>
      <c r="AN491" s="44">
        <v>0</v>
      </c>
      <c r="AO491" s="44">
        <v>97697299.079999998</v>
      </c>
      <c r="AP491" s="44">
        <v>97697299.079999998</v>
      </c>
      <c r="AQ491" s="44">
        <v>0</v>
      </c>
      <c r="AR491" s="44">
        <v>2031817</v>
      </c>
      <c r="AS491" s="43">
        <v>2031817</v>
      </c>
      <c r="AT491" s="39">
        <f t="shared" ref="AT491:AT492" si="223">AQ491+AS491</f>
        <v>2031817</v>
      </c>
      <c r="AU491" s="18">
        <f>AJ491-AM491</f>
        <v>192271456.31999999</v>
      </c>
      <c r="AV491" s="34">
        <f>AM491-AP491</f>
        <v>0</v>
      </c>
      <c r="AW491" s="18">
        <f>AP491-AT491</f>
        <v>95665482.079999998</v>
      </c>
      <c r="AX491" s="123">
        <f>AP491/AJ491</f>
        <v>0.33692353834891831</v>
      </c>
    </row>
    <row r="492" spans="1:50" ht="25.5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166" t="s">
        <v>1022</v>
      </c>
      <c r="AB492" s="167" t="s">
        <v>1023</v>
      </c>
      <c r="AC492" s="168"/>
      <c r="AD492" s="44">
        <v>0</v>
      </c>
      <c r="AE492" s="43">
        <v>185022377.55000001</v>
      </c>
      <c r="AF492" s="44">
        <v>0</v>
      </c>
      <c r="AG492" s="44">
        <v>0</v>
      </c>
      <c r="AH492" s="44">
        <v>0</v>
      </c>
      <c r="AI492" s="18">
        <f t="shared" si="221"/>
        <v>185022377.55000001</v>
      </c>
      <c r="AJ492" s="18">
        <f t="shared" si="222"/>
        <v>185022377.55000001</v>
      </c>
      <c r="AK492" s="43">
        <v>0</v>
      </c>
      <c r="AL492" s="43">
        <v>185022377.55000001</v>
      </c>
      <c r="AM492" s="43">
        <v>185022377.55000001</v>
      </c>
      <c r="AN492" s="43">
        <v>0</v>
      </c>
      <c r="AO492" s="43">
        <v>185022377.55000001</v>
      </c>
      <c r="AP492" s="43">
        <v>185022377.55000001</v>
      </c>
      <c r="AQ492" s="43">
        <v>0</v>
      </c>
      <c r="AR492" s="43">
        <v>185022377.55000001</v>
      </c>
      <c r="AS492" s="43">
        <v>185022377.55000001</v>
      </c>
      <c r="AT492" s="39">
        <f t="shared" si="223"/>
        <v>185022377.55000001</v>
      </c>
      <c r="AU492" s="18">
        <f>AJ492-AM492</f>
        <v>0</v>
      </c>
      <c r="AV492" s="34">
        <f>AM492-AP492</f>
        <v>0</v>
      </c>
      <c r="AW492" s="34">
        <f>AP492-AT492</f>
        <v>0</v>
      </c>
      <c r="AX492" s="123">
        <f>AP492/AJ492</f>
        <v>1</v>
      </c>
    </row>
    <row r="493" spans="1:50" ht="18.75" customHeight="1" x14ac:dyDescent="0.2">
      <c r="AA493" s="16"/>
      <c r="AB493" s="17"/>
      <c r="AC493" s="17"/>
      <c r="AD493" s="18"/>
      <c r="AE493" s="34"/>
      <c r="AF493" s="34"/>
      <c r="AG493" s="34"/>
      <c r="AH493" s="34"/>
      <c r="AI493" s="34"/>
      <c r="AJ493" s="18"/>
      <c r="AK493" s="34"/>
      <c r="AL493" s="18"/>
      <c r="AM493" s="18"/>
      <c r="AN493" s="18"/>
      <c r="AO493" s="18"/>
      <c r="AP493" s="18"/>
      <c r="AQ493" s="18"/>
      <c r="AR493" s="18"/>
      <c r="AS493" s="18"/>
      <c r="AT493" s="40"/>
      <c r="AU493" s="18"/>
      <c r="AV493" s="18"/>
      <c r="AW493" s="18"/>
      <c r="AX493" s="18"/>
    </row>
    <row r="494" spans="1:50" ht="18.75" customHeight="1" x14ac:dyDescent="0.2">
      <c r="AA494" s="16"/>
      <c r="AB494" s="29" t="s">
        <v>429</v>
      </c>
      <c r="AC494" s="17"/>
      <c r="AD494" s="18"/>
      <c r="AE494" s="34"/>
      <c r="AF494" s="34"/>
      <c r="AG494" s="34"/>
      <c r="AH494" s="34"/>
      <c r="AI494" s="34"/>
      <c r="AJ494" s="18"/>
      <c r="AK494" s="34"/>
      <c r="AL494" s="18"/>
      <c r="AM494" s="18"/>
      <c r="AN494" s="18"/>
      <c r="AO494" s="18"/>
      <c r="AP494" s="18"/>
      <c r="AQ494" s="18"/>
      <c r="AR494" s="18"/>
      <c r="AS494" s="18"/>
      <c r="AT494" s="40"/>
      <c r="AU494" s="18"/>
      <c r="AV494" s="18"/>
      <c r="AW494" s="18"/>
      <c r="AX494" s="18"/>
    </row>
    <row r="495" spans="1:50" ht="18.75" customHeight="1" x14ac:dyDescent="0.2">
      <c r="AA495" s="16"/>
      <c r="AB495" s="29" t="s">
        <v>286</v>
      </c>
      <c r="AC495" s="17"/>
      <c r="AD495" s="18"/>
      <c r="AE495" s="34"/>
      <c r="AF495" s="34"/>
      <c r="AG495" s="34"/>
      <c r="AH495" s="34"/>
      <c r="AI495" s="34"/>
      <c r="AJ495" s="18"/>
      <c r="AK495" s="34"/>
      <c r="AL495" s="18"/>
      <c r="AM495" s="18"/>
      <c r="AN495" s="18"/>
      <c r="AO495" s="18"/>
      <c r="AP495" s="18"/>
      <c r="AQ495" s="18"/>
      <c r="AR495" s="18"/>
      <c r="AS495" s="18"/>
      <c r="AT495" s="40"/>
      <c r="AU495" s="18"/>
      <c r="AV495" s="18"/>
      <c r="AW495" s="18"/>
      <c r="AX495" s="18"/>
    </row>
    <row r="496" spans="1:50" ht="18.75" customHeight="1" x14ac:dyDescent="0.2">
      <c r="AA496" s="16"/>
      <c r="AB496" s="29" t="s">
        <v>179</v>
      </c>
      <c r="AC496" s="17"/>
      <c r="AD496" s="18"/>
      <c r="AE496" s="34"/>
      <c r="AF496" s="34"/>
      <c r="AG496" s="34"/>
      <c r="AH496" s="34"/>
      <c r="AI496" s="34"/>
      <c r="AJ496" s="18"/>
      <c r="AK496" s="34"/>
      <c r="AL496" s="18"/>
      <c r="AM496" s="18"/>
      <c r="AN496" s="18"/>
      <c r="AO496" s="18"/>
      <c r="AP496" s="18"/>
      <c r="AQ496" s="18"/>
      <c r="AR496" s="18"/>
      <c r="AS496" s="18"/>
      <c r="AT496" s="40"/>
      <c r="AU496" s="18"/>
      <c r="AV496" s="18"/>
      <c r="AW496" s="18"/>
      <c r="AX496" s="18"/>
    </row>
    <row r="497" spans="1:50" ht="18.75" customHeight="1" x14ac:dyDescent="0.2">
      <c r="AA497" s="16"/>
      <c r="AB497" s="29" t="s">
        <v>189</v>
      </c>
      <c r="AC497" s="17"/>
      <c r="AD497" s="18"/>
      <c r="AE497" s="34"/>
      <c r="AF497" s="34"/>
      <c r="AG497" s="34"/>
      <c r="AH497" s="34"/>
      <c r="AI497" s="34"/>
      <c r="AJ497" s="18"/>
      <c r="AK497" s="34"/>
      <c r="AL497" s="18"/>
      <c r="AM497" s="18"/>
      <c r="AN497" s="18"/>
      <c r="AO497" s="18"/>
      <c r="AP497" s="18"/>
      <c r="AQ497" s="18"/>
      <c r="AR497" s="18"/>
      <c r="AS497" s="18"/>
      <c r="AT497" s="40"/>
      <c r="AU497" s="18"/>
      <c r="AV497" s="18"/>
      <c r="AW497" s="18"/>
      <c r="AX497" s="18"/>
    </row>
    <row r="498" spans="1:50" ht="18.75" customHeight="1" x14ac:dyDescent="0.2">
      <c r="AA498" s="16"/>
      <c r="AB498" s="29" t="s">
        <v>199</v>
      </c>
      <c r="AC498" s="17"/>
      <c r="AD498" s="18"/>
      <c r="AE498" s="34"/>
      <c r="AF498" s="34"/>
      <c r="AG498" s="34"/>
      <c r="AH498" s="34"/>
      <c r="AI498" s="34"/>
      <c r="AJ498" s="18"/>
      <c r="AK498" s="34"/>
      <c r="AL498" s="18"/>
      <c r="AM498" s="18"/>
      <c r="AN498" s="18"/>
      <c r="AO498" s="18"/>
      <c r="AP498" s="18"/>
      <c r="AQ498" s="18"/>
      <c r="AR498" s="18"/>
      <c r="AS498" s="18"/>
      <c r="AT498" s="40"/>
      <c r="AU498" s="18"/>
      <c r="AV498" s="18"/>
      <c r="AW498" s="18"/>
      <c r="AX498" s="18"/>
    </row>
    <row r="499" spans="1:50" ht="25.5" x14ac:dyDescent="0.2">
      <c r="AA499" s="28" t="s">
        <v>288</v>
      </c>
      <c r="AB499" s="29" t="s">
        <v>418</v>
      </c>
      <c r="AC499" s="17"/>
      <c r="AD499" s="18"/>
      <c r="AE499" s="34"/>
      <c r="AF499" s="34"/>
      <c r="AG499" s="34"/>
      <c r="AH499" s="34"/>
      <c r="AI499" s="34"/>
      <c r="AJ499" s="18"/>
      <c r="AK499" s="34"/>
      <c r="AL499" s="18"/>
      <c r="AM499" s="18"/>
      <c r="AN499" s="18"/>
      <c r="AO499" s="18"/>
      <c r="AP499" s="18"/>
      <c r="AQ499" s="18"/>
      <c r="AR499" s="18"/>
      <c r="AS499" s="18"/>
      <c r="AT499" s="40"/>
      <c r="AU499" s="18"/>
      <c r="AV499" s="18"/>
      <c r="AW499" s="18"/>
      <c r="AX499" s="18"/>
    </row>
    <row r="500" spans="1:50" ht="18.75" customHeight="1" x14ac:dyDescent="0.2">
      <c r="A500" s="4" t="s">
        <v>55</v>
      </c>
      <c r="B500" s="4" t="s">
        <v>56</v>
      </c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1" t="s">
        <v>419</v>
      </c>
      <c r="AB500" s="42" t="s">
        <v>233</v>
      </c>
      <c r="AC500" s="43" t="s">
        <v>58</v>
      </c>
      <c r="AD500" s="43">
        <v>2364833525</v>
      </c>
      <c r="AE500" s="44">
        <v>0</v>
      </c>
      <c r="AF500" s="44">
        <v>0</v>
      </c>
      <c r="AG500" s="44">
        <v>0</v>
      </c>
      <c r="AH500" s="18">
        <v>1500000000</v>
      </c>
      <c r="AI500" s="18">
        <f>AE500-AF500+AG500-AH500</f>
        <v>-1500000000</v>
      </c>
      <c r="AJ500" s="18">
        <f>AD500+AI500</f>
        <v>864833525</v>
      </c>
      <c r="AK500" s="44">
        <v>0</v>
      </c>
      <c r="AL500" s="44">
        <v>0</v>
      </c>
      <c r="AM500" s="43">
        <v>798113570</v>
      </c>
      <c r="AN500" s="44">
        <v>0</v>
      </c>
      <c r="AO500" s="44">
        <v>0</v>
      </c>
      <c r="AP500" s="43">
        <v>798113570</v>
      </c>
      <c r="AQ500" s="44">
        <v>0</v>
      </c>
      <c r="AR500" s="43">
        <v>0</v>
      </c>
      <c r="AS500" s="43">
        <v>293958556</v>
      </c>
      <c r="AT500" s="39">
        <f t="shared" ref="AT500:AT503" si="224">AQ500+AS500</f>
        <v>293958556</v>
      </c>
      <c r="AU500" s="18">
        <f>AJ500-AM500</f>
        <v>66719955</v>
      </c>
      <c r="AV500" s="34">
        <f>AM500-AP500</f>
        <v>0</v>
      </c>
      <c r="AW500" s="18">
        <f>AP500-AT500</f>
        <v>504155014</v>
      </c>
      <c r="AX500" s="123">
        <f>AP500/AJ500</f>
        <v>0.92285225645016478</v>
      </c>
    </row>
    <row r="501" spans="1:50" ht="18.75" customHeight="1" x14ac:dyDescent="0.2">
      <c r="A501" s="4" t="s">
        <v>55</v>
      </c>
      <c r="B501" s="4" t="s">
        <v>56</v>
      </c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1" t="s">
        <v>430</v>
      </c>
      <c r="AB501" s="42" t="s">
        <v>431</v>
      </c>
      <c r="AC501" s="43" t="s">
        <v>432</v>
      </c>
      <c r="AD501" s="43">
        <v>1269842288</v>
      </c>
      <c r="AE501" s="44">
        <v>0</v>
      </c>
      <c r="AF501" s="44">
        <v>0</v>
      </c>
      <c r="AG501" s="44">
        <v>0</v>
      </c>
      <c r="AH501" s="44">
        <v>0</v>
      </c>
      <c r="AI501" s="44">
        <v>0</v>
      </c>
      <c r="AJ501" s="43">
        <v>1269842288</v>
      </c>
      <c r="AK501" s="44">
        <v>0</v>
      </c>
      <c r="AL501" s="252">
        <v>0</v>
      </c>
      <c r="AM501" s="43">
        <v>1266042288</v>
      </c>
      <c r="AN501" s="44">
        <v>0</v>
      </c>
      <c r="AO501" s="43">
        <v>0</v>
      </c>
      <c r="AP501" s="43">
        <v>1266042288</v>
      </c>
      <c r="AQ501" s="43">
        <v>0</v>
      </c>
      <c r="AR501" s="43">
        <v>28362598</v>
      </c>
      <c r="AS501" s="43">
        <v>218776196</v>
      </c>
      <c r="AT501" s="39">
        <f t="shared" si="224"/>
        <v>218776196</v>
      </c>
      <c r="AU501" s="18">
        <f>AJ501-AM501</f>
        <v>3800000</v>
      </c>
      <c r="AV501" s="34">
        <f>AM501-AP501</f>
        <v>0</v>
      </c>
      <c r="AW501" s="18">
        <f>AP501-AT501</f>
        <v>1047266092</v>
      </c>
      <c r="AX501" s="123">
        <f>AP501/AJ501</f>
        <v>0.99700750239938463</v>
      </c>
    </row>
    <row r="502" spans="1:50" ht="18.75" customHeight="1" x14ac:dyDescent="0.2">
      <c r="A502" s="4" t="s">
        <v>55</v>
      </c>
      <c r="B502" s="4" t="s">
        <v>56</v>
      </c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1" t="s">
        <v>433</v>
      </c>
      <c r="AB502" s="42" t="s">
        <v>434</v>
      </c>
      <c r="AC502" s="43" t="s">
        <v>428</v>
      </c>
      <c r="AD502" s="43">
        <v>1185147617</v>
      </c>
      <c r="AE502" s="44">
        <v>0</v>
      </c>
      <c r="AF502" s="44">
        <v>0</v>
      </c>
      <c r="AG502" s="44">
        <v>0</v>
      </c>
      <c r="AH502" s="44">
        <v>0</v>
      </c>
      <c r="AI502" s="44">
        <v>0</v>
      </c>
      <c r="AJ502" s="43">
        <v>1185147617</v>
      </c>
      <c r="AK502" s="44">
        <v>0</v>
      </c>
      <c r="AL502" s="44">
        <v>0</v>
      </c>
      <c r="AM502" s="43">
        <v>358822174</v>
      </c>
      <c r="AN502" s="44">
        <v>0</v>
      </c>
      <c r="AO502" s="44">
        <v>0</v>
      </c>
      <c r="AP502" s="43">
        <v>358822174</v>
      </c>
      <c r="AQ502" s="44">
        <v>0</v>
      </c>
      <c r="AR502" s="44">
        <v>143528869</v>
      </c>
      <c r="AS502" s="44">
        <v>143528869</v>
      </c>
      <c r="AT502" s="39">
        <f t="shared" si="224"/>
        <v>143528869</v>
      </c>
      <c r="AU502" s="18">
        <f>AJ502-AM502</f>
        <v>826325443</v>
      </c>
      <c r="AV502" s="34">
        <f>AM502-AP502</f>
        <v>0</v>
      </c>
      <c r="AW502" s="18">
        <f>AP502-AT502</f>
        <v>215293305</v>
      </c>
      <c r="AX502" s="123">
        <f>AP502/AJ502</f>
        <v>0.3027658064303394</v>
      </c>
    </row>
    <row r="503" spans="1:50" ht="18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166" t="s">
        <v>1024</v>
      </c>
      <c r="AB503" s="167" t="s">
        <v>1025</v>
      </c>
      <c r="AC503" s="168"/>
      <c r="AD503" s="44">
        <v>0</v>
      </c>
      <c r="AE503" s="43">
        <v>860456218.52999997</v>
      </c>
      <c r="AF503" s="44">
        <v>0</v>
      </c>
      <c r="AG503" s="44">
        <v>0</v>
      </c>
      <c r="AH503" s="44">
        <v>0</v>
      </c>
      <c r="AI503" s="18">
        <f>AE503-AF503+AG503-AH503</f>
        <v>860456218.52999997</v>
      </c>
      <c r="AJ503" s="18">
        <f>AD503+AI503</f>
        <v>860456218.52999997</v>
      </c>
      <c r="AK503" s="44">
        <v>0</v>
      </c>
      <c r="AL503" s="44">
        <v>0</v>
      </c>
      <c r="AM503" s="43">
        <v>0</v>
      </c>
      <c r="AN503" s="44">
        <v>0</v>
      </c>
      <c r="AO503" s="44">
        <v>0</v>
      </c>
      <c r="AP503" s="43">
        <v>0</v>
      </c>
      <c r="AQ503" s="44">
        <v>0</v>
      </c>
      <c r="AR503" s="44">
        <v>0</v>
      </c>
      <c r="AS503" s="44">
        <v>0</v>
      </c>
      <c r="AT503" s="39">
        <f t="shared" si="224"/>
        <v>0</v>
      </c>
      <c r="AU503" s="18">
        <f>AJ503-AM503</f>
        <v>860456218.52999997</v>
      </c>
      <c r="AV503" s="34">
        <f>AM503-AP503</f>
        <v>0</v>
      </c>
      <c r="AW503" s="34">
        <f>AP503-AT503</f>
        <v>0</v>
      </c>
      <c r="AX503" s="123">
        <f>AP503/AJ503</f>
        <v>0</v>
      </c>
    </row>
    <row r="504" spans="1:50" ht="25.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208" t="s">
        <v>288</v>
      </c>
      <c r="AB504" s="209" t="s">
        <v>959</v>
      </c>
      <c r="AC504" s="43"/>
      <c r="AD504" s="43"/>
      <c r="AE504" s="44"/>
      <c r="AF504" s="44"/>
      <c r="AG504" s="44"/>
      <c r="AH504" s="44"/>
      <c r="AI504" s="44"/>
      <c r="AJ504" s="43"/>
      <c r="AK504" s="44"/>
      <c r="AL504" s="44"/>
      <c r="AM504" s="44"/>
      <c r="AN504" s="44"/>
      <c r="AO504" s="44"/>
      <c r="AP504" s="44"/>
      <c r="AQ504" s="44"/>
      <c r="AR504" s="44"/>
      <c r="AS504" s="44"/>
      <c r="AT504" s="40"/>
      <c r="AU504" s="18"/>
      <c r="AV504" s="34"/>
      <c r="AW504" s="34"/>
      <c r="AX504" s="123"/>
    </row>
    <row r="505" spans="1:50" ht="18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160" t="s">
        <v>960</v>
      </c>
      <c r="AB505" s="42" t="s">
        <v>961</v>
      </c>
      <c r="AC505" s="43"/>
      <c r="AD505" s="44">
        <v>0</v>
      </c>
      <c r="AE505" s="44">
        <v>0</v>
      </c>
      <c r="AF505" s="44">
        <v>0</v>
      </c>
      <c r="AG505" s="43">
        <v>1500000000</v>
      </c>
      <c r="AH505" s="44">
        <v>0</v>
      </c>
      <c r="AI505" s="18">
        <f>AE505-AF505+AG505-AH505</f>
        <v>1500000000</v>
      </c>
      <c r="AJ505" s="18">
        <f>AD505+AI505</f>
        <v>1500000000</v>
      </c>
      <c r="AK505" s="44">
        <v>0</v>
      </c>
      <c r="AL505" s="44">
        <v>0</v>
      </c>
      <c r="AM505" s="44">
        <v>0</v>
      </c>
      <c r="AN505" s="44">
        <v>0</v>
      </c>
      <c r="AO505" s="44">
        <v>0</v>
      </c>
      <c r="AP505" s="44">
        <v>0</v>
      </c>
      <c r="AQ505" s="44">
        <v>0</v>
      </c>
      <c r="AR505" s="44">
        <v>0</v>
      </c>
      <c r="AS505" s="44">
        <v>0</v>
      </c>
      <c r="AT505" s="40">
        <f t="shared" ref="AT505" si="225">AQ505+AS505</f>
        <v>0</v>
      </c>
      <c r="AU505" s="18">
        <f>AJ505-AM505</f>
        <v>1500000000</v>
      </c>
      <c r="AV505" s="34">
        <f>AM505-AP505</f>
        <v>0</v>
      </c>
      <c r="AW505" s="34">
        <f>AP505-AT505</f>
        <v>0</v>
      </c>
      <c r="AX505" s="123">
        <f>AP505/AJ505</f>
        <v>0</v>
      </c>
    </row>
    <row r="506" spans="1:50" ht="18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160"/>
      <c r="AB506" s="42"/>
      <c r="AC506" s="43"/>
      <c r="AD506" s="44"/>
      <c r="AE506" s="44"/>
      <c r="AF506" s="44"/>
      <c r="AG506" s="43"/>
      <c r="AH506" s="44"/>
      <c r="AI506" s="18"/>
      <c r="AJ506" s="18"/>
      <c r="AK506" s="44"/>
      <c r="AL506" s="44"/>
      <c r="AM506" s="44"/>
      <c r="AN506" s="44"/>
      <c r="AO506" s="44"/>
      <c r="AP506" s="44"/>
      <c r="AQ506" s="44"/>
      <c r="AR506" s="44"/>
      <c r="AS506" s="44"/>
      <c r="AT506" s="40"/>
      <c r="AU506" s="18"/>
      <c r="AV506" s="34"/>
      <c r="AW506" s="34"/>
      <c r="AX506" s="123"/>
    </row>
    <row r="507" spans="1:50" ht="18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166"/>
      <c r="AB507" s="165" t="s">
        <v>1026</v>
      </c>
      <c r="AC507" s="168"/>
      <c r="AD507" s="44"/>
      <c r="AE507" s="44"/>
      <c r="AF507" s="44"/>
      <c r="AG507" s="43"/>
      <c r="AH507" s="44"/>
      <c r="AI507" s="18"/>
      <c r="AJ507" s="18"/>
      <c r="AK507" s="44"/>
      <c r="AL507" s="44"/>
      <c r="AM507" s="44"/>
      <c r="AN507" s="44"/>
      <c r="AO507" s="44"/>
      <c r="AP507" s="44"/>
      <c r="AQ507" s="44"/>
      <c r="AR507" s="44"/>
      <c r="AS507" s="44"/>
      <c r="AT507" s="40"/>
      <c r="AU507" s="18"/>
      <c r="AV507" s="34"/>
      <c r="AW507" s="34"/>
      <c r="AX507" s="123"/>
    </row>
    <row r="508" spans="1:50" ht="25.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166" t="s">
        <v>991</v>
      </c>
      <c r="AB508" s="167" t="s">
        <v>992</v>
      </c>
      <c r="AC508" s="168"/>
      <c r="AD508" s="44">
        <v>0</v>
      </c>
      <c r="AE508" s="43">
        <v>720712175</v>
      </c>
      <c r="AF508" s="44">
        <v>0</v>
      </c>
      <c r="AG508" s="44">
        <v>0</v>
      </c>
      <c r="AH508" s="44">
        <v>0</v>
      </c>
      <c r="AI508" s="18">
        <f>AE508-AF508+AG508-AH508</f>
        <v>720712175</v>
      </c>
      <c r="AJ508" s="18">
        <f>AD508+AI508</f>
        <v>720712175</v>
      </c>
      <c r="AK508" s="44">
        <v>0</v>
      </c>
      <c r="AL508" s="44">
        <v>0</v>
      </c>
      <c r="AM508" s="44">
        <v>0</v>
      </c>
      <c r="AN508" s="44">
        <v>0</v>
      </c>
      <c r="AO508" s="44">
        <v>0</v>
      </c>
      <c r="AP508" s="44">
        <v>0</v>
      </c>
      <c r="AQ508" s="44">
        <v>0</v>
      </c>
      <c r="AR508" s="44">
        <v>0</v>
      </c>
      <c r="AS508" s="44">
        <v>0</v>
      </c>
      <c r="AT508" s="40">
        <f t="shared" ref="AT508" si="226">AQ508+AS508</f>
        <v>0</v>
      </c>
      <c r="AU508" s="18">
        <f>AJ508-AM508</f>
        <v>720712175</v>
      </c>
      <c r="AV508" s="34">
        <f>AM508-AP508</f>
        <v>0</v>
      </c>
      <c r="AW508" s="34">
        <f>AP508-AT508</f>
        <v>0</v>
      </c>
      <c r="AX508" s="123">
        <f>AP508/AJ508</f>
        <v>0</v>
      </c>
    </row>
    <row r="509" spans="1:50" ht="18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210"/>
      <c r="AB509" s="207"/>
      <c r="AC509" s="43"/>
      <c r="AD509" s="44"/>
      <c r="AE509" s="44"/>
      <c r="AF509" s="44"/>
      <c r="AG509" s="43"/>
      <c r="AH509" s="44"/>
      <c r="AI509" s="18"/>
      <c r="AJ509" s="18"/>
      <c r="AK509" s="44"/>
      <c r="AL509" s="44"/>
      <c r="AM509" s="44"/>
      <c r="AN509" s="44"/>
      <c r="AO509" s="44"/>
      <c r="AP509" s="44"/>
      <c r="AQ509" s="44"/>
      <c r="AR509" s="44"/>
      <c r="AS509" s="44"/>
      <c r="AT509" s="40"/>
      <c r="AU509" s="18"/>
      <c r="AV509" s="34"/>
      <c r="AW509" s="18"/>
      <c r="AX509" s="123"/>
    </row>
    <row r="510" spans="1:50" ht="18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170" t="s">
        <v>1016</v>
      </c>
      <c r="AB510" s="170" t="s">
        <v>997</v>
      </c>
      <c r="AC510" s="168"/>
      <c r="AD510" s="44"/>
      <c r="AE510" s="44"/>
      <c r="AF510" s="44"/>
      <c r="AG510" s="43"/>
      <c r="AH510" s="44"/>
      <c r="AI510" s="18"/>
      <c r="AJ510" s="18"/>
      <c r="AK510" s="44"/>
      <c r="AL510" s="44"/>
      <c r="AM510" s="44"/>
      <c r="AN510" s="44"/>
      <c r="AO510" s="44"/>
      <c r="AP510" s="44"/>
      <c r="AQ510" s="44"/>
      <c r="AR510" s="44"/>
      <c r="AS510" s="44"/>
      <c r="AT510" s="40"/>
      <c r="AU510" s="18"/>
      <c r="AV510" s="34"/>
      <c r="AW510" s="18"/>
      <c r="AX510" s="123"/>
    </row>
    <row r="511" spans="1:50" ht="18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170" t="s">
        <v>1017</v>
      </c>
      <c r="AB511" s="170" t="s">
        <v>999</v>
      </c>
      <c r="AC511" s="168"/>
      <c r="AD511" s="44"/>
      <c r="AE511" s="44"/>
      <c r="AF511" s="44"/>
      <c r="AG511" s="43"/>
      <c r="AH511" s="44"/>
      <c r="AI511" s="18"/>
      <c r="AJ511" s="18"/>
      <c r="AK511" s="44"/>
      <c r="AL511" s="44"/>
      <c r="AM511" s="44"/>
      <c r="AN511" s="44"/>
      <c r="AO511" s="44"/>
      <c r="AP511" s="44"/>
      <c r="AQ511" s="44"/>
      <c r="AR511" s="44"/>
      <c r="AS511" s="44"/>
      <c r="AT511" s="40"/>
      <c r="AU511" s="18"/>
      <c r="AV511" s="34"/>
      <c r="AW511" s="18"/>
      <c r="AX511" s="123"/>
    </row>
    <row r="512" spans="1:50" ht="18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170" t="s">
        <v>1018</v>
      </c>
      <c r="AB512" s="170" t="s">
        <v>1001</v>
      </c>
      <c r="AC512" s="168"/>
      <c r="AD512" s="44"/>
      <c r="AE512" s="44"/>
      <c r="AF512" s="44"/>
      <c r="AG512" s="43"/>
      <c r="AH512" s="44"/>
      <c r="AI512" s="18"/>
      <c r="AJ512" s="18"/>
      <c r="AK512" s="44"/>
      <c r="AL512" s="44"/>
      <c r="AM512" s="44"/>
      <c r="AN512" s="44"/>
      <c r="AO512" s="44"/>
      <c r="AP512" s="44"/>
      <c r="AQ512" s="44"/>
      <c r="AR512" s="44"/>
      <c r="AS512" s="44"/>
      <c r="AT512" s="40"/>
      <c r="AU512" s="18"/>
      <c r="AV512" s="34"/>
      <c r="AW512" s="18"/>
      <c r="AX512" s="123"/>
    </row>
    <row r="513" spans="1:50" ht="18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170" t="s">
        <v>1021</v>
      </c>
      <c r="AB513" s="165" t="s">
        <v>1003</v>
      </c>
      <c r="AC513" s="168"/>
      <c r="AD513" s="44"/>
      <c r="AE513" s="44"/>
      <c r="AF513" s="44"/>
      <c r="AG513" s="43"/>
      <c r="AH513" s="44"/>
      <c r="AI513" s="18"/>
      <c r="AJ513" s="18"/>
      <c r="AK513" s="44"/>
      <c r="AL513" s="44"/>
      <c r="AM513" s="44"/>
      <c r="AN513" s="44"/>
      <c r="AO513" s="44"/>
      <c r="AP513" s="44"/>
      <c r="AQ513" s="44"/>
      <c r="AR513" s="44"/>
      <c r="AS513" s="44"/>
      <c r="AT513" s="40"/>
      <c r="AU513" s="18"/>
      <c r="AV513" s="34"/>
      <c r="AW513" s="18"/>
      <c r="AX513" s="123"/>
    </row>
    <row r="514" spans="1:50" ht="18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166" t="s">
        <v>1027</v>
      </c>
      <c r="AB514" s="167" t="s">
        <v>1028</v>
      </c>
      <c r="AC514" s="168"/>
      <c r="AD514" s="44">
        <v>0</v>
      </c>
      <c r="AE514" s="43">
        <v>20398035</v>
      </c>
      <c r="AF514" s="44">
        <v>0</v>
      </c>
      <c r="AG514" s="44">
        <v>0</v>
      </c>
      <c r="AH514" s="44">
        <v>0</v>
      </c>
      <c r="AI514" s="18">
        <f>AE514-AF514+AG514-AH514</f>
        <v>20398035</v>
      </c>
      <c r="AJ514" s="18">
        <f>AD514+AI514</f>
        <v>20398035</v>
      </c>
      <c r="AK514" s="44">
        <v>0</v>
      </c>
      <c r="AL514" s="44">
        <v>20398035</v>
      </c>
      <c r="AM514" s="44">
        <v>20398035</v>
      </c>
      <c r="AN514" s="44">
        <v>0</v>
      </c>
      <c r="AO514" s="43">
        <v>20398035</v>
      </c>
      <c r="AP514" s="43">
        <v>20398035</v>
      </c>
      <c r="AQ514" s="44">
        <v>0</v>
      </c>
      <c r="AR514" s="44">
        <v>0</v>
      </c>
      <c r="AS514" s="44">
        <v>0</v>
      </c>
      <c r="AT514" s="40">
        <f t="shared" ref="AT514" si="227">AQ514+AS514</f>
        <v>0</v>
      </c>
      <c r="AU514" s="18">
        <f>AJ514-AM514</f>
        <v>0</v>
      </c>
      <c r="AV514" s="34">
        <f>AM514-AP514</f>
        <v>0</v>
      </c>
      <c r="AW514" s="18">
        <f>AP514-AT514</f>
        <v>20398035</v>
      </c>
      <c r="AX514" s="123">
        <f>AP514/AJ514</f>
        <v>1</v>
      </c>
    </row>
    <row r="515" spans="1:50" s="50" customFormat="1" ht="18.75" customHeight="1" x14ac:dyDescent="0.2">
      <c r="A515" s="45"/>
      <c r="B515" s="45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6"/>
      <c r="AB515" s="47" t="s">
        <v>435</v>
      </c>
      <c r="AC515" s="48"/>
      <c r="AD515" s="48">
        <f t="shared" ref="AD515:AW515" si="228">SUM(AD251:AD514)</f>
        <v>301961738926</v>
      </c>
      <c r="AE515" s="48">
        <f t="shared" si="228"/>
        <v>15415987525.18</v>
      </c>
      <c r="AF515" s="49">
        <f t="shared" si="228"/>
        <v>0</v>
      </c>
      <c r="AG515" s="48">
        <f t="shared" si="228"/>
        <v>6489430476.25</v>
      </c>
      <c r="AH515" s="48">
        <f t="shared" si="228"/>
        <v>4489430476.25</v>
      </c>
      <c r="AI515" s="48">
        <f t="shared" si="228"/>
        <v>17415987525.18</v>
      </c>
      <c r="AJ515" s="48">
        <f t="shared" si="228"/>
        <v>319377726451.18005</v>
      </c>
      <c r="AK515" s="49">
        <f t="shared" si="228"/>
        <v>0</v>
      </c>
      <c r="AL515" s="48">
        <f t="shared" si="228"/>
        <v>23527308457.639999</v>
      </c>
      <c r="AM515" s="48">
        <f t="shared" si="228"/>
        <v>162034146915.75998</v>
      </c>
      <c r="AN515" s="48">
        <f t="shared" si="228"/>
        <v>100124000</v>
      </c>
      <c r="AO515" s="48">
        <f t="shared" si="228"/>
        <v>23378679813.630001</v>
      </c>
      <c r="AP515" s="48">
        <f t="shared" si="228"/>
        <v>160894839385.85999</v>
      </c>
      <c r="AQ515" s="48">
        <f t="shared" si="228"/>
        <v>2091635097.27</v>
      </c>
      <c r="AR515" s="48">
        <f t="shared" si="228"/>
        <v>22880119945.699997</v>
      </c>
      <c r="AS515" s="48">
        <f t="shared" si="228"/>
        <v>104913764226.95999</v>
      </c>
      <c r="AT515" s="48">
        <f t="shared" si="228"/>
        <v>107005399324.23</v>
      </c>
      <c r="AU515" s="48">
        <f t="shared" si="228"/>
        <v>157343579535.42004</v>
      </c>
      <c r="AV515" s="48">
        <f t="shared" si="228"/>
        <v>1139307529.9000001</v>
      </c>
      <c r="AW515" s="48">
        <f t="shared" si="228"/>
        <v>53889440061.630005</v>
      </c>
      <c r="AX515" s="24">
        <f>AP515/AJ515</f>
        <v>0.50377601836443131</v>
      </c>
    </row>
    <row r="516" spans="1:50" ht="18.75" customHeight="1" x14ac:dyDescent="0.2">
      <c r="AA516" s="16"/>
      <c r="AB516" s="17"/>
      <c r="AC516" s="17"/>
      <c r="AD516" s="18"/>
      <c r="AE516" s="34"/>
      <c r="AF516" s="34"/>
      <c r="AG516" s="34"/>
      <c r="AH516" s="34"/>
      <c r="AI516" s="34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</row>
    <row r="517" spans="1:50" s="25" customFormat="1" ht="18.75" customHeight="1" x14ac:dyDescent="0.2"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66"/>
      <c r="AB517" s="21" t="s">
        <v>436</v>
      </c>
      <c r="AC517" s="67"/>
      <c r="AD517" s="63"/>
      <c r="AE517" s="72"/>
      <c r="AF517" s="72"/>
      <c r="AG517" s="72"/>
      <c r="AH517" s="72"/>
      <c r="AI517" s="72"/>
      <c r="AJ517" s="63"/>
      <c r="AK517" s="63"/>
      <c r="AL517" s="63"/>
      <c r="AM517" s="63"/>
      <c r="AN517" s="63"/>
      <c r="AO517" s="63"/>
      <c r="AP517" s="63"/>
      <c r="AQ517" s="63"/>
      <c r="AR517" s="63"/>
      <c r="AS517" s="63"/>
      <c r="AT517" s="63"/>
      <c r="AU517" s="63"/>
      <c r="AV517" s="63"/>
      <c r="AW517" s="63"/>
      <c r="AX517" s="63"/>
    </row>
    <row r="518" spans="1:50" ht="18.75" customHeight="1" x14ac:dyDescent="0.2">
      <c r="AA518" s="16"/>
      <c r="AB518" s="29" t="s">
        <v>38</v>
      </c>
      <c r="AC518" s="17"/>
      <c r="AD518" s="18"/>
      <c r="AE518" s="34"/>
      <c r="AF518" s="34"/>
      <c r="AG518" s="34"/>
      <c r="AH518" s="34"/>
      <c r="AI518" s="34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</row>
    <row r="519" spans="1:50" ht="18.75" customHeight="1" x14ac:dyDescent="0.2">
      <c r="AA519" s="16"/>
      <c r="AB519" s="29" t="s">
        <v>285</v>
      </c>
      <c r="AC519" s="17"/>
      <c r="AD519" s="18"/>
      <c r="AE519" s="34"/>
      <c r="AF519" s="34"/>
      <c r="AG519" s="34"/>
      <c r="AH519" s="34"/>
      <c r="AI519" s="34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</row>
    <row r="520" spans="1:50" ht="18.75" customHeight="1" x14ac:dyDescent="0.2">
      <c r="AA520" s="16"/>
      <c r="AB520" s="29" t="s">
        <v>286</v>
      </c>
      <c r="AC520" s="17"/>
      <c r="AD520" s="18"/>
      <c r="AE520" s="34"/>
      <c r="AF520" s="34"/>
      <c r="AG520" s="34"/>
      <c r="AH520" s="34"/>
      <c r="AI520" s="34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</row>
    <row r="521" spans="1:50" ht="18.75" customHeight="1" x14ac:dyDescent="0.2">
      <c r="AA521" s="16"/>
      <c r="AB521" s="29" t="s">
        <v>179</v>
      </c>
      <c r="AC521" s="17"/>
      <c r="AD521" s="18"/>
      <c r="AE521" s="34"/>
      <c r="AF521" s="34"/>
      <c r="AG521" s="34"/>
      <c r="AH521" s="34"/>
      <c r="AI521" s="34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</row>
    <row r="522" spans="1:50" ht="18.75" customHeight="1" x14ac:dyDescent="0.2">
      <c r="AA522" s="16"/>
      <c r="AB522" s="29" t="s">
        <v>181</v>
      </c>
      <c r="AC522" s="17"/>
      <c r="AD522" s="18"/>
      <c r="AE522" s="34"/>
      <c r="AF522" s="34"/>
      <c r="AG522" s="34"/>
      <c r="AH522" s="34"/>
      <c r="AI522" s="34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</row>
    <row r="523" spans="1:50" ht="25.5" x14ac:dyDescent="0.2">
      <c r="AA523" s="16"/>
      <c r="AB523" s="29" t="s">
        <v>437</v>
      </c>
      <c r="AC523" s="17"/>
      <c r="AD523" s="18"/>
      <c r="AE523" s="34"/>
      <c r="AF523" s="34"/>
      <c r="AG523" s="34"/>
      <c r="AH523" s="34"/>
      <c r="AI523" s="34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</row>
    <row r="524" spans="1:50" s="150" customFormat="1" ht="18.75" customHeight="1" x14ac:dyDescent="0.2">
      <c r="A524" s="140" t="s">
        <v>55</v>
      </c>
      <c r="B524" s="140" t="s">
        <v>56</v>
      </c>
      <c r="C524" s="140"/>
      <c r="D524" s="140"/>
      <c r="E524" s="140"/>
      <c r="F524" s="140"/>
      <c r="G524" s="140"/>
      <c r="H524" s="140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X524" s="140"/>
      <c r="Y524" s="140"/>
      <c r="Z524" s="140"/>
      <c r="AA524" s="134" t="s">
        <v>438</v>
      </c>
      <c r="AB524" s="69" t="s">
        <v>439</v>
      </c>
      <c r="AC524" s="142" t="s">
        <v>428</v>
      </c>
      <c r="AD524" s="142">
        <v>43946996</v>
      </c>
      <c r="AE524" s="143">
        <v>0</v>
      </c>
      <c r="AF524" s="143">
        <v>0</v>
      </c>
      <c r="AG524" s="143">
        <v>0</v>
      </c>
      <c r="AH524" s="143">
        <v>0</v>
      </c>
      <c r="AI524" s="143">
        <v>0</v>
      </c>
      <c r="AJ524" s="142">
        <v>43946996</v>
      </c>
      <c r="AK524" s="143">
        <v>0</v>
      </c>
      <c r="AL524" s="143">
        <v>0</v>
      </c>
      <c r="AM524" s="142">
        <v>8629643</v>
      </c>
      <c r="AN524" s="143">
        <v>0</v>
      </c>
      <c r="AO524" s="142">
        <v>6623200</v>
      </c>
      <c r="AP524" s="142">
        <v>6623200</v>
      </c>
      <c r="AQ524" s="143">
        <v>0</v>
      </c>
      <c r="AR524" s="143">
        <v>0</v>
      </c>
      <c r="AS524" s="143">
        <v>0</v>
      </c>
      <c r="AT524" s="146">
        <f t="shared" ref="AT524" si="229">AQ524+AS524</f>
        <v>0</v>
      </c>
      <c r="AU524" s="147">
        <f>AJ524-AM524</f>
        <v>35317353</v>
      </c>
      <c r="AV524" s="147">
        <f>AM524-AP524</f>
        <v>2006443</v>
      </c>
      <c r="AW524" s="145">
        <f>AP524-AT524</f>
        <v>6623200</v>
      </c>
      <c r="AX524" s="149">
        <f>AP524/AJ524</f>
        <v>0.15070882205464056</v>
      </c>
    </row>
    <row r="525" spans="1:50" ht="43.5" customHeight="1" x14ac:dyDescent="0.2">
      <c r="AA525" s="28" t="s">
        <v>288</v>
      </c>
      <c r="AB525" s="29" t="s">
        <v>440</v>
      </c>
      <c r="AC525" s="17"/>
      <c r="AD525" s="18"/>
      <c r="AE525" s="34"/>
      <c r="AF525" s="34"/>
      <c r="AG525" s="34"/>
      <c r="AH525" s="34"/>
      <c r="AI525" s="34"/>
      <c r="AJ525" s="18"/>
      <c r="AK525" s="34"/>
      <c r="AL525" s="34"/>
      <c r="AM525" s="34"/>
      <c r="AN525" s="34"/>
      <c r="AO525" s="34"/>
      <c r="AP525" s="34"/>
      <c r="AQ525" s="34"/>
      <c r="AR525" s="34"/>
      <c r="AS525" s="34"/>
      <c r="AT525" s="40"/>
      <c r="AU525" s="18"/>
      <c r="AV525" s="18"/>
      <c r="AW525" s="18"/>
      <c r="AX525" s="18"/>
    </row>
    <row r="526" spans="1:50" ht="18.75" customHeight="1" x14ac:dyDescent="0.2">
      <c r="A526" s="4" t="s">
        <v>55</v>
      </c>
      <c r="B526" s="4" t="s">
        <v>56</v>
      </c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1" t="s">
        <v>441</v>
      </c>
      <c r="AB526" s="42" t="s">
        <v>439</v>
      </c>
      <c r="AC526" s="43" t="s">
        <v>428</v>
      </c>
      <c r="AD526" s="43">
        <v>3500000</v>
      </c>
      <c r="AE526" s="44">
        <v>0</v>
      </c>
      <c r="AF526" s="44">
        <v>0</v>
      </c>
      <c r="AG526" s="44">
        <v>0</v>
      </c>
      <c r="AH526" s="44">
        <v>0</v>
      </c>
      <c r="AI526" s="44">
        <v>0</v>
      </c>
      <c r="AJ526" s="43">
        <v>3500000</v>
      </c>
      <c r="AK526" s="44">
        <v>0</v>
      </c>
      <c r="AL526" s="44">
        <v>0</v>
      </c>
      <c r="AM526" s="44">
        <v>0</v>
      </c>
      <c r="AN526" s="44">
        <v>0</v>
      </c>
      <c r="AO526" s="44">
        <v>0</v>
      </c>
      <c r="AP526" s="44">
        <v>0</v>
      </c>
      <c r="AQ526" s="44">
        <v>0</v>
      </c>
      <c r="AR526" s="44">
        <v>0</v>
      </c>
      <c r="AS526" s="44">
        <v>0</v>
      </c>
      <c r="AT526" s="40">
        <f>AQ526+AS526</f>
        <v>0</v>
      </c>
      <c r="AU526" s="18">
        <f>AJ526-AM526</f>
        <v>3500000</v>
      </c>
      <c r="AV526" s="34">
        <f>AM526-AP526</f>
        <v>0</v>
      </c>
      <c r="AW526" s="34">
        <f>AP526-AT526</f>
        <v>0</v>
      </c>
      <c r="AX526" s="123">
        <f>AP526/AJ526</f>
        <v>0</v>
      </c>
    </row>
    <row r="527" spans="1:50" ht="18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73" t="s">
        <v>288</v>
      </c>
      <c r="AB527" s="74" t="s">
        <v>291</v>
      </c>
      <c r="AC527" s="43"/>
      <c r="AD527" s="43"/>
      <c r="AE527" s="44"/>
      <c r="AF527" s="44"/>
      <c r="AG527" s="44"/>
      <c r="AH527" s="44"/>
      <c r="AI527" s="44"/>
      <c r="AJ527" s="43"/>
      <c r="AK527" s="44"/>
      <c r="AL527" s="44"/>
      <c r="AM527" s="43"/>
      <c r="AN527" s="43"/>
      <c r="AO527" s="43"/>
      <c r="AP527" s="43"/>
      <c r="AQ527" s="44"/>
      <c r="AR527" s="44"/>
      <c r="AS527" s="44"/>
      <c r="AT527" s="40"/>
      <c r="AU527" s="43"/>
      <c r="AV527" s="44"/>
      <c r="AW527" s="44"/>
      <c r="AX527" s="43"/>
    </row>
    <row r="528" spans="1:50" ht="18.75" customHeight="1" x14ac:dyDescent="0.2">
      <c r="A528" s="4" t="s">
        <v>55</v>
      </c>
      <c r="B528" s="4" t="s">
        <v>56</v>
      </c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1" t="s">
        <v>442</v>
      </c>
      <c r="AB528" s="42" t="s">
        <v>439</v>
      </c>
      <c r="AC528" s="43" t="s">
        <v>428</v>
      </c>
      <c r="AD528" s="43">
        <v>105900000</v>
      </c>
      <c r="AE528" s="44">
        <v>0</v>
      </c>
      <c r="AF528" s="44">
        <v>0</v>
      </c>
      <c r="AG528" s="44">
        <v>0</v>
      </c>
      <c r="AH528" s="44">
        <v>0</v>
      </c>
      <c r="AI528" s="44">
        <v>0</v>
      </c>
      <c r="AJ528" s="43">
        <v>105900000</v>
      </c>
      <c r="AK528" s="44">
        <v>0</v>
      </c>
      <c r="AL528" s="44">
        <v>0</v>
      </c>
      <c r="AM528" s="43">
        <v>289520</v>
      </c>
      <c r="AN528" s="43">
        <v>0</v>
      </c>
      <c r="AO528" s="43">
        <v>0</v>
      </c>
      <c r="AP528" s="43">
        <v>0</v>
      </c>
      <c r="AQ528" s="44">
        <v>0</v>
      </c>
      <c r="AR528" s="44">
        <v>0</v>
      </c>
      <c r="AS528" s="44">
        <v>0</v>
      </c>
      <c r="AT528" s="40">
        <f>AQ528+AS528</f>
        <v>0</v>
      </c>
      <c r="AU528" s="18">
        <f>AJ528-AM528</f>
        <v>105610480</v>
      </c>
      <c r="AV528" s="18">
        <f>AM528-AP528</f>
        <v>289520</v>
      </c>
      <c r="AW528" s="34">
        <f>AP528-AT528</f>
        <v>0</v>
      </c>
      <c r="AX528" s="123">
        <f>AP528/AJ528</f>
        <v>0</v>
      </c>
    </row>
    <row r="529" spans="1:52" ht="18.75" customHeight="1" x14ac:dyDescent="0.2">
      <c r="AA529" s="16"/>
      <c r="AB529" s="29" t="s">
        <v>189</v>
      </c>
      <c r="AC529" s="17"/>
      <c r="AD529" s="18"/>
      <c r="AE529" s="34"/>
      <c r="AF529" s="34"/>
      <c r="AG529" s="34"/>
      <c r="AH529" s="34"/>
      <c r="AI529" s="34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39"/>
      <c r="AU529" s="18"/>
      <c r="AV529" s="34"/>
      <c r="AW529" s="18"/>
      <c r="AX529" s="18"/>
    </row>
    <row r="530" spans="1:52" ht="18.75" customHeight="1" x14ac:dyDescent="0.2">
      <c r="AA530" s="16"/>
      <c r="AB530" s="29" t="s">
        <v>191</v>
      </c>
      <c r="AC530" s="17"/>
      <c r="AD530" s="18"/>
      <c r="AE530" s="34"/>
      <c r="AF530" s="34"/>
      <c r="AG530" s="34"/>
      <c r="AH530" s="34"/>
      <c r="AI530" s="34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39"/>
      <c r="AU530" s="18"/>
      <c r="AV530" s="34"/>
      <c r="AW530" s="18"/>
      <c r="AX530" s="18"/>
    </row>
    <row r="531" spans="1:52" ht="18.75" customHeight="1" x14ac:dyDescent="0.2">
      <c r="AA531" s="28" t="s">
        <v>288</v>
      </c>
      <c r="AB531" s="29" t="s">
        <v>443</v>
      </c>
      <c r="AC531" s="17"/>
      <c r="AD531" s="18"/>
      <c r="AE531" s="34"/>
      <c r="AF531" s="34"/>
      <c r="AG531" s="34"/>
      <c r="AH531" s="34"/>
      <c r="AI531" s="34"/>
      <c r="AJ531" s="147"/>
      <c r="AK531" s="18"/>
      <c r="AL531" s="18"/>
      <c r="AM531" s="18"/>
      <c r="AN531" s="18"/>
      <c r="AO531" s="18"/>
      <c r="AP531" s="18"/>
      <c r="AQ531" s="18"/>
      <c r="AR531" s="18"/>
      <c r="AS531" s="18"/>
      <c r="AT531" s="39"/>
      <c r="AU531" s="18"/>
      <c r="AV531" s="34"/>
      <c r="AW531" s="18"/>
      <c r="AX531" s="18"/>
    </row>
    <row r="532" spans="1:52" ht="18.75" customHeight="1" x14ac:dyDescent="0.2">
      <c r="A532" s="4" t="s">
        <v>55</v>
      </c>
      <c r="B532" s="4" t="s">
        <v>56</v>
      </c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1" t="s">
        <v>444</v>
      </c>
      <c r="AB532" s="42" t="s">
        <v>233</v>
      </c>
      <c r="AC532" s="43" t="s">
        <v>58</v>
      </c>
      <c r="AD532" s="43">
        <v>530557116</v>
      </c>
      <c r="AE532" s="44">
        <v>0</v>
      </c>
      <c r="AF532" s="44">
        <v>0</v>
      </c>
      <c r="AG532" s="44">
        <v>0</v>
      </c>
      <c r="AH532" s="44">
        <v>0</v>
      </c>
      <c r="AI532" s="44">
        <v>0</v>
      </c>
      <c r="AJ532" s="142">
        <v>530557116</v>
      </c>
      <c r="AK532" s="44">
        <v>0</v>
      </c>
      <c r="AL532" s="44">
        <v>0</v>
      </c>
      <c r="AM532" s="44">
        <v>0</v>
      </c>
      <c r="AN532" s="44">
        <v>0</v>
      </c>
      <c r="AO532" s="44">
        <v>0</v>
      </c>
      <c r="AP532" s="44">
        <v>0</v>
      </c>
      <c r="AQ532" s="44">
        <v>0</v>
      </c>
      <c r="AR532" s="44">
        <v>0</v>
      </c>
      <c r="AS532" s="44">
        <v>0</v>
      </c>
      <c r="AT532" s="40">
        <f>AQ532+AS532</f>
        <v>0</v>
      </c>
      <c r="AU532" s="18">
        <f>AJ532-AM532</f>
        <v>530557116</v>
      </c>
      <c r="AV532" s="34">
        <f>AM532-AP532</f>
        <v>0</v>
      </c>
      <c r="AW532" s="34">
        <f>AP532-AT532</f>
        <v>0</v>
      </c>
      <c r="AX532" s="123">
        <f>AP532/AJ532</f>
        <v>0</v>
      </c>
    </row>
    <row r="533" spans="1:52" ht="18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1" t="s">
        <v>1233</v>
      </c>
      <c r="AB533" s="42" t="s">
        <v>453</v>
      </c>
      <c r="AC533" s="43"/>
      <c r="AD533" s="44">
        <v>0</v>
      </c>
      <c r="AE533" s="43">
        <v>11666787329</v>
      </c>
      <c r="AF533" s="44">
        <v>0</v>
      </c>
      <c r="AG533" s="44">
        <v>0</v>
      </c>
      <c r="AH533" s="44">
        <v>0</v>
      </c>
      <c r="AI533" s="43">
        <f>AE533-AF533+AG533-AH533</f>
        <v>11666787329</v>
      </c>
      <c r="AJ533" s="142">
        <f>AD533+AI533</f>
        <v>11666787329</v>
      </c>
      <c r="AK533" s="44">
        <v>0</v>
      </c>
      <c r="AL533" s="44">
        <v>0</v>
      </c>
      <c r="AM533" s="44">
        <v>0</v>
      </c>
      <c r="AN533" s="44">
        <v>0</v>
      </c>
      <c r="AO533" s="44">
        <v>0</v>
      </c>
      <c r="AP533" s="44">
        <v>0</v>
      </c>
      <c r="AQ533" s="44">
        <v>0</v>
      </c>
      <c r="AR533" s="44">
        <v>0</v>
      </c>
      <c r="AS533" s="44">
        <v>0</v>
      </c>
      <c r="AT533" s="40">
        <f>AQ533+AS533</f>
        <v>0</v>
      </c>
      <c r="AU533" s="18">
        <f>AJ533-AM533</f>
        <v>11666787329</v>
      </c>
      <c r="AV533" s="34">
        <f>AM533-AP533</f>
        <v>0</v>
      </c>
      <c r="AW533" s="34">
        <f>AP533-AT533</f>
        <v>0</v>
      </c>
      <c r="AX533" s="123">
        <f>AP533/AJ533</f>
        <v>0</v>
      </c>
      <c r="AZ533" s="257"/>
    </row>
    <row r="534" spans="1:52" ht="18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73" t="s">
        <v>288</v>
      </c>
      <c r="AB534" s="74" t="s">
        <v>362</v>
      </c>
      <c r="AC534" s="43"/>
      <c r="AD534" s="44"/>
      <c r="AE534" s="44"/>
      <c r="AF534" s="44"/>
      <c r="AG534" s="44"/>
      <c r="AH534" s="44"/>
      <c r="AI534" s="44"/>
      <c r="AJ534" s="142"/>
      <c r="AK534" s="44"/>
      <c r="AL534" s="44"/>
      <c r="AM534" s="44"/>
      <c r="AN534" s="44"/>
      <c r="AO534" s="44"/>
      <c r="AP534" s="44"/>
      <c r="AQ534" s="44"/>
      <c r="AR534" s="44"/>
      <c r="AS534" s="44"/>
      <c r="AT534" s="40"/>
      <c r="AU534" s="18"/>
      <c r="AV534" s="34"/>
      <c r="AW534" s="34"/>
      <c r="AX534" s="123"/>
    </row>
    <row r="535" spans="1:52" ht="18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1" t="s">
        <v>975</v>
      </c>
      <c r="AB535" s="42" t="s">
        <v>453</v>
      </c>
      <c r="AC535" s="43"/>
      <c r="AD535" s="44">
        <v>0</v>
      </c>
      <c r="AE535" s="44">
        <v>0</v>
      </c>
      <c r="AF535" s="44">
        <v>0</v>
      </c>
      <c r="AG535" s="43">
        <v>11046667966</v>
      </c>
      <c r="AH535" s="44"/>
      <c r="AI535" s="43">
        <f>AE535-AF535+AG535-AH535</f>
        <v>11046667966</v>
      </c>
      <c r="AJ535" s="142">
        <f>AD535+AI535</f>
        <v>11046667966</v>
      </c>
      <c r="AK535" s="44">
        <v>0</v>
      </c>
      <c r="AL535" s="43">
        <f>AM535-MAYO!AM530</f>
        <v>-1573</v>
      </c>
      <c r="AM535" s="43">
        <v>10699323813</v>
      </c>
      <c r="AN535" s="44">
        <v>0</v>
      </c>
      <c r="AO535" s="43">
        <v>537880714</v>
      </c>
      <c r="AP535" s="43">
        <v>10699323813</v>
      </c>
      <c r="AQ535" s="44">
        <v>0</v>
      </c>
      <c r="AR535" s="44">
        <v>0</v>
      </c>
      <c r="AS535" s="44">
        <v>0</v>
      </c>
      <c r="AT535" s="40">
        <f>AQ535+AS535</f>
        <v>0</v>
      </c>
      <c r="AU535" s="18">
        <f>AJ535-AM535</f>
        <v>347344153</v>
      </c>
      <c r="AV535" s="18">
        <f>AM535-AP535</f>
        <v>0</v>
      </c>
      <c r="AW535" s="18">
        <f>AP535-AT535</f>
        <v>10699323813</v>
      </c>
      <c r="AX535" s="123">
        <f>AP535/AJ535</f>
        <v>0.96855665852643769</v>
      </c>
    </row>
    <row r="536" spans="1:52" ht="18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73" t="s">
        <v>288</v>
      </c>
      <c r="AB536" s="74" t="s">
        <v>296</v>
      </c>
      <c r="AC536" s="43"/>
      <c r="AD536" s="44"/>
      <c r="AE536" s="44"/>
      <c r="AF536" s="44"/>
      <c r="AG536" s="44"/>
      <c r="AH536" s="44"/>
      <c r="AI536" s="44"/>
      <c r="AJ536" s="142"/>
      <c r="AK536" s="44"/>
      <c r="AL536" s="44"/>
      <c r="AM536" s="44"/>
      <c r="AN536" s="44"/>
      <c r="AO536" s="44"/>
      <c r="AP536" s="44"/>
      <c r="AQ536" s="44"/>
      <c r="AR536" s="44"/>
      <c r="AS536" s="44"/>
      <c r="AT536" s="40"/>
      <c r="AU536" s="18"/>
      <c r="AV536" s="34"/>
      <c r="AW536" s="34"/>
      <c r="AX536" s="123"/>
    </row>
    <row r="537" spans="1:52" ht="18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1" t="s">
        <v>973</v>
      </c>
      <c r="AB537" s="42" t="s">
        <v>453</v>
      </c>
      <c r="AC537" s="43"/>
      <c r="AD537" s="44">
        <v>0</v>
      </c>
      <c r="AE537" s="43">
        <f>11046667966+38953332034</f>
        <v>50000000000</v>
      </c>
      <c r="AF537" s="44">
        <v>0</v>
      </c>
      <c r="AG537" s="44">
        <v>0</v>
      </c>
      <c r="AH537" s="43">
        <v>11046667966</v>
      </c>
      <c r="AI537" s="43">
        <f>AE537-AF537+AG537-AH537</f>
        <v>38953332034</v>
      </c>
      <c r="AJ537" s="142">
        <f>AD537+AI537</f>
        <v>38953332034</v>
      </c>
      <c r="AK537" s="44">
        <v>0</v>
      </c>
      <c r="AL537" s="44">
        <v>0</v>
      </c>
      <c r="AM537" s="44">
        <v>0</v>
      </c>
      <c r="AN537" s="44">
        <v>0</v>
      </c>
      <c r="AO537" s="44">
        <v>0</v>
      </c>
      <c r="AP537" s="44">
        <v>0</v>
      </c>
      <c r="AQ537" s="44">
        <v>0</v>
      </c>
      <c r="AR537" s="44">
        <v>0</v>
      </c>
      <c r="AS537" s="44">
        <v>0</v>
      </c>
      <c r="AT537" s="40">
        <f>AQ537+AS537</f>
        <v>0</v>
      </c>
      <c r="AU537" s="18">
        <f>AJ537-AM537</f>
        <v>38953332034</v>
      </c>
      <c r="AV537" s="34">
        <f>AM537-AP537</f>
        <v>0</v>
      </c>
      <c r="AW537" s="34">
        <f>AP537-AT537</f>
        <v>0</v>
      </c>
      <c r="AX537" s="123">
        <v>0</v>
      </c>
    </row>
    <row r="538" spans="1:52" ht="18.75" customHeight="1" x14ac:dyDescent="0.2">
      <c r="AA538" s="28" t="s">
        <v>288</v>
      </c>
      <c r="AB538" s="29" t="s">
        <v>445</v>
      </c>
      <c r="AC538" s="17"/>
      <c r="AD538" s="18"/>
      <c r="AE538" s="18"/>
      <c r="AF538" s="18"/>
      <c r="AG538" s="18"/>
      <c r="AH538" s="18"/>
      <c r="AI538" s="18"/>
      <c r="AJ538" s="147"/>
      <c r="AK538" s="34"/>
      <c r="AL538" s="34"/>
      <c r="AM538" s="34"/>
      <c r="AN538" s="34"/>
      <c r="AO538" s="34"/>
      <c r="AP538" s="34"/>
      <c r="AQ538" s="34"/>
      <c r="AR538" s="34"/>
      <c r="AS538" s="34"/>
      <c r="AT538" s="40"/>
      <c r="AU538" s="18"/>
      <c r="AV538" s="34"/>
      <c r="AW538" s="18"/>
      <c r="AX538" s="18"/>
    </row>
    <row r="539" spans="1:52" ht="18.75" customHeight="1" x14ac:dyDescent="0.2">
      <c r="A539" s="4" t="s">
        <v>55</v>
      </c>
      <c r="B539" s="4" t="s">
        <v>56</v>
      </c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1" t="s">
        <v>446</v>
      </c>
      <c r="AB539" s="42" t="s">
        <v>233</v>
      </c>
      <c r="AC539" s="43" t="s">
        <v>58</v>
      </c>
      <c r="AD539" s="43">
        <v>1315360000</v>
      </c>
      <c r="AE539" s="44">
        <v>0</v>
      </c>
      <c r="AF539" s="44">
        <v>0</v>
      </c>
      <c r="AG539" s="43">
        <v>24165016</v>
      </c>
      <c r="AH539" s="75">
        <v>0</v>
      </c>
      <c r="AI539" s="43">
        <f>AE539-AF539+AG539-AH539</f>
        <v>24165016</v>
      </c>
      <c r="AJ539" s="142">
        <f>AD539+AI539</f>
        <v>1339525016</v>
      </c>
      <c r="AK539" s="44">
        <v>0</v>
      </c>
      <c r="AL539" s="114">
        <v>0</v>
      </c>
      <c r="AM539" s="114">
        <v>5134940.1100000003</v>
      </c>
      <c r="AN539" s="44">
        <v>0</v>
      </c>
      <c r="AO539" s="114">
        <v>0</v>
      </c>
      <c r="AP539" s="114">
        <v>5134940.1100000003</v>
      </c>
      <c r="AQ539" s="44">
        <v>0</v>
      </c>
      <c r="AR539" s="114">
        <v>0</v>
      </c>
      <c r="AS539" s="114">
        <v>5134940.1100000003</v>
      </c>
      <c r="AT539" s="111">
        <f>AQ539+AS539</f>
        <v>5134940.1100000003</v>
      </c>
      <c r="AU539" s="18">
        <f>AJ539-AM539</f>
        <v>1334390075.8900001</v>
      </c>
      <c r="AV539" s="34">
        <f>AM539-AP539</f>
        <v>0</v>
      </c>
      <c r="AW539" s="34">
        <f>AP539-AT539</f>
        <v>0</v>
      </c>
      <c r="AX539" s="123">
        <f>AP539/AJ539</f>
        <v>3.8334036682148836E-3</v>
      </c>
    </row>
    <row r="540" spans="1:52" ht="18.75" customHeight="1" x14ac:dyDescent="0.2">
      <c r="AA540" s="28" t="s">
        <v>288</v>
      </c>
      <c r="AB540" s="29" t="s">
        <v>447</v>
      </c>
      <c r="AC540" s="17"/>
      <c r="AD540" s="18"/>
      <c r="AE540" s="34"/>
      <c r="AF540" s="34"/>
      <c r="AG540" s="18"/>
      <c r="AH540" s="76"/>
      <c r="AI540" s="18"/>
      <c r="AJ540" s="18"/>
      <c r="AK540" s="34"/>
      <c r="AL540" s="34"/>
      <c r="AM540" s="34"/>
      <c r="AN540" s="34"/>
      <c r="AO540" s="34"/>
      <c r="AP540" s="34"/>
      <c r="AQ540" s="34"/>
      <c r="AR540" s="34"/>
      <c r="AS540" s="34"/>
      <c r="AT540" s="40"/>
      <c r="AU540" s="18"/>
      <c r="AV540" s="34"/>
      <c r="AW540" s="34"/>
      <c r="AX540" s="18"/>
    </row>
    <row r="541" spans="1:52" ht="18.75" customHeight="1" x14ac:dyDescent="0.2">
      <c r="A541" s="4" t="s">
        <v>55</v>
      </c>
      <c r="B541" s="4" t="s">
        <v>56</v>
      </c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1" t="s">
        <v>448</v>
      </c>
      <c r="AB541" s="42" t="s">
        <v>449</v>
      </c>
      <c r="AC541" s="43" t="s">
        <v>428</v>
      </c>
      <c r="AD541" s="43">
        <v>1568183063</v>
      </c>
      <c r="AE541" s="44">
        <v>0</v>
      </c>
      <c r="AF541" s="44">
        <v>0</v>
      </c>
      <c r="AG541" s="75">
        <v>0</v>
      </c>
      <c r="AH541" s="43">
        <v>1200000000</v>
      </c>
      <c r="AI541" s="43">
        <f>AE541-AF541+AG541-AH541</f>
        <v>-1200000000</v>
      </c>
      <c r="AJ541" s="43">
        <f>AD541+AI541</f>
        <v>368183063</v>
      </c>
      <c r="AK541" s="44">
        <v>0</v>
      </c>
      <c r="AL541" s="44">
        <v>0</v>
      </c>
      <c r="AM541" s="44">
        <v>0</v>
      </c>
      <c r="AN541" s="44">
        <v>0</v>
      </c>
      <c r="AO541" s="44">
        <v>0</v>
      </c>
      <c r="AP541" s="44">
        <v>0</v>
      </c>
      <c r="AQ541" s="44">
        <v>0</v>
      </c>
      <c r="AR541" s="44">
        <v>0</v>
      </c>
      <c r="AS541" s="44">
        <v>0</v>
      </c>
      <c r="AT541" s="40">
        <f t="shared" ref="AT541:AT625" si="230">AQ541+AS541</f>
        <v>0</v>
      </c>
      <c r="AU541" s="18">
        <f>AJ541-AM541</f>
        <v>368183063</v>
      </c>
      <c r="AV541" s="34">
        <f>AM541-AP541</f>
        <v>0</v>
      </c>
      <c r="AW541" s="34">
        <f>AP541-AT541</f>
        <v>0</v>
      </c>
      <c r="AX541" s="123">
        <f>AP541/AJ541</f>
        <v>0</v>
      </c>
    </row>
    <row r="542" spans="1:52" ht="18.75" customHeight="1" x14ac:dyDescent="0.2">
      <c r="A542" s="4" t="s">
        <v>55</v>
      </c>
      <c r="B542" s="4" t="s">
        <v>56</v>
      </c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1" t="s">
        <v>450</v>
      </c>
      <c r="AB542" s="42" t="s">
        <v>451</v>
      </c>
      <c r="AC542" s="43" t="s">
        <v>428</v>
      </c>
      <c r="AD542" s="43">
        <v>54121641</v>
      </c>
      <c r="AE542" s="44">
        <v>0</v>
      </c>
      <c r="AF542" s="44">
        <v>0</v>
      </c>
      <c r="AG542" s="75">
        <v>0</v>
      </c>
      <c r="AH542" s="75">
        <v>0</v>
      </c>
      <c r="AI542" s="44">
        <v>0</v>
      </c>
      <c r="AJ542" s="43">
        <v>54121641</v>
      </c>
      <c r="AK542" s="44">
        <v>0</v>
      </c>
      <c r="AL542" s="44">
        <v>0</v>
      </c>
      <c r="AM542" s="44">
        <v>0</v>
      </c>
      <c r="AN542" s="44">
        <v>0</v>
      </c>
      <c r="AO542" s="44">
        <v>0</v>
      </c>
      <c r="AP542" s="44">
        <v>0</v>
      </c>
      <c r="AQ542" s="44">
        <v>0</v>
      </c>
      <c r="AR542" s="44">
        <v>0</v>
      </c>
      <c r="AS542" s="44">
        <v>0</v>
      </c>
      <c r="AT542" s="40">
        <f t="shared" si="230"/>
        <v>0</v>
      </c>
      <c r="AU542" s="18">
        <f>AJ542-AM542</f>
        <v>54121641</v>
      </c>
      <c r="AV542" s="34">
        <f>AM542-AP542</f>
        <v>0</v>
      </c>
      <c r="AW542" s="34">
        <f>AP542-AT542</f>
        <v>0</v>
      </c>
      <c r="AX542" s="123">
        <f>AP542/AJ542</f>
        <v>0</v>
      </c>
    </row>
    <row r="543" spans="1:52" ht="18.75" customHeight="1" x14ac:dyDescent="0.2">
      <c r="A543" s="4" t="s">
        <v>55</v>
      </c>
      <c r="B543" s="4" t="s">
        <v>56</v>
      </c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1" t="s">
        <v>452</v>
      </c>
      <c r="AB543" s="42" t="s">
        <v>453</v>
      </c>
      <c r="AC543" s="43" t="s">
        <v>454</v>
      </c>
      <c r="AD543" s="43">
        <v>13500000000</v>
      </c>
      <c r="AE543" s="44">
        <v>0</v>
      </c>
      <c r="AF543" s="44">
        <v>0</v>
      </c>
      <c r="AG543" s="75">
        <v>0</v>
      </c>
      <c r="AH543" s="43">
        <v>10658999538</v>
      </c>
      <c r="AI543" s="43">
        <f>AE543-AF543+AG543-AH543</f>
        <v>-10658999538</v>
      </c>
      <c r="AJ543" s="43">
        <f>AD543+AI543</f>
        <v>2841000462</v>
      </c>
      <c r="AK543" s="44">
        <v>0</v>
      </c>
      <c r="AL543" s="44">
        <v>0</v>
      </c>
      <c r="AM543" s="44">
        <v>0</v>
      </c>
      <c r="AN543" s="44">
        <v>0</v>
      </c>
      <c r="AO543" s="44">
        <v>0</v>
      </c>
      <c r="AP543" s="44">
        <v>0</v>
      </c>
      <c r="AQ543" s="44">
        <v>0</v>
      </c>
      <c r="AR543" s="44">
        <v>0</v>
      </c>
      <c r="AS543" s="44">
        <v>0</v>
      </c>
      <c r="AT543" s="40">
        <f t="shared" si="230"/>
        <v>0</v>
      </c>
      <c r="AU543" s="18">
        <f>AJ543-AM543</f>
        <v>2841000462</v>
      </c>
      <c r="AV543" s="34">
        <f>AM543-AP543</f>
        <v>0</v>
      </c>
      <c r="AW543" s="34">
        <f>AP543-AT543</f>
        <v>0</v>
      </c>
      <c r="AX543" s="123">
        <f>AP543/AJ543</f>
        <v>0</v>
      </c>
    </row>
    <row r="544" spans="1:52" ht="18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166" t="s">
        <v>1035</v>
      </c>
      <c r="AB544" s="167" t="s">
        <v>1036</v>
      </c>
      <c r="AC544" s="168"/>
      <c r="AD544" s="43">
        <v>0</v>
      </c>
      <c r="AE544" s="43">
        <v>3208930754.3099999</v>
      </c>
      <c r="AF544" s="44">
        <v>0</v>
      </c>
      <c r="AG544" s="75">
        <v>0</v>
      </c>
      <c r="AH544" s="43">
        <v>0</v>
      </c>
      <c r="AI544" s="43">
        <f>AE544-AF544+AG544-AH544</f>
        <v>3208930754.3099999</v>
      </c>
      <c r="AJ544" s="43">
        <f>AD544+AI544</f>
        <v>3208930754.3099999</v>
      </c>
      <c r="AK544" s="44">
        <v>0</v>
      </c>
      <c r="AL544" s="44">
        <v>0</v>
      </c>
      <c r="AM544" s="44">
        <v>0</v>
      </c>
      <c r="AN544" s="44">
        <v>0</v>
      </c>
      <c r="AO544" s="44">
        <v>0</v>
      </c>
      <c r="AP544" s="44">
        <v>0</v>
      </c>
      <c r="AQ544" s="44">
        <v>0</v>
      </c>
      <c r="AR544" s="44">
        <v>0</v>
      </c>
      <c r="AS544" s="44">
        <v>0</v>
      </c>
      <c r="AT544" s="40">
        <f t="shared" si="230"/>
        <v>0</v>
      </c>
      <c r="AU544" s="18">
        <f>AJ544-AM544</f>
        <v>3208930754.3099999</v>
      </c>
      <c r="AV544" s="34">
        <f>AM544-AP544</f>
        <v>0</v>
      </c>
      <c r="AW544" s="34">
        <f>AP544-AT544</f>
        <v>0</v>
      </c>
      <c r="AX544" s="123">
        <f>AP544/AJ544</f>
        <v>0</v>
      </c>
    </row>
    <row r="545" spans="1:50" ht="18.75" customHeight="1" x14ac:dyDescent="0.2">
      <c r="AA545" s="169" t="s">
        <v>288</v>
      </c>
      <c r="AB545" s="163" t="s">
        <v>455</v>
      </c>
      <c r="AC545" s="17"/>
      <c r="AD545" s="18"/>
      <c r="AE545" s="34"/>
      <c r="AF545" s="34"/>
      <c r="AG545" s="76"/>
      <c r="AH545" s="18"/>
      <c r="AI545" s="18"/>
      <c r="AJ545" s="18"/>
      <c r="AK545" s="34"/>
      <c r="AL545" s="34"/>
      <c r="AM545" s="34"/>
      <c r="AN545" s="34"/>
      <c r="AO545" s="34"/>
      <c r="AP545" s="34"/>
      <c r="AQ545" s="34"/>
      <c r="AR545" s="34"/>
      <c r="AS545" s="34"/>
      <c r="AT545" s="40"/>
      <c r="AU545" s="18"/>
      <c r="AV545" s="34"/>
      <c r="AW545" s="34"/>
      <c r="AX545" s="18"/>
    </row>
    <row r="546" spans="1:50" ht="18.75" customHeight="1" x14ac:dyDescent="0.2">
      <c r="A546" s="4" t="s">
        <v>55</v>
      </c>
      <c r="B546" s="4" t="s">
        <v>56</v>
      </c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1" t="s">
        <v>456</v>
      </c>
      <c r="AB546" s="42" t="s">
        <v>233</v>
      </c>
      <c r="AC546" s="43" t="s">
        <v>58</v>
      </c>
      <c r="AD546" s="43">
        <v>1983597115.25</v>
      </c>
      <c r="AE546" s="44">
        <v>0</v>
      </c>
      <c r="AF546" s="44">
        <v>0</v>
      </c>
      <c r="AG546" s="43">
        <v>15401381</v>
      </c>
      <c r="AH546" s="44">
        <v>0</v>
      </c>
      <c r="AI546" s="43">
        <f>AE546-AF546+AG546-AH546</f>
        <v>15401381</v>
      </c>
      <c r="AJ546" s="43">
        <f>AD546+AI546</f>
        <v>1998998496.25</v>
      </c>
      <c r="AK546" s="44">
        <v>0</v>
      </c>
      <c r="AL546" s="43">
        <v>0</v>
      </c>
      <c r="AM546" s="43">
        <v>0</v>
      </c>
      <c r="AN546" s="43">
        <v>0</v>
      </c>
      <c r="AO546" s="43">
        <v>0</v>
      </c>
      <c r="AP546" s="43">
        <v>0</v>
      </c>
      <c r="AQ546" s="43">
        <v>0</v>
      </c>
      <c r="AR546" s="43">
        <v>0</v>
      </c>
      <c r="AS546" s="43">
        <v>0</v>
      </c>
      <c r="AT546" s="40">
        <f t="shared" si="230"/>
        <v>0</v>
      </c>
      <c r="AU546" s="18">
        <f>AJ546-AM546</f>
        <v>1998998496.25</v>
      </c>
      <c r="AV546" s="34">
        <f>AM546-AP546</f>
        <v>0</v>
      </c>
      <c r="AW546" s="34">
        <f>AP546-AT546</f>
        <v>0</v>
      </c>
      <c r="AX546" s="123">
        <f>AP546/AJ546</f>
        <v>0</v>
      </c>
    </row>
    <row r="547" spans="1:50" ht="18.75" customHeight="1" x14ac:dyDescent="0.2">
      <c r="A547" s="4" t="s">
        <v>55</v>
      </c>
      <c r="B547" s="4" t="s">
        <v>56</v>
      </c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1" t="s">
        <v>457</v>
      </c>
      <c r="AB547" s="42" t="s">
        <v>458</v>
      </c>
      <c r="AC547" s="43" t="s">
        <v>454</v>
      </c>
      <c r="AD547" s="43">
        <v>0</v>
      </c>
      <c r="AE547" s="43">
        <v>14100000000</v>
      </c>
      <c r="AF547" s="44">
        <v>0</v>
      </c>
      <c r="AG547" s="43">
        <v>20296364215</v>
      </c>
      <c r="AH547" s="44">
        <v>0</v>
      </c>
      <c r="AI547" s="43">
        <f>AE547-AF547+AG547-AH547</f>
        <v>34396364215</v>
      </c>
      <c r="AJ547" s="43">
        <f>AD547+AI547</f>
        <v>34396364215</v>
      </c>
      <c r="AK547" s="44">
        <v>0</v>
      </c>
      <c r="AL547" s="43">
        <v>0</v>
      </c>
      <c r="AM547" s="43">
        <v>19256924334</v>
      </c>
      <c r="AN547" s="43">
        <v>0</v>
      </c>
      <c r="AO547" s="43">
        <v>0</v>
      </c>
      <c r="AP547" s="43">
        <v>19256924334</v>
      </c>
      <c r="AQ547" s="43">
        <v>0</v>
      </c>
      <c r="AR547" s="43">
        <v>0</v>
      </c>
      <c r="AS547" s="43">
        <v>0</v>
      </c>
      <c r="AT547" s="40">
        <f t="shared" si="230"/>
        <v>0</v>
      </c>
      <c r="AU547" s="18">
        <f>AJ547-AM547</f>
        <v>15139439881</v>
      </c>
      <c r="AV547" s="110">
        <f>AM547-AP547</f>
        <v>0</v>
      </c>
      <c r="AW547" s="18">
        <f>AP547-AT547</f>
        <v>19256924334</v>
      </c>
      <c r="AX547" s="123">
        <f>AP547/AJ547</f>
        <v>0.55985348374704669</v>
      </c>
    </row>
    <row r="548" spans="1:50" ht="18.75" customHeight="1" x14ac:dyDescent="0.2">
      <c r="AA548" s="28" t="s">
        <v>288</v>
      </c>
      <c r="AB548" s="29" t="s">
        <v>459</v>
      </c>
      <c r="AC548" s="17"/>
      <c r="AD548" s="18"/>
      <c r="AE548" s="34"/>
      <c r="AF548" s="34"/>
      <c r="AG548" s="18"/>
      <c r="AH548" s="34"/>
      <c r="AI548" s="18"/>
      <c r="AJ548" s="18"/>
      <c r="AK548" s="34"/>
      <c r="AL548" s="34"/>
      <c r="AM548" s="18"/>
      <c r="AN548" s="34"/>
      <c r="AO548" s="34"/>
      <c r="AP548" s="18"/>
      <c r="AQ548" s="34"/>
      <c r="AR548" s="34"/>
      <c r="AS548" s="34"/>
      <c r="AT548" s="40"/>
      <c r="AU548" s="18"/>
      <c r="AV548" s="18"/>
      <c r="AW548" s="18"/>
      <c r="AX548" s="18"/>
    </row>
    <row r="549" spans="1:50" ht="18.75" customHeight="1" x14ac:dyDescent="0.2">
      <c r="A549" s="4" t="s">
        <v>55</v>
      </c>
      <c r="B549" s="4" t="s">
        <v>56</v>
      </c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1" t="s">
        <v>460</v>
      </c>
      <c r="AB549" s="42" t="s">
        <v>233</v>
      </c>
      <c r="AC549" s="43" t="s">
        <v>58</v>
      </c>
      <c r="AD549" s="43">
        <v>867728401</v>
      </c>
      <c r="AE549" s="44">
        <v>0</v>
      </c>
      <c r="AF549" s="44">
        <v>0</v>
      </c>
      <c r="AG549" s="44">
        <v>0</v>
      </c>
      <c r="AH549" s="44">
        <v>0</v>
      </c>
      <c r="AI549" s="44">
        <v>0</v>
      </c>
      <c r="AJ549" s="43">
        <v>867728401</v>
      </c>
      <c r="AK549" s="44">
        <v>0</v>
      </c>
      <c r="AL549" s="44">
        <v>0</v>
      </c>
      <c r="AM549" s="43">
        <v>829015863.20000005</v>
      </c>
      <c r="AN549" s="44">
        <v>0</v>
      </c>
      <c r="AO549" s="44">
        <v>0</v>
      </c>
      <c r="AP549" s="43">
        <v>829015863.20000005</v>
      </c>
      <c r="AQ549" s="44">
        <v>88105477.5</v>
      </c>
      <c r="AR549" s="43">
        <v>112169709.5</v>
      </c>
      <c r="AS549" s="43">
        <v>244443911</v>
      </c>
      <c r="AT549" s="39">
        <f t="shared" si="230"/>
        <v>332549388.5</v>
      </c>
      <c r="AU549" s="18">
        <f>AJ549-AM549</f>
        <v>38712537.799999952</v>
      </c>
      <c r="AV549" s="34">
        <f>AM549-AP549</f>
        <v>0</v>
      </c>
      <c r="AW549" s="18">
        <f>AP549-AT549</f>
        <v>496466474.70000005</v>
      </c>
      <c r="AX549" s="123">
        <f>AP549/AJ549</f>
        <v>0.95538634236774289</v>
      </c>
    </row>
    <row r="550" spans="1:50" ht="18.75" customHeight="1" x14ac:dyDescent="0.2">
      <c r="A550" s="4" t="s">
        <v>55</v>
      </c>
      <c r="B550" s="4" t="s">
        <v>56</v>
      </c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1" t="s">
        <v>461</v>
      </c>
      <c r="AB550" s="42" t="s">
        <v>462</v>
      </c>
      <c r="AC550" s="43" t="s">
        <v>428</v>
      </c>
      <c r="AD550" s="43">
        <v>208691582</v>
      </c>
      <c r="AE550" s="44">
        <v>0</v>
      </c>
      <c r="AF550" s="44">
        <v>0</v>
      </c>
      <c r="AG550" s="44">
        <v>0</v>
      </c>
      <c r="AH550" s="44">
        <v>0</v>
      </c>
      <c r="AI550" s="44">
        <v>0</v>
      </c>
      <c r="AJ550" s="43">
        <v>208691582</v>
      </c>
      <c r="AK550" s="44">
        <v>0</v>
      </c>
      <c r="AL550" s="44">
        <v>0</v>
      </c>
      <c r="AM550" s="44">
        <v>0</v>
      </c>
      <c r="AN550" s="44">
        <v>0</v>
      </c>
      <c r="AO550" s="44">
        <v>0</v>
      </c>
      <c r="AP550" s="44">
        <v>0</v>
      </c>
      <c r="AQ550" s="44">
        <v>0</v>
      </c>
      <c r="AR550" s="44">
        <v>0</v>
      </c>
      <c r="AS550" s="44">
        <v>0</v>
      </c>
      <c r="AT550" s="40">
        <f t="shared" si="230"/>
        <v>0</v>
      </c>
      <c r="AU550" s="18">
        <f>AJ550-AM550</f>
        <v>208691582</v>
      </c>
      <c r="AV550" s="34">
        <f>AM550-AP550</f>
        <v>0</v>
      </c>
      <c r="AW550" s="34">
        <f>AP550-AT550</f>
        <v>0</v>
      </c>
      <c r="AX550" s="123">
        <f>AP550/AJ550</f>
        <v>0</v>
      </c>
    </row>
    <row r="551" spans="1:50" ht="24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166" t="s">
        <v>1045</v>
      </c>
      <c r="AB551" s="167" t="s">
        <v>1044</v>
      </c>
      <c r="AC551" s="168"/>
      <c r="AD551" s="44">
        <v>0</v>
      </c>
      <c r="AE551" s="43">
        <v>439408481</v>
      </c>
      <c r="AF551" s="44">
        <v>0</v>
      </c>
      <c r="AG551" s="44">
        <v>0</v>
      </c>
      <c r="AH551" s="44">
        <v>0</v>
      </c>
      <c r="AI551" s="43">
        <f>AE551-AF551+AG551-AH551</f>
        <v>439408481</v>
      </c>
      <c r="AJ551" s="43">
        <f>AD551+AI551</f>
        <v>439408481</v>
      </c>
      <c r="AK551" s="44">
        <v>0</v>
      </c>
      <c r="AL551" s="44">
        <v>0</v>
      </c>
      <c r="AM551" s="44">
        <v>0</v>
      </c>
      <c r="AN551" s="44">
        <v>0</v>
      </c>
      <c r="AO551" s="44">
        <v>0</v>
      </c>
      <c r="AP551" s="44">
        <v>0</v>
      </c>
      <c r="AQ551" s="44">
        <v>0</v>
      </c>
      <c r="AR551" s="44">
        <v>0</v>
      </c>
      <c r="AS551" s="44">
        <v>0</v>
      </c>
      <c r="AT551" s="40">
        <f t="shared" si="230"/>
        <v>0</v>
      </c>
      <c r="AU551" s="18">
        <f>AJ551-AM551</f>
        <v>439408481</v>
      </c>
      <c r="AV551" s="34">
        <f>AM551-AP551</f>
        <v>0</v>
      </c>
      <c r="AW551" s="34">
        <f>AP551-AT551</f>
        <v>0</v>
      </c>
      <c r="AX551" s="123">
        <f>AP551/AJ551</f>
        <v>0</v>
      </c>
    </row>
    <row r="552" spans="1:50" ht="21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171" t="s">
        <v>288</v>
      </c>
      <c r="AB552" s="213" t="s">
        <v>1040</v>
      </c>
      <c r="AC552" s="168"/>
      <c r="AD552" s="44"/>
      <c r="AE552" s="44"/>
      <c r="AF552" s="44"/>
      <c r="AG552" s="44"/>
      <c r="AH552" s="44"/>
      <c r="AI552" s="44"/>
      <c r="AJ552" s="43"/>
      <c r="AK552" s="44"/>
      <c r="AL552" s="44"/>
      <c r="AM552" s="44"/>
      <c r="AN552" s="44"/>
      <c r="AO552" s="44"/>
      <c r="AP552" s="44"/>
      <c r="AQ552" s="44"/>
      <c r="AR552" s="44"/>
      <c r="AS552" s="44"/>
      <c r="AT552" s="40"/>
      <c r="AU552" s="18"/>
      <c r="AV552" s="34"/>
      <c r="AW552" s="34"/>
      <c r="AX552" s="123"/>
    </row>
    <row r="553" spans="1:50" ht="18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166" t="s">
        <v>1041</v>
      </c>
      <c r="AB553" s="167" t="s">
        <v>1015</v>
      </c>
      <c r="AC553" s="168"/>
      <c r="AD553" s="44">
        <v>0</v>
      </c>
      <c r="AE553" s="43">
        <v>117329833</v>
      </c>
      <c r="AF553" s="44">
        <v>0</v>
      </c>
      <c r="AG553" s="43">
        <v>8000000</v>
      </c>
      <c r="AH553" s="44">
        <v>0</v>
      </c>
      <c r="AI553" s="43">
        <f>AE553-AF553+AG553-AH553</f>
        <v>125329833</v>
      </c>
      <c r="AJ553" s="43">
        <f>AD553+AI553</f>
        <v>125329833</v>
      </c>
      <c r="AK553" s="44">
        <v>0</v>
      </c>
      <c r="AL553" s="44">
        <v>0</v>
      </c>
      <c r="AM553" s="44">
        <v>0</v>
      </c>
      <c r="AN553" s="44">
        <v>0</v>
      </c>
      <c r="AO553" s="44">
        <v>0</v>
      </c>
      <c r="AP553" s="44">
        <v>0</v>
      </c>
      <c r="AQ553" s="44">
        <v>0</v>
      </c>
      <c r="AR553" s="44">
        <v>0</v>
      </c>
      <c r="AS553" s="44">
        <v>0</v>
      </c>
      <c r="AT553" s="40">
        <f t="shared" ref="AT553" si="231">AQ553+AS553</f>
        <v>0</v>
      </c>
      <c r="AU553" s="18">
        <f>AJ553-AM553</f>
        <v>125329833</v>
      </c>
      <c r="AV553" s="34">
        <f>AM553-AP553</f>
        <v>0</v>
      </c>
      <c r="AW553" s="34">
        <f>AP553-AT553</f>
        <v>0</v>
      </c>
      <c r="AX553" s="123">
        <f>AP553/AJ553</f>
        <v>0</v>
      </c>
    </row>
    <row r="554" spans="1:50" ht="18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208" t="s">
        <v>288</v>
      </c>
      <c r="AB554" s="209" t="s">
        <v>463</v>
      </c>
      <c r="AC554" s="43"/>
      <c r="AD554" s="43"/>
      <c r="AE554" s="44"/>
      <c r="AF554" s="44"/>
      <c r="AG554" s="43"/>
      <c r="AH554" s="44"/>
      <c r="AI554" s="43"/>
      <c r="AJ554" s="142"/>
      <c r="AK554" s="44"/>
      <c r="AL554" s="44"/>
      <c r="AM554" s="44"/>
      <c r="AN554" s="44"/>
      <c r="AO554" s="44"/>
      <c r="AP554" s="44"/>
      <c r="AQ554" s="44"/>
      <c r="AR554" s="44"/>
      <c r="AS554" s="44"/>
      <c r="AT554" s="40"/>
      <c r="AU554" s="43"/>
      <c r="AV554" s="44"/>
      <c r="AW554" s="44"/>
      <c r="AX554" s="43"/>
    </row>
    <row r="555" spans="1:50" ht="18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134" t="s">
        <v>464</v>
      </c>
      <c r="AB555" s="17" t="s">
        <v>458</v>
      </c>
      <c r="AC555" s="43"/>
      <c r="AD555" s="44">
        <v>0</v>
      </c>
      <c r="AE555" s="44">
        <v>0</v>
      </c>
      <c r="AF555" s="44">
        <v>0</v>
      </c>
      <c r="AG555" s="43">
        <v>1555449996</v>
      </c>
      <c r="AH555" s="44">
        <v>0</v>
      </c>
      <c r="AI555" s="43">
        <f>AE555-AF555+AG555-AH555</f>
        <v>1555449996</v>
      </c>
      <c r="AJ555" s="142">
        <f>AD555+AI555</f>
        <v>1555449996</v>
      </c>
      <c r="AK555" s="44">
        <v>0</v>
      </c>
      <c r="AL555" s="44">
        <v>0</v>
      </c>
      <c r="AM555" s="44">
        <v>0</v>
      </c>
      <c r="AN555" s="44">
        <v>0</v>
      </c>
      <c r="AO555" s="44">
        <v>0</v>
      </c>
      <c r="AP555" s="44">
        <v>0</v>
      </c>
      <c r="AQ555" s="44">
        <v>0</v>
      </c>
      <c r="AR555" s="44">
        <v>0</v>
      </c>
      <c r="AS555" s="44">
        <v>0</v>
      </c>
      <c r="AT555" s="40">
        <f>AQ555+AS555</f>
        <v>0</v>
      </c>
      <c r="AU555" s="18">
        <f>AJ555-AM555</f>
        <v>1555449996</v>
      </c>
      <c r="AV555" s="34">
        <f>AM555-AP555</f>
        <v>0</v>
      </c>
      <c r="AW555" s="34">
        <f>AP555-AT555</f>
        <v>0</v>
      </c>
      <c r="AX555" s="123">
        <f>AP555/AJ555</f>
        <v>0</v>
      </c>
    </row>
    <row r="556" spans="1:50" ht="18.75" customHeight="1" x14ac:dyDescent="0.2">
      <c r="AA556" s="28" t="s">
        <v>288</v>
      </c>
      <c r="AB556" s="29" t="s">
        <v>465</v>
      </c>
      <c r="AC556" s="17"/>
      <c r="AD556" s="18"/>
      <c r="AE556" s="34"/>
      <c r="AF556" s="34"/>
      <c r="AG556" s="18"/>
      <c r="AH556" s="34"/>
      <c r="AI556" s="18"/>
      <c r="AJ556" s="147"/>
      <c r="AK556" s="34"/>
      <c r="AL556" s="34"/>
      <c r="AM556" s="34"/>
      <c r="AN556" s="34"/>
      <c r="AO556" s="34"/>
      <c r="AP556" s="34"/>
      <c r="AQ556" s="34"/>
      <c r="AR556" s="34"/>
      <c r="AS556" s="34"/>
      <c r="AT556" s="40"/>
      <c r="AU556" s="18"/>
      <c r="AV556" s="34"/>
      <c r="AW556" s="34"/>
      <c r="AX556" s="18"/>
    </row>
    <row r="557" spans="1:50" ht="18.75" customHeight="1" x14ac:dyDescent="0.2">
      <c r="A557" s="4" t="s">
        <v>55</v>
      </c>
      <c r="B557" s="4" t="s">
        <v>56</v>
      </c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1" t="s">
        <v>466</v>
      </c>
      <c r="AB557" s="42" t="s">
        <v>233</v>
      </c>
      <c r="AC557" s="43" t="s">
        <v>58</v>
      </c>
      <c r="AD557" s="44">
        <v>0</v>
      </c>
      <c r="AE557" s="44">
        <v>0</v>
      </c>
      <c r="AF557" s="44">
        <v>0</v>
      </c>
      <c r="AG557" s="43">
        <v>95000000</v>
      </c>
      <c r="AH557" s="44">
        <v>0</v>
      </c>
      <c r="AI557" s="43">
        <f>AE557-AF557+AG557-AH557</f>
        <v>95000000</v>
      </c>
      <c r="AJ557" s="142">
        <f>AD557+AI557</f>
        <v>95000000</v>
      </c>
      <c r="AK557" s="44">
        <v>0</v>
      </c>
      <c r="AL557" s="115">
        <v>0</v>
      </c>
      <c r="AM557" s="114">
        <v>94976390.849999994</v>
      </c>
      <c r="AN557" s="44">
        <v>0</v>
      </c>
      <c r="AO557" s="114">
        <v>0</v>
      </c>
      <c r="AP557" s="114">
        <v>94976390.849999994</v>
      </c>
      <c r="AQ557" s="44">
        <v>0</v>
      </c>
      <c r="AR557" s="44">
        <v>0</v>
      </c>
      <c r="AS557" s="44">
        <v>0</v>
      </c>
      <c r="AT557" s="40">
        <f>AQ557+AS557</f>
        <v>0</v>
      </c>
      <c r="AU557" s="18">
        <f>AJ557-AM557</f>
        <v>23609.15000000596</v>
      </c>
      <c r="AV557" s="34">
        <f>AM557-AP557</f>
        <v>0</v>
      </c>
      <c r="AW557" s="110">
        <f>AP557-AT557</f>
        <v>94976390.849999994</v>
      </c>
      <c r="AX557" s="123">
        <f>AP557/AJ557</f>
        <v>0.99975148263157887</v>
      </c>
    </row>
    <row r="558" spans="1:50" ht="18.75" customHeight="1" x14ac:dyDescent="0.2">
      <c r="AA558" s="16"/>
      <c r="AB558" s="29" t="s">
        <v>467</v>
      </c>
      <c r="AC558" s="17"/>
      <c r="AD558" s="34"/>
      <c r="AE558" s="34"/>
      <c r="AF558" s="34"/>
      <c r="AG558" s="18"/>
      <c r="AH558" s="34"/>
      <c r="AI558" s="18"/>
      <c r="AJ558" s="147"/>
      <c r="AK558" s="34"/>
      <c r="AL558" s="34"/>
      <c r="AM558" s="34"/>
      <c r="AN558" s="34"/>
      <c r="AO558" s="34"/>
      <c r="AP558" s="34"/>
      <c r="AQ558" s="34"/>
      <c r="AR558" s="34"/>
      <c r="AS558" s="34"/>
      <c r="AT558" s="40"/>
      <c r="AU558" s="18"/>
      <c r="AV558" s="34"/>
      <c r="AW558" s="34"/>
      <c r="AX558" s="18"/>
    </row>
    <row r="559" spans="1:50" ht="18.75" customHeight="1" x14ac:dyDescent="0.2">
      <c r="A559" s="4" t="s">
        <v>55</v>
      </c>
      <c r="B559" s="4" t="s">
        <v>56</v>
      </c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1" t="s">
        <v>468</v>
      </c>
      <c r="AB559" s="42" t="s">
        <v>458</v>
      </c>
      <c r="AC559" s="43" t="s">
        <v>454</v>
      </c>
      <c r="AD559" s="44">
        <v>0</v>
      </c>
      <c r="AE559" s="44">
        <v>0</v>
      </c>
      <c r="AF559" s="44">
        <v>0</v>
      </c>
      <c r="AG559" s="43">
        <v>1331864802</v>
      </c>
      <c r="AH559" s="44">
        <v>0</v>
      </c>
      <c r="AI559" s="43">
        <f>AE559-AF559+AG559-AH559</f>
        <v>1331864802</v>
      </c>
      <c r="AJ559" s="43">
        <f>AD559+AI559</f>
        <v>1331864802</v>
      </c>
      <c r="AK559" s="44">
        <v>0</v>
      </c>
      <c r="AL559" s="44">
        <v>0</v>
      </c>
      <c r="AM559" s="43">
        <v>1234550713.8599999</v>
      </c>
      <c r="AN559" s="44">
        <v>0</v>
      </c>
      <c r="AO559" s="44">
        <v>0</v>
      </c>
      <c r="AP559" s="44">
        <v>0</v>
      </c>
      <c r="AQ559" s="44">
        <v>0</v>
      </c>
      <c r="AR559" s="44">
        <v>0</v>
      </c>
      <c r="AS559" s="44">
        <v>0</v>
      </c>
      <c r="AT559" s="40">
        <f>AQ559+AS559</f>
        <v>0</v>
      </c>
      <c r="AU559" s="18">
        <f>AJ559-AM559</f>
        <v>97314088.140000105</v>
      </c>
      <c r="AV559" s="18">
        <f>AM559-AP559</f>
        <v>1234550713.8599999</v>
      </c>
      <c r="AW559" s="34">
        <f>AP559-AT559</f>
        <v>0</v>
      </c>
      <c r="AX559" s="123">
        <f>AP559/AJ559</f>
        <v>0</v>
      </c>
    </row>
    <row r="560" spans="1:50" ht="18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170" t="s">
        <v>288</v>
      </c>
      <c r="AB560" s="170" t="s">
        <v>970</v>
      </c>
      <c r="AC560" s="168"/>
      <c r="AD560" s="44"/>
      <c r="AE560" s="44"/>
      <c r="AF560" s="44"/>
      <c r="AG560" s="43"/>
      <c r="AH560" s="44"/>
      <c r="AI560" s="43"/>
      <c r="AJ560" s="43"/>
      <c r="AK560" s="44"/>
      <c r="AL560" s="44"/>
      <c r="AM560" s="44"/>
      <c r="AN560" s="44"/>
      <c r="AO560" s="44"/>
      <c r="AP560" s="44"/>
      <c r="AQ560" s="44"/>
      <c r="AR560" s="44"/>
      <c r="AS560" s="44"/>
      <c r="AT560" s="40"/>
      <c r="AU560" s="18"/>
      <c r="AV560" s="34"/>
      <c r="AW560" s="34"/>
      <c r="AX560" s="123"/>
    </row>
    <row r="561" spans="1:50" ht="18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166" t="s">
        <v>969</v>
      </c>
      <c r="AB561" s="166" t="s">
        <v>233</v>
      </c>
      <c r="AC561" s="168"/>
      <c r="AD561" s="44">
        <v>0</v>
      </c>
      <c r="AE561" s="44">
        <v>0</v>
      </c>
      <c r="AF561" s="44">
        <v>0</v>
      </c>
      <c r="AG561" s="43">
        <v>138279379</v>
      </c>
      <c r="AH561" s="43">
        <v>4993574</v>
      </c>
      <c r="AI561" s="43">
        <f>AE561-AF561+AG561-AH561</f>
        <v>133285805</v>
      </c>
      <c r="AJ561" s="43">
        <f>AD561+AI561</f>
        <v>133285805</v>
      </c>
      <c r="AK561" s="44">
        <v>0</v>
      </c>
      <c r="AL561" s="44">
        <v>0</v>
      </c>
      <c r="AM561" s="43">
        <v>133285804.41</v>
      </c>
      <c r="AN561" s="44">
        <v>0</v>
      </c>
      <c r="AO561" s="43">
        <v>0</v>
      </c>
      <c r="AP561" s="43">
        <v>133285804.41</v>
      </c>
      <c r="AQ561" s="44">
        <v>0</v>
      </c>
      <c r="AR561" s="44">
        <v>0</v>
      </c>
      <c r="AS561" s="44">
        <v>0</v>
      </c>
      <c r="AT561" s="40">
        <f>AQ561+AS561</f>
        <v>0</v>
      </c>
      <c r="AU561" s="18">
        <f>AJ561-AM561</f>
        <v>0.59000000357627869</v>
      </c>
      <c r="AV561" s="34">
        <f>AM561-AP561</f>
        <v>0</v>
      </c>
      <c r="AW561" s="18">
        <f>AP561-AT561</f>
        <v>133285804.41</v>
      </c>
      <c r="AX561" s="123">
        <f>AP561/AJ561</f>
        <v>0.99999999557342212</v>
      </c>
    </row>
    <row r="562" spans="1:50" ht="22.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166" t="s">
        <v>1042</v>
      </c>
      <c r="AB562" s="167" t="s">
        <v>1015</v>
      </c>
      <c r="AC562" s="168"/>
      <c r="AD562" s="44">
        <v>0</v>
      </c>
      <c r="AE562" s="43">
        <v>20000000</v>
      </c>
      <c r="AF562" s="44">
        <v>0</v>
      </c>
      <c r="AG562" s="43">
        <v>50000000</v>
      </c>
      <c r="AH562" s="44">
        <v>0</v>
      </c>
      <c r="AI562" s="43">
        <f t="shared" ref="AI562:AI563" si="232">AE562-AF562+AG562-AH562</f>
        <v>70000000</v>
      </c>
      <c r="AJ562" s="43">
        <f t="shared" ref="AJ562:AJ563" si="233">AD562+AI562</f>
        <v>70000000</v>
      </c>
      <c r="AK562" s="44">
        <v>0</v>
      </c>
      <c r="AL562" s="44">
        <v>0</v>
      </c>
      <c r="AM562" s="44">
        <v>0</v>
      </c>
      <c r="AN562" s="44">
        <v>0</v>
      </c>
      <c r="AO562" s="44">
        <v>0</v>
      </c>
      <c r="AP562" s="44">
        <v>0</v>
      </c>
      <c r="AQ562" s="44">
        <v>0</v>
      </c>
      <c r="AR562" s="44">
        <v>0</v>
      </c>
      <c r="AS562" s="44">
        <v>0</v>
      </c>
      <c r="AT562" s="40">
        <f t="shared" ref="AT562:AT563" si="234">AQ562+AS562</f>
        <v>0</v>
      </c>
      <c r="AU562" s="18">
        <f>AJ562-AM562</f>
        <v>70000000</v>
      </c>
      <c r="AV562" s="34">
        <f>AM562-AP562</f>
        <v>0</v>
      </c>
      <c r="AW562" s="34">
        <f>AP562-AT562</f>
        <v>0</v>
      </c>
      <c r="AX562" s="123">
        <f>AP562/AJ562</f>
        <v>0</v>
      </c>
    </row>
    <row r="563" spans="1:50" ht="27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166" t="s">
        <v>1043</v>
      </c>
      <c r="AB563" s="167" t="s">
        <v>1044</v>
      </c>
      <c r="AC563" s="168"/>
      <c r="AD563" s="44">
        <v>0</v>
      </c>
      <c r="AE563" s="43">
        <v>2160000000</v>
      </c>
      <c r="AF563" s="44">
        <v>0</v>
      </c>
      <c r="AG563" s="44">
        <v>0</v>
      </c>
      <c r="AH563" s="44">
        <v>0</v>
      </c>
      <c r="AI563" s="43">
        <f t="shared" si="232"/>
        <v>2160000000</v>
      </c>
      <c r="AJ563" s="43">
        <f t="shared" si="233"/>
        <v>2160000000</v>
      </c>
      <c r="AK563" s="44">
        <v>0</v>
      </c>
      <c r="AL563" s="44">
        <v>0</v>
      </c>
      <c r="AM563" s="44">
        <v>0</v>
      </c>
      <c r="AN563" s="44">
        <v>0</v>
      </c>
      <c r="AO563" s="44">
        <v>0</v>
      </c>
      <c r="AP563" s="44">
        <v>0</v>
      </c>
      <c r="AQ563" s="44">
        <v>0</v>
      </c>
      <c r="AR563" s="44">
        <v>0</v>
      </c>
      <c r="AS563" s="44">
        <v>0</v>
      </c>
      <c r="AT563" s="40">
        <f t="shared" si="234"/>
        <v>0</v>
      </c>
      <c r="AU563" s="18">
        <f>AJ563-AM563</f>
        <v>2160000000</v>
      </c>
      <c r="AV563" s="34">
        <f>AM563-AP563</f>
        <v>0</v>
      </c>
      <c r="AW563" s="34">
        <f>AP563-AT563</f>
        <v>0</v>
      </c>
      <c r="AX563" s="123">
        <f>AP563/AJ563</f>
        <v>0</v>
      </c>
    </row>
    <row r="564" spans="1:50" ht="18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171" t="s">
        <v>288</v>
      </c>
      <c r="AB564" s="171" t="s">
        <v>971</v>
      </c>
      <c r="AC564" s="168"/>
      <c r="AD564" s="44"/>
      <c r="AE564" s="44"/>
      <c r="AF564" s="44"/>
      <c r="AG564" s="43"/>
      <c r="AH564" s="44"/>
      <c r="AI564" s="43"/>
      <c r="AJ564" s="43"/>
      <c r="AK564" s="44"/>
      <c r="AL564" s="44"/>
      <c r="AM564" s="44"/>
      <c r="AN564" s="44"/>
      <c r="AO564" s="44"/>
      <c r="AP564" s="44"/>
      <c r="AQ564" s="44"/>
      <c r="AR564" s="44"/>
      <c r="AS564" s="44"/>
      <c r="AT564" s="40"/>
      <c r="AU564" s="18"/>
      <c r="AV564" s="34"/>
      <c r="AW564" s="34"/>
      <c r="AX564" s="123"/>
    </row>
    <row r="565" spans="1:50" ht="18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166" t="s">
        <v>968</v>
      </c>
      <c r="AB565" s="166" t="s">
        <v>233</v>
      </c>
      <c r="AC565" s="168"/>
      <c r="AD565" s="44">
        <v>0</v>
      </c>
      <c r="AE565" s="44">
        <v>0</v>
      </c>
      <c r="AF565" s="44">
        <v>0</v>
      </c>
      <c r="AG565" s="43">
        <v>610000000</v>
      </c>
      <c r="AH565" s="44"/>
      <c r="AI565" s="43">
        <f>AE565-AF565+AG565-AH565</f>
        <v>610000000</v>
      </c>
      <c r="AJ565" s="43">
        <f>AD565+AI565</f>
        <v>610000000</v>
      </c>
      <c r="AK565" s="44">
        <v>0</v>
      </c>
      <c r="AL565" s="44">
        <v>0</v>
      </c>
      <c r="AM565" s="43">
        <v>311711449.05000001</v>
      </c>
      <c r="AN565" s="44">
        <v>0</v>
      </c>
      <c r="AO565" s="44">
        <v>0</v>
      </c>
      <c r="AP565" s="44">
        <v>0</v>
      </c>
      <c r="AQ565" s="44">
        <v>0</v>
      </c>
      <c r="AR565" s="44">
        <v>0</v>
      </c>
      <c r="AS565" s="44">
        <v>0</v>
      </c>
      <c r="AT565" s="40">
        <f>AQ565+AS565</f>
        <v>0</v>
      </c>
      <c r="AU565" s="18">
        <f>AJ565-AM565</f>
        <v>298288550.94999999</v>
      </c>
      <c r="AV565" s="18">
        <f>AM565-AP565</f>
        <v>311711449.05000001</v>
      </c>
      <c r="AW565" s="34">
        <f>AP565-AT565</f>
        <v>0</v>
      </c>
      <c r="AX565" s="123">
        <f>AP565/AJ565</f>
        <v>0</v>
      </c>
    </row>
    <row r="566" spans="1:50" ht="18.75" customHeight="1" x14ac:dyDescent="0.2">
      <c r="AA566" s="169" t="s">
        <v>288</v>
      </c>
      <c r="AB566" s="205" t="s">
        <v>469</v>
      </c>
      <c r="AC566" s="17"/>
      <c r="AD566" s="18"/>
      <c r="AE566" s="18"/>
      <c r="AF566" s="18"/>
      <c r="AG566" s="18"/>
      <c r="AH566" s="34"/>
      <c r="AI566" s="18"/>
      <c r="AJ566" s="18"/>
      <c r="AK566" s="34"/>
      <c r="AL566" s="34"/>
      <c r="AM566" s="34"/>
      <c r="AN566" s="34"/>
      <c r="AO566" s="34"/>
      <c r="AP566" s="34"/>
      <c r="AQ566" s="34"/>
      <c r="AR566" s="34"/>
      <c r="AS566" s="34"/>
      <c r="AT566" s="40"/>
      <c r="AU566" s="18"/>
      <c r="AV566" s="34"/>
      <c r="AW566" s="18"/>
      <c r="AX566" s="18"/>
    </row>
    <row r="567" spans="1:50" ht="18.75" customHeight="1" x14ac:dyDescent="0.2">
      <c r="A567" s="4" t="s">
        <v>55</v>
      </c>
      <c r="B567" s="4" t="s">
        <v>56</v>
      </c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211" t="s">
        <v>470</v>
      </c>
      <c r="AB567" s="265" t="s">
        <v>233</v>
      </c>
      <c r="AC567" s="43" t="s">
        <v>58</v>
      </c>
      <c r="AD567" s="43">
        <v>128000000</v>
      </c>
      <c r="AE567" s="44">
        <v>0</v>
      </c>
      <c r="AF567" s="44">
        <v>0</v>
      </c>
      <c r="AG567" s="44">
        <v>0</v>
      </c>
      <c r="AH567" s="44">
        <v>0</v>
      </c>
      <c r="AI567" s="44">
        <v>0</v>
      </c>
      <c r="AJ567" s="43">
        <v>128000000</v>
      </c>
      <c r="AK567" s="44">
        <v>0</v>
      </c>
      <c r="AL567" s="44">
        <v>0</v>
      </c>
      <c r="AM567" s="44">
        <v>0</v>
      </c>
      <c r="AN567" s="44">
        <v>0</v>
      </c>
      <c r="AO567" s="44">
        <v>0</v>
      </c>
      <c r="AP567" s="44">
        <v>0</v>
      </c>
      <c r="AQ567" s="44">
        <v>0</v>
      </c>
      <c r="AR567" s="44">
        <v>0</v>
      </c>
      <c r="AS567" s="44">
        <v>0</v>
      </c>
      <c r="AT567" s="40">
        <f>AQ567+AS567</f>
        <v>0</v>
      </c>
      <c r="AU567" s="18">
        <f>AJ567-AM567</f>
        <v>128000000</v>
      </c>
      <c r="AV567" s="34">
        <f>AM567-AP567</f>
        <v>0</v>
      </c>
      <c r="AW567" s="34">
        <f>AP567-AT567</f>
        <v>0</v>
      </c>
      <c r="AX567" s="123">
        <f>AP567/AJ567</f>
        <v>0</v>
      </c>
    </row>
    <row r="568" spans="1:50" ht="28.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166" t="s">
        <v>1029</v>
      </c>
      <c r="AB568" s="266" t="s">
        <v>1030</v>
      </c>
      <c r="AC568" s="168"/>
      <c r="AD568" s="44">
        <v>0</v>
      </c>
      <c r="AE568" s="43">
        <v>451451337.30000001</v>
      </c>
      <c r="AF568" s="44">
        <v>0</v>
      </c>
      <c r="AG568" s="44">
        <v>0</v>
      </c>
      <c r="AH568" s="44">
        <v>0</v>
      </c>
      <c r="AI568" s="43">
        <f t="shared" ref="AI568:AI570" si="235">AE568-AF568+AG568-AH568</f>
        <v>451451337.30000001</v>
      </c>
      <c r="AJ568" s="43">
        <f t="shared" ref="AJ568:AJ570" si="236">AD568+AI568</f>
        <v>451451337.30000001</v>
      </c>
      <c r="AK568" s="44">
        <v>0</v>
      </c>
      <c r="AL568" s="44">
        <v>0</v>
      </c>
      <c r="AM568" s="44">
        <v>0</v>
      </c>
      <c r="AN568" s="44">
        <v>0</v>
      </c>
      <c r="AO568" s="44">
        <v>0</v>
      </c>
      <c r="AP568" s="44">
        <v>0</v>
      </c>
      <c r="AQ568" s="44">
        <v>0</v>
      </c>
      <c r="AR568" s="44">
        <v>0</v>
      </c>
      <c r="AS568" s="44">
        <v>0</v>
      </c>
      <c r="AT568" s="40">
        <f t="shared" ref="AT568:AT570" si="237">AQ568+AS568</f>
        <v>0</v>
      </c>
      <c r="AU568" s="18">
        <f>AJ568-AM568</f>
        <v>451451337.30000001</v>
      </c>
      <c r="AV568" s="34">
        <f>AM568-AP568</f>
        <v>0</v>
      </c>
      <c r="AW568" s="34">
        <f>AP568-AT568</f>
        <v>0</v>
      </c>
      <c r="AX568" s="123">
        <f>AP568/AJ568</f>
        <v>0</v>
      </c>
    </row>
    <row r="569" spans="1:50" ht="18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166" t="s">
        <v>1031</v>
      </c>
      <c r="AB569" s="266" t="s">
        <v>1032</v>
      </c>
      <c r="AC569" s="168"/>
      <c r="AD569" s="44">
        <v>0</v>
      </c>
      <c r="AE569" s="43">
        <v>700000000</v>
      </c>
      <c r="AF569" s="44">
        <v>0</v>
      </c>
      <c r="AG569" s="44">
        <v>0</v>
      </c>
      <c r="AH569" s="44">
        <v>0</v>
      </c>
      <c r="AI569" s="43">
        <f t="shared" si="235"/>
        <v>700000000</v>
      </c>
      <c r="AJ569" s="43">
        <f t="shared" si="236"/>
        <v>700000000</v>
      </c>
      <c r="AK569" s="44">
        <v>0</v>
      </c>
      <c r="AL569" s="44">
        <v>0</v>
      </c>
      <c r="AM569" s="44">
        <v>0</v>
      </c>
      <c r="AN569" s="44">
        <v>0</v>
      </c>
      <c r="AO569" s="44">
        <v>0</v>
      </c>
      <c r="AP569" s="44">
        <v>0</v>
      </c>
      <c r="AQ569" s="44">
        <v>0</v>
      </c>
      <c r="AR569" s="44">
        <v>0</v>
      </c>
      <c r="AS569" s="44">
        <v>0</v>
      </c>
      <c r="AT569" s="40">
        <f t="shared" si="237"/>
        <v>0</v>
      </c>
      <c r="AU569" s="18">
        <f>AJ569-AM569</f>
        <v>700000000</v>
      </c>
      <c r="AV569" s="34">
        <f>AM569-AP569</f>
        <v>0</v>
      </c>
      <c r="AW569" s="34">
        <f>AP569-AT569</f>
        <v>0</v>
      </c>
      <c r="AX569" s="123">
        <f>AP569/AJ569</f>
        <v>0</v>
      </c>
    </row>
    <row r="570" spans="1:50" ht="18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166" t="s">
        <v>1033</v>
      </c>
      <c r="AB570" s="167" t="s">
        <v>1034</v>
      </c>
      <c r="AC570" s="168"/>
      <c r="AD570" s="44">
        <v>0</v>
      </c>
      <c r="AE570" s="43">
        <v>1040743</v>
      </c>
      <c r="AF570" s="44">
        <v>0</v>
      </c>
      <c r="AG570" s="44">
        <v>0</v>
      </c>
      <c r="AH570" s="44">
        <v>0</v>
      </c>
      <c r="AI570" s="43">
        <f t="shared" si="235"/>
        <v>1040743</v>
      </c>
      <c r="AJ570" s="43">
        <f t="shared" si="236"/>
        <v>1040743</v>
      </c>
      <c r="AK570" s="44">
        <v>0</v>
      </c>
      <c r="AL570" s="44">
        <v>0</v>
      </c>
      <c r="AM570" s="44">
        <v>0</v>
      </c>
      <c r="AN570" s="44">
        <v>0</v>
      </c>
      <c r="AO570" s="44">
        <v>0</v>
      </c>
      <c r="AP570" s="44">
        <v>0</v>
      </c>
      <c r="AQ570" s="44">
        <v>0</v>
      </c>
      <c r="AR570" s="44">
        <v>0</v>
      </c>
      <c r="AS570" s="44">
        <v>0</v>
      </c>
      <c r="AT570" s="40">
        <f t="shared" si="237"/>
        <v>0</v>
      </c>
      <c r="AU570" s="18">
        <f>AJ570-AM570</f>
        <v>1040743</v>
      </c>
      <c r="AV570" s="34">
        <f>AM570-AP570</f>
        <v>0</v>
      </c>
      <c r="AW570" s="34">
        <f>AP570-AT570</f>
        <v>0</v>
      </c>
      <c r="AX570" s="123">
        <f>AP570/AJ570</f>
        <v>0</v>
      </c>
    </row>
    <row r="571" spans="1:50" ht="18.75" customHeight="1" x14ac:dyDescent="0.2">
      <c r="AA571" s="169" t="s">
        <v>288</v>
      </c>
      <c r="AB571" s="163" t="s">
        <v>471</v>
      </c>
      <c r="AC571" s="17"/>
      <c r="AD571" s="18"/>
      <c r="AE571" s="34"/>
      <c r="AF571" s="34"/>
      <c r="AG571" s="34"/>
      <c r="AH571" s="18"/>
      <c r="AI571" s="18"/>
      <c r="AJ571" s="18"/>
      <c r="AK571" s="34"/>
      <c r="AL571" s="34"/>
      <c r="AM571" s="34"/>
      <c r="AN571" s="34"/>
      <c r="AO571" s="34"/>
      <c r="AP571" s="34"/>
      <c r="AQ571" s="34"/>
      <c r="AR571" s="34"/>
      <c r="AS571" s="34"/>
      <c r="AT571" s="40"/>
      <c r="AU571" s="18"/>
      <c r="AV571" s="34"/>
      <c r="AW571" s="34"/>
      <c r="AX571" s="18"/>
    </row>
    <row r="572" spans="1:50" ht="18.75" customHeight="1" x14ac:dyDescent="0.2">
      <c r="A572" s="4" t="s">
        <v>55</v>
      </c>
      <c r="B572" s="4" t="s">
        <v>56</v>
      </c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1" t="s">
        <v>472</v>
      </c>
      <c r="AB572" s="42" t="s">
        <v>453</v>
      </c>
      <c r="AC572" s="43" t="s">
        <v>454</v>
      </c>
      <c r="AD572" s="43">
        <v>16500000000</v>
      </c>
      <c r="AE572" s="44">
        <v>0</v>
      </c>
      <c r="AF572" s="44">
        <v>0</v>
      </c>
      <c r="AG572" s="44">
        <v>0</v>
      </c>
      <c r="AH572" s="43">
        <v>16500000000</v>
      </c>
      <c r="AI572" s="43">
        <f>AE572-AF572+AG572-AH572</f>
        <v>-16500000000</v>
      </c>
      <c r="AJ572" s="44">
        <f>AD572+AI572</f>
        <v>0</v>
      </c>
      <c r="AK572" s="44">
        <v>0</v>
      </c>
      <c r="AL572" s="44">
        <v>0</v>
      </c>
      <c r="AM572" s="44">
        <v>0</v>
      </c>
      <c r="AN572" s="44">
        <v>0</v>
      </c>
      <c r="AO572" s="44">
        <v>0</v>
      </c>
      <c r="AP572" s="44">
        <v>0</v>
      </c>
      <c r="AQ572" s="44">
        <v>0</v>
      </c>
      <c r="AR572" s="44">
        <v>0</v>
      </c>
      <c r="AS572" s="44">
        <v>0</v>
      </c>
      <c r="AT572" s="40">
        <f>AQ572+AS572</f>
        <v>0</v>
      </c>
      <c r="AU572" s="34">
        <f>AJ572-AM572</f>
        <v>0</v>
      </c>
      <c r="AV572" s="34">
        <f>AM572-AP572</f>
        <v>0</v>
      </c>
      <c r="AW572" s="34">
        <f>AP572-AT572</f>
        <v>0</v>
      </c>
      <c r="AX572" s="123">
        <v>0</v>
      </c>
    </row>
    <row r="573" spans="1:50" ht="25.5" x14ac:dyDescent="0.2">
      <c r="AA573" s="28" t="s">
        <v>288</v>
      </c>
      <c r="AB573" s="29" t="s">
        <v>473</v>
      </c>
      <c r="AC573" s="17"/>
      <c r="AD573" s="18"/>
      <c r="AE573" s="18"/>
      <c r="AF573" s="18"/>
      <c r="AG573" s="18"/>
      <c r="AH573" s="18"/>
      <c r="AI573" s="18"/>
      <c r="AJ573" s="18"/>
      <c r="AK573" s="34"/>
      <c r="AL573" s="34"/>
      <c r="AM573" s="34"/>
      <c r="AN573" s="34"/>
      <c r="AO573" s="34"/>
      <c r="AP573" s="34"/>
      <c r="AQ573" s="18"/>
      <c r="AR573" s="18"/>
      <c r="AS573" s="18"/>
      <c r="AT573" s="40"/>
      <c r="AU573" s="18"/>
      <c r="AV573" s="34"/>
      <c r="AW573" s="34"/>
      <c r="AX573" s="18"/>
    </row>
    <row r="574" spans="1:50" ht="18.75" customHeight="1" x14ac:dyDescent="0.2">
      <c r="A574" s="4" t="s">
        <v>55</v>
      </c>
      <c r="B574" s="4" t="s">
        <v>56</v>
      </c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1" t="s">
        <v>474</v>
      </c>
      <c r="AB574" s="42" t="s">
        <v>233</v>
      </c>
      <c r="AC574" s="43" t="s">
        <v>58</v>
      </c>
      <c r="AD574" s="44">
        <v>0</v>
      </c>
      <c r="AE574" s="44">
        <v>0</v>
      </c>
      <c r="AF574" s="44">
        <v>0</v>
      </c>
      <c r="AG574" s="43">
        <v>22204778</v>
      </c>
      <c r="AH574" s="44">
        <v>0</v>
      </c>
      <c r="AI574" s="43">
        <f>AE574-AF574+AG574-AH574</f>
        <v>22204778</v>
      </c>
      <c r="AJ574" s="43">
        <f>AD574+AI574</f>
        <v>22204778</v>
      </c>
      <c r="AK574" s="44">
        <v>0</v>
      </c>
      <c r="AL574" s="44">
        <v>0</v>
      </c>
      <c r="AM574" s="44">
        <v>0</v>
      </c>
      <c r="AN574" s="44">
        <v>0</v>
      </c>
      <c r="AO574" s="44">
        <v>0</v>
      </c>
      <c r="AP574" s="44">
        <v>0</v>
      </c>
      <c r="AQ574" s="44">
        <v>0</v>
      </c>
      <c r="AR574" s="44">
        <v>0</v>
      </c>
      <c r="AS574" s="44">
        <v>0</v>
      </c>
      <c r="AT574" s="40">
        <f>AQ574+AS574</f>
        <v>0</v>
      </c>
      <c r="AU574" s="18">
        <f>AJ574-AM574</f>
        <v>22204778</v>
      </c>
      <c r="AV574" s="34">
        <f>AM574-AP574</f>
        <v>0</v>
      </c>
      <c r="AW574" s="34">
        <f>AP574-AT574</f>
        <v>0</v>
      </c>
      <c r="AX574" s="123">
        <f>AP574/AJ574</f>
        <v>0</v>
      </c>
    </row>
    <row r="575" spans="1:50" ht="27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166" t="s">
        <v>1046</v>
      </c>
      <c r="AB575" s="167" t="s">
        <v>1047</v>
      </c>
      <c r="AC575" s="168"/>
      <c r="AD575" s="44">
        <v>0</v>
      </c>
      <c r="AE575" s="43">
        <v>186255799.66</v>
      </c>
      <c r="AF575" s="44">
        <v>0</v>
      </c>
      <c r="AG575" s="44">
        <v>0</v>
      </c>
      <c r="AH575" s="44">
        <v>0</v>
      </c>
      <c r="AI575" s="43">
        <f>AE575-AF575+AG575-AH575</f>
        <v>186255799.66</v>
      </c>
      <c r="AJ575" s="43">
        <f>AD575+AI575</f>
        <v>186255799.66</v>
      </c>
      <c r="AK575" s="44">
        <v>0</v>
      </c>
      <c r="AL575" s="44">
        <v>0</v>
      </c>
      <c r="AM575" s="44">
        <v>0</v>
      </c>
      <c r="AN575" s="44">
        <v>0</v>
      </c>
      <c r="AO575" s="44">
        <v>0</v>
      </c>
      <c r="AP575" s="44">
        <v>0</v>
      </c>
      <c r="AQ575" s="44">
        <v>0</v>
      </c>
      <c r="AR575" s="44">
        <v>0</v>
      </c>
      <c r="AS575" s="44">
        <v>0</v>
      </c>
      <c r="AT575" s="40">
        <f>AQ575+AS575</f>
        <v>0</v>
      </c>
      <c r="AU575" s="18">
        <f>AJ575-AM575</f>
        <v>186255799.66</v>
      </c>
      <c r="AV575" s="34">
        <f>AM575-AP575</f>
        <v>0</v>
      </c>
      <c r="AW575" s="34">
        <f>AP575-AT575</f>
        <v>0</v>
      </c>
      <c r="AX575" s="123">
        <f>AP575/AJ575</f>
        <v>0</v>
      </c>
    </row>
    <row r="576" spans="1:50" ht="25.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171" t="s">
        <v>288</v>
      </c>
      <c r="AB576" s="213" t="s">
        <v>1037</v>
      </c>
      <c r="AC576" s="168"/>
      <c r="AD576" s="44"/>
      <c r="AE576" s="44"/>
      <c r="AF576" s="44"/>
      <c r="AG576" s="43"/>
      <c r="AH576" s="44"/>
      <c r="AI576" s="43"/>
      <c r="AJ576" s="43"/>
      <c r="AK576" s="44"/>
      <c r="AL576" s="44"/>
      <c r="AM576" s="44"/>
      <c r="AN576" s="44"/>
      <c r="AO576" s="44"/>
      <c r="AP576" s="44"/>
      <c r="AQ576" s="44"/>
      <c r="AR576" s="44"/>
      <c r="AS576" s="44"/>
      <c r="AT576" s="40"/>
      <c r="AU576" s="18"/>
      <c r="AV576" s="34"/>
      <c r="AW576" s="34"/>
      <c r="AX576" s="123"/>
    </row>
    <row r="577" spans="1:50" ht="28.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166" t="s">
        <v>1038</v>
      </c>
      <c r="AB577" s="167" t="s">
        <v>1039</v>
      </c>
      <c r="AC577" s="168"/>
      <c r="AD577" s="44">
        <v>0</v>
      </c>
      <c r="AE577" s="43">
        <v>266733201.66</v>
      </c>
      <c r="AF577" s="44">
        <v>0</v>
      </c>
      <c r="AG577" s="44">
        <v>0</v>
      </c>
      <c r="AH577" s="44">
        <v>0</v>
      </c>
      <c r="AI577" s="43">
        <f>AE577-AF577+AG577-AH577</f>
        <v>266733201.66</v>
      </c>
      <c r="AJ577" s="43">
        <f>AD577+AI577</f>
        <v>266733201.66</v>
      </c>
      <c r="AK577" s="44">
        <v>0</v>
      </c>
      <c r="AL577" s="44">
        <v>0</v>
      </c>
      <c r="AM577" s="44">
        <v>0</v>
      </c>
      <c r="AN577" s="44">
        <v>0</v>
      </c>
      <c r="AO577" s="44">
        <v>0</v>
      </c>
      <c r="AP577" s="44">
        <v>0</v>
      </c>
      <c r="AQ577" s="44">
        <v>0</v>
      </c>
      <c r="AR577" s="44">
        <v>0</v>
      </c>
      <c r="AS577" s="44">
        <v>0</v>
      </c>
      <c r="AT577" s="40">
        <f>AQ577+AS577</f>
        <v>0</v>
      </c>
      <c r="AU577" s="18">
        <f>AJ577-AM577</f>
        <v>266733201.66</v>
      </c>
      <c r="AV577" s="34">
        <f>AM577-AP577</f>
        <v>0</v>
      </c>
      <c r="AW577" s="34">
        <f>AP577-AT577</f>
        <v>0</v>
      </c>
      <c r="AX577" s="123">
        <f>AP577/AJ577</f>
        <v>0</v>
      </c>
    </row>
    <row r="578" spans="1:50" x14ac:dyDescent="0.2">
      <c r="AA578" s="162"/>
      <c r="AB578" s="163" t="s">
        <v>475</v>
      </c>
      <c r="AC578" s="17"/>
      <c r="AD578" s="34"/>
      <c r="AE578" s="34"/>
      <c r="AF578" s="34"/>
      <c r="AG578" s="18"/>
      <c r="AH578" s="34"/>
      <c r="AI578" s="18"/>
      <c r="AJ578" s="18"/>
      <c r="AK578" s="34"/>
      <c r="AL578" s="34"/>
      <c r="AM578" s="34"/>
      <c r="AN578" s="34"/>
      <c r="AO578" s="34"/>
      <c r="AP578" s="34"/>
      <c r="AQ578" s="34"/>
      <c r="AR578" s="34"/>
      <c r="AS578" s="34"/>
      <c r="AT578" s="40"/>
      <c r="AU578" s="18"/>
      <c r="AV578" s="34"/>
      <c r="AW578" s="18"/>
      <c r="AX578" s="18"/>
    </row>
    <row r="579" spans="1:50" x14ac:dyDescent="0.2">
      <c r="A579" s="4" t="s">
        <v>55</v>
      </c>
      <c r="B579" s="4" t="s">
        <v>56</v>
      </c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1" t="s">
        <v>476</v>
      </c>
      <c r="AB579" s="42" t="s">
        <v>458</v>
      </c>
      <c r="AC579" s="43" t="s">
        <v>454</v>
      </c>
      <c r="AD579" s="44">
        <v>0</v>
      </c>
      <c r="AE579" s="44">
        <v>0</v>
      </c>
      <c r="AF579" s="44">
        <v>0</v>
      </c>
      <c r="AG579" s="43">
        <v>3975320525</v>
      </c>
      <c r="AH579" s="44">
        <v>0</v>
      </c>
      <c r="AI579" s="43">
        <f>AE579-AF579+AG579-AH579</f>
        <v>3975320525</v>
      </c>
      <c r="AJ579" s="43">
        <f>AD579+AI579</f>
        <v>3975320525</v>
      </c>
      <c r="AK579" s="115">
        <v>0</v>
      </c>
      <c r="AL579" s="115">
        <v>0</v>
      </c>
      <c r="AM579" s="114">
        <v>3726948730</v>
      </c>
      <c r="AN579" s="44">
        <v>0</v>
      </c>
      <c r="AO579" s="44">
        <v>0</v>
      </c>
      <c r="AP579" s="44">
        <v>0</v>
      </c>
      <c r="AQ579" s="44">
        <v>0</v>
      </c>
      <c r="AR579" s="44">
        <v>0</v>
      </c>
      <c r="AS579" s="44">
        <v>0</v>
      </c>
      <c r="AT579" s="40">
        <f>AQ579+AS579</f>
        <v>0</v>
      </c>
      <c r="AU579" s="18">
        <f>AJ579-AM579</f>
        <v>248371795</v>
      </c>
      <c r="AV579" s="110">
        <f>AM579-AP579</f>
        <v>3726948730</v>
      </c>
      <c r="AW579" s="34">
        <f>AP579-AT579</f>
        <v>0</v>
      </c>
      <c r="AX579" s="123">
        <f>AP579/AJ579</f>
        <v>0</v>
      </c>
    </row>
    <row r="580" spans="1:50" ht="25.5" x14ac:dyDescent="0.2">
      <c r="AA580" s="28" t="s">
        <v>288</v>
      </c>
      <c r="AB580" s="29" t="s">
        <v>477</v>
      </c>
      <c r="AC580" s="17"/>
      <c r="AD580" s="18"/>
      <c r="AE580" s="18"/>
      <c r="AF580" s="18"/>
      <c r="AG580" s="18"/>
      <c r="AH580" s="18"/>
      <c r="AI580" s="18"/>
      <c r="AJ580" s="18"/>
      <c r="AK580" s="34"/>
      <c r="AL580" s="34"/>
      <c r="AM580" s="18"/>
      <c r="AN580" s="18"/>
      <c r="AO580" s="18"/>
      <c r="AP580" s="18"/>
      <c r="AQ580" s="34"/>
      <c r="AR580" s="34"/>
      <c r="AS580" s="34"/>
      <c r="AT580" s="40"/>
      <c r="AU580" s="18"/>
      <c r="AV580" s="18"/>
      <c r="AW580" s="18"/>
      <c r="AX580" s="18"/>
    </row>
    <row r="581" spans="1:50" x14ac:dyDescent="0.2">
      <c r="A581" s="4" t="s">
        <v>55</v>
      </c>
      <c r="B581" s="4" t="s">
        <v>56</v>
      </c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1" t="s">
        <v>478</v>
      </c>
      <c r="AB581" s="42" t="s">
        <v>233</v>
      </c>
      <c r="AC581" s="43" t="s">
        <v>58</v>
      </c>
      <c r="AD581" s="43">
        <v>389814494</v>
      </c>
      <c r="AE581" s="44">
        <v>0</v>
      </c>
      <c r="AF581" s="44">
        <v>0</v>
      </c>
      <c r="AG581" s="43">
        <v>50860045</v>
      </c>
      <c r="AH581" s="44">
        <v>0</v>
      </c>
      <c r="AI581" s="43">
        <f>AE581-AF581+AG581-AH581</f>
        <v>50860045</v>
      </c>
      <c r="AJ581" s="43">
        <f>AD581+AI581</f>
        <v>440674539</v>
      </c>
      <c r="AK581" s="44">
        <v>0</v>
      </c>
      <c r="AL581" s="43">
        <f>AM581-MAYO!AM576</f>
        <v>85382448</v>
      </c>
      <c r="AM581" s="43">
        <v>440674539</v>
      </c>
      <c r="AN581" s="44">
        <v>0</v>
      </c>
      <c r="AO581" s="44">
        <v>85382448</v>
      </c>
      <c r="AP581" s="43">
        <v>440674539</v>
      </c>
      <c r="AQ581" s="43">
        <v>0</v>
      </c>
      <c r="AR581" s="43">
        <v>111777047.06999999</v>
      </c>
      <c r="AS581" s="43">
        <v>145458569.06999999</v>
      </c>
      <c r="AT581" s="39">
        <f>AQ581+AS581</f>
        <v>145458569.06999999</v>
      </c>
      <c r="AU581" s="18">
        <f>AJ581-AM581</f>
        <v>0</v>
      </c>
      <c r="AV581" s="34">
        <f>AM581-AP581</f>
        <v>0</v>
      </c>
      <c r="AW581" s="18">
        <f>AP581-AT581</f>
        <v>295215969.93000001</v>
      </c>
      <c r="AX581" s="123">
        <f>AP581/AJ581</f>
        <v>1</v>
      </c>
    </row>
    <row r="582" spans="1:50" ht="25.5" x14ac:dyDescent="0.2">
      <c r="A582" s="4" t="s">
        <v>55</v>
      </c>
      <c r="B582" s="4" t="s">
        <v>56</v>
      </c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1" t="s">
        <v>479</v>
      </c>
      <c r="AB582" s="42" t="s">
        <v>480</v>
      </c>
      <c r="AC582" s="43" t="s">
        <v>368</v>
      </c>
      <c r="AD582" s="43">
        <v>88687399.159999996</v>
      </c>
      <c r="AE582" s="44">
        <v>0</v>
      </c>
      <c r="AF582" s="44">
        <v>0</v>
      </c>
      <c r="AG582" s="44">
        <v>0</v>
      </c>
      <c r="AH582" s="44">
        <v>0</v>
      </c>
      <c r="AI582" s="44">
        <v>0</v>
      </c>
      <c r="AJ582" s="142">
        <v>88687399.159999996</v>
      </c>
      <c r="AK582" s="44">
        <v>0</v>
      </c>
      <c r="AL582" s="43">
        <f>AM582-MAYO!AM577</f>
        <v>32121465</v>
      </c>
      <c r="AM582" s="43">
        <v>88687399</v>
      </c>
      <c r="AN582" s="44">
        <v>0</v>
      </c>
      <c r="AO582" s="44">
        <v>32121465</v>
      </c>
      <c r="AP582" s="43">
        <v>88687399</v>
      </c>
      <c r="AQ582" s="44">
        <v>0</v>
      </c>
      <c r="AR582" s="43">
        <v>0</v>
      </c>
      <c r="AS582" s="43">
        <v>30903467</v>
      </c>
      <c r="AT582" s="39">
        <f>AQ582+AS582</f>
        <v>30903467</v>
      </c>
      <c r="AU582" s="18">
        <f>AJ582-AM582</f>
        <v>0.15999999642372131</v>
      </c>
      <c r="AV582" s="34">
        <f>AM582-AP582</f>
        <v>0</v>
      </c>
      <c r="AW582" s="18">
        <f>AP582-AT582</f>
        <v>57783932</v>
      </c>
      <c r="AX582" s="123">
        <f>AP582/AJ582</f>
        <v>0.99999999819591057</v>
      </c>
    </row>
    <row r="583" spans="1:50" ht="25.5" x14ac:dyDescent="0.2">
      <c r="AA583" s="28" t="s">
        <v>288</v>
      </c>
      <c r="AB583" s="29" t="s">
        <v>481</v>
      </c>
      <c r="AC583" s="17"/>
      <c r="AD583" s="18"/>
      <c r="AE583" s="18"/>
      <c r="AF583" s="18"/>
      <c r="AG583" s="18"/>
      <c r="AH583" s="18"/>
      <c r="AI583" s="18"/>
      <c r="AJ583" s="147"/>
      <c r="AK583" s="34"/>
      <c r="AL583" s="34"/>
      <c r="AM583" s="18"/>
      <c r="AN583" s="34"/>
      <c r="AO583" s="18"/>
      <c r="AP583" s="18"/>
      <c r="AQ583" s="34"/>
      <c r="AR583" s="34"/>
      <c r="AS583" s="34"/>
      <c r="AT583" s="40"/>
      <c r="AU583" s="18"/>
      <c r="AV583" s="18"/>
      <c r="AW583" s="18"/>
      <c r="AX583" s="18"/>
    </row>
    <row r="584" spans="1:50" x14ac:dyDescent="0.2">
      <c r="A584" s="4" t="s">
        <v>55</v>
      </c>
      <c r="B584" s="4" t="s">
        <v>56</v>
      </c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1" t="s">
        <v>482</v>
      </c>
      <c r="AB584" s="42" t="s">
        <v>233</v>
      </c>
      <c r="AC584" s="43" t="s">
        <v>58</v>
      </c>
      <c r="AD584" s="43">
        <v>732098782</v>
      </c>
      <c r="AE584" s="44">
        <v>0</v>
      </c>
      <c r="AF584" s="44">
        <v>0</v>
      </c>
      <c r="AG584" s="43">
        <v>96486764</v>
      </c>
      <c r="AH584" s="44">
        <v>0</v>
      </c>
      <c r="AI584" s="43">
        <f>AE584-AF584+AG584-AH584</f>
        <v>96486764</v>
      </c>
      <c r="AJ584" s="142">
        <f>AD584+AI584</f>
        <v>828585546</v>
      </c>
      <c r="AK584" s="44">
        <v>0</v>
      </c>
      <c r="AL584" s="44">
        <v>0</v>
      </c>
      <c r="AM584" s="43">
        <v>658085546</v>
      </c>
      <c r="AN584" s="44">
        <v>0</v>
      </c>
      <c r="AO584" s="44">
        <v>0</v>
      </c>
      <c r="AP584" s="43">
        <v>658085546</v>
      </c>
      <c r="AQ584" s="44">
        <v>0</v>
      </c>
      <c r="AR584" s="43">
        <v>63874719.130000003</v>
      </c>
      <c r="AS584" s="43">
        <v>141575274.13</v>
      </c>
      <c r="AT584" s="39">
        <f>AQ584+AS584</f>
        <v>141575274.13</v>
      </c>
      <c r="AU584" s="18">
        <f>AJ584-AM584</f>
        <v>170500000</v>
      </c>
      <c r="AV584" s="34">
        <f>AM584-AP584</f>
        <v>0</v>
      </c>
      <c r="AW584" s="18">
        <f>AP584-AT584</f>
        <v>516510271.87</v>
      </c>
      <c r="AX584" s="123">
        <f>AP584/AJ584</f>
        <v>0.79422764393720191</v>
      </c>
    </row>
    <row r="585" spans="1:50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1" t="s">
        <v>979</v>
      </c>
      <c r="AB585" s="42" t="s">
        <v>453</v>
      </c>
      <c r="AC585" s="43"/>
      <c r="AD585" s="44">
        <v>0</v>
      </c>
      <c r="AE585" s="43">
        <f>17804659196+8428553475</f>
        <v>26233212671</v>
      </c>
      <c r="AF585" s="44">
        <v>0</v>
      </c>
      <c r="AG585" s="44">
        <v>0</v>
      </c>
      <c r="AH585" s="44">
        <v>0</v>
      </c>
      <c r="AI585" s="43">
        <f>AE585-AF585+AG585-AH585</f>
        <v>26233212671</v>
      </c>
      <c r="AJ585" s="142">
        <f>AD585+AI585</f>
        <v>26233212671</v>
      </c>
      <c r="AK585" s="44">
        <v>0</v>
      </c>
      <c r="AL585" s="44">
        <v>0</v>
      </c>
      <c r="AM585" s="43">
        <v>17240869934</v>
      </c>
      <c r="AN585" s="43">
        <v>1348307783</v>
      </c>
      <c r="AO585" s="44">
        <v>0</v>
      </c>
      <c r="AP585" s="43">
        <v>0</v>
      </c>
      <c r="AQ585" s="44">
        <v>0</v>
      </c>
      <c r="AR585" s="44">
        <v>0</v>
      </c>
      <c r="AS585" s="44">
        <v>0</v>
      </c>
      <c r="AT585" s="39">
        <f>AQ585+AS585</f>
        <v>0</v>
      </c>
      <c r="AU585" s="18">
        <f>AJ585-AM585</f>
        <v>8992342737</v>
      </c>
      <c r="AV585" s="18">
        <f>AM585-AP585</f>
        <v>17240869934</v>
      </c>
      <c r="AW585" s="34">
        <f>AP585-AT585</f>
        <v>0</v>
      </c>
      <c r="AX585" s="40">
        <f>AP585/AJ585</f>
        <v>0</v>
      </c>
    </row>
    <row r="586" spans="1:50" x14ac:dyDescent="0.2">
      <c r="AA586" s="28" t="s">
        <v>288</v>
      </c>
      <c r="AB586" s="29" t="s">
        <v>483</v>
      </c>
      <c r="AC586" s="17"/>
      <c r="AD586" s="18"/>
      <c r="AE586" s="34"/>
      <c r="AF586" s="34"/>
      <c r="AG586" s="18"/>
      <c r="AH586" s="34"/>
      <c r="AI586" s="18"/>
      <c r="AJ586" s="147"/>
      <c r="AK586" s="34"/>
      <c r="AL586" s="34"/>
      <c r="AM586" s="18"/>
      <c r="AN586" s="34"/>
      <c r="AO586" s="34"/>
      <c r="AP586" s="18"/>
      <c r="AQ586" s="34"/>
      <c r="AR586" s="34"/>
      <c r="AS586" s="34"/>
      <c r="AT586" s="40"/>
      <c r="AU586" s="18"/>
      <c r="AV586" s="34"/>
      <c r="AW586" s="18"/>
      <c r="AX586" s="18"/>
    </row>
    <row r="587" spans="1:50" x14ac:dyDescent="0.2">
      <c r="A587" s="4" t="s">
        <v>55</v>
      </c>
      <c r="B587" s="4" t="s">
        <v>56</v>
      </c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1" t="s">
        <v>484</v>
      </c>
      <c r="AB587" s="42" t="s">
        <v>233</v>
      </c>
      <c r="AC587" s="43" t="s">
        <v>58</v>
      </c>
      <c r="AD587" s="44">
        <v>0</v>
      </c>
      <c r="AE587" s="44">
        <v>0</v>
      </c>
      <c r="AF587" s="44">
        <v>0</v>
      </c>
      <c r="AG587" s="43">
        <f>60325921.15+40465552</f>
        <v>100791473.15000001</v>
      </c>
      <c r="AH587" s="44">
        <v>0</v>
      </c>
      <c r="AI587" s="43">
        <f>AE587-AF587+AG587-AH587</f>
        <v>100791473.15000001</v>
      </c>
      <c r="AJ587" s="142">
        <f>AD587+AI587</f>
        <v>100791473.15000001</v>
      </c>
      <c r="AK587" s="44">
        <v>0</v>
      </c>
      <c r="AL587" s="43">
        <f>AM587-MAYO!AM582</f>
        <v>52415381.100000001</v>
      </c>
      <c r="AM587" s="43">
        <v>100758121.22</v>
      </c>
      <c r="AN587" s="44">
        <v>0</v>
      </c>
      <c r="AO587" s="44">
        <v>52415381.100000001</v>
      </c>
      <c r="AP587" s="43">
        <v>100758121.22</v>
      </c>
      <c r="AQ587" s="44">
        <v>0</v>
      </c>
      <c r="AR587" s="44">
        <v>0</v>
      </c>
      <c r="AS587" s="44">
        <v>0</v>
      </c>
      <c r="AT587" s="40">
        <f>AQ587+AS587</f>
        <v>0</v>
      </c>
      <c r="AU587" s="18">
        <f>AJ587-AM587</f>
        <v>33351.930000007153</v>
      </c>
      <c r="AV587" s="34">
        <f>AM587-AP587</f>
        <v>0</v>
      </c>
      <c r="AW587" s="18">
        <f>AP587-AT587</f>
        <v>100758121.22</v>
      </c>
      <c r="AX587" s="123">
        <f>AP587/AJ587</f>
        <v>0.99966909968712958</v>
      </c>
    </row>
    <row r="588" spans="1:50" x14ac:dyDescent="0.2">
      <c r="AA588" s="28" t="s">
        <v>288</v>
      </c>
      <c r="AB588" s="29" t="s">
        <v>485</v>
      </c>
      <c r="AC588" s="17"/>
      <c r="AD588" s="18"/>
      <c r="AE588" s="34"/>
      <c r="AF588" s="34"/>
      <c r="AG588" s="18"/>
      <c r="AH588" s="34"/>
      <c r="AI588" s="18"/>
      <c r="AJ588" s="147"/>
      <c r="AK588" s="34"/>
      <c r="AL588" s="18"/>
      <c r="AM588" s="18"/>
      <c r="AN588" s="34"/>
      <c r="AO588" s="34"/>
      <c r="AP588" s="18"/>
      <c r="AQ588" s="34"/>
      <c r="AR588" s="34"/>
      <c r="AS588" s="34"/>
      <c r="AT588" s="40"/>
      <c r="AU588" s="18"/>
      <c r="AV588" s="34"/>
      <c r="AW588" s="34"/>
      <c r="AX588" s="18"/>
    </row>
    <row r="589" spans="1:50" x14ac:dyDescent="0.2">
      <c r="A589" s="4" t="s">
        <v>55</v>
      </c>
      <c r="B589" s="4" t="s">
        <v>56</v>
      </c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1" t="s">
        <v>972</v>
      </c>
      <c r="AB589" s="42" t="s">
        <v>233</v>
      </c>
      <c r="AC589" s="43" t="s">
        <v>58</v>
      </c>
      <c r="AD589" s="43">
        <v>530557116</v>
      </c>
      <c r="AE589" s="44">
        <v>0</v>
      </c>
      <c r="AF589" s="44">
        <v>0</v>
      </c>
      <c r="AG589" s="44">
        <v>0</v>
      </c>
      <c r="AH589" s="44">
        <v>0</v>
      </c>
      <c r="AI589" s="43">
        <f>AE589-AF589+AG589-AH589</f>
        <v>0</v>
      </c>
      <c r="AJ589" s="142">
        <f>AD589+AI589</f>
        <v>530557116</v>
      </c>
      <c r="AK589" s="44">
        <v>0</v>
      </c>
      <c r="AL589" s="44">
        <v>0</v>
      </c>
      <c r="AM589" s="44">
        <v>0</v>
      </c>
      <c r="AN589" s="44">
        <v>0</v>
      </c>
      <c r="AO589" s="44">
        <v>0</v>
      </c>
      <c r="AP589" s="43">
        <v>0</v>
      </c>
      <c r="AQ589" s="44">
        <v>0</v>
      </c>
      <c r="AR589" s="44">
        <v>0</v>
      </c>
      <c r="AS589" s="44">
        <v>0</v>
      </c>
      <c r="AT589" s="40">
        <f>AQ589+AS589</f>
        <v>0</v>
      </c>
      <c r="AU589" s="18">
        <f>AJ589-AM589</f>
        <v>530557116</v>
      </c>
      <c r="AV589" s="34">
        <f>AM589-AP589</f>
        <v>0</v>
      </c>
      <c r="AW589" s="34">
        <f>AP589-AT589</f>
        <v>0</v>
      </c>
      <c r="AX589" s="123">
        <f>AP589/AJ589</f>
        <v>0</v>
      </c>
    </row>
    <row r="590" spans="1:50" ht="38.25" x14ac:dyDescent="0.2">
      <c r="AA590" s="16"/>
      <c r="AB590" s="29" t="s">
        <v>193</v>
      </c>
      <c r="AC590" s="17"/>
      <c r="AD590" s="18"/>
      <c r="AE590" s="34"/>
      <c r="AF590" s="34"/>
      <c r="AG590" s="18"/>
      <c r="AH590" s="18"/>
      <c r="AI590" s="18"/>
      <c r="AJ590" s="147"/>
      <c r="AK590" s="34"/>
      <c r="AL590" s="34"/>
      <c r="AM590" s="34"/>
      <c r="AN590" s="34"/>
      <c r="AO590" s="34"/>
      <c r="AP590" s="34"/>
      <c r="AQ590" s="34"/>
      <c r="AR590" s="34"/>
      <c r="AS590" s="34"/>
      <c r="AT590" s="40"/>
      <c r="AU590" s="18"/>
      <c r="AV590" s="34"/>
      <c r="AW590" s="18"/>
      <c r="AX590" s="18"/>
    </row>
    <row r="591" spans="1:50" ht="18.75" customHeight="1" x14ac:dyDescent="0.2">
      <c r="AA591" s="28" t="s">
        <v>288</v>
      </c>
      <c r="AB591" s="29" t="s">
        <v>487</v>
      </c>
      <c r="AC591" s="17"/>
      <c r="AD591" s="18"/>
      <c r="AE591" s="34"/>
      <c r="AF591" s="34"/>
      <c r="AG591" s="18"/>
      <c r="AH591" s="18"/>
      <c r="AI591" s="18"/>
      <c r="AJ591" s="147"/>
      <c r="AK591" s="34"/>
      <c r="AL591" s="34"/>
      <c r="AM591" s="34"/>
      <c r="AN591" s="34"/>
      <c r="AO591" s="34"/>
      <c r="AP591" s="34"/>
      <c r="AQ591" s="34"/>
      <c r="AR591" s="34"/>
      <c r="AS591" s="34"/>
      <c r="AT591" s="40"/>
      <c r="AU591" s="18"/>
      <c r="AV591" s="34"/>
      <c r="AW591" s="18"/>
      <c r="AX591" s="18"/>
    </row>
    <row r="592" spans="1:50" ht="18.75" customHeight="1" x14ac:dyDescent="0.2">
      <c r="A592" s="4" t="s">
        <v>55</v>
      </c>
      <c r="B592" s="4" t="s">
        <v>56</v>
      </c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1" t="s">
        <v>488</v>
      </c>
      <c r="AB592" s="42" t="s">
        <v>439</v>
      </c>
      <c r="AC592" s="43" t="s">
        <v>428</v>
      </c>
      <c r="AD592" s="43">
        <v>14800000000</v>
      </c>
      <c r="AE592" s="44">
        <v>0</v>
      </c>
      <c r="AF592" s="44">
        <v>0</v>
      </c>
      <c r="AG592" s="44">
        <v>0</v>
      </c>
      <c r="AH592" s="43">
        <f>265538240+219103236.8</f>
        <v>484641476.80000001</v>
      </c>
      <c r="AI592" s="43">
        <f>AE592-AF592+AG592-AH592</f>
        <v>-484641476.80000001</v>
      </c>
      <c r="AJ592" s="43">
        <f>AD592+AI592</f>
        <v>14315358523.200001</v>
      </c>
      <c r="AK592" s="44">
        <v>0</v>
      </c>
      <c r="AL592" s="114">
        <f>AM592-MAYO!AM587</f>
        <v>933120331</v>
      </c>
      <c r="AM592" s="114">
        <v>5340703420</v>
      </c>
      <c r="AN592" s="44">
        <v>0</v>
      </c>
      <c r="AO592" s="114">
        <v>933120331</v>
      </c>
      <c r="AP592" s="114">
        <v>5340703420</v>
      </c>
      <c r="AQ592" s="44">
        <v>0</v>
      </c>
      <c r="AR592" s="114">
        <f>AS592-MAYO!AS587</f>
        <v>933120331</v>
      </c>
      <c r="AS592" s="114">
        <v>5340703420</v>
      </c>
      <c r="AT592" s="111">
        <f t="shared" si="230"/>
        <v>5340703420</v>
      </c>
      <c r="AU592" s="18">
        <f t="shared" ref="AU592:AU597" si="238">AJ592-AM592</f>
        <v>8974655103.2000008</v>
      </c>
      <c r="AV592" s="34">
        <f t="shared" ref="AV592:AV597" si="239">AM592-AP592</f>
        <v>0</v>
      </c>
      <c r="AW592" s="34">
        <f t="shared" ref="AW592:AW597" si="240">AP592-AT592</f>
        <v>0</v>
      </c>
      <c r="AX592" s="123">
        <f t="shared" ref="AX592:AX597" si="241">AP592/AJ592</f>
        <v>0.37307507257639816</v>
      </c>
    </row>
    <row r="593" spans="1:50" ht="18.75" customHeight="1" x14ac:dyDescent="0.2">
      <c r="A593" s="4" t="s">
        <v>55</v>
      </c>
      <c r="B593" s="4" t="s">
        <v>56</v>
      </c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1" t="s">
        <v>489</v>
      </c>
      <c r="AB593" s="42" t="s">
        <v>490</v>
      </c>
      <c r="AC593" s="43" t="s">
        <v>368</v>
      </c>
      <c r="AD593" s="43">
        <v>28000000.199999999</v>
      </c>
      <c r="AE593" s="44">
        <v>0</v>
      </c>
      <c r="AF593" s="44">
        <v>0</v>
      </c>
      <c r="AG593" s="44">
        <v>0</v>
      </c>
      <c r="AH593" s="44">
        <v>0</v>
      </c>
      <c r="AI593" s="43">
        <f>AE593-AF593+AG593-AH593</f>
        <v>0</v>
      </c>
      <c r="AJ593" s="43">
        <f>AD593+AI593</f>
        <v>28000000.199999999</v>
      </c>
      <c r="AK593" s="44">
        <v>0</v>
      </c>
      <c r="AL593" s="114">
        <f>AM593-MAYO!AM588</f>
        <v>2057352</v>
      </c>
      <c r="AM593" s="114">
        <v>11553493</v>
      </c>
      <c r="AN593" s="44">
        <v>0</v>
      </c>
      <c r="AO593" s="114">
        <v>2057352</v>
      </c>
      <c r="AP593" s="114">
        <v>11553493</v>
      </c>
      <c r="AQ593" s="44">
        <v>0</v>
      </c>
      <c r="AR593" s="114">
        <v>2057352</v>
      </c>
      <c r="AS593" s="114">
        <v>11553493</v>
      </c>
      <c r="AT593" s="111">
        <f t="shared" si="230"/>
        <v>11553493</v>
      </c>
      <c r="AU593" s="18">
        <f t="shared" si="238"/>
        <v>16446507.199999999</v>
      </c>
      <c r="AV593" s="34">
        <f t="shared" si="239"/>
        <v>0</v>
      </c>
      <c r="AW593" s="34">
        <f t="shared" si="240"/>
        <v>0</v>
      </c>
      <c r="AX593" s="123">
        <f t="shared" si="241"/>
        <v>0.41262474705268037</v>
      </c>
    </row>
    <row r="594" spans="1:50" ht="18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166" t="s">
        <v>1073</v>
      </c>
      <c r="AB594" s="167" t="s">
        <v>1074</v>
      </c>
      <c r="AC594" s="168"/>
      <c r="AD594" s="44">
        <v>0</v>
      </c>
      <c r="AE594" s="43">
        <v>505000000</v>
      </c>
      <c r="AF594" s="44">
        <v>0</v>
      </c>
      <c r="AG594" s="44">
        <v>0</v>
      </c>
      <c r="AH594" s="44">
        <v>0</v>
      </c>
      <c r="AI594" s="43">
        <f t="shared" ref="AI594:AI597" si="242">AE594-AF594+AG594-AH594</f>
        <v>505000000</v>
      </c>
      <c r="AJ594" s="43">
        <f t="shared" ref="AJ594:AJ597" si="243">AD594+AI594</f>
        <v>505000000</v>
      </c>
      <c r="AK594" s="44">
        <v>0</v>
      </c>
      <c r="AL594" s="115">
        <v>0</v>
      </c>
      <c r="AM594" s="115">
        <v>0</v>
      </c>
      <c r="AN594" s="44">
        <v>0</v>
      </c>
      <c r="AO594" s="114">
        <v>0</v>
      </c>
      <c r="AP594" s="114">
        <v>0</v>
      </c>
      <c r="AQ594" s="44">
        <v>0</v>
      </c>
      <c r="AR594" s="114">
        <v>0</v>
      </c>
      <c r="AS594" s="114"/>
      <c r="AT594" s="111">
        <f t="shared" si="230"/>
        <v>0</v>
      </c>
      <c r="AU594" s="18">
        <f t="shared" si="238"/>
        <v>505000000</v>
      </c>
      <c r="AV594" s="34">
        <f t="shared" si="239"/>
        <v>0</v>
      </c>
      <c r="AW594" s="34">
        <f t="shared" si="240"/>
        <v>0</v>
      </c>
      <c r="AX594" s="123">
        <f t="shared" si="241"/>
        <v>0</v>
      </c>
    </row>
    <row r="595" spans="1:50" ht="18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166" t="s">
        <v>1075</v>
      </c>
      <c r="AB595" s="167" t="s">
        <v>1074</v>
      </c>
      <c r="AC595" s="168"/>
      <c r="AD595" s="44">
        <v>0</v>
      </c>
      <c r="AE595" s="43">
        <v>13000000</v>
      </c>
      <c r="AF595" s="44">
        <v>0</v>
      </c>
      <c r="AG595" s="44">
        <v>0</v>
      </c>
      <c r="AH595" s="44">
        <v>0</v>
      </c>
      <c r="AI595" s="43">
        <f t="shared" si="242"/>
        <v>13000000</v>
      </c>
      <c r="AJ595" s="43">
        <f t="shared" si="243"/>
        <v>13000000</v>
      </c>
      <c r="AK595" s="44">
        <v>0</v>
      </c>
      <c r="AL595" s="115">
        <v>0</v>
      </c>
      <c r="AM595" s="115">
        <v>0</v>
      </c>
      <c r="AN595" s="44">
        <v>0</v>
      </c>
      <c r="AO595" s="115">
        <v>0</v>
      </c>
      <c r="AP595" s="115">
        <v>0</v>
      </c>
      <c r="AQ595" s="44">
        <v>0</v>
      </c>
      <c r="AR595" s="115">
        <v>0</v>
      </c>
      <c r="AS595" s="115">
        <v>0</v>
      </c>
      <c r="AT595" s="135">
        <f t="shared" si="230"/>
        <v>0</v>
      </c>
      <c r="AU595" s="18">
        <f t="shared" si="238"/>
        <v>13000000</v>
      </c>
      <c r="AV595" s="34">
        <f t="shared" si="239"/>
        <v>0</v>
      </c>
      <c r="AW595" s="34">
        <f t="shared" si="240"/>
        <v>0</v>
      </c>
      <c r="AX595" s="123">
        <f t="shared" si="241"/>
        <v>0</v>
      </c>
    </row>
    <row r="596" spans="1:50" ht="18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166" t="s">
        <v>1076</v>
      </c>
      <c r="AB596" s="167" t="s">
        <v>1074</v>
      </c>
      <c r="AC596" s="168"/>
      <c r="AD596" s="44">
        <v>0</v>
      </c>
      <c r="AE596" s="43">
        <v>30358521.859999999</v>
      </c>
      <c r="AF596" s="44">
        <v>0</v>
      </c>
      <c r="AG596" s="44">
        <v>0</v>
      </c>
      <c r="AH596" s="44">
        <v>0</v>
      </c>
      <c r="AI596" s="43">
        <f t="shared" si="242"/>
        <v>30358521.859999999</v>
      </c>
      <c r="AJ596" s="43">
        <f t="shared" si="243"/>
        <v>30358521.859999999</v>
      </c>
      <c r="AK596" s="44">
        <v>0</v>
      </c>
      <c r="AL596" s="115">
        <v>0</v>
      </c>
      <c r="AM596" s="115">
        <v>0</v>
      </c>
      <c r="AN596" s="44">
        <v>0</v>
      </c>
      <c r="AO596" s="115">
        <v>0</v>
      </c>
      <c r="AP596" s="115">
        <v>0</v>
      </c>
      <c r="AQ596" s="44">
        <v>0</v>
      </c>
      <c r="AR596" s="115">
        <v>0</v>
      </c>
      <c r="AS596" s="115">
        <v>0</v>
      </c>
      <c r="AT596" s="135">
        <f t="shared" si="230"/>
        <v>0</v>
      </c>
      <c r="AU596" s="18">
        <f t="shared" si="238"/>
        <v>30358521.859999999</v>
      </c>
      <c r="AV596" s="34">
        <f t="shared" si="239"/>
        <v>0</v>
      </c>
      <c r="AW596" s="34">
        <f t="shared" si="240"/>
        <v>0</v>
      </c>
      <c r="AX596" s="123">
        <f t="shared" si="241"/>
        <v>0</v>
      </c>
    </row>
    <row r="597" spans="1:50" ht="18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166" t="s">
        <v>1077</v>
      </c>
      <c r="AB597" s="167" t="s">
        <v>1074</v>
      </c>
      <c r="AC597" s="168"/>
      <c r="AD597" s="44">
        <v>0</v>
      </c>
      <c r="AE597" s="43">
        <v>4485910634</v>
      </c>
      <c r="AF597" s="44">
        <v>0</v>
      </c>
      <c r="AG597" s="44">
        <v>0</v>
      </c>
      <c r="AH597" s="43">
        <v>1886000000</v>
      </c>
      <c r="AI597" s="43">
        <f t="shared" si="242"/>
        <v>2599910634</v>
      </c>
      <c r="AJ597" s="43">
        <f t="shared" si="243"/>
        <v>2599910634</v>
      </c>
      <c r="AK597" s="44">
        <v>0</v>
      </c>
      <c r="AL597" s="115">
        <v>0</v>
      </c>
      <c r="AM597" s="115">
        <v>0</v>
      </c>
      <c r="AN597" s="44">
        <v>0</v>
      </c>
      <c r="AO597" s="115">
        <v>0</v>
      </c>
      <c r="AP597" s="115">
        <v>0</v>
      </c>
      <c r="AQ597" s="44">
        <v>0</v>
      </c>
      <c r="AR597" s="115">
        <v>0</v>
      </c>
      <c r="AS597" s="115">
        <v>0</v>
      </c>
      <c r="AT597" s="135">
        <f t="shared" si="230"/>
        <v>0</v>
      </c>
      <c r="AU597" s="18">
        <f t="shared" si="238"/>
        <v>2599910634</v>
      </c>
      <c r="AV597" s="34">
        <f t="shared" si="239"/>
        <v>0</v>
      </c>
      <c r="AW597" s="34">
        <f t="shared" si="240"/>
        <v>0</v>
      </c>
      <c r="AX597" s="123">
        <f t="shared" si="241"/>
        <v>0</v>
      </c>
    </row>
    <row r="598" spans="1:50" ht="25.5" x14ac:dyDescent="0.2">
      <c r="AA598" s="162"/>
      <c r="AB598" s="163" t="s">
        <v>195</v>
      </c>
      <c r="AC598" s="17"/>
      <c r="AD598" s="18"/>
      <c r="AE598" s="34"/>
      <c r="AF598" s="34"/>
      <c r="AG598" s="34"/>
      <c r="AH598" s="34"/>
      <c r="AI598" s="34"/>
      <c r="AJ598" s="18"/>
      <c r="AK598" s="34"/>
      <c r="AL598" s="18"/>
      <c r="AM598" s="18"/>
      <c r="AN598" s="34"/>
      <c r="AO598" s="18"/>
      <c r="AP598" s="18"/>
      <c r="AQ598" s="18"/>
      <c r="AR598" s="18"/>
      <c r="AS598" s="18"/>
      <c r="AT598" s="30"/>
      <c r="AU598" s="18"/>
      <c r="AV598" s="18"/>
      <c r="AW598" s="18"/>
      <c r="AX598" s="18"/>
    </row>
    <row r="599" spans="1:50" ht="18.75" customHeight="1" x14ac:dyDescent="0.2">
      <c r="AA599" s="28" t="s">
        <v>288</v>
      </c>
      <c r="AB599" s="29" t="s">
        <v>487</v>
      </c>
      <c r="AC599" s="17"/>
      <c r="AD599" s="18"/>
      <c r="AE599" s="34"/>
      <c r="AF599" s="34"/>
      <c r="AG599" s="34"/>
      <c r="AH599" s="34"/>
      <c r="AI599" s="34"/>
      <c r="AJ599" s="18"/>
      <c r="AK599" s="34"/>
      <c r="AL599" s="18"/>
      <c r="AM599" s="18"/>
      <c r="AN599" s="34"/>
      <c r="AO599" s="18"/>
      <c r="AP599" s="18"/>
      <c r="AQ599" s="18"/>
      <c r="AR599" s="18"/>
      <c r="AS599" s="18"/>
      <c r="AT599" s="30"/>
      <c r="AU599" s="18"/>
      <c r="AV599" s="18"/>
      <c r="AW599" s="18"/>
      <c r="AX599" s="18"/>
    </row>
    <row r="600" spans="1:50" ht="18.75" customHeight="1" x14ac:dyDescent="0.2">
      <c r="A600" s="4" t="s">
        <v>55</v>
      </c>
      <c r="B600" s="4" t="s">
        <v>56</v>
      </c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1" t="s">
        <v>491</v>
      </c>
      <c r="AB600" s="42" t="s">
        <v>490</v>
      </c>
      <c r="AC600" s="43" t="s">
        <v>368</v>
      </c>
      <c r="AD600" s="43">
        <v>192000000</v>
      </c>
      <c r="AE600" s="44">
        <v>0</v>
      </c>
      <c r="AF600" s="44">
        <v>0</v>
      </c>
      <c r="AG600" s="44">
        <v>0</v>
      </c>
      <c r="AH600" s="44">
        <v>0</v>
      </c>
      <c r="AI600" s="44">
        <v>0</v>
      </c>
      <c r="AJ600" s="43">
        <v>192000000</v>
      </c>
      <c r="AK600" s="44">
        <v>0</v>
      </c>
      <c r="AL600" s="44">
        <v>0</v>
      </c>
      <c r="AM600" s="43">
        <v>166971871</v>
      </c>
      <c r="AN600" s="44">
        <v>0</v>
      </c>
      <c r="AO600" s="44">
        <v>0</v>
      </c>
      <c r="AP600" s="43">
        <v>166971871</v>
      </c>
      <c r="AQ600" s="44">
        <v>0</v>
      </c>
      <c r="AR600" s="43">
        <v>15179261</v>
      </c>
      <c r="AS600" s="43">
        <v>60211069</v>
      </c>
      <c r="AT600" s="39">
        <f>AQ600+AS600</f>
        <v>60211069</v>
      </c>
      <c r="AU600" s="18">
        <f>AJ600-AM600</f>
        <v>25028129</v>
      </c>
      <c r="AV600" s="34">
        <f>AM600-AP600</f>
        <v>0</v>
      </c>
      <c r="AW600" s="18">
        <f>AP600-AT600</f>
        <v>106760802</v>
      </c>
      <c r="AX600" s="123">
        <f>AP600/AJ600</f>
        <v>0.86964516145833337</v>
      </c>
    </row>
    <row r="601" spans="1:50" ht="25.5" x14ac:dyDescent="0.2">
      <c r="AA601" s="16"/>
      <c r="AB601" s="29" t="s">
        <v>197</v>
      </c>
      <c r="AC601" s="17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34"/>
      <c r="AO601" s="34"/>
      <c r="AP601" s="18"/>
      <c r="AQ601" s="34"/>
      <c r="AR601" s="34"/>
      <c r="AS601" s="34"/>
      <c r="AT601" s="40"/>
      <c r="AU601" s="18"/>
      <c r="AV601" s="18"/>
      <c r="AW601" s="18"/>
      <c r="AX601" s="18"/>
    </row>
    <row r="602" spans="1:50" ht="17.25" customHeight="1" x14ac:dyDescent="0.2">
      <c r="AA602" s="170" t="s">
        <v>288</v>
      </c>
      <c r="AB602" s="165" t="s">
        <v>1048</v>
      </c>
      <c r="AC602" s="161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34"/>
      <c r="AO602" s="34"/>
      <c r="AP602" s="18"/>
      <c r="AQ602" s="34"/>
      <c r="AR602" s="34"/>
      <c r="AS602" s="34"/>
      <c r="AT602" s="40"/>
      <c r="AU602" s="18"/>
      <c r="AV602" s="18"/>
      <c r="AW602" s="18"/>
      <c r="AX602" s="18"/>
    </row>
    <row r="603" spans="1:50" ht="16.5" customHeight="1" x14ac:dyDescent="0.2">
      <c r="AA603" s="166" t="s">
        <v>1049</v>
      </c>
      <c r="AB603" s="167" t="s">
        <v>1015</v>
      </c>
      <c r="AC603" s="161"/>
      <c r="AD603" s="34">
        <v>0</v>
      </c>
      <c r="AE603" s="18">
        <v>40000000</v>
      </c>
      <c r="AF603" s="34">
        <v>0</v>
      </c>
      <c r="AG603" s="34">
        <v>0</v>
      </c>
      <c r="AH603" s="18">
        <v>40000000</v>
      </c>
      <c r="AI603" s="43">
        <f>AE603-AF603+AG603-AH603</f>
        <v>0</v>
      </c>
      <c r="AJ603" s="43">
        <f>AD603+AI603</f>
        <v>0</v>
      </c>
      <c r="AK603" s="34">
        <v>0</v>
      </c>
      <c r="AL603" s="34">
        <v>0</v>
      </c>
      <c r="AM603" s="34">
        <v>0</v>
      </c>
      <c r="AN603" s="34">
        <v>0</v>
      </c>
      <c r="AO603" s="34">
        <v>0</v>
      </c>
      <c r="AP603" s="18">
        <v>0</v>
      </c>
      <c r="AQ603" s="34">
        <v>0</v>
      </c>
      <c r="AR603" s="34">
        <v>0</v>
      </c>
      <c r="AS603" s="34">
        <v>0</v>
      </c>
      <c r="AT603" s="135">
        <f t="shared" ref="AT603" si="244">AQ603+AS603</f>
        <v>0</v>
      </c>
      <c r="AU603" s="34">
        <f>AJ603-AM603</f>
        <v>0</v>
      </c>
      <c r="AV603" s="34">
        <f>AM603-AP603</f>
        <v>0</v>
      </c>
      <c r="AW603" s="34">
        <f>AP603-AT603</f>
        <v>0</v>
      </c>
      <c r="AX603" s="123">
        <v>0</v>
      </c>
    </row>
    <row r="604" spans="1:50" ht="18.75" customHeight="1" x14ac:dyDescent="0.2">
      <c r="AA604" s="162"/>
      <c r="AB604" s="163" t="s">
        <v>492</v>
      </c>
      <c r="AC604" s="17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34"/>
      <c r="AO604" s="34"/>
      <c r="AP604" s="18"/>
      <c r="AQ604" s="34"/>
      <c r="AR604" s="34"/>
      <c r="AS604" s="34"/>
      <c r="AT604" s="40"/>
      <c r="AU604" s="18"/>
      <c r="AV604" s="18"/>
      <c r="AW604" s="18"/>
      <c r="AX604" s="18"/>
    </row>
    <row r="605" spans="1:50" ht="18.75" customHeight="1" x14ac:dyDescent="0.2">
      <c r="A605" s="4" t="s">
        <v>55</v>
      </c>
      <c r="B605" s="4" t="s">
        <v>56</v>
      </c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1" t="s">
        <v>493</v>
      </c>
      <c r="AB605" s="42" t="s">
        <v>233</v>
      </c>
      <c r="AC605" s="43" t="s">
        <v>58</v>
      </c>
      <c r="AD605" s="44">
        <v>0</v>
      </c>
      <c r="AE605" s="44">
        <v>0</v>
      </c>
      <c r="AF605" s="44">
        <v>0</v>
      </c>
      <c r="AG605" s="43">
        <v>503000000</v>
      </c>
      <c r="AH605" s="43">
        <v>21088294</v>
      </c>
      <c r="AI605" s="43">
        <f>AE605-AF605+AG605-AH605</f>
        <v>481911706</v>
      </c>
      <c r="AJ605" s="43">
        <f>AD605+AI605</f>
        <v>481911706</v>
      </c>
      <c r="AK605" s="44">
        <v>0</v>
      </c>
      <c r="AL605" s="44">
        <v>0</v>
      </c>
      <c r="AM605" s="43">
        <v>481911706</v>
      </c>
      <c r="AN605" s="44">
        <v>0</v>
      </c>
      <c r="AO605" s="44">
        <v>0</v>
      </c>
      <c r="AP605" s="43">
        <v>481911706</v>
      </c>
      <c r="AQ605" s="44">
        <v>0</v>
      </c>
      <c r="AR605" s="43">
        <v>99479442.299999997</v>
      </c>
      <c r="AS605" s="43">
        <v>99479442.299999997</v>
      </c>
      <c r="AT605" s="39">
        <f>AQ605+AS605</f>
        <v>99479442.299999997</v>
      </c>
      <c r="AU605" s="34">
        <f>AJ605-AM605</f>
        <v>0</v>
      </c>
      <c r="AV605" s="34">
        <f>AM605-AP605</f>
        <v>0</v>
      </c>
      <c r="AW605" s="18">
        <f>AP605-AT605</f>
        <v>382432263.69999999</v>
      </c>
      <c r="AX605" s="123">
        <f>AP605/AJ605</f>
        <v>1</v>
      </c>
    </row>
    <row r="606" spans="1:50" ht="18.75" customHeight="1" x14ac:dyDescent="0.2">
      <c r="AA606" s="28" t="s">
        <v>288</v>
      </c>
      <c r="AB606" s="29" t="s">
        <v>494</v>
      </c>
      <c r="AC606" s="17"/>
      <c r="AD606" s="18"/>
      <c r="AE606" s="34"/>
      <c r="AF606" s="34"/>
      <c r="AG606" s="18"/>
      <c r="AH606" s="34"/>
      <c r="AI606" s="18"/>
      <c r="AJ606" s="18"/>
      <c r="AK606" s="34"/>
      <c r="AL606" s="34"/>
      <c r="AM606" s="18"/>
      <c r="AN606" s="34"/>
      <c r="AO606" s="18"/>
      <c r="AP606" s="18"/>
      <c r="AQ606" s="34"/>
      <c r="AR606" s="34"/>
      <c r="AS606" s="34"/>
      <c r="AT606" s="40"/>
      <c r="AU606" s="34"/>
      <c r="AV606" s="34"/>
      <c r="AW606" s="18"/>
      <c r="AX606" s="18"/>
    </row>
    <row r="607" spans="1:50" ht="18.75" customHeight="1" x14ac:dyDescent="0.2">
      <c r="A607" s="4" t="s">
        <v>55</v>
      </c>
      <c r="B607" s="4" t="s">
        <v>56</v>
      </c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1" t="s">
        <v>495</v>
      </c>
      <c r="AB607" s="42" t="s">
        <v>233</v>
      </c>
      <c r="AC607" s="43" t="s">
        <v>58</v>
      </c>
      <c r="AD607" s="43">
        <v>100000000</v>
      </c>
      <c r="AE607" s="44">
        <v>0</v>
      </c>
      <c r="AF607" s="44">
        <v>0</v>
      </c>
      <c r="AG607" s="44">
        <v>0</v>
      </c>
      <c r="AH607" s="43">
        <v>30591703</v>
      </c>
      <c r="AI607" s="44">
        <f>AE607-AF607+AG607-AH607</f>
        <v>-30591703</v>
      </c>
      <c r="AJ607" s="43">
        <f>AD607+AI607</f>
        <v>69408297</v>
      </c>
      <c r="AK607" s="44">
        <v>0</v>
      </c>
      <c r="AL607" s="44">
        <v>0</v>
      </c>
      <c r="AM607" s="43">
        <v>69408297</v>
      </c>
      <c r="AN607" s="44">
        <v>0</v>
      </c>
      <c r="AO607" s="44">
        <v>0</v>
      </c>
      <c r="AP607" s="43">
        <v>69408297</v>
      </c>
      <c r="AQ607" s="43">
        <v>7344144.5</v>
      </c>
      <c r="AR607" s="44">
        <v>0</v>
      </c>
      <c r="AS607" s="43">
        <v>62064152.5</v>
      </c>
      <c r="AT607" s="39">
        <f>AQ607+AS607</f>
        <v>69408297</v>
      </c>
      <c r="AU607" s="34">
        <f>AJ607-AM607</f>
        <v>0</v>
      </c>
      <c r="AV607" s="34">
        <f>AM607-AP607</f>
        <v>0</v>
      </c>
      <c r="AW607" s="34">
        <f>AP607-AT607</f>
        <v>0</v>
      </c>
      <c r="AX607" s="123">
        <f>AP607/AJ607</f>
        <v>1</v>
      </c>
    </row>
    <row r="608" spans="1:50" ht="18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1" t="s">
        <v>976</v>
      </c>
      <c r="AB608" s="42" t="s">
        <v>449</v>
      </c>
      <c r="AC608" s="43"/>
      <c r="AD608" s="43">
        <v>0</v>
      </c>
      <c r="AE608" s="44">
        <v>0</v>
      </c>
      <c r="AF608" s="44">
        <v>0</v>
      </c>
      <c r="AG608" s="43">
        <v>1200000000</v>
      </c>
      <c r="AH608" s="44"/>
      <c r="AI608" s="43">
        <f>AE608-AF608+AG608-AH608</f>
        <v>1200000000</v>
      </c>
      <c r="AJ608" s="43">
        <f>AD608+AI608</f>
        <v>1200000000</v>
      </c>
      <c r="AK608" s="44">
        <v>0</v>
      </c>
      <c r="AL608" s="44">
        <v>0</v>
      </c>
      <c r="AM608" s="43">
        <v>1114130436</v>
      </c>
      <c r="AN608" s="44">
        <v>0</v>
      </c>
      <c r="AO608" s="44">
        <v>0</v>
      </c>
      <c r="AP608" s="43">
        <v>0</v>
      </c>
      <c r="AQ608" s="44">
        <v>0</v>
      </c>
      <c r="AR608" s="44">
        <v>0</v>
      </c>
      <c r="AS608" s="44">
        <v>0</v>
      </c>
      <c r="AT608" s="40">
        <f>AQ608+AS608</f>
        <v>0</v>
      </c>
      <c r="AU608" s="18">
        <f>AJ608-AM608</f>
        <v>85869564</v>
      </c>
      <c r="AV608" s="18">
        <f>AM608-AP608</f>
        <v>1114130436</v>
      </c>
      <c r="AW608" s="34">
        <f>AP608-AT608</f>
        <v>0</v>
      </c>
      <c r="AX608" s="123">
        <f>AP608/AJ608</f>
        <v>0</v>
      </c>
    </row>
    <row r="609" spans="1:50" ht="18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1" t="s">
        <v>288</v>
      </c>
      <c r="AB609" s="74" t="s">
        <v>463</v>
      </c>
      <c r="AC609" s="43"/>
      <c r="AD609" s="43"/>
      <c r="AE609" s="44"/>
      <c r="AF609" s="44"/>
      <c r="AG609" s="43"/>
      <c r="AH609" s="44"/>
      <c r="AI609" s="43"/>
      <c r="AJ609" s="43"/>
      <c r="AK609" s="44"/>
      <c r="AL609" s="44"/>
      <c r="AM609" s="43"/>
      <c r="AN609" s="44"/>
      <c r="AO609" s="44"/>
      <c r="AP609" s="43"/>
      <c r="AQ609" s="44"/>
      <c r="AR609" s="44"/>
      <c r="AS609" s="44"/>
      <c r="AT609" s="40"/>
      <c r="AU609" s="43"/>
      <c r="AV609" s="43"/>
      <c r="AW609" s="43"/>
      <c r="AX609" s="32"/>
    </row>
    <row r="610" spans="1:50" ht="18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139" t="s">
        <v>909</v>
      </c>
      <c r="AB610" s="42" t="s">
        <v>233</v>
      </c>
      <c r="AC610" s="43"/>
      <c r="AD610" s="44">
        <v>0</v>
      </c>
      <c r="AE610" s="44">
        <v>0</v>
      </c>
      <c r="AF610" s="44">
        <v>0</v>
      </c>
      <c r="AG610" s="43">
        <v>1556000000</v>
      </c>
      <c r="AH610" s="44">
        <v>0</v>
      </c>
      <c r="AI610" s="43">
        <f>AE610-AF610+AG610-AH610</f>
        <v>1556000000</v>
      </c>
      <c r="AJ610" s="43">
        <f>AD610+AI610</f>
        <v>1556000000</v>
      </c>
      <c r="AK610" s="44">
        <v>0</v>
      </c>
      <c r="AL610" s="44">
        <v>0</v>
      </c>
      <c r="AM610" s="43">
        <v>1555449996</v>
      </c>
      <c r="AN610" s="44">
        <v>0</v>
      </c>
      <c r="AO610" s="44">
        <v>0</v>
      </c>
      <c r="AP610" s="43">
        <v>1555449996</v>
      </c>
      <c r="AQ610" s="44">
        <v>0</v>
      </c>
      <c r="AR610" s="44">
        <f>AS610-MAYO!AS605</f>
        <v>0</v>
      </c>
      <c r="AS610" s="43">
        <v>1555449996</v>
      </c>
      <c r="AT610" s="39">
        <f>AQ610+AS610</f>
        <v>1555449996</v>
      </c>
      <c r="AU610" s="18">
        <f>AJ610-AM610</f>
        <v>550004</v>
      </c>
      <c r="AV610" s="34">
        <f>AM610-AP610</f>
        <v>0</v>
      </c>
      <c r="AW610" s="34">
        <f>AP610-AT610</f>
        <v>0</v>
      </c>
      <c r="AX610" s="123">
        <f>AP610/AJ610</f>
        <v>0.99964652699228795</v>
      </c>
    </row>
    <row r="611" spans="1:50" ht="26.2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170" t="s">
        <v>288</v>
      </c>
      <c r="AB611" s="165" t="s">
        <v>1050</v>
      </c>
      <c r="AC611" s="168"/>
      <c r="AD611" s="44"/>
      <c r="AE611" s="44"/>
      <c r="AF611" s="44"/>
      <c r="AG611" s="43"/>
      <c r="AH611" s="44"/>
      <c r="AI611" s="43"/>
      <c r="AJ611" s="43"/>
      <c r="AK611" s="44"/>
      <c r="AL611" s="44"/>
      <c r="AM611" s="43"/>
      <c r="AN611" s="44"/>
      <c r="AO611" s="44"/>
      <c r="AP611" s="43"/>
      <c r="AQ611" s="44"/>
      <c r="AR611" s="44"/>
      <c r="AS611" s="43"/>
      <c r="AT611" s="39"/>
      <c r="AU611" s="18"/>
      <c r="AV611" s="34"/>
      <c r="AW611" s="34"/>
      <c r="AX611" s="123"/>
    </row>
    <row r="612" spans="1:50" ht="18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166" t="s">
        <v>1051</v>
      </c>
      <c r="AB612" s="167" t="s">
        <v>1015</v>
      </c>
      <c r="AC612" s="168"/>
      <c r="AD612" s="44">
        <v>0</v>
      </c>
      <c r="AE612" s="43">
        <v>40000000</v>
      </c>
      <c r="AF612" s="44">
        <v>0</v>
      </c>
      <c r="AG612" s="44">
        <v>0</v>
      </c>
      <c r="AH612" s="43">
        <v>40000000</v>
      </c>
      <c r="AI612" s="44">
        <f>AE612-AF612+AG612-AH612</f>
        <v>0</v>
      </c>
      <c r="AJ612" s="44">
        <f>AD612+AI612</f>
        <v>0</v>
      </c>
      <c r="AK612" s="44">
        <v>0</v>
      </c>
      <c r="AL612" s="44">
        <v>0</v>
      </c>
      <c r="AM612" s="43">
        <v>0</v>
      </c>
      <c r="AN612" s="44">
        <v>0</v>
      </c>
      <c r="AO612" s="44">
        <v>0</v>
      </c>
      <c r="AP612" s="43">
        <v>0</v>
      </c>
      <c r="AQ612" s="44">
        <v>0</v>
      </c>
      <c r="AR612" s="44">
        <v>0</v>
      </c>
      <c r="AS612" s="44">
        <v>0</v>
      </c>
      <c r="AT612" s="135">
        <f t="shared" ref="AT612" si="245">AQ612+AS612</f>
        <v>0</v>
      </c>
      <c r="AU612" s="34">
        <f>AJ612-AM612</f>
        <v>0</v>
      </c>
      <c r="AV612" s="34">
        <f>AM612-AP612</f>
        <v>0</v>
      </c>
      <c r="AW612" s="34">
        <f>AP612-AT612</f>
        <v>0</v>
      </c>
      <c r="AX612" s="123">
        <v>0</v>
      </c>
    </row>
    <row r="613" spans="1:50" ht="18.75" customHeight="1" x14ac:dyDescent="0.2">
      <c r="AA613" s="169" t="s">
        <v>288</v>
      </c>
      <c r="AB613" s="163" t="s">
        <v>496</v>
      </c>
      <c r="AC613" s="17"/>
      <c r="AD613" s="34"/>
      <c r="AE613" s="34"/>
      <c r="AF613" s="34"/>
      <c r="AG613" s="18"/>
      <c r="AH613" s="34"/>
      <c r="AI613" s="18"/>
      <c r="AJ613" s="18"/>
      <c r="AK613" s="18"/>
      <c r="AL613" s="18"/>
      <c r="AM613" s="18"/>
      <c r="AN613" s="18"/>
      <c r="AO613" s="18"/>
      <c r="AP613" s="18"/>
      <c r="AQ613" s="34"/>
      <c r="AR613" s="34"/>
      <c r="AS613" s="34"/>
      <c r="AT613" s="40"/>
      <c r="AU613" s="18"/>
      <c r="AV613" s="18"/>
      <c r="AW613" s="18"/>
      <c r="AX613" s="18"/>
    </row>
    <row r="614" spans="1:50" ht="18.75" customHeight="1" x14ac:dyDescent="0.2">
      <c r="A614" s="4" t="s">
        <v>55</v>
      </c>
      <c r="B614" s="4" t="s">
        <v>56</v>
      </c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1" t="s">
        <v>497</v>
      </c>
      <c r="AB614" s="42" t="s">
        <v>233</v>
      </c>
      <c r="AC614" s="43" t="s">
        <v>58</v>
      </c>
      <c r="AD614" s="44">
        <v>0</v>
      </c>
      <c r="AE614" s="44">
        <v>0</v>
      </c>
      <c r="AF614" s="44">
        <v>0</v>
      </c>
      <c r="AG614" s="43">
        <f>91680424+36720621</f>
        <v>128401045</v>
      </c>
      <c r="AH614" s="43">
        <v>11419181</v>
      </c>
      <c r="AI614" s="43">
        <f>AE614-AF614+AG614-AH614</f>
        <v>116981864</v>
      </c>
      <c r="AJ614" s="43">
        <f>AD614+AI614</f>
        <v>116981864</v>
      </c>
      <c r="AK614" s="44">
        <v>0</v>
      </c>
      <c r="AL614" s="115">
        <v>0</v>
      </c>
      <c r="AM614" s="114">
        <v>116981864</v>
      </c>
      <c r="AN614" s="44">
        <v>0</v>
      </c>
      <c r="AO614" s="44">
        <v>0</v>
      </c>
      <c r="AP614" s="114">
        <v>116981864</v>
      </c>
      <c r="AQ614" s="44">
        <v>0</v>
      </c>
      <c r="AR614" s="43">
        <v>36720621</v>
      </c>
      <c r="AS614" s="114">
        <v>116981864</v>
      </c>
      <c r="AT614" s="39">
        <f>AQ614+AS614</f>
        <v>116981864</v>
      </c>
      <c r="AU614" s="34">
        <f>AJ614-AM614</f>
        <v>0</v>
      </c>
      <c r="AV614" s="34">
        <f>AM614-AP614</f>
        <v>0</v>
      </c>
      <c r="AW614" s="34">
        <f>AP614-AT614</f>
        <v>0</v>
      </c>
      <c r="AX614" s="123">
        <f>AP614/AJ614</f>
        <v>1</v>
      </c>
    </row>
    <row r="615" spans="1:50" ht="18.75" customHeight="1" x14ac:dyDescent="0.2">
      <c r="AA615" s="28" t="s">
        <v>288</v>
      </c>
      <c r="AB615" s="29" t="s">
        <v>498</v>
      </c>
      <c r="AC615" s="17"/>
      <c r="AD615" s="18"/>
      <c r="AE615" s="34"/>
      <c r="AF615" s="34"/>
      <c r="AG615" s="18"/>
      <c r="AH615" s="18"/>
      <c r="AI615" s="18"/>
      <c r="AJ615" s="18"/>
      <c r="AK615" s="34"/>
      <c r="AL615" s="34"/>
      <c r="AM615" s="34"/>
      <c r="AN615" s="34"/>
      <c r="AO615" s="34"/>
      <c r="AP615" s="34"/>
      <c r="AQ615" s="34"/>
      <c r="AR615" s="34"/>
      <c r="AS615" s="34"/>
      <c r="AT615" s="40"/>
      <c r="AU615" s="18"/>
      <c r="AV615" s="18"/>
      <c r="AW615" s="18"/>
      <c r="AX615" s="18"/>
    </row>
    <row r="616" spans="1:50" ht="18.75" customHeight="1" x14ac:dyDescent="0.2">
      <c r="A616" s="4" t="s">
        <v>55</v>
      </c>
      <c r="B616" s="4" t="s">
        <v>56</v>
      </c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1" t="s">
        <v>499</v>
      </c>
      <c r="AB616" s="42" t="s">
        <v>233</v>
      </c>
      <c r="AC616" s="43" t="s">
        <v>58</v>
      </c>
      <c r="AD616" s="43">
        <v>5000000000</v>
      </c>
      <c r="AE616" s="44">
        <v>0</v>
      </c>
      <c r="AF616" s="44">
        <v>0</v>
      </c>
      <c r="AG616" s="44">
        <v>0</v>
      </c>
      <c r="AH616" s="43">
        <f>2332895811.15+800401381+119719609</f>
        <v>3253016801.1500001</v>
      </c>
      <c r="AI616" s="43">
        <f>AE616-AF616+AG616-AH616</f>
        <v>-3253016801.1500001</v>
      </c>
      <c r="AJ616" s="269">
        <f>AD616+AI616</f>
        <v>1746983198.8499999</v>
      </c>
      <c r="AK616" s="44">
        <v>0</v>
      </c>
      <c r="AL616" s="115">
        <v>0</v>
      </c>
      <c r="AM616" s="114">
        <v>1746983198.74</v>
      </c>
      <c r="AN616" s="44">
        <v>0</v>
      </c>
      <c r="AO616" s="44">
        <v>0</v>
      </c>
      <c r="AP616" s="44">
        <v>1434700926</v>
      </c>
      <c r="AQ616" s="44">
        <v>0</v>
      </c>
      <c r="AR616" s="43">
        <f>AS616-MAYO!AS611</f>
        <v>358675231.5</v>
      </c>
      <c r="AS616" s="43">
        <v>1076025694.5</v>
      </c>
      <c r="AT616" s="39">
        <f>AQ616+AS616</f>
        <v>1076025694.5</v>
      </c>
      <c r="AU616" s="18">
        <f>AJ616-AM616</f>
        <v>0.1099998950958252</v>
      </c>
      <c r="AV616" s="18">
        <f>AM616-AP616</f>
        <v>312282272.74000001</v>
      </c>
      <c r="AW616" s="18">
        <f>AP616-AT616</f>
        <v>358675231.5</v>
      </c>
      <c r="AX616" s="123">
        <f>AP616/AJ616</f>
        <v>0.82124483334724208</v>
      </c>
    </row>
    <row r="617" spans="1:50" ht="18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166" t="s">
        <v>1052</v>
      </c>
      <c r="AB617" s="167" t="s">
        <v>1015</v>
      </c>
      <c r="AC617" s="168"/>
      <c r="AD617" s="44">
        <v>0</v>
      </c>
      <c r="AE617" s="43">
        <v>3500000000</v>
      </c>
      <c r="AF617" s="44"/>
      <c r="AG617" s="44"/>
      <c r="AH617" s="43">
        <v>769916142.32000005</v>
      </c>
      <c r="AI617" s="43">
        <f>AE617-AF617+AG617-AH617</f>
        <v>2730083857.6799998</v>
      </c>
      <c r="AJ617" s="142">
        <f>AD617+AI617</f>
        <v>2730083857.6799998</v>
      </c>
      <c r="AK617" s="44">
        <v>0</v>
      </c>
      <c r="AL617" s="115">
        <v>0</v>
      </c>
      <c r="AM617" s="115">
        <v>0</v>
      </c>
      <c r="AN617" s="44">
        <v>0</v>
      </c>
      <c r="AO617" s="44">
        <v>0</v>
      </c>
      <c r="AP617" s="44">
        <v>0</v>
      </c>
      <c r="AQ617" s="44">
        <v>0</v>
      </c>
      <c r="AR617" s="44">
        <v>0</v>
      </c>
      <c r="AS617" s="44">
        <v>0</v>
      </c>
      <c r="AT617" s="135">
        <f t="shared" ref="AT617:AT618" si="246">AQ617+AS617</f>
        <v>0</v>
      </c>
      <c r="AU617" s="18">
        <f>AJ617-AM617</f>
        <v>2730083857.6799998</v>
      </c>
      <c r="AV617" s="34">
        <f>AM617-AP617</f>
        <v>0</v>
      </c>
      <c r="AW617" s="34">
        <f>AP617-AT617</f>
        <v>0</v>
      </c>
      <c r="AX617" s="123">
        <f>AP617/AJ617</f>
        <v>0</v>
      </c>
    </row>
    <row r="618" spans="1:50" ht="24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229" t="s">
        <v>1224</v>
      </c>
      <c r="AB618" s="230" t="s">
        <v>1055</v>
      </c>
      <c r="AC618" s="168"/>
      <c r="AD618" s="44">
        <v>0</v>
      </c>
      <c r="AE618" s="44">
        <v>0</v>
      </c>
      <c r="AF618" s="44">
        <v>0</v>
      </c>
      <c r="AG618" s="43">
        <v>769916142.32000005</v>
      </c>
      <c r="AH618" s="44">
        <v>0</v>
      </c>
      <c r="AI618" s="43">
        <f>AE618-AF618+AG618-AH618</f>
        <v>769916142.32000005</v>
      </c>
      <c r="AJ618" s="142">
        <f>AD618+AI618</f>
        <v>769916142.32000005</v>
      </c>
      <c r="AK618" s="44">
        <v>0</v>
      </c>
      <c r="AL618" s="115">
        <v>0</v>
      </c>
      <c r="AM618" s="115">
        <v>0</v>
      </c>
      <c r="AN618" s="44">
        <v>0</v>
      </c>
      <c r="AO618" s="44">
        <v>0</v>
      </c>
      <c r="AP618" s="44">
        <v>0</v>
      </c>
      <c r="AQ618" s="44">
        <v>0</v>
      </c>
      <c r="AR618" s="44">
        <v>0</v>
      </c>
      <c r="AS618" s="44">
        <v>0</v>
      </c>
      <c r="AT618" s="135">
        <f t="shared" si="246"/>
        <v>0</v>
      </c>
      <c r="AU618" s="18">
        <f>AJ618-AM618</f>
        <v>769916142.32000005</v>
      </c>
      <c r="AV618" s="34">
        <f>AM618-AP618</f>
        <v>0</v>
      </c>
      <c r="AW618" s="34">
        <f>AP618-AT618</f>
        <v>0</v>
      </c>
      <c r="AX618" s="123">
        <f>AP618/AJ618</f>
        <v>0</v>
      </c>
    </row>
    <row r="619" spans="1:50" ht="18.75" customHeight="1" x14ac:dyDescent="0.2">
      <c r="AA619" s="169" t="s">
        <v>288</v>
      </c>
      <c r="AB619" s="163" t="s">
        <v>483</v>
      </c>
      <c r="AC619" s="17"/>
      <c r="AD619" s="18"/>
      <c r="AE619" s="34"/>
      <c r="AF619" s="34"/>
      <c r="AG619" s="18"/>
      <c r="AH619" s="18"/>
      <c r="AI619" s="18"/>
      <c r="AJ619" s="147"/>
      <c r="AK619" s="34"/>
      <c r="AL619" s="34"/>
      <c r="AM619" s="34"/>
      <c r="AN619" s="34"/>
      <c r="AO619" s="34"/>
      <c r="AP619" s="34"/>
      <c r="AQ619" s="34"/>
      <c r="AR619" s="34"/>
      <c r="AS619" s="34"/>
      <c r="AT619" s="40"/>
      <c r="AU619" s="18"/>
      <c r="AV619" s="18"/>
      <c r="AW619" s="18"/>
      <c r="AX619" s="18"/>
    </row>
    <row r="620" spans="1:50" ht="18.75" customHeight="1" x14ac:dyDescent="0.2">
      <c r="A620" s="4" t="s">
        <v>55</v>
      </c>
      <c r="B620" s="4" t="s">
        <v>56</v>
      </c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1" t="s">
        <v>500</v>
      </c>
      <c r="AB620" s="42" t="s">
        <v>233</v>
      </c>
      <c r="AC620" s="43" t="s">
        <v>58</v>
      </c>
      <c r="AD620" s="44">
        <v>0</v>
      </c>
      <c r="AE620" s="44">
        <v>0</v>
      </c>
      <c r="AF620" s="44">
        <v>0</v>
      </c>
      <c r="AG620" s="43">
        <f>36519672</f>
        <v>36519672</v>
      </c>
      <c r="AH620" s="44">
        <v>0</v>
      </c>
      <c r="AI620" s="43">
        <f>AE620-AF620+AG620-AH620</f>
        <v>36519672</v>
      </c>
      <c r="AJ620" s="142">
        <f>AD620+AI620</f>
        <v>36519672</v>
      </c>
      <c r="AK620" s="44">
        <v>0</v>
      </c>
      <c r="AL620" s="44">
        <v>0</v>
      </c>
      <c r="AM620" s="43">
        <v>36519672</v>
      </c>
      <c r="AN620" s="44">
        <v>0</v>
      </c>
      <c r="AO620" s="44">
        <v>0</v>
      </c>
      <c r="AP620" s="43">
        <v>36519672</v>
      </c>
      <c r="AQ620" s="44">
        <v>0</v>
      </c>
      <c r="AR620" s="44">
        <v>0</v>
      </c>
      <c r="AS620" s="44">
        <v>0</v>
      </c>
      <c r="AT620" s="40">
        <f>AQ620+AS620</f>
        <v>0</v>
      </c>
      <c r="AU620" s="18">
        <f>AJ620-AM620</f>
        <v>0</v>
      </c>
      <c r="AV620" s="34">
        <f>AM620-AP620</f>
        <v>0</v>
      </c>
      <c r="AW620" s="18">
        <f>AP620-AT620</f>
        <v>36519672</v>
      </c>
      <c r="AX620" s="123">
        <f>AP620/AJ620</f>
        <v>1</v>
      </c>
    </row>
    <row r="621" spans="1:50" ht="18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73" t="s">
        <v>1249</v>
      </c>
      <c r="AB621" s="74" t="s">
        <v>1265</v>
      </c>
      <c r="AC621" s="43"/>
      <c r="AD621" s="44"/>
      <c r="AE621" s="44"/>
      <c r="AF621" s="44"/>
      <c r="AG621" s="43"/>
      <c r="AH621" s="44"/>
      <c r="AI621" s="43"/>
      <c r="AJ621" s="142"/>
      <c r="AK621" s="44"/>
      <c r="AL621" s="44"/>
      <c r="AM621" s="43"/>
      <c r="AN621" s="44"/>
      <c r="AO621" s="44"/>
      <c r="AP621" s="43"/>
      <c r="AQ621" s="44"/>
      <c r="AR621" s="44"/>
      <c r="AS621" s="44"/>
      <c r="AT621" s="40"/>
      <c r="AU621" s="18"/>
      <c r="AV621" s="34"/>
      <c r="AW621" s="18"/>
      <c r="AX621" s="123"/>
    </row>
    <row r="622" spans="1:50" ht="18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1" t="s">
        <v>1266</v>
      </c>
      <c r="AB622" s="42" t="s">
        <v>1015</v>
      </c>
      <c r="AC622" s="43"/>
      <c r="AD622" s="44">
        <v>0</v>
      </c>
      <c r="AE622" s="44">
        <v>0</v>
      </c>
      <c r="AF622" s="44">
        <v>0</v>
      </c>
      <c r="AG622" s="43">
        <v>22000000</v>
      </c>
      <c r="AH622" s="44"/>
      <c r="AI622" s="43">
        <f>AE622-AF622+AG622-AH622</f>
        <v>22000000</v>
      </c>
      <c r="AJ622" s="142">
        <f>AD622+AI622</f>
        <v>22000000</v>
      </c>
      <c r="AK622" s="44">
        <v>0</v>
      </c>
      <c r="AL622" s="44">
        <v>0</v>
      </c>
      <c r="AM622" s="43">
        <v>0</v>
      </c>
      <c r="AN622" s="44">
        <v>0</v>
      </c>
      <c r="AO622" s="44">
        <v>0</v>
      </c>
      <c r="AP622" s="43">
        <v>0</v>
      </c>
      <c r="AQ622" s="44">
        <v>0</v>
      </c>
      <c r="AR622" s="44">
        <v>0</v>
      </c>
      <c r="AS622" s="44">
        <v>0</v>
      </c>
      <c r="AT622" s="40">
        <f>AQ622+AS622</f>
        <v>0</v>
      </c>
      <c r="AU622" s="18">
        <f>AJ622-AM622</f>
        <v>22000000</v>
      </c>
      <c r="AV622" s="34">
        <f>AM622-AP622</f>
        <v>0</v>
      </c>
      <c r="AW622" s="18">
        <f>AP622-AT622</f>
        <v>0</v>
      </c>
      <c r="AX622" s="123">
        <f>AP622/AJ622</f>
        <v>0</v>
      </c>
    </row>
    <row r="623" spans="1:50" ht="18.75" customHeight="1" x14ac:dyDescent="0.2">
      <c r="AA623" s="28" t="s">
        <v>288</v>
      </c>
      <c r="AB623" s="29" t="s">
        <v>487</v>
      </c>
      <c r="AC623" s="17"/>
      <c r="AD623" s="18"/>
      <c r="AE623" s="34"/>
      <c r="AF623" s="34"/>
      <c r="AG623" s="18"/>
      <c r="AH623" s="18"/>
      <c r="AI623" s="18"/>
      <c r="AJ623" s="147"/>
      <c r="AK623" s="18"/>
      <c r="AL623" s="18"/>
      <c r="AM623" s="18"/>
      <c r="AN623" s="34"/>
      <c r="AO623" s="34"/>
      <c r="AP623" s="18"/>
      <c r="AQ623" s="18"/>
      <c r="AR623" s="18"/>
      <c r="AS623" s="18"/>
      <c r="AT623" s="39"/>
      <c r="AU623" s="18"/>
      <c r="AV623" s="18"/>
      <c r="AW623" s="18"/>
      <c r="AX623" s="18"/>
    </row>
    <row r="624" spans="1:50" ht="18.75" customHeight="1" x14ac:dyDescent="0.2">
      <c r="A624" s="4" t="s">
        <v>55</v>
      </c>
      <c r="B624" s="4" t="s">
        <v>56</v>
      </c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1" t="s">
        <v>501</v>
      </c>
      <c r="AB624" s="42" t="s">
        <v>439</v>
      </c>
      <c r="AC624" s="43" t="s">
        <v>428</v>
      </c>
      <c r="AD624" s="43">
        <v>4549743506</v>
      </c>
      <c r="AE624" s="44">
        <v>0</v>
      </c>
      <c r="AF624" s="44">
        <v>0</v>
      </c>
      <c r="AG624" s="43">
        <v>265538240</v>
      </c>
      <c r="AH624" s="44">
        <v>0</v>
      </c>
      <c r="AI624" s="43">
        <f>AE624-AF624+AG624-AH624</f>
        <v>265538240</v>
      </c>
      <c r="AJ624" s="142">
        <f>AD624+AI624</f>
        <v>4815281746</v>
      </c>
      <c r="AK624" s="44">
        <v>0</v>
      </c>
      <c r="AL624" s="43">
        <f>AM624-MAYO!AM617</f>
        <v>0</v>
      </c>
      <c r="AM624" s="43">
        <v>3998936600.4000001</v>
      </c>
      <c r="AN624" s="44">
        <v>0</v>
      </c>
      <c r="AO624" s="44">
        <v>0</v>
      </c>
      <c r="AP624" s="43">
        <v>1404364186.6300001</v>
      </c>
      <c r="AQ624" s="44">
        <v>0</v>
      </c>
      <c r="AR624" s="44">
        <f>AS624-MAYO!AS617</f>
        <v>0</v>
      </c>
      <c r="AS624" s="43">
        <v>513520487.30000001</v>
      </c>
      <c r="AT624" s="39">
        <f t="shared" si="230"/>
        <v>513520487.30000001</v>
      </c>
      <c r="AU624" s="18">
        <f>AJ624-AM624</f>
        <v>816345145.5999999</v>
      </c>
      <c r="AV624" s="110">
        <f>AM624-AP624</f>
        <v>2594572413.77</v>
      </c>
      <c r="AW624" s="18">
        <f>AP624-AT624</f>
        <v>890843699.33000016</v>
      </c>
      <c r="AX624" s="123">
        <f>AP624/AJ624</f>
        <v>0.2916473553798985</v>
      </c>
    </row>
    <row r="625" spans="1:50" ht="18.75" customHeight="1" x14ac:dyDescent="0.2">
      <c r="A625" s="4" t="s">
        <v>55</v>
      </c>
      <c r="B625" s="4" t="s">
        <v>56</v>
      </c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1" t="s">
        <v>502</v>
      </c>
      <c r="AB625" s="42" t="s">
        <v>490</v>
      </c>
      <c r="AC625" s="43" t="s">
        <v>368</v>
      </c>
      <c r="AD625" s="43">
        <v>104829219</v>
      </c>
      <c r="AE625" s="44">
        <v>0</v>
      </c>
      <c r="AF625" s="44">
        <v>0</v>
      </c>
      <c r="AG625" s="44">
        <v>0</v>
      </c>
      <c r="AH625" s="43">
        <v>53364831</v>
      </c>
      <c r="AI625" s="43">
        <f>AE625-AF625+AG625-AH625</f>
        <v>-53364831</v>
      </c>
      <c r="AJ625" s="142">
        <f>AD625+AI625</f>
        <v>51464388</v>
      </c>
      <c r="AK625" s="44">
        <v>0</v>
      </c>
      <c r="AL625" s="43">
        <f>AM625-MAYO!AM618</f>
        <v>7179442.9400000051</v>
      </c>
      <c r="AM625" s="43">
        <v>43360528.020000003</v>
      </c>
      <c r="AN625" s="44">
        <v>0</v>
      </c>
      <c r="AO625" s="43">
        <v>7179442.9400000004</v>
      </c>
      <c r="AP625" s="43">
        <v>43360528.020000003</v>
      </c>
      <c r="AQ625" s="44">
        <v>1692303.9</v>
      </c>
      <c r="AR625" s="43">
        <v>5487139.04</v>
      </c>
      <c r="AS625" s="43">
        <v>41668224.119999997</v>
      </c>
      <c r="AT625" s="39">
        <f t="shared" si="230"/>
        <v>43360528.019999996</v>
      </c>
      <c r="AU625" s="18">
        <f>AJ625-AM625</f>
        <v>8103859.9799999967</v>
      </c>
      <c r="AV625" s="34">
        <f>AM625-AP625</f>
        <v>0</v>
      </c>
      <c r="AW625" s="34">
        <f>AP625-AT625</f>
        <v>0</v>
      </c>
      <c r="AX625" s="123">
        <f>AP625/AJ625</f>
        <v>0.84253460898048571</v>
      </c>
    </row>
    <row r="626" spans="1:50" ht="18.75" customHeight="1" x14ac:dyDescent="0.2">
      <c r="AA626" s="28" t="s">
        <v>288</v>
      </c>
      <c r="AB626" s="29" t="s">
        <v>400</v>
      </c>
      <c r="AC626" s="17"/>
      <c r="AD626" s="18"/>
      <c r="AE626" s="34"/>
      <c r="AF626" s="34"/>
      <c r="AG626" s="18"/>
      <c r="AH626" s="18"/>
      <c r="AI626" s="18"/>
      <c r="AJ626" s="147"/>
      <c r="AK626" s="34"/>
      <c r="AL626" s="18"/>
      <c r="AM626" s="18"/>
      <c r="AN626" s="18"/>
      <c r="AO626" s="18"/>
      <c r="AP626" s="18"/>
      <c r="AQ626" s="18"/>
      <c r="AR626" s="18"/>
      <c r="AS626" s="18"/>
      <c r="AT626" s="39"/>
      <c r="AU626" s="18"/>
      <c r="AV626" s="18"/>
      <c r="AW626" s="18"/>
      <c r="AX626" s="18"/>
    </row>
    <row r="627" spans="1:50" ht="18.75" customHeight="1" x14ac:dyDescent="0.2">
      <c r="A627" s="4" t="s">
        <v>55</v>
      </c>
      <c r="B627" s="4" t="s">
        <v>56</v>
      </c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1" t="s">
        <v>401</v>
      </c>
      <c r="AB627" s="42" t="s">
        <v>233</v>
      </c>
      <c r="AC627" s="43" t="s">
        <v>58</v>
      </c>
      <c r="AD627" s="43">
        <v>2673811725</v>
      </c>
      <c r="AE627" s="44">
        <v>0</v>
      </c>
      <c r="AF627" s="44">
        <v>0</v>
      </c>
      <c r="AG627" s="43">
        <v>1500000000</v>
      </c>
      <c r="AH627" s="44">
        <v>0</v>
      </c>
      <c r="AI627" s="43">
        <f>AE627-AF627+AG627-AH627</f>
        <v>1500000000</v>
      </c>
      <c r="AJ627" s="43">
        <f>AD627+AI627</f>
        <v>4173811725</v>
      </c>
      <c r="AK627" s="44">
        <v>0</v>
      </c>
      <c r="AL627" s="43">
        <f>AM627-MAYO!AM620</f>
        <v>101100000</v>
      </c>
      <c r="AM627" s="43">
        <v>4126933333</v>
      </c>
      <c r="AN627" s="43">
        <v>31500000</v>
      </c>
      <c r="AO627" s="43">
        <v>69600000</v>
      </c>
      <c r="AP627" s="43">
        <v>4078933333</v>
      </c>
      <c r="AQ627" s="114">
        <v>661310000</v>
      </c>
      <c r="AR627" s="114">
        <f>AS627-MAYO!AS620</f>
        <v>481583332</v>
      </c>
      <c r="AS627" s="114">
        <v>1815886662</v>
      </c>
      <c r="AT627" s="111">
        <f t="shared" ref="AT627:AT656" si="247">AQ627+AS627</f>
        <v>2477196662</v>
      </c>
      <c r="AU627" s="18">
        <f>AJ627-AM627</f>
        <v>46878392</v>
      </c>
      <c r="AV627" s="110">
        <f>AM627-AP627</f>
        <v>48000000</v>
      </c>
      <c r="AW627" s="18">
        <f>AP627-AT627</f>
        <v>1601736671</v>
      </c>
      <c r="AX627" s="123">
        <f>AP627/AJ627</f>
        <v>0.97726816678584127</v>
      </c>
    </row>
    <row r="628" spans="1:50" ht="18.75" customHeight="1" x14ac:dyDescent="0.2">
      <c r="A628" s="4" t="s">
        <v>55</v>
      </c>
      <c r="B628" s="4" t="s">
        <v>56</v>
      </c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1" t="s">
        <v>503</v>
      </c>
      <c r="AB628" s="42" t="s">
        <v>439</v>
      </c>
      <c r="AC628" s="43" t="s">
        <v>428</v>
      </c>
      <c r="AD628" s="43">
        <v>1237500000</v>
      </c>
      <c r="AE628" s="44">
        <v>0</v>
      </c>
      <c r="AF628" s="44">
        <v>0</v>
      </c>
      <c r="AG628" s="44">
        <v>0</v>
      </c>
      <c r="AH628" s="44">
        <v>0</v>
      </c>
      <c r="AI628" s="44">
        <v>0</v>
      </c>
      <c r="AJ628" s="43">
        <v>1237500000</v>
      </c>
      <c r="AK628" s="44">
        <v>0</v>
      </c>
      <c r="AL628" s="43">
        <f>AM628-MAYO!AM621</f>
        <v>-59500000</v>
      </c>
      <c r="AM628" s="43">
        <v>1098200000</v>
      </c>
      <c r="AN628" s="43">
        <v>0</v>
      </c>
      <c r="AO628" s="43">
        <v>-12000000</v>
      </c>
      <c r="AP628" s="43">
        <v>1098200000</v>
      </c>
      <c r="AQ628" s="114">
        <v>181883333</v>
      </c>
      <c r="AR628" s="114">
        <f>AS628-MAYO!AS621</f>
        <v>123700000</v>
      </c>
      <c r="AS628" s="114">
        <v>480236668</v>
      </c>
      <c r="AT628" s="111">
        <f t="shared" si="247"/>
        <v>662120001</v>
      </c>
      <c r="AU628" s="18">
        <f>AJ628-AM628</f>
        <v>139300000</v>
      </c>
      <c r="AV628" s="110">
        <f>AM628-AP628</f>
        <v>0</v>
      </c>
      <c r="AW628" s="18">
        <f>AP628-AT628</f>
        <v>436079999</v>
      </c>
      <c r="AX628" s="123">
        <f>AP628/AJ628</f>
        <v>0.88743434343434346</v>
      </c>
    </row>
    <row r="629" spans="1:50" ht="23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166" t="s">
        <v>1053</v>
      </c>
      <c r="AB629" s="167" t="s">
        <v>1015</v>
      </c>
      <c r="AC629" s="168"/>
      <c r="AD629" s="44">
        <v>0</v>
      </c>
      <c r="AE629" s="43">
        <v>230083857.68000001</v>
      </c>
      <c r="AF629" s="44">
        <v>0</v>
      </c>
      <c r="AG629" s="43">
        <v>769916142.32000005</v>
      </c>
      <c r="AH629" s="44">
        <v>0</v>
      </c>
      <c r="AI629" s="43">
        <f t="shared" ref="AI629:AI630" si="248">AE629-AF629+AG629-AH629</f>
        <v>1000000000</v>
      </c>
      <c r="AJ629" s="43">
        <f t="shared" ref="AJ629:AJ630" si="249">AD629+AI629</f>
        <v>1000000000</v>
      </c>
      <c r="AK629" s="44">
        <v>0</v>
      </c>
      <c r="AL629" s="43">
        <v>314833333.32999998</v>
      </c>
      <c r="AM629" s="43">
        <v>314833333.32999998</v>
      </c>
      <c r="AN629" s="43">
        <v>37500000</v>
      </c>
      <c r="AO629" s="43">
        <v>123750000</v>
      </c>
      <c r="AP629" s="43">
        <v>123750000</v>
      </c>
      <c r="AQ629" s="114">
        <v>0</v>
      </c>
      <c r="AR629" s="115">
        <v>0</v>
      </c>
      <c r="AS629" s="115">
        <v>0</v>
      </c>
      <c r="AT629" s="135">
        <f t="shared" si="247"/>
        <v>0</v>
      </c>
      <c r="AU629" s="18">
        <f>AJ629-AM629</f>
        <v>685166666.67000008</v>
      </c>
      <c r="AV629" s="18">
        <f>AM629-AP629</f>
        <v>191083333.32999998</v>
      </c>
      <c r="AW629" s="18">
        <f>AP629-AT629</f>
        <v>123750000</v>
      </c>
      <c r="AX629" s="123">
        <f>AP629/AJ629</f>
        <v>0.12375</v>
      </c>
    </row>
    <row r="630" spans="1:50" ht="25.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214" t="s">
        <v>1054</v>
      </c>
      <c r="AB630" s="215" t="s">
        <v>1055</v>
      </c>
      <c r="AC630" s="168"/>
      <c r="AD630" s="44">
        <v>0</v>
      </c>
      <c r="AE630" s="43">
        <v>769916142.32000005</v>
      </c>
      <c r="AF630" s="44">
        <v>0</v>
      </c>
      <c r="AG630" s="44">
        <v>0</v>
      </c>
      <c r="AH630" s="43">
        <v>769916142.32000005</v>
      </c>
      <c r="AI630" s="44">
        <f t="shared" si="248"/>
        <v>0</v>
      </c>
      <c r="AJ630" s="44">
        <f t="shared" si="249"/>
        <v>0</v>
      </c>
      <c r="AK630" s="44">
        <v>0</v>
      </c>
      <c r="AL630" s="44">
        <v>0</v>
      </c>
      <c r="AM630" s="44">
        <v>0</v>
      </c>
      <c r="AN630" s="43">
        <v>0</v>
      </c>
      <c r="AO630" s="44">
        <v>0</v>
      </c>
      <c r="AP630" s="44">
        <v>0</v>
      </c>
      <c r="AQ630" s="115">
        <v>0</v>
      </c>
      <c r="AR630" s="115">
        <v>0</v>
      </c>
      <c r="AS630" s="115">
        <v>0</v>
      </c>
      <c r="AT630" s="135">
        <f t="shared" si="247"/>
        <v>0</v>
      </c>
      <c r="AU630" s="34">
        <f>AJ630-AM630</f>
        <v>0</v>
      </c>
      <c r="AV630" s="34">
        <f>AM630-AP630</f>
        <v>0</v>
      </c>
      <c r="AW630" s="34">
        <f>AP630-AT630</f>
        <v>0</v>
      </c>
      <c r="AX630" s="123">
        <v>0</v>
      </c>
    </row>
    <row r="631" spans="1:50" ht="25.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166" t="s">
        <v>1078</v>
      </c>
      <c r="AB631" s="167" t="s">
        <v>1074</v>
      </c>
      <c r="AC631" s="168"/>
      <c r="AD631" s="44">
        <v>0</v>
      </c>
      <c r="AE631" s="43">
        <v>1200000000</v>
      </c>
      <c r="AF631" s="216">
        <v>0</v>
      </c>
      <c r="AG631" s="44">
        <v>0</v>
      </c>
      <c r="AH631" s="33">
        <v>0</v>
      </c>
      <c r="AI631" s="43">
        <f t="shared" ref="AI631" si="250">AE631-AF631+AG631-AH631</f>
        <v>1200000000</v>
      </c>
      <c r="AJ631" s="43">
        <f t="shared" ref="AJ631" si="251">AD631+AI631</f>
        <v>1200000000</v>
      </c>
      <c r="AK631" s="44">
        <v>0</v>
      </c>
      <c r="AL631" s="44">
        <v>0</v>
      </c>
      <c r="AM631" s="44">
        <v>0</v>
      </c>
      <c r="AN631" s="43">
        <v>0</v>
      </c>
      <c r="AO631" s="44">
        <v>0</v>
      </c>
      <c r="AP631" s="44">
        <v>0</v>
      </c>
      <c r="AQ631" s="115">
        <v>0</v>
      </c>
      <c r="AR631" s="115">
        <v>0</v>
      </c>
      <c r="AS631" s="115">
        <v>0</v>
      </c>
      <c r="AT631" s="135">
        <f t="shared" si="247"/>
        <v>0</v>
      </c>
      <c r="AU631" s="18">
        <f>AJ631-AM631</f>
        <v>1200000000</v>
      </c>
      <c r="AV631" s="133">
        <f>AM631-AP631</f>
        <v>0</v>
      </c>
      <c r="AW631" s="34">
        <f>AP631-AT631</f>
        <v>0</v>
      </c>
      <c r="AX631" s="123">
        <f>AP631/AJ631</f>
        <v>0</v>
      </c>
    </row>
    <row r="632" spans="1:50" ht="17.2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219"/>
      <c r="AB632" s="220"/>
      <c r="AC632" s="168"/>
      <c r="AD632" s="43"/>
      <c r="AE632" s="43"/>
      <c r="AF632" s="44"/>
      <c r="AG632" s="44"/>
      <c r="AH632" s="44"/>
      <c r="AI632" s="44"/>
      <c r="AJ632" s="43"/>
      <c r="AK632" s="44"/>
      <c r="AL632" s="43"/>
      <c r="AM632" s="43"/>
      <c r="AN632" s="43"/>
      <c r="AO632" s="43"/>
      <c r="AP632" s="43"/>
      <c r="AQ632" s="114"/>
      <c r="AR632" s="114"/>
      <c r="AS632" s="114"/>
      <c r="AT632" s="111"/>
      <c r="AU632" s="18"/>
      <c r="AV632" s="110"/>
      <c r="AW632" s="18"/>
      <c r="AX632" s="123"/>
    </row>
    <row r="633" spans="1:50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170" t="s">
        <v>1016</v>
      </c>
      <c r="AB633" s="170" t="s">
        <v>1068</v>
      </c>
      <c r="AC633" s="168"/>
      <c r="AD633" s="43"/>
      <c r="AE633" s="43"/>
      <c r="AF633" s="44"/>
      <c r="AG633" s="44"/>
      <c r="AH633" s="44"/>
      <c r="AI633" s="44"/>
      <c r="AJ633" s="43"/>
      <c r="AK633" s="44"/>
      <c r="AL633" s="43"/>
      <c r="AM633" s="43"/>
      <c r="AN633" s="43"/>
      <c r="AO633" s="43"/>
      <c r="AP633" s="43"/>
      <c r="AQ633" s="114"/>
      <c r="AR633" s="114"/>
      <c r="AS633" s="114"/>
      <c r="AT633" s="111"/>
      <c r="AU633" s="18"/>
      <c r="AV633" s="110"/>
      <c r="AW633" s="18"/>
      <c r="AX633" s="123"/>
    </row>
    <row r="634" spans="1:50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170" t="s">
        <v>1017</v>
      </c>
      <c r="AB634" s="170" t="s">
        <v>1069</v>
      </c>
      <c r="AC634" s="168"/>
      <c r="AD634" s="43"/>
      <c r="AE634" s="43"/>
      <c r="AF634" s="44"/>
      <c r="AG634" s="44"/>
      <c r="AH634" s="44"/>
      <c r="AI634" s="44"/>
      <c r="AJ634" s="43"/>
      <c r="AK634" s="44"/>
      <c r="AL634" s="43"/>
      <c r="AM634" s="43"/>
      <c r="AN634" s="43"/>
      <c r="AO634" s="43"/>
      <c r="AP634" s="43"/>
      <c r="AQ634" s="114"/>
      <c r="AR634" s="114"/>
      <c r="AS634" s="114"/>
      <c r="AT634" s="111"/>
      <c r="AU634" s="18"/>
      <c r="AV634" s="110"/>
      <c r="AW634" s="18"/>
      <c r="AX634" s="123"/>
    </row>
    <row r="635" spans="1:50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170" t="s">
        <v>1018</v>
      </c>
      <c r="AB635" s="170" t="s">
        <v>286</v>
      </c>
      <c r="AC635" s="168"/>
      <c r="AD635" s="43"/>
      <c r="AE635" s="43"/>
      <c r="AF635" s="44"/>
      <c r="AG635" s="44"/>
      <c r="AH635" s="44"/>
      <c r="AI635" s="44"/>
      <c r="AJ635" s="43"/>
      <c r="AK635" s="44"/>
      <c r="AL635" s="43"/>
      <c r="AM635" s="43"/>
      <c r="AN635" s="43"/>
      <c r="AO635" s="43"/>
      <c r="AP635" s="43"/>
      <c r="AQ635" s="114"/>
      <c r="AR635" s="114"/>
      <c r="AS635" s="114"/>
      <c r="AT635" s="111"/>
      <c r="AU635" s="18"/>
      <c r="AV635" s="110"/>
      <c r="AW635" s="18"/>
      <c r="AX635" s="123"/>
    </row>
    <row r="636" spans="1:50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170" t="s">
        <v>1021</v>
      </c>
      <c r="AB636" s="165" t="s">
        <v>1070</v>
      </c>
      <c r="AC636" s="168"/>
      <c r="AD636" s="43"/>
      <c r="AE636" s="43"/>
      <c r="AF636" s="44"/>
      <c r="AG636" s="44"/>
      <c r="AH636" s="44"/>
      <c r="AI636" s="44"/>
      <c r="AJ636" s="43"/>
      <c r="AK636" s="44"/>
      <c r="AL636" s="43"/>
      <c r="AM636" s="43"/>
      <c r="AN636" s="43"/>
      <c r="AO636" s="43"/>
      <c r="AP636" s="43"/>
      <c r="AQ636" s="114"/>
      <c r="AR636" s="114"/>
      <c r="AS636" s="114"/>
      <c r="AT636" s="111"/>
      <c r="AU636" s="18"/>
      <c r="AV636" s="110"/>
      <c r="AW636" s="18"/>
      <c r="AX636" s="123"/>
    </row>
    <row r="637" spans="1:50" ht="25.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166" t="s">
        <v>1019</v>
      </c>
      <c r="AB637" s="167" t="s">
        <v>1005</v>
      </c>
      <c r="AC637" s="168"/>
      <c r="AD637" s="44">
        <v>0</v>
      </c>
      <c r="AE637" s="217">
        <v>7731979438.25</v>
      </c>
      <c r="AF637" s="216">
        <v>0</v>
      </c>
      <c r="AG637" s="44">
        <v>0</v>
      </c>
      <c r="AH637" s="44">
        <v>0</v>
      </c>
      <c r="AI637" s="43">
        <f t="shared" ref="AI637:AI643" si="252">AE637-AF637+AG637-AH637</f>
        <v>7731979438.25</v>
      </c>
      <c r="AJ637" s="43">
        <f t="shared" ref="AJ637:AJ643" si="253">AD637+AI637</f>
        <v>7731979438.25</v>
      </c>
      <c r="AK637" s="44">
        <v>0</v>
      </c>
      <c r="AL637" s="43">
        <v>226441701.38999999</v>
      </c>
      <c r="AM637" s="43">
        <v>3593372598.2800002</v>
      </c>
      <c r="AN637" s="44">
        <v>0</v>
      </c>
      <c r="AO637" s="43">
        <v>226441701.38999999</v>
      </c>
      <c r="AP637" s="43">
        <v>3593372598.2800002</v>
      </c>
      <c r="AQ637" s="114">
        <v>0</v>
      </c>
      <c r="AR637" s="114">
        <f>AS637-MAYO!AS630</f>
        <v>-173039086.17000008</v>
      </c>
      <c r="AS637" s="114">
        <v>1118844798.0699999</v>
      </c>
      <c r="AT637" s="111">
        <f t="shared" ref="AT637:AT643" si="254">AQ637+AS637</f>
        <v>1118844798.0699999</v>
      </c>
      <c r="AU637" s="18">
        <f t="shared" ref="AU637:AU643" si="255">AJ637-AM637</f>
        <v>4138606839.9699998</v>
      </c>
      <c r="AV637" s="34">
        <f t="shared" ref="AV637:AV643" si="256">AM637-AP637</f>
        <v>0</v>
      </c>
      <c r="AW637" s="18">
        <f t="shared" ref="AW637:AW643" si="257">AP637-AT637</f>
        <v>2474527800.21</v>
      </c>
      <c r="AX637" s="123">
        <f t="shared" ref="AX637:AX643" si="258">AP637/AJ637</f>
        <v>0.46474161331878788</v>
      </c>
    </row>
    <row r="638" spans="1:50" ht="25.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166" t="s">
        <v>1056</v>
      </c>
      <c r="AB638" s="167" t="s">
        <v>1057</v>
      </c>
      <c r="AC638" s="168"/>
      <c r="AD638" s="44">
        <v>0</v>
      </c>
      <c r="AE638" s="217">
        <v>427067817.00999999</v>
      </c>
      <c r="AF638" s="216">
        <v>0</v>
      </c>
      <c r="AG638" s="44">
        <v>0</v>
      </c>
      <c r="AH638" s="44">
        <v>0</v>
      </c>
      <c r="AI638" s="43">
        <f t="shared" si="252"/>
        <v>427067817.00999999</v>
      </c>
      <c r="AJ638" s="43">
        <f t="shared" si="253"/>
        <v>427067817.00999999</v>
      </c>
      <c r="AK638" s="44">
        <v>0</v>
      </c>
      <c r="AL638" s="43">
        <v>427067817.00999999</v>
      </c>
      <c r="AM638" s="43">
        <v>427067817.00999999</v>
      </c>
      <c r="AN638" s="44">
        <v>0</v>
      </c>
      <c r="AO638" s="43">
        <v>427067817.00999999</v>
      </c>
      <c r="AP638" s="43">
        <v>427067817.00999999</v>
      </c>
      <c r="AQ638" s="115">
        <v>0</v>
      </c>
      <c r="AR638" s="43">
        <v>106209449.95</v>
      </c>
      <c r="AS638" s="43">
        <v>106209449.95</v>
      </c>
      <c r="AT638" s="39">
        <f t="shared" si="254"/>
        <v>106209449.95</v>
      </c>
      <c r="AU638" s="34">
        <f t="shared" si="255"/>
        <v>0</v>
      </c>
      <c r="AV638" s="34">
        <f t="shared" si="256"/>
        <v>0</v>
      </c>
      <c r="AW638" s="18">
        <f t="shared" si="257"/>
        <v>320858367.06</v>
      </c>
      <c r="AX638" s="123">
        <f t="shared" si="258"/>
        <v>1</v>
      </c>
    </row>
    <row r="639" spans="1:50" ht="25.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166" t="s">
        <v>1060</v>
      </c>
      <c r="AB639" s="167" t="s">
        <v>1061</v>
      </c>
      <c r="AC639" s="168"/>
      <c r="AD639" s="44">
        <v>0</v>
      </c>
      <c r="AE639" s="217">
        <v>255374883.63</v>
      </c>
      <c r="AF639" s="216">
        <v>0</v>
      </c>
      <c r="AG639" s="44">
        <v>0</v>
      </c>
      <c r="AH639" s="44">
        <v>0</v>
      </c>
      <c r="AI639" s="43">
        <f>AE639-AF639+AG639-AH639</f>
        <v>255374883.63</v>
      </c>
      <c r="AJ639" s="43">
        <f>AD639+AI639</f>
        <v>255374883.63</v>
      </c>
      <c r="AK639" s="44">
        <v>0</v>
      </c>
      <c r="AL639" s="43">
        <v>255374883.63</v>
      </c>
      <c r="AM639" s="43">
        <v>255374883.63</v>
      </c>
      <c r="AN639" s="44">
        <v>0</v>
      </c>
      <c r="AO639" s="43">
        <v>255374883.63</v>
      </c>
      <c r="AP639" s="43">
        <v>255374883.63</v>
      </c>
      <c r="AQ639" s="115">
        <v>0</v>
      </c>
      <c r="AR639" s="43">
        <v>254437726.47999999</v>
      </c>
      <c r="AS639" s="43">
        <v>254437726.47999999</v>
      </c>
      <c r="AT639" s="39">
        <f>AQ639+AS639</f>
        <v>254437726.47999999</v>
      </c>
      <c r="AU639" s="34">
        <f t="shared" si="255"/>
        <v>0</v>
      </c>
      <c r="AV639" s="34">
        <f t="shared" si="256"/>
        <v>0</v>
      </c>
      <c r="AW639" s="18">
        <f t="shared" si="257"/>
        <v>937157.15000000596</v>
      </c>
      <c r="AX639" s="123">
        <f t="shared" si="258"/>
        <v>1</v>
      </c>
    </row>
    <row r="640" spans="1:50" ht="25.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166" t="s">
        <v>1058</v>
      </c>
      <c r="AB640" s="167" t="s">
        <v>1059</v>
      </c>
      <c r="AC640" s="168"/>
      <c r="AD640" s="44">
        <v>0</v>
      </c>
      <c r="AE640" s="217">
        <v>4369426346.8800001</v>
      </c>
      <c r="AF640" s="216">
        <v>0</v>
      </c>
      <c r="AG640" s="44">
        <v>0</v>
      </c>
      <c r="AH640" s="44">
        <v>0</v>
      </c>
      <c r="AI640" s="43">
        <f t="shared" si="252"/>
        <v>4369426346.8800001</v>
      </c>
      <c r="AJ640" s="43">
        <f t="shared" si="253"/>
        <v>4369426346.8800001</v>
      </c>
      <c r="AK640" s="44">
        <v>0</v>
      </c>
      <c r="AL640" s="43">
        <v>771854545.59000003</v>
      </c>
      <c r="AM640" s="43">
        <v>2654728677.5599999</v>
      </c>
      <c r="AN640" s="44">
        <v>0</v>
      </c>
      <c r="AO640" s="43">
        <v>771854545.59000003</v>
      </c>
      <c r="AP640" s="43">
        <v>2654728677.5599999</v>
      </c>
      <c r="AQ640" s="115">
        <v>0</v>
      </c>
      <c r="AR640" s="43">
        <v>1713130119.6400001</v>
      </c>
      <c r="AS640" s="43">
        <v>1713130119.6400001</v>
      </c>
      <c r="AT640" s="39">
        <f t="shared" si="254"/>
        <v>1713130119.6400001</v>
      </c>
      <c r="AU640" s="18">
        <f t="shared" si="255"/>
        <v>1714697669.3200002</v>
      </c>
      <c r="AV640" s="34">
        <f t="shared" si="256"/>
        <v>0</v>
      </c>
      <c r="AW640" s="18">
        <f t="shared" si="257"/>
        <v>941598557.91999984</v>
      </c>
      <c r="AX640" s="123">
        <f t="shared" si="258"/>
        <v>0.60756915595009753</v>
      </c>
    </row>
    <row r="641" spans="1:50" ht="25.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166" t="s">
        <v>1062</v>
      </c>
      <c r="AB641" s="167" t="s">
        <v>1063</v>
      </c>
      <c r="AC641" s="168"/>
      <c r="AD641" s="44">
        <v>0</v>
      </c>
      <c r="AE641" s="217">
        <v>116816300</v>
      </c>
      <c r="AF641" s="216">
        <v>0</v>
      </c>
      <c r="AG641" s="44">
        <v>0</v>
      </c>
      <c r="AH641" s="44">
        <v>0</v>
      </c>
      <c r="AI641" s="43">
        <f t="shared" si="252"/>
        <v>116816300</v>
      </c>
      <c r="AJ641" s="43">
        <f t="shared" si="253"/>
        <v>116816300</v>
      </c>
      <c r="AK641" s="44">
        <v>0</v>
      </c>
      <c r="AL641" s="43">
        <v>0</v>
      </c>
      <c r="AM641" s="43">
        <v>0</v>
      </c>
      <c r="AN641" s="44">
        <v>0</v>
      </c>
      <c r="AO641" s="44">
        <v>0</v>
      </c>
      <c r="AP641" s="43">
        <v>0</v>
      </c>
      <c r="AQ641" s="115">
        <v>0</v>
      </c>
      <c r="AR641" s="44">
        <v>0</v>
      </c>
      <c r="AS641" s="44">
        <v>0</v>
      </c>
      <c r="AT641" s="40">
        <f t="shared" si="254"/>
        <v>0</v>
      </c>
      <c r="AU641" s="18">
        <f t="shared" si="255"/>
        <v>116816300</v>
      </c>
      <c r="AV641" s="34">
        <f t="shared" si="256"/>
        <v>0</v>
      </c>
      <c r="AW641" s="34">
        <f t="shared" si="257"/>
        <v>0</v>
      </c>
      <c r="AX641" s="123">
        <f t="shared" si="258"/>
        <v>0</v>
      </c>
    </row>
    <row r="642" spans="1:50" ht="25.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166" t="s">
        <v>1064</v>
      </c>
      <c r="AB642" s="167" t="s">
        <v>1065</v>
      </c>
      <c r="AC642" s="168"/>
      <c r="AD642" s="44">
        <v>0</v>
      </c>
      <c r="AE642" s="217">
        <v>122396604.84999999</v>
      </c>
      <c r="AF642" s="216">
        <v>0</v>
      </c>
      <c r="AG642" s="44">
        <v>0</v>
      </c>
      <c r="AH642" s="44">
        <v>0</v>
      </c>
      <c r="AI642" s="43">
        <f t="shared" si="252"/>
        <v>122396604.84999999</v>
      </c>
      <c r="AJ642" s="43">
        <f t="shared" si="253"/>
        <v>122396604.84999999</v>
      </c>
      <c r="AK642" s="44">
        <v>0</v>
      </c>
      <c r="AL642" s="43">
        <v>0</v>
      </c>
      <c r="AM642" s="43">
        <v>122396604.84999999</v>
      </c>
      <c r="AN642" s="44">
        <v>0</v>
      </c>
      <c r="AO642" s="44">
        <v>0</v>
      </c>
      <c r="AP642" s="43">
        <v>122396604.84999999</v>
      </c>
      <c r="AQ642" s="115">
        <v>0</v>
      </c>
      <c r="AR642" s="43">
        <v>122396604.84999999</v>
      </c>
      <c r="AS642" s="43">
        <v>122396604.84999999</v>
      </c>
      <c r="AT642" s="39">
        <f t="shared" si="254"/>
        <v>122396604.84999999</v>
      </c>
      <c r="AU642" s="18">
        <f t="shared" si="255"/>
        <v>0</v>
      </c>
      <c r="AV642" s="34">
        <f t="shared" si="256"/>
        <v>0</v>
      </c>
      <c r="AW642" s="34">
        <f t="shared" si="257"/>
        <v>0</v>
      </c>
      <c r="AX642" s="123">
        <f t="shared" si="258"/>
        <v>1</v>
      </c>
    </row>
    <row r="643" spans="1:50" ht="25.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166" t="s">
        <v>1066</v>
      </c>
      <c r="AB643" s="167" t="s">
        <v>1067</v>
      </c>
      <c r="AC643" s="168"/>
      <c r="AD643" s="44">
        <v>0</v>
      </c>
      <c r="AE643" s="217">
        <v>256369955.99000001</v>
      </c>
      <c r="AF643" s="216">
        <v>0</v>
      </c>
      <c r="AG643" s="44">
        <v>0</v>
      </c>
      <c r="AH643" s="44">
        <v>0</v>
      </c>
      <c r="AI643" s="43">
        <f t="shared" si="252"/>
        <v>256369955.99000001</v>
      </c>
      <c r="AJ643" s="43">
        <f t="shared" si="253"/>
        <v>256369955.99000001</v>
      </c>
      <c r="AK643" s="44">
        <v>0</v>
      </c>
      <c r="AL643" s="43">
        <v>0</v>
      </c>
      <c r="AM643" s="43">
        <v>232210009.36000001</v>
      </c>
      <c r="AN643" s="44">
        <v>0</v>
      </c>
      <c r="AO643" s="44">
        <v>0</v>
      </c>
      <c r="AP643" s="43">
        <v>232210009.36000001</v>
      </c>
      <c r="AQ643" s="115">
        <v>0</v>
      </c>
      <c r="AR643" s="43">
        <v>232210009.36000001</v>
      </c>
      <c r="AS643" s="43">
        <v>232210009.36000001</v>
      </c>
      <c r="AT643" s="39">
        <f t="shared" si="254"/>
        <v>232210009.36000001</v>
      </c>
      <c r="AU643" s="18">
        <f t="shared" si="255"/>
        <v>24159946.629999995</v>
      </c>
      <c r="AV643" s="34">
        <f t="shared" si="256"/>
        <v>0</v>
      </c>
      <c r="AW643" s="34">
        <f t="shared" si="257"/>
        <v>0</v>
      </c>
      <c r="AX643" s="123">
        <f t="shared" si="258"/>
        <v>0.90576139650723198</v>
      </c>
    </row>
    <row r="644" spans="1:50" ht="18.75" customHeight="1" x14ac:dyDescent="0.2">
      <c r="AA644" s="162"/>
      <c r="AB644" s="163" t="s">
        <v>199</v>
      </c>
      <c r="AC644" s="17"/>
      <c r="AD644" s="18"/>
      <c r="AE644" s="34"/>
      <c r="AF644" s="34"/>
      <c r="AG644" s="34"/>
      <c r="AH644" s="34"/>
      <c r="AI644" s="34"/>
      <c r="AJ644" s="18"/>
      <c r="AK644" s="18"/>
      <c r="AL644" s="18"/>
      <c r="AM644" s="18"/>
      <c r="AN644" s="18"/>
      <c r="AO644" s="18"/>
      <c r="AP644" s="18"/>
      <c r="AQ644" s="34"/>
      <c r="AR644" s="34"/>
      <c r="AS644" s="34"/>
      <c r="AT644" s="40"/>
      <c r="AU644" s="18"/>
      <c r="AV644" s="18"/>
      <c r="AW644" s="18"/>
      <c r="AX644" s="18"/>
    </row>
    <row r="645" spans="1:50" ht="18.75" customHeight="1" x14ac:dyDescent="0.2">
      <c r="AA645" s="28" t="s">
        <v>288</v>
      </c>
      <c r="AB645" s="29" t="s">
        <v>1079</v>
      </c>
      <c r="AC645" s="17"/>
      <c r="AD645" s="18"/>
      <c r="AE645" s="34"/>
      <c r="AF645" s="34"/>
      <c r="AG645" s="34"/>
      <c r="AH645" s="34"/>
      <c r="AI645" s="34"/>
      <c r="AJ645" s="18"/>
      <c r="AK645" s="18"/>
      <c r="AL645" s="18"/>
      <c r="AM645" s="18"/>
      <c r="AN645" s="18"/>
      <c r="AO645" s="18"/>
      <c r="AP645" s="18"/>
      <c r="AQ645" s="34"/>
      <c r="AR645" s="34"/>
      <c r="AS645" s="34"/>
      <c r="AT645" s="40"/>
      <c r="AU645" s="18"/>
      <c r="AV645" s="18"/>
      <c r="AW645" s="18"/>
      <c r="AX645" s="18"/>
    </row>
    <row r="646" spans="1:50" ht="18.75" customHeight="1" x14ac:dyDescent="0.2">
      <c r="A646" s="4" t="s">
        <v>55</v>
      </c>
      <c r="B646" s="4" t="s">
        <v>56</v>
      </c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1" t="s">
        <v>505</v>
      </c>
      <c r="AB646" s="42" t="s">
        <v>439</v>
      </c>
      <c r="AC646" s="43" t="s">
        <v>428</v>
      </c>
      <c r="AD646" s="43">
        <v>1896134100.8599999</v>
      </c>
      <c r="AE646" s="44">
        <v>0</v>
      </c>
      <c r="AF646" s="44">
        <v>0</v>
      </c>
      <c r="AG646" s="44">
        <v>0</v>
      </c>
      <c r="AH646" s="44">
        <v>0</v>
      </c>
      <c r="AI646" s="44">
        <v>0</v>
      </c>
      <c r="AJ646" s="43">
        <v>1896134100.8599999</v>
      </c>
      <c r="AK646" s="44">
        <v>0</v>
      </c>
      <c r="AL646" s="43">
        <v>0</v>
      </c>
      <c r="AM646" s="114">
        <v>1827225023</v>
      </c>
      <c r="AN646" s="44">
        <v>0</v>
      </c>
      <c r="AO646" s="44">
        <v>0</v>
      </c>
      <c r="AP646" s="43">
        <v>1827225023</v>
      </c>
      <c r="AQ646" s="44">
        <v>0</v>
      </c>
      <c r="AR646" s="44">
        <v>0</v>
      </c>
      <c r="AS646" s="44">
        <v>0</v>
      </c>
      <c r="AT646" s="40">
        <f>AQ646+AS646</f>
        <v>0</v>
      </c>
      <c r="AU646" s="18">
        <f>AJ646-AM646</f>
        <v>68909077.859999895</v>
      </c>
      <c r="AV646" s="110">
        <f>AM646-AP646</f>
        <v>0</v>
      </c>
      <c r="AW646" s="18">
        <f>AP646-AT646</f>
        <v>1827225023</v>
      </c>
      <c r="AX646" s="123">
        <f>AP646/AJ646</f>
        <v>0.96365812005134766</v>
      </c>
    </row>
    <row r="647" spans="1:50" ht="18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214" t="s">
        <v>1080</v>
      </c>
      <c r="AB647" s="215" t="s">
        <v>1074</v>
      </c>
      <c r="AC647" s="168"/>
      <c r="AD647" s="44">
        <v>0</v>
      </c>
      <c r="AE647" s="43">
        <v>100000000</v>
      </c>
      <c r="AF647" s="44">
        <v>0</v>
      </c>
      <c r="AG647" s="44">
        <v>0</v>
      </c>
      <c r="AH647" s="44">
        <v>0</v>
      </c>
      <c r="AI647" s="43">
        <f>AE647-AF647+AG647-AH647</f>
        <v>100000000</v>
      </c>
      <c r="AJ647" s="43">
        <f>AD647+AI647</f>
        <v>100000000</v>
      </c>
      <c r="AK647" s="44">
        <v>0</v>
      </c>
      <c r="AL647" s="115">
        <v>0</v>
      </c>
      <c r="AM647" s="115">
        <v>0</v>
      </c>
      <c r="AN647" s="44">
        <v>0</v>
      </c>
      <c r="AO647" s="44">
        <v>0</v>
      </c>
      <c r="AP647" s="44">
        <v>0</v>
      </c>
      <c r="AQ647" s="44">
        <v>0</v>
      </c>
      <c r="AR647" s="44">
        <v>0</v>
      </c>
      <c r="AS647" s="44">
        <v>0</v>
      </c>
      <c r="AT647" s="40">
        <f t="shared" ref="AT647" si="259">AQ647+AS647</f>
        <v>0</v>
      </c>
      <c r="AU647" s="18">
        <f>AJ647-AM647</f>
        <v>100000000</v>
      </c>
      <c r="AV647" s="34">
        <f>AM647-AP647</f>
        <v>0</v>
      </c>
      <c r="AW647" s="34">
        <f>AP647-AT647</f>
        <v>0</v>
      </c>
      <c r="AX647" s="123">
        <f>AP647/AJ647</f>
        <v>0</v>
      </c>
    </row>
    <row r="648" spans="1:50" ht="18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170" t="s">
        <v>288</v>
      </c>
      <c r="AB648" s="165" t="s">
        <v>1084</v>
      </c>
      <c r="AC648" s="168"/>
      <c r="AD648" s="44"/>
      <c r="AE648" s="43"/>
      <c r="AF648" s="44"/>
      <c r="AG648" s="44"/>
      <c r="AH648" s="44"/>
      <c r="AI648" s="44"/>
      <c r="AJ648" s="43"/>
      <c r="AK648" s="44"/>
      <c r="AL648" s="115"/>
      <c r="AM648" s="115"/>
      <c r="AN648" s="44"/>
      <c r="AO648" s="44"/>
      <c r="AP648" s="44"/>
      <c r="AQ648" s="44"/>
      <c r="AR648" s="44"/>
      <c r="AS648" s="44"/>
      <c r="AT648" s="40"/>
      <c r="AU648" s="18"/>
      <c r="AV648" s="110"/>
      <c r="AW648" s="34"/>
      <c r="AX648" s="123"/>
    </row>
    <row r="649" spans="1:50" ht="18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166" t="s">
        <v>1085</v>
      </c>
      <c r="AB649" s="167" t="s">
        <v>1074</v>
      </c>
      <c r="AC649" s="168"/>
      <c r="AD649" s="44">
        <v>0</v>
      </c>
      <c r="AE649" s="43">
        <v>3115350000</v>
      </c>
      <c r="AF649" s="44">
        <v>0</v>
      </c>
      <c r="AG649" s="44">
        <v>0</v>
      </c>
      <c r="AH649" s="43">
        <v>466710000</v>
      </c>
      <c r="AI649" s="43">
        <f>AE649-AF649+AG649-AH649</f>
        <v>2648640000</v>
      </c>
      <c r="AJ649" s="43">
        <f>AD649+AI649</f>
        <v>2648640000</v>
      </c>
      <c r="AK649" s="44">
        <v>0</v>
      </c>
      <c r="AL649" s="115">
        <v>0</v>
      </c>
      <c r="AM649" s="115">
        <v>0</v>
      </c>
      <c r="AN649" s="44">
        <v>0</v>
      </c>
      <c r="AO649" s="44">
        <v>0</v>
      </c>
      <c r="AP649" s="44">
        <v>0</v>
      </c>
      <c r="AQ649" s="44">
        <v>0</v>
      </c>
      <c r="AR649" s="44">
        <v>0</v>
      </c>
      <c r="AS649" s="44">
        <v>0</v>
      </c>
      <c r="AT649" s="40">
        <f t="shared" ref="AT649" si="260">AQ649+AS649</f>
        <v>0</v>
      </c>
      <c r="AU649" s="18">
        <f>AJ649-AM649</f>
        <v>2648640000</v>
      </c>
      <c r="AV649" s="34">
        <f>AM649-AP649</f>
        <v>0</v>
      </c>
      <c r="AW649" s="34">
        <f>AP649-AT649</f>
        <v>0</v>
      </c>
      <c r="AX649" s="123">
        <f>AP649/AJ649</f>
        <v>0</v>
      </c>
    </row>
    <row r="650" spans="1:50" ht="18.75" customHeight="1" x14ac:dyDescent="0.2">
      <c r="AA650" s="169" t="s">
        <v>288</v>
      </c>
      <c r="AB650" s="163" t="s">
        <v>506</v>
      </c>
      <c r="AC650" s="17"/>
      <c r="AD650" s="18"/>
      <c r="AE650" s="34"/>
      <c r="AF650" s="34"/>
      <c r="AG650" s="34"/>
      <c r="AH650" s="34"/>
      <c r="AI650" s="34"/>
      <c r="AJ650" s="18"/>
      <c r="AK650" s="34"/>
      <c r="AL650" s="133"/>
      <c r="AM650" s="110"/>
      <c r="AN650" s="34"/>
      <c r="AO650" s="34"/>
      <c r="AP650" s="34"/>
      <c r="AQ650" s="34"/>
      <c r="AR650" s="34"/>
      <c r="AS650" s="34"/>
      <c r="AT650" s="40"/>
      <c r="AU650" s="18"/>
      <c r="AV650" s="34"/>
      <c r="AW650" s="18"/>
      <c r="AX650" s="18"/>
    </row>
    <row r="651" spans="1:50" ht="18.75" customHeight="1" x14ac:dyDescent="0.2">
      <c r="A651" s="4" t="s">
        <v>55</v>
      </c>
      <c r="B651" s="4" t="s">
        <v>56</v>
      </c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1" t="s">
        <v>507</v>
      </c>
      <c r="AB651" s="42" t="s">
        <v>439</v>
      </c>
      <c r="AC651" s="43" t="s">
        <v>428</v>
      </c>
      <c r="AD651" s="43">
        <v>6191009183.8000002</v>
      </c>
      <c r="AE651" s="44">
        <v>0</v>
      </c>
      <c r="AF651" s="44">
        <v>0</v>
      </c>
      <c r="AG651" s="44">
        <v>0</v>
      </c>
      <c r="AH651" s="43">
        <f>4680084481.8+76000000+907367029.2</f>
        <v>5663451511</v>
      </c>
      <c r="AI651" s="43">
        <f>AE651-AF651+AG651-AH651</f>
        <v>-5663451511</v>
      </c>
      <c r="AJ651" s="43">
        <f>AD651+AI651</f>
        <v>527557672.80000019</v>
      </c>
      <c r="AK651" s="44">
        <v>0</v>
      </c>
      <c r="AL651" s="115">
        <v>0</v>
      </c>
      <c r="AM651" s="114">
        <v>527557672.80000001</v>
      </c>
      <c r="AN651" s="44">
        <v>0</v>
      </c>
      <c r="AO651" s="44">
        <v>0</v>
      </c>
      <c r="AP651" s="114">
        <v>527557672.80000001</v>
      </c>
      <c r="AQ651" s="44">
        <v>0</v>
      </c>
      <c r="AR651" s="44">
        <v>0</v>
      </c>
      <c r="AS651" s="43">
        <v>118086389.83</v>
      </c>
      <c r="AT651" s="39">
        <f>AQ651+AS651</f>
        <v>118086389.83</v>
      </c>
      <c r="AU651" s="34">
        <f>AJ651-AM651</f>
        <v>0</v>
      </c>
      <c r="AV651" s="34">
        <f>AM651-AP651</f>
        <v>0</v>
      </c>
      <c r="AW651" s="18">
        <f>AP651-AT651</f>
        <v>409471282.97000003</v>
      </c>
      <c r="AX651" s="123">
        <f>AP651/AJ651</f>
        <v>0.99999999999999967</v>
      </c>
    </row>
    <row r="652" spans="1:50" ht="18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166" t="s">
        <v>1081</v>
      </c>
      <c r="AB652" s="167" t="s">
        <v>1074</v>
      </c>
      <c r="AC652" s="168"/>
      <c r="AD652" s="43">
        <v>0</v>
      </c>
      <c r="AE652" s="43">
        <v>12071695000</v>
      </c>
      <c r="AF652" s="44">
        <v>0</v>
      </c>
      <c r="AG652" s="44">
        <v>0</v>
      </c>
      <c r="AH652" s="44">
        <v>0</v>
      </c>
      <c r="AI652" s="43">
        <f>AE652-AF652+AG652-AH652</f>
        <v>12071695000</v>
      </c>
      <c r="AJ652" s="43">
        <f>AD652+AI652</f>
        <v>12071695000</v>
      </c>
      <c r="AK652" s="44">
        <v>0</v>
      </c>
      <c r="AL652" s="43">
        <v>9684383100.0699997</v>
      </c>
      <c r="AM652" s="43">
        <v>9684383100.0699997</v>
      </c>
      <c r="AN652" s="44">
        <v>0</v>
      </c>
      <c r="AO652" s="43">
        <v>399999941.93000001</v>
      </c>
      <c r="AP652" s="43">
        <v>399999941.93000001</v>
      </c>
      <c r="AQ652" s="44">
        <v>0</v>
      </c>
      <c r="AR652" s="44">
        <v>0</v>
      </c>
      <c r="AS652" s="44">
        <v>0</v>
      </c>
      <c r="AT652" s="111">
        <f t="shared" ref="AT652" si="261">AQ652+AS652</f>
        <v>0</v>
      </c>
      <c r="AU652" s="18">
        <f>AJ652-AM652</f>
        <v>2387311899.9300003</v>
      </c>
      <c r="AV652" s="192">
        <f>AM652-AP652</f>
        <v>9284383158.1399994</v>
      </c>
      <c r="AW652" s="18">
        <f>AP652-AT652</f>
        <v>399999941.93000001</v>
      </c>
      <c r="AX652" s="123">
        <f>AP652/AJ652</f>
        <v>3.3135358533329412E-2</v>
      </c>
    </row>
    <row r="653" spans="1:50" ht="18.75" customHeight="1" x14ac:dyDescent="0.2">
      <c r="AA653" s="169" t="s">
        <v>288</v>
      </c>
      <c r="AB653" s="163" t="s">
        <v>508</v>
      </c>
      <c r="AC653" s="17"/>
      <c r="AD653" s="18"/>
      <c r="AE653" s="34"/>
      <c r="AF653" s="34"/>
      <c r="AG653" s="34"/>
      <c r="AH653" s="34"/>
      <c r="AI653" s="34"/>
      <c r="AJ653" s="18"/>
      <c r="AK653" s="34"/>
      <c r="AL653" s="34"/>
      <c r="AM653" s="34"/>
      <c r="AN653" s="34"/>
      <c r="AO653" s="34"/>
      <c r="AP653" s="34"/>
      <c r="AQ653" s="34"/>
      <c r="AR653" s="34"/>
      <c r="AS653" s="34"/>
      <c r="AT653" s="40"/>
      <c r="AU653" s="18"/>
      <c r="AV653" s="34"/>
      <c r="AW653" s="18"/>
      <c r="AX653" s="18"/>
    </row>
    <row r="654" spans="1:50" ht="18.75" customHeight="1" x14ac:dyDescent="0.2">
      <c r="A654" s="4" t="s">
        <v>55</v>
      </c>
      <c r="B654" s="4" t="s">
        <v>56</v>
      </c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1" t="s">
        <v>509</v>
      </c>
      <c r="AB654" s="42" t="s">
        <v>439</v>
      </c>
      <c r="AC654" s="43" t="s">
        <v>428</v>
      </c>
      <c r="AD654" s="43">
        <v>9340881185.3400002</v>
      </c>
      <c r="AE654" s="44">
        <v>0</v>
      </c>
      <c r="AF654" s="44">
        <v>0</v>
      </c>
      <c r="AG654" s="43">
        <f>4680084481.8+1126470266</f>
        <v>5806554747.8000002</v>
      </c>
      <c r="AH654" s="44">
        <v>0</v>
      </c>
      <c r="AI654" s="43">
        <f>AE654-AF654+AG654-AH654</f>
        <v>5806554747.8000002</v>
      </c>
      <c r="AJ654" s="43">
        <f>AD654+AI654</f>
        <v>15147435933.139999</v>
      </c>
      <c r="AK654" s="44">
        <v>0</v>
      </c>
      <c r="AL654" s="43">
        <v>0</v>
      </c>
      <c r="AM654" s="43">
        <v>15137221175.559999</v>
      </c>
      <c r="AN654" s="44">
        <v>0</v>
      </c>
      <c r="AO654" s="44">
        <v>0</v>
      </c>
      <c r="AP654" s="44">
        <v>0</v>
      </c>
      <c r="AQ654" s="44">
        <v>0</v>
      </c>
      <c r="AR654" s="44">
        <v>0</v>
      </c>
      <c r="AS654" s="44">
        <v>0</v>
      </c>
      <c r="AT654" s="40">
        <f t="shared" si="247"/>
        <v>0</v>
      </c>
      <c r="AU654" s="18">
        <f>AJ654-AM654</f>
        <v>10214757.579999924</v>
      </c>
      <c r="AV654" s="18">
        <f>AM654-AP654</f>
        <v>15137221175.559999</v>
      </c>
      <c r="AW654" s="34">
        <f>AP654-AT654</f>
        <v>0</v>
      </c>
      <c r="AX654" s="123">
        <f>AP654/AJ654</f>
        <v>0</v>
      </c>
    </row>
    <row r="655" spans="1:50" ht="18.75" customHeight="1" x14ac:dyDescent="0.2">
      <c r="A655" s="4" t="s">
        <v>55</v>
      </c>
      <c r="B655" s="4" t="s">
        <v>56</v>
      </c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1" t="s">
        <v>510</v>
      </c>
      <c r="AB655" s="42" t="s">
        <v>490</v>
      </c>
      <c r="AC655" s="43" t="s">
        <v>368</v>
      </c>
      <c r="AD655" s="43">
        <v>659690762</v>
      </c>
      <c r="AE655" s="44">
        <v>0</v>
      </c>
      <c r="AF655" s="44">
        <v>0</v>
      </c>
      <c r="AG655" s="44">
        <v>0</v>
      </c>
      <c r="AH655" s="44">
        <v>0</v>
      </c>
      <c r="AI655" s="44">
        <v>0</v>
      </c>
      <c r="AJ655" s="43">
        <v>659690762</v>
      </c>
      <c r="AK655" s="44">
        <v>0</v>
      </c>
      <c r="AL655" s="43">
        <v>0</v>
      </c>
      <c r="AM655" s="43">
        <v>659690762</v>
      </c>
      <c r="AN655" s="44">
        <v>0</v>
      </c>
      <c r="AO655" s="44">
        <v>0</v>
      </c>
      <c r="AP655" s="44">
        <v>0</v>
      </c>
      <c r="AQ655" s="44">
        <v>0</v>
      </c>
      <c r="AR655" s="44">
        <v>0</v>
      </c>
      <c r="AS655" s="44">
        <v>0</v>
      </c>
      <c r="AT655" s="40">
        <f t="shared" si="247"/>
        <v>0</v>
      </c>
      <c r="AU655" s="18">
        <f>AJ655-AM655</f>
        <v>0</v>
      </c>
      <c r="AV655" s="18">
        <f>AM655-AP655</f>
        <v>659690762</v>
      </c>
      <c r="AW655" s="34">
        <f>AP655-AT655</f>
        <v>0</v>
      </c>
      <c r="AX655" s="123">
        <f>AP655/AJ655</f>
        <v>0</v>
      </c>
    </row>
    <row r="656" spans="1:50" ht="18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166" t="s">
        <v>1086</v>
      </c>
      <c r="AB656" s="167" t="s">
        <v>1074</v>
      </c>
      <c r="AC656" s="168"/>
      <c r="AD656" s="44">
        <v>0</v>
      </c>
      <c r="AE656" s="43">
        <v>7500000000</v>
      </c>
      <c r="AF656" s="44">
        <v>0</v>
      </c>
      <c r="AG656" s="44">
        <v>0</v>
      </c>
      <c r="AH656" s="44">
        <v>0</v>
      </c>
      <c r="AI656" s="43">
        <f>AE656-AF656+AG656-AH656</f>
        <v>7500000000</v>
      </c>
      <c r="AJ656" s="43">
        <f>AD656+AI656</f>
        <v>7500000000</v>
      </c>
      <c r="AK656" s="44">
        <v>0</v>
      </c>
      <c r="AL656" s="43">
        <v>2000000000</v>
      </c>
      <c r="AM656" s="43">
        <v>2000000000</v>
      </c>
      <c r="AN656" s="44">
        <v>0</v>
      </c>
      <c r="AO656" s="44">
        <v>0</v>
      </c>
      <c r="AP656" s="44">
        <v>0</v>
      </c>
      <c r="AQ656" s="44">
        <v>0</v>
      </c>
      <c r="AR656" s="44">
        <v>0</v>
      </c>
      <c r="AS656" s="44">
        <v>0</v>
      </c>
      <c r="AT656" s="135">
        <f t="shared" si="247"/>
        <v>0</v>
      </c>
      <c r="AU656" s="18">
        <f>AJ656-AM656</f>
        <v>5500000000</v>
      </c>
      <c r="AV656" s="18">
        <f>AM656-AP656</f>
        <v>2000000000</v>
      </c>
      <c r="AW656" s="34">
        <f>AP656-AT656</f>
        <v>0</v>
      </c>
      <c r="AX656" s="123">
        <f>AP656/AJ656</f>
        <v>0</v>
      </c>
    </row>
    <row r="657" spans="1:50" ht="18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171" t="s">
        <v>288</v>
      </c>
      <c r="AB657" s="213" t="s">
        <v>1082</v>
      </c>
      <c r="AC657" s="168"/>
      <c r="AD657" s="44"/>
      <c r="AE657" s="44"/>
      <c r="AF657" s="44"/>
      <c r="AG657" s="44"/>
      <c r="AH657" s="44"/>
      <c r="AI657" s="44"/>
      <c r="AJ657" s="43"/>
      <c r="AK657" s="44"/>
      <c r="AL657" s="44"/>
      <c r="AM657" s="44"/>
      <c r="AN657" s="44"/>
      <c r="AO657" s="44"/>
      <c r="AP657" s="44"/>
      <c r="AQ657" s="44"/>
      <c r="AR657" s="44"/>
      <c r="AS657" s="44"/>
      <c r="AT657" s="40"/>
      <c r="AU657" s="18"/>
      <c r="AV657" s="34"/>
      <c r="AW657" s="34"/>
      <c r="AX657" s="123"/>
    </row>
    <row r="658" spans="1:50" ht="18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166" t="s">
        <v>1083</v>
      </c>
      <c r="AB658" s="167" t="s">
        <v>1074</v>
      </c>
      <c r="AC658" s="168"/>
      <c r="AD658" s="44">
        <v>0</v>
      </c>
      <c r="AE658" s="43">
        <v>926394000</v>
      </c>
      <c r="AF658" s="44">
        <v>0</v>
      </c>
      <c r="AG658" s="43">
        <f>1886000000+466710000</f>
        <v>2352710000</v>
      </c>
      <c r="AH658" s="44">
        <v>0</v>
      </c>
      <c r="AI658" s="43">
        <f>AE658-AF658+AG658-AH658</f>
        <v>3279104000</v>
      </c>
      <c r="AJ658" s="43">
        <f>AD658+AI658</f>
        <v>3279104000</v>
      </c>
      <c r="AK658" s="44">
        <v>0</v>
      </c>
      <c r="AL658" s="43">
        <v>3011575283</v>
      </c>
      <c r="AM658" s="43">
        <v>3011575283</v>
      </c>
      <c r="AN658" s="44">
        <v>0</v>
      </c>
      <c r="AO658" s="44">
        <v>0</v>
      </c>
      <c r="AP658" s="44">
        <v>0</v>
      </c>
      <c r="AQ658" s="44">
        <v>0</v>
      </c>
      <c r="AR658" s="44">
        <v>0</v>
      </c>
      <c r="AS658" s="44">
        <v>0</v>
      </c>
      <c r="AT658" s="135">
        <f t="shared" ref="AT658" si="262">AQ658+AS658</f>
        <v>0</v>
      </c>
      <c r="AU658" s="18">
        <f>AJ658-AM658</f>
        <v>267528717</v>
      </c>
      <c r="AV658" s="18">
        <f>AM658-AP658</f>
        <v>3011575283</v>
      </c>
      <c r="AW658" s="34">
        <f>AP658-AT658</f>
        <v>0</v>
      </c>
      <c r="AX658" s="123">
        <f>AP658/AJ658</f>
        <v>0</v>
      </c>
    </row>
    <row r="659" spans="1:50" ht="18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229" t="s">
        <v>1261</v>
      </c>
      <c r="AB659" s="230" t="s">
        <v>490</v>
      </c>
      <c r="AC659" s="168"/>
      <c r="AD659" s="44">
        <v>0</v>
      </c>
      <c r="AE659" s="43">
        <v>0</v>
      </c>
      <c r="AF659" s="44">
        <v>0</v>
      </c>
      <c r="AG659" s="43">
        <v>53364831</v>
      </c>
      <c r="AH659" s="44">
        <v>0</v>
      </c>
      <c r="AI659" s="43">
        <f>AE659-AF659+AG659-AH659</f>
        <v>53364831</v>
      </c>
      <c r="AJ659" s="43">
        <f>AD659+AI659</f>
        <v>53364831</v>
      </c>
      <c r="AK659" s="44">
        <v>0</v>
      </c>
      <c r="AL659" s="43">
        <v>53364831</v>
      </c>
      <c r="AM659" s="43">
        <v>53364831</v>
      </c>
      <c r="AN659" s="44">
        <v>0</v>
      </c>
      <c r="AO659" s="44">
        <v>0</v>
      </c>
      <c r="AP659" s="44">
        <v>0</v>
      </c>
      <c r="AQ659" s="44">
        <v>0</v>
      </c>
      <c r="AR659" s="44">
        <v>0</v>
      </c>
      <c r="AS659" s="44">
        <v>0</v>
      </c>
      <c r="AT659" s="135">
        <f t="shared" ref="AT659" si="263">AQ659+AS659</f>
        <v>0</v>
      </c>
      <c r="AU659" s="34">
        <f>AJ659-AM659</f>
        <v>0</v>
      </c>
      <c r="AV659" s="18">
        <f>AM659-AP659</f>
        <v>53364831</v>
      </c>
      <c r="AW659" s="34">
        <f>AP659-AT659</f>
        <v>0</v>
      </c>
      <c r="AX659" s="123">
        <f>AP659/AJ659</f>
        <v>0</v>
      </c>
    </row>
    <row r="660" spans="1:50" ht="18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206"/>
      <c r="AB660" s="207"/>
      <c r="AC660" s="43"/>
      <c r="AD660" s="44"/>
      <c r="AE660" s="44"/>
      <c r="AF660" s="44"/>
      <c r="AG660" s="44"/>
      <c r="AH660" s="44"/>
      <c r="AI660" s="44"/>
      <c r="AJ660" s="43"/>
      <c r="AK660" s="44"/>
      <c r="AL660" s="44"/>
      <c r="AM660" s="44"/>
      <c r="AN660" s="44"/>
      <c r="AO660" s="44"/>
      <c r="AP660" s="44"/>
      <c r="AQ660" s="44"/>
      <c r="AR660" s="44"/>
      <c r="AS660" s="44"/>
      <c r="AT660" s="40"/>
      <c r="AU660" s="34"/>
      <c r="AV660" s="34"/>
      <c r="AW660" s="34"/>
      <c r="AX660" s="123"/>
    </row>
    <row r="661" spans="1:50" ht="24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73" t="s">
        <v>288</v>
      </c>
      <c r="AB661" s="74" t="s">
        <v>197</v>
      </c>
      <c r="AC661" s="43"/>
      <c r="AD661" s="44"/>
      <c r="AE661" s="44"/>
      <c r="AF661" s="44"/>
      <c r="AG661" s="44"/>
      <c r="AH661" s="44"/>
      <c r="AI661" s="44"/>
      <c r="AJ661" s="43"/>
      <c r="AK661" s="44"/>
      <c r="AL661" s="44"/>
      <c r="AM661" s="44"/>
      <c r="AN661" s="44"/>
      <c r="AO661" s="44"/>
      <c r="AP661" s="44"/>
      <c r="AQ661" s="44"/>
      <c r="AR661" s="44"/>
      <c r="AS661" s="44"/>
      <c r="AT661" s="40"/>
      <c r="AU661" s="34"/>
      <c r="AV661" s="34"/>
      <c r="AW661" s="34"/>
      <c r="AX661" s="123"/>
    </row>
    <row r="662" spans="1:50" ht="18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159" t="s">
        <v>967</v>
      </c>
      <c r="AB662" s="42" t="s">
        <v>439</v>
      </c>
      <c r="AC662" s="43"/>
      <c r="AD662" s="44">
        <v>0</v>
      </c>
      <c r="AE662" s="44">
        <v>0</v>
      </c>
      <c r="AF662" s="44">
        <v>0</v>
      </c>
      <c r="AG662" s="43">
        <v>76000000</v>
      </c>
      <c r="AH662" s="44">
        <v>0</v>
      </c>
      <c r="AI662" s="43">
        <f>AE662-AF662+AG662-AH662</f>
        <v>76000000</v>
      </c>
      <c r="AJ662" s="43">
        <f>AD662+AI662</f>
        <v>76000000</v>
      </c>
      <c r="AK662" s="43">
        <v>0</v>
      </c>
      <c r="AL662" s="43">
        <v>0</v>
      </c>
      <c r="AM662" s="43">
        <v>76000000</v>
      </c>
      <c r="AN662" s="44">
        <v>0</v>
      </c>
      <c r="AO662" s="44">
        <v>0</v>
      </c>
      <c r="AP662" s="44">
        <v>0</v>
      </c>
      <c r="AQ662" s="44">
        <v>0</v>
      </c>
      <c r="AR662" s="44">
        <v>0</v>
      </c>
      <c r="AS662" s="44">
        <v>0</v>
      </c>
      <c r="AT662" s="40">
        <f t="shared" ref="AT662" si="264">AQ662+AS662</f>
        <v>0</v>
      </c>
      <c r="AU662" s="34">
        <f>AJ662-AM662</f>
        <v>0</v>
      </c>
      <c r="AV662" s="18">
        <f>AM662-AP662</f>
        <v>76000000</v>
      </c>
      <c r="AW662" s="34">
        <f>AP662-AT662</f>
        <v>0</v>
      </c>
      <c r="AX662" s="123">
        <f>AP662/AJ662</f>
        <v>0</v>
      </c>
    </row>
    <row r="663" spans="1:50" ht="25.5" x14ac:dyDescent="0.2">
      <c r="AA663" s="16"/>
      <c r="AB663" s="29" t="s">
        <v>511</v>
      </c>
      <c r="AC663" s="17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34"/>
      <c r="AR663" s="34"/>
      <c r="AS663" s="34"/>
      <c r="AT663" s="40"/>
      <c r="AU663" s="18"/>
      <c r="AV663" s="18"/>
      <c r="AW663" s="18"/>
      <c r="AX663" s="18"/>
    </row>
    <row r="664" spans="1:50" ht="18.75" customHeight="1" x14ac:dyDescent="0.2">
      <c r="AA664" s="16"/>
      <c r="AB664" s="29" t="s">
        <v>285</v>
      </c>
      <c r="AC664" s="17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30"/>
      <c r="AU664" s="18"/>
      <c r="AV664" s="18"/>
      <c r="AW664" s="18"/>
      <c r="AX664" s="18"/>
    </row>
    <row r="665" spans="1:50" ht="18.75" customHeight="1" x14ac:dyDescent="0.2">
      <c r="AA665" s="16"/>
      <c r="AB665" s="29" t="s">
        <v>286</v>
      </c>
      <c r="AC665" s="17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30"/>
      <c r="AU665" s="18"/>
      <c r="AV665" s="18"/>
      <c r="AW665" s="18"/>
      <c r="AX665" s="18"/>
    </row>
    <row r="666" spans="1:50" ht="18.75" customHeight="1" x14ac:dyDescent="0.2">
      <c r="AA666" s="16"/>
      <c r="AB666" s="29" t="s">
        <v>179</v>
      </c>
      <c r="AC666" s="17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30"/>
      <c r="AU666" s="18"/>
      <c r="AV666" s="18"/>
      <c r="AW666" s="18"/>
      <c r="AX666" s="18"/>
    </row>
    <row r="667" spans="1:50" ht="18.75" customHeight="1" x14ac:dyDescent="0.2">
      <c r="AA667" s="16"/>
      <c r="AB667" s="29" t="s">
        <v>189</v>
      </c>
      <c r="AC667" s="17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30"/>
      <c r="AU667" s="18"/>
      <c r="AV667" s="18"/>
      <c r="AW667" s="18"/>
      <c r="AX667" s="18"/>
    </row>
    <row r="668" spans="1:50" ht="18.75" customHeight="1" x14ac:dyDescent="0.2">
      <c r="AA668" s="16"/>
      <c r="AB668" s="29" t="s">
        <v>199</v>
      </c>
      <c r="AC668" s="17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30"/>
      <c r="AU668" s="18"/>
      <c r="AV668" s="18"/>
      <c r="AW668" s="18"/>
      <c r="AX668" s="18"/>
    </row>
    <row r="669" spans="1:50" ht="25.5" x14ac:dyDescent="0.2">
      <c r="AA669" s="28" t="s">
        <v>288</v>
      </c>
      <c r="AB669" s="29" t="s">
        <v>512</v>
      </c>
      <c r="AC669" s="17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30"/>
      <c r="AU669" s="18"/>
      <c r="AV669" s="18"/>
      <c r="AW669" s="18"/>
      <c r="AX669" s="18"/>
    </row>
    <row r="670" spans="1:50" ht="18.75" customHeight="1" x14ac:dyDescent="0.2">
      <c r="A670" s="4" t="s">
        <v>55</v>
      </c>
      <c r="B670" s="4" t="s">
        <v>56</v>
      </c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1" t="s">
        <v>513</v>
      </c>
      <c r="AB670" s="42" t="s">
        <v>233</v>
      </c>
      <c r="AC670" s="43" t="s">
        <v>58</v>
      </c>
      <c r="AD670" s="43">
        <v>331060322</v>
      </c>
      <c r="AE670" s="44">
        <v>0</v>
      </c>
      <c r="AF670" s="44">
        <v>0</v>
      </c>
      <c r="AG670" s="44">
        <v>0</v>
      </c>
      <c r="AH670" s="44">
        <v>0</v>
      </c>
      <c r="AI670" s="44">
        <v>0</v>
      </c>
      <c r="AJ670" s="43">
        <v>331060322</v>
      </c>
      <c r="AK670" s="44">
        <v>0</v>
      </c>
      <c r="AL670" s="44">
        <v>0</v>
      </c>
      <c r="AM670" s="44">
        <v>0</v>
      </c>
      <c r="AN670" s="44">
        <v>0</v>
      </c>
      <c r="AO670" s="44">
        <v>0</v>
      </c>
      <c r="AP670" s="44">
        <v>0</v>
      </c>
      <c r="AQ670" s="34">
        <v>0</v>
      </c>
      <c r="AR670" s="34">
        <v>0</v>
      </c>
      <c r="AS670" s="34">
        <v>0</v>
      </c>
      <c r="AT670" s="40">
        <f t="shared" ref="AT670:AT674" si="265">AQ670+AS670</f>
        <v>0</v>
      </c>
      <c r="AU670" s="18">
        <f>AJ670-AM670</f>
        <v>331060322</v>
      </c>
      <c r="AV670" s="34">
        <f>AM670-AP670</f>
        <v>0</v>
      </c>
      <c r="AW670" s="34">
        <f>AP670-AT670</f>
        <v>0</v>
      </c>
      <c r="AX670" s="123">
        <f>AP670/AJ670</f>
        <v>0</v>
      </c>
    </row>
    <row r="671" spans="1:50" ht="18.75" customHeight="1" x14ac:dyDescent="0.2">
      <c r="A671" s="4" t="s">
        <v>55</v>
      </c>
      <c r="B671" s="4" t="s">
        <v>56</v>
      </c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1" t="s">
        <v>514</v>
      </c>
      <c r="AB671" s="42" t="s">
        <v>515</v>
      </c>
      <c r="AC671" s="43" t="s">
        <v>516</v>
      </c>
      <c r="AD671" s="43">
        <v>6887333116</v>
      </c>
      <c r="AE671" s="44">
        <v>0</v>
      </c>
      <c r="AF671" s="44">
        <v>0</v>
      </c>
      <c r="AG671" s="44">
        <v>0</v>
      </c>
      <c r="AH671" s="44">
        <v>0</v>
      </c>
      <c r="AI671" s="44">
        <v>0</v>
      </c>
      <c r="AJ671" s="43">
        <v>6887333116</v>
      </c>
      <c r="AK671" s="115">
        <v>0</v>
      </c>
      <c r="AL671" s="114">
        <v>489751452</v>
      </c>
      <c r="AM671" s="114">
        <v>4094308089</v>
      </c>
      <c r="AN671" s="114">
        <v>0</v>
      </c>
      <c r="AO671" s="114">
        <v>489751452</v>
      </c>
      <c r="AP671" s="114">
        <v>4094308089</v>
      </c>
      <c r="AQ671" s="18">
        <v>0</v>
      </c>
      <c r="AR671" s="110">
        <v>1545038044</v>
      </c>
      <c r="AS671" s="110">
        <v>4094308089</v>
      </c>
      <c r="AT671" s="39">
        <f t="shared" si="265"/>
        <v>4094308089</v>
      </c>
      <c r="AU671" s="18">
        <f>AJ671-AM671</f>
        <v>2793025027</v>
      </c>
      <c r="AV671" s="34">
        <f>AM671-AP671</f>
        <v>0</v>
      </c>
      <c r="AW671" s="18">
        <f>AP671-AT671</f>
        <v>0</v>
      </c>
      <c r="AX671" s="123">
        <f>AP671/AJ671</f>
        <v>0.59446929893495226</v>
      </c>
    </row>
    <row r="672" spans="1:50" x14ac:dyDescent="0.2">
      <c r="A672" s="4" t="s">
        <v>55</v>
      </c>
      <c r="B672" s="4" t="s">
        <v>56</v>
      </c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1" t="s">
        <v>517</v>
      </c>
      <c r="AB672" s="42" t="s">
        <v>518</v>
      </c>
      <c r="AC672" s="43" t="s">
        <v>428</v>
      </c>
      <c r="AD672" s="43">
        <v>263626220</v>
      </c>
      <c r="AE672" s="44">
        <v>0</v>
      </c>
      <c r="AF672" s="44">
        <v>0</v>
      </c>
      <c r="AG672" s="44">
        <v>0</v>
      </c>
      <c r="AH672" s="44">
        <v>0</v>
      </c>
      <c r="AI672" s="44">
        <v>0</v>
      </c>
      <c r="AJ672" s="43">
        <v>263626220</v>
      </c>
      <c r="AK672" s="44">
        <v>0</v>
      </c>
      <c r="AL672" s="44">
        <v>0</v>
      </c>
      <c r="AM672" s="44">
        <v>0</v>
      </c>
      <c r="AN672" s="44">
        <v>0</v>
      </c>
      <c r="AO672" s="44">
        <v>0</v>
      </c>
      <c r="AP672" s="44">
        <v>0</v>
      </c>
      <c r="AQ672" s="34">
        <v>0</v>
      </c>
      <c r="AR672" s="34">
        <v>0</v>
      </c>
      <c r="AS672" s="34">
        <v>0</v>
      </c>
      <c r="AT672" s="40">
        <f t="shared" si="265"/>
        <v>0</v>
      </c>
      <c r="AU672" s="18">
        <f>AJ672-AM672</f>
        <v>263626220</v>
      </c>
      <c r="AV672" s="34">
        <f>AM672-AP672</f>
        <v>0</v>
      </c>
      <c r="AW672" s="34">
        <f>AP672-AT672</f>
        <v>0</v>
      </c>
      <c r="AX672" s="123">
        <f>AP672/AJ672</f>
        <v>0</v>
      </c>
    </row>
    <row r="673" spans="1:50" ht="25.5" x14ac:dyDescent="0.2">
      <c r="A673" s="4" t="s">
        <v>55</v>
      </c>
      <c r="B673" s="4" t="s">
        <v>56</v>
      </c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1" t="s">
        <v>519</v>
      </c>
      <c r="AB673" s="42" t="s">
        <v>520</v>
      </c>
      <c r="AC673" s="43" t="s">
        <v>368</v>
      </c>
      <c r="AD673" s="43">
        <v>6200094.4000000004</v>
      </c>
      <c r="AE673" s="44">
        <v>0</v>
      </c>
      <c r="AF673" s="44">
        <v>0</v>
      </c>
      <c r="AG673" s="44">
        <v>0</v>
      </c>
      <c r="AH673" s="44">
        <v>0</v>
      </c>
      <c r="AI673" s="44">
        <v>0</v>
      </c>
      <c r="AJ673" s="43">
        <v>6200094.4000000004</v>
      </c>
      <c r="AK673" s="44">
        <v>0</v>
      </c>
      <c r="AL673" s="44">
        <v>0</v>
      </c>
      <c r="AM673" s="44">
        <v>0</v>
      </c>
      <c r="AN673" s="44">
        <v>0</v>
      </c>
      <c r="AO673" s="44">
        <v>0</v>
      </c>
      <c r="AP673" s="44">
        <v>0</v>
      </c>
      <c r="AQ673" s="34">
        <v>0</v>
      </c>
      <c r="AR673" s="34">
        <v>0</v>
      </c>
      <c r="AS673" s="34">
        <v>0</v>
      </c>
      <c r="AT673" s="40">
        <f t="shared" si="265"/>
        <v>0</v>
      </c>
      <c r="AU673" s="18">
        <f>AJ673-AM673</f>
        <v>6200094.4000000004</v>
      </c>
      <c r="AV673" s="34">
        <f>AM673-AP673</f>
        <v>0</v>
      </c>
      <c r="AW673" s="34">
        <f>AP673-AT673</f>
        <v>0</v>
      </c>
      <c r="AX673" s="123">
        <f>AP673/AJ673</f>
        <v>0</v>
      </c>
    </row>
    <row r="674" spans="1:50" ht="25.5" x14ac:dyDescent="0.2">
      <c r="A674" s="4" t="s">
        <v>55</v>
      </c>
      <c r="B674" s="4" t="s">
        <v>56</v>
      </c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1" t="s">
        <v>521</v>
      </c>
      <c r="AB674" s="42" t="s">
        <v>522</v>
      </c>
      <c r="AC674" s="43" t="s">
        <v>368</v>
      </c>
      <c r="AD674" s="43">
        <v>112310609.13</v>
      </c>
      <c r="AE674" s="44">
        <v>0</v>
      </c>
      <c r="AF674" s="44">
        <v>0</v>
      </c>
      <c r="AG674" s="44">
        <v>0</v>
      </c>
      <c r="AH674" s="44">
        <v>0</v>
      </c>
      <c r="AI674" s="44">
        <v>0</v>
      </c>
      <c r="AJ674" s="43">
        <v>112310609.13</v>
      </c>
      <c r="AK674" s="44">
        <v>0</v>
      </c>
      <c r="AL674" s="44">
        <v>0</v>
      </c>
      <c r="AM674" s="44">
        <v>0</v>
      </c>
      <c r="AN674" s="44">
        <v>0</v>
      </c>
      <c r="AO674" s="44">
        <v>0</v>
      </c>
      <c r="AP674" s="44">
        <v>0</v>
      </c>
      <c r="AQ674" s="34">
        <v>0</v>
      </c>
      <c r="AR674" s="34">
        <v>0</v>
      </c>
      <c r="AS674" s="34">
        <v>0</v>
      </c>
      <c r="AT674" s="40">
        <f t="shared" si="265"/>
        <v>0</v>
      </c>
      <c r="AU674" s="18">
        <f>AJ674-AM674</f>
        <v>112310609.13</v>
      </c>
      <c r="AV674" s="34">
        <f>AM674-AP674</f>
        <v>0</v>
      </c>
      <c r="AW674" s="34">
        <f>AP674-AT674</f>
        <v>0</v>
      </c>
      <c r="AX674" s="123">
        <f>AP674/AJ674</f>
        <v>0</v>
      </c>
    </row>
    <row r="675" spans="1:50" ht="18.75" customHeight="1" x14ac:dyDescent="0.2">
      <c r="AA675" s="16"/>
      <c r="AB675" s="17"/>
      <c r="AC675" s="17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34"/>
      <c r="AR675" s="34"/>
      <c r="AS675" s="34"/>
      <c r="AT675" s="40"/>
      <c r="AU675" s="18"/>
      <c r="AV675" s="18"/>
      <c r="AW675" s="18"/>
      <c r="AX675" s="18"/>
    </row>
    <row r="676" spans="1:50" ht="18.75" customHeight="1" x14ac:dyDescent="0.2">
      <c r="AA676" s="16"/>
      <c r="AB676" s="29" t="s">
        <v>523</v>
      </c>
      <c r="AC676" s="17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34"/>
      <c r="AR676" s="34"/>
      <c r="AS676" s="34"/>
      <c r="AT676" s="40"/>
      <c r="AU676" s="18"/>
      <c r="AV676" s="18"/>
      <c r="AW676" s="18"/>
      <c r="AX676" s="18"/>
    </row>
    <row r="677" spans="1:50" ht="18.75" customHeight="1" x14ac:dyDescent="0.2">
      <c r="AA677" s="16"/>
      <c r="AB677" s="29" t="s">
        <v>285</v>
      </c>
      <c r="AC677" s="17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34"/>
      <c r="AR677" s="34"/>
      <c r="AS677" s="34"/>
      <c r="AT677" s="40"/>
      <c r="AU677" s="18"/>
      <c r="AV677" s="18"/>
      <c r="AW677" s="18"/>
      <c r="AX677" s="18"/>
    </row>
    <row r="678" spans="1:50" ht="18.75" customHeight="1" x14ac:dyDescent="0.2">
      <c r="AA678" s="16"/>
      <c r="AB678" s="29" t="s">
        <v>286</v>
      </c>
      <c r="AC678" s="17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34"/>
      <c r="AR678" s="34"/>
      <c r="AS678" s="34"/>
      <c r="AT678" s="40"/>
      <c r="AU678" s="18"/>
      <c r="AV678" s="18"/>
      <c r="AW678" s="18"/>
      <c r="AX678" s="18"/>
    </row>
    <row r="679" spans="1:50" ht="18.75" customHeight="1" x14ac:dyDescent="0.2">
      <c r="AA679" s="16"/>
      <c r="AB679" s="29" t="s">
        <v>179</v>
      </c>
      <c r="AC679" s="17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34"/>
      <c r="AR679" s="34"/>
      <c r="AS679" s="34"/>
      <c r="AT679" s="40"/>
      <c r="AU679" s="18"/>
      <c r="AV679" s="18"/>
      <c r="AW679" s="18"/>
      <c r="AX679" s="18"/>
    </row>
    <row r="680" spans="1:50" ht="18.75" customHeight="1" x14ac:dyDescent="0.2">
      <c r="AA680" s="16"/>
      <c r="AB680" s="29" t="s">
        <v>189</v>
      </c>
      <c r="AC680" s="17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34"/>
      <c r="AR680" s="34"/>
      <c r="AS680" s="34"/>
      <c r="AT680" s="40"/>
      <c r="AU680" s="18"/>
      <c r="AV680" s="18"/>
      <c r="AW680" s="18"/>
      <c r="AX680" s="18"/>
    </row>
    <row r="681" spans="1:50" ht="18.75" customHeight="1" x14ac:dyDescent="0.2">
      <c r="AA681" s="16"/>
      <c r="AB681" s="29" t="s">
        <v>191</v>
      </c>
      <c r="AC681" s="17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34"/>
      <c r="AR681" s="34"/>
      <c r="AS681" s="34"/>
      <c r="AT681" s="40"/>
      <c r="AU681" s="18"/>
      <c r="AV681" s="18"/>
      <c r="AW681" s="18"/>
      <c r="AX681" s="18"/>
    </row>
    <row r="682" spans="1:50" ht="18.75" customHeight="1" x14ac:dyDescent="0.2">
      <c r="AA682" s="28" t="s">
        <v>288</v>
      </c>
      <c r="AB682" s="29" t="s">
        <v>459</v>
      </c>
      <c r="AC682" s="17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34"/>
      <c r="AR682" s="34"/>
      <c r="AS682" s="34"/>
      <c r="AT682" s="40"/>
      <c r="AU682" s="18"/>
      <c r="AV682" s="18"/>
      <c r="AW682" s="18"/>
      <c r="AX682" s="18"/>
    </row>
    <row r="683" spans="1:50" ht="25.5" x14ac:dyDescent="0.2">
      <c r="A683" s="4" t="s">
        <v>55</v>
      </c>
      <c r="B683" s="4" t="s">
        <v>56</v>
      </c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1" t="s">
        <v>524</v>
      </c>
      <c r="AB683" s="42" t="s">
        <v>525</v>
      </c>
      <c r="AC683" s="43" t="s">
        <v>428</v>
      </c>
      <c r="AD683" s="43">
        <v>47990790</v>
      </c>
      <c r="AE683" s="44">
        <v>0</v>
      </c>
      <c r="AF683" s="44">
        <v>0</v>
      </c>
      <c r="AG683" s="44">
        <v>0</v>
      </c>
      <c r="AH683" s="44">
        <v>0</v>
      </c>
      <c r="AI683" s="44">
        <v>0</v>
      </c>
      <c r="AJ683" s="43">
        <v>47990790</v>
      </c>
      <c r="AK683" s="44">
        <v>0</v>
      </c>
      <c r="AL683" s="44">
        <v>0</v>
      </c>
      <c r="AM683" s="44">
        <v>0</v>
      </c>
      <c r="AN683" s="44">
        <v>0</v>
      </c>
      <c r="AO683" s="44">
        <v>0</v>
      </c>
      <c r="AP683" s="44">
        <v>0</v>
      </c>
      <c r="AQ683" s="34">
        <v>0</v>
      </c>
      <c r="AR683" s="34">
        <v>0</v>
      </c>
      <c r="AS683" s="34">
        <v>0</v>
      </c>
      <c r="AT683" s="40">
        <f t="shared" ref="AT683:AT685" si="266">AQ683+AS683</f>
        <v>0</v>
      </c>
      <c r="AU683" s="18">
        <f>AJ683-AM683</f>
        <v>47990790</v>
      </c>
      <c r="AV683" s="34">
        <f>AM683-AP683</f>
        <v>0</v>
      </c>
      <c r="AW683" s="34">
        <f>AP683-AT683</f>
        <v>0</v>
      </c>
      <c r="AX683" s="123">
        <f>AP683/AJ683</f>
        <v>0</v>
      </c>
    </row>
    <row r="684" spans="1:50" ht="25.5" x14ac:dyDescent="0.2">
      <c r="A684" s="4" t="s">
        <v>55</v>
      </c>
      <c r="B684" s="4" t="s">
        <v>56</v>
      </c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1" t="s">
        <v>526</v>
      </c>
      <c r="AB684" s="42" t="s">
        <v>527</v>
      </c>
      <c r="AC684" s="43" t="s">
        <v>428</v>
      </c>
      <c r="AD684" s="43">
        <v>1098509998.8599999</v>
      </c>
      <c r="AE684" s="44">
        <v>0</v>
      </c>
      <c r="AF684" s="44">
        <v>0</v>
      </c>
      <c r="AG684" s="44">
        <v>0</v>
      </c>
      <c r="AH684" s="44">
        <v>0</v>
      </c>
      <c r="AI684" s="44">
        <v>0</v>
      </c>
      <c r="AJ684" s="43">
        <v>1098509998.8599999</v>
      </c>
      <c r="AK684" s="44">
        <v>0</v>
      </c>
      <c r="AL684" s="44">
        <v>0</v>
      </c>
      <c r="AM684" s="44">
        <v>0</v>
      </c>
      <c r="AN684" s="44">
        <v>0</v>
      </c>
      <c r="AO684" s="44">
        <v>0</v>
      </c>
      <c r="AP684" s="44">
        <v>0</v>
      </c>
      <c r="AQ684" s="34">
        <v>0</v>
      </c>
      <c r="AR684" s="34">
        <v>0</v>
      </c>
      <c r="AS684" s="34">
        <v>0</v>
      </c>
      <c r="AT684" s="40">
        <f t="shared" si="266"/>
        <v>0</v>
      </c>
      <c r="AU684" s="18">
        <f>AJ684-AM684</f>
        <v>1098509998.8599999</v>
      </c>
      <c r="AV684" s="34">
        <f>AM684-AP684</f>
        <v>0</v>
      </c>
      <c r="AW684" s="34">
        <f>AP684-AT684</f>
        <v>0</v>
      </c>
      <c r="AX684" s="123">
        <f>AP684/AJ684</f>
        <v>0</v>
      </c>
    </row>
    <row r="685" spans="1:50" ht="25.5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173" t="s">
        <v>1071</v>
      </c>
      <c r="AB685" s="218" t="s">
        <v>1072</v>
      </c>
      <c r="AC685" s="43"/>
      <c r="AD685" s="44">
        <v>0</v>
      </c>
      <c r="AE685" s="43">
        <v>1788940976.47</v>
      </c>
      <c r="AF685" s="44">
        <v>0</v>
      </c>
      <c r="AG685" s="44">
        <v>0</v>
      </c>
      <c r="AH685" s="44">
        <v>0</v>
      </c>
      <c r="AI685" s="43">
        <f>AE685-AF685+AG685-AH685</f>
        <v>1788940976.47</v>
      </c>
      <c r="AJ685" s="43">
        <f>AD685+AI685</f>
        <v>1788940976.47</v>
      </c>
      <c r="AK685" s="44">
        <v>0</v>
      </c>
      <c r="AL685" s="44">
        <v>0</v>
      </c>
      <c r="AM685" s="44">
        <v>0</v>
      </c>
      <c r="AN685" s="44">
        <v>0</v>
      </c>
      <c r="AO685" s="44">
        <v>0</v>
      </c>
      <c r="AP685" s="44">
        <v>0</v>
      </c>
      <c r="AQ685" s="34">
        <v>0</v>
      </c>
      <c r="AR685" s="34">
        <v>0</v>
      </c>
      <c r="AS685" s="34">
        <v>0</v>
      </c>
      <c r="AT685" s="111">
        <f t="shared" si="266"/>
        <v>0</v>
      </c>
      <c r="AU685" s="18">
        <f>AJ685-AM685</f>
        <v>1788940976.47</v>
      </c>
      <c r="AV685" s="34">
        <f>AM685-AP685</f>
        <v>0</v>
      </c>
      <c r="AW685" s="34">
        <f>AP685-AT685</f>
        <v>0</v>
      </c>
      <c r="AX685" s="123">
        <f>AP685/AJ685</f>
        <v>0</v>
      </c>
    </row>
    <row r="686" spans="1:50" x14ac:dyDescent="0.2">
      <c r="AA686" s="16"/>
      <c r="AB686" s="17"/>
      <c r="AC686" s="17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30"/>
      <c r="AU686" s="18"/>
      <c r="AV686" s="18"/>
      <c r="AW686" s="18"/>
      <c r="AX686" s="18"/>
    </row>
    <row r="687" spans="1:50" s="50" customFormat="1" ht="18.75" customHeight="1" x14ac:dyDescent="0.2"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46"/>
      <c r="AB687" s="47" t="s">
        <v>528</v>
      </c>
      <c r="AC687" s="47"/>
      <c r="AD687" s="48">
        <f t="shared" ref="AD687:AW687" si="267">SUM(AD523:AD685)</f>
        <v>94071374538</v>
      </c>
      <c r="AE687" s="48">
        <f t="shared" si="267"/>
        <v>159147230628.87003</v>
      </c>
      <c r="AF687" s="49">
        <f t="shared" si="267"/>
        <v>0</v>
      </c>
      <c r="AG687" s="48">
        <f t="shared" si="267"/>
        <v>54456777160.590004</v>
      </c>
      <c r="AH687" s="48">
        <f t="shared" si="267"/>
        <v>52900777160.590004</v>
      </c>
      <c r="AI687" s="48">
        <f t="shared" si="267"/>
        <v>160703230628.87003</v>
      </c>
      <c r="AJ687" s="48">
        <f t="shared" si="267"/>
        <v>254774605166.87</v>
      </c>
      <c r="AK687" s="48">
        <f t="shared" si="267"/>
        <v>0</v>
      </c>
      <c r="AL687" s="48">
        <f t="shared" si="267"/>
        <v>18388521794.059998</v>
      </c>
      <c r="AM687" s="48">
        <f t="shared" si="267"/>
        <v>119409221016.31</v>
      </c>
      <c r="AN687" s="48">
        <f t="shared" si="267"/>
        <v>1417307783</v>
      </c>
      <c r="AO687" s="48">
        <f t="shared" si="267"/>
        <v>4408620675.5900002</v>
      </c>
      <c r="AP687" s="48">
        <f t="shared" si="267"/>
        <v>62410540560.859993</v>
      </c>
      <c r="AQ687" s="48">
        <f t="shared" si="267"/>
        <v>940335258.89999998</v>
      </c>
      <c r="AR687" s="48">
        <f t="shared" si="267"/>
        <v>6144207053.6499996</v>
      </c>
      <c r="AS687" s="48">
        <f t="shared" si="267"/>
        <v>19500920521.209999</v>
      </c>
      <c r="AT687" s="48">
        <f t="shared" si="267"/>
        <v>20441255780.110001</v>
      </c>
      <c r="AU687" s="48">
        <f t="shared" si="267"/>
        <v>135365384150.56</v>
      </c>
      <c r="AV687" s="48">
        <f t="shared" si="267"/>
        <v>56998680455.449997</v>
      </c>
      <c r="AW687" s="48">
        <f t="shared" si="267"/>
        <v>41969284780.75</v>
      </c>
      <c r="AX687" s="24">
        <f>AP687/AJ687</f>
        <v>0.2449637416569948</v>
      </c>
    </row>
    <row r="688" spans="1:50" ht="18.75" customHeight="1" x14ac:dyDescent="0.2">
      <c r="AA688" s="16"/>
      <c r="AB688" s="17"/>
      <c r="AC688" s="17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</row>
    <row r="689" spans="1:50" s="25" customFormat="1" ht="18.75" customHeight="1" x14ac:dyDescent="0.2"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66"/>
      <c r="AB689" s="21" t="s">
        <v>529</v>
      </c>
      <c r="AC689" s="67"/>
      <c r="AD689" s="63"/>
      <c r="AE689" s="63"/>
      <c r="AF689" s="63"/>
      <c r="AG689" s="63"/>
      <c r="AH689" s="63"/>
      <c r="AI689" s="63"/>
      <c r="AJ689" s="63"/>
      <c r="AK689" s="63"/>
      <c r="AL689" s="63"/>
      <c r="AM689" s="63"/>
      <c r="AN689" s="63"/>
      <c r="AO689" s="63"/>
      <c r="AP689" s="63"/>
      <c r="AQ689" s="63"/>
      <c r="AR689" s="63"/>
      <c r="AS689" s="63"/>
      <c r="AT689" s="63"/>
      <c r="AU689" s="63"/>
      <c r="AV689" s="63"/>
      <c r="AW689" s="63"/>
      <c r="AX689" s="63"/>
    </row>
    <row r="690" spans="1:50" ht="18.75" customHeight="1" x14ac:dyDescent="0.2">
      <c r="AA690" s="16"/>
      <c r="AB690" s="29" t="s">
        <v>286</v>
      </c>
      <c r="AC690" s="17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</row>
    <row r="691" spans="1:50" ht="18.75" customHeight="1" x14ac:dyDescent="0.2">
      <c r="AA691" s="41" t="s">
        <v>1219</v>
      </c>
      <c r="AB691" s="29" t="s">
        <v>575</v>
      </c>
      <c r="AC691" s="17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</row>
    <row r="692" spans="1:50" ht="18.75" customHeight="1" x14ac:dyDescent="0.2">
      <c r="AA692" s="73" t="s">
        <v>288</v>
      </c>
      <c r="AB692" s="29" t="s">
        <v>1220</v>
      </c>
      <c r="AC692" s="17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</row>
    <row r="693" spans="1:50" ht="18.75" customHeight="1" x14ac:dyDescent="0.2">
      <c r="AA693" s="41" t="s">
        <v>1221</v>
      </c>
      <c r="AB693" s="38" t="s">
        <v>961</v>
      </c>
      <c r="AC693" s="17"/>
      <c r="AD693" s="34">
        <v>0</v>
      </c>
      <c r="AE693" s="34">
        <v>0</v>
      </c>
      <c r="AF693" s="34">
        <v>0</v>
      </c>
      <c r="AG693" s="18">
        <v>374200000</v>
      </c>
      <c r="AH693" s="137">
        <v>0</v>
      </c>
      <c r="AI693" s="43">
        <f>AE693-AF693+AG693-AH693</f>
        <v>374200000</v>
      </c>
      <c r="AJ693" s="43">
        <f>AD693+AI693</f>
        <v>374200000</v>
      </c>
      <c r="AK693" s="34">
        <v>0</v>
      </c>
      <c r="AL693" s="34">
        <v>0</v>
      </c>
      <c r="AM693" s="34">
        <v>0</v>
      </c>
      <c r="AN693" s="34">
        <v>0</v>
      </c>
      <c r="AO693" s="34">
        <v>0</v>
      </c>
      <c r="AP693" s="34">
        <v>0</v>
      </c>
      <c r="AQ693" s="34">
        <v>0</v>
      </c>
      <c r="AR693" s="34">
        <v>0</v>
      </c>
      <c r="AS693" s="34">
        <v>0</v>
      </c>
      <c r="AT693" s="40">
        <f t="shared" ref="AT693" si="268">AQ693+AS693</f>
        <v>0</v>
      </c>
      <c r="AU693" s="18">
        <f>AJ693-AM693</f>
        <v>374200000</v>
      </c>
      <c r="AV693" s="34">
        <f>AM693-AP693</f>
        <v>0</v>
      </c>
      <c r="AW693" s="34">
        <f>AP693-AT693</f>
        <v>0</v>
      </c>
      <c r="AX693" s="123">
        <f>AP693/AJ693</f>
        <v>0</v>
      </c>
    </row>
    <row r="694" spans="1:50" ht="18.75" customHeight="1" x14ac:dyDescent="0.2">
      <c r="AA694" s="16"/>
      <c r="AB694" s="29" t="s">
        <v>179</v>
      </c>
      <c r="AC694" s="17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</row>
    <row r="695" spans="1:50" ht="18.75" customHeight="1" x14ac:dyDescent="0.2">
      <c r="AA695" s="16"/>
      <c r="AB695" s="29" t="s">
        <v>181</v>
      </c>
      <c r="AC695" s="17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</row>
    <row r="696" spans="1:50" x14ac:dyDescent="0.2">
      <c r="AA696" s="16"/>
      <c r="AB696" s="29" t="s">
        <v>530</v>
      </c>
      <c r="AC696" s="17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30"/>
      <c r="AU696" s="18"/>
      <c r="AV696" s="18"/>
      <c r="AW696" s="18"/>
      <c r="AX696" s="18"/>
    </row>
    <row r="697" spans="1:50" ht="25.5" x14ac:dyDescent="0.2">
      <c r="AA697" s="28" t="s">
        <v>288</v>
      </c>
      <c r="AB697" s="29" t="s">
        <v>531</v>
      </c>
      <c r="AC697" s="17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30"/>
      <c r="AU697" s="18"/>
      <c r="AV697" s="18"/>
      <c r="AW697" s="18"/>
      <c r="AX697" s="18"/>
    </row>
    <row r="698" spans="1:50" x14ac:dyDescent="0.2">
      <c r="A698" s="4" t="s">
        <v>55</v>
      </c>
      <c r="B698" s="4" t="s">
        <v>56</v>
      </c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1" t="s">
        <v>532</v>
      </c>
      <c r="AB698" s="42" t="s">
        <v>233</v>
      </c>
      <c r="AC698" s="43" t="s">
        <v>58</v>
      </c>
      <c r="AD698" s="43">
        <v>40000000.659999996</v>
      </c>
      <c r="AE698" s="44">
        <v>0</v>
      </c>
      <c r="AF698" s="44">
        <v>0</v>
      </c>
      <c r="AG698" s="43">
        <v>250000000</v>
      </c>
      <c r="AH698" s="43">
        <v>70000000</v>
      </c>
      <c r="AI698" s="43">
        <f>AE698-AF698+AG698-AH698</f>
        <v>180000000</v>
      </c>
      <c r="AJ698" s="43">
        <f>AD698+AI698</f>
        <v>220000000.66</v>
      </c>
      <c r="AK698" s="44">
        <v>0</v>
      </c>
      <c r="AL698" s="43">
        <v>178103175</v>
      </c>
      <c r="AM698" s="43">
        <v>178103175</v>
      </c>
      <c r="AN698" s="44">
        <v>0</v>
      </c>
      <c r="AO698" s="44">
        <v>0</v>
      </c>
      <c r="AP698" s="44">
        <v>0</v>
      </c>
      <c r="AQ698" s="34">
        <v>0</v>
      </c>
      <c r="AR698" s="34">
        <v>0</v>
      </c>
      <c r="AS698" s="34">
        <v>0</v>
      </c>
      <c r="AT698" s="40">
        <f t="shared" ref="AT698:AT700" si="269">AQ698+AS698</f>
        <v>0</v>
      </c>
      <c r="AU698" s="18">
        <f>AJ698-AM698</f>
        <v>41896825.659999996</v>
      </c>
      <c r="AV698" s="18">
        <f>AM698-AP698</f>
        <v>178103175</v>
      </c>
      <c r="AW698" s="34">
        <f>AP698-AT698</f>
        <v>0</v>
      </c>
      <c r="AX698" s="123">
        <f>AP698/AJ698</f>
        <v>0</v>
      </c>
    </row>
    <row r="699" spans="1:50" ht="25.5" x14ac:dyDescent="0.2">
      <c r="AA699" s="28" t="s">
        <v>288</v>
      </c>
      <c r="AB699" s="29" t="s">
        <v>533</v>
      </c>
      <c r="AC699" s="17"/>
      <c r="AD699" s="18"/>
      <c r="AE699" s="34"/>
      <c r="AF699" s="34"/>
      <c r="AG699" s="34"/>
      <c r="AH699" s="34"/>
      <c r="AI699" s="34"/>
      <c r="AJ699" s="18"/>
      <c r="AK699" s="18"/>
      <c r="AL699" s="18"/>
      <c r="AM699" s="18"/>
      <c r="AN699" s="18"/>
      <c r="AO699" s="18"/>
      <c r="AP699" s="18"/>
      <c r="AQ699" s="34"/>
      <c r="AR699" s="34"/>
      <c r="AS699" s="34"/>
      <c r="AT699" s="40"/>
      <c r="AU699" s="18"/>
      <c r="AV699" s="18"/>
      <c r="AW699" s="18"/>
      <c r="AX699" s="123"/>
    </row>
    <row r="700" spans="1:50" x14ac:dyDescent="0.2">
      <c r="A700" s="4" t="s">
        <v>55</v>
      </c>
      <c r="B700" s="4" t="s">
        <v>56</v>
      </c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1" t="s">
        <v>534</v>
      </c>
      <c r="AB700" s="42" t="s">
        <v>233</v>
      </c>
      <c r="AC700" s="43" t="s">
        <v>58</v>
      </c>
      <c r="AD700" s="43">
        <v>100000000</v>
      </c>
      <c r="AE700" s="44">
        <v>0</v>
      </c>
      <c r="AF700" s="44">
        <v>0</v>
      </c>
      <c r="AG700" s="44">
        <v>0</v>
      </c>
      <c r="AH700" s="44">
        <v>0</v>
      </c>
      <c r="AI700" s="44">
        <v>0</v>
      </c>
      <c r="AJ700" s="43">
        <v>100000000</v>
      </c>
      <c r="AK700" s="44">
        <v>0</v>
      </c>
      <c r="AL700" s="43">
        <v>0</v>
      </c>
      <c r="AM700" s="43">
        <v>47672742</v>
      </c>
      <c r="AN700" s="44">
        <v>0</v>
      </c>
      <c r="AO700" s="44">
        <v>47672742</v>
      </c>
      <c r="AP700" s="44">
        <v>47672742</v>
      </c>
      <c r="AQ700" s="34">
        <v>0</v>
      </c>
      <c r="AR700" s="34">
        <v>0</v>
      </c>
      <c r="AS700" s="34">
        <v>0</v>
      </c>
      <c r="AT700" s="40">
        <f t="shared" si="269"/>
        <v>0</v>
      </c>
      <c r="AU700" s="18">
        <f>AJ700-AM700</f>
        <v>52327258</v>
      </c>
      <c r="AV700" s="34">
        <f>AM700-AP700</f>
        <v>0</v>
      </c>
      <c r="AW700" s="18">
        <f>AP700-AT700</f>
        <v>47672742</v>
      </c>
      <c r="AX700" s="123">
        <f>AP700/AJ700</f>
        <v>0.47672742000000001</v>
      </c>
    </row>
    <row r="701" spans="1:50" ht="25.5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73" t="s">
        <v>288</v>
      </c>
      <c r="AB701" s="74" t="s">
        <v>1257</v>
      </c>
      <c r="AC701" s="43"/>
      <c r="AD701" s="43"/>
      <c r="AE701" s="44"/>
      <c r="AF701" s="44"/>
      <c r="AG701" s="44"/>
      <c r="AH701" s="44"/>
      <c r="AI701" s="44"/>
      <c r="AJ701" s="43"/>
      <c r="AK701" s="44"/>
      <c r="AL701" s="43"/>
      <c r="AM701" s="43"/>
      <c r="AN701" s="44"/>
      <c r="AO701" s="44"/>
      <c r="AP701" s="44"/>
      <c r="AQ701" s="34"/>
      <c r="AR701" s="34"/>
      <c r="AS701" s="34"/>
      <c r="AT701" s="40"/>
      <c r="AU701" s="18"/>
      <c r="AV701" s="34"/>
      <c r="AW701" s="34"/>
      <c r="AX701" s="123"/>
    </row>
    <row r="702" spans="1:50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1" t="s">
        <v>1258</v>
      </c>
      <c r="AB702" s="42" t="s">
        <v>961</v>
      </c>
      <c r="AC702" s="43"/>
      <c r="AD702" s="43">
        <v>0</v>
      </c>
      <c r="AE702" s="44">
        <v>0</v>
      </c>
      <c r="AF702" s="44">
        <v>0</v>
      </c>
      <c r="AG702" s="43">
        <v>200000000</v>
      </c>
      <c r="AH702" s="44"/>
      <c r="AI702" s="43">
        <f>AE702-AF702+AG702-AH702</f>
        <v>200000000</v>
      </c>
      <c r="AJ702" s="43">
        <f>AD702+AI702</f>
        <v>200000000</v>
      </c>
      <c r="AK702" s="44">
        <v>0</v>
      </c>
      <c r="AL702" s="43">
        <v>0</v>
      </c>
      <c r="AM702" s="43">
        <v>0</v>
      </c>
      <c r="AN702" s="44">
        <v>0</v>
      </c>
      <c r="AO702" s="44">
        <v>0</v>
      </c>
      <c r="AP702" s="44">
        <v>0</v>
      </c>
      <c r="AQ702" s="34">
        <v>0</v>
      </c>
      <c r="AR702" s="34">
        <v>0</v>
      </c>
      <c r="AS702" s="34">
        <v>0</v>
      </c>
      <c r="AT702" s="40">
        <f t="shared" ref="AT702" si="270">AQ702+AS702</f>
        <v>0</v>
      </c>
      <c r="AU702" s="18">
        <f>AJ702-AM702</f>
        <v>200000000</v>
      </c>
      <c r="AV702" s="34">
        <f>AM702-AP702</f>
        <v>0</v>
      </c>
      <c r="AW702" s="34">
        <f>AP702-AT702</f>
        <v>0</v>
      </c>
      <c r="AX702" s="123">
        <f>AP702/AJ702</f>
        <v>0</v>
      </c>
    </row>
    <row r="703" spans="1:50" x14ac:dyDescent="0.2">
      <c r="AA703" s="16"/>
      <c r="AB703" s="17"/>
      <c r="AC703" s="17"/>
      <c r="AD703" s="18"/>
      <c r="AE703" s="34"/>
      <c r="AF703" s="34"/>
      <c r="AG703" s="34"/>
      <c r="AH703" s="34"/>
      <c r="AI703" s="34"/>
      <c r="AJ703" s="18"/>
      <c r="AK703" s="34"/>
      <c r="AL703" s="34"/>
      <c r="AM703" s="34"/>
      <c r="AN703" s="34"/>
      <c r="AO703" s="34"/>
      <c r="AP703" s="34"/>
      <c r="AQ703" s="18"/>
      <c r="AR703" s="18"/>
      <c r="AS703" s="18"/>
      <c r="AT703" s="31"/>
      <c r="AU703" s="18"/>
      <c r="AV703" s="34"/>
      <c r="AW703" s="34"/>
      <c r="AX703" s="18"/>
    </row>
    <row r="704" spans="1:50" ht="25.5" x14ac:dyDescent="0.2">
      <c r="AA704" s="16"/>
      <c r="AB704" s="29" t="s">
        <v>183</v>
      </c>
      <c r="AC704" s="17"/>
      <c r="AD704" s="18"/>
      <c r="AE704" s="34"/>
      <c r="AF704" s="34"/>
      <c r="AG704" s="34"/>
      <c r="AH704" s="34"/>
      <c r="AI704" s="34"/>
      <c r="AJ704" s="18"/>
      <c r="AK704" s="34"/>
      <c r="AL704" s="34"/>
      <c r="AM704" s="34"/>
      <c r="AN704" s="34"/>
      <c r="AO704" s="34"/>
      <c r="AP704" s="34"/>
      <c r="AQ704" s="18"/>
      <c r="AR704" s="18"/>
      <c r="AS704" s="18"/>
      <c r="AT704" s="31"/>
      <c r="AU704" s="18"/>
      <c r="AV704" s="34"/>
      <c r="AW704" s="34"/>
      <c r="AX704" s="18"/>
    </row>
    <row r="705" spans="1:50" ht="25.5" x14ac:dyDescent="0.2">
      <c r="AA705" s="28" t="s">
        <v>288</v>
      </c>
      <c r="AB705" s="29" t="s">
        <v>535</v>
      </c>
      <c r="AC705" s="17"/>
      <c r="AD705" s="18"/>
      <c r="AE705" s="34"/>
      <c r="AF705" s="34"/>
      <c r="AG705" s="34"/>
      <c r="AH705" s="34"/>
      <c r="AI705" s="34"/>
      <c r="AJ705" s="18"/>
      <c r="AK705" s="34"/>
      <c r="AL705" s="34"/>
      <c r="AM705" s="34"/>
      <c r="AN705" s="34"/>
      <c r="AO705" s="34"/>
      <c r="AP705" s="34"/>
      <c r="AQ705" s="18"/>
      <c r="AR705" s="18"/>
      <c r="AS705" s="18"/>
      <c r="AT705" s="31"/>
      <c r="AU705" s="18"/>
      <c r="AV705" s="34"/>
      <c r="AW705" s="34"/>
      <c r="AX705" s="18"/>
    </row>
    <row r="706" spans="1:50" x14ac:dyDescent="0.2">
      <c r="A706" s="4" t="s">
        <v>55</v>
      </c>
      <c r="B706" s="4" t="s">
        <v>56</v>
      </c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1" t="s">
        <v>536</v>
      </c>
      <c r="AB706" s="42" t="s">
        <v>233</v>
      </c>
      <c r="AC706" s="43" t="s">
        <v>58</v>
      </c>
      <c r="AD706" s="43">
        <v>246000000</v>
      </c>
      <c r="AE706" s="44">
        <v>0</v>
      </c>
      <c r="AF706" s="44">
        <v>0</v>
      </c>
      <c r="AG706" s="43">
        <v>200000000</v>
      </c>
      <c r="AH706" s="44">
        <v>0</v>
      </c>
      <c r="AI706" s="43">
        <f>AE706-AF706+AG706-AH706</f>
        <v>200000000</v>
      </c>
      <c r="AJ706" s="43">
        <f>AD706+AI706</f>
        <v>446000000</v>
      </c>
      <c r="AK706" s="44">
        <v>0</v>
      </c>
      <c r="AL706" s="44">
        <v>0</v>
      </c>
      <c r="AM706" s="43">
        <v>446000000</v>
      </c>
      <c r="AN706" s="44">
        <v>0</v>
      </c>
      <c r="AO706" s="43">
        <v>446000000</v>
      </c>
      <c r="AP706" s="43">
        <v>446000000</v>
      </c>
      <c r="AQ706" s="44">
        <v>0</v>
      </c>
      <c r="AR706" s="44">
        <v>0</v>
      </c>
      <c r="AS706" s="44">
        <v>0</v>
      </c>
      <c r="AT706" s="40">
        <f t="shared" ref="AT706:AT709" si="271">AQ706+AS706</f>
        <v>0</v>
      </c>
      <c r="AU706" s="18">
        <f>AJ706-AM706</f>
        <v>0</v>
      </c>
      <c r="AV706" s="34">
        <f>AM706-AP706</f>
        <v>0</v>
      </c>
      <c r="AW706" s="18">
        <f>AP706-AT706</f>
        <v>446000000</v>
      </c>
      <c r="AX706" s="123">
        <f>AP706/AJ706</f>
        <v>1</v>
      </c>
    </row>
    <row r="707" spans="1:50" x14ac:dyDescent="0.2">
      <c r="A707" s="4" t="s">
        <v>55</v>
      </c>
      <c r="B707" s="4" t="s">
        <v>56</v>
      </c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1" t="s">
        <v>537</v>
      </c>
      <c r="AB707" s="42" t="s">
        <v>538</v>
      </c>
      <c r="AC707" s="43" t="s">
        <v>253</v>
      </c>
      <c r="AD707" s="43">
        <v>603350727</v>
      </c>
      <c r="AE707" s="44">
        <v>0</v>
      </c>
      <c r="AF707" s="44">
        <v>0</v>
      </c>
      <c r="AG707" s="44">
        <v>0</v>
      </c>
      <c r="AH707" s="44">
        <v>0</v>
      </c>
      <c r="AI707" s="44">
        <v>0</v>
      </c>
      <c r="AJ707" s="43">
        <v>603350727</v>
      </c>
      <c r="AK707" s="44">
        <v>0</v>
      </c>
      <c r="AL707" s="44">
        <v>0</v>
      </c>
      <c r="AM707" s="43">
        <v>603350726</v>
      </c>
      <c r="AN707" s="44">
        <v>0</v>
      </c>
      <c r="AO707" s="43">
        <v>603350726</v>
      </c>
      <c r="AP707" s="43">
        <v>603350726</v>
      </c>
      <c r="AQ707" s="44">
        <v>0</v>
      </c>
      <c r="AR707" s="44">
        <v>0</v>
      </c>
      <c r="AS707" s="44">
        <v>0</v>
      </c>
      <c r="AT707" s="40">
        <f t="shared" si="271"/>
        <v>0</v>
      </c>
      <c r="AU707" s="18">
        <f>AJ707-AM707</f>
        <v>1</v>
      </c>
      <c r="AV707" s="34">
        <f>AM707-AP707</f>
        <v>0</v>
      </c>
      <c r="AW707" s="18">
        <f>AP707-AT707</f>
        <v>603350726</v>
      </c>
      <c r="AX707" s="123">
        <f>AP707/AJ707</f>
        <v>0.99999999834258924</v>
      </c>
    </row>
    <row r="708" spans="1:50" ht="25.5" x14ac:dyDescent="0.2">
      <c r="A708" s="4" t="s">
        <v>55</v>
      </c>
      <c r="B708" s="4" t="s">
        <v>56</v>
      </c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1" t="s">
        <v>539</v>
      </c>
      <c r="AB708" s="42" t="s">
        <v>540</v>
      </c>
      <c r="AC708" s="43" t="s">
        <v>253</v>
      </c>
      <c r="AD708" s="43">
        <v>850649274</v>
      </c>
      <c r="AE708" s="44">
        <v>0</v>
      </c>
      <c r="AF708" s="44">
        <v>0</v>
      </c>
      <c r="AG708" s="44">
        <v>0</v>
      </c>
      <c r="AH708" s="44">
        <v>0</v>
      </c>
      <c r="AI708" s="44">
        <v>0</v>
      </c>
      <c r="AJ708" s="43">
        <v>850649274</v>
      </c>
      <c r="AK708" s="44">
        <v>0</v>
      </c>
      <c r="AL708" s="44">
        <v>0</v>
      </c>
      <c r="AM708" s="43">
        <v>824092994</v>
      </c>
      <c r="AN708" s="44">
        <v>0</v>
      </c>
      <c r="AO708" s="43">
        <v>369641575.10000002</v>
      </c>
      <c r="AP708" s="43">
        <v>369641575.10000002</v>
      </c>
      <c r="AQ708" s="44">
        <v>0</v>
      </c>
      <c r="AR708" s="44">
        <v>0</v>
      </c>
      <c r="AS708" s="44">
        <v>0</v>
      </c>
      <c r="AT708" s="40">
        <f t="shared" si="271"/>
        <v>0</v>
      </c>
      <c r="AU708" s="18">
        <f>AJ708-AM708</f>
        <v>26556280</v>
      </c>
      <c r="AV708" s="18">
        <f>AM708-AP708</f>
        <v>454451418.89999998</v>
      </c>
      <c r="AW708" s="18">
        <f>AP708-AT708</f>
        <v>369641575.10000002</v>
      </c>
      <c r="AX708" s="123">
        <f>AP708/AJ708</f>
        <v>0.43454051675355926</v>
      </c>
    </row>
    <row r="709" spans="1:50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1" t="s">
        <v>1087</v>
      </c>
      <c r="AB709" s="42" t="s">
        <v>1015</v>
      </c>
      <c r="AC709" s="43"/>
      <c r="AD709" s="44">
        <v>0</v>
      </c>
      <c r="AE709" s="43">
        <v>800000000</v>
      </c>
      <c r="AF709" s="44">
        <v>0</v>
      </c>
      <c r="AG709" s="44">
        <v>0</v>
      </c>
      <c r="AH709" s="44">
        <v>0</v>
      </c>
      <c r="AI709" s="43">
        <f>AE709-AF709+AG709-AH709</f>
        <v>800000000</v>
      </c>
      <c r="AJ709" s="43">
        <f>AD709+AI709</f>
        <v>800000000</v>
      </c>
      <c r="AK709" s="44">
        <v>0</v>
      </c>
      <c r="AL709" s="44">
        <v>0</v>
      </c>
      <c r="AM709" s="44">
        <v>0</v>
      </c>
      <c r="AN709" s="44">
        <v>0</v>
      </c>
      <c r="AO709" s="44">
        <v>0</v>
      </c>
      <c r="AP709" s="44">
        <v>0</v>
      </c>
      <c r="AQ709" s="44">
        <v>0</v>
      </c>
      <c r="AR709" s="44">
        <v>0</v>
      </c>
      <c r="AS709" s="44">
        <v>0</v>
      </c>
      <c r="AT709" s="40">
        <f t="shared" si="271"/>
        <v>0</v>
      </c>
      <c r="AU709" s="18">
        <f>AJ709-AM709</f>
        <v>800000000</v>
      </c>
      <c r="AV709" s="34">
        <f>AM709-AP709</f>
        <v>0</v>
      </c>
      <c r="AW709" s="34">
        <f>AP709-AT709</f>
        <v>0</v>
      </c>
      <c r="AX709" s="123">
        <f>AP709/AJ709</f>
        <v>0</v>
      </c>
    </row>
    <row r="710" spans="1:50" x14ac:dyDescent="0.2">
      <c r="AA710" s="16"/>
      <c r="AB710" s="17"/>
      <c r="AC710" s="17"/>
      <c r="AD710" s="34"/>
      <c r="AE710" s="34"/>
      <c r="AF710" s="34"/>
      <c r="AG710" s="34"/>
      <c r="AH710" s="34"/>
      <c r="AI710" s="34"/>
      <c r="AJ710" s="18"/>
      <c r="AK710" s="34"/>
      <c r="AL710" s="34"/>
      <c r="AM710" s="34"/>
      <c r="AN710" s="18"/>
      <c r="AO710" s="18"/>
      <c r="AP710" s="18"/>
      <c r="AQ710" s="18"/>
      <c r="AR710" s="18"/>
      <c r="AS710" s="18"/>
      <c r="AT710" s="30"/>
      <c r="AU710" s="18"/>
      <c r="AV710" s="34"/>
      <c r="AW710" s="18"/>
      <c r="AX710" s="18"/>
    </row>
    <row r="711" spans="1:50" ht="25.5" x14ac:dyDescent="0.2">
      <c r="AA711" s="73" t="s">
        <v>288</v>
      </c>
      <c r="AB711" s="74" t="s">
        <v>1222</v>
      </c>
      <c r="AC711" s="17"/>
      <c r="AD711" s="34"/>
      <c r="AE711" s="34"/>
      <c r="AF711" s="34"/>
      <c r="AG711" s="34"/>
      <c r="AH711" s="34"/>
      <c r="AI711" s="34"/>
      <c r="AJ711" s="18"/>
      <c r="AK711" s="34"/>
      <c r="AL711" s="34"/>
      <c r="AM711" s="34"/>
      <c r="AN711" s="18"/>
      <c r="AO711" s="18"/>
      <c r="AP711" s="18"/>
      <c r="AQ711" s="18"/>
      <c r="AR711" s="18"/>
      <c r="AS711" s="18"/>
      <c r="AT711" s="30"/>
      <c r="AU711" s="18"/>
      <c r="AV711" s="34"/>
      <c r="AW711" s="18"/>
      <c r="AX711" s="18"/>
    </row>
    <row r="712" spans="1:50" x14ac:dyDescent="0.2">
      <c r="AA712" s="41" t="s">
        <v>1223</v>
      </c>
      <c r="AB712" s="42" t="s">
        <v>961</v>
      </c>
      <c r="AC712" s="17"/>
      <c r="AD712" s="34">
        <v>0</v>
      </c>
      <c r="AE712" s="34">
        <v>0</v>
      </c>
      <c r="AF712" s="34">
        <v>0</v>
      </c>
      <c r="AG712" s="18">
        <v>115200000</v>
      </c>
      <c r="AH712" s="34">
        <v>0</v>
      </c>
      <c r="AI712" s="43">
        <f>AE712-AF712+AG712-AH712</f>
        <v>115200000</v>
      </c>
      <c r="AJ712" s="43">
        <f>AD712+AI712</f>
        <v>115200000</v>
      </c>
      <c r="AK712" s="34">
        <v>0</v>
      </c>
      <c r="AL712" s="34">
        <v>0</v>
      </c>
      <c r="AM712" s="34">
        <v>0</v>
      </c>
      <c r="AN712" s="18">
        <v>0</v>
      </c>
      <c r="AO712" s="34">
        <v>0</v>
      </c>
      <c r="AP712" s="34">
        <v>0</v>
      </c>
      <c r="AQ712" s="34">
        <v>0</v>
      </c>
      <c r="AR712" s="34">
        <v>0</v>
      </c>
      <c r="AS712" s="34">
        <v>0</v>
      </c>
      <c r="AT712" s="40">
        <f t="shared" ref="AT712" si="272">AQ712+AS712</f>
        <v>0</v>
      </c>
      <c r="AU712" s="18">
        <f>AJ712-AM712</f>
        <v>115200000</v>
      </c>
      <c r="AV712" s="34">
        <f>AM712-AP712</f>
        <v>0</v>
      </c>
      <c r="AW712" s="34">
        <f>AP712-AT712</f>
        <v>0</v>
      </c>
      <c r="AX712" s="123">
        <f>AP712/AJ712</f>
        <v>0</v>
      </c>
    </row>
    <row r="713" spans="1:50" x14ac:dyDescent="0.2">
      <c r="AA713" s="16"/>
      <c r="AB713" s="29" t="s">
        <v>199</v>
      </c>
      <c r="AC713" s="17"/>
      <c r="AD713" s="18"/>
      <c r="AE713" s="34"/>
      <c r="AF713" s="34"/>
      <c r="AG713" s="34"/>
      <c r="AH713" s="34"/>
      <c r="AI713" s="34"/>
      <c r="AJ713" s="18"/>
      <c r="AK713" s="34"/>
      <c r="AL713" s="34"/>
      <c r="AM713" s="18"/>
      <c r="AN713" s="18"/>
      <c r="AO713" s="18"/>
      <c r="AP713" s="18"/>
      <c r="AQ713" s="18"/>
      <c r="AR713" s="18"/>
      <c r="AS713" s="18"/>
      <c r="AT713" s="30"/>
      <c r="AU713" s="18"/>
      <c r="AV713" s="34"/>
      <c r="AW713" s="18"/>
      <c r="AX713" s="18"/>
    </row>
    <row r="714" spans="1:50" ht="25.5" x14ac:dyDescent="0.2">
      <c r="AA714" s="28" t="s">
        <v>288</v>
      </c>
      <c r="AB714" s="29" t="s">
        <v>531</v>
      </c>
      <c r="AC714" s="17"/>
      <c r="AD714" s="18"/>
      <c r="AE714" s="34"/>
      <c r="AF714" s="34"/>
      <c r="AG714" s="34"/>
      <c r="AH714" s="34"/>
      <c r="AI714" s="34"/>
      <c r="AJ714" s="18"/>
      <c r="AK714" s="34"/>
      <c r="AL714" s="34"/>
      <c r="AM714" s="18"/>
      <c r="AN714" s="18"/>
      <c r="AO714" s="18"/>
      <c r="AP714" s="18"/>
      <c r="AQ714" s="18"/>
      <c r="AR714" s="18"/>
      <c r="AS714" s="18"/>
      <c r="AT714" s="30"/>
      <c r="AU714" s="18"/>
      <c r="AV714" s="34"/>
      <c r="AW714" s="18"/>
      <c r="AX714" s="18"/>
    </row>
    <row r="715" spans="1:50" x14ac:dyDescent="0.2">
      <c r="A715" s="4" t="s">
        <v>55</v>
      </c>
      <c r="B715" s="4" t="s">
        <v>56</v>
      </c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1" t="s">
        <v>541</v>
      </c>
      <c r="AB715" s="42" t="s">
        <v>233</v>
      </c>
      <c r="AC715" s="43" t="s">
        <v>58</v>
      </c>
      <c r="AD715" s="43">
        <v>190000000</v>
      </c>
      <c r="AE715" s="44">
        <v>0</v>
      </c>
      <c r="AF715" s="44">
        <v>0</v>
      </c>
      <c r="AG715" s="44">
        <v>0</v>
      </c>
      <c r="AH715" s="44">
        <v>0</v>
      </c>
      <c r="AI715" s="44">
        <v>0</v>
      </c>
      <c r="AJ715" s="43">
        <v>190000000</v>
      </c>
      <c r="AK715" s="115">
        <v>0</v>
      </c>
      <c r="AL715" s="115">
        <v>0</v>
      </c>
      <c r="AM715" s="114">
        <v>88000000</v>
      </c>
      <c r="AN715" s="114">
        <v>0</v>
      </c>
      <c r="AO715" s="114">
        <v>0</v>
      </c>
      <c r="AP715" s="114">
        <v>88000000</v>
      </c>
      <c r="AQ715" s="43">
        <v>11000000</v>
      </c>
      <c r="AR715" s="43">
        <v>11000000</v>
      </c>
      <c r="AS715" s="43">
        <v>31433334</v>
      </c>
      <c r="AT715" s="39">
        <f t="shared" ref="AT715" si="273">AQ715+AS715</f>
        <v>42433334</v>
      </c>
      <c r="AU715" s="18">
        <f>AJ715-AM715</f>
        <v>102000000</v>
      </c>
      <c r="AV715" s="133">
        <f>AM715-AP715</f>
        <v>0</v>
      </c>
      <c r="AW715" s="18">
        <f>AP715-AT715</f>
        <v>45566666</v>
      </c>
      <c r="AX715" s="123">
        <f>AP715/AJ715</f>
        <v>0.4631578947368421</v>
      </c>
    </row>
    <row r="716" spans="1:50" x14ac:dyDescent="0.2">
      <c r="AA716" s="28" t="s">
        <v>288</v>
      </c>
      <c r="AB716" s="29" t="s">
        <v>542</v>
      </c>
      <c r="AC716" s="17"/>
      <c r="AD716" s="18"/>
      <c r="AE716" s="34"/>
      <c r="AF716" s="34"/>
      <c r="AG716" s="34"/>
      <c r="AH716" s="34"/>
      <c r="AI716" s="34"/>
      <c r="AJ716" s="18"/>
      <c r="AK716" s="34"/>
      <c r="AL716" s="34"/>
      <c r="AM716" s="34"/>
      <c r="AN716" s="34"/>
      <c r="AO716" s="34"/>
      <c r="AP716" s="34"/>
      <c r="AQ716" s="34"/>
      <c r="AR716" s="34"/>
      <c r="AS716" s="34"/>
      <c r="AT716" s="31"/>
      <c r="AU716" s="18"/>
      <c r="AV716" s="18"/>
      <c r="AW716" s="18"/>
      <c r="AX716" s="18"/>
    </row>
    <row r="717" spans="1:50" x14ac:dyDescent="0.2">
      <c r="A717" s="4" t="s">
        <v>55</v>
      </c>
      <c r="B717" s="4" t="s">
        <v>56</v>
      </c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1" t="s">
        <v>543</v>
      </c>
      <c r="AB717" s="42" t="s">
        <v>233</v>
      </c>
      <c r="AC717" s="43" t="s">
        <v>58</v>
      </c>
      <c r="AD717" s="43">
        <v>229000000</v>
      </c>
      <c r="AE717" s="44">
        <v>0</v>
      </c>
      <c r="AF717" s="44">
        <v>0</v>
      </c>
      <c r="AG717" s="44">
        <v>0</v>
      </c>
      <c r="AH717" s="43">
        <v>229000000</v>
      </c>
      <c r="AI717" s="43">
        <f>AE717-AF717+AG717-AH717</f>
        <v>-229000000</v>
      </c>
      <c r="AJ717" s="43">
        <f>AD717+AI717</f>
        <v>0</v>
      </c>
      <c r="AK717" s="44">
        <v>0</v>
      </c>
      <c r="AL717" s="44">
        <v>0</v>
      </c>
      <c r="AM717" s="44">
        <v>0</v>
      </c>
      <c r="AN717" s="44">
        <v>0</v>
      </c>
      <c r="AO717" s="44">
        <v>0</v>
      </c>
      <c r="AP717" s="44">
        <v>0</v>
      </c>
      <c r="AQ717" s="44">
        <v>0</v>
      </c>
      <c r="AR717" s="44">
        <v>0</v>
      </c>
      <c r="AS717" s="44">
        <v>0</v>
      </c>
      <c r="AT717" s="40">
        <f t="shared" ref="AT717" si="274">AQ717+AS717</f>
        <v>0</v>
      </c>
      <c r="AU717" s="34">
        <f>AJ717-AM717</f>
        <v>0</v>
      </c>
      <c r="AV717" s="34">
        <f>AM717-AP717</f>
        <v>0</v>
      </c>
      <c r="AW717" s="34">
        <f>AP717-AT717</f>
        <v>0</v>
      </c>
      <c r="AX717" s="123">
        <v>0</v>
      </c>
    </row>
    <row r="718" spans="1:50" ht="25.5" x14ac:dyDescent="0.2">
      <c r="AA718" s="28" t="s">
        <v>288</v>
      </c>
      <c r="AB718" s="29" t="s">
        <v>544</v>
      </c>
      <c r="AC718" s="17"/>
      <c r="AD718" s="18"/>
      <c r="AE718" s="34"/>
      <c r="AF718" s="34"/>
      <c r="AG718" s="34"/>
      <c r="AH718" s="34"/>
      <c r="AI718" s="34"/>
      <c r="AJ718" s="18"/>
      <c r="AK718" s="34"/>
      <c r="AL718" s="34"/>
      <c r="AM718" s="34"/>
      <c r="AN718" s="34"/>
      <c r="AO718" s="34"/>
      <c r="AP718" s="34"/>
      <c r="AQ718" s="34"/>
      <c r="AR718" s="34"/>
      <c r="AS718" s="34"/>
      <c r="AT718" s="31"/>
      <c r="AU718" s="34"/>
      <c r="AV718" s="34"/>
      <c r="AW718" s="34"/>
      <c r="AX718" s="18"/>
    </row>
    <row r="719" spans="1:50" x14ac:dyDescent="0.2">
      <c r="A719" s="4" t="s">
        <v>55</v>
      </c>
      <c r="B719" s="4" t="s">
        <v>56</v>
      </c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1" t="s">
        <v>545</v>
      </c>
      <c r="AB719" s="42" t="s">
        <v>233</v>
      </c>
      <c r="AC719" s="43" t="s">
        <v>58</v>
      </c>
      <c r="AD719" s="43">
        <v>150000000</v>
      </c>
      <c r="AE719" s="44">
        <v>0</v>
      </c>
      <c r="AF719" s="44">
        <v>0</v>
      </c>
      <c r="AG719" s="44">
        <v>0</v>
      </c>
      <c r="AH719" s="44">
        <v>0</v>
      </c>
      <c r="AI719" s="44">
        <v>0</v>
      </c>
      <c r="AJ719" s="43">
        <v>150000000</v>
      </c>
      <c r="AK719" s="44">
        <v>0</v>
      </c>
      <c r="AL719" s="43">
        <v>0</v>
      </c>
      <c r="AM719" s="43">
        <v>150000000</v>
      </c>
      <c r="AN719" s="43">
        <v>0</v>
      </c>
      <c r="AO719" s="43">
        <v>150000000</v>
      </c>
      <c r="AP719" s="43">
        <v>150000000</v>
      </c>
      <c r="AQ719" s="44">
        <v>0</v>
      </c>
      <c r="AR719" s="44">
        <v>0</v>
      </c>
      <c r="AS719" s="44">
        <v>0</v>
      </c>
      <c r="AT719" s="40">
        <f t="shared" ref="AT719" si="275">AQ719+AS719</f>
        <v>0</v>
      </c>
      <c r="AU719" s="34">
        <f>AJ719-AM719</f>
        <v>0</v>
      </c>
      <c r="AV719" s="34">
        <f>AM719-AP719</f>
        <v>0</v>
      </c>
      <c r="AW719" s="18">
        <f>AP719-AT719</f>
        <v>150000000</v>
      </c>
      <c r="AX719" s="123">
        <f>AP719/AJ719</f>
        <v>1</v>
      </c>
    </row>
    <row r="720" spans="1:50" ht="38.25" x14ac:dyDescent="0.2">
      <c r="AA720" s="28" t="s">
        <v>288</v>
      </c>
      <c r="AB720" s="29" t="s">
        <v>546</v>
      </c>
      <c r="AC720" s="17"/>
      <c r="AD720" s="18"/>
      <c r="AE720" s="34"/>
      <c r="AF720" s="34"/>
      <c r="AG720" s="34"/>
      <c r="AH720" s="34"/>
      <c r="AI720" s="34"/>
      <c r="AJ720" s="18"/>
      <c r="AK720" s="34"/>
      <c r="AL720" s="18"/>
      <c r="AM720" s="18"/>
      <c r="AN720" s="18"/>
      <c r="AO720" s="18"/>
      <c r="AP720" s="18"/>
      <c r="AQ720" s="18"/>
      <c r="AR720" s="18"/>
      <c r="AS720" s="18"/>
      <c r="AT720" s="30"/>
      <c r="AU720" s="18"/>
      <c r="AV720" s="18"/>
      <c r="AW720" s="18"/>
      <c r="AX720" s="18"/>
    </row>
    <row r="721" spans="1:50" x14ac:dyDescent="0.2">
      <c r="A721" s="4" t="s">
        <v>55</v>
      </c>
      <c r="B721" s="4" t="s">
        <v>56</v>
      </c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1" t="s">
        <v>547</v>
      </c>
      <c r="AB721" s="42" t="s">
        <v>233</v>
      </c>
      <c r="AC721" s="43" t="s">
        <v>58</v>
      </c>
      <c r="AD721" s="43">
        <v>80000000</v>
      </c>
      <c r="AE721" s="44">
        <v>0</v>
      </c>
      <c r="AF721" s="44">
        <v>0</v>
      </c>
      <c r="AG721" s="44">
        <v>0</v>
      </c>
      <c r="AH721" s="44">
        <v>0</v>
      </c>
      <c r="AI721" s="44">
        <v>0</v>
      </c>
      <c r="AJ721" s="43">
        <v>80000000</v>
      </c>
      <c r="AK721" s="44">
        <v>0</v>
      </c>
      <c r="AL721" s="44">
        <v>0</v>
      </c>
      <c r="AM721" s="43">
        <v>80000000</v>
      </c>
      <c r="AN721" s="44">
        <v>0</v>
      </c>
      <c r="AO721" s="44">
        <v>0</v>
      </c>
      <c r="AP721" s="110">
        <v>80000000</v>
      </c>
      <c r="AQ721" s="18">
        <v>7000000</v>
      </c>
      <c r="AR721" s="18">
        <v>12000000</v>
      </c>
      <c r="AS721" s="18">
        <v>35666666</v>
      </c>
      <c r="AT721" s="39">
        <f t="shared" ref="AT721:AT756" si="276">AQ721+AS721</f>
        <v>42666666</v>
      </c>
      <c r="AU721" s="34">
        <f>AJ721-AM721</f>
        <v>0</v>
      </c>
      <c r="AV721" s="34">
        <f>AM721-AP721</f>
        <v>0</v>
      </c>
      <c r="AW721" s="18">
        <f>AP721-AT721</f>
        <v>37333334</v>
      </c>
      <c r="AX721" s="123">
        <f>AP721/AJ721</f>
        <v>1</v>
      </c>
    </row>
    <row r="722" spans="1:50" ht="38.25" x14ac:dyDescent="0.2">
      <c r="AA722" s="28" t="s">
        <v>288</v>
      </c>
      <c r="AB722" s="29" t="s">
        <v>548</v>
      </c>
      <c r="AC722" s="17"/>
      <c r="AD722" s="18"/>
      <c r="AE722" s="34"/>
      <c r="AF722" s="34"/>
      <c r="AG722" s="34"/>
      <c r="AH722" s="34"/>
      <c r="AI722" s="34"/>
      <c r="AJ722" s="18"/>
      <c r="AK722" s="18"/>
      <c r="AL722" s="18"/>
      <c r="AM722" s="18"/>
      <c r="AN722" s="18"/>
      <c r="AO722" s="18"/>
      <c r="AP722" s="34"/>
      <c r="AQ722" s="34"/>
      <c r="AR722" s="34"/>
      <c r="AS722" s="34"/>
      <c r="AT722" s="40"/>
      <c r="AU722" s="18"/>
      <c r="AV722" s="18"/>
      <c r="AW722" s="18"/>
      <c r="AX722" s="18"/>
    </row>
    <row r="723" spans="1:50" x14ac:dyDescent="0.2">
      <c r="A723" s="4" t="s">
        <v>55</v>
      </c>
      <c r="B723" s="4" t="s">
        <v>56</v>
      </c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1" t="s">
        <v>549</v>
      </c>
      <c r="AB723" s="42" t="s">
        <v>233</v>
      </c>
      <c r="AC723" s="43" t="s">
        <v>58</v>
      </c>
      <c r="AD723" s="43">
        <v>40000000</v>
      </c>
      <c r="AE723" s="44">
        <v>0</v>
      </c>
      <c r="AF723" s="44">
        <v>0</v>
      </c>
      <c r="AG723" s="44">
        <v>0</v>
      </c>
      <c r="AH723" s="44">
        <v>0</v>
      </c>
      <c r="AI723" s="44">
        <v>0</v>
      </c>
      <c r="AJ723" s="43">
        <v>40000000</v>
      </c>
      <c r="AK723" s="44">
        <v>0</v>
      </c>
      <c r="AL723" s="43">
        <v>0</v>
      </c>
      <c r="AM723" s="43">
        <v>20998948</v>
      </c>
      <c r="AN723" s="44">
        <v>0</v>
      </c>
      <c r="AO723" s="43">
        <v>0</v>
      </c>
      <c r="AP723" s="18">
        <v>20998948</v>
      </c>
      <c r="AQ723" s="34">
        <v>0</v>
      </c>
      <c r="AR723" s="34">
        <v>0</v>
      </c>
      <c r="AS723" s="34">
        <v>0</v>
      </c>
      <c r="AT723" s="40">
        <f t="shared" si="276"/>
        <v>0</v>
      </c>
      <c r="AU723" s="18">
        <f>AJ723-AM723</f>
        <v>19001052</v>
      </c>
      <c r="AV723" s="18">
        <f>AM723-AP723</f>
        <v>0</v>
      </c>
      <c r="AW723" s="18">
        <f>AP723-AT723</f>
        <v>20998948</v>
      </c>
      <c r="AX723" s="123">
        <f>AP723/AJ723</f>
        <v>0.52497369999999999</v>
      </c>
    </row>
    <row r="724" spans="1:50" ht="25.5" x14ac:dyDescent="0.2">
      <c r="AA724" s="28" t="s">
        <v>288</v>
      </c>
      <c r="AB724" s="29" t="s">
        <v>550</v>
      </c>
      <c r="AC724" s="17"/>
      <c r="AD724" s="18"/>
      <c r="AE724" s="34"/>
      <c r="AF724" s="34"/>
      <c r="AG724" s="34"/>
      <c r="AH724" s="34"/>
      <c r="AI724" s="34"/>
      <c r="AJ724" s="18"/>
      <c r="AK724" s="34"/>
      <c r="AL724" s="18"/>
      <c r="AM724" s="18"/>
      <c r="AN724" s="34"/>
      <c r="AO724" s="34"/>
      <c r="AP724" s="34"/>
      <c r="AQ724" s="34"/>
      <c r="AR724" s="34"/>
      <c r="AS724" s="34"/>
      <c r="AT724" s="40"/>
      <c r="AU724" s="18"/>
      <c r="AV724" s="18"/>
      <c r="AW724" s="18"/>
      <c r="AX724" s="18"/>
    </row>
    <row r="725" spans="1:50" x14ac:dyDescent="0.2">
      <c r="A725" s="4" t="s">
        <v>55</v>
      </c>
      <c r="B725" s="4" t="s">
        <v>56</v>
      </c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1" t="s">
        <v>551</v>
      </c>
      <c r="AB725" s="42" t="s">
        <v>233</v>
      </c>
      <c r="AC725" s="43" t="s">
        <v>58</v>
      </c>
      <c r="AD725" s="43">
        <v>670000000</v>
      </c>
      <c r="AE725" s="44">
        <v>0</v>
      </c>
      <c r="AF725" s="44">
        <v>0</v>
      </c>
      <c r="AG725" s="43">
        <v>932000000</v>
      </c>
      <c r="AH725" s="43">
        <f>782000000+60000000</f>
        <v>842000000</v>
      </c>
      <c r="AI725" s="43">
        <f>AE725-AF725+AG725-AH725</f>
        <v>90000000</v>
      </c>
      <c r="AJ725" s="43">
        <f>AD725+AI725</f>
        <v>760000000</v>
      </c>
      <c r="AK725" s="44">
        <v>0</v>
      </c>
      <c r="AL725" s="43">
        <v>-20104930</v>
      </c>
      <c r="AM725" s="43">
        <v>489792931</v>
      </c>
      <c r="AN725" s="44">
        <v>0</v>
      </c>
      <c r="AO725" s="43">
        <v>120989308</v>
      </c>
      <c r="AP725" s="18">
        <v>486617564</v>
      </c>
      <c r="AQ725" s="18">
        <v>31400000</v>
      </c>
      <c r="AR725" s="18">
        <v>43280000</v>
      </c>
      <c r="AS725" s="18">
        <v>168330001</v>
      </c>
      <c r="AT725" s="39">
        <f t="shared" ref="AT725:AT729" si="277">AQ725+AS725</f>
        <v>199730001</v>
      </c>
      <c r="AU725" s="18">
        <f>AJ725-AM725</f>
        <v>270207069</v>
      </c>
      <c r="AV725" s="18">
        <f>AM725-AP725</f>
        <v>3175367</v>
      </c>
      <c r="AW725" s="18">
        <f>AP725-AT725</f>
        <v>286887563</v>
      </c>
      <c r="AX725" s="123">
        <f>AP725/AJ725</f>
        <v>0.64028626842105263</v>
      </c>
    </row>
    <row r="726" spans="1:50" x14ac:dyDescent="0.2">
      <c r="A726" s="4" t="s">
        <v>55</v>
      </c>
      <c r="B726" s="4" t="s">
        <v>56</v>
      </c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1" t="s">
        <v>552</v>
      </c>
      <c r="AB726" s="42" t="s">
        <v>382</v>
      </c>
      <c r="AC726" s="43" t="s">
        <v>383</v>
      </c>
      <c r="AD726" s="43">
        <v>120000000</v>
      </c>
      <c r="AE726" s="44">
        <v>0</v>
      </c>
      <c r="AF726" s="44">
        <v>0</v>
      </c>
      <c r="AG726" s="44">
        <v>0</v>
      </c>
      <c r="AH726" s="44">
        <v>0</v>
      </c>
      <c r="AI726" s="43">
        <f t="shared" ref="AI726:AI729" si="278">AE726-AF726+AG726-AH726</f>
        <v>0</v>
      </c>
      <c r="AJ726" s="43">
        <f t="shared" ref="AJ726:AJ729" si="279">AD726+AI726</f>
        <v>120000000</v>
      </c>
      <c r="AK726" s="44">
        <v>0</v>
      </c>
      <c r="AL726" s="43">
        <v>0</v>
      </c>
      <c r="AM726" s="43">
        <v>1886133</v>
      </c>
      <c r="AN726" s="44">
        <v>0</v>
      </c>
      <c r="AO726" s="43">
        <v>0</v>
      </c>
      <c r="AP726" s="18">
        <v>1886133</v>
      </c>
      <c r="AQ726" s="34">
        <v>0</v>
      </c>
      <c r="AR726" s="34">
        <v>0</v>
      </c>
      <c r="AS726" s="34">
        <v>0</v>
      </c>
      <c r="AT726" s="39">
        <f t="shared" si="277"/>
        <v>0</v>
      </c>
      <c r="AU726" s="18">
        <f>AJ726-AM726</f>
        <v>118113867</v>
      </c>
      <c r="AV726" s="34">
        <f>AM726-AP726</f>
        <v>0</v>
      </c>
      <c r="AW726" s="18">
        <f>AP726-AT726</f>
        <v>1886133</v>
      </c>
      <c r="AX726" s="123">
        <f>AP726/AJ726</f>
        <v>1.5717775E-2</v>
      </c>
    </row>
    <row r="727" spans="1:50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1" t="s">
        <v>1092</v>
      </c>
      <c r="AB727" s="42" t="s">
        <v>1095</v>
      </c>
      <c r="AC727" s="43"/>
      <c r="AD727" s="44">
        <v>0</v>
      </c>
      <c r="AE727" s="43">
        <v>28189.13</v>
      </c>
      <c r="AF727" s="44">
        <v>0</v>
      </c>
      <c r="AG727" s="44">
        <v>0</v>
      </c>
      <c r="AH727" s="44">
        <v>0</v>
      </c>
      <c r="AI727" s="43">
        <f t="shared" si="278"/>
        <v>28189.13</v>
      </c>
      <c r="AJ727" s="43">
        <f t="shared" si="279"/>
        <v>28189.13</v>
      </c>
      <c r="AK727" s="44">
        <v>0</v>
      </c>
      <c r="AL727" s="44">
        <v>0</v>
      </c>
      <c r="AM727" s="44">
        <v>0</v>
      </c>
      <c r="AN727" s="44">
        <v>0</v>
      </c>
      <c r="AO727" s="44">
        <v>0</v>
      </c>
      <c r="AP727" s="34">
        <v>0</v>
      </c>
      <c r="AQ727" s="34">
        <v>0</v>
      </c>
      <c r="AR727" s="34">
        <v>0</v>
      </c>
      <c r="AS727" s="34">
        <v>0</v>
      </c>
      <c r="AT727" s="40">
        <f t="shared" si="277"/>
        <v>0</v>
      </c>
      <c r="AU727" s="18">
        <f>AJ727-AM727</f>
        <v>28189.13</v>
      </c>
      <c r="AV727" s="34">
        <f>AM727-AP727</f>
        <v>0</v>
      </c>
      <c r="AW727" s="34">
        <f>AP727-AT727</f>
        <v>0</v>
      </c>
      <c r="AX727" s="123">
        <f>AP727/AJ727</f>
        <v>0</v>
      </c>
    </row>
    <row r="728" spans="1:50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1" t="s">
        <v>1093</v>
      </c>
      <c r="AB728" s="42" t="s">
        <v>1096</v>
      </c>
      <c r="AC728" s="43"/>
      <c r="AD728" s="44">
        <v>0</v>
      </c>
      <c r="AE728" s="43">
        <v>5349132</v>
      </c>
      <c r="AF728" s="44">
        <v>0</v>
      </c>
      <c r="AG728" s="44">
        <v>0</v>
      </c>
      <c r="AH728" s="44">
        <v>0</v>
      </c>
      <c r="AI728" s="43">
        <f t="shared" si="278"/>
        <v>5349132</v>
      </c>
      <c r="AJ728" s="43">
        <f t="shared" si="279"/>
        <v>5349132</v>
      </c>
      <c r="AK728" s="44">
        <v>0</v>
      </c>
      <c r="AL728" s="44">
        <v>0</v>
      </c>
      <c r="AM728" s="44">
        <v>0</v>
      </c>
      <c r="AN728" s="44">
        <v>0</v>
      </c>
      <c r="AO728" s="44">
        <v>0</v>
      </c>
      <c r="AP728" s="34">
        <v>0</v>
      </c>
      <c r="AQ728" s="34">
        <v>0</v>
      </c>
      <c r="AR728" s="34">
        <v>0</v>
      </c>
      <c r="AS728" s="34">
        <v>0</v>
      </c>
      <c r="AT728" s="40">
        <f t="shared" si="277"/>
        <v>0</v>
      </c>
      <c r="AU728" s="18">
        <f>AJ728-AM728</f>
        <v>5349132</v>
      </c>
      <c r="AV728" s="34">
        <f>AM728-AP728</f>
        <v>0</v>
      </c>
      <c r="AW728" s="34">
        <f>AP728-AT728</f>
        <v>0</v>
      </c>
      <c r="AX728" s="123">
        <f>AP728/AJ728</f>
        <v>0</v>
      </c>
    </row>
    <row r="729" spans="1:50" ht="25.5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1" t="s">
        <v>1094</v>
      </c>
      <c r="AB729" s="42" t="s">
        <v>1097</v>
      </c>
      <c r="AC729" s="43"/>
      <c r="AD729" s="44">
        <v>0</v>
      </c>
      <c r="AE729" s="43">
        <v>11995542.140000001</v>
      </c>
      <c r="AF729" s="44">
        <v>0</v>
      </c>
      <c r="AG729" s="44">
        <v>0</v>
      </c>
      <c r="AH729" s="44">
        <v>0</v>
      </c>
      <c r="AI729" s="43">
        <f t="shared" si="278"/>
        <v>11995542.140000001</v>
      </c>
      <c r="AJ729" s="43">
        <f t="shared" si="279"/>
        <v>11995542.140000001</v>
      </c>
      <c r="AK729" s="44">
        <v>0</v>
      </c>
      <c r="AL729" s="44">
        <v>0</v>
      </c>
      <c r="AM729" s="44">
        <v>0</v>
      </c>
      <c r="AN729" s="44">
        <v>0</v>
      </c>
      <c r="AO729" s="44">
        <v>0</v>
      </c>
      <c r="AP729" s="34">
        <v>0</v>
      </c>
      <c r="AQ729" s="34">
        <v>0</v>
      </c>
      <c r="AR729" s="34">
        <v>0</v>
      </c>
      <c r="AS729" s="34">
        <v>0</v>
      </c>
      <c r="AT729" s="40">
        <f t="shared" si="277"/>
        <v>0</v>
      </c>
      <c r="AU729" s="18">
        <f>AJ729-AM729</f>
        <v>11995542.140000001</v>
      </c>
      <c r="AV729" s="34">
        <f>AM729-AP729</f>
        <v>0</v>
      </c>
      <c r="AW729" s="34">
        <f>AP729-AT729</f>
        <v>0</v>
      </c>
      <c r="AX729" s="123">
        <f>AP729/AJ729</f>
        <v>0</v>
      </c>
    </row>
    <row r="730" spans="1:50" ht="25.5" x14ac:dyDescent="0.2">
      <c r="AA730" s="28"/>
      <c r="AB730" s="29" t="s">
        <v>553</v>
      </c>
      <c r="AC730" s="17"/>
      <c r="AD730" s="18"/>
      <c r="AE730" s="34"/>
      <c r="AF730" s="34"/>
      <c r="AG730" s="34"/>
      <c r="AH730" s="34"/>
      <c r="AI730" s="34"/>
      <c r="AJ730" s="18"/>
      <c r="AK730" s="34"/>
      <c r="AL730" s="18"/>
      <c r="AM730" s="18"/>
      <c r="AN730" s="18"/>
      <c r="AO730" s="18"/>
      <c r="AP730" s="18"/>
      <c r="AQ730" s="18"/>
      <c r="AR730" s="18"/>
      <c r="AS730" s="18"/>
      <c r="AT730" s="30"/>
      <c r="AU730" s="18"/>
      <c r="AV730" s="18"/>
      <c r="AW730" s="18"/>
      <c r="AX730" s="18"/>
    </row>
    <row r="731" spans="1:50" x14ac:dyDescent="0.2">
      <c r="A731" s="4" t="s">
        <v>55</v>
      </c>
      <c r="B731" s="4" t="s">
        <v>56</v>
      </c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1" t="s">
        <v>554</v>
      </c>
      <c r="AB731" s="42" t="s">
        <v>233</v>
      </c>
      <c r="AC731" s="43" t="s">
        <v>58</v>
      </c>
      <c r="AD731" s="43">
        <v>200000000</v>
      </c>
      <c r="AE731" s="44">
        <v>0</v>
      </c>
      <c r="AF731" s="44">
        <v>0</v>
      </c>
      <c r="AG731" s="44">
        <v>0</v>
      </c>
      <c r="AH731" s="44">
        <v>0</v>
      </c>
      <c r="AI731" s="44">
        <v>0</v>
      </c>
      <c r="AJ731" s="43">
        <v>200000000</v>
      </c>
      <c r="AK731" s="44">
        <v>0</v>
      </c>
      <c r="AL731" s="43">
        <v>57084.71</v>
      </c>
      <c r="AM731" s="43">
        <v>152780462.56</v>
      </c>
      <c r="AN731" s="44">
        <v>0</v>
      </c>
      <c r="AO731" s="43">
        <v>57084.71</v>
      </c>
      <c r="AP731" s="43">
        <v>152780462.56</v>
      </c>
      <c r="AQ731" s="44">
        <v>17700000</v>
      </c>
      <c r="AR731" s="43">
        <v>19757084.710000001</v>
      </c>
      <c r="AS731" s="43">
        <v>67455090.560000002</v>
      </c>
      <c r="AT731" s="39">
        <f t="shared" si="276"/>
        <v>85155090.560000002</v>
      </c>
      <c r="AU731" s="18">
        <f>AJ731-AM731</f>
        <v>47219537.439999998</v>
      </c>
      <c r="AV731" s="34">
        <f>AM731-AP731</f>
        <v>0</v>
      </c>
      <c r="AW731" s="18">
        <f>AP731-AT731</f>
        <v>67625372</v>
      </c>
      <c r="AX731" s="123">
        <f>AP731/AJ731</f>
        <v>0.76390231279999998</v>
      </c>
    </row>
    <row r="732" spans="1:50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1" t="s">
        <v>1236</v>
      </c>
      <c r="AB732" s="42" t="s">
        <v>1015</v>
      </c>
      <c r="AC732" s="43"/>
      <c r="AD732" s="43">
        <v>0</v>
      </c>
      <c r="AE732" s="43">
        <v>200000000</v>
      </c>
      <c r="AF732" s="44">
        <v>0</v>
      </c>
      <c r="AG732" s="44">
        <v>0</v>
      </c>
      <c r="AH732" s="43">
        <v>145000000</v>
      </c>
      <c r="AI732" s="43">
        <f t="shared" ref="AI732" si="280">AE732-AF732+AG732-AH732</f>
        <v>55000000</v>
      </c>
      <c r="AJ732" s="43">
        <f t="shared" ref="AJ732" si="281">AD732+AI732</f>
        <v>55000000</v>
      </c>
      <c r="AK732" s="44">
        <v>0</v>
      </c>
      <c r="AL732" s="44">
        <v>0</v>
      </c>
      <c r="AM732" s="43">
        <v>0</v>
      </c>
      <c r="AN732" s="44">
        <v>0</v>
      </c>
      <c r="AO732" s="43">
        <v>0</v>
      </c>
      <c r="AP732" s="43">
        <v>0</v>
      </c>
      <c r="AQ732" s="44">
        <v>0</v>
      </c>
      <c r="AR732" s="44">
        <v>0</v>
      </c>
      <c r="AS732" s="44">
        <v>0</v>
      </c>
      <c r="AT732" s="40">
        <f t="shared" si="276"/>
        <v>0</v>
      </c>
      <c r="AU732" s="18">
        <f>AJ732-AM732</f>
        <v>55000000</v>
      </c>
      <c r="AV732" s="34">
        <f>AM732-AP732</f>
        <v>0</v>
      </c>
      <c r="AW732" s="18">
        <f>AP732-AT732</f>
        <v>0</v>
      </c>
      <c r="AX732" s="123">
        <f>AP732/AJ732</f>
        <v>0</v>
      </c>
    </row>
    <row r="733" spans="1:50" ht="25.5" x14ac:dyDescent="0.2">
      <c r="AA733" s="28" t="s">
        <v>288</v>
      </c>
      <c r="AB733" s="29" t="s">
        <v>535</v>
      </c>
      <c r="AC733" s="17"/>
      <c r="AD733" s="18"/>
      <c r="AE733" s="34"/>
      <c r="AF733" s="34"/>
      <c r="AG733" s="34"/>
      <c r="AH733" s="34"/>
      <c r="AI733" s="34"/>
      <c r="AJ733" s="18"/>
      <c r="AK733" s="34"/>
      <c r="AL733" s="34"/>
      <c r="AM733" s="18"/>
      <c r="AN733" s="34"/>
      <c r="AO733" s="18"/>
      <c r="AP733" s="18"/>
      <c r="AQ733" s="34"/>
      <c r="AR733" s="18"/>
      <c r="AS733" s="18"/>
      <c r="AT733" s="30"/>
      <c r="AU733" s="18"/>
      <c r="AV733" s="18"/>
      <c r="AW733" s="18"/>
      <c r="AX733" s="18"/>
    </row>
    <row r="734" spans="1:50" x14ac:dyDescent="0.2">
      <c r="A734" s="4" t="s">
        <v>55</v>
      </c>
      <c r="B734" s="4" t="s">
        <v>56</v>
      </c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1" t="s">
        <v>555</v>
      </c>
      <c r="AB734" s="42" t="s">
        <v>233</v>
      </c>
      <c r="AC734" s="43" t="s">
        <v>58</v>
      </c>
      <c r="AD734" s="43">
        <v>1154000000</v>
      </c>
      <c r="AE734" s="44">
        <v>0</v>
      </c>
      <c r="AF734" s="44">
        <v>0</v>
      </c>
      <c r="AG734" s="43">
        <f>32000000+60000000</f>
        <v>92000000</v>
      </c>
      <c r="AH734" s="44">
        <v>0</v>
      </c>
      <c r="AI734" s="43">
        <f t="shared" ref="AI734:AI740" si="282">AE734-AF734+AG734-AH734</f>
        <v>92000000</v>
      </c>
      <c r="AJ734" s="43">
        <f t="shared" ref="AJ734:AJ740" si="283">AD734+AI734</f>
        <v>1246000000</v>
      </c>
      <c r="AK734" s="44">
        <v>0</v>
      </c>
      <c r="AL734" s="44">
        <v>0</v>
      </c>
      <c r="AM734" s="43">
        <v>911454761</v>
      </c>
      <c r="AN734" s="44">
        <v>0</v>
      </c>
      <c r="AO734" s="43">
        <v>0</v>
      </c>
      <c r="AP734" s="43">
        <v>911454761</v>
      </c>
      <c r="AQ734" s="43">
        <v>26000000</v>
      </c>
      <c r="AR734" s="43">
        <v>41553733</v>
      </c>
      <c r="AS734" s="43">
        <v>277054548</v>
      </c>
      <c r="AT734" s="39">
        <f t="shared" si="276"/>
        <v>303054548</v>
      </c>
      <c r="AU734" s="18">
        <f t="shared" ref="AU734:AU740" si="284">AJ734-AM734</f>
        <v>334545239</v>
      </c>
      <c r="AV734" s="133">
        <f t="shared" ref="AV734:AV740" si="285">AM734-AP734</f>
        <v>0</v>
      </c>
      <c r="AW734" s="18">
        <f t="shared" ref="AW734:AW740" si="286">AP734-AT734</f>
        <v>608400213</v>
      </c>
      <c r="AX734" s="123">
        <f t="shared" ref="AX734:AX740" si="287">AP734/AJ734</f>
        <v>0.73150462359550561</v>
      </c>
    </row>
    <row r="735" spans="1:50" ht="25.5" x14ac:dyDescent="0.2">
      <c r="A735" s="4" t="s">
        <v>55</v>
      </c>
      <c r="B735" s="4" t="s">
        <v>56</v>
      </c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1" t="s">
        <v>556</v>
      </c>
      <c r="AB735" s="42" t="s">
        <v>279</v>
      </c>
      <c r="AC735" s="43" t="s">
        <v>253</v>
      </c>
      <c r="AD735" s="43">
        <v>3243996468</v>
      </c>
      <c r="AE735" s="44">
        <v>0</v>
      </c>
      <c r="AF735" s="44">
        <v>0</v>
      </c>
      <c r="AG735" s="44">
        <v>0</v>
      </c>
      <c r="AH735" s="44">
        <v>0</v>
      </c>
      <c r="AI735" s="44">
        <f t="shared" si="282"/>
        <v>0</v>
      </c>
      <c r="AJ735" s="43">
        <f t="shared" si="283"/>
        <v>3243996468</v>
      </c>
      <c r="AK735" s="44">
        <v>0</v>
      </c>
      <c r="AL735" s="43">
        <v>3685002.82</v>
      </c>
      <c r="AM735" s="43">
        <v>3047023033.4699998</v>
      </c>
      <c r="AN735" s="44">
        <v>0</v>
      </c>
      <c r="AO735" s="43">
        <v>3685002.82</v>
      </c>
      <c r="AP735" s="43">
        <v>3047023033.4699998</v>
      </c>
      <c r="AQ735" s="43">
        <v>26300000</v>
      </c>
      <c r="AR735" s="43">
        <v>346771599.81999999</v>
      </c>
      <c r="AS735" s="43">
        <v>889588811.47000003</v>
      </c>
      <c r="AT735" s="39">
        <f t="shared" si="276"/>
        <v>915888811.47000003</v>
      </c>
      <c r="AU735" s="18">
        <f t="shared" si="284"/>
        <v>196973434.53000021</v>
      </c>
      <c r="AV735" s="133">
        <f t="shared" si="285"/>
        <v>0</v>
      </c>
      <c r="AW735" s="18">
        <f t="shared" si="286"/>
        <v>2131134221.9999998</v>
      </c>
      <c r="AX735" s="123">
        <f t="shared" si="287"/>
        <v>0.93928062608174201</v>
      </c>
    </row>
    <row r="736" spans="1:50" ht="38.25" x14ac:dyDescent="0.2">
      <c r="A736" s="4" t="s">
        <v>55</v>
      </c>
      <c r="B736" s="4" t="s">
        <v>56</v>
      </c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1" t="s">
        <v>557</v>
      </c>
      <c r="AB736" s="42" t="s">
        <v>558</v>
      </c>
      <c r="AC736" s="43" t="s">
        <v>368</v>
      </c>
      <c r="AD736" s="43">
        <v>101429564.34</v>
      </c>
      <c r="AE736" s="44">
        <v>0</v>
      </c>
      <c r="AF736" s="44">
        <v>0</v>
      </c>
      <c r="AG736" s="44">
        <v>0</v>
      </c>
      <c r="AH736" s="44">
        <v>0</v>
      </c>
      <c r="AI736" s="44">
        <f t="shared" si="282"/>
        <v>0</v>
      </c>
      <c r="AJ736" s="43">
        <f t="shared" si="283"/>
        <v>101429564.34</v>
      </c>
      <c r="AK736" s="44">
        <v>0</v>
      </c>
      <c r="AL736" s="44">
        <v>0</v>
      </c>
      <c r="AM736" s="44">
        <v>0</v>
      </c>
      <c r="AN736" s="44">
        <v>0</v>
      </c>
      <c r="AO736" s="44">
        <v>0</v>
      </c>
      <c r="AP736" s="44">
        <v>0</v>
      </c>
      <c r="AQ736" s="44">
        <v>0</v>
      </c>
      <c r="AR736" s="44">
        <v>0</v>
      </c>
      <c r="AS736" s="44">
        <v>0</v>
      </c>
      <c r="AT736" s="40">
        <f t="shared" si="276"/>
        <v>0</v>
      </c>
      <c r="AU736" s="18">
        <f t="shared" si="284"/>
        <v>101429564.34</v>
      </c>
      <c r="AV736" s="34">
        <f t="shared" si="285"/>
        <v>0</v>
      </c>
      <c r="AW736" s="34">
        <f t="shared" si="286"/>
        <v>0</v>
      </c>
      <c r="AX736" s="123">
        <f t="shared" si="287"/>
        <v>0</v>
      </c>
    </row>
    <row r="737" spans="1:50" ht="25.5" x14ac:dyDescent="0.2">
      <c r="A737" s="4" t="s">
        <v>55</v>
      </c>
      <c r="B737" s="4" t="s">
        <v>56</v>
      </c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1" t="s">
        <v>559</v>
      </c>
      <c r="AB737" s="42" t="s">
        <v>540</v>
      </c>
      <c r="AC737" s="43" t="s">
        <v>253</v>
      </c>
      <c r="AD737" s="43">
        <v>1690003316</v>
      </c>
      <c r="AE737" s="44">
        <v>0</v>
      </c>
      <c r="AF737" s="44">
        <v>0</v>
      </c>
      <c r="AG737" s="44">
        <v>0</v>
      </c>
      <c r="AH737" s="44">
        <v>0</v>
      </c>
      <c r="AI737" s="44">
        <f t="shared" si="282"/>
        <v>0</v>
      </c>
      <c r="AJ737" s="43">
        <f t="shared" si="283"/>
        <v>1690003316</v>
      </c>
      <c r="AK737" s="44">
        <v>0</v>
      </c>
      <c r="AL737" s="44">
        <v>0</v>
      </c>
      <c r="AM737" s="43">
        <v>1661510016</v>
      </c>
      <c r="AN737" s="44">
        <v>0</v>
      </c>
      <c r="AO737" s="44">
        <v>0</v>
      </c>
      <c r="AP737" s="43">
        <v>1661510016</v>
      </c>
      <c r="AQ737" s="34">
        <v>0</v>
      </c>
      <c r="AR737" s="18">
        <v>279965412</v>
      </c>
      <c r="AS737" s="18">
        <v>644527158</v>
      </c>
      <c r="AT737" s="39">
        <f t="shared" si="276"/>
        <v>644527158</v>
      </c>
      <c r="AU737" s="18">
        <f t="shared" si="284"/>
        <v>28493300</v>
      </c>
      <c r="AV737" s="34">
        <f t="shared" si="285"/>
        <v>0</v>
      </c>
      <c r="AW737" s="18">
        <f t="shared" si="286"/>
        <v>1016982858</v>
      </c>
      <c r="AX737" s="123">
        <f t="shared" si="287"/>
        <v>0.98314009225293142</v>
      </c>
    </row>
    <row r="738" spans="1:50" ht="38.25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1" t="s">
        <v>1088</v>
      </c>
      <c r="AB738" s="42" t="s">
        <v>1089</v>
      </c>
      <c r="AC738" s="43"/>
      <c r="AD738" s="44">
        <v>0</v>
      </c>
      <c r="AE738" s="43">
        <v>56264221.140000001</v>
      </c>
      <c r="AF738" s="44">
        <v>0</v>
      </c>
      <c r="AG738" s="44">
        <v>0</v>
      </c>
      <c r="AH738" s="44">
        <v>0</v>
      </c>
      <c r="AI738" s="43">
        <f t="shared" si="282"/>
        <v>56264221.140000001</v>
      </c>
      <c r="AJ738" s="43">
        <f t="shared" si="283"/>
        <v>56264221.140000001</v>
      </c>
      <c r="AK738" s="44">
        <v>0</v>
      </c>
      <c r="AL738" s="44">
        <v>0</v>
      </c>
      <c r="AM738" s="44">
        <v>0</v>
      </c>
      <c r="AN738" s="44">
        <v>0</v>
      </c>
      <c r="AO738" s="44">
        <v>0</v>
      </c>
      <c r="AP738" s="44">
        <v>0</v>
      </c>
      <c r="AQ738" s="34">
        <v>0</v>
      </c>
      <c r="AR738" s="34">
        <v>0</v>
      </c>
      <c r="AS738" s="34">
        <v>0</v>
      </c>
      <c r="AT738" s="40">
        <f t="shared" si="276"/>
        <v>0</v>
      </c>
      <c r="AU738" s="18">
        <f t="shared" si="284"/>
        <v>56264221.140000001</v>
      </c>
      <c r="AV738" s="34">
        <f t="shared" si="285"/>
        <v>0</v>
      </c>
      <c r="AW738" s="34">
        <f t="shared" si="286"/>
        <v>0</v>
      </c>
      <c r="AX738" s="123">
        <f t="shared" si="287"/>
        <v>0</v>
      </c>
    </row>
    <row r="739" spans="1:50" ht="25.5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1" t="s">
        <v>1090</v>
      </c>
      <c r="AB739" s="42" t="s">
        <v>1011</v>
      </c>
      <c r="AC739" s="43"/>
      <c r="AD739" s="44">
        <v>0</v>
      </c>
      <c r="AE739" s="43">
        <v>1134339181.01</v>
      </c>
      <c r="AF739" s="44">
        <v>0</v>
      </c>
      <c r="AG739" s="44">
        <v>0</v>
      </c>
      <c r="AH739" s="44">
        <v>0</v>
      </c>
      <c r="AI739" s="43">
        <f t="shared" si="282"/>
        <v>1134339181.01</v>
      </c>
      <c r="AJ739" s="43">
        <f t="shared" si="283"/>
        <v>1134339181.01</v>
      </c>
      <c r="AK739" s="44">
        <v>0</v>
      </c>
      <c r="AL739" s="44">
        <v>0</v>
      </c>
      <c r="AM739" s="44">
        <v>0</v>
      </c>
      <c r="AN739" s="44"/>
      <c r="AO739" s="44">
        <v>0</v>
      </c>
      <c r="AP739" s="44">
        <v>0</v>
      </c>
      <c r="AQ739" s="34">
        <v>0</v>
      </c>
      <c r="AR739" s="34">
        <v>0</v>
      </c>
      <c r="AS739" s="34">
        <v>0</v>
      </c>
      <c r="AT739" s="40">
        <v>0</v>
      </c>
      <c r="AU739" s="18">
        <f t="shared" si="284"/>
        <v>1134339181.01</v>
      </c>
      <c r="AV739" s="34">
        <f t="shared" si="285"/>
        <v>0</v>
      </c>
      <c r="AW739" s="34">
        <f t="shared" si="286"/>
        <v>0</v>
      </c>
      <c r="AX739" s="123">
        <f t="shared" si="287"/>
        <v>0</v>
      </c>
    </row>
    <row r="740" spans="1:50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1" t="s">
        <v>1091</v>
      </c>
      <c r="AB740" s="42" t="s">
        <v>1015</v>
      </c>
      <c r="AC740" s="43"/>
      <c r="AD740" s="44">
        <v>0</v>
      </c>
      <c r="AE740" s="43">
        <v>300000000</v>
      </c>
      <c r="AF740" s="44">
        <v>0</v>
      </c>
      <c r="AG740" s="44">
        <v>0</v>
      </c>
      <c r="AH740" s="44">
        <v>0</v>
      </c>
      <c r="AI740" s="43">
        <f t="shared" si="282"/>
        <v>300000000</v>
      </c>
      <c r="AJ740" s="43">
        <f t="shared" si="283"/>
        <v>300000000</v>
      </c>
      <c r="AK740" s="44">
        <v>0</v>
      </c>
      <c r="AL740" s="44">
        <v>0</v>
      </c>
      <c r="AM740" s="43">
        <v>0</v>
      </c>
      <c r="AN740" s="44">
        <v>0</v>
      </c>
      <c r="AO740" s="44">
        <v>0</v>
      </c>
      <c r="AP740" s="44">
        <v>0</v>
      </c>
      <c r="AQ740" s="34">
        <v>0</v>
      </c>
      <c r="AR740" s="34">
        <v>0</v>
      </c>
      <c r="AS740" s="34">
        <v>0</v>
      </c>
      <c r="AT740" s="40">
        <v>0</v>
      </c>
      <c r="AU740" s="18">
        <f t="shared" si="284"/>
        <v>300000000</v>
      </c>
      <c r="AV740" s="34">
        <f t="shared" si="285"/>
        <v>0</v>
      </c>
      <c r="AW740" s="34">
        <f t="shared" si="286"/>
        <v>0</v>
      </c>
      <c r="AX740" s="123">
        <f t="shared" si="287"/>
        <v>0</v>
      </c>
    </row>
    <row r="741" spans="1:50" ht="25.5" x14ac:dyDescent="0.2">
      <c r="AA741" s="28" t="s">
        <v>288</v>
      </c>
      <c r="AB741" s="29" t="s">
        <v>560</v>
      </c>
      <c r="AC741" s="17"/>
      <c r="AD741" s="18"/>
      <c r="AE741" s="34"/>
      <c r="AF741" s="34"/>
      <c r="AG741" s="34"/>
      <c r="AH741" s="34"/>
      <c r="AI741" s="34"/>
      <c r="AJ741" s="18"/>
      <c r="AK741" s="18"/>
      <c r="AL741" s="18"/>
      <c r="AM741" s="18"/>
      <c r="AN741" s="34"/>
      <c r="AO741" s="34"/>
      <c r="AP741" s="18"/>
      <c r="AQ741" s="34"/>
      <c r="AR741" s="34"/>
      <c r="AS741" s="34"/>
      <c r="AT741" s="40"/>
      <c r="AU741" s="18"/>
      <c r="AV741" s="18"/>
      <c r="AW741" s="18"/>
      <c r="AX741" s="18"/>
    </row>
    <row r="742" spans="1:50" x14ac:dyDescent="0.2">
      <c r="A742" s="4" t="s">
        <v>55</v>
      </c>
      <c r="B742" s="4" t="s">
        <v>56</v>
      </c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1" t="s">
        <v>561</v>
      </c>
      <c r="AB742" s="42" t="s">
        <v>233</v>
      </c>
      <c r="AC742" s="43" t="s">
        <v>58</v>
      </c>
      <c r="AD742" s="43">
        <v>510000000</v>
      </c>
      <c r="AE742" s="44">
        <v>0</v>
      </c>
      <c r="AF742" s="44">
        <v>0</v>
      </c>
      <c r="AG742" s="43">
        <v>20000000</v>
      </c>
      <c r="AH742" s="44">
        <v>0</v>
      </c>
      <c r="AI742" s="43">
        <f>AE742-AF742+AG742-AH742</f>
        <v>20000000</v>
      </c>
      <c r="AJ742" s="43">
        <f>AD742+AI742</f>
        <v>530000000</v>
      </c>
      <c r="AK742" s="44">
        <v>0</v>
      </c>
      <c r="AL742" s="43">
        <v>139185768</v>
      </c>
      <c r="AM742" s="43">
        <v>309385768</v>
      </c>
      <c r="AN742" s="44">
        <v>0</v>
      </c>
      <c r="AO742" s="43">
        <v>49500000</v>
      </c>
      <c r="AP742" s="114">
        <v>219700000</v>
      </c>
      <c r="AQ742" s="18">
        <v>25100000</v>
      </c>
      <c r="AR742" s="18">
        <v>15900000</v>
      </c>
      <c r="AS742" s="18">
        <v>62323333</v>
      </c>
      <c r="AT742" s="39">
        <f t="shared" ref="AT742:AT744" si="288">AQ742+AS742</f>
        <v>87423333</v>
      </c>
      <c r="AU742" s="18">
        <f>AJ742-AM742</f>
        <v>220614232</v>
      </c>
      <c r="AV742" s="110">
        <f>AM742-AP742</f>
        <v>89685768</v>
      </c>
      <c r="AW742" s="18">
        <f>AP742-AT742</f>
        <v>132276667</v>
      </c>
      <c r="AX742" s="123">
        <f>AP742/AJ742</f>
        <v>0.41452830188679246</v>
      </c>
    </row>
    <row r="743" spans="1:50" ht="18.75" customHeight="1" x14ac:dyDescent="0.2">
      <c r="A743" s="4" t="s">
        <v>55</v>
      </c>
      <c r="B743" s="4" t="s">
        <v>56</v>
      </c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1" t="s">
        <v>562</v>
      </c>
      <c r="AB743" s="42" t="s">
        <v>382</v>
      </c>
      <c r="AC743" s="43" t="s">
        <v>383</v>
      </c>
      <c r="AD743" s="43">
        <v>770000000</v>
      </c>
      <c r="AE743" s="44">
        <v>0</v>
      </c>
      <c r="AF743" s="44">
        <v>0</v>
      </c>
      <c r="AG743" s="44">
        <v>0</v>
      </c>
      <c r="AH743" s="44">
        <v>0</v>
      </c>
      <c r="AI743" s="44">
        <v>0</v>
      </c>
      <c r="AJ743" s="43">
        <v>770000000</v>
      </c>
      <c r="AK743" s="44">
        <v>0</v>
      </c>
      <c r="AL743" s="43">
        <v>770000000</v>
      </c>
      <c r="AM743" s="43">
        <v>770000000</v>
      </c>
      <c r="AN743" s="44">
        <v>0</v>
      </c>
      <c r="AO743" s="43">
        <v>718500000</v>
      </c>
      <c r="AP743" s="114">
        <v>718500000</v>
      </c>
      <c r="AQ743" s="34">
        <v>0</v>
      </c>
      <c r="AR743" s="34">
        <v>0</v>
      </c>
      <c r="AS743" s="34">
        <v>0</v>
      </c>
      <c r="AT743" s="40">
        <f t="shared" si="288"/>
        <v>0</v>
      </c>
      <c r="AU743" s="18">
        <f>AJ743-AM743</f>
        <v>0</v>
      </c>
      <c r="AV743" s="18">
        <f>AM743-AP743</f>
        <v>51500000</v>
      </c>
      <c r="AW743" s="18">
        <f>AP743-AT743</f>
        <v>718500000</v>
      </c>
      <c r="AX743" s="123">
        <f>AP743/AJ743</f>
        <v>0.93311688311688312</v>
      </c>
    </row>
    <row r="744" spans="1:50" ht="18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1" t="s">
        <v>1235</v>
      </c>
      <c r="AB744" s="42" t="s">
        <v>1015</v>
      </c>
      <c r="AC744" s="43"/>
      <c r="AD744" s="44">
        <v>0</v>
      </c>
      <c r="AE744" s="43">
        <v>25000000</v>
      </c>
      <c r="AF744" s="44">
        <v>0</v>
      </c>
      <c r="AG744" s="44">
        <v>0</v>
      </c>
      <c r="AH744" s="44">
        <v>0</v>
      </c>
      <c r="AI744" s="43">
        <f>AE744-AF744+AG744-AH744</f>
        <v>25000000</v>
      </c>
      <c r="AJ744" s="43">
        <f>AD744+AI744</f>
        <v>25000000</v>
      </c>
      <c r="AK744" s="44">
        <v>0</v>
      </c>
      <c r="AL744" s="44">
        <v>0</v>
      </c>
      <c r="AM744" s="44">
        <v>0</v>
      </c>
      <c r="AN744" s="44">
        <v>0</v>
      </c>
      <c r="AO744" s="44">
        <v>0</v>
      </c>
      <c r="AP744" s="114">
        <v>0</v>
      </c>
      <c r="AQ744" s="34">
        <v>0</v>
      </c>
      <c r="AR744" s="34">
        <v>0</v>
      </c>
      <c r="AS744" s="34">
        <v>0</v>
      </c>
      <c r="AT744" s="39">
        <f t="shared" si="288"/>
        <v>0</v>
      </c>
      <c r="AU744" s="18">
        <f>AJ744-AM744</f>
        <v>25000000</v>
      </c>
      <c r="AV744" s="133">
        <f>AM744-AP744</f>
        <v>0</v>
      </c>
      <c r="AW744" s="18">
        <f>AP744-AT744</f>
        <v>0</v>
      </c>
      <c r="AX744" s="123">
        <f>AP744/AJ744</f>
        <v>0</v>
      </c>
    </row>
    <row r="745" spans="1:50" ht="25.5" customHeight="1" x14ac:dyDescent="0.2">
      <c r="AA745" s="28" t="s">
        <v>288</v>
      </c>
      <c r="AB745" s="29" t="s">
        <v>563</v>
      </c>
      <c r="AC745" s="17"/>
      <c r="AD745" s="18"/>
      <c r="AE745" s="34"/>
      <c r="AF745" s="34"/>
      <c r="AG745" s="34"/>
      <c r="AH745" s="34"/>
      <c r="AI745" s="34"/>
      <c r="AJ745" s="18"/>
      <c r="AK745" s="18"/>
      <c r="AL745" s="18"/>
      <c r="AM745" s="18"/>
      <c r="AN745" s="18"/>
      <c r="AO745" s="18"/>
      <c r="AP745" s="110"/>
      <c r="AQ745" s="34"/>
      <c r="AR745" s="34"/>
      <c r="AS745" s="34"/>
      <c r="AT745" s="40"/>
      <c r="AU745" s="18"/>
      <c r="AV745" s="34"/>
      <c r="AW745" s="18"/>
      <c r="AX745" s="18"/>
    </row>
    <row r="746" spans="1:50" ht="18.75" customHeight="1" x14ac:dyDescent="0.2">
      <c r="A746" s="4" t="s">
        <v>55</v>
      </c>
      <c r="B746" s="4" t="s">
        <v>56</v>
      </c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1" t="s">
        <v>564</v>
      </c>
      <c r="AB746" s="42" t="s">
        <v>233</v>
      </c>
      <c r="AC746" s="43" t="s">
        <v>58</v>
      </c>
      <c r="AD746" s="43">
        <v>150000000</v>
      </c>
      <c r="AE746" s="44">
        <v>0</v>
      </c>
      <c r="AF746" s="44">
        <v>0</v>
      </c>
      <c r="AG746" s="43">
        <f>200000000+318600000</f>
        <v>518600000</v>
      </c>
      <c r="AH746" s="44">
        <v>0</v>
      </c>
      <c r="AI746" s="43">
        <f>AE746-AF746+AG746-AH746</f>
        <v>518600000</v>
      </c>
      <c r="AJ746" s="43">
        <f>AD746+AI746</f>
        <v>668600000</v>
      </c>
      <c r="AK746" s="43">
        <v>134719471</v>
      </c>
      <c r="AL746" s="115">
        <v>0</v>
      </c>
      <c r="AM746" s="43">
        <v>198400000</v>
      </c>
      <c r="AN746" s="44">
        <v>0</v>
      </c>
      <c r="AO746" s="44">
        <v>0</v>
      </c>
      <c r="AP746" s="43">
        <v>198400000</v>
      </c>
      <c r="AQ746" s="18">
        <v>17800000</v>
      </c>
      <c r="AR746" s="18">
        <v>17200000</v>
      </c>
      <c r="AS746" s="18">
        <v>47613333</v>
      </c>
      <c r="AT746" s="39">
        <f t="shared" ref="AT746:AT748" si="289">AQ746+AS746</f>
        <v>65413333</v>
      </c>
      <c r="AU746" s="18">
        <f>AJ746-AM746</f>
        <v>470200000</v>
      </c>
      <c r="AV746" s="34">
        <f>AM746-AP746</f>
        <v>0</v>
      </c>
      <c r="AW746" s="110">
        <f>AP746-AT746</f>
        <v>132986667</v>
      </c>
      <c r="AX746" s="123">
        <f>AP746/AJ746</f>
        <v>0.29673945557882142</v>
      </c>
    </row>
    <row r="747" spans="1:50" ht="18.75" customHeight="1" x14ac:dyDescent="0.2">
      <c r="A747" s="4" t="s">
        <v>55</v>
      </c>
      <c r="B747" s="4" t="s">
        <v>56</v>
      </c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1" t="s">
        <v>565</v>
      </c>
      <c r="AB747" s="42" t="s">
        <v>382</v>
      </c>
      <c r="AC747" s="43" t="s">
        <v>383</v>
      </c>
      <c r="AD747" s="43">
        <v>1110000000</v>
      </c>
      <c r="AE747" s="44">
        <v>0</v>
      </c>
      <c r="AF747" s="44">
        <v>0</v>
      </c>
      <c r="AG747" s="44">
        <v>0</v>
      </c>
      <c r="AH747" s="44">
        <v>0</v>
      </c>
      <c r="AI747" s="44">
        <v>0</v>
      </c>
      <c r="AJ747" s="43">
        <v>1110000000</v>
      </c>
      <c r="AK747" s="43">
        <v>93765809</v>
      </c>
      <c r="AL747" s="115">
        <v>0</v>
      </c>
      <c r="AM747" s="43">
        <v>1016234191</v>
      </c>
      <c r="AN747" s="44">
        <v>0</v>
      </c>
      <c r="AO747" s="44">
        <v>0</v>
      </c>
      <c r="AP747" s="43">
        <v>1016234191</v>
      </c>
      <c r="AQ747" s="18">
        <v>0</v>
      </c>
      <c r="AR747" s="18">
        <v>121576581</v>
      </c>
      <c r="AS747" s="18">
        <v>134626581</v>
      </c>
      <c r="AT747" s="39">
        <f t="shared" si="289"/>
        <v>134626581</v>
      </c>
      <c r="AU747" s="18">
        <f>AJ747-AM747</f>
        <v>93765809</v>
      </c>
      <c r="AV747" s="34">
        <f>AM747-AP747</f>
        <v>0</v>
      </c>
      <c r="AW747" s="110">
        <f>AP747-AT747</f>
        <v>881607610</v>
      </c>
      <c r="AX747" s="123">
        <f>AP747/AJ747</f>
        <v>0.9155262981981982</v>
      </c>
    </row>
    <row r="748" spans="1:50" ht="18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1" t="s">
        <v>1098</v>
      </c>
      <c r="AB748" s="42" t="s">
        <v>1015</v>
      </c>
      <c r="AC748" s="43"/>
      <c r="AD748" s="44">
        <v>0</v>
      </c>
      <c r="AE748" s="43">
        <v>326400000</v>
      </c>
      <c r="AF748" s="44">
        <v>0</v>
      </c>
      <c r="AG748" s="44">
        <v>0</v>
      </c>
      <c r="AH748" s="44">
        <v>0</v>
      </c>
      <c r="AI748" s="43">
        <f>AE748-AF748+AG748-AH748</f>
        <v>326400000</v>
      </c>
      <c r="AJ748" s="43">
        <f>AD748+AI748</f>
        <v>326400000</v>
      </c>
      <c r="AK748" s="44">
        <v>0</v>
      </c>
      <c r="AL748" s="115">
        <v>0</v>
      </c>
      <c r="AM748" s="115">
        <v>0</v>
      </c>
      <c r="AN748" s="44">
        <v>0</v>
      </c>
      <c r="AO748" s="44">
        <v>0</v>
      </c>
      <c r="AP748" s="44">
        <v>0</v>
      </c>
      <c r="AQ748" s="34">
        <v>0</v>
      </c>
      <c r="AR748" s="34">
        <v>0</v>
      </c>
      <c r="AS748" s="34">
        <v>0</v>
      </c>
      <c r="AT748" s="40">
        <f t="shared" si="289"/>
        <v>0</v>
      </c>
      <c r="AU748" s="18">
        <f>AJ748-AM748</f>
        <v>326400000</v>
      </c>
      <c r="AV748" s="34">
        <f>AM748-AP748</f>
        <v>0</v>
      </c>
      <c r="AW748" s="133">
        <f>AP748-AT748</f>
        <v>0</v>
      </c>
      <c r="AX748" s="123">
        <f>AP748/AJ748</f>
        <v>0</v>
      </c>
    </row>
    <row r="749" spans="1:50" ht="18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73" t="s">
        <v>288</v>
      </c>
      <c r="AB749" s="74" t="s">
        <v>1259</v>
      </c>
      <c r="AC749" s="43"/>
      <c r="AD749" s="43"/>
      <c r="AE749" s="43"/>
      <c r="AF749" s="44"/>
      <c r="AG749" s="44"/>
      <c r="AH749" s="44"/>
      <c r="AI749" s="43"/>
      <c r="AJ749" s="43"/>
      <c r="AK749" s="44"/>
      <c r="AL749" s="115"/>
      <c r="AM749" s="115"/>
      <c r="AN749" s="44"/>
      <c r="AO749" s="44"/>
      <c r="AP749" s="44"/>
      <c r="AQ749" s="34"/>
      <c r="AR749" s="34"/>
      <c r="AS749" s="34"/>
      <c r="AT749" s="40"/>
      <c r="AU749" s="18"/>
      <c r="AV749" s="34"/>
      <c r="AW749" s="133"/>
      <c r="AX749" s="123"/>
    </row>
    <row r="750" spans="1:50" ht="18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1" t="s">
        <v>1260</v>
      </c>
      <c r="AB750" s="42" t="s">
        <v>961</v>
      </c>
      <c r="AC750" s="43"/>
      <c r="AD750" s="44">
        <v>0</v>
      </c>
      <c r="AE750" s="44">
        <v>0</v>
      </c>
      <c r="AF750" s="44">
        <v>0</v>
      </c>
      <c r="AG750" s="44">
        <v>29000000</v>
      </c>
      <c r="AH750" s="44">
        <v>29000000</v>
      </c>
      <c r="AI750" s="44">
        <f>AE750-AF750+AG750-AH750</f>
        <v>0</v>
      </c>
      <c r="AJ750" s="44">
        <f>AD750+AI750</f>
        <v>0</v>
      </c>
      <c r="AK750" s="44">
        <v>0</v>
      </c>
      <c r="AL750" s="115">
        <v>0</v>
      </c>
      <c r="AM750" s="115">
        <v>0</v>
      </c>
      <c r="AN750" s="44">
        <v>0</v>
      </c>
      <c r="AO750" s="44">
        <v>0</v>
      </c>
      <c r="AP750" s="44">
        <v>0</v>
      </c>
      <c r="AQ750" s="34">
        <v>0</v>
      </c>
      <c r="AR750" s="34">
        <v>0</v>
      </c>
      <c r="AS750" s="34">
        <v>0</v>
      </c>
      <c r="AT750" s="40">
        <f t="shared" ref="AT750" si="290">AQ750+AS750</f>
        <v>0</v>
      </c>
      <c r="AU750" s="18">
        <f>AJ750-AM750</f>
        <v>0</v>
      </c>
      <c r="AV750" s="34">
        <f>AM750-AP750</f>
        <v>0</v>
      </c>
      <c r="AW750" s="133">
        <f>AP750-AT750</f>
        <v>0</v>
      </c>
      <c r="AX750" s="123">
        <v>0</v>
      </c>
    </row>
    <row r="751" spans="1:50" ht="18.75" customHeight="1" x14ac:dyDescent="0.2">
      <c r="AA751" s="28" t="s">
        <v>288</v>
      </c>
      <c r="AB751" s="29" t="s">
        <v>566</v>
      </c>
      <c r="AC751" s="17"/>
      <c r="AD751" s="18"/>
      <c r="AE751" s="34"/>
      <c r="AF751" s="34"/>
      <c r="AG751" s="34"/>
      <c r="AH751" s="34"/>
      <c r="AI751" s="34"/>
      <c r="AJ751" s="18"/>
      <c r="AK751" s="18"/>
      <c r="AL751" s="18"/>
      <c r="AM751" s="18"/>
      <c r="AN751" s="18"/>
      <c r="AO751" s="18"/>
      <c r="AP751" s="110"/>
      <c r="AQ751" s="18"/>
      <c r="AR751" s="18"/>
      <c r="AS751" s="18"/>
      <c r="AT751" s="30"/>
      <c r="AU751" s="18"/>
      <c r="AV751" s="18"/>
      <c r="AW751" s="18"/>
      <c r="AX751" s="18"/>
    </row>
    <row r="752" spans="1:50" ht="18.75" customHeight="1" x14ac:dyDescent="0.2">
      <c r="A752" s="4" t="s">
        <v>55</v>
      </c>
      <c r="B752" s="4" t="s">
        <v>56</v>
      </c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1" t="s">
        <v>567</v>
      </c>
      <c r="AB752" s="42" t="s">
        <v>233</v>
      </c>
      <c r="AC752" s="43" t="s">
        <v>58</v>
      </c>
      <c r="AD752" s="43">
        <v>771000000</v>
      </c>
      <c r="AE752" s="44">
        <v>0</v>
      </c>
      <c r="AF752" s="44">
        <v>0</v>
      </c>
      <c r="AG752" s="43">
        <v>29000000</v>
      </c>
      <c r="AH752" s="44">
        <v>0</v>
      </c>
      <c r="AI752" s="43">
        <f>AE752-AF752+AG752-AH752</f>
        <v>29000000</v>
      </c>
      <c r="AJ752" s="43">
        <f>AD752+AI752</f>
        <v>800000000</v>
      </c>
      <c r="AK752" s="44">
        <v>0</v>
      </c>
      <c r="AL752" s="43">
        <v>121647634.70999999</v>
      </c>
      <c r="AM752" s="43">
        <v>577834373.55999994</v>
      </c>
      <c r="AN752" s="43">
        <v>0</v>
      </c>
      <c r="AO752" s="114">
        <v>121647634.70999999</v>
      </c>
      <c r="AP752" s="114">
        <v>577834373.55999994</v>
      </c>
      <c r="AQ752" s="43">
        <v>48100000</v>
      </c>
      <c r="AR752" s="43">
        <v>63865084.710000001</v>
      </c>
      <c r="AS752" s="43">
        <v>261871824.56</v>
      </c>
      <c r="AT752" s="39">
        <f t="shared" si="276"/>
        <v>309971824.56</v>
      </c>
      <c r="AU752" s="18">
        <f>AJ752-AM752</f>
        <v>222165626.44000006</v>
      </c>
      <c r="AV752" s="34">
        <f>AM752-AP752</f>
        <v>0</v>
      </c>
      <c r="AW752" s="18">
        <f>AP752-AT752</f>
        <v>267862548.99999994</v>
      </c>
      <c r="AX752" s="123">
        <f>AP752/AJ752</f>
        <v>0.72229296694999989</v>
      </c>
    </row>
    <row r="753" spans="1:50" ht="18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1" t="s">
        <v>567</v>
      </c>
      <c r="AB753" s="42" t="s">
        <v>1015</v>
      </c>
      <c r="AC753" s="43"/>
      <c r="AD753" s="44">
        <v>0</v>
      </c>
      <c r="AE753" s="43">
        <v>883600000</v>
      </c>
      <c r="AF753" s="44">
        <v>0</v>
      </c>
      <c r="AG753" s="44">
        <v>0</v>
      </c>
      <c r="AH753" s="44">
        <v>0</v>
      </c>
      <c r="AI753" s="43">
        <f>AE753-AF753+AG753-AH753</f>
        <v>883600000</v>
      </c>
      <c r="AJ753" s="43">
        <f>AD753+AI753</f>
        <v>883600000</v>
      </c>
      <c r="AK753" s="44">
        <v>0</v>
      </c>
      <c r="AL753" s="44">
        <v>0</v>
      </c>
      <c r="AM753" s="44">
        <v>0</v>
      </c>
      <c r="AN753" s="43">
        <v>0</v>
      </c>
      <c r="AO753" s="115">
        <v>0</v>
      </c>
      <c r="AP753" s="115">
        <v>0</v>
      </c>
      <c r="AQ753" s="44">
        <v>0</v>
      </c>
      <c r="AR753" s="44">
        <v>0</v>
      </c>
      <c r="AS753" s="44">
        <v>0</v>
      </c>
      <c r="AT753" s="40">
        <f t="shared" si="276"/>
        <v>0</v>
      </c>
      <c r="AU753" s="18">
        <f>AJ753-AM753</f>
        <v>883600000</v>
      </c>
      <c r="AV753" s="18">
        <f>AM753-AP753</f>
        <v>0</v>
      </c>
      <c r="AW753" s="110">
        <f>AP753-AT753</f>
        <v>0</v>
      </c>
      <c r="AX753" s="123">
        <f>AP753/AJ753</f>
        <v>0</v>
      </c>
    </row>
    <row r="754" spans="1:50" ht="18.75" customHeight="1" x14ac:dyDescent="0.2">
      <c r="AA754" s="28" t="s">
        <v>288</v>
      </c>
      <c r="AB754" s="29" t="s">
        <v>568</v>
      </c>
      <c r="AC754" s="17"/>
      <c r="AD754" s="18"/>
      <c r="AE754" s="34"/>
      <c r="AF754" s="34"/>
      <c r="AG754" s="34"/>
      <c r="AH754" s="34"/>
      <c r="AI754" s="34"/>
      <c r="AJ754" s="18"/>
      <c r="AK754" s="34"/>
      <c r="AL754" s="18"/>
      <c r="AM754" s="18"/>
      <c r="AN754" s="18"/>
      <c r="AO754" s="110"/>
      <c r="AP754" s="110"/>
      <c r="AQ754" s="18"/>
      <c r="AR754" s="18"/>
      <c r="AS754" s="18"/>
      <c r="AT754" s="30"/>
      <c r="AU754" s="18"/>
      <c r="AV754" s="18"/>
      <c r="AW754" s="18"/>
      <c r="AX754" s="18"/>
    </row>
    <row r="755" spans="1:50" ht="18.75" customHeight="1" x14ac:dyDescent="0.2">
      <c r="A755" s="4" t="s">
        <v>55</v>
      </c>
      <c r="B755" s="4" t="s">
        <v>56</v>
      </c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1" t="s">
        <v>569</v>
      </c>
      <c r="AB755" s="42" t="s">
        <v>233</v>
      </c>
      <c r="AC755" s="43" t="s">
        <v>58</v>
      </c>
      <c r="AD755" s="43">
        <v>230000000</v>
      </c>
      <c r="AE755" s="44">
        <v>0</v>
      </c>
      <c r="AF755" s="44">
        <v>0</v>
      </c>
      <c r="AG755" s="44">
        <v>0</v>
      </c>
      <c r="AH755" s="44">
        <v>0</v>
      </c>
      <c r="AI755" s="44">
        <v>0</v>
      </c>
      <c r="AJ755" s="43">
        <v>230000000</v>
      </c>
      <c r="AK755" s="44">
        <v>0</v>
      </c>
      <c r="AL755" s="43">
        <v>51000000</v>
      </c>
      <c r="AM755" s="43">
        <v>228731290</v>
      </c>
      <c r="AN755" s="44">
        <v>0</v>
      </c>
      <c r="AO755" s="114">
        <v>0</v>
      </c>
      <c r="AP755" s="114">
        <v>177731290</v>
      </c>
      <c r="AQ755" s="18">
        <v>20500000</v>
      </c>
      <c r="AR755" s="18">
        <v>20500000</v>
      </c>
      <c r="AS755" s="18">
        <v>74366667</v>
      </c>
      <c r="AT755" s="39">
        <f t="shared" si="276"/>
        <v>94866667</v>
      </c>
      <c r="AU755" s="18">
        <f>AJ755-AM755</f>
        <v>1268710</v>
      </c>
      <c r="AV755" s="18">
        <f>AM755-AP755</f>
        <v>51000000</v>
      </c>
      <c r="AW755" s="18">
        <f>AP755-AT755</f>
        <v>82864623</v>
      </c>
      <c r="AX755" s="123">
        <f>AP755/AJ755</f>
        <v>0.77274473913043473</v>
      </c>
    </row>
    <row r="756" spans="1:50" ht="18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1" t="s">
        <v>1099</v>
      </c>
      <c r="AB756" s="42" t="s">
        <v>1015</v>
      </c>
      <c r="AC756" s="43"/>
      <c r="AD756" s="44">
        <v>0</v>
      </c>
      <c r="AE756" s="43">
        <v>65000000</v>
      </c>
      <c r="AF756" s="44">
        <v>0</v>
      </c>
      <c r="AG756" s="43">
        <v>25000000</v>
      </c>
      <c r="AH756" s="44">
        <v>0</v>
      </c>
      <c r="AI756" s="43">
        <f>AE756-AF756+AG756-AH756</f>
        <v>90000000</v>
      </c>
      <c r="AJ756" s="43">
        <f>AD756+AI756</f>
        <v>90000000</v>
      </c>
      <c r="AK756" s="44">
        <v>0</v>
      </c>
      <c r="AL756" s="44">
        <v>0</v>
      </c>
      <c r="AM756" s="44">
        <v>0</v>
      </c>
      <c r="AN756" s="44">
        <v>0</v>
      </c>
      <c r="AO756" s="115">
        <v>0</v>
      </c>
      <c r="AP756" s="115">
        <v>0</v>
      </c>
      <c r="AQ756" s="34">
        <v>0</v>
      </c>
      <c r="AR756" s="34">
        <v>0</v>
      </c>
      <c r="AS756" s="34">
        <v>0</v>
      </c>
      <c r="AT756" s="39">
        <f t="shared" si="276"/>
        <v>0</v>
      </c>
      <c r="AU756" s="18">
        <f>AJ756-AM756</f>
        <v>90000000</v>
      </c>
      <c r="AV756" s="34">
        <f>AM756-AP756</f>
        <v>0</v>
      </c>
      <c r="AW756" s="133">
        <f>AP756-AT756</f>
        <v>0</v>
      </c>
      <c r="AX756" s="123">
        <f>AP756/AJ756</f>
        <v>0</v>
      </c>
    </row>
    <row r="757" spans="1:50" ht="18.75" customHeight="1" x14ac:dyDescent="0.2">
      <c r="AA757" s="28" t="s">
        <v>288</v>
      </c>
      <c r="AB757" s="29" t="s">
        <v>570</v>
      </c>
      <c r="AC757" s="17"/>
      <c r="AD757" s="18"/>
      <c r="AE757" s="34"/>
      <c r="AF757" s="34"/>
      <c r="AG757" s="34"/>
      <c r="AH757" s="34"/>
      <c r="AI757" s="34"/>
      <c r="AJ757" s="18"/>
      <c r="AK757" s="34"/>
      <c r="AL757" s="18"/>
      <c r="AM757" s="18"/>
      <c r="AN757" s="34"/>
      <c r="AO757" s="110"/>
      <c r="AP757" s="110"/>
      <c r="AQ757" s="18"/>
      <c r="AR757" s="18"/>
      <c r="AS757" s="18"/>
      <c r="AT757" s="39"/>
      <c r="AU757" s="18"/>
      <c r="AV757" s="18"/>
      <c r="AW757" s="18"/>
      <c r="AX757" s="18"/>
    </row>
    <row r="758" spans="1:50" ht="18.75" customHeight="1" x14ac:dyDescent="0.2">
      <c r="A758" s="4" t="s">
        <v>55</v>
      </c>
      <c r="B758" s="4" t="s">
        <v>56</v>
      </c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1" t="s">
        <v>571</v>
      </c>
      <c r="AB758" s="42" t="s">
        <v>233</v>
      </c>
      <c r="AC758" s="43" t="s">
        <v>58</v>
      </c>
      <c r="AD758" s="43">
        <v>300000000</v>
      </c>
      <c r="AE758" s="44">
        <v>0</v>
      </c>
      <c r="AF758" s="44">
        <v>0</v>
      </c>
      <c r="AG758" s="44">
        <v>0</v>
      </c>
      <c r="AH758" s="44">
        <v>0</v>
      </c>
      <c r="AI758" s="44">
        <v>0</v>
      </c>
      <c r="AJ758" s="43">
        <v>300000000</v>
      </c>
      <c r="AK758" s="44">
        <v>0</v>
      </c>
      <c r="AL758" s="43">
        <v>-23000001</v>
      </c>
      <c r="AM758" s="43">
        <v>128999999</v>
      </c>
      <c r="AN758" s="44">
        <v>0</v>
      </c>
      <c r="AO758" s="114">
        <v>-23000001</v>
      </c>
      <c r="AP758" s="114">
        <v>128999999</v>
      </c>
      <c r="AQ758" s="18">
        <v>19000000</v>
      </c>
      <c r="AR758" s="18">
        <v>11333333</v>
      </c>
      <c r="AS758" s="18">
        <v>66483332</v>
      </c>
      <c r="AT758" s="39">
        <f t="shared" ref="AT758" si="291">AQ758+AS758</f>
        <v>85483332</v>
      </c>
      <c r="AU758" s="18">
        <f>AJ758-AM758</f>
        <v>171000001</v>
      </c>
      <c r="AV758" s="133">
        <f>AM758-AP758</f>
        <v>0</v>
      </c>
      <c r="AW758" s="18">
        <f>AP758-AT758</f>
        <v>43516667</v>
      </c>
      <c r="AX758" s="123">
        <f>AP758/AJ758</f>
        <v>0.42999999666666666</v>
      </c>
    </row>
    <row r="759" spans="1:50" ht="18.75" customHeight="1" x14ac:dyDescent="0.2">
      <c r="AA759" s="28" t="s">
        <v>288</v>
      </c>
      <c r="AB759" s="29" t="s">
        <v>400</v>
      </c>
      <c r="AC759" s="17"/>
      <c r="AD759" s="18"/>
      <c r="AE759" s="34"/>
      <c r="AF759" s="34"/>
      <c r="AG759" s="34"/>
      <c r="AH759" s="34"/>
      <c r="AI759" s="34"/>
      <c r="AJ759" s="18"/>
      <c r="AK759" s="34"/>
      <c r="AL759" s="18"/>
      <c r="AM759" s="18"/>
      <c r="AN759" s="34"/>
      <c r="AO759" s="110"/>
      <c r="AP759" s="110"/>
      <c r="AQ759" s="18"/>
      <c r="AR759" s="18"/>
      <c r="AS759" s="18"/>
      <c r="AT759" s="39"/>
      <c r="AU759" s="18"/>
      <c r="AV759" s="110"/>
      <c r="AW759" s="18"/>
      <c r="AX759" s="18"/>
    </row>
    <row r="760" spans="1:50" ht="18.75" customHeight="1" x14ac:dyDescent="0.2">
      <c r="A760" s="4" t="s">
        <v>55</v>
      </c>
      <c r="B760" s="4" t="s">
        <v>56</v>
      </c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1" t="s">
        <v>425</v>
      </c>
      <c r="AB760" s="42" t="s">
        <v>233</v>
      </c>
      <c r="AC760" s="43" t="s">
        <v>58</v>
      </c>
      <c r="AD760" s="43">
        <v>440000000</v>
      </c>
      <c r="AE760" s="44">
        <v>0</v>
      </c>
      <c r="AF760" s="44">
        <v>0</v>
      </c>
      <c r="AG760" s="43">
        <f>42000000+12000000</f>
        <v>54000000</v>
      </c>
      <c r="AH760" s="44">
        <v>0</v>
      </c>
      <c r="AI760" s="43">
        <f>AE760-AF760+AG760-AH760</f>
        <v>54000000</v>
      </c>
      <c r="AJ760" s="43">
        <f>AD760+AI760</f>
        <v>494000000</v>
      </c>
      <c r="AK760" s="44">
        <v>0</v>
      </c>
      <c r="AL760" s="43">
        <v>-433333</v>
      </c>
      <c r="AM760" s="43">
        <v>432900001</v>
      </c>
      <c r="AN760" s="44">
        <v>0</v>
      </c>
      <c r="AO760" s="114">
        <v>29566667</v>
      </c>
      <c r="AP760" s="114">
        <v>432900001</v>
      </c>
      <c r="AQ760" s="18">
        <v>49433333</v>
      </c>
      <c r="AR760" s="18">
        <v>45900000</v>
      </c>
      <c r="AS760" s="18">
        <v>156250001</v>
      </c>
      <c r="AT760" s="39">
        <f t="shared" ref="AT760" si="292">AQ760+AS760</f>
        <v>205683334</v>
      </c>
      <c r="AU760" s="18">
        <f>AJ760-AM760</f>
        <v>61099999</v>
      </c>
      <c r="AV760" s="133">
        <f>AM760-AP760</f>
        <v>0</v>
      </c>
      <c r="AW760" s="18">
        <f>AP760-AT760</f>
        <v>227216667</v>
      </c>
      <c r="AX760" s="123">
        <f>AP760/AJ760</f>
        <v>0.87631579149797567</v>
      </c>
    </row>
    <row r="761" spans="1:50" ht="18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1" t="s">
        <v>1256</v>
      </c>
      <c r="AB761" s="42" t="s">
        <v>1015</v>
      </c>
      <c r="AC761" s="43"/>
      <c r="AD761" s="44">
        <v>0</v>
      </c>
      <c r="AE761" s="44">
        <v>0</v>
      </c>
      <c r="AF761" s="44">
        <v>0</v>
      </c>
      <c r="AG761" s="43">
        <v>120000000</v>
      </c>
      <c r="AH761" s="44">
        <v>0</v>
      </c>
      <c r="AI761" s="43">
        <f>AE761-AF761+AG761-AH761</f>
        <v>120000000</v>
      </c>
      <c r="AJ761" s="43">
        <f>AD761+AI761</f>
        <v>120000000</v>
      </c>
      <c r="AK761" s="44">
        <v>0</v>
      </c>
      <c r="AL761" s="44">
        <v>0</v>
      </c>
      <c r="AM761" s="44">
        <v>0</v>
      </c>
      <c r="AN761" s="44">
        <v>0</v>
      </c>
      <c r="AO761" s="115">
        <v>0</v>
      </c>
      <c r="AP761" s="115">
        <v>0</v>
      </c>
      <c r="AQ761" s="34">
        <v>0</v>
      </c>
      <c r="AR761" s="34">
        <v>0</v>
      </c>
      <c r="AS761" s="34">
        <v>0</v>
      </c>
      <c r="AT761" s="40">
        <f t="shared" ref="AT761" si="293">AQ761+AS761</f>
        <v>0</v>
      </c>
      <c r="AU761" s="18">
        <f>AJ761-AM761</f>
        <v>120000000</v>
      </c>
      <c r="AV761" s="133">
        <f>AM761-AP761</f>
        <v>0</v>
      </c>
      <c r="AW761" s="18">
        <f>AP761-AT761</f>
        <v>0</v>
      </c>
      <c r="AX761" s="123">
        <f>AP761/AJ761</f>
        <v>0</v>
      </c>
    </row>
    <row r="762" spans="1:50" ht="18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73" t="s">
        <v>1016</v>
      </c>
      <c r="AB762" s="74" t="s">
        <v>1068</v>
      </c>
      <c r="AC762" s="43"/>
      <c r="AD762" s="43"/>
      <c r="AE762" s="44"/>
      <c r="AF762" s="44"/>
      <c r="AG762" s="43"/>
      <c r="AH762" s="44"/>
      <c r="AI762" s="43"/>
      <c r="AJ762" s="43"/>
      <c r="AK762" s="44"/>
      <c r="AL762" s="43"/>
      <c r="AM762" s="43"/>
      <c r="AN762" s="44"/>
      <c r="AO762" s="115"/>
      <c r="AP762" s="115"/>
      <c r="AQ762" s="34"/>
      <c r="AR762" s="34"/>
      <c r="AS762" s="34"/>
      <c r="AT762" s="40"/>
      <c r="AU762" s="18"/>
      <c r="AV762" s="133"/>
      <c r="AW762" s="18"/>
      <c r="AX762" s="123"/>
    </row>
    <row r="763" spans="1:50" ht="18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73" t="s">
        <v>1017</v>
      </c>
      <c r="AB763" s="74" t="s">
        <v>1069</v>
      </c>
      <c r="AC763" s="43"/>
      <c r="AD763" s="43"/>
      <c r="AE763" s="44"/>
      <c r="AF763" s="44"/>
      <c r="AG763" s="43"/>
      <c r="AH763" s="44"/>
      <c r="AI763" s="43"/>
      <c r="AJ763" s="43"/>
      <c r="AK763" s="44"/>
      <c r="AL763" s="43"/>
      <c r="AM763" s="43"/>
      <c r="AN763" s="44"/>
      <c r="AO763" s="115"/>
      <c r="AP763" s="115"/>
      <c r="AQ763" s="34"/>
      <c r="AR763" s="34"/>
      <c r="AS763" s="34"/>
      <c r="AT763" s="40"/>
      <c r="AU763" s="18"/>
      <c r="AV763" s="133"/>
      <c r="AW763" s="18"/>
      <c r="AX763" s="123"/>
    </row>
    <row r="764" spans="1:50" ht="18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73" t="s">
        <v>1018</v>
      </c>
      <c r="AB764" s="74" t="s">
        <v>286</v>
      </c>
      <c r="AC764" s="43"/>
      <c r="AD764" s="43"/>
      <c r="AE764" s="44"/>
      <c r="AF764" s="44"/>
      <c r="AG764" s="43"/>
      <c r="AH764" s="44"/>
      <c r="AI764" s="43"/>
      <c r="AJ764" s="43"/>
      <c r="AK764" s="44"/>
      <c r="AL764" s="43"/>
      <c r="AM764" s="43"/>
      <c r="AN764" s="44"/>
      <c r="AO764" s="115"/>
      <c r="AP764" s="115"/>
      <c r="AQ764" s="34"/>
      <c r="AR764" s="34"/>
      <c r="AS764" s="34"/>
      <c r="AT764" s="40"/>
      <c r="AU764" s="18"/>
      <c r="AV764" s="133"/>
      <c r="AW764" s="18"/>
      <c r="AX764" s="123"/>
    </row>
    <row r="765" spans="1:50" ht="18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73" t="s">
        <v>1021</v>
      </c>
      <c r="AB765" s="74" t="s">
        <v>1070</v>
      </c>
      <c r="AC765" s="43"/>
      <c r="AD765" s="43"/>
      <c r="AE765" s="44"/>
      <c r="AF765" s="44"/>
      <c r="AG765" s="43"/>
      <c r="AH765" s="44"/>
      <c r="AI765" s="43"/>
      <c r="AJ765" s="43"/>
      <c r="AK765" s="44"/>
      <c r="AL765" s="43"/>
      <c r="AM765" s="43"/>
      <c r="AN765" s="44"/>
      <c r="AO765" s="115"/>
      <c r="AP765" s="115"/>
      <c r="AQ765" s="34"/>
      <c r="AR765" s="34"/>
      <c r="AS765" s="34"/>
      <c r="AT765" s="40"/>
      <c r="AU765" s="18"/>
      <c r="AV765" s="133"/>
      <c r="AW765" s="18"/>
      <c r="AX765" s="123"/>
    </row>
    <row r="766" spans="1:50" ht="18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1" t="s">
        <v>1019</v>
      </c>
      <c r="AB766" s="42" t="s">
        <v>1005</v>
      </c>
      <c r="AC766" s="43"/>
      <c r="AD766" s="44">
        <v>0</v>
      </c>
      <c r="AE766" s="43">
        <v>4577320</v>
      </c>
      <c r="AF766" s="44">
        <v>0</v>
      </c>
      <c r="AG766" s="44">
        <v>0</v>
      </c>
      <c r="AH766" s="44">
        <v>0</v>
      </c>
      <c r="AI766" s="43">
        <f>AE766-AF766+AG766-AH766</f>
        <v>4577320</v>
      </c>
      <c r="AJ766" s="43">
        <f>AD766+AI766</f>
        <v>4577320</v>
      </c>
      <c r="AK766" s="44">
        <v>0</v>
      </c>
      <c r="AL766" s="44">
        <v>0</v>
      </c>
      <c r="AM766" s="44">
        <v>0</v>
      </c>
      <c r="AN766" s="44">
        <v>0</v>
      </c>
      <c r="AO766" s="115">
        <v>0</v>
      </c>
      <c r="AP766" s="115">
        <v>0</v>
      </c>
      <c r="AQ766" s="34">
        <v>0</v>
      </c>
      <c r="AR766" s="34">
        <v>0</v>
      </c>
      <c r="AS766" s="34">
        <v>0</v>
      </c>
      <c r="AT766" s="40">
        <f t="shared" ref="AT766" si="294">AQ766+AS766</f>
        <v>0</v>
      </c>
      <c r="AU766" s="18">
        <f>AJ766-AM766</f>
        <v>4577320</v>
      </c>
      <c r="AV766" s="34">
        <f>AM766-AP766</f>
        <v>0</v>
      </c>
      <c r="AW766" s="133">
        <f>AP766-AT766</f>
        <v>0</v>
      </c>
      <c r="AX766" s="123">
        <f>AP766/AJ766</f>
        <v>0</v>
      </c>
    </row>
    <row r="767" spans="1:50" s="50" customFormat="1" ht="18.75" customHeight="1" x14ac:dyDescent="0.2"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46"/>
      <c r="AB767" s="47" t="s">
        <v>572</v>
      </c>
      <c r="AC767" s="47"/>
      <c r="AD767" s="48">
        <f t="shared" ref="AD767:AW767" si="295">SUM(AD691:AD766)</f>
        <v>13989429350</v>
      </c>
      <c r="AE767" s="48">
        <f t="shared" si="295"/>
        <v>3812553585.4200001</v>
      </c>
      <c r="AF767" s="49">
        <f t="shared" si="295"/>
        <v>0</v>
      </c>
      <c r="AG767" s="48">
        <f>SUM(AG691:AG766)</f>
        <v>2959000000</v>
      </c>
      <c r="AH767" s="48">
        <f t="shared" si="295"/>
        <v>1315000000</v>
      </c>
      <c r="AI767" s="48">
        <f t="shared" si="295"/>
        <v>5456553585.4200001</v>
      </c>
      <c r="AJ767" s="48">
        <f t="shared" si="295"/>
        <v>19445982935.419998</v>
      </c>
      <c r="AK767" s="49">
        <f t="shared" si="295"/>
        <v>228485280</v>
      </c>
      <c r="AL767" s="48">
        <f t="shared" si="295"/>
        <v>1220140401.24</v>
      </c>
      <c r="AM767" s="48">
        <f t="shared" si="295"/>
        <v>12365151544.589998</v>
      </c>
      <c r="AN767" s="48">
        <f t="shared" si="295"/>
        <v>0</v>
      </c>
      <c r="AO767" s="48">
        <f t="shared" si="295"/>
        <v>2637610739.3400002</v>
      </c>
      <c r="AP767" s="48">
        <f t="shared" si="295"/>
        <v>11537235815.689999</v>
      </c>
      <c r="AQ767" s="48">
        <f t="shared" si="295"/>
        <v>299333333</v>
      </c>
      <c r="AR767" s="48">
        <f t="shared" si="295"/>
        <v>1050602828.24</v>
      </c>
      <c r="AS767" s="48">
        <f t="shared" si="295"/>
        <v>2917590680.5899997</v>
      </c>
      <c r="AT767" s="48">
        <f t="shared" si="295"/>
        <v>3216924013.5899997</v>
      </c>
      <c r="AU767" s="48">
        <f t="shared" si="295"/>
        <v>7080831390.8299999</v>
      </c>
      <c r="AV767" s="48">
        <f t="shared" si="295"/>
        <v>827915728.89999998</v>
      </c>
      <c r="AW767" s="48">
        <f t="shared" si="295"/>
        <v>8320311802.0999994</v>
      </c>
      <c r="AX767" s="24">
        <f>AP767/AJ767</f>
        <v>0.59329661318767457</v>
      </c>
    </row>
    <row r="768" spans="1:50" ht="18.75" customHeight="1" x14ac:dyDescent="0.2">
      <c r="AA768" s="16"/>
      <c r="AB768" s="17"/>
      <c r="AC768" s="17"/>
      <c r="AD768" s="18"/>
      <c r="AE768" s="34"/>
      <c r="AF768" s="34"/>
      <c r="AG768" s="34"/>
      <c r="AH768" s="34"/>
      <c r="AI768" s="34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</row>
    <row r="769" spans="1:50" s="25" customFormat="1" ht="18.75" customHeight="1" x14ac:dyDescent="0.2"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66"/>
      <c r="AB769" s="21" t="s">
        <v>573</v>
      </c>
      <c r="AC769" s="67"/>
      <c r="AD769" s="63"/>
      <c r="AE769" s="72"/>
      <c r="AF769" s="72"/>
      <c r="AG769" s="72"/>
      <c r="AH769" s="72"/>
      <c r="AI769" s="72"/>
      <c r="AJ769" s="63"/>
      <c r="AK769" s="63"/>
      <c r="AL769" s="63"/>
      <c r="AM769" s="63"/>
      <c r="AN769" s="63"/>
      <c r="AO769" s="63"/>
      <c r="AP769" s="63"/>
      <c r="AQ769" s="63"/>
      <c r="AR769" s="63"/>
      <c r="AS769" s="63"/>
      <c r="AT769" s="63"/>
      <c r="AU769" s="63"/>
      <c r="AV769" s="63"/>
      <c r="AW769" s="63"/>
      <c r="AX769" s="63"/>
    </row>
    <row r="770" spans="1:50" ht="18.75" customHeight="1" x14ac:dyDescent="0.2">
      <c r="AA770" s="16"/>
      <c r="AB770" s="29" t="s">
        <v>286</v>
      </c>
      <c r="AC770" s="17"/>
      <c r="AD770" s="18"/>
      <c r="AE770" s="34"/>
      <c r="AF770" s="34"/>
      <c r="AG770" s="34"/>
      <c r="AH770" s="34"/>
      <c r="AI770" s="34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</row>
    <row r="771" spans="1:50" ht="18.75" customHeight="1" x14ac:dyDescent="0.2">
      <c r="AA771" s="16"/>
      <c r="AB771" s="29" t="s">
        <v>574</v>
      </c>
      <c r="AC771" s="17"/>
      <c r="AD771" s="18"/>
      <c r="AE771" s="34"/>
      <c r="AF771" s="34"/>
      <c r="AG771" s="34"/>
      <c r="AH771" s="34"/>
      <c r="AI771" s="34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</row>
    <row r="772" spans="1:50" ht="18.75" customHeight="1" x14ac:dyDescent="0.2">
      <c r="AA772" s="16"/>
      <c r="AB772" s="29" t="s">
        <v>575</v>
      </c>
      <c r="AC772" s="17"/>
      <c r="AD772" s="18"/>
      <c r="AE772" s="34"/>
      <c r="AF772" s="34"/>
      <c r="AG772" s="34"/>
      <c r="AH772" s="34"/>
      <c r="AI772" s="34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</row>
    <row r="773" spans="1:50" ht="18.75" customHeight="1" x14ac:dyDescent="0.2">
      <c r="AA773" s="16"/>
      <c r="AB773" s="29" t="s">
        <v>576</v>
      </c>
      <c r="AC773" s="17"/>
      <c r="AD773" s="18"/>
      <c r="AE773" s="34"/>
      <c r="AF773" s="34"/>
      <c r="AG773" s="34"/>
      <c r="AH773" s="34"/>
      <c r="AI773" s="34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</row>
    <row r="774" spans="1:50" x14ac:dyDescent="0.2">
      <c r="AA774" s="16"/>
      <c r="AB774" s="29" t="s">
        <v>577</v>
      </c>
      <c r="AC774" s="17"/>
      <c r="AD774" s="18"/>
      <c r="AE774" s="34"/>
      <c r="AF774" s="34"/>
      <c r="AG774" s="34"/>
      <c r="AH774" s="34"/>
      <c r="AI774" s="34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</row>
    <row r="775" spans="1:50" ht="25.5" x14ac:dyDescent="0.2">
      <c r="AA775" s="16"/>
      <c r="AB775" s="29" t="s">
        <v>578</v>
      </c>
      <c r="AC775" s="17"/>
      <c r="AD775" s="18"/>
      <c r="AE775" s="34"/>
      <c r="AF775" s="34"/>
      <c r="AG775" s="34"/>
      <c r="AH775" s="34"/>
      <c r="AI775" s="34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30"/>
      <c r="AU775" s="18"/>
      <c r="AV775" s="18"/>
      <c r="AW775" s="18"/>
      <c r="AX775" s="18"/>
    </row>
    <row r="776" spans="1:50" ht="25.5" x14ac:dyDescent="0.2">
      <c r="AA776" s="16"/>
      <c r="AB776" s="29" t="s">
        <v>579</v>
      </c>
      <c r="AC776" s="17"/>
      <c r="AD776" s="18"/>
      <c r="AE776" s="34"/>
      <c r="AF776" s="34"/>
      <c r="AG776" s="34"/>
      <c r="AH776" s="34"/>
      <c r="AI776" s="34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30"/>
      <c r="AU776" s="18"/>
      <c r="AV776" s="18"/>
      <c r="AW776" s="18"/>
      <c r="AX776" s="18"/>
    </row>
    <row r="777" spans="1:50" x14ac:dyDescent="0.2">
      <c r="A777" s="4" t="s">
        <v>55</v>
      </c>
      <c r="B777" s="4" t="s">
        <v>56</v>
      </c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1" t="s">
        <v>580</v>
      </c>
      <c r="AB777" s="42" t="s">
        <v>233</v>
      </c>
      <c r="AC777" s="43" t="s">
        <v>58</v>
      </c>
      <c r="AD777" s="43">
        <v>50000000</v>
      </c>
      <c r="AE777" s="44">
        <v>0</v>
      </c>
      <c r="AF777" s="44">
        <v>0</v>
      </c>
      <c r="AG777" s="44">
        <v>0</v>
      </c>
      <c r="AH777" s="44">
        <v>0</v>
      </c>
      <c r="AI777" s="44">
        <v>0</v>
      </c>
      <c r="AJ777" s="43">
        <v>50000000</v>
      </c>
      <c r="AK777" s="44">
        <v>0</v>
      </c>
      <c r="AL777" s="44">
        <v>0</v>
      </c>
      <c r="AM777" s="44">
        <v>0</v>
      </c>
      <c r="AN777" s="44">
        <v>0</v>
      </c>
      <c r="AO777" s="44">
        <v>0</v>
      </c>
      <c r="AP777" s="44">
        <v>0</v>
      </c>
      <c r="AQ777" s="34">
        <v>0</v>
      </c>
      <c r="AR777" s="34">
        <v>0</v>
      </c>
      <c r="AS777" s="34">
        <v>0</v>
      </c>
      <c r="AT777" s="40">
        <f t="shared" ref="AT777:AT839" si="296">AQ777+AS777</f>
        <v>0</v>
      </c>
      <c r="AU777" s="18">
        <f>AJ777-AM777</f>
        <v>50000000</v>
      </c>
      <c r="AV777" s="133">
        <f>AM777-AP777</f>
        <v>0</v>
      </c>
      <c r="AW777" s="34">
        <f>AP777-AT777</f>
        <v>0</v>
      </c>
      <c r="AX777" s="123">
        <f>AP777/AJ777</f>
        <v>0</v>
      </c>
    </row>
    <row r="778" spans="1:50" ht="38.25" x14ac:dyDescent="0.2">
      <c r="AA778" s="28" t="s">
        <v>288</v>
      </c>
      <c r="AB778" s="29" t="s">
        <v>581</v>
      </c>
      <c r="AC778" s="17"/>
      <c r="AD778" s="18"/>
      <c r="AE778" s="18"/>
      <c r="AF778" s="18"/>
      <c r="AG778" s="18"/>
      <c r="AH778" s="18"/>
      <c r="AI778" s="18"/>
      <c r="AJ778" s="18"/>
      <c r="AK778" s="34"/>
      <c r="AL778" s="34"/>
      <c r="AM778" s="34"/>
      <c r="AN778" s="34"/>
      <c r="AO778" s="34"/>
      <c r="AP778" s="34"/>
      <c r="AQ778" s="34"/>
      <c r="AR778" s="34"/>
      <c r="AS778" s="34"/>
      <c r="AT778" s="40"/>
      <c r="AU778" s="18"/>
      <c r="AV778" s="34"/>
      <c r="AW778" s="34"/>
      <c r="AX778" s="18"/>
    </row>
    <row r="779" spans="1:50" x14ac:dyDescent="0.2">
      <c r="A779" s="4" t="s">
        <v>55</v>
      </c>
      <c r="B779" s="4" t="s">
        <v>56</v>
      </c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1" t="s">
        <v>582</v>
      </c>
      <c r="AB779" s="42" t="s">
        <v>233</v>
      </c>
      <c r="AC779" s="43" t="s">
        <v>58</v>
      </c>
      <c r="AD779" s="43">
        <v>75000000</v>
      </c>
      <c r="AE779" s="44">
        <v>0</v>
      </c>
      <c r="AF779" s="44">
        <v>0</v>
      </c>
      <c r="AG779" s="44">
        <v>0</v>
      </c>
      <c r="AH779" s="43">
        <v>75000000</v>
      </c>
      <c r="AI779" s="43">
        <f>AE779-AF779+AG779-AH779</f>
        <v>-75000000</v>
      </c>
      <c r="AJ779" s="44">
        <f>AD779+AI779</f>
        <v>0</v>
      </c>
      <c r="AK779" s="44">
        <v>0</v>
      </c>
      <c r="AL779" s="44">
        <v>0</v>
      </c>
      <c r="AM779" s="44">
        <v>0</v>
      </c>
      <c r="AN779" s="44">
        <v>0</v>
      </c>
      <c r="AO779" s="44">
        <v>0</v>
      </c>
      <c r="AP779" s="44">
        <v>0</v>
      </c>
      <c r="AQ779" s="34">
        <v>0</v>
      </c>
      <c r="AR779" s="34">
        <v>0</v>
      </c>
      <c r="AS779" s="34">
        <v>0</v>
      </c>
      <c r="AT779" s="40">
        <f t="shared" ref="AT779" si="297">AQ779+AS779</f>
        <v>0</v>
      </c>
      <c r="AU779" s="34">
        <f>AJ779-AM779</f>
        <v>0</v>
      </c>
      <c r="AV779" s="133">
        <f>AM779-AP779</f>
        <v>0</v>
      </c>
      <c r="AW779" s="34">
        <f>AP779-AT779</f>
        <v>0</v>
      </c>
      <c r="AX779" s="123">
        <v>0</v>
      </c>
    </row>
    <row r="780" spans="1:50" ht="25.5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73" t="s">
        <v>288</v>
      </c>
      <c r="AB780" s="74" t="s">
        <v>910</v>
      </c>
      <c r="AC780" s="43"/>
      <c r="AD780" s="43"/>
      <c r="AE780" s="44"/>
      <c r="AF780" s="44"/>
      <c r="AH780" s="43"/>
      <c r="AK780" s="44"/>
      <c r="AL780" s="44"/>
      <c r="AM780" s="44"/>
      <c r="AN780" s="44"/>
      <c r="AO780" s="44"/>
      <c r="AP780" s="44"/>
      <c r="AQ780" s="34"/>
      <c r="AR780" s="34"/>
      <c r="AS780" s="34"/>
      <c r="AT780" s="40"/>
      <c r="AU780" s="43"/>
      <c r="AV780" s="44"/>
      <c r="AW780" s="44"/>
      <c r="AX780" s="32"/>
    </row>
    <row r="781" spans="1:50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1" t="s">
        <v>911</v>
      </c>
      <c r="AB781" s="42" t="s">
        <v>233</v>
      </c>
      <c r="AC781" s="43"/>
      <c r="AD781" s="44">
        <v>0</v>
      </c>
      <c r="AE781" s="44">
        <v>0</v>
      </c>
      <c r="AF781" s="44">
        <v>0</v>
      </c>
      <c r="AG781" s="43">
        <f>31295090+46856431.35</f>
        <v>78151521.349999994</v>
      </c>
      <c r="AH781" s="44">
        <v>0</v>
      </c>
      <c r="AI781" s="43">
        <f>AE780-AF780+AG781-AH780</f>
        <v>78151521.349999994</v>
      </c>
      <c r="AJ781" s="43">
        <f>AD780+AI781</f>
        <v>78151521.349999994</v>
      </c>
      <c r="AK781" s="44">
        <v>0</v>
      </c>
      <c r="AL781" s="44">
        <v>0</v>
      </c>
      <c r="AM781" s="44">
        <v>0</v>
      </c>
      <c r="AN781" s="44">
        <v>0</v>
      </c>
      <c r="AO781" s="44">
        <v>0</v>
      </c>
      <c r="AP781" s="44">
        <v>0</v>
      </c>
      <c r="AQ781" s="34">
        <v>0</v>
      </c>
      <c r="AR781" s="34">
        <v>0</v>
      </c>
      <c r="AS781" s="34">
        <v>0</v>
      </c>
      <c r="AT781" s="40">
        <f t="shared" ref="AT781" si="298">AQ781+AS781</f>
        <v>0</v>
      </c>
      <c r="AU781" s="18">
        <f>AJ781-AM781</f>
        <v>78151521.349999994</v>
      </c>
      <c r="AV781" s="133">
        <f>AM781-AP781</f>
        <v>0</v>
      </c>
      <c r="AW781" s="34">
        <f>AP781-AT781</f>
        <v>0</v>
      </c>
      <c r="AX781" s="123">
        <f>AP781/AJ781</f>
        <v>0</v>
      </c>
    </row>
    <row r="782" spans="1:50" x14ac:dyDescent="0.2">
      <c r="AA782" s="16"/>
      <c r="AB782" s="17"/>
      <c r="AC782" s="17"/>
      <c r="AD782" s="18"/>
      <c r="AE782" s="34"/>
      <c r="AF782" s="34"/>
      <c r="AG782" s="34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30"/>
      <c r="AU782" s="18"/>
      <c r="AV782" s="18"/>
      <c r="AW782" s="18"/>
      <c r="AX782" s="18"/>
    </row>
    <row r="783" spans="1:50" x14ac:dyDescent="0.2">
      <c r="AA783" s="16"/>
      <c r="AB783" s="29" t="s">
        <v>179</v>
      </c>
      <c r="AC783" s="17"/>
      <c r="AD783" s="18"/>
      <c r="AE783" s="34"/>
      <c r="AF783" s="34"/>
      <c r="AG783" s="34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30"/>
      <c r="AU783" s="18"/>
      <c r="AV783" s="18"/>
      <c r="AW783" s="18"/>
      <c r="AX783" s="18"/>
    </row>
    <row r="784" spans="1:50" x14ac:dyDescent="0.2">
      <c r="AA784" s="16"/>
      <c r="AB784" s="29" t="s">
        <v>181</v>
      </c>
      <c r="AC784" s="17"/>
      <c r="AD784" s="18"/>
      <c r="AE784" s="34"/>
      <c r="AF784" s="34"/>
      <c r="AG784" s="34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30"/>
      <c r="AU784" s="18"/>
      <c r="AV784" s="18"/>
      <c r="AW784" s="18"/>
      <c r="AX784" s="18"/>
    </row>
    <row r="785" spans="1:50" ht="25.5" x14ac:dyDescent="0.2">
      <c r="AA785" s="16"/>
      <c r="AB785" s="29" t="s">
        <v>185</v>
      </c>
      <c r="AC785" s="17"/>
      <c r="AD785" s="18"/>
      <c r="AE785" s="34"/>
      <c r="AF785" s="34"/>
      <c r="AG785" s="34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30"/>
      <c r="AU785" s="18"/>
      <c r="AV785" s="18"/>
      <c r="AW785" s="18"/>
      <c r="AX785" s="18"/>
    </row>
    <row r="786" spans="1:50" ht="25.5" x14ac:dyDescent="0.2">
      <c r="AA786" s="28" t="s">
        <v>288</v>
      </c>
      <c r="AB786" s="29" t="s">
        <v>583</v>
      </c>
      <c r="AC786" s="17"/>
      <c r="AD786" s="18"/>
      <c r="AE786" s="34"/>
      <c r="AF786" s="34"/>
      <c r="AG786" s="34"/>
      <c r="AH786" s="18"/>
      <c r="AI786" s="18"/>
      <c r="AJ786" s="18"/>
      <c r="AK786" s="34"/>
      <c r="AL786" s="34"/>
      <c r="AM786" s="34"/>
      <c r="AN786" s="34"/>
      <c r="AO786" s="34"/>
      <c r="AP786" s="34"/>
      <c r="AQ786" s="18"/>
      <c r="AR786" s="18"/>
      <c r="AS786" s="18"/>
      <c r="AT786" s="30"/>
      <c r="AU786" s="18"/>
      <c r="AV786" s="18"/>
      <c r="AW786" s="18"/>
      <c r="AX786" s="18"/>
    </row>
    <row r="787" spans="1:50" x14ac:dyDescent="0.2">
      <c r="A787" s="4" t="s">
        <v>55</v>
      </c>
      <c r="B787" s="4" t="s">
        <v>56</v>
      </c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1" t="s">
        <v>584</v>
      </c>
      <c r="AB787" s="42" t="s">
        <v>233</v>
      </c>
      <c r="AC787" s="43" t="s">
        <v>58</v>
      </c>
      <c r="AD787" s="43">
        <v>50000000</v>
      </c>
      <c r="AE787" s="44">
        <v>0</v>
      </c>
      <c r="AF787" s="44">
        <v>0</v>
      </c>
      <c r="AG787" s="44">
        <v>0</v>
      </c>
      <c r="AH787" s="44">
        <v>0</v>
      </c>
      <c r="AI787" s="44">
        <v>0</v>
      </c>
      <c r="AJ787" s="43">
        <v>50000000</v>
      </c>
      <c r="AK787" s="44">
        <v>0</v>
      </c>
      <c r="AL787" s="44">
        <v>0</v>
      </c>
      <c r="AM787" s="43">
        <v>43169856.109999999</v>
      </c>
      <c r="AN787" s="43">
        <v>0</v>
      </c>
      <c r="AO787" s="44">
        <v>0</v>
      </c>
      <c r="AP787" s="43">
        <v>43169856.109999999</v>
      </c>
      <c r="AQ787" s="44">
        <v>0</v>
      </c>
      <c r="AR787" s="44">
        <v>0</v>
      </c>
      <c r="AS787" s="44">
        <v>0</v>
      </c>
      <c r="AT787" s="40">
        <f t="shared" si="296"/>
        <v>0</v>
      </c>
      <c r="AU787" s="18">
        <f>AJ787-AM787</f>
        <v>6830143.8900000006</v>
      </c>
      <c r="AV787" s="34">
        <f>AM787-AP787</f>
        <v>0</v>
      </c>
      <c r="AW787" s="18">
        <f>AP787-AT787</f>
        <v>43169856.109999999</v>
      </c>
      <c r="AX787" s="123">
        <f>AP787/AJ787</f>
        <v>0.86339712219999998</v>
      </c>
    </row>
    <row r="788" spans="1:50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1"/>
      <c r="AB788" s="42"/>
      <c r="AC788" s="43"/>
      <c r="AD788" s="43"/>
      <c r="AE788" s="44"/>
      <c r="AF788" s="44"/>
      <c r="AG788" s="44"/>
      <c r="AH788" s="44"/>
      <c r="AI788" s="44"/>
      <c r="AJ788" s="43"/>
      <c r="AK788" s="44"/>
      <c r="AL788" s="44"/>
      <c r="AM788" s="43"/>
      <c r="AN788" s="43"/>
      <c r="AO788" s="44"/>
      <c r="AP788" s="43"/>
      <c r="AQ788" s="44"/>
      <c r="AR788" s="44"/>
      <c r="AS788" s="44"/>
      <c r="AT788" s="40"/>
      <c r="AU788" s="18"/>
      <c r="AV788" s="34"/>
      <c r="AW788" s="18"/>
      <c r="AX788" s="123"/>
    </row>
    <row r="789" spans="1:50" ht="25.5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73" t="s">
        <v>288</v>
      </c>
      <c r="AB789" s="74" t="s">
        <v>1241</v>
      </c>
      <c r="AC789" s="43"/>
      <c r="AD789" s="43"/>
      <c r="AE789" s="44"/>
      <c r="AF789" s="44"/>
      <c r="AG789" s="44"/>
      <c r="AH789" s="44"/>
      <c r="AI789" s="44"/>
      <c r="AJ789" s="43"/>
      <c r="AK789" s="44"/>
      <c r="AL789" s="44"/>
      <c r="AM789" s="43"/>
      <c r="AN789" s="43"/>
      <c r="AO789" s="44"/>
      <c r="AP789" s="43"/>
      <c r="AQ789" s="44"/>
      <c r="AR789" s="44"/>
      <c r="AS789" s="44"/>
      <c r="AT789" s="40"/>
      <c r="AU789" s="18"/>
      <c r="AV789" s="34"/>
      <c r="AW789" s="18"/>
      <c r="AX789" s="123"/>
    </row>
    <row r="790" spans="1:50" ht="25.5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1" t="s">
        <v>1242</v>
      </c>
      <c r="AB790" s="42" t="s">
        <v>1243</v>
      </c>
      <c r="AC790" s="43"/>
      <c r="AD790" s="44">
        <v>0</v>
      </c>
      <c r="AE790" s="44">
        <v>0</v>
      </c>
      <c r="AF790" s="44">
        <v>0</v>
      </c>
      <c r="AG790" s="43">
        <v>2905817258</v>
      </c>
      <c r="AH790" s="44">
        <v>0</v>
      </c>
      <c r="AI790" s="43">
        <f>AE789-AF789+AG790-AH789</f>
        <v>2905817258</v>
      </c>
      <c r="AJ790" s="43">
        <f>AD789+AI790</f>
        <v>2905817258</v>
      </c>
      <c r="AK790" s="44">
        <v>0</v>
      </c>
      <c r="AL790" s="44">
        <v>0</v>
      </c>
      <c r="AM790" s="44">
        <v>0</v>
      </c>
      <c r="AN790" s="44">
        <v>0</v>
      </c>
      <c r="AO790" s="44">
        <v>0</v>
      </c>
      <c r="AP790" s="44">
        <v>0</v>
      </c>
      <c r="AQ790" s="44">
        <v>0</v>
      </c>
      <c r="AR790" s="44">
        <v>0</v>
      </c>
      <c r="AS790" s="44">
        <v>0</v>
      </c>
      <c r="AT790" s="40">
        <f t="shared" ref="AT790:AT791" si="299">AQ790+AS790</f>
        <v>0</v>
      </c>
      <c r="AU790" s="18">
        <f t="shared" ref="AU790:AU791" si="300">AJ790-AM790</f>
        <v>2905817258</v>
      </c>
      <c r="AV790" s="34">
        <f t="shared" ref="AV790:AV791" si="301">AM790-AP790</f>
        <v>0</v>
      </c>
      <c r="AW790" s="34">
        <f t="shared" ref="AW790:AW791" si="302">AP790-AT790</f>
        <v>0</v>
      </c>
      <c r="AX790" s="123">
        <f t="shared" ref="AX790:AX791" si="303">AP790/AJ790</f>
        <v>0</v>
      </c>
    </row>
    <row r="791" spans="1:50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270" t="s">
        <v>1255</v>
      </c>
      <c r="AB791" s="42" t="s">
        <v>233</v>
      </c>
      <c r="AC791" s="43"/>
      <c r="AD791" s="44">
        <v>0</v>
      </c>
      <c r="AE791" s="44">
        <v>0</v>
      </c>
      <c r="AF791" s="44">
        <v>0</v>
      </c>
      <c r="AG791" s="43">
        <v>134254307</v>
      </c>
      <c r="AH791" s="44"/>
      <c r="AI791" s="43">
        <f>AE790-AF790+AG791-AH790</f>
        <v>134254307</v>
      </c>
      <c r="AJ791" s="43">
        <f>AD790+AI791</f>
        <v>134254307</v>
      </c>
      <c r="AK791" s="44">
        <v>0</v>
      </c>
      <c r="AL791" s="44">
        <v>0</v>
      </c>
      <c r="AM791" s="44">
        <v>0</v>
      </c>
      <c r="AN791" s="44">
        <v>0</v>
      </c>
      <c r="AO791" s="44">
        <v>0</v>
      </c>
      <c r="AP791" s="44">
        <v>0</v>
      </c>
      <c r="AQ791" s="44">
        <v>0</v>
      </c>
      <c r="AR791" s="44">
        <v>0</v>
      </c>
      <c r="AS791" s="44">
        <v>0</v>
      </c>
      <c r="AT791" s="40">
        <f t="shared" si="299"/>
        <v>0</v>
      </c>
      <c r="AU791" s="18">
        <f t="shared" si="300"/>
        <v>134254307</v>
      </c>
      <c r="AV791" s="34">
        <f t="shared" si="301"/>
        <v>0</v>
      </c>
      <c r="AW791" s="34">
        <f t="shared" si="302"/>
        <v>0</v>
      </c>
      <c r="AX791" s="123">
        <f t="shared" si="303"/>
        <v>0</v>
      </c>
    </row>
    <row r="792" spans="1:50" ht="38.25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73" t="s">
        <v>1249</v>
      </c>
      <c r="AB792" s="74" t="s">
        <v>1250</v>
      </c>
      <c r="AC792" s="43"/>
      <c r="AD792" s="44"/>
      <c r="AE792" s="44"/>
      <c r="AF792" s="44"/>
      <c r="AG792" s="43"/>
      <c r="AH792" s="44"/>
      <c r="AI792" s="43"/>
      <c r="AJ792" s="43"/>
      <c r="AK792" s="44"/>
      <c r="AL792" s="44"/>
      <c r="AM792" s="44"/>
      <c r="AN792" s="44"/>
      <c r="AO792" s="44"/>
      <c r="AP792" s="44"/>
      <c r="AQ792" s="44"/>
      <c r="AR792" s="44"/>
      <c r="AS792" s="44"/>
      <c r="AT792" s="40"/>
      <c r="AU792" s="18"/>
      <c r="AV792" s="34"/>
      <c r="AW792" s="34"/>
      <c r="AX792" s="123"/>
    </row>
    <row r="793" spans="1:50" ht="25.5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1" t="s">
        <v>1251</v>
      </c>
      <c r="AB793" s="42" t="s">
        <v>1243</v>
      </c>
      <c r="AC793" s="43"/>
      <c r="AD793" s="44">
        <v>0</v>
      </c>
      <c r="AE793" s="44">
        <v>0</v>
      </c>
      <c r="AF793" s="44">
        <v>0</v>
      </c>
      <c r="AG793" s="43">
        <v>65000000</v>
      </c>
      <c r="AH793" s="44">
        <v>0</v>
      </c>
      <c r="AI793" s="43">
        <f>AE792-AF792+AG793-AH792</f>
        <v>65000000</v>
      </c>
      <c r="AJ793" s="43">
        <f>AD792+AI793</f>
        <v>65000000</v>
      </c>
      <c r="AK793" s="44">
        <v>0</v>
      </c>
      <c r="AL793" s="44">
        <v>0</v>
      </c>
      <c r="AM793" s="44">
        <v>0</v>
      </c>
      <c r="AN793" s="44">
        <v>0</v>
      </c>
      <c r="AO793" s="44">
        <v>0</v>
      </c>
      <c r="AP793" s="44">
        <v>0</v>
      </c>
      <c r="AQ793" s="44">
        <v>0</v>
      </c>
      <c r="AR793" s="44">
        <v>0</v>
      </c>
      <c r="AS793" s="44">
        <v>0</v>
      </c>
      <c r="AT793" s="40">
        <f t="shared" ref="AT793" si="304">AQ793+AS793</f>
        <v>0</v>
      </c>
      <c r="AU793" s="18">
        <f t="shared" ref="AU793" si="305">AJ793-AM793</f>
        <v>65000000</v>
      </c>
      <c r="AV793" s="34">
        <f t="shared" ref="AV793" si="306">AM793-AP793</f>
        <v>0</v>
      </c>
      <c r="AW793" s="34">
        <f t="shared" ref="AW793" si="307">AP793-AT793</f>
        <v>0</v>
      </c>
      <c r="AX793" s="123">
        <f t="shared" ref="AX793" si="308">AP793/AJ793</f>
        <v>0</v>
      </c>
    </row>
    <row r="794" spans="1:50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73" t="s">
        <v>288</v>
      </c>
      <c r="AB794" s="74" t="s">
        <v>1244</v>
      </c>
      <c r="AC794" s="43"/>
      <c r="AD794" s="44"/>
      <c r="AE794" s="44"/>
      <c r="AF794" s="44"/>
      <c r="AG794" s="44"/>
      <c r="AH794" s="44"/>
      <c r="AI794" s="44"/>
      <c r="AJ794" s="43"/>
      <c r="AK794" s="44"/>
      <c r="AL794" s="44"/>
      <c r="AM794" s="43"/>
      <c r="AN794" s="43"/>
      <c r="AO794" s="43"/>
      <c r="AP794" s="43"/>
      <c r="AQ794" s="44"/>
      <c r="AR794" s="44"/>
      <c r="AS794" s="44"/>
      <c r="AT794" s="40"/>
      <c r="AU794" s="18"/>
      <c r="AV794" s="34"/>
      <c r="AW794" s="34"/>
      <c r="AX794" s="123"/>
    </row>
    <row r="795" spans="1:50" ht="25.5" x14ac:dyDescent="0.2">
      <c r="AA795" s="41" t="s">
        <v>1245</v>
      </c>
      <c r="AB795" s="42" t="s">
        <v>1243</v>
      </c>
      <c r="AC795" s="17"/>
      <c r="AD795" s="34">
        <v>0</v>
      </c>
      <c r="AE795" s="34">
        <v>0</v>
      </c>
      <c r="AF795" s="34">
        <v>0</v>
      </c>
      <c r="AG795" s="18">
        <v>350000000</v>
      </c>
      <c r="AH795" s="18">
        <v>0</v>
      </c>
      <c r="AI795" s="43">
        <f>AE794-AF794+AG795-AH794</f>
        <v>350000000</v>
      </c>
      <c r="AJ795" s="43">
        <f>AD794+AI795</f>
        <v>350000000</v>
      </c>
      <c r="AK795" s="34">
        <v>0</v>
      </c>
      <c r="AL795" s="34">
        <v>0</v>
      </c>
      <c r="AM795" s="34">
        <v>0</v>
      </c>
      <c r="AN795" s="34">
        <v>0</v>
      </c>
      <c r="AO795" s="34">
        <v>0</v>
      </c>
      <c r="AP795" s="34">
        <v>0</v>
      </c>
      <c r="AQ795" s="34">
        <v>0</v>
      </c>
      <c r="AR795" s="34">
        <v>0</v>
      </c>
      <c r="AS795" s="34">
        <v>0</v>
      </c>
      <c r="AT795" s="40">
        <f t="shared" ref="AT795" si="309">AQ795+AS795</f>
        <v>0</v>
      </c>
      <c r="AU795" s="18">
        <f t="shared" ref="AU795" si="310">AJ795-AM795</f>
        <v>350000000</v>
      </c>
      <c r="AV795" s="34">
        <f t="shared" ref="AV795" si="311">AM795-AP795</f>
        <v>0</v>
      </c>
      <c r="AW795" s="34">
        <f t="shared" ref="AW795" si="312">AP795-AT795</f>
        <v>0</v>
      </c>
      <c r="AX795" s="123">
        <f t="shared" ref="AX795" si="313">AP795/AJ795</f>
        <v>0</v>
      </c>
    </row>
    <row r="796" spans="1:50" ht="25.5" x14ac:dyDescent="0.2">
      <c r="AA796" s="73" t="s">
        <v>288</v>
      </c>
      <c r="AB796" s="74" t="s">
        <v>1246</v>
      </c>
      <c r="AC796" s="17"/>
      <c r="AD796" s="34"/>
      <c r="AE796" s="34"/>
      <c r="AF796" s="34"/>
      <c r="AG796" s="18"/>
      <c r="AH796" s="18"/>
      <c r="AI796" s="43"/>
      <c r="AJ796" s="43"/>
      <c r="AK796" s="34"/>
      <c r="AL796" s="34"/>
      <c r="AM796" s="34"/>
      <c r="AN796" s="34"/>
      <c r="AO796" s="34"/>
      <c r="AP796" s="34"/>
      <c r="AQ796" s="34"/>
      <c r="AR796" s="18"/>
      <c r="AS796" s="18"/>
      <c r="AT796" s="30"/>
      <c r="AU796" s="18"/>
      <c r="AV796" s="18"/>
      <c r="AW796" s="34"/>
      <c r="AX796" s="18"/>
    </row>
    <row r="797" spans="1:50" ht="25.5" x14ac:dyDescent="0.2">
      <c r="AA797" s="41" t="s">
        <v>1247</v>
      </c>
      <c r="AB797" s="42" t="s">
        <v>1243</v>
      </c>
      <c r="AC797" s="17"/>
      <c r="AD797" s="34">
        <v>0</v>
      </c>
      <c r="AE797" s="34">
        <v>0</v>
      </c>
      <c r="AF797" s="34">
        <v>0</v>
      </c>
      <c r="AG797" s="18">
        <v>1067000000</v>
      </c>
      <c r="AH797" s="18">
        <v>0</v>
      </c>
      <c r="AI797" s="43">
        <f>AE796-AF796+AG797-AH796</f>
        <v>1067000000</v>
      </c>
      <c r="AJ797" s="43">
        <f>AD796+AI797</f>
        <v>1067000000</v>
      </c>
      <c r="AK797" s="34">
        <v>0</v>
      </c>
      <c r="AL797" s="34">
        <v>0</v>
      </c>
      <c r="AM797" s="34">
        <v>0</v>
      </c>
      <c r="AN797" s="34">
        <v>0</v>
      </c>
      <c r="AO797" s="34">
        <v>0</v>
      </c>
      <c r="AP797" s="34">
        <v>0</v>
      </c>
      <c r="AQ797" s="34">
        <v>0</v>
      </c>
      <c r="AR797" s="34">
        <v>0</v>
      </c>
      <c r="AS797" s="34">
        <v>0</v>
      </c>
      <c r="AT797" s="40">
        <f t="shared" ref="AT797" si="314">AQ797+AS797</f>
        <v>0</v>
      </c>
      <c r="AU797" s="18">
        <f t="shared" ref="AU797" si="315">AJ797-AM797</f>
        <v>1067000000</v>
      </c>
      <c r="AV797" s="34">
        <f t="shared" ref="AV797" si="316">AM797-AP797</f>
        <v>0</v>
      </c>
      <c r="AW797" s="34">
        <f t="shared" ref="AW797" si="317">AP797-AT797</f>
        <v>0</v>
      </c>
      <c r="AX797" s="123">
        <f t="shared" ref="AX797" si="318">AP797/AJ797</f>
        <v>0</v>
      </c>
    </row>
    <row r="798" spans="1:50" x14ac:dyDescent="0.2">
      <c r="AA798" s="73" t="s">
        <v>288</v>
      </c>
      <c r="AB798" s="74" t="s">
        <v>635</v>
      </c>
      <c r="AC798" s="17"/>
      <c r="AD798" s="34"/>
      <c r="AE798" s="34"/>
      <c r="AF798" s="34"/>
      <c r="AG798" s="18"/>
      <c r="AH798" s="18"/>
      <c r="AI798" s="43"/>
      <c r="AJ798" s="43"/>
      <c r="AK798" s="34"/>
      <c r="AL798" s="34"/>
      <c r="AM798" s="34"/>
      <c r="AN798" s="34"/>
      <c r="AO798" s="34"/>
      <c r="AP798" s="34"/>
      <c r="AQ798" s="34"/>
      <c r="AR798" s="34"/>
      <c r="AS798" s="34"/>
      <c r="AT798" s="30"/>
      <c r="AU798" s="18"/>
      <c r="AV798" s="18"/>
      <c r="AW798" s="34"/>
      <c r="AX798" s="18"/>
    </row>
    <row r="799" spans="1:50" ht="25.5" x14ac:dyDescent="0.2">
      <c r="AA799" s="41" t="s">
        <v>1252</v>
      </c>
      <c r="AB799" s="42" t="s">
        <v>1243</v>
      </c>
      <c r="AC799" s="17"/>
      <c r="AD799" s="34">
        <v>0</v>
      </c>
      <c r="AE799" s="34">
        <v>0</v>
      </c>
      <c r="AF799" s="34">
        <v>0</v>
      </c>
      <c r="AG799" s="18">
        <v>148000000</v>
      </c>
      <c r="AH799" s="18"/>
      <c r="AI799" s="43">
        <f>AE798-AF798+AG799-AH798</f>
        <v>148000000</v>
      </c>
      <c r="AJ799" s="43">
        <f>AD798+AI799</f>
        <v>148000000</v>
      </c>
      <c r="AK799" s="34">
        <v>0</v>
      </c>
      <c r="AL799" s="34">
        <v>0</v>
      </c>
      <c r="AM799" s="34">
        <v>0</v>
      </c>
      <c r="AN799" s="34">
        <v>0</v>
      </c>
      <c r="AO799" s="34">
        <v>0</v>
      </c>
      <c r="AP799" s="34">
        <v>0</v>
      </c>
      <c r="AQ799" s="34">
        <v>0</v>
      </c>
      <c r="AR799" s="34">
        <v>0</v>
      </c>
      <c r="AS799" s="34">
        <v>0</v>
      </c>
      <c r="AT799" s="40">
        <f t="shared" ref="AT799" si="319">AQ799+AS799</f>
        <v>0</v>
      </c>
      <c r="AU799" s="18">
        <f t="shared" ref="AU799" si="320">AJ799-AM799</f>
        <v>148000000</v>
      </c>
      <c r="AV799" s="34">
        <f t="shared" ref="AV799" si="321">AM799-AP799</f>
        <v>0</v>
      </c>
      <c r="AW799" s="34">
        <f t="shared" ref="AW799" si="322">AP799-AT799</f>
        <v>0</v>
      </c>
      <c r="AX799" s="123">
        <f t="shared" ref="AX799" si="323">AP799/AJ799</f>
        <v>0</v>
      </c>
    </row>
    <row r="800" spans="1:50" ht="25.5" x14ac:dyDescent="0.2">
      <c r="AA800" s="73" t="s">
        <v>288</v>
      </c>
      <c r="AB800" s="74" t="s">
        <v>1248</v>
      </c>
      <c r="AC800" s="17"/>
      <c r="AD800" s="34"/>
      <c r="AE800" s="34"/>
      <c r="AF800" s="34"/>
      <c r="AG800" s="18"/>
      <c r="AH800" s="18"/>
      <c r="AI800" s="43"/>
      <c r="AJ800" s="43"/>
      <c r="AK800" s="34"/>
      <c r="AL800" s="34"/>
      <c r="AM800" s="34"/>
      <c r="AN800" s="34"/>
      <c r="AO800" s="34"/>
      <c r="AP800" s="34"/>
      <c r="AQ800" s="34"/>
      <c r="AR800" s="34"/>
      <c r="AS800" s="34"/>
      <c r="AT800" s="30"/>
      <c r="AU800" s="18"/>
      <c r="AV800" s="18"/>
      <c r="AW800" s="34"/>
      <c r="AX800" s="18"/>
    </row>
    <row r="801" spans="1:50" x14ac:dyDescent="0.2">
      <c r="AA801" s="271" t="s">
        <v>1254</v>
      </c>
      <c r="AB801" s="42" t="s">
        <v>961</v>
      </c>
      <c r="AC801" s="17"/>
      <c r="AD801" s="34">
        <v>0</v>
      </c>
      <c r="AE801" s="34">
        <v>0</v>
      </c>
      <c r="AF801" s="34">
        <v>0</v>
      </c>
      <c r="AG801" s="18">
        <v>54735904</v>
      </c>
      <c r="AH801" s="18"/>
      <c r="AI801" s="43">
        <f>AE800-AF800+AG801-AH800</f>
        <v>54735904</v>
      </c>
      <c r="AJ801" s="43">
        <f>AD800+AI801</f>
        <v>54735904</v>
      </c>
      <c r="AK801" s="34">
        <v>0</v>
      </c>
      <c r="AL801" s="34">
        <v>0</v>
      </c>
      <c r="AM801" s="34">
        <v>0</v>
      </c>
      <c r="AN801" s="34">
        <v>0</v>
      </c>
      <c r="AO801" s="34">
        <v>0</v>
      </c>
      <c r="AP801" s="34">
        <v>0</v>
      </c>
      <c r="AQ801" s="34">
        <v>0</v>
      </c>
      <c r="AR801" s="34">
        <v>0</v>
      </c>
      <c r="AS801" s="34">
        <v>0</v>
      </c>
      <c r="AT801" s="40">
        <f t="shared" ref="AT801" si="324">AQ801+AS801</f>
        <v>0</v>
      </c>
      <c r="AU801" s="18">
        <f t="shared" ref="AU801" si="325">AJ801-AM801</f>
        <v>54735904</v>
      </c>
      <c r="AV801" s="34">
        <f t="shared" ref="AV801" si="326">AM801-AP801</f>
        <v>0</v>
      </c>
      <c r="AW801" s="34">
        <f t="shared" ref="AW801" si="327">AP801-AT801</f>
        <v>0</v>
      </c>
      <c r="AX801" s="123">
        <f t="shared" ref="AX801" si="328">AP801/AJ801</f>
        <v>0</v>
      </c>
    </row>
    <row r="802" spans="1:50" x14ac:dyDescent="0.2">
      <c r="AA802" s="41"/>
      <c r="AB802" s="42"/>
      <c r="AC802" s="17"/>
      <c r="AD802" s="18"/>
      <c r="AE802" s="34"/>
      <c r="AF802" s="34"/>
      <c r="AG802" s="18"/>
      <c r="AH802" s="18"/>
      <c r="AI802" s="43"/>
      <c r="AJ802" s="43"/>
      <c r="AK802" s="18"/>
      <c r="AL802" s="18"/>
      <c r="AM802" s="18"/>
      <c r="AN802" s="18"/>
      <c r="AO802" s="18"/>
      <c r="AP802" s="18"/>
      <c r="AQ802" s="18"/>
      <c r="AR802" s="18"/>
      <c r="AS802" s="18"/>
      <c r="AT802" s="30"/>
      <c r="AU802" s="18"/>
      <c r="AV802" s="18"/>
      <c r="AW802" s="18"/>
      <c r="AX802" s="18"/>
    </row>
    <row r="803" spans="1:50" x14ac:dyDescent="0.2">
      <c r="AA803" s="16"/>
      <c r="AB803" s="29" t="s">
        <v>189</v>
      </c>
      <c r="AC803" s="17"/>
      <c r="AD803" s="18"/>
      <c r="AE803" s="34"/>
      <c r="AF803" s="34"/>
      <c r="AG803" s="34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30"/>
      <c r="AU803" s="18"/>
      <c r="AV803" s="18"/>
      <c r="AW803" s="18"/>
      <c r="AX803" s="18"/>
    </row>
    <row r="804" spans="1:50" ht="38.25" x14ac:dyDescent="0.2">
      <c r="AA804" s="16"/>
      <c r="AB804" s="29" t="s">
        <v>373</v>
      </c>
      <c r="AC804" s="17"/>
      <c r="AD804" s="18"/>
      <c r="AE804" s="34"/>
      <c r="AF804" s="34"/>
      <c r="AG804" s="34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30"/>
      <c r="AU804" s="18"/>
      <c r="AV804" s="18"/>
      <c r="AW804" s="18"/>
      <c r="AX804" s="18"/>
    </row>
    <row r="805" spans="1:50" ht="25.5" x14ac:dyDescent="0.2">
      <c r="AA805" s="73" t="s">
        <v>288</v>
      </c>
      <c r="AB805" s="29" t="s">
        <v>637</v>
      </c>
      <c r="AC805" s="17"/>
      <c r="AD805" s="18"/>
      <c r="AE805" s="34"/>
      <c r="AF805" s="34"/>
      <c r="AG805" s="34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30"/>
      <c r="AU805" s="18"/>
      <c r="AV805" s="18"/>
      <c r="AW805" s="18"/>
      <c r="AX805" s="18"/>
    </row>
    <row r="806" spans="1:50" x14ac:dyDescent="0.2">
      <c r="AA806" s="41" t="s">
        <v>1253</v>
      </c>
      <c r="AB806" s="38" t="s">
        <v>233</v>
      </c>
      <c r="AC806" s="17"/>
      <c r="AD806" s="18">
        <v>0</v>
      </c>
      <c r="AE806" s="34">
        <v>0</v>
      </c>
      <c r="AF806" s="34">
        <v>0</v>
      </c>
      <c r="AG806" s="18">
        <v>30000000</v>
      </c>
      <c r="AH806" s="18">
        <v>0</v>
      </c>
      <c r="AI806" s="43">
        <f>AE806-AF806+AG806-AH806</f>
        <v>30000000</v>
      </c>
      <c r="AJ806" s="43">
        <f>AD806+AI806</f>
        <v>30000000</v>
      </c>
      <c r="AK806" s="34">
        <v>0</v>
      </c>
      <c r="AL806" s="34">
        <v>0</v>
      </c>
      <c r="AM806" s="34">
        <v>0</v>
      </c>
      <c r="AN806" s="34">
        <v>0</v>
      </c>
      <c r="AO806" s="34">
        <v>0</v>
      </c>
      <c r="AP806" s="34">
        <v>0</v>
      </c>
      <c r="AQ806" s="34">
        <v>0</v>
      </c>
      <c r="AR806" s="34">
        <v>0</v>
      </c>
      <c r="AS806" s="34">
        <v>0</v>
      </c>
      <c r="AT806" s="40">
        <f t="shared" ref="AT806" si="329">AQ806+AS806</f>
        <v>0</v>
      </c>
      <c r="AU806" s="18">
        <f>AJ806-AM806</f>
        <v>30000000</v>
      </c>
      <c r="AV806" s="133">
        <f>AM806-AP806</f>
        <v>0</v>
      </c>
      <c r="AW806" s="18">
        <f>AP806-AT806</f>
        <v>0</v>
      </c>
      <c r="AX806" s="123">
        <f>AP806/AJ806</f>
        <v>0</v>
      </c>
    </row>
    <row r="807" spans="1:50" x14ac:dyDescent="0.2">
      <c r="AA807" s="16"/>
      <c r="AB807" s="29"/>
      <c r="AC807" s="17"/>
      <c r="AD807" s="18"/>
      <c r="AE807" s="34"/>
      <c r="AF807" s="34"/>
      <c r="AG807" s="34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30"/>
      <c r="AU807" s="18"/>
      <c r="AV807" s="18"/>
      <c r="AW807" s="18"/>
      <c r="AX807" s="18"/>
    </row>
    <row r="808" spans="1:50" ht="25.5" x14ac:dyDescent="0.2">
      <c r="AA808" s="28" t="s">
        <v>288</v>
      </c>
      <c r="AB808" s="29" t="s">
        <v>585</v>
      </c>
      <c r="AC808" s="17"/>
      <c r="AD808" s="18"/>
      <c r="AE808" s="34"/>
      <c r="AF808" s="34"/>
      <c r="AG808" s="34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30"/>
      <c r="AU808" s="18"/>
      <c r="AV808" s="18"/>
      <c r="AW808" s="18"/>
      <c r="AX808" s="18"/>
    </row>
    <row r="809" spans="1:50" x14ac:dyDescent="0.2">
      <c r="A809" s="4" t="s">
        <v>55</v>
      </c>
      <c r="B809" s="4" t="s">
        <v>56</v>
      </c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1" t="s">
        <v>586</v>
      </c>
      <c r="AB809" s="42" t="s">
        <v>233</v>
      </c>
      <c r="AC809" s="43" t="s">
        <v>58</v>
      </c>
      <c r="AD809" s="43">
        <v>165000000</v>
      </c>
      <c r="AE809" s="44">
        <v>0</v>
      </c>
      <c r="AF809" s="44">
        <v>0</v>
      </c>
      <c r="AG809" s="44">
        <v>0</v>
      </c>
      <c r="AH809" s="44">
        <v>0</v>
      </c>
      <c r="AI809" s="44">
        <v>0</v>
      </c>
      <c r="AJ809" s="43">
        <v>165000000</v>
      </c>
      <c r="AK809" s="44">
        <v>0</v>
      </c>
      <c r="AL809" s="44">
        <v>0</v>
      </c>
      <c r="AM809" s="43">
        <v>142500000</v>
      </c>
      <c r="AN809" s="44">
        <v>0</v>
      </c>
      <c r="AO809" s="44">
        <v>0</v>
      </c>
      <c r="AP809" s="18">
        <v>142500000</v>
      </c>
      <c r="AQ809" s="34">
        <v>0</v>
      </c>
      <c r="AR809" s="34">
        <v>0</v>
      </c>
      <c r="AS809" s="34">
        <v>0</v>
      </c>
      <c r="AT809" s="40">
        <f t="shared" ref="AT809" si="330">AQ809+AS809</f>
        <v>0</v>
      </c>
      <c r="AU809" s="18">
        <f>AJ809-AM809</f>
        <v>22500000</v>
      </c>
      <c r="AV809" s="133">
        <f>AM809-AP809</f>
        <v>0</v>
      </c>
      <c r="AW809" s="18">
        <f>AP809-AT809</f>
        <v>142500000</v>
      </c>
      <c r="AX809" s="123">
        <f>AP809/AJ809</f>
        <v>0.86363636363636365</v>
      </c>
    </row>
    <row r="810" spans="1:50" ht="25.5" x14ac:dyDescent="0.2">
      <c r="AA810" s="28" t="s">
        <v>288</v>
      </c>
      <c r="AB810" s="29" t="s">
        <v>587</v>
      </c>
      <c r="AC810" s="17"/>
      <c r="AD810" s="18"/>
      <c r="AE810" s="34"/>
      <c r="AF810" s="34"/>
      <c r="AG810" s="34"/>
      <c r="AH810" s="34"/>
      <c r="AI810" s="34"/>
      <c r="AJ810" s="18"/>
      <c r="AK810" s="18"/>
      <c r="AL810" s="18"/>
      <c r="AM810" s="18"/>
      <c r="AN810" s="34"/>
      <c r="AO810" s="34"/>
      <c r="AP810" s="18"/>
      <c r="AQ810" s="34"/>
      <c r="AR810" s="34"/>
      <c r="AS810" s="34"/>
      <c r="AT810" s="40"/>
      <c r="AU810" s="18"/>
      <c r="AV810" s="34"/>
      <c r="AW810" s="18"/>
      <c r="AX810" s="18"/>
    </row>
    <row r="811" spans="1:50" x14ac:dyDescent="0.2">
      <c r="A811" s="4" t="s">
        <v>55</v>
      </c>
      <c r="B811" s="4" t="s">
        <v>56</v>
      </c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1" t="s">
        <v>588</v>
      </c>
      <c r="AB811" s="42" t="s">
        <v>233</v>
      </c>
      <c r="AC811" s="43" t="s">
        <v>58</v>
      </c>
      <c r="AD811" s="43">
        <v>360000000</v>
      </c>
      <c r="AE811" s="44">
        <v>0</v>
      </c>
      <c r="AF811" s="44">
        <v>0</v>
      </c>
      <c r="AG811" s="44">
        <v>0</v>
      </c>
      <c r="AH811" s="44">
        <v>0</v>
      </c>
      <c r="AI811" s="44">
        <v>0</v>
      </c>
      <c r="AJ811" s="43">
        <v>360000000</v>
      </c>
      <c r="AK811" s="44">
        <v>0</v>
      </c>
      <c r="AL811" s="115">
        <v>0</v>
      </c>
      <c r="AM811" s="114">
        <v>320207103</v>
      </c>
      <c r="AN811" s="44">
        <v>0</v>
      </c>
      <c r="AO811" s="44">
        <v>0</v>
      </c>
      <c r="AP811" s="18">
        <v>320207103</v>
      </c>
      <c r="AQ811" s="34">
        <v>0</v>
      </c>
      <c r="AR811" s="18">
        <v>35578567</v>
      </c>
      <c r="AS811" s="18">
        <v>106735701</v>
      </c>
      <c r="AT811" s="39">
        <f t="shared" ref="AT811" si="331">AQ811+AS811</f>
        <v>106735701</v>
      </c>
      <c r="AU811" s="18">
        <f>AJ811-AM811</f>
        <v>39792897</v>
      </c>
      <c r="AV811" s="133">
        <f>AM811-AP811</f>
        <v>0</v>
      </c>
      <c r="AW811" s="18">
        <f>AP811-AT811</f>
        <v>213471402</v>
      </c>
      <c r="AX811" s="123">
        <f>AP811/AJ811</f>
        <v>0.88946417499999997</v>
      </c>
    </row>
    <row r="812" spans="1:50" ht="25.5" x14ac:dyDescent="0.2">
      <c r="AA812" s="28" t="s">
        <v>288</v>
      </c>
      <c r="AB812" s="29" t="s">
        <v>589</v>
      </c>
      <c r="AC812" s="17"/>
      <c r="AD812" s="18"/>
      <c r="AE812" s="34"/>
      <c r="AF812" s="34"/>
      <c r="AG812" s="34"/>
      <c r="AH812" s="34"/>
      <c r="AI812" s="34"/>
      <c r="AJ812" s="18"/>
      <c r="AK812" s="34"/>
      <c r="AL812" s="34"/>
      <c r="AM812" s="34"/>
      <c r="AN812" s="34"/>
      <c r="AO812" s="34"/>
      <c r="AP812" s="34"/>
      <c r="AQ812" s="34"/>
      <c r="AR812" s="34"/>
      <c r="AS812" s="34"/>
      <c r="AT812" s="40"/>
      <c r="AU812" s="18"/>
      <c r="AV812" s="18"/>
      <c r="AW812" s="34"/>
      <c r="AX812" s="18"/>
    </row>
    <row r="813" spans="1:50" x14ac:dyDescent="0.2">
      <c r="A813" s="4" t="s">
        <v>55</v>
      </c>
      <c r="B813" s="4" t="s">
        <v>56</v>
      </c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1" t="s">
        <v>590</v>
      </c>
      <c r="AB813" s="42" t="s">
        <v>233</v>
      </c>
      <c r="AC813" s="43" t="s">
        <v>58</v>
      </c>
      <c r="AD813" s="43">
        <v>2564591998.2600002</v>
      </c>
      <c r="AE813" s="44">
        <v>0</v>
      </c>
      <c r="AF813" s="44">
        <v>0</v>
      </c>
      <c r="AG813" s="44">
        <v>0</v>
      </c>
      <c r="AH813" s="43">
        <v>602281020</v>
      </c>
      <c r="AI813" s="43">
        <f>AE813-AF813+AG813-AH813</f>
        <v>-602281020</v>
      </c>
      <c r="AJ813" s="43">
        <f>AD813+AI813</f>
        <v>1962310978.2600002</v>
      </c>
      <c r="AK813" s="44">
        <v>0</v>
      </c>
      <c r="AL813" s="44">
        <v>0</v>
      </c>
      <c r="AM813" s="44">
        <v>0</v>
      </c>
      <c r="AN813" s="44">
        <v>0</v>
      </c>
      <c r="AO813" s="44">
        <v>0</v>
      </c>
      <c r="AP813" s="34">
        <v>0</v>
      </c>
      <c r="AQ813" s="34">
        <v>0</v>
      </c>
      <c r="AR813" s="34">
        <v>0</v>
      </c>
      <c r="AS813" s="34">
        <v>0</v>
      </c>
      <c r="AT813" s="40">
        <f t="shared" ref="AT813:AT814" si="332">AQ813+AS813</f>
        <v>0</v>
      </c>
      <c r="AU813" s="18">
        <f>AJ813-AM813</f>
        <v>1962310978.2600002</v>
      </c>
      <c r="AV813" s="133">
        <f>AM813-AP813</f>
        <v>0</v>
      </c>
      <c r="AW813" s="34">
        <f>AP813-AT813</f>
        <v>0</v>
      </c>
      <c r="AX813" s="123">
        <f>AP813/AJ813</f>
        <v>0</v>
      </c>
    </row>
    <row r="814" spans="1:50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1" t="s">
        <v>1100</v>
      </c>
      <c r="AB814" s="42" t="s">
        <v>1015</v>
      </c>
      <c r="AC814" s="43"/>
      <c r="AD814" s="43">
        <v>0</v>
      </c>
      <c r="AE814" s="43">
        <v>40000000</v>
      </c>
      <c r="AF814" s="44"/>
      <c r="AG814" s="44"/>
      <c r="AH814" s="44"/>
      <c r="AI814" s="43">
        <f>AE814-AF814+AG814-AH814</f>
        <v>40000000</v>
      </c>
      <c r="AJ814" s="43">
        <f>AD814+AI814</f>
        <v>40000000</v>
      </c>
      <c r="AK814" s="44">
        <v>0</v>
      </c>
      <c r="AL814" s="44">
        <v>0</v>
      </c>
      <c r="AM814" s="44">
        <v>0</v>
      </c>
      <c r="AN814" s="44">
        <v>0</v>
      </c>
      <c r="AO814" s="44">
        <v>0</v>
      </c>
      <c r="AP814" s="34">
        <v>0</v>
      </c>
      <c r="AQ814" s="34">
        <v>0</v>
      </c>
      <c r="AR814" s="34">
        <v>0</v>
      </c>
      <c r="AS814" s="34">
        <v>0</v>
      </c>
      <c r="AT814" s="40">
        <f t="shared" si="332"/>
        <v>0</v>
      </c>
      <c r="AU814" s="18">
        <f>AJ814-AM814</f>
        <v>40000000</v>
      </c>
      <c r="AV814" s="133">
        <f>AM814-AP814</f>
        <v>0</v>
      </c>
      <c r="AW814" s="34">
        <f>AP814-AT814</f>
        <v>0</v>
      </c>
      <c r="AX814" s="123">
        <f>AP814/AJ814</f>
        <v>0</v>
      </c>
    </row>
    <row r="815" spans="1:50" x14ac:dyDescent="0.2">
      <c r="AA815" s="16"/>
      <c r="AB815" s="17"/>
      <c r="AC815" s="17"/>
      <c r="AD815" s="18"/>
      <c r="AE815" s="34"/>
      <c r="AF815" s="34"/>
      <c r="AG815" s="34"/>
      <c r="AH815" s="34"/>
      <c r="AI815" s="34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30"/>
      <c r="AU815" s="18"/>
      <c r="AV815" s="18"/>
      <c r="AW815" s="18"/>
      <c r="AX815" s="18"/>
    </row>
    <row r="816" spans="1:50" ht="25.5" x14ac:dyDescent="0.2">
      <c r="AA816" s="16"/>
      <c r="AB816" s="29" t="s">
        <v>197</v>
      </c>
      <c r="AC816" s="17"/>
      <c r="AD816" s="18"/>
      <c r="AE816" s="34"/>
      <c r="AF816" s="34"/>
      <c r="AG816" s="34"/>
      <c r="AH816" s="34"/>
      <c r="AI816" s="34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30"/>
      <c r="AU816" s="18"/>
      <c r="AV816" s="18"/>
      <c r="AW816" s="18"/>
      <c r="AX816" s="18"/>
    </row>
    <row r="817" spans="1:50" x14ac:dyDescent="0.2">
      <c r="AA817" s="28" t="s">
        <v>288</v>
      </c>
      <c r="AB817" s="29" t="s">
        <v>591</v>
      </c>
      <c r="AC817" s="17"/>
      <c r="AD817" s="18"/>
      <c r="AE817" s="34"/>
      <c r="AF817" s="34"/>
      <c r="AG817" s="34"/>
      <c r="AH817" s="34"/>
      <c r="AI817" s="34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30"/>
      <c r="AU817" s="18"/>
      <c r="AV817" s="18"/>
      <c r="AW817" s="18"/>
      <c r="AX817" s="18"/>
    </row>
    <row r="818" spans="1:50" x14ac:dyDescent="0.2">
      <c r="A818" s="4" t="s">
        <v>55</v>
      </c>
      <c r="B818" s="4" t="s">
        <v>56</v>
      </c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1" t="s">
        <v>592</v>
      </c>
      <c r="AB818" s="42" t="s">
        <v>233</v>
      </c>
      <c r="AC818" s="43" t="s">
        <v>58</v>
      </c>
      <c r="AD818" s="43">
        <v>458060751</v>
      </c>
      <c r="AE818" s="44">
        <v>0</v>
      </c>
      <c r="AF818" s="44">
        <v>0</v>
      </c>
      <c r="AG818" s="43">
        <v>118300000</v>
      </c>
      <c r="AH818" s="44">
        <v>0</v>
      </c>
      <c r="AI818" s="43">
        <f>AE818-AF818+AG818-AH818</f>
        <v>118300000</v>
      </c>
      <c r="AJ818" s="43">
        <f>AD818+AI818</f>
        <v>576360751</v>
      </c>
      <c r="AK818" s="44">
        <v>0</v>
      </c>
      <c r="AL818" s="43">
        <v>0</v>
      </c>
      <c r="AM818" s="43">
        <v>425760751</v>
      </c>
      <c r="AN818" s="44">
        <v>0</v>
      </c>
      <c r="AO818" s="44">
        <v>0</v>
      </c>
      <c r="AP818" s="43">
        <v>425760751</v>
      </c>
      <c r="AQ818" s="110">
        <v>80793333</v>
      </c>
      <c r="AR818" s="110">
        <v>41323333</v>
      </c>
      <c r="AS818" s="110">
        <v>151290002</v>
      </c>
      <c r="AT818" s="111">
        <f t="shared" ref="AT818" si="333">AQ818+AS818</f>
        <v>232083335</v>
      </c>
      <c r="AU818" s="18">
        <f>AJ818-AM818</f>
        <v>150600000</v>
      </c>
      <c r="AV818" s="133">
        <f>AM818-AP818</f>
        <v>0</v>
      </c>
      <c r="AW818" s="18">
        <f>AP818-AT818</f>
        <v>193677416</v>
      </c>
      <c r="AX818" s="123">
        <f>AP818/AJ818</f>
        <v>0.73870531652492766</v>
      </c>
    </row>
    <row r="819" spans="1:50" ht="25.5" x14ac:dyDescent="0.2">
      <c r="AA819" s="28" t="s">
        <v>288</v>
      </c>
      <c r="AB819" s="29" t="s">
        <v>593</v>
      </c>
      <c r="AC819" s="17"/>
      <c r="AD819" s="18"/>
      <c r="AE819" s="34"/>
      <c r="AF819" s="34"/>
      <c r="AG819" s="34"/>
      <c r="AH819" s="34"/>
      <c r="AI819" s="34"/>
      <c r="AJ819" s="18"/>
      <c r="AK819" s="34"/>
      <c r="AL819" s="18"/>
      <c r="AM819" s="18"/>
      <c r="AN819" s="34"/>
      <c r="AO819" s="34"/>
      <c r="AP819" s="18"/>
      <c r="AQ819" s="110"/>
      <c r="AR819" s="110"/>
      <c r="AS819" s="110"/>
      <c r="AT819" s="111"/>
      <c r="AU819" s="18"/>
      <c r="AV819" s="34"/>
      <c r="AW819" s="18"/>
      <c r="AX819" s="18"/>
    </row>
    <row r="820" spans="1:50" x14ac:dyDescent="0.2">
      <c r="A820" s="4" t="s">
        <v>55</v>
      </c>
      <c r="B820" s="4" t="s">
        <v>56</v>
      </c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1" t="s">
        <v>594</v>
      </c>
      <c r="AB820" s="42" t="s">
        <v>233</v>
      </c>
      <c r="AC820" s="43" t="s">
        <v>58</v>
      </c>
      <c r="AD820" s="43">
        <v>522500000</v>
      </c>
      <c r="AE820" s="44">
        <v>0</v>
      </c>
      <c r="AF820" s="44">
        <v>0</v>
      </c>
      <c r="AG820" s="43">
        <v>140000000</v>
      </c>
      <c r="AH820" s="44">
        <v>0</v>
      </c>
      <c r="AI820" s="43">
        <f>AE820-AF820+AG820-AH820</f>
        <v>140000000</v>
      </c>
      <c r="AJ820" s="43">
        <f>AD820+AI820</f>
        <v>662500000</v>
      </c>
      <c r="AK820" s="44">
        <v>0</v>
      </c>
      <c r="AL820" s="43">
        <v>15833333.33</v>
      </c>
      <c r="AM820" s="43">
        <v>448333333.32999998</v>
      </c>
      <c r="AN820" s="43">
        <v>15833333.33</v>
      </c>
      <c r="AO820" s="44">
        <v>0</v>
      </c>
      <c r="AP820" s="43">
        <v>432500000</v>
      </c>
      <c r="AQ820" s="110">
        <v>59000000</v>
      </c>
      <c r="AR820" s="110">
        <v>45000000</v>
      </c>
      <c r="AS820" s="110">
        <v>186700001</v>
      </c>
      <c r="AT820" s="111">
        <f t="shared" ref="AT820" si="334">AQ820+AS820</f>
        <v>245700001</v>
      </c>
      <c r="AU820" s="18">
        <f>AJ820-AM820</f>
        <v>214166666.67000002</v>
      </c>
      <c r="AV820" s="18">
        <f>AM820-AP820</f>
        <v>15833333.329999983</v>
      </c>
      <c r="AW820" s="18">
        <f>AP820-AT820</f>
        <v>186799999</v>
      </c>
      <c r="AX820" s="123">
        <f>AP820/AJ820</f>
        <v>0.65283018867924525</v>
      </c>
    </row>
    <row r="821" spans="1:50" ht="25.5" x14ac:dyDescent="0.2">
      <c r="AA821" s="28" t="s">
        <v>288</v>
      </c>
      <c r="AB821" s="29" t="s">
        <v>583</v>
      </c>
      <c r="AC821" s="17"/>
      <c r="AD821" s="18"/>
      <c r="AE821" s="34"/>
      <c r="AF821" s="34"/>
      <c r="AG821" s="34"/>
      <c r="AH821" s="34"/>
      <c r="AI821" s="34"/>
      <c r="AJ821" s="18"/>
      <c r="AK821" s="18"/>
      <c r="AL821" s="18"/>
      <c r="AM821" s="18"/>
      <c r="AN821" s="34"/>
      <c r="AO821" s="34"/>
      <c r="AP821" s="18"/>
      <c r="AQ821" s="34"/>
      <c r="AR821" s="34"/>
      <c r="AS821" s="34"/>
      <c r="AT821" s="40"/>
      <c r="AU821" s="18"/>
      <c r="AV821" s="18"/>
      <c r="AW821" s="18"/>
      <c r="AX821" s="18"/>
    </row>
    <row r="822" spans="1:50" x14ac:dyDescent="0.2">
      <c r="A822" s="4" t="s">
        <v>55</v>
      </c>
      <c r="B822" s="4" t="s">
        <v>56</v>
      </c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1" t="s">
        <v>595</v>
      </c>
      <c r="AB822" s="42" t="s">
        <v>233</v>
      </c>
      <c r="AC822" s="43" t="s">
        <v>58</v>
      </c>
      <c r="AD822" s="43">
        <v>100000000</v>
      </c>
      <c r="AE822" s="44">
        <v>0</v>
      </c>
      <c r="AF822" s="44">
        <v>0</v>
      </c>
      <c r="AG822" s="44">
        <v>0</v>
      </c>
      <c r="AH822" s="44">
        <v>0</v>
      </c>
      <c r="AI822" s="44">
        <v>0</v>
      </c>
      <c r="AJ822" s="43">
        <v>100000000</v>
      </c>
      <c r="AK822" s="44">
        <v>0</v>
      </c>
      <c r="AL822" s="44">
        <v>0</v>
      </c>
      <c r="AM822" s="43">
        <v>54000000</v>
      </c>
      <c r="AN822" s="44">
        <v>0</v>
      </c>
      <c r="AO822" s="44">
        <v>0</v>
      </c>
      <c r="AP822" s="43">
        <v>54000000</v>
      </c>
      <c r="AQ822" s="18">
        <v>7000000</v>
      </c>
      <c r="AR822" s="34">
        <v>5300000</v>
      </c>
      <c r="AS822" s="34">
        <v>8633333</v>
      </c>
      <c r="AT822" s="39">
        <f t="shared" ref="AT822" si="335">AQ822+AS822</f>
        <v>15633333</v>
      </c>
      <c r="AU822" s="18">
        <f>AJ822-AM822</f>
        <v>46000000</v>
      </c>
      <c r="AV822" s="34">
        <f>AM822-AP822</f>
        <v>0</v>
      </c>
      <c r="AW822" s="18">
        <f>AP822-AT822</f>
        <v>38366667</v>
      </c>
      <c r="AX822" s="123">
        <f>AP822/AJ822</f>
        <v>0.54</v>
      </c>
    </row>
    <row r="823" spans="1:50" ht="25.5" x14ac:dyDescent="0.2">
      <c r="AA823" s="28" t="s">
        <v>288</v>
      </c>
      <c r="AB823" s="29" t="s">
        <v>596</v>
      </c>
      <c r="AC823" s="17"/>
      <c r="AD823" s="18"/>
      <c r="AE823" s="34"/>
      <c r="AF823" s="34"/>
      <c r="AG823" s="34"/>
      <c r="AH823" s="34"/>
      <c r="AI823" s="34"/>
      <c r="AJ823" s="18"/>
      <c r="AK823" s="34"/>
      <c r="AL823" s="133"/>
      <c r="AM823" s="110"/>
      <c r="AN823" s="34"/>
      <c r="AO823" s="34"/>
      <c r="AP823" s="34"/>
      <c r="AQ823" s="34"/>
      <c r="AR823" s="34"/>
      <c r="AS823" s="34"/>
      <c r="AT823" s="40"/>
      <c r="AU823" s="18"/>
      <c r="AV823" s="34"/>
      <c r="AW823" s="18"/>
      <c r="AX823" s="18"/>
    </row>
    <row r="824" spans="1:50" x14ac:dyDescent="0.2">
      <c r="A824" s="4" t="s">
        <v>55</v>
      </c>
      <c r="B824" s="4" t="s">
        <v>56</v>
      </c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1" t="s">
        <v>597</v>
      </c>
      <c r="AB824" s="42" t="s">
        <v>233</v>
      </c>
      <c r="AC824" s="43" t="s">
        <v>58</v>
      </c>
      <c r="AD824" s="43">
        <v>279700000</v>
      </c>
      <c r="AE824" s="44">
        <v>0</v>
      </c>
      <c r="AF824" s="44">
        <v>0</v>
      </c>
      <c r="AG824" s="44">
        <v>0</v>
      </c>
      <c r="AH824" s="44">
        <v>0</v>
      </c>
      <c r="AI824" s="44">
        <v>0</v>
      </c>
      <c r="AJ824" s="43">
        <v>279700000</v>
      </c>
      <c r="AK824" s="44">
        <v>0</v>
      </c>
      <c r="AL824" s="115">
        <v>0</v>
      </c>
      <c r="AM824" s="114">
        <v>193600000</v>
      </c>
      <c r="AN824" s="44">
        <v>0</v>
      </c>
      <c r="AO824" s="43">
        <v>0</v>
      </c>
      <c r="AP824" s="114">
        <v>193600000</v>
      </c>
      <c r="AQ824" s="34">
        <v>26700000</v>
      </c>
      <c r="AR824" s="18">
        <v>24200000</v>
      </c>
      <c r="AS824" s="18">
        <v>78173333</v>
      </c>
      <c r="AT824" s="39">
        <f t="shared" ref="AT824" si="336">AQ824+AS824</f>
        <v>104873333</v>
      </c>
      <c r="AU824" s="18">
        <f>AJ824-AM824</f>
        <v>86100000</v>
      </c>
      <c r="AV824" s="133">
        <f>AM824-AP824</f>
        <v>0</v>
      </c>
      <c r="AW824" s="18">
        <f>AP824-AT824</f>
        <v>88726667</v>
      </c>
      <c r="AX824" s="123">
        <f>AP824/AJ824</f>
        <v>0.69217018233821948</v>
      </c>
    </row>
    <row r="825" spans="1:50" ht="38.25" x14ac:dyDescent="0.2">
      <c r="AA825" s="28" t="s">
        <v>288</v>
      </c>
      <c r="AB825" s="29" t="s">
        <v>598</v>
      </c>
      <c r="AC825" s="17"/>
      <c r="AD825" s="18"/>
      <c r="AE825" s="34"/>
      <c r="AF825" s="34"/>
      <c r="AG825" s="34"/>
      <c r="AH825" s="34"/>
      <c r="AI825" s="34"/>
      <c r="AJ825" s="18"/>
      <c r="AK825" s="34"/>
      <c r="AL825" s="34"/>
      <c r="AM825" s="18"/>
      <c r="AN825" s="18"/>
      <c r="AO825" s="18"/>
      <c r="AP825" s="18"/>
      <c r="AQ825" s="110"/>
      <c r="AR825" s="110"/>
      <c r="AS825" s="110"/>
      <c r="AT825" s="109"/>
      <c r="AU825" s="18"/>
      <c r="AV825" s="18"/>
      <c r="AW825" s="18"/>
      <c r="AX825" s="18"/>
    </row>
    <row r="826" spans="1:50" x14ac:dyDescent="0.2">
      <c r="A826" s="4" t="s">
        <v>55</v>
      </c>
      <c r="B826" s="4" t="s">
        <v>56</v>
      </c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1" t="s">
        <v>599</v>
      </c>
      <c r="AB826" s="42" t="s">
        <v>233</v>
      </c>
      <c r="AC826" s="43" t="s">
        <v>58</v>
      </c>
      <c r="AD826" s="43">
        <v>418000000</v>
      </c>
      <c r="AE826" s="44">
        <v>0</v>
      </c>
      <c r="AF826" s="44">
        <v>0</v>
      </c>
      <c r="AG826" s="44">
        <v>0</v>
      </c>
      <c r="AH826" s="43">
        <v>30000000</v>
      </c>
      <c r="AI826" s="142">
        <f>AE826-AF826+AG826-AH826</f>
        <v>-30000000</v>
      </c>
      <c r="AJ826" s="142">
        <f>AD826+AI826</f>
        <v>388000000</v>
      </c>
      <c r="AK826" s="44">
        <v>0</v>
      </c>
      <c r="AL826" s="44">
        <v>0</v>
      </c>
      <c r="AM826" s="43">
        <v>300000000</v>
      </c>
      <c r="AN826" s="44">
        <v>0</v>
      </c>
      <c r="AO826" s="44">
        <v>0</v>
      </c>
      <c r="AP826" s="43">
        <v>300000000</v>
      </c>
      <c r="AQ826" s="110">
        <v>37500000</v>
      </c>
      <c r="AR826" s="110">
        <v>37500000</v>
      </c>
      <c r="AS826" s="110">
        <v>150866670</v>
      </c>
      <c r="AT826" s="111">
        <f t="shared" si="296"/>
        <v>188366670</v>
      </c>
      <c r="AU826" s="18">
        <f>AJ826-AM826</f>
        <v>88000000</v>
      </c>
      <c r="AV826" s="133">
        <f>AM826-AP826</f>
        <v>0</v>
      </c>
      <c r="AW826" s="18">
        <f>AP826-AT826</f>
        <v>111633330</v>
      </c>
      <c r="AX826" s="123">
        <f>AP826/AJ826</f>
        <v>0.77319587628865982</v>
      </c>
    </row>
    <row r="827" spans="1:50" x14ac:dyDescent="0.2">
      <c r="AA827" s="28" t="s">
        <v>288</v>
      </c>
      <c r="AB827" s="29" t="s">
        <v>600</v>
      </c>
      <c r="AC827" s="17"/>
      <c r="AD827" s="18"/>
      <c r="AE827" s="34"/>
      <c r="AF827" s="34"/>
      <c r="AG827" s="34"/>
      <c r="AH827" s="34"/>
      <c r="AI827" s="34"/>
      <c r="AJ827" s="18"/>
      <c r="AK827" s="34"/>
      <c r="AL827" s="34"/>
      <c r="AM827" s="18"/>
      <c r="AN827" s="34"/>
      <c r="AO827" s="34"/>
      <c r="AP827" s="18"/>
      <c r="AQ827" s="34"/>
      <c r="AR827" s="34"/>
      <c r="AS827" s="34"/>
      <c r="AT827" s="40"/>
      <c r="AU827" s="18"/>
      <c r="AV827" s="18"/>
      <c r="AW827" s="18"/>
      <c r="AX827" s="18"/>
    </row>
    <row r="828" spans="1:50" s="150" customFormat="1" x14ac:dyDescent="0.2">
      <c r="A828" s="140" t="s">
        <v>55</v>
      </c>
      <c r="B828" s="140" t="s">
        <v>56</v>
      </c>
      <c r="C828" s="140"/>
      <c r="D828" s="140"/>
      <c r="E828" s="140"/>
      <c r="F828" s="140"/>
      <c r="G828" s="140"/>
      <c r="H828" s="140"/>
      <c r="I828" s="140"/>
      <c r="J828" s="140"/>
      <c r="K828" s="140"/>
      <c r="L828" s="140"/>
      <c r="M828" s="140"/>
      <c r="N828" s="140"/>
      <c r="O828" s="140"/>
      <c r="P828" s="140"/>
      <c r="Q828" s="140"/>
      <c r="R828" s="140"/>
      <c r="S828" s="140"/>
      <c r="T828" s="140"/>
      <c r="U828" s="140"/>
      <c r="V828" s="140"/>
      <c r="W828" s="140"/>
      <c r="X828" s="140"/>
      <c r="Y828" s="140"/>
      <c r="Z828" s="140"/>
      <c r="AA828" s="134" t="s">
        <v>601</v>
      </c>
      <c r="AB828" s="69" t="s">
        <v>233</v>
      </c>
      <c r="AC828" s="142" t="s">
        <v>58</v>
      </c>
      <c r="AD828" s="142">
        <v>337300000</v>
      </c>
      <c r="AE828" s="143">
        <v>0</v>
      </c>
      <c r="AF828" s="143">
        <v>0</v>
      </c>
      <c r="AG828" s="143">
        <v>0</v>
      </c>
      <c r="AH828" s="142">
        <f>31295090+46856431.35</f>
        <v>78151521.349999994</v>
      </c>
      <c r="AI828" s="142">
        <f>AE828-AF828+AG828-AH828</f>
        <v>-78151521.349999994</v>
      </c>
      <c r="AJ828" s="142">
        <f>AD828+AI828</f>
        <v>259148478.65000001</v>
      </c>
      <c r="AK828" s="143">
        <v>0</v>
      </c>
      <c r="AL828" s="258">
        <v>0</v>
      </c>
      <c r="AM828" s="144">
        <v>259148478.65000001</v>
      </c>
      <c r="AN828" s="143">
        <v>0</v>
      </c>
      <c r="AO828" s="143">
        <v>0</v>
      </c>
      <c r="AP828" s="142">
        <v>259148478.65000001</v>
      </c>
      <c r="AQ828" s="147">
        <v>25335987.780000001</v>
      </c>
      <c r="AR828" s="147">
        <v>31538722.859999999</v>
      </c>
      <c r="AS828" s="147">
        <v>31538722.859999999</v>
      </c>
      <c r="AT828" s="267">
        <f t="shared" ref="AT828" si="337">AQ828+AS828</f>
        <v>56874710.640000001</v>
      </c>
      <c r="AU828" s="145">
        <f>AJ828-AM828</f>
        <v>0</v>
      </c>
      <c r="AV828" s="175">
        <f>AM828-AP828</f>
        <v>0</v>
      </c>
      <c r="AW828" s="147">
        <f>AP828-AT828</f>
        <v>202273768.00999999</v>
      </c>
      <c r="AX828" s="149">
        <f>AP828/AJ828</f>
        <v>1</v>
      </c>
    </row>
    <row r="829" spans="1:50" ht="25.5" x14ac:dyDescent="0.2">
      <c r="AA829" s="28" t="s">
        <v>288</v>
      </c>
      <c r="AB829" s="29" t="s">
        <v>602</v>
      </c>
      <c r="AC829" s="17"/>
      <c r="AD829" s="18"/>
      <c r="AE829" s="18"/>
      <c r="AF829" s="18"/>
      <c r="AG829" s="18"/>
      <c r="AH829" s="18"/>
      <c r="AI829" s="18"/>
      <c r="AJ829" s="18"/>
      <c r="AK829" s="34"/>
      <c r="AL829" s="34"/>
      <c r="AM829" s="34"/>
      <c r="AN829" s="34"/>
      <c r="AO829" s="34"/>
      <c r="AP829" s="34"/>
      <c r="AQ829" s="34"/>
      <c r="AR829" s="34"/>
      <c r="AS829" s="34"/>
      <c r="AT829" s="40"/>
      <c r="AU829" s="18"/>
      <c r="AV829" s="18"/>
      <c r="AW829" s="18"/>
      <c r="AX829" s="18"/>
    </row>
    <row r="830" spans="1:50" x14ac:dyDescent="0.2">
      <c r="A830" s="4" t="s">
        <v>55</v>
      </c>
      <c r="B830" s="4" t="s">
        <v>56</v>
      </c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1" t="s">
        <v>603</v>
      </c>
      <c r="AB830" s="42" t="s">
        <v>233</v>
      </c>
      <c r="AC830" s="43" t="s">
        <v>58</v>
      </c>
      <c r="AD830" s="44">
        <v>0</v>
      </c>
      <c r="AE830" s="44">
        <v>0</v>
      </c>
      <c r="AF830" s="44">
        <v>0</v>
      </c>
      <c r="AG830" s="43">
        <v>4400000</v>
      </c>
      <c r="AH830" s="44">
        <v>0</v>
      </c>
      <c r="AI830" s="43">
        <f>AE830-AF830+AG830-AH830</f>
        <v>4400000</v>
      </c>
      <c r="AJ830" s="43">
        <f>AD830+AI830</f>
        <v>4400000</v>
      </c>
      <c r="AK830" s="44">
        <v>0</v>
      </c>
      <c r="AL830" s="44">
        <v>0</v>
      </c>
      <c r="AM830" s="44">
        <v>0</v>
      </c>
      <c r="AN830" s="44">
        <v>0</v>
      </c>
      <c r="AO830" s="44">
        <v>0</v>
      </c>
      <c r="AP830" s="44">
        <v>0</v>
      </c>
      <c r="AQ830" s="34">
        <v>0</v>
      </c>
      <c r="AR830" s="34">
        <v>0</v>
      </c>
      <c r="AS830" s="34">
        <v>0</v>
      </c>
      <c r="AT830" s="40">
        <f t="shared" ref="AT830" si="338">AQ830+AS830</f>
        <v>0</v>
      </c>
      <c r="AU830" s="18">
        <f>AJ830-AM830</f>
        <v>4400000</v>
      </c>
      <c r="AV830" s="133">
        <f>AM830-AP830</f>
        <v>0</v>
      </c>
      <c r="AW830" s="34">
        <f>AP830-AT830</f>
        <v>0</v>
      </c>
      <c r="AX830" s="123">
        <f>AP830/AJ830</f>
        <v>0</v>
      </c>
    </row>
    <row r="831" spans="1:50" ht="25.5" x14ac:dyDescent="0.2">
      <c r="AA831" s="28" t="s">
        <v>288</v>
      </c>
      <c r="AB831" s="29" t="s">
        <v>197</v>
      </c>
      <c r="AC831" s="17"/>
      <c r="AD831" s="34"/>
      <c r="AE831" s="34"/>
      <c r="AF831" s="34"/>
      <c r="AG831" s="18"/>
      <c r="AH831" s="34"/>
      <c r="AI831" s="18"/>
      <c r="AJ831" s="18"/>
      <c r="AK831" s="34"/>
      <c r="AL831" s="34"/>
      <c r="AM831" s="34"/>
      <c r="AN831" s="34"/>
      <c r="AO831" s="34"/>
      <c r="AP831" s="34"/>
      <c r="AQ831" s="34"/>
      <c r="AR831" s="34"/>
      <c r="AS831" s="34"/>
      <c r="AT831" s="40"/>
      <c r="AU831" s="18"/>
      <c r="AV831" s="34"/>
      <c r="AW831" s="34"/>
      <c r="AX831" s="18"/>
    </row>
    <row r="832" spans="1:50" x14ac:dyDescent="0.2">
      <c r="A832" s="4" t="s">
        <v>55</v>
      </c>
      <c r="B832" s="4" t="s">
        <v>56</v>
      </c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1" t="s">
        <v>604</v>
      </c>
      <c r="AB832" s="42" t="s">
        <v>233</v>
      </c>
      <c r="AC832" s="43" t="s">
        <v>58</v>
      </c>
      <c r="AD832" s="44">
        <v>0</v>
      </c>
      <c r="AE832" s="44">
        <v>0</v>
      </c>
      <c r="AF832" s="44">
        <v>0</v>
      </c>
      <c r="AG832" s="43">
        <v>88500000</v>
      </c>
      <c r="AH832" s="43">
        <v>20700000</v>
      </c>
      <c r="AI832" s="43">
        <f>AE832-AF832+AG832-AH832</f>
        <v>67800000</v>
      </c>
      <c r="AJ832" s="43">
        <f>AD832+AI832</f>
        <v>67800000</v>
      </c>
      <c r="AK832" s="44">
        <v>0</v>
      </c>
      <c r="AL832" s="44">
        <v>0</v>
      </c>
      <c r="AM832" s="44">
        <v>0</v>
      </c>
      <c r="AN832" s="44">
        <v>0</v>
      </c>
      <c r="AO832" s="44">
        <v>0</v>
      </c>
      <c r="AP832" s="44">
        <v>0</v>
      </c>
      <c r="AQ832" s="34">
        <v>0</v>
      </c>
      <c r="AR832" s="34">
        <v>0</v>
      </c>
      <c r="AS832" s="34">
        <v>0</v>
      </c>
      <c r="AT832" s="40">
        <f t="shared" ref="AT832:AT833" si="339">AQ832+AS832</f>
        <v>0</v>
      </c>
      <c r="AU832" s="18">
        <f>AJ832-AM832</f>
        <v>67800000</v>
      </c>
      <c r="AV832" s="133">
        <f>AM832-AP832</f>
        <v>0</v>
      </c>
      <c r="AW832" s="34">
        <f>AP832-AT832</f>
        <v>0</v>
      </c>
      <c r="AX832" s="123">
        <f>AP832/AJ832</f>
        <v>0</v>
      </c>
    </row>
    <row r="833" spans="1:50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1" t="s">
        <v>1225</v>
      </c>
      <c r="AB833" s="42" t="s">
        <v>233</v>
      </c>
      <c r="AC833" s="43"/>
      <c r="AD833" s="44">
        <v>0</v>
      </c>
      <c r="AE833" s="44">
        <v>0</v>
      </c>
      <c r="AF833" s="44">
        <v>0</v>
      </c>
      <c r="AG833" s="43">
        <v>602281020</v>
      </c>
      <c r="AH833" s="43"/>
      <c r="AI833" s="43">
        <f>AE833-AF833+AG833-AH833</f>
        <v>602281020</v>
      </c>
      <c r="AJ833" s="43">
        <f>AD833+AI833</f>
        <v>602281020</v>
      </c>
      <c r="AK833" s="44">
        <v>0</v>
      </c>
      <c r="AL833" s="44">
        <v>0</v>
      </c>
      <c r="AM833" s="44">
        <v>0</v>
      </c>
      <c r="AN833" s="44">
        <v>0</v>
      </c>
      <c r="AO833" s="44">
        <v>0</v>
      </c>
      <c r="AP833" s="44">
        <v>0</v>
      </c>
      <c r="AQ833" s="34">
        <v>0</v>
      </c>
      <c r="AR833" s="34">
        <v>0</v>
      </c>
      <c r="AS833" s="34">
        <v>0</v>
      </c>
      <c r="AT833" s="40">
        <f t="shared" si="339"/>
        <v>0</v>
      </c>
      <c r="AU833" s="18">
        <f>AJ833-AM833</f>
        <v>602281020</v>
      </c>
      <c r="AV833" s="133">
        <f>AM833-AP833</f>
        <v>0</v>
      </c>
      <c r="AW833" s="34">
        <f>AP833-AT833</f>
        <v>0</v>
      </c>
      <c r="AX833" s="123">
        <f>AP833/AJ833</f>
        <v>0</v>
      </c>
    </row>
    <row r="834" spans="1:50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1"/>
      <c r="AB834" s="42"/>
      <c r="AC834" s="43"/>
      <c r="AD834" s="44"/>
      <c r="AE834" s="44"/>
      <c r="AF834" s="44"/>
      <c r="AG834" s="43"/>
      <c r="AH834" s="43"/>
      <c r="AI834" s="43"/>
      <c r="AJ834" s="43"/>
      <c r="AK834" s="44"/>
      <c r="AL834" s="44"/>
      <c r="AM834" s="44"/>
      <c r="AN834" s="44"/>
      <c r="AO834" s="44"/>
      <c r="AP834" s="44"/>
      <c r="AQ834" s="34"/>
      <c r="AR834" s="34"/>
      <c r="AS834" s="34"/>
      <c r="AT834" s="40"/>
      <c r="AU834" s="18"/>
      <c r="AV834" s="133"/>
      <c r="AW834" s="34"/>
      <c r="AX834" s="123"/>
    </row>
    <row r="835" spans="1:50" ht="38.25" x14ac:dyDescent="0.2">
      <c r="AA835" s="28" t="s">
        <v>288</v>
      </c>
      <c r="AB835" s="29" t="s">
        <v>606</v>
      </c>
      <c r="AC835" s="17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30"/>
      <c r="AU835" s="18"/>
      <c r="AV835" s="34"/>
      <c r="AW835" s="18"/>
      <c r="AX835" s="18"/>
    </row>
    <row r="836" spans="1:50" x14ac:dyDescent="0.2">
      <c r="A836" s="4" t="s">
        <v>55</v>
      </c>
      <c r="B836" s="4" t="s">
        <v>56</v>
      </c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1" t="s">
        <v>607</v>
      </c>
      <c r="AB836" s="42" t="s">
        <v>233</v>
      </c>
      <c r="AC836" s="43" t="s">
        <v>58</v>
      </c>
      <c r="AD836" s="43">
        <v>859800000</v>
      </c>
      <c r="AE836" s="44">
        <v>0</v>
      </c>
      <c r="AF836" s="44">
        <v>0</v>
      </c>
      <c r="AG836" s="43">
        <f>300000000+313000000</f>
        <v>613000000</v>
      </c>
      <c r="AH836" s="43">
        <f>900000+258300000</f>
        <v>259200000</v>
      </c>
      <c r="AI836" s="43">
        <f>AE836-AF836+AG836-AH836</f>
        <v>353800000</v>
      </c>
      <c r="AJ836" s="43">
        <f>AD836+AI836</f>
        <v>1213600000</v>
      </c>
      <c r="AK836" s="44">
        <v>0</v>
      </c>
      <c r="AL836" s="43">
        <v>22166666.670000002</v>
      </c>
      <c r="AM836" s="43">
        <v>578943632.66999996</v>
      </c>
      <c r="AN836" s="44">
        <v>0</v>
      </c>
      <c r="AO836" s="43">
        <v>22166666.670000002</v>
      </c>
      <c r="AP836" s="43">
        <v>578943632.66999996</v>
      </c>
      <c r="AQ836" s="18">
        <v>82800000</v>
      </c>
      <c r="AR836" s="110">
        <v>62900000</v>
      </c>
      <c r="AS836" s="110">
        <v>259310001</v>
      </c>
      <c r="AT836" s="111">
        <f t="shared" si="296"/>
        <v>342110001</v>
      </c>
      <c r="AU836" s="18">
        <f>AJ836-AM836</f>
        <v>634656367.33000004</v>
      </c>
      <c r="AV836" s="34">
        <f>AM836-AP836</f>
        <v>0</v>
      </c>
      <c r="AW836" s="18">
        <f>AP836-AT836</f>
        <v>236833631.66999996</v>
      </c>
      <c r="AX836" s="123">
        <f>AP836/AJ836</f>
        <v>0.47704650022247852</v>
      </c>
    </row>
    <row r="837" spans="1:50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1" t="s">
        <v>1101</v>
      </c>
      <c r="AB837" s="42" t="s">
        <v>1015</v>
      </c>
      <c r="AC837" s="43"/>
      <c r="AD837" s="43">
        <v>0</v>
      </c>
      <c r="AE837" s="43">
        <v>25000000</v>
      </c>
      <c r="AF837" s="44">
        <v>0</v>
      </c>
      <c r="AG837" s="44">
        <v>0</v>
      </c>
      <c r="AH837" s="44">
        <v>0</v>
      </c>
      <c r="AI837" s="43">
        <f>AE837-AF837+AG837-AH837</f>
        <v>25000000</v>
      </c>
      <c r="AJ837" s="43">
        <f>AD837+AI837</f>
        <v>25000000</v>
      </c>
      <c r="AK837" s="44">
        <v>0</v>
      </c>
      <c r="AL837" s="44">
        <v>0</v>
      </c>
      <c r="AM837" s="44">
        <v>0</v>
      </c>
      <c r="AN837" s="44">
        <v>0</v>
      </c>
      <c r="AO837" s="44">
        <v>0</v>
      </c>
      <c r="AP837" s="44">
        <v>0</v>
      </c>
      <c r="AQ837" s="34">
        <v>0</v>
      </c>
      <c r="AR837" s="133">
        <v>0</v>
      </c>
      <c r="AS837" s="133">
        <v>0</v>
      </c>
      <c r="AT837" s="135">
        <f t="shared" si="296"/>
        <v>0</v>
      </c>
      <c r="AU837" s="18">
        <f>AJ837-AM837</f>
        <v>25000000</v>
      </c>
      <c r="AV837" s="34">
        <f>AM837-AP837</f>
        <v>0</v>
      </c>
      <c r="AW837" s="18">
        <f>AP837-AT837</f>
        <v>0</v>
      </c>
      <c r="AX837" s="123">
        <f>AP837/AJ837</f>
        <v>0</v>
      </c>
    </row>
    <row r="838" spans="1:50" ht="25.5" x14ac:dyDescent="0.2">
      <c r="AA838" s="28" t="s">
        <v>288</v>
      </c>
      <c r="AB838" s="29" t="s">
        <v>608</v>
      </c>
      <c r="AC838" s="17"/>
      <c r="AD838" s="18"/>
      <c r="AE838" s="34"/>
      <c r="AF838" s="34"/>
      <c r="AG838" s="34"/>
      <c r="AH838" s="18"/>
      <c r="AI838" s="18"/>
      <c r="AJ838" s="18"/>
      <c r="AK838" s="34"/>
      <c r="AL838" s="18"/>
      <c r="AM838" s="18"/>
      <c r="AN838" s="34"/>
      <c r="AO838" s="18"/>
      <c r="AP838" s="18"/>
      <c r="AQ838" s="34"/>
      <c r="AR838" s="34"/>
      <c r="AS838" s="34"/>
      <c r="AT838" s="40">
        <f t="shared" si="296"/>
        <v>0</v>
      </c>
      <c r="AU838" s="18"/>
      <c r="AV838" s="34"/>
      <c r="AW838" s="18"/>
      <c r="AX838" s="18"/>
    </row>
    <row r="839" spans="1:50" x14ac:dyDescent="0.2">
      <c r="A839" s="4" t="s">
        <v>55</v>
      </c>
      <c r="B839" s="4" t="s">
        <v>56</v>
      </c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1" t="s">
        <v>609</v>
      </c>
      <c r="AB839" s="42" t="s">
        <v>233</v>
      </c>
      <c r="AC839" s="43" t="s">
        <v>58</v>
      </c>
      <c r="AD839" s="43">
        <v>20000000</v>
      </c>
      <c r="AE839" s="44">
        <v>0</v>
      </c>
      <c r="AF839" s="44">
        <v>0</v>
      </c>
      <c r="AG839" s="44">
        <v>0</v>
      </c>
      <c r="AH839" s="44">
        <v>0</v>
      </c>
      <c r="AI839" s="43">
        <f>AE839-AF839+AG839-AH839</f>
        <v>0</v>
      </c>
      <c r="AJ839" s="43">
        <f>AD839+AI839</f>
        <v>20000000</v>
      </c>
      <c r="AK839" s="44">
        <v>0</v>
      </c>
      <c r="AL839" s="44">
        <v>0</v>
      </c>
      <c r="AM839" s="44">
        <v>0</v>
      </c>
      <c r="AN839" s="44">
        <v>0</v>
      </c>
      <c r="AO839" s="44">
        <f>AP839-'MARZO '!AP689</f>
        <v>0</v>
      </c>
      <c r="AP839" s="44">
        <v>0</v>
      </c>
      <c r="AQ839" s="34">
        <v>0</v>
      </c>
      <c r="AR839" s="34">
        <v>0</v>
      </c>
      <c r="AS839" s="34">
        <v>0</v>
      </c>
      <c r="AT839" s="40">
        <f t="shared" si="296"/>
        <v>0</v>
      </c>
      <c r="AU839" s="18">
        <f>AJ839-AM839</f>
        <v>20000000</v>
      </c>
      <c r="AV839" s="133">
        <f>AM839-AP839</f>
        <v>0</v>
      </c>
      <c r="AW839" s="34">
        <f>AP839-AT839</f>
        <v>0</v>
      </c>
      <c r="AX839" s="123">
        <f>AP839/AJ839</f>
        <v>0</v>
      </c>
    </row>
    <row r="840" spans="1:50" x14ac:dyDescent="0.2">
      <c r="AA840" s="28" t="s">
        <v>288</v>
      </c>
      <c r="AB840" s="29" t="s">
        <v>400</v>
      </c>
      <c r="AC840" s="17"/>
      <c r="AD840" s="18"/>
      <c r="AE840" s="34"/>
      <c r="AF840" s="34"/>
      <c r="AG840" s="34"/>
      <c r="AH840" s="34"/>
      <c r="AI840" s="34"/>
      <c r="AJ840" s="18"/>
      <c r="AK840" s="34"/>
      <c r="AL840" s="18"/>
      <c r="AM840" s="18"/>
      <c r="AN840" s="34"/>
      <c r="AO840" s="34"/>
      <c r="AP840" s="18"/>
      <c r="AQ840" s="34"/>
      <c r="AR840" s="34"/>
      <c r="AS840" s="34"/>
      <c r="AT840" s="40"/>
      <c r="AU840" s="18"/>
      <c r="AV840" s="34"/>
      <c r="AW840" s="18"/>
      <c r="AX840" s="18"/>
    </row>
    <row r="841" spans="1:50" x14ac:dyDescent="0.2">
      <c r="A841" s="4" t="s">
        <v>55</v>
      </c>
      <c r="B841" s="4" t="s">
        <v>56</v>
      </c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1" t="s">
        <v>610</v>
      </c>
      <c r="AB841" s="42" t="s">
        <v>233</v>
      </c>
      <c r="AC841" s="43" t="s">
        <v>58</v>
      </c>
      <c r="AD841" s="43">
        <v>379500000</v>
      </c>
      <c r="AE841" s="44">
        <v>0</v>
      </c>
      <c r="AF841" s="44">
        <v>0</v>
      </c>
      <c r="AG841" s="44">
        <v>0</v>
      </c>
      <c r="AH841" s="44">
        <v>0</v>
      </c>
      <c r="AI841" s="44">
        <v>0</v>
      </c>
      <c r="AJ841" s="43">
        <v>379500000</v>
      </c>
      <c r="AK841" s="44">
        <v>0</v>
      </c>
      <c r="AL841" s="43">
        <v>22166666.670000002</v>
      </c>
      <c r="AM841" s="43">
        <v>290666666.67000002</v>
      </c>
      <c r="AN841" s="44">
        <v>0</v>
      </c>
      <c r="AO841" s="44">
        <v>22166666.670000002</v>
      </c>
      <c r="AP841" s="43">
        <v>290666666.67000002</v>
      </c>
      <c r="AQ841" s="18">
        <v>34000000</v>
      </c>
      <c r="AR841" s="18">
        <v>30966667</v>
      </c>
      <c r="AS841" s="18">
        <v>123916667</v>
      </c>
      <c r="AT841" s="111">
        <f t="shared" ref="AT841" si="340">AQ841+AS841</f>
        <v>157916667</v>
      </c>
      <c r="AU841" s="18">
        <f>AJ841-AM841</f>
        <v>88833333.329999983</v>
      </c>
      <c r="AV841" s="133">
        <f>AM841-AP841</f>
        <v>0</v>
      </c>
      <c r="AW841" s="18">
        <f>AP841-AT841</f>
        <v>132749999.67000002</v>
      </c>
      <c r="AX841" s="123">
        <f>AP841/AJ841</f>
        <v>0.76592007027667985</v>
      </c>
    </row>
    <row r="842" spans="1:50" x14ac:dyDescent="0.2">
      <c r="AA842" s="16"/>
      <c r="AB842" s="17"/>
      <c r="AC842" s="17"/>
      <c r="AD842" s="18"/>
      <c r="AE842" s="34"/>
      <c r="AF842" s="34"/>
      <c r="AG842" s="34"/>
      <c r="AH842" s="18"/>
      <c r="AI842" s="18"/>
      <c r="AJ842" s="18"/>
      <c r="AK842" s="34"/>
      <c r="AL842" s="18"/>
      <c r="AM842" s="18"/>
      <c r="AN842" s="18"/>
      <c r="AO842" s="18"/>
      <c r="AP842" s="18"/>
      <c r="AQ842" s="34"/>
      <c r="AR842" s="34"/>
      <c r="AS842" s="34"/>
      <c r="AT842" s="40"/>
      <c r="AU842" s="18"/>
      <c r="AV842" s="34"/>
      <c r="AW842" s="18"/>
      <c r="AX842" s="18"/>
    </row>
    <row r="843" spans="1:50" x14ac:dyDescent="0.2">
      <c r="AA843" s="16"/>
      <c r="AB843" s="29" t="s">
        <v>199</v>
      </c>
      <c r="AC843" s="17"/>
      <c r="AD843" s="18"/>
      <c r="AE843" s="34"/>
      <c r="AF843" s="34"/>
      <c r="AG843" s="34"/>
      <c r="AH843" s="18"/>
      <c r="AI843" s="18"/>
      <c r="AJ843" s="18"/>
      <c r="AK843" s="34"/>
      <c r="AL843" s="18"/>
      <c r="AM843" s="18"/>
      <c r="AN843" s="18"/>
      <c r="AO843" s="18"/>
      <c r="AP843" s="18"/>
      <c r="AQ843" s="34"/>
      <c r="AR843" s="34"/>
      <c r="AS843" s="34"/>
      <c r="AT843" s="40"/>
      <c r="AU843" s="18"/>
      <c r="AV843" s="18"/>
      <c r="AW843" s="18"/>
      <c r="AX843" s="18"/>
    </row>
    <row r="844" spans="1:50" ht="38.25" x14ac:dyDescent="0.2">
      <c r="AA844" s="28" t="s">
        <v>288</v>
      </c>
      <c r="AB844" s="29" t="s">
        <v>611</v>
      </c>
      <c r="AC844" s="17"/>
      <c r="AD844" s="18"/>
      <c r="AE844" s="34"/>
      <c r="AF844" s="34"/>
      <c r="AG844" s="34"/>
      <c r="AH844" s="18"/>
      <c r="AI844" s="18"/>
      <c r="AJ844" s="18"/>
      <c r="AK844" s="34"/>
      <c r="AL844" s="18"/>
      <c r="AM844" s="18"/>
      <c r="AN844" s="18"/>
      <c r="AO844" s="18"/>
      <c r="AP844" s="18"/>
      <c r="AQ844" s="34"/>
      <c r="AR844" s="34"/>
      <c r="AS844" s="34"/>
      <c r="AT844" s="40"/>
      <c r="AU844" s="18"/>
      <c r="AV844" s="18"/>
      <c r="AW844" s="18"/>
      <c r="AX844" s="18"/>
    </row>
    <row r="845" spans="1:50" x14ac:dyDescent="0.2">
      <c r="A845" s="4" t="s">
        <v>55</v>
      </c>
      <c r="B845" s="4" t="s">
        <v>56</v>
      </c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1" t="s">
        <v>612</v>
      </c>
      <c r="AB845" s="42" t="s">
        <v>233</v>
      </c>
      <c r="AC845" s="43" t="s">
        <v>58</v>
      </c>
      <c r="AD845" s="43">
        <v>725000000</v>
      </c>
      <c r="AE845" s="44">
        <v>0</v>
      </c>
      <c r="AF845" s="44">
        <v>0</v>
      </c>
      <c r="AG845" s="43">
        <v>20700000</v>
      </c>
      <c r="AH845" s="43">
        <f>17000000+313000000</f>
        <v>330000000</v>
      </c>
      <c r="AI845" s="43">
        <f>AE845-AF845+AG845-AH845</f>
        <v>-309300000</v>
      </c>
      <c r="AJ845" s="43">
        <f>AD845+AI845</f>
        <v>415700000</v>
      </c>
      <c r="AK845" s="4">
        <v>0</v>
      </c>
      <c r="AL845" s="4">
        <v>0</v>
      </c>
      <c r="AM845" s="4">
        <v>395000000</v>
      </c>
      <c r="AN845" s="4">
        <v>0</v>
      </c>
      <c r="AO845" s="4">
        <v>11370937</v>
      </c>
      <c r="AP845" s="4">
        <v>139508333</v>
      </c>
      <c r="AQ845" s="4">
        <v>0</v>
      </c>
      <c r="AR845" s="4">
        <v>10806986</v>
      </c>
      <c r="AS845" s="4">
        <v>68490122</v>
      </c>
      <c r="AT845" s="111">
        <f t="shared" ref="AT845:AT846" si="341">AQ845+AS845</f>
        <v>68490122</v>
      </c>
      <c r="AU845" s="110">
        <f>AJ845-AM845</f>
        <v>20700000</v>
      </c>
      <c r="AV845" s="110">
        <f>AM845-AP845</f>
        <v>255491667</v>
      </c>
      <c r="AW845" s="18">
        <f>AP845-AT845</f>
        <v>71018211</v>
      </c>
      <c r="AX845" s="123">
        <f>AP845/AJ845</f>
        <v>0.33559858792398362</v>
      </c>
    </row>
    <row r="846" spans="1:50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1" t="s">
        <v>1102</v>
      </c>
      <c r="AB846" s="42" t="s">
        <v>1015</v>
      </c>
      <c r="AC846" s="43"/>
      <c r="AD846" s="44">
        <v>0</v>
      </c>
      <c r="AE846" s="43">
        <v>12000000</v>
      </c>
      <c r="AF846" s="44">
        <v>0</v>
      </c>
      <c r="AG846" s="44">
        <v>0</v>
      </c>
      <c r="AH846" s="44">
        <v>0</v>
      </c>
      <c r="AI846" s="43">
        <f>AE846-AF846+AG846-AH846</f>
        <v>12000000</v>
      </c>
      <c r="AJ846" s="43">
        <f>AD846+AI846</f>
        <v>12000000</v>
      </c>
      <c r="AK846" s="44">
        <v>0</v>
      </c>
      <c r="AL846" s="44">
        <v>0</v>
      </c>
      <c r="AM846" s="44">
        <v>0</v>
      </c>
      <c r="AN846" s="43">
        <v>0</v>
      </c>
      <c r="AO846" s="44">
        <v>0</v>
      </c>
      <c r="AP846" s="115">
        <v>0</v>
      </c>
      <c r="AQ846" s="133">
        <v>0</v>
      </c>
      <c r="AR846" s="133">
        <v>0</v>
      </c>
      <c r="AS846" s="133">
        <v>0</v>
      </c>
      <c r="AT846" s="135">
        <f t="shared" si="341"/>
        <v>0</v>
      </c>
      <c r="AU846" s="110">
        <f>AJ846-AM846</f>
        <v>12000000</v>
      </c>
      <c r="AV846" s="133">
        <f>AM846-AP846</f>
        <v>0</v>
      </c>
      <c r="AW846" s="34">
        <f>AP846-AT846</f>
        <v>0</v>
      </c>
      <c r="AX846" s="123">
        <f>AP846/AJ846</f>
        <v>0</v>
      </c>
    </row>
    <row r="847" spans="1:50" x14ac:dyDescent="0.2">
      <c r="AA847" s="16"/>
      <c r="AB847" s="17"/>
      <c r="AC847" s="17"/>
      <c r="AD847" s="34"/>
      <c r="AE847" s="18"/>
      <c r="AF847" s="18"/>
      <c r="AG847" s="18"/>
      <c r="AH847" s="18"/>
      <c r="AI847" s="18"/>
      <c r="AJ847" s="18"/>
      <c r="AK847" s="34"/>
      <c r="AL847" s="34"/>
      <c r="AM847" s="34"/>
      <c r="AN847" s="18"/>
      <c r="AO847" s="18"/>
      <c r="AP847" s="18"/>
      <c r="AQ847" s="34"/>
      <c r="AR847" s="34"/>
      <c r="AS847" s="34"/>
      <c r="AT847" s="40"/>
      <c r="AU847" s="18"/>
      <c r="AV847" s="18"/>
      <c r="AW847" s="18"/>
      <c r="AX847" s="18"/>
    </row>
    <row r="848" spans="1:50" x14ac:dyDescent="0.2">
      <c r="AA848" s="73" t="s">
        <v>1016</v>
      </c>
      <c r="AB848" s="74" t="s">
        <v>1068</v>
      </c>
      <c r="AC848" s="17"/>
      <c r="AD848" s="34"/>
      <c r="AE848" s="18"/>
      <c r="AF848" s="18"/>
      <c r="AG848" s="18"/>
      <c r="AH848" s="18"/>
      <c r="AI848" s="18"/>
      <c r="AJ848" s="18"/>
      <c r="AK848" s="34"/>
      <c r="AL848" s="34"/>
      <c r="AM848" s="34"/>
      <c r="AN848" s="18"/>
      <c r="AO848" s="18"/>
      <c r="AP848" s="18"/>
      <c r="AQ848" s="34"/>
      <c r="AR848" s="34"/>
      <c r="AS848" s="34"/>
      <c r="AT848" s="40"/>
      <c r="AU848" s="18"/>
      <c r="AV848" s="18"/>
      <c r="AW848" s="18"/>
      <c r="AX848" s="18"/>
    </row>
    <row r="849" spans="1:50" x14ac:dyDescent="0.2">
      <c r="AA849" s="73" t="s">
        <v>1017</v>
      </c>
      <c r="AB849" s="74" t="s">
        <v>1069</v>
      </c>
      <c r="AC849" s="17"/>
      <c r="AD849" s="34"/>
      <c r="AE849" s="18"/>
      <c r="AF849" s="18"/>
      <c r="AG849" s="18"/>
      <c r="AH849" s="18"/>
      <c r="AI849" s="18"/>
      <c r="AJ849" s="18"/>
      <c r="AK849" s="34"/>
      <c r="AL849" s="34"/>
      <c r="AM849" s="34"/>
      <c r="AN849" s="18"/>
      <c r="AO849" s="18"/>
      <c r="AP849" s="18"/>
      <c r="AQ849" s="34"/>
      <c r="AR849" s="34"/>
      <c r="AS849" s="34"/>
      <c r="AT849" s="40"/>
      <c r="AU849" s="18"/>
      <c r="AV849" s="18"/>
      <c r="AW849" s="18"/>
      <c r="AX849" s="18"/>
    </row>
    <row r="850" spans="1:50" x14ac:dyDescent="0.2">
      <c r="AA850" s="73" t="s">
        <v>1018</v>
      </c>
      <c r="AB850" s="74" t="s">
        <v>286</v>
      </c>
      <c r="AC850" s="17"/>
      <c r="AD850" s="34"/>
      <c r="AE850" s="18"/>
      <c r="AF850" s="18"/>
      <c r="AG850" s="18"/>
      <c r="AH850" s="18"/>
      <c r="AI850" s="18"/>
      <c r="AJ850" s="18"/>
      <c r="AK850" s="34"/>
      <c r="AL850" s="34"/>
      <c r="AM850" s="34"/>
      <c r="AN850" s="18"/>
      <c r="AO850" s="18"/>
      <c r="AP850" s="18"/>
      <c r="AQ850" s="34"/>
      <c r="AR850" s="34"/>
      <c r="AS850" s="34"/>
      <c r="AT850" s="40"/>
      <c r="AU850" s="18"/>
      <c r="AV850" s="18"/>
      <c r="AW850" s="18"/>
      <c r="AX850" s="18"/>
    </row>
    <row r="851" spans="1:50" x14ac:dyDescent="0.2">
      <c r="AA851" s="73" t="s">
        <v>1021</v>
      </c>
      <c r="AB851" s="74" t="s">
        <v>1070</v>
      </c>
      <c r="AC851" s="17"/>
      <c r="AD851" s="34"/>
      <c r="AE851" s="18"/>
      <c r="AF851" s="18"/>
      <c r="AG851" s="18"/>
      <c r="AH851" s="18"/>
      <c r="AI851" s="18"/>
      <c r="AJ851" s="18"/>
      <c r="AK851" s="34"/>
      <c r="AL851" s="34"/>
      <c r="AM851" s="34"/>
      <c r="AN851" s="18"/>
      <c r="AO851" s="18"/>
      <c r="AP851" s="18"/>
      <c r="AQ851" s="34"/>
      <c r="AR851" s="34"/>
      <c r="AS851" s="34"/>
      <c r="AT851" s="40"/>
      <c r="AU851" s="18"/>
      <c r="AV851" s="18"/>
      <c r="AW851" s="18"/>
      <c r="AX851" s="18"/>
    </row>
    <row r="852" spans="1:50" s="150" customFormat="1" x14ac:dyDescent="0.2">
      <c r="B852" s="276"/>
      <c r="C852" s="276"/>
      <c r="D852" s="276"/>
      <c r="E852" s="276"/>
      <c r="F852" s="276"/>
      <c r="G852" s="276"/>
      <c r="H852" s="276"/>
      <c r="I852" s="276"/>
      <c r="J852" s="276"/>
      <c r="K852" s="276"/>
      <c r="L852" s="276"/>
      <c r="M852" s="276"/>
      <c r="N852" s="276"/>
      <c r="O852" s="276"/>
      <c r="P852" s="276"/>
      <c r="Q852" s="276"/>
      <c r="R852" s="276"/>
      <c r="S852" s="276"/>
      <c r="T852" s="276"/>
      <c r="U852" s="276"/>
      <c r="V852" s="276"/>
      <c r="W852" s="276"/>
      <c r="X852" s="276"/>
      <c r="Y852" s="276"/>
      <c r="Z852" s="276"/>
      <c r="AA852" s="139" t="s">
        <v>1019</v>
      </c>
      <c r="AB852" s="70" t="s">
        <v>1005</v>
      </c>
      <c r="AC852" s="70"/>
      <c r="AD852" s="145">
        <v>0</v>
      </c>
      <c r="AE852" s="147">
        <v>6986666</v>
      </c>
      <c r="AF852" s="145">
        <v>0</v>
      </c>
      <c r="AG852" s="145">
        <v>0</v>
      </c>
      <c r="AH852" s="145">
        <v>0</v>
      </c>
      <c r="AI852" s="142">
        <f>AE852-AF852+AG852-AH852</f>
        <v>6986666</v>
      </c>
      <c r="AJ852" s="142">
        <f>AD852+AI852</f>
        <v>6986666</v>
      </c>
      <c r="AK852" s="145">
        <v>0</v>
      </c>
      <c r="AL852" s="145">
        <v>0</v>
      </c>
      <c r="AM852" s="145">
        <v>0</v>
      </c>
      <c r="AN852" s="147">
        <v>0</v>
      </c>
      <c r="AO852" s="147">
        <v>0</v>
      </c>
      <c r="AP852" s="145">
        <v>0</v>
      </c>
      <c r="AQ852" s="145">
        <v>0</v>
      </c>
      <c r="AR852" s="145">
        <v>0</v>
      </c>
      <c r="AS852" s="145">
        <v>0</v>
      </c>
      <c r="AT852" s="277">
        <f t="shared" ref="AT852" si="342">AQ852+AS852</f>
        <v>0</v>
      </c>
      <c r="AU852" s="148">
        <f>AJ852-AM852</f>
        <v>6986666</v>
      </c>
      <c r="AV852" s="175">
        <f>AM852-AP852</f>
        <v>0</v>
      </c>
      <c r="AW852" s="145">
        <f>AP852-AT852</f>
        <v>0</v>
      </c>
      <c r="AX852" s="149">
        <f>AP852/AJ852</f>
        <v>0</v>
      </c>
    </row>
    <row r="853" spans="1:50" x14ac:dyDescent="0.2">
      <c r="AA853" s="16"/>
      <c r="AB853" s="17"/>
      <c r="AC853" s="17"/>
      <c r="AD853" s="18"/>
      <c r="AE853" s="18"/>
      <c r="AF853" s="18"/>
      <c r="AG853" s="18"/>
      <c r="AH853" s="18"/>
      <c r="AI853" s="18"/>
      <c r="AJ853" s="18"/>
      <c r="AK853" s="34"/>
      <c r="AL853" s="34"/>
      <c r="AM853" s="18"/>
      <c r="AN853" s="18"/>
      <c r="AO853" s="18"/>
      <c r="AP853" s="18"/>
      <c r="AQ853" s="34"/>
      <c r="AR853" s="34"/>
      <c r="AS853" s="34"/>
      <c r="AT853" s="40"/>
      <c r="AU853" s="18"/>
      <c r="AV853" s="18"/>
      <c r="AW853" s="18"/>
      <c r="AX853" s="18"/>
    </row>
    <row r="854" spans="1:50" ht="38.25" x14ac:dyDescent="0.2">
      <c r="AA854" s="16"/>
      <c r="AB854" s="29" t="s">
        <v>613</v>
      </c>
      <c r="AC854" s="17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30"/>
      <c r="AU854" s="18"/>
      <c r="AV854" s="18"/>
      <c r="AW854" s="18"/>
      <c r="AX854" s="18"/>
    </row>
    <row r="855" spans="1:50" x14ac:dyDescent="0.2">
      <c r="AA855" s="16"/>
      <c r="AB855" s="29" t="s">
        <v>614</v>
      </c>
      <c r="AC855" s="17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30"/>
      <c r="AU855" s="18"/>
      <c r="AV855" s="18"/>
      <c r="AW855" s="18"/>
      <c r="AX855" s="18"/>
    </row>
    <row r="856" spans="1:50" x14ac:dyDescent="0.2">
      <c r="AA856" s="16"/>
      <c r="AB856" s="29" t="s">
        <v>286</v>
      </c>
      <c r="AC856" s="17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30"/>
      <c r="AU856" s="18"/>
      <c r="AV856" s="18"/>
      <c r="AW856" s="18"/>
      <c r="AX856" s="18"/>
    </row>
    <row r="857" spans="1:50" x14ac:dyDescent="0.2">
      <c r="AA857" s="16"/>
      <c r="AB857" s="29" t="s">
        <v>574</v>
      </c>
      <c r="AC857" s="17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30"/>
      <c r="AU857" s="18"/>
      <c r="AV857" s="18"/>
      <c r="AW857" s="18"/>
      <c r="AX857" s="18"/>
    </row>
    <row r="858" spans="1:50" x14ac:dyDescent="0.2">
      <c r="AA858" s="16"/>
      <c r="AB858" s="29" t="s">
        <v>575</v>
      </c>
      <c r="AC858" s="17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30"/>
      <c r="AU858" s="18"/>
      <c r="AV858" s="18"/>
      <c r="AW858" s="18"/>
      <c r="AX858" s="18"/>
    </row>
    <row r="859" spans="1:50" x14ac:dyDescent="0.2">
      <c r="AA859" s="16"/>
      <c r="AB859" s="29" t="s">
        <v>576</v>
      </c>
      <c r="AC859" s="17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30"/>
      <c r="AU859" s="18"/>
      <c r="AV859" s="18"/>
      <c r="AW859" s="18"/>
      <c r="AX859" s="18"/>
    </row>
    <row r="860" spans="1:50" x14ac:dyDescent="0.2">
      <c r="AA860" s="16"/>
      <c r="AB860" s="29" t="s">
        <v>615</v>
      </c>
      <c r="AC860" s="17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30"/>
      <c r="AU860" s="18"/>
      <c r="AV860" s="18"/>
      <c r="AW860" s="18"/>
      <c r="AX860" s="18"/>
    </row>
    <row r="861" spans="1:50" ht="25.5" x14ac:dyDescent="0.2">
      <c r="AA861" s="16"/>
      <c r="AB861" s="29" t="s">
        <v>579</v>
      </c>
      <c r="AC861" s="17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30"/>
      <c r="AU861" s="18"/>
      <c r="AV861" s="18"/>
      <c r="AW861" s="18"/>
      <c r="AX861" s="18"/>
    </row>
    <row r="862" spans="1:50" ht="25.5" x14ac:dyDescent="0.2">
      <c r="AA862" s="41" t="s">
        <v>1229</v>
      </c>
      <c r="AB862" s="38" t="s">
        <v>1228</v>
      </c>
      <c r="AC862" s="17"/>
      <c r="AD862" s="34">
        <v>0</v>
      </c>
      <c r="AE862" s="34">
        <v>0</v>
      </c>
      <c r="AF862" s="34">
        <v>0</v>
      </c>
      <c r="AG862" s="18">
        <f>283500000+31000000</f>
        <v>314500000</v>
      </c>
      <c r="AH862" s="34">
        <v>0</v>
      </c>
      <c r="AI862" s="43">
        <f>AE862-AF862+AG862-AH862</f>
        <v>314500000</v>
      </c>
      <c r="AJ862" s="142">
        <f>AD862+AI862</f>
        <v>314500000</v>
      </c>
      <c r="AK862" s="34">
        <v>0</v>
      </c>
      <c r="AL862" s="34">
        <v>0</v>
      </c>
      <c r="AM862" s="34">
        <v>0</v>
      </c>
      <c r="AN862" s="18">
        <v>0</v>
      </c>
      <c r="AO862" s="34">
        <v>0</v>
      </c>
      <c r="AP862" s="34">
        <v>0</v>
      </c>
      <c r="AQ862" s="34">
        <v>0</v>
      </c>
      <c r="AR862" s="34">
        <v>0</v>
      </c>
      <c r="AS862" s="34">
        <v>0</v>
      </c>
      <c r="AT862" s="135">
        <f t="shared" ref="AT862" si="343">AQ862+AS862</f>
        <v>0</v>
      </c>
      <c r="AU862" s="110">
        <f>AJ862-AM862</f>
        <v>314500000</v>
      </c>
      <c r="AV862" s="133">
        <f>AM862-AP862</f>
        <v>0</v>
      </c>
      <c r="AW862" s="34">
        <f>AP862-AT862</f>
        <v>0</v>
      </c>
      <c r="AX862" s="123">
        <f>AP862/AJ862</f>
        <v>0</v>
      </c>
    </row>
    <row r="863" spans="1:50" ht="25.5" x14ac:dyDescent="0.2">
      <c r="AA863" s="28" t="s">
        <v>288</v>
      </c>
      <c r="AB863" s="29" t="s">
        <v>616</v>
      </c>
      <c r="AC863" s="17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30"/>
      <c r="AU863" s="18"/>
      <c r="AV863" s="34"/>
      <c r="AW863" s="18"/>
      <c r="AX863" s="18"/>
    </row>
    <row r="864" spans="1:50" x14ac:dyDescent="0.2">
      <c r="A864" s="4" t="s">
        <v>55</v>
      </c>
      <c r="B864" s="4" t="s">
        <v>56</v>
      </c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1" t="s">
        <v>617</v>
      </c>
      <c r="AB864" s="42" t="s">
        <v>618</v>
      </c>
      <c r="AC864" s="43" t="s">
        <v>619</v>
      </c>
      <c r="AD864" s="43">
        <v>100000000</v>
      </c>
      <c r="AE864" s="44">
        <v>0</v>
      </c>
      <c r="AF864" s="44">
        <v>0</v>
      </c>
      <c r="AG864" s="43">
        <f>770000000+704534301</f>
        <v>1474534301</v>
      </c>
      <c r="AH864" s="137">
        <v>0</v>
      </c>
      <c r="AI864" s="43">
        <f>AE864-AF864+AG864-AH864</f>
        <v>1474534301</v>
      </c>
      <c r="AJ864" s="43">
        <f>AD864+AI864</f>
        <v>1574534301</v>
      </c>
      <c r="AK864" s="44">
        <v>0</v>
      </c>
      <c r="AL864" s="114">
        <v>0</v>
      </c>
      <c r="AM864" s="114">
        <v>1565609440</v>
      </c>
      <c r="AN864" s="44">
        <v>0</v>
      </c>
      <c r="AO864" s="43">
        <v>0</v>
      </c>
      <c r="AP864" s="43">
        <v>1565609440</v>
      </c>
      <c r="AQ864" s="43">
        <v>0</v>
      </c>
      <c r="AR864" s="43">
        <v>16631440</v>
      </c>
      <c r="AS864" s="43">
        <v>16631440</v>
      </c>
      <c r="AT864" s="39">
        <f t="shared" ref="AT864" si="344">AQ864+AS864</f>
        <v>16631440</v>
      </c>
      <c r="AU864" s="18">
        <f>AJ864-AM864</f>
        <v>8924861</v>
      </c>
      <c r="AV864" s="133">
        <f>AM864-AP864</f>
        <v>0</v>
      </c>
      <c r="AW864" s="18">
        <f>AP864-AT864</f>
        <v>1548978000</v>
      </c>
      <c r="AX864" s="123">
        <f>AP864/AJ864</f>
        <v>0.99433174558704007</v>
      </c>
    </row>
    <row r="865" spans="1:50" x14ac:dyDescent="0.2">
      <c r="AA865" s="16"/>
      <c r="AB865" s="17"/>
      <c r="AC865" s="17"/>
      <c r="AD865" s="18"/>
      <c r="AE865" s="34"/>
      <c r="AF865" s="34"/>
      <c r="AG865" s="34"/>
      <c r="AH865" s="34"/>
      <c r="AI865" s="34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30"/>
      <c r="AU865" s="18"/>
      <c r="AV865" s="18"/>
      <c r="AW865" s="18"/>
      <c r="AX865" s="18"/>
    </row>
    <row r="866" spans="1:50" x14ac:dyDescent="0.2">
      <c r="AA866" s="16"/>
      <c r="AB866" s="29" t="s">
        <v>620</v>
      </c>
      <c r="AC866" s="17"/>
      <c r="AD866" s="18"/>
      <c r="AE866" s="34"/>
      <c r="AF866" s="34"/>
      <c r="AG866" s="34"/>
      <c r="AH866" s="34"/>
      <c r="AI866" s="34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30"/>
      <c r="AU866" s="18"/>
      <c r="AV866" s="18"/>
      <c r="AW866" s="18"/>
      <c r="AX866" s="18"/>
    </row>
    <row r="867" spans="1:50" ht="25.5" x14ac:dyDescent="0.2">
      <c r="AA867" s="16"/>
      <c r="AB867" s="29" t="s">
        <v>621</v>
      </c>
      <c r="AC867" s="17"/>
      <c r="AD867" s="18"/>
      <c r="AE867" s="34"/>
      <c r="AF867" s="34"/>
      <c r="AG867" s="34"/>
      <c r="AH867" s="34"/>
      <c r="AI867" s="34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30"/>
      <c r="AU867" s="18"/>
      <c r="AV867" s="18"/>
      <c r="AW867" s="18"/>
      <c r="AX867" s="18"/>
    </row>
    <row r="868" spans="1:50" ht="25.5" x14ac:dyDescent="0.2">
      <c r="AA868" s="28" t="s">
        <v>288</v>
      </c>
      <c r="AB868" s="29" t="s">
        <v>616</v>
      </c>
      <c r="AC868" s="17"/>
      <c r="AD868" s="18"/>
      <c r="AE868" s="34"/>
      <c r="AF868" s="34"/>
      <c r="AG868" s="34"/>
      <c r="AH868" s="34"/>
      <c r="AI868" s="34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30"/>
      <c r="AU868" s="18"/>
      <c r="AV868" s="18"/>
      <c r="AW868" s="18"/>
      <c r="AX868" s="18"/>
    </row>
    <row r="869" spans="1:50" x14ac:dyDescent="0.2">
      <c r="A869" s="4" t="s">
        <v>55</v>
      </c>
      <c r="B869" s="4" t="s">
        <v>56</v>
      </c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1" t="s">
        <v>622</v>
      </c>
      <c r="AB869" s="42" t="s">
        <v>618</v>
      </c>
      <c r="AC869" s="43" t="s">
        <v>619</v>
      </c>
      <c r="AD869" s="43">
        <v>162000000</v>
      </c>
      <c r="AE869" s="44">
        <v>0</v>
      </c>
      <c r="AF869" s="44">
        <v>0</v>
      </c>
      <c r="AG869" s="43">
        <f>24729623+163270377</f>
        <v>188000000</v>
      </c>
      <c r="AH869" s="44">
        <v>0</v>
      </c>
      <c r="AI869" s="43">
        <f>AE869-AF869+AG869-AH869</f>
        <v>188000000</v>
      </c>
      <c r="AJ869" s="43">
        <f>AD869+AI869</f>
        <v>350000000</v>
      </c>
      <c r="AK869" s="44">
        <v>0</v>
      </c>
      <c r="AL869" s="44">
        <v>0</v>
      </c>
      <c r="AM869" s="43">
        <v>297576901</v>
      </c>
      <c r="AN869" s="43">
        <v>0</v>
      </c>
      <c r="AO869" s="43">
        <v>0</v>
      </c>
      <c r="AP869" s="43">
        <v>297576901</v>
      </c>
      <c r="AQ869" s="44">
        <v>0</v>
      </c>
      <c r="AR869" s="44">
        <v>0</v>
      </c>
      <c r="AS869" s="44">
        <v>0</v>
      </c>
      <c r="AT869" s="40">
        <f t="shared" ref="AT869" si="345">AQ869+AS869</f>
        <v>0</v>
      </c>
      <c r="AU869" s="18">
        <f>AJ869-AM869</f>
        <v>52423099</v>
      </c>
      <c r="AV869" s="133">
        <f>AM869-AP869</f>
        <v>0</v>
      </c>
      <c r="AW869" s="18">
        <f>AP869-AT869</f>
        <v>297576901</v>
      </c>
      <c r="AX869" s="123">
        <f>AP869/AJ869</f>
        <v>0.85021971714285716</v>
      </c>
    </row>
    <row r="870" spans="1:50" x14ac:dyDescent="0.2">
      <c r="AA870" s="16"/>
      <c r="AB870" s="17"/>
      <c r="AC870" s="17"/>
      <c r="AD870" s="18"/>
      <c r="AE870" s="34"/>
      <c r="AF870" s="34"/>
      <c r="AG870" s="34"/>
      <c r="AH870" s="34"/>
      <c r="AI870" s="34"/>
      <c r="AJ870" s="18"/>
      <c r="AK870" s="34"/>
      <c r="AL870" s="34"/>
      <c r="AM870" s="34"/>
      <c r="AN870" s="34"/>
      <c r="AO870" s="34"/>
      <c r="AP870" s="34"/>
      <c r="AQ870" s="34"/>
      <c r="AR870" s="34"/>
      <c r="AS870" s="34"/>
      <c r="AT870" s="31"/>
      <c r="AU870" s="18"/>
      <c r="AV870" s="18"/>
      <c r="AW870" s="18"/>
      <c r="AX870" s="18"/>
    </row>
    <row r="871" spans="1:50" x14ac:dyDescent="0.2">
      <c r="AA871" s="16"/>
      <c r="AB871" s="29" t="s">
        <v>623</v>
      </c>
      <c r="AC871" s="17"/>
      <c r="AD871" s="18"/>
      <c r="AE871" s="34"/>
      <c r="AF871" s="34"/>
      <c r="AG871" s="34"/>
      <c r="AH871" s="34"/>
      <c r="AI871" s="34"/>
      <c r="AJ871" s="18"/>
      <c r="AK871" s="34"/>
      <c r="AL871" s="34"/>
      <c r="AM871" s="34"/>
      <c r="AN871" s="34"/>
      <c r="AO871" s="34"/>
      <c r="AP871" s="34"/>
      <c r="AQ871" s="34"/>
      <c r="AR871" s="34"/>
      <c r="AS871" s="34"/>
      <c r="AT871" s="31"/>
      <c r="AU871" s="18"/>
      <c r="AV871" s="18"/>
      <c r="AW871" s="18"/>
      <c r="AX871" s="18"/>
    </row>
    <row r="872" spans="1:50" ht="25.5" x14ac:dyDescent="0.2">
      <c r="AA872" s="16"/>
      <c r="AB872" s="29" t="s">
        <v>624</v>
      </c>
      <c r="AC872" s="17"/>
      <c r="AD872" s="18"/>
      <c r="AE872" s="34"/>
      <c r="AF872" s="34"/>
      <c r="AG872" s="34"/>
      <c r="AH872" s="34"/>
      <c r="AI872" s="34"/>
      <c r="AJ872" s="18"/>
      <c r="AK872" s="34"/>
      <c r="AL872" s="34"/>
      <c r="AM872" s="34"/>
      <c r="AN872" s="34"/>
      <c r="AO872" s="34"/>
      <c r="AP872" s="34"/>
      <c r="AQ872" s="34"/>
      <c r="AR872" s="34"/>
      <c r="AS872" s="34"/>
      <c r="AT872" s="31"/>
      <c r="AU872" s="18"/>
      <c r="AV872" s="18"/>
      <c r="AW872" s="18"/>
      <c r="AX872" s="18"/>
    </row>
    <row r="873" spans="1:50" ht="25.5" x14ac:dyDescent="0.2">
      <c r="AA873" s="28" t="s">
        <v>288</v>
      </c>
      <c r="AB873" s="29" t="s">
        <v>616</v>
      </c>
      <c r="AC873" s="17"/>
      <c r="AD873" s="18"/>
      <c r="AE873" s="34"/>
      <c r="AF873" s="34"/>
      <c r="AG873" s="34"/>
      <c r="AH873" s="34"/>
      <c r="AI873" s="34"/>
      <c r="AJ873" s="18"/>
      <c r="AK873" s="34"/>
      <c r="AL873" s="34"/>
      <c r="AM873" s="34"/>
      <c r="AN873" s="34"/>
      <c r="AO873" s="34"/>
      <c r="AP873" s="34"/>
      <c r="AQ873" s="34"/>
      <c r="AR873" s="34"/>
      <c r="AS873" s="34"/>
      <c r="AT873" s="31"/>
      <c r="AU873" s="18"/>
      <c r="AV873" s="18"/>
      <c r="AW873" s="18"/>
      <c r="AX873" s="18"/>
    </row>
    <row r="874" spans="1:50" x14ac:dyDescent="0.2">
      <c r="A874" s="4" t="s">
        <v>55</v>
      </c>
      <c r="B874" s="4" t="s">
        <v>56</v>
      </c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1" t="s">
        <v>625</v>
      </c>
      <c r="AB874" s="42" t="s">
        <v>618</v>
      </c>
      <c r="AC874" s="43" t="s">
        <v>619</v>
      </c>
      <c r="AD874" s="43">
        <v>163270377</v>
      </c>
      <c r="AE874" s="44">
        <v>0</v>
      </c>
      <c r="AF874" s="44">
        <v>0</v>
      </c>
      <c r="AG874" s="44">
        <v>0</v>
      </c>
      <c r="AH874" s="43">
        <v>163270377</v>
      </c>
      <c r="AI874" s="43">
        <f>AE874-AF874+AG874-AH874</f>
        <v>-163270377</v>
      </c>
      <c r="AJ874" s="44">
        <f>AD874+AI874</f>
        <v>0</v>
      </c>
      <c r="AK874" s="44">
        <v>0</v>
      </c>
      <c r="AL874" s="44">
        <v>0</v>
      </c>
      <c r="AM874" s="44">
        <v>0</v>
      </c>
      <c r="AN874" s="44">
        <v>0</v>
      </c>
      <c r="AO874" s="44">
        <v>0</v>
      </c>
      <c r="AP874" s="44">
        <v>0</v>
      </c>
      <c r="AQ874" s="44">
        <v>0</v>
      </c>
      <c r="AR874" s="44">
        <v>0</v>
      </c>
      <c r="AS874" s="44">
        <v>0</v>
      </c>
      <c r="AT874" s="40">
        <f t="shared" ref="AT874" si="346">AQ874+AS874</f>
        <v>0</v>
      </c>
      <c r="AU874" s="34">
        <f>AJ874-AM874</f>
        <v>0</v>
      </c>
      <c r="AV874" s="133">
        <f>AM874-AP874</f>
        <v>0</v>
      </c>
      <c r="AW874" s="34">
        <f>AP874-AT874</f>
        <v>0</v>
      </c>
      <c r="AX874" s="123">
        <v>0</v>
      </c>
    </row>
    <row r="875" spans="1:50" x14ac:dyDescent="0.2">
      <c r="AA875" s="16"/>
      <c r="AB875" s="17"/>
      <c r="AC875" s="17"/>
      <c r="AD875" s="18"/>
      <c r="AE875" s="18"/>
      <c r="AF875" s="18"/>
      <c r="AG875" s="18"/>
      <c r="AH875" s="18"/>
      <c r="AI875" s="18"/>
      <c r="AJ875" s="18"/>
      <c r="AK875" s="34"/>
      <c r="AL875" s="34"/>
      <c r="AM875" s="34"/>
      <c r="AN875" s="34"/>
      <c r="AO875" s="34"/>
      <c r="AP875" s="34"/>
      <c r="AQ875" s="18"/>
      <c r="AR875" s="18"/>
      <c r="AS875" s="18"/>
      <c r="AT875" s="30"/>
      <c r="AU875" s="18"/>
      <c r="AV875" s="18"/>
      <c r="AW875" s="18"/>
      <c r="AX875" s="18"/>
    </row>
    <row r="876" spans="1:50" ht="25.5" x14ac:dyDescent="0.2">
      <c r="AA876" s="16"/>
      <c r="AB876" s="29" t="s">
        <v>626</v>
      </c>
      <c r="AC876" s="17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30"/>
      <c r="AU876" s="18"/>
      <c r="AV876" s="18"/>
      <c r="AW876" s="18"/>
      <c r="AX876" s="18"/>
    </row>
    <row r="877" spans="1:50" ht="25.5" x14ac:dyDescent="0.2">
      <c r="AA877" s="16"/>
      <c r="AB877" s="29" t="s">
        <v>627</v>
      </c>
      <c r="AC877" s="17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30"/>
      <c r="AU877" s="18"/>
      <c r="AV877" s="18"/>
      <c r="AW877" s="18"/>
      <c r="AX877" s="18"/>
    </row>
    <row r="878" spans="1:50" x14ac:dyDescent="0.2">
      <c r="AA878" s="16"/>
      <c r="AB878" s="29" t="s">
        <v>628</v>
      </c>
      <c r="AC878" s="17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30"/>
      <c r="AU878" s="18"/>
      <c r="AV878" s="18"/>
      <c r="AW878" s="18"/>
      <c r="AX878" s="18"/>
    </row>
    <row r="879" spans="1:50" x14ac:dyDescent="0.2">
      <c r="AA879" s="16"/>
      <c r="AB879" s="29" t="s">
        <v>629</v>
      </c>
      <c r="AC879" s="17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30"/>
      <c r="AU879" s="18"/>
      <c r="AV879" s="18"/>
      <c r="AW879" s="18"/>
      <c r="AX879" s="18"/>
    </row>
    <row r="880" spans="1:50" ht="25.5" x14ac:dyDescent="0.2">
      <c r="AA880" s="28" t="s">
        <v>288</v>
      </c>
      <c r="AB880" s="29" t="s">
        <v>616</v>
      </c>
      <c r="AC880" s="17"/>
      <c r="AD880" s="18"/>
      <c r="AE880" s="34"/>
      <c r="AF880" s="34"/>
      <c r="AG880" s="34"/>
      <c r="AH880" s="34"/>
      <c r="AI880" s="34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30"/>
      <c r="AU880" s="18"/>
      <c r="AV880" s="18"/>
      <c r="AW880" s="18"/>
      <c r="AX880" s="18"/>
    </row>
    <row r="881" spans="1:50" x14ac:dyDescent="0.2">
      <c r="A881" s="4" t="s">
        <v>55</v>
      </c>
      <c r="B881" s="4" t="s">
        <v>56</v>
      </c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1" t="s">
        <v>630</v>
      </c>
      <c r="AB881" s="42" t="s">
        <v>618</v>
      </c>
      <c r="AC881" s="43" t="s">
        <v>619</v>
      </c>
      <c r="AD881" s="43">
        <v>100000000</v>
      </c>
      <c r="AE881" s="44">
        <v>0</v>
      </c>
      <c r="AF881" s="44">
        <v>0</v>
      </c>
      <c r="AG881" s="43">
        <v>222721043</v>
      </c>
      <c r="AH881" s="43">
        <v>74931884</v>
      </c>
      <c r="AI881" s="43">
        <f>AE881-AF881+AG881-AH881</f>
        <v>147789159</v>
      </c>
      <c r="AJ881" s="43">
        <f>AD881+AI881</f>
        <v>247789159</v>
      </c>
      <c r="AK881" s="44">
        <v>0</v>
      </c>
      <c r="AL881" s="43">
        <v>0</v>
      </c>
      <c r="AM881" s="43">
        <v>17033100</v>
      </c>
      <c r="AN881" s="44">
        <v>0</v>
      </c>
      <c r="AO881" s="44">
        <v>0</v>
      </c>
      <c r="AP881" s="43">
        <v>17033100</v>
      </c>
      <c r="AQ881" s="44">
        <v>0</v>
      </c>
      <c r="AR881" s="43">
        <v>9627100</v>
      </c>
      <c r="AS881" s="43">
        <v>9627100</v>
      </c>
      <c r="AT881" s="39">
        <f t="shared" ref="AT881" si="347">AQ881+AS881</f>
        <v>9627100</v>
      </c>
      <c r="AU881" s="18">
        <f>AJ881-AM881</f>
        <v>230756059</v>
      </c>
      <c r="AV881" s="133">
        <f>AM881-AP881</f>
        <v>0</v>
      </c>
      <c r="AW881" s="18">
        <f>AP881-AT881</f>
        <v>7406000</v>
      </c>
      <c r="AX881" s="123">
        <f>AP881/AJ881</f>
        <v>6.8740295454168765E-2</v>
      </c>
    </row>
    <row r="882" spans="1:50" x14ac:dyDescent="0.2">
      <c r="AA882" s="16"/>
      <c r="AB882" s="17"/>
      <c r="AC882" s="17"/>
      <c r="AD882" s="18"/>
      <c r="AE882" s="34"/>
      <c r="AF882" s="34"/>
      <c r="AG882" s="34"/>
      <c r="AH882" s="34"/>
      <c r="AI882" s="34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30"/>
      <c r="AU882" s="18"/>
      <c r="AV882" s="18"/>
      <c r="AW882" s="18"/>
      <c r="AX882" s="18"/>
    </row>
    <row r="883" spans="1:50" x14ac:dyDescent="0.2">
      <c r="AA883" s="16"/>
      <c r="AB883" s="29" t="s">
        <v>631</v>
      </c>
      <c r="AC883" s="17"/>
      <c r="AD883" s="18"/>
      <c r="AE883" s="34"/>
      <c r="AF883" s="34"/>
      <c r="AG883" s="34"/>
      <c r="AH883" s="34"/>
      <c r="AI883" s="34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30"/>
      <c r="AU883" s="18"/>
      <c r="AV883" s="18"/>
      <c r="AW883" s="18"/>
      <c r="AX883" s="18"/>
    </row>
    <row r="884" spans="1:50" x14ac:dyDescent="0.2">
      <c r="AA884" s="16"/>
      <c r="AB884" s="29" t="s">
        <v>632</v>
      </c>
      <c r="AC884" s="17"/>
      <c r="AD884" s="18"/>
      <c r="AE884" s="34"/>
      <c r="AF884" s="34"/>
      <c r="AG884" s="34"/>
      <c r="AH884" s="34"/>
      <c r="AI884" s="34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30"/>
      <c r="AU884" s="18"/>
      <c r="AV884" s="18"/>
      <c r="AW884" s="18"/>
      <c r="AX884" s="18"/>
    </row>
    <row r="885" spans="1:50" x14ac:dyDescent="0.2">
      <c r="AA885" s="16"/>
      <c r="AB885" s="29" t="s">
        <v>633</v>
      </c>
      <c r="AC885" s="17"/>
      <c r="AD885" s="18"/>
      <c r="AE885" s="34"/>
      <c r="AF885" s="34"/>
      <c r="AG885" s="34"/>
      <c r="AH885" s="34"/>
      <c r="AI885" s="34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30"/>
      <c r="AU885" s="18"/>
      <c r="AV885" s="18"/>
      <c r="AW885" s="18"/>
      <c r="AX885" s="18"/>
    </row>
    <row r="886" spans="1:50" x14ac:dyDescent="0.2">
      <c r="AA886" s="16"/>
      <c r="AB886" s="29" t="s">
        <v>634</v>
      </c>
      <c r="AC886" s="17"/>
      <c r="AD886" s="18"/>
      <c r="AE886" s="34"/>
      <c r="AF886" s="34"/>
      <c r="AG886" s="34"/>
      <c r="AH886" s="34"/>
      <c r="AI886" s="34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30"/>
      <c r="AU886" s="18"/>
      <c r="AV886" s="18"/>
      <c r="AW886" s="18"/>
      <c r="AX886" s="18"/>
    </row>
    <row r="887" spans="1:50" x14ac:dyDescent="0.2">
      <c r="AA887" s="16"/>
      <c r="AB887" s="29" t="s">
        <v>635</v>
      </c>
      <c r="AC887" s="17"/>
      <c r="AD887" s="18"/>
      <c r="AE887" s="34"/>
      <c r="AF887" s="34"/>
      <c r="AG887" s="34"/>
      <c r="AH887" s="34"/>
      <c r="AI887" s="34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30"/>
      <c r="AU887" s="18"/>
      <c r="AV887" s="18"/>
      <c r="AW887" s="18"/>
      <c r="AX887" s="18"/>
    </row>
    <row r="888" spans="1:50" ht="25.5" x14ac:dyDescent="0.2">
      <c r="AA888" s="28" t="s">
        <v>288</v>
      </c>
      <c r="AB888" s="29" t="s">
        <v>616</v>
      </c>
      <c r="AC888" s="17"/>
      <c r="AD888" s="18"/>
      <c r="AE888" s="34"/>
      <c r="AF888" s="34"/>
      <c r="AG888" s="34"/>
      <c r="AH888" s="34"/>
      <c r="AI888" s="34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30"/>
      <c r="AU888" s="18"/>
      <c r="AV888" s="18"/>
      <c r="AW888" s="18"/>
      <c r="AX888" s="18"/>
    </row>
    <row r="889" spans="1:50" ht="18.75" customHeight="1" x14ac:dyDescent="0.2">
      <c r="A889" s="4" t="s">
        <v>55</v>
      </c>
      <c r="B889" s="4" t="s">
        <v>56</v>
      </c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1" t="s">
        <v>636</v>
      </c>
      <c r="AB889" s="42" t="s">
        <v>618</v>
      </c>
      <c r="AC889" s="43" t="s">
        <v>619</v>
      </c>
      <c r="AD889" s="43">
        <v>80000000</v>
      </c>
      <c r="AE889" s="44">
        <v>0</v>
      </c>
      <c r="AF889" s="44">
        <v>0</v>
      </c>
      <c r="AG889" s="44">
        <v>0</v>
      </c>
      <c r="AH889" s="44">
        <v>0</v>
      </c>
      <c r="AI889" s="44">
        <v>0</v>
      </c>
      <c r="AJ889" s="43">
        <v>80000000</v>
      </c>
      <c r="AK889" s="44">
        <v>0</v>
      </c>
      <c r="AL889" s="44">
        <v>0</v>
      </c>
      <c r="AM889" s="44">
        <v>0</v>
      </c>
      <c r="AN889" s="44">
        <v>0</v>
      </c>
      <c r="AO889" s="44">
        <v>0</v>
      </c>
      <c r="AP889" s="44">
        <v>0</v>
      </c>
      <c r="AQ889" s="44">
        <v>0</v>
      </c>
      <c r="AR889" s="44">
        <v>0</v>
      </c>
      <c r="AS889" s="44">
        <v>0</v>
      </c>
      <c r="AT889" s="40">
        <f t="shared" ref="AT889" si="348">AQ889+AS889</f>
        <v>0</v>
      </c>
      <c r="AU889" s="18">
        <f>AJ889-AM889</f>
        <v>80000000</v>
      </c>
      <c r="AV889" s="133">
        <f>AM889-AP889</f>
        <v>0</v>
      </c>
      <c r="AW889" s="34">
        <f>AP889-AT889</f>
        <v>0</v>
      </c>
      <c r="AX889" s="123">
        <f>AP889/AJ889</f>
        <v>0</v>
      </c>
    </row>
    <row r="890" spans="1:50" ht="18.75" customHeight="1" x14ac:dyDescent="0.2">
      <c r="AA890" s="16"/>
      <c r="AB890" s="17"/>
      <c r="AC890" s="17"/>
      <c r="AD890" s="18"/>
      <c r="AE890" s="34"/>
      <c r="AF890" s="34"/>
      <c r="AG890" s="34"/>
      <c r="AH890" s="34"/>
      <c r="AI890" s="34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30"/>
      <c r="AU890" s="18"/>
      <c r="AV890" s="18"/>
      <c r="AW890" s="18"/>
      <c r="AX890" s="18"/>
    </row>
    <row r="891" spans="1:50" ht="18.75" customHeight="1" x14ac:dyDescent="0.2">
      <c r="AA891" s="16"/>
      <c r="AB891" s="29" t="s">
        <v>179</v>
      </c>
      <c r="AC891" s="17"/>
      <c r="AD891" s="18"/>
      <c r="AE891" s="34"/>
      <c r="AF891" s="34"/>
      <c r="AG891" s="34"/>
      <c r="AH891" s="34"/>
      <c r="AI891" s="34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30"/>
      <c r="AU891" s="18"/>
      <c r="AV891" s="18"/>
      <c r="AW891" s="18"/>
      <c r="AX891" s="18"/>
    </row>
    <row r="892" spans="1:50" ht="18.75" customHeight="1" x14ac:dyDescent="0.2">
      <c r="AA892" s="16"/>
      <c r="AB892" s="29" t="s">
        <v>181</v>
      </c>
      <c r="AC892" s="17"/>
      <c r="AD892" s="18"/>
      <c r="AE892" s="34"/>
      <c r="AF892" s="34"/>
      <c r="AG892" s="34"/>
      <c r="AH892" s="34"/>
      <c r="AI892" s="34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30"/>
      <c r="AU892" s="18"/>
      <c r="AV892" s="18"/>
      <c r="AW892" s="18"/>
      <c r="AX892" s="18"/>
    </row>
    <row r="893" spans="1:50" ht="25.5" x14ac:dyDescent="0.2">
      <c r="AA893" s="16"/>
      <c r="AB893" s="29" t="s">
        <v>637</v>
      </c>
      <c r="AC893" s="17"/>
      <c r="AD893" s="18"/>
      <c r="AE893" s="34"/>
      <c r="AF893" s="34"/>
      <c r="AG893" s="34"/>
      <c r="AH893" s="34"/>
      <c r="AI893" s="34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30"/>
      <c r="AU893" s="18"/>
      <c r="AV893" s="18"/>
      <c r="AW893" s="18"/>
      <c r="AX893" s="18"/>
    </row>
    <row r="894" spans="1:50" ht="28.5" customHeight="1" x14ac:dyDescent="0.2">
      <c r="AA894" s="28" t="s">
        <v>288</v>
      </c>
      <c r="AB894" s="29" t="s">
        <v>637</v>
      </c>
      <c r="AC894" s="17"/>
      <c r="AD894" s="18"/>
      <c r="AE894" s="34"/>
      <c r="AF894" s="34"/>
      <c r="AG894" s="34"/>
      <c r="AH894" s="34"/>
      <c r="AI894" s="34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30"/>
      <c r="AU894" s="18"/>
      <c r="AV894" s="18"/>
      <c r="AW894" s="18"/>
      <c r="AX894" s="18"/>
    </row>
    <row r="895" spans="1:50" ht="27.75" customHeight="1" x14ac:dyDescent="0.2">
      <c r="AA895" s="101" t="s">
        <v>1227</v>
      </c>
      <c r="AB895" s="251" t="s">
        <v>1228</v>
      </c>
      <c r="AC895" s="17"/>
      <c r="AD895" s="34">
        <v>0</v>
      </c>
      <c r="AE895" s="34">
        <v>0</v>
      </c>
      <c r="AF895" s="34">
        <v>0</v>
      </c>
      <c r="AG895" s="18">
        <f>70000000+170000000</f>
        <v>240000000</v>
      </c>
      <c r="AH895" s="34">
        <v>0</v>
      </c>
      <c r="AI895" s="43">
        <f>AE895-AF895+AG895-AH895</f>
        <v>240000000</v>
      </c>
      <c r="AJ895" s="142">
        <f>AD895+AI895</f>
        <v>240000000</v>
      </c>
      <c r="AK895" s="34">
        <v>0</v>
      </c>
      <c r="AL895" s="18">
        <v>65124297</v>
      </c>
      <c r="AM895" s="18">
        <v>65124297</v>
      </c>
      <c r="AN895" s="18">
        <v>0</v>
      </c>
      <c r="AO895" s="34">
        <v>0</v>
      </c>
      <c r="AP895" s="34">
        <v>0</v>
      </c>
      <c r="AQ895" s="34">
        <v>0</v>
      </c>
      <c r="AR895" s="34">
        <v>0</v>
      </c>
      <c r="AS895" s="34">
        <v>0</v>
      </c>
      <c r="AT895" s="40">
        <f t="shared" ref="AT895" si="349">AQ895+AS895</f>
        <v>0</v>
      </c>
      <c r="AU895" s="18">
        <f>AJ895-AM895</f>
        <v>174875703</v>
      </c>
      <c r="AV895" s="18">
        <f>AM895-AP895</f>
        <v>65124297</v>
      </c>
      <c r="AW895" s="34">
        <f>AP895-AT895</f>
        <v>0</v>
      </c>
      <c r="AX895" s="123">
        <f>AP895/AJ895</f>
        <v>0</v>
      </c>
    </row>
    <row r="896" spans="1:50" ht="25.5" x14ac:dyDescent="0.2">
      <c r="AA896" s="28" t="s">
        <v>288</v>
      </c>
      <c r="AB896" s="29" t="s">
        <v>616</v>
      </c>
      <c r="AC896" s="17"/>
      <c r="AD896" s="18"/>
      <c r="AE896" s="34"/>
      <c r="AF896" s="34"/>
      <c r="AG896" s="34"/>
      <c r="AH896" s="34"/>
      <c r="AI896" s="34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30"/>
      <c r="AU896" s="18"/>
      <c r="AV896" s="18"/>
      <c r="AW896" s="18"/>
      <c r="AX896" s="18"/>
    </row>
    <row r="897" spans="1:50" x14ac:dyDescent="0.2">
      <c r="A897" s="4" t="s">
        <v>55</v>
      </c>
      <c r="B897" s="4" t="s">
        <v>56</v>
      </c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1" t="s">
        <v>639</v>
      </c>
      <c r="AB897" s="42" t="s">
        <v>618</v>
      </c>
      <c r="AC897" s="43" t="s">
        <v>619</v>
      </c>
      <c r="AD897" s="43">
        <v>1601743650</v>
      </c>
      <c r="AE897" s="44">
        <v>0</v>
      </c>
      <c r="AF897" s="44">
        <v>0</v>
      </c>
      <c r="AG897" s="44">
        <v>0</v>
      </c>
      <c r="AH897" s="43">
        <v>794729623</v>
      </c>
      <c r="AI897" s="43">
        <f>AE897-AF897+AG897-AH897</f>
        <v>-794729623</v>
      </c>
      <c r="AJ897" s="43">
        <f>AD897+AI897</f>
        <v>807014027</v>
      </c>
      <c r="AK897" s="44">
        <v>0</v>
      </c>
      <c r="AL897" s="43">
        <v>799658449</v>
      </c>
      <c r="AM897" s="43">
        <v>799658449</v>
      </c>
      <c r="AN897" s="44">
        <v>0</v>
      </c>
      <c r="AO897" s="44">
        <v>0</v>
      </c>
      <c r="AP897" s="44">
        <v>0</v>
      </c>
      <c r="AQ897" s="44">
        <v>0</v>
      </c>
      <c r="AR897" s="44">
        <v>0</v>
      </c>
      <c r="AS897" s="44">
        <v>0</v>
      </c>
      <c r="AT897" s="40">
        <f t="shared" ref="AT897:AT898" si="350">AQ897+AS897</f>
        <v>0</v>
      </c>
      <c r="AU897" s="18">
        <f>AJ897-AM897</f>
        <v>7355578</v>
      </c>
      <c r="AV897" s="18">
        <f>AM897-AP897</f>
        <v>799658449</v>
      </c>
      <c r="AW897" s="34">
        <f>AP897-AT897</f>
        <v>0</v>
      </c>
      <c r="AX897" s="123">
        <f>AP897/AJ897</f>
        <v>0</v>
      </c>
    </row>
    <row r="898" spans="1:50" ht="23.25" customHeight="1" x14ac:dyDescent="0.2">
      <c r="A898" s="4" t="s">
        <v>55</v>
      </c>
      <c r="B898" s="4" t="s">
        <v>56</v>
      </c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1" t="s">
        <v>640</v>
      </c>
      <c r="AB898" s="42" t="s">
        <v>641</v>
      </c>
      <c r="AC898" s="43" t="s">
        <v>642</v>
      </c>
      <c r="AD898" s="43">
        <v>20790000</v>
      </c>
      <c r="AE898" s="44">
        <v>0</v>
      </c>
      <c r="AF898" s="44">
        <v>0</v>
      </c>
      <c r="AG898" s="44">
        <v>0</v>
      </c>
      <c r="AH898" s="44">
        <v>0</v>
      </c>
      <c r="AI898" s="44">
        <v>0</v>
      </c>
      <c r="AJ898" s="43">
        <v>20790000</v>
      </c>
      <c r="AK898" s="44">
        <v>0</v>
      </c>
      <c r="AL898" s="44">
        <v>0</v>
      </c>
      <c r="AM898" s="44">
        <v>0</v>
      </c>
      <c r="AN898" s="44">
        <v>0</v>
      </c>
      <c r="AO898" s="44">
        <v>0</v>
      </c>
      <c r="AP898" s="44">
        <v>0</v>
      </c>
      <c r="AQ898" s="44">
        <v>0</v>
      </c>
      <c r="AR898" s="44">
        <v>0</v>
      </c>
      <c r="AS898" s="44">
        <v>0</v>
      </c>
      <c r="AT898" s="40">
        <f t="shared" si="350"/>
        <v>0</v>
      </c>
      <c r="AU898" s="18">
        <f>AJ898-AM898</f>
        <v>20790000</v>
      </c>
      <c r="AV898" s="133">
        <f>AM898-AP898</f>
        <v>0</v>
      </c>
      <c r="AW898" s="34">
        <f>AP898-AT898</f>
        <v>0</v>
      </c>
      <c r="AX898" s="123">
        <f>AP898/AJ898</f>
        <v>0</v>
      </c>
    </row>
    <row r="899" spans="1:50" ht="18.75" customHeight="1" x14ac:dyDescent="0.2">
      <c r="AA899" s="16"/>
      <c r="AB899" s="17"/>
      <c r="AC899" s="17"/>
      <c r="AD899" s="18"/>
      <c r="AE899" s="34"/>
      <c r="AF899" s="34"/>
      <c r="AG899" s="34"/>
      <c r="AH899" s="34"/>
      <c r="AI899" s="34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30"/>
      <c r="AU899" s="18"/>
      <c r="AV899" s="18"/>
      <c r="AW899" s="18"/>
      <c r="AX899" s="18"/>
    </row>
    <row r="900" spans="1:50" ht="26.25" customHeight="1" x14ac:dyDescent="0.2">
      <c r="AA900" s="16"/>
      <c r="AB900" s="29" t="s">
        <v>197</v>
      </c>
      <c r="AC900" s="17"/>
      <c r="AD900" s="18"/>
      <c r="AE900" s="34"/>
      <c r="AF900" s="34"/>
      <c r="AG900" s="34"/>
      <c r="AH900" s="34"/>
      <c r="AI900" s="34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30"/>
      <c r="AU900" s="18"/>
      <c r="AV900" s="18"/>
      <c r="AW900" s="18"/>
      <c r="AX900" s="18"/>
    </row>
    <row r="901" spans="1:50" ht="26.25" customHeight="1" x14ac:dyDescent="0.2">
      <c r="AA901" s="28" t="s">
        <v>288</v>
      </c>
      <c r="AB901" s="29" t="s">
        <v>643</v>
      </c>
      <c r="AC901" s="17"/>
      <c r="AD901" s="18"/>
      <c r="AE901" s="34"/>
      <c r="AF901" s="34"/>
      <c r="AG901" s="34"/>
      <c r="AH901" s="34"/>
      <c r="AI901" s="34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30"/>
      <c r="AU901" s="18"/>
      <c r="AV901" s="18"/>
      <c r="AW901" s="18"/>
      <c r="AX901" s="18"/>
    </row>
    <row r="902" spans="1:50" x14ac:dyDescent="0.2">
      <c r="A902" s="4" t="s">
        <v>55</v>
      </c>
      <c r="B902" s="4" t="s">
        <v>56</v>
      </c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1" t="s">
        <v>644</v>
      </c>
      <c r="AB902" s="42" t="s">
        <v>618</v>
      </c>
      <c r="AC902" s="43" t="s">
        <v>619</v>
      </c>
      <c r="AD902" s="43">
        <v>530000000</v>
      </c>
      <c r="AE902" s="44">
        <v>0</v>
      </c>
      <c r="AF902" s="44">
        <v>0</v>
      </c>
      <c r="AG902" s="44">
        <v>0</v>
      </c>
      <c r="AH902" s="44">
        <v>0</v>
      </c>
      <c r="AI902" s="44">
        <v>0</v>
      </c>
      <c r="AJ902" s="43">
        <v>530000000</v>
      </c>
      <c r="AK902" s="44">
        <v>0</v>
      </c>
      <c r="AL902" s="43">
        <v>21000000</v>
      </c>
      <c r="AM902" s="43">
        <v>455933332</v>
      </c>
      <c r="AN902" s="44">
        <v>0</v>
      </c>
      <c r="AO902" s="43">
        <v>21000000</v>
      </c>
      <c r="AP902" s="43">
        <v>455933332</v>
      </c>
      <c r="AQ902" s="114">
        <v>54200000</v>
      </c>
      <c r="AR902" s="114">
        <v>56866667</v>
      </c>
      <c r="AS902" s="114">
        <v>221409996</v>
      </c>
      <c r="AT902" s="111">
        <f t="shared" ref="AT902:AT903" si="351">AQ902+AS902</f>
        <v>275609996</v>
      </c>
      <c r="AU902" s="18">
        <f>AJ902-AM902</f>
        <v>74066668</v>
      </c>
      <c r="AV902" s="133">
        <f>AM902-AP902</f>
        <v>0</v>
      </c>
      <c r="AW902" s="18">
        <f>AP902-AT902</f>
        <v>180323336</v>
      </c>
      <c r="AX902" s="123">
        <f>AP902/AJ902</f>
        <v>0.86025156981132078</v>
      </c>
    </row>
    <row r="903" spans="1:50" ht="25.5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1" t="s">
        <v>1103</v>
      </c>
      <c r="AB903" s="42" t="s">
        <v>1104</v>
      </c>
      <c r="AC903" s="43"/>
      <c r="AD903" s="43">
        <v>0</v>
      </c>
      <c r="AE903" s="43">
        <v>15774292916.77</v>
      </c>
      <c r="AF903" s="44">
        <v>0</v>
      </c>
      <c r="AG903" s="44">
        <v>0</v>
      </c>
      <c r="AH903" s="43">
        <f>101000000+4989317258</f>
        <v>5090317258</v>
      </c>
      <c r="AI903" s="43">
        <f>AE903-AF903+AG903-AH903</f>
        <v>10683975658.77</v>
      </c>
      <c r="AJ903" s="43">
        <f>AD903+AI903</f>
        <v>10683975658.77</v>
      </c>
      <c r="AK903" s="44">
        <v>0</v>
      </c>
      <c r="AL903" s="43">
        <v>648000000</v>
      </c>
      <c r="AM903" s="43">
        <v>981000000</v>
      </c>
      <c r="AN903" s="44">
        <v>0</v>
      </c>
      <c r="AO903" s="43">
        <v>648000000</v>
      </c>
      <c r="AP903" s="43">
        <v>981000000</v>
      </c>
      <c r="AQ903" s="114">
        <v>53500000</v>
      </c>
      <c r="AR903" s="114">
        <v>3566666</v>
      </c>
      <c r="AS903" s="43">
        <v>3566666</v>
      </c>
      <c r="AT903" s="39">
        <f t="shared" si="351"/>
        <v>57066666</v>
      </c>
      <c r="AU903" s="18">
        <f>AJ903-AM903</f>
        <v>9702975658.7700005</v>
      </c>
      <c r="AV903" s="133">
        <f>AM903-AP903</f>
        <v>0</v>
      </c>
      <c r="AW903" s="18">
        <f>AP903-AT903</f>
        <v>923933334</v>
      </c>
      <c r="AX903" s="123">
        <f>AP903/AJ903</f>
        <v>9.1819752434080165E-2</v>
      </c>
    </row>
    <row r="904" spans="1:50" ht="25.5" x14ac:dyDescent="0.2">
      <c r="AA904" s="28" t="s">
        <v>288</v>
      </c>
      <c r="AB904" s="29" t="s">
        <v>616</v>
      </c>
      <c r="AC904" s="17"/>
      <c r="AD904" s="18"/>
      <c r="AE904" s="34"/>
      <c r="AF904" s="34"/>
      <c r="AG904" s="34"/>
      <c r="AH904" s="34"/>
      <c r="AI904" s="34"/>
      <c r="AJ904" s="18"/>
      <c r="AK904" s="18"/>
      <c r="AL904" s="18"/>
      <c r="AM904" s="18"/>
      <c r="AN904" s="34"/>
      <c r="AO904" s="18"/>
      <c r="AP904" s="18"/>
      <c r="AQ904" s="18"/>
      <c r="AR904" s="18"/>
      <c r="AS904" s="18"/>
      <c r="AT904" s="30"/>
      <c r="AU904" s="18"/>
      <c r="AV904" s="18"/>
      <c r="AW904" s="18"/>
      <c r="AX904" s="18"/>
    </row>
    <row r="905" spans="1:50" x14ac:dyDescent="0.2">
      <c r="A905" s="4" t="s">
        <v>55</v>
      </c>
      <c r="B905" s="4" t="s">
        <v>56</v>
      </c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1" t="s">
        <v>645</v>
      </c>
      <c r="AB905" s="42" t="s">
        <v>618</v>
      </c>
      <c r="AC905" s="43" t="s">
        <v>619</v>
      </c>
      <c r="AD905" s="43">
        <v>2879425052</v>
      </c>
      <c r="AE905" s="44">
        <v>0</v>
      </c>
      <c r="AF905" s="44">
        <v>0</v>
      </c>
      <c r="AG905" s="44">
        <v>0</v>
      </c>
      <c r="AH905" s="43">
        <f>221572545+222721043</f>
        <v>444293588</v>
      </c>
      <c r="AI905" s="43">
        <f>AE905-AF905+AG905-AH905</f>
        <v>-444293588</v>
      </c>
      <c r="AJ905" s="43">
        <f>AD905+AI905</f>
        <v>2435131464</v>
      </c>
      <c r="AK905" s="43">
        <v>0</v>
      </c>
      <c r="AL905" s="43">
        <v>86602944.370000005</v>
      </c>
      <c r="AM905" s="114">
        <v>1604960807.99</v>
      </c>
      <c r="AN905" s="115">
        <v>0</v>
      </c>
      <c r="AO905" s="43">
        <v>457000000</v>
      </c>
      <c r="AP905" s="43">
        <v>692078906</v>
      </c>
      <c r="AQ905" s="43">
        <v>0</v>
      </c>
      <c r="AR905" s="43">
        <v>38339782.950000003</v>
      </c>
      <c r="AS905" s="43">
        <v>38339782.950000003</v>
      </c>
      <c r="AT905" s="39">
        <f t="shared" ref="AT905:AT909" si="352">AQ905+AS905</f>
        <v>38339782.950000003</v>
      </c>
      <c r="AU905" s="18">
        <f>AJ905-AM905</f>
        <v>830170656.00999999</v>
      </c>
      <c r="AV905" s="110">
        <f>AM905-AP905</f>
        <v>912881901.99000001</v>
      </c>
      <c r="AW905" s="18">
        <f>AP905-AT905</f>
        <v>653739123.04999995</v>
      </c>
      <c r="AX905" s="123">
        <f>AP905/AJ905</f>
        <v>0.28420597254456897</v>
      </c>
    </row>
    <row r="906" spans="1:50" ht="25.5" x14ac:dyDescent="0.2">
      <c r="A906" s="4" t="s">
        <v>55</v>
      </c>
      <c r="B906" s="4" t="s">
        <v>56</v>
      </c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1" t="s">
        <v>646</v>
      </c>
      <c r="AB906" s="42" t="s">
        <v>647</v>
      </c>
      <c r="AC906" s="43" t="s">
        <v>642</v>
      </c>
      <c r="AD906" s="43">
        <v>404210000</v>
      </c>
      <c r="AE906" s="44">
        <v>0</v>
      </c>
      <c r="AF906" s="44">
        <v>0</v>
      </c>
      <c r="AG906" s="44">
        <v>0</v>
      </c>
      <c r="AH906" s="44">
        <v>0</v>
      </c>
      <c r="AI906" s="44">
        <f t="shared" ref="AI906:AI908" si="353">AE906-AF906+AG906-AH906</f>
        <v>0</v>
      </c>
      <c r="AJ906" s="43">
        <f t="shared" ref="AJ906:AJ908" si="354">AD906+AI906</f>
        <v>404210000</v>
      </c>
      <c r="AK906" s="44">
        <v>0</v>
      </c>
      <c r="AL906" s="44">
        <v>0</v>
      </c>
      <c r="AM906" s="114">
        <v>249600000</v>
      </c>
      <c r="AN906" s="115">
        <v>0</v>
      </c>
      <c r="AO906" s="43">
        <v>0</v>
      </c>
      <c r="AP906" s="43">
        <v>249600000</v>
      </c>
      <c r="AQ906" s="43">
        <v>18700000</v>
      </c>
      <c r="AR906" s="43">
        <v>18700000</v>
      </c>
      <c r="AS906" s="43">
        <v>64746666</v>
      </c>
      <c r="AT906" s="39">
        <f t="shared" si="352"/>
        <v>83446666</v>
      </c>
      <c r="AU906" s="18">
        <f>AJ906-AM906</f>
        <v>154610000</v>
      </c>
      <c r="AV906" s="133">
        <f>AM906-AP906</f>
        <v>0</v>
      </c>
      <c r="AW906" s="18">
        <f>AP906-AT906</f>
        <v>166153334</v>
      </c>
      <c r="AX906" s="123">
        <f>AP906/AJ906</f>
        <v>0.61750080403750529</v>
      </c>
    </row>
    <row r="907" spans="1:50" ht="25.5" x14ac:dyDescent="0.2">
      <c r="A907" s="4" t="s">
        <v>55</v>
      </c>
      <c r="B907" s="4" t="s">
        <v>56</v>
      </c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1" t="s">
        <v>648</v>
      </c>
      <c r="AB907" s="42" t="s">
        <v>649</v>
      </c>
      <c r="AC907" s="43" t="s">
        <v>650</v>
      </c>
      <c r="AD907" s="43">
        <v>425000000</v>
      </c>
      <c r="AE907" s="44">
        <v>0</v>
      </c>
      <c r="AF907" s="44">
        <v>0</v>
      </c>
      <c r="AG907" s="44">
        <v>0</v>
      </c>
      <c r="AH907" s="44">
        <v>0</v>
      </c>
      <c r="AI907" s="44">
        <f t="shared" si="353"/>
        <v>0</v>
      </c>
      <c r="AJ907" s="43">
        <f t="shared" si="354"/>
        <v>425000000</v>
      </c>
      <c r="AK907" s="44">
        <v>0</v>
      </c>
      <c r="AL907" s="44">
        <v>0</v>
      </c>
      <c r="AM907" s="114">
        <v>145600000</v>
      </c>
      <c r="AN907" s="114">
        <v>0</v>
      </c>
      <c r="AO907" s="43">
        <v>0</v>
      </c>
      <c r="AP907" s="43">
        <v>145600000</v>
      </c>
      <c r="AQ907" s="43">
        <v>18200000</v>
      </c>
      <c r="AR907" s="43">
        <v>21700000</v>
      </c>
      <c r="AS907" s="43">
        <v>62126668</v>
      </c>
      <c r="AT907" s="39">
        <f t="shared" si="352"/>
        <v>80326668</v>
      </c>
      <c r="AU907" s="18">
        <f>AJ907-AM907</f>
        <v>279400000</v>
      </c>
      <c r="AV907" s="133">
        <f>AM907-AP907</f>
        <v>0</v>
      </c>
      <c r="AW907" s="18">
        <f>AP907-AT907</f>
        <v>65273332</v>
      </c>
      <c r="AX907" s="123">
        <f>AP907/AJ907</f>
        <v>0.34258823529411764</v>
      </c>
    </row>
    <row r="908" spans="1:50" ht="25.5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1" t="s">
        <v>1105</v>
      </c>
      <c r="AB908" s="42" t="s">
        <v>1106</v>
      </c>
      <c r="AC908" s="43"/>
      <c r="AD908" s="44">
        <v>0</v>
      </c>
      <c r="AE908" s="43">
        <v>997743934.5</v>
      </c>
      <c r="AF908" s="44">
        <v>0</v>
      </c>
      <c r="AG908" s="44">
        <v>0</v>
      </c>
      <c r="AH908" s="44">
        <v>0</v>
      </c>
      <c r="AI908" s="43">
        <f t="shared" si="353"/>
        <v>997743934.5</v>
      </c>
      <c r="AJ908" s="43">
        <f t="shared" si="354"/>
        <v>997743934.5</v>
      </c>
      <c r="AK908" s="44">
        <v>0</v>
      </c>
      <c r="AL908" s="44">
        <v>0</v>
      </c>
      <c r="AM908" s="115">
        <v>0</v>
      </c>
      <c r="AN908" s="115">
        <v>0</v>
      </c>
      <c r="AO908" s="44">
        <v>0</v>
      </c>
      <c r="AP908" s="43">
        <v>0</v>
      </c>
      <c r="AQ908" s="43">
        <v>0</v>
      </c>
      <c r="AR908" s="43">
        <v>0</v>
      </c>
      <c r="AS908" s="44">
        <v>0</v>
      </c>
      <c r="AT908" s="40">
        <f t="shared" si="352"/>
        <v>0</v>
      </c>
      <c r="AU908" s="18">
        <f>AJ908-AM908</f>
        <v>997743934.5</v>
      </c>
      <c r="AV908" s="133">
        <f>AM908-AP908</f>
        <v>0</v>
      </c>
      <c r="AW908" s="34">
        <f>AP908-AT908</f>
        <v>0</v>
      </c>
      <c r="AX908" s="123">
        <f>AP908/AJ908</f>
        <v>0</v>
      </c>
    </row>
    <row r="909" spans="1:50" ht="25.5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1" t="s">
        <v>1107</v>
      </c>
      <c r="AB909" s="42" t="s">
        <v>1108</v>
      </c>
      <c r="AC909" s="43"/>
      <c r="AD909" s="44">
        <v>0</v>
      </c>
      <c r="AE909" s="43">
        <v>997743934.5</v>
      </c>
      <c r="AF909" s="44">
        <v>0</v>
      </c>
      <c r="AG909" s="44">
        <v>0</v>
      </c>
      <c r="AH909" s="44">
        <v>0</v>
      </c>
      <c r="AI909" s="43">
        <f>AE909-AF909+AG909-AH909</f>
        <v>997743934.5</v>
      </c>
      <c r="AJ909" s="43">
        <f>AD909+AI909</f>
        <v>997743934.5</v>
      </c>
      <c r="AK909" s="44">
        <v>0</v>
      </c>
      <c r="AL909" s="44">
        <v>0</v>
      </c>
      <c r="AM909" s="115">
        <v>0</v>
      </c>
      <c r="AN909" s="115">
        <v>0</v>
      </c>
      <c r="AO909" s="44">
        <v>0</v>
      </c>
      <c r="AP909" s="43">
        <v>0</v>
      </c>
      <c r="AQ909" s="43">
        <v>0</v>
      </c>
      <c r="AR909" s="43">
        <v>0</v>
      </c>
      <c r="AS909" s="44">
        <v>0</v>
      </c>
      <c r="AT909" s="40">
        <f t="shared" si="352"/>
        <v>0</v>
      </c>
      <c r="AU909" s="18">
        <f>AJ909-AM909</f>
        <v>997743934.5</v>
      </c>
      <c r="AV909" s="133">
        <f>AM909-AP909</f>
        <v>0</v>
      </c>
      <c r="AW909" s="34">
        <f>AP909-AT909</f>
        <v>0</v>
      </c>
      <c r="AX909" s="123">
        <f>AP909/AJ909</f>
        <v>0</v>
      </c>
    </row>
    <row r="910" spans="1:50" x14ac:dyDescent="0.2">
      <c r="AA910" s="16"/>
      <c r="AB910" s="17"/>
      <c r="AC910" s="17"/>
      <c r="AD910" s="18"/>
      <c r="AE910" s="34"/>
      <c r="AF910" s="34"/>
      <c r="AG910" s="34"/>
      <c r="AH910" s="34"/>
      <c r="AI910" s="34"/>
      <c r="AJ910" s="18"/>
      <c r="AK910" s="34"/>
      <c r="AL910" s="34"/>
      <c r="AM910" s="34"/>
      <c r="AN910" s="34"/>
      <c r="AO910" s="34"/>
      <c r="AP910" s="34"/>
      <c r="AQ910" s="18"/>
      <c r="AR910" s="18"/>
      <c r="AS910" s="18"/>
      <c r="AT910" s="30"/>
      <c r="AU910" s="18"/>
      <c r="AV910" s="18"/>
      <c r="AW910" s="18"/>
      <c r="AX910" s="18"/>
    </row>
    <row r="911" spans="1:50" x14ac:dyDescent="0.2">
      <c r="AA911" s="16"/>
      <c r="AB911" s="29" t="s">
        <v>199</v>
      </c>
      <c r="AC911" s="17"/>
      <c r="AD911" s="18"/>
      <c r="AE911" s="34"/>
      <c r="AF911" s="34"/>
      <c r="AG911" s="34"/>
      <c r="AH911" s="34"/>
      <c r="AI911" s="34"/>
      <c r="AJ911" s="18"/>
      <c r="AK911" s="34"/>
      <c r="AL911" s="34"/>
      <c r="AM911" s="34"/>
      <c r="AN911" s="34"/>
      <c r="AO911" s="34"/>
      <c r="AP911" s="34"/>
      <c r="AQ911" s="18"/>
      <c r="AR911" s="18"/>
      <c r="AS911" s="18"/>
      <c r="AT911" s="30"/>
      <c r="AU911" s="18"/>
      <c r="AV911" s="18"/>
      <c r="AW911" s="18"/>
      <c r="AX911" s="18"/>
    </row>
    <row r="912" spans="1:50" ht="25.5" x14ac:dyDescent="0.2">
      <c r="AA912" s="28" t="s">
        <v>288</v>
      </c>
      <c r="AB912" s="29" t="s">
        <v>616</v>
      </c>
      <c r="AC912" s="17"/>
      <c r="AD912" s="18"/>
      <c r="AE912" s="34"/>
      <c r="AF912" s="34"/>
      <c r="AG912" s="34"/>
      <c r="AH912" s="34"/>
      <c r="AI912" s="34"/>
      <c r="AJ912" s="18"/>
      <c r="AK912" s="34"/>
      <c r="AL912" s="34"/>
      <c r="AM912" s="34"/>
      <c r="AN912" s="34"/>
      <c r="AO912" s="34"/>
      <c r="AP912" s="34"/>
      <c r="AQ912" s="18"/>
      <c r="AR912" s="18"/>
      <c r="AS912" s="18"/>
      <c r="AT912" s="30"/>
      <c r="AU912" s="18"/>
      <c r="AV912" s="18"/>
      <c r="AW912" s="18"/>
      <c r="AX912" s="18"/>
    </row>
    <row r="913" spans="1:50" x14ac:dyDescent="0.2">
      <c r="A913" s="4" t="s">
        <v>55</v>
      </c>
      <c r="B913" s="4" t="s">
        <v>56</v>
      </c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134" t="s">
        <v>651</v>
      </c>
      <c r="AB913" s="42" t="s">
        <v>618</v>
      </c>
      <c r="AC913" s="43" t="s">
        <v>619</v>
      </c>
      <c r="AD913" s="43">
        <v>408029872</v>
      </c>
      <c r="AE913" s="44">
        <v>0</v>
      </c>
      <c r="AF913" s="44">
        <v>0</v>
      </c>
      <c r="AG913" s="44">
        <v>0</v>
      </c>
      <c r="AH913" s="43">
        <v>408029872</v>
      </c>
      <c r="AI913" s="43">
        <f>AE913-AF913+AG913-AH913</f>
        <v>-408029872</v>
      </c>
      <c r="AJ913" s="44">
        <f>AD913+AI913</f>
        <v>0</v>
      </c>
      <c r="AK913" s="44">
        <v>0</v>
      </c>
      <c r="AL913" s="44">
        <v>0</v>
      </c>
      <c r="AM913" s="44">
        <v>0</v>
      </c>
      <c r="AN913" s="44">
        <v>0</v>
      </c>
      <c r="AO913" s="44">
        <v>0</v>
      </c>
      <c r="AP913" s="44">
        <v>0</v>
      </c>
      <c r="AQ913" s="44">
        <v>0</v>
      </c>
      <c r="AR913" s="44">
        <v>0</v>
      </c>
      <c r="AS913" s="44">
        <v>0</v>
      </c>
      <c r="AT913" s="40">
        <f t="shared" ref="AT913:AT914" si="355">AQ913+AS913</f>
        <v>0</v>
      </c>
      <c r="AU913" s="34">
        <f>AJ913-AM913</f>
        <v>0</v>
      </c>
      <c r="AV913" s="133">
        <f>AM913-AP913</f>
        <v>0</v>
      </c>
      <c r="AW913" s="34">
        <f>AP913-AT913</f>
        <v>0</v>
      </c>
      <c r="AX913" s="123">
        <v>0</v>
      </c>
    </row>
    <row r="914" spans="1:50" ht="38.25" x14ac:dyDescent="0.2">
      <c r="A914" s="4" t="s">
        <v>55</v>
      </c>
      <c r="B914" s="4" t="s">
        <v>56</v>
      </c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1" t="s">
        <v>652</v>
      </c>
      <c r="AB914" s="42" t="s">
        <v>653</v>
      </c>
      <c r="AC914" s="43" t="s">
        <v>368</v>
      </c>
      <c r="AD914" s="43">
        <v>159146685.47999999</v>
      </c>
      <c r="AE914" s="44">
        <v>0</v>
      </c>
      <c r="AF914" s="44">
        <v>0</v>
      </c>
      <c r="AG914" s="44">
        <v>0</v>
      </c>
      <c r="AH914" s="44">
        <v>0</v>
      </c>
      <c r="AI914" s="44">
        <f>AE914-AF914+AG914-AH914</f>
        <v>0</v>
      </c>
      <c r="AJ914" s="43">
        <f>AD914+AI914</f>
        <v>159146685.47999999</v>
      </c>
      <c r="AK914" s="44">
        <v>0</v>
      </c>
      <c r="AL914" s="44">
        <v>0</v>
      </c>
      <c r="AM914" s="44">
        <v>0</v>
      </c>
      <c r="AN914" s="44">
        <v>0</v>
      </c>
      <c r="AO914" s="44">
        <v>0</v>
      </c>
      <c r="AP914" s="44">
        <v>0</v>
      </c>
      <c r="AQ914" s="44">
        <v>0</v>
      </c>
      <c r="AR914" s="44">
        <v>0</v>
      </c>
      <c r="AS914" s="44">
        <v>0</v>
      </c>
      <c r="AT914" s="40">
        <f t="shared" si="355"/>
        <v>0</v>
      </c>
      <c r="AU914" s="18">
        <f>AJ914-AM914</f>
        <v>159146685.47999999</v>
      </c>
      <c r="AV914" s="133">
        <f>AM914-AP914</f>
        <v>0</v>
      </c>
      <c r="AW914" s="34">
        <f>AP914-AT914</f>
        <v>0</v>
      </c>
      <c r="AX914" s="123">
        <f>AP914/AJ914</f>
        <v>0</v>
      </c>
    </row>
    <row r="915" spans="1:50" x14ac:dyDescent="0.2">
      <c r="AA915" s="16"/>
      <c r="AB915" s="17"/>
      <c r="AC915" s="17"/>
      <c r="AD915" s="18"/>
      <c r="AE915" s="34"/>
      <c r="AF915" s="34"/>
      <c r="AG915" s="34"/>
      <c r="AH915" s="34"/>
      <c r="AI915" s="34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30"/>
      <c r="AU915" s="18"/>
      <c r="AV915" s="18"/>
      <c r="AW915" s="18"/>
      <c r="AX915" s="18"/>
    </row>
    <row r="916" spans="1:50" x14ac:dyDescent="0.2">
      <c r="AA916" s="16"/>
      <c r="AB916" s="29" t="s">
        <v>654</v>
      </c>
      <c r="AC916" s="17"/>
      <c r="AD916" s="18"/>
      <c r="AE916" s="34"/>
      <c r="AF916" s="34"/>
      <c r="AG916" s="34"/>
      <c r="AH916" s="34"/>
      <c r="AI916" s="34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30"/>
      <c r="AU916" s="18"/>
      <c r="AV916" s="18"/>
      <c r="AW916" s="18"/>
      <c r="AX916" s="18"/>
    </row>
    <row r="917" spans="1:50" x14ac:dyDescent="0.2">
      <c r="AA917" s="16"/>
      <c r="AB917" s="29" t="s">
        <v>614</v>
      </c>
      <c r="AC917" s="17"/>
      <c r="AD917" s="18"/>
      <c r="AE917" s="34"/>
      <c r="AF917" s="34"/>
      <c r="AG917" s="34"/>
      <c r="AH917" s="34"/>
      <c r="AI917" s="34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30"/>
      <c r="AU917" s="18"/>
      <c r="AV917" s="18"/>
      <c r="AW917" s="18"/>
      <c r="AX917" s="18"/>
    </row>
    <row r="918" spans="1:50" x14ac:dyDescent="0.2">
      <c r="AA918" s="16"/>
      <c r="AB918" s="29" t="s">
        <v>286</v>
      </c>
      <c r="AC918" s="17"/>
      <c r="AD918" s="18"/>
      <c r="AE918" s="34"/>
      <c r="AF918" s="34"/>
      <c r="AG918" s="34"/>
      <c r="AH918" s="34"/>
      <c r="AI918" s="34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30"/>
      <c r="AU918" s="18"/>
      <c r="AV918" s="18"/>
      <c r="AW918" s="18"/>
      <c r="AX918" s="18"/>
    </row>
    <row r="919" spans="1:50" x14ac:dyDescent="0.2">
      <c r="AA919" s="16"/>
      <c r="AB919" s="29" t="s">
        <v>181</v>
      </c>
      <c r="AC919" s="17"/>
      <c r="AD919" s="18"/>
      <c r="AE919" s="34"/>
      <c r="AF919" s="34"/>
      <c r="AG919" s="34"/>
      <c r="AH919" s="34"/>
      <c r="AI919" s="34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30"/>
      <c r="AU919" s="18"/>
      <c r="AV919" s="18"/>
      <c r="AW919" s="18"/>
      <c r="AX919" s="18"/>
    </row>
    <row r="920" spans="1:50" ht="25.5" x14ac:dyDescent="0.2">
      <c r="AA920" s="16"/>
      <c r="AB920" s="29" t="s">
        <v>637</v>
      </c>
      <c r="AC920" s="17"/>
      <c r="AD920" s="18"/>
      <c r="AE920" s="34"/>
      <c r="AF920" s="34"/>
      <c r="AG920" s="34"/>
      <c r="AH920" s="34"/>
      <c r="AI920" s="34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30"/>
      <c r="AU920" s="18"/>
      <c r="AV920" s="18"/>
      <c r="AW920" s="18"/>
      <c r="AX920" s="18"/>
    </row>
    <row r="921" spans="1:50" ht="25.5" x14ac:dyDescent="0.2">
      <c r="AA921" s="28" t="s">
        <v>288</v>
      </c>
      <c r="AB921" s="29" t="s">
        <v>655</v>
      </c>
      <c r="AC921" s="17"/>
      <c r="AD921" s="18"/>
      <c r="AE921" s="34"/>
      <c r="AF921" s="34"/>
      <c r="AG921" s="34"/>
      <c r="AH921" s="34"/>
      <c r="AI921" s="34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30"/>
      <c r="AU921" s="18"/>
      <c r="AV921" s="18"/>
      <c r="AW921" s="18"/>
      <c r="AX921" s="18"/>
    </row>
    <row r="922" spans="1:50" x14ac:dyDescent="0.2">
      <c r="A922" s="4" t="s">
        <v>55</v>
      </c>
      <c r="B922" s="4" t="s">
        <v>56</v>
      </c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1" t="s">
        <v>656</v>
      </c>
      <c r="AB922" s="42" t="s">
        <v>233</v>
      </c>
      <c r="AC922" s="43" t="s">
        <v>58</v>
      </c>
      <c r="AD922" s="43">
        <v>800000000</v>
      </c>
      <c r="AE922" s="44">
        <v>0</v>
      </c>
      <c r="AF922" s="44">
        <v>0</v>
      </c>
      <c r="AG922" s="44">
        <v>0</v>
      </c>
      <c r="AH922" s="44">
        <v>0</v>
      </c>
      <c r="AI922" s="44">
        <v>0</v>
      </c>
      <c r="AJ922" s="43">
        <v>800000000</v>
      </c>
      <c r="AK922" s="44">
        <v>0</v>
      </c>
      <c r="AL922" s="43">
        <v>800000000</v>
      </c>
      <c r="AM922" s="43">
        <v>800000000</v>
      </c>
      <c r="AN922" s="44">
        <v>0</v>
      </c>
      <c r="AO922" s="44">
        <v>0</v>
      </c>
      <c r="AP922" s="44">
        <v>0</v>
      </c>
      <c r="AQ922" s="44">
        <v>0</v>
      </c>
      <c r="AR922" s="44">
        <v>0</v>
      </c>
      <c r="AS922" s="44">
        <v>0</v>
      </c>
      <c r="AT922" s="40">
        <f t="shared" ref="AT922" si="356">AQ922+AS922</f>
        <v>0</v>
      </c>
      <c r="AU922" s="34">
        <f>AJ922-AM922</f>
        <v>0</v>
      </c>
      <c r="AV922" s="18">
        <f>AM922-AP922</f>
        <v>800000000</v>
      </c>
      <c r="AW922" s="34">
        <f>AP922-AT922</f>
        <v>0</v>
      </c>
      <c r="AX922" s="123">
        <f>AP922/AJ922</f>
        <v>0</v>
      </c>
    </row>
    <row r="923" spans="1:50" ht="18.75" customHeight="1" x14ac:dyDescent="0.2">
      <c r="AA923" s="16"/>
      <c r="AB923" s="29" t="s">
        <v>189</v>
      </c>
      <c r="AC923" s="17"/>
      <c r="AD923" s="18"/>
      <c r="AE923" s="34"/>
      <c r="AF923" s="34"/>
      <c r="AG923" s="34"/>
      <c r="AH923" s="34"/>
      <c r="AI923" s="34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30"/>
      <c r="AU923" s="18"/>
      <c r="AV923" s="18"/>
      <c r="AW923" s="18"/>
      <c r="AX923" s="18"/>
    </row>
    <row r="924" spans="1:50" ht="38.25" x14ac:dyDescent="0.2">
      <c r="AA924" s="16"/>
      <c r="AB924" s="29" t="s">
        <v>193</v>
      </c>
      <c r="AC924" s="17"/>
      <c r="AD924" s="18"/>
      <c r="AE924" s="34"/>
      <c r="AF924" s="34"/>
      <c r="AG924" s="34"/>
      <c r="AH924" s="34"/>
      <c r="AI924" s="34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30"/>
      <c r="AU924" s="18"/>
      <c r="AV924" s="18"/>
      <c r="AW924" s="18"/>
      <c r="AX924" s="18"/>
    </row>
    <row r="925" spans="1:50" ht="25.5" x14ac:dyDescent="0.2">
      <c r="AA925" s="28" t="s">
        <v>288</v>
      </c>
      <c r="AB925" s="29" t="s">
        <v>616</v>
      </c>
      <c r="AC925" s="17"/>
      <c r="AD925" s="18"/>
      <c r="AE925" s="34"/>
      <c r="AF925" s="34"/>
      <c r="AG925" s="34"/>
      <c r="AH925" s="34"/>
      <c r="AI925" s="34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30"/>
      <c r="AU925" s="18"/>
      <c r="AV925" s="18"/>
      <c r="AW925" s="18"/>
      <c r="AX925" s="18"/>
    </row>
    <row r="926" spans="1:50" x14ac:dyDescent="0.2">
      <c r="A926" s="4" t="s">
        <v>37</v>
      </c>
      <c r="B926" s="4" t="s">
        <v>37</v>
      </c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1" t="s">
        <v>657</v>
      </c>
      <c r="AB926" s="42" t="s">
        <v>233</v>
      </c>
      <c r="AC926" s="43" t="s">
        <v>58</v>
      </c>
      <c r="AD926" s="43">
        <v>400000000</v>
      </c>
      <c r="AE926" s="44">
        <v>0</v>
      </c>
      <c r="AF926" s="44">
        <v>0</v>
      </c>
      <c r="AG926" s="44">
        <v>0</v>
      </c>
      <c r="AH926" s="44">
        <v>0</v>
      </c>
      <c r="AI926" s="44">
        <v>0</v>
      </c>
      <c r="AJ926" s="43">
        <v>400000000</v>
      </c>
      <c r="AK926" s="44">
        <v>0</v>
      </c>
      <c r="AL926" s="44">
        <v>0</v>
      </c>
      <c r="AM926" s="43">
        <v>399068768</v>
      </c>
      <c r="AN926" s="44">
        <v>0</v>
      </c>
      <c r="AO926" s="43">
        <v>0</v>
      </c>
      <c r="AP926" s="43">
        <v>399068768</v>
      </c>
      <c r="AQ926" s="44">
        <v>259814790</v>
      </c>
      <c r="AR926" s="43">
        <v>0</v>
      </c>
      <c r="AS926" s="43">
        <v>133951850</v>
      </c>
      <c r="AT926" s="39">
        <f t="shared" ref="AT926:AT927" si="357">AQ926+AS926</f>
        <v>393766640</v>
      </c>
      <c r="AU926" s="18">
        <f>AJ926-AM926</f>
        <v>931232</v>
      </c>
      <c r="AV926" s="34">
        <f>AM926-AP926</f>
        <v>0</v>
      </c>
      <c r="AW926" s="18">
        <f>AP926-AT926</f>
        <v>5302128</v>
      </c>
      <c r="AX926" s="123">
        <f>AP926/AJ926</f>
        <v>0.99767192000000005</v>
      </c>
    </row>
    <row r="927" spans="1:50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1" t="s">
        <v>1226</v>
      </c>
      <c r="AB927" s="42" t="s">
        <v>1110</v>
      </c>
      <c r="AC927" s="43"/>
      <c r="AD927" s="43">
        <v>0</v>
      </c>
      <c r="AE927" s="44">
        <v>0</v>
      </c>
      <c r="AF927" s="44">
        <v>0</v>
      </c>
      <c r="AG927" s="43">
        <v>502777408.16000003</v>
      </c>
      <c r="AH927" s="44">
        <v>0</v>
      </c>
      <c r="AI927" s="43">
        <f>AE927-AF927+AG927-AH927</f>
        <v>502777408.16000003</v>
      </c>
      <c r="AJ927" s="43">
        <f>AD927+AI927</f>
        <v>502777408.16000003</v>
      </c>
      <c r="AK927" s="44">
        <v>0</v>
      </c>
      <c r="AL927" s="44">
        <v>0</v>
      </c>
      <c r="AM927" s="43">
        <v>199350085</v>
      </c>
      <c r="AN927" s="44">
        <v>0</v>
      </c>
      <c r="AO927" s="43">
        <v>199350085</v>
      </c>
      <c r="AP927" s="43">
        <v>199350085</v>
      </c>
      <c r="AQ927" s="44">
        <v>0</v>
      </c>
      <c r="AR927" s="44">
        <v>0</v>
      </c>
      <c r="AS927" s="44">
        <v>0</v>
      </c>
      <c r="AT927" s="39">
        <f t="shared" si="357"/>
        <v>0</v>
      </c>
      <c r="AU927" s="18">
        <f>AJ927-AM927</f>
        <v>303427323.16000003</v>
      </c>
      <c r="AV927" s="34">
        <f>AM927-AP927</f>
        <v>0</v>
      </c>
      <c r="AW927" s="18">
        <f>AP927-AT927</f>
        <v>199350085</v>
      </c>
      <c r="AX927" s="123">
        <f>AP927/AJ927</f>
        <v>0.39649769811566465</v>
      </c>
    </row>
    <row r="928" spans="1:50" x14ac:dyDescent="0.2">
      <c r="AA928" s="16"/>
      <c r="AB928" s="17"/>
      <c r="AC928" s="17"/>
      <c r="AD928" s="18"/>
      <c r="AE928" s="34"/>
      <c r="AF928" s="34"/>
      <c r="AG928" s="34"/>
      <c r="AH928" s="34"/>
      <c r="AI928" s="34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30"/>
      <c r="AU928" s="18"/>
      <c r="AV928" s="34"/>
      <c r="AW928" s="34"/>
      <c r="AX928" s="18"/>
    </row>
    <row r="929" spans="1:50" ht="25.5" x14ac:dyDescent="0.2">
      <c r="AA929" s="16"/>
      <c r="AB929" s="29" t="s">
        <v>197</v>
      </c>
      <c r="AC929" s="17"/>
      <c r="AD929" s="18"/>
      <c r="AE929" s="34"/>
      <c r="AF929" s="34"/>
      <c r="AG929" s="34"/>
      <c r="AH929" s="34"/>
      <c r="AI929" s="34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30"/>
      <c r="AU929" s="18"/>
      <c r="AV929" s="34"/>
      <c r="AW929" s="34"/>
      <c r="AX929" s="18"/>
    </row>
    <row r="930" spans="1:50" ht="25.5" x14ac:dyDescent="0.2">
      <c r="AA930" s="28" t="s">
        <v>288</v>
      </c>
      <c r="AB930" s="29" t="s">
        <v>616</v>
      </c>
      <c r="AC930" s="17"/>
      <c r="AD930" s="18"/>
      <c r="AE930" s="34"/>
      <c r="AF930" s="34"/>
      <c r="AG930" s="34"/>
      <c r="AH930" s="34"/>
      <c r="AI930" s="34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30"/>
      <c r="AU930" s="18"/>
      <c r="AV930" s="34"/>
      <c r="AW930" s="34"/>
      <c r="AX930" s="18"/>
    </row>
    <row r="931" spans="1:50" x14ac:dyDescent="0.2">
      <c r="A931" s="4" t="s">
        <v>55</v>
      </c>
      <c r="B931" s="4" t="s">
        <v>56</v>
      </c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1" t="s">
        <v>658</v>
      </c>
      <c r="AB931" s="42" t="s">
        <v>233</v>
      </c>
      <c r="AC931" s="43" t="s">
        <v>58</v>
      </c>
      <c r="AD931" s="43">
        <v>80000001.5</v>
      </c>
      <c r="AE931" s="44">
        <v>0</v>
      </c>
      <c r="AF931" s="44">
        <v>0</v>
      </c>
      <c r="AG931" s="44">
        <v>0</v>
      </c>
      <c r="AH931" s="44">
        <v>0</v>
      </c>
      <c r="AI931" s="44">
        <v>0</v>
      </c>
      <c r="AJ931" s="43">
        <v>80000001.5</v>
      </c>
      <c r="AK931" s="44">
        <v>0</v>
      </c>
      <c r="AL931" s="44">
        <v>0</v>
      </c>
      <c r="AM931" s="44">
        <v>0</v>
      </c>
      <c r="AN931" s="44">
        <v>0</v>
      </c>
      <c r="AO931" s="44">
        <v>0</v>
      </c>
      <c r="AP931" s="44">
        <v>0</v>
      </c>
      <c r="AQ931" s="44">
        <v>0</v>
      </c>
      <c r="AR931" s="44">
        <v>0</v>
      </c>
      <c r="AS931" s="44">
        <v>0</v>
      </c>
      <c r="AT931" s="40">
        <f t="shared" ref="AT931:AT933" si="358">AQ931+AS931</f>
        <v>0</v>
      </c>
      <c r="AU931" s="18">
        <f>AJ931-AM931</f>
        <v>80000001.5</v>
      </c>
      <c r="AV931" s="133">
        <f>AM931-AP931</f>
        <v>0</v>
      </c>
      <c r="AW931" s="34">
        <f>AP931-AT931</f>
        <v>0</v>
      </c>
      <c r="AX931" s="123">
        <f>AP931/AJ931</f>
        <v>0</v>
      </c>
    </row>
    <row r="932" spans="1:50" ht="25.5" x14ac:dyDescent="0.2">
      <c r="A932" s="4" t="s">
        <v>55</v>
      </c>
      <c r="B932" s="4" t="s">
        <v>56</v>
      </c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1" t="s">
        <v>659</v>
      </c>
      <c r="AB932" s="42" t="s">
        <v>660</v>
      </c>
      <c r="AC932" s="43" t="s">
        <v>368</v>
      </c>
      <c r="AD932" s="43">
        <v>18064798.5</v>
      </c>
      <c r="AE932" s="44">
        <v>0</v>
      </c>
      <c r="AF932" s="44">
        <v>0</v>
      </c>
      <c r="AG932" s="44">
        <v>0</v>
      </c>
      <c r="AH932" s="44">
        <v>0</v>
      </c>
      <c r="AI932" s="44">
        <v>0</v>
      </c>
      <c r="AJ932" s="43">
        <v>18064798.5</v>
      </c>
      <c r="AK932" s="44">
        <v>0</v>
      </c>
      <c r="AL932" s="44">
        <v>0</v>
      </c>
      <c r="AM932" s="44">
        <v>0</v>
      </c>
      <c r="AN932" s="44">
        <v>0</v>
      </c>
      <c r="AO932" s="44">
        <v>0</v>
      </c>
      <c r="AP932" s="44">
        <v>0</v>
      </c>
      <c r="AQ932" s="44">
        <v>0</v>
      </c>
      <c r="AR932" s="44">
        <v>0</v>
      </c>
      <c r="AS932" s="44">
        <v>0</v>
      </c>
      <c r="AT932" s="40">
        <f t="shared" si="358"/>
        <v>0</v>
      </c>
      <c r="AU932" s="18">
        <f>AJ932-AM932</f>
        <v>18064798.5</v>
      </c>
      <c r="AV932" s="133">
        <f>AM932-AP932</f>
        <v>0</v>
      </c>
      <c r="AW932" s="34">
        <f>AP932-AT932</f>
        <v>0</v>
      </c>
      <c r="AX932" s="123">
        <f>AP932/AJ932</f>
        <v>0</v>
      </c>
    </row>
    <row r="933" spans="1:50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1" t="s">
        <v>1109</v>
      </c>
      <c r="AB933" s="42" t="s">
        <v>1110</v>
      </c>
      <c r="AC933" s="43"/>
      <c r="AD933" s="44">
        <v>0</v>
      </c>
      <c r="AE933" s="43">
        <v>502777408.16000003</v>
      </c>
      <c r="AF933" s="44">
        <v>0</v>
      </c>
      <c r="AG933" s="44">
        <v>0</v>
      </c>
      <c r="AH933" s="43">
        <v>502777408.16000003</v>
      </c>
      <c r="AI933" s="44">
        <f>AE933-AF933+AG933-AH933</f>
        <v>0</v>
      </c>
      <c r="AJ933" s="44">
        <f>AD933+AI933</f>
        <v>0</v>
      </c>
      <c r="AK933" s="44">
        <v>0</v>
      </c>
      <c r="AL933" s="44">
        <v>0</v>
      </c>
      <c r="AM933" s="44">
        <v>0</v>
      </c>
      <c r="AN933" s="44">
        <v>0</v>
      </c>
      <c r="AO933" s="44">
        <v>0</v>
      </c>
      <c r="AP933" s="44">
        <v>0</v>
      </c>
      <c r="AQ933" s="44">
        <v>0</v>
      </c>
      <c r="AR933" s="44">
        <v>0</v>
      </c>
      <c r="AS933" s="44">
        <v>0</v>
      </c>
      <c r="AT933" s="40">
        <f t="shared" si="358"/>
        <v>0</v>
      </c>
      <c r="AU933" s="18">
        <f>AJ933-AM933</f>
        <v>0</v>
      </c>
      <c r="AV933" s="133">
        <f>AM933-AP933</f>
        <v>0</v>
      </c>
      <c r="AW933" s="34">
        <f>AP933-AT933</f>
        <v>0</v>
      </c>
      <c r="AX933" s="123">
        <v>0</v>
      </c>
    </row>
    <row r="934" spans="1:50" x14ac:dyDescent="0.2">
      <c r="AA934" s="16"/>
      <c r="AB934" s="17"/>
      <c r="AC934" s="17"/>
      <c r="AD934" s="18"/>
      <c r="AE934" s="34"/>
      <c r="AF934" s="34"/>
      <c r="AG934" s="34"/>
      <c r="AH934" s="34"/>
      <c r="AI934" s="34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30"/>
      <c r="AU934" s="18"/>
      <c r="AV934" s="18"/>
      <c r="AW934" s="18"/>
      <c r="AX934" s="18"/>
    </row>
    <row r="935" spans="1:50" x14ac:dyDescent="0.2">
      <c r="AA935" s="16"/>
      <c r="AB935" s="29" t="s">
        <v>661</v>
      </c>
      <c r="AC935" s="17"/>
      <c r="AD935" s="18"/>
      <c r="AE935" s="34"/>
      <c r="AF935" s="34"/>
      <c r="AG935" s="34"/>
      <c r="AH935" s="34"/>
      <c r="AI935" s="34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30"/>
      <c r="AU935" s="18"/>
      <c r="AV935" s="18"/>
      <c r="AW935" s="18"/>
      <c r="AX935" s="18"/>
    </row>
    <row r="936" spans="1:50" x14ac:dyDescent="0.2">
      <c r="AA936" s="16"/>
      <c r="AB936" s="29" t="s">
        <v>614</v>
      </c>
      <c r="AC936" s="17"/>
      <c r="AD936" s="18"/>
      <c r="AE936" s="34"/>
      <c r="AF936" s="34"/>
      <c r="AG936" s="34"/>
      <c r="AH936" s="34"/>
      <c r="AI936" s="34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30"/>
      <c r="AU936" s="18"/>
      <c r="AV936" s="18"/>
      <c r="AW936" s="18"/>
      <c r="AX936" s="18"/>
    </row>
    <row r="937" spans="1:50" x14ac:dyDescent="0.2">
      <c r="AA937" s="16"/>
      <c r="AB937" s="29" t="s">
        <v>286</v>
      </c>
      <c r="AC937" s="17"/>
      <c r="AD937" s="18"/>
      <c r="AE937" s="34"/>
      <c r="AF937" s="34"/>
      <c r="AG937" s="34"/>
      <c r="AH937" s="34"/>
      <c r="AI937" s="34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30"/>
      <c r="AU937" s="18"/>
      <c r="AV937" s="18"/>
      <c r="AW937" s="18"/>
      <c r="AX937" s="18"/>
    </row>
    <row r="938" spans="1:50" x14ac:dyDescent="0.2">
      <c r="AA938" s="16"/>
      <c r="AB938" s="29" t="s">
        <v>179</v>
      </c>
      <c r="AC938" s="17"/>
      <c r="AD938" s="18"/>
      <c r="AE938" s="34"/>
      <c r="AF938" s="34"/>
      <c r="AG938" s="34"/>
      <c r="AH938" s="34"/>
      <c r="AI938" s="34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30"/>
      <c r="AU938" s="18"/>
      <c r="AV938" s="18"/>
      <c r="AW938" s="18"/>
      <c r="AX938" s="18"/>
    </row>
    <row r="939" spans="1:50" x14ac:dyDescent="0.2">
      <c r="AA939" s="16"/>
      <c r="AB939" s="29" t="s">
        <v>189</v>
      </c>
      <c r="AC939" s="17"/>
      <c r="AD939" s="18"/>
      <c r="AE939" s="34"/>
      <c r="AF939" s="34"/>
      <c r="AG939" s="34"/>
      <c r="AH939" s="34"/>
      <c r="AI939" s="34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30"/>
      <c r="AU939" s="18"/>
      <c r="AV939" s="18"/>
      <c r="AW939" s="18"/>
      <c r="AX939" s="18"/>
    </row>
    <row r="940" spans="1:50" ht="25.5" x14ac:dyDescent="0.2">
      <c r="AA940" s="16"/>
      <c r="AB940" s="29" t="s">
        <v>197</v>
      </c>
      <c r="AC940" s="17"/>
      <c r="AD940" s="18"/>
      <c r="AE940" s="34"/>
      <c r="AF940" s="34"/>
      <c r="AG940" s="34"/>
      <c r="AH940" s="34"/>
      <c r="AI940" s="34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30"/>
      <c r="AU940" s="18"/>
      <c r="AV940" s="18"/>
      <c r="AW940" s="18"/>
      <c r="AX940" s="18"/>
    </row>
    <row r="941" spans="1:50" x14ac:dyDescent="0.2">
      <c r="AA941" s="28" t="s">
        <v>288</v>
      </c>
      <c r="AB941" s="29" t="s">
        <v>591</v>
      </c>
      <c r="AC941" s="17"/>
      <c r="AD941" s="18"/>
      <c r="AE941" s="34"/>
      <c r="AF941" s="34"/>
      <c r="AG941" s="34"/>
      <c r="AH941" s="34"/>
      <c r="AI941" s="34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30"/>
      <c r="AU941" s="18"/>
      <c r="AV941" s="18"/>
      <c r="AW941" s="18"/>
      <c r="AX941" s="18"/>
    </row>
    <row r="942" spans="1:50" ht="25.5" x14ac:dyDescent="0.2">
      <c r="A942" s="4" t="s">
        <v>55</v>
      </c>
      <c r="B942" s="4" t="s">
        <v>56</v>
      </c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1" t="s">
        <v>662</v>
      </c>
      <c r="AB942" s="42" t="s">
        <v>1238</v>
      </c>
      <c r="AC942" s="43" t="s">
        <v>368</v>
      </c>
      <c r="AD942" s="43">
        <v>3179405.26</v>
      </c>
      <c r="AE942" s="44">
        <v>0</v>
      </c>
      <c r="AF942" s="44">
        <v>0</v>
      </c>
      <c r="AG942" s="44">
        <v>0</v>
      </c>
      <c r="AH942" s="44">
        <v>0</v>
      </c>
      <c r="AI942" s="44">
        <v>0</v>
      </c>
      <c r="AJ942" s="43">
        <v>3179405.26</v>
      </c>
      <c r="AK942" s="44">
        <v>0</v>
      </c>
      <c r="AL942" s="44">
        <v>0</v>
      </c>
      <c r="AM942" s="43">
        <v>1739249</v>
      </c>
      <c r="AN942" s="44">
        <v>0</v>
      </c>
      <c r="AO942" s="44">
        <v>0</v>
      </c>
      <c r="AP942" s="43">
        <v>1739249</v>
      </c>
      <c r="AQ942" s="44">
        <v>0</v>
      </c>
      <c r="AR942" s="44">
        <v>0</v>
      </c>
      <c r="AS942" s="44">
        <v>0</v>
      </c>
      <c r="AT942" s="40">
        <f t="shared" ref="AT942:AT943" si="359">AQ942+AS942</f>
        <v>0</v>
      </c>
      <c r="AU942" s="18">
        <f>AJ942-AM942</f>
        <v>1440156.2599999998</v>
      </c>
      <c r="AV942" s="133">
        <f>AM942-AP942</f>
        <v>0</v>
      </c>
      <c r="AW942" s="18">
        <f>AP942-AT942</f>
        <v>1739249</v>
      </c>
      <c r="AX942" s="123">
        <f>AP942/AJ942</f>
        <v>0.54703595728466525</v>
      </c>
    </row>
    <row r="943" spans="1:50" ht="25.5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1" t="s">
        <v>1111</v>
      </c>
      <c r="AB943" s="42" t="s">
        <v>1112</v>
      </c>
      <c r="AC943" s="43"/>
      <c r="AD943" s="44">
        <v>0</v>
      </c>
      <c r="AE943" s="43">
        <v>58361947.520000003</v>
      </c>
      <c r="AF943" s="44">
        <v>0</v>
      </c>
      <c r="AG943" s="44">
        <v>0</v>
      </c>
      <c r="AH943" s="44">
        <v>0</v>
      </c>
      <c r="AI943" s="43">
        <f>AE943-AF943+AG943-AH943</f>
        <v>58361947.520000003</v>
      </c>
      <c r="AJ943" s="43">
        <f>AD943+AI943</f>
        <v>58361947.520000003</v>
      </c>
      <c r="AK943" s="44">
        <v>0</v>
      </c>
      <c r="AL943" s="44">
        <v>0</v>
      </c>
      <c r="AM943" s="44">
        <v>0</v>
      </c>
      <c r="AN943" s="44">
        <v>0</v>
      </c>
      <c r="AO943" s="44">
        <v>0</v>
      </c>
      <c r="AP943" s="44">
        <v>0</v>
      </c>
      <c r="AQ943" s="44">
        <v>0</v>
      </c>
      <c r="AR943" s="44">
        <v>0</v>
      </c>
      <c r="AS943" s="44">
        <v>0</v>
      </c>
      <c r="AT943" s="40">
        <f t="shared" si="359"/>
        <v>0</v>
      </c>
      <c r="AU943" s="18">
        <f>AJ943-AM943</f>
        <v>58361947.520000003</v>
      </c>
      <c r="AV943" s="133">
        <f>AM943-AP943</f>
        <v>0</v>
      </c>
      <c r="AW943" s="18">
        <f>AP943-AT943</f>
        <v>0</v>
      </c>
      <c r="AX943" s="123">
        <f>AP943/AJ943</f>
        <v>0</v>
      </c>
    </row>
    <row r="944" spans="1:50" x14ac:dyDescent="0.2">
      <c r="AA944" s="16"/>
      <c r="AB944" s="17"/>
      <c r="AC944" s="17"/>
      <c r="AD944" s="18"/>
      <c r="AE944" s="34"/>
      <c r="AF944" s="34"/>
      <c r="AG944" s="34"/>
      <c r="AH944" s="34"/>
      <c r="AI944" s="34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30"/>
      <c r="AU944" s="18"/>
      <c r="AV944" s="18"/>
      <c r="AW944" s="18"/>
      <c r="AX944" s="18"/>
    </row>
    <row r="945" spans="1:50" ht="25.5" x14ac:dyDescent="0.2">
      <c r="AA945" s="16"/>
      <c r="AB945" s="29" t="s">
        <v>663</v>
      </c>
      <c r="AC945" s="17"/>
      <c r="AD945" s="18"/>
      <c r="AE945" s="34"/>
      <c r="AF945" s="34"/>
      <c r="AG945" s="34"/>
      <c r="AH945" s="34"/>
      <c r="AI945" s="34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30"/>
      <c r="AU945" s="18"/>
      <c r="AV945" s="18"/>
      <c r="AW945" s="18"/>
      <c r="AX945" s="18"/>
    </row>
    <row r="946" spans="1:50" x14ac:dyDescent="0.2">
      <c r="AA946" s="16"/>
      <c r="AB946" s="29" t="s">
        <v>614</v>
      </c>
      <c r="AC946" s="17"/>
      <c r="AD946" s="18"/>
      <c r="AE946" s="34"/>
      <c r="AF946" s="34"/>
      <c r="AG946" s="34"/>
      <c r="AH946" s="34"/>
      <c r="AI946" s="34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30"/>
      <c r="AU946" s="18"/>
      <c r="AV946" s="18"/>
      <c r="AW946" s="18"/>
      <c r="AX946" s="18"/>
    </row>
    <row r="947" spans="1:50" x14ac:dyDescent="0.2">
      <c r="AA947" s="16"/>
      <c r="AB947" s="29" t="s">
        <v>286</v>
      </c>
      <c r="AC947" s="17"/>
      <c r="AD947" s="18"/>
      <c r="AE947" s="34"/>
      <c r="AF947" s="34"/>
      <c r="AG947" s="34"/>
      <c r="AH947" s="34"/>
      <c r="AI947" s="34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30"/>
      <c r="AU947" s="18"/>
      <c r="AV947" s="18"/>
      <c r="AW947" s="18"/>
      <c r="AX947" s="18"/>
    </row>
    <row r="948" spans="1:50" ht="18.75" customHeight="1" x14ac:dyDescent="0.2">
      <c r="AA948" s="16"/>
      <c r="AB948" s="29" t="s">
        <v>664</v>
      </c>
      <c r="AC948" s="17"/>
      <c r="AD948" s="18"/>
      <c r="AE948" s="34"/>
      <c r="AF948" s="34"/>
      <c r="AG948" s="34"/>
      <c r="AH948" s="34"/>
      <c r="AI948" s="34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30"/>
      <c r="AU948" s="18"/>
      <c r="AV948" s="18"/>
      <c r="AW948" s="18"/>
      <c r="AX948" s="18"/>
    </row>
    <row r="949" spans="1:50" ht="18.75" customHeight="1" x14ac:dyDescent="0.2">
      <c r="AA949" s="16"/>
      <c r="AB949" s="29" t="s">
        <v>575</v>
      </c>
      <c r="AC949" s="17"/>
      <c r="AD949" s="18"/>
      <c r="AE949" s="34"/>
      <c r="AF949" s="34"/>
      <c r="AG949" s="34"/>
      <c r="AH949" s="34"/>
      <c r="AI949" s="34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30"/>
      <c r="AU949" s="18"/>
      <c r="AV949" s="18"/>
      <c r="AW949" s="18"/>
      <c r="AX949" s="18"/>
    </row>
    <row r="950" spans="1:50" ht="18.75" customHeight="1" x14ac:dyDescent="0.2">
      <c r="AA950" s="16"/>
      <c r="AB950" s="29" t="s">
        <v>631</v>
      </c>
      <c r="AC950" s="17"/>
      <c r="AD950" s="18"/>
      <c r="AE950" s="34"/>
      <c r="AF950" s="34"/>
      <c r="AG950" s="34"/>
      <c r="AH950" s="34"/>
      <c r="AI950" s="34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30"/>
      <c r="AU950" s="18"/>
      <c r="AV950" s="18"/>
      <c r="AW950" s="18"/>
      <c r="AX950" s="18"/>
    </row>
    <row r="951" spans="1:50" ht="18.75" customHeight="1" x14ac:dyDescent="0.2">
      <c r="AA951" s="16"/>
      <c r="AB951" s="29" t="s">
        <v>632</v>
      </c>
      <c r="AC951" s="17"/>
      <c r="AD951" s="18"/>
      <c r="AE951" s="34"/>
      <c r="AF951" s="34"/>
      <c r="AG951" s="34"/>
      <c r="AH951" s="34"/>
      <c r="AI951" s="34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30"/>
      <c r="AU951" s="18"/>
      <c r="AV951" s="18"/>
      <c r="AW951" s="18"/>
      <c r="AX951" s="18"/>
    </row>
    <row r="952" spans="1:50" ht="18.75" customHeight="1" x14ac:dyDescent="0.2">
      <c r="AA952" s="16"/>
      <c r="AB952" s="29" t="s">
        <v>633</v>
      </c>
      <c r="AC952" s="17"/>
      <c r="AD952" s="18"/>
      <c r="AE952" s="34"/>
      <c r="AF952" s="34"/>
      <c r="AG952" s="34"/>
      <c r="AH952" s="34"/>
      <c r="AI952" s="34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30"/>
      <c r="AU952" s="18"/>
      <c r="AV952" s="18"/>
      <c r="AW952" s="18"/>
      <c r="AX952" s="18"/>
    </row>
    <row r="953" spans="1:50" ht="18.75" customHeight="1" x14ac:dyDescent="0.2">
      <c r="AA953" s="16"/>
      <c r="AB953" s="29" t="s">
        <v>634</v>
      </c>
      <c r="AC953" s="17"/>
      <c r="AD953" s="18"/>
      <c r="AE953" s="34"/>
      <c r="AF953" s="34"/>
      <c r="AG953" s="34"/>
      <c r="AH953" s="34"/>
      <c r="AI953" s="34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30"/>
      <c r="AU953" s="18"/>
      <c r="AV953" s="18"/>
      <c r="AW953" s="18"/>
      <c r="AX953" s="18"/>
    </row>
    <row r="954" spans="1:50" ht="18.75" customHeight="1" x14ac:dyDescent="0.2">
      <c r="AA954" s="16"/>
      <c r="AB954" s="29" t="s">
        <v>635</v>
      </c>
      <c r="AC954" s="17"/>
      <c r="AD954" s="18"/>
      <c r="AE954" s="34"/>
      <c r="AF954" s="34"/>
      <c r="AG954" s="34"/>
      <c r="AH954" s="34"/>
      <c r="AI954" s="34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30"/>
      <c r="AU954" s="18"/>
      <c r="AV954" s="18"/>
      <c r="AW954" s="18"/>
      <c r="AX954" s="18"/>
    </row>
    <row r="955" spans="1:50" ht="18.75" customHeight="1" x14ac:dyDescent="0.2">
      <c r="AA955" s="28" t="s">
        <v>288</v>
      </c>
      <c r="AB955" s="29" t="s">
        <v>665</v>
      </c>
      <c r="AC955" s="17"/>
      <c r="AD955" s="18"/>
      <c r="AE955" s="34"/>
      <c r="AF955" s="34"/>
      <c r="AG955" s="34"/>
      <c r="AH955" s="34"/>
      <c r="AI955" s="34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30"/>
      <c r="AU955" s="18"/>
      <c r="AV955" s="18"/>
      <c r="AW955" s="18"/>
      <c r="AX955" s="18"/>
    </row>
    <row r="956" spans="1:50" ht="18.75" customHeight="1" x14ac:dyDescent="0.2">
      <c r="A956" s="4" t="s">
        <v>37</v>
      </c>
      <c r="B956" s="4" t="s">
        <v>37</v>
      </c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1" t="s">
        <v>666</v>
      </c>
      <c r="AB956" s="42" t="s">
        <v>233</v>
      </c>
      <c r="AC956" s="43" t="s">
        <v>58</v>
      </c>
      <c r="AD956" s="43">
        <v>22000000</v>
      </c>
      <c r="AE956" s="44">
        <v>0</v>
      </c>
      <c r="AF956" s="44">
        <v>0</v>
      </c>
      <c r="AG956" s="44">
        <v>0</v>
      </c>
      <c r="AH956" s="44">
        <v>0</v>
      </c>
      <c r="AI956" s="44">
        <v>0</v>
      </c>
      <c r="AJ956" s="43">
        <v>22000000</v>
      </c>
      <c r="AK956" s="44">
        <v>0</v>
      </c>
      <c r="AL956" s="44">
        <v>0</v>
      </c>
      <c r="AM956" s="44">
        <v>0</v>
      </c>
      <c r="AN956" s="44">
        <v>0</v>
      </c>
      <c r="AO956" s="44">
        <v>0</v>
      </c>
      <c r="AP956" s="44">
        <v>0</v>
      </c>
      <c r="AQ956" s="44">
        <v>0</v>
      </c>
      <c r="AR956" s="44">
        <v>0</v>
      </c>
      <c r="AS956" s="44">
        <v>0</v>
      </c>
      <c r="AT956" s="40">
        <f t="shared" ref="AT956" si="360">AQ956+AS956</f>
        <v>0</v>
      </c>
      <c r="AU956" s="18">
        <f>AJ956-AM956</f>
        <v>22000000</v>
      </c>
      <c r="AV956" s="133">
        <f>AM956-AP956</f>
        <v>0</v>
      </c>
      <c r="AW956" s="34">
        <f>AP956-AT956</f>
        <v>0</v>
      </c>
      <c r="AX956" s="123">
        <f>AP956/AJ956</f>
        <v>0</v>
      </c>
    </row>
    <row r="957" spans="1:50" ht="18.75" customHeight="1" x14ac:dyDescent="0.2">
      <c r="AA957" s="16"/>
      <c r="AB957" s="17"/>
      <c r="AC957" s="17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30"/>
      <c r="AU957" s="18"/>
      <c r="AV957" s="34"/>
      <c r="AW957" s="34"/>
      <c r="AX957" s="18"/>
    </row>
    <row r="958" spans="1:50" ht="18.75" customHeight="1" x14ac:dyDescent="0.2">
      <c r="AA958" s="16"/>
      <c r="AB958" s="29" t="s">
        <v>179</v>
      </c>
      <c r="AC958" s="17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30"/>
      <c r="AU958" s="18"/>
      <c r="AV958" s="34"/>
      <c r="AW958" s="34"/>
      <c r="AX958" s="18"/>
    </row>
    <row r="959" spans="1:50" ht="18.75" customHeight="1" x14ac:dyDescent="0.2">
      <c r="AA959" s="16"/>
      <c r="AB959" s="29" t="s">
        <v>181</v>
      </c>
      <c r="AC959" s="17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30"/>
      <c r="AU959" s="18"/>
      <c r="AV959" s="34"/>
      <c r="AW959" s="34"/>
      <c r="AX959" s="18"/>
    </row>
    <row r="960" spans="1:50" ht="25.5" x14ac:dyDescent="0.2">
      <c r="AA960" s="16"/>
      <c r="AB960" s="29" t="s">
        <v>183</v>
      </c>
      <c r="AC960" s="17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30"/>
      <c r="AU960" s="18"/>
      <c r="AV960" s="34"/>
      <c r="AW960" s="34"/>
      <c r="AX960" s="18"/>
    </row>
    <row r="961" spans="1:50" ht="18.75" customHeight="1" x14ac:dyDescent="0.2">
      <c r="AA961" s="28" t="s">
        <v>288</v>
      </c>
      <c r="AB961" s="29" t="s">
        <v>667</v>
      </c>
      <c r="AC961" s="17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30"/>
      <c r="AU961" s="18"/>
      <c r="AV961" s="34"/>
      <c r="AW961" s="34"/>
      <c r="AX961" s="18"/>
    </row>
    <row r="962" spans="1:50" ht="18.75" customHeight="1" x14ac:dyDescent="0.2">
      <c r="A962" s="4" t="s">
        <v>668</v>
      </c>
      <c r="B962" s="4" t="s">
        <v>669</v>
      </c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1" t="s">
        <v>670</v>
      </c>
      <c r="AB962" s="42" t="s">
        <v>233</v>
      </c>
      <c r="AC962" s="43" t="s">
        <v>58</v>
      </c>
      <c r="AD962" s="43">
        <v>1000000000</v>
      </c>
      <c r="AE962" s="44">
        <v>0</v>
      </c>
      <c r="AF962" s="44">
        <v>0</v>
      </c>
      <c r="AG962" s="44">
        <v>0</v>
      </c>
      <c r="AH962" s="43">
        <v>557151874</v>
      </c>
      <c r="AI962" s="43">
        <f>AE962-AF962+AG962-AH962</f>
        <v>-557151874</v>
      </c>
      <c r="AJ962" s="43">
        <f>AD962+AI962</f>
        <v>442848126</v>
      </c>
      <c r="AK962" s="44">
        <v>0</v>
      </c>
      <c r="AL962" s="44">
        <v>0</v>
      </c>
      <c r="AM962" s="44">
        <v>0</v>
      </c>
      <c r="AN962" s="44">
        <v>0</v>
      </c>
      <c r="AO962" s="44">
        <v>0</v>
      </c>
      <c r="AP962" s="44">
        <v>0</v>
      </c>
      <c r="AQ962" s="44">
        <v>0</v>
      </c>
      <c r="AR962" s="44">
        <v>0</v>
      </c>
      <c r="AS962" s="44">
        <v>0</v>
      </c>
      <c r="AT962" s="40">
        <f t="shared" ref="AT962" si="361">AQ962+AS962</f>
        <v>0</v>
      </c>
      <c r="AU962" s="18">
        <f>AJ962-AM962</f>
        <v>442848126</v>
      </c>
      <c r="AV962" s="133">
        <f>AM962-AP962</f>
        <v>0</v>
      </c>
      <c r="AW962" s="34">
        <f>AP962-AT962</f>
        <v>0</v>
      </c>
      <c r="AX962" s="123">
        <f>AP962/AJ962</f>
        <v>0</v>
      </c>
    </row>
    <row r="963" spans="1:50" ht="18.75" customHeight="1" x14ac:dyDescent="0.2">
      <c r="AA963" s="16"/>
      <c r="AB963" s="17"/>
      <c r="AC963" s="17"/>
      <c r="AD963" s="18"/>
      <c r="AE963" s="34"/>
      <c r="AF963" s="34"/>
      <c r="AG963" s="34"/>
      <c r="AH963" s="34"/>
      <c r="AI963" s="34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30"/>
      <c r="AU963" s="18"/>
      <c r="AV963" s="34"/>
      <c r="AW963" s="34"/>
      <c r="AX963" s="18"/>
    </row>
    <row r="964" spans="1:50" ht="25.5" x14ac:dyDescent="0.2">
      <c r="AA964" s="16"/>
      <c r="AB964" s="29" t="s">
        <v>637</v>
      </c>
      <c r="AC964" s="17"/>
      <c r="AD964" s="18"/>
      <c r="AE964" s="34"/>
      <c r="AF964" s="34"/>
      <c r="AG964" s="34"/>
      <c r="AH964" s="34"/>
      <c r="AI964" s="34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30"/>
      <c r="AU964" s="18"/>
      <c r="AV964" s="34"/>
      <c r="AW964" s="34"/>
      <c r="AX964" s="18"/>
    </row>
    <row r="965" spans="1:50" ht="18.75" customHeight="1" x14ac:dyDescent="0.2">
      <c r="AA965" s="28" t="s">
        <v>288</v>
      </c>
      <c r="AB965" s="29" t="s">
        <v>667</v>
      </c>
      <c r="AC965" s="17"/>
      <c r="AD965" s="18"/>
      <c r="AE965" s="34"/>
      <c r="AF965" s="34"/>
      <c r="AG965" s="34"/>
      <c r="AH965" s="34"/>
      <c r="AI965" s="34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30"/>
      <c r="AU965" s="18"/>
      <c r="AV965" s="34"/>
      <c r="AW965" s="34"/>
      <c r="AX965" s="18"/>
    </row>
    <row r="966" spans="1:50" ht="18.75" customHeight="1" x14ac:dyDescent="0.2">
      <c r="A966" s="4" t="s">
        <v>55</v>
      </c>
      <c r="B966" s="4" t="s">
        <v>56</v>
      </c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1" t="s">
        <v>671</v>
      </c>
      <c r="AB966" s="42" t="s">
        <v>233</v>
      </c>
      <c r="AC966" s="43" t="s">
        <v>58</v>
      </c>
      <c r="AD966" s="43">
        <v>856200000</v>
      </c>
      <c r="AE966" s="44">
        <v>0</v>
      </c>
      <c r="AF966" s="44">
        <v>0</v>
      </c>
      <c r="AG966" s="43">
        <v>368161663</v>
      </c>
      <c r="AH966" s="44">
        <v>0</v>
      </c>
      <c r="AI966" s="43">
        <f>AE966-AF966+AG966-AH966</f>
        <v>368161663</v>
      </c>
      <c r="AJ966" s="43">
        <f>AD966+AI966</f>
        <v>1224361663</v>
      </c>
      <c r="AK966" s="44">
        <v>0</v>
      </c>
      <c r="AL966" s="44">
        <v>0</v>
      </c>
      <c r="AM966" s="44">
        <v>0</v>
      </c>
      <c r="AN966" s="44">
        <v>0</v>
      </c>
      <c r="AO966" s="44">
        <v>0</v>
      </c>
      <c r="AP966" s="44">
        <v>0</v>
      </c>
      <c r="AQ966" s="44">
        <v>0</v>
      </c>
      <c r="AR966" s="44">
        <v>0</v>
      </c>
      <c r="AS966" s="44">
        <v>0</v>
      </c>
      <c r="AT966" s="40">
        <f t="shared" ref="AT966" si="362">AQ966+AS966</f>
        <v>0</v>
      </c>
      <c r="AU966" s="18">
        <f>AJ966-AM966</f>
        <v>1224361663</v>
      </c>
      <c r="AV966" s="133">
        <f>AM966-AP966</f>
        <v>0</v>
      </c>
      <c r="AW966" s="34">
        <f>AP966-AT966</f>
        <v>0</v>
      </c>
      <c r="AX966" s="123">
        <f>AP966/AJ966</f>
        <v>0</v>
      </c>
    </row>
    <row r="967" spans="1:50" ht="18.75" customHeight="1" x14ac:dyDescent="0.2">
      <c r="AA967" s="16"/>
      <c r="AB967" s="17"/>
      <c r="AC967" s="17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30"/>
      <c r="AU967" s="18"/>
      <c r="AV967" s="34"/>
      <c r="AW967" s="34"/>
      <c r="AX967" s="18"/>
    </row>
    <row r="968" spans="1:50" ht="18.75" customHeight="1" x14ac:dyDescent="0.2">
      <c r="AA968" s="16"/>
      <c r="AB968" s="29" t="s">
        <v>189</v>
      </c>
      <c r="AC968" s="17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30"/>
      <c r="AU968" s="18"/>
      <c r="AV968" s="34"/>
      <c r="AW968" s="34"/>
      <c r="AX968" s="18"/>
    </row>
    <row r="969" spans="1:50" ht="25.5" x14ac:dyDescent="0.2">
      <c r="AA969" s="16"/>
      <c r="AB969" s="29" t="s">
        <v>197</v>
      </c>
      <c r="AC969" s="17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30"/>
      <c r="AU969" s="18"/>
      <c r="AV969" s="34"/>
      <c r="AW969" s="34"/>
      <c r="AX969" s="18"/>
    </row>
    <row r="970" spans="1:50" ht="18.75" customHeight="1" x14ac:dyDescent="0.2">
      <c r="AA970" s="28" t="s">
        <v>288</v>
      </c>
      <c r="AB970" s="29" t="s">
        <v>667</v>
      </c>
      <c r="AC970" s="17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30"/>
      <c r="AU970" s="18"/>
      <c r="AV970" s="18"/>
      <c r="AW970" s="18"/>
      <c r="AX970" s="18"/>
    </row>
    <row r="971" spans="1:50" ht="18.75" customHeight="1" x14ac:dyDescent="0.2">
      <c r="A971" s="4" t="s">
        <v>55</v>
      </c>
      <c r="B971" s="4" t="s">
        <v>56</v>
      </c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1" t="s">
        <v>672</v>
      </c>
      <c r="AB971" s="42" t="s">
        <v>233</v>
      </c>
      <c r="AC971" s="43" t="s">
        <v>58</v>
      </c>
      <c r="AD971" s="43">
        <v>500000000</v>
      </c>
      <c r="AE971" s="44">
        <v>0</v>
      </c>
      <c r="AF971" s="44">
        <v>0</v>
      </c>
      <c r="AG971" s="44">
        <v>0</v>
      </c>
      <c r="AH971" s="44">
        <v>0</v>
      </c>
      <c r="AI971" s="44">
        <v>0</v>
      </c>
      <c r="AJ971" s="43">
        <v>500000000</v>
      </c>
      <c r="AK971" s="44">
        <v>0</v>
      </c>
      <c r="AL971" s="43">
        <v>70701511</v>
      </c>
      <c r="AM971" s="43">
        <v>231701511</v>
      </c>
      <c r="AN971" s="44">
        <v>0</v>
      </c>
      <c r="AO971" s="44">
        <v>0</v>
      </c>
      <c r="AP971" s="114">
        <v>161000000</v>
      </c>
      <c r="AQ971" s="43">
        <v>17833333</v>
      </c>
      <c r="AR971" s="43">
        <v>13700000</v>
      </c>
      <c r="AS971" s="43">
        <v>45400000</v>
      </c>
      <c r="AT971" s="111">
        <f t="shared" ref="AT971:AT973" si="363">AQ971+AS971</f>
        <v>63233333</v>
      </c>
      <c r="AU971" s="18">
        <f>AJ971-AM971</f>
        <v>268298489</v>
      </c>
      <c r="AV971" s="18">
        <f>AM971-AP971</f>
        <v>70701511</v>
      </c>
      <c r="AW971" s="18">
        <f>AP971-AT971</f>
        <v>97766667</v>
      </c>
      <c r="AX971" s="123">
        <f>AP971/AJ971</f>
        <v>0.32200000000000001</v>
      </c>
    </row>
    <row r="972" spans="1:50" ht="28.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1" t="s">
        <v>1113</v>
      </c>
      <c r="AB972" s="42" t="s">
        <v>1114</v>
      </c>
      <c r="AC972" s="43"/>
      <c r="AD972" s="44">
        <v>0</v>
      </c>
      <c r="AE972" s="43">
        <v>116018634.52</v>
      </c>
      <c r="AF972" s="44">
        <v>0</v>
      </c>
      <c r="AG972" s="44">
        <v>0</v>
      </c>
      <c r="AH972" s="44">
        <v>0</v>
      </c>
      <c r="AI972" s="43">
        <f t="shared" ref="AI972:AI973" si="364">AE972-AF972+AG972-AH972</f>
        <v>116018634.52</v>
      </c>
      <c r="AJ972" s="43">
        <f t="shared" ref="AJ972:AJ973" si="365">AD972+AI972</f>
        <v>116018634.52</v>
      </c>
      <c r="AK972" s="44">
        <v>0</v>
      </c>
      <c r="AL972" s="44">
        <v>0</v>
      </c>
      <c r="AM972" s="44">
        <v>0</v>
      </c>
      <c r="AN972" s="44">
        <v>0</v>
      </c>
      <c r="AO972" s="44">
        <v>0</v>
      </c>
      <c r="AP972" s="115">
        <v>0</v>
      </c>
      <c r="AQ972" s="44">
        <v>0</v>
      </c>
      <c r="AR972" s="44">
        <v>0</v>
      </c>
      <c r="AS972" s="44">
        <v>0</v>
      </c>
      <c r="AT972" s="135">
        <f t="shared" si="363"/>
        <v>0</v>
      </c>
      <c r="AU972" s="18">
        <f>AJ972-AM972</f>
        <v>116018634.52</v>
      </c>
      <c r="AV972" s="133">
        <f>AM972-AP972</f>
        <v>0</v>
      </c>
      <c r="AW972" s="34">
        <f>AP972-AT972</f>
        <v>0</v>
      </c>
      <c r="AX972" s="123">
        <f>AP972/AJ972</f>
        <v>0</v>
      </c>
    </row>
    <row r="973" spans="1:50" ht="25.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1" t="s">
        <v>1115</v>
      </c>
      <c r="AB973" s="42" t="s">
        <v>1044</v>
      </c>
      <c r="AC973" s="43"/>
      <c r="AD973" s="44">
        <v>0</v>
      </c>
      <c r="AE973" s="43">
        <v>90000000</v>
      </c>
      <c r="AF973" s="44">
        <v>0</v>
      </c>
      <c r="AG973" s="44">
        <v>0</v>
      </c>
      <c r="AH973" s="44">
        <v>0</v>
      </c>
      <c r="AI973" s="43">
        <f t="shared" si="364"/>
        <v>90000000</v>
      </c>
      <c r="AJ973" s="43">
        <f t="shared" si="365"/>
        <v>90000000</v>
      </c>
      <c r="AK973" s="44">
        <v>0</v>
      </c>
      <c r="AL973" s="44">
        <v>0</v>
      </c>
      <c r="AM973" s="44">
        <v>0</v>
      </c>
      <c r="AN973" s="44">
        <v>0</v>
      </c>
      <c r="AO973" s="44">
        <v>0</v>
      </c>
      <c r="AP973" s="115">
        <v>0</v>
      </c>
      <c r="AQ973" s="44">
        <v>0</v>
      </c>
      <c r="AR973" s="44">
        <v>0</v>
      </c>
      <c r="AS973" s="44">
        <v>0</v>
      </c>
      <c r="AT973" s="135">
        <f t="shared" si="363"/>
        <v>0</v>
      </c>
      <c r="AU973" s="18">
        <f>AJ973-AM973</f>
        <v>90000000</v>
      </c>
      <c r="AV973" s="133">
        <f>AM973-AP973</f>
        <v>0</v>
      </c>
      <c r="AW973" s="34">
        <f>AP973-AT973</f>
        <v>0</v>
      </c>
      <c r="AX973" s="123">
        <f>AP973/AJ973</f>
        <v>0</v>
      </c>
    </row>
    <row r="974" spans="1:50" ht="18.75" customHeight="1" x14ac:dyDescent="0.2">
      <c r="AA974" s="16"/>
      <c r="AB974" s="17"/>
      <c r="AC974" s="17"/>
      <c r="AD974" s="18"/>
      <c r="AE974" s="34"/>
      <c r="AF974" s="34"/>
      <c r="AG974" s="34"/>
      <c r="AH974" s="34"/>
      <c r="AI974" s="34"/>
      <c r="AJ974" s="18"/>
      <c r="AK974" s="18"/>
      <c r="AL974" s="18"/>
      <c r="AM974" s="18"/>
      <c r="AN974" s="18"/>
      <c r="AO974" s="18"/>
      <c r="AP974" s="18"/>
      <c r="AQ974" s="34"/>
      <c r="AR974" s="34"/>
      <c r="AS974" s="34"/>
      <c r="AT974" s="31"/>
      <c r="AU974" s="18"/>
      <c r="AV974" s="18"/>
      <c r="AW974" s="18"/>
      <c r="AX974" s="18"/>
    </row>
    <row r="975" spans="1:50" ht="18.75" customHeight="1" x14ac:dyDescent="0.2">
      <c r="AA975" s="16"/>
      <c r="AB975" s="29" t="s">
        <v>199</v>
      </c>
      <c r="AC975" s="17"/>
      <c r="AD975" s="18"/>
      <c r="AE975" s="34"/>
      <c r="AF975" s="34"/>
      <c r="AG975" s="34"/>
      <c r="AH975" s="34"/>
      <c r="AI975" s="34"/>
      <c r="AJ975" s="18"/>
      <c r="AK975" s="18"/>
      <c r="AL975" s="18"/>
      <c r="AM975" s="18"/>
      <c r="AN975" s="18"/>
      <c r="AO975" s="18"/>
      <c r="AP975" s="18"/>
      <c r="AQ975" s="34"/>
      <c r="AR975" s="34"/>
      <c r="AS975" s="34"/>
      <c r="AT975" s="31"/>
      <c r="AU975" s="18"/>
      <c r="AV975" s="18"/>
      <c r="AW975" s="18"/>
      <c r="AX975" s="18"/>
    </row>
    <row r="976" spans="1:50" ht="18.75" customHeight="1" x14ac:dyDescent="0.2">
      <c r="AA976" s="28" t="s">
        <v>288</v>
      </c>
      <c r="AB976" s="29" t="s">
        <v>667</v>
      </c>
      <c r="AC976" s="17"/>
      <c r="AD976" s="18"/>
      <c r="AE976" s="34"/>
      <c r="AF976" s="34"/>
      <c r="AG976" s="34"/>
      <c r="AH976" s="34"/>
      <c r="AI976" s="34"/>
      <c r="AJ976" s="18"/>
      <c r="AK976" s="18"/>
      <c r="AL976" s="18"/>
      <c r="AM976" s="18"/>
      <c r="AN976" s="18"/>
      <c r="AO976" s="18"/>
      <c r="AP976" s="18"/>
      <c r="AQ976" s="34"/>
      <c r="AR976" s="34"/>
      <c r="AS976" s="34"/>
      <c r="AT976" s="31"/>
      <c r="AU976" s="18"/>
      <c r="AV976" s="18"/>
      <c r="AW976" s="18"/>
      <c r="AX976" s="18"/>
    </row>
    <row r="977" spans="1:50" ht="18.75" customHeight="1" x14ac:dyDescent="0.2">
      <c r="A977" s="4" t="s">
        <v>55</v>
      </c>
      <c r="B977" s="4" t="s">
        <v>56</v>
      </c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1" t="s">
        <v>673</v>
      </c>
      <c r="AB977" s="42" t="s">
        <v>233</v>
      </c>
      <c r="AC977" s="43" t="s">
        <v>58</v>
      </c>
      <c r="AD977" s="43">
        <v>121800000</v>
      </c>
      <c r="AE977" s="44">
        <v>0</v>
      </c>
      <c r="AF977" s="44">
        <v>0</v>
      </c>
      <c r="AG977" s="44">
        <v>0</v>
      </c>
      <c r="AH977" s="44">
        <v>0</v>
      </c>
      <c r="AI977" s="44">
        <v>0</v>
      </c>
      <c r="AJ977" s="43">
        <v>121800000</v>
      </c>
      <c r="AK977" s="44">
        <v>0</v>
      </c>
      <c r="AL977" s="43">
        <v>3150000</v>
      </c>
      <c r="AM977" s="43">
        <v>18900000</v>
      </c>
      <c r="AN977" s="43">
        <v>0</v>
      </c>
      <c r="AO977" s="43">
        <v>3150000</v>
      </c>
      <c r="AP977" s="43">
        <v>18900000</v>
      </c>
      <c r="AQ977" s="43">
        <v>0</v>
      </c>
      <c r="AR977" s="43">
        <v>3150000</v>
      </c>
      <c r="AS977" s="43">
        <v>18900000</v>
      </c>
      <c r="AT977" s="39">
        <f t="shared" ref="AT977" si="366">AQ977+AS977</f>
        <v>18900000</v>
      </c>
      <c r="AU977" s="18">
        <f>AJ977-AM977</f>
        <v>102900000</v>
      </c>
      <c r="AV977" s="133">
        <f>AM977-AP977</f>
        <v>0</v>
      </c>
      <c r="AW977" s="34">
        <f>AP977-AT977</f>
        <v>0</v>
      </c>
      <c r="AX977" s="123">
        <f>AP977/AJ977</f>
        <v>0.15517241379310345</v>
      </c>
    </row>
    <row r="978" spans="1:50" ht="18.75" customHeight="1" x14ac:dyDescent="0.2">
      <c r="AA978" s="16"/>
      <c r="AB978" s="17"/>
      <c r="AC978" s="17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34"/>
      <c r="AR978" s="34"/>
      <c r="AS978" s="34"/>
      <c r="AT978" s="31"/>
      <c r="AU978" s="18"/>
      <c r="AV978" s="18"/>
      <c r="AW978" s="18"/>
      <c r="AX978" s="18"/>
    </row>
    <row r="979" spans="1:50" s="50" customFormat="1" ht="18.75" customHeight="1" x14ac:dyDescent="0.2"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46"/>
      <c r="AB979" s="47" t="s">
        <v>674</v>
      </c>
      <c r="AC979" s="47"/>
      <c r="AD979" s="48">
        <f t="shared" ref="AD979:AS979" si="367">SUM(AD775:AD978)</f>
        <v>18199312591</v>
      </c>
      <c r="AE979" s="48">
        <f t="shared" si="367"/>
        <v>18620925441.970001</v>
      </c>
      <c r="AF979" s="49">
        <f t="shared" si="367"/>
        <v>0</v>
      </c>
      <c r="AG979" s="48">
        <f t="shared" si="367"/>
        <v>9730834425.5100002</v>
      </c>
      <c r="AH979" s="48">
        <f t="shared" si="367"/>
        <v>9430834425.5100002</v>
      </c>
      <c r="AI979" s="48">
        <f t="shared" si="367"/>
        <v>18920925441.970001</v>
      </c>
      <c r="AJ979" s="48">
        <f t="shared" si="367"/>
        <v>37120238032.969994</v>
      </c>
      <c r="AK979" s="49">
        <f t="shared" si="367"/>
        <v>0</v>
      </c>
      <c r="AL979" s="48">
        <f t="shared" si="367"/>
        <v>2554403868.04</v>
      </c>
      <c r="AM979" s="48">
        <f t="shared" si="367"/>
        <v>11284185761.42</v>
      </c>
      <c r="AN979" s="49">
        <f t="shared" si="367"/>
        <v>15833333.33</v>
      </c>
      <c r="AO979" s="48">
        <f t="shared" si="367"/>
        <v>1384204355.3400002</v>
      </c>
      <c r="AP979" s="48">
        <f t="shared" si="367"/>
        <v>8364494602.1000004</v>
      </c>
      <c r="AQ979" s="121">
        <f t="shared" si="367"/>
        <v>775377443.77999997</v>
      </c>
      <c r="AR979" s="121">
        <f t="shared" si="367"/>
        <v>507395931.81</v>
      </c>
      <c r="AS979" s="121">
        <f t="shared" si="367"/>
        <v>1780354721.8100002</v>
      </c>
      <c r="AT979" s="108">
        <f>AQ979+AS979</f>
        <v>2555732165.5900002</v>
      </c>
      <c r="AU979" s="48">
        <f>SUM(AU775:AU978)</f>
        <v>25836052271.549995</v>
      </c>
      <c r="AV979" s="48">
        <f>SUM(AV775:AV978)</f>
        <v>2919691159.3199997</v>
      </c>
      <c r="AW979" s="48">
        <f>SUM(AW775:AW978)</f>
        <v>5808762436.5100002</v>
      </c>
      <c r="AX979" s="24">
        <f>AP979/AJ979</f>
        <v>0.22533515530451884</v>
      </c>
    </row>
    <row r="980" spans="1:50" s="79" customFormat="1" ht="18.75" customHeight="1" x14ac:dyDescent="0.2"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  <c r="AA980" s="81"/>
      <c r="AB980" s="82"/>
      <c r="AC980" s="82"/>
      <c r="AD980" s="83"/>
      <c r="AE980" s="83"/>
      <c r="AF980" s="83"/>
      <c r="AG980" s="83"/>
      <c r="AH980" s="83"/>
      <c r="AI980" s="83"/>
      <c r="AJ980" s="83"/>
      <c r="AK980" s="83"/>
      <c r="AL980" s="83"/>
      <c r="AM980" s="83"/>
      <c r="AN980" s="83"/>
      <c r="AO980" s="83"/>
      <c r="AP980" s="83"/>
      <c r="AQ980" s="83"/>
      <c r="AR980" s="83"/>
      <c r="AS980" s="83"/>
      <c r="AT980" s="83"/>
      <c r="AU980" s="83"/>
      <c r="AV980" s="83"/>
      <c r="AW980" s="83"/>
      <c r="AX980" s="83"/>
    </row>
    <row r="981" spans="1:50" s="25" customFormat="1" ht="18.75" customHeight="1" x14ac:dyDescent="0.2"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66"/>
      <c r="AB981" s="21" t="s">
        <v>675</v>
      </c>
      <c r="AC981" s="67"/>
      <c r="AD981" s="63"/>
      <c r="AE981" s="63"/>
      <c r="AF981" s="63"/>
      <c r="AG981" s="63"/>
      <c r="AH981" s="63"/>
      <c r="AI981" s="63"/>
      <c r="AJ981" s="63"/>
      <c r="AK981" s="63"/>
      <c r="AL981" s="63"/>
      <c r="AM981" s="63"/>
      <c r="AN981" s="63"/>
      <c r="AO981" s="63"/>
      <c r="AP981" s="63"/>
      <c r="AQ981" s="63"/>
      <c r="AR981" s="63"/>
      <c r="AS981" s="63"/>
      <c r="AT981" s="63"/>
      <c r="AU981" s="63"/>
      <c r="AV981" s="63"/>
      <c r="AW981" s="63"/>
      <c r="AX981" s="63"/>
    </row>
    <row r="982" spans="1:50" ht="18.75" customHeight="1" x14ac:dyDescent="0.2">
      <c r="AA982" s="16"/>
      <c r="AB982" s="29" t="s">
        <v>676</v>
      </c>
      <c r="AC982" s="17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</row>
    <row r="983" spans="1:50" ht="18.75" customHeight="1" x14ac:dyDescent="0.2">
      <c r="AA983" s="16"/>
      <c r="AB983" s="29" t="s">
        <v>286</v>
      </c>
      <c r="AC983" s="17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</row>
    <row r="984" spans="1:50" ht="18.75" customHeight="1" x14ac:dyDescent="0.2">
      <c r="AA984" s="16"/>
      <c r="AB984" s="29" t="s">
        <v>179</v>
      </c>
      <c r="AC984" s="17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</row>
    <row r="985" spans="1:50" ht="18.75" customHeight="1" x14ac:dyDescent="0.2">
      <c r="AA985" s="16"/>
      <c r="AB985" s="29" t="s">
        <v>181</v>
      </c>
      <c r="AC985" s="17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</row>
    <row r="986" spans="1:50" ht="18.75" customHeight="1" x14ac:dyDescent="0.2">
      <c r="AA986" s="16"/>
      <c r="AB986" s="29" t="s">
        <v>187</v>
      </c>
      <c r="AC986" s="17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30"/>
      <c r="AU986" s="18"/>
      <c r="AV986" s="18"/>
      <c r="AW986" s="18"/>
      <c r="AX986" s="18"/>
    </row>
    <row r="987" spans="1:50" ht="18.75" customHeight="1" x14ac:dyDescent="0.2">
      <c r="AA987" s="28" t="s">
        <v>288</v>
      </c>
      <c r="AB987" s="29" t="s">
        <v>292</v>
      </c>
      <c r="AC987" s="17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30"/>
      <c r="AU987" s="18"/>
      <c r="AV987" s="18"/>
      <c r="AW987" s="18"/>
      <c r="AX987" s="18"/>
    </row>
    <row r="988" spans="1:50" ht="18.75" customHeight="1" x14ac:dyDescent="0.2">
      <c r="A988" s="4" t="s">
        <v>55</v>
      </c>
      <c r="B988" s="4" t="s">
        <v>56</v>
      </c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1" t="s">
        <v>677</v>
      </c>
      <c r="AB988" s="42" t="s">
        <v>233</v>
      </c>
      <c r="AC988" s="43" t="s">
        <v>58</v>
      </c>
      <c r="AD988" s="43">
        <v>10000000</v>
      </c>
      <c r="AE988" s="44">
        <v>0</v>
      </c>
      <c r="AF988" s="44">
        <v>0</v>
      </c>
      <c r="AG988" s="44">
        <v>0</v>
      </c>
      <c r="AH988" s="44">
        <v>0</v>
      </c>
      <c r="AI988" s="44">
        <v>0</v>
      </c>
      <c r="AJ988" s="43">
        <v>10000000</v>
      </c>
      <c r="AK988" s="44">
        <v>0</v>
      </c>
      <c r="AL988" s="44">
        <v>0</v>
      </c>
      <c r="AM988" s="44">
        <v>0</v>
      </c>
      <c r="AN988" s="44">
        <v>0</v>
      </c>
      <c r="AO988" s="44">
        <v>0</v>
      </c>
      <c r="AP988" s="44">
        <v>0</v>
      </c>
      <c r="AQ988" s="44">
        <v>0</v>
      </c>
      <c r="AR988" s="44">
        <v>0</v>
      </c>
      <c r="AS988" s="44">
        <v>0</v>
      </c>
      <c r="AT988" s="40">
        <f t="shared" ref="AT988" si="368">AQ988+AS988</f>
        <v>0</v>
      </c>
      <c r="AU988" s="18">
        <f>AJ988-AM988</f>
        <v>10000000</v>
      </c>
      <c r="AV988" s="133">
        <f>AM988-AP988</f>
        <v>0</v>
      </c>
      <c r="AW988" s="34">
        <f>AP988-AT988</f>
        <v>0</v>
      </c>
      <c r="AX988" s="123">
        <f>AP988/AJ988</f>
        <v>0</v>
      </c>
    </row>
    <row r="989" spans="1:50" ht="25.5" x14ac:dyDescent="0.2">
      <c r="AA989" s="28" t="s">
        <v>288</v>
      </c>
      <c r="AB989" s="29" t="s">
        <v>678</v>
      </c>
      <c r="AC989" s="17"/>
      <c r="AD989" s="18"/>
      <c r="AE989" s="18"/>
      <c r="AF989" s="18"/>
      <c r="AG989" s="18"/>
      <c r="AH989" s="18"/>
      <c r="AI989" s="18"/>
      <c r="AJ989" s="18"/>
      <c r="AK989" s="34"/>
      <c r="AL989" s="34"/>
      <c r="AM989" s="34"/>
      <c r="AN989" s="34"/>
      <c r="AO989" s="34"/>
      <c r="AP989" s="34"/>
      <c r="AQ989" s="34"/>
      <c r="AR989" s="34"/>
      <c r="AS989" s="34"/>
      <c r="AT989" s="40"/>
      <c r="AU989" s="18"/>
      <c r="AV989" s="34"/>
      <c r="AW989" s="34"/>
      <c r="AX989" s="18"/>
    </row>
    <row r="990" spans="1:50" x14ac:dyDescent="0.2">
      <c r="A990" s="4" t="s">
        <v>55</v>
      </c>
      <c r="B990" s="4" t="s">
        <v>56</v>
      </c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1" t="s">
        <v>981</v>
      </c>
      <c r="AB990" s="42" t="s">
        <v>233</v>
      </c>
      <c r="AC990" s="43" t="s">
        <v>58</v>
      </c>
      <c r="AD990" s="43">
        <v>14000000</v>
      </c>
      <c r="AE990" s="44">
        <v>0</v>
      </c>
      <c r="AF990" s="44">
        <v>0</v>
      </c>
      <c r="AG990" s="44">
        <v>0</v>
      </c>
      <c r="AH990" s="44">
        <v>0</v>
      </c>
      <c r="AI990" s="44">
        <v>0</v>
      </c>
      <c r="AJ990" s="43">
        <v>14000000</v>
      </c>
      <c r="AK990" s="44">
        <v>0</v>
      </c>
      <c r="AL990" s="44">
        <v>0</v>
      </c>
      <c r="AM990" s="44">
        <v>0</v>
      </c>
      <c r="AN990" s="44">
        <v>0</v>
      </c>
      <c r="AO990" s="44">
        <v>0</v>
      </c>
      <c r="AP990" s="44">
        <v>0</v>
      </c>
      <c r="AQ990" s="44">
        <v>0</v>
      </c>
      <c r="AR990" s="44">
        <v>0</v>
      </c>
      <c r="AS990" s="44">
        <v>0</v>
      </c>
      <c r="AT990" s="40">
        <f t="shared" ref="AT990:AT1014" si="369">AQ990+AS990</f>
        <v>0</v>
      </c>
      <c r="AU990" s="18">
        <f>AJ990-AM990</f>
        <v>14000000</v>
      </c>
      <c r="AV990" s="133">
        <f>AM990-AP990</f>
        <v>0</v>
      </c>
      <c r="AW990" s="34">
        <f>AP990-AT990</f>
        <v>0</v>
      </c>
      <c r="AX990" s="123">
        <f>AP990/AJ990</f>
        <v>0</v>
      </c>
    </row>
    <row r="991" spans="1:50" x14ac:dyDescent="0.2">
      <c r="AA991" s="16"/>
      <c r="AB991" s="17"/>
      <c r="AC991" s="17"/>
      <c r="AD991" s="18"/>
      <c r="AE991" s="34"/>
      <c r="AF991" s="34"/>
      <c r="AG991" s="34"/>
      <c r="AH991" s="34"/>
      <c r="AI991" s="34"/>
      <c r="AJ991" s="18"/>
      <c r="AK991" s="34"/>
      <c r="AL991" s="34"/>
      <c r="AM991" s="34"/>
      <c r="AN991" s="34"/>
      <c r="AO991" s="34"/>
      <c r="AP991" s="34"/>
      <c r="AQ991" s="18"/>
      <c r="AR991" s="18"/>
      <c r="AS991" s="18"/>
      <c r="AT991" s="30"/>
      <c r="AU991" s="18"/>
      <c r="AV991" s="18"/>
      <c r="AW991" s="18"/>
      <c r="AX991" s="18"/>
    </row>
    <row r="992" spans="1:50" x14ac:dyDescent="0.2">
      <c r="AA992" s="16"/>
      <c r="AB992" s="29" t="s">
        <v>189</v>
      </c>
      <c r="AC992" s="17"/>
      <c r="AD992" s="18"/>
      <c r="AE992" s="34"/>
      <c r="AF992" s="34"/>
      <c r="AG992" s="34"/>
      <c r="AH992" s="34"/>
      <c r="AI992" s="34"/>
      <c r="AJ992" s="18"/>
      <c r="AK992" s="34"/>
      <c r="AL992" s="34"/>
      <c r="AM992" s="34"/>
      <c r="AN992" s="34"/>
      <c r="AO992" s="34"/>
      <c r="AP992" s="34"/>
      <c r="AQ992" s="18"/>
      <c r="AR992" s="18"/>
      <c r="AS992" s="18"/>
      <c r="AT992" s="30"/>
      <c r="AU992" s="18"/>
      <c r="AV992" s="18"/>
      <c r="AW992" s="18"/>
      <c r="AX992" s="18"/>
    </row>
    <row r="993" spans="1:50" ht="25.5" x14ac:dyDescent="0.2">
      <c r="AA993" s="16"/>
      <c r="AB993" s="29" t="s">
        <v>197</v>
      </c>
      <c r="AC993" s="17"/>
      <c r="AD993" s="18"/>
      <c r="AE993" s="34"/>
      <c r="AF993" s="34"/>
      <c r="AG993" s="34"/>
      <c r="AH993" s="34"/>
      <c r="AI993" s="34"/>
      <c r="AJ993" s="18"/>
      <c r="AK993" s="34"/>
      <c r="AL993" s="34"/>
      <c r="AM993" s="34"/>
      <c r="AN993" s="34"/>
      <c r="AO993" s="34"/>
      <c r="AP993" s="34"/>
      <c r="AQ993" s="18"/>
      <c r="AR993" s="18"/>
      <c r="AS993" s="18"/>
      <c r="AT993" s="30"/>
      <c r="AU993" s="18"/>
      <c r="AV993" s="18"/>
      <c r="AW993" s="18"/>
      <c r="AX993" s="18"/>
    </row>
    <row r="994" spans="1:50" x14ac:dyDescent="0.2">
      <c r="AA994" s="28" t="s">
        <v>288</v>
      </c>
      <c r="AB994" s="29" t="s">
        <v>292</v>
      </c>
      <c r="AC994" s="17"/>
      <c r="AD994" s="18"/>
      <c r="AE994" s="34"/>
      <c r="AF994" s="34"/>
      <c r="AG994" s="34"/>
      <c r="AH994" s="34"/>
      <c r="AI994" s="34"/>
      <c r="AJ994" s="18"/>
      <c r="AK994" s="34"/>
      <c r="AL994" s="34"/>
      <c r="AM994" s="34"/>
      <c r="AN994" s="34"/>
      <c r="AO994" s="34"/>
      <c r="AP994" s="34"/>
      <c r="AQ994" s="18"/>
      <c r="AR994" s="18"/>
      <c r="AS994" s="18"/>
      <c r="AT994" s="30"/>
      <c r="AU994" s="18"/>
      <c r="AV994" s="18"/>
      <c r="AW994" s="18"/>
      <c r="AX994" s="18"/>
    </row>
    <row r="995" spans="1:50" x14ac:dyDescent="0.2">
      <c r="A995" s="4" t="s">
        <v>55</v>
      </c>
      <c r="B995" s="4" t="s">
        <v>56</v>
      </c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1" t="s">
        <v>680</v>
      </c>
      <c r="AB995" s="42" t="s">
        <v>233</v>
      </c>
      <c r="AC995" s="43" t="s">
        <v>58</v>
      </c>
      <c r="AD995" s="43">
        <v>90000000</v>
      </c>
      <c r="AE995" s="44">
        <v>0</v>
      </c>
      <c r="AF995" s="44">
        <v>0</v>
      </c>
      <c r="AG995" s="44">
        <v>0</v>
      </c>
      <c r="AH995" s="44">
        <v>0</v>
      </c>
      <c r="AI995" s="44">
        <v>0</v>
      </c>
      <c r="AJ995" s="43">
        <v>90000000</v>
      </c>
      <c r="AK995" s="44">
        <v>0</v>
      </c>
      <c r="AL995" s="44">
        <v>0</v>
      </c>
      <c r="AM995" s="44">
        <v>0</v>
      </c>
      <c r="AN995" s="44">
        <v>0</v>
      </c>
      <c r="AO995" s="44">
        <v>0</v>
      </c>
      <c r="AP995" s="44">
        <v>0</v>
      </c>
      <c r="AQ995" s="44">
        <v>0</v>
      </c>
      <c r="AR995" s="44">
        <v>0</v>
      </c>
      <c r="AS995" s="44">
        <v>0</v>
      </c>
      <c r="AT995" s="40">
        <f t="shared" ref="AT995" si="370">AQ995+AS995</f>
        <v>0</v>
      </c>
      <c r="AU995" s="18">
        <f>AJ995-AM995</f>
        <v>90000000</v>
      </c>
      <c r="AV995" s="133">
        <f>AM995-AP995</f>
        <v>0</v>
      </c>
      <c r="AW995" s="34">
        <f>AP995-AT995</f>
        <v>0</v>
      </c>
      <c r="AX995" s="123">
        <f>AP995/AJ995</f>
        <v>0</v>
      </c>
    </row>
    <row r="996" spans="1:50" ht="25.5" x14ac:dyDescent="0.2">
      <c r="AA996" s="28" t="s">
        <v>288</v>
      </c>
      <c r="AB996" s="29" t="s">
        <v>678</v>
      </c>
      <c r="AC996" s="17"/>
      <c r="AD996" s="18"/>
      <c r="AE996" s="34"/>
      <c r="AF996" s="34"/>
      <c r="AG996" s="34"/>
      <c r="AH996" s="34"/>
      <c r="AI996" s="34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30"/>
      <c r="AU996" s="18"/>
      <c r="AV996" s="18"/>
      <c r="AW996" s="18"/>
      <c r="AX996" s="18"/>
    </row>
    <row r="997" spans="1:50" x14ac:dyDescent="0.2">
      <c r="A997" s="4" t="s">
        <v>55</v>
      </c>
      <c r="B997" s="4" t="s">
        <v>56</v>
      </c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1" t="s">
        <v>681</v>
      </c>
      <c r="AB997" s="42" t="s">
        <v>233</v>
      </c>
      <c r="AC997" s="43" t="s">
        <v>58</v>
      </c>
      <c r="AD997" s="43">
        <v>4085500000</v>
      </c>
      <c r="AE997" s="44">
        <v>0</v>
      </c>
      <c r="AF997" s="44">
        <v>0</v>
      </c>
      <c r="AG997" s="43">
        <v>2080000000</v>
      </c>
      <c r="AH997" s="43">
        <f>1800000000+1856300000</f>
        <v>3656300000</v>
      </c>
      <c r="AI997" s="43">
        <f>AE997-AF997+AG997-AH997</f>
        <v>-1576300000</v>
      </c>
      <c r="AJ997" s="43">
        <f>AD997+AI997</f>
        <v>2509200000</v>
      </c>
      <c r="AK997" s="44">
        <v>0</v>
      </c>
      <c r="AL997" s="43">
        <v>61700000</v>
      </c>
      <c r="AM997" s="43">
        <v>1155060000</v>
      </c>
      <c r="AN997" s="43">
        <v>0</v>
      </c>
      <c r="AO997" s="43">
        <v>89450000</v>
      </c>
      <c r="AP997" s="43">
        <v>1127560000</v>
      </c>
      <c r="AQ997" s="43">
        <v>141300000</v>
      </c>
      <c r="AR997" s="43">
        <v>116800000</v>
      </c>
      <c r="AS997" s="43">
        <v>419989999</v>
      </c>
      <c r="AT997" s="111">
        <f t="shared" ref="AT997" si="371">AQ997+AS997</f>
        <v>561289999</v>
      </c>
      <c r="AU997" s="18">
        <f>AJ997-AM997</f>
        <v>1354140000</v>
      </c>
      <c r="AV997" s="110">
        <f>AM997-AP997</f>
        <v>27500000</v>
      </c>
      <c r="AW997" s="18">
        <f>AP997-AT997</f>
        <v>566270001</v>
      </c>
      <c r="AX997" s="123">
        <f>AP997/AJ997</f>
        <v>0.44937031723258408</v>
      </c>
    </row>
    <row r="998" spans="1:50" ht="25.5" x14ac:dyDescent="0.2">
      <c r="AA998" s="28" t="s">
        <v>288</v>
      </c>
      <c r="AB998" s="29" t="s">
        <v>682</v>
      </c>
      <c r="AC998" s="17"/>
      <c r="AD998" s="18"/>
      <c r="AE998" s="34"/>
      <c r="AF998" s="34"/>
      <c r="AG998" s="34"/>
      <c r="AH998" s="34"/>
      <c r="AI998" s="34"/>
      <c r="AJ998" s="18"/>
      <c r="AK998" s="34"/>
      <c r="AL998" s="18"/>
      <c r="AM998" s="18"/>
      <c r="AN998" s="18"/>
      <c r="AO998" s="18"/>
      <c r="AP998" s="18"/>
      <c r="AQ998" s="18"/>
      <c r="AR998" s="18"/>
      <c r="AS998" s="18"/>
      <c r="AT998" s="31"/>
      <c r="AU998" s="18"/>
      <c r="AV998" s="18"/>
      <c r="AW998" s="18"/>
      <c r="AX998" s="18"/>
    </row>
    <row r="999" spans="1:50" x14ac:dyDescent="0.2">
      <c r="A999" s="4" t="s">
        <v>55</v>
      </c>
      <c r="B999" s="4" t="s">
        <v>56</v>
      </c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1" t="s">
        <v>683</v>
      </c>
      <c r="AB999" s="42" t="s">
        <v>233</v>
      </c>
      <c r="AC999" s="43" t="s">
        <v>58</v>
      </c>
      <c r="AD999" s="43">
        <v>467600000</v>
      </c>
      <c r="AE999" s="44">
        <v>0</v>
      </c>
      <c r="AF999" s="44">
        <v>0</v>
      </c>
      <c r="AG999" s="43">
        <v>2580000000</v>
      </c>
      <c r="AH999" s="43">
        <v>2240000000</v>
      </c>
      <c r="AI999" s="43">
        <f>AE999-AF999+AG999-AH999</f>
        <v>340000000</v>
      </c>
      <c r="AJ999" s="43">
        <f>AD999+AI999</f>
        <v>807600000</v>
      </c>
      <c r="AK999" s="44">
        <v>0</v>
      </c>
      <c r="AL999" s="44">
        <v>96750000</v>
      </c>
      <c r="AM999" s="43">
        <v>552800000</v>
      </c>
      <c r="AN999" s="44">
        <v>0</v>
      </c>
      <c r="AO999" s="44">
        <v>96750000</v>
      </c>
      <c r="AP999" s="43">
        <v>493300000</v>
      </c>
      <c r="AQ999" s="43">
        <v>74800000</v>
      </c>
      <c r="AR999" s="43">
        <v>54300000</v>
      </c>
      <c r="AS999" s="43">
        <v>199900000</v>
      </c>
      <c r="AT999" s="111">
        <f t="shared" ref="AT999" si="372">AQ999+AS999</f>
        <v>274700000</v>
      </c>
      <c r="AU999" s="18">
        <f>AJ999-AM999</f>
        <v>254800000</v>
      </c>
      <c r="AV999" s="110">
        <f>AM999-AP999</f>
        <v>59500000</v>
      </c>
      <c r="AW999" s="18">
        <f>AP999-AT999</f>
        <v>218600000</v>
      </c>
      <c r="AX999" s="123">
        <f>AP999/AJ999</f>
        <v>0.61082218920257558</v>
      </c>
    </row>
    <row r="1000" spans="1:50" ht="25.5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73" t="s">
        <v>288</v>
      </c>
      <c r="AB1000" s="74" t="s">
        <v>197</v>
      </c>
      <c r="AC1000" s="43"/>
      <c r="AD1000" s="43"/>
      <c r="AE1000" s="44"/>
      <c r="AF1000" s="44"/>
      <c r="AG1000" s="43"/>
      <c r="AH1000" s="43"/>
      <c r="AI1000" s="43"/>
      <c r="AJ1000" s="43"/>
      <c r="AK1000" s="44"/>
      <c r="AL1000" s="44"/>
      <c r="AM1000" s="43"/>
      <c r="AN1000" s="44"/>
      <c r="AO1000" s="44"/>
      <c r="AP1000" s="43"/>
      <c r="AQ1000" s="44"/>
      <c r="AR1000" s="114"/>
      <c r="AS1000" s="114"/>
      <c r="AT1000" s="111"/>
      <c r="AU1000" s="18"/>
      <c r="AV1000" s="110"/>
      <c r="AW1000" s="18"/>
      <c r="AX1000" s="123"/>
    </row>
    <row r="1001" spans="1:50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1" t="s">
        <v>305</v>
      </c>
      <c r="AB1001" s="42" t="s">
        <v>233</v>
      </c>
      <c r="AC1001" s="43"/>
      <c r="AD1001" s="44">
        <v>0</v>
      </c>
      <c r="AE1001" s="44">
        <v>0</v>
      </c>
      <c r="AF1001" s="44">
        <v>0</v>
      </c>
      <c r="AG1001" s="43">
        <f>1800000000+1620000000</f>
        <v>3420000000</v>
      </c>
      <c r="AH1001" s="259">
        <v>0</v>
      </c>
      <c r="AI1001" s="43">
        <f>AE1001-AF1001+AG1001-AH1001</f>
        <v>3420000000</v>
      </c>
      <c r="AJ1001" s="43">
        <f>AD1001+AI1001</f>
        <v>3420000000</v>
      </c>
      <c r="AK1001" s="44">
        <v>0</v>
      </c>
      <c r="AL1001" s="44">
        <v>0</v>
      </c>
      <c r="AM1001" s="43">
        <v>1800000000</v>
      </c>
      <c r="AN1001" s="44">
        <v>0</v>
      </c>
      <c r="AO1001" s="44">
        <v>0</v>
      </c>
      <c r="AP1001" s="43">
        <v>1800000000</v>
      </c>
      <c r="AQ1001" s="44">
        <v>0</v>
      </c>
      <c r="AR1001" s="114">
        <v>0</v>
      </c>
      <c r="AS1001" s="114">
        <v>1800000000</v>
      </c>
      <c r="AT1001" s="111">
        <f t="shared" ref="AT1001" si="373">AQ1001+AS1001</f>
        <v>1800000000</v>
      </c>
      <c r="AU1001" s="18">
        <f>AJ1001-AM1001</f>
        <v>1620000000</v>
      </c>
      <c r="AV1001" s="133">
        <f>AM1001-AP1001</f>
        <v>0</v>
      </c>
      <c r="AW1001" s="34">
        <f>AP1001-AT1001</f>
        <v>0</v>
      </c>
      <c r="AX1001" s="123">
        <f>AP1001/AJ1001</f>
        <v>0.52631578947368418</v>
      </c>
    </row>
    <row r="1002" spans="1:50" x14ac:dyDescent="0.2">
      <c r="AA1002" s="28" t="s">
        <v>288</v>
      </c>
      <c r="AB1002" s="68" t="s">
        <v>684</v>
      </c>
      <c r="AC1002" s="17"/>
      <c r="AD1002" s="18"/>
      <c r="AE1002" s="34"/>
      <c r="AF1002" s="34"/>
      <c r="AG1002" s="34"/>
      <c r="AH1002" s="34"/>
      <c r="AI1002" s="34"/>
      <c r="AJ1002" s="18"/>
      <c r="AK1002" s="34"/>
      <c r="AL1002" s="18"/>
      <c r="AM1002" s="18"/>
      <c r="AN1002" s="34"/>
      <c r="AO1002" s="34"/>
      <c r="AP1002" s="18"/>
      <c r="AQ1002" s="34"/>
      <c r="AR1002" s="34"/>
      <c r="AS1002" s="34"/>
      <c r="AT1002" s="31"/>
      <c r="AU1002" s="18"/>
      <c r="AV1002" s="18"/>
      <c r="AW1002" s="18"/>
      <c r="AX1002" s="18"/>
    </row>
    <row r="1003" spans="1:50" x14ac:dyDescent="0.2">
      <c r="A1003" s="4" t="s">
        <v>55</v>
      </c>
      <c r="B1003" s="4" t="s">
        <v>56</v>
      </c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1" t="s">
        <v>685</v>
      </c>
      <c r="AB1003" s="69" t="s">
        <v>233</v>
      </c>
      <c r="AC1003" s="43" t="s">
        <v>58</v>
      </c>
      <c r="AD1003" s="43">
        <v>6107898530</v>
      </c>
      <c r="AE1003" s="44">
        <v>0</v>
      </c>
      <c r="AF1003" s="44">
        <v>0</v>
      </c>
      <c r="AG1003" s="44">
        <v>0</v>
      </c>
      <c r="AH1003" s="44">
        <v>0</v>
      </c>
      <c r="AI1003" s="44">
        <v>0</v>
      </c>
      <c r="AJ1003" s="43">
        <v>6107898530</v>
      </c>
      <c r="AK1003" s="44">
        <v>0</v>
      </c>
      <c r="AL1003" s="44">
        <v>0</v>
      </c>
      <c r="AM1003" s="44">
        <v>0</v>
      </c>
      <c r="AN1003" s="44">
        <v>0</v>
      </c>
      <c r="AO1003" s="44">
        <v>0</v>
      </c>
      <c r="AP1003" s="44">
        <v>0</v>
      </c>
      <c r="AQ1003" s="44">
        <v>0</v>
      </c>
      <c r="AR1003" s="44">
        <v>0</v>
      </c>
      <c r="AS1003" s="44">
        <v>0</v>
      </c>
      <c r="AT1003" s="40">
        <f t="shared" ref="AT1003" si="374">AQ1003+AS1003</f>
        <v>0</v>
      </c>
      <c r="AU1003" s="18">
        <f>AJ1003-AM1003</f>
        <v>6107898530</v>
      </c>
      <c r="AV1003" s="133">
        <f>AM1003-AP1003</f>
        <v>0</v>
      </c>
      <c r="AW1003" s="34">
        <f>AP1003-AT1003</f>
        <v>0</v>
      </c>
      <c r="AX1003" s="123">
        <f>AP1003/AJ1003</f>
        <v>0</v>
      </c>
    </row>
    <row r="1004" spans="1:50" ht="25.5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73" t="s">
        <v>288</v>
      </c>
      <c r="AB1004" s="82" t="s">
        <v>197</v>
      </c>
      <c r="AC1004" s="43"/>
      <c r="AD1004" s="43"/>
      <c r="AE1004" s="44"/>
      <c r="AF1004" s="44"/>
      <c r="AG1004" s="44"/>
      <c r="AH1004" s="44"/>
      <c r="AI1004" s="44"/>
      <c r="AJ1004" s="43"/>
      <c r="AK1004" s="44"/>
      <c r="AL1004" s="44"/>
      <c r="AM1004" s="44"/>
      <c r="AN1004" s="43"/>
      <c r="AO1004" s="43"/>
      <c r="AP1004" s="44"/>
      <c r="AQ1004" s="44"/>
      <c r="AR1004" s="44"/>
      <c r="AS1004" s="44"/>
      <c r="AT1004" s="40"/>
      <c r="AU1004" s="18"/>
      <c r="AV1004" s="133"/>
      <c r="AW1004" s="34"/>
      <c r="AX1004" s="123"/>
    </row>
    <row r="1005" spans="1:50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1" t="s">
        <v>974</v>
      </c>
      <c r="AB1005" s="69" t="s">
        <v>233</v>
      </c>
      <c r="AC1005" s="43"/>
      <c r="AD1005" s="44">
        <v>0</v>
      </c>
      <c r="AE1005" s="44">
        <v>0</v>
      </c>
      <c r="AF1005" s="44">
        <v>0</v>
      </c>
      <c r="AG1005" s="43">
        <v>2240000000</v>
      </c>
      <c r="AH1005" s="44">
        <v>0</v>
      </c>
      <c r="AI1005" s="43">
        <f>AE1005-AF1005+AG1005-AH1005</f>
        <v>2240000000</v>
      </c>
      <c r="AJ1005" s="43">
        <f>AD1005+AI1005</f>
        <v>2240000000</v>
      </c>
      <c r="AK1005" s="44">
        <v>0</v>
      </c>
      <c r="AL1005" s="44">
        <v>0</v>
      </c>
      <c r="AM1005" s="44">
        <v>320123215</v>
      </c>
      <c r="AN1005" s="44">
        <v>0</v>
      </c>
      <c r="AO1005" s="44">
        <v>0</v>
      </c>
      <c r="AP1005" s="44">
        <v>0</v>
      </c>
      <c r="AQ1005" s="44">
        <v>0</v>
      </c>
      <c r="AR1005" s="44">
        <v>0</v>
      </c>
      <c r="AS1005" s="44">
        <v>0</v>
      </c>
      <c r="AT1005" s="111">
        <f t="shared" ref="AT1005" si="375">AQ1005+AS1005</f>
        <v>0</v>
      </c>
      <c r="AU1005" s="110">
        <f>AJ1005-AM1005</f>
        <v>1919876785</v>
      </c>
      <c r="AV1005" s="18">
        <f>AM1005-AP1005</f>
        <v>320123215</v>
      </c>
      <c r="AW1005" s="18">
        <f>AP1005-AT1005</f>
        <v>0</v>
      </c>
      <c r="AX1005" s="123">
        <f>AP1005/AJ1005</f>
        <v>0</v>
      </c>
    </row>
    <row r="1006" spans="1:50" x14ac:dyDescent="0.2">
      <c r="AA1006" s="28" t="s">
        <v>288</v>
      </c>
      <c r="AB1006" s="29" t="s">
        <v>306</v>
      </c>
      <c r="AC1006" s="17"/>
      <c r="AD1006" s="18"/>
      <c r="AE1006" s="34"/>
      <c r="AF1006" s="34"/>
      <c r="AG1006" s="34"/>
      <c r="AH1006" s="34"/>
      <c r="AI1006" s="34"/>
      <c r="AJ1006" s="18"/>
      <c r="AK1006" s="34"/>
      <c r="AL1006" s="18"/>
      <c r="AM1006" s="18"/>
      <c r="AN1006" s="34"/>
      <c r="AO1006" s="34"/>
      <c r="AP1006" s="18"/>
      <c r="AQ1006" s="34"/>
      <c r="AR1006" s="34"/>
      <c r="AS1006" s="34"/>
      <c r="AT1006" s="31"/>
      <c r="AU1006" s="18"/>
      <c r="AV1006" s="34"/>
      <c r="AW1006" s="18"/>
      <c r="AX1006" s="18"/>
    </row>
    <row r="1007" spans="1:50" x14ac:dyDescent="0.2">
      <c r="A1007" s="4" t="s">
        <v>55</v>
      </c>
      <c r="B1007" s="4" t="s">
        <v>56</v>
      </c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1" t="s">
        <v>307</v>
      </c>
      <c r="AB1007" s="42" t="s">
        <v>233</v>
      </c>
      <c r="AC1007" s="43" t="s">
        <v>58</v>
      </c>
      <c r="AD1007" s="43">
        <v>147500000</v>
      </c>
      <c r="AE1007" s="44">
        <v>0</v>
      </c>
      <c r="AF1007" s="44">
        <v>0</v>
      </c>
      <c r="AG1007" s="43">
        <v>6300000</v>
      </c>
      <c r="AH1007" s="44">
        <v>0</v>
      </c>
      <c r="AI1007" s="43">
        <f>AE1007-AF1007+AG1007-AH1007</f>
        <v>6300000</v>
      </c>
      <c r="AJ1007" s="43">
        <f>AD1007+AI1007</f>
        <v>153800000</v>
      </c>
      <c r="AK1007" s="44">
        <v>0</v>
      </c>
      <c r="AL1007" s="44">
        <v>14300000</v>
      </c>
      <c r="AM1007" s="43">
        <v>142000000</v>
      </c>
      <c r="AN1007" s="44">
        <v>0</v>
      </c>
      <c r="AO1007" s="44">
        <v>14300000</v>
      </c>
      <c r="AP1007" s="43">
        <v>142000000</v>
      </c>
      <c r="AQ1007" s="43">
        <v>12100000</v>
      </c>
      <c r="AR1007" s="114">
        <v>12100000</v>
      </c>
      <c r="AS1007" s="114">
        <v>57950000</v>
      </c>
      <c r="AT1007" s="111">
        <f t="shared" ref="AT1007" si="376">AQ1007+AS1007</f>
        <v>70050000</v>
      </c>
      <c r="AU1007" s="110">
        <f>AJ1007-AM1007</f>
        <v>11800000</v>
      </c>
      <c r="AV1007" s="133">
        <f>AM1007-AP1007</f>
        <v>0</v>
      </c>
      <c r="AW1007" s="18">
        <f>AP1007-AT1007</f>
        <v>71950000</v>
      </c>
      <c r="AX1007" s="123">
        <f>AP1007/AJ1007</f>
        <v>0.92327698309492845</v>
      </c>
    </row>
    <row r="1008" spans="1:50" x14ac:dyDescent="0.2">
      <c r="AA1008" s="28" t="s">
        <v>288</v>
      </c>
      <c r="AB1008" s="29" t="s">
        <v>400</v>
      </c>
      <c r="AC1008" s="17"/>
      <c r="AD1008" s="18"/>
      <c r="AE1008" s="34"/>
      <c r="AF1008" s="34"/>
      <c r="AG1008" s="34"/>
      <c r="AH1008" s="34"/>
      <c r="AI1008" s="34"/>
      <c r="AJ1008" s="18"/>
      <c r="AK1008" s="34"/>
      <c r="AL1008" s="34"/>
      <c r="AM1008" s="18"/>
      <c r="AN1008" s="34"/>
      <c r="AO1008" s="34"/>
      <c r="AP1008" s="18"/>
      <c r="AQ1008" s="18"/>
      <c r="AR1008" s="110"/>
      <c r="AS1008" s="110"/>
      <c r="AT1008" s="109"/>
      <c r="AU1008" s="110"/>
      <c r="AV1008" s="18"/>
      <c r="AW1008" s="18"/>
      <c r="AX1008" s="18"/>
    </row>
    <row r="1009" spans="1:50" x14ac:dyDescent="0.2">
      <c r="A1009" s="4" t="s">
        <v>55</v>
      </c>
      <c r="B1009" s="4" t="s">
        <v>56</v>
      </c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1" t="s">
        <v>401</v>
      </c>
      <c r="AB1009" s="42" t="s">
        <v>233</v>
      </c>
      <c r="AC1009" s="43" t="s">
        <v>58</v>
      </c>
      <c r="AD1009" s="43">
        <v>996500000</v>
      </c>
      <c r="AE1009" s="44">
        <v>0</v>
      </c>
      <c r="AF1009" s="44">
        <v>0</v>
      </c>
      <c r="AG1009" s="43">
        <v>140000000</v>
      </c>
      <c r="AH1009" s="44">
        <v>0</v>
      </c>
      <c r="AI1009" s="43">
        <f>AE1009-AF1009+AG1009-AH1009</f>
        <v>140000000</v>
      </c>
      <c r="AJ1009" s="43">
        <f>AD1009+AI1009</f>
        <v>1136500000</v>
      </c>
      <c r="AK1009" s="44">
        <v>0</v>
      </c>
      <c r="AL1009" s="43">
        <v>78250000</v>
      </c>
      <c r="AM1009" s="43">
        <v>784750000</v>
      </c>
      <c r="AN1009" s="44">
        <v>52250000</v>
      </c>
      <c r="AO1009" s="44">
        <v>48750000</v>
      </c>
      <c r="AP1009" s="43">
        <v>732500000</v>
      </c>
      <c r="AQ1009" s="18">
        <v>86300000</v>
      </c>
      <c r="AR1009" s="110">
        <v>79083333</v>
      </c>
      <c r="AS1009" s="110">
        <v>347573334</v>
      </c>
      <c r="AT1009" s="111">
        <f t="shared" ref="AT1009:AT1012" si="377">AQ1009+AS1009</f>
        <v>433873334</v>
      </c>
      <c r="AU1009" s="110">
        <f>AJ1009-AM1009</f>
        <v>351750000</v>
      </c>
      <c r="AV1009" s="18">
        <f>AM1009-AP1009</f>
        <v>52250000</v>
      </c>
      <c r="AW1009" s="18">
        <f>AP1009-AT1009</f>
        <v>298626666</v>
      </c>
      <c r="AX1009" s="123">
        <f>AP1009/AJ1009</f>
        <v>0.64452265728112623</v>
      </c>
    </row>
    <row r="1010" spans="1:50" x14ac:dyDescent="0.2">
      <c r="A1010" s="4" t="s">
        <v>55</v>
      </c>
      <c r="B1010" s="4" t="s">
        <v>56</v>
      </c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1" t="s">
        <v>686</v>
      </c>
      <c r="AB1010" s="42" t="s">
        <v>687</v>
      </c>
      <c r="AC1010" s="43" t="s">
        <v>428</v>
      </c>
      <c r="AD1010" s="43">
        <v>51500000</v>
      </c>
      <c r="AE1010" s="44">
        <v>0</v>
      </c>
      <c r="AF1010" s="44">
        <v>0</v>
      </c>
      <c r="AG1010" s="44">
        <v>0</v>
      </c>
      <c r="AH1010" s="44">
        <v>0</v>
      </c>
      <c r="AI1010" s="44">
        <v>0</v>
      </c>
      <c r="AJ1010" s="43">
        <v>51500000</v>
      </c>
      <c r="AK1010" s="44">
        <v>0</v>
      </c>
      <c r="AL1010" s="44">
        <v>0</v>
      </c>
      <c r="AM1010" s="43">
        <v>51400000</v>
      </c>
      <c r="AN1010" s="44">
        <v>0</v>
      </c>
      <c r="AO1010" s="44">
        <v>0</v>
      </c>
      <c r="AP1010" s="43">
        <v>51400000</v>
      </c>
      <c r="AQ1010" s="18">
        <v>5300000</v>
      </c>
      <c r="AR1010" s="18">
        <v>8050000</v>
      </c>
      <c r="AS1010" s="18">
        <v>29890000</v>
      </c>
      <c r="AT1010" s="39">
        <f t="shared" si="377"/>
        <v>35190000</v>
      </c>
      <c r="AU1010" s="18">
        <f>AJ1010-AM1010</f>
        <v>100000</v>
      </c>
      <c r="AV1010" s="133">
        <f>AM1010-AP1010</f>
        <v>0</v>
      </c>
      <c r="AW1010" s="18">
        <f>AP1010-AT1010</f>
        <v>16210000</v>
      </c>
      <c r="AX1010" s="123">
        <f>AP1010/AJ1010</f>
        <v>0.99805825242718449</v>
      </c>
    </row>
    <row r="1011" spans="1:50" ht="25.5" x14ac:dyDescent="0.2">
      <c r="A1011" s="4" t="s">
        <v>55</v>
      </c>
      <c r="B1011" s="4" t="s">
        <v>56</v>
      </c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1" t="s">
        <v>688</v>
      </c>
      <c r="AB1011" s="42" t="s">
        <v>689</v>
      </c>
      <c r="AC1011" s="43" t="s">
        <v>368</v>
      </c>
      <c r="AD1011" s="43">
        <v>6785951</v>
      </c>
      <c r="AE1011" s="44">
        <v>0</v>
      </c>
      <c r="AF1011" s="44">
        <v>0</v>
      </c>
      <c r="AG1011" s="44">
        <v>0</v>
      </c>
      <c r="AH1011" s="44">
        <v>0</v>
      </c>
      <c r="AI1011" s="44">
        <v>0</v>
      </c>
      <c r="AJ1011" s="43">
        <v>6785951</v>
      </c>
      <c r="AK1011" s="44">
        <v>0</v>
      </c>
      <c r="AL1011" s="44">
        <v>0</v>
      </c>
      <c r="AM1011" s="44">
        <v>0</v>
      </c>
      <c r="AN1011" s="44">
        <v>0</v>
      </c>
      <c r="AO1011" s="44">
        <v>0</v>
      </c>
      <c r="AP1011" s="44">
        <v>0</v>
      </c>
      <c r="AQ1011" s="34">
        <v>0</v>
      </c>
      <c r="AR1011" s="34">
        <v>0</v>
      </c>
      <c r="AS1011" s="34">
        <v>0</v>
      </c>
      <c r="AT1011" s="40">
        <f t="shared" si="377"/>
        <v>0</v>
      </c>
      <c r="AU1011" s="18">
        <f>AJ1011-AM1011</f>
        <v>6785951</v>
      </c>
      <c r="AV1011" s="133">
        <f>AM1011-AP1011</f>
        <v>0</v>
      </c>
      <c r="AW1011" s="34">
        <f>AP1011-AT1011</f>
        <v>0</v>
      </c>
      <c r="AX1011" s="123">
        <f>AP1011/AJ1011</f>
        <v>0</v>
      </c>
    </row>
    <row r="1012" spans="1:50" ht="25.5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1" t="s">
        <v>1116</v>
      </c>
      <c r="AB1012" s="42" t="s">
        <v>1117</v>
      </c>
      <c r="AC1012" s="43"/>
      <c r="AD1012" s="44">
        <v>0</v>
      </c>
      <c r="AE1012" s="43">
        <v>138409128.97</v>
      </c>
      <c r="AF1012" s="44">
        <v>0</v>
      </c>
      <c r="AG1012" s="44">
        <v>0</v>
      </c>
      <c r="AH1012" s="44">
        <v>0</v>
      </c>
      <c r="AI1012" s="43">
        <f>AE1012-AF1012+AG1012-AH1012</f>
        <v>138409128.97</v>
      </c>
      <c r="AJ1012" s="43">
        <f>AD1012+AI1012</f>
        <v>138409128.97</v>
      </c>
      <c r="AK1012" s="44">
        <v>0</v>
      </c>
      <c r="AL1012" s="43">
        <v>15750000</v>
      </c>
      <c r="AM1012" s="43">
        <v>15750000</v>
      </c>
      <c r="AN1012" s="44">
        <v>0</v>
      </c>
      <c r="AO1012" s="44">
        <v>15750000</v>
      </c>
      <c r="AP1012" s="43">
        <v>15750000</v>
      </c>
      <c r="AQ1012" s="34">
        <v>0</v>
      </c>
      <c r="AR1012" s="34">
        <v>0</v>
      </c>
      <c r="AS1012" s="34">
        <v>0</v>
      </c>
      <c r="AT1012" s="40">
        <f t="shared" si="377"/>
        <v>0</v>
      </c>
      <c r="AU1012" s="18">
        <f>AJ1012-AM1012</f>
        <v>122659128.97</v>
      </c>
      <c r="AV1012" s="133">
        <f>AM1012-AP1012</f>
        <v>0</v>
      </c>
      <c r="AW1012" s="18">
        <f>AP1012-AT1012</f>
        <v>15750000</v>
      </c>
      <c r="AX1012" s="123">
        <f>AP1012/AJ1012</f>
        <v>0.11379307215648898</v>
      </c>
    </row>
    <row r="1013" spans="1:50" ht="25.5" x14ac:dyDescent="0.2">
      <c r="AA1013" s="28" t="s">
        <v>288</v>
      </c>
      <c r="AB1013" s="29" t="s">
        <v>690</v>
      </c>
      <c r="AC1013" s="17"/>
      <c r="AD1013" s="18"/>
      <c r="AE1013" s="34"/>
      <c r="AF1013" s="34"/>
      <c r="AG1013" s="34"/>
      <c r="AH1013" s="34"/>
      <c r="AI1013" s="34"/>
      <c r="AJ1013" s="18"/>
      <c r="AK1013" s="34"/>
      <c r="AL1013" s="34"/>
      <c r="AM1013" s="34"/>
      <c r="AN1013" s="34"/>
      <c r="AO1013" s="34"/>
      <c r="AP1013" s="34"/>
      <c r="AQ1013" s="18"/>
      <c r="AR1013" s="34"/>
      <c r="AS1013" s="34"/>
      <c r="AT1013" s="40"/>
      <c r="AU1013" s="18"/>
      <c r="AV1013" s="34"/>
      <c r="AW1013" s="18"/>
      <c r="AX1013" s="18"/>
    </row>
    <row r="1014" spans="1:50" x14ac:dyDescent="0.2">
      <c r="A1014" s="4" t="s">
        <v>55</v>
      </c>
      <c r="B1014" s="4" t="s">
        <v>56</v>
      </c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1" t="s">
        <v>691</v>
      </c>
      <c r="AB1014" s="42" t="s">
        <v>233</v>
      </c>
      <c r="AC1014" s="43" t="s">
        <v>58</v>
      </c>
      <c r="AD1014" s="43">
        <v>368900000</v>
      </c>
      <c r="AE1014" s="44">
        <v>0</v>
      </c>
      <c r="AF1014" s="44">
        <v>0</v>
      </c>
      <c r="AG1014" s="43">
        <v>80000000</v>
      </c>
      <c r="AH1014" s="44">
        <v>0</v>
      </c>
      <c r="AI1014" s="43">
        <f>AE1014-AF1014+AG1014-AH1014</f>
        <v>80000000</v>
      </c>
      <c r="AJ1014" s="43">
        <f>AD1014+AI1014</f>
        <v>448900000</v>
      </c>
      <c r="AK1014" s="44">
        <v>0</v>
      </c>
      <c r="AL1014" s="114">
        <v>10800000</v>
      </c>
      <c r="AM1014" s="114">
        <v>318000000</v>
      </c>
      <c r="AN1014" s="115">
        <v>0</v>
      </c>
      <c r="AO1014" s="114">
        <v>10800000</v>
      </c>
      <c r="AP1014" s="114">
        <v>318000000</v>
      </c>
      <c r="AQ1014" s="18">
        <v>46580000</v>
      </c>
      <c r="AR1014" s="18">
        <v>36320000</v>
      </c>
      <c r="AS1014" s="18">
        <v>108753333</v>
      </c>
      <c r="AT1014" s="39">
        <f t="shared" si="369"/>
        <v>155333333</v>
      </c>
      <c r="AU1014" s="18">
        <f>AJ1014-AM1014</f>
        <v>130900000</v>
      </c>
      <c r="AV1014" s="133">
        <f>AM1014-AP1014</f>
        <v>0</v>
      </c>
      <c r="AW1014" s="18">
        <f>AP1014-AT1014</f>
        <v>162666667</v>
      </c>
      <c r="AX1014" s="123">
        <f>AP1014/AJ1014</f>
        <v>0.70839830697259965</v>
      </c>
    </row>
    <row r="1015" spans="1:50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1"/>
      <c r="AB1015" s="42"/>
      <c r="AC1015" s="43"/>
      <c r="AD1015" s="43"/>
      <c r="AE1015" s="44"/>
      <c r="AF1015" s="44"/>
      <c r="AG1015" s="44"/>
      <c r="AH1015" s="44"/>
      <c r="AI1015" s="44"/>
      <c r="AJ1015" s="43"/>
      <c r="AK1015" s="44"/>
      <c r="AL1015" s="114"/>
      <c r="AM1015" s="114"/>
      <c r="AN1015" s="115"/>
      <c r="AO1015" s="114"/>
      <c r="AP1015" s="114"/>
      <c r="AQ1015" s="18"/>
      <c r="AR1015" s="18"/>
      <c r="AS1015" s="18"/>
      <c r="AT1015" s="39"/>
      <c r="AU1015" s="18"/>
      <c r="AV1015" s="133"/>
      <c r="AW1015" s="18"/>
      <c r="AX1015" s="123"/>
    </row>
    <row r="1016" spans="1:50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73" t="s">
        <v>288</v>
      </c>
      <c r="AB1016" s="74" t="s">
        <v>1230</v>
      </c>
      <c r="AC1016" s="43"/>
      <c r="AD1016" s="43"/>
      <c r="AE1016" s="44"/>
      <c r="AF1016" s="44"/>
      <c r="AG1016" s="44"/>
      <c r="AH1016" s="44"/>
      <c r="AI1016" s="44"/>
      <c r="AJ1016" s="43"/>
      <c r="AK1016" s="44"/>
      <c r="AL1016" s="114"/>
      <c r="AM1016" s="114"/>
      <c r="AN1016" s="115"/>
      <c r="AO1016" s="114"/>
      <c r="AP1016" s="114"/>
      <c r="AQ1016" s="18"/>
      <c r="AR1016" s="18"/>
      <c r="AS1016" s="18"/>
      <c r="AT1016" s="39"/>
      <c r="AU1016" s="18"/>
      <c r="AV1016" s="133"/>
      <c r="AW1016" s="18"/>
      <c r="AX1016" s="123"/>
    </row>
    <row r="1017" spans="1:50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1" t="s">
        <v>1231</v>
      </c>
      <c r="AB1017" s="42" t="s">
        <v>1232</v>
      </c>
      <c r="AC1017" s="43"/>
      <c r="AD1017" s="44">
        <v>0</v>
      </c>
      <c r="AE1017" s="44">
        <v>0</v>
      </c>
      <c r="AF1017" s="44">
        <v>0</v>
      </c>
      <c r="AG1017" s="43">
        <v>150000000</v>
      </c>
      <c r="AH1017" s="44"/>
      <c r="AI1017" s="43">
        <f>AE1017-AF1017+AG1017-AH1017</f>
        <v>150000000</v>
      </c>
      <c r="AJ1017" s="43">
        <f>AD1017+AI1017</f>
        <v>150000000</v>
      </c>
      <c r="AK1017" s="44">
        <v>0</v>
      </c>
      <c r="AL1017" s="115">
        <v>0</v>
      </c>
      <c r="AM1017" s="115">
        <v>0</v>
      </c>
      <c r="AN1017" s="115">
        <v>0</v>
      </c>
      <c r="AO1017" s="115">
        <v>0</v>
      </c>
      <c r="AP1017" s="115">
        <v>0</v>
      </c>
      <c r="AQ1017" s="34">
        <v>0</v>
      </c>
      <c r="AR1017" s="34">
        <v>0</v>
      </c>
      <c r="AS1017" s="34"/>
      <c r="AT1017" s="40">
        <f t="shared" ref="AT1017" si="378">AQ1017+AS1017</f>
        <v>0</v>
      </c>
      <c r="AU1017" s="18">
        <f>AJ1017-AM1017</f>
        <v>150000000</v>
      </c>
      <c r="AV1017" s="133">
        <f>AM1017-AP1017</f>
        <v>0</v>
      </c>
      <c r="AW1017" s="34">
        <f>AP1017-AT1017</f>
        <v>0</v>
      </c>
      <c r="AX1017" s="123">
        <f>AP1017/AJ1017</f>
        <v>0</v>
      </c>
    </row>
    <row r="1018" spans="1:50" ht="18.75" customHeight="1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73" t="s">
        <v>1016</v>
      </c>
      <c r="AB1018" s="74" t="s">
        <v>1068</v>
      </c>
      <c r="AC1018" s="43"/>
      <c r="AD1018" s="44"/>
      <c r="AE1018" s="44"/>
      <c r="AF1018" s="44"/>
      <c r="AG1018" s="44"/>
      <c r="AH1018" s="44"/>
      <c r="AI1018" s="44"/>
      <c r="AJ1018" s="43"/>
      <c r="AK1018" s="44"/>
      <c r="AL1018" s="115"/>
      <c r="AM1018" s="115"/>
      <c r="AN1018" s="115"/>
      <c r="AO1018" s="115"/>
      <c r="AP1018" s="115"/>
      <c r="AQ1018" s="34"/>
      <c r="AR1018" s="34"/>
      <c r="AS1018" s="34"/>
      <c r="AT1018" s="40"/>
      <c r="AU1018" s="18"/>
      <c r="AV1018" s="133"/>
      <c r="AW1018" s="34"/>
      <c r="AX1018" s="123"/>
    </row>
    <row r="1019" spans="1:50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73" t="s">
        <v>1017</v>
      </c>
      <c r="AB1019" s="74" t="s">
        <v>1069</v>
      </c>
      <c r="AC1019" s="43"/>
      <c r="AD1019" s="44"/>
      <c r="AE1019" s="44"/>
      <c r="AF1019" s="44"/>
      <c r="AG1019" s="44"/>
      <c r="AH1019" s="44"/>
      <c r="AI1019" s="44"/>
      <c r="AJ1019" s="43"/>
      <c r="AK1019" s="44"/>
      <c r="AL1019" s="115"/>
      <c r="AM1019" s="115"/>
      <c r="AN1019" s="115"/>
      <c r="AO1019" s="115"/>
      <c r="AP1019" s="115"/>
      <c r="AQ1019" s="34"/>
      <c r="AR1019" s="34"/>
      <c r="AS1019" s="34"/>
      <c r="AT1019" s="40"/>
      <c r="AU1019" s="18"/>
      <c r="AV1019" s="133"/>
      <c r="AW1019" s="34"/>
      <c r="AX1019" s="123"/>
    </row>
    <row r="1020" spans="1:50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73" t="s">
        <v>1018</v>
      </c>
      <c r="AB1020" s="74" t="s">
        <v>286</v>
      </c>
      <c r="AC1020" s="43"/>
      <c r="AD1020" s="44"/>
      <c r="AE1020" s="44"/>
      <c r="AF1020" s="44"/>
      <c r="AG1020" s="44"/>
      <c r="AH1020" s="44"/>
      <c r="AI1020" s="44"/>
      <c r="AJ1020" s="43"/>
      <c r="AK1020" s="44"/>
      <c r="AL1020" s="115"/>
      <c r="AM1020" s="115"/>
      <c r="AN1020" s="115"/>
      <c r="AO1020" s="115"/>
      <c r="AP1020" s="115"/>
      <c r="AQ1020" s="34"/>
      <c r="AR1020" s="34"/>
      <c r="AS1020" s="34"/>
      <c r="AT1020" s="40"/>
      <c r="AU1020" s="18"/>
      <c r="AV1020" s="133"/>
      <c r="AW1020" s="34"/>
      <c r="AX1020" s="123"/>
    </row>
    <row r="1021" spans="1:50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73" t="s">
        <v>1021</v>
      </c>
      <c r="AB1021" s="74" t="s">
        <v>1070</v>
      </c>
      <c r="AC1021" s="43"/>
      <c r="AD1021" s="44"/>
      <c r="AE1021" s="44"/>
      <c r="AF1021" s="44"/>
      <c r="AG1021" s="44"/>
      <c r="AH1021" s="44"/>
      <c r="AI1021" s="44"/>
      <c r="AJ1021" s="43"/>
      <c r="AK1021" s="44"/>
      <c r="AL1021" s="115"/>
      <c r="AM1021" s="115"/>
      <c r="AN1021" s="115"/>
      <c r="AO1021" s="115"/>
      <c r="AP1021" s="115"/>
      <c r="AQ1021" s="34"/>
      <c r="AR1021" s="34"/>
      <c r="AS1021" s="34"/>
      <c r="AT1021" s="40"/>
      <c r="AU1021" s="18"/>
      <c r="AV1021" s="133"/>
      <c r="AW1021" s="34"/>
      <c r="AX1021" s="123"/>
    </row>
    <row r="1022" spans="1:50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1" t="s">
        <v>1019</v>
      </c>
      <c r="AB1022" s="42" t="s">
        <v>1005</v>
      </c>
      <c r="AC1022" s="43"/>
      <c r="AD1022" s="44">
        <v>0</v>
      </c>
      <c r="AE1022" s="43">
        <v>5053333</v>
      </c>
      <c r="AF1022" s="44">
        <v>0</v>
      </c>
      <c r="AG1022" s="44">
        <v>0</v>
      </c>
      <c r="AH1022" s="44">
        <v>0</v>
      </c>
      <c r="AI1022" s="43">
        <f>AE1022-AF1022+AG1022-AH1022</f>
        <v>5053333</v>
      </c>
      <c r="AJ1022" s="43">
        <f>AD1022+AI1022</f>
        <v>5053333</v>
      </c>
      <c r="AK1022" s="44">
        <v>0</v>
      </c>
      <c r="AL1022" s="115">
        <v>0</v>
      </c>
      <c r="AM1022" s="115">
        <v>0</v>
      </c>
      <c r="AN1022" s="115">
        <v>0</v>
      </c>
      <c r="AO1022" s="115">
        <v>0</v>
      </c>
      <c r="AP1022" s="115">
        <v>0</v>
      </c>
      <c r="AQ1022" s="34">
        <v>0</v>
      </c>
      <c r="AR1022" s="34">
        <v>0</v>
      </c>
      <c r="AS1022" s="34">
        <v>0</v>
      </c>
      <c r="AT1022" s="40">
        <f t="shared" ref="AT1022" si="379">AQ1022+AS1022</f>
        <v>0</v>
      </c>
      <c r="AU1022" s="18">
        <f>AJ1022-AM1022</f>
        <v>5053333</v>
      </c>
      <c r="AV1022" s="133">
        <f>AM1022-AP1022</f>
        <v>0</v>
      </c>
      <c r="AW1022" s="34">
        <f>AP1022-AT1022</f>
        <v>0</v>
      </c>
      <c r="AX1022" s="123">
        <f>AP1022/AJ1022</f>
        <v>0</v>
      </c>
    </row>
    <row r="1023" spans="1:50" x14ac:dyDescent="0.2">
      <c r="AA1023" s="16"/>
      <c r="AB1023" s="17"/>
      <c r="AC1023" s="17"/>
      <c r="AD1023" s="18"/>
      <c r="AE1023" s="34"/>
      <c r="AF1023" s="34"/>
      <c r="AG1023" s="34"/>
      <c r="AH1023" s="34"/>
      <c r="AI1023" s="34"/>
      <c r="AJ1023" s="18"/>
      <c r="AK1023" s="18"/>
      <c r="AL1023" s="18"/>
      <c r="AM1023" s="18"/>
      <c r="AN1023" s="34"/>
      <c r="AO1023" s="18"/>
      <c r="AP1023" s="18"/>
      <c r="AQ1023" s="18"/>
      <c r="AR1023" s="34"/>
      <c r="AS1023" s="34"/>
      <c r="AT1023" s="40"/>
      <c r="AU1023" s="18"/>
      <c r="AV1023" s="18"/>
      <c r="AW1023" s="34"/>
      <c r="AX1023" s="18"/>
    </row>
    <row r="1024" spans="1:50" ht="18.75" customHeight="1" x14ac:dyDescent="0.2">
      <c r="AA1024" s="46"/>
      <c r="AB1024" s="47" t="s">
        <v>692</v>
      </c>
      <c r="AC1024" s="47"/>
      <c r="AD1024" s="48">
        <f>SUM(AD984:AD1023)</f>
        <v>12346184481</v>
      </c>
      <c r="AE1024" s="48">
        <f>SUM(AE984:AE1023)</f>
        <v>143462461.97</v>
      </c>
      <c r="AF1024" s="49">
        <f t="shared" ref="AF1024:AW1024" si="380">SUM(AF984:AF1023)</f>
        <v>0</v>
      </c>
      <c r="AG1024" s="48">
        <f t="shared" si="380"/>
        <v>10696300000</v>
      </c>
      <c r="AH1024" s="48">
        <f t="shared" si="380"/>
        <v>5896300000</v>
      </c>
      <c r="AI1024" s="48">
        <f t="shared" si="380"/>
        <v>4943462461.9700003</v>
      </c>
      <c r="AJ1024" s="48">
        <f t="shared" si="380"/>
        <v>17289646942.970001</v>
      </c>
      <c r="AK1024" s="49">
        <f t="shared" si="380"/>
        <v>0</v>
      </c>
      <c r="AL1024" s="48">
        <f t="shared" si="380"/>
        <v>277550000</v>
      </c>
      <c r="AM1024" s="48">
        <f t="shared" si="380"/>
        <v>5139883215</v>
      </c>
      <c r="AN1024" s="49">
        <f t="shared" si="380"/>
        <v>52250000</v>
      </c>
      <c r="AO1024" s="48">
        <f t="shared" si="380"/>
        <v>275800000</v>
      </c>
      <c r="AP1024" s="48">
        <f t="shared" si="380"/>
        <v>4680510000</v>
      </c>
      <c r="AQ1024" s="48">
        <f t="shared" si="380"/>
        <v>366380000</v>
      </c>
      <c r="AR1024" s="121">
        <f t="shared" si="380"/>
        <v>306653333</v>
      </c>
      <c r="AS1024" s="121">
        <f t="shared" si="380"/>
        <v>2964056666</v>
      </c>
      <c r="AT1024" s="108">
        <f>AQ1024+AS1024</f>
        <v>3330436666</v>
      </c>
      <c r="AU1024" s="48">
        <f t="shared" si="380"/>
        <v>12149763727.969999</v>
      </c>
      <c r="AV1024" s="48">
        <f t="shared" si="380"/>
        <v>459373215</v>
      </c>
      <c r="AW1024" s="48">
        <f t="shared" si="380"/>
        <v>1350073334</v>
      </c>
      <c r="AX1024" s="24">
        <f>AP1024/AJ1024</f>
        <v>0.27071171640685832</v>
      </c>
    </row>
    <row r="1025" spans="1:50" ht="18.75" customHeight="1" x14ac:dyDescent="0.2">
      <c r="AA1025" s="16"/>
      <c r="AB1025" s="17"/>
      <c r="AC1025" s="17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</row>
    <row r="1026" spans="1:50" s="25" customFormat="1" ht="18.75" customHeight="1" x14ac:dyDescent="0.2">
      <c r="B1026" s="71"/>
      <c r="C1026" s="71"/>
      <c r="D1026" s="71"/>
      <c r="E1026" s="71"/>
      <c r="F1026" s="71"/>
      <c r="G1026" s="71"/>
      <c r="H1026" s="71"/>
      <c r="I1026" s="71"/>
      <c r="J1026" s="71"/>
      <c r="K1026" s="71"/>
      <c r="L1026" s="71"/>
      <c r="M1026" s="71"/>
      <c r="N1026" s="71"/>
      <c r="O1026" s="71"/>
      <c r="P1026" s="71"/>
      <c r="Q1026" s="71"/>
      <c r="R1026" s="71"/>
      <c r="S1026" s="71"/>
      <c r="T1026" s="71"/>
      <c r="U1026" s="71"/>
      <c r="V1026" s="71"/>
      <c r="W1026" s="71"/>
      <c r="X1026" s="71"/>
      <c r="Y1026" s="71"/>
      <c r="Z1026" s="71"/>
      <c r="AA1026" s="66"/>
      <c r="AB1026" s="21" t="s">
        <v>693</v>
      </c>
      <c r="AC1026" s="67"/>
      <c r="AD1026" s="63"/>
      <c r="AE1026" s="63"/>
      <c r="AF1026" s="63"/>
      <c r="AG1026" s="63"/>
      <c r="AH1026" s="63"/>
      <c r="AI1026" s="63"/>
      <c r="AJ1026" s="63"/>
      <c r="AK1026" s="63"/>
      <c r="AL1026" s="63"/>
      <c r="AM1026" s="63"/>
      <c r="AN1026" s="63"/>
      <c r="AO1026" s="63"/>
      <c r="AP1026" s="63"/>
      <c r="AQ1026" s="63"/>
      <c r="AR1026" s="63"/>
      <c r="AS1026" s="63"/>
      <c r="AT1026" s="63"/>
      <c r="AU1026" s="63"/>
      <c r="AV1026" s="63"/>
      <c r="AW1026" s="63"/>
      <c r="AX1026" s="63"/>
    </row>
    <row r="1027" spans="1:50" ht="18.75" customHeight="1" x14ac:dyDescent="0.2">
      <c r="AA1027" s="16"/>
      <c r="AB1027" s="29" t="s">
        <v>285</v>
      </c>
      <c r="AC1027" s="17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</row>
    <row r="1028" spans="1:50" ht="18.75" customHeight="1" x14ac:dyDescent="0.2">
      <c r="AA1028" s="16"/>
      <c r="AB1028" s="29" t="s">
        <v>286</v>
      </c>
      <c r="AC1028" s="17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</row>
    <row r="1029" spans="1:50" ht="18.75" customHeight="1" x14ac:dyDescent="0.2">
      <c r="AA1029" s="16"/>
      <c r="AB1029" s="29" t="s">
        <v>179</v>
      </c>
      <c r="AC1029" s="17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</row>
    <row r="1030" spans="1:50" x14ac:dyDescent="0.2">
      <c r="AA1030" s="16"/>
      <c r="AB1030" s="29" t="s">
        <v>189</v>
      </c>
      <c r="AC1030" s="17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</row>
    <row r="1031" spans="1:50" ht="38.25" x14ac:dyDescent="0.2">
      <c r="AA1031" s="16"/>
      <c r="AB1031" s="29" t="s">
        <v>193</v>
      </c>
      <c r="AC1031" s="17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30"/>
      <c r="AU1031" s="18"/>
      <c r="AV1031" s="18"/>
      <c r="AW1031" s="18"/>
      <c r="AX1031" s="18"/>
    </row>
    <row r="1032" spans="1:50" ht="25.5" x14ac:dyDescent="0.2">
      <c r="AA1032" s="28" t="s">
        <v>288</v>
      </c>
      <c r="AB1032" s="29" t="s">
        <v>694</v>
      </c>
      <c r="AC1032" s="17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30"/>
      <c r="AU1032" s="18"/>
      <c r="AV1032" s="18"/>
      <c r="AW1032" s="18"/>
      <c r="AX1032" s="18"/>
    </row>
    <row r="1033" spans="1:50" x14ac:dyDescent="0.2">
      <c r="A1033" s="4" t="s">
        <v>55</v>
      </c>
      <c r="B1033" s="4" t="s">
        <v>56</v>
      </c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1" t="s">
        <v>695</v>
      </c>
      <c r="AB1033" s="42" t="s">
        <v>233</v>
      </c>
      <c r="AC1033" s="43" t="s">
        <v>58</v>
      </c>
      <c r="AD1033" s="43">
        <v>20000000000</v>
      </c>
      <c r="AE1033" s="44">
        <v>0</v>
      </c>
      <c r="AF1033" s="44">
        <v>0</v>
      </c>
      <c r="AG1033" s="44">
        <v>0</v>
      </c>
      <c r="AH1033" s="43">
        <f>10000000000+500000000+431000000</f>
        <v>10931000000</v>
      </c>
      <c r="AI1033" s="43">
        <f>AE1033-AF1033+AG1033-AH1033</f>
        <v>-10931000000</v>
      </c>
      <c r="AJ1033" s="43">
        <f>AD1033+AI1033</f>
        <v>9069000000</v>
      </c>
      <c r="AK1033" s="115">
        <v>0</v>
      </c>
      <c r="AL1033" s="115">
        <v>0</v>
      </c>
      <c r="AM1033" s="114">
        <v>8927500500</v>
      </c>
      <c r="AN1033" s="115">
        <v>0</v>
      </c>
      <c r="AO1033" s="115">
        <v>0</v>
      </c>
      <c r="AP1033" s="114">
        <v>8927500500</v>
      </c>
      <c r="AQ1033" s="115">
        <v>0</v>
      </c>
      <c r="AR1033" s="115">
        <v>0</v>
      </c>
      <c r="AS1033" s="114">
        <v>8927500500</v>
      </c>
      <c r="AT1033" s="111">
        <f t="shared" ref="AT1033:AT1048" si="381">AQ1033+AS1033</f>
        <v>8927500500</v>
      </c>
      <c r="AU1033" s="18">
        <f>AJ1033-AM1033</f>
        <v>141499500</v>
      </c>
      <c r="AV1033" s="133">
        <f>AM1033-AP1033</f>
        <v>0</v>
      </c>
      <c r="AW1033" s="34">
        <f>AP1033-AT1033</f>
        <v>0</v>
      </c>
      <c r="AX1033" s="123">
        <f>AP1033/AJ1033</f>
        <v>0.98439745286139602</v>
      </c>
    </row>
    <row r="1034" spans="1:50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1" t="s">
        <v>1118</v>
      </c>
      <c r="AB1034" s="42" t="s">
        <v>1015</v>
      </c>
      <c r="AC1034" s="43"/>
      <c r="AD1034" s="44">
        <v>0</v>
      </c>
      <c r="AE1034" s="43">
        <v>1500000000</v>
      </c>
      <c r="AF1034" s="44">
        <v>0</v>
      </c>
      <c r="AG1034" s="44">
        <v>0</v>
      </c>
      <c r="AH1034" s="43">
        <v>200000000</v>
      </c>
      <c r="AI1034" s="43">
        <f>AE1034-AF1034+AG1034-AH1034</f>
        <v>1300000000</v>
      </c>
      <c r="AJ1034" s="43">
        <f>AD1034+AI1034</f>
        <v>1300000000</v>
      </c>
      <c r="AK1034" s="115">
        <v>0</v>
      </c>
      <c r="AL1034" s="115">
        <v>0</v>
      </c>
      <c r="AM1034" s="114">
        <v>0</v>
      </c>
      <c r="AN1034" s="115">
        <v>0</v>
      </c>
      <c r="AO1034" s="115">
        <v>0</v>
      </c>
      <c r="AP1034" s="114">
        <v>0</v>
      </c>
      <c r="AQ1034" s="115">
        <v>0</v>
      </c>
      <c r="AR1034" s="115">
        <v>0</v>
      </c>
      <c r="AS1034" s="115">
        <v>0</v>
      </c>
      <c r="AT1034" s="135">
        <f t="shared" si="381"/>
        <v>0</v>
      </c>
      <c r="AU1034" s="18">
        <f>AJ1034-AM1034</f>
        <v>1300000000</v>
      </c>
      <c r="AV1034" s="133">
        <f>AM1034-AP1034</f>
        <v>0</v>
      </c>
      <c r="AW1034" s="34">
        <f>AP1034-AT1034</f>
        <v>0</v>
      </c>
      <c r="AX1034" s="123">
        <f>AP1034/AJ1034</f>
        <v>0</v>
      </c>
    </row>
    <row r="1035" spans="1:50" x14ac:dyDescent="0.2">
      <c r="AA1035" s="16"/>
      <c r="AB1035" s="17"/>
      <c r="AC1035" s="17"/>
      <c r="AD1035" s="18"/>
      <c r="AE1035" s="34"/>
      <c r="AF1035" s="34"/>
      <c r="AG1035" s="34"/>
      <c r="AH1035" s="34"/>
      <c r="AI1035" s="34"/>
      <c r="AJ1035" s="18"/>
      <c r="AK1035" s="18"/>
      <c r="AL1035" s="18"/>
      <c r="AM1035" s="18"/>
      <c r="AN1035" s="18"/>
      <c r="AO1035" s="18"/>
      <c r="AP1035" s="34"/>
      <c r="AQ1035" s="34"/>
      <c r="AR1035" s="34"/>
      <c r="AS1035" s="34"/>
      <c r="AT1035" s="40"/>
      <c r="AU1035" s="18"/>
      <c r="AV1035" s="18"/>
      <c r="AW1035" s="18"/>
      <c r="AX1035" s="18"/>
    </row>
    <row r="1036" spans="1:50" ht="25.5" x14ac:dyDescent="0.2">
      <c r="AA1036" s="16"/>
      <c r="AB1036" s="29" t="s">
        <v>195</v>
      </c>
      <c r="AC1036" s="17"/>
      <c r="AD1036" s="18"/>
      <c r="AE1036" s="34"/>
      <c r="AF1036" s="34"/>
      <c r="AG1036" s="34"/>
      <c r="AH1036" s="34"/>
      <c r="AI1036" s="34"/>
      <c r="AJ1036" s="18"/>
      <c r="AK1036" s="18"/>
      <c r="AL1036" s="18"/>
      <c r="AM1036" s="18"/>
      <c r="AN1036" s="18"/>
      <c r="AO1036" s="18"/>
      <c r="AP1036" s="34"/>
      <c r="AQ1036" s="34"/>
      <c r="AR1036" s="34"/>
      <c r="AS1036" s="34"/>
      <c r="AT1036" s="40"/>
      <c r="AU1036" s="18"/>
      <c r="AV1036" s="18"/>
      <c r="AW1036" s="18"/>
      <c r="AX1036" s="18"/>
    </row>
    <row r="1037" spans="1:50" ht="25.5" x14ac:dyDescent="0.2">
      <c r="AA1037" s="28" t="s">
        <v>288</v>
      </c>
      <c r="AB1037" s="29" t="s">
        <v>696</v>
      </c>
      <c r="AC1037" s="17"/>
      <c r="AD1037" s="18"/>
      <c r="AE1037" s="34"/>
      <c r="AF1037" s="34"/>
      <c r="AG1037" s="34"/>
      <c r="AH1037" s="34"/>
      <c r="AI1037" s="34"/>
      <c r="AJ1037" s="18"/>
      <c r="AK1037" s="18"/>
      <c r="AL1037" s="18"/>
      <c r="AM1037" s="18"/>
      <c r="AN1037" s="18"/>
      <c r="AO1037" s="18"/>
      <c r="AP1037" s="34"/>
      <c r="AQ1037" s="34"/>
      <c r="AR1037" s="34"/>
      <c r="AS1037" s="34"/>
      <c r="AT1037" s="40"/>
      <c r="AU1037" s="18"/>
      <c r="AV1037" s="18"/>
      <c r="AW1037" s="18"/>
      <c r="AX1037" s="18"/>
    </row>
    <row r="1038" spans="1:50" x14ac:dyDescent="0.2">
      <c r="A1038" s="4" t="s">
        <v>55</v>
      </c>
      <c r="B1038" s="4" t="s">
        <v>56</v>
      </c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1" t="s">
        <v>697</v>
      </c>
      <c r="AB1038" s="42" t="s">
        <v>233</v>
      </c>
      <c r="AC1038" s="43" t="s">
        <v>58</v>
      </c>
      <c r="AD1038" s="43">
        <v>5000000000</v>
      </c>
      <c r="AE1038" s="44">
        <v>0</v>
      </c>
      <c r="AF1038" s="44">
        <v>0</v>
      </c>
      <c r="AG1038" s="44">
        <v>0</v>
      </c>
      <c r="AH1038" s="43">
        <v>5000000000</v>
      </c>
      <c r="AI1038" s="43">
        <f t="shared" ref="AI1038" si="382">AE1038-AF1038+AG1038-AH1038</f>
        <v>-5000000000</v>
      </c>
      <c r="AJ1038" s="44">
        <f t="shared" ref="AJ1038" si="383">AD1038+AI1038</f>
        <v>0</v>
      </c>
      <c r="AK1038" s="44">
        <v>0</v>
      </c>
      <c r="AL1038" s="44">
        <v>0</v>
      </c>
      <c r="AM1038" s="44">
        <v>0</v>
      </c>
      <c r="AN1038" s="44">
        <v>0</v>
      </c>
      <c r="AO1038" s="44">
        <v>0</v>
      </c>
      <c r="AP1038" s="44">
        <v>0</v>
      </c>
      <c r="AQ1038" s="44">
        <v>0</v>
      </c>
      <c r="AR1038" s="44">
        <v>0</v>
      </c>
      <c r="AS1038" s="44">
        <v>0</v>
      </c>
      <c r="AT1038" s="40">
        <f t="shared" ref="AT1038:AT1039" si="384">AQ1038+AS1038</f>
        <v>0</v>
      </c>
      <c r="AU1038" s="34">
        <f>AJ1038-AM1038</f>
        <v>0</v>
      </c>
      <c r="AV1038" s="133">
        <f>AM1038-AP1038</f>
        <v>0</v>
      </c>
      <c r="AW1038" s="34">
        <f>AP1038-AT1038</f>
        <v>0</v>
      </c>
      <c r="AX1038" s="123">
        <v>0</v>
      </c>
    </row>
    <row r="1039" spans="1:50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1" t="s">
        <v>1119</v>
      </c>
      <c r="AB1039" s="42" t="s">
        <v>1015</v>
      </c>
      <c r="AC1039" s="43"/>
      <c r="AD1039" s="44">
        <v>0</v>
      </c>
      <c r="AE1039" s="43">
        <v>150000000</v>
      </c>
      <c r="AF1039" s="44">
        <v>0</v>
      </c>
      <c r="AG1039" s="44">
        <v>0</v>
      </c>
      <c r="AH1039" s="43">
        <v>150000000</v>
      </c>
      <c r="AI1039" s="43">
        <f>AE1039-AF1039+AG1039-AH1039</f>
        <v>0</v>
      </c>
      <c r="AJ1039" s="44">
        <f>AD1039+AI1039</f>
        <v>0</v>
      </c>
      <c r="AK1039" s="44">
        <v>0</v>
      </c>
      <c r="AL1039" s="44">
        <v>0</v>
      </c>
      <c r="AM1039" s="44">
        <v>0</v>
      </c>
      <c r="AN1039" s="44">
        <v>0</v>
      </c>
      <c r="AO1039" s="44">
        <v>0</v>
      </c>
      <c r="AP1039" s="44">
        <v>0</v>
      </c>
      <c r="AQ1039" s="44">
        <v>0</v>
      </c>
      <c r="AR1039" s="44">
        <v>0</v>
      </c>
      <c r="AS1039" s="44">
        <v>0</v>
      </c>
      <c r="AT1039" s="40">
        <f t="shared" si="384"/>
        <v>0</v>
      </c>
      <c r="AU1039" s="34">
        <f>AJ1039-AM1039</f>
        <v>0</v>
      </c>
      <c r="AV1039" s="133">
        <f>AM1039-AP1039</f>
        <v>0</v>
      </c>
      <c r="AW1039" s="34">
        <f>AP1039-AT1039</f>
        <v>0</v>
      </c>
      <c r="AX1039" s="123">
        <v>0</v>
      </c>
    </row>
    <row r="1040" spans="1:50" ht="25.5" x14ac:dyDescent="0.2">
      <c r="AA1040" s="28" t="s">
        <v>288</v>
      </c>
      <c r="AB1040" s="29" t="s">
        <v>698</v>
      </c>
      <c r="AC1040" s="17"/>
      <c r="AD1040" s="18"/>
      <c r="AE1040" s="18"/>
      <c r="AF1040" s="18"/>
      <c r="AG1040" s="18"/>
      <c r="AH1040" s="18"/>
      <c r="AI1040" s="18"/>
      <c r="AJ1040" s="18"/>
      <c r="AK1040" s="34"/>
      <c r="AL1040" s="34"/>
      <c r="AM1040" s="34"/>
      <c r="AN1040" s="34"/>
      <c r="AO1040" s="34"/>
      <c r="AP1040" s="34"/>
      <c r="AQ1040" s="18"/>
      <c r="AR1040" s="18"/>
      <c r="AS1040" s="18"/>
      <c r="AT1040" s="39"/>
      <c r="AU1040" s="34"/>
      <c r="AV1040" s="34"/>
      <c r="AW1040" s="34"/>
      <c r="AX1040" s="18"/>
    </row>
    <row r="1041" spans="1:50" x14ac:dyDescent="0.2">
      <c r="A1041" s="4" t="s">
        <v>55</v>
      </c>
      <c r="B1041" s="4" t="s">
        <v>56</v>
      </c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1" t="s">
        <v>699</v>
      </c>
      <c r="AB1041" s="42" t="s">
        <v>233</v>
      </c>
      <c r="AC1041" s="43" t="s">
        <v>58</v>
      </c>
      <c r="AD1041" s="43">
        <v>4500000000</v>
      </c>
      <c r="AE1041" s="44">
        <v>0</v>
      </c>
      <c r="AF1041" s="44">
        <v>0</v>
      </c>
      <c r="AG1041" s="44">
        <v>0</v>
      </c>
      <c r="AH1041" s="44">
        <v>0</v>
      </c>
      <c r="AI1041" s="44">
        <v>0</v>
      </c>
      <c r="AJ1041" s="43">
        <v>4500000000</v>
      </c>
      <c r="AK1041" s="44">
        <v>0</v>
      </c>
      <c r="AL1041" s="43">
        <v>4500000000</v>
      </c>
      <c r="AM1041" s="43">
        <v>4500000000</v>
      </c>
      <c r="AN1041" s="44">
        <v>0</v>
      </c>
      <c r="AO1041" s="44">
        <v>0</v>
      </c>
      <c r="AP1041" s="44">
        <v>0</v>
      </c>
      <c r="AQ1041" s="44">
        <v>0</v>
      </c>
      <c r="AR1041" s="44">
        <v>0</v>
      </c>
      <c r="AS1041" s="44">
        <v>0</v>
      </c>
      <c r="AT1041" s="40">
        <f t="shared" si="381"/>
        <v>0</v>
      </c>
      <c r="AU1041" s="34">
        <f>AJ1041-AM1041</f>
        <v>0</v>
      </c>
      <c r="AV1041" s="18">
        <f>AM1041-AP1041</f>
        <v>4500000000</v>
      </c>
      <c r="AW1041" s="34">
        <f>AP1041-AT1041</f>
        <v>0</v>
      </c>
      <c r="AX1041" s="123">
        <f>AP1041/AJ1041</f>
        <v>0</v>
      </c>
    </row>
    <row r="1042" spans="1:50" x14ac:dyDescent="0.2">
      <c r="AA1042" s="16"/>
      <c r="AB1042" s="17"/>
      <c r="AC1042" s="17"/>
      <c r="AD1042" s="18"/>
      <c r="AE1042" s="34"/>
      <c r="AF1042" s="34"/>
      <c r="AG1042" s="34"/>
      <c r="AH1042" s="34"/>
      <c r="AI1042" s="34"/>
      <c r="AJ1042" s="18"/>
      <c r="AK1042" s="34"/>
      <c r="AL1042" s="34"/>
      <c r="AM1042" s="34"/>
      <c r="AN1042" s="34"/>
      <c r="AO1042" s="34"/>
      <c r="AP1042" s="34"/>
      <c r="AQ1042" s="34"/>
      <c r="AR1042" s="34"/>
      <c r="AS1042" s="34"/>
      <c r="AT1042" s="31"/>
      <c r="AU1042" s="34"/>
      <c r="AV1042" s="34"/>
      <c r="AW1042" s="34"/>
      <c r="AX1042" s="18"/>
    </row>
    <row r="1043" spans="1:50" ht="25.5" x14ac:dyDescent="0.2">
      <c r="AA1043" s="16"/>
      <c r="AB1043" s="29" t="s">
        <v>197</v>
      </c>
      <c r="AC1043" s="17"/>
      <c r="AD1043" s="18"/>
      <c r="AE1043" s="34"/>
      <c r="AF1043" s="34"/>
      <c r="AG1043" s="34"/>
      <c r="AH1043" s="34"/>
      <c r="AI1043" s="34"/>
      <c r="AJ1043" s="18"/>
      <c r="AK1043" s="34"/>
      <c r="AL1043" s="34"/>
      <c r="AM1043" s="34"/>
      <c r="AN1043" s="34"/>
      <c r="AO1043" s="34"/>
      <c r="AP1043" s="34"/>
      <c r="AQ1043" s="34"/>
      <c r="AR1043" s="34"/>
      <c r="AS1043" s="34"/>
      <c r="AT1043" s="31"/>
      <c r="AU1043" s="34"/>
      <c r="AV1043" s="34"/>
      <c r="AW1043" s="34"/>
      <c r="AX1043" s="18"/>
    </row>
    <row r="1044" spans="1:50" ht="25.5" x14ac:dyDescent="0.2">
      <c r="AA1044" s="28" t="s">
        <v>288</v>
      </c>
      <c r="AB1044" s="29" t="s">
        <v>700</v>
      </c>
      <c r="AC1044" s="17"/>
      <c r="AD1044" s="18"/>
      <c r="AE1044" s="34"/>
      <c r="AF1044" s="34"/>
      <c r="AG1044" s="34"/>
      <c r="AH1044" s="34"/>
      <c r="AI1044" s="34"/>
      <c r="AJ1044" s="18"/>
      <c r="AK1044" s="34"/>
      <c r="AL1044" s="34"/>
      <c r="AM1044" s="34"/>
      <c r="AN1044" s="34"/>
      <c r="AO1044" s="34"/>
      <c r="AP1044" s="34"/>
      <c r="AQ1044" s="34"/>
      <c r="AR1044" s="34"/>
      <c r="AS1044" s="34"/>
      <c r="AT1044" s="31"/>
      <c r="AU1044" s="34"/>
      <c r="AV1044" s="34"/>
      <c r="AW1044" s="34"/>
      <c r="AX1044" s="18"/>
    </row>
    <row r="1045" spans="1:50" x14ac:dyDescent="0.2">
      <c r="A1045" s="4" t="s">
        <v>55</v>
      </c>
      <c r="B1045" s="4" t="s">
        <v>56</v>
      </c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1" t="s">
        <v>701</v>
      </c>
      <c r="AB1045" s="42" t="s">
        <v>233</v>
      </c>
      <c r="AC1045" s="43" t="s">
        <v>58</v>
      </c>
      <c r="AD1045" s="43">
        <v>4500000000</v>
      </c>
      <c r="AE1045" s="44">
        <v>0</v>
      </c>
      <c r="AF1045" s="44">
        <v>0</v>
      </c>
      <c r="AG1045" s="44">
        <v>0</v>
      </c>
      <c r="AH1045" s="44">
        <v>0</v>
      </c>
      <c r="AI1045" s="44">
        <v>0</v>
      </c>
      <c r="AJ1045" s="43">
        <v>4500000000</v>
      </c>
      <c r="AK1045" s="44">
        <v>0</v>
      </c>
      <c r="AL1045" s="43">
        <v>2744394000</v>
      </c>
      <c r="AM1045" s="43">
        <v>4500000000</v>
      </c>
      <c r="AN1045" s="44">
        <v>0</v>
      </c>
      <c r="AO1045" s="44">
        <v>0</v>
      </c>
      <c r="AP1045" s="44">
        <v>0</v>
      </c>
      <c r="AQ1045" s="44">
        <v>0</v>
      </c>
      <c r="AR1045" s="44">
        <v>0</v>
      </c>
      <c r="AS1045" s="44">
        <v>0</v>
      </c>
      <c r="AT1045" s="40">
        <f t="shared" si="381"/>
        <v>0</v>
      </c>
      <c r="AU1045" s="34">
        <f>AJ1045-AM1045</f>
        <v>0</v>
      </c>
      <c r="AV1045" s="18">
        <f>AM1045-AP1045</f>
        <v>4500000000</v>
      </c>
      <c r="AW1045" s="34">
        <f>AP1045-AT1045</f>
        <v>0</v>
      </c>
      <c r="AX1045" s="123">
        <f>AP1045/AJ1045</f>
        <v>0</v>
      </c>
    </row>
    <row r="1046" spans="1:50" x14ac:dyDescent="0.2">
      <c r="AA1046" s="28" t="s">
        <v>288</v>
      </c>
      <c r="AB1046" s="29" t="s">
        <v>400</v>
      </c>
      <c r="AC1046" s="17"/>
      <c r="AD1046" s="18"/>
      <c r="AE1046" s="34"/>
      <c r="AF1046" s="34"/>
      <c r="AG1046" s="34"/>
      <c r="AH1046" s="34"/>
      <c r="AI1046" s="34"/>
      <c r="AJ1046" s="18"/>
      <c r="AK1046" s="34"/>
      <c r="AL1046" s="18"/>
      <c r="AM1046" s="18"/>
      <c r="AN1046" s="34"/>
      <c r="AO1046" s="34"/>
      <c r="AP1046" s="18"/>
      <c r="AQ1046" s="18"/>
      <c r="AR1046" s="18"/>
      <c r="AS1046" s="18"/>
      <c r="AT1046" s="31"/>
      <c r="AU1046" s="18"/>
      <c r="AV1046" s="18"/>
      <c r="AW1046" s="18"/>
      <c r="AX1046" s="18"/>
    </row>
    <row r="1047" spans="1:50" x14ac:dyDescent="0.2">
      <c r="A1047" s="4" t="s">
        <v>55</v>
      </c>
      <c r="B1047" s="4" t="s">
        <v>56</v>
      </c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1" t="s">
        <v>401</v>
      </c>
      <c r="AB1047" s="42" t="s">
        <v>233</v>
      </c>
      <c r="AC1047" s="43" t="s">
        <v>58</v>
      </c>
      <c r="AD1047" s="43">
        <v>4899360013</v>
      </c>
      <c r="AE1047" s="44">
        <v>0</v>
      </c>
      <c r="AF1047" s="44">
        <v>0</v>
      </c>
      <c r="AG1047" s="44">
        <v>0</v>
      </c>
      <c r="AH1047" s="44">
        <v>0</v>
      </c>
      <c r="AI1047" s="44">
        <v>0</v>
      </c>
      <c r="AJ1047" s="43">
        <v>4899360013</v>
      </c>
      <c r="AK1047" s="43">
        <v>0</v>
      </c>
      <c r="AL1047" s="43">
        <v>2779222828</v>
      </c>
      <c r="AM1047" s="43">
        <v>4669125446</v>
      </c>
      <c r="AN1047" s="43">
        <v>0</v>
      </c>
      <c r="AO1047" s="43">
        <v>42000000</v>
      </c>
      <c r="AP1047" s="43">
        <v>1889902618</v>
      </c>
      <c r="AQ1047" s="43">
        <v>205653571</v>
      </c>
      <c r="AR1047" s="43">
        <v>172683571</v>
      </c>
      <c r="AS1047" s="43">
        <v>649690953</v>
      </c>
      <c r="AT1047" s="111">
        <f t="shared" si="381"/>
        <v>855344524</v>
      </c>
      <c r="AU1047" s="18">
        <f>AJ1047-AM1047</f>
        <v>230234567</v>
      </c>
      <c r="AV1047" s="18">
        <f>AM1047-AP1047</f>
        <v>2779222828</v>
      </c>
      <c r="AW1047" s="18">
        <f>AP1047-AT1047</f>
        <v>1034558094</v>
      </c>
      <c r="AX1047" s="123">
        <f>AP1047/AJ1047</f>
        <v>0.38574479380680693</v>
      </c>
    </row>
    <row r="1048" spans="1:50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1" t="s">
        <v>401</v>
      </c>
      <c r="AB1048" s="42" t="s">
        <v>1015</v>
      </c>
      <c r="AC1048" s="43"/>
      <c r="AD1048" s="44">
        <v>0</v>
      </c>
      <c r="AE1048" s="43">
        <v>533723107.06</v>
      </c>
      <c r="AF1048" s="44">
        <v>0</v>
      </c>
      <c r="AG1048" s="44">
        <v>0</v>
      </c>
      <c r="AH1048" s="44">
        <v>0</v>
      </c>
      <c r="AI1048" s="43">
        <f>AE1048-AF1048+AG1048-AH1048</f>
        <v>533723107.06</v>
      </c>
      <c r="AJ1048" s="43">
        <f>AD1048+AI1048</f>
        <v>533723107.06</v>
      </c>
      <c r="AK1048" s="44">
        <v>0</v>
      </c>
      <c r="AL1048" s="44">
        <v>0</v>
      </c>
      <c r="AM1048" s="43">
        <v>0</v>
      </c>
      <c r="AN1048" s="44">
        <v>0</v>
      </c>
      <c r="AO1048" s="44">
        <v>0</v>
      </c>
      <c r="AP1048" s="44">
        <v>0</v>
      </c>
      <c r="AQ1048" s="44">
        <v>0</v>
      </c>
      <c r="AR1048" s="44">
        <v>0</v>
      </c>
      <c r="AS1048" s="44">
        <v>0</v>
      </c>
      <c r="AT1048" s="135">
        <f t="shared" si="381"/>
        <v>0</v>
      </c>
      <c r="AU1048" s="18">
        <f>AJ1048-AM1048</f>
        <v>533723107.06</v>
      </c>
      <c r="AV1048" s="34">
        <f>AM1048-AP1048</f>
        <v>0</v>
      </c>
      <c r="AW1048" s="34">
        <f>AP1048-AT1048</f>
        <v>0</v>
      </c>
      <c r="AX1048" s="123">
        <f>AP1048/AJ1048</f>
        <v>0</v>
      </c>
    </row>
    <row r="1049" spans="1:50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1"/>
      <c r="AB1049" s="42"/>
      <c r="AC1049" s="43"/>
      <c r="AD1049" s="44"/>
      <c r="AE1049" s="43"/>
      <c r="AF1049" s="44"/>
      <c r="AG1049" s="44"/>
      <c r="AH1049" s="44"/>
      <c r="AI1049" s="44"/>
      <c r="AJ1049" s="43"/>
      <c r="AK1049" s="44"/>
      <c r="AL1049" s="44"/>
      <c r="AM1049" s="43"/>
      <c r="AN1049" s="44"/>
      <c r="AO1049" s="44"/>
      <c r="AP1049" s="44"/>
      <c r="AQ1049" s="44"/>
      <c r="AR1049" s="44"/>
      <c r="AS1049" s="44"/>
      <c r="AT1049" s="135"/>
      <c r="AU1049" s="18"/>
      <c r="AV1049" s="34"/>
      <c r="AW1049" s="34"/>
      <c r="AX1049" s="123"/>
    </row>
    <row r="1050" spans="1:50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73" t="s">
        <v>1016</v>
      </c>
      <c r="AB1050" s="74" t="s">
        <v>1068</v>
      </c>
      <c r="AC1050" s="43"/>
      <c r="AD1050" s="44"/>
      <c r="AE1050" s="43"/>
      <c r="AF1050" s="44"/>
      <c r="AG1050" s="44"/>
      <c r="AH1050" s="44"/>
      <c r="AI1050" s="44"/>
      <c r="AJ1050" s="43"/>
      <c r="AK1050" s="44"/>
      <c r="AL1050" s="44"/>
      <c r="AM1050" s="43"/>
      <c r="AN1050" s="44"/>
      <c r="AO1050" s="44"/>
      <c r="AP1050" s="44"/>
      <c r="AQ1050" s="44"/>
      <c r="AR1050" s="44"/>
      <c r="AS1050" s="44"/>
      <c r="AT1050" s="135"/>
      <c r="AU1050" s="18"/>
      <c r="AV1050" s="34"/>
      <c r="AW1050" s="34"/>
      <c r="AX1050" s="123"/>
    </row>
    <row r="1051" spans="1:50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73" t="s">
        <v>1017</v>
      </c>
      <c r="AB1051" s="74" t="s">
        <v>1069</v>
      </c>
      <c r="AC1051" s="43"/>
      <c r="AD1051" s="44"/>
      <c r="AE1051" s="43"/>
      <c r="AF1051" s="44"/>
      <c r="AG1051" s="44"/>
      <c r="AH1051" s="44"/>
      <c r="AI1051" s="44"/>
      <c r="AJ1051" s="43"/>
      <c r="AK1051" s="44"/>
      <c r="AL1051" s="44"/>
      <c r="AM1051" s="43"/>
      <c r="AN1051" s="44"/>
      <c r="AO1051" s="44"/>
      <c r="AP1051" s="44"/>
      <c r="AQ1051" s="44"/>
      <c r="AR1051" s="44"/>
      <c r="AS1051" s="44"/>
      <c r="AT1051" s="135"/>
      <c r="AU1051" s="18"/>
      <c r="AV1051" s="34"/>
      <c r="AW1051" s="34"/>
      <c r="AX1051" s="123"/>
    </row>
    <row r="1052" spans="1:50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73" t="s">
        <v>1018</v>
      </c>
      <c r="AB1052" s="74" t="s">
        <v>286</v>
      </c>
      <c r="AC1052" s="43"/>
      <c r="AD1052" s="44"/>
      <c r="AE1052" s="43"/>
      <c r="AF1052" s="44"/>
      <c r="AG1052" s="44"/>
      <c r="AH1052" s="44"/>
      <c r="AI1052" s="44"/>
      <c r="AJ1052" s="43"/>
      <c r="AK1052" s="44"/>
      <c r="AL1052" s="44"/>
      <c r="AM1052" s="43"/>
      <c r="AN1052" s="44"/>
      <c r="AO1052" s="44"/>
      <c r="AP1052" s="44"/>
      <c r="AQ1052" s="44"/>
      <c r="AR1052" s="44"/>
      <c r="AS1052" s="44"/>
      <c r="AT1052" s="135"/>
      <c r="AU1052" s="18"/>
      <c r="AV1052" s="34"/>
      <c r="AW1052" s="34"/>
      <c r="AX1052" s="123"/>
    </row>
    <row r="1053" spans="1:50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73" t="s">
        <v>1021</v>
      </c>
      <c r="AB1053" s="74" t="s">
        <v>1070</v>
      </c>
      <c r="AC1053" s="43"/>
      <c r="AD1053" s="44"/>
      <c r="AE1053" s="43"/>
      <c r="AF1053" s="44"/>
      <c r="AG1053" s="44"/>
      <c r="AH1053" s="44"/>
      <c r="AI1053" s="44"/>
      <c r="AJ1053" s="43"/>
      <c r="AK1053" s="44"/>
      <c r="AL1053" s="44"/>
      <c r="AM1053" s="43"/>
      <c r="AN1053" s="44"/>
      <c r="AO1053" s="44"/>
      <c r="AP1053" s="44"/>
      <c r="AQ1053" s="44"/>
      <c r="AR1053" s="44"/>
      <c r="AS1053" s="44"/>
      <c r="AT1053" s="135"/>
      <c r="AU1053" s="18"/>
      <c r="AV1053" s="34"/>
      <c r="AW1053" s="34"/>
      <c r="AX1053" s="123"/>
    </row>
    <row r="1054" spans="1:50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1" t="s">
        <v>1019</v>
      </c>
      <c r="AB1054" s="42" t="s">
        <v>1005</v>
      </c>
      <c r="AC1054" s="43"/>
      <c r="AD1054" s="44">
        <v>0</v>
      </c>
      <c r="AE1054" s="43">
        <v>546274807</v>
      </c>
      <c r="AF1054" s="44">
        <v>0</v>
      </c>
      <c r="AG1054" s="44">
        <v>0</v>
      </c>
      <c r="AH1054" s="44">
        <v>0</v>
      </c>
      <c r="AI1054" s="43">
        <f>AE1054-AF1054+AG1054-AH1054</f>
        <v>546274807</v>
      </c>
      <c r="AJ1054" s="43">
        <f>AD1054+AI1054</f>
        <v>546274807</v>
      </c>
      <c r="AK1054" s="44">
        <v>0</v>
      </c>
      <c r="AL1054" s="44">
        <v>0</v>
      </c>
      <c r="AM1054" s="43">
        <v>0</v>
      </c>
      <c r="AN1054" s="44">
        <v>0</v>
      </c>
      <c r="AO1054" s="44">
        <v>0</v>
      </c>
      <c r="AP1054" s="44">
        <v>0</v>
      </c>
      <c r="AQ1054" s="44">
        <v>0</v>
      </c>
      <c r="AR1054" s="44">
        <v>0</v>
      </c>
      <c r="AS1054" s="44">
        <v>0</v>
      </c>
      <c r="AT1054" s="135">
        <f t="shared" ref="AT1054" si="385">AQ1054+AS1054</f>
        <v>0</v>
      </c>
      <c r="AU1054" s="18">
        <f>AJ1054-AM1054</f>
        <v>546274807</v>
      </c>
      <c r="AV1054" s="34">
        <f>AM1054-AP1054</f>
        <v>0</v>
      </c>
      <c r="AW1054" s="34">
        <f>AP1054-AT1054</f>
        <v>0</v>
      </c>
      <c r="AX1054" s="123">
        <f>AP1054/AJ1054</f>
        <v>0</v>
      </c>
    </row>
    <row r="1055" spans="1:50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1"/>
      <c r="AB1055" s="42"/>
      <c r="AC1055" s="43"/>
      <c r="AD1055" s="43"/>
      <c r="AE1055" s="43"/>
      <c r="AF1055" s="44"/>
      <c r="AG1055" s="44"/>
      <c r="AH1055" s="44"/>
      <c r="AI1055" s="44"/>
      <c r="AJ1055" s="43"/>
      <c r="AK1055" s="44"/>
      <c r="AL1055" s="44"/>
      <c r="AM1055" s="43"/>
      <c r="AN1055" s="44"/>
      <c r="AO1055" s="44"/>
      <c r="AP1055" s="43"/>
      <c r="AQ1055" s="43"/>
      <c r="AR1055" s="43"/>
      <c r="AS1055" s="43"/>
      <c r="AT1055" s="111"/>
      <c r="AU1055" s="18"/>
      <c r="AV1055" s="18"/>
      <c r="AW1055" s="18"/>
      <c r="AX1055" s="123"/>
    </row>
    <row r="1056" spans="1:50" s="50" customFormat="1" x14ac:dyDescent="0.2">
      <c r="B1056" s="77"/>
      <c r="C1056" s="77"/>
      <c r="D1056" s="77"/>
      <c r="E1056" s="77"/>
      <c r="F1056" s="77"/>
      <c r="G1056" s="77"/>
      <c r="H1056" s="77"/>
      <c r="I1056" s="77"/>
      <c r="J1056" s="77"/>
      <c r="K1056" s="77"/>
      <c r="L1056" s="77"/>
      <c r="M1056" s="77"/>
      <c r="N1056" s="77"/>
      <c r="O1056" s="77"/>
      <c r="P1056" s="77"/>
      <c r="Q1056" s="77"/>
      <c r="R1056" s="77"/>
      <c r="S1056" s="77"/>
      <c r="T1056" s="77"/>
      <c r="U1056" s="77"/>
      <c r="V1056" s="77"/>
      <c r="W1056" s="77"/>
      <c r="X1056" s="77"/>
      <c r="Y1056" s="77"/>
      <c r="Z1056" s="77"/>
      <c r="AA1056" s="46"/>
      <c r="AB1056" s="47" t="s">
        <v>702</v>
      </c>
      <c r="AC1056" s="47"/>
      <c r="AD1056" s="48">
        <f t="shared" ref="AD1056:AW1056" si="386">SUM(AD1030:AD1055)</f>
        <v>38899360013</v>
      </c>
      <c r="AE1056" s="48">
        <f t="shared" si="386"/>
        <v>2729997914.0599999</v>
      </c>
      <c r="AF1056" s="49">
        <f t="shared" si="386"/>
        <v>0</v>
      </c>
      <c r="AG1056" s="49">
        <f t="shared" si="386"/>
        <v>0</v>
      </c>
      <c r="AH1056" s="48">
        <f t="shared" si="386"/>
        <v>16281000000</v>
      </c>
      <c r="AI1056" s="48">
        <f t="shared" si="386"/>
        <v>-13551002085.940001</v>
      </c>
      <c r="AJ1056" s="48">
        <f t="shared" si="386"/>
        <v>25348357927.060001</v>
      </c>
      <c r="AK1056" s="49">
        <f t="shared" si="386"/>
        <v>0</v>
      </c>
      <c r="AL1056" s="48">
        <f t="shared" si="386"/>
        <v>10023616828</v>
      </c>
      <c r="AM1056" s="48">
        <f t="shared" si="386"/>
        <v>22596625946</v>
      </c>
      <c r="AN1056" s="48">
        <f t="shared" si="386"/>
        <v>0</v>
      </c>
      <c r="AO1056" s="48">
        <f t="shared" si="386"/>
        <v>42000000</v>
      </c>
      <c r="AP1056" s="48">
        <f t="shared" si="386"/>
        <v>10817403118</v>
      </c>
      <c r="AQ1056" s="48">
        <f t="shared" si="386"/>
        <v>205653571</v>
      </c>
      <c r="AR1056" s="48">
        <f t="shared" si="386"/>
        <v>172683571</v>
      </c>
      <c r="AS1056" s="48">
        <f t="shared" si="386"/>
        <v>9577191453</v>
      </c>
      <c r="AT1056" s="48">
        <f t="shared" si="386"/>
        <v>9782845024</v>
      </c>
      <c r="AU1056" s="48">
        <f t="shared" si="386"/>
        <v>2751731981.0599999</v>
      </c>
      <c r="AV1056" s="48">
        <f t="shared" si="386"/>
        <v>11779222828</v>
      </c>
      <c r="AW1056" s="48">
        <f t="shared" si="386"/>
        <v>1034558094</v>
      </c>
      <c r="AX1056" s="24">
        <f>AP1056/AJ1056</f>
        <v>0.42674965964766315</v>
      </c>
    </row>
    <row r="1057" spans="1:50" x14ac:dyDescent="0.2">
      <c r="AA1057" s="16"/>
      <c r="AB1057" s="17"/>
      <c r="AC1057" s="17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</row>
    <row r="1058" spans="1:50" s="25" customFormat="1" x14ac:dyDescent="0.2">
      <c r="B1058" s="71"/>
      <c r="C1058" s="71"/>
      <c r="D1058" s="71"/>
      <c r="E1058" s="71"/>
      <c r="F1058" s="71"/>
      <c r="G1058" s="71"/>
      <c r="H1058" s="71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71"/>
      <c r="T1058" s="71"/>
      <c r="U1058" s="71"/>
      <c r="V1058" s="71"/>
      <c r="W1058" s="71"/>
      <c r="X1058" s="71"/>
      <c r="Y1058" s="71"/>
      <c r="Z1058" s="71"/>
      <c r="AA1058" s="66"/>
      <c r="AB1058" s="21" t="s">
        <v>703</v>
      </c>
      <c r="AC1058" s="67"/>
      <c r="AD1058" s="63"/>
      <c r="AE1058" s="63"/>
      <c r="AF1058" s="63"/>
      <c r="AG1058" s="63"/>
      <c r="AH1058" s="63"/>
      <c r="AI1058" s="63"/>
      <c r="AJ1058" s="63"/>
      <c r="AK1058" s="63"/>
      <c r="AL1058" s="63"/>
      <c r="AM1058" s="63"/>
      <c r="AN1058" s="63"/>
      <c r="AO1058" s="63"/>
      <c r="AP1058" s="63"/>
      <c r="AQ1058" s="63"/>
      <c r="AR1058" s="63"/>
      <c r="AS1058" s="63"/>
      <c r="AT1058" s="63"/>
      <c r="AU1058" s="63"/>
      <c r="AV1058" s="63"/>
      <c r="AW1058" s="63"/>
      <c r="AX1058" s="63"/>
    </row>
    <row r="1059" spans="1:50" x14ac:dyDescent="0.2">
      <c r="AA1059" s="16"/>
      <c r="AB1059" s="29" t="s">
        <v>676</v>
      </c>
      <c r="AC1059" s="17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</row>
    <row r="1060" spans="1:50" ht="18.75" customHeight="1" x14ac:dyDescent="0.2">
      <c r="AA1060" s="16"/>
      <c r="AB1060" s="29" t="s">
        <v>286</v>
      </c>
      <c r="AC1060" s="17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</row>
    <row r="1061" spans="1:50" ht="18.75" customHeight="1" x14ac:dyDescent="0.2">
      <c r="AA1061" s="16"/>
      <c r="AB1061" s="29" t="s">
        <v>179</v>
      </c>
      <c r="AC1061" s="17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</row>
    <row r="1062" spans="1:50" ht="18.75" customHeight="1" x14ac:dyDescent="0.2">
      <c r="AA1062" s="16"/>
      <c r="AB1062" s="29" t="s">
        <v>189</v>
      </c>
      <c r="AC1062" s="17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</row>
    <row r="1063" spans="1:50" ht="18.75" customHeight="1" x14ac:dyDescent="0.2">
      <c r="AA1063" s="16"/>
      <c r="AB1063" s="29" t="s">
        <v>199</v>
      </c>
      <c r="AC1063" s="17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30"/>
      <c r="AU1063" s="18"/>
      <c r="AV1063" s="18"/>
      <c r="AW1063" s="18"/>
      <c r="AX1063" s="18"/>
    </row>
    <row r="1064" spans="1:50" ht="39" customHeight="1" x14ac:dyDescent="0.2">
      <c r="AA1064" s="170" t="s">
        <v>288</v>
      </c>
      <c r="AB1064" s="165" t="s">
        <v>1124</v>
      </c>
      <c r="AC1064" s="161"/>
      <c r="AD1064" s="18"/>
      <c r="AE1064" s="222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30"/>
      <c r="AU1064" s="18"/>
      <c r="AV1064" s="18"/>
      <c r="AW1064" s="18"/>
      <c r="AX1064" s="18"/>
    </row>
    <row r="1065" spans="1:50" ht="28.5" customHeight="1" x14ac:dyDescent="0.2">
      <c r="AA1065" s="166" t="s">
        <v>1129</v>
      </c>
      <c r="AB1065" s="167" t="s">
        <v>1130</v>
      </c>
      <c r="AC1065" s="161"/>
      <c r="AD1065" s="34">
        <v>0</v>
      </c>
      <c r="AE1065" s="217">
        <v>13266452.33</v>
      </c>
      <c r="AF1065" s="232">
        <v>0</v>
      </c>
      <c r="AG1065" s="34">
        <v>0</v>
      </c>
      <c r="AH1065" s="34">
        <v>0</v>
      </c>
      <c r="AI1065" s="43">
        <f>AE1065-AF1065+AG1065-AH1065</f>
        <v>13266452.33</v>
      </c>
      <c r="AJ1065" s="43">
        <f>AD1065+AI1065</f>
        <v>13266452.33</v>
      </c>
      <c r="AK1065" s="34">
        <v>0</v>
      </c>
      <c r="AL1065" s="34">
        <v>0</v>
      </c>
      <c r="AM1065" s="34">
        <v>0</v>
      </c>
      <c r="AN1065" s="18">
        <v>0</v>
      </c>
      <c r="AO1065" s="34">
        <v>0</v>
      </c>
      <c r="AP1065" s="34">
        <v>0</v>
      </c>
      <c r="AQ1065" s="34">
        <v>0</v>
      </c>
      <c r="AR1065" s="34">
        <v>0</v>
      </c>
      <c r="AS1065" s="34">
        <v>0</v>
      </c>
      <c r="AT1065" s="135">
        <f t="shared" ref="AT1065:AT1067" si="387">AQ1065+AS1065</f>
        <v>0</v>
      </c>
      <c r="AU1065" s="18">
        <f>AJ1065-AM1065</f>
        <v>13266452.33</v>
      </c>
      <c r="AV1065" s="133">
        <f>AM1065-AP1065</f>
        <v>0</v>
      </c>
      <c r="AW1065" s="34">
        <f>AP1065-AT1065</f>
        <v>0</v>
      </c>
      <c r="AX1065" s="123">
        <f>AP1065/AJ1065</f>
        <v>0</v>
      </c>
    </row>
    <row r="1066" spans="1:50" ht="18.75" customHeight="1" x14ac:dyDescent="0.2">
      <c r="AA1066" s="166" t="s">
        <v>1127</v>
      </c>
      <c r="AB1066" s="167" t="s">
        <v>1128</v>
      </c>
      <c r="AC1066" s="161"/>
      <c r="AD1066" s="34">
        <v>0</v>
      </c>
      <c r="AE1066" s="217">
        <v>10555526.43</v>
      </c>
      <c r="AF1066" s="232">
        <v>0</v>
      </c>
      <c r="AG1066" s="34">
        <v>0</v>
      </c>
      <c r="AH1066" s="34">
        <v>0</v>
      </c>
      <c r="AI1066" s="43">
        <f>AE1066-AF1066+AG1066-AH1066</f>
        <v>10555526.43</v>
      </c>
      <c r="AJ1066" s="43">
        <f>AD1066+AI1066</f>
        <v>10555526.43</v>
      </c>
      <c r="AK1066" s="34">
        <v>0</v>
      </c>
      <c r="AL1066" s="34">
        <v>0</v>
      </c>
      <c r="AM1066" s="34">
        <v>0</v>
      </c>
      <c r="AN1066" s="18"/>
      <c r="AO1066" s="34">
        <v>0</v>
      </c>
      <c r="AP1066" s="34">
        <v>0</v>
      </c>
      <c r="AQ1066" s="34">
        <v>0</v>
      </c>
      <c r="AR1066" s="34">
        <v>0</v>
      </c>
      <c r="AS1066" s="34">
        <v>0</v>
      </c>
      <c r="AT1066" s="135">
        <f t="shared" si="387"/>
        <v>0</v>
      </c>
      <c r="AU1066" s="18">
        <f>AJ1066-AM1066</f>
        <v>10555526.43</v>
      </c>
      <c r="AV1066" s="133">
        <f>AM1066-AP1066</f>
        <v>0</v>
      </c>
      <c r="AW1066" s="34">
        <f>AP1066-AT1066</f>
        <v>0</v>
      </c>
      <c r="AX1066" s="123">
        <f>AP1066/AJ1066</f>
        <v>0</v>
      </c>
    </row>
    <row r="1067" spans="1:50" ht="25.5" customHeight="1" x14ac:dyDescent="0.2">
      <c r="AA1067" s="166" t="s">
        <v>1125</v>
      </c>
      <c r="AB1067" s="167" t="s">
        <v>1126</v>
      </c>
      <c r="AC1067" s="161"/>
      <c r="AD1067" s="34">
        <v>0</v>
      </c>
      <c r="AE1067" s="217">
        <v>4178021.24</v>
      </c>
      <c r="AF1067" s="232">
        <v>0</v>
      </c>
      <c r="AG1067" s="34">
        <v>0</v>
      </c>
      <c r="AH1067" s="34">
        <v>0</v>
      </c>
      <c r="AI1067" s="43">
        <f t="shared" ref="AI1067" si="388">AE1067-AF1067+AG1067-AH1067</f>
        <v>4178021.24</v>
      </c>
      <c r="AJ1067" s="43">
        <f t="shared" ref="AJ1067" si="389">AD1067+AI1067</f>
        <v>4178021.24</v>
      </c>
      <c r="AK1067" s="34">
        <v>0</v>
      </c>
      <c r="AL1067" s="34">
        <v>0</v>
      </c>
      <c r="AM1067" s="34">
        <v>0</v>
      </c>
      <c r="AN1067" s="18"/>
      <c r="AO1067" s="34">
        <v>0</v>
      </c>
      <c r="AP1067" s="34">
        <v>0</v>
      </c>
      <c r="AQ1067" s="34">
        <v>0</v>
      </c>
      <c r="AR1067" s="34">
        <v>0</v>
      </c>
      <c r="AS1067" s="34">
        <v>0</v>
      </c>
      <c r="AT1067" s="135">
        <f t="shared" si="387"/>
        <v>0</v>
      </c>
      <c r="AU1067" s="18">
        <f>AJ1067-AM1067</f>
        <v>4178021.24</v>
      </c>
      <c r="AV1067" s="133">
        <f>AM1067-AP1067</f>
        <v>0</v>
      </c>
      <c r="AW1067" s="34">
        <f>AP1067-AT1067</f>
        <v>0</v>
      </c>
      <c r="AX1067" s="123">
        <f>AP1067/AJ1067</f>
        <v>0</v>
      </c>
    </row>
    <row r="1068" spans="1:50" x14ac:dyDescent="0.2">
      <c r="AA1068" s="28" t="s">
        <v>288</v>
      </c>
      <c r="AB1068" s="29" t="s">
        <v>704</v>
      </c>
      <c r="AC1068" s="17"/>
      <c r="AD1068" s="18"/>
      <c r="AE1068" s="18"/>
      <c r="AF1068" s="18"/>
      <c r="AG1068" s="18"/>
      <c r="AH1068" s="18"/>
      <c r="AI1068" s="18"/>
      <c r="AJ1068" s="18"/>
      <c r="AK1068" s="34"/>
      <c r="AL1068" s="34"/>
      <c r="AM1068" s="34"/>
      <c r="AN1068" s="34"/>
      <c r="AO1068" s="34"/>
      <c r="AP1068" s="34"/>
      <c r="AQ1068" s="34"/>
      <c r="AR1068" s="34"/>
      <c r="AS1068" s="34"/>
      <c r="AT1068" s="31"/>
      <c r="AU1068" s="18"/>
      <c r="AV1068" s="18"/>
      <c r="AW1068" s="18"/>
      <c r="AX1068" s="18"/>
    </row>
    <row r="1069" spans="1:50" x14ac:dyDescent="0.2">
      <c r="A1069" s="4" t="s">
        <v>55</v>
      </c>
      <c r="B1069" s="4" t="s">
        <v>56</v>
      </c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1" t="s">
        <v>705</v>
      </c>
      <c r="AB1069" s="42" t="s">
        <v>233</v>
      </c>
      <c r="AC1069" s="43" t="s">
        <v>58</v>
      </c>
      <c r="AD1069" s="43">
        <v>221000000</v>
      </c>
      <c r="AE1069" s="44">
        <v>0</v>
      </c>
      <c r="AF1069" s="44">
        <v>0</v>
      </c>
      <c r="AG1069" s="44">
        <v>0</v>
      </c>
      <c r="AH1069" s="43">
        <v>221000000</v>
      </c>
      <c r="AI1069" s="136">
        <f>AE1069-AF1069+AG1069-AH1069</f>
        <v>-221000000</v>
      </c>
      <c r="AJ1069" s="44">
        <f>AD1069+AI1069</f>
        <v>0</v>
      </c>
      <c r="AK1069" s="44">
        <v>0</v>
      </c>
      <c r="AL1069" s="44">
        <v>0</v>
      </c>
      <c r="AM1069" s="44">
        <v>0</v>
      </c>
      <c r="AN1069" s="44">
        <v>0</v>
      </c>
      <c r="AO1069" s="44">
        <v>0</v>
      </c>
      <c r="AP1069" s="44">
        <v>0</v>
      </c>
      <c r="AQ1069" s="44">
        <v>0</v>
      </c>
      <c r="AR1069" s="44">
        <v>0</v>
      </c>
      <c r="AS1069" s="44">
        <v>0</v>
      </c>
      <c r="AT1069" s="40">
        <f t="shared" ref="AT1069:AT1075" si="390">AQ1069+AS1069</f>
        <v>0</v>
      </c>
      <c r="AU1069" s="34">
        <f>AJ1069-AM1069</f>
        <v>0</v>
      </c>
      <c r="AV1069" s="133">
        <f>AM1069-AP1069</f>
        <v>0</v>
      </c>
      <c r="AW1069" s="34">
        <f>AP1069-AT1069</f>
        <v>0</v>
      </c>
      <c r="AX1069" s="123">
        <v>0</v>
      </c>
    </row>
    <row r="1070" spans="1:50" ht="25.5" x14ac:dyDescent="0.2">
      <c r="AA1070" s="28" t="s">
        <v>288</v>
      </c>
      <c r="AB1070" s="29" t="s">
        <v>706</v>
      </c>
      <c r="AC1070" s="17"/>
      <c r="AD1070" s="18"/>
      <c r="AE1070" s="34"/>
      <c r="AF1070" s="34"/>
      <c r="AG1070" s="34"/>
      <c r="AH1070" s="18"/>
      <c r="AI1070" s="18"/>
      <c r="AJ1070" s="18"/>
      <c r="AK1070" s="34"/>
      <c r="AL1070" s="18"/>
      <c r="AM1070" s="18"/>
      <c r="AN1070" s="18"/>
      <c r="AO1070" s="18"/>
      <c r="AP1070" s="18"/>
      <c r="AQ1070" s="18"/>
      <c r="AR1070" s="18"/>
      <c r="AS1070" s="18"/>
      <c r="AT1070" s="31"/>
      <c r="AU1070" s="18"/>
      <c r="AV1070" s="18"/>
      <c r="AW1070" s="18"/>
      <c r="AX1070" s="18"/>
    </row>
    <row r="1071" spans="1:50" x14ac:dyDescent="0.2">
      <c r="A1071" s="4" t="s">
        <v>55</v>
      </c>
      <c r="B1071" s="4" t="s">
        <v>56</v>
      </c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1" t="s">
        <v>982</v>
      </c>
      <c r="AB1071" s="42" t="s">
        <v>233</v>
      </c>
      <c r="AC1071" s="43" t="s">
        <v>58</v>
      </c>
      <c r="AD1071" s="43">
        <v>2458264706</v>
      </c>
      <c r="AE1071" s="44">
        <v>0</v>
      </c>
      <c r="AF1071" s="44">
        <v>0</v>
      </c>
      <c r="AG1071" s="44">
        <v>0</v>
      </c>
      <c r="AH1071" s="44">
        <v>0</v>
      </c>
      <c r="AI1071" s="97">
        <f>AE1071-AF1071+AG1071-AH1071</f>
        <v>0</v>
      </c>
      <c r="AJ1071" s="43">
        <f>AD1071+AI1071</f>
        <v>2458264706</v>
      </c>
      <c r="AK1071" s="44">
        <v>0</v>
      </c>
      <c r="AL1071" s="44">
        <v>0</v>
      </c>
      <c r="AM1071" s="43">
        <v>2079364706</v>
      </c>
      <c r="AN1071" s="44">
        <v>0</v>
      </c>
      <c r="AO1071" s="43">
        <v>0</v>
      </c>
      <c r="AP1071" s="43">
        <v>2079364706</v>
      </c>
      <c r="AQ1071" s="43">
        <v>101920000</v>
      </c>
      <c r="AR1071" s="43">
        <v>23520000</v>
      </c>
      <c r="AS1071" s="43">
        <v>91298667</v>
      </c>
      <c r="AT1071" s="111">
        <f t="shared" si="390"/>
        <v>193218667</v>
      </c>
      <c r="AU1071" s="18">
        <f>AJ1071-AM1071</f>
        <v>378900000</v>
      </c>
      <c r="AV1071" s="133">
        <f>AM1071-AP1071</f>
        <v>0</v>
      </c>
      <c r="AW1071" s="18">
        <f>AP1071-AT1071</f>
        <v>1886146039</v>
      </c>
      <c r="AX1071" s="123">
        <f>AP1071/AJ1071</f>
        <v>0.84586688362925222</v>
      </c>
    </row>
    <row r="1072" spans="1:50" ht="38.25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73" t="s">
        <v>288</v>
      </c>
      <c r="AB1072" s="74" t="s">
        <v>1122</v>
      </c>
      <c r="AC1072" s="43"/>
      <c r="AD1072" s="43"/>
      <c r="AE1072" s="44"/>
      <c r="AF1072" s="44"/>
      <c r="AG1072" s="44"/>
      <c r="AH1072" s="44"/>
      <c r="AI1072" s="97"/>
      <c r="AJ1072" s="43"/>
      <c r="AK1072" s="44"/>
      <c r="AL1072" s="44"/>
      <c r="AM1072" s="43"/>
      <c r="AN1072" s="44"/>
      <c r="AO1072" s="43"/>
      <c r="AP1072" s="43"/>
      <c r="AQ1072" s="43"/>
      <c r="AR1072" s="43"/>
      <c r="AS1072" s="43"/>
      <c r="AT1072" s="111"/>
      <c r="AU1072" s="18"/>
      <c r="AV1072" s="133"/>
      <c r="AW1072" s="18"/>
      <c r="AX1072" s="123"/>
    </row>
    <row r="1073" spans="1:50" ht="25.5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1" t="s">
        <v>1123</v>
      </c>
      <c r="AB1073" s="42" t="s">
        <v>1121</v>
      </c>
      <c r="AC1073" s="43"/>
      <c r="AD1073" s="44">
        <v>0</v>
      </c>
      <c r="AE1073" s="43">
        <v>3500000</v>
      </c>
      <c r="AF1073" s="44">
        <v>0</v>
      </c>
      <c r="AG1073" s="44">
        <v>0</v>
      </c>
      <c r="AH1073" s="44">
        <v>0</v>
      </c>
      <c r="AI1073" s="136">
        <f>AE1073-AF1073+AG1073-AH1073</f>
        <v>3500000</v>
      </c>
      <c r="AJ1073" s="43">
        <f>AD1073+AI1073</f>
        <v>3500000</v>
      </c>
      <c r="AK1073" s="44">
        <v>0</v>
      </c>
      <c r="AL1073" s="44">
        <v>0</v>
      </c>
      <c r="AM1073" s="43">
        <v>0</v>
      </c>
      <c r="AN1073" s="44">
        <v>0</v>
      </c>
      <c r="AO1073" s="44">
        <v>0</v>
      </c>
      <c r="AP1073" s="44">
        <v>0</v>
      </c>
      <c r="AQ1073" s="44">
        <v>0</v>
      </c>
      <c r="AR1073" s="44">
        <v>0</v>
      </c>
      <c r="AS1073" s="44">
        <v>0</v>
      </c>
      <c r="AT1073" s="135"/>
      <c r="AU1073" s="18">
        <f>AJ1073-AM1073</f>
        <v>3500000</v>
      </c>
      <c r="AV1073" s="133">
        <f>AM1073-AP1073</f>
        <v>0</v>
      </c>
      <c r="AW1073" s="18">
        <f>AP1073-AT1073</f>
        <v>0</v>
      </c>
      <c r="AX1073" s="123">
        <f>AP1073/AJ1073</f>
        <v>0</v>
      </c>
    </row>
    <row r="1074" spans="1:50" ht="25.5" x14ac:dyDescent="0.2">
      <c r="AA1074" s="28" t="s">
        <v>288</v>
      </c>
      <c r="AB1074" s="29" t="s">
        <v>708</v>
      </c>
      <c r="AC1074" s="17"/>
      <c r="AD1074" s="18"/>
      <c r="AE1074" s="34"/>
      <c r="AF1074" s="34"/>
      <c r="AG1074" s="34"/>
      <c r="AH1074" s="18"/>
      <c r="AI1074" s="18"/>
      <c r="AJ1074" s="18"/>
      <c r="AK1074" s="34"/>
      <c r="AL1074" s="34"/>
      <c r="AM1074" s="18"/>
      <c r="AN1074" s="34"/>
      <c r="AO1074" s="18"/>
      <c r="AP1074" s="18"/>
      <c r="AQ1074" s="18"/>
      <c r="AR1074" s="18"/>
      <c r="AS1074" s="18"/>
      <c r="AT1074" s="31"/>
      <c r="AU1074" s="18"/>
      <c r="AV1074" s="18"/>
      <c r="AW1074" s="18"/>
      <c r="AX1074" s="18"/>
    </row>
    <row r="1075" spans="1:50" x14ac:dyDescent="0.2">
      <c r="A1075" s="4" t="s">
        <v>55</v>
      </c>
      <c r="B1075" s="4" t="s">
        <v>56</v>
      </c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1" t="s">
        <v>709</v>
      </c>
      <c r="AB1075" s="42" t="s">
        <v>233</v>
      </c>
      <c r="AC1075" s="43" t="s">
        <v>58</v>
      </c>
      <c r="AD1075" s="43">
        <v>501500000</v>
      </c>
      <c r="AE1075" s="44">
        <v>0</v>
      </c>
      <c r="AF1075" s="44">
        <v>0</v>
      </c>
      <c r="AG1075" s="43">
        <v>204500000</v>
      </c>
      <c r="AH1075" s="43">
        <v>501500000</v>
      </c>
      <c r="AI1075" s="136">
        <f>AE1075-AF1075+AG1075-AH1075</f>
        <v>-297000000</v>
      </c>
      <c r="AJ1075" s="43">
        <f>AD1075+AI1075</f>
        <v>204500000</v>
      </c>
      <c r="AK1075" s="44">
        <v>0</v>
      </c>
      <c r="AL1075" s="44">
        <v>0</v>
      </c>
      <c r="AM1075" s="43">
        <v>192393333</v>
      </c>
      <c r="AN1075" s="44">
        <v>0</v>
      </c>
      <c r="AO1075" s="43">
        <v>0</v>
      </c>
      <c r="AP1075" s="43">
        <v>192393333</v>
      </c>
      <c r="AQ1075" s="43">
        <v>24780000</v>
      </c>
      <c r="AR1075" s="43">
        <v>28520000</v>
      </c>
      <c r="AS1075" s="43">
        <v>44963334</v>
      </c>
      <c r="AT1075" s="39">
        <f t="shared" si="390"/>
        <v>69743334</v>
      </c>
      <c r="AU1075" s="18">
        <f>AJ1075-AM1075</f>
        <v>12106667</v>
      </c>
      <c r="AV1075" s="34">
        <f>AM1075-AP1075</f>
        <v>0</v>
      </c>
      <c r="AW1075" s="18">
        <f>AP1075-AT1075</f>
        <v>122649999</v>
      </c>
      <c r="AX1075" s="123">
        <f>AP1075/AJ1075</f>
        <v>0.94079869437652808</v>
      </c>
    </row>
    <row r="1076" spans="1:50" x14ac:dyDescent="0.2">
      <c r="AA1076" s="28" t="s">
        <v>288</v>
      </c>
      <c r="AB1076" s="29" t="s">
        <v>710</v>
      </c>
      <c r="AC1076" s="17"/>
      <c r="AD1076" s="18"/>
      <c r="AE1076" s="18"/>
      <c r="AF1076" s="18"/>
      <c r="AG1076" s="18"/>
      <c r="AH1076" s="18"/>
      <c r="AI1076" s="18"/>
      <c r="AJ1076" s="18"/>
      <c r="AK1076" s="34"/>
      <c r="AL1076" s="34"/>
      <c r="AM1076" s="18"/>
      <c r="AN1076" s="34"/>
      <c r="AO1076" s="18"/>
      <c r="AP1076" s="18"/>
      <c r="AQ1076" s="18"/>
      <c r="AR1076" s="18"/>
      <c r="AS1076" s="18"/>
      <c r="AT1076" s="31"/>
      <c r="AU1076" s="18"/>
      <c r="AV1076" s="34"/>
      <c r="AW1076" s="34"/>
      <c r="AX1076" s="18"/>
    </row>
    <row r="1077" spans="1:50" ht="16.5" customHeight="1" x14ac:dyDescent="0.2">
      <c r="A1077" s="4" t="s">
        <v>55</v>
      </c>
      <c r="B1077" s="4" t="s">
        <v>56</v>
      </c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1" t="s">
        <v>711</v>
      </c>
      <c r="AB1077" s="17" t="s">
        <v>233</v>
      </c>
      <c r="AC1077" s="43" t="s">
        <v>58</v>
      </c>
      <c r="AD1077" s="44">
        <v>0</v>
      </c>
      <c r="AE1077" s="44">
        <v>0</v>
      </c>
      <c r="AF1077" s="44">
        <v>0</v>
      </c>
      <c r="AG1077" s="43">
        <v>3086332698</v>
      </c>
      <c r="AH1077" s="44">
        <v>0</v>
      </c>
      <c r="AI1077" s="136">
        <f>AE1077-AF1077+AG1077-AH1077</f>
        <v>3086332698</v>
      </c>
      <c r="AJ1077" s="43">
        <f>AD1077+AI1077</f>
        <v>3086332698</v>
      </c>
      <c r="AK1077" s="44">
        <v>0</v>
      </c>
      <c r="AL1077" s="44">
        <v>0</v>
      </c>
      <c r="AM1077" s="43">
        <v>0</v>
      </c>
      <c r="AN1077" s="44">
        <v>0</v>
      </c>
      <c r="AO1077" s="44">
        <v>0</v>
      </c>
      <c r="AP1077" s="44">
        <v>0</v>
      </c>
      <c r="AQ1077" s="44">
        <v>0</v>
      </c>
      <c r="AR1077" s="44">
        <v>0</v>
      </c>
      <c r="AS1077" s="44">
        <v>0</v>
      </c>
      <c r="AT1077" s="40">
        <f t="shared" ref="AT1077:AT1078" si="391">AQ1077+AS1077</f>
        <v>0</v>
      </c>
      <c r="AU1077" s="18">
        <f>AJ1077-AM1077</f>
        <v>3086332698</v>
      </c>
      <c r="AV1077" s="133">
        <f>AM1077-AP1077</f>
        <v>0</v>
      </c>
      <c r="AW1077" s="34">
        <f>AP1077-AT1077</f>
        <v>0</v>
      </c>
      <c r="AX1077" s="123">
        <f>AP1077/AJ1077</f>
        <v>0</v>
      </c>
    </row>
    <row r="1078" spans="1:50" ht="16.5" customHeight="1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166" t="s">
        <v>1131</v>
      </c>
      <c r="AB1078" s="167" t="s">
        <v>1015</v>
      </c>
      <c r="AC1078" s="168"/>
      <c r="AD1078" s="44">
        <v>0</v>
      </c>
      <c r="AE1078" s="43">
        <v>2950125891</v>
      </c>
      <c r="AF1078" s="44">
        <v>0</v>
      </c>
      <c r="AG1078" s="44">
        <v>0</v>
      </c>
      <c r="AH1078" s="44">
        <v>0</v>
      </c>
      <c r="AI1078" s="136">
        <f>AE1078-AF1078+AG1078-AH1078</f>
        <v>2950125891</v>
      </c>
      <c r="AJ1078" s="43">
        <f>AD1078+AI1078</f>
        <v>2950125891</v>
      </c>
      <c r="AK1078" s="44">
        <v>0</v>
      </c>
      <c r="AL1078" s="44">
        <v>0</v>
      </c>
      <c r="AM1078" s="43">
        <v>0</v>
      </c>
      <c r="AN1078" s="44">
        <v>0</v>
      </c>
      <c r="AO1078" s="44">
        <v>0</v>
      </c>
      <c r="AP1078" s="44">
        <v>0</v>
      </c>
      <c r="AQ1078" s="44">
        <v>0</v>
      </c>
      <c r="AR1078" s="44">
        <v>0</v>
      </c>
      <c r="AS1078" s="44">
        <v>0</v>
      </c>
      <c r="AT1078" s="40">
        <f t="shared" si="391"/>
        <v>0</v>
      </c>
      <c r="AU1078" s="18">
        <f>AJ1078-AM1078</f>
        <v>2950125891</v>
      </c>
      <c r="AV1078" s="133">
        <f>AM1078-AP1078</f>
        <v>0</v>
      </c>
      <c r="AW1078" s="34">
        <f>AP1078-AT1078</f>
        <v>0</v>
      </c>
      <c r="AX1078" s="123">
        <f>AP1078/AJ1078</f>
        <v>0</v>
      </c>
    </row>
    <row r="1079" spans="1:50" x14ac:dyDescent="0.2">
      <c r="AA1079" s="169" t="s">
        <v>288</v>
      </c>
      <c r="AB1079" s="163" t="s">
        <v>712</v>
      </c>
      <c r="AC1079" s="17"/>
      <c r="AD1079" s="34"/>
      <c r="AE1079" s="34"/>
      <c r="AF1079" s="34"/>
      <c r="AG1079" s="18"/>
      <c r="AH1079" s="18"/>
      <c r="AI1079" s="18"/>
      <c r="AJ1079" s="18"/>
      <c r="AK1079" s="34"/>
      <c r="AL1079" s="34"/>
      <c r="AM1079" s="34"/>
      <c r="AN1079" s="34"/>
      <c r="AO1079" s="34"/>
      <c r="AP1079" s="34"/>
      <c r="AQ1079" s="18"/>
      <c r="AR1079" s="18"/>
      <c r="AS1079" s="34"/>
      <c r="AT1079" s="31"/>
      <c r="AU1079" s="18"/>
      <c r="AV1079" s="34"/>
      <c r="AW1079" s="34"/>
      <c r="AX1079" s="18"/>
    </row>
    <row r="1080" spans="1:50" x14ac:dyDescent="0.2">
      <c r="A1080" s="4" t="s">
        <v>55</v>
      </c>
      <c r="B1080" s="4" t="s">
        <v>56</v>
      </c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1" t="s">
        <v>713</v>
      </c>
      <c r="AB1080" s="17" t="s">
        <v>233</v>
      </c>
      <c r="AC1080" s="43" t="s">
        <v>58</v>
      </c>
      <c r="AD1080" s="44">
        <v>0</v>
      </c>
      <c r="AE1080" s="44">
        <v>0</v>
      </c>
      <c r="AF1080" s="44">
        <v>0</v>
      </c>
      <c r="AG1080" s="43">
        <v>501500000</v>
      </c>
      <c r="AH1080" s="43">
        <v>204500000</v>
      </c>
      <c r="AI1080" s="136">
        <f>AE1080-AF1080+AG1080-AH1080</f>
        <v>297000000</v>
      </c>
      <c r="AJ1080" s="43">
        <f>AD1080+AI1080</f>
        <v>297000000</v>
      </c>
      <c r="AK1080" s="44">
        <v>0</v>
      </c>
      <c r="AL1080" s="115">
        <v>0</v>
      </c>
      <c r="AM1080" s="114">
        <v>259500000</v>
      </c>
      <c r="AN1080" s="44">
        <v>0</v>
      </c>
      <c r="AO1080" s="114">
        <v>0</v>
      </c>
      <c r="AP1080" s="114">
        <v>259500000</v>
      </c>
      <c r="AQ1080" s="43">
        <v>38000000</v>
      </c>
      <c r="AR1080" s="43">
        <v>20000000</v>
      </c>
      <c r="AS1080" s="43">
        <v>81133334</v>
      </c>
      <c r="AT1080" s="39">
        <f t="shared" ref="AT1080" si="392">AQ1080+AS1080</f>
        <v>119133334</v>
      </c>
      <c r="AU1080" s="18">
        <f>AJ1080-AM1080</f>
        <v>37500000</v>
      </c>
      <c r="AV1080" s="133">
        <f>AM1080-AP1080</f>
        <v>0</v>
      </c>
      <c r="AW1080" s="18">
        <f>AP1080-AT1080</f>
        <v>140366666</v>
      </c>
      <c r="AX1080" s="123">
        <f>AP1080/AJ1080</f>
        <v>0.8737373737373737</v>
      </c>
    </row>
    <row r="1081" spans="1:50" ht="16.5" customHeight="1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170" t="s">
        <v>288</v>
      </c>
      <c r="AB1081" s="165" t="s">
        <v>1132</v>
      </c>
      <c r="AC1081" s="168"/>
      <c r="AD1081" s="44"/>
      <c r="AE1081" s="44"/>
      <c r="AF1081" s="44"/>
      <c r="AG1081" s="43"/>
      <c r="AH1081" s="43"/>
      <c r="AI1081" s="136"/>
      <c r="AJ1081" s="43"/>
      <c r="AK1081" s="44"/>
      <c r="AL1081" s="115"/>
      <c r="AM1081" s="114"/>
      <c r="AN1081" s="44"/>
      <c r="AO1081" s="114"/>
      <c r="AP1081" s="114"/>
      <c r="AQ1081" s="43"/>
      <c r="AR1081" s="43"/>
      <c r="AS1081" s="43"/>
      <c r="AT1081" s="39"/>
      <c r="AU1081" s="18"/>
      <c r="AV1081" s="133"/>
      <c r="AW1081" s="18"/>
      <c r="AX1081" s="123"/>
    </row>
    <row r="1082" spans="1:50" ht="25.5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166" t="s">
        <v>1133</v>
      </c>
      <c r="AB1082" s="167" t="s">
        <v>1044</v>
      </c>
      <c r="AC1082" s="168"/>
      <c r="AD1082" s="44">
        <v>0</v>
      </c>
      <c r="AE1082" s="43">
        <v>128000000</v>
      </c>
      <c r="AF1082" s="44">
        <v>0</v>
      </c>
      <c r="AG1082" s="44">
        <v>0</v>
      </c>
      <c r="AH1082" s="44">
        <v>0</v>
      </c>
      <c r="AI1082" s="136">
        <f>AE1082-AF1082+AG1082-AH1082</f>
        <v>128000000</v>
      </c>
      <c r="AJ1082" s="43">
        <f>AD1082+AI1082</f>
        <v>128000000</v>
      </c>
      <c r="AK1082" s="44">
        <v>0</v>
      </c>
      <c r="AL1082" s="115">
        <v>0</v>
      </c>
      <c r="AM1082" s="114">
        <v>0</v>
      </c>
      <c r="AN1082" s="44">
        <v>0</v>
      </c>
      <c r="AO1082" s="115">
        <v>0</v>
      </c>
      <c r="AP1082" s="115">
        <v>0</v>
      </c>
      <c r="AQ1082" s="44">
        <v>0</v>
      </c>
      <c r="AR1082" s="44">
        <v>0</v>
      </c>
      <c r="AS1082" s="44">
        <v>0</v>
      </c>
      <c r="AT1082" s="40"/>
      <c r="AU1082" s="18">
        <f>AJ1082-AM1082</f>
        <v>128000000</v>
      </c>
      <c r="AV1082" s="133">
        <f>AM1082-AP1082</f>
        <v>0</v>
      </c>
      <c r="AW1082" s="18">
        <f>AP1082-AT1082</f>
        <v>0</v>
      </c>
      <c r="AX1082" s="123">
        <f>AP1082/AJ1082</f>
        <v>0</v>
      </c>
    </row>
    <row r="1083" spans="1:50" ht="25.5" x14ac:dyDescent="0.2">
      <c r="AA1083" s="169" t="s">
        <v>288</v>
      </c>
      <c r="AB1083" s="163" t="s">
        <v>714</v>
      </c>
      <c r="AC1083" s="17"/>
      <c r="AD1083" s="18"/>
      <c r="AE1083" s="18"/>
      <c r="AF1083" s="18"/>
      <c r="AG1083" s="18"/>
      <c r="AH1083" s="18"/>
      <c r="AI1083" s="18"/>
      <c r="AJ1083" s="18"/>
      <c r="AK1083" s="34"/>
      <c r="AL1083" s="34"/>
      <c r="AM1083" s="34"/>
      <c r="AN1083" s="34"/>
      <c r="AO1083" s="34"/>
      <c r="AP1083" s="34"/>
      <c r="AQ1083" s="34"/>
      <c r="AR1083" s="34"/>
      <c r="AS1083" s="34"/>
      <c r="AT1083" s="31"/>
      <c r="AU1083" s="18"/>
      <c r="AV1083" s="34"/>
      <c r="AW1083" s="34"/>
      <c r="AX1083" s="18"/>
    </row>
    <row r="1084" spans="1:50" x14ac:dyDescent="0.2">
      <c r="A1084" s="4" t="s">
        <v>55</v>
      </c>
      <c r="B1084" s="4" t="s">
        <v>56</v>
      </c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1" t="s">
        <v>715</v>
      </c>
      <c r="AB1084" s="17" t="s">
        <v>233</v>
      </c>
      <c r="AC1084" s="43" t="s">
        <v>58</v>
      </c>
      <c r="AD1084" s="43">
        <v>3086332698</v>
      </c>
      <c r="AE1084" s="44">
        <v>0</v>
      </c>
      <c r="AF1084" s="44">
        <v>0</v>
      </c>
      <c r="AG1084" s="44">
        <v>0</v>
      </c>
      <c r="AH1084" s="43">
        <v>3086332698</v>
      </c>
      <c r="AI1084" s="136">
        <f>AE1084-AF1084+AG1084-AH1084</f>
        <v>-3086332698</v>
      </c>
      <c r="AJ1084" s="44">
        <f>AD1084+AI1084</f>
        <v>0</v>
      </c>
      <c r="AK1084" s="44">
        <v>0</v>
      </c>
      <c r="AL1084" s="44">
        <v>0</v>
      </c>
      <c r="AM1084" s="44">
        <v>0</v>
      </c>
      <c r="AN1084" s="44">
        <v>0</v>
      </c>
      <c r="AO1084" s="44">
        <v>0</v>
      </c>
      <c r="AP1084" s="44">
        <v>0</v>
      </c>
      <c r="AQ1084" s="44">
        <v>0</v>
      </c>
      <c r="AR1084" s="44">
        <v>0</v>
      </c>
      <c r="AS1084" s="44">
        <v>0</v>
      </c>
      <c r="AT1084" s="40">
        <f t="shared" ref="AT1084" si="393">AQ1084+AS1084</f>
        <v>0</v>
      </c>
      <c r="AU1084" s="34">
        <f>AJ1084-AM1084</f>
        <v>0</v>
      </c>
      <c r="AV1084" s="133">
        <f>AM1084-AP1084</f>
        <v>0</v>
      </c>
      <c r="AW1084" s="34">
        <f>AP1084-AT1084</f>
        <v>0</v>
      </c>
      <c r="AX1084" s="123">
        <v>0</v>
      </c>
    </row>
    <row r="1085" spans="1:50" ht="25.5" x14ac:dyDescent="0.2">
      <c r="AA1085" s="28" t="s">
        <v>288</v>
      </c>
      <c r="AB1085" s="29" t="s">
        <v>716</v>
      </c>
      <c r="AC1085" s="17"/>
      <c r="AD1085" s="18"/>
      <c r="AE1085" s="34"/>
      <c r="AF1085" s="34"/>
      <c r="AG1085" s="18"/>
      <c r="AH1085" s="18"/>
      <c r="AI1085" s="18"/>
      <c r="AJ1085" s="18"/>
      <c r="AK1085" s="34"/>
      <c r="AL1085" s="34"/>
      <c r="AM1085" s="34"/>
      <c r="AN1085" s="34"/>
      <c r="AO1085" s="34"/>
      <c r="AP1085" s="34"/>
      <c r="AQ1085" s="34"/>
      <c r="AR1085" s="34"/>
      <c r="AS1085" s="34"/>
      <c r="AT1085" s="31"/>
      <c r="AU1085" s="18"/>
      <c r="AV1085" s="34"/>
      <c r="AW1085" s="18"/>
      <c r="AX1085" s="18"/>
    </row>
    <row r="1086" spans="1:50" x14ac:dyDescent="0.2">
      <c r="A1086" s="4" t="s">
        <v>55</v>
      </c>
      <c r="B1086" s="4" t="s">
        <v>56</v>
      </c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1" t="s">
        <v>717</v>
      </c>
      <c r="AB1086" s="17" t="s">
        <v>233</v>
      </c>
      <c r="AC1086" s="43" t="s">
        <v>58</v>
      </c>
      <c r="AD1086" s="44">
        <v>0</v>
      </c>
      <c r="AE1086" s="44">
        <v>0</v>
      </c>
      <c r="AF1086" s="44">
        <v>0</v>
      </c>
      <c r="AG1086" s="43">
        <v>221000000</v>
      </c>
      <c r="AH1086" s="44">
        <v>0</v>
      </c>
      <c r="AI1086" s="136">
        <f>AE1086-AF1086+AG1086-AH1086</f>
        <v>221000000</v>
      </c>
      <c r="AJ1086" s="43">
        <f>AD1086+AI1086</f>
        <v>221000000</v>
      </c>
      <c r="AK1086" s="44">
        <v>0</v>
      </c>
      <c r="AL1086" s="43">
        <v>9198000</v>
      </c>
      <c r="AM1086" s="43">
        <v>147164666</v>
      </c>
      <c r="AN1086" s="44">
        <v>0</v>
      </c>
      <c r="AO1086" s="43">
        <v>9198000</v>
      </c>
      <c r="AP1086" s="43">
        <v>147164666</v>
      </c>
      <c r="AQ1086" s="43">
        <v>18600000</v>
      </c>
      <c r="AR1086" s="43">
        <v>17866667</v>
      </c>
      <c r="AS1086" s="43">
        <v>26330000</v>
      </c>
      <c r="AT1086" s="40">
        <f t="shared" ref="AT1086" si="394">AQ1086+AS1086</f>
        <v>44930000</v>
      </c>
      <c r="AU1086" s="18">
        <f>AJ1086-AM1086</f>
        <v>73835334</v>
      </c>
      <c r="AV1086" s="34">
        <f>AM1086-AP1086</f>
        <v>0</v>
      </c>
      <c r="AW1086" s="18">
        <f>AP1086-AT1086</f>
        <v>102234666</v>
      </c>
      <c r="AX1086" s="123">
        <f>AP1086/AJ1086</f>
        <v>0.66590346606334838</v>
      </c>
    </row>
    <row r="1087" spans="1:50" x14ac:dyDescent="0.2">
      <c r="AA1087" s="28" t="s">
        <v>288</v>
      </c>
      <c r="AB1087" s="29" t="s">
        <v>718</v>
      </c>
      <c r="AC1087" s="17"/>
      <c r="AD1087" s="18"/>
      <c r="AE1087" s="34"/>
      <c r="AF1087" s="34"/>
      <c r="AG1087" s="18"/>
      <c r="AH1087" s="18"/>
      <c r="AI1087" s="18"/>
      <c r="AJ1087" s="18"/>
      <c r="AK1087" s="34"/>
      <c r="AL1087" s="18"/>
      <c r="AM1087" s="18"/>
      <c r="AN1087" s="34"/>
      <c r="AO1087" s="18"/>
      <c r="AP1087" s="18"/>
      <c r="AQ1087" s="18"/>
      <c r="AR1087" s="18"/>
      <c r="AS1087" s="18"/>
      <c r="AT1087" s="31"/>
      <c r="AU1087" s="18"/>
      <c r="AV1087" s="34"/>
      <c r="AW1087" s="18"/>
      <c r="AX1087" s="18"/>
    </row>
    <row r="1088" spans="1:50" x14ac:dyDescent="0.2">
      <c r="A1088" s="4" t="s">
        <v>55</v>
      </c>
      <c r="B1088" s="4" t="s">
        <v>56</v>
      </c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1" t="s">
        <v>719</v>
      </c>
      <c r="AB1088" s="42" t="s">
        <v>233</v>
      </c>
      <c r="AC1088" s="43" t="s">
        <v>58</v>
      </c>
      <c r="AD1088" s="43">
        <v>546100000</v>
      </c>
      <c r="AE1088" s="44">
        <v>0</v>
      </c>
      <c r="AF1088" s="44">
        <v>0</v>
      </c>
      <c r="AG1088" s="44">
        <v>0</v>
      </c>
      <c r="AH1088" s="44">
        <v>0</v>
      </c>
      <c r="AI1088" s="44">
        <v>0</v>
      </c>
      <c r="AJ1088" s="43">
        <v>546100000</v>
      </c>
      <c r="AK1088" s="44">
        <v>0</v>
      </c>
      <c r="AL1088" s="44">
        <v>0</v>
      </c>
      <c r="AM1088" s="43">
        <v>521700000</v>
      </c>
      <c r="AN1088" s="44">
        <v>0</v>
      </c>
      <c r="AO1088" s="43">
        <v>33000000</v>
      </c>
      <c r="AP1088" s="43">
        <v>521700000</v>
      </c>
      <c r="AQ1088" s="43">
        <v>50000000</v>
      </c>
      <c r="AR1088" s="43">
        <v>49000000</v>
      </c>
      <c r="AS1088" s="43">
        <v>174050000</v>
      </c>
      <c r="AT1088" s="39">
        <f t="shared" ref="AT1088:AT1089" si="395">AQ1088+AS1088</f>
        <v>224050000</v>
      </c>
      <c r="AU1088" s="18">
        <f>AJ1088-AM1088</f>
        <v>24400000</v>
      </c>
      <c r="AV1088" s="133">
        <f>AM1088-AP1088</f>
        <v>0</v>
      </c>
      <c r="AW1088" s="18">
        <f>AP1088-AT1088</f>
        <v>297650000</v>
      </c>
      <c r="AX1088" s="123">
        <f>AP1088/AJ1088</f>
        <v>0.95531953854605378</v>
      </c>
    </row>
    <row r="1089" spans="1:50" ht="25.5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1" t="s">
        <v>1120</v>
      </c>
      <c r="AB1089" s="42" t="s">
        <v>1121</v>
      </c>
      <c r="AC1089" s="43"/>
      <c r="AD1089" s="44">
        <v>0</v>
      </c>
      <c r="AE1089" s="43">
        <v>117051260.84999999</v>
      </c>
      <c r="AF1089" s="44">
        <v>0</v>
      </c>
      <c r="AG1089" s="44">
        <v>0</v>
      </c>
      <c r="AH1089" s="44">
        <v>0</v>
      </c>
      <c r="AI1089" s="136">
        <f>AE1089-AF1089+AG1089-AH1089</f>
        <v>117051260.84999999</v>
      </c>
      <c r="AJ1089" s="43">
        <f>AD1089+AI1089</f>
        <v>117051260.84999999</v>
      </c>
      <c r="AK1089" s="44">
        <v>0</v>
      </c>
      <c r="AL1089" s="43">
        <v>32000000</v>
      </c>
      <c r="AM1089" s="43">
        <v>32000000</v>
      </c>
      <c r="AN1089" s="44">
        <v>0</v>
      </c>
      <c r="AO1089" s="43">
        <v>32000000</v>
      </c>
      <c r="AP1089" s="43">
        <v>32000000</v>
      </c>
      <c r="AQ1089" s="44">
        <v>0</v>
      </c>
      <c r="AR1089" s="44">
        <v>0</v>
      </c>
      <c r="AS1089" s="44">
        <v>0</v>
      </c>
      <c r="AT1089" s="40">
        <f t="shared" si="395"/>
        <v>0</v>
      </c>
      <c r="AU1089" s="18">
        <f>AJ1089-AM1089</f>
        <v>85051260.849999994</v>
      </c>
      <c r="AV1089" s="133">
        <f>AM1089-AP1089</f>
        <v>0</v>
      </c>
      <c r="AW1089" s="18">
        <f>AP1089-AT1089</f>
        <v>32000000</v>
      </c>
      <c r="AX1089" s="123">
        <f>AP1089/AJ1089</f>
        <v>0.27338449639605056</v>
      </c>
    </row>
    <row r="1090" spans="1:50" x14ac:dyDescent="0.2">
      <c r="AA1090" s="16"/>
      <c r="AB1090" s="17"/>
      <c r="AC1090" s="17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34"/>
      <c r="AQ1090" s="34"/>
      <c r="AR1090" s="34"/>
      <c r="AS1090" s="34"/>
      <c r="AT1090" s="31"/>
      <c r="AU1090" s="18"/>
      <c r="AV1090" s="18"/>
      <c r="AW1090" s="18"/>
      <c r="AX1090" s="18"/>
    </row>
    <row r="1091" spans="1:50" x14ac:dyDescent="0.2">
      <c r="AA1091" s="16"/>
      <c r="AB1091" s="29" t="s">
        <v>720</v>
      </c>
      <c r="AC1091" s="17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30"/>
      <c r="AU1091" s="18"/>
      <c r="AV1091" s="18"/>
      <c r="AW1091" s="18"/>
      <c r="AX1091" s="18"/>
    </row>
    <row r="1092" spans="1:50" x14ac:dyDescent="0.2">
      <c r="AA1092" s="16"/>
      <c r="AB1092" s="29" t="s">
        <v>676</v>
      </c>
      <c r="AC1092" s="17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30"/>
      <c r="AU1092" s="18"/>
      <c r="AV1092" s="18"/>
      <c r="AW1092" s="18"/>
      <c r="AX1092" s="18"/>
    </row>
    <row r="1093" spans="1:50" x14ac:dyDescent="0.2">
      <c r="AA1093" s="16"/>
      <c r="AB1093" s="29" t="s">
        <v>286</v>
      </c>
      <c r="AC1093" s="17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30"/>
      <c r="AU1093" s="18"/>
      <c r="AV1093" s="18"/>
      <c r="AW1093" s="18"/>
      <c r="AX1093" s="18"/>
    </row>
    <row r="1094" spans="1:50" x14ac:dyDescent="0.2">
      <c r="AA1094" s="16"/>
      <c r="AB1094" s="29" t="s">
        <v>179</v>
      </c>
      <c r="AC1094" s="17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30"/>
      <c r="AU1094" s="18"/>
      <c r="AV1094" s="18"/>
      <c r="AW1094" s="18"/>
      <c r="AX1094" s="18"/>
    </row>
    <row r="1095" spans="1:50" x14ac:dyDescent="0.2">
      <c r="AA1095" s="16"/>
      <c r="AB1095" s="29" t="s">
        <v>189</v>
      </c>
      <c r="AC1095" s="17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30"/>
      <c r="AU1095" s="18"/>
      <c r="AV1095" s="18"/>
      <c r="AW1095" s="18"/>
      <c r="AX1095" s="18"/>
    </row>
    <row r="1096" spans="1:50" x14ac:dyDescent="0.2">
      <c r="AA1096" s="16"/>
      <c r="AB1096" s="29" t="s">
        <v>199</v>
      </c>
      <c r="AC1096" s="17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30"/>
      <c r="AU1096" s="18"/>
      <c r="AV1096" s="18"/>
      <c r="AW1096" s="18"/>
      <c r="AX1096" s="18"/>
    </row>
    <row r="1097" spans="1:50" x14ac:dyDescent="0.2">
      <c r="AA1097" s="28" t="s">
        <v>288</v>
      </c>
      <c r="AB1097" s="29" t="s">
        <v>718</v>
      </c>
      <c r="AC1097" s="17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30"/>
      <c r="AU1097" s="18"/>
      <c r="AV1097" s="18"/>
      <c r="AW1097" s="18"/>
      <c r="AX1097" s="18"/>
    </row>
    <row r="1098" spans="1:50" x14ac:dyDescent="0.2">
      <c r="A1098" s="4" t="s">
        <v>55</v>
      </c>
      <c r="B1098" s="4" t="s">
        <v>56</v>
      </c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1" t="s">
        <v>721</v>
      </c>
      <c r="AB1098" s="42" t="s">
        <v>722</v>
      </c>
      <c r="AC1098" s="43" t="s">
        <v>723</v>
      </c>
      <c r="AD1098" s="43">
        <v>7643630</v>
      </c>
      <c r="AE1098" s="44">
        <v>0</v>
      </c>
      <c r="AF1098" s="44">
        <v>0</v>
      </c>
      <c r="AG1098" s="44">
        <v>0</v>
      </c>
      <c r="AH1098" s="44">
        <v>0</v>
      </c>
      <c r="AI1098" s="44">
        <v>0</v>
      </c>
      <c r="AJ1098" s="43">
        <v>7643630</v>
      </c>
      <c r="AK1098" s="44">
        <v>0</v>
      </c>
      <c r="AL1098" s="44">
        <v>0</v>
      </c>
      <c r="AM1098" s="44">
        <v>0</v>
      </c>
      <c r="AN1098" s="44">
        <v>0</v>
      </c>
      <c r="AO1098" s="44">
        <v>0</v>
      </c>
      <c r="AP1098" s="44">
        <v>0</v>
      </c>
      <c r="AQ1098" s="44">
        <v>0</v>
      </c>
      <c r="AR1098" s="44">
        <v>0</v>
      </c>
      <c r="AS1098" s="44">
        <v>0</v>
      </c>
      <c r="AT1098" s="40">
        <f t="shared" ref="AT1098:AT1099" si="396">AQ1098+AS1098</f>
        <v>0</v>
      </c>
      <c r="AU1098" s="18">
        <f>AJ1098-AM1098</f>
        <v>7643630</v>
      </c>
      <c r="AV1098" s="133">
        <f>AM1098-AP1098</f>
        <v>0</v>
      </c>
      <c r="AW1098" s="34">
        <f>AP1098-AT1098</f>
        <v>0</v>
      </c>
      <c r="AX1098" s="123">
        <f>AP1098/AJ1098</f>
        <v>0</v>
      </c>
    </row>
    <row r="1099" spans="1:50" x14ac:dyDescent="0.2">
      <c r="A1099" s="4" t="s">
        <v>55</v>
      </c>
      <c r="B1099" s="4" t="s">
        <v>56</v>
      </c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1" t="s">
        <v>724</v>
      </c>
      <c r="AB1099" s="42" t="s">
        <v>725</v>
      </c>
      <c r="AC1099" s="43" t="s">
        <v>428</v>
      </c>
      <c r="AD1099" s="43">
        <v>56100000</v>
      </c>
      <c r="AE1099" s="44">
        <v>0</v>
      </c>
      <c r="AF1099" s="44">
        <v>0</v>
      </c>
      <c r="AG1099" s="44">
        <v>0</v>
      </c>
      <c r="AH1099" s="44">
        <v>0</v>
      </c>
      <c r="AI1099" s="44">
        <v>0</v>
      </c>
      <c r="AJ1099" s="43">
        <v>56100000</v>
      </c>
      <c r="AK1099" s="44">
        <v>0</v>
      </c>
      <c r="AL1099" s="44">
        <v>0</v>
      </c>
      <c r="AM1099" s="44">
        <v>0</v>
      </c>
      <c r="AN1099" s="44">
        <v>0</v>
      </c>
      <c r="AO1099" s="44">
        <v>0</v>
      </c>
      <c r="AP1099" s="44">
        <v>0</v>
      </c>
      <c r="AQ1099" s="44">
        <v>0</v>
      </c>
      <c r="AR1099" s="44">
        <v>0</v>
      </c>
      <c r="AS1099" s="44">
        <v>0</v>
      </c>
      <c r="AT1099" s="40">
        <f t="shared" si="396"/>
        <v>0</v>
      </c>
      <c r="AU1099" s="18">
        <f>AJ1099-AM1099</f>
        <v>56100000</v>
      </c>
      <c r="AV1099" s="133">
        <f>AM1099-AP1099</f>
        <v>0</v>
      </c>
      <c r="AW1099" s="34">
        <f>AP1099-AT1099</f>
        <v>0</v>
      </c>
      <c r="AX1099" s="123">
        <f>AP1099/AJ1099</f>
        <v>0</v>
      </c>
    </row>
    <row r="1100" spans="1:50" ht="18.75" customHeight="1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170" t="s">
        <v>1016</v>
      </c>
      <c r="AB1100" s="165" t="s">
        <v>997</v>
      </c>
      <c r="AC1100" s="168"/>
      <c r="AD1100" s="43"/>
      <c r="AE1100" s="44"/>
      <c r="AF1100" s="44"/>
      <c r="AG1100" s="44"/>
      <c r="AH1100" s="44"/>
      <c r="AI1100" s="44"/>
      <c r="AJ1100" s="43"/>
      <c r="AK1100" s="44"/>
      <c r="AL1100" s="44"/>
      <c r="AM1100" s="44"/>
      <c r="AN1100" s="44"/>
      <c r="AO1100" s="44"/>
      <c r="AP1100" s="44"/>
      <c r="AQ1100" s="44"/>
      <c r="AR1100" s="44"/>
      <c r="AS1100" s="44"/>
      <c r="AT1100" s="40"/>
      <c r="AU1100" s="18"/>
      <c r="AV1100" s="133"/>
      <c r="AW1100" s="34"/>
      <c r="AX1100" s="123"/>
    </row>
    <row r="1101" spans="1:50" ht="15.75" customHeight="1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170" t="s">
        <v>1017</v>
      </c>
      <c r="AB1101" s="165" t="s">
        <v>999</v>
      </c>
      <c r="AC1101" s="168"/>
      <c r="AD1101" s="43"/>
      <c r="AE1101" s="44"/>
      <c r="AF1101" s="44"/>
      <c r="AG1101" s="44"/>
      <c r="AH1101" s="44"/>
      <c r="AI1101" s="44"/>
      <c r="AJ1101" s="43"/>
      <c r="AK1101" s="44"/>
      <c r="AL1101" s="44"/>
      <c r="AM1101" s="44"/>
      <c r="AN1101" s="44"/>
      <c r="AO1101" s="44"/>
      <c r="AP1101" s="44"/>
      <c r="AQ1101" s="44"/>
      <c r="AR1101" s="44"/>
      <c r="AS1101" s="44"/>
      <c r="AT1101" s="40"/>
      <c r="AU1101" s="18"/>
      <c r="AV1101" s="133"/>
      <c r="AW1101" s="34"/>
      <c r="AX1101" s="123"/>
    </row>
    <row r="1102" spans="1:50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170" t="s">
        <v>1018</v>
      </c>
      <c r="AB1102" s="165" t="s">
        <v>1001</v>
      </c>
      <c r="AC1102" s="168"/>
      <c r="AD1102" s="43"/>
      <c r="AE1102" s="44"/>
      <c r="AF1102" s="44"/>
      <c r="AG1102" s="44"/>
      <c r="AH1102" s="44"/>
      <c r="AI1102" s="44"/>
      <c r="AJ1102" s="43"/>
      <c r="AK1102" s="44"/>
      <c r="AL1102" s="44"/>
      <c r="AM1102" s="44"/>
      <c r="AN1102" s="44"/>
      <c r="AO1102" s="44"/>
      <c r="AP1102" s="44"/>
      <c r="AQ1102" s="44"/>
      <c r="AR1102" s="44"/>
      <c r="AS1102" s="44"/>
      <c r="AT1102" s="40"/>
      <c r="AU1102" s="18"/>
      <c r="AV1102" s="133"/>
      <c r="AW1102" s="34"/>
      <c r="AX1102" s="123"/>
    </row>
    <row r="1103" spans="1:50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170" t="s">
        <v>1021</v>
      </c>
      <c r="AB1103" s="165" t="s">
        <v>1003</v>
      </c>
      <c r="AC1103" s="168"/>
      <c r="AD1103" s="43"/>
      <c r="AE1103" s="44"/>
      <c r="AF1103" s="44"/>
      <c r="AG1103" s="44"/>
      <c r="AH1103" s="44"/>
      <c r="AI1103" s="44"/>
      <c r="AJ1103" s="43"/>
      <c r="AK1103" s="44"/>
      <c r="AL1103" s="44"/>
      <c r="AM1103" s="44"/>
      <c r="AN1103" s="44"/>
      <c r="AO1103" s="44"/>
      <c r="AP1103" s="44"/>
      <c r="AQ1103" s="44"/>
      <c r="AR1103" s="44"/>
      <c r="AS1103" s="44"/>
      <c r="AT1103" s="40"/>
      <c r="AU1103" s="18"/>
      <c r="AV1103" s="133"/>
      <c r="AW1103" s="34"/>
      <c r="AX1103" s="123"/>
    </row>
    <row r="1104" spans="1:50" ht="25.5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166" t="s">
        <v>1056</v>
      </c>
      <c r="AB1104" s="167" t="s">
        <v>1057</v>
      </c>
      <c r="AC1104" s="168"/>
      <c r="AD1104" s="44">
        <v>0</v>
      </c>
      <c r="AE1104" s="43">
        <v>170856060</v>
      </c>
      <c r="AF1104" s="44">
        <v>0</v>
      </c>
      <c r="AG1104" s="44">
        <v>0</v>
      </c>
      <c r="AH1104" s="44">
        <v>0</v>
      </c>
      <c r="AI1104" s="43">
        <f>AE1104-AF1104+AG1104-AH1104</f>
        <v>170856060</v>
      </c>
      <c r="AJ1104" s="43">
        <f>AD1104+AI1104</f>
        <v>170856060</v>
      </c>
      <c r="AK1104" s="44">
        <v>0</v>
      </c>
      <c r="AL1104" s="44">
        <v>0</v>
      </c>
      <c r="AM1104" s="44">
        <v>0</v>
      </c>
      <c r="AN1104" s="44">
        <v>0</v>
      </c>
      <c r="AO1104" s="44">
        <v>0</v>
      </c>
      <c r="AP1104" s="44">
        <v>0</v>
      </c>
      <c r="AQ1104" s="44">
        <v>0</v>
      </c>
      <c r="AR1104" s="44">
        <v>0</v>
      </c>
      <c r="AS1104" s="44">
        <v>0</v>
      </c>
      <c r="AT1104" s="40">
        <f t="shared" ref="AT1104" si="397">AQ1104+AS1104</f>
        <v>0</v>
      </c>
      <c r="AU1104" s="18">
        <f>AJ1104-AM1104</f>
        <v>170856060</v>
      </c>
      <c r="AV1104" s="133">
        <f>AM1104-AP1104</f>
        <v>0</v>
      </c>
      <c r="AW1104" s="34">
        <f>AP1104-AT1104</f>
        <v>0</v>
      </c>
      <c r="AX1104" s="123">
        <f>AP1104/AJ1104</f>
        <v>0</v>
      </c>
    </row>
    <row r="1105" spans="1:50" x14ac:dyDescent="0.2">
      <c r="AA1105" s="162"/>
      <c r="AB1105" s="223"/>
      <c r="AC1105" s="17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34"/>
      <c r="AR1105" s="34"/>
      <c r="AS1105" s="34"/>
      <c r="AT1105" s="31"/>
      <c r="AU1105" s="18"/>
      <c r="AV1105" s="18"/>
      <c r="AW1105" s="18"/>
      <c r="AX1105" s="18"/>
    </row>
    <row r="1106" spans="1:50" s="50" customFormat="1" ht="18.75" customHeight="1" x14ac:dyDescent="0.2">
      <c r="B1106" s="77"/>
      <c r="C1106" s="77"/>
      <c r="D1106" s="77"/>
      <c r="E1106" s="77"/>
      <c r="F1106" s="77"/>
      <c r="G1106" s="77"/>
      <c r="H1106" s="77"/>
      <c r="I1106" s="77"/>
      <c r="J1106" s="77"/>
      <c r="K1106" s="77"/>
      <c r="L1106" s="77"/>
      <c r="M1106" s="77"/>
      <c r="N1106" s="77"/>
      <c r="O1106" s="77"/>
      <c r="P1106" s="77"/>
      <c r="Q1106" s="77"/>
      <c r="R1106" s="77"/>
      <c r="S1106" s="77"/>
      <c r="T1106" s="77"/>
      <c r="U1106" s="77"/>
      <c r="V1106" s="77"/>
      <c r="W1106" s="77"/>
      <c r="X1106" s="77"/>
      <c r="Y1106" s="77"/>
      <c r="Z1106" s="77"/>
      <c r="AA1106" s="46"/>
      <c r="AB1106" s="47" t="s">
        <v>726</v>
      </c>
      <c r="AC1106" s="47"/>
      <c r="AD1106" s="48">
        <f t="shared" ref="AD1106:AW1106" si="398">SUM(AD1063:AD1105)</f>
        <v>6876941034</v>
      </c>
      <c r="AE1106" s="48">
        <f t="shared" si="398"/>
        <v>3397533211.8499999</v>
      </c>
      <c r="AF1106" s="49">
        <f t="shared" si="398"/>
        <v>0</v>
      </c>
      <c r="AG1106" s="48">
        <f t="shared" si="398"/>
        <v>4013332698</v>
      </c>
      <c r="AH1106" s="48">
        <f t="shared" si="398"/>
        <v>4013332698</v>
      </c>
      <c r="AI1106" s="48">
        <f t="shared" si="398"/>
        <v>3397533211.8499999</v>
      </c>
      <c r="AJ1106" s="48">
        <f t="shared" si="398"/>
        <v>10274474245.85</v>
      </c>
      <c r="AK1106" s="49">
        <f t="shared" si="398"/>
        <v>0</v>
      </c>
      <c r="AL1106" s="48">
        <f t="shared" si="398"/>
        <v>41198000</v>
      </c>
      <c r="AM1106" s="48">
        <f t="shared" si="398"/>
        <v>3232122705</v>
      </c>
      <c r="AN1106" s="48">
        <f t="shared" si="398"/>
        <v>0</v>
      </c>
      <c r="AO1106" s="48">
        <f t="shared" si="398"/>
        <v>74198000</v>
      </c>
      <c r="AP1106" s="48">
        <f t="shared" si="398"/>
        <v>3232122705</v>
      </c>
      <c r="AQ1106" s="48">
        <f t="shared" si="398"/>
        <v>233300000</v>
      </c>
      <c r="AR1106" s="48">
        <f t="shared" si="398"/>
        <v>138906667</v>
      </c>
      <c r="AS1106" s="48">
        <f t="shared" si="398"/>
        <v>417775335</v>
      </c>
      <c r="AT1106" s="48">
        <f t="shared" si="398"/>
        <v>651075335</v>
      </c>
      <c r="AU1106" s="48">
        <f t="shared" si="398"/>
        <v>7042351540.8500004</v>
      </c>
      <c r="AV1106" s="49">
        <f t="shared" si="398"/>
        <v>0</v>
      </c>
      <c r="AW1106" s="48">
        <f t="shared" si="398"/>
        <v>2581047370</v>
      </c>
      <c r="AX1106" s="24">
        <f>AP1106/AJ1106</f>
        <v>0.31457791685112241</v>
      </c>
    </row>
    <row r="1107" spans="1:50" ht="18.75" customHeight="1" x14ac:dyDescent="0.2">
      <c r="AA1107" s="16"/>
      <c r="AB1107" s="17"/>
      <c r="AC1107" s="17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</row>
    <row r="1108" spans="1:50" s="25" customFormat="1" ht="18.75" customHeight="1" x14ac:dyDescent="0.2">
      <c r="B1108" s="71"/>
      <c r="C1108" s="71"/>
      <c r="D1108" s="71"/>
      <c r="E1108" s="71"/>
      <c r="F1108" s="71"/>
      <c r="G1108" s="71"/>
      <c r="H1108" s="71"/>
      <c r="I1108" s="71"/>
      <c r="J1108" s="71"/>
      <c r="K1108" s="71"/>
      <c r="L1108" s="71"/>
      <c r="M1108" s="71"/>
      <c r="N1108" s="71"/>
      <c r="O1108" s="71"/>
      <c r="P1108" s="71"/>
      <c r="Q1108" s="71"/>
      <c r="R1108" s="71"/>
      <c r="S1108" s="71"/>
      <c r="T1108" s="71"/>
      <c r="U1108" s="71"/>
      <c r="V1108" s="71"/>
      <c r="W1108" s="71"/>
      <c r="X1108" s="71"/>
      <c r="Y1108" s="71"/>
      <c r="Z1108" s="71"/>
      <c r="AA1108" s="66"/>
      <c r="AB1108" s="21" t="s">
        <v>727</v>
      </c>
      <c r="AC1108" s="67"/>
      <c r="AD1108" s="63"/>
      <c r="AE1108" s="63"/>
      <c r="AF1108" s="63"/>
      <c r="AG1108" s="63"/>
      <c r="AH1108" s="63"/>
      <c r="AI1108" s="63"/>
      <c r="AJ1108" s="63"/>
      <c r="AK1108" s="63"/>
      <c r="AL1108" s="63"/>
      <c r="AM1108" s="63"/>
      <c r="AN1108" s="63"/>
      <c r="AO1108" s="63"/>
      <c r="AP1108" s="63"/>
      <c r="AQ1108" s="63"/>
      <c r="AR1108" s="63"/>
      <c r="AS1108" s="63"/>
      <c r="AT1108" s="63"/>
      <c r="AU1108" s="63"/>
      <c r="AV1108" s="63"/>
      <c r="AW1108" s="63"/>
      <c r="AX1108" s="63"/>
    </row>
    <row r="1109" spans="1:50" ht="18.75" customHeight="1" x14ac:dyDescent="0.2">
      <c r="AA1109" s="16"/>
      <c r="AB1109" s="29" t="s">
        <v>285</v>
      </c>
      <c r="AC1109" s="17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</row>
    <row r="1110" spans="1:50" ht="18.75" customHeight="1" x14ac:dyDescent="0.2">
      <c r="AA1110" s="16"/>
      <c r="AB1110" s="29" t="s">
        <v>202</v>
      </c>
      <c r="AC1110" s="17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</row>
    <row r="1111" spans="1:50" ht="18.75" customHeight="1" x14ac:dyDescent="0.2">
      <c r="AA1111" s="16"/>
      <c r="AB1111" s="29" t="s">
        <v>203</v>
      </c>
      <c r="AC1111" s="17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</row>
    <row r="1112" spans="1:50" x14ac:dyDescent="0.2">
      <c r="AA1112" s="16"/>
      <c r="AB1112" s="29" t="s">
        <v>204</v>
      </c>
      <c r="AC1112" s="17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</row>
    <row r="1113" spans="1:50" ht="25.5" x14ac:dyDescent="0.2">
      <c r="AA1113" s="16"/>
      <c r="AB1113" s="29" t="s">
        <v>205</v>
      </c>
      <c r="AC1113" s="17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</row>
    <row r="1114" spans="1:50" ht="25.5" x14ac:dyDescent="0.2">
      <c r="AA1114" s="16"/>
      <c r="AB1114" s="29" t="s">
        <v>205</v>
      </c>
      <c r="AC1114" s="17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</row>
    <row r="1115" spans="1:50" ht="25.5" x14ac:dyDescent="0.2">
      <c r="AA1115" s="28" t="s">
        <v>288</v>
      </c>
      <c r="AB1115" s="29" t="s">
        <v>728</v>
      </c>
      <c r="AC1115" s="17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30">
        <f t="shared" ref="AT1115:AT1122" si="399">AQ1115+AS1115</f>
        <v>0</v>
      </c>
      <c r="AU1115" s="18"/>
      <c r="AV1115" s="18"/>
      <c r="AW1115" s="18"/>
      <c r="AX1115" s="18"/>
    </row>
    <row r="1116" spans="1:50" x14ac:dyDescent="0.2">
      <c r="A1116" s="4" t="s">
        <v>55</v>
      </c>
      <c r="B1116" s="4" t="s">
        <v>56</v>
      </c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1" t="s">
        <v>729</v>
      </c>
      <c r="AB1116" s="42" t="s">
        <v>233</v>
      </c>
      <c r="AC1116" s="43" t="s">
        <v>58</v>
      </c>
      <c r="AD1116" s="43">
        <v>1500000000</v>
      </c>
      <c r="AE1116" s="44">
        <v>0</v>
      </c>
      <c r="AF1116" s="44">
        <v>0</v>
      </c>
      <c r="AG1116" s="44">
        <v>0</v>
      </c>
      <c r="AH1116" s="44">
        <v>0</v>
      </c>
      <c r="AI1116" s="44">
        <f t="shared" ref="AI1116:AI1122" si="400">AE1116-AF1116+AG1116-AH1116</f>
        <v>0</v>
      </c>
      <c r="AJ1116" s="43">
        <f t="shared" ref="AJ1116:AJ1122" si="401">AD1116+AI1116</f>
        <v>1500000000</v>
      </c>
      <c r="AK1116" s="44">
        <v>0</v>
      </c>
      <c r="AL1116" s="114">
        <v>125000000</v>
      </c>
      <c r="AM1116" s="114">
        <v>750000000</v>
      </c>
      <c r="AN1116" s="44">
        <v>0</v>
      </c>
      <c r="AO1116" s="114">
        <v>125000000</v>
      </c>
      <c r="AP1116" s="114">
        <v>750000000</v>
      </c>
      <c r="AQ1116" s="44">
        <v>0</v>
      </c>
      <c r="AR1116" s="114">
        <v>125000000</v>
      </c>
      <c r="AS1116" s="114">
        <v>750000000</v>
      </c>
      <c r="AT1116" s="111">
        <f t="shared" si="399"/>
        <v>750000000</v>
      </c>
      <c r="AU1116" s="18">
        <f t="shared" ref="AU1116:AU1122" si="402">AJ1116-AM1116</f>
        <v>750000000</v>
      </c>
      <c r="AV1116" s="133">
        <f t="shared" ref="AV1116:AV1122" si="403">AM1116-AP1116</f>
        <v>0</v>
      </c>
      <c r="AW1116" s="34">
        <f t="shared" ref="AW1116:AW1122" si="404">AP1116-AT1116</f>
        <v>0</v>
      </c>
      <c r="AX1116" s="123">
        <f t="shared" ref="AX1116:AX1122" si="405">AP1116/AJ1116</f>
        <v>0.5</v>
      </c>
    </row>
    <row r="1117" spans="1:50" x14ac:dyDescent="0.2">
      <c r="A1117" s="4" t="s">
        <v>55</v>
      </c>
      <c r="B1117" s="4" t="s">
        <v>56</v>
      </c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1" t="s">
        <v>730</v>
      </c>
      <c r="AB1117" s="42" t="s">
        <v>731</v>
      </c>
      <c r="AC1117" s="43" t="s">
        <v>732</v>
      </c>
      <c r="AD1117" s="43">
        <v>1531432613</v>
      </c>
      <c r="AE1117" s="44">
        <v>0</v>
      </c>
      <c r="AF1117" s="44">
        <v>0</v>
      </c>
      <c r="AG1117" s="44">
        <v>0</v>
      </c>
      <c r="AH1117" s="44">
        <v>0</v>
      </c>
      <c r="AI1117" s="44">
        <f t="shared" si="400"/>
        <v>0</v>
      </c>
      <c r="AJ1117" s="43">
        <f t="shared" si="401"/>
        <v>1531432613</v>
      </c>
      <c r="AK1117" s="44">
        <v>0</v>
      </c>
      <c r="AL1117" s="114">
        <v>127619384</v>
      </c>
      <c r="AM1117" s="114">
        <v>765716304</v>
      </c>
      <c r="AN1117" s="44">
        <v>0</v>
      </c>
      <c r="AO1117" s="114">
        <v>127619384</v>
      </c>
      <c r="AP1117" s="114">
        <v>765716304</v>
      </c>
      <c r="AQ1117" s="44">
        <v>127619384</v>
      </c>
      <c r="AR1117" s="114">
        <v>0</v>
      </c>
      <c r="AS1117" s="114">
        <v>638096920</v>
      </c>
      <c r="AT1117" s="111">
        <f t="shared" si="399"/>
        <v>765716304</v>
      </c>
      <c r="AU1117" s="18">
        <f t="shared" si="402"/>
        <v>765716309</v>
      </c>
      <c r="AV1117" s="133">
        <f t="shared" si="403"/>
        <v>0</v>
      </c>
      <c r="AW1117" s="34">
        <f t="shared" si="404"/>
        <v>0</v>
      </c>
      <c r="AX1117" s="123">
        <f t="shared" si="405"/>
        <v>0.49999999836754161</v>
      </c>
    </row>
    <row r="1118" spans="1:50" x14ac:dyDescent="0.2">
      <c r="A1118" s="4" t="s">
        <v>55</v>
      </c>
      <c r="B1118" s="4" t="s">
        <v>56</v>
      </c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1" t="s">
        <v>733</v>
      </c>
      <c r="AB1118" s="42" t="s">
        <v>734</v>
      </c>
      <c r="AC1118" s="43" t="s">
        <v>383</v>
      </c>
      <c r="AD1118" s="43">
        <v>2000000000</v>
      </c>
      <c r="AE1118" s="44">
        <v>0</v>
      </c>
      <c r="AF1118" s="44">
        <v>0</v>
      </c>
      <c r="AG1118" s="44">
        <v>0</v>
      </c>
      <c r="AH1118" s="44">
        <v>0</v>
      </c>
      <c r="AI1118" s="44">
        <f t="shared" si="400"/>
        <v>0</v>
      </c>
      <c r="AJ1118" s="43">
        <f t="shared" si="401"/>
        <v>2000000000</v>
      </c>
      <c r="AK1118" s="44">
        <v>0</v>
      </c>
      <c r="AL1118" s="114">
        <v>166666667</v>
      </c>
      <c r="AM1118" s="114">
        <v>1000000002</v>
      </c>
      <c r="AN1118" s="44">
        <v>0</v>
      </c>
      <c r="AO1118" s="114">
        <v>166666667</v>
      </c>
      <c r="AP1118" s="114">
        <v>1000000002</v>
      </c>
      <c r="AQ1118" s="44">
        <v>0</v>
      </c>
      <c r="AR1118" s="114">
        <v>166666667</v>
      </c>
      <c r="AS1118" s="114">
        <v>1000000002</v>
      </c>
      <c r="AT1118" s="111">
        <f t="shared" si="399"/>
        <v>1000000002</v>
      </c>
      <c r="AU1118" s="18">
        <f t="shared" si="402"/>
        <v>999999998</v>
      </c>
      <c r="AV1118" s="133">
        <f t="shared" si="403"/>
        <v>0</v>
      </c>
      <c r="AW1118" s="34">
        <f t="shared" si="404"/>
        <v>0</v>
      </c>
      <c r="AX1118" s="123">
        <f t="shared" si="405"/>
        <v>0.50000000099999997</v>
      </c>
    </row>
    <row r="1119" spans="1:50" ht="25.5" x14ac:dyDescent="0.2">
      <c r="A1119" s="4" t="s">
        <v>55</v>
      </c>
      <c r="B1119" s="4" t="s">
        <v>56</v>
      </c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1" t="s">
        <v>735</v>
      </c>
      <c r="AB1119" s="42" t="s">
        <v>736</v>
      </c>
      <c r="AC1119" s="43" t="s">
        <v>428</v>
      </c>
      <c r="AD1119" s="43">
        <v>24512970</v>
      </c>
      <c r="AE1119" s="44">
        <v>0</v>
      </c>
      <c r="AF1119" s="44">
        <v>0</v>
      </c>
      <c r="AG1119" s="44">
        <v>0</v>
      </c>
      <c r="AH1119" s="44">
        <v>0</v>
      </c>
      <c r="AI1119" s="44">
        <f t="shared" si="400"/>
        <v>0</v>
      </c>
      <c r="AJ1119" s="43">
        <f t="shared" si="401"/>
        <v>24512970</v>
      </c>
      <c r="AK1119" s="44">
        <v>0</v>
      </c>
      <c r="AL1119" s="44">
        <v>0</v>
      </c>
      <c r="AM1119" s="44">
        <v>0</v>
      </c>
      <c r="AN1119" s="44">
        <v>0</v>
      </c>
      <c r="AO1119" s="44">
        <v>0</v>
      </c>
      <c r="AP1119" s="44">
        <v>0</v>
      </c>
      <c r="AQ1119" s="44">
        <v>0</v>
      </c>
      <c r="AR1119" s="44">
        <v>0</v>
      </c>
      <c r="AS1119" s="44">
        <v>0</v>
      </c>
      <c r="AT1119" s="40">
        <f t="shared" si="399"/>
        <v>0</v>
      </c>
      <c r="AU1119" s="18">
        <f t="shared" si="402"/>
        <v>24512970</v>
      </c>
      <c r="AV1119" s="133">
        <f t="shared" si="403"/>
        <v>0</v>
      </c>
      <c r="AW1119" s="34">
        <f t="shared" si="404"/>
        <v>0</v>
      </c>
      <c r="AX1119" s="123">
        <f t="shared" si="405"/>
        <v>0</v>
      </c>
    </row>
    <row r="1120" spans="1:50" ht="25.5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166" t="s">
        <v>1134</v>
      </c>
      <c r="AB1120" s="167" t="s">
        <v>1055</v>
      </c>
      <c r="AC1120" s="168"/>
      <c r="AD1120" s="44">
        <v>0</v>
      </c>
      <c r="AE1120" s="217">
        <v>628300000</v>
      </c>
      <c r="AF1120" s="216">
        <v>0</v>
      </c>
      <c r="AG1120" s="44">
        <v>0</v>
      </c>
      <c r="AH1120" s="44">
        <v>0</v>
      </c>
      <c r="AI1120" s="43">
        <f t="shared" si="400"/>
        <v>628300000</v>
      </c>
      <c r="AJ1120" s="43">
        <f t="shared" si="401"/>
        <v>628300000</v>
      </c>
      <c r="AK1120" s="44">
        <v>0</v>
      </c>
      <c r="AL1120" s="43">
        <v>628300000</v>
      </c>
      <c r="AM1120" s="43">
        <v>628300000</v>
      </c>
      <c r="AN1120" s="44">
        <v>0</v>
      </c>
      <c r="AO1120" s="43">
        <v>628300000</v>
      </c>
      <c r="AP1120" s="43">
        <v>628300000</v>
      </c>
      <c r="AQ1120" s="44">
        <v>0</v>
      </c>
      <c r="AR1120" s="43">
        <v>628300000</v>
      </c>
      <c r="AS1120" s="43">
        <v>628300000</v>
      </c>
      <c r="AT1120" s="39">
        <f t="shared" si="399"/>
        <v>628300000</v>
      </c>
      <c r="AU1120" s="34">
        <f t="shared" si="402"/>
        <v>0</v>
      </c>
      <c r="AV1120" s="133">
        <f t="shared" si="403"/>
        <v>0</v>
      </c>
      <c r="AW1120" s="34">
        <f t="shared" si="404"/>
        <v>0</v>
      </c>
      <c r="AX1120" s="123">
        <f t="shared" si="405"/>
        <v>1</v>
      </c>
    </row>
    <row r="1121" spans="1:50" ht="25.5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166" t="s">
        <v>1135</v>
      </c>
      <c r="AB1121" s="167" t="s">
        <v>1055</v>
      </c>
      <c r="AC1121" s="168"/>
      <c r="AD1121" s="44">
        <v>0</v>
      </c>
      <c r="AE1121" s="217">
        <v>371700000</v>
      </c>
      <c r="AF1121" s="216">
        <v>0</v>
      </c>
      <c r="AG1121" s="44">
        <v>0</v>
      </c>
      <c r="AH1121" s="44">
        <v>0</v>
      </c>
      <c r="AI1121" s="43">
        <f t="shared" si="400"/>
        <v>371700000</v>
      </c>
      <c r="AJ1121" s="43">
        <f t="shared" si="401"/>
        <v>371700000</v>
      </c>
      <c r="AK1121" s="44">
        <v>0</v>
      </c>
      <c r="AL1121" s="43">
        <v>371700000</v>
      </c>
      <c r="AM1121" s="43">
        <v>371700000</v>
      </c>
      <c r="AN1121" s="44">
        <v>0</v>
      </c>
      <c r="AO1121" s="43">
        <v>371700000</v>
      </c>
      <c r="AP1121" s="43">
        <v>371700000</v>
      </c>
      <c r="AQ1121" s="44">
        <v>0</v>
      </c>
      <c r="AR1121" s="43">
        <v>371700000</v>
      </c>
      <c r="AS1121" s="43">
        <v>371700000</v>
      </c>
      <c r="AT1121" s="39">
        <f t="shared" si="399"/>
        <v>371700000</v>
      </c>
      <c r="AU1121" s="34">
        <f t="shared" si="402"/>
        <v>0</v>
      </c>
      <c r="AV1121" s="133">
        <f t="shared" si="403"/>
        <v>0</v>
      </c>
      <c r="AW1121" s="34">
        <f t="shared" si="404"/>
        <v>0</v>
      </c>
      <c r="AX1121" s="123">
        <f t="shared" si="405"/>
        <v>1</v>
      </c>
    </row>
    <row r="1122" spans="1:50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166" t="s">
        <v>1136</v>
      </c>
      <c r="AB1122" s="167" t="s">
        <v>1137</v>
      </c>
      <c r="AC1122" s="168"/>
      <c r="AD1122" s="44">
        <v>0</v>
      </c>
      <c r="AE1122" s="217">
        <v>179021213</v>
      </c>
      <c r="AF1122" s="216">
        <v>0</v>
      </c>
      <c r="AG1122" s="44">
        <v>0</v>
      </c>
      <c r="AH1122" s="44">
        <v>0</v>
      </c>
      <c r="AI1122" s="43">
        <f t="shared" si="400"/>
        <v>179021213</v>
      </c>
      <c r="AJ1122" s="43">
        <f t="shared" si="401"/>
        <v>179021213</v>
      </c>
      <c r="AK1122" s="44">
        <v>0</v>
      </c>
      <c r="AL1122" s="43">
        <v>179021213</v>
      </c>
      <c r="AM1122" s="43">
        <v>179021213</v>
      </c>
      <c r="AN1122" s="44">
        <v>0</v>
      </c>
      <c r="AO1122" s="43">
        <v>179021213</v>
      </c>
      <c r="AP1122" s="43">
        <v>179021213</v>
      </c>
      <c r="AQ1122" s="44">
        <v>0</v>
      </c>
      <c r="AR1122" s="43">
        <v>179021213</v>
      </c>
      <c r="AS1122" s="43">
        <v>179021213</v>
      </c>
      <c r="AT1122" s="39">
        <f t="shared" si="399"/>
        <v>179021213</v>
      </c>
      <c r="AU1122" s="34">
        <f t="shared" si="402"/>
        <v>0</v>
      </c>
      <c r="AV1122" s="133">
        <f t="shared" si="403"/>
        <v>0</v>
      </c>
      <c r="AW1122" s="34">
        <f t="shared" si="404"/>
        <v>0</v>
      </c>
      <c r="AX1122" s="123">
        <f t="shared" si="405"/>
        <v>1</v>
      </c>
    </row>
    <row r="1123" spans="1:50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206"/>
      <c r="AB1123" s="207"/>
      <c r="AC1123" s="43"/>
      <c r="AD1123" s="43"/>
      <c r="AE1123" s="224"/>
      <c r="AF1123" s="44"/>
      <c r="AG1123" s="44"/>
      <c r="AH1123" s="44"/>
      <c r="AI1123" s="44"/>
      <c r="AJ1123" s="43"/>
      <c r="AK1123" s="44"/>
      <c r="AL1123" s="44"/>
      <c r="AM1123" s="44"/>
      <c r="AN1123" s="44"/>
      <c r="AO1123" s="44"/>
      <c r="AP1123" s="44"/>
      <c r="AQ1123" s="44"/>
      <c r="AR1123" s="44"/>
      <c r="AS1123" s="44"/>
      <c r="AT1123" s="40"/>
      <c r="AU1123" s="18"/>
      <c r="AV1123" s="133"/>
      <c r="AW1123" s="34"/>
      <c r="AX1123" s="123"/>
    </row>
    <row r="1124" spans="1:50" s="50" customFormat="1" x14ac:dyDescent="0.2">
      <c r="B1124" s="77"/>
      <c r="C1124" s="77"/>
      <c r="D1124" s="77"/>
      <c r="E1124" s="77"/>
      <c r="F1124" s="77"/>
      <c r="G1124" s="77"/>
      <c r="H1124" s="77"/>
      <c r="I1124" s="77"/>
      <c r="J1124" s="77"/>
      <c r="K1124" s="77"/>
      <c r="L1124" s="77"/>
      <c r="M1124" s="77"/>
      <c r="N1124" s="77"/>
      <c r="O1124" s="77"/>
      <c r="P1124" s="77"/>
      <c r="Q1124" s="77"/>
      <c r="R1124" s="77"/>
      <c r="S1124" s="77"/>
      <c r="T1124" s="77"/>
      <c r="U1124" s="77"/>
      <c r="V1124" s="77"/>
      <c r="W1124" s="77"/>
      <c r="X1124" s="77"/>
      <c r="Y1124" s="77"/>
      <c r="Z1124" s="77"/>
      <c r="AA1124" s="46"/>
      <c r="AB1124" s="47" t="s">
        <v>737</v>
      </c>
      <c r="AC1124" s="47"/>
      <c r="AD1124" s="48">
        <f t="shared" ref="AD1124:AS1124" si="406">SUM(AD1116:AD1123)</f>
        <v>5055945583</v>
      </c>
      <c r="AE1124" s="48">
        <f t="shared" si="406"/>
        <v>1179021213</v>
      </c>
      <c r="AF1124" s="49">
        <f t="shared" si="406"/>
        <v>0</v>
      </c>
      <c r="AG1124" s="49">
        <f t="shared" si="406"/>
        <v>0</v>
      </c>
      <c r="AH1124" s="49">
        <f t="shared" si="406"/>
        <v>0</v>
      </c>
      <c r="AI1124" s="49">
        <f t="shared" si="406"/>
        <v>1179021213</v>
      </c>
      <c r="AJ1124" s="48">
        <f t="shared" si="406"/>
        <v>6234966796</v>
      </c>
      <c r="AK1124" s="49">
        <f t="shared" si="406"/>
        <v>0</v>
      </c>
      <c r="AL1124" s="121">
        <f t="shared" si="406"/>
        <v>1598307264</v>
      </c>
      <c r="AM1124" s="121">
        <f t="shared" si="406"/>
        <v>3694737519</v>
      </c>
      <c r="AN1124" s="49">
        <f t="shared" si="406"/>
        <v>0</v>
      </c>
      <c r="AO1124" s="121">
        <f t="shared" si="406"/>
        <v>1598307264</v>
      </c>
      <c r="AP1124" s="121">
        <f t="shared" si="406"/>
        <v>3694737519</v>
      </c>
      <c r="AQ1124" s="49">
        <f t="shared" si="406"/>
        <v>127619384</v>
      </c>
      <c r="AR1124" s="121">
        <f t="shared" si="406"/>
        <v>1470687880</v>
      </c>
      <c r="AS1124" s="121">
        <f t="shared" si="406"/>
        <v>3567118135</v>
      </c>
      <c r="AT1124" s="108">
        <f>AQ1124+AS1124</f>
        <v>3694737519</v>
      </c>
      <c r="AU1124" s="48">
        <f>SUM(AU1116:AU1123)</f>
        <v>2540229277</v>
      </c>
      <c r="AV1124" s="49">
        <f>SUM(AV1116:AV1123)</f>
        <v>0</v>
      </c>
      <c r="AW1124" s="49">
        <f>SUM(AW1116:AW1123)</f>
        <v>0</v>
      </c>
      <c r="AX1124" s="24">
        <f>AP1124/AJ1124</f>
        <v>0.59258335126505135</v>
      </c>
    </row>
    <row r="1125" spans="1:50" x14ac:dyDescent="0.2">
      <c r="AA1125" s="16"/>
      <c r="AB1125" s="17"/>
      <c r="AC1125" s="17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</row>
    <row r="1126" spans="1:50" s="25" customFormat="1" x14ac:dyDescent="0.2">
      <c r="B1126" s="71"/>
      <c r="C1126" s="71"/>
      <c r="D1126" s="71"/>
      <c r="E1126" s="71"/>
      <c r="F1126" s="71"/>
      <c r="G1126" s="71"/>
      <c r="H1126" s="71"/>
      <c r="I1126" s="71"/>
      <c r="J1126" s="71"/>
      <c r="K1126" s="71"/>
      <c r="L1126" s="71"/>
      <c r="M1126" s="71"/>
      <c r="N1126" s="71"/>
      <c r="O1126" s="71"/>
      <c r="P1126" s="71"/>
      <c r="Q1126" s="71"/>
      <c r="R1126" s="71"/>
      <c r="S1126" s="71"/>
      <c r="T1126" s="71"/>
      <c r="U1126" s="71"/>
      <c r="V1126" s="71"/>
      <c r="W1126" s="71"/>
      <c r="X1126" s="71"/>
      <c r="Y1126" s="71"/>
      <c r="Z1126" s="71"/>
      <c r="AA1126" s="66"/>
      <c r="AB1126" s="21" t="s">
        <v>738</v>
      </c>
      <c r="AC1126" s="67"/>
      <c r="AD1126" s="63"/>
      <c r="AE1126" s="63"/>
      <c r="AF1126" s="63"/>
      <c r="AG1126" s="63"/>
      <c r="AH1126" s="63"/>
      <c r="AI1126" s="63"/>
      <c r="AJ1126" s="63"/>
      <c r="AK1126" s="63"/>
      <c r="AL1126" s="63"/>
      <c r="AM1126" s="63"/>
      <c r="AN1126" s="63"/>
      <c r="AO1126" s="63"/>
      <c r="AP1126" s="63"/>
      <c r="AQ1126" s="63"/>
      <c r="AR1126" s="63"/>
      <c r="AS1126" s="63"/>
      <c r="AT1126" s="63"/>
      <c r="AU1126" s="63"/>
      <c r="AV1126" s="63"/>
      <c r="AW1126" s="63"/>
      <c r="AX1126" s="63"/>
    </row>
    <row r="1127" spans="1:50" x14ac:dyDescent="0.2">
      <c r="AA1127" s="16"/>
      <c r="AB1127" s="29" t="s">
        <v>285</v>
      </c>
      <c r="AC1127" s="17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</row>
    <row r="1128" spans="1:50" x14ac:dyDescent="0.2">
      <c r="AA1128" s="16"/>
      <c r="AB1128" s="29" t="s">
        <v>202</v>
      </c>
      <c r="AC1128" s="17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</row>
    <row r="1129" spans="1:50" x14ac:dyDescent="0.2">
      <c r="AA1129" s="16"/>
      <c r="AB1129" s="29" t="s">
        <v>203</v>
      </c>
      <c r="AC1129" s="17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</row>
    <row r="1130" spans="1:50" x14ac:dyDescent="0.2">
      <c r="AA1130" s="16"/>
      <c r="AB1130" s="29" t="s">
        <v>204</v>
      </c>
      <c r="AC1130" s="17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</row>
    <row r="1131" spans="1:50" ht="25.5" x14ac:dyDescent="0.2">
      <c r="AA1131" s="16"/>
      <c r="AB1131" s="29" t="s">
        <v>739</v>
      </c>
      <c r="AC1131" s="17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</row>
    <row r="1132" spans="1:50" ht="25.5" x14ac:dyDescent="0.2">
      <c r="AA1132" s="16"/>
      <c r="AB1132" s="29" t="s">
        <v>205</v>
      </c>
      <c r="AC1132" s="17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30"/>
      <c r="AU1132" s="18"/>
      <c r="AV1132" s="18"/>
      <c r="AW1132" s="18"/>
      <c r="AX1132" s="18"/>
    </row>
    <row r="1133" spans="1:50" ht="25.5" x14ac:dyDescent="0.2">
      <c r="AA1133" s="28" t="s">
        <v>288</v>
      </c>
      <c r="AB1133" s="29" t="s">
        <v>740</v>
      </c>
      <c r="AC1133" s="17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30"/>
      <c r="AU1133" s="18"/>
      <c r="AV1133" s="18"/>
      <c r="AW1133" s="18"/>
      <c r="AX1133" s="18"/>
    </row>
    <row r="1134" spans="1:50" x14ac:dyDescent="0.2">
      <c r="A1134" s="4" t="s">
        <v>55</v>
      </c>
      <c r="B1134" s="4" t="s">
        <v>56</v>
      </c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1" t="s">
        <v>741</v>
      </c>
      <c r="AB1134" s="42" t="s">
        <v>233</v>
      </c>
      <c r="AC1134" s="43" t="s">
        <v>58</v>
      </c>
      <c r="AD1134" s="43">
        <v>9645837227</v>
      </c>
      <c r="AE1134" s="44">
        <v>0</v>
      </c>
      <c r="AF1134" s="44">
        <v>0</v>
      </c>
      <c r="AG1134" s="44">
        <v>0</v>
      </c>
      <c r="AH1134" s="44">
        <v>0</v>
      </c>
      <c r="AI1134" s="44">
        <v>0</v>
      </c>
      <c r="AJ1134" s="43">
        <v>9645837227</v>
      </c>
      <c r="AK1134" s="44">
        <v>0</v>
      </c>
      <c r="AL1134" s="43">
        <v>803819769</v>
      </c>
      <c r="AM1134" s="43">
        <v>4822918614</v>
      </c>
      <c r="AN1134" s="44">
        <v>0</v>
      </c>
      <c r="AO1134" s="43">
        <v>803819769</v>
      </c>
      <c r="AP1134" s="43">
        <v>4822918614</v>
      </c>
      <c r="AQ1134" s="44">
        <v>0</v>
      </c>
      <c r="AR1134" s="114">
        <v>803819769</v>
      </c>
      <c r="AS1134" s="114">
        <v>4822918614</v>
      </c>
      <c r="AT1134" s="111">
        <f t="shared" ref="AT1134:AT1138" si="407">AQ1134+AS1134</f>
        <v>4822918614</v>
      </c>
      <c r="AU1134" s="110">
        <f>AJ1134-AM1134</f>
        <v>4822918613</v>
      </c>
      <c r="AV1134" s="133">
        <f>AM1134-AP1134</f>
        <v>0</v>
      </c>
      <c r="AW1134" s="34">
        <f>AP1134-AT1134</f>
        <v>0</v>
      </c>
      <c r="AX1134" s="123">
        <f>AP1134/AJ1134</f>
        <v>0.50000000005183587</v>
      </c>
    </row>
    <row r="1135" spans="1:50" x14ac:dyDescent="0.2">
      <c r="A1135" s="4" t="s">
        <v>55</v>
      </c>
      <c r="B1135" s="4" t="s">
        <v>56</v>
      </c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134" t="s">
        <v>742</v>
      </c>
      <c r="AB1135" s="69" t="s">
        <v>743</v>
      </c>
      <c r="AC1135" s="43" t="s">
        <v>744</v>
      </c>
      <c r="AD1135" s="43">
        <v>1148574460</v>
      </c>
      <c r="AE1135" s="44">
        <v>0</v>
      </c>
      <c r="AF1135" s="44">
        <v>0</v>
      </c>
      <c r="AG1135" s="44">
        <v>0</v>
      </c>
      <c r="AH1135" s="44">
        <v>0</v>
      </c>
      <c r="AI1135" s="44">
        <v>0</v>
      </c>
      <c r="AJ1135" s="43">
        <v>1148574460</v>
      </c>
      <c r="AK1135" s="44">
        <v>0</v>
      </c>
      <c r="AL1135" s="43">
        <v>95714538</v>
      </c>
      <c r="AM1135" s="43">
        <v>574287228</v>
      </c>
      <c r="AN1135" s="44">
        <v>0</v>
      </c>
      <c r="AO1135" s="43">
        <v>95714538</v>
      </c>
      <c r="AP1135" s="43">
        <v>574287228</v>
      </c>
      <c r="AQ1135" s="44">
        <v>0</v>
      </c>
      <c r="AR1135" s="114">
        <v>95714538</v>
      </c>
      <c r="AS1135" s="114">
        <v>574287228</v>
      </c>
      <c r="AT1135" s="111">
        <f t="shared" si="407"/>
        <v>574287228</v>
      </c>
      <c r="AU1135" s="110">
        <f>AJ1135-AM1135</f>
        <v>574287232</v>
      </c>
      <c r="AV1135" s="133">
        <f>AM1135-AP1135</f>
        <v>0</v>
      </c>
      <c r="AW1135" s="34">
        <f>AP1135-AT1135</f>
        <v>0</v>
      </c>
      <c r="AX1135" s="123">
        <f>AP1135/AJ1135</f>
        <v>0.49999999825871105</v>
      </c>
    </row>
    <row r="1136" spans="1:50" x14ac:dyDescent="0.2">
      <c r="A1136" s="4" t="s">
        <v>55</v>
      </c>
      <c r="B1136" s="4" t="s">
        <v>56</v>
      </c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134" t="s">
        <v>745</v>
      </c>
      <c r="AB1136" s="69" t="s">
        <v>281</v>
      </c>
      <c r="AC1136" s="43" t="s">
        <v>253</v>
      </c>
      <c r="AD1136" s="43">
        <v>3200000000</v>
      </c>
      <c r="AE1136" s="44">
        <v>0</v>
      </c>
      <c r="AF1136" s="44">
        <v>0</v>
      </c>
      <c r="AG1136" s="44">
        <v>0</v>
      </c>
      <c r="AH1136" s="44">
        <v>0</v>
      </c>
      <c r="AI1136" s="44">
        <v>0</v>
      </c>
      <c r="AJ1136" s="43">
        <v>3200000000</v>
      </c>
      <c r="AK1136" s="44">
        <v>0</v>
      </c>
      <c r="AL1136" s="43">
        <v>0</v>
      </c>
      <c r="AM1136" s="43">
        <v>835577298</v>
      </c>
      <c r="AN1136" s="44">
        <v>0</v>
      </c>
      <c r="AO1136" s="43">
        <v>0</v>
      </c>
      <c r="AP1136" s="43">
        <v>835577298</v>
      </c>
      <c r="AQ1136" s="44">
        <v>0</v>
      </c>
      <c r="AR1136" s="114">
        <v>202272646</v>
      </c>
      <c r="AS1136" s="114">
        <v>835577298</v>
      </c>
      <c r="AT1136" s="111">
        <f t="shared" si="407"/>
        <v>835577298</v>
      </c>
      <c r="AU1136" s="110">
        <f>AJ1136-AM1136</f>
        <v>2364422702</v>
      </c>
      <c r="AV1136" s="133">
        <f>AM1136-AP1136</f>
        <v>0</v>
      </c>
      <c r="AW1136" s="34">
        <f>AP1136-AT1136</f>
        <v>0</v>
      </c>
      <c r="AX1136" s="123">
        <f>AP1136/AJ1136</f>
        <v>0.26111790562499998</v>
      </c>
    </row>
    <row r="1137" spans="1:50" ht="25.5" x14ac:dyDescent="0.2">
      <c r="A1137" s="4" t="s">
        <v>55</v>
      </c>
      <c r="B1137" s="4" t="s">
        <v>56</v>
      </c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1" t="s">
        <v>746</v>
      </c>
      <c r="AB1137" s="42" t="s">
        <v>747</v>
      </c>
      <c r="AC1137" s="43" t="s">
        <v>258</v>
      </c>
      <c r="AD1137" s="43">
        <v>35443183</v>
      </c>
      <c r="AE1137" s="44">
        <v>0</v>
      </c>
      <c r="AF1137" s="44">
        <v>0</v>
      </c>
      <c r="AG1137" s="44">
        <v>0</v>
      </c>
      <c r="AH1137" s="44">
        <v>0</v>
      </c>
      <c r="AI1137" s="44">
        <v>0</v>
      </c>
      <c r="AJ1137" s="43">
        <v>35443183</v>
      </c>
      <c r="AK1137" s="44">
        <v>0</v>
      </c>
      <c r="AL1137" s="44">
        <v>0</v>
      </c>
      <c r="AM1137" s="44">
        <v>0</v>
      </c>
      <c r="AN1137" s="44">
        <v>0</v>
      </c>
      <c r="AO1137" s="44">
        <v>0</v>
      </c>
      <c r="AP1137" s="44">
        <v>0</v>
      </c>
      <c r="AQ1137" s="44">
        <v>0</v>
      </c>
      <c r="AR1137" s="44">
        <v>0</v>
      </c>
      <c r="AS1137" s="44">
        <v>0</v>
      </c>
      <c r="AT1137" s="135">
        <f t="shared" si="407"/>
        <v>0</v>
      </c>
      <c r="AU1137" s="110">
        <f>AJ1137-AM1137</f>
        <v>35443183</v>
      </c>
      <c r="AV1137" s="133">
        <f>AM1137-AP1137</f>
        <v>0</v>
      </c>
      <c r="AW1137" s="34">
        <f>AP1137-AT1137</f>
        <v>0</v>
      </c>
      <c r="AX1137" s="123">
        <f>AP1137/AJ1137</f>
        <v>0</v>
      </c>
    </row>
    <row r="1138" spans="1:50" x14ac:dyDescent="0.2">
      <c r="A1138" s="4" t="s">
        <v>55</v>
      </c>
      <c r="B1138" s="4" t="s">
        <v>56</v>
      </c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1" t="s">
        <v>748</v>
      </c>
      <c r="AB1138" s="42" t="s">
        <v>749</v>
      </c>
      <c r="AC1138" s="43" t="s">
        <v>368</v>
      </c>
      <c r="AD1138" s="43">
        <v>30000000</v>
      </c>
      <c r="AE1138" s="44">
        <v>0</v>
      </c>
      <c r="AF1138" s="44">
        <v>0</v>
      </c>
      <c r="AG1138" s="44">
        <v>0</v>
      </c>
      <c r="AH1138" s="44">
        <v>0</v>
      </c>
      <c r="AI1138" s="44">
        <v>0</v>
      </c>
      <c r="AJ1138" s="43">
        <v>30000000</v>
      </c>
      <c r="AK1138" s="44">
        <v>0</v>
      </c>
      <c r="AL1138" s="44">
        <v>0</v>
      </c>
      <c r="AM1138" s="44">
        <v>0</v>
      </c>
      <c r="AN1138" s="44">
        <v>0</v>
      </c>
      <c r="AO1138" s="44">
        <v>0</v>
      </c>
      <c r="AP1138" s="44">
        <v>0</v>
      </c>
      <c r="AQ1138" s="44">
        <v>0</v>
      </c>
      <c r="AR1138" s="44">
        <v>0</v>
      </c>
      <c r="AS1138" s="44">
        <v>0</v>
      </c>
      <c r="AT1138" s="135">
        <f t="shared" si="407"/>
        <v>0</v>
      </c>
      <c r="AU1138" s="110">
        <f>AJ1138-AM1138</f>
        <v>30000000</v>
      </c>
      <c r="AV1138" s="133">
        <f>AM1138-AP1138</f>
        <v>0</v>
      </c>
      <c r="AW1138" s="34">
        <f>AP1138-AT1138</f>
        <v>0</v>
      </c>
      <c r="AX1138" s="123">
        <f>AP1138/AJ1138</f>
        <v>0</v>
      </c>
    </row>
    <row r="1139" spans="1:50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1"/>
      <c r="AB1139" s="42"/>
      <c r="AC1139" s="43"/>
      <c r="AD1139" s="43"/>
      <c r="AE1139" s="44"/>
      <c r="AF1139" s="44"/>
      <c r="AG1139" s="44"/>
      <c r="AH1139" s="44"/>
      <c r="AI1139" s="44"/>
      <c r="AJ1139" s="43"/>
      <c r="AK1139" s="44"/>
      <c r="AL1139" s="44"/>
      <c r="AM1139" s="44"/>
      <c r="AN1139" s="44"/>
      <c r="AO1139" s="44"/>
      <c r="AP1139" s="44"/>
      <c r="AQ1139" s="44"/>
      <c r="AR1139" s="44"/>
      <c r="AS1139" s="44"/>
      <c r="AT1139" s="135"/>
      <c r="AU1139" s="110"/>
      <c r="AV1139" s="133"/>
      <c r="AW1139" s="34"/>
      <c r="AX1139" s="123"/>
    </row>
    <row r="1140" spans="1:50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225" t="s">
        <v>288</v>
      </c>
      <c r="AB1140" s="226" t="s">
        <v>1138</v>
      </c>
      <c r="AC1140" s="43"/>
      <c r="AD1140" s="43"/>
      <c r="AE1140" s="233"/>
      <c r="AF1140" s="44"/>
      <c r="AG1140" s="44"/>
      <c r="AH1140" s="44"/>
      <c r="AI1140" s="44"/>
      <c r="AJ1140" s="43"/>
      <c r="AK1140" s="44"/>
      <c r="AL1140" s="44"/>
      <c r="AM1140" s="44"/>
      <c r="AN1140" s="44"/>
      <c r="AO1140" s="44"/>
      <c r="AP1140" s="44"/>
      <c r="AQ1140" s="44"/>
      <c r="AR1140" s="44"/>
      <c r="AS1140" s="44"/>
      <c r="AT1140" s="135"/>
      <c r="AU1140" s="110"/>
      <c r="AV1140" s="133"/>
      <c r="AW1140" s="34"/>
      <c r="AX1140" s="123"/>
    </row>
    <row r="1141" spans="1:50" ht="25.5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166" t="s">
        <v>1139</v>
      </c>
      <c r="AB1141" s="167" t="s">
        <v>1055</v>
      </c>
      <c r="AC1141" s="168"/>
      <c r="AD1141" s="255">
        <v>0</v>
      </c>
      <c r="AE1141" s="217">
        <v>140000000</v>
      </c>
      <c r="AF1141" s="216">
        <v>0</v>
      </c>
      <c r="AG1141" s="44">
        <v>0</v>
      </c>
      <c r="AH1141" s="44">
        <v>0</v>
      </c>
      <c r="AI1141" s="43">
        <f t="shared" ref="AI1141:AI1142" si="408">AE1141-AF1141+AG1141-AH1141</f>
        <v>140000000</v>
      </c>
      <c r="AJ1141" s="43">
        <f t="shared" ref="AJ1141:AJ1142" si="409">AD1141+AI1141</f>
        <v>140000000</v>
      </c>
      <c r="AK1141" s="44">
        <v>0</v>
      </c>
      <c r="AL1141" s="44">
        <v>0</v>
      </c>
      <c r="AM1141" s="43">
        <v>140000000</v>
      </c>
      <c r="AN1141" s="44">
        <v>0</v>
      </c>
      <c r="AO1141" s="44">
        <v>0</v>
      </c>
      <c r="AP1141" s="43">
        <v>140000000</v>
      </c>
      <c r="AQ1141" s="44">
        <v>0</v>
      </c>
      <c r="AR1141" s="43">
        <v>140000000</v>
      </c>
      <c r="AS1141" s="43">
        <v>140000000</v>
      </c>
      <c r="AT1141" s="39">
        <f t="shared" ref="AT1141:AT1142" si="410">AQ1141+AS1141</f>
        <v>140000000</v>
      </c>
      <c r="AU1141" s="133">
        <f>AJ1141-AM1141</f>
        <v>0</v>
      </c>
      <c r="AV1141" s="133">
        <f>AM1141-AP1141</f>
        <v>0</v>
      </c>
      <c r="AW1141" s="34">
        <f>AP1141-AT1141</f>
        <v>0</v>
      </c>
      <c r="AX1141" s="123">
        <f>AP1141/AJ1141</f>
        <v>1</v>
      </c>
    </row>
    <row r="1142" spans="1:50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166" t="s">
        <v>1140</v>
      </c>
      <c r="AB1142" s="167" t="s">
        <v>1013</v>
      </c>
      <c r="AC1142" s="168"/>
      <c r="AD1142" s="255">
        <v>0</v>
      </c>
      <c r="AE1142" s="217">
        <v>92624671.799999997</v>
      </c>
      <c r="AF1142" s="216">
        <v>0</v>
      </c>
      <c r="AG1142" s="216">
        <v>0</v>
      </c>
      <c r="AH1142" s="216">
        <v>0</v>
      </c>
      <c r="AI1142" s="43">
        <f t="shared" si="408"/>
        <v>92624671.799999997</v>
      </c>
      <c r="AJ1142" s="43">
        <f t="shared" si="409"/>
        <v>92624671.799999997</v>
      </c>
      <c r="AK1142" s="44">
        <v>0</v>
      </c>
      <c r="AL1142" s="44">
        <v>0</v>
      </c>
      <c r="AM1142" s="43">
        <v>92624671.799999997</v>
      </c>
      <c r="AN1142" s="44">
        <v>0</v>
      </c>
      <c r="AO1142" s="44">
        <v>0</v>
      </c>
      <c r="AP1142" s="43">
        <v>92624671.799999997</v>
      </c>
      <c r="AQ1142" s="44">
        <v>0</v>
      </c>
      <c r="AR1142" s="43">
        <v>92624671.799999997</v>
      </c>
      <c r="AS1142" s="43">
        <v>92624671.799999997</v>
      </c>
      <c r="AT1142" s="39">
        <f t="shared" si="410"/>
        <v>92624671.799999997</v>
      </c>
      <c r="AU1142" s="133">
        <f>AJ1142-AM1142</f>
        <v>0</v>
      </c>
      <c r="AV1142" s="133">
        <f>AM1142-AP1142</f>
        <v>0</v>
      </c>
      <c r="AW1142" s="34">
        <f>AP1142-AT1142</f>
        <v>0</v>
      </c>
      <c r="AX1142" s="123">
        <f>AP1142/AJ1142</f>
        <v>1</v>
      </c>
    </row>
    <row r="1143" spans="1:50" ht="25.5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170" t="s">
        <v>288</v>
      </c>
      <c r="AB1143" s="165" t="s">
        <v>1141</v>
      </c>
      <c r="AC1143" s="168"/>
      <c r="AD1143" s="255"/>
      <c r="AE1143" s="235"/>
      <c r="AF1143" s="216"/>
      <c r="AG1143" s="44"/>
      <c r="AH1143" s="44"/>
      <c r="AI1143" s="44"/>
      <c r="AJ1143" s="43"/>
      <c r="AK1143" s="44"/>
      <c r="AL1143" s="44"/>
      <c r="AM1143" s="44"/>
      <c r="AN1143" s="44"/>
      <c r="AO1143" s="44"/>
      <c r="AP1143" s="44"/>
      <c r="AQ1143" s="44"/>
      <c r="AR1143" s="44"/>
      <c r="AS1143" s="44"/>
      <c r="AT1143" s="135"/>
      <c r="AU1143" s="133"/>
      <c r="AV1143" s="133"/>
      <c r="AW1143" s="34"/>
      <c r="AX1143" s="123"/>
    </row>
    <row r="1144" spans="1:50" ht="25.5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166" t="s">
        <v>1142</v>
      </c>
      <c r="AB1144" s="167" t="s">
        <v>1055</v>
      </c>
      <c r="AC1144" s="168"/>
      <c r="AD1144" s="255">
        <v>0</v>
      </c>
      <c r="AE1144" s="217">
        <v>15000000</v>
      </c>
      <c r="AF1144" s="216">
        <v>0</v>
      </c>
      <c r="AG1144" s="216">
        <v>0</v>
      </c>
      <c r="AH1144" s="216">
        <v>0</v>
      </c>
      <c r="AI1144" s="43">
        <f t="shared" ref="AI1144:AI1147" si="411">AE1144-AF1144+AG1144-AH1144</f>
        <v>15000000</v>
      </c>
      <c r="AJ1144" s="43">
        <f t="shared" ref="AJ1144:AJ1147" si="412">AD1144+AI1144</f>
        <v>15000000</v>
      </c>
      <c r="AK1144" s="44">
        <v>0</v>
      </c>
      <c r="AL1144" s="44">
        <v>0</v>
      </c>
      <c r="AM1144" s="43">
        <v>15000000</v>
      </c>
      <c r="AN1144" s="44">
        <v>0</v>
      </c>
      <c r="AO1144" s="44">
        <v>0</v>
      </c>
      <c r="AP1144" s="43">
        <v>15000000</v>
      </c>
      <c r="AQ1144" s="44">
        <v>0</v>
      </c>
      <c r="AR1144" s="43">
        <v>15000000</v>
      </c>
      <c r="AS1144" s="43">
        <v>15000000</v>
      </c>
      <c r="AT1144" s="39">
        <f t="shared" ref="AT1144:AT1147" si="413">AQ1144+AS1144</f>
        <v>15000000</v>
      </c>
      <c r="AU1144" s="133">
        <f>AJ1144-AM1144</f>
        <v>0</v>
      </c>
      <c r="AV1144" s="133">
        <f>AM1144-AP1144</f>
        <v>0</v>
      </c>
      <c r="AW1144" s="34">
        <f>AP1144-AT1144</f>
        <v>0</v>
      </c>
      <c r="AX1144" s="123">
        <f>AP1144/AJ1144</f>
        <v>1</v>
      </c>
    </row>
    <row r="1145" spans="1:50" ht="25.5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166" t="s">
        <v>1143</v>
      </c>
      <c r="AB1145" s="167" t="s">
        <v>1055</v>
      </c>
      <c r="AC1145" s="168"/>
      <c r="AD1145" s="255">
        <v>0</v>
      </c>
      <c r="AE1145" s="217">
        <v>100000000</v>
      </c>
      <c r="AF1145" s="216">
        <v>0</v>
      </c>
      <c r="AG1145" s="216">
        <v>0</v>
      </c>
      <c r="AH1145" s="216">
        <v>0</v>
      </c>
      <c r="AI1145" s="43">
        <f t="shared" si="411"/>
        <v>100000000</v>
      </c>
      <c r="AJ1145" s="43">
        <f t="shared" si="412"/>
        <v>100000000</v>
      </c>
      <c r="AK1145" s="44">
        <v>0</v>
      </c>
      <c r="AL1145" s="44">
        <v>0</v>
      </c>
      <c r="AM1145" s="43">
        <v>100000000</v>
      </c>
      <c r="AN1145" s="44">
        <v>0</v>
      </c>
      <c r="AO1145" s="44">
        <v>0</v>
      </c>
      <c r="AP1145" s="43">
        <v>100000000</v>
      </c>
      <c r="AQ1145" s="44">
        <v>0</v>
      </c>
      <c r="AR1145" s="43">
        <v>100000000</v>
      </c>
      <c r="AS1145" s="43">
        <v>100000000</v>
      </c>
      <c r="AT1145" s="39">
        <f t="shared" si="413"/>
        <v>100000000</v>
      </c>
      <c r="AU1145" s="133">
        <f>AJ1145-AM1145</f>
        <v>0</v>
      </c>
      <c r="AV1145" s="133">
        <f>AM1145-AP1145</f>
        <v>0</v>
      </c>
      <c r="AW1145" s="34">
        <f>AP1145-AT1145</f>
        <v>0</v>
      </c>
      <c r="AX1145" s="123">
        <f>AP1145/AJ1145</f>
        <v>1</v>
      </c>
    </row>
    <row r="1146" spans="1:50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166" t="s">
        <v>1144</v>
      </c>
      <c r="AB1146" s="167" t="s">
        <v>1013</v>
      </c>
      <c r="AC1146" s="168"/>
      <c r="AD1146" s="255">
        <v>0</v>
      </c>
      <c r="AE1146" s="217">
        <v>80000000</v>
      </c>
      <c r="AF1146" s="216">
        <v>0</v>
      </c>
      <c r="AG1146" s="216">
        <v>0</v>
      </c>
      <c r="AH1146" s="216">
        <v>0</v>
      </c>
      <c r="AI1146" s="43">
        <f t="shared" si="411"/>
        <v>80000000</v>
      </c>
      <c r="AJ1146" s="43">
        <f t="shared" si="412"/>
        <v>80000000</v>
      </c>
      <c r="AK1146" s="44">
        <v>0</v>
      </c>
      <c r="AL1146" s="44">
        <v>0</v>
      </c>
      <c r="AM1146" s="43">
        <v>80000000</v>
      </c>
      <c r="AN1146" s="44">
        <v>0</v>
      </c>
      <c r="AO1146" s="44">
        <v>0</v>
      </c>
      <c r="AP1146" s="43">
        <v>80000000</v>
      </c>
      <c r="AQ1146" s="44">
        <v>0</v>
      </c>
      <c r="AR1146" s="43">
        <v>80000000</v>
      </c>
      <c r="AS1146" s="43">
        <v>80000000</v>
      </c>
      <c r="AT1146" s="39">
        <f t="shared" si="413"/>
        <v>80000000</v>
      </c>
      <c r="AU1146" s="133">
        <f>AJ1146-AM1146</f>
        <v>0</v>
      </c>
      <c r="AV1146" s="133">
        <f>AM1146-AP1146</f>
        <v>0</v>
      </c>
      <c r="AW1146" s="34">
        <f>AP1146-AT1146</f>
        <v>0</v>
      </c>
      <c r="AX1146" s="123">
        <f>AP1146/AJ1146</f>
        <v>1</v>
      </c>
    </row>
    <row r="1147" spans="1:50" ht="25.5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166" t="s">
        <v>1145</v>
      </c>
      <c r="AB1147" s="167" t="s">
        <v>1044</v>
      </c>
      <c r="AC1147" s="168"/>
      <c r="AD1147" s="255">
        <v>0</v>
      </c>
      <c r="AE1147" s="217">
        <v>22000000</v>
      </c>
      <c r="AF1147" s="216">
        <v>0</v>
      </c>
      <c r="AG1147" s="216">
        <v>0</v>
      </c>
      <c r="AH1147" s="216">
        <v>0</v>
      </c>
      <c r="AI1147" s="43">
        <f t="shared" si="411"/>
        <v>22000000</v>
      </c>
      <c r="AJ1147" s="43">
        <f t="shared" si="412"/>
        <v>22000000</v>
      </c>
      <c r="AK1147" s="44">
        <v>0</v>
      </c>
      <c r="AL1147" s="44">
        <v>0</v>
      </c>
      <c r="AM1147" s="43">
        <v>22000000</v>
      </c>
      <c r="AN1147" s="44">
        <v>0</v>
      </c>
      <c r="AO1147" s="44">
        <v>0</v>
      </c>
      <c r="AP1147" s="43">
        <v>22000000</v>
      </c>
      <c r="AQ1147" s="44">
        <v>0</v>
      </c>
      <c r="AR1147" s="44">
        <v>0</v>
      </c>
      <c r="AS1147" s="43">
        <v>22000000</v>
      </c>
      <c r="AT1147" s="39">
        <f t="shared" si="413"/>
        <v>22000000</v>
      </c>
      <c r="AU1147" s="133">
        <f>AJ1147-AM1147</f>
        <v>0</v>
      </c>
      <c r="AV1147" s="133">
        <f>AM1147-AP1147</f>
        <v>0</v>
      </c>
      <c r="AW1147" s="34">
        <f>AP1147-AT1147</f>
        <v>0</v>
      </c>
      <c r="AX1147" s="123">
        <f>AP1147/AJ1147</f>
        <v>1</v>
      </c>
    </row>
    <row r="1148" spans="1:50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170" t="s">
        <v>288</v>
      </c>
      <c r="AB1148" s="165" t="s">
        <v>199</v>
      </c>
      <c r="AC1148" s="168"/>
      <c r="AD1148" s="255"/>
      <c r="AE1148" s="235"/>
      <c r="AF1148" s="216"/>
      <c r="AG1148" s="44"/>
      <c r="AH1148" s="44"/>
      <c r="AI1148" s="44"/>
      <c r="AJ1148" s="43"/>
      <c r="AK1148" s="44"/>
      <c r="AL1148" s="44"/>
      <c r="AM1148" s="44"/>
      <c r="AN1148" s="44"/>
      <c r="AO1148" s="44"/>
      <c r="AP1148" s="44"/>
      <c r="AQ1148" s="44"/>
      <c r="AR1148" s="44"/>
      <c r="AS1148" s="44"/>
      <c r="AT1148" s="135"/>
      <c r="AU1148" s="133"/>
      <c r="AV1148" s="133"/>
      <c r="AW1148" s="34"/>
      <c r="AX1148" s="123"/>
    </row>
    <row r="1149" spans="1:50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166" t="s">
        <v>1146</v>
      </c>
      <c r="AB1149" s="167" t="s">
        <v>1147</v>
      </c>
      <c r="AC1149" s="168"/>
      <c r="AD1149" s="255">
        <v>0</v>
      </c>
      <c r="AE1149" s="217">
        <v>134265906</v>
      </c>
      <c r="AF1149" s="216">
        <v>0</v>
      </c>
      <c r="AG1149" s="44">
        <v>0</v>
      </c>
      <c r="AH1149" s="44">
        <v>0</v>
      </c>
      <c r="AI1149" s="43">
        <f t="shared" ref="AI1149:AI1150" si="414">AE1149-AF1149+AG1149-AH1149</f>
        <v>134265906</v>
      </c>
      <c r="AJ1149" s="43">
        <f t="shared" ref="AJ1149:AJ1150" si="415">AD1149+AI1149</f>
        <v>134265906</v>
      </c>
      <c r="AK1149" s="44">
        <v>0</v>
      </c>
      <c r="AL1149" s="44">
        <v>0</v>
      </c>
      <c r="AM1149" s="43">
        <v>134265906</v>
      </c>
      <c r="AN1149" s="44">
        <v>0</v>
      </c>
      <c r="AO1149" s="44">
        <v>0</v>
      </c>
      <c r="AP1149" s="43">
        <v>134265906</v>
      </c>
      <c r="AQ1149" s="44">
        <v>0</v>
      </c>
      <c r="AR1149" s="43">
        <v>134265906</v>
      </c>
      <c r="AS1149" s="43">
        <v>134265906</v>
      </c>
      <c r="AT1149" s="39">
        <f t="shared" ref="AT1149:AT1150" si="416">AQ1149+AS1149</f>
        <v>134265906</v>
      </c>
      <c r="AU1149" s="133">
        <f>AJ1149-AM1149</f>
        <v>0</v>
      </c>
      <c r="AV1149" s="133">
        <f>AM1149-AP1149</f>
        <v>0</v>
      </c>
      <c r="AW1149" s="34">
        <f>AP1149-AT1149</f>
        <v>0</v>
      </c>
      <c r="AX1149" s="123">
        <f>AP1149/AJ1149</f>
        <v>1</v>
      </c>
    </row>
    <row r="1150" spans="1:50" ht="25.5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166" t="s">
        <v>1148</v>
      </c>
      <c r="AB1150" s="167" t="s">
        <v>1149</v>
      </c>
      <c r="AC1150" s="168"/>
      <c r="AD1150" s="255">
        <v>0</v>
      </c>
      <c r="AE1150" s="217">
        <v>24691137.52</v>
      </c>
      <c r="AF1150" s="216">
        <v>0</v>
      </c>
      <c r="AG1150" s="216">
        <v>0</v>
      </c>
      <c r="AH1150" s="216">
        <v>0</v>
      </c>
      <c r="AI1150" s="43">
        <f t="shared" si="414"/>
        <v>24691137.52</v>
      </c>
      <c r="AJ1150" s="43">
        <f t="shared" si="415"/>
        <v>24691137.52</v>
      </c>
      <c r="AK1150" s="44">
        <v>0</v>
      </c>
      <c r="AL1150" s="44">
        <v>0</v>
      </c>
      <c r="AM1150" s="43">
        <v>24691137.52</v>
      </c>
      <c r="AN1150" s="44">
        <v>0</v>
      </c>
      <c r="AO1150" s="44">
        <v>0</v>
      </c>
      <c r="AP1150" s="43">
        <v>24691137.52</v>
      </c>
      <c r="AQ1150" s="44">
        <v>0</v>
      </c>
      <c r="AR1150" s="43">
        <v>24691137.52</v>
      </c>
      <c r="AS1150" s="43">
        <v>24691137.52</v>
      </c>
      <c r="AT1150" s="39">
        <f t="shared" si="416"/>
        <v>24691137.52</v>
      </c>
      <c r="AU1150" s="133">
        <f>AJ1150-AM1150</f>
        <v>0</v>
      </c>
      <c r="AV1150" s="133">
        <f>AM1150-AP1150</f>
        <v>0</v>
      </c>
      <c r="AW1150" s="34">
        <f>AP1150-AT1150</f>
        <v>0</v>
      </c>
      <c r="AX1150" s="123">
        <f>AP1150/AJ1150</f>
        <v>1</v>
      </c>
    </row>
    <row r="1151" spans="1:50" ht="25.5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170" t="s">
        <v>288</v>
      </c>
      <c r="AB1151" s="165" t="s">
        <v>1150</v>
      </c>
      <c r="AC1151" s="168"/>
      <c r="AD1151" s="231"/>
      <c r="AE1151" s="236"/>
      <c r="AF1151" s="216"/>
      <c r="AG1151" s="44"/>
      <c r="AH1151" s="44"/>
      <c r="AI1151" s="44"/>
      <c r="AJ1151" s="43"/>
      <c r="AK1151" s="44"/>
      <c r="AL1151" s="44"/>
      <c r="AM1151" s="44"/>
      <c r="AN1151" s="44"/>
      <c r="AO1151" s="44"/>
      <c r="AP1151" s="44"/>
      <c r="AQ1151" s="44"/>
      <c r="AR1151" s="44"/>
      <c r="AS1151" s="44"/>
      <c r="AT1151" s="135"/>
      <c r="AU1151" s="133"/>
      <c r="AV1151" s="133"/>
      <c r="AW1151" s="34"/>
      <c r="AX1151" s="123"/>
    </row>
    <row r="1152" spans="1:50" ht="25.5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166" t="s">
        <v>1151</v>
      </c>
      <c r="AB1152" s="167" t="s">
        <v>1055</v>
      </c>
      <c r="AC1152" s="168"/>
      <c r="AD1152" s="255">
        <v>0</v>
      </c>
      <c r="AE1152" s="217">
        <v>233600000</v>
      </c>
      <c r="AF1152" s="216">
        <v>0</v>
      </c>
      <c r="AG1152" s="216">
        <v>0</v>
      </c>
      <c r="AH1152" s="216">
        <v>0</v>
      </c>
      <c r="AI1152" s="43">
        <f t="shared" ref="AI1152" si="417">AE1152-AF1152+AG1152-AH1152</f>
        <v>233600000</v>
      </c>
      <c r="AJ1152" s="43">
        <f t="shared" ref="AJ1152" si="418">AD1152+AI1152</f>
        <v>233600000</v>
      </c>
      <c r="AK1152" s="44">
        <v>0</v>
      </c>
      <c r="AL1152" s="44">
        <v>0</v>
      </c>
      <c r="AM1152" s="43">
        <v>233600000</v>
      </c>
      <c r="AN1152" s="44">
        <v>0</v>
      </c>
      <c r="AO1152" s="44">
        <v>0</v>
      </c>
      <c r="AP1152" s="43">
        <v>233600000</v>
      </c>
      <c r="AQ1152" s="44">
        <v>0</v>
      </c>
      <c r="AR1152" s="43">
        <v>233600000</v>
      </c>
      <c r="AS1152" s="43">
        <v>233600000</v>
      </c>
      <c r="AT1152" s="39">
        <f t="shared" ref="AT1152" si="419">AQ1152+AS1152</f>
        <v>233600000</v>
      </c>
      <c r="AU1152" s="133">
        <f>AJ1152-AM1152</f>
        <v>0</v>
      </c>
      <c r="AV1152" s="133">
        <f>AM1152-AP1152</f>
        <v>0</v>
      </c>
      <c r="AW1152" s="34">
        <f>AP1152-AT1152</f>
        <v>0</v>
      </c>
      <c r="AX1152" s="123">
        <f>AP1152/AJ1152</f>
        <v>1</v>
      </c>
    </row>
    <row r="1153" spans="1:50" ht="25.5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170" t="s">
        <v>288</v>
      </c>
      <c r="AB1153" s="165" t="s">
        <v>1152</v>
      </c>
      <c r="AC1153" s="168"/>
      <c r="AD1153" s="231"/>
      <c r="AE1153" s="236"/>
      <c r="AF1153" s="216"/>
      <c r="AG1153" s="44"/>
      <c r="AH1153" s="44"/>
      <c r="AI1153" s="44"/>
      <c r="AJ1153" s="43"/>
      <c r="AK1153" s="44"/>
      <c r="AL1153" s="44"/>
      <c r="AM1153" s="44"/>
      <c r="AN1153" s="44"/>
      <c r="AO1153" s="44"/>
      <c r="AP1153" s="44"/>
      <c r="AQ1153" s="44"/>
      <c r="AR1153" s="44"/>
      <c r="AS1153" s="44"/>
      <c r="AT1153" s="135"/>
      <c r="AU1153" s="110"/>
      <c r="AV1153" s="133"/>
      <c r="AW1153" s="34"/>
      <c r="AX1153" s="123"/>
    </row>
    <row r="1154" spans="1:50" ht="25.5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166" t="s">
        <v>1153</v>
      </c>
      <c r="AB1154" s="167" t="s">
        <v>1055</v>
      </c>
      <c r="AC1154" s="168"/>
      <c r="AD1154" s="255">
        <v>0</v>
      </c>
      <c r="AE1154" s="217">
        <v>61400000</v>
      </c>
      <c r="AF1154" s="216">
        <v>0</v>
      </c>
      <c r="AG1154" s="216">
        <v>0</v>
      </c>
      <c r="AH1154" s="216">
        <v>0</v>
      </c>
      <c r="AI1154" s="43">
        <f t="shared" ref="AI1154" si="420">AE1154-AF1154+AG1154-AH1154</f>
        <v>61400000</v>
      </c>
      <c r="AJ1154" s="43">
        <f t="shared" ref="AJ1154" si="421">AD1154+AI1154</f>
        <v>61400000</v>
      </c>
      <c r="AK1154" s="44">
        <v>0</v>
      </c>
      <c r="AL1154" s="44">
        <v>0</v>
      </c>
      <c r="AM1154" s="43">
        <v>61400000</v>
      </c>
      <c r="AN1154" s="44">
        <v>0</v>
      </c>
      <c r="AO1154" s="44">
        <v>0</v>
      </c>
      <c r="AP1154" s="43">
        <v>61400000</v>
      </c>
      <c r="AQ1154" s="44">
        <v>0</v>
      </c>
      <c r="AR1154" s="43">
        <v>61400000</v>
      </c>
      <c r="AS1154" s="43">
        <v>61400000</v>
      </c>
      <c r="AT1154" s="39">
        <f t="shared" ref="AT1154" si="422">AQ1154+AS1154</f>
        <v>61400000</v>
      </c>
      <c r="AU1154" s="133">
        <f>AJ1154-AM1154</f>
        <v>0</v>
      </c>
      <c r="AV1154" s="133">
        <f>AM1154-AP1154</f>
        <v>0</v>
      </c>
      <c r="AW1154" s="34">
        <f>AP1154-AT1154</f>
        <v>0</v>
      </c>
      <c r="AX1154" s="123">
        <f>AP1154/AJ1154</f>
        <v>1</v>
      </c>
    </row>
    <row r="1155" spans="1:50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170" t="s">
        <v>288</v>
      </c>
      <c r="AB1155" s="165" t="s">
        <v>1154</v>
      </c>
      <c r="AC1155" s="168"/>
      <c r="AD1155" s="255"/>
      <c r="AE1155" s="236"/>
      <c r="AF1155" s="216"/>
      <c r="AG1155" s="44"/>
      <c r="AH1155" s="44"/>
      <c r="AI1155" s="44"/>
      <c r="AJ1155" s="43"/>
      <c r="AK1155" s="44"/>
      <c r="AL1155" s="44"/>
      <c r="AM1155" s="44"/>
      <c r="AN1155" s="44"/>
      <c r="AO1155" s="44"/>
      <c r="AP1155" s="44"/>
      <c r="AQ1155" s="44"/>
      <c r="AR1155" s="44"/>
      <c r="AS1155" s="44"/>
      <c r="AT1155" s="135"/>
      <c r="AU1155" s="133"/>
      <c r="AV1155" s="133"/>
      <c r="AW1155" s="34"/>
      <c r="AX1155" s="123"/>
    </row>
    <row r="1156" spans="1:50" ht="25.5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166" t="s">
        <v>1155</v>
      </c>
      <c r="AB1156" s="167" t="s">
        <v>1055</v>
      </c>
      <c r="AC1156" s="168"/>
      <c r="AD1156" s="255">
        <v>0</v>
      </c>
      <c r="AE1156" s="217">
        <v>200000000</v>
      </c>
      <c r="AF1156" s="216">
        <v>0</v>
      </c>
      <c r="AG1156" s="216">
        <v>0</v>
      </c>
      <c r="AH1156" s="216">
        <v>0</v>
      </c>
      <c r="AI1156" s="43">
        <f t="shared" ref="AI1156" si="423">AE1156-AF1156+AG1156-AH1156</f>
        <v>200000000</v>
      </c>
      <c r="AJ1156" s="43">
        <f t="shared" ref="AJ1156" si="424">AD1156+AI1156</f>
        <v>200000000</v>
      </c>
      <c r="AK1156" s="44">
        <v>0</v>
      </c>
      <c r="AL1156" s="44">
        <v>0</v>
      </c>
      <c r="AM1156" s="43">
        <v>200000000</v>
      </c>
      <c r="AN1156" s="44">
        <v>0</v>
      </c>
      <c r="AO1156" s="44">
        <v>0</v>
      </c>
      <c r="AP1156" s="43">
        <v>200000000</v>
      </c>
      <c r="AQ1156" s="44">
        <v>0</v>
      </c>
      <c r="AR1156" s="43">
        <v>200000000</v>
      </c>
      <c r="AS1156" s="43">
        <v>200000000</v>
      </c>
      <c r="AT1156" s="39">
        <f t="shared" ref="AT1156" si="425">AQ1156+AS1156</f>
        <v>200000000</v>
      </c>
      <c r="AU1156" s="133">
        <f>AJ1156-AM1156</f>
        <v>0</v>
      </c>
      <c r="AV1156" s="133">
        <f>AM1156-AP1156</f>
        <v>0</v>
      </c>
      <c r="AW1156" s="34">
        <f>AP1156-AT1156</f>
        <v>0</v>
      </c>
      <c r="AX1156" s="123">
        <f>AP1156/AJ1156</f>
        <v>1</v>
      </c>
    </row>
    <row r="1157" spans="1:50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170" t="s">
        <v>288</v>
      </c>
      <c r="AB1157" s="165" t="s">
        <v>1156</v>
      </c>
      <c r="AC1157" s="168"/>
      <c r="AD1157" s="255"/>
      <c r="AE1157" s="236"/>
      <c r="AF1157" s="216"/>
      <c r="AG1157" s="44"/>
      <c r="AH1157" s="44"/>
      <c r="AI1157" s="44"/>
      <c r="AJ1157" s="43"/>
      <c r="AK1157" s="44"/>
      <c r="AL1157" s="44"/>
      <c r="AM1157" s="44"/>
      <c r="AN1157" s="44"/>
      <c r="AO1157" s="44"/>
      <c r="AP1157" s="44"/>
      <c r="AQ1157" s="44"/>
      <c r="AR1157" s="44"/>
      <c r="AS1157" s="44"/>
      <c r="AT1157" s="135"/>
      <c r="AU1157" s="133"/>
      <c r="AV1157" s="133"/>
      <c r="AW1157" s="34"/>
      <c r="AX1157" s="123"/>
    </row>
    <row r="1158" spans="1:50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166" t="s">
        <v>1157</v>
      </c>
      <c r="AB1158" s="167" t="s">
        <v>1013</v>
      </c>
      <c r="AC1158" s="168"/>
      <c r="AD1158" s="255">
        <v>0</v>
      </c>
      <c r="AE1158" s="217">
        <v>70000000</v>
      </c>
      <c r="AF1158" s="216">
        <v>0</v>
      </c>
      <c r="AG1158" s="216">
        <v>0</v>
      </c>
      <c r="AH1158" s="216">
        <v>0</v>
      </c>
      <c r="AI1158" s="43">
        <f t="shared" ref="AI1158" si="426">AE1158-AF1158+AG1158-AH1158</f>
        <v>70000000</v>
      </c>
      <c r="AJ1158" s="43">
        <f t="shared" ref="AJ1158" si="427">AD1158+AI1158</f>
        <v>70000000</v>
      </c>
      <c r="AK1158" s="44">
        <v>0</v>
      </c>
      <c r="AL1158" s="44">
        <v>0</v>
      </c>
      <c r="AM1158" s="43">
        <v>70000000</v>
      </c>
      <c r="AN1158" s="44">
        <v>0</v>
      </c>
      <c r="AO1158" s="44">
        <v>0</v>
      </c>
      <c r="AP1158" s="43">
        <v>70000000</v>
      </c>
      <c r="AQ1158" s="44">
        <v>0</v>
      </c>
      <c r="AR1158" s="43">
        <v>70000000</v>
      </c>
      <c r="AS1158" s="43">
        <v>70000000</v>
      </c>
      <c r="AT1158" s="39">
        <f t="shared" ref="AT1158" si="428">AQ1158+AS1158</f>
        <v>70000000</v>
      </c>
      <c r="AU1158" s="133">
        <f>AJ1158-AM1158</f>
        <v>0</v>
      </c>
      <c r="AV1158" s="133">
        <f>AM1158-AP1158</f>
        <v>0</v>
      </c>
      <c r="AW1158" s="34">
        <f>AP1158-AT1158</f>
        <v>0</v>
      </c>
      <c r="AX1158" s="123">
        <f>AP1158/AJ1158</f>
        <v>1</v>
      </c>
    </row>
    <row r="1159" spans="1:50" ht="25.5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170" t="s">
        <v>288</v>
      </c>
      <c r="AB1159" s="165" t="s">
        <v>1158</v>
      </c>
      <c r="AC1159" s="168"/>
      <c r="AD1159" s="255"/>
      <c r="AE1159" s="236"/>
      <c r="AF1159" s="216"/>
      <c r="AG1159" s="44"/>
      <c r="AH1159" s="44"/>
      <c r="AI1159" s="44"/>
      <c r="AJ1159" s="43"/>
      <c r="AK1159" s="44"/>
      <c r="AL1159" s="44"/>
      <c r="AM1159" s="44"/>
      <c r="AN1159" s="44"/>
      <c r="AO1159" s="44"/>
      <c r="AP1159" s="44"/>
      <c r="AQ1159" s="44"/>
      <c r="AR1159" s="43"/>
      <c r="AS1159" s="43"/>
      <c r="AT1159" s="39"/>
      <c r="AU1159" s="133"/>
      <c r="AV1159" s="133"/>
      <c r="AW1159" s="34"/>
      <c r="AX1159" s="123"/>
    </row>
    <row r="1160" spans="1:50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166" t="s">
        <v>1159</v>
      </c>
      <c r="AB1160" s="167" t="s">
        <v>1013</v>
      </c>
      <c r="AC1160" s="168"/>
      <c r="AD1160" s="255">
        <v>0</v>
      </c>
      <c r="AE1160" s="217">
        <v>34660667.719999999</v>
      </c>
      <c r="AF1160" s="216">
        <v>0</v>
      </c>
      <c r="AG1160" s="216">
        <v>0</v>
      </c>
      <c r="AH1160" s="216">
        <v>0</v>
      </c>
      <c r="AI1160" s="43">
        <f t="shared" ref="AI1160" si="429">AE1160-AF1160+AG1160-AH1160</f>
        <v>34660667.719999999</v>
      </c>
      <c r="AJ1160" s="43">
        <f t="shared" ref="AJ1160" si="430">AD1160+AI1160</f>
        <v>34660667.719999999</v>
      </c>
      <c r="AK1160" s="44">
        <v>0</v>
      </c>
      <c r="AL1160" s="44">
        <v>0</v>
      </c>
      <c r="AM1160" s="43">
        <v>34660667.719999999</v>
      </c>
      <c r="AN1160" s="44">
        <v>0</v>
      </c>
      <c r="AO1160" s="44">
        <v>0</v>
      </c>
      <c r="AP1160" s="43">
        <v>34660667.719999999</v>
      </c>
      <c r="AQ1160" s="44">
        <v>0</v>
      </c>
      <c r="AR1160" s="43">
        <v>34660667.719999999</v>
      </c>
      <c r="AS1160" s="43">
        <v>34660667.719999999</v>
      </c>
      <c r="AT1160" s="39">
        <f t="shared" ref="AT1160" si="431">AQ1160+AS1160</f>
        <v>34660667.719999999</v>
      </c>
      <c r="AU1160" s="133">
        <f>AJ1160-AM1160</f>
        <v>0</v>
      </c>
      <c r="AV1160" s="133">
        <f>AM1160-AP1160</f>
        <v>0</v>
      </c>
      <c r="AW1160" s="34">
        <f>AP1160-AT1160</f>
        <v>0</v>
      </c>
      <c r="AX1160" s="123">
        <f>AP1160/AJ1160</f>
        <v>1</v>
      </c>
    </row>
    <row r="1161" spans="1:50" ht="17.25" customHeight="1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170" t="s">
        <v>288</v>
      </c>
      <c r="AB1161" s="165" t="s">
        <v>1160</v>
      </c>
      <c r="AC1161" s="168"/>
      <c r="AD1161" s="255"/>
      <c r="AE1161" s="236"/>
      <c r="AF1161" s="216"/>
      <c r="AG1161" s="44"/>
      <c r="AH1161" s="44"/>
      <c r="AI1161" s="44"/>
      <c r="AJ1161" s="43"/>
      <c r="AK1161" s="44"/>
      <c r="AL1161" s="44"/>
      <c r="AM1161" s="44"/>
      <c r="AN1161" s="44"/>
      <c r="AO1161" s="44"/>
      <c r="AP1161" s="44"/>
      <c r="AQ1161" s="44"/>
      <c r="AR1161" s="44"/>
      <c r="AS1161" s="44"/>
      <c r="AT1161" s="135"/>
      <c r="AU1161" s="133"/>
      <c r="AV1161" s="133"/>
      <c r="AW1161" s="34"/>
      <c r="AX1161" s="123"/>
    </row>
    <row r="1162" spans="1:50" ht="31.5" customHeight="1" x14ac:dyDescent="0.2">
      <c r="AA1162" s="166" t="s">
        <v>1161</v>
      </c>
      <c r="AB1162" s="167" t="s">
        <v>1044</v>
      </c>
      <c r="AC1162" s="161"/>
      <c r="AD1162" s="256">
        <v>0</v>
      </c>
      <c r="AE1162" s="217">
        <v>106000000</v>
      </c>
      <c r="AF1162" s="216">
        <v>0</v>
      </c>
      <c r="AG1162" s="216">
        <v>0</v>
      </c>
      <c r="AH1162" s="216">
        <v>0</v>
      </c>
      <c r="AI1162" s="43">
        <f t="shared" ref="AI1162" si="432">AE1162-AF1162+AG1162-AH1162</f>
        <v>106000000</v>
      </c>
      <c r="AJ1162" s="43">
        <f t="shared" ref="AJ1162" si="433">AD1162+AI1162</f>
        <v>106000000</v>
      </c>
      <c r="AK1162" s="34">
        <v>0</v>
      </c>
      <c r="AL1162" s="18">
        <v>0</v>
      </c>
      <c r="AM1162" s="18">
        <v>106000000</v>
      </c>
      <c r="AN1162" s="34">
        <v>0</v>
      </c>
      <c r="AO1162" s="18">
        <v>0</v>
      </c>
      <c r="AP1162" s="18">
        <v>106000000</v>
      </c>
      <c r="AQ1162" s="34">
        <v>0</v>
      </c>
      <c r="AR1162" s="34">
        <v>0</v>
      </c>
      <c r="AS1162" s="18">
        <v>106000000</v>
      </c>
      <c r="AT1162" s="39">
        <f t="shared" ref="AT1162" si="434">AQ1162+AS1162</f>
        <v>106000000</v>
      </c>
      <c r="AU1162" s="133">
        <f>AJ1162-AM1162</f>
        <v>0</v>
      </c>
      <c r="AV1162" s="133">
        <f>AM1162-AP1162</f>
        <v>0</v>
      </c>
      <c r="AW1162" s="34">
        <f>AP1162-AT1162</f>
        <v>0</v>
      </c>
      <c r="AX1162" s="123">
        <f>AP1162/AJ1162</f>
        <v>1</v>
      </c>
    </row>
    <row r="1163" spans="1:50" ht="14.25" customHeight="1" x14ac:dyDescent="0.2">
      <c r="AA1163" s="229"/>
      <c r="AB1163" s="230"/>
      <c r="AC1163" s="161"/>
      <c r="AD1163" s="18"/>
      <c r="AE1163" s="234"/>
      <c r="AF1163" s="34"/>
      <c r="AG1163" s="34"/>
      <c r="AH1163" s="34"/>
      <c r="AI1163" s="34"/>
      <c r="AJ1163" s="18"/>
      <c r="AK1163" s="34"/>
      <c r="AL1163" s="18"/>
      <c r="AM1163" s="18"/>
      <c r="AN1163" s="34"/>
      <c r="AO1163" s="18"/>
      <c r="AP1163" s="18"/>
      <c r="AQ1163" s="18"/>
      <c r="AR1163" s="18"/>
      <c r="AS1163" s="18"/>
      <c r="AT1163" s="30"/>
      <c r="AU1163" s="18"/>
      <c r="AV1163" s="18"/>
      <c r="AW1163" s="18"/>
      <c r="AX1163" s="18"/>
    </row>
    <row r="1164" spans="1:50" s="50" customFormat="1" ht="15.75" customHeight="1" x14ac:dyDescent="0.2">
      <c r="B1164" s="77"/>
      <c r="C1164" s="77"/>
      <c r="D1164" s="77"/>
      <c r="E1164" s="77"/>
      <c r="F1164" s="77"/>
      <c r="G1164" s="77"/>
      <c r="H1164" s="77"/>
      <c r="I1164" s="77"/>
      <c r="J1164" s="77"/>
      <c r="K1164" s="77"/>
      <c r="L1164" s="77"/>
      <c r="M1164" s="77"/>
      <c r="N1164" s="77"/>
      <c r="O1164" s="77"/>
      <c r="P1164" s="77"/>
      <c r="Q1164" s="77"/>
      <c r="R1164" s="77"/>
      <c r="S1164" s="77"/>
      <c r="T1164" s="77"/>
      <c r="U1164" s="77"/>
      <c r="V1164" s="77"/>
      <c r="W1164" s="77"/>
      <c r="X1164" s="77"/>
      <c r="Y1164" s="77"/>
      <c r="Z1164" s="77"/>
      <c r="AA1164" s="227"/>
      <c r="AB1164" s="228" t="s">
        <v>750</v>
      </c>
      <c r="AC1164" s="22" t="s">
        <v>751</v>
      </c>
      <c r="AD1164" s="22">
        <f>SUM(AD1134:AD1162)</f>
        <v>14059854870</v>
      </c>
      <c r="AE1164" s="22">
        <f t="shared" ref="AE1164:AW1164" si="435">SUM(AE1134:AE1162)</f>
        <v>1314242383.04</v>
      </c>
      <c r="AF1164" s="23">
        <f t="shared" si="435"/>
        <v>0</v>
      </c>
      <c r="AG1164" s="23">
        <f t="shared" si="435"/>
        <v>0</v>
      </c>
      <c r="AH1164" s="23">
        <f t="shared" si="435"/>
        <v>0</v>
      </c>
      <c r="AI1164" s="23">
        <f t="shared" si="435"/>
        <v>1314242383.04</v>
      </c>
      <c r="AJ1164" s="22">
        <f t="shared" si="435"/>
        <v>15374097253.039999</v>
      </c>
      <c r="AK1164" s="23">
        <f t="shared" si="435"/>
        <v>0</v>
      </c>
      <c r="AL1164" s="22">
        <f t="shared" si="435"/>
        <v>899534307</v>
      </c>
      <c r="AM1164" s="22">
        <f t="shared" si="435"/>
        <v>7547025523.0400009</v>
      </c>
      <c r="AN1164" s="23">
        <f t="shared" si="435"/>
        <v>0</v>
      </c>
      <c r="AO1164" s="22">
        <f t="shared" si="435"/>
        <v>899534307</v>
      </c>
      <c r="AP1164" s="22">
        <f t="shared" si="435"/>
        <v>7547025523.0400009</v>
      </c>
      <c r="AQ1164" s="23">
        <f t="shared" si="435"/>
        <v>0</v>
      </c>
      <c r="AR1164" s="22">
        <f t="shared" si="435"/>
        <v>2288049336.0399995</v>
      </c>
      <c r="AS1164" s="22">
        <f t="shared" si="435"/>
        <v>7547025523.0400009</v>
      </c>
      <c r="AT1164" s="22">
        <f>AQ1164+AS1164</f>
        <v>7547025523.0400009</v>
      </c>
      <c r="AU1164" s="22">
        <f t="shared" si="435"/>
        <v>7827071730</v>
      </c>
      <c r="AV1164" s="23">
        <f t="shared" si="435"/>
        <v>0</v>
      </c>
      <c r="AW1164" s="23">
        <f t="shared" si="435"/>
        <v>0</v>
      </c>
      <c r="AX1164" s="24">
        <f>AP1164/AJ1164</f>
        <v>0.49089227151517395</v>
      </c>
    </row>
    <row r="1165" spans="1:50" x14ac:dyDescent="0.2">
      <c r="AA1165" s="16"/>
      <c r="AB1165" s="17"/>
      <c r="AC1165" s="17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</row>
    <row r="1166" spans="1:50" x14ac:dyDescent="0.2">
      <c r="AA1166" s="16"/>
      <c r="AB1166" s="29" t="s">
        <v>207</v>
      </c>
      <c r="AC1166" s="17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</row>
    <row r="1167" spans="1:50" x14ac:dyDescent="0.2">
      <c r="AA1167" s="16"/>
      <c r="AB1167" s="29" t="s">
        <v>285</v>
      </c>
      <c r="AC1167" s="17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</row>
    <row r="1168" spans="1:50" x14ac:dyDescent="0.2">
      <c r="AA1168" s="16"/>
      <c r="AB1168" s="29" t="s">
        <v>202</v>
      </c>
      <c r="AC1168" s="17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</row>
    <row r="1169" spans="1:50" x14ac:dyDescent="0.2">
      <c r="AA1169" s="16"/>
      <c r="AB1169" s="29" t="s">
        <v>203</v>
      </c>
      <c r="AC1169" s="17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</row>
    <row r="1170" spans="1:50" x14ac:dyDescent="0.2">
      <c r="AA1170" s="16"/>
      <c r="AB1170" s="29" t="s">
        <v>752</v>
      </c>
      <c r="AC1170" s="17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</row>
    <row r="1171" spans="1:50" ht="25.5" x14ac:dyDescent="0.2">
      <c r="AA1171" s="16"/>
      <c r="AB1171" s="29" t="s">
        <v>205</v>
      </c>
      <c r="AC1171" s="17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</row>
    <row r="1172" spans="1:50" ht="25.5" x14ac:dyDescent="0.2">
      <c r="AA1172" s="16"/>
      <c r="AB1172" s="29" t="s">
        <v>205</v>
      </c>
      <c r="AC1172" s="17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30"/>
      <c r="AU1172" s="18"/>
      <c r="AV1172" s="18"/>
      <c r="AW1172" s="18"/>
      <c r="AX1172" s="18"/>
    </row>
    <row r="1173" spans="1:50" ht="25.5" x14ac:dyDescent="0.2">
      <c r="AA1173" s="28" t="s">
        <v>288</v>
      </c>
      <c r="AB1173" s="29" t="s">
        <v>753</v>
      </c>
      <c r="AC1173" s="17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30"/>
      <c r="AU1173" s="18"/>
      <c r="AV1173" s="18"/>
      <c r="AW1173" s="18"/>
      <c r="AX1173" s="18"/>
    </row>
    <row r="1174" spans="1:50" x14ac:dyDescent="0.2">
      <c r="A1174" s="4" t="s">
        <v>55</v>
      </c>
      <c r="B1174" s="4" t="s">
        <v>56</v>
      </c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1" t="s">
        <v>754</v>
      </c>
      <c r="AB1174" s="42" t="s">
        <v>233</v>
      </c>
      <c r="AC1174" s="43" t="s">
        <v>58</v>
      </c>
      <c r="AD1174" s="43">
        <v>3500000000</v>
      </c>
      <c r="AE1174" s="44">
        <v>0</v>
      </c>
      <c r="AF1174" s="44">
        <v>0</v>
      </c>
      <c r="AG1174" s="44">
        <v>0</v>
      </c>
      <c r="AH1174" s="44">
        <v>0</v>
      </c>
      <c r="AI1174" s="44">
        <f t="shared" ref="AI1174:AI1175" si="436">AE1174-AF1174+AG1174-AH1174</f>
        <v>0</v>
      </c>
      <c r="AJ1174" s="43">
        <f t="shared" ref="AJ1174:AJ1175" si="437">AD1174+AI1174</f>
        <v>3500000000</v>
      </c>
      <c r="AK1174" s="44">
        <v>0</v>
      </c>
      <c r="AL1174" s="43">
        <v>291666667</v>
      </c>
      <c r="AM1174" s="43">
        <v>1750000002</v>
      </c>
      <c r="AN1174" s="44">
        <v>0</v>
      </c>
      <c r="AO1174" s="43">
        <v>291666667</v>
      </c>
      <c r="AP1174" s="43">
        <v>1750000002</v>
      </c>
      <c r="AQ1174" s="44">
        <v>0</v>
      </c>
      <c r="AR1174" s="43">
        <v>291666667</v>
      </c>
      <c r="AS1174" s="43">
        <v>1750000002</v>
      </c>
      <c r="AT1174" s="111">
        <f t="shared" ref="AT1174:AT1175" si="438">AQ1174+AS1174</f>
        <v>1750000002</v>
      </c>
      <c r="AU1174" s="110">
        <f>AJ1174-AM1174</f>
        <v>1749999998</v>
      </c>
      <c r="AV1174" s="133">
        <f>AM1174-AP1174</f>
        <v>0</v>
      </c>
      <c r="AW1174" s="34">
        <f>AP1174-AT1174</f>
        <v>0</v>
      </c>
      <c r="AX1174" s="123">
        <f>AP1174/AJ1174</f>
        <v>0.50000000057142857</v>
      </c>
    </row>
    <row r="1175" spans="1:50" x14ac:dyDescent="0.2">
      <c r="A1175" s="4" t="s">
        <v>55</v>
      </c>
      <c r="B1175" s="4" t="s">
        <v>56</v>
      </c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1" t="s">
        <v>1237</v>
      </c>
      <c r="AB1175" s="69" t="s">
        <v>756</v>
      </c>
      <c r="AC1175" s="43" t="s">
        <v>757</v>
      </c>
      <c r="AD1175" s="43">
        <v>103000000</v>
      </c>
      <c r="AE1175" s="44">
        <v>0</v>
      </c>
      <c r="AF1175" s="44">
        <v>0</v>
      </c>
      <c r="AG1175" s="44">
        <v>0</v>
      </c>
      <c r="AH1175" s="44">
        <v>0</v>
      </c>
      <c r="AI1175" s="44">
        <f t="shared" si="436"/>
        <v>0</v>
      </c>
      <c r="AJ1175" s="43">
        <f t="shared" si="437"/>
        <v>103000000</v>
      </c>
      <c r="AK1175" s="44">
        <v>0</v>
      </c>
      <c r="AL1175" s="43">
        <v>0</v>
      </c>
      <c r="AM1175" s="43">
        <v>11617249</v>
      </c>
      <c r="AN1175" s="44">
        <v>0</v>
      </c>
      <c r="AO1175" s="43">
        <v>0</v>
      </c>
      <c r="AP1175" s="43">
        <v>11617249</v>
      </c>
      <c r="AQ1175" s="44">
        <v>0</v>
      </c>
      <c r="AR1175" s="44">
        <v>0</v>
      </c>
      <c r="AS1175" s="44">
        <v>11617249</v>
      </c>
      <c r="AT1175" s="135">
        <f t="shared" si="438"/>
        <v>11617249</v>
      </c>
      <c r="AU1175" s="110">
        <f>AJ1175-AM1175</f>
        <v>91382751</v>
      </c>
      <c r="AV1175" s="133">
        <f>AM1175-AP1175</f>
        <v>0</v>
      </c>
      <c r="AW1175" s="34">
        <f>AP1175-AT1175</f>
        <v>0</v>
      </c>
      <c r="AX1175" s="123">
        <f>AP1175/AJ1175</f>
        <v>0.11278882524271845</v>
      </c>
    </row>
    <row r="1176" spans="1:50" x14ac:dyDescent="0.2">
      <c r="AA1176" s="162"/>
      <c r="AB1176" s="223"/>
      <c r="AC1176" s="17"/>
      <c r="AD1176" s="18"/>
      <c r="AE1176" s="34"/>
      <c r="AF1176" s="34"/>
      <c r="AG1176" s="34"/>
      <c r="AH1176" s="34"/>
      <c r="AI1176" s="34"/>
      <c r="AJ1176" s="18"/>
      <c r="AK1176" s="34"/>
      <c r="AL1176" s="18"/>
      <c r="AM1176" s="18"/>
      <c r="AN1176" s="34"/>
      <c r="AO1176" s="18"/>
      <c r="AP1176" s="18"/>
      <c r="AQ1176" s="34"/>
      <c r="AR1176" s="18"/>
      <c r="AS1176" s="18"/>
      <c r="AT1176" s="30"/>
      <c r="AU1176" s="18"/>
      <c r="AV1176" s="18"/>
      <c r="AW1176" s="18"/>
      <c r="AX1176" s="18"/>
    </row>
    <row r="1177" spans="1:50" s="50" customFormat="1" x14ac:dyDescent="0.2">
      <c r="B1177" s="77"/>
      <c r="C1177" s="77"/>
      <c r="D1177" s="77"/>
      <c r="E1177" s="77"/>
      <c r="F1177" s="77"/>
      <c r="G1177" s="77"/>
      <c r="H1177" s="77"/>
      <c r="I1177" s="77"/>
      <c r="J1177" s="77"/>
      <c r="K1177" s="77"/>
      <c r="L1177" s="77"/>
      <c r="M1177" s="77"/>
      <c r="N1177" s="77"/>
      <c r="O1177" s="77"/>
      <c r="P1177" s="77"/>
      <c r="Q1177" s="77"/>
      <c r="R1177" s="77"/>
      <c r="S1177" s="77"/>
      <c r="T1177" s="77"/>
      <c r="U1177" s="77"/>
      <c r="V1177" s="77"/>
      <c r="W1177" s="77"/>
      <c r="X1177" s="77"/>
      <c r="Y1177" s="77"/>
      <c r="Z1177" s="77"/>
      <c r="AA1177" s="46"/>
      <c r="AB1177" s="47" t="s">
        <v>758</v>
      </c>
      <c r="AC1177" s="22" t="s">
        <v>759</v>
      </c>
      <c r="AD1177" s="22">
        <f t="shared" ref="AD1177:AS1177" si="439">SUM(AD1174:AD1176)</f>
        <v>3603000000</v>
      </c>
      <c r="AE1177" s="23">
        <f t="shared" si="439"/>
        <v>0</v>
      </c>
      <c r="AF1177" s="23">
        <f t="shared" si="439"/>
        <v>0</v>
      </c>
      <c r="AG1177" s="23">
        <f t="shared" si="439"/>
        <v>0</v>
      </c>
      <c r="AH1177" s="23">
        <f t="shared" si="439"/>
        <v>0</v>
      </c>
      <c r="AI1177" s="23">
        <f t="shared" si="439"/>
        <v>0</v>
      </c>
      <c r="AJ1177" s="22">
        <f t="shared" si="439"/>
        <v>3603000000</v>
      </c>
      <c r="AK1177" s="23">
        <f t="shared" si="439"/>
        <v>0</v>
      </c>
      <c r="AL1177" s="22">
        <f t="shared" si="439"/>
        <v>291666667</v>
      </c>
      <c r="AM1177" s="22">
        <f t="shared" si="439"/>
        <v>1761617251</v>
      </c>
      <c r="AN1177" s="23">
        <f t="shared" si="439"/>
        <v>0</v>
      </c>
      <c r="AO1177" s="22">
        <f t="shared" si="439"/>
        <v>291666667</v>
      </c>
      <c r="AP1177" s="22">
        <f t="shared" si="439"/>
        <v>1761617251</v>
      </c>
      <c r="AQ1177" s="23">
        <f t="shared" si="439"/>
        <v>0</v>
      </c>
      <c r="AR1177" s="22">
        <f t="shared" si="439"/>
        <v>291666667</v>
      </c>
      <c r="AS1177" s="22">
        <f t="shared" si="439"/>
        <v>1761617251</v>
      </c>
      <c r="AT1177" s="22">
        <f>AQ1177+AS1177</f>
        <v>1761617251</v>
      </c>
      <c r="AU1177" s="22">
        <f>SUM(AU1174:AU1176)</f>
        <v>1841382749</v>
      </c>
      <c r="AV1177" s="23">
        <f>SUM(AV1174:AV1176)</f>
        <v>0</v>
      </c>
      <c r="AW1177" s="23">
        <f>SUM(AW1174:AW1176)</f>
        <v>0</v>
      </c>
      <c r="AX1177" s="22">
        <f>SUM(AX1174:AX1176)</f>
        <v>0.61278882581414706</v>
      </c>
    </row>
    <row r="1178" spans="1:50" x14ac:dyDescent="0.2">
      <c r="AA1178" s="16"/>
      <c r="AB1178" s="17"/>
      <c r="AC1178" s="17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</row>
    <row r="1179" spans="1:50" s="25" customFormat="1" x14ac:dyDescent="0.2">
      <c r="B1179" s="71"/>
      <c r="C1179" s="71"/>
      <c r="D1179" s="71"/>
      <c r="E1179" s="71"/>
      <c r="F1179" s="71"/>
      <c r="G1179" s="71"/>
      <c r="H1179" s="71"/>
      <c r="I1179" s="71"/>
      <c r="J1179" s="71"/>
      <c r="K1179" s="71"/>
      <c r="L1179" s="71"/>
      <c r="M1179" s="71"/>
      <c r="N1179" s="71"/>
      <c r="O1179" s="71"/>
      <c r="P1179" s="71"/>
      <c r="Q1179" s="71"/>
      <c r="R1179" s="71"/>
      <c r="S1179" s="71"/>
      <c r="T1179" s="71"/>
      <c r="U1179" s="71"/>
      <c r="V1179" s="71"/>
      <c r="W1179" s="71"/>
      <c r="X1179" s="71"/>
      <c r="Y1179" s="71"/>
      <c r="Z1179" s="71"/>
      <c r="AA1179" s="66"/>
      <c r="AB1179" s="21" t="s">
        <v>760</v>
      </c>
      <c r="AC1179" s="67"/>
      <c r="AD1179" s="63"/>
      <c r="AE1179" s="63"/>
      <c r="AF1179" s="63"/>
      <c r="AG1179" s="63"/>
      <c r="AH1179" s="63"/>
      <c r="AI1179" s="63"/>
      <c r="AJ1179" s="63"/>
      <c r="AK1179" s="63"/>
      <c r="AL1179" s="63"/>
      <c r="AM1179" s="63"/>
      <c r="AN1179" s="63"/>
      <c r="AO1179" s="63"/>
      <c r="AP1179" s="63"/>
      <c r="AQ1179" s="63"/>
      <c r="AR1179" s="63"/>
      <c r="AS1179" s="63"/>
      <c r="AT1179" s="63"/>
      <c r="AU1179" s="63"/>
      <c r="AV1179" s="63"/>
      <c r="AW1179" s="63"/>
      <c r="AX1179" s="63"/>
    </row>
    <row r="1180" spans="1:50" x14ac:dyDescent="0.2">
      <c r="AA1180" s="16"/>
      <c r="AB1180" s="29" t="s">
        <v>285</v>
      </c>
      <c r="AC1180" s="17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</row>
    <row r="1181" spans="1:50" x14ac:dyDescent="0.2">
      <c r="AA1181" s="16"/>
      <c r="AB1181" s="29" t="s">
        <v>177</v>
      </c>
      <c r="AC1181" s="17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</row>
    <row r="1182" spans="1:50" x14ac:dyDescent="0.2">
      <c r="AA1182" s="16"/>
      <c r="AB1182" s="29" t="s">
        <v>179</v>
      </c>
      <c r="AC1182" s="17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</row>
    <row r="1183" spans="1:50" x14ac:dyDescent="0.2">
      <c r="AA1183" s="16"/>
      <c r="AB1183" s="29" t="s">
        <v>761</v>
      </c>
      <c r="AC1183" s="17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</row>
    <row r="1184" spans="1:50" ht="25.5" x14ac:dyDescent="0.2">
      <c r="AA1184" s="16"/>
      <c r="AB1184" s="29" t="s">
        <v>298</v>
      </c>
      <c r="AC1184" s="17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</row>
    <row r="1185" spans="1:50" x14ac:dyDescent="0.2">
      <c r="AA1185" s="28" t="s">
        <v>288</v>
      </c>
      <c r="AB1185" s="29">
        <v>0</v>
      </c>
      <c r="AC1185" s="17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30"/>
      <c r="AU1185" s="18"/>
      <c r="AV1185" s="18"/>
      <c r="AW1185" s="18"/>
      <c r="AX1185" s="18"/>
    </row>
    <row r="1186" spans="1:50" x14ac:dyDescent="0.2">
      <c r="A1186" s="4" t="s">
        <v>55</v>
      </c>
      <c r="B1186" s="4" t="s">
        <v>56</v>
      </c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1" t="s">
        <v>763</v>
      </c>
      <c r="AB1186" s="42" t="s">
        <v>233</v>
      </c>
      <c r="AC1186" s="43" t="s">
        <v>58</v>
      </c>
      <c r="AD1186" s="43">
        <v>123000000</v>
      </c>
      <c r="AE1186" s="44">
        <v>0</v>
      </c>
      <c r="AF1186" s="44">
        <v>0</v>
      </c>
      <c r="AG1186" s="43">
        <f>431000000+18000000</f>
        <v>449000000</v>
      </c>
      <c r="AH1186" s="43">
        <f>431000000+9000000</f>
        <v>440000000</v>
      </c>
      <c r="AI1186" s="43">
        <f>AE1186-AF1186+AG1186-AH1186</f>
        <v>9000000</v>
      </c>
      <c r="AJ1186" s="43">
        <f>AD1186+AI1186</f>
        <v>132000000</v>
      </c>
      <c r="AK1186" s="44">
        <v>0</v>
      </c>
      <c r="AL1186" s="43">
        <f>AM1186-MAYO!AM1157</f>
        <v>30570000</v>
      </c>
      <c r="AM1186" s="43">
        <v>132000000</v>
      </c>
      <c r="AN1186" s="44">
        <v>0</v>
      </c>
      <c r="AO1186" s="43">
        <v>30570000</v>
      </c>
      <c r="AP1186" s="43">
        <v>132000000</v>
      </c>
      <c r="AQ1186" s="43">
        <v>8400000</v>
      </c>
      <c r="AR1186" s="43">
        <v>8400000</v>
      </c>
      <c r="AS1186" s="43">
        <v>44550000</v>
      </c>
      <c r="AT1186" s="111">
        <f t="shared" ref="AT1186:AT1190" si="440">AQ1186+AS1186</f>
        <v>52950000</v>
      </c>
      <c r="AU1186" s="133">
        <f>AJ1186-AM1186</f>
        <v>0</v>
      </c>
      <c r="AV1186" s="133">
        <f>AM1186-AP1186</f>
        <v>0</v>
      </c>
      <c r="AW1186" s="110">
        <f>AP1186-AT1186</f>
        <v>79050000</v>
      </c>
      <c r="AX1186" s="123">
        <f>AP1186/AJ1186</f>
        <v>1</v>
      </c>
    </row>
    <row r="1187" spans="1:50" ht="25.5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1" t="s">
        <v>288</v>
      </c>
      <c r="AB1187" s="74" t="s">
        <v>990</v>
      </c>
      <c r="AC1187" s="43"/>
      <c r="AD1187" s="43"/>
      <c r="AE1187" s="44"/>
      <c r="AF1187" s="44"/>
      <c r="AG1187" s="43"/>
      <c r="AH1187" s="44"/>
      <c r="AI1187" s="43"/>
      <c r="AJ1187" s="43"/>
      <c r="AK1187" s="44"/>
      <c r="AL1187" s="43"/>
      <c r="AM1187" s="43"/>
      <c r="AN1187" s="44"/>
      <c r="AO1187" s="43"/>
      <c r="AP1187" s="43"/>
      <c r="AQ1187" s="43"/>
      <c r="AR1187" s="43"/>
      <c r="AS1187" s="43"/>
      <c r="AT1187" s="191"/>
      <c r="AU1187" s="110"/>
      <c r="AV1187" s="133"/>
      <c r="AW1187" s="110"/>
      <c r="AX1187" s="123"/>
    </row>
    <row r="1188" spans="1:50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1" t="s">
        <v>989</v>
      </c>
      <c r="AB1188" s="42" t="s">
        <v>233</v>
      </c>
      <c r="AC1188" s="43"/>
      <c r="AD1188" s="44">
        <v>0</v>
      </c>
      <c r="AE1188" s="44">
        <v>0</v>
      </c>
      <c r="AF1188" s="44">
        <v>0</v>
      </c>
      <c r="AG1188" s="43">
        <f>431000000+9000000</f>
        <v>440000000</v>
      </c>
      <c r="AH1188" s="43">
        <v>18000000</v>
      </c>
      <c r="AI1188" s="43">
        <f>AE1188-AF1188+AG1188-AH1188</f>
        <v>422000000</v>
      </c>
      <c r="AJ1188" s="43">
        <f>AD1188+AI1188</f>
        <v>422000000</v>
      </c>
      <c r="AK1188" s="44">
        <v>0</v>
      </c>
      <c r="AL1188" s="43">
        <f>AM1188-MAYO!AM1159</f>
        <v>-8000000</v>
      </c>
      <c r="AM1188" s="43">
        <v>358891664.64999998</v>
      </c>
      <c r="AN1188" s="44">
        <v>0</v>
      </c>
      <c r="AO1188" s="43">
        <f>AP1188-MAYO!AP1159</f>
        <v>7000000</v>
      </c>
      <c r="AP1188" s="43">
        <v>358891664.64999998</v>
      </c>
      <c r="AQ1188" s="43">
        <v>27257500</v>
      </c>
      <c r="AR1188" s="43">
        <v>14350000</v>
      </c>
      <c r="AS1188" s="43">
        <v>14350000</v>
      </c>
      <c r="AT1188" s="191">
        <f t="shared" ref="AT1188" si="441">AQ1188+AS1188</f>
        <v>41607500</v>
      </c>
      <c r="AU1188" s="110">
        <f>AJ1188-AM1188</f>
        <v>63108335.350000024</v>
      </c>
      <c r="AV1188" s="34">
        <f>AM1188-AP1188</f>
        <v>0</v>
      </c>
      <c r="AW1188" s="18">
        <f>AP1188-AT1188</f>
        <v>317284164.64999998</v>
      </c>
      <c r="AX1188" s="123">
        <f>AP1188/AJ1188</f>
        <v>0.85045418163507103</v>
      </c>
    </row>
    <row r="1189" spans="1:50" x14ac:dyDescent="0.2">
      <c r="AA1189" s="28" t="s">
        <v>288</v>
      </c>
      <c r="AB1189" s="29" t="s">
        <v>764</v>
      </c>
      <c r="AC1189" s="17"/>
      <c r="AD1189" s="18"/>
      <c r="AE1189" s="18"/>
      <c r="AF1189" s="18"/>
      <c r="AG1189" s="18"/>
      <c r="AH1189" s="18"/>
      <c r="AI1189" s="18"/>
      <c r="AJ1189" s="18"/>
      <c r="AK1189" s="34"/>
      <c r="AL1189" s="18"/>
      <c r="AM1189" s="18"/>
      <c r="AN1189" s="34"/>
      <c r="AO1189" s="18"/>
      <c r="AP1189" s="18"/>
      <c r="AQ1189" s="18"/>
      <c r="AR1189" s="18"/>
      <c r="AS1189" s="18"/>
      <c r="AT1189" s="31"/>
      <c r="AU1189" s="18"/>
      <c r="AV1189" s="34"/>
      <c r="AW1189" s="110"/>
      <c r="AX1189" s="18"/>
    </row>
    <row r="1190" spans="1:50" x14ac:dyDescent="0.2">
      <c r="A1190" s="4" t="s">
        <v>55</v>
      </c>
      <c r="B1190" s="4" t="s">
        <v>56</v>
      </c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1" t="s">
        <v>765</v>
      </c>
      <c r="AB1190" s="42" t="s">
        <v>233</v>
      </c>
      <c r="AC1190" s="43" t="s">
        <v>58</v>
      </c>
      <c r="AD1190" s="43">
        <v>77000000</v>
      </c>
      <c r="AE1190" s="44">
        <v>0</v>
      </c>
      <c r="AF1190" s="44">
        <v>0</v>
      </c>
      <c r="AG1190" s="44">
        <v>0</v>
      </c>
      <c r="AH1190" s="44">
        <v>0</v>
      </c>
      <c r="AI1190" s="44">
        <v>0</v>
      </c>
      <c r="AJ1190" s="43">
        <v>77000000</v>
      </c>
      <c r="AK1190" s="44">
        <v>0</v>
      </c>
      <c r="AL1190" s="44">
        <v>0</v>
      </c>
      <c r="AM1190" s="43">
        <v>65000000</v>
      </c>
      <c r="AN1190" s="44">
        <v>0</v>
      </c>
      <c r="AO1190" s="43">
        <v>0</v>
      </c>
      <c r="AP1190" s="43">
        <v>65000000</v>
      </c>
      <c r="AQ1190" s="43">
        <v>7000000</v>
      </c>
      <c r="AR1190" s="43">
        <v>7000000</v>
      </c>
      <c r="AS1190" s="43">
        <v>27733333</v>
      </c>
      <c r="AT1190" s="39">
        <f t="shared" si="440"/>
        <v>34733333</v>
      </c>
      <c r="AU1190" s="110">
        <f>AJ1190-AM1190</f>
        <v>12000000</v>
      </c>
      <c r="AV1190" s="133">
        <f>AM1190-AP1190</f>
        <v>0</v>
      </c>
      <c r="AW1190" s="110">
        <f>AP1190-AT1190</f>
        <v>30266667</v>
      </c>
      <c r="AX1190" s="123">
        <f>AP1190/AJ1190</f>
        <v>0.8441558441558441</v>
      </c>
    </row>
    <row r="1191" spans="1:50" x14ac:dyDescent="0.2">
      <c r="AA1191" s="16"/>
      <c r="AB1191" s="17"/>
      <c r="AC1191" s="17"/>
      <c r="AD1191" s="18"/>
      <c r="AE1191" s="34"/>
      <c r="AF1191" s="34"/>
      <c r="AG1191" s="34"/>
      <c r="AH1191" s="34"/>
      <c r="AI1191" s="34"/>
      <c r="AJ1191" s="18"/>
      <c r="AK1191" s="34"/>
      <c r="AL1191" s="34"/>
      <c r="AM1191" s="18"/>
      <c r="AN1191" s="34"/>
      <c r="AO1191" s="34"/>
      <c r="AP1191" s="18"/>
      <c r="AQ1191" s="34"/>
      <c r="AR1191" s="34"/>
      <c r="AS1191" s="34"/>
      <c r="AT1191" s="31"/>
      <c r="AU1191" s="18"/>
      <c r="AV1191" s="34"/>
      <c r="AW1191" s="18"/>
      <c r="AX1191" s="18"/>
    </row>
    <row r="1192" spans="1:50" s="50" customFormat="1" x14ac:dyDescent="0.2">
      <c r="B1192" s="77"/>
      <c r="C1192" s="77"/>
      <c r="D1192" s="77"/>
      <c r="E1192" s="77"/>
      <c r="F1192" s="77"/>
      <c r="G1192" s="77"/>
      <c r="H1192" s="77"/>
      <c r="I1192" s="77"/>
      <c r="J1192" s="77"/>
      <c r="K1192" s="77"/>
      <c r="L1192" s="77"/>
      <c r="M1192" s="77"/>
      <c r="N1192" s="77"/>
      <c r="O1192" s="77"/>
      <c r="P1192" s="77"/>
      <c r="Q1192" s="77"/>
      <c r="R1192" s="77"/>
      <c r="S1192" s="77"/>
      <c r="T1192" s="77"/>
      <c r="U1192" s="77"/>
      <c r="V1192" s="77"/>
      <c r="W1192" s="77"/>
      <c r="X1192" s="77"/>
      <c r="Y1192" s="77"/>
      <c r="Z1192" s="77"/>
      <c r="AA1192" s="46"/>
      <c r="AB1192" s="47" t="s">
        <v>766</v>
      </c>
      <c r="AC1192" s="22" t="s">
        <v>767</v>
      </c>
      <c r="AD1192" s="22">
        <f>SUM(AD1185:AD1190)</f>
        <v>200000000</v>
      </c>
      <c r="AE1192" s="23">
        <f t="shared" ref="AE1192:AW1192" si="442">SUM(AE1185:AE1190)</f>
        <v>0</v>
      </c>
      <c r="AF1192" s="23">
        <f t="shared" si="442"/>
        <v>0</v>
      </c>
      <c r="AG1192" s="22">
        <f t="shared" si="442"/>
        <v>889000000</v>
      </c>
      <c r="AH1192" s="22">
        <f t="shared" si="442"/>
        <v>458000000</v>
      </c>
      <c r="AI1192" s="189">
        <f t="shared" si="442"/>
        <v>431000000</v>
      </c>
      <c r="AJ1192" s="22">
        <f t="shared" si="442"/>
        <v>631000000</v>
      </c>
      <c r="AK1192" s="23">
        <f t="shared" si="442"/>
        <v>0</v>
      </c>
      <c r="AL1192" s="22">
        <f t="shared" si="442"/>
        <v>22570000</v>
      </c>
      <c r="AM1192" s="22">
        <f t="shared" si="442"/>
        <v>555891664.64999998</v>
      </c>
      <c r="AN1192" s="23">
        <f t="shared" si="442"/>
        <v>0</v>
      </c>
      <c r="AO1192" s="22">
        <f t="shared" si="442"/>
        <v>37570000</v>
      </c>
      <c r="AP1192" s="22">
        <f t="shared" si="442"/>
        <v>555891664.64999998</v>
      </c>
      <c r="AQ1192" s="22">
        <f t="shared" si="442"/>
        <v>42657500</v>
      </c>
      <c r="AR1192" s="108">
        <f t="shared" si="442"/>
        <v>29750000</v>
      </c>
      <c r="AS1192" s="108">
        <f t="shared" si="442"/>
        <v>86633333</v>
      </c>
      <c r="AT1192" s="108">
        <f>AQ1192+AS1192</f>
        <v>129290833</v>
      </c>
      <c r="AU1192" s="22">
        <f t="shared" si="442"/>
        <v>75108335.350000024</v>
      </c>
      <c r="AV1192" s="23">
        <f t="shared" si="442"/>
        <v>0</v>
      </c>
      <c r="AW1192" s="22">
        <f t="shared" si="442"/>
        <v>426600831.64999998</v>
      </c>
      <c r="AX1192" s="24">
        <f>AP1192/AJ1192</f>
        <v>0.88096935760697304</v>
      </c>
    </row>
    <row r="1193" spans="1:50" x14ac:dyDescent="0.2">
      <c r="AA1193" s="16"/>
      <c r="AB1193" s="17"/>
      <c r="AC1193" s="17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</row>
    <row r="1194" spans="1:50" s="25" customFormat="1" x14ac:dyDescent="0.2">
      <c r="B1194" s="71"/>
      <c r="C1194" s="71"/>
      <c r="D1194" s="71"/>
      <c r="E1194" s="71"/>
      <c r="F1194" s="71"/>
      <c r="G1194" s="71"/>
      <c r="H1194" s="71"/>
      <c r="I1194" s="71"/>
      <c r="J1194" s="71"/>
      <c r="K1194" s="71"/>
      <c r="L1194" s="71"/>
      <c r="M1194" s="71"/>
      <c r="N1194" s="71"/>
      <c r="O1194" s="71"/>
      <c r="P1194" s="71"/>
      <c r="Q1194" s="71"/>
      <c r="R1194" s="71"/>
      <c r="S1194" s="71"/>
      <c r="T1194" s="71"/>
      <c r="U1194" s="71"/>
      <c r="V1194" s="71"/>
      <c r="W1194" s="71"/>
      <c r="X1194" s="71"/>
      <c r="Y1194" s="71"/>
      <c r="Z1194" s="71"/>
      <c r="AA1194" s="66"/>
      <c r="AB1194" s="21" t="s">
        <v>768</v>
      </c>
      <c r="AC1194" s="67"/>
      <c r="AD1194" s="63"/>
      <c r="AE1194" s="63"/>
      <c r="AF1194" s="63"/>
      <c r="AG1194" s="63"/>
      <c r="AH1194" s="63"/>
      <c r="AI1194" s="63"/>
      <c r="AJ1194" s="63"/>
      <c r="AK1194" s="63"/>
      <c r="AL1194" s="63"/>
      <c r="AM1194" s="63"/>
      <c r="AN1194" s="63"/>
      <c r="AO1194" s="63"/>
      <c r="AP1194" s="63"/>
      <c r="AQ1194" s="63"/>
      <c r="AR1194" s="63"/>
      <c r="AS1194" s="63"/>
      <c r="AT1194" s="63"/>
      <c r="AU1194" s="63"/>
      <c r="AV1194" s="63"/>
      <c r="AW1194" s="63"/>
      <c r="AX1194" s="63"/>
    </row>
    <row r="1195" spans="1:50" x14ac:dyDescent="0.2">
      <c r="AA1195" s="16"/>
      <c r="AB1195" s="29" t="s">
        <v>285</v>
      </c>
      <c r="AC1195" s="17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</row>
    <row r="1196" spans="1:50" x14ac:dyDescent="0.2">
      <c r="AA1196" s="16"/>
      <c r="AB1196" s="29" t="s">
        <v>202</v>
      </c>
      <c r="AC1196" s="17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</row>
    <row r="1197" spans="1:50" x14ac:dyDescent="0.2">
      <c r="AA1197" s="16"/>
      <c r="AB1197" s="29" t="s">
        <v>203</v>
      </c>
      <c r="AC1197" s="17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</row>
    <row r="1198" spans="1:50" x14ac:dyDescent="0.2">
      <c r="AA1198" s="16"/>
      <c r="AB1198" s="29" t="s">
        <v>204</v>
      </c>
      <c r="AC1198" s="17"/>
      <c r="AD1198" s="18"/>
      <c r="AE1198" s="18"/>
      <c r="AF1198" s="18"/>
      <c r="AG1198" s="18"/>
      <c r="AH1198" s="18"/>
      <c r="AI1198" s="18"/>
      <c r="AJ1198" s="18"/>
      <c r="AK1198" s="18"/>
      <c r="AL1198" s="18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  <c r="AX1198" s="18"/>
    </row>
    <row r="1199" spans="1:50" ht="25.5" x14ac:dyDescent="0.2">
      <c r="AA1199" s="16"/>
      <c r="AB1199" s="29" t="s">
        <v>205</v>
      </c>
      <c r="AC1199" s="17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</row>
    <row r="1200" spans="1:50" ht="25.5" x14ac:dyDescent="0.2">
      <c r="AA1200" s="28" t="s">
        <v>288</v>
      </c>
      <c r="AB1200" s="29" t="s">
        <v>769</v>
      </c>
      <c r="AC1200" s="17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30"/>
      <c r="AU1200" s="18"/>
      <c r="AV1200" s="18"/>
      <c r="AW1200" s="18"/>
      <c r="AX1200" s="18"/>
    </row>
    <row r="1201" spans="1:50" s="150" customFormat="1" x14ac:dyDescent="0.2">
      <c r="A1201" s="140" t="s">
        <v>55</v>
      </c>
      <c r="B1201" s="140" t="s">
        <v>56</v>
      </c>
      <c r="C1201" s="140"/>
      <c r="D1201" s="140"/>
      <c r="E1201" s="140"/>
      <c r="F1201" s="140"/>
      <c r="G1201" s="140"/>
      <c r="H1201" s="140"/>
      <c r="I1201" s="140"/>
      <c r="J1201" s="140"/>
      <c r="K1201" s="140"/>
      <c r="L1201" s="140"/>
      <c r="M1201" s="140"/>
      <c r="N1201" s="140"/>
      <c r="O1201" s="140"/>
      <c r="P1201" s="140"/>
      <c r="Q1201" s="140"/>
      <c r="R1201" s="140"/>
      <c r="S1201" s="140"/>
      <c r="T1201" s="140"/>
      <c r="U1201" s="140"/>
      <c r="V1201" s="140"/>
      <c r="W1201" s="140"/>
      <c r="X1201" s="140"/>
      <c r="Y1201" s="140"/>
      <c r="Z1201" s="140"/>
      <c r="AA1201" s="134" t="s">
        <v>770</v>
      </c>
      <c r="AB1201" s="69" t="s">
        <v>233</v>
      </c>
      <c r="AC1201" s="142" t="s">
        <v>58</v>
      </c>
      <c r="AD1201" s="142">
        <v>4000000000</v>
      </c>
      <c r="AE1201" s="143">
        <v>0</v>
      </c>
      <c r="AF1201" s="143">
        <v>0</v>
      </c>
      <c r="AG1201" s="143">
        <v>0</v>
      </c>
      <c r="AH1201" s="143">
        <v>0</v>
      </c>
      <c r="AI1201" s="143">
        <v>0</v>
      </c>
      <c r="AJ1201" s="142">
        <v>4000000000</v>
      </c>
      <c r="AK1201" s="143">
        <v>0</v>
      </c>
      <c r="AL1201" s="142">
        <v>333333333</v>
      </c>
      <c r="AM1201" s="142">
        <v>1999999998</v>
      </c>
      <c r="AN1201" s="143">
        <v>0</v>
      </c>
      <c r="AO1201" s="142">
        <v>333333333</v>
      </c>
      <c r="AP1201" s="142">
        <v>1999999998</v>
      </c>
      <c r="AQ1201" s="143">
        <v>0</v>
      </c>
      <c r="AR1201" s="142">
        <v>333333333</v>
      </c>
      <c r="AS1201" s="142">
        <v>1999999998</v>
      </c>
      <c r="AT1201" s="174">
        <f t="shared" ref="AT1201" si="443">AQ1201+AS1201</f>
        <v>1999999998</v>
      </c>
      <c r="AU1201" s="148">
        <f>AJ1201-AM1201</f>
        <v>2000000002</v>
      </c>
      <c r="AV1201" s="175">
        <f>AM1201-AP1201</f>
        <v>0</v>
      </c>
      <c r="AW1201" s="175">
        <f>AP1201-AT1201</f>
        <v>0</v>
      </c>
      <c r="AX1201" s="149">
        <f>AP1201/AJ1201</f>
        <v>0.49999999950000001</v>
      </c>
    </row>
    <row r="1202" spans="1:50" s="150" customFormat="1" x14ac:dyDescent="0.2">
      <c r="A1202" s="140"/>
      <c r="B1202" s="140"/>
      <c r="C1202" s="140"/>
      <c r="D1202" s="140"/>
      <c r="E1202" s="140"/>
      <c r="F1202" s="140"/>
      <c r="G1202" s="140"/>
      <c r="H1202" s="140"/>
      <c r="I1202" s="140"/>
      <c r="J1202" s="140"/>
      <c r="K1202" s="140"/>
      <c r="L1202" s="140"/>
      <c r="M1202" s="140"/>
      <c r="N1202" s="140"/>
      <c r="O1202" s="140"/>
      <c r="P1202" s="140"/>
      <c r="Q1202" s="140"/>
      <c r="R1202" s="140"/>
      <c r="S1202" s="140"/>
      <c r="T1202" s="140"/>
      <c r="U1202" s="140"/>
      <c r="V1202" s="140"/>
      <c r="W1202" s="140"/>
      <c r="X1202" s="140"/>
      <c r="Y1202" s="140"/>
      <c r="Z1202" s="140"/>
      <c r="AA1202" s="134"/>
      <c r="AB1202" s="69"/>
      <c r="AC1202" s="142"/>
      <c r="AD1202" s="142"/>
      <c r="AE1202" s="143"/>
      <c r="AF1202" s="143"/>
      <c r="AG1202" s="143"/>
      <c r="AH1202" s="143"/>
      <c r="AI1202" s="143"/>
      <c r="AJ1202" s="142"/>
      <c r="AK1202" s="143"/>
      <c r="AL1202" s="142"/>
      <c r="AM1202" s="142"/>
      <c r="AN1202" s="143"/>
      <c r="AO1202" s="142"/>
      <c r="AP1202" s="142"/>
      <c r="AQ1202" s="143"/>
      <c r="AR1202" s="142"/>
      <c r="AS1202" s="142"/>
      <c r="AT1202" s="174"/>
      <c r="AU1202" s="148"/>
      <c r="AV1202" s="175"/>
      <c r="AW1202" s="175"/>
      <c r="AX1202" s="149"/>
    </row>
    <row r="1203" spans="1:50" ht="13.5" customHeight="1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170" t="s">
        <v>288</v>
      </c>
      <c r="AB1203" s="165" t="s">
        <v>199</v>
      </c>
      <c r="AC1203" s="168"/>
      <c r="AD1203" s="43"/>
      <c r="AE1203" s="44"/>
      <c r="AF1203" s="44"/>
      <c r="AG1203" s="44"/>
      <c r="AH1203" s="44"/>
      <c r="AI1203" s="44"/>
      <c r="AJ1203" s="43"/>
      <c r="AK1203" s="44"/>
      <c r="AL1203" s="43"/>
      <c r="AM1203" s="43"/>
      <c r="AN1203" s="44"/>
      <c r="AO1203" s="43"/>
      <c r="AP1203" s="43"/>
      <c r="AQ1203" s="44"/>
      <c r="AR1203" s="44"/>
      <c r="AS1203" s="44"/>
      <c r="AT1203" s="135"/>
      <c r="AU1203" s="110"/>
      <c r="AV1203" s="133"/>
      <c r="AW1203" s="34"/>
      <c r="AX1203" s="123"/>
    </row>
    <row r="1204" spans="1:50" ht="25.5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166" t="s">
        <v>1162</v>
      </c>
      <c r="AB1204" s="167" t="s">
        <v>1044</v>
      </c>
      <c r="AC1204" s="168"/>
      <c r="AD1204" s="44">
        <v>0</v>
      </c>
      <c r="AE1204" s="43">
        <v>384000000</v>
      </c>
      <c r="AF1204" s="44">
        <v>0</v>
      </c>
      <c r="AG1204" s="44">
        <v>0</v>
      </c>
      <c r="AH1204" s="44">
        <v>0</v>
      </c>
      <c r="AI1204" s="43">
        <f t="shared" ref="AI1204:AI1205" si="444">AE1204-AF1204+AG1204-AH1204</f>
        <v>384000000</v>
      </c>
      <c r="AJ1204" s="43">
        <f t="shared" ref="AJ1204:AJ1205" si="445">AD1204+AI1204</f>
        <v>384000000</v>
      </c>
      <c r="AK1204" s="44">
        <v>0</v>
      </c>
      <c r="AL1204" s="44">
        <v>0</v>
      </c>
      <c r="AM1204" s="44">
        <v>0</v>
      </c>
      <c r="AN1204" s="44">
        <v>0</v>
      </c>
      <c r="AO1204" s="43">
        <v>0</v>
      </c>
      <c r="AP1204" s="44">
        <v>0</v>
      </c>
      <c r="AQ1204" s="44">
        <v>0</v>
      </c>
      <c r="AR1204" s="44">
        <v>0</v>
      </c>
      <c r="AS1204" s="44">
        <v>0</v>
      </c>
      <c r="AT1204" s="135">
        <f t="shared" ref="AT1204:AT1205" si="446">AQ1204+AS1204</f>
        <v>0</v>
      </c>
      <c r="AU1204" s="110">
        <f>AJ1204-AM1204</f>
        <v>384000000</v>
      </c>
      <c r="AV1204" s="133">
        <f>AM1204-AP1204</f>
        <v>0</v>
      </c>
      <c r="AW1204" s="34">
        <f>AP1204-AT1204</f>
        <v>0</v>
      </c>
      <c r="AX1204" s="123">
        <f>AP1204/AJ1204</f>
        <v>0</v>
      </c>
    </row>
    <row r="1205" spans="1:50" ht="15.75" customHeight="1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166" t="s">
        <v>1163</v>
      </c>
      <c r="AB1205" s="167" t="s">
        <v>1015</v>
      </c>
      <c r="AC1205" s="168"/>
      <c r="AD1205" s="44">
        <v>0</v>
      </c>
      <c r="AE1205" s="43">
        <v>270000000</v>
      </c>
      <c r="AF1205" s="44">
        <v>0</v>
      </c>
      <c r="AG1205" s="44">
        <v>0</v>
      </c>
      <c r="AH1205" s="44">
        <v>0</v>
      </c>
      <c r="AI1205" s="43">
        <f t="shared" si="444"/>
        <v>270000000</v>
      </c>
      <c r="AJ1205" s="43">
        <f t="shared" si="445"/>
        <v>270000000</v>
      </c>
      <c r="AK1205" s="44">
        <v>0</v>
      </c>
      <c r="AL1205" s="44">
        <v>0</v>
      </c>
      <c r="AM1205" s="44">
        <v>0</v>
      </c>
      <c r="AN1205" s="44">
        <v>0</v>
      </c>
      <c r="AO1205" s="43">
        <v>0</v>
      </c>
      <c r="AP1205" s="44">
        <v>0</v>
      </c>
      <c r="AQ1205" s="44">
        <v>0</v>
      </c>
      <c r="AR1205" s="44">
        <v>0</v>
      </c>
      <c r="AS1205" s="44">
        <v>0</v>
      </c>
      <c r="AT1205" s="135">
        <f t="shared" si="446"/>
        <v>0</v>
      </c>
      <c r="AU1205" s="110">
        <f>AJ1205-AM1205</f>
        <v>270000000</v>
      </c>
      <c r="AV1205" s="133">
        <f>AM1205-AP1205</f>
        <v>0</v>
      </c>
      <c r="AW1205" s="34">
        <f>AP1205-AT1205</f>
        <v>0</v>
      </c>
      <c r="AX1205" s="123">
        <f>AP1205/AJ1205</f>
        <v>0</v>
      </c>
    </row>
    <row r="1206" spans="1:50" x14ac:dyDescent="0.2">
      <c r="AA1206" s="16"/>
      <c r="AB1206" s="17"/>
      <c r="AC1206" s="17"/>
      <c r="AD1206" s="18"/>
      <c r="AE1206" s="34"/>
      <c r="AF1206" s="34"/>
      <c r="AG1206" s="34"/>
      <c r="AH1206" s="34"/>
      <c r="AI1206" s="34"/>
      <c r="AJ1206" s="18"/>
      <c r="AK1206" s="34"/>
      <c r="AL1206" s="18"/>
      <c r="AM1206" s="18"/>
      <c r="AN1206" s="34"/>
      <c r="AO1206" s="18"/>
      <c r="AP1206" s="18"/>
      <c r="AQ1206" s="34"/>
      <c r="AR1206" s="18"/>
      <c r="AS1206" s="18"/>
      <c r="AT1206" s="30"/>
      <c r="AU1206" s="18"/>
      <c r="AV1206" s="34"/>
      <c r="AW1206" s="34"/>
      <c r="AX1206" s="18"/>
    </row>
    <row r="1207" spans="1:50" s="50" customFormat="1" x14ac:dyDescent="0.2">
      <c r="B1207" s="77"/>
      <c r="C1207" s="77"/>
      <c r="D1207" s="77"/>
      <c r="E1207" s="77"/>
      <c r="F1207" s="77"/>
      <c r="G1207" s="77"/>
      <c r="H1207" s="77"/>
      <c r="I1207" s="77"/>
      <c r="J1207" s="77"/>
      <c r="K1207" s="77"/>
      <c r="L1207" s="77"/>
      <c r="M1207" s="77"/>
      <c r="N1207" s="77"/>
      <c r="O1207" s="77"/>
      <c r="P1207" s="77"/>
      <c r="Q1207" s="77"/>
      <c r="R1207" s="77"/>
      <c r="S1207" s="77"/>
      <c r="T1207" s="77"/>
      <c r="U1207" s="77"/>
      <c r="V1207" s="77"/>
      <c r="W1207" s="77"/>
      <c r="X1207" s="77"/>
      <c r="Y1207" s="77"/>
      <c r="Z1207" s="77"/>
      <c r="AA1207" s="46"/>
      <c r="AB1207" s="47" t="s">
        <v>771</v>
      </c>
      <c r="AC1207" s="22" t="s">
        <v>772</v>
      </c>
      <c r="AD1207" s="22">
        <f>SUM(AD1201:AD1206)</f>
        <v>4000000000</v>
      </c>
      <c r="AE1207" s="22">
        <f t="shared" ref="AE1207:AW1207" si="447">SUM(AE1201:AE1206)</f>
        <v>654000000</v>
      </c>
      <c r="AF1207" s="23">
        <f t="shared" si="447"/>
        <v>0</v>
      </c>
      <c r="AG1207" s="23">
        <f t="shared" si="447"/>
        <v>0</v>
      </c>
      <c r="AH1207" s="23">
        <f t="shared" si="447"/>
        <v>0</v>
      </c>
      <c r="AI1207" s="22">
        <f t="shared" si="447"/>
        <v>654000000</v>
      </c>
      <c r="AJ1207" s="22">
        <f t="shared" si="447"/>
        <v>4654000000</v>
      </c>
      <c r="AK1207" s="23">
        <f t="shared" si="447"/>
        <v>0</v>
      </c>
      <c r="AL1207" s="22">
        <f t="shared" si="447"/>
        <v>333333333</v>
      </c>
      <c r="AM1207" s="22">
        <f t="shared" si="447"/>
        <v>1999999998</v>
      </c>
      <c r="AN1207" s="23">
        <f t="shared" si="447"/>
        <v>0</v>
      </c>
      <c r="AO1207" s="22">
        <f t="shared" si="447"/>
        <v>333333333</v>
      </c>
      <c r="AP1207" s="22">
        <f t="shared" si="447"/>
        <v>1999999998</v>
      </c>
      <c r="AQ1207" s="23">
        <f t="shared" si="447"/>
        <v>0</v>
      </c>
      <c r="AR1207" s="22">
        <f t="shared" si="447"/>
        <v>333333333</v>
      </c>
      <c r="AS1207" s="22">
        <f t="shared" si="447"/>
        <v>1999999998</v>
      </c>
      <c r="AT1207" s="22">
        <f>AQ1207+AS1207</f>
        <v>1999999998</v>
      </c>
      <c r="AU1207" s="22">
        <f t="shared" si="447"/>
        <v>2654000002</v>
      </c>
      <c r="AV1207" s="23">
        <f t="shared" si="447"/>
        <v>0</v>
      </c>
      <c r="AW1207" s="23">
        <f t="shared" si="447"/>
        <v>0</v>
      </c>
      <c r="AX1207" s="24">
        <f>AP1207/AJ1207</f>
        <v>0.4297378594757198</v>
      </c>
    </row>
    <row r="1208" spans="1:50" x14ac:dyDescent="0.2">
      <c r="AA1208" s="16"/>
      <c r="AB1208" s="17"/>
      <c r="AC1208" s="17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34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</row>
    <row r="1209" spans="1:50" s="25" customFormat="1" x14ac:dyDescent="0.2">
      <c r="B1209" s="71"/>
      <c r="C1209" s="71"/>
      <c r="D1209" s="71"/>
      <c r="E1209" s="71"/>
      <c r="F1209" s="71"/>
      <c r="G1209" s="71"/>
      <c r="H1209" s="71"/>
      <c r="I1209" s="71"/>
      <c r="J1209" s="71"/>
      <c r="K1209" s="71"/>
      <c r="L1209" s="71"/>
      <c r="M1209" s="71"/>
      <c r="N1209" s="71"/>
      <c r="O1209" s="71"/>
      <c r="P1209" s="71"/>
      <c r="Q1209" s="71"/>
      <c r="R1209" s="71"/>
      <c r="S1209" s="71"/>
      <c r="T1209" s="71"/>
      <c r="U1209" s="71"/>
      <c r="V1209" s="71"/>
      <c r="W1209" s="71"/>
      <c r="X1209" s="71"/>
      <c r="Y1209" s="71"/>
      <c r="Z1209" s="71"/>
      <c r="AA1209" s="85"/>
      <c r="AB1209" s="86" t="s">
        <v>773</v>
      </c>
      <c r="AC1209" s="87"/>
      <c r="AD1209" s="63"/>
      <c r="AE1209" s="88"/>
      <c r="AF1209" s="88"/>
      <c r="AG1209" s="88"/>
      <c r="AH1209" s="88"/>
      <c r="AI1209" s="88"/>
      <c r="AJ1209" s="88"/>
      <c r="AK1209" s="88"/>
      <c r="AL1209" s="88"/>
      <c r="AM1209" s="88"/>
      <c r="AN1209" s="88"/>
      <c r="AO1209" s="88"/>
      <c r="AP1209" s="88"/>
      <c r="AQ1209" s="88"/>
      <c r="AR1209" s="88"/>
      <c r="AS1209" s="88"/>
      <c r="AT1209" s="88"/>
      <c r="AU1209" s="88"/>
      <c r="AV1209" s="88"/>
      <c r="AW1209" s="88"/>
      <c r="AX1209" s="88"/>
    </row>
    <row r="1210" spans="1:50" x14ac:dyDescent="0.2">
      <c r="AA1210" s="89"/>
      <c r="AB1210" s="90" t="s">
        <v>676</v>
      </c>
      <c r="AC1210" s="91"/>
      <c r="AD1210" s="18"/>
      <c r="AE1210" s="92"/>
      <c r="AF1210" s="92"/>
      <c r="AG1210" s="92"/>
      <c r="AH1210" s="92"/>
      <c r="AI1210" s="92"/>
      <c r="AJ1210" s="92"/>
      <c r="AK1210" s="92"/>
      <c r="AL1210" s="92"/>
      <c r="AM1210" s="92"/>
      <c r="AN1210" s="92"/>
      <c r="AO1210" s="92"/>
      <c r="AP1210" s="92"/>
      <c r="AQ1210" s="92"/>
      <c r="AR1210" s="92"/>
      <c r="AS1210" s="92"/>
      <c r="AT1210" s="92"/>
      <c r="AU1210" s="92"/>
      <c r="AV1210" s="92"/>
      <c r="AW1210" s="92"/>
      <c r="AX1210" s="92"/>
    </row>
    <row r="1211" spans="1:50" x14ac:dyDescent="0.2">
      <c r="AA1211" s="89"/>
      <c r="AB1211" s="90" t="s">
        <v>286</v>
      </c>
      <c r="AC1211" s="91"/>
      <c r="AD1211" s="18"/>
      <c r="AE1211" s="92"/>
      <c r="AF1211" s="92"/>
      <c r="AG1211" s="92"/>
      <c r="AH1211" s="92"/>
      <c r="AI1211" s="92"/>
      <c r="AJ1211" s="92"/>
      <c r="AK1211" s="92"/>
      <c r="AL1211" s="92"/>
      <c r="AM1211" s="92"/>
      <c r="AN1211" s="92"/>
      <c r="AO1211" s="92"/>
      <c r="AP1211" s="92"/>
      <c r="AQ1211" s="92"/>
      <c r="AR1211" s="92"/>
      <c r="AS1211" s="92"/>
      <c r="AT1211" s="92"/>
      <c r="AU1211" s="92"/>
      <c r="AV1211" s="92"/>
      <c r="AW1211" s="92"/>
      <c r="AX1211" s="92"/>
    </row>
    <row r="1212" spans="1:50" x14ac:dyDescent="0.2">
      <c r="AA1212" s="89"/>
      <c r="AB1212" s="90" t="s">
        <v>179</v>
      </c>
      <c r="AC1212" s="91"/>
      <c r="AD1212" s="18"/>
      <c r="AE1212" s="92"/>
      <c r="AF1212" s="92"/>
      <c r="AG1212" s="92"/>
      <c r="AH1212" s="92"/>
      <c r="AI1212" s="92"/>
      <c r="AJ1212" s="92"/>
      <c r="AK1212" s="92"/>
      <c r="AL1212" s="92"/>
      <c r="AM1212" s="92"/>
      <c r="AN1212" s="92"/>
      <c r="AO1212" s="92"/>
      <c r="AP1212" s="92"/>
      <c r="AQ1212" s="92"/>
      <c r="AR1212" s="92"/>
      <c r="AS1212" s="92"/>
      <c r="AT1212" s="92"/>
      <c r="AU1212" s="92"/>
      <c r="AV1212" s="92"/>
      <c r="AW1212" s="92"/>
      <c r="AX1212" s="92"/>
    </row>
    <row r="1213" spans="1:50" x14ac:dyDescent="0.2">
      <c r="AA1213" s="89"/>
      <c r="AB1213" s="90" t="s">
        <v>189</v>
      </c>
      <c r="AC1213" s="91"/>
      <c r="AD1213" s="18"/>
      <c r="AE1213" s="92"/>
      <c r="AF1213" s="92"/>
      <c r="AG1213" s="92"/>
      <c r="AH1213" s="92"/>
      <c r="AI1213" s="92"/>
      <c r="AJ1213" s="92"/>
      <c r="AK1213" s="92"/>
      <c r="AL1213" s="92"/>
      <c r="AM1213" s="92"/>
      <c r="AN1213" s="92"/>
      <c r="AO1213" s="92"/>
      <c r="AP1213" s="92"/>
      <c r="AQ1213" s="92"/>
      <c r="AR1213" s="92"/>
      <c r="AS1213" s="92"/>
      <c r="AT1213" s="92"/>
      <c r="AU1213" s="92"/>
      <c r="AV1213" s="92"/>
      <c r="AW1213" s="92"/>
      <c r="AX1213" s="92"/>
    </row>
    <row r="1214" spans="1:50" x14ac:dyDescent="0.2">
      <c r="AA1214" s="89"/>
      <c r="AB1214" s="90" t="s">
        <v>191</v>
      </c>
      <c r="AC1214" s="91"/>
      <c r="AD1214" s="18"/>
      <c r="AE1214" s="92"/>
      <c r="AF1214" s="92"/>
      <c r="AG1214" s="92"/>
      <c r="AH1214" s="92"/>
      <c r="AI1214" s="92"/>
      <c r="AJ1214" s="92"/>
      <c r="AK1214" s="92"/>
      <c r="AL1214" s="92"/>
      <c r="AM1214" s="92"/>
      <c r="AN1214" s="92"/>
      <c r="AO1214" s="92"/>
      <c r="AP1214" s="92"/>
      <c r="AQ1214" s="92"/>
      <c r="AR1214" s="92"/>
      <c r="AS1214" s="92"/>
      <c r="AT1214" s="92"/>
      <c r="AU1214" s="92"/>
      <c r="AV1214" s="92"/>
      <c r="AW1214" s="92"/>
      <c r="AX1214" s="92"/>
    </row>
    <row r="1215" spans="1:50" x14ac:dyDescent="0.2">
      <c r="AA1215" s="89"/>
      <c r="AB1215" s="278" t="s">
        <v>1272</v>
      </c>
      <c r="AC1215" s="91"/>
      <c r="AD1215" s="18"/>
      <c r="AE1215" s="92"/>
      <c r="AF1215" s="92"/>
      <c r="AG1215" s="92"/>
      <c r="AH1215" s="92"/>
      <c r="AI1215" s="92"/>
      <c r="AJ1215" s="92"/>
      <c r="AK1215" s="92"/>
      <c r="AL1215" s="92"/>
      <c r="AM1215" s="92"/>
      <c r="AN1215" s="92"/>
      <c r="AO1215" s="92"/>
      <c r="AP1215" s="92"/>
      <c r="AQ1215" s="92"/>
      <c r="AR1215" s="92"/>
      <c r="AS1215" s="92"/>
      <c r="AT1215" s="92"/>
      <c r="AU1215" s="92"/>
      <c r="AV1215" s="92"/>
      <c r="AW1215" s="92"/>
      <c r="AX1215" s="92"/>
    </row>
    <row r="1216" spans="1:50" ht="38.25" x14ac:dyDescent="0.2">
      <c r="AA1216" s="93" t="s">
        <v>288</v>
      </c>
      <c r="AB1216" s="90" t="s">
        <v>774</v>
      </c>
      <c r="AC1216" s="91"/>
      <c r="AD1216" s="18"/>
      <c r="AE1216" s="92"/>
      <c r="AF1216" s="92"/>
      <c r="AG1216" s="92"/>
      <c r="AH1216" s="92"/>
      <c r="AI1216" s="92"/>
      <c r="AJ1216" s="92"/>
      <c r="AK1216" s="92"/>
      <c r="AL1216" s="92"/>
      <c r="AM1216" s="92"/>
      <c r="AN1216" s="92"/>
      <c r="AO1216" s="92"/>
      <c r="AP1216" s="92"/>
      <c r="AQ1216" s="92"/>
      <c r="AR1216" s="92"/>
      <c r="AS1216" s="92"/>
      <c r="AT1216" s="30"/>
      <c r="AU1216" s="92"/>
      <c r="AV1216" s="92"/>
      <c r="AW1216" s="92"/>
      <c r="AX1216" s="92"/>
    </row>
    <row r="1217" spans="27:50" ht="25.5" x14ac:dyDescent="0.2">
      <c r="AA1217" s="94" t="s">
        <v>775</v>
      </c>
      <c r="AB1217" s="95" t="s">
        <v>776</v>
      </c>
      <c r="AC1217" s="96" t="s">
        <v>777</v>
      </c>
      <c r="AD1217" s="44">
        <v>0</v>
      </c>
      <c r="AE1217" s="97">
        <v>0</v>
      </c>
      <c r="AF1217" s="97">
        <v>0</v>
      </c>
      <c r="AG1217" s="43">
        <v>5536570240</v>
      </c>
      <c r="AH1217" s="96">
        <v>0</v>
      </c>
      <c r="AI1217" s="136">
        <f>AE1217-AF1217+AG1217-AH1217</f>
        <v>5536570240</v>
      </c>
      <c r="AJ1217" s="43">
        <f>AD1217+AI1217</f>
        <v>5536570240</v>
      </c>
      <c r="AK1217" s="43">
        <v>0</v>
      </c>
      <c r="AL1217" s="114">
        <v>41417096</v>
      </c>
      <c r="AM1217" s="114">
        <v>2075032416</v>
      </c>
      <c r="AN1217" s="43">
        <v>0</v>
      </c>
      <c r="AO1217" s="114">
        <v>85885750</v>
      </c>
      <c r="AP1217" s="114">
        <v>1941882416</v>
      </c>
      <c r="AQ1217" s="43">
        <v>156800000</v>
      </c>
      <c r="AR1217" s="43">
        <v>195216666</v>
      </c>
      <c r="AS1217" s="43">
        <v>502873331</v>
      </c>
      <c r="AT1217" s="39">
        <f t="shared" ref="AT1217" si="448">AQ1217+AS1217</f>
        <v>659673331</v>
      </c>
      <c r="AU1217" s="18">
        <f>AJ1217-AM1217</f>
        <v>3461537824</v>
      </c>
      <c r="AV1217" s="18">
        <f>AM1217-AP1217</f>
        <v>133150000</v>
      </c>
      <c r="AW1217" s="110">
        <f>AP1217-AT1217</f>
        <v>1282209085</v>
      </c>
      <c r="AX1217" s="123">
        <f>AP1217/AJ1217</f>
        <v>0.35073742982081269</v>
      </c>
    </row>
    <row r="1218" spans="27:50" x14ac:dyDescent="0.2">
      <c r="AA1218" s="94" t="s">
        <v>787</v>
      </c>
      <c r="AB1218" s="242" t="s">
        <v>788</v>
      </c>
      <c r="AC1218" s="96" t="s">
        <v>789</v>
      </c>
      <c r="AD1218" s="43">
        <v>886001426</v>
      </c>
      <c r="AE1218" s="96">
        <v>0</v>
      </c>
      <c r="AF1218" s="216">
        <v>0</v>
      </c>
      <c r="AG1218" s="216">
        <v>0</v>
      </c>
      <c r="AH1218" s="216">
        <v>0</v>
      </c>
      <c r="AI1218" s="136">
        <f>AE1218-AF1218+AG1218-AH1218</f>
        <v>0</v>
      </c>
      <c r="AJ1218" s="43">
        <f>AD1218+AI1218</f>
        <v>886001426</v>
      </c>
      <c r="AK1218" s="44">
        <v>0</v>
      </c>
      <c r="AL1218" s="114">
        <v>72641131</v>
      </c>
      <c r="AM1218" s="18">
        <v>439457607</v>
      </c>
      <c r="AN1218" s="92">
        <v>0</v>
      </c>
      <c r="AO1218" s="147">
        <v>72641131</v>
      </c>
      <c r="AP1218" s="18">
        <v>439457607</v>
      </c>
      <c r="AQ1218" s="96">
        <v>0</v>
      </c>
      <c r="AR1218" s="18">
        <v>72641131</v>
      </c>
      <c r="AS1218" s="43">
        <v>439457607</v>
      </c>
      <c r="AT1218" s="39">
        <f>AQ1218+AS1218</f>
        <v>439457607</v>
      </c>
      <c r="AU1218" s="110">
        <f>AJ1218-AM1218</f>
        <v>446543819</v>
      </c>
      <c r="AV1218" s="133">
        <f>AM1218-AP1218</f>
        <v>0</v>
      </c>
      <c r="AW1218" s="133">
        <f>AP1218-AT1218</f>
        <v>0</v>
      </c>
      <c r="AX1218" s="123">
        <f>AP1218/AJ1218</f>
        <v>0.49600101546563424</v>
      </c>
    </row>
    <row r="1219" spans="27:50" x14ac:dyDescent="0.2">
      <c r="AA1219" s="94"/>
      <c r="AB1219" s="95"/>
      <c r="AC1219" s="96"/>
      <c r="AD1219" s="44"/>
      <c r="AE1219" s="97"/>
      <c r="AF1219" s="97"/>
      <c r="AG1219" s="43"/>
      <c r="AH1219" s="96"/>
      <c r="AI1219" s="136"/>
      <c r="AJ1219" s="43"/>
      <c r="AK1219" s="43"/>
      <c r="AL1219" s="114"/>
      <c r="AM1219" s="114"/>
      <c r="AN1219" s="43"/>
      <c r="AO1219" s="114"/>
      <c r="AP1219" s="114"/>
      <c r="AQ1219" s="43"/>
      <c r="AR1219" s="43"/>
      <c r="AS1219" s="43"/>
      <c r="AT1219" s="39"/>
      <c r="AU1219" s="18"/>
      <c r="AV1219" s="18"/>
      <c r="AW1219" s="110"/>
      <c r="AX1219" s="123"/>
    </row>
    <row r="1220" spans="27:50" ht="25.5" x14ac:dyDescent="0.2">
      <c r="AA1220" s="93" t="s">
        <v>288</v>
      </c>
      <c r="AB1220" s="90" t="s">
        <v>778</v>
      </c>
      <c r="AC1220" s="91"/>
      <c r="AD1220" s="18"/>
      <c r="AE1220" s="98"/>
      <c r="AF1220" s="98"/>
      <c r="AG1220" s="92"/>
      <c r="AH1220" s="92"/>
      <c r="AI1220" s="92"/>
      <c r="AJ1220" s="18"/>
      <c r="AK1220" s="98"/>
      <c r="AL1220" s="98"/>
      <c r="AM1220" s="98"/>
      <c r="AN1220" s="98"/>
      <c r="AO1220" s="98"/>
      <c r="AP1220" s="98"/>
      <c r="AQ1220" s="98"/>
      <c r="AR1220" s="98"/>
      <c r="AS1220" s="98"/>
      <c r="AT1220" s="31"/>
      <c r="AU1220" s="18"/>
      <c r="AV1220" s="34"/>
      <c r="AW1220" s="34"/>
      <c r="AX1220" s="92"/>
    </row>
    <row r="1221" spans="27:50" x14ac:dyDescent="0.2">
      <c r="AA1221" s="94" t="s">
        <v>779</v>
      </c>
      <c r="AB1221" s="95" t="s">
        <v>780</v>
      </c>
      <c r="AC1221" s="96" t="s">
        <v>368</v>
      </c>
      <c r="AD1221" s="43">
        <v>920421961</v>
      </c>
      <c r="AE1221" s="97">
        <v>0</v>
      </c>
      <c r="AF1221" s="97">
        <v>0</v>
      </c>
      <c r="AG1221" s="96">
        <v>0</v>
      </c>
      <c r="AH1221" s="96">
        <v>0</v>
      </c>
      <c r="AI1221" s="136">
        <f>AE1221-AF1221+AG1221-AH1221</f>
        <v>0</v>
      </c>
      <c r="AJ1221" s="43">
        <f>AD1221+AI1221</f>
        <v>920421961</v>
      </c>
      <c r="AK1221" s="97">
        <v>0</v>
      </c>
      <c r="AL1221" s="97">
        <v>0</v>
      </c>
      <c r="AM1221" s="97">
        <v>0</v>
      </c>
      <c r="AN1221" s="97">
        <v>0</v>
      </c>
      <c r="AO1221" s="97">
        <v>0</v>
      </c>
      <c r="AP1221" s="97">
        <v>0</v>
      </c>
      <c r="AQ1221" s="97">
        <v>0</v>
      </c>
      <c r="AR1221" s="97">
        <v>0</v>
      </c>
      <c r="AS1221" s="97">
        <v>0</v>
      </c>
      <c r="AT1221" s="135">
        <f t="shared" ref="AT1221:AT1222" si="449">AQ1221+AS1221</f>
        <v>0</v>
      </c>
      <c r="AU1221" s="110">
        <f>AJ1221-AM1221</f>
        <v>920421961</v>
      </c>
      <c r="AV1221" s="133">
        <f>AM1221-AP1221</f>
        <v>0</v>
      </c>
      <c r="AW1221" s="133">
        <f>AP1221-AT1221</f>
        <v>0</v>
      </c>
      <c r="AX1221" s="123">
        <f>AP1221/AJ1221</f>
        <v>0</v>
      </c>
    </row>
    <row r="1222" spans="27:50" ht="25.5" x14ac:dyDescent="0.2">
      <c r="AA1222" s="94" t="s">
        <v>781</v>
      </c>
      <c r="AB1222" s="95" t="s">
        <v>776</v>
      </c>
      <c r="AC1222" s="96" t="s">
        <v>777</v>
      </c>
      <c r="AD1222" s="43">
        <v>23813351805</v>
      </c>
      <c r="AE1222" s="97">
        <v>0</v>
      </c>
      <c r="AF1222" s="97">
        <v>0</v>
      </c>
      <c r="AG1222" s="96">
        <v>0</v>
      </c>
      <c r="AH1222" s="43">
        <v>5536570240</v>
      </c>
      <c r="AI1222" s="136">
        <f>AE1222-AF1222+AG1222-AH1222</f>
        <v>-5536570240</v>
      </c>
      <c r="AJ1222" s="43">
        <f>AD1222+AI1222</f>
        <v>18276781565</v>
      </c>
      <c r="AK1222" s="97">
        <v>0</v>
      </c>
      <c r="AL1222" s="97">
        <v>0</v>
      </c>
      <c r="AM1222" s="97">
        <v>0</v>
      </c>
      <c r="AN1222" s="97">
        <v>0</v>
      </c>
      <c r="AO1222" s="97">
        <v>0</v>
      </c>
      <c r="AP1222" s="97">
        <v>0</v>
      </c>
      <c r="AQ1222" s="97">
        <v>0</v>
      </c>
      <c r="AR1222" s="97">
        <v>0</v>
      </c>
      <c r="AS1222" s="97">
        <v>0</v>
      </c>
      <c r="AT1222" s="135">
        <f t="shared" si="449"/>
        <v>0</v>
      </c>
      <c r="AU1222" s="110">
        <f>AJ1222-AM1222</f>
        <v>18276781565</v>
      </c>
      <c r="AV1222" s="133">
        <f>AM1222-AP1222</f>
        <v>0</v>
      </c>
      <c r="AW1222" s="133">
        <f>AP1222-AT1222</f>
        <v>0</v>
      </c>
      <c r="AX1222" s="123">
        <f>AP1222/AJ1222</f>
        <v>0</v>
      </c>
    </row>
    <row r="1223" spans="27:50" x14ac:dyDescent="0.2">
      <c r="AA1223" s="94"/>
      <c r="AB1223" s="95"/>
      <c r="AC1223" s="96"/>
      <c r="AD1223" s="43"/>
      <c r="AE1223" s="97"/>
      <c r="AF1223" s="97"/>
      <c r="AG1223" s="96"/>
      <c r="AH1223" s="43"/>
      <c r="AI1223" s="136"/>
      <c r="AJ1223" s="43"/>
      <c r="AK1223" s="97"/>
      <c r="AL1223" s="97"/>
      <c r="AM1223" s="97"/>
      <c r="AN1223" s="97"/>
      <c r="AO1223" s="97"/>
      <c r="AP1223" s="97"/>
      <c r="AQ1223" s="97"/>
      <c r="AR1223" s="97"/>
      <c r="AS1223" s="97"/>
      <c r="AT1223" s="135"/>
      <c r="AU1223" s="110"/>
      <c r="AV1223" s="133"/>
      <c r="AW1223" s="133"/>
      <c r="AX1223" s="123"/>
    </row>
    <row r="1224" spans="27:50" ht="25.5" x14ac:dyDescent="0.2">
      <c r="AA1224" s="238" t="s">
        <v>288</v>
      </c>
      <c r="AB1224" s="239" t="s">
        <v>778</v>
      </c>
      <c r="AC1224" s="91"/>
      <c r="AD1224" s="18"/>
      <c r="AE1224" s="92"/>
      <c r="AF1224" s="92"/>
      <c r="AG1224" s="92"/>
      <c r="AH1224" s="92"/>
      <c r="AI1224" s="92"/>
      <c r="AJ1224" s="18"/>
      <c r="AK1224" s="34"/>
      <c r="AL1224" s="18"/>
      <c r="AM1224" s="18"/>
      <c r="AN1224" s="92"/>
      <c r="AO1224" s="147"/>
      <c r="AP1224" s="18"/>
      <c r="AQ1224" s="92"/>
      <c r="AR1224" s="92"/>
      <c r="AS1224" s="92"/>
      <c r="AT1224" s="30"/>
      <c r="AU1224" s="18"/>
      <c r="AV1224" s="18"/>
      <c r="AW1224" s="18"/>
      <c r="AX1224" s="92"/>
    </row>
    <row r="1225" spans="27:50" x14ac:dyDescent="0.2">
      <c r="AA1225" s="94" t="s">
        <v>823</v>
      </c>
      <c r="AB1225" s="95" t="s">
        <v>824</v>
      </c>
      <c r="AC1225" s="96" t="s">
        <v>794</v>
      </c>
      <c r="AD1225" s="43">
        <v>68497522112</v>
      </c>
      <c r="AE1225" s="43">
        <v>11382993803</v>
      </c>
      <c r="AF1225" s="216">
        <v>0</v>
      </c>
      <c r="AG1225" s="216">
        <v>0</v>
      </c>
      <c r="AH1225" s="216">
        <v>0</v>
      </c>
      <c r="AI1225" s="136">
        <f t="shared" ref="AI1225:AI1230" si="450">AE1225-AF1225+AG1225-AH1225</f>
        <v>11382993803</v>
      </c>
      <c r="AJ1225" s="43">
        <f t="shared" ref="AJ1225:AJ1230" si="451">AD1225+AI1225</f>
        <v>79880515915</v>
      </c>
      <c r="AK1225" s="44">
        <v>0</v>
      </c>
      <c r="AL1225" s="44">
        <v>0</v>
      </c>
      <c r="AM1225" s="18">
        <v>68497522112</v>
      </c>
      <c r="AN1225" s="34">
        <v>0</v>
      </c>
      <c r="AO1225" s="147">
        <v>6711410086</v>
      </c>
      <c r="AP1225" s="43">
        <v>39612055401</v>
      </c>
      <c r="AQ1225" s="44">
        <v>0</v>
      </c>
      <c r="AR1225" s="18">
        <v>6711410086</v>
      </c>
      <c r="AS1225" s="43">
        <v>39612055401</v>
      </c>
      <c r="AT1225" s="111">
        <f t="shared" ref="AT1225:AT1230" si="452">AQ1225+AS1225</f>
        <v>39612055401</v>
      </c>
      <c r="AU1225" s="18">
        <f t="shared" ref="AU1225:AU1230" si="453">AJ1225-AM1225</f>
        <v>11382993803</v>
      </c>
      <c r="AV1225" s="18">
        <f t="shared" ref="AV1225:AV1230" si="454">AM1225-AP1225</f>
        <v>28885466711</v>
      </c>
      <c r="AW1225" s="133">
        <f t="shared" ref="AW1225:AW1230" si="455">AP1225-AT1225</f>
        <v>0</v>
      </c>
      <c r="AX1225" s="123">
        <f t="shared" ref="AX1225:AX1230" si="456">AP1225/AJ1225</f>
        <v>0.49589133153760251</v>
      </c>
    </row>
    <row r="1226" spans="27:50" x14ac:dyDescent="0.2">
      <c r="AA1226" s="94" t="s">
        <v>825</v>
      </c>
      <c r="AB1226" s="95" t="s">
        <v>826</v>
      </c>
      <c r="AC1226" s="96" t="s">
        <v>802</v>
      </c>
      <c r="AD1226" s="43">
        <v>6053442339</v>
      </c>
      <c r="AE1226" s="96">
        <v>0</v>
      </c>
      <c r="AF1226" s="216">
        <v>0</v>
      </c>
      <c r="AG1226" s="216">
        <v>0</v>
      </c>
      <c r="AH1226" s="216">
        <v>0</v>
      </c>
      <c r="AI1226" s="97">
        <f t="shared" si="450"/>
        <v>0</v>
      </c>
      <c r="AJ1226" s="43">
        <f t="shared" si="451"/>
        <v>6053442339</v>
      </c>
      <c r="AK1226" s="44">
        <v>0</v>
      </c>
      <c r="AL1226" s="44">
        <v>0</v>
      </c>
      <c r="AM1226" s="18">
        <v>3247805756</v>
      </c>
      <c r="AN1226" s="34">
        <v>0</v>
      </c>
      <c r="AO1226" s="147">
        <v>302054940.99000001</v>
      </c>
      <c r="AP1226" s="43">
        <v>1768213466</v>
      </c>
      <c r="AQ1226" s="44">
        <v>0</v>
      </c>
      <c r="AR1226" s="18">
        <v>302054940.99000001</v>
      </c>
      <c r="AS1226" s="43">
        <v>1768213466</v>
      </c>
      <c r="AT1226" s="111">
        <f t="shared" si="452"/>
        <v>1768213466</v>
      </c>
      <c r="AU1226" s="18">
        <f t="shared" si="453"/>
        <v>2805636583</v>
      </c>
      <c r="AV1226" s="18">
        <f t="shared" si="454"/>
        <v>1479592290</v>
      </c>
      <c r="AW1226" s="133">
        <f t="shared" si="455"/>
        <v>0</v>
      </c>
      <c r="AX1226" s="123">
        <f t="shared" si="456"/>
        <v>0.29210048877612677</v>
      </c>
    </row>
    <row r="1227" spans="27:50" ht="25.5" x14ac:dyDescent="0.2">
      <c r="AA1227" s="94" t="s">
        <v>827</v>
      </c>
      <c r="AB1227" s="95" t="s">
        <v>776</v>
      </c>
      <c r="AC1227" s="96" t="s">
        <v>777</v>
      </c>
      <c r="AD1227" s="43">
        <v>5590188172</v>
      </c>
      <c r="AE1227" s="96">
        <v>0</v>
      </c>
      <c r="AF1227" s="216">
        <v>0</v>
      </c>
      <c r="AG1227" s="216">
        <v>0</v>
      </c>
      <c r="AH1227" s="216">
        <v>0</v>
      </c>
      <c r="AI1227" s="97">
        <f t="shared" si="450"/>
        <v>0</v>
      </c>
      <c r="AJ1227" s="43">
        <f t="shared" si="451"/>
        <v>5590188172</v>
      </c>
      <c r="AK1227" s="44">
        <v>0</v>
      </c>
      <c r="AL1227" s="44">
        <v>0</v>
      </c>
      <c r="AM1227" s="18">
        <v>188387793</v>
      </c>
      <c r="AN1227" s="34">
        <v>0</v>
      </c>
      <c r="AO1227" s="145">
        <v>0</v>
      </c>
      <c r="AP1227" s="43">
        <v>188387793</v>
      </c>
      <c r="AQ1227" s="44">
        <v>0</v>
      </c>
      <c r="AR1227" s="18">
        <v>0</v>
      </c>
      <c r="AS1227" s="43">
        <v>188387793</v>
      </c>
      <c r="AT1227" s="111">
        <f t="shared" si="452"/>
        <v>188387793</v>
      </c>
      <c r="AU1227" s="18">
        <f t="shared" si="453"/>
        <v>5401800379</v>
      </c>
      <c r="AV1227" s="34">
        <f t="shared" si="454"/>
        <v>0</v>
      </c>
      <c r="AW1227" s="133">
        <f t="shared" si="455"/>
        <v>0</v>
      </c>
      <c r="AX1227" s="123">
        <f t="shared" si="456"/>
        <v>3.3699723015334665E-2</v>
      </c>
    </row>
    <row r="1228" spans="27:50" ht="16.5" customHeight="1" x14ac:dyDescent="0.2">
      <c r="AA1228" s="94" t="s">
        <v>828</v>
      </c>
      <c r="AB1228" s="95" t="s">
        <v>829</v>
      </c>
      <c r="AC1228" s="96" t="s">
        <v>789</v>
      </c>
      <c r="AD1228" s="43">
        <v>134040044112</v>
      </c>
      <c r="AE1228" s="96">
        <v>0</v>
      </c>
      <c r="AF1228" s="216">
        <v>0</v>
      </c>
      <c r="AG1228" s="216">
        <v>0</v>
      </c>
      <c r="AH1228" s="216">
        <v>0</v>
      </c>
      <c r="AI1228" s="97">
        <f t="shared" si="450"/>
        <v>0</v>
      </c>
      <c r="AJ1228" s="43">
        <f t="shared" si="451"/>
        <v>134040044112</v>
      </c>
      <c r="AK1228" s="44">
        <v>0</v>
      </c>
      <c r="AL1228" s="44">
        <v>0</v>
      </c>
      <c r="AM1228" s="18">
        <v>129958738901</v>
      </c>
      <c r="AN1228" s="34">
        <v>0</v>
      </c>
      <c r="AO1228" s="147">
        <v>10381237645.389999</v>
      </c>
      <c r="AP1228" s="43">
        <v>61240675033.18</v>
      </c>
      <c r="AQ1228" s="44">
        <v>0</v>
      </c>
      <c r="AR1228" s="18">
        <v>10381237645.389999</v>
      </c>
      <c r="AS1228" s="43">
        <v>61240675033.18</v>
      </c>
      <c r="AT1228" s="111">
        <f t="shared" si="452"/>
        <v>61240675033.18</v>
      </c>
      <c r="AU1228" s="18">
        <f t="shared" si="453"/>
        <v>4081305211</v>
      </c>
      <c r="AV1228" s="18">
        <f t="shared" si="454"/>
        <v>68718063867.82</v>
      </c>
      <c r="AW1228" s="133">
        <f t="shared" si="455"/>
        <v>0</v>
      </c>
      <c r="AX1228" s="123">
        <f t="shared" si="456"/>
        <v>0.45688342941762283</v>
      </c>
    </row>
    <row r="1229" spans="27:50" ht="25.5" x14ac:dyDescent="0.2">
      <c r="AA1229" s="94" t="s">
        <v>830</v>
      </c>
      <c r="AB1229" s="95" t="s">
        <v>831</v>
      </c>
      <c r="AC1229" s="96" t="s">
        <v>832</v>
      </c>
      <c r="AD1229" s="43">
        <v>12909348026</v>
      </c>
      <c r="AE1229" s="43">
        <v>955692586</v>
      </c>
      <c r="AF1229" s="216">
        <v>0</v>
      </c>
      <c r="AG1229" s="216">
        <v>0</v>
      </c>
      <c r="AH1229" s="216">
        <v>0</v>
      </c>
      <c r="AI1229" s="136">
        <f t="shared" si="450"/>
        <v>955692586</v>
      </c>
      <c r="AJ1229" s="43">
        <f t="shared" si="451"/>
        <v>13865040612</v>
      </c>
      <c r="AK1229" s="44">
        <v>0</v>
      </c>
      <c r="AL1229" s="44">
        <v>0</v>
      </c>
      <c r="AM1229" s="18">
        <v>12909348026</v>
      </c>
      <c r="AN1229" s="34">
        <v>0</v>
      </c>
      <c r="AO1229" s="147">
        <v>765421639.66999996</v>
      </c>
      <c r="AP1229" s="43">
        <v>7243457951.1499996</v>
      </c>
      <c r="AQ1229" s="44">
        <v>0</v>
      </c>
      <c r="AR1229" s="43">
        <v>765421639.66999996</v>
      </c>
      <c r="AS1229" s="43">
        <v>7243457951.1499996</v>
      </c>
      <c r="AT1229" s="111">
        <f t="shared" si="452"/>
        <v>7243457951.1499996</v>
      </c>
      <c r="AU1229" s="18">
        <f t="shared" si="453"/>
        <v>955692586</v>
      </c>
      <c r="AV1229" s="18">
        <f t="shared" si="454"/>
        <v>5665890074.8500004</v>
      </c>
      <c r="AW1229" s="133">
        <f t="shared" si="455"/>
        <v>0</v>
      </c>
      <c r="AX1229" s="123">
        <f t="shared" si="456"/>
        <v>0.52242601762600593</v>
      </c>
    </row>
    <row r="1230" spans="27:50" ht="26.25" thickBot="1" x14ac:dyDescent="0.25">
      <c r="AA1230" s="221" t="s">
        <v>1195</v>
      </c>
      <c r="AB1230" s="95" t="s">
        <v>1196</v>
      </c>
      <c r="AC1230" s="96"/>
      <c r="AD1230" s="44">
        <v>0</v>
      </c>
      <c r="AE1230" s="43">
        <v>969348211.46000004</v>
      </c>
      <c r="AF1230" s="216">
        <v>0</v>
      </c>
      <c r="AG1230" s="216">
        <v>0</v>
      </c>
      <c r="AH1230" s="216">
        <v>0</v>
      </c>
      <c r="AI1230" s="136">
        <f t="shared" si="450"/>
        <v>969348211.46000004</v>
      </c>
      <c r="AJ1230" s="43">
        <f t="shared" si="451"/>
        <v>969348211.46000004</v>
      </c>
      <c r="AK1230" s="44">
        <v>0</v>
      </c>
      <c r="AL1230" s="44">
        <v>0</v>
      </c>
      <c r="AM1230" s="34">
        <v>0</v>
      </c>
      <c r="AN1230" s="34">
        <v>0</v>
      </c>
      <c r="AO1230" s="145">
        <v>0</v>
      </c>
      <c r="AP1230" s="44">
        <v>0</v>
      </c>
      <c r="AQ1230" s="44">
        <v>0</v>
      </c>
      <c r="AR1230" s="44">
        <v>0</v>
      </c>
      <c r="AS1230" s="44">
        <v>0</v>
      </c>
      <c r="AT1230" s="135">
        <f t="shared" si="452"/>
        <v>0</v>
      </c>
      <c r="AU1230" s="18">
        <f t="shared" si="453"/>
        <v>969348211.46000004</v>
      </c>
      <c r="AV1230" s="34">
        <f t="shared" si="454"/>
        <v>0</v>
      </c>
      <c r="AW1230" s="133">
        <f t="shared" si="455"/>
        <v>0</v>
      </c>
      <c r="AX1230" s="123">
        <f t="shared" si="456"/>
        <v>0</v>
      </c>
    </row>
    <row r="1231" spans="27:50" x14ac:dyDescent="0.2">
      <c r="AA1231" s="94"/>
      <c r="AB1231" s="95"/>
      <c r="AC1231" s="96"/>
      <c r="AD1231" s="43"/>
      <c r="AE1231" s="97"/>
      <c r="AF1231" s="97"/>
      <c r="AG1231" s="96"/>
      <c r="AH1231" s="43"/>
      <c r="AI1231" s="136"/>
      <c r="AJ1231" s="43"/>
      <c r="AK1231" s="97"/>
      <c r="AL1231" s="97"/>
      <c r="AM1231" s="97"/>
      <c r="AN1231" s="97"/>
      <c r="AO1231" s="97"/>
      <c r="AP1231" s="97"/>
      <c r="AQ1231" s="97"/>
      <c r="AR1231" s="97"/>
      <c r="AS1231" s="97"/>
      <c r="AT1231" s="135"/>
      <c r="AU1231" s="110"/>
      <c r="AV1231" s="133"/>
      <c r="AW1231" s="133"/>
      <c r="AX1231" s="123"/>
    </row>
    <row r="1232" spans="27:50" x14ac:dyDescent="0.2">
      <c r="AA1232" s="94"/>
      <c r="AB1232" s="279" t="s">
        <v>1273</v>
      </c>
      <c r="AC1232" s="96"/>
      <c r="AD1232" s="43"/>
      <c r="AE1232" s="97"/>
      <c r="AF1232" s="97"/>
      <c r="AG1232" s="96"/>
      <c r="AH1232" s="43"/>
      <c r="AI1232" s="136"/>
      <c r="AJ1232" s="43"/>
      <c r="AK1232" s="97"/>
      <c r="AL1232" s="97"/>
      <c r="AM1232" s="97"/>
      <c r="AN1232" s="97"/>
      <c r="AO1232" s="97"/>
      <c r="AP1232" s="97"/>
      <c r="AQ1232" s="97"/>
      <c r="AR1232" s="97"/>
      <c r="AS1232" s="97"/>
      <c r="AT1232" s="135"/>
      <c r="AU1232" s="110"/>
      <c r="AV1232" s="133"/>
      <c r="AW1232" s="133"/>
      <c r="AX1232" s="123"/>
    </row>
    <row r="1233" spans="27:50" x14ac:dyDescent="0.2">
      <c r="AA1233" s="93" t="s">
        <v>288</v>
      </c>
      <c r="AB1233" s="243" t="s">
        <v>790</v>
      </c>
      <c r="AC1233" s="91"/>
      <c r="AD1233" s="18"/>
      <c r="AE1233" s="92"/>
      <c r="AF1233" s="92"/>
      <c r="AG1233" s="92"/>
      <c r="AH1233" s="92"/>
      <c r="AI1233" s="92"/>
      <c r="AJ1233" s="18"/>
      <c r="AK1233" s="18"/>
      <c r="AL1233" s="115">
        <f>AM1233-'MARZO '!AM995</f>
        <v>0</v>
      </c>
      <c r="AM1233" s="18"/>
      <c r="AN1233" s="92"/>
      <c r="AO1233" s="147"/>
      <c r="AP1233" s="18"/>
      <c r="AQ1233" s="92"/>
      <c r="AR1233" s="92"/>
      <c r="AS1233" s="92"/>
      <c r="AT1233" s="30"/>
      <c r="AU1233" s="18"/>
      <c r="AV1233" s="110"/>
      <c r="AW1233" s="18"/>
      <c r="AX1233" s="92"/>
    </row>
    <row r="1234" spans="27:50" x14ac:dyDescent="0.2">
      <c r="AA1234" s="94" t="s">
        <v>791</v>
      </c>
      <c r="AB1234" s="95" t="s">
        <v>233</v>
      </c>
      <c r="AC1234" s="96" t="s">
        <v>58</v>
      </c>
      <c r="AD1234" s="43">
        <v>300000000</v>
      </c>
      <c r="AE1234" s="96">
        <v>0</v>
      </c>
      <c r="AF1234" s="216">
        <v>0</v>
      </c>
      <c r="AG1234" s="216">
        <v>0</v>
      </c>
      <c r="AH1234" s="216">
        <v>0</v>
      </c>
      <c r="AI1234" s="136">
        <f t="shared" ref="AI1234:AI1237" si="457">AE1234-AF1234+AG1234-AH1234</f>
        <v>0</v>
      </c>
      <c r="AJ1234" s="43">
        <f t="shared" ref="AJ1234:AJ1237" si="458">AD1234+AI1234</f>
        <v>300000000</v>
      </c>
      <c r="AK1234" s="44">
        <v>0</v>
      </c>
      <c r="AL1234" s="115">
        <v>0</v>
      </c>
      <c r="AM1234" s="18">
        <v>300000000</v>
      </c>
      <c r="AN1234" s="98">
        <v>0</v>
      </c>
      <c r="AO1234" s="145">
        <v>0</v>
      </c>
      <c r="AP1234" s="18">
        <v>300000000</v>
      </c>
      <c r="AQ1234" s="96">
        <v>0</v>
      </c>
      <c r="AR1234" s="43">
        <v>27272727</v>
      </c>
      <c r="AS1234" s="43">
        <v>67272727</v>
      </c>
      <c r="AT1234" s="39">
        <f t="shared" ref="AT1234:AT1237" si="459">AQ1234+AS1234</f>
        <v>67272727</v>
      </c>
      <c r="AU1234" s="133">
        <f>AJ1234-AM1234</f>
        <v>0</v>
      </c>
      <c r="AV1234" s="133">
        <f>AM1234-AP1234</f>
        <v>0</v>
      </c>
      <c r="AW1234" s="110">
        <f>AP1234-AT1234</f>
        <v>232727273</v>
      </c>
      <c r="AX1234" s="123">
        <f>AP1234/AJ1234</f>
        <v>1</v>
      </c>
    </row>
    <row r="1235" spans="27:50" x14ac:dyDescent="0.2">
      <c r="AA1235" s="94" t="s">
        <v>792</v>
      </c>
      <c r="AB1235" s="95" t="s">
        <v>793</v>
      </c>
      <c r="AC1235" s="96" t="s">
        <v>794</v>
      </c>
      <c r="AD1235" s="43">
        <v>664600000</v>
      </c>
      <c r="AE1235" s="96">
        <v>0</v>
      </c>
      <c r="AF1235" s="216">
        <v>0</v>
      </c>
      <c r="AG1235" s="216">
        <v>0</v>
      </c>
      <c r="AH1235" s="216">
        <v>0</v>
      </c>
      <c r="AI1235" s="136">
        <f t="shared" si="457"/>
        <v>0</v>
      </c>
      <c r="AJ1235" s="43">
        <f t="shared" si="458"/>
        <v>664600000</v>
      </c>
      <c r="AK1235" s="44">
        <v>0</v>
      </c>
      <c r="AL1235" s="115">
        <v>0</v>
      </c>
      <c r="AM1235" s="18">
        <v>664510000</v>
      </c>
      <c r="AN1235" s="98">
        <v>0</v>
      </c>
      <c r="AO1235" s="145">
        <v>0</v>
      </c>
      <c r="AP1235" s="18">
        <v>664510000</v>
      </c>
      <c r="AQ1235" s="114">
        <v>56200000</v>
      </c>
      <c r="AR1235" s="43">
        <v>71075455</v>
      </c>
      <c r="AS1235" s="43">
        <v>185672123</v>
      </c>
      <c r="AT1235" s="111">
        <f t="shared" si="459"/>
        <v>241872123</v>
      </c>
      <c r="AU1235" s="110">
        <f>AJ1235-AM1235</f>
        <v>90000</v>
      </c>
      <c r="AV1235" s="133">
        <f>AM1235-AP1235</f>
        <v>0</v>
      </c>
      <c r="AW1235" s="110">
        <f>AP1235-AT1235</f>
        <v>422637877</v>
      </c>
      <c r="AX1235" s="123">
        <f>AP1235/AJ1235</f>
        <v>0.99986458019861568</v>
      </c>
    </row>
    <row r="1236" spans="27:50" x14ac:dyDescent="0.2">
      <c r="AA1236" s="173" t="s">
        <v>1180</v>
      </c>
      <c r="AB1236" s="95" t="s">
        <v>1181</v>
      </c>
      <c r="AC1236" s="96"/>
      <c r="AD1236" s="44">
        <v>0</v>
      </c>
      <c r="AE1236" s="43">
        <f>54400000+23058182</f>
        <v>77458182</v>
      </c>
      <c r="AF1236" s="216">
        <v>0</v>
      </c>
      <c r="AG1236" s="216">
        <v>0</v>
      </c>
      <c r="AH1236" s="216">
        <v>0</v>
      </c>
      <c r="AI1236" s="136">
        <f t="shared" si="457"/>
        <v>77458182</v>
      </c>
      <c r="AJ1236" s="43">
        <f t="shared" si="458"/>
        <v>77458182</v>
      </c>
      <c r="AK1236" s="44">
        <v>0</v>
      </c>
      <c r="AL1236" s="115">
        <v>0</v>
      </c>
      <c r="AM1236" s="34">
        <v>0</v>
      </c>
      <c r="AN1236" s="98">
        <v>0</v>
      </c>
      <c r="AO1236" s="34">
        <v>0</v>
      </c>
      <c r="AP1236" s="34">
        <v>0</v>
      </c>
      <c r="AQ1236" s="115">
        <v>0</v>
      </c>
      <c r="AR1236" s="44">
        <v>0</v>
      </c>
      <c r="AS1236" s="44">
        <v>0</v>
      </c>
      <c r="AT1236" s="135">
        <f t="shared" si="459"/>
        <v>0</v>
      </c>
      <c r="AU1236" s="110">
        <f>AJ1236-AM1236</f>
        <v>77458182</v>
      </c>
      <c r="AV1236" s="133">
        <f>AM1236-AP1236</f>
        <v>0</v>
      </c>
      <c r="AW1236" s="133">
        <f>AP1236-AT1236</f>
        <v>0</v>
      </c>
      <c r="AX1236" s="123">
        <f>AP1236/AJ1236</f>
        <v>0</v>
      </c>
    </row>
    <row r="1237" spans="27:50" ht="13.5" thickBot="1" x14ac:dyDescent="0.25">
      <c r="AA1237" s="221" t="s">
        <v>1185</v>
      </c>
      <c r="AB1237" s="95" t="s">
        <v>1015</v>
      </c>
      <c r="AC1237" s="96"/>
      <c r="AD1237" s="44">
        <v>0</v>
      </c>
      <c r="AE1237" s="43">
        <v>26941817.940000001</v>
      </c>
      <c r="AF1237" s="216">
        <v>0</v>
      </c>
      <c r="AG1237" s="216">
        <v>0</v>
      </c>
      <c r="AH1237" s="216">
        <v>0</v>
      </c>
      <c r="AI1237" s="136">
        <f t="shared" si="457"/>
        <v>26941817.940000001</v>
      </c>
      <c r="AJ1237" s="43">
        <f t="shared" si="458"/>
        <v>26941817.940000001</v>
      </c>
      <c r="AK1237" s="44">
        <v>0</v>
      </c>
      <c r="AL1237" s="115">
        <v>0</v>
      </c>
      <c r="AM1237" s="34">
        <v>0</v>
      </c>
      <c r="AN1237" s="98">
        <v>0</v>
      </c>
      <c r="AO1237" s="34">
        <v>0</v>
      </c>
      <c r="AP1237" s="34">
        <v>0</v>
      </c>
      <c r="AQ1237" s="115">
        <v>0</v>
      </c>
      <c r="AR1237" s="44">
        <v>0</v>
      </c>
      <c r="AS1237" s="44">
        <v>0</v>
      </c>
      <c r="AT1237" s="135">
        <f t="shared" si="459"/>
        <v>0</v>
      </c>
      <c r="AU1237" s="110">
        <f>AJ1237-AM1237</f>
        <v>26941817.940000001</v>
      </c>
      <c r="AV1237" s="133">
        <f>AM1237-AP1237</f>
        <v>0</v>
      </c>
      <c r="AW1237" s="133">
        <f>AP1237-AT1237</f>
        <v>0</v>
      </c>
      <c r="AX1237" s="123">
        <f>AP1237/AJ1237</f>
        <v>0</v>
      </c>
    </row>
    <row r="1238" spans="27:50" x14ac:dyDescent="0.2">
      <c r="AA1238" s="94"/>
      <c r="AB1238" s="95"/>
      <c r="AC1238" s="96"/>
      <c r="AD1238" s="43"/>
      <c r="AE1238" s="97"/>
      <c r="AF1238" s="97"/>
      <c r="AG1238" s="96"/>
      <c r="AH1238" s="43"/>
      <c r="AI1238" s="136"/>
      <c r="AJ1238" s="43"/>
      <c r="AK1238" s="97"/>
      <c r="AL1238" s="97"/>
      <c r="AM1238" s="97"/>
      <c r="AN1238" s="97"/>
      <c r="AO1238" s="97"/>
      <c r="AP1238" s="97"/>
      <c r="AQ1238" s="97"/>
      <c r="AR1238" s="97"/>
      <c r="AS1238" s="97"/>
      <c r="AT1238" s="135"/>
      <c r="AU1238" s="110"/>
      <c r="AV1238" s="133"/>
      <c r="AW1238" s="133"/>
      <c r="AX1238" s="123"/>
    </row>
    <row r="1239" spans="27:50" ht="25.5" x14ac:dyDescent="0.2">
      <c r="AA1239" s="93" t="s">
        <v>288</v>
      </c>
      <c r="AB1239" s="90" t="s">
        <v>795</v>
      </c>
      <c r="AC1239" s="91"/>
      <c r="AD1239" s="18"/>
      <c r="AE1239" s="92"/>
      <c r="AF1239" s="92"/>
      <c r="AG1239" s="92"/>
      <c r="AH1239" s="92"/>
      <c r="AI1239" s="92"/>
      <c r="AJ1239" s="18"/>
      <c r="AK1239" s="34"/>
      <c r="AL1239" s="18"/>
      <c r="AM1239" s="18"/>
      <c r="AN1239" s="92"/>
      <c r="AO1239" s="18"/>
      <c r="AP1239" s="18"/>
      <c r="AQ1239" s="92"/>
      <c r="AR1239" s="92"/>
      <c r="AS1239" s="92"/>
      <c r="AT1239" s="40"/>
      <c r="AU1239" s="18"/>
      <c r="AV1239" s="110"/>
      <c r="AW1239" s="18"/>
      <c r="AX1239" s="92"/>
    </row>
    <row r="1240" spans="27:50" x14ac:dyDescent="0.2">
      <c r="AA1240" s="94" t="s">
        <v>796</v>
      </c>
      <c r="AB1240" s="95" t="s">
        <v>233</v>
      </c>
      <c r="AC1240" s="96" t="s">
        <v>58</v>
      </c>
      <c r="AD1240" s="43">
        <v>242950000</v>
      </c>
      <c r="AE1240" s="96">
        <v>0</v>
      </c>
      <c r="AF1240" s="216">
        <v>0</v>
      </c>
      <c r="AG1240" s="216">
        <v>0</v>
      </c>
      <c r="AH1240" s="216">
        <v>0</v>
      </c>
      <c r="AI1240" s="136">
        <f>AE1240-AF1240+AG1240-AH1240</f>
        <v>0</v>
      </c>
      <c r="AJ1240" s="43">
        <f>AD1240+AI1240</f>
        <v>242950000</v>
      </c>
      <c r="AK1240" s="44">
        <v>0</v>
      </c>
      <c r="AL1240" s="44">
        <v>0</v>
      </c>
      <c r="AM1240" s="44">
        <v>0</v>
      </c>
      <c r="AN1240" s="97">
        <v>0</v>
      </c>
      <c r="AO1240" s="44">
        <v>0</v>
      </c>
      <c r="AP1240" s="44">
        <v>0</v>
      </c>
      <c r="AQ1240" s="97">
        <v>0</v>
      </c>
      <c r="AR1240" s="97">
        <v>0</v>
      </c>
      <c r="AS1240" s="96">
        <v>0</v>
      </c>
      <c r="AT1240" s="135">
        <f>AQ1240+AS1240</f>
        <v>0</v>
      </c>
      <c r="AU1240" s="110">
        <f>AJ1240-AM1240</f>
        <v>242950000</v>
      </c>
      <c r="AV1240" s="133">
        <f>AM1240-AP1240</f>
        <v>0</v>
      </c>
      <c r="AW1240" s="133">
        <f>AP1240-AT1240</f>
        <v>0</v>
      </c>
      <c r="AX1240" s="123">
        <f>AP1240/AJ1240</f>
        <v>0</v>
      </c>
    </row>
    <row r="1241" spans="27:50" x14ac:dyDescent="0.2">
      <c r="AA1241" s="94" t="s">
        <v>797</v>
      </c>
      <c r="AB1241" s="95" t="s">
        <v>793</v>
      </c>
      <c r="AC1241" s="96" t="s">
        <v>794</v>
      </c>
      <c r="AD1241" s="43">
        <v>1746250000</v>
      </c>
      <c r="AE1241" s="43">
        <v>22486525</v>
      </c>
      <c r="AF1241" s="216">
        <v>0</v>
      </c>
      <c r="AG1241" s="216">
        <v>0</v>
      </c>
      <c r="AH1241" s="216">
        <v>0</v>
      </c>
      <c r="AI1241" s="136">
        <f>AE1241-AF1241+AG1241-AH1241</f>
        <v>22486525</v>
      </c>
      <c r="AJ1241" s="43">
        <f>AD1241+AI1241</f>
        <v>1768736525</v>
      </c>
      <c r="AK1241" s="44">
        <v>0</v>
      </c>
      <c r="AL1241" s="43">
        <v>165489877</v>
      </c>
      <c r="AM1241" s="114">
        <v>1352939877</v>
      </c>
      <c r="AN1241" s="97">
        <v>0</v>
      </c>
      <c r="AO1241" s="114">
        <v>26000000</v>
      </c>
      <c r="AP1241" s="114">
        <v>1185450000</v>
      </c>
      <c r="AQ1241" s="43">
        <v>49900000</v>
      </c>
      <c r="AR1241" s="43">
        <v>95764681</v>
      </c>
      <c r="AS1241" s="43">
        <v>182064682</v>
      </c>
      <c r="AT1241" s="39">
        <f>AQ1241+AS1241</f>
        <v>231964682</v>
      </c>
      <c r="AU1241" s="18">
        <f>AJ1241-AM1241</f>
        <v>415796648</v>
      </c>
      <c r="AV1241" s="18">
        <f>AM1241-AP1241</f>
        <v>167489877</v>
      </c>
      <c r="AW1241" s="18">
        <f>AP1241-AT1241</f>
        <v>953485318</v>
      </c>
      <c r="AX1241" s="123">
        <f>AP1241/AJ1241</f>
        <v>0.67022418729098165</v>
      </c>
    </row>
    <row r="1242" spans="27:50" x14ac:dyDescent="0.2">
      <c r="AA1242" s="173" t="s">
        <v>1171</v>
      </c>
      <c r="AB1242" s="95" t="s">
        <v>1015</v>
      </c>
      <c r="AC1242" s="96"/>
      <c r="AD1242" s="44">
        <v>0</v>
      </c>
      <c r="AE1242" s="43">
        <f>168359999+463053476</f>
        <v>631413475</v>
      </c>
      <c r="AF1242" s="216">
        <v>0</v>
      </c>
      <c r="AG1242" s="216">
        <v>0</v>
      </c>
      <c r="AH1242" s="216">
        <v>0</v>
      </c>
      <c r="AI1242" s="136">
        <f>AE1242-AF1242+AG1242-AH1242</f>
        <v>631413475</v>
      </c>
      <c r="AJ1242" s="43">
        <f>AD1242+AI1242</f>
        <v>631413475</v>
      </c>
      <c r="AK1242" s="115">
        <v>0</v>
      </c>
      <c r="AL1242" s="18">
        <v>150000000</v>
      </c>
      <c r="AM1242" s="18">
        <v>150000000</v>
      </c>
      <c r="AN1242" s="92">
        <v>0</v>
      </c>
      <c r="AO1242" s="18">
        <v>46032300</v>
      </c>
      <c r="AP1242" s="18">
        <v>46032300</v>
      </c>
      <c r="AQ1242" s="115">
        <v>0</v>
      </c>
      <c r="AR1242" s="115">
        <v>0</v>
      </c>
      <c r="AS1242" s="115">
        <v>0</v>
      </c>
      <c r="AT1242" s="135">
        <f>AQ1242+AS1242</f>
        <v>0</v>
      </c>
      <c r="AU1242" s="110">
        <f>AJ1242-AM1242</f>
        <v>481413475</v>
      </c>
      <c r="AV1242" s="18">
        <f>AM1242-AP1242</f>
        <v>103967700</v>
      </c>
      <c r="AW1242" s="18">
        <f>AP1242-AT1242</f>
        <v>46032300</v>
      </c>
      <c r="AX1242" s="123">
        <f>AP1242/AJ1242</f>
        <v>7.2903575584920804E-2</v>
      </c>
    </row>
    <row r="1243" spans="27:50" x14ac:dyDescent="0.2">
      <c r="AA1243" s="173" t="s">
        <v>1189</v>
      </c>
      <c r="AB1243" s="95" t="s">
        <v>1190</v>
      </c>
      <c r="AC1243" s="96"/>
      <c r="AD1243" s="44">
        <v>0</v>
      </c>
      <c r="AE1243" s="43">
        <v>1323800000</v>
      </c>
      <c r="AF1243" s="216">
        <v>0</v>
      </c>
      <c r="AG1243" s="216">
        <v>0</v>
      </c>
      <c r="AH1243" s="216">
        <v>0</v>
      </c>
      <c r="AI1243" s="136">
        <f>AE1243-AF1243+AG1243-AH1243</f>
        <v>1323800000</v>
      </c>
      <c r="AJ1243" s="43">
        <f>AD1243+AI1243</f>
        <v>1323800000</v>
      </c>
      <c r="AK1243" s="115">
        <v>0</v>
      </c>
      <c r="AL1243" s="18">
        <v>285330000</v>
      </c>
      <c r="AM1243" s="18">
        <v>543630000</v>
      </c>
      <c r="AN1243" s="92">
        <v>0</v>
      </c>
      <c r="AO1243" s="18">
        <v>211930000</v>
      </c>
      <c r="AP1243" s="18">
        <v>316930000</v>
      </c>
      <c r="AQ1243" s="114">
        <v>15000000</v>
      </c>
      <c r="AR1243" s="114">
        <v>4166666</v>
      </c>
      <c r="AS1243" s="114">
        <v>4166666</v>
      </c>
      <c r="AT1243" s="111">
        <f>AQ1243+AS1243</f>
        <v>19166666</v>
      </c>
      <c r="AU1243" s="110">
        <f>AJ1243-AM1243</f>
        <v>780170000</v>
      </c>
      <c r="AV1243" s="18">
        <f>AM1243-AP1243</f>
        <v>226700000</v>
      </c>
      <c r="AW1243" s="18">
        <f>AP1243-AT1243</f>
        <v>297763334</v>
      </c>
      <c r="AX1243" s="123">
        <f>AP1243/AJ1243</f>
        <v>0.23940927632572898</v>
      </c>
    </row>
    <row r="1244" spans="27:50" x14ac:dyDescent="0.2">
      <c r="AA1244" s="94"/>
      <c r="AB1244" s="95"/>
      <c r="AC1244" s="96"/>
      <c r="AD1244" s="43"/>
      <c r="AE1244" s="97"/>
      <c r="AF1244" s="97"/>
      <c r="AG1244" s="96"/>
      <c r="AH1244" s="43"/>
      <c r="AI1244" s="136"/>
      <c r="AJ1244" s="43"/>
      <c r="AK1244" s="97"/>
      <c r="AL1244" s="97"/>
      <c r="AM1244" s="97"/>
      <c r="AN1244" s="97"/>
      <c r="AO1244" s="97"/>
      <c r="AP1244" s="97"/>
      <c r="AQ1244" s="97"/>
      <c r="AR1244" s="97"/>
      <c r="AS1244" s="97"/>
      <c r="AT1244" s="135"/>
      <c r="AU1244" s="110"/>
      <c r="AV1244" s="133"/>
      <c r="AW1244" s="133"/>
      <c r="AX1244" s="123"/>
    </row>
    <row r="1245" spans="27:50" ht="25.5" x14ac:dyDescent="0.2">
      <c r="AA1245" s="272" t="s">
        <v>288</v>
      </c>
      <c r="AB1245" s="90" t="s">
        <v>803</v>
      </c>
      <c r="AC1245" s="91"/>
      <c r="AD1245" s="18"/>
      <c r="AE1245" s="92"/>
      <c r="AF1245" s="92"/>
      <c r="AG1245" s="92"/>
      <c r="AH1245" s="92"/>
      <c r="AI1245" s="92"/>
      <c r="AJ1245" s="18"/>
      <c r="AK1245" s="34"/>
      <c r="AL1245" s="18"/>
      <c r="AM1245" s="18"/>
      <c r="AN1245" s="92"/>
      <c r="AO1245" s="18"/>
      <c r="AP1245" s="18"/>
      <c r="AQ1245" s="92"/>
      <c r="AR1245" s="92"/>
      <c r="AS1245" s="98"/>
      <c r="AT1245" s="31"/>
      <c r="AU1245" s="18"/>
      <c r="AV1245" s="34"/>
      <c r="AW1245" s="18"/>
      <c r="AX1245" s="92"/>
    </row>
    <row r="1246" spans="27:50" x14ac:dyDescent="0.2">
      <c r="AA1246" s="273" t="s">
        <v>804</v>
      </c>
      <c r="AB1246" s="95" t="s">
        <v>793</v>
      </c>
      <c r="AC1246" s="96" t="s">
        <v>794</v>
      </c>
      <c r="AD1246" s="43">
        <v>485467000</v>
      </c>
      <c r="AE1246" s="96">
        <v>0</v>
      </c>
      <c r="AF1246" s="216">
        <v>0</v>
      </c>
      <c r="AG1246" s="216">
        <v>0</v>
      </c>
      <c r="AH1246" s="216">
        <v>0</v>
      </c>
      <c r="AI1246" s="136">
        <f t="shared" ref="AI1246:AI1247" si="460">AE1246-AF1246+AG1246-AH1246</f>
        <v>0</v>
      </c>
      <c r="AJ1246" s="43">
        <f t="shared" ref="AJ1246:AJ1247" si="461">AD1246+AI1246</f>
        <v>485467000</v>
      </c>
      <c r="AK1246" s="97">
        <v>0</v>
      </c>
      <c r="AL1246" s="44">
        <v>0</v>
      </c>
      <c r="AM1246" s="43">
        <v>485467000</v>
      </c>
      <c r="AN1246" s="97">
        <v>0</v>
      </c>
      <c r="AO1246" s="44">
        <v>0</v>
      </c>
      <c r="AP1246" s="43">
        <v>485467000</v>
      </c>
      <c r="AQ1246" s="43">
        <v>7600000</v>
      </c>
      <c r="AR1246" s="43">
        <v>27850041</v>
      </c>
      <c r="AS1246" s="43">
        <v>36716708</v>
      </c>
      <c r="AT1246" s="39">
        <f t="shared" ref="AT1246:AT1247" si="462">AQ1246+AS1246</f>
        <v>44316708</v>
      </c>
      <c r="AU1246" s="133">
        <f>AJ1246-AM1246</f>
        <v>0</v>
      </c>
      <c r="AV1246" s="34">
        <f>AM1246-AP1246</f>
        <v>0</v>
      </c>
      <c r="AW1246" s="18">
        <f>AP1246-AT1246</f>
        <v>441150292</v>
      </c>
      <c r="AX1246" s="123">
        <f>AP1246/AJ1246</f>
        <v>1</v>
      </c>
    </row>
    <row r="1247" spans="27:50" x14ac:dyDescent="0.2">
      <c r="AA1247" s="274" t="s">
        <v>1172</v>
      </c>
      <c r="AB1247" s="95" t="s">
        <v>1015</v>
      </c>
      <c r="AC1247" s="96"/>
      <c r="AD1247" s="43">
        <v>0</v>
      </c>
      <c r="AE1247" s="43">
        <v>7600000</v>
      </c>
      <c r="AF1247" s="216">
        <v>0</v>
      </c>
      <c r="AG1247" s="216">
        <v>0</v>
      </c>
      <c r="AH1247" s="216">
        <v>0</v>
      </c>
      <c r="AI1247" s="136">
        <f t="shared" si="460"/>
        <v>7600000</v>
      </c>
      <c r="AJ1247" s="43">
        <f t="shared" si="461"/>
        <v>7600000</v>
      </c>
      <c r="AK1247" s="97">
        <v>0</v>
      </c>
      <c r="AL1247" s="44">
        <v>0</v>
      </c>
      <c r="AM1247" s="44">
        <v>0</v>
      </c>
      <c r="AN1247" s="97">
        <v>0</v>
      </c>
      <c r="AO1247" s="44">
        <v>0</v>
      </c>
      <c r="AP1247" s="44">
        <v>0</v>
      </c>
      <c r="AQ1247" s="44">
        <v>0</v>
      </c>
      <c r="AR1247" s="43">
        <v>0</v>
      </c>
      <c r="AS1247" s="44">
        <v>0</v>
      </c>
      <c r="AT1247" s="40">
        <f t="shared" si="462"/>
        <v>0</v>
      </c>
      <c r="AU1247" s="110">
        <f>AJ1247-AM1247</f>
        <v>7600000</v>
      </c>
      <c r="AV1247" s="34">
        <f>AM1247-AP1247</f>
        <v>0</v>
      </c>
      <c r="AW1247" s="34">
        <f>AP1247-AT1247</f>
        <v>0</v>
      </c>
      <c r="AX1247" s="123">
        <f>AP1247/AJ1247</f>
        <v>0</v>
      </c>
    </row>
    <row r="1248" spans="27:50" ht="25.5" x14ac:dyDescent="0.2">
      <c r="AA1248" s="272" t="s">
        <v>288</v>
      </c>
      <c r="AB1248" s="90" t="s">
        <v>805</v>
      </c>
      <c r="AC1248" s="91"/>
      <c r="AD1248" s="18"/>
      <c r="AE1248" s="92"/>
      <c r="AF1248" s="92"/>
      <c r="AG1248" s="92"/>
      <c r="AH1248" s="92"/>
      <c r="AI1248" s="92"/>
      <c r="AJ1248" s="18"/>
      <c r="AK1248" s="98"/>
      <c r="AL1248" s="133"/>
      <c r="AM1248" s="110"/>
      <c r="AN1248" s="92"/>
      <c r="AO1248" s="98"/>
      <c r="AP1248" s="92"/>
      <c r="AQ1248" s="92"/>
      <c r="AR1248" s="92"/>
      <c r="AS1248" s="98"/>
      <c r="AT1248" s="31"/>
      <c r="AU1248" s="18"/>
      <c r="AV1248" s="34"/>
      <c r="AW1248" s="18"/>
      <c r="AX1248" s="92"/>
    </row>
    <row r="1249" spans="27:50" x14ac:dyDescent="0.2">
      <c r="AA1249" s="273" t="s">
        <v>806</v>
      </c>
      <c r="AB1249" s="95" t="s">
        <v>793</v>
      </c>
      <c r="AC1249" s="96" t="s">
        <v>794</v>
      </c>
      <c r="AD1249" s="43">
        <v>402000000</v>
      </c>
      <c r="AE1249" s="96">
        <v>0</v>
      </c>
      <c r="AF1249" s="216">
        <v>0</v>
      </c>
      <c r="AG1249" s="216">
        <v>0</v>
      </c>
      <c r="AH1249" s="216">
        <v>0</v>
      </c>
      <c r="AI1249" s="136">
        <f t="shared" ref="AI1249:AI1250" si="463">AE1249-AF1249+AG1249-AH1249</f>
        <v>0</v>
      </c>
      <c r="AJ1249" s="43">
        <f t="shared" ref="AJ1249:AJ1250" si="464">AD1249+AI1249</f>
        <v>402000000</v>
      </c>
      <c r="AK1249" s="97">
        <v>0</v>
      </c>
      <c r="AL1249" s="115">
        <v>0</v>
      </c>
      <c r="AM1249" s="114">
        <v>366000000</v>
      </c>
      <c r="AN1249" s="97">
        <v>0</v>
      </c>
      <c r="AO1249" s="115">
        <v>0</v>
      </c>
      <c r="AP1249" s="43">
        <v>366000000</v>
      </c>
      <c r="AQ1249" s="43">
        <v>8000000</v>
      </c>
      <c r="AR1249" s="43">
        <v>17262626</v>
      </c>
      <c r="AS1249" s="43">
        <v>35129292</v>
      </c>
      <c r="AT1249" s="39">
        <f t="shared" ref="AT1249:AT1250" si="465">AQ1249+AS1249</f>
        <v>43129292</v>
      </c>
      <c r="AU1249" s="18">
        <f>AJ1249-AM1249</f>
        <v>36000000</v>
      </c>
      <c r="AV1249" s="34">
        <f>AM1249-AP1249</f>
        <v>0</v>
      </c>
      <c r="AW1249" s="18">
        <f>AP1249-AT1249</f>
        <v>322870708</v>
      </c>
      <c r="AX1249" s="123">
        <f>AP1249/AJ1249</f>
        <v>0.91044776119402981</v>
      </c>
    </row>
    <row r="1250" spans="27:50" x14ac:dyDescent="0.2">
      <c r="AA1250" s="173" t="s">
        <v>1173</v>
      </c>
      <c r="AB1250" s="95" t="s">
        <v>1015</v>
      </c>
      <c r="AC1250" s="96"/>
      <c r="AD1250" s="43">
        <v>0</v>
      </c>
      <c r="AE1250" s="43">
        <v>12000000</v>
      </c>
      <c r="AF1250" s="216">
        <v>0</v>
      </c>
      <c r="AG1250" s="216">
        <v>0</v>
      </c>
      <c r="AH1250" s="216">
        <v>0</v>
      </c>
      <c r="AI1250" s="136">
        <f t="shared" si="463"/>
        <v>12000000</v>
      </c>
      <c r="AJ1250" s="43">
        <f t="shared" si="464"/>
        <v>12000000</v>
      </c>
      <c r="AK1250" s="97">
        <v>0</v>
      </c>
      <c r="AL1250" s="115">
        <v>0</v>
      </c>
      <c r="AM1250" s="115">
        <v>0</v>
      </c>
      <c r="AN1250" s="97">
        <v>0</v>
      </c>
      <c r="AO1250" s="115">
        <v>0</v>
      </c>
      <c r="AP1250" s="44">
        <v>0</v>
      </c>
      <c r="AQ1250" s="44">
        <v>0</v>
      </c>
      <c r="AR1250" s="44">
        <v>0</v>
      </c>
      <c r="AS1250" s="44">
        <v>0</v>
      </c>
      <c r="AT1250" s="40">
        <f t="shared" si="465"/>
        <v>0</v>
      </c>
      <c r="AU1250" s="18">
        <f>AJ1250-AM1250</f>
        <v>12000000</v>
      </c>
      <c r="AV1250" s="34">
        <f>AM1250-AP1250</f>
        <v>0</v>
      </c>
      <c r="AW1250" s="34">
        <f>AP1250-AT1250</f>
        <v>0</v>
      </c>
      <c r="AX1250" s="123">
        <f>AP1250/AJ1250</f>
        <v>0</v>
      </c>
    </row>
    <row r="1251" spans="27:50" x14ac:dyDescent="0.2">
      <c r="AA1251" s="94"/>
      <c r="AB1251" s="95"/>
      <c r="AC1251" s="96"/>
      <c r="AD1251" s="43"/>
      <c r="AE1251" s="97"/>
      <c r="AF1251" s="97"/>
      <c r="AG1251" s="96"/>
      <c r="AH1251" s="43"/>
      <c r="AI1251" s="136"/>
      <c r="AJ1251" s="43"/>
      <c r="AK1251" s="97"/>
      <c r="AL1251" s="97"/>
      <c r="AM1251" s="97"/>
      <c r="AN1251" s="97"/>
      <c r="AO1251" s="97"/>
      <c r="AP1251" s="97"/>
      <c r="AQ1251" s="97"/>
      <c r="AR1251" s="97"/>
      <c r="AS1251" s="97"/>
      <c r="AT1251" s="135"/>
      <c r="AU1251" s="110"/>
      <c r="AV1251" s="133"/>
      <c r="AW1251" s="133"/>
      <c r="AX1251" s="123"/>
    </row>
    <row r="1252" spans="27:50" ht="38.25" x14ac:dyDescent="0.2">
      <c r="AA1252" s="93" t="s">
        <v>288</v>
      </c>
      <c r="AB1252" s="90" t="s">
        <v>807</v>
      </c>
      <c r="AC1252" s="91"/>
      <c r="AD1252" s="18"/>
      <c r="AE1252" s="92"/>
      <c r="AF1252" s="92"/>
      <c r="AG1252" s="92"/>
      <c r="AH1252" s="92"/>
      <c r="AI1252" s="92"/>
      <c r="AJ1252" s="18"/>
      <c r="AK1252" s="98"/>
      <c r="AL1252" s="98"/>
      <c r="AM1252" s="98"/>
      <c r="AN1252" s="98"/>
      <c r="AO1252" s="98"/>
      <c r="AP1252" s="98"/>
      <c r="AQ1252" s="98"/>
      <c r="AR1252" s="98"/>
      <c r="AS1252" s="98"/>
      <c r="AT1252" s="31"/>
      <c r="AU1252" s="18"/>
      <c r="AV1252" s="18"/>
      <c r="AW1252" s="18"/>
      <c r="AX1252" s="92"/>
    </row>
    <row r="1253" spans="27:50" x14ac:dyDescent="0.2">
      <c r="AA1253" s="94" t="s">
        <v>808</v>
      </c>
      <c r="AB1253" s="95" t="s">
        <v>233</v>
      </c>
      <c r="AC1253" s="96" t="s">
        <v>58</v>
      </c>
      <c r="AD1253" s="43">
        <v>313050000.81</v>
      </c>
      <c r="AE1253" s="96">
        <v>0</v>
      </c>
      <c r="AF1253" s="216">
        <v>0</v>
      </c>
      <c r="AG1253" s="216">
        <v>0</v>
      </c>
      <c r="AH1253" s="43">
        <v>136150000</v>
      </c>
      <c r="AI1253" s="136">
        <f t="shared" ref="AI1253:AI1258" si="466">AE1253-AF1253+AG1253-AH1253</f>
        <v>-136150000</v>
      </c>
      <c r="AJ1253" s="43">
        <f t="shared" ref="AJ1253:AJ1258" si="467">AD1253+AI1253</f>
        <v>176900000.81</v>
      </c>
      <c r="AK1253" s="97">
        <v>0</v>
      </c>
      <c r="AL1253" s="115">
        <v>0</v>
      </c>
      <c r="AM1253" s="114">
        <v>175300000</v>
      </c>
      <c r="AN1253" s="97">
        <v>0</v>
      </c>
      <c r="AO1253" s="114">
        <v>0</v>
      </c>
      <c r="AP1253" s="43">
        <v>175300000</v>
      </c>
      <c r="AQ1253" s="43">
        <v>22700000</v>
      </c>
      <c r="AR1253" s="43">
        <v>13700000</v>
      </c>
      <c r="AS1253" s="43">
        <v>54903333</v>
      </c>
      <c r="AT1253" s="39">
        <f t="shared" ref="AT1253:AT1258" si="468">AQ1253+AS1253</f>
        <v>77603333</v>
      </c>
      <c r="AU1253" s="110">
        <f t="shared" ref="AU1253:AU1258" si="469">AJ1253-AM1253</f>
        <v>1600000.8100000024</v>
      </c>
      <c r="AV1253" s="34">
        <f t="shared" ref="AV1253:AV1258" si="470">AM1253-AP1253</f>
        <v>0</v>
      </c>
      <c r="AW1253" s="18">
        <f t="shared" ref="AW1253:AW1258" si="471">AP1253-AT1253</f>
        <v>97696667</v>
      </c>
      <c r="AX1253" s="123">
        <f t="shared" ref="AX1253:AX1258" si="472">AP1253/AJ1253</f>
        <v>0.99095533746368669</v>
      </c>
    </row>
    <row r="1254" spans="27:50" x14ac:dyDescent="0.2">
      <c r="AA1254" s="94" t="s">
        <v>809</v>
      </c>
      <c r="AB1254" s="95" t="s">
        <v>793</v>
      </c>
      <c r="AC1254" s="96" t="s">
        <v>794</v>
      </c>
      <c r="AD1254" s="43">
        <v>256800000</v>
      </c>
      <c r="AE1254" s="96">
        <v>0</v>
      </c>
      <c r="AF1254" s="216">
        <v>0</v>
      </c>
      <c r="AG1254" s="216">
        <v>0</v>
      </c>
      <c r="AH1254" s="216">
        <v>0</v>
      </c>
      <c r="AI1254" s="136">
        <f t="shared" si="466"/>
        <v>0</v>
      </c>
      <c r="AJ1254" s="43">
        <f t="shared" si="467"/>
        <v>256800000</v>
      </c>
      <c r="AK1254" s="97">
        <v>0</v>
      </c>
      <c r="AL1254" s="115">
        <v>0</v>
      </c>
      <c r="AM1254" s="114">
        <v>256800000</v>
      </c>
      <c r="AN1254" s="97">
        <v>0</v>
      </c>
      <c r="AO1254" s="115">
        <v>0</v>
      </c>
      <c r="AP1254" s="43">
        <v>256800000</v>
      </c>
      <c r="AQ1254" s="43">
        <v>3800000</v>
      </c>
      <c r="AR1254" s="43">
        <v>12133333</v>
      </c>
      <c r="AS1254" s="43">
        <v>20176666</v>
      </c>
      <c r="AT1254" s="39">
        <f t="shared" si="468"/>
        <v>23976666</v>
      </c>
      <c r="AU1254" s="133">
        <f t="shared" si="469"/>
        <v>0</v>
      </c>
      <c r="AV1254" s="34">
        <f t="shared" si="470"/>
        <v>0</v>
      </c>
      <c r="AW1254" s="18">
        <f t="shared" si="471"/>
        <v>232823334</v>
      </c>
      <c r="AX1254" s="123">
        <f t="shared" si="472"/>
        <v>1</v>
      </c>
    </row>
    <row r="1255" spans="27:50" x14ac:dyDescent="0.2">
      <c r="AA1255" s="94" t="s">
        <v>810</v>
      </c>
      <c r="AB1255" s="95" t="s">
        <v>811</v>
      </c>
      <c r="AC1255" s="96" t="s">
        <v>368</v>
      </c>
      <c r="AD1255" s="43">
        <v>90000000</v>
      </c>
      <c r="AE1255" s="96">
        <v>0</v>
      </c>
      <c r="AF1255" s="216">
        <v>0</v>
      </c>
      <c r="AG1255" s="216">
        <v>0</v>
      </c>
      <c r="AH1255" s="216">
        <v>0</v>
      </c>
      <c r="AI1255" s="136">
        <f t="shared" si="466"/>
        <v>0</v>
      </c>
      <c r="AJ1255" s="43">
        <f t="shared" si="467"/>
        <v>90000000</v>
      </c>
      <c r="AK1255" s="97">
        <v>0</v>
      </c>
      <c r="AL1255" s="115">
        <v>0</v>
      </c>
      <c r="AM1255" s="114">
        <v>86600000</v>
      </c>
      <c r="AN1255" s="97">
        <v>0</v>
      </c>
      <c r="AO1255" s="115">
        <v>0</v>
      </c>
      <c r="AP1255" s="43">
        <v>86600000</v>
      </c>
      <c r="AQ1255" s="43">
        <v>9700000</v>
      </c>
      <c r="AR1255" s="43">
        <v>9700000</v>
      </c>
      <c r="AS1255" s="43">
        <v>24783333</v>
      </c>
      <c r="AT1255" s="39">
        <f t="shared" si="468"/>
        <v>34483333</v>
      </c>
      <c r="AU1255" s="18">
        <f t="shared" si="469"/>
        <v>3400000</v>
      </c>
      <c r="AV1255" s="34">
        <f t="shared" si="470"/>
        <v>0</v>
      </c>
      <c r="AW1255" s="18">
        <f t="shared" si="471"/>
        <v>52116667</v>
      </c>
      <c r="AX1255" s="123">
        <f t="shared" si="472"/>
        <v>0.9622222222222222</v>
      </c>
    </row>
    <row r="1256" spans="27:50" x14ac:dyDescent="0.2">
      <c r="AA1256" s="173" t="s">
        <v>1166</v>
      </c>
      <c r="AB1256" s="95" t="s">
        <v>1167</v>
      </c>
      <c r="AC1256" s="96"/>
      <c r="AD1256" s="44">
        <v>0</v>
      </c>
      <c r="AE1256" s="43">
        <v>77813000</v>
      </c>
      <c r="AF1256" s="216">
        <v>0</v>
      </c>
      <c r="AG1256" s="216">
        <v>0</v>
      </c>
      <c r="AH1256" s="216">
        <v>0</v>
      </c>
      <c r="AI1256" s="136">
        <f t="shared" si="466"/>
        <v>77813000</v>
      </c>
      <c r="AJ1256" s="43">
        <f t="shared" si="467"/>
        <v>77813000</v>
      </c>
      <c r="AK1256" s="97">
        <v>0</v>
      </c>
      <c r="AL1256" s="115">
        <v>0</v>
      </c>
      <c r="AM1256" s="114">
        <v>0</v>
      </c>
      <c r="AN1256" s="97">
        <v>0</v>
      </c>
      <c r="AO1256" s="115">
        <v>0</v>
      </c>
      <c r="AP1256" s="43">
        <v>0</v>
      </c>
      <c r="AQ1256" s="43">
        <v>0</v>
      </c>
      <c r="AR1256" s="44">
        <v>0</v>
      </c>
      <c r="AS1256" s="44">
        <v>0</v>
      </c>
      <c r="AT1256" s="40">
        <f t="shared" si="468"/>
        <v>0</v>
      </c>
      <c r="AU1256" s="18">
        <f t="shared" si="469"/>
        <v>77813000</v>
      </c>
      <c r="AV1256" s="34">
        <f t="shared" si="470"/>
        <v>0</v>
      </c>
      <c r="AW1256" s="34">
        <f t="shared" si="471"/>
        <v>0</v>
      </c>
      <c r="AX1256" s="123">
        <f t="shared" si="472"/>
        <v>0</v>
      </c>
    </row>
    <row r="1257" spans="27:50" x14ac:dyDescent="0.2">
      <c r="AA1257" s="173" t="s">
        <v>1174</v>
      </c>
      <c r="AB1257" s="95" t="s">
        <v>1015</v>
      </c>
      <c r="AC1257" s="96"/>
      <c r="AD1257" s="44">
        <v>0</v>
      </c>
      <c r="AE1257" s="43">
        <v>165050000</v>
      </c>
      <c r="AF1257" s="216">
        <v>0</v>
      </c>
      <c r="AG1257" s="216">
        <v>0</v>
      </c>
      <c r="AH1257" s="216">
        <v>0</v>
      </c>
      <c r="AI1257" s="136">
        <f t="shared" si="466"/>
        <v>165050000</v>
      </c>
      <c r="AJ1257" s="43">
        <f t="shared" si="467"/>
        <v>165050000</v>
      </c>
      <c r="AK1257" s="97">
        <v>0</v>
      </c>
      <c r="AL1257" s="115">
        <v>0</v>
      </c>
      <c r="AM1257" s="114">
        <v>136150000</v>
      </c>
      <c r="AN1257" s="97">
        <v>0</v>
      </c>
      <c r="AO1257" s="115">
        <v>0</v>
      </c>
      <c r="AP1257" s="44">
        <v>0</v>
      </c>
      <c r="AQ1257" s="44">
        <v>0</v>
      </c>
      <c r="AR1257" s="44">
        <v>0</v>
      </c>
      <c r="AS1257" s="44">
        <v>0</v>
      </c>
      <c r="AT1257" s="40">
        <f t="shared" si="468"/>
        <v>0</v>
      </c>
      <c r="AU1257" s="18">
        <f t="shared" si="469"/>
        <v>28900000</v>
      </c>
      <c r="AV1257" s="18">
        <f t="shared" si="470"/>
        <v>136150000</v>
      </c>
      <c r="AW1257" s="34">
        <f t="shared" si="471"/>
        <v>0</v>
      </c>
      <c r="AX1257" s="123">
        <f t="shared" si="472"/>
        <v>0</v>
      </c>
    </row>
    <row r="1258" spans="27:50" x14ac:dyDescent="0.2">
      <c r="AA1258" s="173" t="s">
        <v>1183</v>
      </c>
      <c r="AB1258" s="95" t="s">
        <v>1184</v>
      </c>
      <c r="AC1258" s="96"/>
      <c r="AD1258" s="44">
        <v>0</v>
      </c>
      <c r="AE1258" s="43">
        <v>43150983.530000001</v>
      </c>
      <c r="AF1258" s="216">
        <v>0</v>
      </c>
      <c r="AG1258" s="216">
        <v>0</v>
      </c>
      <c r="AH1258" s="216">
        <v>0</v>
      </c>
      <c r="AI1258" s="136">
        <f t="shared" si="466"/>
        <v>43150983.530000001</v>
      </c>
      <c r="AJ1258" s="43">
        <f t="shared" si="467"/>
        <v>43150983.530000001</v>
      </c>
      <c r="AK1258" s="97">
        <v>0</v>
      </c>
      <c r="AL1258" s="115">
        <v>0</v>
      </c>
      <c r="AM1258" s="114">
        <v>0</v>
      </c>
      <c r="AN1258" s="97">
        <v>0</v>
      </c>
      <c r="AO1258" s="115"/>
      <c r="AP1258" s="44">
        <v>0</v>
      </c>
      <c r="AQ1258" s="44">
        <v>0</v>
      </c>
      <c r="AR1258" s="44">
        <v>0</v>
      </c>
      <c r="AS1258" s="44">
        <v>0</v>
      </c>
      <c r="AT1258" s="40">
        <f t="shared" si="468"/>
        <v>0</v>
      </c>
      <c r="AU1258" s="18">
        <f t="shared" si="469"/>
        <v>43150983.530000001</v>
      </c>
      <c r="AV1258" s="34">
        <f t="shared" si="470"/>
        <v>0</v>
      </c>
      <c r="AW1258" s="34">
        <f t="shared" si="471"/>
        <v>0</v>
      </c>
      <c r="AX1258" s="123">
        <f t="shared" si="472"/>
        <v>0</v>
      </c>
    </row>
    <row r="1259" spans="27:50" x14ac:dyDescent="0.2">
      <c r="AA1259" s="89"/>
      <c r="AB1259" s="91"/>
      <c r="AC1259" s="91"/>
      <c r="AD1259" s="18"/>
      <c r="AE1259" s="92"/>
      <c r="AF1259" s="92"/>
      <c r="AG1259" s="92"/>
      <c r="AH1259" s="92"/>
      <c r="AI1259" s="92"/>
      <c r="AJ1259" s="18"/>
      <c r="AK1259" s="98"/>
      <c r="AL1259" s="98"/>
      <c r="AM1259" s="98"/>
      <c r="AN1259" s="98"/>
      <c r="AO1259" s="98"/>
      <c r="AP1259" s="98"/>
      <c r="AQ1259" s="98"/>
      <c r="AR1259" s="98"/>
      <c r="AS1259" s="92"/>
      <c r="AT1259" s="30"/>
      <c r="AU1259" s="18"/>
      <c r="AV1259" s="18"/>
      <c r="AW1259" s="18"/>
      <c r="AX1259" s="92"/>
    </row>
    <row r="1260" spans="27:50" ht="25.5" x14ac:dyDescent="0.2">
      <c r="AA1260" s="93" t="s">
        <v>288</v>
      </c>
      <c r="AB1260" s="90" t="s">
        <v>812</v>
      </c>
      <c r="AC1260" s="91"/>
      <c r="AD1260" s="18"/>
      <c r="AE1260" s="92"/>
      <c r="AF1260" s="92"/>
      <c r="AG1260" s="92"/>
      <c r="AH1260" s="92"/>
      <c r="AI1260" s="92"/>
      <c r="AJ1260" s="18"/>
      <c r="AK1260" s="98"/>
      <c r="AL1260" s="98"/>
      <c r="AM1260" s="98"/>
      <c r="AN1260" s="98"/>
      <c r="AO1260" s="98"/>
      <c r="AP1260" s="98"/>
      <c r="AQ1260" s="98"/>
      <c r="AR1260" s="98"/>
      <c r="AS1260" s="98"/>
      <c r="AT1260" s="31"/>
      <c r="AU1260" s="18"/>
      <c r="AV1260" s="34"/>
      <c r="AW1260" s="18"/>
      <c r="AX1260" s="92"/>
    </row>
    <row r="1261" spans="27:50" x14ac:dyDescent="0.2">
      <c r="AA1261" s="94" t="s">
        <v>813</v>
      </c>
      <c r="AB1261" s="95" t="s">
        <v>793</v>
      </c>
      <c r="AC1261" s="96" t="s">
        <v>794</v>
      </c>
      <c r="AD1261" s="43">
        <v>57600000</v>
      </c>
      <c r="AE1261" s="96">
        <v>0</v>
      </c>
      <c r="AF1261" s="216">
        <v>0</v>
      </c>
      <c r="AG1261" s="216">
        <v>0</v>
      </c>
      <c r="AH1261" s="216">
        <v>0</v>
      </c>
      <c r="AI1261" s="136">
        <f t="shared" ref="AI1261:AI1262" si="473">AE1261-AF1261+AG1261-AH1261</f>
        <v>0</v>
      </c>
      <c r="AJ1261" s="43">
        <f t="shared" ref="AJ1261:AJ1262" si="474">AD1261+AI1261</f>
        <v>57600000</v>
      </c>
      <c r="AK1261" s="44">
        <v>0</v>
      </c>
      <c r="AL1261" s="44">
        <v>0</v>
      </c>
      <c r="AM1261" s="43">
        <v>49750000</v>
      </c>
      <c r="AN1261" s="44">
        <v>0</v>
      </c>
      <c r="AO1261" s="44">
        <v>0</v>
      </c>
      <c r="AP1261" s="43">
        <v>49750000</v>
      </c>
      <c r="AQ1261" s="43">
        <v>11800000</v>
      </c>
      <c r="AR1261" s="43">
        <v>3013333</v>
      </c>
      <c r="AS1261" s="43">
        <v>3013333</v>
      </c>
      <c r="AT1261" s="39">
        <f>AQ1261+AS1261</f>
        <v>14813333</v>
      </c>
      <c r="AU1261" s="110">
        <f>AJ1261-AM1261</f>
        <v>7850000</v>
      </c>
      <c r="AV1261" s="34">
        <f>AM1261-AP1261</f>
        <v>0</v>
      </c>
      <c r="AW1261" s="18">
        <f>AP1261-AT1261</f>
        <v>34936667</v>
      </c>
      <c r="AX1261" s="123">
        <f>AP1261/AJ1261</f>
        <v>0.86371527777777779</v>
      </c>
    </row>
    <row r="1262" spans="27:50" x14ac:dyDescent="0.2">
      <c r="AA1262" s="173" t="s">
        <v>1175</v>
      </c>
      <c r="AB1262" s="95" t="s">
        <v>1015</v>
      </c>
      <c r="AC1262" s="96"/>
      <c r="AD1262" s="44">
        <v>0</v>
      </c>
      <c r="AE1262" s="43">
        <v>6400000</v>
      </c>
      <c r="AF1262" s="216">
        <v>0</v>
      </c>
      <c r="AG1262" s="216">
        <v>0</v>
      </c>
      <c r="AH1262" s="216">
        <v>0</v>
      </c>
      <c r="AI1262" s="136">
        <f t="shared" si="473"/>
        <v>6400000</v>
      </c>
      <c r="AJ1262" s="43">
        <f t="shared" si="474"/>
        <v>6400000</v>
      </c>
      <c r="AK1262" s="44">
        <v>0</v>
      </c>
      <c r="AL1262" s="44">
        <v>0</v>
      </c>
      <c r="AM1262" s="43">
        <v>0</v>
      </c>
      <c r="AN1262" s="44">
        <v>0</v>
      </c>
      <c r="AO1262" s="44">
        <v>0</v>
      </c>
      <c r="AP1262" s="44">
        <v>0</v>
      </c>
      <c r="AQ1262" s="44">
        <v>0</v>
      </c>
      <c r="AR1262" s="44">
        <v>0</v>
      </c>
      <c r="AS1262" s="44">
        <v>0</v>
      </c>
      <c r="AT1262" s="135">
        <f>AQ1262+AS1262</f>
        <v>0</v>
      </c>
      <c r="AU1262" s="110">
        <f>AJ1262-AM1262</f>
        <v>6400000</v>
      </c>
      <c r="AV1262" s="34">
        <f>AM1262-AP1262</f>
        <v>0</v>
      </c>
      <c r="AW1262" s="34">
        <f>AP1262-AT1262</f>
        <v>0</v>
      </c>
      <c r="AX1262" s="123">
        <f>AP1262/AJ1262</f>
        <v>0</v>
      </c>
    </row>
    <row r="1263" spans="27:50" x14ac:dyDescent="0.2">
      <c r="AA1263" s="89"/>
      <c r="AB1263" s="91"/>
      <c r="AC1263" s="91"/>
      <c r="AD1263" s="18"/>
      <c r="AE1263" s="92"/>
      <c r="AF1263" s="92"/>
      <c r="AG1263" s="92"/>
      <c r="AH1263" s="92"/>
      <c r="AI1263" s="92"/>
      <c r="AJ1263" s="18"/>
      <c r="AK1263" s="98"/>
      <c r="AL1263" s="98"/>
      <c r="AM1263" s="98"/>
      <c r="AN1263" s="98"/>
      <c r="AO1263" s="98"/>
      <c r="AP1263" s="98"/>
      <c r="AQ1263" s="98"/>
      <c r="AR1263" s="98"/>
      <c r="AS1263" s="92"/>
      <c r="AT1263" s="30"/>
      <c r="AU1263" s="18"/>
      <c r="AV1263" s="18"/>
      <c r="AW1263" s="18"/>
      <c r="AX1263" s="92"/>
    </row>
    <row r="1264" spans="27:50" ht="25.5" x14ac:dyDescent="0.2">
      <c r="AA1264" s="93" t="s">
        <v>288</v>
      </c>
      <c r="AB1264" s="90" t="s">
        <v>814</v>
      </c>
      <c r="AC1264" s="91"/>
      <c r="AD1264" s="18"/>
      <c r="AE1264" s="92"/>
      <c r="AF1264" s="92"/>
      <c r="AG1264" s="92"/>
      <c r="AH1264" s="92"/>
      <c r="AI1264" s="92"/>
      <c r="AJ1264" s="18"/>
      <c r="AK1264" s="92"/>
      <c r="AL1264" s="92"/>
      <c r="AM1264" s="92"/>
      <c r="AN1264" s="92"/>
      <c r="AO1264" s="92"/>
      <c r="AP1264" s="98"/>
      <c r="AQ1264" s="98"/>
      <c r="AR1264" s="98"/>
      <c r="AS1264" s="98"/>
      <c r="AT1264" s="40"/>
      <c r="AU1264" s="18"/>
      <c r="AV1264" s="34"/>
      <c r="AW1264" s="18"/>
      <c r="AX1264" s="92"/>
    </row>
    <row r="1265" spans="27:50" x14ac:dyDescent="0.2">
      <c r="AA1265" s="94" t="s">
        <v>815</v>
      </c>
      <c r="AB1265" s="95" t="s">
        <v>793</v>
      </c>
      <c r="AC1265" s="96" t="s">
        <v>794</v>
      </c>
      <c r="AD1265" s="43">
        <v>414513482</v>
      </c>
      <c r="AE1265" s="96">
        <v>0</v>
      </c>
      <c r="AF1265" s="216">
        <v>0</v>
      </c>
      <c r="AG1265" s="216">
        <v>0</v>
      </c>
      <c r="AH1265" s="216">
        <v>0</v>
      </c>
      <c r="AI1265" s="136">
        <f t="shared" ref="AI1265:AI1268" si="475">AE1265-AF1265+AG1265-AH1265</f>
        <v>0</v>
      </c>
      <c r="AJ1265" s="43">
        <f t="shared" ref="AJ1265:AJ1268" si="476">AD1265+AI1265</f>
        <v>414513482</v>
      </c>
      <c r="AK1265" s="97">
        <v>0</v>
      </c>
      <c r="AL1265" s="18">
        <v>0</v>
      </c>
      <c r="AM1265" s="18">
        <v>406513482</v>
      </c>
      <c r="AN1265" s="92">
        <v>0</v>
      </c>
      <c r="AO1265" s="110">
        <v>0</v>
      </c>
      <c r="AP1265" s="110">
        <v>406513482</v>
      </c>
      <c r="AQ1265" s="43">
        <v>33900000</v>
      </c>
      <c r="AR1265" s="43">
        <v>27066666</v>
      </c>
      <c r="AS1265" s="43">
        <v>82876666</v>
      </c>
      <c r="AT1265" s="39">
        <f t="shared" ref="AT1265:AT1268" si="477">AQ1265+AS1265</f>
        <v>116776666</v>
      </c>
      <c r="AU1265" s="110">
        <f>AJ1265-AM1265</f>
        <v>8000000</v>
      </c>
      <c r="AV1265" s="34">
        <f>AM1265-AP1265</f>
        <v>0</v>
      </c>
      <c r="AW1265" s="18">
        <f>AP1265-AT1265</f>
        <v>289736816</v>
      </c>
      <c r="AX1265" s="123">
        <f>AP1265/AJ1265</f>
        <v>0.98070026586011017</v>
      </c>
    </row>
    <row r="1266" spans="27:50" x14ac:dyDescent="0.2">
      <c r="AA1266" s="173" t="s">
        <v>1176</v>
      </c>
      <c r="AB1266" s="95" t="s">
        <v>1015</v>
      </c>
      <c r="AC1266" s="96"/>
      <c r="AD1266" s="44">
        <v>0</v>
      </c>
      <c r="AE1266" s="43">
        <v>44300000</v>
      </c>
      <c r="AF1266" s="216">
        <v>0</v>
      </c>
      <c r="AG1266" s="216">
        <v>0</v>
      </c>
      <c r="AH1266" s="216">
        <v>0</v>
      </c>
      <c r="AI1266" s="136">
        <f>AE1266-AF1266+AG1266-AH1266</f>
        <v>44300000</v>
      </c>
      <c r="AJ1266" s="43">
        <f>AD1266+AI1266</f>
        <v>44300000</v>
      </c>
      <c r="AK1266" s="97">
        <v>0</v>
      </c>
      <c r="AL1266" s="34">
        <v>0</v>
      </c>
      <c r="AM1266" s="34">
        <v>0</v>
      </c>
      <c r="AN1266" s="98">
        <v>0</v>
      </c>
      <c r="AO1266" s="133">
        <v>0</v>
      </c>
      <c r="AP1266" s="133">
        <v>0</v>
      </c>
      <c r="AQ1266" s="44">
        <v>0</v>
      </c>
      <c r="AR1266" s="44">
        <v>0</v>
      </c>
      <c r="AS1266" s="44">
        <v>0</v>
      </c>
      <c r="AT1266" s="40">
        <f t="shared" si="477"/>
        <v>0</v>
      </c>
      <c r="AU1266" s="110">
        <f>AJ1266-AM1266</f>
        <v>44300000</v>
      </c>
      <c r="AV1266" s="34">
        <f>AM1266-AP1266</f>
        <v>0</v>
      </c>
      <c r="AW1266" s="34">
        <f>AP1266-AT1266</f>
        <v>0</v>
      </c>
      <c r="AX1266" s="123">
        <f>AP1266/AJ1266</f>
        <v>0</v>
      </c>
    </row>
    <row r="1267" spans="27:50" x14ac:dyDescent="0.2">
      <c r="AA1267" s="173" t="s">
        <v>1168</v>
      </c>
      <c r="AB1267" s="95" t="s">
        <v>1169</v>
      </c>
      <c r="AC1267" s="96"/>
      <c r="AD1267" s="44">
        <v>0</v>
      </c>
      <c r="AE1267" s="43">
        <v>1272607864.71</v>
      </c>
      <c r="AF1267" s="216">
        <v>0</v>
      </c>
      <c r="AG1267" s="216">
        <v>0</v>
      </c>
      <c r="AH1267" s="216">
        <v>0</v>
      </c>
      <c r="AI1267" s="136">
        <f t="shared" si="475"/>
        <v>1272607864.71</v>
      </c>
      <c r="AJ1267" s="43">
        <f t="shared" si="476"/>
        <v>1272607864.71</v>
      </c>
      <c r="AK1267" s="97">
        <v>0</v>
      </c>
      <c r="AL1267" s="34">
        <v>0</v>
      </c>
      <c r="AM1267" s="34">
        <v>0</v>
      </c>
      <c r="AN1267" s="98">
        <v>0</v>
      </c>
      <c r="AO1267" s="133">
        <v>0</v>
      </c>
      <c r="AP1267" s="133">
        <v>0</v>
      </c>
      <c r="AQ1267" s="44">
        <v>0</v>
      </c>
      <c r="AR1267" s="44">
        <v>0</v>
      </c>
      <c r="AS1267" s="44">
        <v>0</v>
      </c>
      <c r="AT1267" s="40">
        <f t="shared" si="477"/>
        <v>0</v>
      </c>
      <c r="AU1267" s="110">
        <f>AJ1267-AM1267</f>
        <v>1272607864.71</v>
      </c>
      <c r="AV1267" s="34">
        <f>AM1267-AP1267</f>
        <v>0</v>
      </c>
      <c r="AW1267" s="34">
        <f>AP1267-AT1267</f>
        <v>0</v>
      </c>
      <c r="AX1267" s="123">
        <f>AP1267/AJ1267</f>
        <v>0</v>
      </c>
    </row>
    <row r="1268" spans="27:50" x14ac:dyDescent="0.2">
      <c r="AA1268" s="173" t="s">
        <v>1182</v>
      </c>
      <c r="AB1268" s="95" t="s">
        <v>1181</v>
      </c>
      <c r="AC1268" s="96"/>
      <c r="AD1268" s="44">
        <v>0</v>
      </c>
      <c r="AE1268" s="43">
        <v>17636386</v>
      </c>
      <c r="AF1268" s="216">
        <v>0</v>
      </c>
      <c r="AG1268" s="216">
        <v>0</v>
      </c>
      <c r="AH1268" s="216">
        <v>0</v>
      </c>
      <c r="AI1268" s="136">
        <f t="shared" si="475"/>
        <v>17636386</v>
      </c>
      <c r="AJ1268" s="43">
        <f t="shared" si="476"/>
        <v>17636386</v>
      </c>
      <c r="AK1268" s="97">
        <v>0</v>
      </c>
      <c r="AL1268" s="34">
        <v>0</v>
      </c>
      <c r="AM1268" s="34">
        <v>0</v>
      </c>
      <c r="AN1268" s="98">
        <v>0</v>
      </c>
      <c r="AO1268" s="133">
        <v>0</v>
      </c>
      <c r="AP1268" s="133">
        <v>0</v>
      </c>
      <c r="AQ1268" s="44">
        <v>0</v>
      </c>
      <c r="AR1268" s="44">
        <v>0</v>
      </c>
      <c r="AS1268" s="44">
        <v>0</v>
      </c>
      <c r="AT1268" s="40">
        <f t="shared" si="477"/>
        <v>0</v>
      </c>
      <c r="AU1268" s="110">
        <f>AJ1268-AM1268</f>
        <v>17636386</v>
      </c>
      <c r="AV1268" s="34">
        <f>AM1268-AP1268</f>
        <v>0</v>
      </c>
      <c r="AW1268" s="34">
        <f>AP1268-AT1268</f>
        <v>0</v>
      </c>
      <c r="AX1268" s="123">
        <f>AP1268/AJ1268</f>
        <v>0</v>
      </c>
    </row>
    <row r="1269" spans="27:50" x14ac:dyDescent="0.2">
      <c r="AA1269" s="89"/>
      <c r="AB1269" s="91"/>
      <c r="AC1269" s="91"/>
      <c r="AD1269" s="18"/>
      <c r="AE1269" s="92"/>
      <c r="AF1269" s="92"/>
      <c r="AG1269" s="92"/>
      <c r="AH1269" s="92"/>
      <c r="AI1269" s="92"/>
      <c r="AJ1269" s="18"/>
      <c r="AK1269" s="98"/>
      <c r="AL1269" s="98"/>
      <c r="AM1269" s="98"/>
      <c r="AN1269" s="98"/>
      <c r="AO1269" s="98"/>
      <c r="AP1269" s="98"/>
      <c r="AQ1269" s="98"/>
      <c r="AR1269" s="98"/>
      <c r="AS1269" s="92"/>
      <c r="AT1269" s="30"/>
      <c r="AU1269" s="18"/>
      <c r="AV1269" s="18"/>
      <c r="AW1269" s="18"/>
      <c r="AX1269" s="92"/>
    </row>
    <row r="1270" spans="27:50" ht="25.5" x14ac:dyDescent="0.2">
      <c r="AA1270" s="93" t="s">
        <v>288</v>
      </c>
      <c r="AB1270" s="90" t="s">
        <v>816</v>
      </c>
      <c r="AC1270" s="91"/>
      <c r="AD1270" s="18"/>
      <c r="AE1270" s="92"/>
      <c r="AF1270" s="92"/>
      <c r="AG1270" s="92"/>
      <c r="AH1270" s="92"/>
      <c r="AI1270" s="92"/>
      <c r="AJ1270" s="18"/>
      <c r="AK1270" s="98"/>
      <c r="AL1270" s="98"/>
      <c r="AM1270" s="92"/>
      <c r="AN1270" s="92"/>
      <c r="AO1270" s="92"/>
      <c r="AP1270" s="92"/>
      <c r="AQ1270" s="92"/>
      <c r="AR1270" s="92"/>
      <c r="AS1270" s="92"/>
      <c r="AT1270" s="40"/>
      <c r="AU1270" s="18"/>
      <c r="AV1270" s="34"/>
      <c r="AW1270" s="18"/>
      <c r="AX1270" s="92"/>
    </row>
    <row r="1271" spans="27:50" x14ac:dyDescent="0.2">
      <c r="AA1271" s="94" t="s">
        <v>817</v>
      </c>
      <c r="AB1271" s="95" t="s">
        <v>793</v>
      </c>
      <c r="AC1271" s="96" t="s">
        <v>794</v>
      </c>
      <c r="AD1271" s="43">
        <v>76500000</v>
      </c>
      <c r="AE1271" s="96">
        <v>0</v>
      </c>
      <c r="AF1271" s="216">
        <v>0</v>
      </c>
      <c r="AG1271" s="216">
        <v>0</v>
      </c>
      <c r="AH1271" s="216">
        <v>0</v>
      </c>
      <c r="AI1271" s="136">
        <f t="shared" ref="AI1271:AI1274" si="478">AE1271-AF1271+AG1271-AH1271</f>
        <v>0</v>
      </c>
      <c r="AJ1271" s="43">
        <f t="shared" ref="AJ1271:AJ1274" si="479">AD1271+AI1271</f>
        <v>76500000</v>
      </c>
      <c r="AK1271" s="97">
        <v>0</v>
      </c>
      <c r="AL1271" s="133">
        <v>0</v>
      </c>
      <c r="AM1271" s="18">
        <v>76500000</v>
      </c>
      <c r="AN1271" s="34">
        <v>0</v>
      </c>
      <c r="AO1271" s="18">
        <v>0</v>
      </c>
      <c r="AP1271" s="18">
        <v>76500000</v>
      </c>
      <c r="AQ1271" s="43">
        <v>8500000</v>
      </c>
      <c r="AR1271" s="114">
        <v>8500000</v>
      </c>
      <c r="AS1271" s="114">
        <v>34630000</v>
      </c>
      <c r="AT1271" s="111">
        <f t="shared" ref="AT1271:AT1274" si="480">AQ1271+AS1271</f>
        <v>43130000</v>
      </c>
      <c r="AU1271" s="133">
        <f>AJ1271-AM1271</f>
        <v>0</v>
      </c>
      <c r="AV1271" s="34">
        <f>AM1271-AP1271</f>
        <v>0</v>
      </c>
      <c r="AW1271" s="18">
        <f>AP1271-AT1271</f>
        <v>33370000</v>
      </c>
      <c r="AX1271" s="123">
        <f>AP1271/AJ1271</f>
        <v>1</v>
      </c>
    </row>
    <row r="1272" spans="27:50" x14ac:dyDescent="0.2">
      <c r="AA1272" s="173" t="s">
        <v>1170</v>
      </c>
      <c r="AB1272" s="95" t="s">
        <v>1169</v>
      </c>
      <c r="AC1272" s="96"/>
      <c r="AD1272" s="44">
        <v>0</v>
      </c>
      <c r="AE1272" s="43">
        <v>221250000</v>
      </c>
      <c r="AF1272" s="216">
        <v>0</v>
      </c>
      <c r="AG1272" s="216">
        <v>0</v>
      </c>
      <c r="AH1272" s="216">
        <v>0</v>
      </c>
      <c r="AI1272" s="136">
        <f t="shared" si="478"/>
        <v>221250000</v>
      </c>
      <c r="AJ1272" s="43">
        <f t="shared" si="479"/>
        <v>221250000</v>
      </c>
      <c r="AK1272" s="97">
        <v>0</v>
      </c>
      <c r="AL1272" s="133">
        <v>0</v>
      </c>
      <c r="AM1272" s="34">
        <v>0</v>
      </c>
      <c r="AN1272" s="34">
        <v>0</v>
      </c>
      <c r="AO1272" s="34">
        <v>0</v>
      </c>
      <c r="AP1272" s="34">
        <v>0</v>
      </c>
      <c r="AQ1272" s="97">
        <v>0</v>
      </c>
      <c r="AR1272" s="115">
        <v>0</v>
      </c>
      <c r="AS1272" s="115">
        <v>0</v>
      </c>
      <c r="AT1272" s="135">
        <f t="shared" si="480"/>
        <v>0</v>
      </c>
      <c r="AU1272" s="18">
        <f>AJ1272-AM1272</f>
        <v>221250000</v>
      </c>
      <c r="AV1272" s="34">
        <f>AM1272-AP1272</f>
        <v>0</v>
      </c>
      <c r="AW1272" s="34">
        <f>AP1272-AT1272</f>
        <v>0</v>
      </c>
      <c r="AX1272" s="123">
        <f>AP1272/AJ1272</f>
        <v>0</v>
      </c>
    </row>
    <row r="1273" spans="27:50" x14ac:dyDescent="0.2">
      <c r="AA1273" s="173" t="s">
        <v>1192</v>
      </c>
      <c r="AB1273" s="95" t="s">
        <v>1193</v>
      </c>
      <c r="AC1273" s="96"/>
      <c r="AD1273" s="44">
        <v>0</v>
      </c>
      <c r="AE1273" s="43">
        <v>97859303.769999996</v>
      </c>
      <c r="AF1273" s="216">
        <v>0</v>
      </c>
      <c r="AG1273" s="216">
        <v>0</v>
      </c>
      <c r="AH1273" s="216">
        <v>0</v>
      </c>
      <c r="AI1273" s="136">
        <f>AE1273-AF1273+AG1273-AH1273</f>
        <v>97859303.769999996</v>
      </c>
      <c r="AJ1273" s="43">
        <f>AD1273+AI1273</f>
        <v>97859303.769999996</v>
      </c>
      <c r="AK1273" s="97">
        <v>0</v>
      </c>
      <c r="AL1273" s="133">
        <v>0</v>
      </c>
      <c r="AM1273" s="34">
        <v>0</v>
      </c>
      <c r="AN1273" s="34">
        <v>0</v>
      </c>
      <c r="AO1273" s="34">
        <v>0</v>
      </c>
      <c r="AP1273" s="34">
        <v>0</v>
      </c>
      <c r="AQ1273" s="97">
        <v>0</v>
      </c>
      <c r="AR1273" s="115">
        <v>0</v>
      </c>
      <c r="AS1273" s="115">
        <v>0</v>
      </c>
      <c r="AT1273" s="135">
        <f t="shared" si="480"/>
        <v>0</v>
      </c>
      <c r="AU1273" s="18">
        <f>AJ1273-AM1273</f>
        <v>97859303.769999996</v>
      </c>
      <c r="AV1273" s="34">
        <f>AM1273-AP1273</f>
        <v>0</v>
      </c>
      <c r="AW1273" s="34">
        <f>AP1273-AT1273</f>
        <v>0</v>
      </c>
      <c r="AX1273" s="123">
        <f>AP1273/AJ1273</f>
        <v>0</v>
      </c>
    </row>
    <row r="1274" spans="27:50" x14ac:dyDescent="0.2">
      <c r="AA1274" s="173" t="s">
        <v>1191</v>
      </c>
      <c r="AB1274" s="95" t="s">
        <v>1181</v>
      </c>
      <c r="AC1274" s="96"/>
      <c r="AD1274" s="44">
        <v>0</v>
      </c>
      <c r="AE1274" s="43">
        <v>52140696.289999999</v>
      </c>
      <c r="AF1274" s="216">
        <v>0</v>
      </c>
      <c r="AG1274" s="216">
        <v>0</v>
      </c>
      <c r="AH1274" s="216">
        <v>0</v>
      </c>
      <c r="AI1274" s="136">
        <f t="shared" si="478"/>
        <v>52140696.289999999</v>
      </c>
      <c r="AJ1274" s="43">
        <f t="shared" si="479"/>
        <v>52140696.289999999</v>
      </c>
      <c r="AK1274" s="97">
        <v>0</v>
      </c>
      <c r="AL1274" s="133">
        <v>0</v>
      </c>
      <c r="AM1274" s="34">
        <v>0</v>
      </c>
      <c r="AN1274" s="34">
        <v>0</v>
      </c>
      <c r="AO1274" s="34">
        <v>0</v>
      </c>
      <c r="AP1274" s="34">
        <v>0</v>
      </c>
      <c r="AQ1274" s="97">
        <v>0</v>
      </c>
      <c r="AR1274" s="115">
        <v>0</v>
      </c>
      <c r="AS1274" s="115">
        <v>0</v>
      </c>
      <c r="AT1274" s="135">
        <f t="shared" si="480"/>
        <v>0</v>
      </c>
      <c r="AU1274" s="18">
        <f>AJ1274-AM1274</f>
        <v>52140696.289999999</v>
      </c>
      <c r="AV1274" s="34">
        <f>AM1274-AP1274</f>
        <v>0</v>
      </c>
      <c r="AW1274" s="34">
        <f>AP1274-AT1274</f>
        <v>0</v>
      </c>
      <c r="AX1274" s="123">
        <f>AP1274/AJ1274</f>
        <v>0</v>
      </c>
    </row>
    <row r="1275" spans="27:50" x14ac:dyDescent="0.2">
      <c r="AA1275" s="89"/>
      <c r="AB1275" s="91"/>
      <c r="AC1275" s="91"/>
      <c r="AD1275" s="18"/>
      <c r="AE1275" s="92"/>
      <c r="AF1275" s="92"/>
      <c r="AG1275" s="92"/>
      <c r="AH1275" s="92"/>
      <c r="AI1275" s="92"/>
      <c r="AJ1275" s="18"/>
      <c r="AK1275" s="98"/>
      <c r="AL1275" s="98"/>
      <c r="AM1275" s="98"/>
      <c r="AN1275" s="98"/>
      <c r="AO1275" s="98"/>
      <c r="AP1275" s="98"/>
      <c r="AQ1275" s="98"/>
      <c r="AR1275" s="98"/>
      <c r="AS1275" s="92"/>
      <c r="AT1275" s="30"/>
      <c r="AU1275" s="18"/>
      <c r="AV1275" s="18"/>
      <c r="AW1275" s="18"/>
      <c r="AX1275" s="92"/>
    </row>
    <row r="1276" spans="27:50" ht="38.25" x14ac:dyDescent="0.2">
      <c r="AA1276" s="93" t="s">
        <v>288</v>
      </c>
      <c r="AB1276" s="90" t="s">
        <v>818</v>
      </c>
      <c r="AC1276" s="91"/>
      <c r="AD1276" s="18"/>
      <c r="AE1276" s="92"/>
      <c r="AF1276" s="92"/>
      <c r="AG1276" s="92"/>
      <c r="AH1276" s="92"/>
      <c r="AI1276" s="92"/>
      <c r="AJ1276" s="18"/>
      <c r="AK1276" s="98"/>
      <c r="AL1276" s="98"/>
      <c r="AM1276" s="92"/>
      <c r="AN1276" s="98"/>
      <c r="AO1276" s="92"/>
      <c r="AP1276" s="92"/>
      <c r="AQ1276" s="92"/>
      <c r="AR1276" s="92"/>
      <c r="AS1276" s="92"/>
      <c r="AT1276" s="40"/>
      <c r="AU1276" s="18"/>
      <c r="AV1276" s="18"/>
      <c r="AW1276" s="18"/>
      <c r="AX1276" s="92"/>
    </row>
    <row r="1277" spans="27:50" x14ac:dyDescent="0.2">
      <c r="AA1277" s="94" t="s">
        <v>819</v>
      </c>
      <c r="AB1277" s="95" t="s">
        <v>793</v>
      </c>
      <c r="AC1277" s="96" t="s">
        <v>794</v>
      </c>
      <c r="AD1277" s="43">
        <v>150000000</v>
      </c>
      <c r="AE1277" s="96">
        <v>0</v>
      </c>
      <c r="AF1277" s="216">
        <v>0</v>
      </c>
      <c r="AG1277" s="216">
        <v>0</v>
      </c>
      <c r="AH1277" s="216">
        <v>0</v>
      </c>
      <c r="AI1277" s="136">
        <f t="shared" ref="AI1277:AI1278" si="481">AE1277-AF1277+AG1277-AH1277</f>
        <v>0</v>
      </c>
      <c r="AJ1277" s="43">
        <f t="shared" ref="AJ1277:AJ1278" si="482">AD1277+AI1277</f>
        <v>150000000</v>
      </c>
      <c r="AK1277" s="44">
        <v>0</v>
      </c>
      <c r="AL1277" s="43">
        <v>-1200000</v>
      </c>
      <c r="AM1277" s="43">
        <v>140800000</v>
      </c>
      <c r="AN1277" s="44">
        <v>0</v>
      </c>
      <c r="AO1277" s="43">
        <v>26800000</v>
      </c>
      <c r="AP1277" s="43">
        <v>140800000</v>
      </c>
      <c r="AQ1277" s="43">
        <v>4000000</v>
      </c>
      <c r="AR1277" s="43">
        <v>9250000</v>
      </c>
      <c r="AS1277" s="43">
        <v>13916667</v>
      </c>
      <c r="AT1277" s="39">
        <f t="shared" ref="AT1277:AT1278" si="483">AQ1277+AS1277</f>
        <v>17916667</v>
      </c>
      <c r="AU1277" s="18">
        <f>AJ1277-AM1277</f>
        <v>9200000</v>
      </c>
      <c r="AV1277" s="34">
        <f>AM1277-AP1277</f>
        <v>0</v>
      </c>
      <c r="AW1277" s="18">
        <f>AP1277-AT1277</f>
        <v>122883333</v>
      </c>
      <c r="AX1277" s="123">
        <f>AP1277/AJ1277</f>
        <v>0.93866666666666665</v>
      </c>
    </row>
    <row r="1278" spans="27:50" x14ac:dyDescent="0.2">
      <c r="AA1278" s="173" t="s">
        <v>1177</v>
      </c>
      <c r="AB1278" s="95" t="s">
        <v>1015</v>
      </c>
      <c r="AC1278" s="96"/>
      <c r="AD1278" s="43">
        <v>0</v>
      </c>
      <c r="AE1278" s="43">
        <v>8000000</v>
      </c>
      <c r="AF1278" s="216">
        <v>0</v>
      </c>
      <c r="AG1278" s="216">
        <v>0</v>
      </c>
      <c r="AH1278" s="216">
        <v>0</v>
      </c>
      <c r="AI1278" s="136">
        <f t="shared" si="481"/>
        <v>8000000</v>
      </c>
      <c r="AJ1278" s="43">
        <f t="shared" si="482"/>
        <v>8000000</v>
      </c>
      <c r="AK1278" s="44">
        <v>0</v>
      </c>
      <c r="AL1278" s="44">
        <v>0</v>
      </c>
      <c r="AM1278" s="43">
        <v>0</v>
      </c>
      <c r="AN1278" s="44">
        <v>0</v>
      </c>
      <c r="AO1278" s="43">
        <v>0</v>
      </c>
      <c r="AP1278" s="44">
        <v>0</v>
      </c>
      <c r="AQ1278" s="44">
        <v>0</v>
      </c>
      <c r="AR1278" s="44">
        <v>0</v>
      </c>
      <c r="AS1278" s="44">
        <v>0</v>
      </c>
      <c r="AT1278" s="40">
        <f t="shared" si="483"/>
        <v>0</v>
      </c>
      <c r="AU1278" s="18">
        <f>AJ1278-AM1278</f>
        <v>8000000</v>
      </c>
      <c r="AV1278" s="34">
        <f>AM1278-AP1278</f>
        <v>0</v>
      </c>
      <c r="AW1278" s="34">
        <f>AP1278-AT1278</f>
        <v>0</v>
      </c>
      <c r="AX1278" s="123">
        <f>AP1278/AJ1278</f>
        <v>0</v>
      </c>
    </row>
    <row r="1279" spans="27:50" ht="25.5" x14ac:dyDescent="0.2">
      <c r="AA1279" s="93" t="s">
        <v>288</v>
      </c>
      <c r="AB1279" s="90" t="s">
        <v>820</v>
      </c>
      <c r="AC1279" s="91"/>
      <c r="AD1279" s="18"/>
      <c r="AE1279" s="92"/>
      <c r="AF1279" s="92"/>
      <c r="AG1279" s="92"/>
      <c r="AH1279" s="92"/>
      <c r="AI1279" s="92"/>
      <c r="AJ1279" s="18"/>
      <c r="AK1279" s="34"/>
      <c r="AL1279" s="18"/>
      <c r="AM1279" s="18"/>
      <c r="AN1279" s="34"/>
      <c r="AO1279" s="18"/>
      <c r="AP1279" s="18"/>
      <c r="AQ1279" s="18"/>
      <c r="AR1279" s="18"/>
      <c r="AS1279" s="18"/>
      <c r="AT1279" s="39"/>
      <c r="AU1279" s="18"/>
      <c r="AV1279" s="34"/>
      <c r="AW1279" s="18"/>
      <c r="AX1279" s="92"/>
    </row>
    <row r="1280" spans="27:50" x14ac:dyDescent="0.2">
      <c r="AA1280" s="94" t="s">
        <v>821</v>
      </c>
      <c r="AB1280" s="95" t="s">
        <v>233</v>
      </c>
      <c r="AC1280" s="96" t="s">
        <v>58</v>
      </c>
      <c r="AD1280" s="43">
        <v>144000000</v>
      </c>
      <c r="AE1280" s="96">
        <v>0</v>
      </c>
      <c r="AF1280" s="216">
        <v>0</v>
      </c>
      <c r="AG1280" s="216">
        <v>0</v>
      </c>
      <c r="AH1280" s="216">
        <v>0</v>
      </c>
      <c r="AI1280" s="136">
        <f t="shared" ref="AI1280:AI1282" si="484">AE1280-AF1280+AG1280-AH1280</f>
        <v>0</v>
      </c>
      <c r="AJ1280" s="43">
        <f t="shared" ref="AJ1280:AJ1282" si="485">AD1280+AI1280</f>
        <v>144000000</v>
      </c>
      <c r="AK1280" s="44">
        <v>0</v>
      </c>
      <c r="AL1280" s="44">
        <v>0</v>
      </c>
      <c r="AM1280" s="43">
        <v>144000000</v>
      </c>
      <c r="AN1280" s="44">
        <v>0</v>
      </c>
      <c r="AO1280" s="44">
        <v>0</v>
      </c>
      <c r="AP1280" s="43">
        <v>144000000</v>
      </c>
      <c r="AQ1280" s="43">
        <v>36000000</v>
      </c>
      <c r="AR1280" s="43">
        <v>8000000</v>
      </c>
      <c r="AS1280" s="43">
        <v>36400001</v>
      </c>
      <c r="AT1280" s="39">
        <f t="shared" ref="AT1280:AT1282" si="486">AQ1280+AS1280</f>
        <v>72400001</v>
      </c>
      <c r="AU1280" s="34">
        <f>AJ1280-AM1280</f>
        <v>0</v>
      </c>
      <c r="AV1280" s="34">
        <f>AM1280-AP1280</f>
        <v>0</v>
      </c>
      <c r="AW1280" s="18">
        <f>AP1280-AT1280</f>
        <v>71599999</v>
      </c>
      <c r="AX1280" s="123">
        <f>AP1280/AJ1280</f>
        <v>1</v>
      </c>
    </row>
    <row r="1281" spans="27:50" x14ac:dyDescent="0.2">
      <c r="AA1281" s="94" t="s">
        <v>822</v>
      </c>
      <c r="AB1281" s="95" t="s">
        <v>793</v>
      </c>
      <c r="AC1281" s="96" t="s">
        <v>794</v>
      </c>
      <c r="AD1281" s="43">
        <v>72000000</v>
      </c>
      <c r="AE1281" s="96">
        <v>0</v>
      </c>
      <c r="AF1281" s="216">
        <v>0</v>
      </c>
      <c r="AG1281" s="216">
        <v>0</v>
      </c>
      <c r="AH1281" s="216">
        <v>0</v>
      </c>
      <c r="AI1281" s="136">
        <f t="shared" si="484"/>
        <v>0</v>
      </c>
      <c r="AJ1281" s="43">
        <f t="shared" si="485"/>
        <v>72000000</v>
      </c>
      <c r="AK1281" s="44">
        <v>0</v>
      </c>
      <c r="AL1281" s="44">
        <v>0</v>
      </c>
      <c r="AM1281" s="43">
        <v>68500000</v>
      </c>
      <c r="AN1281" s="44">
        <v>0</v>
      </c>
      <c r="AO1281" s="44">
        <v>0</v>
      </c>
      <c r="AP1281" s="43">
        <v>68500000</v>
      </c>
      <c r="AQ1281" s="43">
        <v>8000000</v>
      </c>
      <c r="AR1281" s="43">
        <v>8000000</v>
      </c>
      <c r="AS1281" s="43">
        <v>26650000</v>
      </c>
      <c r="AT1281" s="39">
        <f t="shared" si="486"/>
        <v>34650000</v>
      </c>
      <c r="AU1281" s="18">
        <f>AJ1281-AM1281</f>
        <v>3500000</v>
      </c>
      <c r="AV1281" s="34">
        <f>AM1281-AP1281</f>
        <v>0</v>
      </c>
      <c r="AW1281" s="18">
        <f>AP1281-AT1281</f>
        <v>33850000</v>
      </c>
      <c r="AX1281" s="123">
        <f>AP1281/AJ1281</f>
        <v>0.95138888888888884</v>
      </c>
    </row>
    <row r="1282" spans="27:50" x14ac:dyDescent="0.2">
      <c r="AA1282" s="173" t="s">
        <v>1178</v>
      </c>
      <c r="AB1282" s="95" t="s">
        <v>1179</v>
      </c>
      <c r="AC1282" s="96"/>
      <c r="AD1282" s="44">
        <v>0</v>
      </c>
      <c r="AE1282" s="43">
        <v>79500000</v>
      </c>
      <c r="AF1282" s="216">
        <v>0</v>
      </c>
      <c r="AG1282" s="216">
        <v>0</v>
      </c>
      <c r="AH1282" s="216">
        <v>0</v>
      </c>
      <c r="AI1282" s="136">
        <f t="shared" si="484"/>
        <v>79500000</v>
      </c>
      <c r="AJ1282" s="43">
        <f t="shared" si="485"/>
        <v>79500000</v>
      </c>
      <c r="AK1282" s="44">
        <v>0</v>
      </c>
      <c r="AL1282" s="44">
        <v>0</v>
      </c>
      <c r="AM1282" s="43">
        <v>0</v>
      </c>
      <c r="AN1282" s="44">
        <v>0</v>
      </c>
      <c r="AO1282" s="44">
        <v>0</v>
      </c>
      <c r="AP1282" s="44">
        <v>0</v>
      </c>
      <c r="AQ1282" s="44">
        <v>0</v>
      </c>
      <c r="AR1282" s="44">
        <v>0</v>
      </c>
      <c r="AS1282" s="44">
        <v>0</v>
      </c>
      <c r="AT1282" s="40">
        <f t="shared" si="486"/>
        <v>0</v>
      </c>
      <c r="AU1282" s="18">
        <f>AJ1282-AM1282</f>
        <v>79500000</v>
      </c>
      <c r="AV1282" s="34">
        <f>AM1282-AP1282</f>
        <v>0</v>
      </c>
      <c r="AW1282" s="34">
        <f>AP1282-AT1282</f>
        <v>0</v>
      </c>
      <c r="AX1282" s="123">
        <f>AP1282/AJ1282</f>
        <v>0</v>
      </c>
    </row>
    <row r="1283" spans="27:50" ht="25.5" x14ac:dyDescent="0.2">
      <c r="AA1283" s="241" t="s">
        <v>288</v>
      </c>
      <c r="AB1283" s="138" t="s">
        <v>805</v>
      </c>
      <c r="AC1283" s="96"/>
      <c r="AD1283" s="44"/>
      <c r="AE1283" s="43"/>
      <c r="AF1283" s="96"/>
      <c r="AG1283" s="96"/>
      <c r="AH1283" s="96"/>
      <c r="AI1283" s="96"/>
      <c r="AJ1283" s="43"/>
      <c r="AK1283" s="44"/>
      <c r="AL1283" s="44"/>
      <c r="AM1283" s="43"/>
      <c r="AN1283" s="44"/>
      <c r="AO1283" s="44"/>
      <c r="AP1283" s="44"/>
      <c r="AQ1283" s="44"/>
      <c r="AR1283" s="44"/>
      <c r="AS1283" s="44"/>
      <c r="AT1283" s="40"/>
      <c r="AU1283" s="18"/>
      <c r="AV1283" s="34"/>
      <c r="AW1283" s="34"/>
      <c r="AX1283" s="123"/>
    </row>
    <row r="1284" spans="27:50" x14ac:dyDescent="0.2">
      <c r="AA1284" s="173" t="s">
        <v>1194</v>
      </c>
      <c r="AB1284" s="95" t="s">
        <v>1193</v>
      </c>
      <c r="AC1284" s="96"/>
      <c r="AD1284" s="44">
        <v>0</v>
      </c>
      <c r="AE1284" s="43">
        <v>135118963.86000001</v>
      </c>
      <c r="AF1284" s="216">
        <v>0</v>
      </c>
      <c r="AG1284" s="216">
        <v>0</v>
      </c>
      <c r="AH1284" s="216">
        <v>0</v>
      </c>
      <c r="AI1284" s="136">
        <f>AE1284-AF1284+AG1284-AH1284</f>
        <v>135118963.86000001</v>
      </c>
      <c r="AJ1284" s="43">
        <f>AD1284+AI1284</f>
        <v>135118963.86000001</v>
      </c>
      <c r="AK1284" s="44">
        <v>0</v>
      </c>
      <c r="AL1284" s="44">
        <v>0</v>
      </c>
      <c r="AM1284" s="43">
        <v>0</v>
      </c>
      <c r="AN1284" s="44">
        <v>0</v>
      </c>
      <c r="AO1284" s="44">
        <v>0</v>
      </c>
      <c r="AP1284" s="44">
        <v>0</v>
      </c>
      <c r="AQ1284" s="44">
        <v>0</v>
      </c>
      <c r="AR1284" s="44">
        <v>0</v>
      </c>
      <c r="AS1284" s="44">
        <v>0</v>
      </c>
      <c r="AT1284" s="40">
        <f t="shared" ref="AT1284" si="487">AQ1284+AS1284</f>
        <v>0</v>
      </c>
      <c r="AU1284" s="18">
        <f>AJ1284-AM1284</f>
        <v>135118963.86000001</v>
      </c>
      <c r="AV1284" s="34">
        <f>AM1284-AP1284</f>
        <v>0</v>
      </c>
      <c r="AW1284" s="34">
        <f>AP1284-AT1284</f>
        <v>0</v>
      </c>
      <c r="AX1284" s="123">
        <f>AP1284/AJ1284</f>
        <v>0</v>
      </c>
    </row>
    <row r="1285" spans="27:50" ht="38.25" x14ac:dyDescent="0.2">
      <c r="AA1285" s="240" t="s">
        <v>288</v>
      </c>
      <c r="AB1285" s="138" t="s">
        <v>912</v>
      </c>
      <c r="AC1285" s="96"/>
      <c r="AD1285" s="44"/>
      <c r="AE1285" s="96"/>
      <c r="AF1285" s="96"/>
      <c r="AG1285" s="96"/>
      <c r="AH1285" s="96"/>
      <c r="AI1285" s="96"/>
      <c r="AJ1285" s="43"/>
      <c r="AK1285" s="44"/>
      <c r="AL1285" s="44"/>
      <c r="AM1285" s="44"/>
      <c r="AN1285" s="97"/>
      <c r="AO1285" s="44"/>
      <c r="AP1285" s="44"/>
      <c r="AQ1285" s="97"/>
      <c r="AR1285" s="96"/>
      <c r="AS1285" s="97"/>
      <c r="AT1285" s="40"/>
      <c r="AU1285" s="43"/>
      <c r="AV1285" s="44"/>
      <c r="AW1285" s="44"/>
      <c r="AX1285" s="32"/>
    </row>
    <row r="1286" spans="27:50" x14ac:dyDescent="0.2">
      <c r="AA1286" s="94" t="s">
        <v>913</v>
      </c>
      <c r="AB1286" s="95" t="s">
        <v>233</v>
      </c>
      <c r="AC1286" s="96"/>
      <c r="AD1286" s="44">
        <v>0</v>
      </c>
      <c r="AE1286" s="96">
        <v>0</v>
      </c>
      <c r="AF1286" s="96">
        <v>0</v>
      </c>
      <c r="AG1286" s="43">
        <v>136150000</v>
      </c>
      <c r="AH1286" s="96"/>
      <c r="AI1286" s="136">
        <f>AE1286-AF1286+AG1286-AH1286</f>
        <v>136150000</v>
      </c>
      <c r="AJ1286" s="43">
        <f>AD1286+AI1286</f>
        <v>136150000</v>
      </c>
      <c r="AK1286" s="44">
        <v>0</v>
      </c>
      <c r="AL1286" s="115">
        <v>0</v>
      </c>
      <c r="AM1286" s="114">
        <v>94724710</v>
      </c>
      <c r="AN1286" s="97">
        <v>0</v>
      </c>
      <c r="AO1286" s="43">
        <v>0</v>
      </c>
      <c r="AP1286" s="43">
        <v>94724710</v>
      </c>
      <c r="AQ1286" s="43">
        <v>3500000</v>
      </c>
      <c r="AR1286" s="43">
        <v>3500000</v>
      </c>
      <c r="AS1286" s="43">
        <v>5600000</v>
      </c>
      <c r="AT1286" s="39">
        <f t="shared" ref="AT1286" si="488">AQ1286+AS1286</f>
        <v>9100000</v>
      </c>
      <c r="AU1286" s="110">
        <f>AJ1286-AM1286</f>
        <v>41425290</v>
      </c>
      <c r="AV1286" s="133">
        <f>AM1286-AP1286</f>
        <v>0</v>
      </c>
      <c r="AW1286" s="18">
        <f>AP1286-AT1286</f>
        <v>85624710</v>
      </c>
      <c r="AX1286" s="123">
        <f>AP1286/AJ1286</f>
        <v>0.69573786265148729</v>
      </c>
    </row>
    <row r="1287" spans="27:50" x14ac:dyDescent="0.2">
      <c r="AA1287" s="89"/>
      <c r="AB1287" s="91"/>
      <c r="AC1287" s="91"/>
      <c r="AD1287" s="18"/>
      <c r="AE1287" s="92"/>
      <c r="AF1287" s="92"/>
      <c r="AG1287" s="92"/>
      <c r="AH1287" s="92"/>
      <c r="AI1287" s="92"/>
      <c r="AJ1287" s="18"/>
      <c r="AK1287" s="98"/>
      <c r="AL1287" s="98"/>
      <c r="AM1287" s="98"/>
      <c r="AN1287" s="98"/>
      <c r="AO1287" s="98"/>
      <c r="AP1287" s="98"/>
      <c r="AQ1287" s="98"/>
      <c r="AR1287" s="98"/>
      <c r="AS1287" s="92"/>
      <c r="AT1287" s="30"/>
      <c r="AU1287" s="18"/>
      <c r="AV1287" s="18"/>
      <c r="AW1287" s="18"/>
      <c r="AX1287" s="92"/>
    </row>
    <row r="1288" spans="27:50" x14ac:dyDescent="0.2">
      <c r="AA1288" s="89"/>
      <c r="AB1288" s="279" t="s">
        <v>1274</v>
      </c>
      <c r="AC1288" s="91"/>
      <c r="AD1288" s="18"/>
      <c r="AE1288" s="92"/>
      <c r="AF1288" s="92"/>
      <c r="AG1288" s="92"/>
      <c r="AH1288" s="92"/>
      <c r="AI1288" s="92"/>
      <c r="AJ1288" s="18"/>
      <c r="AK1288" s="98"/>
      <c r="AL1288" s="98"/>
      <c r="AM1288" s="98"/>
      <c r="AN1288" s="98"/>
      <c r="AO1288" s="98"/>
      <c r="AP1288" s="98"/>
      <c r="AQ1288" s="98"/>
      <c r="AR1288" s="98"/>
      <c r="AS1288" s="92"/>
      <c r="AT1288" s="30"/>
      <c r="AU1288" s="18"/>
      <c r="AV1288" s="18"/>
      <c r="AW1288" s="18"/>
      <c r="AX1288" s="92"/>
    </row>
    <row r="1289" spans="27:50" x14ac:dyDescent="0.2">
      <c r="AA1289" s="89"/>
      <c r="AB1289" s="90" t="s">
        <v>199</v>
      </c>
      <c r="AC1289" s="91"/>
      <c r="AD1289" s="18"/>
      <c r="AE1289" s="92"/>
      <c r="AF1289" s="92"/>
      <c r="AG1289" s="92"/>
      <c r="AH1289" s="92"/>
      <c r="AI1289" s="92"/>
      <c r="AJ1289" s="18"/>
      <c r="AK1289" s="98"/>
      <c r="AL1289" s="98"/>
      <c r="AM1289" s="98"/>
      <c r="AN1289" s="98"/>
      <c r="AO1289" s="98"/>
      <c r="AP1289" s="98"/>
      <c r="AQ1289" s="98"/>
      <c r="AR1289" s="98"/>
      <c r="AS1289" s="92"/>
      <c r="AT1289" s="30"/>
      <c r="AU1289" s="18"/>
      <c r="AV1289" s="18"/>
      <c r="AW1289" s="18"/>
      <c r="AX1289" s="92"/>
    </row>
    <row r="1290" spans="27:50" x14ac:dyDescent="0.2">
      <c r="AA1290" s="170" t="s">
        <v>288</v>
      </c>
      <c r="AB1290" s="165" t="s">
        <v>1164</v>
      </c>
      <c r="AC1290" s="237"/>
      <c r="AD1290" s="44"/>
      <c r="AE1290" s="96"/>
      <c r="AF1290" s="96"/>
      <c r="AG1290" s="43"/>
      <c r="AH1290" s="96"/>
      <c r="AI1290" s="136"/>
      <c r="AJ1290" s="43"/>
      <c r="AK1290" s="44"/>
      <c r="AL1290" s="115"/>
      <c r="AM1290" s="114"/>
      <c r="AN1290" s="97"/>
      <c r="AO1290" s="43"/>
      <c r="AP1290" s="43"/>
      <c r="AQ1290" s="43"/>
      <c r="AR1290" s="96"/>
      <c r="AS1290" s="97"/>
      <c r="AT1290" s="135"/>
      <c r="AU1290" s="110"/>
      <c r="AV1290" s="133"/>
      <c r="AW1290" s="18"/>
      <c r="AX1290" s="123"/>
    </row>
    <row r="1291" spans="27:50" x14ac:dyDescent="0.2">
      <c r="AA1291" s="166" t="s">
        <v>1165</v>
      </c>
      <c r="AB1291" s="167" t="s">
        <v>1015</v>
      </c>
      <c r="AC1291" s="237"/>
      <c r="AD1291" s="44">
        <v>0</v>
      </c>
      <c r="AE1291" s="43">
        <v>400000000</v>
      </c>
      <c r="AF1291" s="216">
        <v>0</v>
      </c>
      <c r="AG1291" s="216">
        <v>0</v>
      </c>
      <c r="AH1291" s="216">
        <v>0</v>
      </c>
      <c r="AI1291" s="136">
        <f>AE1291-AF1291+AG1291-AH1291</f>
        <v>400000000</v>
      </c>
      <c r="AJ1291" s="43">
        <f>AD1291+AI1291</f>
        <v>400000000</v>
      </c>
      <c r="AK1291" s="44">
        <v>0</v>
      </c>
      <c r="AL1291" s="115">
        <v>0</v>
      </c>
      <c r="AM1291" s="115">
        <v>0</v>
      </c>
      <c r="AN1291" s="97">
        <v>0</v>
      </c>
      <c r="AO1291" s="44">
        <v>0</v>
      </c>
      <c r="AP1291" s="44">
        <v>0</v>
      </c>
      <c r="AQ1291" s="44">
        <v>0</v>
      </c>
      <c r="AR1291" s="96">
        <v>0</v>
      </c>
      <c r="AS1291" s="97">
        <v>0</v>
      </c>
      <c r="AT1291" s="40">
        <f t="shared" ref="AT1291" si="489">AQ1291+AS1291</f>
        <v>0</v>
      </c>
      <c r="AU1291" s="110">
        <f>AJ1291-AM1291</f>
        <v>400000000</v>
      </c>
      <c r="AV1291" s="133">
        <f>AM1291-AP1291</f>
        <v>0</v>
      </c>
      <c r="AW1291" s="34">
        <f>AP1291-AT1291</f>
        <v>0</v>
      </c>
      <c r="AX1291" s="123">
        <f>AP1291/AJ1291</f>
        <v>0</v>
      </c>
    </row>
    <row r="1292" spans="27:50" x14ac:dyDescent="0.2">
      <c r="AA1292" s="93" t="s">
        <v>288</v>
      </c>
      <c r="AB1292" s="90" t="s">
        <v>782</v>
      </c>
      <c r="AC1292" s="91"/>
      <c r="AD1292" s="18"/>
      <c r="AE1292" s="92"/>
      <c r="AF1292" s="92"/>
      <c r="AG1292" s="92"/>
      <c r="AH1292" s="92"/>
      <c r="AI1292" s="92"/>
      <c r="AJ1292" s="18"/>
      <c r="AK1292" s="98"/>
      <c r="AL1292" s="98"/>
      <c r="AM1292" s="98"/>
      <c r="AN1292" s="98"/>
      <c r="AO1292" s="98"/>
      <c r="AP1292" s="98"/>
      <c r="AQ1292" s="98"/>
      <c r="AR1292" s="98"/>
      <c r="AS1292" s="92"/>
      <c r="AT1292" s="30"/>
      <c r="AU1292" s="18"/>
      <c r="AV1292" s="18"/>
      <c r="AW1292" s="18"/>
      <c r="AX1292" s="92"/>
    </row>
    <row r="1293" spans="27:50" ht="25.5" x14ac:dyDescent="0.2">
      <c r="AA1293" s="94" t="s">
        <v>783</v>
      </c>
      <c r="AB1293" s="95" t="s">
        <v>784</v>
      </c>
      <c r="AC1293" s="96" t="s">
        <v>368</v>
      </c>
      <c r="AD1293" s="43">
        <v>40000000</v>
      </c>
      <c r="AE1293" s="96">
        <v>0</v>
      </c>
      <c r="AF1293" s="216">
        <v>0</v>
      </c>
      <c r="AG1293" s="216">
        <v>0</v>
      </c>
      <c r="AH1293" s="216">
        <v>0</v>
      </c>
      <c r="AI1293" s="136">
        <f>AE1293-AF1293+AG1293-AH1293</f>
        <v>0</v>
      </c>
      <c r="AJ1293" s="43">
        <f>AD1293+AI1293</f>
        <v>40000000</v>
      </c>
      <c r="AK1293" s="97">
        <v>0</v>
      </c>
      <c r="AL1293" s="34">
        <v>0</v>
      </c>
      <c r="AM1293" s="137">
        <v>0</v>
      </c>
      <c r="AN1293" s="97">
        <v>0</v>
      </c>
      <c r="AO1293" s="97">
        <v>0</v>
      </c>
      <c r="AP1293" s="97">
        <v>0</v>
      </c>
      <c r="AQ1293" s="97">
        <v>0</v>
      </c>
      <c r="AR1293" s="97">
        <v>0</v>
      </c>
      <c r="AS1293" s="97">
        <v>0</v>
      </c>
      <c r="AT1293" s="135">
        <f t="shared" ref="AT1293:AT1296" si="490">AQ1293+AS1293</f>
        <v>0</v>
      </c>
      <c r="AU1293" s="110">
        <f>AJ1293-AM1293</f>
        <v>40000000</v>
      </c>
      <c r="AV1293" s="133">
        <f>AM1293-AP1293</f>
        <v>0</v>
      </c>
      <c r="AW1293" s="133">
        <f>AP1293-AT1293</f>
        <v>0</v>
      </c>
      <c r="AX1293" s="123">
        <f>AP1293/AJ1293</f>
        <v>0</v>
      </c>
    </row>
    <row r="1294" spans="27:50" ht="25.5" x14ac:dyDescent="0.2">
      <c r="AA1294" s="94" t="s">
        <v>785</v>
      </c>
      <c r="AB1294" s="242" t="s">
        <v>786</v>
      </c>
      <c r="AC1294" s="96" t="s">
        <v>258</v>
      </c>
      <c r="AD1294" s="43">
        <v>2438425656.1900001</v>
      </c>
      <c r="AE1294" s="96">
        <v>0</v>
      </c>
      <c r="AF1294" s="216">
        <v>0</v>
      </c>
      <c r="AG1294" s="216">
        <v>0</v>
      </c>
      <c r="AH1294" s="216">
        <v>0</v>
      </c>
      <c r="AI1294" s="136">
        <f t="shared" ref="AI1294:AI1296" si="491">AE1294-AF1294+AG1294-AH1294</f>
        <v>0</v>
      </c>
      <c r="AJ1294" s="43">
        <f t="shared" ref="AJ1294:AJ1296" si="492">AD1294+AI1294</f>
        <v>2438425656.1900001</v>
      </c>
      <c r="AK1294" s="44">
        <v>0</v>
      </c>
      <c r="AL1294" s="114">
        <v>0</v>
      </c>
      <c r="AM1294" s="114">
        <v>55000000</v>
      </c>
      <c r="AN1294" s="92">
        <v>0</v>
      </c>
      <c r="AO1294" s="147">
        <v>0</v>
      </c>
      <c r="AP1294" s="18">
        <v>55000000</v>
      </c>
      <c r="AQ1294" s="43">
        <v>5500000</v>
      </c>
      <c r="AR1294" s="18">
        <v>5500000</v>
      </c>
      <c r="AS1294" s="43">
        <v>16500000</v>
      </c>
      <c r="AT1294" s="39">
        <f t="shared" si="490"/>
        <v>22000000</v>
      </c>
      <c r="AU1294" s="110">
        <f>AJ1294-AM1294</f>
        <v>2383425656.1900001</v>
      </c>
      <c r="AV1294" s="133">
        <f>AM1294-AP1294</f>
        <v>0</v>
      </c>
      <c r="AW1294" s="18">
        <f>AP1294-AT1294</f>
        <v>33000000</v>
      </c>
      <c r="AX1294" s="123">
        <f>AP1294/AJ1294</f>
        <v>2.2555536954912372E-2</v>
      </c>
    </row>
    <row r="1296" spans="27:50" ht="25.5" x14ac:dyDescent="0.2">
      <c r="AA1296" s="166" t="s">
        <v>1197</v>
      </c>
      <c r="AB1296" s="242" t="s">
        <v>1198</v>
      </c>
      <c r="AC1296" s="96"/>
      <c r="AD1296" s="43">
        <v>0</v>
      </c>
      <c r="AE1296" s="43">
        <v>57159458.270000003</v>
      </c>
      <c r="AF1296" s="216">
        <v>0</v>
      </c>
      <c r="AG1296" s="216">
        <v>0</v>
      </c>
      <c r="AH1296" s="216">
        <v>0</v>
      </c>
      <c r="AI1296" s="136">
        <f t="shared" si="491"/>
        <v>57159458.270000003</v>
      </c>
      <c r="AJ1296" s="43">
        <f t="shared" si="492"/>
        <v>57159458.270000003</v>
      </c>
      <c r="AK1296" s="44">
        <v>0</v>
      </c>
      <c r="AL1296" s="115">
        <v>0</v>
      </c>
      <c r="AM1296" s="34">
        <v>0</v>
      </c>
      <c r="AN1296" s="98">
        <v>0</v>
      </c>
      <c r="AO1296" s="145">
        <v>0</v>
      </c>
      <c r="AP1296" s="34">
        <v>0</v>
      </c>
      <c r="AQ1296" s="97">
        <v>0</v>
      </c>
      <c r="AR1296" s="34">
        <v>0</v>
      </c>
      <c r="AS1296" s="44">
        <v>0</v>
      </c>
      <c r="AT1296" s="40">
        <f t="shared" si="490"/>
        <v>0</v>
      </c>
      <c r="AU1296" s="110">
        <f>AJ1296-AM1296</f>
        <v>57159458.270000003</v>
      </c>
      <c r="AV1296" s="133">
        <f>AM1296-AP1296</f>
        <v>0</v>
      </c>
      <c r="AW1296" s="133">
        <f>AP1296-AT1296</f>
        <v>0</v>
      </c>
      <c r="AX1296" s="123">
        <f>AP1296/AJ1296</f>
        <v>0</v>
      </c>
    </row>
    <row r="1297" spans="2:50" ht="38.25" x14ac:dyDescent="0.2">
      <c r="AA1297" s="240" t="s">
        <v>288</v>
      </c>
      <c r="AB1297" s="138" t="s">
        <v>1186</v>
      </c>
      <c r="AC1297" s="96"/>
      <c r="AD1297" s="44"/>
      <c r="AE1297" s="96"/>
      <c r="AF1297" s="96"/>
      <c r="AG1297" s="96"/>
      <c r="AH1297" s="96"/>
      <c r="AI1297" s="96"/>
      <c r="AJ1297" s="43"/>
      <c r="AK1297" s="44"/>
      <c r="AL1297" s="44"/>
      <c r="AM1297" s="34"/>
      <c r="AN1297" s="34"/>
      <c r="AO1297" s="34"/>
      <c r="AP1297" s="44"/>
      <c r="AQ1297" s="44"/>
      <c r="AR1297" s="44"/>
      <c r="AS1297" s="44"/>
      <c r="AT1297" s="135"/>
      <c r="AU1297" s="133"/>
      <c r="AV1297" s="133"/>
      <c r="AW1297" s="133"/>
      <c r="AX1297" s="123"/>
    </row>
    <row r="1298" spans="2:50" x14ac:dyDescent="0.2">
      <c r="AA1298" s="173" t="s">
        <v>1187</v>
      </c>
      <c r="AB1298" s="95" t="s">
        <v>1188</v>
      </c>
      <c r="AC1298" s="96"/>
      <c r="AD1298" s="44">
        <v>0</v>
      </c>
      <c r="AE1298" s="43">
        <v>350000000</v>
      </c>
      <c r="AF1298" s="216">
        <v>0</v>
      </c>
      <c r="AG1298" s="216">
        <v>0</v>
      </c>
      <c r="AH1298" s="216">
        <v>0</v>
      </c>
      <c r="AI1298" s="136">
        <f>AE1298-AF1298+AG1298-AH1298</f>
        <v>350000000</v>
      </c>
      <c r="AJ1298" s="43">
        <f>AD1298+AI1298</f>
        <v>350000000</v>
      </c>
      <c r="AK1298" s="44">
        <v>0</v>
      </c>
      <c r="AL1298" s="44">
        <v>0</v>
      </c>
      <c r="AM1298" s="34">
        <v>0</v>
      </c>
      <c r="AN1298" s="34">
        <v>0</v>
      </c>
      <c r="AO1298" s="34">
        <v>0</v>
      </c>
      <c r="AP1298" s="44">
        <v>0</v>
      </c>
      <c r="AQ1298" s="44">
        <v>0</v>
      </c>
      <c r="AR1298" s="44">
        <v>0</v>
      </c>
      <c r="AS1298" s="44">
        <v>0</v>
      </c>
      <c r="AT1298" s="135">
        <f t="shared" ref="AT1298" si="493">AQ1298+AS1298</f>
        <v>0</v>
      </c>
      <c r="AU1298" s="18">
        <f>AJ1298-AM1298</f>
        <v>350000000</v>
      </c>
      <c r="AV1298" s="34">
        <f>AM1298-AP1298</f>
        <v>0</v>
      </c>
      <c r="AW1298" s="133">
        <f>AP1298-AT1298</f>
        <v>0</v>
      </c>
      <c r="AX1298" s="123">
        <f>AP1298/AJ1298</f>
        <v>0</v>
      </c>
    </row>
    <row r="1299" spans="2:50" x14ac:dyDescent="0.2">
      <c r="AA1299" s="166"/>
      <c r="AB1299" s="242"/>
      <c r="AC1299" s="96"/>
      <c r="AD1299" s="43"/>
      <c r="AE1299" s="43"/>
      <c r="AF1299" s="216"/>
      <c r="AG1299" s="216"/>
      <c r="AH1299" s="216"/>
      <c r="AI1299" s="136"/>
      <c r="AJ1299" s="43"/>
      <c r="AK1299" s="44"/>
      <c r="AL1299" s="115"/>
      <c r="AM1299" s="34"/>
      <c r="AN1299" s="98"/>
      <c r="AO1299" s="145"/>
      <c r="AP1299" s="34"/>
      <c r="AQ1299" s="97"/>
      <c r="AR1299" s="34"/>
      <c r="AS1299" s="44"/>
      <c r="AT1299" s="40"/>
      <c r="AU1299" s="110"/>
      <c r="AV1299" s="133"/>
      <c r="AW1299" s="133"/>
      <c r="AX1299" s="123"/>
    </row>
    <row r="1300" spans="2:50" x14ac:dyDescent="0.2">
      <c r="AA1300" s="166"/>
      <c r="AB1300" s="280" t="s">
        <v>1275</v>
      </c>
      <c r="AC1300" s="96"/>
      <c r="AD1300" s="43"/>
      <c r="AE1300" s="43"/>
      <c r="AF1300" s="216"/>
      <c r="AG1300" s="216"/>
      <c r="AH1300" s="216"/>
      <c r="AI1300" s="136"/>
      <c r="AJ1300" s="43"/>
      <c r="AK1300" s="44"/>
      <c r="AL1300" s="115"/>
      <c r="AM1300" s="34"/>
      <c r="AN1300" s="98"/>
      <c r="AO1300" s="145"/>
      <c r="AP1300" s="34"/>
      <c r="AQ1300" s="97"/>
      <c r="AR1300" s="34"/>
      <c r="AS1300" s="44"/>
      <c r="AT1300" s="40"/>
      <c r="AU1300" s="110"/>
      <c r="AV1300" s="133"/>
      <c r="AW1300" s="133"/>
      <c r="AX1300" s="123"/>
    </row>
    <row r="1301" spans="2:50" ht="18.75" customHeight="1" x14ac:dyDescent="0.2">
      <c r="AA1301" s="94" t="s">
        <v>798</v>
      </c>
      <c r="AB1301" s="95" t="s">
        <v>799</v>
      </c>
      <c r="AC1301" s="96" t="s">
        <v>368</v>
      </c>
      <c r="AD1301" s="43">
        <v>20000000</v>
      </c>
      <c r="AE1301" s="96">
        <v>0</v>
      </c>
      <c r="AF1301" s="216">
        <v>0</v>
      </c>
      <c r="AG1301" s="216">
        <v>0</v>
      </c>
      <c r="AH1301" s="216">
        <v>0</v>
      </c>
      <c r="AI1301" s="136">
        <f t="shared" ref="AI1301:AI1302" si="494">AE1301-AF1301+AG1301-AH1301</f>
        <v>0</v>
      </c>
      <c r="AJ1301" s="43">
        <f t="shared" ref="AJ1301:AJ1302" si="495">AD1301+AI1301</f>
        <v>20000000</v>
      </c>
      <c r="AK1301" s="44">
        <v>0</v>
      </c>
      <c r="AL1301" s="44">
        <v>0</v>
      </c>
      <c r="AM1301" s="44">
        <v>0</v>
      </c>
      <c r="AN1301" s="97">
        <v>0</v>
      </c>
      <c r="AO1301" s="44">
        <v>0</v>
      </c>
      <c r="AP1301" s="44">
        <v>0</v>
      </c>
      <c r="AQ1301" s="97">
        <v>0</v>
      </c>
      <c r="AR1301" s="97">
        <v>0</v>
      </c>
      <c r="AS1301" s="97">
        <v>0</v>
      </c>
      <c r="AT1301" s="135">
        <f t="shared" ref="AT1301:AT1302" si="496">AQ1301+AS1301</f>
        <v>0</v>
      </c>
      <c r="AU1301" s="110">
        <f t="shared" ref="AU1301:AU1302" si="497">AJ1301-AM1301</f>
        <v>20000000</v>
      </c>
      <c r="AV1301" s="34">
        <f t="shared" ref="AV1301:AV1302" si="498">AM1301-AP1301</f>
        <v>0</v>
      </c>
      <c r="AW1301" s="34">
        <f t="shared" ref="AW1301:AW1302" si="499">AP1301-AT1301</f>
        <v>0</v>
      </c>
      <c r="AX1301" s="123">
        <f t="shared" ref="AX1301:AX1302" si="500">AP1301/AJ1301</f>
        <v>0</v>
      </c>
    </row>
    <row r="1302" spans="2:50" x14ac:dyDescent="0.2">
      <c r="AA1302" s="94" t="s">
        <v>800</v>
      </c>
      <c r="AB1302" s="95" t="s">
        <v>801</v>
      </c>
      <c r="AC1302" s="96" t="s">
        <v>802</v>
      </c>
      <c r="AD1302" s="43">
        <v>300000000</v>
      </c>
      <c r="AE1302" s="96">
        <v>0</v>
      </c>
      <c r="AF1302" s="216">
        <v>0</v>
      </c>
      <c r="AG1302" s="216">
        <v>0</v>
      </c>
      <c r="AH1302" s="216">
        <v>0</v>
      </c>
      <c r="AI1302" s="136">
        <f t="shared" si="494"/>
        <v>0</v>
      </c>
      <c r="AJ1302" s="43">
        <f t="shared" si="495"/>
        <v>300000000</v>
      </c>
      <c r="AK1302" s="115">
        <v>0</v>
      </c>
      <c r="AL1302" s="76">
        <v>0</v>
      </c>
      <c r="AM1302" s="18">
        <v>266450000</v>
      </c>
      <c r="AN1302" s="92">
        <v>0</v>
      </c>
      <c r="AO1302" s="18">
        <v>0</v>
      </c>
      <c r="AP1302" s="18">
        <v>266450000</v>
      </c>
      <c r="AQ1302" s="114">
        <v>11866667</v>
      </c>
      <c r="AR1302" s="114">
        <v>67766667</v>
      </c>
      <c r="AS1302" s="114">
        <v>254583333</v>
      </c>
      <c r="AT1302" s="111">
        <f t="shared" si="496"/>
        <v>266450000</v>
      </c>
      <c r="AU1302" s="110">
        <f t="shared" si="497"/>
        <v>33550000</v>
      </c>
      <c r="AV1302" s="34">
        <f t="shared" si="498"/>
        <v>0</v>
      </c>
      <c r="AW1302" s="34">
        <f t="shared" si="499"/>
        <v>0</v>
      </c>
      <c r="AX1302" s="123">
        <f t="shared" si="500"/>
        <v>0.88816666666666666</v>
      </c>
    </row>
    <row r="1303" spans="2:50" x14ac:dyDescent="0.2">
      <c r="AA1303" s="89"/>
      <c r="AB1303" s="91"/>
      <c r="AC1303" s="91"/>
      <c r="AD1303" s="18"/>
      <c r="AE1303" s="92"/>
      <c r="AF1303" s="92"/>
      <c r="AG1303" s="92"/>
      <c r="AH1303" s="92"/>
      <c r="AI1303" s="92"/>
      <c r="AJ1303" s="92"/>
      <c r="AK1303" s="98"/>
      <c r="AL1303" s="92"/>
      <c r="AM1303" s="92"/>
      <c r="AN1303" s="92"/>
      <c r="AO1303" s="92"/>
      <c r="AP1303" s="92"/>
      <c r="AQ1303" s="98"/>
      <c r="AR1303" s="92"/>
      <c r="AS1303" s="92"/>
      <c r="AT1303" s="92"/>
      <c r="AU1303" s="92"/>
      <c r="AV1303" s="92"/>
      <c r="AW1303" s="92"/>
      <c r="AX1303" s="92"/>
    </row>
    <row r="1304" spans="2:50" s="50" customFormat="1" x14ac:dyDescent="0.2">
      <c r="B1304" s="77"/>
      <c r="C1304" s="77"/>
      <c r="D1304" s="77"/>
      <c r="E1304" s="77"/>
      <c r="F1304" s="77"/>
      <c r="G1304" s="77"/>
      <c r="H1304" s="77"/>
      <c r="I1304" s="77"/>
      <c r="J1304" s="77"/>
      <c r="K1304" s="77"/>
      <c r="L1304" s="77"/>
      <c r="M1304" s="77"/>
      <c r="N1304" s="77"/>
      <c r="O1304" s="77"/>
      <c r="P1304" s="77"/>
      <c r="Q1304" s="77"/>
      <c r="R1304" s="77"/>
      <c r="S1304" s="77"/>
      <c r="T1304" s="77"/>
      <c r="U1304" s="77"/>
      <c r="V1304" s="77"/>
      <c r="W1304" s="77"/>
      <c r="X1304" s="77"/>
      <c r="Y1304" s="77"/>
      <c r="Z1304" s="77"/>
      <c r="AA1304" s="46"/>
      <c r="AB1304" s="47" t="s">
        <v>833</v>
      </c>
      <c r="AC1304" s="47"/>
      <c r="AD1304" s="48">
        <f t="shared" ref="AD1304:AW1304" si="501">SUM(AD1213:AD1303)</f>
        <v>260924476092</v>
      </c>
      <c r="AE1304" s="48">
        <f t="shared" si="501"/>
        <v>18437721256.830002</v>
      </c>
      <c r="AF1304" s="49">
        <f t="shared" si="501"/>
        <v>0</v>
      </c>
      <c r="AG1304" s="48">
        <f t="shared" si="501"/>
        <v>5672720240</v>
      </c>
      <c r="AH1304" s="48">
        <f t="shared" si="501"/>
        <v>5672720240</v>
      </c>
      <c r="AI1304" s="48">
        <f t="shared" si="501"/>
        <v>18437721256.830002</v>
      </c>
      <c r="AJ1304" s="48">
        <f t="shared" si="501"/>
        <v>279362197348.82996</v>
      </c>
      <c r="AK1304" s="49">
        <f t="shared" si="501"/>
        <v>0</v>
      </c>
      <c r="AL1304" s="48">
        <f t="shared" si="501"/>
        <v>713678104</v>
      </c>
      <c r="AM1304" s="48">
        <f t="shared" si="501"/>
        <v>223135927680</v>
      </c>
      <c r="AN1304" s="48">
        <f t="shared" si="501"/>
        <v>0</v>
      </c>
      <c r="AO1304" s="48">
        <f t="shared" si="501"/>
        <v>18629413493.049995</v>
      </c>
      <c r="AP1304" s="48">
        <f t="shared" si="501"/>
        <v>117619457159.32999</v>
      </c>
      <c r="AQ1304" s="48">
        <f t="shared" si="501"/>
        <v>452766667</v>
      </c>
      <c r="AR1304" s="48">
        <f t="shared" si="501"/>
        <v>18847504304.049995</v>
      </c>
      <c r="AS1304" s="48">
        <f t="shared" si="501"/>
        <v>112080176112.32999</v>
      </c>
      <c r="AT1304" s="48">
        <f t="shared" si="501"/>
        <v>112532942779.32999</v>
      </c>
      <c r="AU1304" s="48">
        <f t="shared" si="501"/>
        <v>56226269668.829994</v>
      </c>
      <c r="AV1304" s="48">
        <f t="shared" si="501"/>
        <v>105516470520.67001</v>
      </c>
      <c r="AW1304" s="48">
        <f t="shared" si="501"/>
        <v>5086514380</v>
      </c>
      <c r="AX1304" s="24">
        <f>AP1304/AJ1304</f>
        <v>0.42102853670091456</v>
      </c>
    </row>
    <row r="1309" spans="2:50" ht="13.5" thickBot="1" x14ac:dyDescent="0.25">
      <c r="AB1309" s="152"/>
    </row>
    <row r="1310" spans="2:50" ht="15.75" x14ac:dyDescent="0.2">
      <c r="AB1310" s="153" t="s">
        <v>914</v>
      </c>
    </row>
    <row r="1311" spans="2:50" x14ac:dyDescent="0.2">
      <c r="AB1311" s="154" t="s">
        <v>916</v>
      </c>
    </row>
    <row r="1312" spans="2:50" x14ac:dyDescent="0.2">
      <c r="AB1312" s="154" t="s">
        <v>917</v>
      </c>
    </row>
    <row r="1316" spans="31:31" x14ac:dyDescent="0.2">
      <c r="AE1316" s="281"/>
    </row>
  </sheetData>
  <mergeCells count="23">
    <mergeCell ref="AJ7:AJ8"/>
    <mergeCell ref="A2:AW2"/>
    <mergeCell ref="A3:AW3"/>
    <mergeCell ref="A4:AW4"/>
    <mergeCell ref="A5:AW5"/>
    <mergeCell ref="A7:A9"/>
    <mergeCell ref="B7:B9"/>
    <mergeCell ref="AA7:AA9"/>
    <mergeCell ref="AB7:AB9"/>
    <mergeCell ref="AC7:AC9"/>
    <mergeCell ref="AD7:AD8"/>
    <mergeCell ref="AE7:AE8"/>
    <mergeCell ref="AF7:AF8"/>
    <mergeCell ref="AG7:AG8"/>
    <mergeCell ref="AH7:AH8"/>
    <mergeCell ref="AI7:AI8"/>
    <mergeCell ref="AX7:AX8"/>
    <mergeCell ref="AK7:AM7"/>
    <mergeCell ref="AN7:AP7"/>
    <mergeCell ref="AQ7:AS7"/>
    <mergeCell ref="AU7:AU8"/>
    <mergeCell ref="AV7:AV8"/>
    <mergeCell ref="AW7:AW8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BEF0F-F4B7-4A46-AE35-DC3C46E41F1E}">
  <dimension ref="A1:AZ1332"/>
  <sheetViews>
    <sheetView zoomScale="80" zoomScaleNormal="80" workbookViewId="0">
      <pane xSplit="29" ySplit="9" topLeftCell="AJ10" activePane="bottomRight" state="frozen"/>
      <selection pane="topRight" activeCell="AD1" sqref="AD1"/>
      <selection pane="bottomLeft" activeCell="A10" sqref="A10"/>
      <selection pane="bottomRight" activeCell="AQ17" sqref="AQ17"/>
    </sheetView>
  </sheetViews>
  <sheetFormatPr baseColWidth="10" defaultColWidth="9.140625" defaultRowHeight="12.75" x14ac:dyDescent="0.2"/>
  <cols>
    <col min="1" max="1" width="7" style="33" customWidth="1"/>
    <col min="2" max="2" width="38.42578125" style="51" hidden="1" customWidth="1"/>
    <col min="3" max="3" width="27.7109375" style="51" hidden="1" customWidth="1"/>
    <col min="4" max="4" width="18.7109375" style="51" hidden="1" customWidth="1"/>
    <col min="5" max="5" width="13.85546875" style="51" hidden="1" customWidth="1"/>
    <col min="6" max="6" width="14.42578125" style="51" hidden="1" customWidth="1"/>
    <col min="7" max="7" width="10.85546875" style="51" hidden="1" customWidth="1"/>
    <col min="8" max="8" width="9.85546875" style="51" hidden="1" customWidth="1"/>
    <col min="9" max="9" width="23" style="51" hidden="1" customWidth="1"/>
    <col min="10" max="10" width="14.5703125" style="51" hidden="1" customWidth="1"/>
    <col min="11" max="11" width="18.85546875" style="51" hidden="1" customWidth="1"/>
    <col min="12" max="12" width="12" style="51" hidden="1" customWidth="1"/>
    <col min="13" max="13" width="16.85546875" style="51" hidden="1" customWidth="1"/>
    <col min="14" max="14" width="20.5703125" style="51" hidden="1" customWidth="1"/>
    <col min="15" max="15" width="22.7109375" style="51" hidden="1" customWidth="1"/>
    <col min="16" max="16" width="29" style="51" hidden="1" customWidth="1"/>
    <col min="17" max="17" width="20" style="51" hidden="1" customWidth="1"/>
    <col min="18" max="19" width="23.5703125" style="51" hidden="1" customWidth="1"/>
    <col min="20" max="20" width="27.140625" style="51" hidden="1" customWidth="1"/>
    <col min="21" max="21" width="25.5703125" style="51" hidden="1" customWidth="1"/>
    <col min="22" max="22" width="18.85546875" style="51" hidden="1" customWidth="1"/>
    <col min="23" max="23" width="18.5703125" style="51" hidden="1" customWidth="1"/>
    <col min="24" max="24" width="20.85546875" style="51" hidden="1" customWidth="1"/>
    <col min="25" max="26" width="29.7109375" style="51" hidden="1" customWidth="1"/>
    <col min="27" max="27" width="37.5703125" style="99" customWidth="1"/>
    <col min="28" max="28" width="60.140625" style="51" customWidth="1"/>
    <col min="29" max="29" width="60.7109375" style="51" hidden="1" customWidth="1"/>
    <col min="30" max="30" width="23.42578125" style="33" customWidth="1"/>
    <col min="31" max="31" width="22.5703125" style="33" customWidth="1"/>
    <col min="32" max="32" width="20.7109375" style="33" customWidth="1"/>
    <col min="33" max="33" width="22" style="33" customWidth="1"/>
    <col min="34" max="34" width="27.85546875" style="33" customWidth="1"/>
    <col min="35" max="35" width="22.140625" style="33" customWidth="1"/>
    <col min="36" max="36" width="26" style="33" customWidth="1"/>
    <col min="37" max="37" width="24.140625" style="33" hidden="1" customWidth="1"/>
    <col min="38" max="39" width="27.7109375" style="33" hidden="1" customWidth="1"/>
    <col min="40" max="40" width="20.7109375" style="33" hidden="1" customWidth="1"/>
    <col min="41" max="41" width="22.42578125" style="33" hidden="1" customWidth="1"/>
    <col min="42" max="42" width="23.42578125" style="33" hidden="1" customWidth="1"/>
    <col min="43" max="43" width="20.7109375" style="33" customWidth="1"/>
    <col min="44" max="44" width="22.28515625" style="33" customWidth="1"/>
    <col min="45" max="45" width="23.7109375" style="33" customWidth="1"/>
    <col min="46" max="46" width="22.28515625" style="33" customWidth="1"/>
    <col min="47" max="47" width="23" style="33" customWidth="1"/>
    <col min="48" max="48" width="23.42578125" style="33" customWidth="1"/>
    <col min="49" max="49" width="24.140625" style="33" customWidth="1"/>
    <col min="50" max="50" width="12.140625" style="33" customWidth="1"/>
    <col min="51" max="281" width="9.140625" style="33"/>
    <col min="282" max="283" width="0" style="33" hidden="1" customWidth="1"/>
    <col min="284" max="284" width="29.42578125" style="33" customWidth="1"/>
    <col min="285" max="285" width="75.7109375" style="33" customWidth="1"/>
    <col min="286" max="286" width="0" style="33" hidden="1" customWidth="1"/>
    <col min="287" max="305" width="20.7109375" style="33" customWidth="1"/>
    <col min="306" max="306" width="12.140625" style="33" customWidth="1"/>
    <col min="307" max="537" width="9.140625" style="33"/>
    <col min="538" max="539" width="0" style="33" hidden="1" customWidth="1"/>
    <col min="540" max="540" width="29.42578125" style="33" customWidth="1"/>
    <col min="541" max="541" width="75.7109375" style="33" customWidth="1"/>
    <col min="542" max="542" width="0" style="33" hidden="1" customWidth="1"/>
    <col min="543" max="561" width="20.7109375" style="33" customWidth="1"/>
    <col min="562" max="562" width="12.140625" style="33" customWidth="1"/>
    <col min="563" max="793" width="9.140625" style="33"/>
    <col min="794" max="795" width="0" style="33" hidden="1" customWidth="1"/>
    <col min="796" max="796" width="29.42578125" style="33" customWidth="1"/>
    <col min="797" max="797" width="75.7109375" style="33" customWidth="1"/>
    <col min="798" max="798" width="0" style="33" hidden="1" customWidth="1"/>
    <col min="799" max="817" width="20.7109375" style="33" customWidth="1"/>
    <col min="818" max="818" width="12.140625" style="33" customWidth="1"/>
    <col min="819" max="1049" width="9.140625" style="33"/>
    <col min="1050" max="1051" width="0" style="33" hidden="1" customWidth="1"/>
    <col min="1052" max="1052" width="29.42578125" style="33" customWidth="1"/>
    <col min="1053" max="1053" width="75.7109375" style="33" customWidth="1"/>
    <col min="1054" max="1054" width="0" style="33" hidden="1" customWidth="1"/>
    <col min="1055" max="1073" width="20.7109375" style="33" customWidth="1"/>
    <col min="1074" max="1074" width="12.140625" style="33" customWidth="1"/>
    <col min="1075" max="1305" width="9.140625" style="33"/>
    <col min="1306" max="1307" width="0" style="33" hidden="1" customWidth="1"/>
    <col min="1308" max="1308" width="29.42578125" style="33" customWidth="1"/>
    <col min="1309" max="1309" width="75.7109375" style="33" customWidth="1"/>
    <col min="1310" max="1310" width="0" style="33" hidden="1" customWidth="1"/>
    <col min="1311" max="1329" width="20.7109375" style="33" customWidth="1"/>
    <col min="1330" max="1330" width="12.140625" style="33" customWidth="1"/>
    <col min="1331" max="1561" width="9.140625" style="33"/>
    <col min="1562" max="1563" width="0" style="33" hidden="1" customWidth="1"/>
    <col min="1564" max="1564" width="29.42578125" style="33" customWidth="1"/>
    <col min="1565" max="1565" width="75.7109375" style="33" customWidth="1"/>
    <col min="1566" max="1566" width="0" style="33" hidden="1" customWidth="1"/>
    <col min="1567" max="1585" width="20.7109375" style="33" customWidth="1"/>
    <col min="1586" max="1586" width="12.140625" style="33" customWidth="1"/>
    <col min="1587" max="1817" width="9.140625" style="33"/>
    <col min="1818" max="1819" width="0" style="33" hidden="1" customWidth="1"/>
    <col min="1820" max="1820" width="29.42578125" style="33" customWidth="1"/>
    <col min="1821" max="1821" width="75.7109375" style="33" customWidth="1"/>
    <col min="1822" max="1822" width="0" style="33" hidden="1" customWidth="1"/>
    <col min="1823" max="1841" width="20.7109375" style="33" customWidth="1"/>
    <col min="1842" max="1842" width="12.140625" style="33" customWidth="1"/>
    <col min="1843" max="2073" width="9.140625" style="33"/>
    <col min="2074" max="2075" width="0" style="33" hidden="1" customWidth="1"/>
    <col min="2076" max="2076" width="29.42578125" style="33" customWidth="1"/>
    <col min="2077" max="2077" width="75.7109375" style="33" customWidth="1"/>
    <col min="2078" max="2078" width="0" style="33" hidden="1" customWidth="1"/>
    <col min="2079" max="2097" width="20.7109375" style="33" customWidth="1"/>
    <col min="2098" max="2098" width="12.140625" style="33" customWidth="1"/>
    <col min="2099" max="2329" width="9.140625" style="33"/>
    <col min="2330" max="2331" width="0" style="33" hidden="1" customWidth="1"/>
    <col min="2332" max="2332" width="29.42578125" style="33" customWidth="1"/>
    <col min="2333" max="2333" width="75.7109375" style="33" customWidth="1"/>
    <col min="2334" max="2334" width="0" style="33" hidden="1" customWidth="1"/>
    <col min="2335" max="2353" width="20.7109375" style="33" customWidth="1"/>
    <col min="2354" max="2354" width="12.140625" style="33" customWidth="1"/>
    <col min="2355" max="2585" width="9.140625" style="33"/>
    <col min="2586" max="2587" width="0" style="33" hidden="1" customWidth="1"/>
    <col min="2588" max="2588" width="29.42578125" style="33" customWidth="1"/>
    <col min="2589" max="2589" width="75.7109375" style="33" customWidth="1"/>
    <col min="2590" max="2590" width="0" style="33" hidden="1" customWidth="1"/>
    <col min="2591" max="2609" width="20.7109375" style="33" customWidth="1"/>
    <col min="2610" max="2610" width="12.140625" style="33" customWidth="1"/>
    <col min="2611" max="2841" width="9.140625" style="33"/>
    <col min="2842" max="2843" width="0" style="33" hidden="1" customWidth="1"/>
    <col min="2844" max="2844" width="29.42578125" style="33" customWidth="1"/>
    <col min="2845" max="2845" width="75.7109375" style="33" customWidth="1"/>
    <col min="2846" max="2846" width="0" style="33" hidden="1" customWidth="1"/>
    <col min="2847" max="2865" width="20.7109375" style="33" customWidth="1"/>
    <col min="2866" max="2866" width="12.140625" style="33" customWidth="1"/>
    <col min="2867" max="3097" width="9.140625" style="33"/>
    <col min="3098" max="3099" width="0" style="33" hidden="1" customWidth="1"/>
    <col min="3100" max="3100" width="29.42578125" style="33" customWidth="1"/>
    <col min="3101" max="3101" width="75.7109375" style="33" customWidth="1"/>
    <col min="3102" max="3102" width="0" style="33" hidden="1" customWidth="1"/>
    <col min="3103" max="3121" width="20.7109375" style="33" customWidth="1"/>
    <col min="3122" max="3122" width="12.140625" style="33" customWidth="1"/>
    <col min="3123" max="3353" width="9.140625" style="33"/>
    <col min="3354" max="3355" width="0" style="33" hidden="1" customWidth="1"/>
    <col min="3356" max="3356" width="29.42578125" style="33" customWidth="1"/>
    <col min="3357" max="3357" width="75.7109375" style="33" customWidth="1"/>
    <col min="3358" max="3358" width="0" style="33" hidden="1" customWidth="1"/>
    <col min="3359" max="3377" width="20.7109375" style="33" customWidth="1"/>
    <col min="3378" max="3378" width="12.140625" style="33" customWidth="1"/>
    <col min="3379" max="3609" width="9.140625" style="33"/>
    <col min="3610" max="3611" width="0" style="33" hidden="1" customWidth="1"/>
    <col min="3612" max="3612" width="29.42578125" style="33" customWidth="1"/>
    <col min="3613" max="3613" width="75.7109375" style="33" customWidth="1"/>
    <col min="3614" max="3614" width="0" style="33" hidden="1" customWidth="1"/>
    <col min="3615" max="3633" width="20.7109375" style="33" customWidth="1"/>
    <col min="3634" max="3634" width="12.140625" style="33" customWidth="1"/>
    <col min="3635" max="3865" width="9.140625" style="33"/>
    <col min="3866" max="3867" width="0" style="33" hidden="1" customWidth="1"/>
    <col min="3868" max="3868" width="29.42578125" style="33" customWidth="1"/>
    <col min="3869" max="3869" width="75.7109375" style="33" customWidth="1"/>
    <col min="3870" max="3870" width="0" style="33" hidden="1" customWidth="1"/>
    <col min="3871" max="3889" width="20.7109375" style="33" customWidth="1"/>
    <col min="3890" max="3890" width="12.140625" style="33" customWidth="1"/>
    <col min="3891" max="4121" width="9.140625" style="33"/>
    <col min="4122" max="4123" width="0" style="33" hidden="1" customWidth="1"/>
    <col min="4124" max="4124" width="29.42578125" style="33" customWidth="1"/>
    <col min="4125" max="4125" width="75.7109375" style="33" customWidth="1"/>
    <col min="4126" max="4126" width="0" style="33" hidden="1" customWidth="1"/>
    <col min="4127" max="4145" width="20.7109375" style="33" customWidth="1"/>
    <col min="4146" max="4146" width="12.140625" style="33" customWidth="1"/>
    <col min="4147" max="4377" width="9.140625" style="33"/>
    <col min="4378" max="4379" width="0" style="33" hidden="1" customWidth="1"/>
    <col min="4380" max="4380" width="29.42578125" style="33" customWidth="1"/>
    <col min="4381" max="4381" width="75.7109375" style="33" customWidth="1"/>
    <col min="4382" max="4382" width="0" style="33" hidden="1" customWidth="1"/>
    <col min="4383" max="4401" width="20.7109375" style="33" customWidth="1"/>
    <col min="4402" max="4402" width="12.140625" style="33" customWidth="1"/>
    <col min="4403" max="4633" width="9.140625" style="33"/>
    <col min="4634" max="4635" width="0" style="33" hidden="1" customWidth="1"/>
    <col min="4636" max="4636" width="29.42578125" style="33" customWidth="1"/>
    <col min="4637" max="4637" width="75.7109375" style="33" customWidth="1"/>
    <col min="4638" max="4638" width="0" style="33" hidden="1" customWidth="1"/>
    <col min="4639" max="4657" width="20.7109375" style="33" customWidth="1"/>
    <col min="4658" max="4658" width="12.140625" style="33" customWidth="1"/>
    <col min="4659" max="4889" width="9.140625" style="33"/>
    <col min="4890" max="4891" width="0" style="33" hidden="1" customWidth="1"/>
    <col min="4892" max="4892" width="29.42578125" style="33" customWidth="1"/>
    <col min="4893" max="4893" width="75.7109375" style="33" customWidth="1"/>
    <col min="4894" max="4894" width="0" style="33" hidden="1" customWidth="1"/>
    <col min="4895" max="4913" width="20.7109375" style="33" customWidth="1"/>
    <col min="4914" max="4914" width="12.140625" style="33" customWidth="1"/>
    <col min="4915" max="5145" width="9.140625" style="33"/>
    <col min="5146" max="5147" width="0" style="33" hidden="1" customWidth="1"/>
    <col min="5148" max="5148" width="29.42578125" style="33" customWidth="1"/>
    <col min="5149" max="5149" width="75.7109375" style="33" customWidth="1"/>
    <col min="5150" max="5150" width="0" style="33" hidden="1" customWidth="1"/>
    <col min="5151" max="5169" width="20.7109375" style="33" customWidth="1"/>
    <col min="5170" max="5170" width="12.140625" style="33" customWidth="1"/>
    <col min="5171" max="5401" width="9.140625" style="33"/>
    <col min="5402" max="5403" width="0" style="33" hidden="1" customWidth="1"/>
    <col min="5404" max="5404" width="29.42578125" style="33" customWidth="1"/>
    <col min="5405" max="5405" width="75.7109375" style="33" customWidth="1"/>
    <col min="5406" max="5406" width="0" style="33" hidden="1" customWidth="1"/>
    <col min="5407" max="5425" width="20.7109375" style="33" customWidth="1"/>
    <col min="5426" max="5426" width="12.140625" style="33" customWidth="1"/>
    <col min="5427" max="5657" width="9.140625" style="33"/>
    <col min="5658" max="5659" width="0" style="33" hidden="1" customWidth="1"/>
    <col min="5660" max="5660" width="29.42578125" style="33" customWidth="1"/>
    <col min="5661" max="5661" width="75.7109375" style="33" customWidth="1"/>
    <col min="5662" max="5662" width="0" style="33" hidden="1" customWidth="1"/>
    <col min="5663" max="5681" width="20.7109375" style="33" customWidth="1"/>
    <col min="5682" max="5682" width="12.140625" style="33" customWidth="1"/>
    <col min="5683" max="5913" width="9.140625" style="33"/>
    <col min="5914" max="5915" width="0" style="33" hidden="1" customWidth="1"/>
    <col min="5916" max="5916" width="29.42578125" style="33" customWidth="1"/>
    <col min="5917" max="5917" width="75.7109375" style="33" customWidth="1"/>
    <col min="5918" max="5918" width="0" style="33" hidden="1" customWidth="1"/>
    <col min="5919" max="5937" width="20.7109375" style="33" customWidth="1"/>
    <col min="5938" max="5938" width="12.140625" style="33" customWidth="1"/>
    <col min="5939" max="6169" width="9.140625" style="33"/>
    <col min="6170" max="6171" width="0" style="33" hidden="1" customWidth="1"/>
    <col min="6172" max="6172" width="29.42578125" style="33" customWidth="1"/>
    <col min="6173" max="6173" width="75.7109375" style="33" customWidth="1"/>
    <col min="6174" max="6174" width="0" style="33" hidden="1" customWidth="1"/>
    <col min="6175" max="6193" width="20.7109375" style="33" customWidth="1"/>
    <col min="6194" max="6194" width="12.140625" style="33" customWidth="1"/>
    <col min="6195" max="6425" width="9.140625" style="33"/>
    <col min="6426" max="6427" width="0" style="33" hidden="1" customWidth="1"/>
    <col min="6428" max="6428" width="29.42578125" style="33" customWidth="1"/>
    <col min="6429" max="6429" width="75.7109375" style="33" customWidth="1"/>
    <col min="6430" max="6430" width="0" style="33" hidden="1" customWidth="1"/>
    <col min="6431" max="6449" width="20.7109375" style="33" customWidth="1"/>
    <col min="6450" max="6450" width="12.140625" style="33" customWidth="1"/>
    <col min="6451" max="6681" width="9.140625" style="33"/>
    <col min="6682" max="6683" width="0" style="33" hidden="1" customWidth="1"/>
    <col min="6684" max="6684" width="29.42578125" style="33" customWidth="1"/>
    <col min="6685" max="6685" width="75.7109375" style="33" customWidth="1"/>
    <col min="6686" max="6686" width="0" style="33" hidden="1" customWidth="1"/>
    <col min="6687" max="6705" width="20.7109375" style="33" customWidth="1"/>
    <col min="6706" max="6706" width="12.140625" style="33" customWidth="1"/>
    <col min="6707" max="6937" width="9.140625" style="33"/>
    <col min="6938" max="6939" width="0" style="33" hidden="1" customWidth="1"/>
    <col min="6940" max="6940" width="29.42578125" style="33" customWidth="1"/>
    <col min="6941" max="6941" width="75.7109375" style="33" customWidth="1"/>
    <col min="6942" max="6942" width="0" style="33" hidden="1" customWidth="1"/>
    <col min="6943" max="6961" width="20.7109375" style="33" customWidth="1"/>
    <col min="6962" max="6962" width="12.140625" style="33" customWidth="1"/>
    <col min="6963" max="7193" width="9.140625" style="33"/>
    <col min="7194" max="7195" width="0" style="33" hidden="1" customWidth="1"/>
    <col min="7196" max="7196" width="29.42578125" style="33" customWidth="1"/>
    <col min="7197" max="7197" width="75.7109375" style="33" customWidth="1"/>
    <col min="7198" max="7198" width="0" style="33" hidden="1" customWidth="1"/>
    <col min="7199" max="7217" width="20.7109375" style="33" customWidth="1"/>
    <col min="7218" max="7218" width="12.140625" style="33" customWidth="1"/>
    <col min="7219" max="7449" width="9.140625" style="33"/>
    <col min="7450" max="7451" width="0" style="33" hidden="1" customWidth="1"/>
    <col min="7452" max="7452" width="29.42578125" style="33" customWidth="1"/>
    <col min="7453" max="7453" width="75.7109375" style="33" customWidth="1"/>
    <col min="7454" max="7454" width="0" style="33" hidden="1" customWidth="1"/>
    <col min="7455" max="7473" width="20.7109375" style="33" customWidth="1"/>
    <col min="7474" max="7474" width="12.140625" style="33" customWidth="1"/>
    <col min="7475" max="7705" width="9.140625" style="33"/>
    <col min="7706" max="7707" width="0" style="33" hidden="1" customWidth="1"/>
    <col min="7708" max="7708" width="29.42578125" style="33" customWidth="1"/>
    <col min="7709" max="7709" width="75.7109375" style="33" customWidth="1"/>
    <col min="7710" max="7710" width="0" style="33" hidden="1" customWidth="1"/>
    <col min="7711" max="7729" width="20.7109375" style="33" customWidth="1"/>
    <col min="7730" max="7730" width="12.140625" style="33" customWidth="1"/>
    <col min="7731" max="7961" width="9.140625" style="33"/>
    <col min="7962" max="7963" width="0" style="33" hidden="1" customWidth="1"/>
    <col min="7964" max="7964" width="29.42578125" style="33" customWidth="1"/>
    <col min="7965" max="7965" width="75.7109375" style="33" customWidth="1"/>
    <col min="7966" max="7966" width="0" style="33" hidden="1" customWidth="1"/>
    <col min="7967" max="7985" width="20.7109375" style="33" customWidth="1"/>
    <col min="7986" max="7986" width="12.140625" style="33" customWidth="1"/>
    <col min="7987" max="8217" width="9.140625" style="33"/>
    <col min="8218" max="8219" width="0" style="33" hidden="1" customWidth="1"/>
    <col min="8220" max="8220" width="29.42578125" style="33" customWidth="1"/>
    <col min="8221" max="8221" width="75.7109375" style="33" customWidth="1"/>
    <col min="8222" max="8222" width="0" style="33" hidden="1" customWidth="1"/>
    <col min="8223" max="8241" width="20.7109375" style="33" customWidth="1"/>
    <col min="8242" max="8242" width="12.140625" style="33" customWidth="1"/>
    <col min="8243" max="8473" width="9.140625" style="33"/>
    <col min="8474" max="8475" width="0" style="33" hidden="1" customWidth="1"/>
    <col min="8476" max="8476" width="29.42578125" style="33" customWidth="1"/>
    <col min="8477" max="8477" width="75.7109375" style="33" customWidth="1"/>
    <col min="8478" max="8478" width="0" style="33" hidden="1" customWidth="1"/>
    <col min="8479" max="8497" width="20.7109375" style="33" customWidth="1"/>
    <col min="8498" max="8498" width="12.140625" style="33" customWidth="1"/>
    <col min="8499" max="8729" width="9.140625" style="33"/>
    <col min="8730" max="8731" width="0" style="33" hidden="1" customWidth="1"/>
    <col min="8732" max="8732" width="29.42578125" style="33" customWidth="1"/>
    <col min="8733" max="8733" width="75.7109375" style="33" customWidth="1"/>
    <col min="8734" max="8734" width="0" style="33" hidden="1" customWidth="1"/>
    <col min="8735" max="8753" width="20.7109375" style="33" customWidth="1"/>
    <col min="8754" max="8754" width="12.140625" style="33" customWidth="1"/>
    <col min="8755" max="8985" width="9.140625" style="33"/>
    <col min="8986" max="8987" width="0" style="33" hidden="1" customWidth="1"/>
    <col min="8988" max="8988" width="29.42578125" style="33" customWidth="1"/>
    <col min="8989" max="8989" width="75.7109375" style="33" customWidth="1"/>
    <col min="8990" max="8990" width="0" style="33" hidden="1" customWidth="1"/>
    <col min="8991" max="9009" width="20.7109375" style="33" customWidth="1"/>
    <col min="9010" max="9010" width="12.140625" style="33" customWidth="1"/>
    <col min="9011" max="9241" width="9.140625" style="33"/>
    <col min="9242" max="9243" width="0" style="33" hidden="1" customWidth="1"/>
    <col min="9244" max="9244" width="29.42578125" style="33" customWidth="1"/>
    <col min="9245" max="9245" width="75.7109375" style="33" customWidth="1"/>
    <col min="9246" max="9246" width="0" style="33" hidden="1" customWidth="1"/>
    <col min="9247" max="9265" width="20.7109375" style="33" customWidth="1"/>
    <col min="9266" max="9266" width="12.140625" style="33" customWidth="1"/>
    <col min="9267" max="9497" width="9.140625" style="33"/>
    <col min="9498" max="9499" width="0" style="33" hidden="1" customWidth="1"/>
    <col min="9500" max="9500" width="29.42578125" style="33" customWidth="1"/>
    <col min="9501" max="9501" width="75.7109375" style="33" customWidth="1"/>
    <col min="9502" max="9502" width="0" style="33" hidden="1" customWidth="1"/>
    <col min="9503" max="9521" width="20.7109375" style="33" customWidth="1"/>
    <col min="9522" max="9522" width="12.140625" style="33" customWidth="1"/>
    <col min="9523" max="9753" width="9.140625" style="33"/>
    <col min="9754" max="9755" width="0" style="33" hidden="1" customWidth="1"/>
    <col min="9756" max="9756" width="29.42578125" style="33" customWidth="1"/>
    <col min="9757" max="9757" width="75.7109375" style="33" customWidth="1"/>
    <col min="9758" max="9758" width="0" style="33" hidden="1" customWidth="1"/>
    <col min="9759" max="9777" width="20.7109375" style="33" customWidth="1"/>
    <col min="9778" max="9778" width="12.140625" style="33" customWidth="1"/>
    <col min="9779" max="10009" width="9.140625" style="33"/>
    <col min="10010" max="10011" width="0" style="33" hidden="1" customWidth="1"/>
    <col min="10012" max="10012" width="29.42578125" style="33" customWidth="1"/>
    <col min="10013" max="10013" width="75.7109375" style="33" customWidth="1"/>
    <col min="10014" max="10014" width="0" style="33" hidden="1" customWidth="1"/>
    <col min="10015" max="10033" width="20.7109375" style="33" customWidth="1"/>
    <col min="10034" max="10034" width="12.140625" style="33" customWidth="1"/>
    <col min="10035" max="10265" width="9.140625" style="33"/>
    <col min="10266" max="10267" width="0" style="33" hidden="1" customWidth="1"/>
    <col min="10268" max="10268" width="29.42578125" style="33" customWidth="1"/>
    <col min="10269" max="10269" width="75.7109375" style="33" customWidth="1"/>
    <col min="10270" max="10270" width="0" style="33" hidden="1" customWidth="1"/>
    <col min="10271" max="10289" width="20.7109375" style="33" customWidth="1"/>
    <col min="10290" max="10290" width="12.140625" style="33" customWidth="1"/>
    <col min="10291" max="10521" width="9.140625" style="33"/>
    <col min="10522" max="10523" width="0" style="33" hidden="1" customWidth="1"/>
    <col min="10524" max="10524" width="29.42578125" style="33" customWidth="1"/>
    <col min="10525" max="10525" width="75.7109375" style="33" customWidth="1"/>
    <col min="10526" max="10526" width="0" style="33" hidden="1" customWidth="1"/>
    <col min="10527" max="10545" width="20.7109375" style="33" customWidth="1"/>
    <col min="10546" max="10546" width="12.140625" style="33" customWidth="1"/>
    <col min="10547" max="10777" width="9.140625" style="33"/>
    <col min="10778" max="10779" width="0" style="33" hidden="1" customWidth="1"/>
    <col min="10780" max="10780" width="29.42578125" style="33" customWidth="1"/>
    <col min="10781" max="10781" width="75.7109375" style="33" customWidth="1"/>
    <col min="10782" max="10782" width="0" style="33" hidden="1" customWidth="1"/>
    <col min="10783" max="10801" width="20.7109375" style="33" customWidth="1"/>
    <col min="10802" max="10802" width="12.140625" style="33" customWidth="1"/>
    <col min="10803" max="11033" width="9.140625" style="33"/>
    <col min="11034" max="11035" width="0" style="33" hidden="1" customWidth="1"/>
    <col min="11036" max="11036" width="29.42578125" style="33" customWidth="1"/>
    <col min="11037" max="11037" width="75.7109375" style="33" customWidth="1"/>
    <col min="11038" max="11038" width="0" style="33" hidden="1" customWidth="1"/>
    <col min="11039" max="11057" width="20.7109375" style="33" customWidth="1"/>
    <col min="11058" max="11058" width="12.140625" style="33" customWidth="1"/>
    <col min="11059" max="11289" width="9.140625" style="33"/>
    <col min="11290" max="11291" width="0" style="33" hidden="1" customWidth="1"/>
    <col min="11292" max="11292" width="29.42578125" style="33" customWidth="1"/>
    <col min="11293" max="11293" width="75.7109375" style="33" customWidth="1"/>
    <col min="11294" max="11294" width="0" style="33" hidden="1" customWidth="1"/>
    <col min="11295" max="11313" width="20.7109375" style="33" customWidth="1"/>
    <col min="11314" max="11314" width="12.140625" style="33" customWidth="1"/>
    <col min="11315" max="11545" width="9.140625" style="33"/>
    <col min="11546" max="11547" width="0" style="33" hidden="1" customWidth="1"/>
    <col min="11548" max="11548" width="29.42578125" style="33" customWidth="1"/>
    <col min="11549" max="11549" width="75.7109375" style="33" customWidth="1"/>
    <col min="11550" max="11550" width="0" style="33" hidden="1" customWidth="1"/>
    <col min="11551" max="11569" width="20.7109375" style="33" customWidth="1"/>
    <col min="11570" max="11570" width="12.140625" style="33" customWidth="1"/>
    <col min="11571" max="11801" width="9.140625" style="33"/>
    <col min="11802" max="11803" width="0" style="33" hidden="1" customWidth="1"/>
    <col min="11804" max="11804" width="29.42578125" style="33" customWidth="1"/>
    <col min="11805" max="11805" width="75.7109375" style="33" customWidth="1"/>
    <col min="11806" max="11806" width="0" style="33" hidden="1" customWidth="1"/>
    <col min="11807" max="11825" width="20.7109375" style="33" customWidth="1"/>
    <col min="11826" max="11826" width="12.140625" style="33" customWidth="1"/>
    <col min="11827" max="12057" width="9.140625" style="33"/>
    <col min="12058" max="12059" width="0" style="33" hidden="1" customWidth="1"/>
    <col min="12060" max="12060" width="29.42578125" style="33" customWidth="1"/>
    <col min="12061" max="12061" width="75.7109375" style="33" customWidth="1"/>
    <col min="12062" max="12062" width="0" style="33" hidden="1" customWidth="1"/>
    <col min="12063" max="12081" width="20.7109375" style="33" customWidth="1"/>
    <col min="12082" max="12082" width="12.140625" style="33" customWidth="1"/>
    <col min="12083" max="12313" width="9.140625" style="33"/>
    <col min="12314" max="12315" width="0" style="33" hidden="1" customWidth="1"/>
    <col min="12316" max="12316" width="29.42578125" style="33" customWidth="1"/>
    <col min="12317" max="12317" width="75.7109375" style="33" customWidth="1"/>
    <col min="12318" max="12318" width="0" style="33" hidden="1" customWidth="1"/>
    <col min="12319" max="12337" width="20.7109375" style="33" customWidth="1"/>
    <col min="12338" max="12338" width="12.140625" style="33" customWidth="1"/>
    <col min="12339" max="12569" width="9.140625" style="33"/>
    <col min="12570" max="12571" width="0" style="33" hidden="1" customWidth="1"/>
    <col min="12572" max="12572" width="29.42578125" style="33" customWidth="1"/>
    <col min="12573" max="12573" width="75.7109375" style="33" customWidth="1"/>
    <col min="12574" max="12574" width="0" style="33" hidden="1" customWidth="1"/>
    <col min="12575" max="12593" width="20.7109375" style="33" customWidth="1"/>
    <col min="12594" max="12594" width="12.140625" style="33" customWidth="1"/>
    <col min="12595" max="12825" width="9.140625" style="33"/>
    <col min="12826" max="12827" width="0" style="33" hidden="1" customWidth="1"/>
    <col min="12828" max="12828" width="29.42578125" style="33" customWidth="1"/>
    <col min="12829" max="12829" width="75.7109375" style="33" customWidth="1"/>
    <col min="12830" max="12830" width="0" style="33" hidden="1" customWidth="1"/>
    <col min="12831" max="12849" width="20.7109375" style="33" customWidth="1"/>
    <col min="12850" max="12850" width="12.140625" style="33" customWidth="1"/>
    <col min="12851" max="13081" width="9.140625" style="33"/>
    <col min="13082" max="13083" width="0" style="33" hidden="1" customWidth="1"/>
    <col min="13084" max="13084" width="29.42578125" style="33" customWidth="1"/>
    <col min="13085" max="13085" width="75.7109375" style="33" customWidth="1"/>
    <col min="13086" max="13086" width="0" style="33" hidden="1" customWidth="1"/>
    <col min="13087" max="13105" width="20.7109375" style="33" customWidth="1"/>
    <col min="13106" max="13106" width="12.140625" style="33" customWidth="1"/>
    <col min="13107" max="13337" width="9.140625" style="33"/>
    <col min="13338" max="13339" width="0" style="33" hidden="1" customWidth="1"/>
    <col min="13340" max="13340" width="29.42578125" style="33" customWidth="1"/>
    <col min="13341" max="13341" width="75.7109375" style="33" customWidth="1"/>
    <col min="13342" max="13342" width="0" style="33" hidden="1" customWidth="1"/>
    <col min="13343" max="13361" width="20.7109375" style="33" customWidth="1"/>
    <col min="13362" max="13362" width="12.140625" style="33" customWidth="1"/>
    <col min="13363" max="13593" width="9.140625" style="33"/>
    <col min="13594" max="13595" width="0" style="33" hidden="1" customWidth="1"/>
    <col min="13596" max="13596" width="29.42578125" style="33" customWidth="1"/>
    <col min="13597" max="13597" width="75.7109375" style="33" customWidth="1"/>
    <col min="13598" max="13598" width="0" style="33" hidden="1" customWidth="1"/>
    <col min="13599" max="13617" width="20.7109375" style="33" customWidth="1"/>
    <col min="13618" max="13618" width="12.140625" style="33" customWidth="1"/>
    <col min="13619" max="13849" width="9.140625" style="33"/>
    <col min="13850" max="13851" width="0" style="33" hidden="1" customWidth="1"/>
    <col min="13852" max="13852" width="29.42578125" style="33" customWidth="1"/>
    <col min="13853" max="13853" width="75.7109375" style="33" customWidth="1"/>
    <col min="13854" max="13854" width="0" style="33" hidden="1" customWidth="1"/>
    <col min="13855" max="13873" width="20.7109375" style="33" customWidth="1"/>
    <col min="13874" max="13874" width="12.140625" style="33" customWidth="1"/>
    <col min="13875" max="14105" width="9.140625" style="33"/>
    <col min="14106" max="14107" width="0" style="33" hidden="1" customWidth="1"/>
    <col min="14108" max="14108" width="29.42578125" style="33" customWidth="1"/>
    <col min="14109" max="14109" width="75.7109375" style="33" customWidth="1"/>
    <col min="14110" max="14110" width="0" style="33" hidden="1" customWidth="1"/>
    <col min="14111" max="14129" width="20.7109375" style="33" customWidth="1"/>
    <col min="14130" max="14130" width="12.140625" style="33" customWidth="1"/>
    <col min="14131" max="14361" width="9.140625" style="33"/>
    <col min="14362" max="14363" width="0" style="33" hidden="1" customWidth="1"/>
    <col min="14364" max="14364" width="29.42578125" style="33" customWidth="1"/>
    <col min="14365" max="14365" width="75.7109375" style="33" customWidth="1"/>
    <col min="14366" max="14366" width="0" style="33" hidden="1" customWidth="1"/>
    <col min="14367" max="14385" width="20.7109375" style="33" customWidth="1"/>
    <col min="14386" max="14386" width="12.140625" style="33" customWidth="1"/>
    <col min="14387" max="14617" width="9.140625" style="33"/>
    <col min="14618" max="14619" width="0" style="33" hidden="1" customWidth="1"/>
    <col min="14620" max="14620" width="29.42578125" style="33" customWidth="1"/>
    <col min="14621" max="14621" width="75.7109375" style="33" customWidth="1"/>
    <col min="14622" max="14622" width="0" style="33" hidden="1" customWidth="1"/>
    <col min="14623" max="14641" width="20.7109375" style="33" customWidth="1"/>
    <col min="14642" max="14642" width="12.140625" style="33" customWidth="1"/>
    <col min="14643" max="14873" width="9.140625" style="33"/>
    <col min="14874" max="14875" width="0" style="33" hidden="1" customWidth="1"/>
    <col min="14876" max="14876" width="29.42578125" style="33" customWidth="1"/>
    <col min="14877" max="14877" width="75.7109375" style="33" customWidth="1"/>
    <col min="14878" max="14878" width="0" style="33" hidden="1" customWidth="1"/>
    <col min="14879" max="14897" width="20.7109375" style="33" customWidth="1"/>
    <col min="14898" max="14898" width="12.140625" style="33" customWidth="1"/>
    <col min="14899" max="15129" width="9.140625" style="33"/>
    <col min="15130" max="15131" width="0" style="33" hidden="1" customWidth="1"/>
    <col min="15132" max="15132" width="29.42578125" style="33" customWidth="1"/>
    <col min="15133" max="15133" width="75.7109375" style="33" customWidth="1"/>
    <col min="15134" max="15134" width="0" style="33" hidden="1" customWidth="1"/>
    <col min="15135" max="15153" width="20.7109375" style="33" customWidth="1"/>
    <col min="15154" max="15154" width="12.140625" style="33" customWidth="1"/>
    <col min="15155" max="15385" width="9.140625" style="33"/>
    <col min="15386" max="15387" width="0" style="33" hidden="1" customWidth="1"/>
    <col min="15388" max="15388" width="29.42578125" style="33" customWidth="1"/>
    <col min="15389" max="15389" width="75.7109375" style="33" customWidth="1"/>
    <col min="15390" max="15390" width="0" style="33" hidden="1" customWidth="1"/>
    <col min="15391" max="15409" width="20.7109375" style="33" customWidth="1"/>
    <col min="15410" max="15410" width="12.140625" style="33" customWidth="1"/>
    <col min="15411" max="15641" width="9.140625" style="33"/>
    <col min="15642" max="15643" width="0" style="33" hidden="1" customWidth="1"/>
    <col min="15644" max="15644" width="29.42578125" style="33" customWidth="1"/>
    <col min="15645" max="15645" width="75.7109375" style="33" customWidth="1"/>
    <col min="15646" max="15646" width="0" style="33" hidden="1" customWidth="1"/>
    <col min="15647" max="15665" width="20.7109375" style="33" customWidth="1"/>
    <col min="15666" max="15666" width="12.140625" style="33" customWidth="1"/>
    <col min="15667" max="15897" width="9.140625" style="33"/>
    <col min="15898" max="15899" width="0" style="33" hidden="1" customWidth="1"/>
    <col min="15900" max="15900" width="29.42578125" style="33" customWidth="1"/>
    <col min="15901" max="15901" width="75.7109375" style="33" customWidth="1"/>
    <col min="15902" max="15902" width="0" style="33" hidden="1" customWidth="1"/>
    <col min="15903" max="15921" width="20.7109375" style="33" customWidth="1"/>
    <col min="15922" max="15922" width="12.140625" style="33" customWidth="1"/>
    <col min="15923" max="16153" width="9.140625" style="33"/>
    <col min="16154" max="16155" width="0" style="33" hidden="1" customWidth="1"/>
    <col min="16156" max="16156" width="29.42578125" style="33" customWidth="1"/>
    <col min="16157" max="16157" width="75.7109375" style="33" customWidth="1"/>
    <col min="16158" max="16158" width="0" style="33" hidden="1" customWidth="1"/>
    <col min="16159" max="16177" width="20.7109375" style="33" customWidth="1"/>
    <col min="16178" max="16178" width="12.140625" style="33" customWidth="1"/>
    <col min="16179" max="16384" width="9.140625" style="33"/>
  </cols>
  <sheetData>
    <row r="1" spans="1:50" s="1" customFormat="1" x14ac:dyDescent="0.2">
      <c r="AA1" s="2"/>
      <c r="AB1" s="3"/>
    </row>
    <row r="2" spans="1:50" s="4" customFormat="1" ht="20.25" x14ac:dyDescent="0.3">
      <c r="A2" s="339" t="s">
        <v>0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</row>
    <row r="3" spans="1:50" s="4" customFormat="1" ht="20.25" x14ac:dyDescent="0.3">
      <c r="A3" s="339" t="s">
        <v>1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</row>
    <row r="4" spans="1:50" s="4" customFormat="1" ht="20.25" x14ac:dyDescent="0.3">
      <c r="A4" s="339" t="s">
        <v>915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</row>
    <row r="5" spans="1:50" s="4" customFormat="1" ht="20.25" x14ac:dyDescent="0.3">
      <c r="A5" s="339" t="s">
        <v>1287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 s="339"/>
      <c r="AU5" s="339"/>
      <c r="AV5" s="339"/>
      <c r="AW5" s="339"/>
    </row>
    <row r="6" spans="1:50" s="4" customFormat="1" ht="16.5" customHeight="1" x14ac:dyDescent="0.3">
      <c r="A6" s="284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6"/>
      <c r="AB6" s="7"/>
      <c r="AC6" s="284"/>
      <c r="AD6" s="8"/>
      <c r="AE6" s="8"/>
      <c r="AF6" s="8"/>
      <c r="AG6" s="8"/>
      <c r="AH6" s="8"/>
      <c r="AI6" s="8"/>
      <c r="AJ6" s="8"/>
      <c r="AK6" s="184"/>
      <c r="AL6" s="8"/>
      <c r="AM6" s="8"/>
      <c r="AP6" s="8"/>
      <c r="AR6" s="8"/>
      <c r="AS6" s="8"/>
      <c r="AT6" s="8"/>
      <c r="AU6" s="8"/>
      <c r="AV6" s="8"/>
      <c r="AW6" s="284"/>
    </row>
    <row r="7" spans="1:50" s="4" customFormat="1" ht="16.5" customHeight="1" x14ac:dyDescent="0.2">
      <c r="A7" s="340" t="s">
        <v>3</v>
      </c>
      <c r="B7" s="341" t="s">
        <v>4</v>
      </c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  <c r="AA7" s="342" t="s">
        <v>5</v>
      </c>
      <c r="AB7" s="337" t="s">
        <v>6</v>
      </c>
      <c r="AC7" s="337" t="s">
        <v>7</v>
      </c>
      <c r="AD7" s="342" t="s">
        <v>8</v>
      </c>
      <c r="AE7" s="342" t="s">
        <v>9</v>
      </c>
      <c r="AF7" s="337" t="s">
        <v>10</v>
      </c>
      <c r="AG7" s="337" t="s">
        <v>11</v>
      </c>
      <c r="AH7" s="337" t="s">
        <v>12</v>
      </c>
      <c r="AI7" s="337" t="s">
        <v>13</v>
      </c>
      <c r="AJ7" s="337" t="s">
        <v>14</v>
      </c>
      <c r="AK7" s="338" t="s">
        <v>15</v>
      </c>
      <c r="AL7" s="338"/>
      <c r="AM7" s="338"/>
      <c r="AN7" s="338" t="s">
        <v>16</v>
      </c>
      <c r="AO7" s="338"/>
      <c r="AP7" s="338"/>
      <c r="AQ7" s="338" t="s">
        <v>17</v>
      </c>
      <c r="AR7" s="338"/>
      <c r="AS7" s="338"/>
      <c r="AT7" s="283"/>
      <c r="AU7" s="337" t="s">
        <v>18</v>
      </c>
      <c r="AV7" s="337" t="s">
        <v>19</v>
      </c>
      <c r="AW7" s="337" t="s">
        <v>20</v>
      </c>
      <c r="AX7" s="337" t="s">
        <v>21</v>
      </c>
    </row>
    <row r="8" spans="1:50" s="4" customFormat="1" ht="30" customHeight="1" x14ac:dyDescent="0.2">
      <c r="A8" s="340"/>
      <c r="B8" s="341"/>
      <c r="C8" s="285" t="s">
        <v>949</v>
      </c>
      <c r="D8" s="285" t="s">
        <v>950</v>
      </c>
      <c r="E8" s="285" t="s">
        <v>951</v>
      </c>
      <c r="F8" s="285" t="s">
        <v>952</v>
      </c>
      <c r="G8" s="285" t="s">
        <v>919</v>
      </c>
      <c r="H8" s="285" t="s">
        <v>920</v>
      </c>
      <c r="I8" s="285" t="s">
        <v>929</v>
      </c>
      <c r="J8" s="285" t="s">
        <v>930</v>
      </c>
      <c r="K8" s="285" t="s">
        <v>921</v>
      </c>
      <c r="L8" s="285" t="s">
        <v>922</v>
      </c>
      <c r="M8" s="285" t="s">
        <v>923</v>
      </c>
      <c r="N8" s="285" t="s">
        <v>924</v>
      </c>
      <c r="O8" s="285" t="s">
        <v>925</v>
      </c>
      <c r="P8" s="285" t="s">
        <v>926</v>
      </c>
      <c r="Q8" s="285" t="s">
        <v>927</v>
      </c>
      <c r="R8" s="285" t="s">
        <v>928</v>
      </c>
      <c r="S8" s="285" t="s">
        <v>953</v>
      </c>
      <c r="T8" s="285" t="s">
        <v>954</v>
      </c>
      <c r="U8" s="285" t="s">
        <v>955</v>
      </c>
      <c r="V8" s="285" t="s">
        <v>956</v>
      </c>
      <c r="W8" s="285" t="s">
        <v>957</v>
      </c>
      <c r="X8" s="285" t="s">
        <v>931</v>
      </c>
      <c r="Y8" s="285"/>
      <c r="Z8" s="285"/>
      <c r="AA8" s="342"/>
      <c r="AB8" s="337"/>
      <c r="AC8" s="337"/>
      <c r="AD8" s="342"/>
      <c r="AE8" s="342"/>
      <c r="AF8" s="337"/>
      <c r="AG8" s="337"/>
      <c r="AH8" s="337"/>
      <c r="AI8" s="337"/>
      <c r="AJ8" s="337"/>
      <c r="AK8" s="282" t="s">
        <v>22</v>
      </c>
      <c r="AL8" s="282" t="s">
        <v>23</v>
      </c>
      <c r="AM8" s="282" t="s">
        <v>24</v>
      </c>
      <c r="AN8" s="282" t="s">
        <v>25</v>
      </c>
      <c r="AO8" s="282" t="s">
        <v>26</v>
      </c>
      <c r="AP8" s="282" t="s">
        <v>27</v>
      </c>
      <c r="AQ8" s="282" t="s">
        <v>28</v>
      </c>
      <c r="AR8" s="282" t="s">
        <v>29</v>
      </c>
      <c r="AS8" s="282" t="s">
        <v>30</v>
      </c>
      <c r="AT8" s="282" t="s">
        <v>31</v>
      </c>
      <c r="AU8" s="337"/>
      <c r="AV8" s="337"/>
      <c r="AW8" s="337"/>
      <c r="AX8" s="337"/>
    </row>
    <row r="9" spans="1:50" s="4" customFormat="1" ht="18" customHeight="1" x14ac:dyDescent="0.2">
      <c r="A9" s="340"/>
      <c r="B9" s="341"/>
      <c r="C9" s="285"/>
      <c r="D9" s="285"/>
      <c r="E9" s="285"/>
      <c r="F9" s="285"/>
      <c r="G9" s="285"/>
      <c r="H9" s="285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342"/>
      <c r="AB9" s="337"/>
      <c r="AC9" s="337"/>
      <c r="AD9" s="283">
        <v>1</v>
      </c>
      <c r="AE9" s="11"/>
      <c r="AF9" s="12"/>
      <c r="AG9" s="12"/>
      <c r="AH9" s="12"/>
      <c r="AI9" s="282">
        <v>2</v>
      </c>
      <c r="AJ9" s="283" t="s">
        <v>32</v>
      </c>
      <c r="AK9" s="283"/>
      <c r="AL9" s="283"/>
      <c r="AM9" s="283">
        <v>5</v>
      </c>
      <c r="AN9" s="283"/>
      <c r="AO9" s="283"/>
      <c r="AP9" s="283">
        <v>7</v>
      </c>
      <c r="AQ9" s="283"/>
      <c r="AR9" s="283"/>
      <c r="AS9" s="283">
        <v>9</v>
      </c>
      <c r="AT9" s="283"/>
      <c r="AU9" s="283" t="s">
        <v>33</v>
      </c>
      <c r="AV9" s="283" t="s">
        <v>34</v>
      </c>
      <c r="AW9" s="283" t="s">
        <v>35</v>
      </c>
      <c r="AX9" s="13" t="s">
        <v>36</v>
      </c>
    </row>
    <row r="10" spans="1:50" s="14" customForma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6"/>
      <c r="AB10" s="17"/>
      <c r="AC10" s="17"/>
      <c r="AD10" s="18"/>
      <c r="AE10" s="18"/>
      <c r="AF10" s="17"/>
      <c r="AG10" s="18">
        <f>AH11-AG11</f>
        <v>0</v>
      </c>
      <c r="AH10" s="18"/>
      <c r="AI10" s="17"/>
      <c r="AJ10" s="18"/>
      <c r="AK10" s="18"/>
      <c r="AL10" s="17"/>
      <c r="AM10" s="18"/>
      <c r="AN10" s="18"/>
      <c r="AO10" s="17"/>
      <c r="AP10" s="18"/>
      <c r="AQ10" s="18"/>
      <c r="AR10" s="17"/>
      <c r="AS10" s="18"/>
      <c r="AT10" s="18"/>
      <c r="AU10" s="18"/>
      <c r="AV10" s="17"/>
      <c r="AW10" s="18"/>
      <c r="AX10" s="18"/>
    </row>
    <row r="11" spans="1:50" s="25" customFormat="1" ht="18.75" customHeight="1" x14ac:dyDescent="0.2">
      <c r="A11" s="19" t="s">
        <v>37</v>
      </c>
      <c r="B11" s="19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20">
        <v>2</v>
      </c>
      <c r="AB11" s="21" t="s">
        <v>38</v>
      </c>
      <c r="AC11" s="22" t="s">
        <v>37</v>
      </c>
      <c r="AD11" s="22">
        <f t="shared" ref="AD11:AS11" si="0">AD12+AD162+AD190</f>
        <v>1017611726826</v>
      </c>
      <c r="AE11" s="22">
        <f t="shared" si="0"/>
        <v>235338892695.65005</v>
      </c>
      <c r="AF11" s="23">
        <f t="shared" si="0"/>
        <v>0</v>
      </c>
      <c r="AG11" s="22">
        <f t="shared" si="0"/>
        <v>120334058761.91</v>
      </c>
      <c r="AH11" s="22">
        <f t="shared" si="0"/>
        <v>120334058761.91</v>
      </c>
      <c r="AI11" s="22">
        <f t="shared" si="0"/>
        <v>235338892695.65005</v>
      </c>
      <c r="AJ11" s="22">
        <f t="shared" si="0"/>
        <v>1252950619521.6499</v>
      </c>
      <c r="AK11" s="22">
        <f t="shared" si="0"/>
        <v>0</v>
      </c>
      <c r="AL11" s="22">
        <f t="shared" si="0"/>
        <v>43608916548.110001</v>
      </c>
      <c r="AM11" s="22">
        <f t="shared" si="0"/>
        <v>751767470434.68994</v>
      </c>
      <c r="AN11" s="22">
        <f t="shared" si="0"/>
        <v>1854476926.6700001</v>
      </c>
      <c r="AO11" s="22">
        <f t="shared" si="0"/>
        <v>86745649229.839996</v>
      </c>
      <c r="AP11" s="22">
        <f t="shared" si="0"/>
        <v>609174365406.02002</v>
      </c>
      <c r="AQ11" s="22">
        <f t="shared" si="0"/>
        <v>10504185941.43</v>
      </c>
      <c r="AR11" s="22">
        <f t="shared" si="0"/>
        <v>65185143929.75</v>
      </c>
      <c r="AS11" s="22">
        <f t="shared" si="0"/>
        <v>447309162835.29004</v>
      </c>
      <c r="AT11" s="22">
        <f>AQ11+AS11</f>
        <v>457813348776.72003</v>
      </c>
      <c r="AU11" s="22">
        <f>AU12+AU162+AU190</f>
        <v>501183149086.9599</v>
      </c>
      <c r="AV11" s="22">
        <f>AV12+AV162+AV190</f>
        <v>142593105028.66998</v>
      </c>
      <c r="AW11" s="22">
        <f>AW12+AW162+AW190</f>
        <v>151361016629.29999</v>
      </c>
      <c r="AX11" s="24">
        <f t="shared" ref="AX11:AX20" si="1">AP11/AJ11</f>
        <v>0.48619183862057541</v>
      </c>
    </row>
    <row r="12" spans="1:50" s="25" customFormat="1" ht="18.75" customHeight="1" x14ac:dyDescent="0.2">
      <c r="A12" s="19" t="s">
        <v>37</v>
      </c>
      <c r="B12" s="19" t="s">
        <v>37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26" t="s">
        <v>39</v>
      </c>
      <c r="AB12" s="21" t="s">
        <v>40</v>
      </c>
      <c r="AC12" s="22" t="s">
        <v>37</v>
      </c>
      <c r="AD12" s="22">
        <f>AD13+AD86+AD101+AD148+AD143</f>
        <v>180471642183</v>
      </c>
      <c r="AE12" s="22">
        <f t="shared" ref="AE12:AW12" si="2">AE13+AE86+AE101+AE148+AE143</f>
        <v>698388543.49000001</v>
      </c>
      <c r="AF12" s="23">
        <f t="shared" si="2"/>
        <v>0</v>
      </c>
      <c r="AG12" s="22">
        <f t="shared" si="2"/>
        <v>7156400000</v>
      </c>
      <c r="AH12" s="22">
        <f t="shared" si="2"/>
        <v>7156400000</v>
      </c>
      <c r="AI12" s="22">
        <f t="shared" si="2"/>
        <v>698388543.49000025</v>
      </c>
      <c r="AJ12" s="22">
        <f t="shared" si="2"/>
        <v>181170030726.48999</v>
      </c>
      <c r="AK12" s="23">
        <f t="shared" si="2"/>
        <v>0</v>
      </c>
      <c r="AL12" s="22">
        <f t="shared" si="2"/>
        <v>13096694423.74</v>
      </c>
      <c r="AM12" s="22">
        <f t="shared" si="2"/>
        <v>119388327078.13998</v>
      </c>
      <c r="AN12" s="22">
        <f t="shared" si="2"/>
        <v>88666666.670000002</v>
      </c>
      <c r="AO12" s="22">
        <f t="shared" si="2"/>
        <v>12760415891.01</v>
      </c>
      <c r="AP12" s="22">
        <f t="shared" si="2"/>
        <v>118063240590.10999</v>
      </c>
      <c r="AQ12" s="22">
        <f t="shared" si="2"/>
        <v>98460290</v>
      </c>
      <c r="AR12" s="22">
        <f t="shared" si="2"/>
        <v>13762192085.540001</v>
      </c>
      <c r="AS12" s="22">
        <f t="shared" si="2"/>
        <v>107362400840.78</v>
      </c>
      <c r="AT12" s="22">
        <f t="shared" si="2"/>
        <v>107460861130.78</v>
      </c>
      <c r="AU12" s="22">
        <f t="shared" si="2"/>
        <v>61781703648.350006</v>
      </c>
      <c r="AV12" s="22">
        <f t="shared" si="2"/>
        <v>1325086488.0300002</v>
      </c>
      <c r="AW12" s="22">
        <f t="shared" si="2"/>
        <v>10602379459.329998</v>
      </c>
      <c r="AX12" s="24">
        <f t="shared" si="1"/>
        <v>0.65167091994563109</v>
      </c>
    </row>
    <row r="13" spans="1:50" s="25" customFormat="1" ht="18.75" customHeight="1" x14ac:dyDescent="0.2">
      <c r="A13" s="19" t="s">
        <v>41</v>
      </c>
      <c r="B13" s="19" t="s">
        <v>42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26" t="s">
        <v>43</v>
      </c>
      <c r="AB13" s="21" t="s">
        <v>44</v>
      </c>
      <c r="AC13" s="22" t="s">
        <v>37</v>
      </c>
      <c r="AD13" s="22">
        <f>AD14</f>
        <v>38718257195.5</v>
      </c>
      <c r="AE13" s="23">
        <f t="shared" ref="AE13:AW13" si="3">AE14</f>
        <v>0</v>
      </c>
      <c r="AF13" s="23">
        <f t="shared" si="3"/>
        <v>0</v>
      </c>
      <c r="AG13" s="22">
        <f t="shared" si="3"/>
        <v>172000000</v>
      </c>
      <c r="AH13" s="22">
        <f t="shared" si="3"/>
        <v>654500000</v>
      </c>
      <c r="AI13" s="22">
        <f t="shared" si="3"/>
        <v>-482500000</v>
      </c>
      <c r="AJ13" s="22">
        <f>AJ14</f>
        <v>38235757195.5</v>
      </c>
      <c r="AK13" s="23">
        <f t="shared" si="3"/>
        <v>0</v>
      </c>
      <c r="AL13" s="22">
        <f t="shared" si="3"/>
        <v>2573560364</v>
      </c>
      <c r="AM13" s="22">
        <f t="shared" si="3"/>
        <v>18009417129</v>
      </c>
      <c r="AN13" s="23">
        <f t="shared" si="3"/>
        <v>0</v>
      </c>
      <c r="AO13" s="22">
        <f t="shared" si="3"/>
        <v>2570840490</v>
      </c>
      <c r="AP13" s="22">
        <f t="shared" si="3"/>
        <v>18006697255</v>
      </c>
      <c r="AQ13" s="268">
        <f t="shared" si="3"/>
        <v>0</v>
      </c>
      <c r="AR13" s="22">
        <f t="shared" si="3"/>
        <v>2631712548</v>
      </c>
      <c r="AS13" s="22">
        <f t="shared" si="3"/>
        <v>17944430053</v>
      </c>
      <c r="AT13" s="22">
        <f t="shared" ref="AT13" si="4">AQ13+AS13</f>
        <v>17944430053</v>
      </c>
      <c r="AU13" s="22">
        <f t="shared" si="3"/>
        <v>20226340066.5</v>
      </c>
      <c r="AV13" s="23">
        <f t="shared" si="3"/>
        <v>2719874</v>
      </c>
      <c r="AW13" s="22">
        <f t="shared" si="3"/>
        <v>62267202</v>
      </c>
      <c r="AX13" s="24">
        <f t="shared" si="1"/>
        <v>0.47093868608202233</v>
      </c>
    </row>
    <row r="14" spans="1:50" ht="18.75" customHeight="1" x14ac:dyDescent="0.2">
      <c r="A14" s="27" t="s">
        <v>41</v>
      </c>
      <c r="B14" s="27" t="s">
        <v>42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8" t="s">
        <v>45</v>
      </c>
      <c r="AB14" s="29" t="s">
        <v>46</v>
      </c>
      <c r="AC14" s="30" t="s">
        <v>37</v>
      </c>
      <c r="AD14" s="30">
        <f>AD15+AD42+AD70</f>
        <v>38718257195.5</v>
      </c>
      <c r="AE14" s="31">
        <f t="shared" ref="AE14:AW14" si="5">AE15+AE42+AE70</f>
        <v>0</v>
      </c>
      <c r="AF14" s="31">
        <f t="shared" si="5"/>
        <v>0</v>
      </c>
      <c r="AG14" s="30">
        <f>AG15+AG42+AG70</f>
        <v>172000000</v>
      </c>
      <c r="AH14" s="30">
        <f t="shared" si="5"/>
        <v>654500000</v>
      </c>
      <c r="AI14" s="30">
        <f>AI15+AI42+AI70</f>
        <v>-482500000</v>
      </c>
      <c r="AJ14" s="30">
        <f t="shared" si="5"/>
        <v>38235757195.5</v>
      </c>
      <c r="AK14" s="31">
        <f t="shared" si="5"/>
        <v>0</v>
      </c>
      <c r="AL14" s="30">
        <f t="shared" si="5"/>
        <v>2573560364</v>
      </c>
      <c r="AM14" s="30">
        <f t="shared" si="5"/>
        <v>18009417129</v>
      </c>
      <c r="AN14" s="31">
        <f t="shared" si="5"/>
        <v>0</v>
      </c>
      <c r="AO14" s="30">
        <f t="shared" si="5"/>
        <v>2570840490</v>
      </c>
      <c r="AP14" s="30">
        <f t="shared" si="5"/>
        <v>18006697255</v>
      </c>
      <c r="AQ14" s="172">
        <f t="shared" si="5"/>
        <v>0</v>
      </c>
      <c r="AR14" s="30">
        <f t="shared" si="5"/>
        <v>2631712548</v>
      </c>
      <c r="AS14" s="30">
        <f t="shared" si="5"/>
        <v>17944430053</v>
      </c>
      <c r="AT14" s="30">
        <f>AQ14+AS14</f>
        <v>17944430053</v>
      </c>
      <c r="AU14" s="30">
        <f t="shared" si="5"/>
        <v>20226340066.5</v>
      </c>
      <c r="AV14" s="31">
        <f t="shared" si="5"/>
        <v>2719874</v>
      </c>
      <c r="AW14" s="30">
        <f t="shared" si="5"/>
        <v>62267202</v>
      </c>
      <c r="AX14" s="32">
        <f t="shared" si="1"/>
        <v>0.47093868608202233</v>
      </c>
    </row>
    <row r="15" spans="1:50" ht="18.75" customHeight="1" x14ac:dyDescent="0.2">
      <c r="A15" s="27" t="s">
        <v>41</v>
      </c>
      <c r="B15" s="27" t="s">
        <v>42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8" t="s">
        <v>47</v>
      </c>
      <c r="AB15" s="29" t="s">
        <v>48</v>
      </c>
      <c r="AC15" s="30" t="s">
        <v>37</v>
      </c>
      <c r="AD15" s="30">
        <f>AD16+AD39</f>
        <v>25931861921.5</v>
      </c>
      <c r="AE15" s="31">
        <f t="shared" ref="AE15:AW15" si="6">AE16+AE39</f>
        <v>0</v>
      </c>
      <c r="AF15" s="31">
        <f t="shared" si="6"/>
        <v>0</v>
      </c>
      <c r="AG15" s="30">
        <f t="shared" si="6"/>
        <v>100000000</v>
      </c>
      <c r="AH15" s="30">
        <f t="shared" si="6"/>
        <v>432000000</v>
      </c>
      <c r="AI15" s="30">
        <f t="shared" si="6"/>
        <v>-332000000</v>
      </c>
      <c r="AJ15" s="30">
        <f t="shared" si="6"/>
        <v>25599861921.5</v>
      </c>
      <c r="AK15" s="31">
        <f t="shared" si="6"/>
        <v>0</v>
      </c>
      <c r="AL15" s="30">
        <f t="shared" si="6"/>
        <v>1750944622</v>
      </c>
      <c r="AM15" s="30">
        <f t="shared" si="6"/>
        <v>12443617473</v>
      </c>
      <c r="AN15" s="31">
        <f t="shared" si="6"/>
        <v>0</v>
      </c>
      <c r="AO15" s="30">
        <f t="shared" si="6"/>
        <v>1750944622</v>
      </c>
      <c r="AP15" s="30">
        <f t="shared" si="6"/>
        <v>12443617473</v>
      </c>
      <c r="AQ15" s="31">
        <f t="shared" si="6"/>
        <v>0</v>
      </c>
      <c r="AR15" s="30">
        <f t="shared" si="6"/>
        <v>1800348199</v>
      </c>
      <c r="AS15" s="30">
        <f t="shared" si="6"/>
        <v>12400602287</v>
      </c>
      <c r="AT15" s="30">
        <f t="shared" ref="AT15:AT38" si="7">AQ15+AS15</f>
        <v>12400602287</v>
      </c>
      <c r="AU15" s="30">
        <f t="shared" si="6"/>
        <v>13156244448.5</v>
      </c>
      <c r="AV15" s="31">
        <f t="shared" si="6"/>
        <v>0</v>
      </c>
      <c r="AW15" s="30">
        <f t="shared" si="6"/>
        <v>43015186</v>
      </c>
      <c r="AX15" s="32">
        <f t="shared" si="1"/>
        <v>0.48608142931229054</v>
      </c>
    </row>
    <row r="16" spans="1:50" ht="18.75" customHeight="1" x14ac:dyDescent="0.2">
      <c r="A16" s="27" t="s">
        <v>49</v>
      </c>
      <c r="B16" s="27" t="s">
        <v>50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8" t="s">
        <v>51</v>
      </c>
      <c r="AB16" s="29" t="s">
        <v>52</v>
      </c>
      <c r="AC16" s="30" t="s">
        <v>37</v>
      </c>
      <c r="AD16" s="30">
        <f>AD17+AD20+AD21+AD22+AD23++AD24+AD27+AD30+AD37+AD38</f>
        <v>25908449467.5</v>
      </c>
      <c r="AE16" s="31">
        <f t="shared" ref="AE16:AW16" si="8">AE17+AE20+AE21+AE22+AE23++AE24+AE27+AE30+AE37+AE38</f>
        <v>0</v>
      </c>
      <c r="AF16" s="31">
        <f t="shared" si="8"/>
        <v>0</v>
      </c>
      <c r="AG16" s="30">
        <f t="shared" si="8"/>
        <v>100000000</v>
      </c>
      <c r="AH16" s="30">
        <f>AH17+AH20+AH21+AH22+AH23++AH24+AH27+AH30+AH37+AH38</f>
        <v>432000000</v>
      </c>
      <c r="AI16" s="30">
        <f t="shared" si="8"/>
        <v>-332000000</v>
      </c>
      <c r="AJ16" s="30">
        <f t="shared" si="8"/>
        <v>25576449467.5</v>
      </c>
      <c r="AK16" s="31">
        <f t="shared" si="8"/>
        <v>0</v>
      </c>
      <c r="AL16" s="30">
        <f t="shared" si="8"/>
        <v>1750944622</v>
      </c>
      <c r="AM16" s="30">
        <f t="shared" si="8"/>
        <v>12443617473</v>
      </c>
      <c r="AN16" s="31">
        <f t="shared" si="8"/>
        <v>0</v>
      </c>
      <c r="AO16" s="30">
        <f t="shared" si="8"/>
        <v>1750944622</v>
      </c>
      <c r="AP16" s="30">
        <f t="shared" si="8"/>
        <v>12443617473</v>
      </c>
      <c r="AQ16" s="31">
        <f t="shared" si="8"/>
        <v>0</v>
      </c>
      <c r="AR16" s="30">
        <f t="shared" si="8"/>
        <v>1800348199</v>
      </c>
      <c r="AS16" s="30">
        <f t="shared" si="8"/>
        <v>12400602287</v>
      </c>
      <c r="AT16" s="30">
        <f t="shared" si="7"/>
        <v>12400602287</v>
      </c>
      <c r="AU16" s="30">
        <f t="shared" si="8"/>
        <v>13132831994.5</v>
      </c>
      <c r="AV16" s="31">
        <f t="shared" si="8"/>
        <v>0</v>
      </c>
      <c r="AW16" s="30">
        <f t="shared" si="8"/>
        <v>43015186</v>
      </c>
      <c r="AX16" s="32">
        <f t="shared" si="1"/>
        <v>0.48652638392252634</v>
      </c>
    </row>
    <row r="17" spans="1:50" ht="18.75" customHeight="1" x14ac:dyDescent="0.2">
      <c r="A17" s="27" t="s">
        <v>41</v>
      </c>
      <c r="B17" s="27" t="s">
        <v>42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8" t="s">
        <v>53</v>
      </c>
      <c r="AB17" s="29" t="s">
        <v>54</v>
      </c>
      <c r="AC17" s="30" t="s">
        <v>37</v>
      </c>
      <c r="AD17" s="30">
        <f>AD18+AD19</f>
        <v>19589756868.5</v>
      </c>
      <c r="AE17" s="31">
        <f t="shared" ref="AE17:AW17" si="9">AE18+AE19</f>
        <v>0</v>
      </c>
      <c r="AF17" s="31">
        <f t="shared" si="9"/>
        <v>0</v>
      </c>
      <c r="AG17" s="31">
        <f t="shared" si="9"/>
        <v>0</v>
      </c>
      <c r="AH17" s="30">
        <f t="shared" si="9"/>
        <v>100000000</v>
      </c>
      <c r="AI17" s="30">
        <f t="shared" si="9"/>
        <v>-100000000</v>
      </c>
      <c r="AJ17" s="30">
        <f t="shared" si="9"/>
        <v>19489756868.5</v>
      </c>
      <c r="AK17" s="31">
        <f t="shared" si="9"/>
        <v>0</v>
      </c>
      <c r="AL17" s="30">
        <f t="shared" si="9"/>
        <v>1519350000</v>
      </c>
      <c r="AM17" s="30">
        <f t="shared" si="9"/>
        <v>10568604958</v>
      </c>
      <c r="AN17" s="31">
        <f t="shared" si="9"/>
        <v>0</v>
      </c>
      <c r="AO17" s="30">
        <f t="shared" si="9"/>
        <v>1519350000</v>
      </c>
      <c r="AP17" s="30">
        <f t="shared" si="9"/>
        <v>10568604958</v>
      </c>
      <c r="AQ17" s="31">
        <f t="shared" si="9"/>
        <v>0</v>
      </c>
      <c r="AR17" s="30">
        <f t="shared" si="9"/>
        <v>1554578072</v>
      </c>
      <c r="AS17" s="30">
        <f t="shared" si="9"/>
        <v>10568398958</v>
      </c>
      <c r="AT17" s="30">
        <f t="shared" si="7"/>
        <v>10568398958</v>
      </c>
      <c r="AU17" s="30">
        <f t="shared" si="9"/>
        <v>8921151910.5</v>
      </c>
      <c r="AV17" s="31">
        <f t="shared" si="9"/>
        <v>0</v>
      </c>
      <c r="AW17" s="30">
        <f t="shared" si="9"/>
        <v>206000</v>
      </c>
      <c r="AX17" s="32">
        <f t="shared" si="1"/>
        <v>0.54226458694727664</v>
      </c>
    </row>
    <row r="18" spans="1:50" ht="18.75" customHeight="1" x14ac:dyDescent="0.2">
      <c r="A18" s="14" t="s">
        <v>55</v>
      </c>
      <c r="B18" s="15" t="s">
        <v>56</v>
      </c>
      <c r="C18" s="15"/>
      <c r="D18" s="15" t="s">
        <v>40</v>
      </c>
      <c r="E18" s="15"/>
      <c r="F18" s="15"/>
      <c r="G18" s="15" t="s">
        <v>41</v>
      </c>
      <c r="H18" s="15"/>
      <c r="I18" s="15" t="s">
        <v>936</v>
      </c>
      <c r="J18" s="15"/>
      <c r="K18" s="15" t="s">
        <v>932</v>
      </c>
      <c r="L18" s="15"/>
      <c r="M18" s="15" t="s">
        <v>933</v>
      </c>
      <c r="N18" s="15"/>
      <c r="O18" s="15" t="s">
        <v>938</v>
      </c>
      <c r="P18" s="15"/>
      <c r="Q18" s="15" t="s">
        <v>939</v>
      </c>
      <c r="R18" s="15"/>
      <c r="S18" s="15" t="s">
        <v>940</v>
      </c>
      <c r="T18" s="15">
        <v>0</v>
      </c>
      <c r="U18" s="15">
        <v>0</v>
      </c>
      <c r="V18" s="15">
        <v>0</v>
      </c>
      <c r="W18" s="15">
        <v>0</v>
      </c>
      <c r="X18" s="15" t="s">
        <v>937</v>
      </c>
      <c r="Y18" s="15"/>
      <c r="Z18" s="15"/>
      <c r="AA18" s="16" t="s">
        <v>57</v>
      </c>
      <c r="AB18" s="17" t="s">
        <v>54</v>
      </c>
      <c r="AC18" s="17" t="s">
        <v>58</v>
      </c>
      <c r="AD18" s="18">
        <v>18005571308.5</v>
      </c>
      <c r="AE18" s="34">
        <v>0</v>
      </c>
      <c r="AF18" s="34">
        <v>0</v>
      </c>
      <c r="AG18" s="34">
        <v>0</v>
      </c>
      <c r="AH18" s="18">
        <v>100000000</v>
      </c>
      <c r="AI18" s="18">
        <f>AE18-AF18+AG18-AH18</f>
        <v>-100000000</v>
      </c>
      <c r="AJ18" s="18">
        <f>AD18+AI18</f>
        <v>17905571308.5</v>
      </c>
      <c r="AK18" s="34">
        <v>0</v>
      </c>
      <c r="AL18" s="18">
        <v>1405533143</v>
      </c>
      <c r="AM18" s="18">
        <v>9772227866</v>
      </c>
      <c r="AN18" s="34">
        <v>0</v>
      </c>
      <c r="AO18" s="18">
        <v>1405533143</v>
      </c>
      <c r="AP18" s="18">
        <v>9772227866</v>
      </c>
      <c r="AQ18" s="34">
        <v>0</v>
      </c>
      <c r="AR18" s="18">
        <v>1440761215</v>
      </c>
      <c r="AS18" s="18">
        <v>9772021866</v>
      </c>
      <c r="AT18" s="39">
        <f t="shared" si="7"/>
        <v>9772021866</v>
      </c>
      <c r="AU18" s="18">
        <f t="shared" ref="AU18:AU38" si="10">AJ18-AM18</f>
        <v>8133343442.5</v>
      </c>
      <c r="AV18" s="34">
        <f t="shared" ref="AV18:AV38" si="11">AM18-AP18</f>
        <v>0</v>
      </c>
      <c r="AW18" s="18">
        <f t="shared" ref="AW18:AW38" si="12">AP18-AT18</f>
        <v>206000</v>
      </c>
      <c r="AX18" s="32">
        <f t="shared" si="1"/>
        <v>0.54576465043374522</v>
      </c>
    </row>
    <row r="19" spans="1:50" ht="18.75" customHeight="1" x14ac:dyDescent="0.2">
      <c r="A19" s="14" t="s">
        <v>55</v>
      </c>
      <c r="B19" s="15" t="s">
        <v>56</v>
      </c>
      <c r="C19" s="15"/>
      <c r="D19" s="15" t="s">
        <v>40</v>
      </c>
      <c r="E19" s="15"/>
      <c r="F19" s="15"/>
      <c r="G19" s="15" t="s">
        <v>41</v>
      </c>
      <c r="H19" s="15"/>
      <c r="I19" s="15" t="s">
        <v>941</v>
      </c>
      <c r="J19" s="15"/>
      <c r="K19" s="15" t="s">
        <v>932</v>
      </c>
      <c r="L19" s="15"/>
      <c r="M19" s="15" t="s">
        <v>933</v>
      </c>
      <c r="N19" s="15"/>
      <c r="O19" s="15" t="s">
        <v>938</v>
      </c>
      <c r="P19" s="15"/>
      <c r="Q19" s="15" t="s">
        <v>939</v>
      </c>
      <c r="R19" s="15"/>
      <c r="S19" s="15" t="s">
        <v>940</v>
      </c>
      <c r="T19" s="15">
        <v>0</v>
      </c>
      <c r="U19" s="15">
        <v>0</v>
      </c>
      <c r="V19" s="15">
        <v>0</v>
      </c>
      <c r="W19" s="15">
        <v>0</v>
      </c>
      <c r="X19" s="15" t="s">
        <v>937</v>
      </c>
      <c r="Y19" s="15"/>
      <c r="Z19" s="15"/>
      <c r="AA19" s="16" t="s">
        <v>59</v>
      </c>
      <c r="AB19" s="17" t="s">
        <v>60</v>
      </c>
      <c r="AC19" s="17" t="s">
        <v>61</v>
      </c>
      <c r="AD19" s="18">
        <v>1584185560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18">
        <v>1584185560</v>
      </c>
      <c r="AK19" s="34">
        <v>0</v>
      </c>
      <c r="AL19" s="18">
        <v>113816857</v>
      </c>
      <c r="AM19" s="18">
        <v>796377092</v>
      </c>
      <c r="AN19" s="34">
        <v>0</v>
      </c>
      <c r="AO19" s="18">
        <v>113816857</v>
      </c>
      <c r="AP19" s="18">
        <v>796377092</v>
      </c>
      <c r="AQ19" s="34">
        <v>0</v>
      </c>
      <c r="AR19" s="18">
        <v>113816857</v>
      </c>
      <c r="AS19" s="18">
        <v>796377092</v>
      </c>
      <c r="AT19" s="39">
        <f t="shared" si="7"/>
        <v>796377092</v>
      </c>
      <c r="AU19" s="18">
        <f t="shared" si="10"/>
        <v>787808468</v>
      </c>
      <c r="AV19" s="34">
        <f t="shared" si="11"/>
        <v>0</v>
      </c>
      <c r="AW19" s="34">
        <f t="shared" si="12"/>
        <v>0</v>
      </c>
      <c r="AX19" s="32">
        <f t="shared" si="1"/>
        <v>0.50270442561034323</v>
      </c>
    </row>
    <row r="20" spans="1:50" ht="18.75" customHeight="1" x14ac:dyDescent="0.2">
      <c r="A20" s="14" t="s">
        <v>49</v>
      </c>
      <c r="B20" s="15" t="s">
        <v>50</v>
      </c>
      <c r="C20" s="15"/>
      <c r="D20" s="15" t="s">
        <v>40</v>
      </c>
      <c r="E20" s="15"/>
      <c r="F20" s="15"/>
      <c r="G20" s="15" t="s">
        <v>41</v>
      </c>
      <c r="H20" s="15"/>
      <c r="I20" s="15" t="s">
        <v>936</v>
      </c>
      <c r="J20" s="15"/>
      <c r="K20" s="15" t="s">
        <v>932</v>
      </c>
      <c r="L20" s="15"/>
      <c r="M20" s="15" t="s">
        <v>933</v>
      </c>
      <c r="N20" s="15"/>
      <c r="O20" s="15" t="s">
        <v>938</v>
      </c>
      <c r="P20" s="15"/>
      <c r="Q20" s="15" t="s">
        <v>939</v>
      </c>
      <c r="R20" s="15"/>
      <c r="S20" s="15" t="s">
        <v>940</v>
      </c>
      <c r="T20" s="15">
        <v>0</v>
      </c>
      <c r="U20" s="15">
        <v>0</v>
      </c>
      <c r="V20" s="15">
        <v>0</v>
      </c>
      <c r="W20" s="15">
        <v>0</v>
      </c>
      <c r="X20" s="15" t="s">
        <v>937</v>
      </c>
      <c r="Y20" s="15"/>
      <c r="Z20" s="15"/>
      <c r="AA20" s="16" t="s">
        <v>62</v>
      </c>
      <c r="AB20" s="17" t="s">
        <v>63</v>
      </c>
      <c r="AC20" s="17" t="s">
        <v>58</v>
      </c>
      <c r="AD20" s="18">
        <v>398412895</v>
      </c>
      <c r="AE20" s="34">
        <v>0</v>
      </c>
      <c r="AF20" s="34">
        <v>0</v>
      </c>
      <c r="AG20" s="18">
        <v>100000000</v>
      </c>
      <c r="AH20" s="34">
        <v>0</v>
      </c>
      <c r="AI20" s="18">
        <f>AE20-AF20+AG20-AH20</f>
        <v>100000000</v>
      </c>
      <c r="AJ20" s="18">
        <f>AD20+AI20</f>
        <v>498412895</v>
      </c>
      <c r="AK20" s="34">
        <v>0</v>
      </c>
      <c r="AL20" s="18">
        <v>35131636</v>
      </c>
      <c r="AM20" s="18">
        <v>224181777</v>
      </c>
      <c r="AN20" s="34">
        <v>0</v>
      </c>
      <c r="AO20" s="18">
        <v>35131636</v>
      </c>
      <c r="AP20" s="18">
        <v>224181777</v>
      </c>
      <c r="AQ20" s="34">
        <v>0</v>
      </c>
      <c r="AR20" s="18">
        <v>38614652</v>
      </c>
      <c r="AS20" s="18">
        <v>224181777</v>
      </c>
      <c r="AT20" s="39">
        <f t="shared" si="7"/>
        <v>224181777</v>
      </c>
      <c r="AU20" s="18">
        <f t="shared" si="10"/>
        <v>274231118</v>
      </c>
      <c r="AV20" s="34">
        <f t="shared" si="11"/>
        <v>0</v>
      </c>
      <c r="AW20" s="18">
        <f t="shared" si="12"/>
        <v>0</v>
      </c>
      <c r="AX20" s="32">
        <f t="shared" si="1"/>
        <v>0.4497912859979275</v>
      </c>
    </row>
    <row r="21" spans="1:50" ht="18.75" customHeight="1" x14ac:dyDescent="0.2">
      <c r="A21" s="14" t="s">
        <v>49</v>
      </c>
      <c r="B21" s="15" t="s">
        <v>50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6" t="s">
        <v>64</v>
      </c>
      <c r="AB21" s="17" t="s">
        <v>65</v>
      </c>
      <c r="AC21" s="17" t="s">
        <v>58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40">
        <f t="shared" si="7"/>
        <v>0</v>
      </c>
      <c r="AU21" s="34">
        <f t="shared" si="10"/>
        <v>0</v>
      </c>
      <c r="AV21" s="34">
        <f t="shared" si="11"/>
        <v>0</v>
      </c>
      <c r="AW21" s="34">
        <f t="shared" si="12"/>
        <v>0</v>
      </c>
      <c r="AX21" s="32">
        <v>0</v>
      </c>
    </row>
    <row r="22" spans="1:50" ht="18.75" customHeight="1" x14ac:dyDescent="0.2">
      <c r="A22" s="14" t="s">
        <v>49</v>
      </c>
      <c r="B22" s="15" t="s">
        <v>50</v>
      </c>
      <c r="C22" s="15"/>
      <c r="D22" s="15" t="s">
        <v>40</v>
      </c>
      <c r="E22" s="15"/>
      <c r="F22" s="15"/>
      <c r="G22" s="15" t="s">
        <v>41</v>
      </c>
      <c r="H22" s="15"/>
      <c r="I22" s="15" t="s">
        <v>936</v>
      </c>
      <c r="J22" s="15"/>
      <c r="K22" s="15" t="s">
        <v>932</v>
      </c>
      <c r="L22" s="15"/>
      <c r="M22" s="15" t="s">
        <v>933</v>
      </c>
      <c r="N22" s="15"/>
      <c r="O22" s="15" t="s">
        <v>938</v>
      </c>
      <c r="P22" s="15"/>
      <c r="Q22" s="15" t="s">
        <v>939</v>
      </c>
      <c r="R22" s="15"/>
      <c r="S22" s="15" t="s">
        <v>940</v>
      </c>
      <c r="T22" s="15">
        <v>0</v>
      </c>
      <c r="U22" s="15">
        <v>0</v>
      </c>
      <c r="V22" s="15">
        <v>0</v>
      </c>
      <c r="W22" s="15">
        <v>0</v>
      </c>
      <c r="X22" s="15" t="s">
        <v>937</v>
      </c>
      <c r="Y22" s="15"/>
      <c r="Z22" s="15"/>
      <c r="AA22" s="16" t="s">
        <v>66</v>
      </c>
      <c r="AB22" s="17" t="s">
        <v>67</v>
      </c>
      <c r="AC22" s="17" t="s">
        <v>58</v>
      </c>
      <c r="AD22" s="18">
        <v>13303349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18">
        <v>13303349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40">
        <f t="shared" si="7"/>
        <v>0</v>
      </c>
      <c r="AU22" s="18">
        <f t="shared" si="10"/>
        <v>13303349</v>
      </c>
      <c r="AV22" s="34">
        <f t="shared" si="11"/>
        <v>0</v>
      </c>
      <c r="AW22" s="34">
        <f t="shared" si="12"/>
        <v>0</v>
      </c>
      <c r="AX22" s="32">
        <f t="shared" ref="AX22:AX37" si="13">AP22/AJ22</f>
        <v>0</v>
      </c>
    </row>
    <row r="23" spans="1:50" ht="18.75" customHeight="1" x14ac:dyDescent="0.2">
      <c r="A23" s="14" t="s">
        <v>49</v>
      </c>
      <c r="B23" s="15" t="s">
        <v>50</v>
      </c>
      <c r="C23" s="15"/>
      <c r="D23" s="15" t="s">
        <v>40</v>
      </c>
      <c r="E23" s="15"/>
      <c r="F23" s="15"/>
      <c r="G23" s="15" t="s">
        <v>41</v>
      </c>
      <c r="H23" s="15"/>
      <c r="I23" s="15" t="s">
        <v>936</v>
      </c>
      <c r="J23" s="15"/>
      <c r="K23" s="15" t="s">
        <v>932</v>
      </c>
      <c r="L23" s="15"/>
      <c r="M23" s="15" t="s">
        <v>933</v>
      </c>
      <c r="N23" s="15"/>
      <c r="O23" s="15" t="s">
        <v>938</v>
      </c>
      <c r="P23" s="15"/>
      <c r="Q23" s="15" t="s">
        <v>939</v>
      </c>
      <c r="R23" s="15"/>
      <c r="S23" s="15" t="s">
        <v>940</v>
      </c>
      <c r="T23" s="15">
        <v>0</v>
      </c>
      <c r="U23" s="15">
        <v>0</v>
      </c>
      <c r="V23" s="15">
        <v>0</v>
      </c>
      <c r="W23" s="15">
        <v>0</v>
      </c>
      <c r="X23" s="15" t="s">
        <v>937</v>
      </c>
      <c r="Y23" s="15"/>
      <c r="Z23" s="15"/>
      <c r="AA23" s="16" t="s">
        <v>68</v>
      </c>
      <c r="AB23" s="17" t="s">
        <v>69</v>
      </c>
      <c r="AC23" s="17" t="s">
        <v>58</v>
      </c>
      <c r="AD23" s="18">
        <v>37582851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18">
        <v>37582851</v>
      </c>
      <c r="AK23" s="34">
        <v>0</v>
      </c>
      <c r="AL23" s="18">
        <v>2767804</v>
      </c>
      <c r="AM23" s="18">
        <v>20013352</v>
      </c>
      <c r="AN23" s="34">
        <v>0</v>
      </c>
      <c r="AO23" s="18">
        <v>2767804</v>
      </c>
      <c r="AP23" s="18">
        <v>20013352</v>
      </c>
      <c r="AQ23" s="34">
        <v>0</v>
      </c>
      <c r="AR23" s="18">
        <v>5642062</v>
      </c>
      <c r="AS23" s="18">
        <v>20013352</v>
      </c>
      <c r="AT23" s="39">
        <f t="shared" si="7"/>
        <v>20013352</v>
      </c>
      <c r="AU23" s="18">
        <f t="shared" si="10"/>
        <v>17569499</v>
      </c>
      <c r="AV23" s="34">
        <f t="shared" si="11"/>
        <v>0</v>
      </c>
      <c r="AW23" s="18">
        <f t="shared" si="12"/>
        <v>0</v>
      </c>
      <c r="AX23" s="32">
        <f t="shared" si="13"/>
        <v>0.53251287402331449</v>
      </c>
    </row>
    <row r="24" spans="1:50" ht="18.75" customHeight="1" x14ac:dyDescent="0.2">
      <c r="A24" s="27" t="s">
        <v>49</v>
      </c>
      <c r="B24" s="27" t="s">
        <v>50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8" t="s">
        <v>70</v>
      </c>
      <c r="AB24" s="29" t="s">
        <v>71</v>
      </c>
      <c r="AC24" s="30" t="s">
        <v>37</v>
      </c>
      <c r="AD24" s="30">
        <f>AD25+AD26</f>
        <v>1845616015</v>
      </c>
      <c r="AE24" s="31">
        <f t="shared" ref="AE24:AS24" si="14">AE25+AE26</f>
        <v>0</v>
      </c>
      <c r="AF24" s="31">
        <f t="shared" si="14"/>
        <v>0</v>
      </c>
      <c r="AG24" s="31">
        <f t="shared" si="14"/>
        <v>0</v>
      </c>
      <c r="AH24" s="30">
        <f t="shared" si="14"/>
        <v>140000000</v>
      </c>
      <c r="AI24" s="30">
        <f t="shared" si="14"/>
        <v>-140000000</v>
      </c>
      <c r="AJ24" s="30">
        <f t="shared" si="14"/>
        <v>1705616015</v>
      </c>
      <c r="AK24" s="31">
        <f t="shared" si="14"/>
        <v>0</v>
      </c>
      <c r="AL24" s="30">
        <f t="shared" si="14"/>
        <v>4179942</v>
      </c>
      <c r="AM24" s="30">
        <f t="shared" si="14"/>
        <v>803332123</v>
      </c>
      <c r="AN24" s="31">
        <f t="shared" si="14"/>
        <v>0</v>
      </c>
      <c r="AO24" s="30">
        <f t="shared" si="14"/>
        <v>4179942</v>
      </c>
      <c r="AP24" s="30">
        <f t="shared" si="14"/>
        <v>803332123</v>
      </c>
      <c r="AQ24" s="31">
        <f t="shared" si="14"/>
        <v>0</v>
      </c>
      <c r="AR24" s="30">
        <f t="shared" si="14"/>
        <v>4179942</v>
      </c>
      <c r="AS24" s="30">
        <f t="shared" si="14"/>
        <v>760522937</v>
      </c>
      <c r="AT24" s="30">
        <f t="shared" si="7"/>
        <v>760522937</v>
      </c>
      <c r="AU24" s="176">
        <f t="shared" si="10"/>
        <v>902283892</v>
      </c>
      <c r="AV24" s="177">
        <f t="shared" si="11"/>
        <v>0</v>
      </c>
      <c r="AW24" s="176">
        <f t="shared" si="12"/>
        <v>42809186</v>
      </c>
      <c r="AX24" s="32">
        <f t="shared" si="13"/>
        <v>0.47099236635626923</v>
      </c>
    </row>
    <row r="25" spans="1:50" ht="18.75" customHeight="1" x14ac:dyDescent="0.2">
      <c r="A25" s="14" t="s">
        <v>55</v>
      </c>
      <c r="B25" s="15" t="s">
        <v>56</v>
      </c>
      <c r="C25" s="15"/>
      <c r="D25" s="15" t="s">
        <v>40</v>
      </c>
      <c r="E25" s="15"/>
      <c r="F25" s="15"/>
      <c r="G25" s="15" t="s">
        <v>41</v>
      </c>
      <c r="H25" s="15"/>
      <c r="I25" s="15" t="s">
        <v>936</v>
      </c>
      <c r="J25" s="15"/>
      <c r="K25" s="15" t="s">
        <v>932</v>
      </c>
      <c r="L25" s="15"/>
      <c r="M25" s="15" t="s">
        <v>933</v>
      </c>
      <c r="N25" s="15"/>
      <c r="O25" s="15" t="s">
        <v>938</v>
      </c>
      <c r="P25" s="15"/>
      <c r="Q25" s="15" t="s">
        <v>939</v>
      </c>
      <c r="R25" s="15"/>
      <c r="S25" s="15" t="s">
        <v>940</v>
      </c>
      <c r="T25" s="15">
        <v>0</v>
      </c>
      <c r="U25" s="15">
        <v>0</v>
      </c>
      <c r="V25" s="15">
        <v>0</v>
      </c>
      <c r="W25" s="15">
        <v>0</v>
      </c>
      <c r="X25" s="15" t="s">
        <v>937</v>
      </c>
      <c r="Y25" s="15"/>
      <c r="Z25" s="15"/>
      <c r="AA25" s="16" t="s">
        <v>72</v>
      </c>
      <c r="AB25" s="17" t="s">
        <v>71</v>
      </c>
      <c r="AC25" s="17" t="s">
        <v>58</v>
      </c>
      <c r="AD25" s="18">
        <v>1777683059</v>
      </c>
      <c r="AE25" s="34">
        <v>0</v>
      </c>
      <c r="AF25" s="34">
        <v>0</v>
      </c>
      <c r="AG25" s="34">
        <v>0</v>
      </c>
      <c r="AH25" s="18">
        <v>140000000</v>
      </c>
      <c r="AI25" s="18">
        <f>AE25-AF25+AG25-AH25</f>
        <v>-140000000</v>
      </c>
      <c r="AJ25" s="18">
        <f>AD25+AI25</f>
        <v>1637683059</v>
      </c>
      <c r="AK25" s="34">
        <v>0</v>
      </c>
      <c r="AL25" s="18">
        <v>3803313</v>
      </c>
      <c r="AM25" s="18">
        <v>751651138</v>
      </c>
      <c r="AN25" s="34">
        <v>0</v>
      </c>
      <c r="AO25" s="18">
        <v>3803313</v>
      </c>
      <c r="AP25" s="18">
        <v>751651138</v>
      </c>
      <c r="AQ25" s="34">
        <v>0</v>
      </c>
      <c r="AR25" s="18">
        <v>3803313</v>
      </c>
      <c r="AS25" s="18">
        <v>751651138</v>
      </c>
      <c r="AT25" s="39">
        <f t="shared" si="7"/>
        <v>751651138</v>
      </c>
      <c r="AU25" s="18">
        <f t="shared" si="10"/>
        <v>886031921</v>
      </c>
      <c r="AV25" s="34">
        <f t="shared" si="11"/>
        <v>0</v>
      </c>
      <c r="AW25" s="34">
        <f t="shared" si="12"/>
        <v>0</v>
      </c>
      <c r="AX25" s="32">
        <f t="shared" si="13"/>
        <v>0.45897228640746413</v>
      </c>
    </row>
    <row r="26" spans="1:50" ht="18.75" customHeight="1" x14ac:dyDescent="0.2">
      <c r="A26" s="14" t="s">
        <v>55</v>
      </c>
      <c r="B26" s="15" t="s">
        <v>56</v>
      </c>
      <c r="C26" s="15"/>
      <c r="D26" s="15" t="s">
        <v>40</v>
      </c>
      <c r="E26" s="15"/>
      <c r="F26" s="15"/>
      <c r="G26" s="15" t="s">
        <v>41</v>
      </c>
      <c r="H26" s="15"/>
      <c r="I26" s="15" t="s">
        <v>941</v>
      </c>
      <c r="J26" s="15"/>
      <c r="K26" s="15" t="s">
        <v>932</v>
      </c>
      <c r="L26" s="15"/>
      <c r="M26" s="15" t="s">
        <v>933</v>
      </c>
      <c r="N26" s="15"/>
      <c r="O26" s="15" t="s">
        <v>938</v>
      </c>
      <c r="P26" s="15"/>
      <c r="Q26" s="15" t="s">
        <v>939</v>
      </c>
      <c r="R26" s="15"/>
      <c r="S26" s="15" t="s">
        <v>940</v>
      </c>
      <c r="T26" s="15">
        <v>0</v>
      </c>
      <c r="U26" s="15">
        <v>0</v>
      </c>
      <c r="V26" s="15">
        <v>0</v>
      </c>
      <c r="W26" s="15">
        <v>0</v>
      </c>
      <c r="X26" s="15" t="s">
        <v>937</v>
      </c>
      <c r="Y26" s="15"/>
      <c r="Z26" s="15"/>
      <c r="AA26" s="16" t="s">
        <v>73</v>
      </c>
      <c r="AB26" s="17" t="s">
        <v>74</v>
      </c>
      <c r="AC26" s="17" t="s">
        <v>61</v>
      </c>
      <c r="AD26" s="18">
        <v>67932956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18">
        <v>67932956</v>
      </c>
      <c r="AK26" s="34">
        <v>0</v>
      </c>
      <c r="AL26" s="34">
        <v>376629</v>
      </c>
      <c r="AM26" s="18">
        <v>51680985</v>
      </c>
      <c r="AN26" s="34">
        <v>0</v>
      </c>
      <c r="AO26" s="18">
        <v>376629</v>
      </c>
      <c r="AP26" s="18">
        <v>51680985</v>
      </c>
      <c r="AQ26" s="34">
        <v>0</v>
      </c>
      <c r="AR26" s="18">
        <v>376629</v>
      </c>
      <c r="AS26" s="18">
        <v>8871799</v>
      </c>
      <c r="AT26" s="40">
        <f t="shared" si="7"/>
        <v>8871799</v>
      </c>
      <c r="AU26" s="18">
        <f t="shared" si="10"/>
        <v>16251971</v>
      </c>
      <c r="AV26" s="34">
        <f t="shared" si="11"/>
        <v>0</v>
      </c>
      <c r="AW26" s="18">
        <f t="shared" si="12"/>
        <v>42809186</v>
      </c>
      <c r="AX26" s="32">
        <f t="shared" si="13"/>
        <v>0.7607645543938939</v>
      </c>
    </row>
    <row r="27" spans="1:50" ht="18.75" customHeight="1" x14ac:dyDescent="0.2">
      <c r="A27" s="27" t="s">
        <v>49</v>
      </c>
      <c r="B27" s="27" t="s">
        <v>50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8" t="s">
        <v>75</v>
      </c>
      <c r="AB27" s="29" t="s">
        <v>76</v>
      </c>
      <c r="AC27" s="30" t="s">
        <v>37</v>
      </c>
      <c r="AD27" s="30">
        <f>AD28+AD29</f>
        <v>592992922</v>
      </c>
      <c r="AE27" s="31">
        <f t="shared" ref="AE27:AS27" si="15">AE28+AE29</f>
        <v>0</v>
      </c>
      <c r="AF27" s="31">
        <f t="shared" si="15"/>
        <v>0</v>
      </c>
      <c r="AG27" s="31">
        <f t="shared" si="15"/>
        <v>0</v>
      </c>
      <c r="AH27" s="31">
        <f t="shared" si="15"/>
        <v>0</v>
      </c>
      <c r="AI27" s="31">
        <f t="shared" si="15"/>
        <v>0</v>
      </c>
      <c r="AJ27" s="30">
        <f t="shared" si="15"/>
        <v>592992922</v>
      </c>
      <c r="AK27" s="31">
        <f t="shared" si="15"/>
        <v>0</v>
      </c>
      <c r="AL27" s="30">
        <f t="shared" si="15"/>
        <v>94686139</v>
      </c>
      <c r="AM27" s="30">
        <f t="shared" si="15"/>
        <v>349513552</v>
      </c>
      <c r="AN27" s="31">
        <f t="shared" si="15"/>
        <v>0</v>
      </c>
      <c r="AO27" s="30">
        <f t="shared" si="15"/>
        <v>94686139</v>
      </c>
      <c r="AP27" s="30">
        <f t="shared" si="15"/>
        <v>349513552</v>
      </c>
      <c r="AQ27" s="31">
        <f t="shared" si="15"/>
        <v>0</v>
      </c>
      <c r="AR27" s="30">
        <f t="shared" si="15"/>
        <v>94686139</v>
      </c>
      <c r="AS27" s="30">
        <f t="shared" si="15"/>
        <v>349513552</v>
      </c>
      <c r="AT27" s="30">
        <f t="shared" si="7"/>
        <v>349513552</v>
      </c>
      <c r="AU27" s="176">
        <f t="shared" si="10"/>
        <v>243479370</v>
      </c>
      <c r="AV27" s="177">
        <f t="shared" si="11"/>
        <v>0</v>
      </c>
      <c r="AW27" s="177">
        <f t="shared" si="12"/>
        <v>0</v>
      </c>
      <c r="AX27" s="32">
        <f t="shared" si="13"/>
        <v>0.58940594235288357</v>
      </c>
    </row>
    <row r="28" spans="1:50" ht="18.75" customHeight="1" x14ac:dyDescent="0.2">
      <c r="A28" s="14" t="s">
        <v>55</v>
      </c>
      <c r="B28" s="15" t="s">
        <v>56</v>
      </c>
      <c r="C28" s="15"/>
      <c r="D28" s="15" t="s">
        <v>40</v>
      </c>
      <c r="E28" s="15"/>
      <c r="F28" s="15"/>
      <c r="G28" s="15" t="s">
        <v>41</v>
      </c>
      <c r="H28" s="15"/>
      <c r="I28" s="15" t="s">
        <v>936</v>
      </c>
      <c r="J28" s="15"/>
      <c r="K28" s="15" t="s">
        <v>932</v>
      </c>
      <c r="L28" s="15"/>
      <c r="M28" s="15" t="s">
        <v>933</v>
      </c>
      <c r="N28" s="15"/>
      <c r="O28" s="15" t="s">
        <v>938</v>
      </c>
      <c r="P28" s="15"/>
      <c r="Q28" s="15" t="s">
        <v>939</v>
      </c>
      <c r="R28" s="15"/>
      <c r="S28" s="15" t="s">
        <v>940</v>
      </c>
      <c r="T28" s="15">
        <v>0</v>
      </c>
      <c r="U28" s="15">
        <v>0</v>
      </c>
      <c r="V28" s="15">
        <v>0</v>
      </c>
      <c r="W28" s="15">
        <v>0</v>
      </c>
      <c r="X28" s="15" t="s">
        <v>937</v>
      </c>
      <c r="Y28" s="15"/>
      <c r="Z28" s="15"/>
      <c r="AA28" s="16" t="s">
        <v>77</v>
      </c>
      <c r="AB28" s="17" t="s">
        <v>76</v>
      </c>
      <c r="AC28" s="17" t="s">
        <v>58</v>
      </c>
      <c r="AD28" s="18">
        <v>546787511</v>
      </c>
      <c r="AE28" s="34">
        <v>0</v>
      </c>
      <c r="AF28" s="34">
        <v>0</v>
      </c>
      <c r="AG28" s="34">
        <v>0</v>
      </c>
      <c r="AH28" s="34">
        <v>0</v>
      </c>
      <c r="AI28" s="34">
        <v>0</v>
      </c>
      <c r="AJ28" s="18">
        <v>546787511</v>
      </c>
      <c r="AK28" s="34">
        <v>0</v>
      </c>
      <c r="AL28" s="18">
        <v>77394871</v>
      </c>
      <c r="AM28" s="18">
        <v>323649152</v>
      </c>
      <c r="AN28" s="34">
        <v>0</v>
      </c>
      <c r="AO28" s="18">
        <v>77394871</v>
      </c>
      <c r="AP28" s="18">
        <v>323649152</v>
      </c>
      <c r="AQ28" s="34">
        <v>0</v>
      </c>
      <c r="AR28" s="18">
        <v>77394871</v>
      </c>
      <c r="AS28" s="18">
        <v>323649152</v>
      </c>
      <c r="AT28" s="39">
        <f t="shared" si="7"/>
        <v>323649152</v>
      </c>
      <c r="AU28" s="18">
        <f t="shared" si="10"/>
        <v>223138359</v>
      </c>
      <c r="AV28" s="34">
        <f t="shared" si="11"/>
        <v>0</v>
      </c>
      <c r="AW28" s="34">
        <f t="shared" si="12"/>
        <v>0</v>
      </c>
      <c r="AX28" s="32">
        <f t="shared" si="13"/>
        <v>0.59191028596847373</v>
      </c>
    </row>
    <row r="29" spans="1:50" ht="18.75" customHeight="1" x14ac:dyDescent="0.2">
      <c r="A29" s="14" t="s">
        <v>55</v>
      </c>
      <c r="B29" s="15" t="s">
        <v>56</v>
      </c>
      <c r="C29" s="15"/>
      <c r="D29" s="15" t="s">
        <v>40</v>
      </c>
      <c r="E29" s="15"/>
      <c r="F29" s="15"/>
      <c r="G29" s="15" t="s">
        <v>41</v>
      </c>
      <c r="H29" s="15"/>
      <c r="I29" s="15" t="s">
        <v>941</v>
      </c>
      <c r="J29" s="15"/>
      <c r="K29" s="15" t="s">
        <v>932</v>
      </c>
      <c r="L29" s="15"/>
      <c r="M29" s="15" t="s">
        <v>933</v>
      </c>
      <c r="N29" s="15"/>
      <c r="O29" s="15" t="s">
        <v>938</v>
      </c>
      <c r="P29" s="15"/>
      <c r="Q29" s="15" t="s">
        <v>939</v>
      </c>
      <c r="R29" s="15"/>
      <c r="S29" s="15" t="s">
        <v>940</v>
      </c>
      <c r="T29" s="15">
        <v>0</v>
      </c>
      <c r="U29" s="15">
        <v>0</v>
      </c>
      <c r="V29" s="15">
        <v>0</v>
      </c>
      <c r="W29" s="15">
        <v>0</v>
      </c>
      <c r="X29" s="15" t="s">
        <v>937</v>
      </c>
      <c r="Y29" s="15"/>
      <c r="Z29" s="15"/>
      <c r="AA29" s="16" t="s">
        <v>78</v>
      </c>
      <c r="AB29" s="17" t="s">
        <v>79</v>
      </c>
      <c r="AC29" s="17" t="s">
        <v>58</v>
      </c>
      <c r="AD29" s="18">
        <v>46205411</v>
      </c>
      <c r="AE29" s="34">
        <v>0</v>
      </c>
      <c r="AF29" s="34">
        <v>0</v>
      </c>
      <c r="AG29" s="34">
        <v>0</v>
      </c>
      <c r="AH29" s="34">
        <v>0</v>
      </c>
      <c r="AI29" s="34">
        <v>0</v>
      </c>
      <c r="AJ29" s="18">
        <v>46205411</v>
      </c>
      <c r="AK29" s="34">
        <v>0</v>
      </c>
      <c r="AL29" s="34">
        <v>17291268</v>
      </c>
      <c r="AM29" s="18">
        <v>25864400</v>
      </c>
      <c r="AN29" s="34">
        <v>0</v>
      </c>
      <c r="AO29" s="18">
        <v>17291268</v>
      </c>
      <c r="AP29" s="18">
        <v>25864400</v>
      </c>
      <c r="AQ29" s="34">
        <v>0</v>
      </c>
      <c r="AR29" s="18">
        <v>17291268</v>
      </c>
      <c r="AS29" s="18">
        <v>25864400</v>
      </c>
      <c r="AT29" s="39">
        <f t="shared" si="7"/>
        <v>25864400</v>
      </c>
      <c r="AU29" s="18">
        <f t="shared" si="10"/>
        <v>20341011</v>
      </c>
      <c r="AV29" s="34">
        <f t="shared" si="11"/>
        <v>0</v>
      </c>
      <c r="AW29" s="34">
        <f t="shared" si="12"/>
        <v>0</v>
      </c>
      <c r="AX29" s="32">
        <f t="shared" si="13"/>
        <v>0.55976993690197885</v>
      </c>
    </row>
    <row r="30" spans="1:50" ht="18.75" customHeight="1" x14ac:dyDescent="0.2">
      <c r="A30" s="27" t="s">
        <v>49</v>
      </c>
      <c r="B30" s="27" t="s">
        <v>50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8" t="s">
        <v>80</v>
      </c>
      <c r="AB30" s="29" t="s">
        <v>81</v>
      </c>
      <c r="AC30" s="30" t="s">
        <v>37</v>
      </c>
      <c r="AD30" s="30">
        <f>AD31+AD34</f>
        <v>3301831967</v>
      </c>
      <c r="AE30" s="31">
        <f t="shared" ref="AE30:AS30" si="16">AE31+AE34</f>
        <v>0</v>
      </c>
      <c r="AF30" s="31">
        <f t="shared" si="16"/>
        <v>0</v>
      </c>
      <c r="AG30" s="31">
        <f t="shared" si="16"/>
        <v>0</v>
      </c>
      <c r="AH30" s="30">
        <f t="shared" si="16"/>
        <v>120000000</v>
      </c>
      <c r="AI30" s="30">
        <f t="shared" si="16"/>
        <v>-120000000</v>
      </c>
      <c r="AJ30" s="30">
        <f t="shared" si="16"/>
        <v>3181831967</v>
      </c>
      <c r="AK30" s="31">
        <f t="shared" si="16"/>
        <v>0</v>
      </c>
      <c r="AL30" s="30">
        <f t="shared" si="16"/>
        <v>94829101</v>
      </c>
      <c r="AM30" s="30">
        <f t="shared" si="16"/>
        <v>477971711</v>
      </c>
      <c r="AN30" s="31">
        <f t="shared" si="16"/>
        <v>0</v>
      </c>
      <c r="AO30" s="30">
        <f t="shared" si="16"/>
        <v>94829101</v>
      </c>
      <c r="AP30" s="30">
        <f t="shared" si="16"/>
        <v>477971711</v>
      </c>
      <c r="AQ30" s="31">
        <f t="shared" si="16"/>
        <v>0</v>
      </c>
      <c r="AR30" s="30">
        <f t="shared" si="16"/>
        <v>102647332</v>
      </c>
      <c r="AS30" s="30">
        <f t="shared" si="16"/>
        <v>477971711</v>
      </c>
      <c r="AT30" s="39">
        <f t="shared" si="7"/>
        <v>477971711</v>
      </c>
      <c r="AU30" s="18">
        <f t="shared" si="10"/>
        <v>2703860256</v>
      </c>
      <c r="AV30" s="34">
        <f t="shared" si="11"/>
        <v>0</v>
      </c>
      <c r="AW30" s="18">
        <f t="shared" si="12"/>
        <v>0</v>
      </c>
      <c r="AX30" s="32">
        <f t="shared" si="13"/>
        <v>0.15021902977819948</v>
      </c>
    </row>
    <row r="31" spans="1:50" ht="18.75" customHeight="1" x14ac:dyDescent="0.2">
      <c r="A31" s="27" t="s">
        <v>49</v>
      </c>
      <c r="B31" s="27" t="s">
        <v>50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8" t="s">
        <v>82</v>
      </c>
      <c r="AB31" s="29" t="s">
        <v>83</v>
      </c>
      <c r="AC31" s="30" t="s">
        <v>37</v>
      </c>
      <c r="AD31" s="30">
        <f>AD32+AD33</f>
        <v>2120123016</v>
      </c>
      <c r="AE31" s="31">
        <f t="shared" ref="AE31:AS31" si="17">AE32+AE33</f>
        <v>0</v>
      </c>
      <c r="AF31" s="31">
        <f t="shared" si="17"/>
        <v>0</v>
      </c>
      <c r="AG31" s="31">
        <f t="shared" si="17"/>
        <v>0</v>
      </c>
      <c r="AH31" s="31">
        <f t="shared" si="17"/>
        <v>0</v>
      </c>
      <c r="AI31" s="31">
        <f t="shared" si="17"/>
        <v>0</v>
      </c>
      <c r="AJ31" s="30">
        <f t="shared" si="17"/>
        <v>2120123016</v>
      </c>
      <c r="AK31" s="31">
        <f t="shared" si="17"/>
        <v>0</v>
      </c>
      <c r="AL31" s="30">
        <f t="shared" si="17"/>
        <v>33221303</v>
      </c>
      <c r="AM31" s="30">
        <f t="shared" si="17"/>
        <v>75381251</v>
      </c>
      <c r="AN31" s="31">
        <f t="shared" si="17"/>
        <v>0</v>
      </c>
      <c r="AO31" s="30">
        <f>AO32+AO33</f>
        <v>33221303</v>
      </c>
      <c r="AP31" s="30">
        <f t="shared" si="17"/>
        <v>75381251</v>
      </c>
      <c r="AQ31" s="31">
        <f t="shared" si="17"/>
        <v>0</v>
      </c>
      <c r="AR31" s="30">
        <f t="shared" si="17"/>
        <v>33221303</v>
      </c>
      <c r="AS31" s="30">
        <f t="shared" si="17"/>
        <v>75381251</v>
      </c>
      <c r="AT31" s="39">
        <f t="shared" si="7"/>
        <v>75381251</v>
      </c>
      <c r="AU31" s="18">
        <f t="shared" si="10"/>
        <v>2044741765</v>
      </c>
      <c r="AV31" s="34">
        <f t="shared" si="11"/>
        <v>0</v>
      </c>
      <c r="AW31" s="34">
        <f t="shared" si="12"/>
        <v>0</v>
      </c>
      <c r="AX31" s="32">
        <f t="shared" si="13"/>
        <v>3.5555130731149992E-2</v>
      </c>
    </row>
    <row r="32" spans="1:50" ht="18.75" customHeight="1" x14ac:dyDescent="0.2">
      <c r="A32" s="14" t="s">
        <v>55</v>
      </c>
      <c r="B32" s="15" t="s">
        <v>56</v>
      </c>
      <c r="C32" s="15"/>
      <c r="D32" s="15" t="s">
        <v>40</v>
      </c>
      <c r="E32" s="15"/>
      <c r="F32" s="15"/>
      <c r="G32" s="15" t="s">
        <v>41</v>
      </c>
      <c r="H32" s="15"/>
      <c r="I32" s="15" t="s">
        <v>941</v>
      </c>
      <c r="J32" s="15"/>
      <c r="K32" s="15" t="s">
        <v>932</v>
      </c>
      <c r="L32" s="15"/>
      <c r="M32" s="15" t="s">
        <v>933</v>
      </c>
      <c r="N32" s="15"/>
      <c r="O32" s="15" t="s">
        <v>938</v>
      </c>
      <c r="P32" s="15"/>
      <c r="Q32" s="15" t="s">
        <v>939</v>
      </c>
      <c r="R32" s="15"/>
      <c r="S32" s="15" t="s">
        <v>940</v>
      </c>
      <c r="T32" s="15">
        <v>0</v>
      </c>
      <c r="U32" s="15">
        <v>0</v>
      </c>
      <c r="V32" s="15">
        <v>0</v>
      </c>
      <c r="W32" s="15">
        <v>0</v>
      </c>
      <c r="X32" s="15" t="s">
        <v>937</v>
      </c>
      <c r="Y32" s="15"/>
      <c r="Z32" s="15"/>
      <c r="AA32" s="16" t="s">
        <v>84</v>
      </c>
      <c r="AB32" s="17" t="s">
        <v>85</v>
      </c>
      <c r="AC32" s="17" t="s">
        <v>61</v>
      </c>
      <c r="AD32" s="18">
        <v>151225079</v>
      </c>
      <c r="AE32" s="34">
        <v>0</v>
      </c>
      <c r="AF32" s="34">
        <v>0</v>
      </c>
      <c r="AG32" s="34">
        <v>0</v>
      </c>
      <c r="AH32" s="34">
        <v>0</v>
      </c>
      <c r="AI32" s="34">
        <v>0</v>
      </c>
      <c r="AJ32" s="18">
        <v>151225079</v>
      </c>
      <c r="AK32" s="34">
        <v>0</v>
      </c>
      <c r="AL32" s="34">
        <v>8179311</v>
      </c>
      <c r="AM32" s="18">
        <v>15507957</v>
      </c>
      <c r="AN32" s="34">
        <v>0</v>
      </c>
      <c r="AO32" s="18">
        <v>8179311</v>
      </c>
      <c r="AP32" s="18">
        <v>15507957</v>
      </c>
      <c r="AQ32" s="34">
        <v>0</v>
      </c>
      <c r="AR32" s="18">
        <v>8179311</v>
      </c>
      <c r="AS32" s="18">
        <v>15507957</v>
      </c>
      <c r="AT32" s="39">
        <f t="shared" si="7"/>
        <v>15507957</v>
      </c>
      <c r="AU32" s="18">
        <f t="shared" si="10"/>
        <v>135717122</v>
      </c>
      <c r="AV32" s="34">
        <f t="shared" si="11"/>
        <v>0</v>
      </c>
      <c r="AW32" s="34">
        <f t="shared" si="12"/>
        <v>0</v>
      </c>
      <c r="AX32" s="32">
        <f t="shared" si="13"/>
        <v>0.10254884376684636</v>
      </c>
    </row>
    <row r="33" spans="1:50" ht="18.75" customHeight="1" x14ac:dyDescent="0.2">
      <c r="A33" s="14" t="s">
        <v>55</v>
      </c>
      <c r="B33" s="15" t="s">
        <v>56</v>
      </c>
      <c r="C33" s="15"/>
      <c r="D33" s="15" t="s">
        <v>40</v>
      </c>
      <c r="E33" s="15"/>
      <c r="F33" s="15"/>
      <c r="G33" s="15" t="s">
        <v>41</v>
      </c>
      <c r="H33" s="15"/>
      <c r="I33" s="15" t="s">
        <v>936</v>
      </c>
      <c r="J33" s="15"/>
      <c r="K33" s="15" t="s">
        <v>932</v>
      </c>
      <c r="L33" s="15"/>
      <c r="M33" s="15" t="s">
        <v>933</v>
      </c>
      <c r="N33" s="15"/>
      <c r="O33" s="15" t="s">
        <v>938</v>
      </c>
      <c r="P33" s="15"/>
      <c r="Q33" s="15" t="s">
        <v>939</v>
      </c>
      <c r="R33" s="15"/>
      <c r="S33" s="15" t="s">
        <v>940</v>
      </c>
      <c r="T33" s="15">
        <v>0</v>
      </c>
      <c r="U33" s="15">
        <v>0</v>
      </c>
      <c r="V33" s="15">
        <v>0</v>
      </c>
      <c r="W33" s="15">
        <v>0</v>
      </c>
      <c r="X33" s="15" t="s">
        <v>937</v>
      </c>
      <c r="Y33" s="15"/>
      <c r="Z33" s="15"/>
      <c r="AA33" s="16" t="s">
        <v>86</v>
      </c>
      <c r="AB33" s="17" t="s">
        <v>83</v>
      </c>
      <c r="AC33" s="17" t="s">
        <v>58</v>
      </c>
      <c r="AD33" s="18">
        <v>1968897937</v>
      </c>
      <c r="AE33" s="34">
        <v>0</v>
      </c>
      <c r="AF33" s="34">
        <v>0</v>
      </c>
      <c r="AG33" s="34">
        <v>0</v>
      </c>
      <c r="AH33" s="34">
        <v>0</v>
      </c>
      <c r="AI33" s="34">
        <v>0</v>
      </c>
      <c r="AJ33" s="18">
        <v>1968897937</v>
      </c>
      <c r="AK33" s="34">
        <v>0</v>
      </c>
      <c r="AL33" s="18">
        <v>25041992</v>
      </c>
      <c r="AM33" s="18">
        <v>59873294</v>
      </c>
      <c r="AN33" s="34">
        <v>0</v>
      </c>
      <c r="AO33" s="18">
        <v>25041992</v>
      </c>
      <c r="AP33" s="18">
        <v>59873294</v>
      </c>
      <c r="AQ33" s="34">
        <v>0</v>
      </c>
      <c r="AR33" s="18">
        <v>25041992</v>
      </c>
      <c r="AS33" s="18">
        <v>59873294</v>
      </c>
      <c r="AT33" s="39">
        <f t="shared" si="7"/>
        <v>59873294</v>
      </c>
      <c r="AU33" s="18">
        <f t="shared" si="10"/>
        <v>1909024643</v>
      </c>
      <c r="AV33" s="34">
        <f t="shared" si="11"/>
        <v>0</v>
      </c>
      <c r="AW33" s="34">
        <f t="shared" si="12"/>
        <v>0</v>
      </c>
      <c r="AX33" s="32">
        <f t="shared" si="13"/>
        <v>3.0409546820506419E-2</v>
      </c>
    </row>
    <row r="34" spans="1:50" ht="18.75" customHeight="1" x14ac:dyDescent="0.2">
      <c r="A34" s="27" t="s">
        <v>49</v>
      </c>
      <c r="B34" s="27" t="s">
        <v>50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8" t="s">
        <v>87</v>
      </c>
      <c r="AB34" s="29" t="s">
        <v>88</v>
      </c>
      <c r="AC34" s="30" t="s">
        <v>37</v>
      </c>
      <c r="AD34" s="30">
        <f>AD35+AD36</f>
        <v>1181708951</v>
      </c>
      <c r="AE34" s="31">
        <f t="shared" ref="AE34:AS34" si="18">AE35+AE36</f>
        <v>0</v>
      </c>
      <c r="AF34" s="31">
        <f t="shared" si="18"/>
        <v>0</v>
      </c>
      <c r="AG34" s="31">
        <f t="shared" si="18"/>
        <v>0</v>
      </c>
      <c r="AH34" s="30">
        <f t="shared" si="18"/>
        <v>120000000</v>
      </c>
      <c r="AI34" s="30">
        <f t="shared" si="18"/>
        <v>-120000000</v>
      </c>
      <c r="AJ34" s="30">
        <f t="shared" si="18"/>
        <v>1061708951</v>
      </c>
      <c r="AK34" s="31">
        <f t="shared" si="18"/>
        <v>0</v>
      </c>
      <c r="AL34" s="30">
        <f t="shared" si="18"/>
        <v>61607798</v>
      </c>
      <c r="AM34" s="30">
        <f t="shared" si="18"/>
        <v>402590460</v>
      </c>
      <c r="AN34" s="31">
        <f t="shared" si="18"/>
        <v>0</v>
      </c>
      <c r="AO34" s="30">
        <f t="shared" si="18"/>
        <v>61607798</v>
      </c>
      <c r="AP34" s="30">
        <f t="shared" si="18"/>
        <v>402590460</v>
      </c>
      <c r="AQ34" s="31">
        <f t="shared" si="18"/>
        <v>0</v>
      </c>
      <c r="AR34" s="30">
        <f t="shared" si="18"/>
        <v>69426029</v>
      </c>
      <c r="AS34" s="30">
        <f t="shared" si="18"/>
        <v>402590460</v>
      </c>
      <c r="AT34" s="30">
        <f t="shared" si="7"/>
        <v>402590460</v>
      </c>
      <c r="AU34" s="176">
        <f t="shared" si="10"/>
        <v>659118491</v>
      </c>
      <c r="AV34" s="177">
        <f t="shared" si="11"/>
        <v>0</v>
      </c>
      <c r="AW34" s="176">
        <f t="shared" si="12"/>
        <v>0</v>
      </c>
      <c r="AX34" s="32">
        <f t="shared" si="13"/>
        <v>0.37919098225630388</v>
      </c>
    </row>
    <row r="35" spans="1:50" ht="18.75" customHeight="1" x14ac:dyDescent="0.2">
      <c r="A35" s="35" t="s">
        <v>55</v>
      </c>
      <c r="B35" s="36" t="s">
        <v>56</v>
      </c>
      <c r="C35" s="36"/>
      <c r="D35" s="36" t="s">
        <v>40</v>
      </c>
      <c r="E35" s="36"/>
      <c r="F35" s="36"/>
      <c r="G35" s="36" t="s">
        <v>41</v>
      </c>
      <c r="H35" s="36"/>
      <c r="I35" s="36" t="s">
        <v>936</v>
      </c>
      <c r="J35" s="36"/>
      <c r="K35" s="36" t="s">
        <v>932</v>
      </c>
      <c r="L35" s="36"/>
      <c r="M35" s="36" t="s">
        <v>933</v>
      </c>
      <c r="N35" s="36"/>
      <c r="O35" s="36" t="s">
        <v>938</v>
      </c>
      <c r="P35" s="36"/>
      <c r="Q35" s="36" t="s">
        <v>939</v>
      </c>
      <c r="R35" s="36"/>
      <c r="S35" s="36" t="s">
        <v>940</v>
      </c>
      <c r="T35" s="36">
        <v>0</v>
      </c>
      <c r="U35" s="36">
        <v>0</v>
      </c>
      <c r="V35" s="36">
        <v>0</v>
      </c>
      <c r="W35" s="36">
        <v>0</v>
      </c>
      <c r="X35" s="36" t="s">
        <v>937</v>
      </c>
      <c r="Y35" s="36"/>
      <c r="Z35" s="36"/>
      <c r="AA35" s="37" t="s">
        <v>89</v>
      </c>
      <c r="AB35" s="38" t="s">
        <v>88</v>
      </c>
      <c r="AC35" s="38" t="s">
        <v>58</v>
      </c>
      <c r="AD35" s="39">
        <v>1110945455</v>
      </c>
      <c r="AE35" s="40">
        <v>0</v>
      </c>
      <c r="AF35" s="40">
        <v>0</v>
      </c>
      <c r="AG35" s="40">
        <v>0</v>
      </c>
      <c r="AH35" s="39">
        <v>120000000</v>
      </c>
      <c r="AI35" s="18">
        <f>AE35-AF35+AG35-AH35</f>
        <v>-120000000</v>
      </c>
      <c r="AJ35" s="18">
        <f>AD35+AI35</f>
        <v>990945455</v>
      </c>
      <c r="AK35" s="40">
        <v>0</v>
      </c>
      <c r="AL35" s="39">
        <v>54443139</v>
      </c>
      <c r="AM35" s="39">
        <v>382132378</v>
      </c>
      <c r="AN35" s="40">
        <v>0</v>
      </c>
      <c r="AO35" s="39">
        <v>54443139</v>
      </c>
      <c r="AP35" s="39">
        <v>382132378</v>
      </c>
      <c r="AQ35" s="40">
        <v>0</v>
      </c>
      <c r="AR35" s="18">
        <v>62261370</v>
      </c>
      <c r="AS35" s="39">
        <v>382132378</v>
      </c>
      <c r="AT35" s="39">
        <f t="shared" si="7"/>
        <v>382132378</v>
      </c>
      <c r="AU35" s="18">
        <f t="shared" si="10"/>
        <v>608813077</v>
      </c>
      <c r="AV35" s="34">
        <f t="shared" si="11"/>
        <v>0</v>
      </c>
      <c r="AW35" s="18">
        <f t="shared" si="12"/>
        <v>0</v>
      </c>
      <c r="AX35" s="32">
        <f t="shared" si="13"/>
        <v>0.38562402811565444</v>
      </c>
    </row>
    <row r="36" spans="1:50" ht="18.75" customHeight="1" x14ac:dyDescent="0.2">
      <c r="A36" s="14" t="s">
        <v>55</v>
      </c>
      <c r="B36" s="15" t="s">
        <v>56</v>
      </c>
      <c r="C36" s="15"/>
      <c r="D36" s="15" t="s">
        <v>40</v>
      </c>
      <c r="E36" s="15"/>
      <c r="F36" s="15"/>
      <c r="G36" s="15" t="s">
        <v>41</v>
      </c>
      <c r="H36" s="15"/>
      <c r="I36" s="15" t="s">
        <v>941</v>
      </c>
      <c r="J36" s="15"/>
      <c r="K36" s="15" t="s">
        <v>932</v>
      </c>
      <c r="L36" s="15"/>
      <c r="M36" s="15" t="s">
        <v>933</v>
      </c>
      <c r="N36" s="15"/>
      <c r="O36" s="15" t="s">
        <v>938</v>
      </c>
      <c r="P36" s="15"/>
      <c r="Q36" s="15" t="s">
        <v>939</v>
      </c>
      <c r="R36" s="15"/>
      <c r="S36" s="15" t="s">
        <v>940</v>
      </c>
      <c r="T36" s="15">
        <v>0</v>
      </c>
      <c r="U36" s="15">
        <v>0</v>
      </c>
      <c r="V36" s="15">
        <v>0</v>
      </c>
      <c r="W36" s="15">
        <v>0</v>
      </c>
      <c r="X36" s="15" t="s">
        <v>937</v>
      </c>
      <c r="Y36" s="15"/>
      <c r="Z36" s="15"/>
      <c r="AA36" s="16" t="s">
        <v>90</v>
      </c>
      <c r="AB36" s="17" t="s">
        <v>91</v>
      </c>
      <c r="AC36" s="17" t="s">
        <v>61</v>
      </c>
      <c r="AD36" s="18">
        <v>70763496</v>
      </c>
      <c r="AE36" s="34">
        <v>0</v>
      </c>
      <c r="AF36" s="34">
        <v>0</v>
      </c>
      <c r="AG36" s="34">
        <v>0</v>
      </c>
      <c r="AH36" s="34">
        <v>0</v>
      </c>
      <c r="AI36" s="34">
        <v>0</v>
      </c>
      <c r="AJ36" s="18">
        <v>70763496</v>
      </c>
      <c r="AK36" s="34">
        <v>0</v>
      </c>
      <c r="AL36" s="40">
        <v>7164659</v>
      </c>
      <c r="AM36" s="18">
        <v>20458082</v>
      </c>
      <c r="AN36" s="34">
        <v>0</v>
      </c>
      <c r="AO36" s="39">
        <v>7164659</v>
      </c>
      <c r="AP36" s="18">
        <v>20458082</v>
      </c>
      <c r="AQ36" s="34">
        <v>0</v>
      </c>
      <c r="AR36" s="18">
        <v>7164659</v>
      </c>
      <c r="AS36" s="18">
        <v>20458082</v>
      </c>
      <c r="AT36" s="39">
        <f t="shared" si="7"/>
        <v>20458082</v>
      </c>
      <c r="AU36" s="18">
        <f t="shared" si="10"/>
        <v>50305414</v>
      </c>
      <c r="AV36" s="34">
        <f t="shared" si="11"/>
        <v>0</v>
      </c>
      <c r="AW36" s="34">
        <f t="shared" si="12"/>
        <v>0</v>
      </c>
      <c r="AX36" s="32">
        <f t="shared" si="13"/>
        <v>0.289105021040792</v>
      </c>
    </row>
    <row r="37" spans="1:50" ht="18.75" customHeight="1" x14ac:dyDescent="0.2">
      <c r="A37" s="14" t="s">
        <v>49</v>
      </c>
      <c r="B37" s="15" t="s">
        <v>50</v>
      </c>
      <c r="C37" s="15"/>
      <c r="D37" s="15" t="s">
        <v>40</v>
      </c>
      <c r="E37" s="15"/>
      <c r="F37" s="15"/>
      <c r="G37" s="15" t="s">
        <v>41</v>
      </c>
      <c r="H37" s="15"/>
      <c r="I37" s="15" t="s">
        <v>936</v>
      </c>
      <c r="J37" s="15"/>
      <c r="K37" s="15" t="s">
        <v>932</v>
      </c>
      <c r="L37" s="15"/>
      <c r="M37" s="15" t="s">
        <v>933</v>
      </c>
      <c r="N37" s="15"/>
      <c r="O37" s="15" t="s">
        <v>938</v>
      </c>
      <c r="P37" s="15"/>
      <c r="Q37" s="15" t="s">
        <v>939</v>
      </c>
      <c r="R37" s="15"/>
      <c r="S37" s="15" t="s">
        <v>940</v>
      </c>
      <c r="T37" s="15">
        <v>0</v>
      </c>
      <c r="U37" s="15">
        <v>0</v>
      </c>
      <c r="V37" s="15">
        <v>0</v>
      </c>
      <c r="W37" s="15">
        <v>0</v>
      </c>
      <c r="X37" s="15" t="s">
        <v>937</v>
      </c>
      <c r="Y37" s="15"/>
      <c r="Z37" s="15"/>
      <c r="AA37" s="16" t="s">
        <v>92</v>
      </c>
      <c r="AB37" s="17" t="s">
        <v>93</v>
      </c>
      <c r="AC37" s="17" t="s">
        <v>58</v>
      </c>
      <c r="AD37" s="18">
        <v>128952600</v>
      </c>
      <c r="AE37" s="34">
        <v>0</v>
      </c>
      <c r="AF37" s="34">
        <v>0</v>
      </c>
      <c r="AG37" s="34">
        <v>0</v>
      </c>
      <c r="AH37" s="18">
        <v>72000000</v>
      </c>
      <c r="AI37" s="18">
        <f>AE37-AF37+AG37-AH37</f>
        <v>-72000000</v>
      </c>
      <c r="AJ37" s="18">
        <f>AD37+AI37</f>
        <v>56952600</v>
      </c>
      <c r="AK37" s="34">
        <v>0</v>
      </c>
      <c r="AL37" s="40">
        <v>0</v>
      </c>
      <c r="AM37" s="34">
        <v>0</v>
      </c>
      <c r="AN37" s="34">
        <v>0</v>
      </c>
      <c r="AO37" s="40">
        <v>0</v>
      </c>
      <c r="AP37" s="34">
        <v>0</v>
      </c>
      <c r="AQ37" s="34">
        <v>0</v>
      </c>
      <c r="AR37" s="34">
        <v>0</v>
      </c>
      <c r="AS37" s="34">
        <v>0</v>
      </c>
      <c r="AT37" s="40">
        <f t="shared" si="7"/>
        <v>0</v>
      </c>
      <c r="AU37" s="18">
        <f t="shared" si="10"/>
        <v>56952600</v>
      </c>
      <c r="AV37" s="34">
        <f t="shared" si="11"/>
        <v>0</v>
      </c>
      <c r="AW37" s="34">
        <f t="shared" si="12"/>
        <v>0</v>
      </c>
      <c r="AX37" s="32">
        <f t="shared" si="13"/>
        <v>0</v>
      </c>
    </row>
    <row r="38" spans="1:50" ht="18.75" customHeight="1" x14ac:dyDescent="0.2">
      <c r="A38" s="35" t="s">
        <v>49</v>
      </c>
      <c r="B38" s="36" t="s">
        <v>50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7" t="s">
        <v>94</v>
      </c>
      <c r="AB38" s="38" t="s">
        <v>95</v>
      </c>
      <c r="AC38" s="38" t="s">
        <v>56</v>
      </c>
      <c r="AD38" s="40">
        <v>0</v>
      </c>
      <c r="AE38" s="40">
        <v>0</v>
      </c>
      <c r="AF38" s="40">
        <v>0</v>
      </c>
      <c r="AG38" s="40">
        <v>0</v>
      </c>
      <c r="AH38" s="40">
        <v>0</v>
      </c>
      <c r="AI38" s="40">
        <v>0</v>
      </c>
      <c r="AJ38" s="40">
        <v>0</v>
      </c>
      <c r="AK38" s="40">
        <v>0</v>
      </c>
      <c r="AL38" s="40">
        <f>AM38-ABRIL!AM38</f>
        <v>0</v>
      </c>
      <c r="AM38" s="40">
        <v>0</v>
      </c>
      <c r="AN38" s="40">
        <v>0</v>
      </c>
      <c r="AO38" s="40">
        <f>AP38-ABRIL!AP38</f>
        <v>0</v>
      </c>
      <c r="AP38" s="40">
        <v>0</v>
      </c>
      <c r="AQ38" s="40">
        <v>0</v>
      </c>
      <c r="AR38" s="34">
        <f>AS38-ABRIL!AS38</f>
        <v>0</v>
      </c>
      <c r="AS38" s="40">
        <v>0</v>
      </c>
      <c r="AT38" s="40">
        <f t="shared" si="7"/>
        <v>0</v>
      </c>
      <c r="AU38" s="34">
        <f t="shared" si="10"/>
        <v>0</v>
      </c>
      <c r="AV38" s="34">
        <f t="shared" si="11"/>
        <v>0</v>
      </c>
      <c r="AW38" s="34">
        <f t="shared" si="12"/>
        <v>0</v>
      </c>
      <c r="AX38" s="32">
        <v>0</v>
      </c>
    </row>
    <row r="39" spans="1:50" s="25" customFormat="1" ht="18.75" customHeight="1" x14ac:dyDescent="0.2">
      <c r="A39" s="19" t="s">
        <v>49</v>
      </c>
      <c r="B39" s="19" t="s">
        <v>50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26" t="s">
        <v>96</v>
      </c>
      <c r="AB39" s="21" t="s">
        <v>97</v>
      </c>
      <c r="AC39" s="22" t="s">
        <v>37</v>
      </c>
      <c r="AD39" s="22">
        <f>AD40</f>
        <v>23412454</v>
      </c>
      <c r="AE39" s="23">
        <f t="shared" ref="AE39:AW40" si="19">AE40</f>
        <v>0</v>
      </c>
      <c r="AF39" s="23">
        <f t="shared" si="19"/>
        <v>0</v>
      </c>
      <c r="AG39" s="23">
        <f t="shared" si="19"/>
        <v>0</v>
      </c>
      <c r="AH39" s="23">
        <f t="shared" si="19"/>
        <v>0</v>
      </c>
      <c r="AI39" s="23">
        <f t="shared" si="19"/>
        <v>0</v>
      </c>
      <c r="AJ39" s="22">
        <f t="shared" si="19"/>
        <v>23412454</v>
      </c>
      <c r="AK39" s="23">
        <f t="shared" si="19"/>
        <v>0</v>
      </c>
      <c r="AL39" s="23">
        <f t="shared" si="19"/>
        <v>0</v>
      </c>
      <c r="AM39" s="23">
        <f t="shared" si="19"/>
        <v>0</v>
      </c>
      <c r="AN39" s="23">
        <f t="shared" si="19"/>
        <v>0</v>
      </c>
      <c r="AO39" s="23">
        <f t="shared" si="19"/>
        <v>0</v>
      </c>
      <c r="AP39" s="23">
        <f t="shared" si="19"/>
        <v>0</v>
      </c>
      <c r="AQ39" s="23">
        <f t="shared" si="19"/>
        <v>0</v>
      </c>
      <c r="AR39" s="23">
        <f t="shared" si="19"/>
        <v>0</v>
      </c>
      <c r="AS39" s="23">
        <f t="shared" si="19"/>
        <v>0</v>
      </c>
      <c r="AT39" s="23">
        <f>AQ39+AS39</f>
        <v>0</v>
      </c>
      <c r="AU39" s="22">
        <f t="shared" si="19"/>
        <v>23412454</v>
      </c>
      <c r="AV39" s="23">
        <f t="shared" si="19"/>
        <v>0</v>
      </c>
      <c r="AW39" s="23">
        <f t="shared" si="19"/>
        <v>0</v>
      </c>
      <c r="AX39" s="24">
        <f t="shared" ref="AX39:AX104" si="20">AP39/AJ39</f>
        <v>0</v>
      </c>
    </row>
    <row r="40" spans="1:50" ht="18.75" customHeight="1" x14ac:dyDescent="0.2">
      <c r="A40" s="27" t="s">
        <v>55</v>
      </c>
      <c r="B40" s="27" t="s">
        <v>56</v>
      </c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8" t="s">
        <v>98</v>
      </c>
      <c r="AB40" s="29" t="s">
        <v>99</v>
      </c>
      <c r="AC40" s="30" t="s">
        <v>37</v>
      </c>
      <c r="AD40" s="30">
        <f>AD41</f>
        <v>23412454</v>
      </c>
      <c r="AE40" s="31">
        <f t="shared" si="19"/>
        <v>0</v>
      </c>
      <c r="AF40" s="31">
        <f t="shared" si="19"/>
        <v>0</v>
      </c>
      <c r="AG40" s="31">
        <f t="shared" si="19"/>
        <v>0</v>
      </c>
      <c r="AH40" s="31">
        <f t="shared" si="19"/>
        <v>0</v>
      </c>
      <c r="AI40" s="31">
        <f t="shared" si="19"/>
        <v>0</v>
      </c>
      <c r="AJ40" s="30">
        <f t="shared" si="19"/>
        <v>23412454</v>
      </c>
      <c r="AK40" s="31">
        <f t="shared" si="19"/>
        <v>0</v>
      </c>
      <c r="AL40" s="31">
        <f t="shared" si="19"/>
        <v>0</v>
      </c>
      <c r="AM40" s="31">
        <f t="shared" si="19"/>
        <v>0</v>
      </c>
      <c r="AN40" s="31">
        <f t="shared" si="19"/>
        <v>0</v>
      </c>
      <c r="AO40" s="31">
        <f t="shared" si="19"/>
        <v>0</v>
      </c>
      <c r="AP40" s="31">
        <f t="shared" si="19"/>
        <v>0</v>
      </c>
      <c r="AQ40" s="31">
        <f t="shared" si="19"/>
        <v>0</v>
      </c>
      <c r="AR40" s="31">
        <f t="shared" si="19"/>
        <v>0</v>
      </c>
      <c r="AS40" s="31">
        <f t="shared" si="19"/>
        <v>0</v>
      </c>
      <c r="AT40" s="31">
        <f t="shared" ref="AT40:AT41" si="21">AQ40+AS40</f>
        <v>0</v>
      </c>
      <c r="AU40" s="18">
        <f>AJ40-AM40</f>
        <v>23412454</v>
      </c>
      <c r="AV40" s="34">
        <f>AM40-AP40</f>
        <v>0</v>
      </c>
      <c r="AW40" s="34">
        <f>AP40-AT40</f>
        <v>0</v>
      </c>
      <c r="AX40" s="32">
        <f t="shared" si="20"/>
        <v>0</v>
      </c>
    </row>
    <row r="41" spans="1:50" ht="18.75" customHeight="1" x14ac:dyDescent="0.2">
      <c r="A41" s="14" t="s">
        <v>55</v>
      </c>
      <c r="B41" s="15" t="s">
        <v>56</v>
      </c>
      <c r="C41" s="15"/>
      <c r="D41" s="15" t="s">
        <v>40</v>
      </c>
      <c r="E41" s="15"/>
      <c r="F41" s="15"/>
      <c r="G41" s="15" t="s">
        <v>41</v>
      </c>
      <c r="H41" s="15"/>
      <c r="I41" s="15" t="s">
        <v>936</v>
      </c>
      <c r="J41" s="15"/>
      <c r="K41" s="15" t="s">
        <v>932</v>
      </c>
      <c r="L41" s="15"/>
      <c r="M41" s="15" t="s">
        <v>933</v>
      </c>
      <c r="N41" s="15"/>
      <c r="O41" s="15" t="s">
        <v>938</v>
      </c>
      <c r="P41" s="15"/>
      <c r="Q41" s="15" t="s">
        <v>939</v>
      </c>
      <c r="R41" s="15"/>
      <c r="S41" s="15" t="s">
        <v>940</v>
      </c>
      <c r="T41" s="15">
        <v>0</v>
      </c>
      <c r="U41" s="15">
        <v>0</v>
      </c>
      <c r="V41" s="15">
        <v>0</v>
      </c>
      <c r="W41" s="15">
        <v>0</v>
      </c>
      <c r="X41" s="15" t="s">
        <v>937</v>
      </c>
      <c r="Y41" s="15"/>
      <c r="Z41" s="15"/>
      <c r="AA41" s="16" t="s">
        <v>100</v>
      </c>
      <c r="AB41" s="17" t="s">
        <v>101</v>
      </c>
      <c r="AC41" s="17" t="s">
        <v>58</v>
      </c>
      <c r="AD41" s="18">
        <v>23412454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18">
        <v>23412454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1">
        <f t="shared" si="21"/>
        <v>0</v>
      </c>
      <c r="AU41" s="18">
        <f>AJ41-AM41</f>
        <v>23412454</v>
      </c>
      <c r="AV41" s="34">
        <f>AM41-AP41</f>
        <v>0</v>
      </c>
      <c r="AW41" s="34">
        <f>AP41-AT41</f>
        <v>0</v>
      </c>
      <c r="AX41" s="32">
        <f t="shared" si="20"/>
        <v>0</v>
      </c>
    </row>
    <row r="42" spans="1:50" s="25" customFormat="1" ht="18.75" customHeight="1" x14ac:dyDescent="0.2">
      <c r="A42" s="19" t="s">
        <v>49</v>
      </c>
      <c r="B42" s="19" t="s">
        <v>50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6" t="s">
        <v>102</v>
      </c>
      <c r="AB42" s="21" t="s">
        <v>103</v>
      </c>
      <c r="AC42" s="22" t="s">
        <v>37</v>
      </c>
      <c r="AD42" s="22">
        <f>AD43+AD46+AD49+AD52+AD55+AD58+AD61+AD64+AD67</f>
        <v>9938807657</v>
      </c>
      <c r="AE42" s="23">
        <f t="shared" ref="AE42:AW42" si="22">AE43+AE46+AE49+AE52+AE55+AE58+AE61+AE64+AE67</f>
        <v>0</v>
      </c>
      <c r="AF42" s="23">
        <f t="shared" si="22"/>
        <v>0</v>
      </c>
      <c r="AG42" s="23">
        <f>AG43+AG46+AG49+AG52+AG55+AG58+AG61+AG64+AG67</f>
        <v>0</v>
      </c>
      <c r="AH42" s="22">
        <f>AH43+AH46+AH49+AH52+AH55+AH58+AH61+AH64+AH67</f>
        <v>210500000</v>
      </c>
      <c r="AI42" s="22">
        <f t="shared" si="22"/>
        <v>-210500000</v>
      </c>
      <c r="AJ42" s="22">
        <f t="shared" si="22"/>
        <v>9728307657</v>
      </c>
      <c r="AK42" s="23">
        <f t="shared" si="22"/>
        <v>0</v>
      </c>
      <c r="AL42" s="22">
        <f t="shared" si="22"/>
        <v>663486311</v>
      </c>
      <c r="AM42" s="22">
        <f t="shared" si="22"/>
        <v>4710692052</v>
      </c>
      <c r="AN42" s="23">
        <f t="shared" si="22"/>
        <v>0</v>
      </c>
      <c r="AO42" s="22">
        <f t="shared" si="22"/>
        <v>663486311</v>
      </c>
      <c r="AP42" s="22">
        <f t="shared" si="22"/>
        <v>4710692052</v>
      </c>
      <c r="AQ42" s="23">
        <f t="shared" si="22"/>
        <v>0</v>
      </c>
      <c r="AR42" s="22">
        <f t="shared" si="22"/>
        <v>663486311</v>
      </c>
      <c r="AS42" s="22">
        <f t="shared" si="22"/>
        <v>4710692052</v>
      </c>
      <c r="AT42" s="22">
        <f>AQ42+AS42</f>
        <v>4710692052</v>
      </c>
      <c r="AU42" s="22">
        <f t="shared" si="22"/>
        <v>5017615605</v>
      </c>
      <c r="AV42" s="23">
        <f t="shared" si="22"/>
        <v>0</v>
      </c>
      <c r="AW42" s="23">
        <f t="shared" si="22"/>
        <v>0</v>
      </c>
      <c r="AX42" s="24">
        <f t="shared" si="20"/>
        <v>0.4842252340375382</v>
      </c>
    </row>
    <row r="43" spans="1:50" ht="18.75" customHeight="1" x14ac:dyDescent="0.2">
      <c r="A43" s="27" t="s">
        <v>49</v>
      </c>
      <c r="B43" s="27" t="s">
        <v>50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8" t="s">
        <v>104</v>
      </c>
      <c r="AB43" s="29" t="s">
        <v>105</v>
      </c>
      <c r="AC43" s="30" t="s">
        <v>37</v>
      </c>
      <c r="AD43" s="30">
        <f>AD44+AD45</f>
        <v>2694944550</v>
      </c>
      <c r="AE43" s="31">
        <f t="shared" ref="AE43:AS43" si="23">AE44+AE45</f>
        <v>0</v>
      </c>
      <c r="AF43" s="31">
        <f t="shared" si="23"/>
        <v>0</v>
      </c>
      <c r="AG43" s="31">
        <f t="shared" si="23"/>
        <v>0</v>
      </c>
      <c r="AH43" s="30">
        <f t="shared" si="23"/>
        <v>70000000</v>
      </c>
      <c r="AI43" s="30">
        <f t="shared" si="23"/>
        <v>-70000000</v>
      </c>
      <c r="AJ43" s="30">
        <f t="shared" si="23"/>
        <v>2624944550</v>
      </c>
      <c r="AK43" s="31">
        <f t="shared" si="23"/>
        <v>0</v>
      </c>
      <c r="AL43" s="30">
        <f t="shared" si="23"/>
        <v>196496700</v>
      </c>
      <c r="AM43" s="30">
        <f t="shared" si="23"/>
        <v>1177507900</v>
      </c>
      <c r="AN43" s="31">
        <f t="shared" si="23"/>
        <v>0</v>
      </c>
      <c r="AO43" s="30">
        <f t="shared" si="23"/>
        <v>196496700</v>
      </c>
      <c r="AP43" s="30">
        <f t="shared" si="23"/>
        <v>1177507900</v>
      </c>
      <c r="AQ43" s="31">
        <f t="shared" si="23"/>
        <v>0</v>
      </c>
      <c r="AR43" s="30">
        <f t="shared" si="23"/>
        <v>196496700</v>
      </c>
      <c r="AS43" s="30">
        <f t="shared" si="23"/>
        <v>1177507900</v>
      </c>
      <c r="AT43" s="30">
        <f t="shared" ref="AT43:AT69" si="24">AQ43+AS43</f>
        <v>1177507900</v>
      </c>
      <c r="AU43" s="18">
        <f t="shared" ref="AU43:AU69" si="25">AJ43-AM43</f>
        <v>1447436650</v>
      </c>
      <c r="AV43" s="34">
        <f t="shared" ref="AV43:AV69" si="26">AM43-AP43</f>
        <v>0</v>
      </c>
      <c r="AW43" s="34">
        <f t="shared" ref="AW43:AW69" si="27">AP43-AT43</f>
        <v>0</v>
      </c>
      <c r="AX43" s="32">
        <f t="shared" si="20"/>
        <v>0.44858391389639068</v>
      </c>
    </row>
    <row r="44" spans="1:50" ht="18.75" customHeight="1" x14ac:dyDescent="0.2">
      <c r="A44" s="14" t="s">
        <v>55</v>
      </c>
      <c r="B44" s="15" t="s">
        <v>56</v>
      </c>
      <c r="C44" s="15"/>
      <c r="D44" s="15" t="s">
        <v>40</v>
      </c>
      <c r="E44" s="15"/>
      <c r="F44" s="15"/>
      <c r="G44" s="15" t="s">
        <v>41</v>
      </c>
      <c r="H44" s="15"/>
      <c r="I44" s="15" t="s">
        <v>936</v>
      </c>
      <c r="J44" s="15"/>
      <c r="K44" s="15" t="s">
        <v>932</v>
      </c>
      <c r="L44" s="15"/>
      <c r="M44" s="15" t="s">
        <v>933</v>
      </c>
      <c r="N44" s="15"/>
      <c r="O44" s="15" t="s">
        <v>938</v>
      </c>
      <c r="P44" s="15"/>
      <c r="Q44" s="15" t="s">
        <v>939</v>
      </c>
      <c r="R44" s="15"/>
      <c r="S44" s="15" t="s">
        <v>940</v>
      </c>
      <c r="T44" s="15">
        <v>0</v>
      </c>
      <c r="U44" s="15">
        <v>0</v>
      </c>
      <c r="V44" s="15">
        <v>0</v>
      </c>
      <c r="W44" s="15">
        <v>0</v>
      </c>
      <c r="X44" s="15" t="s">
        <v>937</v>
      </c>
      <c r="Y44" s="15"/>
      <c r="Z44" s="15"/>
      <c r="AA44" s="16" t="s">
        <v>106</v>
      </c>
      <c r="AB44" s="17" t="s">
        <v>105</v>
      </c>
      <c r="AC44" s="17" t="s">
        <v>58</v>
      </c>
      <c r="AD44" s="18">
        <v>2434081998</v>
      </c>
      <c r="AE44" s="34">
        <v>0</v>
      </c>
      <c r="AF44" s="34">
        <v>0</v>
      </c>
      <c r="AG44" s="34">
        <v>0</v>
      </c>
      <c r="AH44" s="18">
        <v>70000000</v>
      </c>
      <c r="AI44" s="18">
        <f>AE44-AF44+AG44-AH44</f>
        <v>-70000000</v>
      </c>
      <c r="AJ44" s="18">
        <f>AD44+AI44</f>
        <v>2364081998</v>
      </c>
      <c r="AK44" s="34">
        <v>0</v>
      </c>
      <c r="AL44" s="18">
        <v>180764100</v>
      </c>
      <c r="AM44" s="18">
        <v>1078957900</v>
      </c>
      <c r="AN44" s="34">
        <v>0</v>
      </c>
      <c r="AO44" s="18">
        <v>180764100</v>
      </c>
      <c r="AP44" s="18">
        <v>1078957900</v>
      </c>
      <c r="AQ44" s="34">
        <v>0</v>
      </c>
      <c r="AR44" s="18">
        <v>180764100</v>
      </c>
      <c r="AS44" s="18">
        <v>1078957900</v>
      </c>
      <c r="AT44" s="39">
        <f t="shared" si="24"/>
        <v>1078957900</v>
      </c>
      <c r="AU44" s="18">
        <f t="shared" si="25"/>
        <v>1285124098</v>
      </c>
      <c r="AV44" s="34">
        <f t="shared" si="26"/>
        <v>0</v>
      </c>
      <c r="AW44" s="34">
        <f t="shared" si="27"/>
        <v>0</v>
      </c>
      <c r="AX44" s="32">
        <f t="shared" si="20"/>
        <v>0.45639614062151496</v>
      </c>
    </row>
    <row r="45" spans="1:50" ht="27" customHeight="1" x14ac:dyDescent="0.2">
      <c r="A45" s="14" t="s">
        <v>55</v>
      </c>
      <c r="B45" s="15" t="s">
        <v>56</v>
      </c>
      <c r="C45" s="15"/>
      <c r="D45" s="15" t="s">
        <v>40</v>
      </c>
      <c r="E45" s="15"/>
      <c r="F45" s="15"/>
      <c r="G45" s="15" t="s">
        <v>41</v>
      </c>
      <c r="H45" s="15"/>
      <c r="I45" s="15" t="s">
        <v>941</v>
      </c>
      <c r="J45" s="15"/>
      <c r="K45" s="15" t="s">
        <v>932</v>
      </c>
      <c r="L45" s="15"/>
      <c r="M45" s="15" t="s">
        <v>933</v>
      </c>
      <c r="N45" s="15"/>
      <c r="O45" s="15" t="s">
        <v>938</v>
      </c>
      <c r="P45" s="15"/>
      <c r="Q45" s="15" t="s">
        <v>939</v>
      </c>
      <c r="R45" s="15"/>
      <c r="S45" s="15" t="s">
        <v>940</v>
      </c>
      <c r="T45" s="15">
        <v>0</v>
      </c>
      <c r="U45" s="15">
        <v>0</v>
      </c>
      <c r="V45" s="15">
        <v>0</v>
      </c>
      <c r="W45" s="15">
        <v>0</v>
      </c>
      <c r="X45" s="15" t="s">
        <v>937</v>
      </c>
      <c r="Y45" s="15"/>
      <c r="Z45" s="15"/>
      <c r="AA45" s="16" t="s">
        <v>107</v>
      </c>
      <c r="AB45" s="17" t="s">
        <v>108</v>
      </c>
      <c r="AC45" s="17" t="s">
        <v>61</v>
      </c>
      <c r="AD45" s="18">
        <v>260862552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18">
        <v>260862552</v>
      </c>
      <c r="AK45" s="34">
        <v>0</v>
      </c>
      <c r="AL45" s="18">
        <v>15732600</v>
      </c>
      <c r="AM45" s="18">
        <v>98550000</v>
      </c>
      <c r="AN45" s="34">
        <v>0</v>
      </c>
      <c r="AO45" s="18">
        <v>15732600</v>
      </c>
      <c r="AP45" s="18">
        <v>98550000</v>
      </c>
      <c r="AQ45" s="34">
        <v>0</v>
      </c>
      <c r="AR45" s="18">
        <v>15732600</v>
      </c>
      <c r="AS45" s="18">
        <v>98550000</v>
      </c>
      <c r="AT45" s="39">
        <f t="shared" si="24"/>
        <v>98550000</v>
      </c>
      <c r="AU45" s="18">
        <f t="shared" si="25"/>
        <v>162312552</v>
      </c>
      <c r="AV45" s="34">
        <f t="shared" si="26"/>
        <v>0</v>
      </c>
      <c r="AW45" s="34">
        <f t="shared" si="27"/>
        <v>0</v>
      </c>
      <c r="AX45" s="32">
        <f t="shared" si="20"/>
        <v>0.37778515637614402</v>
      </c>
    </row>
    <row r="46" spans="1:50" ht="18.75" customHeight="1" x14ac:dyDescent="0.2">
      <c r="A46" s="27" t="s">
        <v>49</v>
      </c>
      <c r="B46" s="27" t="s">
        <v>50</v>
      </c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8" t="s">
        <v>109</v>
      </c>
      <c r="AB46" s="29" t="s">
        <v>110</v>
      </c>
      <c r="AC46" s="30" t="s">
        <v>37</v>
      </c>
      <c r="AD46" s="30">
        <f>AD47+AD48</f>
        <v>1966170915</v>
      </c>
      <c r="AE46" s="31">
        <f t="shared" ref="AE46:AS46" si="28">AE47+AE48</f>
        <v>0</v>
      </c>
      <c r="AF46" s="31">
        <f t="shared" si="28"/>
        <v>0</v>
      </c>
      <c r="AG46" s="31">
        <f t="shared" si="28"/>
        <v>0</v>
      </c>
      <c r="AH46" s="31">
        <f t="shared" si="28"/>
        <v>0</v>
      </c>
      <c r="AI46" s="31">
        <f t="shared" si="28"/>
        <v>0</v>
      </c>
      <c r="AJ46" s="30">
        <f t="shared" si="28"/>
        <v>1966170915</v>
      </c>
      <c r="AK46" s="31">
        <f t="shared" si="28"/>
        <v>0</v>
      </c>
      <c r="AL46" s="30">
        <f t="shared" si="28"/>
        <v>142300100</v>
      </c>
      <c r="AM46" s="30">
        <f t="shared" si="28"/>
        <v>857923600</v>
      </c>
      <c r="AN46" s="31">
        <f t="shared" si="28"/>
        <v>0</v>
      </c>
      <c r="AO46" s="30">
        <f t="shared" si="28"/>
        <v>142300100</v>
      </c>
      <c r="AP46" s="30">
        <f t="shared" si="28"/>
        <v>857923600</v>
      </c>
      <c r="AQ46" s="31">
        <f t="shared" si="28"/>
        <v>0</v>
      </c>
      <c r="AR46" s="30">
        <f t="shared" si="28"/>
        <v>142300100</v>
      </c>
      <c r="AS46" s="109">
        <f t="shared" si="28"/>
        <v>857923600</v>
      </c>
      <c r="AT46" s="39">
        <f t="shared" si="24"/>
        <v>857923600</v>
      </c>
      <c r="AU46" s="18">
        <f t="shared" si="25"/>
        <v>1108247315</v>
      </c>
      <c r="AV46" s="34">
        <f t="shared" si="26"/>
        <v>0</v>
      </c>
      <c r="AW46" s="34">
        <f t="shared" si="27"/>
        <v>0</v>
      </c>
      <c r="AX46" s="32">
        <f t="shared" si="20"/>
        <v>0.43634233090056668</v>
      </c>
    </row>
    <row r="47" spans="1:50" ht="18.75" customHeight="1" x14ac:dyDescent="0.2">
      <c r="A47" s="35" t="s">
        <v>55</v>
      </c>
      <c r="B47" s="36" t="s">
        <v>56</v>
      </c>
      <c r="C47" s="36"/>
      <c r="D47" s="36" t="s">
        <v>40</v>
      </c>
      <c r="E47" s="36"/>
      <c r="F47" s="36"/>
      <c r="G47" s="36" t="s">
        <v>41</v>
      </c>
      <c r="H47" s="36"/>
      <c r="I47" s="36" t="s">
        <v>936</v>
      </c>
      <c r="J47" s="36"/>
      <c r="K47" s="36" t="s">
        <v>932</v>
      </c>
      <c r="L47" s="36"/>
      <c r="M47" s="36" t="s">
        <v>933</v>
      </c>
      <c r="N47" s="36"/>
      <c r="O47" s="36" t="s">
        <v>938</v>
      </c>
      <c r="P47" s="36"/>
      <c r="Q47" s="36" t="s">
        <v>939</v>
      </c>
      <c r="R47" s="36"/>
      <c r="S47" s="36" t="s">
        <v>940</v>
      </c>
      <c r="T47" s="36">
        <v>0</v>
      </c>
      <c r="U47" s="36">
        <v>0</v>
      </c>
      <c r="V47" s="36">
        <v>0</v>
      </c>
      <c r="W47" s="36">
        <v>0</v>
      </c>
      <c r="X47" s="36" t="s">
        <v>937</v>
      </c>
      <c r="Y47" s="36"/>
      <c r="Z47" s="36"/>
      <c r="AA47" s="37" t="s">
        <v>111</v>
      </c>
      <c r="AB47" s="38" t="s">
        <v>110</v>
      </c>
      <c r="AC47" s="38" t="s">
        <v>58</v>
      </c>
      <c r="AD47" s="39">
        <v>1757106683</v>
      </c>
      <c r="AE47" s="40">
        <v>0</v>
      </c>
      <c r="AF47" s="40">
        <v>0</v>
      </c>
      <c r="AG47" s="40">
        <v>0</v>
      </c>
      <c r="AH47" s="40">
        <v>0</v>
      </c>
      <c r="AI47" s="40">
        <v>0</v>
      </c>
      <c r="AJ47" s="39">
        <v>1757106683</v>
      </c>
      <c r="AK47" s="40">
        <v>0</v>
      </c>
      <c r="AL47" s="39">
        <v>131155800</v>
      </c>
      <c r="AM47" s="39">
        <v>788110700</v>
      </c>
      <c r="AN47" s="40">
        <v>0</v>
      </c>
      <c r="AO47" s="18">
        <v>131155800</v>
      </c>
      <c r="AP47" s="39">
        <v>788110700</v>
      </c>
      <c r="AQ47" s="40">
        <v>0</v>
      </c>
      <c r="AR47" s="39">
        <v>131155800</v>
      </c>
      <c r="AS47" s="111">
        <v>788110700</v>
      </c>
      <c r="AT47" s="39">
        <f t="shared" si="24"/>
        <v>788110700</v>
      </c>
      <c r="AU47" s="18">
        <f t="shared" si="25"/>
        <v>968995983</v>
      </c>
      <c r="AV47" s="34">
        <f t="shared" si="26"/>
        <v>0</v>
      </c>
      <c r="AW47" s="34">
        <f t="shared" si="27"/>
        <v>0</v>
      </c>
      <c r="AX47" s="32">
        <f t="shared" si="20"/>
        <v>0.44852751834875354</v>
      </c>
    </row>
    <row r="48" spans="1:50" ht="18.75" customHeight="1" x14ac:dyDescent="0.2">
      <c r="A48" s="14" t="s">
        <v>55</v>
      </c>
      <c r="B48" s="15" t="s">
        <v>56</v>
      </c>
      <c r="C48" s="15"/>
      <c r="D48" s="15" t="s">
        <v>40</v>
      </c>
      <c r="E48" s="15"/>
      <c r="F48" s="15"/>
      <c r="G48" s="15" t="s">
        <v>41</v>
      </c>
      <c r="H48" s="15"/>
      <c r="I48" s="15" t="s">
        <v>941</v>
      </c>
      <c r="J48" s="15"/>
      <c r="K48" s="15" t="s">
        <v>932</v>
      </c>
      <c r="L48" s="15"/>
      <c r="M48" s="15" t="s">
        <v>933</v>
      </c>
      <c r="N48" s="15"/>
      <c r="O48" s="15" t="s">
        <v>938</v>
      </c>
      <c r="P48" s="15"/>
      <c r="Q48" s="15" t="s">
        <v>939</v>
      </c>
      <c r="R48" s="15"/>
      <c r="S48" s="15" t="s">
        <v>940</v>
      </c>
      <c r="T48" s="15">
        <v>0</v>
      </c>
      <c r="U48" s="15">
        <v>0</v>
      </c>
      <c r="V48" s="15">
        <v>0</v>
      </c>
      <c r="W48" s="15">
        <v>0</v>
      </c>
      <c r="X48" s="15" t="s">
        <v>937</v>
      </c>
      <c r="Y48" s="15"/>
      <c r="Z48" s="15"/>
      <c r="AA48" s="16" t="s">
        <v>112</v>
      </c>
      <c r="AB48" s="17" t="s">
        <v>113</v>
      </c>
      <c r="AC48" s="17" t="s">
        <v>61</v>
      </c>
      <c r="AD48" s="18">
        <v>209064232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18">
        <v>209064232</v>
      </c>
      <c r="AK48" s="34">
        <v>0</v>
      </c>
      <c r="AL48" s="39">
        <v>11144300</v>
      </c>
      <c r="AM48" s="18">
        <v>69812900</v>
      </c>
      <c r="AN48" s="34">
        <v>0</v>
      </c>
      <c r="AO48" s="18">
        <v>11144300</v>
      </c>
      <c r="AP48" s="18">
        <v>69812900</v>
      </c>
      <c r="AQ48" s="34">
        <v>0</v>
      </c>
      <c r="AR48" s="39">
        <v>11144300</v>
      </c>
      <c r="AS48" s="110">
        <v>69812900</v>
      </c>
      <c r="AT48" s="39">
        <f t="shared" si="24"/>
        <v>69812900</v>
      </c>
      <c r="AU48" s="18">
        <f t="shared" si="25"/>
        <v>139251332</v>
      </c>
      <c r="AV48" s="34">
        <f t="shared" si="26"/>
        <v>0</v>
      </c>
      <c r="AW48" s="34">
        <f t="shared" si="27"/>
        <v>0</v>
      </c>
      <c r="AX48" s="32">
        <f t="shared" si="20"/>
        <v>0.33393038748015014</v>
      </c>
    </row>
    <row r="49" spans="1:50" ht="18.75" customHeight="1" x14ac:dyDescent="0.2">
      <c r="A49" s="27" t="s">
        <v>49</v>
      </c>
      <c r="B49" s="27" t="s">
        <v>50</v>
      </c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8" t="s">
        <v>114</v>
      </c>
      <c r="AB49" s="29" t="s">
        <v>115</v>
      </c>
      <c r="AC49" s="30" t="s">
        <v>37</v>
      </c>
      <c r="AD49" s="30">
        <f>AD50+AD51</f>
        <v>2387025947</v>
      </c>
      <c r="AE49" s="31">
        <f t="shared" ref="AE49:AS49" si="29">AE50+AE51</f>
        <v>0</v>
      </c>
      <c r="AF49" s="31">
        <f t="shared" si="29"/>
        <v>0</v>
      </c>
      <c r="AG49" s="31">
        <f t="shared" si="29"/>
        <v>0</v>
      </c>
      <c r="AH49" s="31">
        <f t="shared" si="29"/>
        <v>0</v>
      </c>
      <c r="AI49" s="31">
        <f t="shared" si="29"/>
        <v>0</v>
      </c>
      <c r="AJ49" s="30">
        <f t="shared" si="29"/>
        <v>2387025947</v>
      </c>
      <c r="AK49" s="31">
        <f t="shared" si="29"/>
        <v>0</v>
      </c>
      <c r="AL49" s="30">
        <f t="shared" si="29"/>
        <v>87284311</v>
      </c>
      <c r="AM49" s="30">
        <f t="shared" si="29"/>
        <v>1592605652</v>
      </c>
      <c r="AN49" s="31">
        <f t="shared" si="29"/>
        <v>0</v>
      </c>
      <c r="AO49" s="30">
        <f t="shared" si="29"/>
        <v>87284311</v>
      </c>
      <c r="AP49" s="30">
        <f t="shared" si="29"/>
        <v>1592605652</v>
      </c>
      <c r="AQ49" s="31">
        <f t="shared" si="29"/>
        <v>0</v>
      </c>
      <c r="AR49" s="30">
        <f t="shared" si="29"/>
        <v>87284311</v>
      </c>
      <c r="AS49" s="30">
        <f t="shared" si="29"/>
        <v>1592605652</v>
      </c>
      <c r="AT49" s="39">
        <f t="shared" si="24"/>
        <v>1592605652</v>
      </c>
      <c r="AU49" s="18">
        <f t="shared" si="25"/>
        <v>794420295</v>
      </c>
      <c r="AV49" s="34">
        <f t="shared" si="26"/>
        <v>0</v>
      </c>
      <c r="AW49" s="18">
        <f t="shared" si="27"/>
        <v>0</v>
      </c>
      <c r="AX49" s="32">
        <f t="shared" si="20"/>
        <v>0.66719243416753693</v>
      </c>
    </row>
    <row r="50" spans="1:50" ht="18.75" customHeight="1" x14ac:dyDescent="0.2">
      <c r="A50" s="14" t="s">
        <v>55</v>
      </c>
      <c r="B50" s="15" t="s">
        <v>56</v>
      </c>
      <c r="C50" s="15"/>
      <c r="D50" s="15" t="s">
        <v>40</v>
      </c>
      <c r="E50" s="15"/>
      <c r="F50" s="15"/>
      <c r="G50" s="15" t="s">
        <v>41</v>
      </c>
      <c r="H50" s="15"/>
      <c r="I50" s="15" t="s">
        <v>936</v>
      </c>
      <c r="J50" s="15"/>
      <c r="K50" s="15" t="s">
        <v>932</v>
      </c>
      <c r="L50" s="15"/>
      <c r="M50" s="15" t="s">
        <v>933</v>
      </c>
      <c r="N50" s="15"/>
      <c r="O50" s="15" t="s">
        <v>938</v>
      </c>
      <c r="P50" s="15"/>
      <c r="Q50" s="15" t="s">
        <v>939</v>
      </c>
      <c r="R50" s="15"/>
      <c r="S50" s="15" t="s">
        <v>940</v>
      </c>
      <c r="T50" s="15">
        <v>0</v>
      </c>
      <c r="U50" s="15">
        <v>0</v>
      </c>
      <c r="V50" s="15">
        <v>0</v>
      </c>
      <c r="W50" s="15">
        <v>0</v>
      </c>
      <c r="X50" s="15" t="s">
        <v>937</v>
      </c>
      <c r="Y50" s="15"/>
      <c r="Z50" s="15"/>
      <c r="AA50" s="16" t="s">
        <v>116</v>
      </c>
      <c r="AB50" s="17" t="s">
        <v>115</v>
      </c>
      <c r="AC50" s="17" t="s">
        <v>58</v>
      </c>
      <c r="AD50" s="18">
        <v>2208060292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18">
        <v>2208060292</v>
      </c>
      <c r="AK50" s="34">
        <v>0</v>
      </c>
      <c r="AL50" s="18">
        <v>77094191</v>
      </c>
      <c r="AM50" s="18">
        <v>1509372376</v>
      </c>
      <c r="AN50" s="34">
        <v>0</v>
      </c>
      <c r="AO50" s="18">
        <v>77094191</v>
      </c>
      <c r="AP50" s="18">
        <v>1509372376</v>
      </c>
      <c r="AQ50" s="34">
        <v>0</v>
      </c>
      <c r="AR50" s="39">
        <v>77094191</v>
      </c>
      <c r="AS50" s="110">
        <v>1509372376</v>
      </c>
      <c r="AT50" s="39">
        <f t="shared" si="24"/>
        <v>1509372376</v>
      </c>
      <c r="AU50" s="18">
        <f t="shared" si="25"/>
        <v>698687916</v>
      </c>
      <c r="AV50" s="34">
        <f t="shared" si="26"/>
        <v>0</v>
      </c>
      <c r="AW50" s="18">
        <f t="shared" si="27"/>
        <v>0</v>
      </c>
      <c r="AX50" s="32">
        <f t="shared" si="20"/>
        <v>0.68357389581642813</v>
      </c>
    </row>
    <row r="51" spans="1:50" ht="18.75" customHeight="1" x14ac:dyDescent="0.2">
      <c r="A51" s="14" t="s">
        <v>55</v>
      </c>
      <c r="B51" s="15" t="s">
        <v>56</v>
      </c>
      <c r="C51" s="15"/>
      <c r="D51" s="15" t="s">
        <v>40</v>
      </c>
      <c r="E51" s="15"/>
      <c r="F51" s="15"/>
      <c r="G51" s="15" t="s">
        <v>41</v>
      </c>
      <c r="H51" s="15"/>
      <c r="I51" s="15" t="s">
        <v>941</v>
      </c>
      <c r="J51" s="15"/>
      <c r="K51" s="15" t="s">
        <v>932</v>
      </c>
      <c r="L51" s="15"/>
      <c r="M51" s="15" t="s">
        <v>933</v>
      </c>
      <c r="N51" s="15"/>
      <c r="O51" s="15" t="s">
        <v>938</v>
      </c>
      <c r="P51" s="15"/>
      <c r="Q51" s="15" t="s">
        <v>939</v>
      </c>
      <c r="R51" s="15"/>
      <c r="S51" s="15" t="s">
        <v>940</v>
      </c>
      <c r="T51" s="15">
        <v>0</v>
      </c>
      <c r="U51" s="15">
        <v>0</v>
      </c>
      <c r="V51" s="15">
        <v>0</v>
      </c>
      <c r="W51" s="15">
        <v>0</v>
      </c>
      <c r="X51" s="15" t="s">
        <v>937</v>
      </c>
      <c r="Y51" s="15"/>
      <c r="Z51" s="15"/>
      <c r="AA51" s="16" t="s">
        <v>117</v>
      </c>
      <c r="AB51" s="17" t="s">
        <v>115</v>
      </c>
      <c r="AC51" s="17" t="s">
        <v>61</v>
      </c>
      <c r="AD51" s="18">
        <v>178965655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18">
        <v>178965655</v>
      </c>
      <c r="AK51" s="34">
        <v>0</v>
      </c>
      <c r="AL51" s="18">
        <v>10190120</v>
      </c>
      <c r="AM51" s="18">
        <v>83233276</v>
      </c>
      <c r="AN51" s="34">
        <v>0</v>
      </c>
      <c r="AO51" s="18">
        <v>10190120</v>
      </c>
      <c r="AP51" s="18">
        <v>83233276</v>
      </c>
      <c r="AQ51" s="34">
        <v>0</v>
      </c>
      <c r="AR51" s="39">
        <v>10190120</v>
      </c>
      <c r="AS51" s="110">
        <v>83233276</v>
      </c>
      <c r="AT51" s="39">
        <f t="shared" si="24"/>
        <v>83233276</v>
      </c>
      <c r="AU51" s="18">
        <f t="shared" si="25"/>
        <v>95732379</v>
      </c>
      <c r="AV51" s="34">
        <f t="shared" si="26"/>
        <v>0</v>
      </c>
      <c r="AW51" s="18">
        <f t="shared" si="27"/>
        <v>0</v>
      </c>
      <c r="AX51" s="32">
        <f t="shared" si="20"/>
        <v>0.46507960424026612</v>
      </c>
    </row>
    <row r="52" spans="1:50" ht="18.75" customHeight="1" x14ac:dyDescent="0.2">
      <c r="A52" s="27" t="s">
        <v>49</v>
      </c>
      <c r="B52" s="27" t="s">
        <v>50</v>
      </c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8" t="s">
        <v>118</v>
      </c>
      <c r="AB52" s="29" t="s">
        <v>119</v>
      </c>
      <c r="AC52" s="30" t="s">
        <v>37</v>
      </c>
      <c r="AD52" s="30">
        <f>AD53+AD54</f>
        <v>1154194065</v>
      </c>
      <c r="AE52" s="31">
        <f t="shared" ref="AE52:AS52" si="30">AE53+AE54</f>
        <v>0</v>
      </c>
      <c r="AF52" s="31">
        <f t="shared" si="30"/>
        <v>0</v>
      </c>
      <c r="AG52" s="31">
        <f t="shared" si="30"/>
        <v>0</v>
      </c>
      <c r="AH52" s="30">
        <f t="shared" si="30"/>
        <v>103000000</v>
      </c>
      <c r="AI52" s="30">
        <f t="shared" si="30"/>
        <v>-103000000</v>
      </c>
      <c r="AJ52" s="30">
        <f t="shared" si="30"/>
        <v>1051194065</v>
      </c>
      <c r="AK52" s="31">
        <f t="shared" si="30"/>
        <v>0</v>
      </c>
      <c r="AL52" s="30">
        <f t="shared" si="30"/>
        <v>99405000</v>
      </c>
      <c r="AM52" s="30">
        <f t="shared" si="30"/>
        <v>439810500</v>
      </c>
      <c r="AN52" s="31">
        <f t="shared" si="30"/>
        <v>0</v>
      </c>
      <c r="AO52" s="30">
        <f t="shared" si="30"/>
        <v>99405000</v>
      </c>
      <c r="AP52" s="30">
        <f t="shared" si="30"/>
        <v>439810500</v>
      </c>
      <c r="AQ52" s="31">
        <f t="shared" si="30"/>
        <v>0</v>
      </c>
      <c r="AR52" s="30">
        <f t="shared" si="30"/>
        <v>99405000</v>
      </c>
      <c r="AS52" s="30">
        <f t="shared" si="30"/>
        <v>439810500</v>
      </c>
      <c r="AT52" s="30">
        <f t="shared" si="24"/>
        <v>439810500</v>
      </c>
      <c r="AU52" s="18">
        <f t="shared" si="25"/>
        <v>611383565</v>
      </c>
      <c r="AV52" s="34">
        <f t="shared" si="26"/>
        <v>0</v>
      </c>
      <c r="AW52" s="34">
        <f t="shared" si="27"/>
        <v>0</v>
      </c>
      <c r="AX52" s="32">
        <f t="shared" si="20"/>
        <v>0.41839134622587504</v>
      </c>
    </row>
    <row r="53" spans="1:50" ht="18.75" customHeight="1" x14ac:dyDescent="0.2">
      <c r="A53" s="14" t="s">
        <v>55</v>
      </c>
      <c r="B53" s="15" t="s">
        <v>56</v>
      </c>
      <c r="C53" s="15"/>
      <c r="D53" s="15" t="s">
        <v>40</v>
      </c>
      <c r="E53" s="15"/>
      <c r="F53" s="15"/>
      <c r="G53" s="15" t="s">
        <v>41</v>
      </c>
      <c r="H53" s="15"/>
      <c r="I53" s="15" t="s">
        <v>936</v>
      </c>
      <c r="J53" s="15"/>
      <c r="K53" s="15" t="s">
        <v>932</v>
      </c>
      <c r="L53" s="15"/>
      <c r="M53" s="15" t="s">
        <v>933</v>
      </c>
      <c r="N53" s="15"/>
      <c r="O53" s="15" t="s">
        <v>938</v>
      </c>
      <c r="P53" s="15"/>
      <c r="Q53" s="15" t="s">
        <v>939</v>
      </c>
      <c r="R53" s="15"/>
      <c r="S53" s="15" t="s">
        <v>940</v>
      </c>
      <c r="T53" s="15">
        <v>0</v>
      </c>
      <c r="U53" s="15">
        <v>0</v>
      </c>
      <c r="V53" s="15">
        <v>0</v>
      </c>
      <c r="W53" s="15">
        <v>0</v>
      </c>
      <c r="X53" s="15" t="s">
        <v>937</v>
      </c>
      <c r="Y53" s="15"/>
      <c r="Z53" s="15"/>
      <c r="AA53" s="16" t="s">
        <v>120</v>
      </c>
      <c r="AB53" s="17" t="s">
        <v>119</v>
      </c>
      <c r="AC53" s="17" t="s">
        <v>58</v>
      </c>
      <c r="AD53" s="18">
        <v>1088978427</v>
      </c>
      <c r="AE53" s="34">
        <v>0</v>
      </c>
      <c r="AF53" s="34">
        <v>0</v>
      </c>
      <c r="AG53" s="34">
        <v>0</v>
      </c>
      <c r="AH53" s="18">
        <f>79000000+24000000</f>
        <v>103000000</v>
      </c>
      <c r="AI53" s="18">
        <f>AE53-AF53+AG53-AH53</f>
        <v>-103000000</v>
      </c>
      <c r="AJ53" s="18">
        <f>AD53+AI53</f>
        <v>985978427</v>
      </c>
      <c r="AK53" s="34">
        <v>0</v>
      </c>
      <c r="AL53" s="18">
        <v>93722800</v>
      </c>
      <c r="AM53" s="18">
        <v>403970800</v>
      </c>
      <c r="AN53" s="34">
        <v>0</v>
      </c>
      <c r="AO53" s="18">
        <v>93722800</v>
      </c>
      <c r="AP53" s="18">
        <v>403970800</v>
      </c>
      <c r="AQ53" s="34">
        <v>0</v>
      </c>
      <c r="AR53" s="39">
        <v>93722800</v>
      </c>
      <c r="AS53" s="110">
        <v>403970800</v>
      </c>
      <c r="AT53" s="39">
        <v>582007627</v>
      </c>
      <c r="AU53" s="18">
        <f t="shared" si="25"/>
        <v>582007627</v>
      </c>
      <c r="AV53" s="34">
        <f t="shared" si="26"/>
        <v>0</v>
      </c>
      <c r="AW53" s="34">
        <f t="shared" si="27"/>
        <v>-178036827</v>
      </c>
      <c r="AX53" s="32">
        <f t="shared" si="20"/>
        <v>0.40971565800800225</v>
      </c>
    </row>
    <row r="54" spans="1:50" ht="28.5" customHeight="1" x14ac:dyDescent="0.2">
      <c r="A54" s="14" t="s">
        <v>55</v>
      </c>
      <c r="B54" s="15" t="s">
        <v>56</v>
      </c>
      <c r="C54" s="15"/>
      <c r="D54" s="15" t="s">
        <v>40</v>
      </c>
      <c r="E54" s="15"/>
      <c r="F54" s="15"/>
      <c r="G54" s="15" t="s">
        <v>41</v>
      </c>
      <c r="H54" s="15"/>
      <c r="I54" s="15" t="s">
        <v>941</v>
      </c>
      <c r="J54" s="15"/>
      <c r="K54" s="15" t="s">
        <v>932</v>
      </c>
      <c r="L54" s="15"/>
      <c r="M54" s="15" t="s">
        <v>933</v>
      </c>
      <c r="N54" s="15"/>
      <c r="O54" s="15" t="s">
        <v>938</v>
      </c>
      <c r="P54" s="15"/>
      <c r="Q54" s="15" t="s">
        <v>939</v>
      </c>
      <c r="R54" s="15"/>
      <c r="S54" s="15" t="s">
        <v>940</v>
      </c>
      <c r="T54" s="15">
        <v>0</v>
      </c>
      <c r="U54" s="15">
        <v>0</v>
      </c>
      <c r="V54" s="15">
        <v>0</v>
      </c>
      <c r="W54" s="15">
        <v>0</v>
      </c>
      <c r="X54" s="15" t="s">
        <v>937</v>
      </c>
      <c r="Y54" s="15"/>
      <c r="Z54" s="15"/>
      <c r="AA54" s="16" t="s">
        <v>121</v>
      </c>
      <c r="AB54" s="17" t="s">
        <v>122</v>
      </c>
      <c r="AC54" s="17" t="s">
        <v>61</v>
      </c>
      <c r="AD54" s="18">
        <v>65215638</v>
      </c>
      <c r="AE54" s="34">
        <v>0</v>
      </c>
      <c r="AF54" s="34">
        <v>0</v>
      </c>
      <c r="AG54" s="34">
        <v>0</v>
      </c>
      <c r="AH54" s="34">
        <v>0</v>
      </c>
      <c r="AI54" s="34">
        <v>0</v>
      </c>
      <c r="AJ54" s="18">
        <v>65215638</v>
      </c>
      <c r="AK54" s="34">
        <v>0</v>
      </c>
      <c r="AL54" s="18">
        <v>5682200</v>
      </c>
      <c r="AM54" s="18">
        <v>35839700</v>
      </c>
      <c r="AN54" s="34">
        <v>0</v>
      </c>
      <c r="AO54" s="18">
        <v>5682200</v>
      </c>
      <c r="AP54" s="18">
        <v>35839700</v>
      </c>
      <c r="AQ54" s="34">
        <v>0</v>
      </c>
      <c r="AR54" s="39">
        <v>5682200</v>
      </c>
      <c r="AS54" s="18">
        <v>35839700</v>
      </c>
      <c r="AT54" s="39">
        <v>29375938</v>
      </c>
      <c r="AU54" s="18">
        <f t="shared" si="25"/>
        <v>29375938</v>
      </c>
      <c r="AV54" s="34">
        <f t="shared" si="26"/>
        <v>0</v>
      </c>
      <c r="AW54" s="34">
        <f t="shared" si="27"/>
        <v>6463762</v>
      </c>
      <c r="AX54" s="32">
        <f t="shared" si="20"/>
        <v>0.54955684095277879</v>
      </c>
    </row>
    <row r="55" spans="1:50" ht="18.75" customHeight="1" x14ac:dyDescent="0.2">
      <c r="A55" s="27" t="s">
        <v>49</v>
      </c>
      <c r="B55" s="27" t="s">
        <v>50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8" t="s">
        <v>123</v>
      </c>
      <c r="AB55" s="29" t="s">
        <v>124</v>
      </c>
      <c r="AC55" s="30" t="s">
        <v>37</v>
      </c>
      <c r="AD55" s="30">
        <f>AD56+AD57</f>
        <v>308515529</v>
      </c>
      <c r="AE55" s="31">
        <f t="shared" ref="AE55:AS55" si="31">AE56+AE57</f>
        <v>0</v>
      </c>
      <c r="AF55" s="31">
        <f t="shared" si="31"/>
        <v>0</v>
      </c>
      <c r="AG55" s="31">
        <f t="shared" si="31"/>
        <v>0</v>
      </c>
      <c r="AH55" s="30">
        <f t="shared" si="31"/>
        <v>37500000</v>
      </c>
      <c r="AI55" s="30">
        <f t="shared" si="31"/>
        <v>-37500000</v>
      </c>
      <c r="AJ55" s="30">
        <f t="shared" si="31"/>
        <v>271015529</v>
      </c>
      <c r="AK55" s="31">
        <f t="shared" si="31"/>
        <v>0</v>
      </c>
      <c r="AL55" s="30">
        <f t="shared" si="31"/>
        <v>13700700</v>
      </c>
      <c r="AM55" s="30">
        <f t="shared" si="31"/>
        <v>92788200</v>
      </c>
      <c r="AN55" s="31">
        <f t="shared" si="31"/>
        <v>0</v>
      </c>
      <c r="AO55" s="30">
        <f t="shared" si="31"/>
        <v>13700700</v>
      </c>
      <c r="AP55" s="30">
        <f t="shared" si="31"/>
        <v>92788200</v>
      </c>
      <c r="AQ55" s="31">
        <f t="shared" si="31"/>
        <v>0</v>
      </c>
      <c r="AR55" s="30">
        <f t="shared" si="31"/>
        <v>13700700</v>
      </c>
      <c r="AS55" s="30">
        <f t="shared" si="31"/>
        <v>92788200</v>
      </c>
      <c r="AT55" s="30">
        <f t="shared" si="24"/>
        <v>92788200</v>
      </c>
      <c r="AU55" s="18">
        <f t="shared" si="25"/>
        <v>178227329</v>
      </c>
      <c r="AV55" s="34">
        <f t="shared" si="26"/>
        <v>0</v>
      </c>
      <c r="AW55" s="34">
        <f t="shared" si="27"/>
        <v>0</v>
      </c>
      <c r="AX55" s="32">
        <f t="shared" si="20"/>
        <v>0.34237226310378693</v>
      </c>
    </row>
    <row r="56" spans="1:50" ht="18.75" customHeight="1" x14ac:dyDescent="0.2">
      <c r="A56" s="35" t="s">
        <v>55</v>
      </c>
      <c r="B56" s="36" t="s">
        <v>56</v>
      </c>
      <c r="C56" s="36"/>
      <c r="D56" s="36" t="s">
        <v>40</v>
      </c>
      <c r="E56" s="36"/>
      <c r="F56" s="36"/>
      <c r="G56" s="36" t="s">
        <v>41</v>
      </c>
      <c r="H56" s="36"/>
      <c r="I56" s="36" t="s">
        <v>936</v>
      </c>
      <c r="J56" s="36"/>
      <c r="K56" s="36" t="s">
        <v>932</v>
      </c>
      <c r="L56" s="36"/>
      <c r="M56" s="36" t="s">
        <v>933</v>
      </c>
      <c r="N56" s="36"/>
      <c r="O56" s="36" t="s">
        <v>938</v>
      </c>
      <c r="P56" s="36"/>
      <c r="Q56" s="36" t="s">
        <v>939</v>
      </c>
      <c r="R56" s="36"/>
      <c r="S56" s="36" t="s">
        <v>940</v>
      </c>
      <c r="T56" s="36">
        <v>0</v>
      </c>
      <c r="U56" s="36">
        <v>0</v>
      </c>
      <c r="V56" s="36">
        <v>0</v>
      </c>
      <c r="W56" s="36">
        <v>0</v>
      </c>
      <c r="X56" s="36" t="s">
        <v>937</v>
      </c>
      <c r="Y56" s="36"/>
      <c r="Z56" s="36"/>
      <c r="AA56" s="37" t="s">
        <v>125</v>
      </c>
      <c r="AB56" s="38" t="s">
        <v>124</v>
      </c>
      <c r="AC56" s="38" t="s">
        <v>58</v>
      </c>
      <c r="AD56" s="39">
        <v>299999998</v>
      </c>
      <c r="AE56" s="40">
        <v>0</v>
      </c>
      <c r="AF56" s="40">
        <v>0</v>
      </c>
      <c r="AG56" s="40">
        <v>0</v>
      </c>
      <c r="AH56" s="39">
        <v>37500000</v>
      </c>
      <c r="AI56" s="18">
        <f>AE56-AF56+AG56-AH56</f>
        <v>-37500000</v>
      </c>
      <c r="AJ56" s="18">
        <f>AD56+AI56</f>
        <v>262499998</v>
      </c>
      <c r="AK56" s="40">
        <v>0</v>
      </c>
      <c r="AL56" s="39">
        <v>13015100</v>
      </c>
      <c r="AM56" s="39">
        <v>88522700</v>
      </c>
      <c r="AN56" s="40">
        <v>0</v>
      </c>
      <c r="AO56" s="18">
        <v>13015100</v>
      </c>
      <c r="AP56" s="39">
        <v>88522700</v>
      </c>
      <c r="AQ56" s="40">
        <v>0</v>
      </c>
      <c r="AR56" s="39">
        <v>13015100</v>
      </c>
      <c r="AS56" s="111">
        <v>88522700</v>
      </c>
      <c r="AT56" s="39">
        <f t="shared" si="24"/>
        <v>88522700</v>
      </c>
      <c r="AU56" s="18">
        <f t="shared" si="25"/>
        <v>173977298</v>
      </c>
      <c r="AV56" s="34">
        <f t="shared" si="26"/>
        <v>0</v>
      </c>
      <c r="AW56" s="34">
        <f t="shared" si="27"/>
        <v>0</v>
      </c>
      <c r="AX56" s="32">
        <f t="shared" si="20"/>
        <v>0.33722933590269971</v>
      </c>
    </row>
    <row r="57" spans="1:50" ht="26.25" customHeight="1" x14ac:dyDescent="0.2">
      <c r="A57" s="35" t="s">
        <v>55</v>
      </c>
      <c r="B57" s="36" t="s">
        <v>56</v>
      </c>
      <c r="C57" s="36"/>
      <c r="D57" s="36" t="s">
        <v>40</v>
      </c>
      <c r="E57" s="36"/>
      <c r="F57" s="36"/>
      <c r="G57" s="36" t="s">
        <v>41</v>
      </c>
      <c r="H57" s="36"/>
      <c r="I57" s="36" t="s">
        <v>941</v>
      </c>
      <c r="J57" s="36"/>
      <c r="K57" s="36" t="s">
        <v>932</v>
      </c>
      <c r="L57" s="36"/>
      <c r="M57" s="36" t="s">
        <v>933</v>
      </c>
      <c r="N57" s="36"/>
      <c r="O57" s="36" t="s">
        <v>938</v>
      </c>
      <c r="P57" s="36"/>
      <c r="Q57" s="36" t="s">
        <v>939</v>
      </c>
      <c r="R57" s="36"/>
      <c r="S57" s="36" t="s">
        <v>940</v>
      </c>
      <c r="T57" s="36">
        <v>0</v>
      </c>
      <c r="U57" s="36">
        <v>0</v>
      </c>
      <c r="V57" s="36">
        <v>0</v>
      </c>
      <c r="W57" s="36">
        <v>0</v>
      </c>
      <c r="X57" s="36" t="s">
        <v>937</v>
      </c>
      <c r="Y57" s="36"/>
      <c r="Z57" s="36"/>
      <c r="AA57" s="37" t="s">
        <v>126</v>
      </c>
      <c r="AB57" s="38" t="s">
        <v>127</v>
      </c>
      <c r="AC57" s="38" t="s">
        <v>61</v>
      </c>
      <c r="AD57" s="39">
        <v>8515531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39">
        <v>8515531</v>
      </c>
      <c r="AK57" s="40">
        <v>0</v>
      </c>
      <c r="AL57" s="39">
        <v>685600</v>
      </c>
      <c r="AM57" s="39">
        <v>4265500</v>
      </c>
      <c r="AN57" s="40">
        <v>0</v>
      </c>
      <c r="AO57" s="18">
        <v>685600</v>
      </c>
      <c r="AP57" s="39">
        <v>4265500</v>
      </c>
      <c r="AQ57" s="40">
        <v>0</v>
      </c>
      <c r="AR57" s="39">
        <v>685600</v>
      </c>
      <c r="AS57" s="39">
        <v>4265500</v>
      </c>
      <c r="AT57" s="39">
        <f t="shared" si="24"/>
        <v>4265500</v>
      </c>
      <c r="AU57" s="18">
        <f t="shared" si="25"/>
        <v>4250031</v>
      </c>
      <c r="AV57" s="34">
        <f t="shared" si="26"/>
        <v>0</v>
      </c>
      <c r="AW57" s="34">
        <f t="shared" si="27"/>
        <v>0</v>
      </c>
      <c r="AX57" s="32">
        <f t="shared" si="20"/>
        <v>0.50090828158572853</v>
      </c>
    </row>
    <row r="58" spans="1:50" ht="18.75" customHeight="1" x14ac:dyDescent="0.2">
      <c r="A58" s="27" t="s">
        <v>49</v>
      </c>
      <c r="B58" s="27" t="s">
        <v>50</v>
      </c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8" t="s">
        <v>128</v>
      </c>
      <c r="AB58" s="29" t="s">
        <v>129</v>
      </c>
      <c r="AC58" s="30" t="s">
        <v>37</v>
      </c>
      <c r="AD58" s="30">
        <f>AD59+AD60</f>
        <v>865645548</v>
      </c>
      <c r="AE58" s="31">
        <f t="shared" ref="AE58:AS58" si="32">AE59+AE60</f>
        <v>0</v>
      </c>
      <c r="AF58" s="31">
        <f t="shared" si="32"/>
        <v>0</v>
      </c>
      <c r="AG58" s="31">
        <f t="shared" si="32"/>
        <v>0</v>
      </c>
      <c r="AH58" s="31">
        <f t="shared" si="32"/>
        <v>0</v>
      </c>
      <c r="AI58" s="31">
        <f t="shared" si="32"/>
        <v>0</v>
      </c>
      <c r="AJ58" s="30">
        <f t="shared" si="32"/>
        <v>865645548</v>
      </c>
      <c r="AK58" s="31">
        <f t="shared" si="32"/>
        <v>0</v>
      </c>
      <c r="AL58" s="30">
        <f t="shared" si="32"/>
        <v>74555800</v>
      </c>
      <c r="AM58" s="30">
        <f t="shared" si="32"/>
        <v>329862200</v>
      </c>
      <c r="AN58" s="31">
        <f t="shared" si="32"/>
        <v>0</v>
      </c>
      <c r="AO58" s="30">
        <f t="shared" si="32"/>
        <v>74555800</v>
      </c>
      <c r="AP58" s="30">
        <f t="shared" si="32"/>
        <v>329862200</v>
      </c>
      <c r="AQ58" s="31">
        <f t="shared" si="32"/>
        <v>0</v>
      </c>
      <c r="AR58" s="30">
        <f t="shared" si="32"/>
        <v>74555800</v>
      </c>
      <c r="AS58" s="30">
        <f t="shared" si="32"/>
        <v>329862200</v>
      </c>
      <c r="AT58" s="30">
        <f t="shared" si="24"/>
        <v>329862200</v>
      </c>
      <c r="AU58" s="176">
        <f t="shared" si="25"/>
        <v>535783348</v>
      </c>
      <c r="AV58" s="34">
        <f t="shared" si="26"/>
        <v>0</v>
      </c>
      <c r="AW58" s="34">
        <f t="shared" si="27"/>
        <v>0</v>
      </c>
      <c r="AX58" s="32">
        <f t="shared" si="20"/>
        <v>0.38105919999486904</v>
      </c>
    </row>
    <row r="59" spans="1:50" ht="18.75" customHeight="1" x14ac:dyDescent="0.2">
      <c r="A59" s="14" t="s">
        <v>55</v>
      </c>
      <c r="B59" s="15" t="s">
        <v>56</v>
      </c>
      <c r="C59" s="15"/>
      <c r="D59" s="15" t="s">
        <v>40</v>
      </c>
      <c r="E59" s="15"/>
      <c r="F59" s="15"/>
      <c r="G59" s="15" t="s">
        <v>41</v>
      </c>
      <c r="H59" s="15"/>
      <c r="I59" s="15" t="s">
        <v>936</v>
      </c>
      <c r="J59" s="15"/>
      <c r="K59" s="15" t="s">
        <v>932</v>
      </c>
      <c r="L59" s="15"/>
      <c r="M59" s="15" t="s">
        <v>933</v>
      </c>
      <c r="N59" s="15"/>
      <c r="O59" s="15" t="s">
        <v>938</v>
      </c>
      <c r="P59" s="15"/>
      <c r="Q59" s="15" t="s">
        <v>939</v>
      </c>
      <c r="R59" s="15"/>
      <c r="S59" s="15" t="s">
        <v>940</v>
      </c>
      <c r="T59" s="15">
        <v>0</v>
      </c>
      <c r="U59" s="15">
        <v>0</v>
      </c>
      <c r="V59" s="15">
        <v>0</v>
      </c>
      <c r="W59" s="15">
        <v>0</v>
      </c>
      <c r="X59" s="15" t="s">
        <v>937</v>
      </c>
      <c r="Y59" s="15"/>
      <c r="Z59" s="15"/>
      <c r="AA59" s="16" t="s">
        <v>130</v>
      </c>
      <c r="AB59" s="17" t="s">
        <v>129</v>
      </c>
      <c r="AC59" s="17" t="s">
        <v>58</v>
      </c>
      <c r="AD59" s="18">
        <v>816733820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18">
        <v>816733820</v>
      </c>
      <c r="AK59" s="34">
        <v>0</v>
      </c>
      <c r="AL59" s="18">
        <v>70293900</v>
      </c>
      <c r="AM59" s="18">
        <v>302982800</v>
      </c>
      <c r="AN59" s="34">
        <v>0</v>
      </c>
      <c r="AO59" s="18">
        <v>70293900</v>
      </c>
      <c r="AP59" s="18">
        <v>302982800</v>
      </c>
      <c r="AQ59" s="34">
        <v>0</v>
      </c>
      <c r="AR59" s="39">
        <v>70293900</v>
      </c>
      <c r="AS59" s="18">
        <v>302982800</v>
      </c>
      <c r="AT59" s="39">
        <f t="shared" si="24"/>
        <v>302982800</v>
      </c>
      <c r="AU59" s="18">
        <f t="shared" si="25"/>
        <v>513751020</v>
      </c>
      <c r="AV59" s="34">
        <f t="shared" si="26"/>
        <v>0</v>
      </c>
      <c r="AW59" s="34">
        <f t="shared" si="27"/>
        <v>0</v>
      </c>
      <c r="AX59" s="32">
        <f t="shared" si="20"/>
        <v>0.37096884270079572</v>
      </c>
    </row>
    <row r="60" spans="1:50" ht="18.75" customHeight="1" x14ac:dyDescent="0.2">
      <c r="A60" s="14" t="s">
        <v>55</v>
      </c>
      <c r="B60" s="15" t="s">
        <v>56</v>
      </c>
      <c r="C60" s="15"/>
      <c r="D60" s="15" t="s">
        <v>40</v>
      </c>
      <c r="E60" s="15"/>
      <c r="F60" s="15"/>
      <c r="G60" s="15" t="s">
        <v>41</v>
      </c>
      <c r="H60" s="15"/>
      <c r="I60" s="15" t="s">
        <v>941</v>
      </c>
      <c r="J60" s="15"/>
      <c r="K60" s="15" t="s">
        <v>932</v>
      </c>
      <c r="L60" s="15"/>
      <c r="M60" s="15" t="s">
        <v>933</v>
      </c>
      <c r="N60" s="15"/>
      <c r="O60" s="15" t="s">
        <v>938</v>
      </c>
      <c r="P60" s="15"/>
      <c r="Q60" s="15" t="s">
        <v>939</v>
      </c>
      <c r="R60" s="15"/>
      <c r="S60" s="15" t="s">
        <v>940</v>
      </c>
      <c r="T60" s="15">
        <v>0</v>
      </c>
      <c r="U60" s="15">
        <v>0</v>
      </c>
      <c r="V60" s="15">
        <v>0</v>
      </c>
      <c r="W60" s="15">
        <v>0</v>
      </c>
      <c r="X60" s="15" t="s">
        <v>937</v>
      </c>
      <c r="Y60" s="15"/>
      <c r="Z60" s="15"/>
      <c r="AA60" s="16" t="s">
        <v>131</v>
      </c>
      <c r="AB60" s="17" t="s">
        <v>129</v>
      </c>
      <c r="AC60" s="17" t="s">
        <v>61</v>
      </c>
      <c r="AD60" s="18">
        <v>48911728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18">
        <v>48911728</v>
      </c>
      <c r="AK60" s="34">
        <v>0</v>
      </c>
      <c r="AL60" s="18">
        <v>4261900</v>
      </c>
      <c r="AM60" s="18">
        <v>26879400</v>
      </c>
      <c r="AN60" s="34">
        <v>0</v>
      </c>
      <c r="AO60" s="18">
        <v>4261900</v>
      </c>
      <c r="AP60" s="18">
        <v>26879400</v>
      </c>
      <c r="AQ60" s="34">
        <v>0</v>
      </c>
      <c r="AR60" s="39">
        <v>4261900</v>
      </c>
      <c r="AS60" s="192">
        <v>26879400</v>
      </c>
      <c r="AT60" s="39">
        <f t="shared" si="24"/>
        <v>26879400</v>
      </c>
      <c r="AU60" s="18">
        <f t="shared" si="25"/>
        <v>22032328</v>
      </c>
      <c r="AV60" s="34">
        <f t="shared" si="26"/>
        <v>0</v>
      </c>
      <c r="AW60" s="34">
        <f t="shared" si="27"/>
        <v>0</v>
      </c>
      <c r="AX60" s="32">
        <f t="shared" si="20"/>
        <v>0.54954917969776085</v>
      </c>
    </row>
    <row r="61" spans="1:50" ht="18.75" customHeight="1" x14ac:dyDescent="0.2">
      <c r="A61" s="27" t="s">
        <v>49</v>
      </c>
      <c r="B61" s="27" t="s">
        <v>50</v>
      </c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8" t="s">
        <v>132</v>
      </c>
      <c r="AB61" s="29" t="s">
        <v>133</v>
      </c>
      <c r="AC61" s="30" t="s">
        <v>37</v>
      </c>
      <c r="AD61" s="30">
        <f>AD62+AD63</f>
        <v>144274257</v>
      </c>
      <c r="AE61" s="31">
        <f t="shared" ref="AE61:AS61" si="33">AE62+AE63</f>
        <v>0</v>
      </c>
      <c r="AF61" s="31">
        <f t="shared" si="33"/>
        <v>0</v>
      </c>
      <c r="AG61" s="31">
        <f t="shared" si="33"/>
        <v>0</v>
      </c>
      <c r="AH61" s="31">
        <f t="shared" si="33"/>
        <v>0</v>
      </c>
      <c r="AI61" s="31">
        <f t="shared" si="33"/>
        <v>0</v>
      </c>
      <c r="AJ61" s="30">
        <f t="shared" si="33"/>
        <v>144274257</v>
      </c>
      <c r="AK61" s="31">
        <f t="shared" si="33"/>
        <v>0</v>
      </c>
      <c r="AL61" s="30">
        <f t="shared" si="33"/>
        <v>12440600</v>
      </c>
      <c r="AM61" s="30">
        <f t="shared" si="33"/>
        <v>55077900</v>
      </c>
      <c r="AN61" s="31">
        <f t="shared" si="33"/>
        <v>0</v>
      </c>
      <c r="AO61" s="30">
        <f t="shared" si="33"/>
        <v>12440600</v>
      </c>
      <c r="AP61" s="30">
        <f t="shared" si="33"/>
        <v>55077900</v>
      </c>
      <c r="AQ61" s="31">
        <f t="shared" si="33"/>
        <v>0</v>
      </c>
      <c r="AR61" s="30">
        <f t="shared" si="33"/>
        <v>12440600</v>
      </c>
      <c r="AS61" s="30">
        <f t="shared" si="33"/>
        <v>55077900</v>
      </c>
      <c r="AT61" s="30">
        <f t="shared" si="24"/>
        <v>55077900</v>
      </c>
      <c r="AU61" s="176">
        <f t="shared" si="25"/>
        <v>89196357</v>
      </c>
      <c r="AV61" s="34">
        <f t="shared" si="26"/>
        <v>0</v>
      </c>
      <c r="AW61" s="34">
        <f t="shared" si="27"/>
        <v>0</v>
      </c>
      <c r="AX61" s="32">
        <f t="shared" si="20"/>
        <v>0.38175833405955439</v>
      </c>
    </row>
    <row r="62" spans="1:50" ht="18.75" customHeight="1" x14ac:dyDescent="0.2">
      <c r="A62" s="14" t="s">
        <v>55</v>
      </c>
      <c r="B62" s="15" t="s">
        <v>56</v>
      </c>
      <c r="C62" s="15"/>
      <c r="D62" s="15" t="s">
        <v>40</v>
      </c>
      <c r="E62" s="15"/>
      <c r="F62" s="15"/>
      <c r="G62" s="15" t="s">
        <v>41</v>
      </c>
      <c r="H62" s="15"/>
      <c r="I62" s="15" t="s">
        <v>936</v>
      </c>
      <c r="J62" s="15"/>
      <c r="K62" s="15" t="s">
        <v>932</v>
      </c>
      <c r="L62" s="15"/>
      <c r="M62" s="15" t="s">
        <v>933</v>
      </c>
      <c r="N62" s="15"/>
      <c r="O62" s="15" t="s">
        <v>938</v>
      </c>
      <c r="P62" s="15"/>
      <c r="Q62" s="15" t="s">
        <v>939</v>
      </c>
      <c r="R62" s="15"/>
      <c r="S62" s="15" t="s">
        <v>940</v>
      </c>
      <c r="T62" s="15">
        <v>0</v>
      </c>
      <c r="U62" s="15">
        <v>0</v>
      </c>
      <c r="V62" s="15">
        <v>0</v>
      </c>
      <c r="W62" s="15">
        <v>0</v>
      </c>
      <c r="X62" s="15" t="s">
        <v>937</v>
      </c>
      <c r="Y62" s="15"/>
      <c r="Z62" s="15"/>
      <c r="AA62" s="16" t="s">
        <v>134</v>
      </c>
      <c r="AB62" s="17" t="s">
        <v>133</v>
      </c>
      <c r="AC62" s="17" t="s">
        <v>58</v>
      </c>
      <c r="AD62" s="18">
        <v>136122303</v>
      </c>
      <c r="AE62" s="34">
        <v>0</v>
      </c>
      <c r="AF62" s="34">
        <v>0</v>
      </c>
      <c r="AG62" s="34">
        <v>0</v>
      </c>
      <c r="AH62" s="34">
        <v>0</v>
      </c>
      <c r="AI62" s="34">
        <v>0</v>
      </c>
      <c r="AJ62" s="18">
        <v>136122303</v>
      </c>
      <c r="AK62" s="34">
        <v>0</v>
      </c>
      <c r="AL62" s="18">
        <v>11729200</v>
      </c>
      <c r="AM62" s="18">
        <v>50593400</v>
      </c>
      <c r="AN62" s="34">
        <v>0</v>
      </c>
      <c r="AO62" s="18">
        <v>11729200</v>
      </c>
      <c r="AP62" s="18">
        <v>50593400</v>
      </c>
      <c r="AQ62" s="34">
        <v>0</v>
      </c>
      <c r="AR62" s="39">
        <v>11729200</v>
      </c>
      <c r="AS62" s="18">
        <v>50593400</v>
      </c>
      <c r="AT62" s="39">
        <f t="shared" si="24"/>
        <v>50593400</v>
      </c>
      <c r="AU62" s="18">
        <f t="shared" si="25"/>
        <v>85528903</v>
      </c>
      <c r="AV62" s="34">
        <f t="shared" si="26"/>
        <v>0</v>
      </c>
      <c r="AW62" s="34">
        <f t="shared" si="27"/>
        <v>0</v>
      </c>
      <c r="AX62" s="32">
        <f t="shared" si="20"/>
        <v>0.37167605076443644</v>
      </c>
    </row>
    <row r="63" spans="1:50" ht="18.75" customHeight="1" x14ac:dyDescent="0.2">
      <c r="A63" s="14" t="s">
        <v>55</v>
      </c>
      <c r="B63" s="15" t="s">
        <v>56</v>
      </c>
      <c r="C63" s="15"/>
      <c r="D63" s="15" t="s">
        <v>40</v>
      </c>
      <c r="E63" s="15"/>
      <c r="F63" s="15"/>
      <c r="G63" s="15" t="s">
        <v>41</v>
      </c>
      <c r="H63" s="15"/>
      <c r="I63" s="15" t="s">
        <v>941</v>
      </c>
      <c r="J63" s="15"/>
      <c r="K63" s="15" t="s">
        <v>932</v>
      </c>
      <c r="L63" s="15"/>
      <c r="M63" s="15" t="s">
        <v>933</v>
      </c>
      <c r="N63" s="15"/>
      <c r="O63" s="15" t="s">
        <v>938</v>
      </c>
      <c r="P63" s="15"/>
      <c r="Q63" s="15" t="s">
        <v>939</v>
      </c>
      <c r="R63" s="15"/>
      <c r="S63" s="15" t="s">
        <v>940</v>
      </c>
      <c r="T63" s="15">
        <v>0</v>
      </c>
      <c r="U63" s="15">
        <v>0</v>
      </c>
      <c r="V63" s="15">
        <v>0</v>
      </c>
      <c r="W63" s="15">
        <v>0</v>
      </c>
      <c r="X63" s="15" t="s">
        <v>937</v>
      </c>
      <c r="Y63" s="15"/>
      <c r="Z63" s="15"/>
      <c r="AA63" s="16" t="s">
        <v>135</v>
      </c>
      <c r="AB63" s="17" t="s">
        <v>136</v>
      </c>
      <c r="AC63" s="17" t="s">
        <v>61</v>
      </c>
      <c r="AD63" s="18">
        <v>8151954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18">
        <v>8151954</v>
      </c>
      <c r="AK63" s="34">
        <v>0</v>
      </c>
      <c r="AL63" s="18">
        <v>711400</v>
      </c>
      <c r="AM63" s="18">
        <v>4484500</v>
      </c>
      <c r="AN63" s="34">
        <v>0</v>
      </c>
      <c r="AO63" s="18">
        <v>711400</v>
      </c>
      <c r="AP63" s="18">
        <v>4484500</v>
      </c>
      <c r="AQ63" s="34">
        <v>0</v>
      </c>
      <c r="AR63" s="39">
        <v>711400</v>
      </c>
      <c r="AS63" s="18">
        <v>4484500</v>
      </c>
      <c r="AT63" s="39">
        <f t="shared" si="24"/>
        <v>4484500</v>
      </c>
      <c r="AU63" s="18">
        <f t="shared" si="25"/>
        <v>3667454</v>
      </c>
      <c r="AV63" s="34">
        <f t="shared" si="26"/>
        <v>0</v>
      </c>
      <c r="AW63" s="34">
        <f t="shared" si="27"/>
        <v>0</v>
      </c>
      <c r="AX63" s="32">
        <f t="shared" si="20"/>
        <v>0.55011350652861879</v>
      </c>
    </row>
    <row r="64" spans="1:50" ht="18.75" customHeight="1" x14ac:dyDescent="0.2">
      <c r="A64" s="27" t="s">
        <v>49</v>
      </c>
      <c r="B64" s="27" t="s">
        <v>50</v>
      </c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8" t="s">
        <v>137</v>
      </c>
      <c r="AB64" s="29" t="s">
        <v>138</v>
      </c>
      <c r="AC64" s="30" t="s">
        <v>37</v>
      </c>
      <c r="AD64" s="30">
        <f>AD65+AD66</f>
        <v>144274257</v>
      </c>
      <c r="AE64" s="31">
        <f t="shared" ref="AE64:AS64" si="34">AE65+AE66</f>
        <v>0</v>
      </c>
      <c r="AF64" s="31">
        <f t="shared" si="34"/>
        <v>0</v>
      </c>
      <c r="AG64" s="31">
        <f t="shared" si="34"/>
        <v>0</v>
      </c>
      <c r="AH64" s="31">
        <f t="shared" si="34"/>
        <v>0</v>
      </c>
      <c r="AI64" s="31">
        <f t="shared" si="34"/>
        <v>0</v>
      </c>
      <c r="AJ64" s="30">
        <f t="shared" si="34"/>
        <v>144274257</v>
      </c>
      <c r="AK64" s="31">
        <f t="shared" si="34"/>
        <v>0</v>
      </c>
      <c r="AL64" s="30">
        <f t="shared" si="34"/>
        <v>12440600</v>
      </c>
      <c r="AM64" s="30">
        <f t="shared" si="34"/>
        <v>55077900</v>
      </c>
      <c r="AN64" s="31">
        <f t="shared" si="34"/>
        <v>0</v>
      </c>
      <c r="AO64" s="30">
        <f t="shared" si="34"/>
        <v>12440600</v>
      </c>
      <c r="AP64" s="30">
        <f t="shared" si="34"/>
        <v>55077900</v>
      </c>
      <c r="AQ64" s="31">
        <f t="shared" si="34"/>
        <v>0</v>
      </c>
      <c r="AR64" s="30">
        <f t="shared" si="34"/>
        <v>12440600</v>
      </c>
      <c r="AS64" s="30">
        <f t="shared" si="34"/>
        <v>55077900</v>
      </c>
      <c r="AT64" s="30">
        <f t="shared" si="24"/>
        <v>55077900</v>
      </c>
      <c r="AU64" s="83">
        <f t="shared" si="25"/>
        <v>89196357</v>
      </c>
      <c r="AV64" s="34">
        <f t="shared" si="26"/>
        <v>0</v>
      </c>
      <c r="AW64" s="34">
        <f t="shared" si="27"/>
        <v>0</v>
      </c>
      <c r="AX64" s="32">
        <f t="shared" si="20"/>
        <v>0.38175833405955439</v>
      </c>
    </row>
    <row r="65" spans="1:50" ht="18.75" customHeight="1" x14ac:dyDescent="0.2">
      <c r="A65" s="14" t="s">
        <v>55</v>
      </c>
      <c r="B65" s="15" t="s">
        <v>56</v>
      </c>
      <c r="C65" s="15"/>
      <c r="D65" s="15" t="s">
        <v>40</v>
      </c>
      <c r="E65" s="15"/>
      <c r="F65" s="15"/>
      <c r="G65" s="15" t="s">
        <v>41</v>
      </c>
      <c r="H65" s="15"/>
      <c r="I65" s="15" t="s">
        <v>936</v>
      </c>
      <c r="J65" s="15"/>
      <c r="K65" s="15" t="s">
        <v>932</v>
      </c>
      <c r="L65" s="15"/>
      <c r="M65" s="15" t="s">
        <v>933</v>
      </c>
      <c r="N65" s="15"/>
      <c r="O65" s="15" t="s">
        <v>938</v>
      </c>
      <c r="P65" s="15"/>
      <c r="Q65" s="15" t="s">
        <v>939</v>
      </c>
      <c r="R65" s="15"/>
      <c r="S65" s="15" t="s">
        <v>940</v>
      </c>
      <c r="T65" s="15">
        <v>0</v>
      </c>
      <c r="U65" s="15">
        <v>0</v>
      </c>
      <c r="V65" s="15">
        <v>0</v>
      </c>
      <c r="W65" s="15">
        <v>0</v>
      </c>
      <c r="X65" s="15" t="s">
        <v>937</v>
      </c>
      <c r="Y65" s="15"/>
      <c r="Z65" s="15"/>
      <c r="AA65" s="16" t="s">
        <v>139</v>
      </c>
      <c r="AB65" s="17" t="s">
        <v>138</v>
      </c>
      <c r="AC65" s="17" t="s">
        <v>58</v>
      </c>
      <c r="AD65" s="18">
        <v>136122303</v>
      </c>
      <c r="AE65" s="34">
        <v>0</v>
      </c>
      <c r="AF65" s="34">
        <v>0</v>
      </c>
      <c r="AG65" s="34">
        <v>0</v>
      </c>
      <c r="AH65" s="34">
        <v>0</v>
      </c>
      <c r="AI65" s="34">
        <v>0</v>
      </c>
      <c r="AJ65" s="18">
        <v>136122303</v>
      </c>
      <c r="AK65" s="34">
        <v>0</v>
      </c>
      <c r="AL65" s="18">
        <v>11729200</v>
      </c>
      <c r="AM65" s="18">
        <v>50593400</v>
      </c>
      <c r="AN65" s="34">
        <v>0</v>
      </c>
      <c r="AO65" s="18">
        <v>11729200</v>
      </c>
      <c r="AP65" s="18">
        <v>50593400</v>
      </c>
      <c r="AQ65" s="34">
        <v>0</v>
      </c>
      <c r="AR65" s="39">
        <v>11729200</v>
      </c>
      <c r="AS65" s="18">
        <v>50593400</v>
      </c>
      <c r="AT65" s="39">
        <f t="shared" si="24"/>
        <v>50593400</v>
      </c>
      <c r="AU65" s="18">
        <f t="shared" si="25"/>
        <v>85528903</v>
      </c>
      <c r="AV65" s="34">
        <f t="shared" si="26"/>
        <v>0</v>
      </c>
      <c r="AW65" s="34">
        <f t="shared" si="27"/>
        <v>0</v>
      </c>
      <c r="AX65" s="32">
        <f t="shared" si="20"/>
        <v>0.37167605076443644</v>
      </c>
    </row>
    <row r="66" spans="1:50" ht="18.75" customHeight="1" x14ac:dyDescent="0.2">
      <c r="A66" s="14" t="s">
        <v>55</v>
      </c>
      <c r="B66" s="15" t="s">
        <v>56</v>
      </c>
      <c r="C66" s="15"/>
      <c r="D66" s="15" t="s">
        <v>40</v>
      </c>
      <c r="E66" s="15"/>
      <c r="F66" s="15"/>
      <c r="G66" s="15" t="s">
        <v>41</v>
      </c>
      <c r="H66" s="15"/>
      <c r="I66" s="15" t="s">
        <v>941</v>
      </c>
      <c r="J66" s="15"/>
      <c r="K66" s="15" t="s">
        <v>932</v>
      </c>
      <c r="L66" s="15"/>
      <c r="M66" s="15" t="s">
        <v>933</v>
      </c>
      <c r="N66" s="15"/>
      <c r="O66" s="15" t="s">
        <v>938</v>
      </c>
      <c r="P66" s="15"/>
      <c r="Q66" s="15" t="s">
        <v>939</v>
      </c>
      <c r="R66" s="15"/>
      <c r="S66" s="15" t="s">
        <v>940</v>
      </c>
      <c r="T66" s="15">
        <v>0</v>
      </c>
      <c r="U66" s="15">
        <v>0</v>
      </c>
      <c r="V66" s="15">
        <v>0</v>
      </c>
      <c r="W66" s="15">
        <v>0</v>
      </c>
      <c r="X66" s="15" t="s">
        <v>937</v>
      </c>
      <c r="Y66" s="15"/>
      <c r="Z66" s="15"/>
      <c r="AA66" s="16" t="s">
        <v>140</v>
      </c>
      <c r="AB66" s="17" t="s">
        <v>141</v>
      </c>
      <c r="AC66" s="17" t="s">
        <v>61</v>
      </c>
      <c r="AD66" s="18">
        <v>8151954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18">
        <v>8151954</v>
      </c>
      <c r="AK66" s="34">
        <v>0</v>
      </c>
      <c r="AL66" s="18">
        <v>711400</v>
      </c>
      <c r="AM66" s="18">
        <v>4484500</v>
      </c>
      <c r="AN66" s="34">
        <v>0</v>
      </c>
      <c r="AO66" s="18">
        <v>711400</v>
      </c>
      <c r="AP66" s="18">
        <v>4484500</v>
      </c>
      <c r="AQ66" s="34">
        <v>0</v>
      </c>
      <c r="AR66" s="39">
        <v>711400</v>
      </c>
      <c r="AS66" s="18">
        <v>4484500</v>
      </c>
      <c r="AT66" s="39">
        <f t="shared" si="24"/>
        <v>4484500</v>
      </c>
      <c r="AU66" s="18">
        <f t="shared" si="25"/>
        <v>3667454</v>
      </c>
      <c r="AV66" s="34">
        <f t="shared" si="26"/>
        <v>0</v>
      </c>
      <c r="AW66" s="34">
        <f t="shared" si="27"/>
        <v>0</v>
      </c>
      <c r="AX66" s="32">
        <f t="shared" si="20"/>
        <v>0.55011350652861879</v>
      </c>
    </row>
    <row r="67" spans="1:50" ht="18.75" customHeight="1" x14ac:dyDescent="0.2">
      <c r="A67" s="27" t="s">
        <v>55</v>
      </c>
      <c r="B67" s="27" t="s">
        <v>56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8" t="s">
        <v>142</v>
      </c>
      <c r="AB67" s="29" t="s">
        <v>143</v>
      </c>
      <c r="AC67" s="30" t="s">
        <v>37</v>
      </c>
      <c r="AD67" s="30">
        <f>AD68+AD69</f>
        <v>273762589</v>
      </c>
      <c r="AE67" s="31">
        <f t="shared" ref="AE67:AS67" si="35">AE68+AE69</f>
        <v>0</v>
      </c>
      <c r="AF67" s="31">
        <f t="shared" si="35"/>
        <v>0</v>
      </c>
      <c r="AG67" s="31">
        <f t="shared" si="35"/>
        <v>0</v>
      </c>
      <c r="AH67" s="31">
        <f t="shared" si="35"/>
        <v>0</v>
      </c>
      <c r="AI67" s="31">
        <f t="shared" si="35"/>
        <v>0</v>
      </c>
      <c r="AJ67" s="30">
        <f t="shared" si="35"/>
        <v>273762589</v>
      </c>
      <c r="AK67" s="31">
        <f t="shared" si="35"/>
        <v>0</v>
      </c>
      <c r="AL67" s="30">
        <f t="shared" si="35"/>
        <v>24862500</v>
      </c>
      <c r="AM67" s="30">
        <f t="shared" si="35"/>
        <v>110038200</v>
      </c>
      <c r="AN67" s="31">
        <f t="shared" si="35"/>
        <v>0</v>
      </c>
      <c r="AO67" s="30">
        <f t="shared" si="35"/>
        <v>24862500</v>
      </c>
      <c r="AP67" s="30">
        <f t="shared" si="35"/>
        <v>110038200</v>
      </c>
      <c r="AQ67" s="31">
        <f t="shared" si="35"/>
        <v>0</v>
      </c>
      <c r="AR67" s="30">
        <f t="shared" si="35"/>
        <v>24862500</v>
      </c>
      <c r="AS67" s="30">
        <f t="shared" si="35"/>
        <v>110038200</v>
      </c>
      <c r="AT67" s="30">
        <f t="shared" si="24"/>
        <v>110038200</v>
      </c>
      <c r="AU67" s="176">
        <f t="shared" si="25"/>
        <v>163724389</v>
      </c>
      <c r="AV67" s="34">
        <f t="shared" si="26"/>
        <v>0</v>
      </c>
      <c r="AW67" s="34">
        <f t="shared" si="27"/>
        <v>0</v>
      </c>
      <c r="AX67" s="32">
        <f t="shared" si="20"/>
        <v>0.40194754294933993</v>
      </c>
    </row>
    <row r="68" spans="1:50" ht="18.75" customHeight="1" x14ac:dyDescent="0.2">
      <c r="A68" s="35" t="s">
        <v>55</v>
      </c>
      <c r="B68" s="36" t="s">
        <v>56</v>
      </c>
      <c r="C68" s="36"/>
      <c r="D68" s="36" t="s">
        <v>40</v>
      </c>
      <c r="E68" s="36"/>
      <c r="F68" s="36"/>
      <c r="G68" s="36" t="s">
        <v>41</v>
      </c>
      <c r="H68" s="36"/>
      <c r="I68" s="36" t="s">
        <v>936</v>
      </c>
      <c r="J68" s="36"/>
      <c r="K68" s="36" t="s">
        <v>932</v>
      </c>
      <c r="L68" s="36"/>
      <c r="M68" s="36" t="s">
        <v>933</v>
      </c>
      <c r="N68" s="36"/>
      <c r="O68" s="36" t="s">
        <v>938</v>
      </c>
      <c r="P68" s="36"/>
      <c r="Q68" s="36" t="s">
        <v>939</v>
      </c>
      <c r="R68" s="36"/>
      <c r="S68" s="36" t="s">
        <v>940</v>
      </c>
      <c r="T68" s="36">
        <v>0</v>
      </c>
      <c r="U68" s="36">
        <v>0</v>
      </c>
      <c r="V68" s="36">
        <v>0</v>
      </c>
      <c r="W68" s="36">
        <v>0</v>
      </c>
      <c r="X68" s="36" t="s">
        <v>937</v>
      </c>
      <c r="Y68" s="36"/>
      <c r="Z68" s="36"/>
      <c r="AA68" s="37" t="s">
        <v>144</v>
      </c>
      <c r="AB68" s="38" t="s">
        <v>145</v>
      </c>
      <c r="AC68" s="38" t="s">
        <v>58</v>
      </c>
      <c r="AD68" s="39">
        <v>257458680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  <c r="AJ68" s="39">
        <v>257458680</v>
      </c>
      <c r="AK68" s="40">
        <v>0</v>
      </c>
      <c r="AL68" s="39">
        <v>23440700</v>
      </c>
      <c r="AM68" s="39">
        <v>101075200</v>
      </c>
      <c r="AN68" s="40">
        <v>0</v>
      </c>
      <c r="AO68" s="18">
        <v>23440700</v>
      </c>
      <c r="AP68" s="39">
        <v>101075200</v>
      </c>
      <c r="AQ68" s="40">
        <v>0</v>
      </c>
      <c r="AR68" s="39">
        <v>23440700</v>
      </c>
      <c r="AS68" s="39">
        <v>101075200</v>
      </c>
      <c r="AT68" s="39">
        <f t="shared" si="24"/>
        <v>101075200</v>
      </c>
      <c r="AU68" s="18">
        <f t="shared" si="25"/>
        <v>156383480</v>
      </c>
      <c r="AV68" s="34">
        <f t="shared" si="26"/>
        <v>0</v>
      </c>
      <c r="AW68" s="34">
        <f t="shared" si="27"/>
        <v>0</v>
      </c>
      <c r="AX68" s="32">
        <f t="shared" si="20"/>
        <v>0.39258804558463517</v>
      </c>
    </row>
    <row r="69" spans="1:50" ht="31.5" customHeight="1" x14ac:dyDescent="0.2">
      <c r="A69" s="14" t="s">
        <v>55</v>
      </c>
      <c r="B69" s="15" t="s">
        <v>56</v>
      </c>
      <c r="C69" s="15"/>
      <c r="D69" s="15" t="s">
        <v>40</v>
      </c>
      <c r="E69" s="15"/>
      <c r="F69" s="15"/>
      <c r="G69" s="15" t="s">
        <v>41</v>
      </c>
      <c r="H69" s="15"/>
      <c r="I69" s="15" t="s">
        <v>941</v>
      </c>
      <c r="J69" s="15"/>
      <c r="K69" s="15" t="s">
        <v>932</v>
      </c>
      <c r="L69" s="15"/>
      <c r="M69" s="15" t="s">
        <v>933</v>
      </c>
      <c r="N69" s="15"/>
      <c r="O69" s="15" t="s">
        <v>938</v>
      </c>
      <c r="P69" s="15"/>
      <c r="Q69" s="15" t="s">
        <v>939</v>
      </c>
      <c r="R69" s="15"/>
      <c r="S69" s="15" t="s">
        <v>940</v>
      </c>
      <c r="T69" s="15">
        <v>0</v>
      </c>
      <c r="U69" s="15">
        <v>0</v>
      </c>
      <c r="V69" s="15">
        <v>0</v>
      </c>
      <c r="W69" s="15">
        <v>0</v>
      </c>
      <c r="X69" s="15" t="s">
        <v>937</v>
      </c>
      <c r="Y69" s="15"/>
      <c r="Z69" s="15"/>
      <c r="AA69" s="16" t="s">
        <v>146</v>
      </c>
      <c r="AB69" s="17" t="s">
        <v>147</v>
      </c>
      <c r="AC69" s="17" t="s">
        <v>61</v>
      </c>
      <c r="AD69" s="18">
        <v>16303909</v>
      </c>
      <c r="AE69" s="34">
        <v>0</v>
      </c>
      <c r="AF69" s="34">
        <v>0</v>
      </c>
      <c r="AG69" s="34">
        <v>0</v>
      </c>
      <c r="AH69" s="34">
        <v>0</v>
      </c>
      <c r="AI69" s="34">
        <v>0</v>
      </c>
      <c r="AJ69" s="18">
        <v>16303909</v>
      </c>
      <c r="AK69" s="34">
        <v>0</v>
      </c>
      <c r="AL69" s="39">
        <v>1421800</v>
      </c>
      <c r="AM69" s="18">
        <v>8963000</v>
      </c>
      <c r="AN69" s="34">
        <v>0</v>
      </c>
      <c r="AO69" s="18">
        <v>1421800</v>
      </c>
      <c r="AP69" s="18">
        <v>8963000</v>
      </c>
      <c r="AQ69" s="34">
        <v>0</v>
      </c>
      <c r="AR69" s="39">
        <v>1421800</v>
      </c>
      <c r="AS69" s="18">
        <v>8963000</v>
      </c>
      <c r="AT69" s="39">
        <f t="shared" si="24"/>
        <v>8963000</v>
      </c>
      <c r="AU69" s="18">
        <f t="shared" si="25"/>
        <v>7340909</v>
      </c>
      <c r="AV69" s="34">
        <f t="shared" si="26"/>
        <v>0</v>
      </c>
      <c r="AW69" s="34">
        <f t="shared" si="27"/>
        <v>0</v>
      </c>
      <c r="AX69" s="32">
        <f t="shared" si="20"/>
        <v>0.54974546288255166</v>
      </c>
    </row>
    <row r="70" spans="1:50" s="25" customFormat="1" ht="18.75" customHeight="1" x14ac:dyDescent="0.2">
      <c r="A70" s="19" t="s">
        <v>49</v>
      </c>
      <c r="B70" s="19" t="s">
        <v>50</v>
      </c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26" t="s">
        <v>148</v>
      </c>
      <c r="AB70" s="21" t="s">
        <v>149</v>
      </c>
      <c r="AC70" s="22" t="s">
        <v>37</v>
      </c>
      <c r="AD70" s="22">
        <f>AD71+AD81+AD82+AD83+AD84+AD85</f>
        <v>2847587617</v>
      </c>
      <c r="AE70" s="23">
        <f t="shared" ref="AE70:AW70" si="36">AE71+AE81+AE82+AE83+AE84+AE85</f>
        <v>0</v>
      </c>
      <c r="AF70" s="23">
        <f t="shared" si="36"/>
        <v>0</v>
      </c>
      <c r="AG70" s="22">
        <f>AG71+AG81+AG82+AG83+AG84+AG85</f>
        <v>72000000</v>
      </c>
      <c r="AH70" s="22">
        <f>AH71+AH81+AH82+AH83+AH84+AH85</f>
        <v>12000000</v>
      </c>
      <c r="AI70" s="22">
        <f t="shared" si="36"/>
        <v>60000000</v>
      </c>
      <c r="AJ70" s="22">
        <f>AJ71+AJ81+AJ82+AJ83+AJ84+AJ85</f>
        <v>2907587617</v>
      </c>
      <c r="AK70" s="23">
        <f t="shared" si="36"/>
        <v>0</v>
      </c>
      <c r="AL70" s="22">
        <f t="shared" si="36"/>
        <v>159129431</v>
      </c>
      <c r="AM70" s="22">
        <f t="shared" si="36"/>
        <v>855107604</v>
      </c>
      <c r="AN70" s="23">
        <f t="shared" si="36"/>
        <v>0</v>
      </c>
      <c r="AO70" s="22">
        <f t="shared" si="36"/>
        <v>156409557</v>
      </c>
      <c r="AP70" s="22">
        <f t="shared" si="36"/>
        <v>852387730</v>
      </c>
      <c r="AQ70" s="23">
        <f t="shared" si="36"/>
        <v>0</v>
      </c>
      <c r="AR70" s="22">
        <f t="shared" si="36"/>
        <v>167878038</v>
      </c>
      <c r="AS70" s="22">
        <f t="shared" si="36"/>
        <v>833135714</v>
      </c>
      <c r="AT70" s="22">
        <f t="shared" si="36"/>
        <v>833135714</v>
      </c>
      <c r="AU70" s="22">
        <f t="shared" si="36"/>
        <v>2052480013</v>
      </c>
      <c r="AV70" s="23">
        <f t="shared" si="36"/>
        <v>2719874</v>
      </c>
      <c r="AW70" s="22">
        <f t="shared" si="36"/>
        <v>19252016</v>
      </c>
      <c r="AX70" s="24">
        <f t="shared" si="20"/>
        <v>0.29315977445229296</v>
      </c>
    </row>
    <row r="71" spans="1:50" ht="18.75" customHeight="1" x14ac:dyDescent="0.2">
      <c r="A71" s="27" t="s">
        <v>49</v>
      </c>
      <c r="B71" s="27" t="s">
        <v>50</v>
      </c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8" t="s">
        <v>150</v>
      </c>
      <c r="AB71" s="29" t="s">
        <v>81</v>
      </c>
      <c r="AC71" s="30" t="s">
        <v>37</v>
      </c>
      <c r="AD71" s="30">
        <f>AD72+AD75+AD78</f>
        <v>2386452170</v>
      </c>
      <c r="AE71" s="31">
        <f t="shared" ref="AE71:AS71" si="37">AE72+AE75+AE78</f>
        <v>0</v>
      </c>
      <c r="AF71" s="31">
        <f t="shared" si="37"/>
        <v>0</v>
      </c>
      <c r="AG71" s="31">
        <f t="shared" si="37"/>
        <v>0</v>
      </c>
      <c r="AH71" s="30">
        <f t="shared" si="37"/>
        <v>12000000</v>
      </c>
      <c r="AI71" s="30">
        <f t="shared" si="37"/>
        <v>-12000000</v>
      </c>
      <c r="AJ71" s="30">
        <f t="shared" si="37"/>
        <v>2374452170</v>
      </c>
      <c r="AK71" s="31">
        <f t="shared" si="37"/>
        <v>0</v>
      </c>
      <c r="AL71" s="30">
        <f t="shared" si="37"/>
        <v>131212771</v>
      </c>
      <c r="AM71" s="30">
        <f t="shared" si="37"/>
        <v>566705500</v>
      </c>
      <c r="AN71" s="31">
        <f t="shared" si="37"/>
        <v>0</v>
      </c>
      <c r="AO71" s="30">
        <f t="shared" si="37"/>
        <v>128492897</v>
      </c>
      <c r="AP71" s="30">
        <f t="shared" si="37"/>
        <v>563985626</v>
      </c>
      <c r="AQ71" s="31">
        <f t="shared" si="37"/>
        <v>0</v>
      </c>
      <c r="AR71" s="30">
        <f t="shared" si="37"/>
        <v>130306091</v>
      </c>
      <c r="AS71" s="30">
        <f t="shared" si="37"/>
        <v>563985626</v>
      </c>
      <c r="AT71" s="30">
        <f t="shared" ref="AT71:AT93" si="38">AQ71+AS71</f>
        <v>563985626</v>
      </c>
      <c r="AU71" s="176">
        <f t="shared" ref="AU71:AU85" si="39">AJ71-AM71</f>
        <v>1807746670</v>
      </c>
      <c r="AV71" s="34">
        <f t="shared" ref="AV71:AV85" si="40">AM71-AP71</f>
        <v>2719874</v>
      </c>
      <c r="AW71" s="18">
        <f t="shared" ref="AW71:AW85" si="41">AP71-AT71</f>
        <v>0</v>
      </c>
      <c r="AX71" s="32">
        <f t="shared" si="20"/>
        <v>0.23752242017155478</v>
      </c>
    </row>
    <row r="72" spans="1:50" ht="18.75" customHeight="1" x14ac:dyDescent="0.2">
      <c r="A72" s="27" t="s">
        <v>49</v>
      </c>
      <c r="B72" s="27" t="s">
        <v>50</v>
      </c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8" t="s">
        <v>151</v>
      </c>
      <c r="AB72" s="29" t="s">
        <v>152</v>
      </c>
      <c r="AC72" s="30" t="s">
        <v>37</v>
      </c>
      <c r="AD72" s="30">
        <f>AD73+AD74</f>
        <v>1664997140</v>
      </c>
      <c r="AE72" s="31">
        <f t="shared" ref="AE72:AS72" si="42">AE73+AE74</f>
        <v>0</v>
      </c>
      <c r="AF72" s="31">
        <f t="shared" si="42"/>
        <v>0</v>
      </c>
      <c r="AG72" s="31">
        <f t="shared" si="42"/>
        <v>0</v>
      </c>
      <c r="AH72" s="31">
        <f t="shared" si="42"/>
        <v>0</v>
      </c>
      <c r="AI72" s="31">
        <f t="shared" si="42"/>
        <v>0</v>
      </c>
      <c r="AJ72" s="30">
        <f t="shared" si="42"/>
        <v>1664997140</v>
      </c>
      <c r="AK72" s="31">
        <f t="shared" si="42"/>
        <v>0</v>
      </c>
      <c r="AL72" s="30">
        <f t="shared" si="42"/>
        <v>93503074</v>
      </c>
      <c r="AM72" s="30">
        <f t="shared" si="42"/>
        <v>331423141</v>
      </c>
      <c r="AN72" s="31">
        <f t="shared" si="42"/>
        <v>0</v>
      </c>
      <c r="AO72" s="30">
        <f t="shared" si="42"/>
        <v>90783200</v>
      </c>
      <c r="AP72" s="30">
        <f t="shared" si="42"/>
        <v>328703267</v>
      </c>
      <c r="AQ72" s="31">
        <f t="shared" si="42"/>
        <v>0</v>
      </c>
      <c r="AR72" s="30">
        <f t="shared" si="42"/>
        <v>90783200</v>
      </c>
      <c r="AS72" s="30">
        <f t="shared" si="42"/>
        <v>328703267</v>
      </c>
      <c r="AT72" s="30">
        <f t="shared" si="38"/>
        <v>328703267</v>
      </c>
      <c r="AU72" s="176">
        <f t="shared" si="39"/>
        <v>1333573999</v>
      </c>
      <c r="AV72" s="34">
        <f t="shared" si="40"/>
        <v>2719874</v>
      </c>
      <c r="AW72" s="34">
        <f t="shared" si="41"/>
        <v>0</v>
      </c>
      <c r="AX72" s="32">
        <f t="shared" si="20"/>
        <v>0.1974197186909282</v>
      </c>
    </row>
    <row r="73" spans="1:50" ht="18.75" customHeight="1" x14ac:dyDescent="0.2">
      <c r="A73" s="14" t="s">
        <v>55</v>
      </c>
      <c r="B73" s="15" t="s">
        <v>56</v>
      </c>
      <c r="C73" s="15"/>
      <c r="D73" s="15" t="s">
        <v>40</v>
      </c>
      <c r="E73" s="15"/>
      <c r="F73" s="15"/>
      <c r="G73" s="15" t="s">
        <v>41</v>
      </c>
      <c r="H73" s="15"/>
      <c r="I73" s="15" t="s">
        <v>936</v>
      </c>
      <c r="J73" s="15"/>
      <c r="K73" s="15" t="s">
        <v>932</v>
      </c>
      <c r="L73" s="15"/>
      <c r="M73" s="15" t="s">
        <v>933</v>
      </c>
      <c r="N73" s="15"/>
      <c r="O73" s="15" t="s">
        <v>938</v>
      </c>
      <c r="P73" s="15"/>
      <c r="Q73" s="15" t="s">
        <v>939</v>
      </c>
      <c r="R73" s="15"/>
      <c r="S73" s="15" t="s">
        <v>940</v>
      </c>
      <c r="T73" s="15">
        <v>0</v>
      </c>
      <c r="U73" s="15">
        <v>0</v>
      </c>
      <c r="V73" s="15">
        <v>0</v>
      </c>
      <c r="W73" s="15">
        <v>0</v>
      </c>
      <c r="X73" s="15" t="s">
        <v>937</v>
      </c>
      <c r="Y73" s="15"/>
      <c r="Z73" s="15"/>
      <c r="AA73" s="16" t="s">
        <v>153</v>
      </c>
      <c r="AB73" s="17" t="s">
        <v>152</v>
      </c>
      <c r="AC73" s="17" t="s">
        <v>58</v>
      </c>
      <c r="AD73" s="18">
        <v>1564997140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18">
        <v>1564997140</v>
      </c>
      <c r="AK73" s="34">
        <v>0</v>
      </c>
      <c r="AL73" s="18">
        <v>81519733</v>
      </c>
      <c r="AM73" s="18">
        <v>300578898</v>
      </c>
      <c r="AN73" s="34">
        <v>0</v>
      </c>
      <c r="AO73" s="18">
        <v>81519733</v>
      </c>
      <c r="AP73" s="18">
        <v>300578898</v>
      </c>
      <c r="AQ73" s="34">
        <v>0</v>
      </c>
      <c r="AR73" s="18">
        <v>81519733</v>
      </c>
      <c r="AS73" s="18">
        <v>300578898</v>
      </c>
      <c r="AT73" s="39">
        <f t="shared" si="38"/>
        <v>300578898</v>
      </c>
      <c r="AU73" s="18">
        <f t="shared" si="39"/>
        <v>1264418242</v>
      </c>
      <c r="AV73" s="34">
        <f t="shared" si="40"/>
        <v>0</v>
      </c>
      <c r="AW73" s="34">
        <f t="shared" si="41"/>
        <v>0</v>
      </c>
      <c r="AX73" s="32">
        <f t="shared" si="20"/>
        <v>0.19206354460174924</v>
      </c>
    </row>
    <row r="74" spans="1:50" ht="18.75" customHeight="1" x14ac:dyDescent="0.2">
      <c r="A74" s="35" t="s">
        <v>55</v>
      </c>
      <c r="B74" s="36" t="s">
        <v>56</v>
      </c>
      <c r="C74" s="36"/>
      <c r="D74" s="36" t="s">
        <v>40</v>
      </c>
      <c r="E74" s="36"/>
      <c r="F74" s="36"/>
      <c r="G74" s="36" t="s">
        <v>41</v>
      </c>
      <c r="H74" s="36"/>
      <c r="I74" s="36" t="s">
        <v>941</v>
      </c>
      <c r="J74" s="36"/>
      <c r="K74" s="36" t="s">
        <v>932</v>
      </c>
      <c r="L74" s="36"/>
      <c r="M74" s="36" t="s">
        <v>933</v>
      </c>
      <c r="N74" s="36"/>
      <c r="O74" s="36" t="s">
        <v>938</v>
      </c>
      <c r="P74" s="36"/>
      <c r="Q74" s="36" t="s">
        <v>939</v>
      </c>
      <c r="R74" s="36"/>
      <c r="S74" s="36" t="s">
        <v>940</v>
      </c>
      <c r="T74" s="36">
        <v>0</v>
      </c>
      <c r="U74" s="36">
        <v>0</v>
      </c>
      <c r="V74" s="36">
        <v>0</v>
      </c>
      <c r="W74" s="36">
        <v>0</v>
      </c>
      <c r="X74" s="36" t="s">
        <v>937</v>
      </c>
      <c r="Y74" s="36"/>
      <c r="Z74" s="36"/>
      <c r="AA74" s="37" t="s">
        <v>154</v>
      </c>
      <c r="AB74" s="38" t="s">
        <v>155</v>
      </c>
      <c r="AC74" s="38" t="s">
        <v>61</v>
      </c>
      <c r="AD74" s="39">
        <v>100000000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39">
        <v>100000000</v>
      </c>
      <c r="AK74" s="40">
        <v>0</v>
      </c>
      <c r="AL74" s="40">
        <v>11983341</v>
      </c>
      <c r="AM74" s="39">
        <v>30844243</v>
      </c>
      <c r="AN74" s="40">
        <v>0</v>
      </c>
      <c r="AO74" s="39">
        <v>9263467</v>
      </c>
      <c r="AP74" s="39">
        <v>28124369</v>
      </c>
      <c r="AQ74" s="40">
        <v>0</v>
      </c>
      <c r="AR74" s="18">
        <v>9263467</v>
      </c>
      <c r="AS74" s="39">
        <v>28124369</v>
      </c>
      <c r="AT74" s="40">
        <f t="shared" si="38"/>
        <v>28124369</v>
      </c>
      <c r="AU74" s="18">
        <f t="shared" si="39"/>
        <v>69155757</v>
      </c>
      <c r="AV74" s="34">
        <f t="shared" si="40"/>
        <v>2719874</v>
      </c>
      <c r="AW74" s="34">
        <f t="shared" si="41"/>
        <v>0</v>
      </c>
      <c r="AX74" s="32">
        <f t="shared" si="20"/>
        <v>0.28124368999999999</v>
      </c>
    </row>
    <row r="75" spans="1:50" ht="18.75" customHeight="1" x14ac:dyDescent="0.2">
      <c r="A75" s="27" t="s">
        <v>49</v>
      </c>
      <c r="B75" s="27" t="s">
        <v>50</v>
      </c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8" t="s">
        <v>156</v>
      </c>
      <c r="AB75" s="29" t="s">
        <v>157</v>
      </c>
      <c r="AC75" s="30" t="s">
        <v>37</v>
      </c>
      <c r="AD75" s="30">
        <f>AD76+AD77</f>
        <v>608504027</v>
      </c>
      <c r="AE75" s="31">
        <f t="shared" ref="AE75:AS75" si="43">AE76+AE77</f>
        <v>0</v>
      </c>
      <c r="AF75" s="31">
        <f t="shared" si="43"/>
        <v>0</v>
      </c>
      <c r="AG75" s="31">
        <f t="shared" si="43"/>
        <v>0</v>
      </c>
      <c r="AH75" s="30">
        <f t="shared" si="43"/>
        <v>12000000</v>
      </c>
      <c r="AI75" s="30">
        <f t="shared" si="43"/>
        <v>-12000000</v>
      </c>
      <c r="AJ75" s="30">
        <f t="shared" si="43"/>
        <v>596504027</v>
      </c>
      <c r="AK75" s="31">
        <f t="shared" si="43"/>
        <v>0</v>
      </c>
      <c r="AL75" s="30">
        <f t="shared" si="43"/>
        <v>31583122</v>
      </c>
      <c r="AM75" s="30">
        <f t="shared" si="43"/>
        <v>191425068</v>
      </c>
      <c r="AN75" s="31">
        <f t="shared" si="43"/>
        <v>0</v>
      </c>
      <c r="AO75" s="30">
        <f t="shared" si="43"/>
        <v>31583122</v>
      </c>
      <c r="AP75" s="30">
        <f t="shared" si="43"/>
        <v>191425068</v>
      </c>
      <c r="AQ75" s="31">
        <f t="shared" si="43"/>
        <v>0</v>
      </c>
      <c r="AR75" s="30">
        <f t="shared" si="43"/>
        <v>33245715</v>
      </c>
      <c r="AS75" s="30">
        <f t="shared" si="43"/>
        <v>191425068</v>
      </c>
      <c r="AT75" s="30">
        <f t="shared" si="38"/>
        <v>191425068</v>
      </c>
      <c r="AU75" s="18">
        <f t="shared" si="39"/>
        <v>405078959</v>
      </c>
      <c r="AV75" s="34">
        <f t="shared" si="40"/>
        <v>0</v>
      </c>
      <c r="AW75" s="18">
        <f t="shared" si="41"/>
        <v>0</v>
      </c>
      <c r="AX75" s="32">
        <f t="shared" si="20"/>
        <v>0.32091161054307515</v>
      </c>
    </row>
    <row r="76" spans="1:50" ht="18.75" customHeight="1" x14ac:dyDescent="0.2">
      <c r="A76" s="14" t="s">
        <v>55</v>
      </c>
      <c r="B76" s="15" t="s">
        <v>56</v>
      </c>
      <c r="C76" s="15"/>
      <c r="D76" s="15" t="s">
        <v>40</v>
      </c>
      <c r="E76" s="15"/>
      <c r="F76" s="15"/>
      <c r="G76" s="15" t="s">
        <v>41</v>
      </c>
      <c r="H76" s="15"/>
      <c r="I76" s="15" t="s">
        <v>936</v>
      </c>
      <c r="J76" s="15"/>
      <c r="K76" s="15" t="s">
        <v>932</v>
      </c>
      <c r="L76" s="15"/>
      <c r="M76" s="15" t="s">
        <v>933</v>
      </c>
      <c r="N76" s="15"/>
      <c r="O76" s="15" t="s">
        <v>938</v>
      </c>
      <c r="P76" s="15"/>
      <c r="Q76" s="15" t="s">
        <v>939</v>
      </c>
      <c r="R76" s="15"/>
      <c r="S76" s="15" t="s">
        <v>940</v>
      </c>
      <c r="T76" s="15">
        <v>0</v>
      </c>
      <c r="U76" s="15">
        <v>0</v>
      </c>
      <c r="V76" s="15">
        <v>0</v>
      </c>
      <c r="W76" s="15">
        <v>0</v>
      </c>
      <c r="X76" s="15" t="s">
        <v>937</v>
      </c>
      <c r="Y76" s="15"/>
      <c r="Z76" s="15"/>
      <c r="AA76" s="16" t="s">
        <v>158</v>
      </c>
      <c r="AB76" s="17" t="s">
        <v>157</v>
      </c>
      <c r="AC76" s="17" t="s">
        <v>58</v>
      </c>
      <c r="AD76" s="18">
        <v>600000000</v>
      </c>
      <c r="AE76" s="34">
        <v>0</v>
      </c>
      <c r="AF76" s="34">
        <v>0</v>
      </c>
      <c r="AG76" s="34">
        <v>0</v>
      </c>
      <c r="AH76" s="18">
        <v>12000000</v>
      </c>
      <c r="AI76" s="18">
        <f>AE76-AF76+AG76-AH76</f>
        <v>-12000000</v>
      </c>
      <c r="AJ76" s="18">
        <f>AD76+AI76</f>
        <v>588000000</v>
      </c>
      <c r="AK76" s="34">
        <v>0</v>
      </c>
      <c r="AL76" s="18">
        <v>31583122</v>
      </c>
      <c r="AM76" s="18">
        <v>191425068</v>
      </c>
      <c r="AN76" s="34">
        <v>0</v>
      </c>
      <c r="AO76" s="18">
        <v>31583122</v>
      </c>
      <c r="AP76" s="18">
        <v>191425068</v>
      </c>
      <c r="AQ76" s="34">
        <v>0</v>
      </c>
      <c r="AR76" s="18">
        <v>33245715</v>
      </c>
      <c r="AS76" s="18">
        <v>191425068</v>
      </c>
      <c r="AT76" s="30">
        <f t="shared" si="38"/>
        <v>191425068</v>
      </c>
      <c r="AU76" s="18">
        <f t="shared" si="39"/>
        <v>396574932</v>
      </c>
      <c r="AV76" s="34">
        <f t="shared" si="40"/>
        <v>0</v>
      </c>
      <c r="AW76" s="18">
        <f t="shared" si="41"/>
        <v>0</v>
      </c>
      <c r="AX76" s="32">
        <f t="shared" si="20"/>
        <v>0.32555283673469387</v>
      </c>
    </row>
    <row r="77" spans="1:50" ht="18.75" customHeight="1" x14ac:dyDescent="0.2">
      <c r="A77" s="14" t="s">
        <v>55</v>
      </c>
      <c r="B77" s="15" t="s">
        <v>56</v>
      </c>
      <c r="C77" s="15"/>
      <c r="D77" s="15" t="s">
        <v>40</v>
      </c>
      <c r="E77" s="15"/>
      <c r="F77" s="15"/>
      <c r="G77" s="15" t="s">
        <v>41</v>
      </c>
      <c r="H77" s="15"/>
      <c r="I77" s="15" t="s">
        <v>941</v>
      </c>
      <c r="J77" s="15"/>
      <c r="K77" s="15" t="s">
        <v>932</v>
      </c>
      <c r="L77" s="15"/>
      <c r="M77" s="15" t="s">
        <v>933</v>
      </c>
      <c r="N77" s="15"/>
      <c r="O77" s="15" t="s">
        <v>938</v>
      </c>
      <c r="P77" s="15"/>
      <c r="Q77" s="15" t="s">
        <v>939</v>
      </c>
      <c r="R77" s="15"/>
      <c r="S77" s="15" t="s">
        <v>940</v>
      </c>
      <c r="T77" s="15">
        <v>0</v>
      </c>
      <c r="U77" s="15">
        <v>0</v>
      </c>
      <c r="V77" s="15">
        <v>0</v>
      </c>
      <c r="W77" s="15">
        <v>0</v>
      </c>
      <c r="X77" s="15" t="s">
        <v>937</v>
      </c>
      <c r="Y77" s="15"/>
      <c r="Z77" s="15"/>
      <c r="AA77" s="16" t="s">
        <v>159</v>
      </c>
      <c r="AB77" s="17" t="s">
        <v>160</v>
      </c>
      <c r="AC77" s="17" t="s">
        <v>61</v>
      </c>
      <c r="AD77" s="18">
        <v>8504027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18">
        <v>8504027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18">
        <v>0</v>
      </c>
      <c r="AS77" s="34">
        <v>0</v>
      </c>
      <c r="AT77" s="31">
        <f t="shared" si="38"/>
        <v>0</v>
      </c>
      <c r="AU77" s="18">
        <f t="shared" si="39"/>
        <v>8504027</v>
      </c>
      <c r="AV77" s="34">
        <f t="shared" si="40"/>
        <v>0</v>
      </c>
      <c r="AW77" s="34">
        <f t="shared" si="41"/>
        <v>0</v>
      </c>
      <c r="AX77" s="32">
        <f t="shared" si="20"/>
        <v>0</v>
      </c>
    </row>
    <row r="78" spans="1:50" ht="18.75" customHeight="1" x14ac:dyDescent="0.2">
      <c r="A78" s="27" t="s">
        <v>49</v>
      </c>
      <c r="B78" s="27" t="s">
        <v>50</v>
      </c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8" t="s">
        <v>161</v>
      </c>
      <c r="AB78" s="29" t="s">
        <v>162</v>
      </c>
      <c r="AC78" s="30" t="s">
        <v>37</v>
      </c>
      <c r="AD78" s="30">
        <f>AD79+AD80</f>
        <v>112951003</v>
      </c>
      <c r="AE78" s="31">
        <f t="shared" ref="AE78:AS78" si="44">AE79+AE80</f>
        <v>0</v>
      </c>
      <c r="AF78" s="31">
        <f t="shared" si="44"/>
        <v>0</v>
      </c>
      <c r="AG78" s="31">
        <f t="shared" si="44"/>
        <v>0</v>
      </c>
      <c r="AH78" s="31">
        <f t="shared" si="44"/>
        <v>0</v>
      </c>
      <c r="AI78" s="31">
        <f t="shared" si="44"/>
        <v>0</v>
      </c>
      <c r="AJ78" s="30">
        <f>AJ79+AJ80</f>
        <v>112951003</v>
      </c>
      <c r="AK78" s="31">
        <f t="shared" si="44"/>
        <v>0</v>
      </c>
      <c r="AL78" s="30">
        <f t="shared" si="44"/>
        <v>6126575</v>
      </c>
      <c r="AM78" s="30">
        <f t="shared" si="44"/>
        <v>43857291</v>
      </c>
      <c r="AN78" s="31">
        <f t="shared" si="44"/>
        <v>0</v>
      </c>
      <c r="AO78" s="30">
        <f t="shared" si="44"/>
        <v>6126575</v>
      </c>
      <c r="AP78" s="30">
        <f t="shared" si="44"/>
        <v>43857291</v>
      </c>
      <c r="AQ78" s="31">
        <f t="shared" si="44"/>
        <v>0</v>
      </c>
      <c r="AR78" s="30">
        <f>AR79+AR80</f>
        <v>6277176</v>
      </c>
      <c r="AS78" s="30">
        <f t="shared" si="44"/>
        <v>43857291</v>
      </c>
      <c r="AT78" s="30">
        <f t="shared" si="38"/>
        <v>43857291</v>
      </c>
      <c r="AU78" s="176">
        <f t="shared" si="39"/>
        <v>69093712</v>
      </c>
      <c r="AV78" s="177">
        <f t="shared" si="40"/>
        <v>0</v>
      </c>
      <c r="AW78" s="176">
        <f t="shared" si="41"/>
        <v>0</v>
      </c>
      <c r="AX78" s="32">
        <f t="shared" si="20"/>
        <v>0.38828598095760158</v>
      </c>
    </row>
    <row r="79" spans="1:50" ht="18.75" customHeight="1" x14ac:dyDescent="0.2">
      <c r="A79" s="14" t="s">
        <v>55</v>
      </c>
      <c r="B79" s="15" t="s">
        <v>56</v>
      </c>
      <c r="C79" s="15"/>
      <c r="D79" s="15" t="s">
        <v>40</v>
      </c>
      <c r="E79" s="15"/>
      <c r="F79" s="15"/>
      <c r="G79" s="15" t="s">
        <v>41</v>
      </c>
      <c r="H79" s="15"/>
      <c r="I79" s="15" t="s">
        <v>936</v>
      </c>
      <c r="J79" s="15"/>
      <c r="K79" s="15" t="s">
        <v>932</v>
      </c>
      <c r="L79" s="15"/>
      <c r="M79" s="15" t="s">
        <v>933</v>
      </c>
      <c r="N79" s="15"/>
      <c r="O79" s="15" t="s">
        <v>938</v>
      </c>
      <c r="P79" s="15"/>
      <c r="Q79" s="15" t="s">
        <v>939</v>
      </c>
      <c r="R79" s="15"/>
      <c r="S79" s="15" t="s">
        <v>940</v>
      </c>
      <c r="T79" s="15">
        <v>0</v>
      </c>
      <c r="U79" s="15">
        <v>0</v>
      </c>
      <c r="V79" s="15">
        <v>0</v>
      </c>
      <c r="W79" s="15">
        <v>0</v>
      </c>
      <c r="X79" s="15" t="s">
        <v>937</v>
      </c>
      <c r="Y79" s="15"/>
      <c r="Z79" s="15"/>
      <c r="AA79" s="16" t="s">
        <v>163</v>
      </c>
      <c r="AB79" s="17" t="s">
        <v>162</v>
      </c>
      <c r="AC79" s="17" t="s">
        <v>58</v>
      </c>
      <c r="AD79" s="18">
        <v>104149973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18">
        <v>104149973</v>
      </c>
      <c r="AK79" s="34">
        <v>0</v>
      </c>
      <c r="AL79" s="18">
        <v>5217808</v>
      </c>
      <c r="AM79" s="18">
        <v>41272378</v>
      </c>
      <c r="AN79" s="34">
        <v>0</v>
      </c>
      <c r="AO79" s="18">
        <v>5217808</v>
      </c>
      <c r="AP79" s="18">
        <v>41272378</v>
      </c>
      <c r="AQ79" s="34">
        <v>0</v>
      </c>
      <c r="AR79" s="18">
        <v>5368409</v>
      </c>
      <c r="AS79" s="18">
        <v>41272378</v>
      </c>
      <c r="AT79" s="39">
        <f t="shared" si="38"/>
        <v>41272378</v>
      </c>
      <c r="AU79" s="18">
        <f t="shared" si="39"/>
        <v>62877595</v>
      </c>
      <c r="AV79" s="34">
        <f t="shared" si="40"/>
        <v>0</v>
      </c>
      <c r="AW79" s="18">
        <f t="shared" si="41"/>
        <v>0</v>
      </c>
      <c r="AX79" s="32">
        <f t="shared" si="20"/>
        <v>0.39627833604911256</v>
      </c>
    </row>
    <row r="80" spans="1:50" ht="18.75" customHeight="1" x14ac:dyDescent="0.2">
      <c r="A80" s="14" t="s">
        <v>55</v>
      </c>
      <c r="B80" s="15" t="s">
        <v>56</v>
      </c>
      <c r="C80" s="15"/>
      <c r="D80" s="15" t="s">
        <v>40</v>
      </c>
      <c r="E80" s="15"/>
      <c r="F80" s="15"/>
      <c r="G80" s="15" t="s">
        <v>41</v>
      </c>
      <c r="H80" s="15"/>
      <c r="I80" s="15" t="s">
        <v>941</v>
      </c>
      <c r="J80" s="15"/>
      <c r="K80" s="15" t="s">
        <v>932</v>
      </c>
      <c r="L80" s="15"/>
      <c r="M80" s="15" t="s">
        <v>933</v>
      </c>
      <c r="N80" s="15"/>
      <c r="O80" s="15" t="s">
        <v>938</v>
      </c>
      <c r="P80" s="15"/>
      <c r="Q80" s="15" t="s">
        <v>939</v>
      </c>
      <c r="R80" s="15"/>
      <c r="S80" s="15" t="s">
        <v>940</v>
      </c>
      <c r="T80" s="15">
        <v>0</v>
      </c>
      <c r="U80" s="15">
        <v>0</v>
      </c>
      <c r="V80" s="15">
        <v>0</v>
      </c>
      <c r="W80" s="15">
        <v>0</v>
      </c>
      <c r="X80" s="15" t="s">
        <v>937</v>
      </c>
      <c r="Y80" s="15"/>
      <c r="Z80" s="15"/>
      <c r="AA80" s="16" t="s">
        <v>164</v>
      </c>
      <c r="AB80" s="17" t="s">
        <v>165</v>
      </c>
      <c r="AC80" s="17" t="s">
        <v>61</v>
      </c>
      <c r="AD80" s="18">
        <v>8801030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18">
        <v>8801030</v>
      </c>
      <c r="AK80" s="34">
        <v>0</v>
      </c>
      <c r="AL80" s="34">
        <v>908767</v>
      </c>
      <c r="AM80" s="34">
        <v>2584913</v>
      </c>
      <c r="AN80" s="34">
        <v>0</v>
      </c>
      <c r="AO80" s="18">
        <v>908767</v>
      </c>
      <c r="AP80" s="18">
        <v>2584913</v>
      </c>
      <c r="AQ80" s="34">
        <v>0</v>
      </c>
      <c r="AR80" s="18">
        <v>908767</v>
      </c>
      <c r="AS80" s="18">
        <v>2584913</v>
      </c>
      <c r="AT80" s="39">
        <f t="shared" si="38"/>
        <v>2584913</v>
      </c>
      <c r="AU80" s="18">
        <f t="shared" si="39"/>
        <v>6216117</v>
      </c>
      <c r="AV80" s="34">
        <f t="shared" si="40"/>
        <v>0</v>
      </c>
      <c r="AW80" s="34">
        <f t="shared" si="41"/>
        <v>0</v>
      </c>
      <c r="AX80" s="32">
        <f t="shared" si="20"/>
        <v>0.29370573671490724</v>
      </c>
    </row>
    <row r="81" spans="1:50" ht="29.25" customHeight="1" x14ac:dyDescent="0.2">
      <c r="A81" s="14" t="s">
        <v>49</v>
      </c>
      <c r="B81" s="15" t="s">
        <v>50</v>
      </c>
      <c r="C81" s="15"/>
      <c r="D81" s="15" t="s">
        <v>40</v>
      </c>
      <c r="E81" s="15"/>
      <c r="F81" s="15"/>
      <c r="G81" s="15" t="s">
        <v>41</v>
      </c>
      <c r="H81" s="15"/>
      <c r="I81" s="15" t="s">
        <v>936</v>
      </c>
      <c r="J81" s="15"/>
      <c r="K81" s="15" t="s">
        <v>932</v>
      </c>
      <c r="L81" s="15"/>
      <c r="M81" s="15" t="s">
        <v>933</v>
      </c>
      <c r="N81" s="15"/>
      <c r="O81" s="15" t="s">
        <v>938</v>
      </c>
      <c r="P81" s="15"/>
      <c r="Q81" s="15" t="s">
        <v>939</v>
      </c>
      <c r="R81" s="15"/>
      <c r="S81" s="15" t="s">
        <v>940</v>
      </c>
      <c r="T81" s="15">
        <v>0</v>
      </c>
      <c r="U81" s="15">
        <v>0</v>
      </c>
      <c r="V81" s="15">
        <v>0</v>
      </c>
      <c r="W81" s="15">
        <v>0</v>
      </c>
      <c r="X81" s="15" t="s">
        <v>937</v>
      </c>
      <c r="Y81" s="15"/>
      <c r="Z81" s="15"/>
      <c r="AA81" s="16" t="s">
        <v>166</v>
      </c>
      <c r="AB81" s="17" t="s">
        <v>167</v>
      </c>
      <c r="AC81" s="17" t="s">
        <v>56</v>
      </c>
      <c r="AD81" s="18">
        <v>60643852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18">
        <v>60643852</v>
      </c>
      <c r="AK81" s="34">
        <v>0</v>
      </c>
      <c r="AL81" s="34">
        <v>0</v>
      </c>
      <c r="AM81" s="34">
        <v>19252016</v>
      </c>
      <c r="AN81" s="34">
        <v>0</v>
      </c>
      <c r="AO81" s="18">
        <v>0</v>
      </c>
      <c r="AP81" s="18">
        <v>19252016</v>
      </c>
      <c r="AQ81" s="34">
        <v>0</v>
      </c>
      <c r="AR81" s="34">
        <v>0</v>
      </c>
      <c r="AS81" s="34">
        <v>0</v>
      </c>
      <c r="AT81" s="40">
        <f t="shared" si="38"/>
        <v>0</v>
      </c>
      <c r="AU81" s="18">
        <f t="shared" si="39"/>
        <v>41391836</v>
      </c>
      <c r="AV81" s="34">
        <f t="shared" si="40"/>
        <v>0</v>
      </c>
      <c r="AW81" s="18">
        <f t="shared" si="41"/>
        <v>19252016</v>
      </c>
      <c r="AX81" s="32">
        <f t="shared" si="20"/>
        <v>0.31746030908458783</v>
      </c>
    </row>
    <row r="82" spans="1:50" ht="18.75" customHeight="1" x14ac:dyDescent="0.2">
      <c r="A82" s="35" t="s">
        <v>49</v>
      </c>
      <c r="B82" s="36" t="s">
        <v>50</v>
      </c>
      <c r="C82" s="36"/>
      <c r="D82" s="36" t="s">
        <v>40</v>
      </c>
      <c r="E82" s="36"/>
      <c r="F82" s="36"/>
      <c r="G82" s="36" t="s">
        <v>41</v>
      </c>
      <c r="H82" s="36"/>
      <c r="I82" s="36" t="s">
        <v>936</v>
      </c>
      <c r="J82" s="36"/>
      <c r="K82" s="36" t="s">
        <v>932</v>
      </c>
      <c r="L82" s="36"/>
      <c r="M82" s="36" t="s">
        <v>933</v>
      </c>
      <c r="N82" s="36"/>
      <c r="O82" s="36" t="s">
        <v>938</v>
      </c>
      <c r="P82" s="36"/>
      <c r="Q82" s="36" t="s">
        <v>939</v>
      </c>
      <c r="R82" s="36"/>
      <c r="S82" s="36" t="s">
        <v>940</v>
      </c>
      <c r="T82" s="36">
        <v>0</v>
      </c>
      <c r="U82" s="36">
        <v>0</v>
      </c>
      <c r="V82" s="36">
        <v>0</v>
      </c>
      <c r="W82" s="36">
        <v>0</v>
      </c>
      <c r="X82" s="36" t="s">
        <v>937</v>
      </c>
      <c r="Y82" s="36"/>
      <c r="Z82" s="36"/>
      <c r="AA82" s="37" t="s">
        <v>168</v>
      </c>
      <c r="AB82" s="38" t="s">
        <v>169</v>
      </c>
      <c r="AC82" s="38" t="s">
        <v>56</v>
      </c>
      <c r="AD82" s="39">
        <v>15160962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39">
        <v>15160962</v>
      </c>
      <c r="AK82" s="40">
        <v>0</v>
      </c>
      <c r="AL82" s="40">
        <v>0</v>
      </c>
      <c r="AM82" s="40">
        <v>7219506</v>
      </c>
      <c r="AN82" s="40">
        <v>0</v>
      </c>
      <c r="AO82" s="18">
        <v>0</v>
      </c>
      <c r="AP82" s="39">
        <v>7219506</v>
      </c>
      <c r="AQ82" s="40">
        <v>0</v>
      </c>
      <c r="AR82" s="39">
        <v>0</v>
      </c>
      <c r="AS82" s="39">
        <v>7219506</v>
      </c>
      <c r="AT82" s="39">
        <f t="shared" si="38"/>
        <v>7219506</v>
      </c>
      <c r="AU82" s="18">
        <f t="shared" si="39"/>
        <v>7941456</v>
      </c>
      <c r="AV82" s="34">
        <f t="shared" si="40"/>
        <v>0</v>
      </c>
      <c r="AW82" s="34">
        <f t="shared" si="41"/>
        <v>0</v>
      </c>
      <c r="AX82" s="32">
        <f t="shared" si="20"/>
        <v>0.47619049503586908</v>
      </c>
    </row>
    <row r="83" spans="1:50" ht="18.75" customHeight="1" x14ac:dyDescent="0.2">
      <c r="A83" s="14" t="s">
        <v>55</v>
      </c>
      <c r="B83" s="15" t="s">
        <v>56</v>
      </c>
      <c r="C83" s="15"/>
      <c r="D83" s="15" t="s">
        <v>40</v>
      </c>
      <c r="E83" s="15"/>
      <c r="F83" s="15"/>
      <c r="G83" s="15" t="s">
        <v>41</v>
      </c>
      <c r="H83" s="15"/>
      <c r="I83" s="15" t="s">
        <v>936</v>
      </c>
      <c r="J83" s="15"/>
      <c r="K83" s="15" t="s">
        <v>932</v>
      </c>
      <c r="L83" s="15"/>
      <c r="M83" s="15" t="s">
        <v>933</v>
      </c>
      <c r="N83" s="15"/>
      <c r="O83" s="15" t="s">
        <v>938</v>
      </c>
      <c r="P83" s="15"/>
      <c r="Q83" s="15" t="s">
        <v>939</v>
      </c>
      <c r="R83" s="15"/>
      <c r="S83" s="15" t="s">
        <v>940</v>
      </c>
      <c r="T83" s="15">
        <v>0</v>
      </c>
      <c r="U83" s="15">
        <v>0</v>
      </c>
      <c r="V83" s="15">
        <v>0</v>
      </c>
      <c r="W83" s="15">
        <v>0</v>
      </c>
      <c r="X83" s="15" t="s">
        <v>937</v>
      </c>
      <c r="Y83" s="15"/>
      <c r="Z83" s="15"/>
      <c r="AA83" s="16" t="s">
        <v>170</v>
      </c>
      <c r="AB83" s="17" t="s">
        <v>171</v>
      </c>
      <c r="AC83" s="17" t="s">
        <v>58</v>
      </c>
      <c r="AD83" s="18">
        <v>35475597</v>
      </c>
      <c r="AE83" s="34">
        <v>0</v>
      </c>
      <c r="AF83" s="34">
        <v>0</v>
      </c>
      <c r="AG83" s="34">
        <v>0</v>
      </c>
      <c r="AH83" s="34">
        <v>0</v>
      </c>
      <c r="AI83" s="34">
        <v>0</v>
      </c>
      <c r="AJ83" s="18">
        <v>35475597</v>
      </c>
      <c r="AK83" s="34">
        <v>0</v>
      </c>
      <c r="AL83" s="34">
        <v>0</v>
      </c>
      <c r="AM83" s="34">
        <v>16248708</v>
      </c>
      <c r="AN83" s="34">
        <v>0</v>
      </c>
      <c r="AO83" s="18">
        <v>0</v>
      </c>
      <c r="AP83" s="18">
        <v>16248708</v>
      </c>
      <c r="AQ83" s="34">
        <v>0</v>
      </c>
      <c r="AR83" s="18">
        <v>0</v>
      </c>
      <c r="AS83" s="18">
        <v>16248708</v>
      </c>
      <c r="AT83" s="39">
        <f t="shared" si="38"/>
        <v>16248708</v>
      </c>
      <c r="AU83" s="18">
        <f t="shared" si="39"/>
        <v>19226889</v>
      </c>
      <c r="AV83" s="34">
        <f t="shared" si="40"/>
        <v>0</v>
      </c>
      <c r="AW83" s="34">
        <f t="shared" si="41"/>
        <v>0</v>
      </c>
      <c r="AX83" s="32">
        <f t="shared" si="20"/>
        <v>0.45802493471780054</v>
      </c>
    </row>
    <row r="84" spans="1:50" ht="18.75" customHeight="1" x14ac:dyDescent="0.2">
      <c r="A84" s="35" t="s">
        <v>55</v>
      </c>
      <c r="B84" s="36" t="s">
        <v>56</v>
      </c>
      <c r="C84" s="36"/>
      <c r="D84" s="36" t="s">
        <v>40</v>
      </c>
      <c r="E84" s="36"/>
      <c r="F84" s="36"/>
      <c r="G84" s="36" t="s">
        <v>41</v>
      </c>
      <c r="H84" s="36"/>
      <c r="I84" s="36" t="s">
        <v>936</v>
      </c>
      <c r="J84" s="36"/>
      <c r="K84" s="36" t="s">
        <v>932</v>
      </c>
      <c r="L84" s="36"/>
      <c r="M84" s="36" t="s">
        <v>933</v>
      </c>
      <c r="N84" s="36"/>
      <c r="O84" s="36" t="s">
        <v>938</v>
      </c>
      <c r="P84" s="36"/>
      <c r="Q84" s="36" t="s">
        <v>939</v>
      </c>
      <c r="R84" s="36"/>
      <c r="S84" s="36" t="s">
        <v>940</v>
      </c>
      <c r="T84" s="36">
        <v>0</v>
      </c>
      <c r="U84" s="36">
        <v>0</v>
      </c>
      <c r="V84" s="36">
        <v>0</v>
      </c>
      <c r="W84" s="36">
        <v>0</v>
      </c>
      <c r="X84" s="36" t="s">
        <v>937</v>
      </c>
      <c r="Y84" s="36"/>
      <c r="Z84" s="36"/>
      <c r="AA84" s="37" t="s">
        <v>172</v>
      </c>
      <c r="AB84" s="38" t="s">
        <v>173</v>
      </c>
      <c r="AC84" s="38" t="s">
        <v>58</v>
      </c>
      <c r="AD84" s="39">
        <v>49855036</v>
      </c>
      <c r="AE84" s="40">
        <v>0</v>
      </c>
      <c r="AF84" s="40">
        <v>0</v>
      </c>
      <c r="AG84" s="39">
        <v>72000000</v>
      </c>
      <c r="AI84" s="18">
        <f>AE84-AF84+AG84-AH84</f>
        <v>72000000</v>
      </c>
      <c r="AJ84" s="18">
        <f>AD84+AI84</f>
        <v>121855036</v>
      </c>
      <c r="AK84" s="40">
        <v>0</v>
      </c>
      <c r="AL84" s="39">
        <v>9655287</v>
      </c>
      <c r="AM84" s="39">
        <v>67277654</v>
      </c>
      <c r="AN84" s="40">
        <v>0</v>
      </c>
      <c r="AO84" s="18">
        <v>9655287</v>
      </c>
      <c r="AP84" s="39">
        <v>67277654</v>
      </c>
      <c r="AQ84" s="40">
        <v>0</v>
      </c>
      <c r="AR84" s="39">
        <v>19310574</v>
      </c>
      <c r="AS84" s="39">
        <v>67277654</v>
      </c>
      <c r="AT84" s="39">
        <f t="shared" si="38"/>
        <v>67277654</v>
      </c>
      <c r="AU84" s="18">
        <f t="shared" si="39"/>
        <v>54577382</v>
      </c>
      <c r="AV84" s="34">
        <f t="shared" si="40"/>
        <v>0</v>
      </c>
      <c r="AW84" s="18">
        <f t="shared" si="41"/>
        <v>0</v>
      </c>
      <c r="AX84" s="32">
        <f t="shared" si="20"/>
        <v>0.55211221635517793</v>
      </c>
    </row>
    <row r="85" spans="1:50" ht="18.75" customHeight="1" x14ac:dyDescent="0.2">
      <c r="A85" s="14" t="s">
        <v>55</v>
      </c>
      <c r="B85" s="15" t="s">
        <v>56</v>
      </c>
      <c r="C85" s="15"/>
      <c r="D85" s="15" t="s">
        <v>40</v>
      </c>
      <c r="E85" s="15"/>
      <c r="F85" s="15"/>
      <c r="G85" s="15" t="s">
        <v>41</v>
      </c>
      <c r="H85" s="15"/>
      <c r="I85" s="15" t="s">
        <v>936</v>
      </c>
      <c r="J85" s="15"/>
      <c r="K85" s="15" t="s">
        <v>932</v>
      </c>
      <c r="L85" s="15"/>
      <c r="M85" s="15" t="s">
        <v>933</v>
      </c>
      <c r="N85" s="15"/>
      <c r="O85" s="15" t="s">
        <v>938</v>
      </c>
      <c r="P85" s="15"/>
      <c r="Q85" s="15" t="s">
        <v>942</v>
      </c>
      <c r="R85" s="15"/>
      <c r="S85" s="15" t="s">
        <v>940</v>
      </c>
      <c r="T85" s="15">
        <v>0</v>
      </c>
      <c r="U85" s="15">
        <v>0</v>
      </c>
      <c r="V85" s="15">
        <v>0</v>
      </c>
      <c r="W85" s="15">
        <v>0</v>
      </c>
      <c r="X85" s="15" t="s">
        <v>937</v>
      </c>
      <c r="Y85" s="15"/>
      <c r="Z85" s="15"/>
      <c r="AA85" s="16" t="s">
        <v>174</v>
      </c>
      <c r="AB85" s="17" t="s">
        <v>175</v>
      </c>
      <c r="AC85" s="17" t="s">
        <v>58</v>
      </c>
      <c r="AD85" s="18">
        <v>300000000</v>
      </c>
      <c r="AE85" s="34">
        <v>0</v>
      </c>
      <c r="AF85" s="34">
        <v>0</v>
      </c>
      <c r="AG85" s="34">
        <v>0</v>
      </c>
      <c r="AH85" s="34">
        <v>0</v>
      </c>
      <c r="AI85" s="34">
        <v>0</v>
      </c>
      <c r="AJ85" s="18">
        <v>300000000</v>
      </c>
      <c r="AK85" s="34">
        <v>0</v>
      </c>
      <c r="AL85" s="18">
        <v>18261373</v>
      </c>
      <c r="AM85" s="18">
        <v>178404220</v>
      </c>
      <c r="AN85" s="34">
        <v>0</v>
      </c>
      <c r="AO85" s="18">
        <v>18261373</v>
      </c>
      <c r="AP85" s="18">
        <v>178404220</v>
      </c>
      <c r="AQ85" s="34">
        <v>0</v>
      </c>
      <c r="AR85" s="18">
        <v>18261373</v>
      </c>
      <c r="AS85" s="18">
        <v>178404220</v>
      </c>
      <c r="AT85" s="39">
        <f t="shared" si="38"/>
        <v>178404220</v>
      </c>
      <c r="AU85" s="18">
        <f t="shared" si="39"/>
        <v>121595780</v>
      </c>
      <c r="AV85" s="34">
        <f t="shared" si="40"/>
        <v>0</v>
      </c>
      <c r="AW85" s="34">
        <f t="shared" si="41"/>
        <v>0</v>
      </c>
      <c r="AX85" s="32">
        <f t="shared" si="20"/>
        <v>0.59468073333333338</v>
      </c>
    </row>
    <row r="86" spans="1:50" s="25" customFormat="1" ht="18.75" customHeight="1" x14ac:dyDescent="0.2">
      <c r="A86" s="19" t="s">
        <v>55</v>
      </c>
      <c r="B86" s="19" t="s">
        <v>56</v>
      </c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26" t="s">
        <v>176</v>
      </c>
      <c r="AB86" s="21" t="s">
        <v>177</v>
      </c>
      <c r="AC86" s="22" t="s">
        <v>37</v>
      </c>
      <c r="AD86" s="22">
        <f>AD87</f>
        <v>23932782621</v>
      </c>
      <c r="AE86" s="23">
        <f t="shared" ref="AE86:AW86" si="45">AE87</f>
        <v>0</v>
      </c>
      <c r="AF86" s="23">
        <f t="shared" si="45"/>
        <v>0</v>
      </c>
      <c r="AG86" s="22">
        <f t="shared" si="45"/>
        <v>3308200000</v>
      </c>
      <c r="AH86" s="22">
        <f t="shared" si="45"/>
        <v>2691700000</v>
      </c>
      <c r="AI86" s="22">
        <f>AI87</f>
        <v>616500000</v>
      </c>
      <c r="AJ86" s="22">
        <f t="shared" si="45"/>
        <v>24549282621</v>
      </c>
      <c r="AK86" s="23">
        <f t="shared" si="45"/>
        <v>0</v>
      </c>
      <c r="AL86" s="22">
        <f t="shared" si="45"/>
        <v>736160979</v>
      </c>
      <c r="AM86" s="22">
        <f t="shared" si="45"/>
        <v>21224448320.84</v>
      </c>
      <c r="AN86" s="22">
        <f t="shared" si="45"/>
        <v>88666666.670000002</v>
      </c>
      <c r="AO86" s="22">
        <f t="shared" si="45"/>
        <v>402545590.39999998</v>
      </c>
      <c r="AP86" s="22">
        <f t="shared" si="45"/>
        <v>19909462239.810001</v>
      </c>
      <c r="AQ86" s="108">
        <f t="shared" si="45"/>
        <v>93167334.060000002</v>
      </c>
      <c r="AR86" s="22">
        <f t="shared" si="45"/>
        <v>1303286663.1900001</v>
      </c>
      <c r="AS86" s="22">
        <f t="shared" si="45"/>
        <v>9763817038.75</v>
      </c>
      <c r="AT86" s="22">
        <f t="shared" si="38"/>
        <v>9856984372.8099995</v>
      </c>
      <c r="AU86" s="22">
        <f t="shared" si="45"/>
        <v>3324834300.1599998</v>
      </c>
      <c r="AV86" s="22">
        <f t="shared" si="45"/>
        <v>1314986081.0300002</v>
      </c>
      <c r="AW86" s="22">
        <f t="shared" si="45"/>
        <v>10052477866.999998</v>
      </c>
      <c r="AX86" s="24">
        <f t="shared" si="20"/>
        <v>0.81099975698593352</v>
      </c>
    </row>
    <row r="87" spans="1:50" s="25" customFormat="1" ht="18.75" customHeight="1" x14ac:dyDescent="0.2">
      <c r="A87" s="19" t="s">
        <v>55</v>
      </c>
      <c r="B87" s="19" t="s">
        <v>56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26" t="s">
        <v>178</v>
      </c>
      <c r="AB87" s="21" t="s">
        <v>179</v>
      </c>
      <c r="AC87" s="22" t="s">
        <v>37</v>
      </c>
      <c r="AD87" s="22">
        <f t="shared" ref="AD87:AS87" si="46">AD88+AD94</f>
        <v>23932782621</v>
      </c>
      <c r="AE87" s="23">
        <f t="shared" si="46"/>
        <v>0</v>
      </c>
      <c r="AF87" s="23">
        <f t="shared" si="46"/>
        <v>0</v>
      </c>
      <c r="AG87" s="22">
        <f t="shared" si="46"/>
        <v>3308200000</v>
      </c>
      <c r="AH87" s="22">
        <f t="shared" si="46"/>
        <v>2691700000</v>
      </c>
      <c r="AI87" s="22">
        <f t="shared" si="46"/>
        <v>616500000</v>
      </c>
      <c r="AJ87" s="22">
        <f t="shared" si="46"/>
        <v>24549282621</v>
      </c>
      <c r="AK87" s="23">
        <f t="shared" si="46"/>
        <v>0</v>
      </c>
      <c r="AL87" s="22">
        <f t="shared" si="46"/>
        <v>736160979</v>
      </c>
      <c r="AM87" s="22">
        <f t="shared" si="46"/>
        <v>21224448320.84</v>
      </c>
      <c r="AN87" s="22">
        <f t="shared" si="46"/>
        <v>88666666.670000002</v>
      </c>
      <c r="AO87" s="22">
        <f t="shared" si="46"/>
        <v>402545590.39999998</v>
      </c>
      <c r="AP87" s="22">
        <f t="shared" si="46"/>
        <v>19909462239.810001</v>
      </c>
      <c r="AQ87" s="108">
        <f t="shared" si="46"/>
        <v>93167334.060000002</v>
      </c>
      <c r="AR87" s="22">
        <f t="shared" si="46"/>
        <v>1303286663.1900001</v>
      </c>
      <c r="AS87" s="22">
        <f t="shared" si="46"/>
        <v>9763817038.75</v>
      </c>
      <c r="AT87" s="22">
        <f t="shared" si="38"/>
        <v>9856984372.8099995</v>
      </c>
      <c r="AU87" s="22">
        <f>AU88+AU94</f>
        <v>3324834300.1599998</v>
      </c>
      <c r="AV87" s="22">
        <f>AV88+AV94</f>
        <v>1314986081.0300002</v>
      </c>
      <c r="AW87" s="22">
        <f>AW88+AW94</f>
        <v>10052477866.999998</v>
      </c>
      <c r="AX87" s="24">
        <f t="shared" si="20"/>
        <v>0.81099975698593352</v>
      </c>
    </row>
    <row r="88" spans="1:50" s="25" customFormat="1" ht="18.75" customHeight="1" x14ac:dyDescent="0.2">
      <c r="A88" s="19" t="s">
        <v>55</v>
      </c>
      <c r="B88" s="19" t="s">
        <v>56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26" t="s">
        <v>180</v>
      </c>
      <c r="AB88" s="21" t="s">
        <v>181</v>
      </c>
      <c r="AC88" s="22" t="s">
        <v>37</v>
      </c>
      <c r="AD88" s="22">
        <f>AD89+AD90+AD91+AD92+AD93</f>
        <v>918000000</v>
      </c>
      <c r="AE88" s="22">
        <f t="shared" ref="AE88:AW88" si="47">AE89+AE90+AE91+AE92+AE93</f>
        <v>0</v>
      </c>
      <c r="AF88" s="22">
        <f t="shared" si="47"/>
        <v>0</v>
      </c>
      <c r="AG88" s="22">
        <f t="shared" si="47"/>
        <v>746500000</v>
      </c>
      <c r="AH88" s="22">
        <f t="shared" si="47"/>
        <v>297500000</v>
      </c>
      <c r="AI88" s="22">
        <f t="shared" si="47"/>
        <v>449000000</v>
      </c>
      <c r="AJ88" s="22">
        <f t="shared" si="47"/>
        <v>1367000000</v>
      </c>
      <c r="AK88" s="22">
        <f t="shared" si="47"/>
        <v>0</v>
      </c>
      <c r="AL88" s="22">
        <f t="shared" si="47"/>
        <v>66733591</v>
      </c>
      <c r="AM88" s="22">
        <f t="shared" si="47"/>
        <v>773081431</v>
      </c>
      <c r="AN88" s="23">
        <f t="shared" si="47"/>
        <v>0</v>
      </c>
      <c r="AO88" s="22">
        <f t="shared" si="47"/>
        <v>67643122.400000006</v>
      </c>
      <c r="AP88" s="22">
        <f t="shared" si="47"/>
        <v>617970962.39999998</v>
      </c>
      <c r="AQ88" s="22">
        <f t="shared" si="47"/>
        <v>39190001.060000002</v>
      </c>
      <c r="AR88" s="22">
        <f t="shared" si="47"/>
        <v>47859060.270000003</v>
      </c>
      <c r="AS88" s="22">
        <f t="shared" si="47"/>
        <v>170461122.28999999</v>
      </c>
      <c r="AT88" s="22">
        <f t="shared" si="47"/>
        <v>209651123.34999999</v>
      </c>
      <c r="AU88" s="22">
        <f t="shared" si="47"/>
        <v>593918569</v>
      </c>
      <c r="AV88" s="22">
        <f t="shared" si="47"/>
        <v>155110468.60000002</v>
      </c>
      <c r="AW88" s="22">
        <f t="shared" si="47"/>
        <v>408319839.04999995</v>
      </c>
      <c r="AX88" s="24">
        <f t="shared" si="20"/>
        <v>0.45206361550841256</v>
      </c>
    </row>
    <row r="89" spans="1:50" ht="29.25" customHeight="1" x14ac:dyDescent="0.2">
      <c r="A89" s="35" t="s">
        <v>55</v>
      </c>
      <c r="B89" s="36" t="s">
        <v>56</v>
      </c>
      <c r="C89" s="36"/>
      <c r="D89" s="36" t="s">
        <v>40</v>
      </c>
      <c r="E89" s="36"/>
      <c r="F89" s="36"/>
      <c r="G89" s="36" t="s">
        <v>41</v>
      </c>
      <c r="H89" s="36"/>
      <c r="I89" s="36" t="s">
        <v>936</v>
      </c>
      <c r="J89" s="36"/>
      <c r="K89" s="36" t="s">
        <v>932</v>
      </c>
      <c r="L89" s="36"/>
      <c r="M89" s="36" t="s">
        <v>933</v>
      </c>
      <c r="N89" s="36"/>
      <c r="O89" s="36" t="s">
        <v>938</v>
      </c>
      <c r="P89" s="36"/>
      <c r="Q89" s="36" t="s">
        <v>942</v>
      </c>
      <c r="R89" s="36"/>
      <c r="S89" s="36" t="s">
        <v>940</v>
      </c>
      <c r="T89" s="36">
        <v>0</v>
      </c>
      <c r="U89" s="36">
        <v>0</v>
      </c>
      <c r="V89" s="36">
        <v>0</v>
      </c>
      <c r="W89" s="36">
        <v>0</v>
      </c>
      <c r="X89" s="36" t="s">
        <v>937</v>
      </c>
      <c r="Y89" s="36"/>
      <c r="Z89" s="36"/>
      <c r="AA89" s="37" t="s">
        <v>182</v>
      </c>
      <c r="AB89" s="38" t="s">
        <v>183</v>
      </c>
      <c r="AC89" s="38" t="s">
        <v>58</v>
      </c>
      <c r="AD89" s="39">
        <v>50000000</v>
      </c>
      <c r="AE89" s="40">
        <v>0</v>
      </c>
      <c r="AF89" s="40">
        <v>0</v>
      </c>
      <c r="AG89" s="39">
        <v>70000000</v>
      </c>
      <c r="AH89" s="40">
        <v>0</v>
      </c>
      <c r="AI89" s="18">
        <f>AE89-AF89+AG89-AH89</f>
        <v>70000000</v>
      </c>
      <c r="AJ89" s="18">
        <f>AD89+AI89</f>
        <v>120000000</v>
      </c>
      <c r="AK89" s="40">
        <v>0</v>
      </c>
      <c r="AL89" s="40">
        <f>AM89-JUNIO!AM89</f>
        <v>0</v>
      </c>
      <c r="AM89" s="39">
        <v>50000000</v>
      </c>
      <c r="AN89" s="40">
        <v>0</v>
      </c>
      <c r="AO89" s="39">
        <v>0</v>
      </c>
      <c r="AP89" s="39">
        <v>28980000</v>
      </c>
      <c r="AQ89" s="40">
        <v>0</v>
      </c>
      <c r="AR89" s="40">
        <v>0</v>
      </c>
      <c r="AS89" s="40">
        <v>0</v>
      </c>
      <c r="AT89" s="31">
        <f t="shared" si="38"/>
        <v>0</v>
      </c>
      <c r="AU89" s="18">
        <f>AJ89-AM89</f>
        <v>70000000</v>
      </c>
      <c r="AV89" s="18">
        <f>AM89-AP89</f>
        <v>21020000</v>
      </c>
      <c r="AW89" s="18">
        <f>AP89-AT89</f>
        <v>28980000</v>
      </c>
      <c r="AX89" s="32">
        <f t="shared" si="20"/>
        <v>0.24149999999999999</v>
      </c>
    </row>
    <row r="90" spans="1:50" ht="32.25" customHeight="1" x14ac:dyDescent="0.2">
      <c r="A90" s="14" t="s">
        <v>55</v>
      </c>
      <c r="B90" s="15" t="s">
        <v>56</v>
      </c>
      <c r="C90" s="15"/>
      <c r="D90" s="15" t="s">
        <v>40</v>
      </c>
      <c r="E90" s="15"/>
      <c r="F90" s="15"/>
      <c r="G90" s="15" t="s">
        <v>41</v>
      </c>
      <c r="H90" s="15"/>
      <c r="I90" s="15" t="s">
        <v>936</v>
      </c>
      <c r="J90" s="15"/>
      <c r="K90" s="15" t="s">
        <v>932</v>
      </c>
      <c r="L90" s="15"/>
      <c r="M90" s="15" t="s">
        <v>933</v>
      </c>
      <c r="N90" s="15"/>
      <c r="O90" s="15" t="s">
        <v>938</v>
      </c>
      <c r="P90" s="15"/>
      <c r="Q90" s="15" t="s">
        <v>942</v>
      </c>
      <c r="R90" s="15"/>
      <c r="S90" s="15" t="s">
        <v>940</v>
      </c>
      <c r="T90" s="15">
        <v>0</v>
      </c>
      <c r="U90" s="15">
        <v>0</v>
      </c>
      <c r="V90" s="15">
        <v>0</v>
      </c>
      <c r="W90" s="15">
        <v>0</v>
      </c>
      <c r="X90" s="15" t="s">
        <v>937</v>
      </c>
      <c r="Y90" s="15"/>
      <c r="Z90" s="15"/>
      <c r="AA90" s="16" t="s">
        <v>184</v>
      </c>
      <c r="AB90" s="17" t="s">
        <v>185</v>
      </c>
      <c r="AC90" s="17" t="s">
        <v>58</v>
      </c>
      <c r="AD90" s="18">
        <v>758000000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18">
        <v>758000000</v>
      </c>
      <c r="AK90" s="34">
        <v>0</v>
      </c>
      <c r="AL90" s="39">
        <f>AM90-JUNIO!AM90</f>
        <v>66733591</v>
      </c>
      <c r="AM90" s="18">
        <v>723081431</v>
      </c>
      <c r="AN90" s="34">
        <v>0</v>
      </c>
      <c r="AO90" s="18">
        <v>67643122.400000006</v>
      </c>
      <c r="AP90" s="18">
        <v>588990962.39999998</v>
      </c>
      <c r="AQ90" s="18">
        <v>39190001.060000002</v>
      </c>
      <c r="AR90" s="18">
        <v>47859060.270000003</v>
      </c>
      <c r="AS90" s="18">
        <v>170461122.28999999</v>
      </c>
      <c r="AT90" s="39">
        <f t="shared" si="38"/>
        <v>209651123.34999999</v>
      </c>
      <c r="AU90" s="18">
        <f>AJ90-AM90</f>
        <v>34918569</v>
      </c>
      <c r="AV90" s="18">
        <f>AM90-AP90</f>
        <v>134090468.60000002</v>
      </c>
      <c r="AW90" s="18">
        <f>AP90-AT90</f>
        <v>379339839.04999995</v>
      </c>
      <c r="AX90" s="32">
        <f t="shared" si="20"/>
        <v>0.77703293192612133</v>
      </c>
    </row>
    <row r="91" spans="1:50" ht="23.25" customHeight="1" x14ac:dyDescent="0.2">
      <c r="A91" s="14" t="s">
        <v>55</v>
      </c>
      <c r="B91" s="15" t="s">
        <v>56</v>
      </c>
      <c r="C91" s="15"/>
      <c r="D91" s="15" t="s">
        <v>40</v>
      </c>
      <c r="E91" s="15"/>
      <c r="F91" s="15"/>
      <c r="G91" s="15" t="s">
        <v>41</v>
      </c>
      <c r="H91" s="15"/>
      <c r="I91" s="15" t="s">
        <v>936</v>
      </c>
      <c r="J91" s="15"/>
      <c r="K91" s="15" t="s">
        <v>932</v>
      </c>
      <c r="L91" s="15"/>
      <c r="M91" s="15" t="s">
        <v>933</v>
      </c>
      <c r="N91" s="15"/>
      <c r="O91" s="15" t="s">
        <v>938</v>
      </c>
      <c r="P91" s="15"/>
      <c r="Q91" s="15" t="s">
        <v>942</v>
      </c>
      <c r="R91" s="15"/>
      <c r="S91" s="15" t="s">
        <v>940</v>
      </c>
      <c r="T91" s="15">
        <v>0</v>
      </c>
      <c r="U91" s="15">
        <v>0</v>
      </c>
      <c r="V91" s="15">
        <v>0</v>
      </c>
      <c r="W91" s="15">
        <v>0</v>
      </c>
      <c r="X91" s="15" t="s">
        <v>937</v>
      </c>
      <c r="Y91" s="15"/>
      <c r="Z91" s="15"/>
      <c r="AA91" s="16" t="s">
        <v>186</v>
      </c>
      <c r="AB91" s="17" t="s">
        <v>187</v>
      </c>
      <c r="AC91" s="17" t="s">
        <v>58</v>
      </c>
      <c r="AD91" s="18">
        <v>110000000</v>
      </c>
      <c r="AE91" s="34">
        <v>0</v>
      </c>
      <c r="AF91" s="34">
        <v>0</v>
      </c>
      <c r="AG91" s="18">
        <v>300000000</v>
      </c>
      <c r="AH91" s="34">
        <v>0</v>
      </c>
      <c r="AI91" s="18">
        <f>AE91-AF91+AG91-AH91</f>
        <v>300000000</v>
      </c>
      <c r="AJ91" s="18">
        <f>AD91+AI91</f>
        <v>410000000</v>
      </c>
      <c r="AK91" s="34">
        <v>0</v>
      </c>
      <c r="AL91" s="40">
        <f>AM91-JUNIO!AM91</f>
        <v>0</v>
      </c>
      <c r="AM91" s="34">
        <v>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1">
        <f t="shared" si="38"/>
        <v>0</v>
      </c>
      <c r="AU91" s="18">
        <f>AJ91-AM91</f>
        <v>410000000</v>
      </c>
      <c r="AV91" s="34">
        <f>AM91-AP91</f>
        <v>0</v>
      </c>
      <c r="AW91" s="34">
        <f>AP91-AT91</f>
        <v>0</v>
      </c>
      <c r="AX91" s="32">
        <f t="shared" si="20"/>
        <v>0</v>
      </c>
    </row>
    <row r="92" spans="1:50" ht="39" customHeight="1" x14ac:dyDescent="0.2">
      <c r="A92" s="14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41" t="s">
        <v>1269</v>
      </c>
      <c r="AB92" s="17" t="s">
        <v>1267</v>
      </c>
      <c r="AC92" s="17"/>
      <c r="AD92" s="34">
        <v>0</v>
      </c>
      <c r="AE92" s="34">
        <v>0</v>
      </c>
      <c r="AF92" s="34">
        <v>0</v>
      </c>
      <c r="AG92" s="18">
        <v>37500000</v>
      </c>
      <c r="AH92" s="18">
        <v>37500000</v>
      </c>
      <c r="AI92" s="18">
        <f>AE92-AF92+AG92-AH92</f>
        <v>0</v>
      </c>
      <c r="AJ92" s="18">
        <f>AD92+AI92</f>
        <v>0</v>
      </c>
      <c r="AK92" s="34">
        <v>0</v>
      </c>
      <c r="AL92" s="40">
        <f>AM92-JUNIO!AM92</f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1">
        <f t="shared" si="38"/>
        <v>0</v>
      </c>
      <c r="AU92" s="18">
        <f t="shared" ref="AU92:AU93" si="48">AJ92-AM92</f>
        <v>0</v>
      </c>
      <c r="AV92" s="34">
        <f t="shared" ref="AV92:AV93" si="49">AM92-AP92</f>
        <v>0</v>
      </c>
      <c r="AW92" s="34">
        <f t="shared" ref="AW92:AW93" si="50">AP92-AT92</f>
        <v>0</v>
      </c>
      <c r="AX92" s="32">
        <v>0</v>
      </c>
    </row>
    <row r="93" spans="1:50" ht="31.5" customHeight="1" x14ac:dyDescent="0.2">
      <c r="A93" s="14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41" t="s">
        <v>1270</v>
      </c>
      <c r="AB93" s="17" t="s">
        <v>1268</v>
      </c>
      <c r="AC93" s="17"/>
      <c r="AD93" s="34">
        <v>0</v>
      </c>
      <c r="AE93" s="34">
        <v>0</v>
      </c>
      <c r="AF93" s="34">
        <v>0</v>
      </c>
      <c r="AG93" s="39">
        <f>260000000+79000000</f>
        <v>339000000</v>
      </c>
      <c r="AH93" s="18">
        <v>260000000</v>
      </c>
      <c r="AI93" s="18">
        <f t="shared" ref="AI93" si="51">AE93-AF93+AG93-AH93</f>
        <v>79000000</v>
      </c>
      <c r="AJ93" s="18">
        <f t="shared" ref="AJ93" si="52">AD93+AI93</f>
        <v>79000000</v>
      </c>
      <c r="AK93" s="34">
        <v>0</v>
      </c>
      <c r="AL93" s="40">
        <f>AM93-JUNIO!AM93</f>
        <v>0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1">
        <f t="shared" si="38"/>
        <v>0</v>
      </c>
      <c r="AU93" s="18">
        <f t="shared" si="48"/>
        <v>79000000</v>
      </c>
      <c r="AV93" s="34">
        <f t="shared" si="49"/>
        <v>0</v>
      </c>
      <c r="AW93" s="34">
        <f t="shared" si="50"/>
        <v>0</v>
      </c>
      <c r="AX93" s="32">
        <f t="shared" si="20"/>
        <v>0</v>
      </c>
    </row>
    <row r="94" spans="1:50" s="25" customFormat="1" ht="18.75" customHeight="1" x14ac:dyDescent="0.2">
      <c r="A94" s="19" t="s">
        <v>55</v>
      </c>
      <c r="B94" s="19" t="s">
        <v>56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26" t="s">
        <v>188</v>
      </c>
      <c r="AB94" s="21" t="s">
        <v>189</v>
      </c>
      <c r="AC94" s="22" t="s">
        <v>56</v>
      </c>
      <c r="AD94" s="22">
        <f>SUM(AD95:AD100)</f>
        <v>23014782621</v>
      </c>
      <c r="AE94" s="23">
        <f t="shared" ref="AE94:AW94" si="53">SUM(AE95:AE100)</f>
        <v>0</v>
      </c>
      <c r="AF94" s="23">
        <f t="shared" si="53"/>
        <v>0</v>
      </c>
      <c r="AG94" s="22">
        <f>SUM(AG95:AG100)</f>
        <v>2561700000</v>
      </c>
      <c r="AH94" s="22">
        <f>SUM(AH95:AH100)</f>
        <v>2394200000</v>
      </c>
      <c r="AI94" s="22">
        <f>SUM(AI95:AI100)</f>
        <v>167500000</v>
      </c>
      <c r="AJ94" s="22">
        <f>SUM(AJ95:AJ100)</f>
        <v>23182282621</v>
      </c>
      <c r="AK94" s="23">
        <f t="shared" si="53"/>
        <v>0</v>
      </c>
      <c r="AL94" s="22">
        <f t="shared" si="53"/>
        <v>669427388</v>
      </c>
      <c r="AM94" s="22">
        <f t="shared" si="53"/>
        <v>20451366889.84</v>
      </c>
      <c r="AN94" s="22">
        <f t="shared" si="53"/>
        <v>88666666.670000002</v>
      </c>
      <c r="AO94" s="22">
        <f t="shared" si="53"/>
        <v>334902468</v>
      </c>
      <c r="AP94" s="22">
        <f t="shared" si="53"/>
        <v>19291491277.41</v>
      </c>
      <c r="AQ94" s="23">
        <f t="shared" si="53"/>
        <v>53977333</v>
      </c>
      <c r="AR94" s="22">
        <f t="shared" si="53"/>
        <v>1255427602.9200001</v>
      </c>
      <c r="AS94" s="22">
        <f t="shared" si="53"/>
        <v>9593355916.4599991</v>
      </c>
      <c r="AT94" s="22">
        <f>AQ94+AS94</f>
        <v>9647333249.4599991</v>
      </c>
      <c r="AU94" s="22">
        <f t="shared" si="53"/>
        <v>2730915731.1599998</v>
      </c>
      <c r="AV94" s="22">
        <f t="shared" si="53"/>
        <v>1159875612.4300003</v>
      </c>
      <c r="AW94" s="22">
        <f t="shared" si="53"/>
        <v>9644158027.9499989</v>
      </c>
      <c r="AX94" s="24">
        <f t="shared" si="20"/>
        <v>0.83216530454747062</v>
      </c>
    </row>
    <row r="95" spans="1:50" ht="18.75" customHeight="1" x14ac:dyDescent="0.2">
      <c r="A95" s="14" t="s">
        <v>55</v>
      </c>
      <c r="B95" s="15" t="s">
        <v>56</v>
      </c>
      <c r="C95" s="15"/>
      <c r="D95" s="15" t="s">
        <v>40</v>
      </c>
      <c r="E95" s="15"/>
      <c r="F95" s="15"/>
      <c r="G95" s="15" t="s">
        <v>41</v>
      </c>
      <c r="H95" s="15"/>
      <c r="I95" s="15" t="s">
        <v>936</v>
      </c>
      <c r="J95" s="15"/>
      <c r="K95" s="15" t="s">
        <v>932</v>
      </c>
      <c r="L95" s="15"/>
      <c r="M95" s="15" t="s">
        <v>933</v>
      </c>
      <c r="N95" s="15"/>
      <c r="O95" s="15" t="s">
        <v>938</v>
      </c>
      <c r="P95" s="15"/>
      <c r="Q95" s="15" t="s">
        <v>942</v>
      </c>
      <c r="R95" s="15"/>
      <c r="S95" s="15" t="s">
        <v>940</v>
      </c>
      <c r="T95" s="15">
        <v>0</v>
      </c>
      <c r="U95" s="15">
        <v>0</v>
      </c>
      <c r="V95" s="15">
        <v>0</v>
      </c>
      <c r="W95" s="15">
        <v>0</v>
      </c>
      <c r="X95" s="15" t="s">
        <v>937</v>
      </c>
      <c r="Y95" s="15"/>
      <c r="Z95" s="15"/>
      <c r="AA95" s="16" t="s">
        <v>190</v>
      </c>
      <c r="AB95" s="17" t="s">
        <v>191</v>
      </c>
      <c r="AC95" s="17" t="s">
        <v>58</v>
      </c>
      <c r="AD95" s="18">
        <v>200000000</v>
      </c>
      <c r="AE95" s="34">
        <v>0</v>
      </c>
      <c r="AF95" s="34">
        <v>0</v>
      </c>
      <c r="AG95" s="34">
        <v>0</v>
      </c>
      <c r="AH95" s="18">
        <f>90000000+20000000</f>
        <v>110000000</v>
      </c>
      <c r="AI95" s="18">
        <f>AE95-AF95+AG95-AH95</f>
        <v>-110000000</v>
      </c>
      <c r="AJ95" s="18">
        <f>AD95+AI95</f>
        <v>90000000</v>
      </c>
      <c r="AK95" s="34">
        <v>0</v>
      </c>
      <c r="AL95" s="34">
        <f>AM95-JUNIO!AM95</f>
        <v>0</v>
      </c>
      <c r="AM95" s="18">
        <v>77224700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1">
        <f t="shared" ref="AT95:AT116" si="54">AQ95+AS95</f>
        <v>0</v>
      </c>
      <c r="AU95" s="18">
        <f t="shared" ref="AU95:AU100" si="55">AJ95-AM95</f>
        <v>12775300</v>
      </c>
      <c r="AV95" s="18">
        <f t="shared" ref="AV95:AV100" si="56">AM95-AP95</f>
        <v>77224700</v>
      </c>
      <c r="AW95" s="34">
        <f t="shared" ref="AW95:AW100" si="57">AP95-AT95</f>
        <v>0</v>
      </c>
      <c r="AX95" s="32">
        <f t="shared" si="20"/>
        <v>0</v>
      </c>
    </row>
    <row r="96" spans="1:50" ht="27.75" customHeight="1" x14ac:dyDescent="0.2">
      <c r="A96" s="35" t="s">
        <v>55</v>
      </c>
      <c r="B96" s="36" t="s">
        <v>56</v>
      </c>
      <c r="C96" s="36"/>
      <c r="D96" s="36" t="s">
        <v>40</v>
      </c>
      <c r="E96" s="36"/>
      <c r="F96" s="36"/>
      <c r="G96" s="36" t="s">
        <v>41</v>
      </c>
      <c r="H96" s="36"/>
      <c r="I96" s="36" t="s">
        <v>936</v>
      </c>
      <c r="J96" s="36"/>
      <c r="K96" s="36" t="s">
        <v>932</v>
      </c>
      <c r="L96" s="36"/>
      <c r="M96" s="36" t="s">
        <v>933</v>
      </c>
      <c r="N96" s="36"/>
      <c r="O96" s="36" t="s">
        <v>938</v>
      </c>
      <c r="P96" s="36"/>
      <c r="Q96" s="36" t="s">
        <v>942</v>
      </c>
      <c r="R96" s="36"/>
      <c r="S96" s="36" t="s">
        <v>940</v>
      </c>
      <c r="T96" s="36">
        <v>0</v>
      </c>
      <c r="U96" s="36">
        <v>0</v>
      </c>
      <c r="V96" s="36">
        <v>0</v>
      </c>
      <c r="W96" s="36">
        <v>0</v>
      </c>
      <c r="X96" s="36" t="s">
        <v>937</v>
      </c>
      <c r="Y96" s="36"/>
      <c r="Z96" s="36"/>
      <c r="AA96" s="37" t="s">
        <v>192</v>
      </c>
      <c r="AB96" s="38" t="s">
        <v>193</v>
      </c>
      <c r="AC96" s="38" t="s">
        <v>58</v>
      </c>
      <c r="AD96" s="39">
        <v>1740000000</v>
      </c>
      <c r="AE96" s="40">
        <v>0</v>
      </c>
      <c r="AF96" s="40">
        <v>0</v>
      </c>
      <c r="AG96" s="39">
        <f>200000000+37500000</f>
        <v>237500000</v>
      </c>
      <c r="AH96" s="39">
        <v>490000000</v>
      </c>
      <c r="AI96" s="18">
        <f>AE96-AF96+AG96-AH96</f>
        <v>-252500000</v>
      </c>
      <c r="AJ96" s="18">
        <f>AD96+AI96</f>
        <v>1487500000</v>
      </c>
      <c r="AK96" s="40">
        <v>0</v>
      </c>
      <c r="AL96" s="18">
        <f>AM96-JUNIO!AM96</f>
        <v>2729303</v>
      </c>
      <c r="AM96" s="39">
        <v>1084936910</v>
      </c>
      <c r="AN96" s="40">
        <v>0</v>
      </c>
      <c r="AO96" s="18">
        <v>2429303</v>
      </c>
      <c r="AP96" s="39">
        <v>884636910</v>
      </c>
      <c r="AQ96" s="39">
        <v>0</v>
      </c>
      <c r="AR96" s="18">
        <v>41399298</v>
      </c>
      <c r="AS96" s="39">
        <v>434636810.92000002</v>
      </c>
      <c r="AT96" s="30">
        <f t="shared" si="54"/>
        <v>434636810.92000002</v>
      </c>
      <c r="AU96" s="18">
        <f t="shared" si="55"/>
        <v>402563090</v>
      </c>
      <c r="AV96" s="18">
        <f t="shared" si="56"/>
        <v>200300000</v>
      </c>
      <c r="AW96" s="18">
        <f t="shared" si="57"/>
        <v>450000099.07999998</v>
      </c>
      <c r="AX96" s="32">
        <f t="shared" si="20"/>
        <v>0.59471388907563028</v>
      </c>
    </row>
    <row r="97" spans="1:50" ht="27.75" customHeight="1" x14ac:dyDescent="0.2">
      <c r="A97" s="35" t="s">
        <v>55</v>
      </c>
      <c r="B97" s="36" t="s">
        <v>56</v>
      </c>
      <c r="C97" s="36"/>
      <c r="D97" s="36" t="s">
        <v>40</v>
      </c>
      <c r="E97" s="36"/>
      <c r="F97" s="36"/>
      <c r="G97" s="36" t="s">
        <v>41</v>
      </c>
      <c r="H97" s="36"/>
      <c r="I97" s="36" t="s">
        <v>936</v>
      </c>
      <c r="J97" s="36"/>
      <c r="K97" s="36" t="s">
        <v>932</v>
      </c>
      <c r="L97" s="36"/>
      <c r="M97" s="36" t="s">
        <v>933</v>
      </c>
      <c r="N97" s="36"/>
      <c r="O97" s="36" t="s">
        <v>938</v>
      </c>
      <c r="P97" s="36"/>
      <c r="Q97" s="36" t="s">
        <v>942</v>
      </c>
      <c r="R97" s="36"/>
      <c r="S97" s="36" t="s">
        <v>940</v>
      </c>
      <c r="T97" s="36">
        <v>0</v>
      </c>
      <c r="U97" s="36">
        <v>0</v>
      </c>
      <c r="V97" s="36">
        <v>0</v>
      </c>
      <c r="W97" s="36">
        <v>0</v>
      </c>
      <c r="X97" s="36" t="s">
        <v>937</v>
      </c>
      <c r="Y97" s="36"/>
      <c r="Z97" s="36"/>
      <c r="AA97" s="37" t="s">
        <v>194</v>
      </c>
      <c r="AB97" s="38" t="s">
        <v>195</v>
      </c>
      <c r="AC97" s="38" t="s">
        <v>58</v>
      </c>
      <c r="AD97" s="39">
        <v>3623000000</v>
      </c>
      <c r="AE97" s="40">
        <v>0</v>
      </c>
      <c r="AF97" s="40">
        <v>0</v>
      </c>
      <c r="AG97" s="33">
        <v>260000000</v>
      </c>
      <c r="AH97" s="39">
        <v>10000000</v>
      </c>
      <c r="AI97" s="18">
        <f>AE97-AF97+AG97-AH97</f>
        <v>250000000</v>
      </c>
      <c r="AJ97" s="18">
        <f>AD97+AI97</f>
        <v>3873000000</v>
      </c>
      <c r="AK97" s="40">
        <v>0</v>
      </c>
      <c r="AL97" s="18">
        <f>AM97-JUNIO!AM97</f>
        <v>264360189</v>
      </c>
      <c r="AM97" s="39">
        <v>3554843355</v>
      </c>
      <c r="AN97" s="40">
        <v>0</v>
      </c>
      <c r="AO97" s="18">
        <v>43554851</v>
      </c>
      <c r="AP97" s="39">
        <v>3327158873</v>
      </c>
      <c r="AQ97" s="39">
        <v>0</v>
      </c>
      <c r="AR97" s="18">
        <v>65223947</v>
      </c>
      <c r="AS97" s="39">
        <v>3152314223</v>
      </c>
      <c r="AT97" s="30">
        <f t="shared" si="54"/>
        <v>3152314223</v>
      </c>
      <c r="AU97" s="18">
        <f t="shared" si="55"/>
        <v>318156645</v>
      </c>
      <c r="AV97" s="18">
        <f t="shared" si="56"/>
        <v>227684482</v>
      </c>
      <c r="AW97" s="18">
        <f t="shared" si="57"/>
        <v>174844650</v>
      </c>
      <c r="AX97" s="32">
        <f t="shared" si="20"/>
        <v>0.85906503304931581</v>
      </c>
    </row>
    <row r="98" spans="1:50" ht="25.5" customHeight="1" x14ac:dyDescent="0.2">
      <c r="A98" s="14" t="s">
        <v>55</v>
      </c>
      <c r="B98" s="15" t="s">
        <v>56</v>
      </c>
      <c r="C98" s="15"/>
      <c r="D98" s="15" t="s">
        <v>40</v>
      </c>
      <c r="E98" s="15"/>
      <c r="F98" s="15"/>
      <c r="G98" s="15" t="s">
        <v>41</v>
      </c>
      <c r="H98" s="15"/>
      <c r="I98" s="15" t="s">
        <v>936</v>
      </c>
      <c r="J98" s="15"/>
      <c r="K98" s="15" t="s">
        <v>932</v>
      </c>
      <c r="L98" s="15"/>
      <c r="M98" s="15" t="s">
        <v>933</v>
      </c>
      <c r="N98" s="15"/>
      <c r="O98" s="15" t="s">
        <v>938</v>
      </c>
      <c r="P98" s="15"/>
      <c r="Q98" s="15" t="s">
        <v>942</v>
      </c>
      <c r="R98" s="15"/>
      <c r="S98" s="15" t="s">
        <v>940</v>
      </c>
      <c r="T98" s="15">
        <v>0</v>
      </c>
      <c r="U98" s="15">
        <v>0</v>
      </c>
      <c r="V98" s="15">
        <v>0</v>
      </c>
      <c r="W98" s="15">
        <v>0</v>
      </c>
      <c r="X98" s="15" t="s">
        <v>937</v>
      </c>
      <c r="Y98" s="15"/>
      <c r="Z98" s="15"/>
      <c r="AA98" s="134" t="s">
        <v>196</v>
      </c>
      <c r="AB98" s="70" t="s">
        <v>197</v>
      </c>
      <c r="AC98" s="17" t="s">
        <v>58</v>
      </c>
      <c r="AD98" s="18">
        <v>17003782621</v>
      </c>
      <c r="AE98" s="34">
        <v>0</v>
      </c>
      <c r="AF98" s="34">
        <v>0</v>
      </c>
      <c r="AG98" s="18">
        <f>1580000000+150000000+300000000+34200000</f>
        <v>2064200000</v>
      </c>
      <c r="AH98" s="18">
        <f>1000000000+450000000+300000000+34200000</f>
        <v>1784200000</v>
      </c>
      <c r="AI98" s="18">
        <f>AE98-AF98+AG98-AH98</f>
        <v>280000000</v>
      </c>
      <c r="AJ98" s="18">
        <f>AD98+AI98</f>
        <v>17283782621</v>
      </c>
      <c r="AK98" s="133">
        <v>0</v>
      </c>
      <c r="AL98" s="18">
        <f>AM98-JUNIO!AM98</f>
        <v>342531525</v>
      </c>
      <c r="AM98" s="110">
        <v>15592908332.34</v>
      </c>
      <c r="AN98" s="18">
        <v>88666666.670000002</v>
      </c>
      <c r="AO98" s="18">
        <v>267531525</v>
      </c>
      <c r="AP98" s="18">
        <v>14979525305.91</v>
      </c>
      <c r="AQ98" s="18">
        <v>53977333</v>
      </c>
      <c r="AR98" s="18">
        <v>1130309367.9200001</v>
      </c>
      <c r="AS98" s="18">
        <v>5953927845.04</v>
      </c>
      <c r="AT98" s="30">
        <f t="shared" si="54"/>
        <v>6007905178.04</v>
      </c>
      <c r="AU98" s="18">
        <f t="shared" si="55"/>
        <v>1690874288.6599998</v>
      </c>
      <c r="AV98" s="18">
        <f t="shared" si="56"/>
        <v>613383026.43000031</v>
      </c>
      <c r="AW98" s="18">
        <f t="shared" si="57"/>
        <v>8971620127.8699989</v>
      </c>
      <c r="AX98" s="32">
        <f t="shared" si="20"/>
        <v>0.86668095950881141</v>
      </c>
    </row>
    <row r="99" spans="1:50" ht="18.75" customHeight="1" x14ac:dyDescent="0.2">
      <c r="A99" s="14" t="s">
        <v>55</v>
      </c>
      <c r="B99" s="15" t="s">
        <v>56</v>
      </c>
      <c r="C99" s="15"/>
      <c r="D99" s="15" t="s">
        <v>40</v>
      </c>
      <c r="E99" s="15"/>
      <c r="F99" s="15"/>
      <c r="G99" s="15" t="s">
        <v>41</v>
      </c>
      <c r="H99" s="15"/>
      <c r="I99" s="15" t="s">
        <v>936</v>
      </c>
      <c r="J99" s="15"/>
      <c r="K99" s="15" t="s">
        <v>932</v>
      </c>
      <c r="L99" s="15"/>
      <c r="M99" s="15" t="s">
        <v>933</v>
      </c>
      <c r="N99" s="15"/>
      <c r="O99" s="15" t="s">
        <v>938</v>
      </c>
      <c r="P99" s="15"/>
      <c r="Q99" s="15" t="s">
        <v>942</v>
      </c>
      <c r="R99" s="15"/>
      <c r="S99" s="15" t="s">
        <v>940</v>
      </c>
      <c r="T99" s="15">
        <v>0</v>
      </c>
      <c r="U99" s="15">
        <v>0</v>
      </c>
      <c r="V99" s="15">
        <v>0</v>
      </c>
      <c r="W99" s="15">
        <v>0</v>
      </c>
      <c r="X99" s="15" t="s">
        <v>937</v>
      </c>
      <c r="Y99" s="15"/>
      <c r="Z99" s="15"/>
      <c r="AA99" s="16" t="s">
        <v>198</v>
      </c>
      <c r="AB99" s="17" t="s">
        <v>199</v>
      </c>
      <c r="AC99" s="17" t="s">
        <v>58</v>
      </c>
      <c r="AD99" s="18">
        <v>348000000</v>
      </c>
      <c r="AE99" s="34">
        <v>0</v>
      </c>
      <c r="AF99" s="34">
        <v>0</v>
      </c>
      <c r="AG99" s="34">
        <v>0</v>
      </c>
      <c r="AH99" s="34">
        <v>0</v>
      </c>
      <c r="AI99" s="34">
        <v>0</v>
      </c>
      <c r="AJ99" s="18">
        <v>348000000</v>
      </c>
      <c r="AK99" s="34">
        <v>0</v>
      </c>
      <c r="AL99" s="18">
        <f>AM99-JUNIO!AM99</f>
        <v>35000000</v>
      </c>
      <c r="AM99" s="110">
        <v>85000000</v>
      </c>
      <c r="AN99" s="34">
        <v>0</v>
      </c>
      <c r="AO99" s="18">
        <v>0</v>
      </c>
      <c r="AP99" s="18">
        <v>50000000</v>
      </c>
      <c r="AQ99" s="34">
        <v>0</v>
      </c>
      <c r="AR99" s="18">
        <v>0</v>
      </c>
      <c r="AS99" s="18">
        <v>9533329</v>
      </c>
      <c r="AT99" s="30">
        <f t="shared" si="54"/>
        <v>9533329</v>
      </c>
      <c r="AU99" s="18">
        <f t="shared" si="55"/>
        <v>263000000</v>
      </c>
      <c r="AV99" s="34">
        <f t="shared" si="56"/>
        <v>35000000</v>
      </c>
      <c r="AW99" s="18">
        <f t="shared" si="57"/>
        <v>40466671</v>
      </c>
      <c r="AX99" s="32">
        <f t="shared" si="20"/>
        <v>0.14367816091954022</v>
      </c>
    </row>
    <row r="100" spans="1:50" ht="18.75" customHeight="1" x14ac:dyDescent="0.2">
      <c r="A100" s="14" t="s">
        <v>55</v>
      </c>
      <c r="B100" s="15" t="s">
        <v>56</v>
      </c>
      <c r="C100" s="15"/>
      <c r="D100" s="15" t="s">
        <v>40</v>
      </c>
      <c r="E100" s="15"/>
      <c r="F100" s="15"/>
      <c r="G100" s="15" t="s">
        <v>41</v>
      </c>
      <c r="H100" s="15"/>
      <c r="I100" s="15" t="s">
        <v>936</v>
      </c>
      <c r="J100" s="15"/>
      <c r="K100" s="15" t="s">
        <v>932</v>
      </c>
      <c r="L100" s="15"/>
      <c r="M100" s="15" t="s">
        <v>933</v>
      </c>
      <c r="N100" s="15"/>
      <c r="O100" s="15" t="s">
        <v>938</v>
      </c>
      <c r="P100" s="15"/>
      <c r="Q100" s="15" t="s">
        <v>942</v>
      </c>
      <c r="R100" s="15"/>
      <c r="S100" s="15" t="s">
        <v>940</v>
      </c>
      <c r="T100" s="15">
        <v>0</v>
      </c>
      <c r="U100" s="15">
        <v>0</v>
      </c>
      <c r="V100" s="15">
        <v>0</v>
      </c>
      <c r="W100" s="15">
        <v>0</v>
      </c>
      <c r="X100" s="15" t="s">
        <v>937</v>
      </c>
      <c r="Y100" s="15"/>
      <c r="Z100" s="15"/>
      <c r="AA100" s="16" t="s">
        <v>200</v>
      </c>
      <c r="AB100" s="17" t="s">
        <v>201</v>
      </c>
      <c r="AC100" s="17" t="s">
        <v>58</v>
      </c>
      <c r="AD100" s="18">
        <v>100000000</v>
      </c>
      <c r="AE100" s="34">
        <v>0</v>
      </c>
      <c r="AF100" s="34">
        <v>0</v>
      </c>
      <c r="AG100" s="34">
        <v>0</v>
      </c>
      <c r="AH100" s="34">
        <v>0</v>
      </c>
      <c r="AI100" s="34">
        <v>0</v>
      </c>
      <c r="AJ100" s="18">
        <v>100000000</v>
      </c>
      <c r="AK100" s="34">
        <v>0</v>
      </c>
      <c r="AL100" s="18">
        <f>AM100-JUNIO!AM100</f>
        <v>24806371</v>
      </c>
      <c r="AM100" s="110">
        <v>56453592.5</v>
      </c>
      <c r="AN100" s="34">
        <v>0</v>
      </c>
      <c r="AO100" s="18">
        <v>21386789</v>
      </c>
      <c r="AP100" s="18">
        <v>50170188.5</v>
      </c>
      <c r="AQ100" s="34">
        <v>0</v>
      </c>
      <c r="AR100" s="18">
        <v>18494990</v>
      </c>
      <c r="AS100" s="18">
        <v>42943708.5</v>
      </c>
      <c r="AT100" s="30">
        <f t="shared" si="54"/>
        <v>42943708.5</v>
      </c>
      <c r="AU100" s="18">
        <f t="shared" si="55"/>
        <v>43546407.5</v>
      </c>
      <c r="AV100" s="18">
        <f t="shared" si="56"/>
        <v>6283404</v>
      </c>
      <c r="AW100" s="18">
        <f t="shared" si="57"/>
        <v>7226480</v>
      </c>
      <c r="AX100" s="32">
        <f t="shared" si="20"/>
        <v>0.50170188500000001</v>
      </c>
    </row>
    <row r="101" spans="1:50" s="25" customFormat="1" ht="18.75" customHeight="1" x14ac:dyDescent="0.2">
      <c r="A101" s="19" t="s">
        <v>37</v>
      </c>
      <c r="B101" s="19" t="s">
        <v>37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26" t="s">
        <v>868</v>
      </c>
      <c r="AB101" s="21" t="s">
        <v>202</v>
      </c>
      <c r="AC101" s="22" t="s">
        <v>37</v>
      </c>
      <c r="AD101" s="22">
        <f t="shared" ref="AD101:AS101" si="58">AD102+AD123+AD139</f>
        <v>113142608950</v>
      </c>
      <c r="AE101" s="23">
        <f t="shared" si="58"/>
        <v>432574880.49000001</v>
      </c>
      <c r="AF101" s="23">
        <f t="shared" si="58"/>
        <v>0</v>
      </c>
      <c r="AG101" s="22">
        <f t="shared" si="58"/>
        <v>3634200000</v>
      </c>
      <c r="AH101" s="22">
        <f t="shared" si="58"/>
        <v>3810200000</v>
      </c>
      <c r="AI101" s="22">
        <f t="shared" si="58"/>
        <v>256574880.49000025</v>
      </c>
      <c r="AJ101" s="22">
        <f t="shared" si="58"/>
        <v>113399183830.48999</v>
      </c>
      <c r="AK101" s="23">
        <f t="shared" si="58"/>
        <v>0</v>
      </c>
      <c r="AL101" s="22">
        <f t="shared" si="58"/>
        <v>9738856334.7399998</v>
      </c>
      <c r="AM101" s="22">
        <f t="shared" si="58"/>
        <v>75342333183.799988</v>
      </c>
      <c r="AN101" s="23">
        <f t="shared" si="58"/>
        <v>0</v>
      </c>
      <c r="AO101" s="22">
        <f t="shared" si="58"/>
        <v>9741848450.6100006</v>
      </c>
      <c r="AP101" s="22">
        <f t="shared" si="58"/>
        <v>75338132501.799988</v>
      </c>
      <c r="AQ101" s="22">
        <f t="shared" si="58"/>
        <v>5292955.9399999995</v>
      </c>
      <c r="AR101" s="22">
        <f t="shared" si="58"/>
        <v>9522771184.3500004</v>
      </c>
      <c r="AS101" s="22">
        <f t="shared" si="58"/>
        <v>74845255455.529999</v>
      </c>
      <c r="AT101" s="22">
        <f t="shared" si="54"/>
        <v>74850548411.470001</v>
      </c>
      <c r="AU101" s="22">
        <f>AU102+AU123+AU139</f>
        <v>38056850646.690002</v>
      </c>
      <c r="AV101" s="22">
        <f>AV102+AV123+AV139</f>
        <v>4200682</v>
      </c>
      <c r="AW101" s="22">
        <f>AW102+AW123+AW139</f>
        <v>487584090.3300004</v>
      </c>
      <c r="AX101" s="24">
        <f t="shared" si="20"/>
        <v>0.66436221105802695</v>
      </c>
    </row>
    <row r="102" spans="1:50" s="25" customFormat="1" ht="18.75" customHeight="1" x14ac:dyDescent="0.2">
      <c r="A102" s="19" t="s">
        <v>55</v>
      </c>
      <c r="B102" s="19" t="s">
        <v>56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26" t="s">
        <v>869</v>
      </c>
      <c r="AB102" s="21" t="s">
        <v>203</v>
      </c>
      <c r="AC102" s="22" t="s">
        <v>37</v>
      </c>
      <c r="AD102" s="22">
        <f t="shared" ref="AD102:AS102" si="59">AD103+AD117</f>
        <v>70789582622</v>
      </c>
      <c r="AE102" s="22">
        <f t="shared" si="59"/>
        <v>2649057.39</v>
      </c>
      <c r="AF102" s="23">
        <f t="shared" si="59"/>
        <v>0</v>
      </c>
      <c r="AG102" s="22">
        <f t="shared" si="59"/>
        <v>3450200000</v>
      </c>
      <c r="AH102" s="23">
        <f t="shared" si="59"/>
        <v>0</v>
      </c>
      <c r="AI102" s="22">
        <f t="shared" si="59"/>
        <v>3452849057.3900003</v>
      </c>
      <c r="AJ102" s="22">
        <f t="shared" si="59"/>
        <v>74242431679.389999</v>
      </c>
      <c r="AK102" s="23">
        <f t="shared" si="59"/>
        <v>0</v>
      </c>
      <c r="AL102" s="22">
        <f t="shared" si="59"/>
        <v>7608621006.0299997</v>
      </c>
      <c r="AM102" s="22">
        <f t="shared" si="59"/>
        <v>58144339058.449997</v>
      </c>
      <c r="AN102" s="23">
        <f t="shared" si="59"/>
        <v>0</v>
      </c>
      <c r="AO102" s="22">
        <f t="shared" si="59"/>
        <v>7608621006.0299997</v>
      </c>
      <c r="AP102" s="22">
        <f t="shared" si="59"/>
        <v>58144339058.449997</v>
      </c>
      <c r="AQ102" s="22">
        <f t="shared" si="59"/>
        <v>0</v>
      </c>
      <c r="AR102" s="22">
        <f t="shared" si="59"/>
        <v>7834721997.0299997</v>
      </c>
      <c r="AS102" s="22">
        <f t="shared" si="59"/>
        <v>58144339058.449997</v>
      </c>
      <c r="AT102" s="22">
        <f t="shared" si="54"/>
        <v>58144339058.449997</v>
      </c>
      <c r="AU102" s="22">
        <f>AU103+AU117</f>
        <v>16098092620.940001</v>
      </c>
      <c r="AV102" s="23">
        <f>AV103+AV117</f>
        <v>0</v>
      </c>
      <c r="AW102" s="23">
        <f>AW103+AW117</f>
        <v>0</v>
      </c>
      <c r="AX102" s="24">
        <f t="shared" si="20"/>
        <v>0.7831685700913148</v>
      </c>
    </row>
    <row r="103" spans="1:50" s="25" customFormat="1" ht="18.75" customHeight="1" x14ac:dyDescent="0.2">
      <c r="A103" s="19" t="s">
        <v>55</v>
      </c>
      <c r="B103" s="19" t="s">
        <v>56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26" t="s">
        <v>870</v>
      </c>
      <c r="AB103" s="21" t="s">
        <v>204</v>
      </c>
      <c r="AC103" s="22" t="s">
        <v>56</v>
      </c>
      <c r="AD103" s="22">
        <f>AD104</f>
        <v>34789582622</v>
      </c>
      <c r="AE103" s="22">
        <f t="shared" ref="AE103:AW103" si="60">AE104</f>
        <v>2649057.39</v>
      </c>
      <c r="AF103" s="23">
        <f t="shared" si="60"/>
        <v>0</v>
      </c>
      <c r="AG103" s="22">
        <f>AG104</f>
        <v>3450200000</v>
      </c>
      <c r="AH103" s="23">
        <f t="shared" si="60"/>
        <v>0</v>
      </c>
      <c r="AI103" s="22">
        <f t="shared" si="60"/>
        <v>3452849057.3900003</v>
      </c>
      <c r="AJ103" s="22">
        <f t="shared" si="60"/>
        <v>38242431679.389999</v>
      </c>
      <c r="AK103" s="23">
        <f t="shared" si="60"/>
        <v>0</v>
      </c>
      <c r="AL103" s="22">
        <f t="shared" si="60"/>
        <v>4951157607.0299997</v>
      </c>
      <c r="AM103" s="22">
        <f t="shared" si="60"/>
        <v>30696994356.450001</v>
      </c>
      <c r="AN103" s="23">
        <f t="shared" si="60"/>
        <v>0</v>
      </c>
      <c r="AO103" s="22">
        <f t="shared" si="60"/>
        <v>4951157607.0299997</v>
      </c>
      <c r="AP103" s="22">
        <f t="shared" si="60"/>
        <v>30696994356.450001</v>
      </c>
      <c r="AQ103" s="22">
        <f t="shared" si="60"/>
        <v>0</v>
      </c>
      <c r="AR103" s="22">
        <f t="shared" si="60"/>
        <v>5177258598.0299997</v>
      </c>
      <c r="AS103" s="22">
        <f t="shared" si="60"/>
        <v>30696994356.450001</v>
      </c>
      <c r="AT103" s="22">
        <f t="shared" si="54"/>
        <v>30696994356.450001</v>
      </c>
      <c r="AU103" s="22">
        <f t="shared" si="60"/>
        <v>7545437322.9400005</v>
      </c>
      <c r="AV103" s="23">
        <f t="shared" si="60"/>
        <v>0</v>
      </c>
      <c r="AW103" s="23">
        <f t="shared" si="60"/>
        <v>0</v>
      </c>
      <c r="AX103" s="24">
        <f t="shared" si="20"/>
        <v>0.80269462501239264</v>
      </c>
    </row>
    <row r="104" spans="1:50" ht="28.5" customHeight="1" x14ac:dyDescent="0.2">
      <c r="A104" s="27" t="s">
        <v>55</v>
      </c>
      <c r="B104" s="27" t="s">
        <v>56</v>
      </c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101" t="s">
        <v>871</v>
      </c>
      <c r="AB104" s="38" t="s">
        <v>205</v>
      </c>
      <c r="AC104" s="30" t="s">
        <v>56</v>
      </c>
      <c r="AD104" s="30">
        <f t="shared" ref="AD104:AF104" si="61">SUM(AD105:AD115)</f>
        <v>34789582622</v>
      </c>
      <c r="AE104" s="30">
        <f t="shared" si="61"/>
        <v>2649057.39</v>
      </c>
      <c r="AF104" s="31">
        <f t="shared" si="61"/>
        <v>0</v>
      </c>
      <c r="AG104" s="30">
        <f>SUM(AG105:AG116)</f>
        <v>3450200000</v>
      </c>
      <c r="AH104" s="31">
        <f t="shared" ref="AH104:AW104" si="62">SUM(AH105:AH116)</f>
        <v>0</v>
      </c>
      <c r="AI104" s="30">
        <f t="shared" si="62"/>
        <v>3452849057.3900003</v>
      </c>
      <c r="AJ104" s="30">
        <f t="shared" si="62"/>
        <v>38242431679.389999</v>
      </c>
      <c r="AK104" s="31">
        <f t="shared" si="62"/>
        <v>0</v>
      </c>
      <c r="AL104" s="30">
        <f t="shared" si="62"/>
        <v>4951157607.0299997</v>
      </c>
      <c r="AM104" s="30">
        <f t="shared" si="62"/>
        <v>30696994356.450001</v>
      </c>
      <c r="AN104" s="31">
        <f t="shared" si="62"/>
        <v>0</v>
      </c>
      <c r="AO104" s="30">
        <f t="shared" si="62"/>
        <v>4951157607.0299997</v>
      </c>
      <c r="AP104" s="30">
        <f t="shared" si="62"/>
        <v>30696994356.450001</v>
      </c>
      <c r="AQ104" s="30">
        <f t="shared" si="62"/>
        <v>0</v>
      </c>
      <c r="AR104" s="30">
        <f t="shared" si="62"/>
        <v>5177258598.0299997</v>
      </c>
      <c r="AS104" s="30">
        <f t="shared" si="62"/>
        <v>30696994356.450001</v>
      </c>
      <c r="AT104" s="30">
        <f t="shared" si="62"/>
        <v>30696994356.450001</v>
      </c>
      <c r="AU104" s="30">
        <f t="shared" si="62"/>
        <v>7545437322.9400005</v>
      </c>
      <c r="AV104" s="31">
        <f t="shared" si="62"/>
        <v>0</v>
      </c>
      <c r="AW104" s="31">
        <f t="shared" si="62"/>
        <v>0</v>
      </c>
      <c r="AX104" s="32">
        <f t="shared" si="20"/>
        <v>0.80269462501239264</v>
      </c>
    </row>
    <row r="105" spans="1:50" ht="18.75" customHeight="1" x14ac:dyDescent="0.2">
      <c r="A105" s="35" t="s">
        <v>55</v>
      </c>
      <c r="B105" s="36" t="s">
        <v>56</v>
      </c>
      <c r="C105" s="36"/>
      <c r="D105" s="36" t="s">
        <v>40</v>
      </c>
      <c r="E105" s="36"/>
      <c r="F105" s="36"/>
      <c r="G105" s="36" t="s">
        <v>41</v>
      </c>
      <c r="H105" s="36"/>
      <c r="I105" s="36" t="s">
        <v>936</v>
      </c>
      <c r="J105" s="36"/>
      <c r="K105" s="36" t="s">
        <v>932</v>
      </c>
      <c r="L105" s="36"/>
      <c r="M105" s="36" t="s">
        <v>933</v>
      </c>
      <c r="N105" s="36"/>
      <c r="O105" s="36" t="s">
        <v>938</v>
      </c>
      <c r="P105" s="36"/>
      <c r="Q105" s="36" t="s">
        <v>942</v>
      </c>
      <c r="R105" s="36"/>
      <c r="S105" s="36" t="s">
        <v>940</v>
      </c>
      <c r="T105" s="36">
        <v>0</v>
      </c>
      <c r="U105" s="36">
        <v>0</v>
      </c>
      <c r="V105" s="36">
        <v>0</v>
      </c>
      <c r="W105" s="36">
        <v>0</v>
      </c>
      <c r="X105" s="36" t="s">
        <v>937</v>
      </c>
      <c r="Y105" s="36"/>
      <c r="Z105" s="36"/>
      <c r="AA105" s="101" t="s">
        <v>872</v>
      </c>
      <c r="AB105" s="38" t="s">
        <v>206</v>
      </c>
      <c r="AC105" s="38" t="s">
        <v>58</v>
      </c>
      <c r="AD105" s="39">
        <v>2500000000</v>
      </c>
      <c r="AE105" s="40">
        <v>0</v>
      </c>
      <c r="AF105" s="40">
        <v>0</v>
      </c>
      <c r="AG105" s="39">
        <v>80000000</v>
      </c>
      <c r="AH105" s="40">
        <v>0</v>
      </c>
      <c r="AI105" s="18">
        <f>AE105-AF105+AG105-AH105</f>
        <v>80000000</v>
      </c>
      <c r="AJ105" s="18">
        <f>AD105+AI105</f>
        <v>2580000000</v>
      </c>
      <c r="AK105" s="40">
        <v>0</v>
      </c>
      <c r="AL105" s="39">
        <f>AM105-JUNIO!AM105</f>
        <v>0</v>
      </c>
      <c r="AM105" s="39">
        <v>1249999998</v>
      </c>
      <c r="AN105" s="40">
        <v>0</v>
      </c>
      <c r="AO105" s="39">
        <v>0</v>
      </c>
      <c r="AP105" s="39">
        <v>1249999998</v>
      </c>
      <c r="AQ105" s="40">
        <v>0</v>
      </c>
      <c r="AR105" s="39">
        <v>0</v>
      </c>
      <c r="AS105" s="39">
        <v>1249999998</v>
      </c>
      <c r="AT105" s="39">
        <f t="shared" si="54"/>
        <v>1249999998</v>
      </c>
      <c r="AU105" s="18">
        <f t="shared" ref="AU105:AU116" si="63">AJ105-AM105</f>
        <v>1330000002</v>
      </c>
      <c r="AV105" s="34">
        <f t="shared" ref="AV105:AV116" si="64">AM105-AP105</f>
        <v>0</v>
      </c>
      <c r="AW105" s="34">
        <f t="shared" ref="AW105:AW116" si="65">AP105-AT105</f>
        <v>0</v>
      </c>
      <c r="AX105" s="32">
        <f t="shared" ref="AX105:AX135" si="66">AP105/AJ105</f>
        <v>0.48449612325581393</v>
      </c>
    </row>
    <row r="106" spans="1:50" ht="18.75" customHeight="1" x14ac:dyDescent="0.2">
      <c r="A106" s="14" t="s">
        <v>55</v>
      </c>
      <c r="B106" s="15" t="s">
        <v>56</v>
      </c>
      <c r="C106" s="15"/>
      <c r="D106" s="15" t="s">
        <v>40</v>
      </c>
      <c r="E106" s="15"/>
      <c r="F106" s="15"/>
      <c r="G106" s="15" t="s">
        <v>41</v>
      </c>
      <c r="H106" s="15"/>
      <c r="I106" s="15" t="s">
        <v>936</v>
      </c>
      <c r="J106" s="15"/>
      <c r="K106" s="15" t="s">
        <v>932</v>
      </c>
      <c r="L106" s="15"/>
      <c r="M106" s="15" t="s">
        <v>933</v>
      </c>
      <c r="N106" s="15"/>
      <c r="O106" s="15" t="s">
        <v>938</v>
      </c>
      <c r="P106" s="15"/>
      <c r="Q106" s="15" t="s">
        <v>942</v>
      </c>
      <c r="R106" s="15"/>
      <c r="S106" s="15" t="s">
        <v>940</v>
      </c>
      <c r="T106" s="15">
        <v>0</v>
      </c>
      <c r="U106" s="15">
        <v>0</v>
      </c>
      <c r="V106" s="15">
        <v>0</v>
      </c>
      <c r="W106" s="15">
        <v>0</v>
      </c>
      <c r="X106" s="15" t="s">
        <v>937</v>
      </c>
      <c r="Y106" s="15"/>
      <c r="Z106" s="15"/>
      <c r="AA106" s="41" t="s">
        <v>873</v>
      </c>
      <c r="AB106" s="17" t="s">
        <v>207</v>
      </c>
      <c r="AC106" s="17" t="s">
        <v>58</v>
      </c>
      <c r="AD106" s="18">
        <v>3557080000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18">
        <v>3557080000</v>
      </c>
      <c r="AK106" s="34">
        <v>0</v>
      </c>
      <c r="AL106" s="39">
        <f>AM106-JUNIO!AM106</f>
        <v>296423333</v>
      </c>
      <c r="AM106" s="18">
        <v>2074963331</v>
      </c>
      <c r="AN106" s="34">
        <v>0</v>
      </c>
      <c r="AO106" s="18">
        <v>296423333</v>
      </c>
      <c r="AP106" s="18">
        <v>2074963331</v>
      </c>
      <c r="AQ106" s="34">
        <v>0</v>
      </c>
      <c r="AR106" s="39">
        <v>296423333</v>
      </c>
      <c r="AS106" s="18">
        <v>2074963331</v>
      </c>
      <c r="AT106" s="39">
        <f t="shared" si="54"/>
        <v>2074963331</v>
      </c>
      <c r="AU106" s="18">
        <f t="shared" si="63"/>
        <v>1482116669</v>
      </c>
      <c r="AV106" s="34">
        <f t="shared" si="64"/>
        <v>0</v>
      </c>
      <c r="AW106" s="34">
        <f t="shared" si="65"/>
        <v>0</v>
      </c>
      <c r="AX106" s="32">
        <f t="shared" si="66"/>
        <v>0.58333333267736454</v>
      </c>
    </row>
    <row r="107" spans="1:50" ht="18.75" customHeight="1" x14ac:dyDescent="0.2">
      <c r="A107" s="35" t="s">
        <v>55</v>
      </c>
      <c r="B107" s="36" t="s">
        <v>56</v>
      </c>
      <c r="C107" s="36"/>
      <c r="D107" s="36" t="s">
        <v>40</v>
      </c>
      <c r="E107" s="36"/>
      <c r="F107" s="36"/>
      <c r="G107" s="36" t="s">
        <v>41</v>
      </c>
      <c r="H107" s="36"/>
      <c r="I107" s="36" t="s">
        <v>936</v>
      </c>
      <c r="J107" s="36"/>
      <c r="K107" s="36" t="s">
        <v>932</v>
      </c>
      <c r="L107" s="36"/>
      <c r="M107" s="36" t="s">
        <v>933</v>
      </c>
      <c r="N107" s="36"/>
      <c r="O107" s="36" t="s">
        <v>938</v>
      </c>
      <c r="P107" s="36"/>
      <c r="Q107" s="36" t="s">
        <v>942</v>
      </c>
      <c r="R107" s="36"/>
      <c r="S107" s="36" t="s">
        <v>940</v>
      </c>
      <c r="T107" s="36">
        <v>0</v>
      </c>
      <c r="U107" s="36">
        <v>0</v>
      </c>
      <c r="V107" s="36">
        <v>0</v>
      </c>
      <c r="W107" s="36">
        <v>0</v>
      </c>
      <c r="X107" s="36" t="s">
        <v>937</v>
      </c>
      <c r="Y107" s="36"/>
      <c r="Z107" s="36"/>
      <c r="AA107" s="101" t="s">
        <v>874</v>
      </c>
      <c r="AB107" s="38" t="s">
        <v>208</v>
      </c>
      <c r="AC107" s="38" t="s">
        <v>58</v>
      </c>
      <c r="AD107" s="39">
        <v>2747397800</v>
      </c>
      <c r="AE107" s="40">
        <v>0</v>
      </c>
      <c r="AF107" s="40">
        <v>0</v>
      </c>
      <c r="AG107" s="40">
        <v>0</v>
      </c>
      <c r="AH107" s="40">
        <v>0</v>
      </c>
      <c r="AI107" s="40">
        <v>0</v>
      </c>
      <c r="AJ107" s="39">
        <v>2747397800</v>
      </c>
      <c r="AK107" s="40">
        <v>0</v>
      </c>
      <c r="AL107" s="39">
        <f>AM107-JUNIO!AM107</f>
        <v>228949817</v>
      </c>
      <c r="AM107" s="39">
        <v>1602648719</v>
      </c>
      <c r="AN107" s="40">
        <v>0</v>
      </c>
      <c r="AO107" s="18">
        <v>228949817</v>
      </c>
      <c r="AP107" s="39">
        <v>1602648719</v>
      </c>
      <c r="AQ107" s="40">
        <v>0</v>
      </c>
      <c r="AR107" s="39">
        <v>228949817</v>
      </c>
      <c r="AS107" s="39">
        <v>1602648719</v>
      </c>
      <c r="AT107" s="39">
        <f t="shared" si="54"/>
        <v>1602648719</v>
      </c>
      <c r="AU107" s="18">
        <f t="shared" si="63"/>
        <v>1144749081</v>
      </c>
      <c r="AV107" s="34">
        <f t="shared" si="64"/>
        <v>0</v>
      </c>
      <c r="AW107" s="34">
        <f t="shared" si="65"/>
        <v>0</v>
      </c>
      <c r="AX107" s="32">
        <f t="shared" si="66"/>
        <v>0.58333333418262179</v>
      </c>
    </row>
    <row r="108" spans="1:50" ht="18.75" customHeight="1" x14ac:dyDescent="0.2">
      <c r="A108" s="14" t="s">
        <v>55</v>
      </c>
      <c r="B108" s="15" t="s">
        <v>56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41" t="s">
        <v>875</v>
      </c>
      <c r="AB108" s="17" t="s">
        <v>209</v>
      </c>
      <c r="AC108" s="17" t="s">
        <v>58</v>
      </c>
      <c r="AD108" s="18">
        <v>1627586535</v>
      </c>
      <c r="AE108" s="34">
        <v>0</v>
      </c>
      <c r="AF108" s="34">
        <v>0</v>
      </c>
      <c r="AG108" s="34">
        <v>0</v>
      </c>
      <c r="AH108" s="34">
        <v>0</v>
      </c>
      <c r="AI108" s="34">
        <v>0</v>
      </c>
      <c r="AJ108" s="18">
        <v>1627586535</v>
      </c>
      <c r="AK108" s="34">
        <v>0</v>
      </c>
      <c r="AL108" s="39">
        <f>AM108-JUNIO!AM108</f>
        <v>186358630</v>
      </c>
      <c r="AM108" s="18">
        <v>806368112</v>
      </c>
      <c r="AN108" s="34">
        <v>0</v>
      </c>
      <c r="AO108" s="18">
        <v>186358630</v>
      </c>
      <c r="AP108" s="18">
        <v>806368112</v>
      </c>
      <c r="AQ108" s="18">
        <v>0</v>
      </c>
      <c r="AR108" s="39">
        <v>186358630</v>
      </c>
      <c r="AS108" s="18">
        <v>806368112</v>
      </c>
      <c r="AT108" s="39">
        <f t="shared" si="54"/>
        <v>806368112</v>
      </c>
      <c r="AU108" s="18">
        <f t="shared" si="63"/>
        <v>821218423</v>
      </c>
      <c r="AV108" s="34">
        <f t="shared" si="64"/>
        <v>0</v>
      </c>
      <c r="AW108" s="34">
        <f t="shared" si="65"/>
        <v>0</v>
      </c>
      <c r="AX108" s="32">
        <f t="shared" si="66"/>
        <v>0.49543793504042477</v>
      </c>
    </row>
    <row r="109" spans="1:50" ht="18.75" customHeight="1" x14ac:dyDescent="0.2">
      <c r="A109" s="14" t="s">
        <v>55</v>
      </c>
      <c r="B109" s="15" t="s">
        <v>56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41" t="s">
        <v>876</v>
      </c>
      <c r="AB109" s="17" t="s">
        <v>210</v>
      </c>
      <c r="AC109" s="17" t="s">
        <v>58</v>
      </c>
      <c r="AD109" s="18">
        <v>4565923897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18">
        <v>4565923897</v>
      </c>
      <c r="AK109" s="34">
        <v>0</v>
      </c>
      <c r="AL109" s="39">
        <f>AM109-JUNIO!AM109</f>
        <v>585076873.02999973</v>
      </c>
      <c r="AM109" s="18">
        <v>4191470497.4499998</v>
      </c>
      <c r="AN109" s="34">
        <v>0</v>
      </c>
      <c r="AO109" s="18">
        <v>585076873.02999997</v>
      </c>
      <c r="AP109" s="18">
        <v>4191470497.4499998</v>
      </c>
      <c r="AQ109" s="34">
        <v>0</v>
      </c>
      <c r="AR109" s="39">
        <v>585076873.02999997</v>
      </c>
      <c r="AS109" s="18">
        <v>4191470497.4499998</v>
      </c>
      <c r="AT109" s="39">
        <f t="shared" si="54"/>
        <v>4191470497.4499998</v>
      </c>
      <c r="AU109" s="18">
        <f t="shared" si="63"/>
        <v>374453399.55000019</v>
      </c>
      <c r="AV109" s="34">
        <f t="shared" si="64"/>
        <v>0</v>
      </c>
      <c r="AW109" s="34">
        <f t="shared" si="65"/>
        <v>0</v>
      </c>
      <c r="AX109" s="32">
        <f t="shared" si="66"/>
        <v>0.91798956618702487</v>
      </c>
    </row>
    <row r="110" spans="1:50" ht="18.75" customHeight="1" x14ac:dyDescent="0.2">
      <c r="A110" s="35" t="s">
        <v>55</v>
      </c>
      <c r="B110" s="36" t="s">
        <v>56</v>
      </c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101" t="s">
        <v>877</v>
      </c>
      <c r="AB110" s="38" t="s">
        <v>211</v>
      </c>
      <c r="AC110" s="38" t="s">
        <v>58</v>
      </c>
      <c r="AD110" s="39">
        <v>5174713749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  <c r="AJ110" s="39">
        <v>5174713749</v>
      </c>
      <c r="AK110" s="40">
        <v>0</v>
      </c>
      <c r="AL110" s="39">
        <f>AM110-JUNIO!AM110</f>
        <v>663087122</v>
      </c>
      <c r="AM110" s="39">
        <v>4750333228</v>
      </c>
      <c r="AN110" s="40">
        <v>0</v>
      </c>
      <c r="AO110" s="18">
        <v>663087122</v>
      </c>
      <c r="AP110" s="39">
        <v>4750333228</v>
      </c>
      <c r="AQ110" s="39">
        <v>0</v>
      </c>
      <c r="AR110" s="40">
        <v>884766113</v>
      </c>
      <c r="AS110" s="39">
        <v>4750333228</v>
      </c>
      <c r="AT110" s="39">
        <f t="shared" si="54"/>
        <v>4750333228</v>
      </c>
      <c r="AU110" s="18">
        <f t="shared" si="63"/>
        <v>424380521</v>
      </c>
      <c r="AV110" s="34">
        <f t="shared" si="64"/>
        <v>0</v>
      </c>
      <c r="AW110" s="34">
        <f t="shared" si="65"/>
        <v>0</v>
      </c>
      <c r="AX110" s="32">
        <f t="shared" si="66"/>
        <v>0.91798956588042957</v>
      </c>
    </row>
    <row r="111" spans="1:50" ht="18.75" customHeight="1" x14ac:dyDescent="0.2">
      <c r="A111" s="35" t="s">
        <v>55</v>
      </c>
      <c r="B111" s="36" t="s">
        <v>56</v>
      </c>
      <c r="C111" s="36"/>
      <c r="D111" s="36" t="s">
        <v>40</v>
      </c>
      <c r="E111" s="36"/>
      <c r="F111" s="36"/>
      <c r="G111" s="36" t="s">
        <v>41</v>
      </c>
      <c r="H111" s="36"/>
      <c r="I111" s="36" t="s">
        <v>936</v>
      </c>
      <c r="J111" s="36"/>
      <c r="K111" s="36" t="s">
        <v>932</v>
      </c>
      <c r="L111" s="36"/>
      <c r="M111" s="36" t="s">
        <v>933</v>
      </c>
      <c r="N111" s="36"/>
      <c r="O111" s="36" t="s">
        <v>943</v>
      </c>
      <c r="P111" s="36"/>
      <c r="Q111" s="36" t="s">
        <v>939</v>
      </c>
      <c r="R111" s="36"/>
      <c r="S111" s="36" t="s">
        <v>940</v>
      </c>
      <c r="T111" s="36">
        <v>0</v>
      </c>
      <c r="U111" s="36">
        <v>0</v>
      </c>
      <c r="V111" s="36">
        <v>0</v>
      </c>
      <c r="W111" s="36">
        <v>0</v>
      </c>
      <c r="X111" s="36" t="s">
        <v>937</v>
      </c>
      <c r="Y111" s="36"/>
      <c r="Z111" s="36"/>
      <c r="AA111" s="101" t="s">
        <v>878</v>
      </c>
      <c r="AB111" s="38" t="s">
        <v>212</v>
      </c>
      <c r="AC111" s="38" t="s">
        <v>58</v>
      </c>
      <c r="AD111" s="39">
        <v>286350464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39">
        <v>286350464</v>
      </c>
      <c r="AK111" s="40">
        <v>0</v>
      </c>
      <c r="AL111" s="39">
        <f>AM111-JUNIO!AM111</f>
        <v>0</v>
      </c>
      <c r="AM111" s="40">
        <v>0</v>
      </c>
      <c r="AN111" s="40">
        <v>0</v>
      </c>
      <c r="AO111" s="34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f t="shared" si="54"/>
        <v>0</v>
      </c>
      <c r="AU111" s="18">
        <f t="shared" si="63"/>
        <v>286350464</v>
      </c>
      <c r="AV111" s="34">
        <f t="shared" si="64"/>
        <v>0</v>
      </c>
      <c r="AW111" s="34">
        <f t="shared" si="65"/>
        <v>0</v>
      </c>
      <c r="AX111" s="32">
        <f t="shared" si="66"/>
        <v>0</v>
      </c>
    </row>
    <row r="112" spans="1:50" ht="18.75" customHeight="1" x14ac:dyDescent="0.2">
      <c r="A112" s="14" t="s">
        <v>55</v>
      </c>
      <c r="B112" s="15" t="s">
        <v>56</v>
      </c>
      <c r="C112" s="15"/>
      <c r="D112" s="15" t="s">
        <v>40</v>
      </c>
      <c r="E112" s="15"/>
      <c r="F112" s="15"/>
      <c r="G112" s="15" t="s">
        <v>41</v>
      </c>
      <c r="H112" s="15"/>
      <c r="I112" s="15" t="s">
        <v>936</v>
      </c>
      <c r="J112" s="15"/>
      <c r="K112" s="15" t="s">
        <v>932</v>
      </c>
      <c r="L112" s="15"/>
      <c r="M112" s="15" t="s">
        <v>933</v>
      </c>
      <c r="N112" s="15"/>
      <c r="O112" s="15" t="s">
        <v>943</v>
      </c>
      <c r="P112" s="15"/>
      <c r="Q112" s="15" t="s">
        <v>939</v>
      </c>
      <c r="R112" s="15"/>
      <c r="S112" s="15" t="s">
        <v>940</v>
      </c>
      <c r="T112" s="15">
        <v>0</v>
      </c>
      <c r="U112" s="15">
        <v>0</v>
      </c>
      <c r="V112" s="15">
        <v>0</v>
      </c>
      <c r="W112" s="15">
        <v>0</v>
      </c>
      <c r="X112" s="15" t="s">
        <v>937</v>
      </c>
      <c r="Y112" s="15"/>
      <c r="Z112" s="15"/>
      <c r="AA112" s="41" t="s">
        <v>879</v>
      </c>
      <c r="AB112" s="17" t="s">
        <v>213</v>
      </c>
      <c r="AC112" s="17" t="s">
        <v>58</v>
      </c>
      <c r="AD112" s="18">
        <v>3748529000</v>
      </c>
      <c r="AE112" s="34">
        <v>0</v>
      </c>
      <c r="AF112" s="34">
        <v>0</v>
      </c>
      <c r="AG112" s="18">
        <v>1630200000</v>
      </c>
      <c r="AH112" s="34">
        <v>0</v>
      </c>
      <c r="AI112" s="18">
        <f>AE112-AF112+AG112-AH112</f>
        <v>1630200000</v>
      </c>
      <c r="AJ112" s="18">
        <f>AD112+AI112</f>
        <v>5378729000</v>
      </c>
      <c r="AK112" s="34">
        <v>0</v>
      </c>
      <c r="AL112" s="39">
        <f>AM112-JUNIO!AM112</f>
        <v>1942577417</v>
      </c>
      <c r="AM112" s="18">
        <v>3816841919</v>
      </c>
      <c r="AN112" s="34">
        <v>0</v>
      </c>
      <c r="AO112" s="18">
        <v>1942577417</v>
      </c>
      <c r="AP112" s="18">
        <v>3816841919</v>
      </c>
      <c r="AQ112" s="34">
        <v>0</v>
      </c>
      <c r="AR112" s="39">
        <v>1942577417</v>
      </c>
      <c r="AS112" s="18">
        <v>3816841919</v>
      </c>
      <c r="AT112" s="39">
        <f t="shared" si="54"/>
        <v>3816841919</v>
      </c>
      <c r="AU112" s="18">
        <f t="shared" si="63"/>
        <v>1561887081</v>
      </c>
      <c r="AV112" s="34">
        <f t="shared" si="64"/>
        <v>0</v>
      </c>
      <c r="AW112" s="34">
        <f t="shared" si="65"/>
        <v>0</v>
      </c>
      <c r="AX112" s="32">
        <f t="shared" si="66"/>
        <v>0.70961781472909302</v>
      </c>
    </row>
    <row r="113" spans="1:50" ht="18.75" customHeight="1" x14ac:dyDescent="0.2">
      <c r="A113" s="35" t="s">
        <v>55</v>
      </c>
      <c r="B113" s="36" t="s">
        <v>56</v>
      </c>
      <c r="C113" s="36"/>
      <c r="D113" s="36" t="s">
        <v>40</v>
      </c>
      <c r="E113" s="36"/>
      <c r="F113" s="36"/>
      <c r="G113" s="36" t="s">
        <v>41</v>
      </c>
      <c r="H113" s="36"/>
      <c r="I113" s="36" t="s">
        <v>936</v>
      </c>
      <c r="J113" s="36"/>
      <c r="K113" s="36" t="s">
        <v>932</v>
      </c>
      <c r="L113" s="36"/>
      <c r="M113" s="36" t="s">
        <v>933</v>
      </c>
      <c r="N113" s="36"/>
      <c r="O113" s="36" t="s">
        <v>943</v>
      </c>
      <c r="P113" s="36"/>
      <c r="Q113" s="36" t="s">
        <v>944</v>
      </c>
      <c r="R113" s="36"/>
      <c r="S113" s="36" t="s">
        <v>940</v>
      </c>
      <c r="T113" s="36">
        <v>0</v>
      </c>
      <c r="U113" s="36">
        <v>0</v>
      </c>
      <c r="V113" s="36">
        <v>0</v>
      </c>
      <c r="W113" s="36">
        <v>0</v>
      </c>
      <c r="X113" s="36" t="s">
        <v>937</v>
      </c>
      <c r="Y113" s="36"/>
      <c r="Z113" s="36"/>
      <c r="AA113" s="101" t="s">
        <v>880</v>
      </c>
      <c r="AB113" s="38" t="s">
        <v>214</v>
      </c>
      <c r="AC113" s="38" t="s">
        <v>58</v>
      </c>
      <c r="AD113" s="39">
        <v>80525000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39">
        <v>80525000</v>
      </c>
      <c r="AK113" s="40">
        <v>0</v>
      </c>
      <c r="AL113" s="39">
        <f>AM113-JUNIO!AM113</f>
        <v>0</v>
      </c>
      <c r="AM113" s="39">
        <v>80525000</v>
      </c>
      <c r="AN113" s="40">
        <v>0</v>
      </c>
      <c r="AO113" s="34">
        <v>0</v>
      </c>
      <c r="AP113" s="39">
        <v>80525000</v>
      </c>
      <c r="AQ113" s="40">
        <v>0</v>
      </c>
      <c r="AR113" s="40">
        <v>0</v>
      </c>
      <c r="AS113" s="39">
        <v>80525000</v>
      </c>
      <c r="AT113" s="39">
        <f t="shared" si="54"/>
        <v>80525000</v>
      </c>
      <c r="AU113" s="34">
        <f t="shared" si="63"/>
        <v>0</v>
      </c>
      <c r="AV113" s="34">
        <f t="shared" si="64"/>
        <v>0</v>
      </c>
      <c r="AW113" s="34">
        <f t="shared" si="65"/>
        <v>0</v>
      </c>
      <c r="AX113" s="32">
        <f t="shared" si="66"/>
        <v>1</v>
      </c>
    </row>
    <row r="114" spans="1:50" ht="18.75" customHeight="1" x14ac:dyDescent="0.2">
      <c r="A114" s="14" t="s">
        <v>55</v>
      </c>
      <c r="B114" s="15" t="s">
        <v>56</v>
      </c>
      <c r="C114" s="15"/>
      <c r="D114" s="15" t="s">
        <v>40</v>
      </c>
      <c r="E114" s="15"/>
      <c r="F114" s="15"/>
      <c r="G114" s="15" t="s">
        <v>41</v>
      </c>
      <c r="H114" s="15"/>
      <c r="I114" s="15" t="s">
        <v>936</v>
      </c>
      <c r="J114" s="15"/>
      <c r="K114" s="15" t="s">
        <v>932</v>
      </c>
      <c r="L114" s="15"/>
      <c r="M114" s="15" t="s">
        <v>933</v>
      </c>
      <c r="N114" s="15"/>
      <c r="O114" s="15" t="s">
        <v>945</v>
      </c>
      <c r="P114" s="15"/>
      <c r="Q114" s="15" t="s">
        <v>944</v>
      </c>
      <c r="R114" s="15"/>
      <c r="S114" s="15" t="s">
        <v>940</v>
      </c>
      <c r="T114" s="15">
        <v>0</v>
      </c>
      <c r="U114" s="15">
        <v>0</v>
      </c>
      <c r="V114" s="15">
        <v>0</v>
      </c>
      <c r="W114" s="15">
        <v>0</v>
      </c>
      <c r="X114" s="15" t="s">
        <v>937</v>
      </c>
      <c r="Y114" s="15"/>
      <c r="Z114" s="15"/>
      <c r="AA114" s="41" t="s">
        <v>881</v>
      </c>
      <c r="AB114" s="17" t="s">
        <v>214</v>
      </c>
      <c r="AC114" s="17" t="s">
        <v>215</v>
      </c>
      <c r="AD114" s="18">
        <v>10351476177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18">
        <v>10351476177</v>
      </c>
      <c r="AK114" s="34">
        <v>0</v>
      </c>
      <c r="AL114" s="39">
        <f>AM114-JUNIO!AM114</f>
        <v>0</v>
      </c>
      <c r="AM114" s="39">
        <v>10351476177</v>
      </c>
      <c r="AN114" s="34">
        <v>0</v>
      </c>
      <c r="AO114" s="18">
        <v>0</v>
      </c>
      <c r="AP114" s="18">
        <v>10351476177</v>
      </c>
      <c r="AQ114" s="34">
        <v>0</v>
      </c>
      <c r="AR114" s="39">
        <v>0</v>
      </c>
      <c r="AS114" s="18">
        <v>10351476177</v>
      </c>
      <c r="AT114" s="39">
        <f t="shared" si="54"/>
        <v>10351476177</v>
      </c>
      <c r="AU114" s="18">
        <f t="shared" si="63"/>
        <v>0</v>
      </c>
      <c r="AV114" s="34">
        <f t="shared" si="64"/>
        <v>0</v>
      </c>
      <c r="AW114" s="34">
        <f t="shared" si="65"/>
        <v>0</v>
      </c>
      <c r="AX114" s="32">
        <f t="shared" si="66"/>
        <v>1</v>
      </c>
    </row>
    <row r="115" spans="1:50" ht="26.25" customHeight="1" x14ac:dyDescent="0.2">
      <c r="A115" s="14" t="s">
        <v>55</v>
      </c>
      <c r="B115" s="15" t="s">
        <v>56</v>
      </c>
      <c r="C115" s="15"/>
      <c r="D115" s="15" t="s">
        <v>40</v>
      </c>
      <c r="E115" s="15"/>
      <c r="F115" s="15"/>
      <c r="G115" s="15" t="s">
        <v>41</v>
      </c>
      <c r="H115" s="15"/>
      <c r="I115" s="15" t="s">
        <v>936</v>
      </c>
      <c r="J115" s="15"/>
      <c r="K115" s="15" t="s">
        <v>932</v>
      </c>
      <c r="L115" s="15"/>
      <c r="M115" s="15" t="s">
        <v>933</v>
      </c>
      <c r="N115" s="15"/>
      <c r="O115" s="15" t="s">
        <v>946</v>
      </c>
      <c r="P115" s="15"/>
      <c r="Q115" s="15" t="s">
        <v>944</v>
      </c>
      <c r="R115" s="15"/>
      <c r="S115" s="15" t="s">
        <v>940</v>
      </c>
      <c r="T115" s="15">
        <v>0</v>
      </c>
      <c r="U115" s="15">
        <v>0</v>
      </c>
      <c r="V115" s="15">
        <v>0</v>
      </c>
      <c r="W115" s="15">
        <v>0</v>
      </c>
      <c r="X115" s="15" t="s">
        <v>937</v>
      </c>
      <c r="Y115" s="15"/>
      <c r="Z115" s="15"/>
      <c r="AA115" s="41" t="s">
        <v>882</v>
      </c>
      <c r="AB115" s="17" t="s">
        <v>205</v>
      </c>
      <c r="AC115" s="17" t="s">
        <v>216</v>
      </c>
      <c r="AD115" s="18">
        <v>150000000</v>
      </c>
      <c r="AE115" s="18">
        <v>2649057.39</v>
      </c>
      <c r="AF115" s="34">
        <v>0</v>
      </c>
      <c r="AG115" s="34">
        <v>0</v>
      </c>
      <c r="AH115" s="34">
        <v>0</v>
      </c>
      <c r="AI115" s="18">
        <f>AE115-AF115+AG115-AH115</f>
        <v>2649057.39</v>
      </c>
      <c r="AJ115" s="18">
        <f>AD115+AI115</f>
        <v>152649057.38999999</v>
      </c>
      <c r="AK115" s="34">
        <v>0</v>
      </c>
      <c r="AL115" s="39">
        <f>AM115-JUNIO!AM115</f>
        <v>8684415</v>
      </c>
      <c r="AM115" s="39">
        <v>32367375</v>
      </c>
      <c r="AN115" s="34">
        <v>0</v>
      </c>
      <c r="AO115" s="18">
        <v>8684415</v>
      </c>
      <c r="AP115" s="18">
        <v>32367375</v>
      </c>
      <c r="AQ115" s="18">
        <v>0</v>
      </c>
      <c r="AR115" s="40">
        <v>13106415</v>
      </c>
      <c r="AS115" s="18">
        <v>32367375</v>
      </c>
      <c r="AT115" s="39">
        <f t="shared" si="54"/>
        <v>32367375</v>
      </c>
      <c r="AU115" s="18">
        <f t="shared" si="63"/>
        <v>120281682.38999999</v>
      </c>
      <c r="AV115" s="34">
        <f t="shared" si="64"/>
        <v>0</v>
      </c>
      <c r="AW115" s="34">
        <f t="shared" si="65"/>
        <v>0</v>
      </c>
      <c r="AX115" s="32">
        <f t="shared" si="66"/>
        <v>0.21203783078270341</v>
      </c>
    </row>
    <row r="116" spans="1:50" ht="26.25" customHeight="1" x14ac:dyDescent="0.2">
      <c r="A116" s="14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41" t="s">
        <v>984</v>
      </c>
      <c r="AB116" s="42" t="s">
        <v>985</v>
      </c>
      <c r="AC116" s="17"/>
      <c r="AD116" s="34">
        <v>0</v>
      </c>
      <c r="AE116" s="34">
        <v>0</v>
      </c>
      <c r="AF116" s="34">
        <v>0</v>
      </c>
      <c r="AG116" s="18">
        <f>700000000+1040000000</f>
        <v>1740000000</v>
      </c>
      <c r="AH116" s="34">
        <v>0</v>
      </c>
      <c r="AI116" s="18">
        <f>AE116-AF116+AG116-AH116</f>
        <v>1740000000</v>
      </c>
      <c r="AJ116" s="18">
        <f>AD116+AI116</f>
        <v>1740000000</v>
      </c>
      <c r="AK116" s="34">
        <v>0</v>
      </c>
      <c r="AL116" s="39">
        <f>AM116-JUNIO!AM116</f>
        <v>1040000000</v>
      </c>
      <c r="AM116" s="39">
        <v>1740000000</v>
      </c>
      <c r="AN116" s="34">
        <v>0</v>
      </c>
      <c r="AO116" s="34">
        <v>1040000000</v>
      </c>
      <c r="AP116" s="18">
        <v>1740000000</v>
      </c>
      <c r="AQ116" s="34">
        <v>0</v>
      </c>
      <c r="AR116" s="40">
        <v>1040000000</v>
      </c>
      <c r="AS116" s="18">
        <v>1740000000</v>
      </c>
      <c r="AT116" s="39">
        <f t="shared" si="54"/>
        <v>1740000000</v>
      </c>
      <c r="AU116" s="34">
        <f t="shared" si="63"/>
        <v>0</v>
      </c>
      <c r="AV116" s="34">
        <f t="shared" si="64"/>
        <v>0</v>
      </c>
      <c r="AW116" s="34">
        <f t="shared" si="65"/>
        <v>0</v>
      </c>
      <c r="AX116" s="32">
        <f t="shared" si="66"/>
        <v>1</v>
      </c>
    </row>
    <row r="117" spans="1:50" s="25" customFormat="1" ht="18.75" customHeight="1" x14ac:dyDescent="0.2">
      <c r="A117" s="19" t="s">
        <v>55</v>
      </c>
      <c r="B117" s="19" t="s">
        <v>56</v>
      </c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26" t="s">
        <v>883</v>
      </c>
      <c r="AB117" s="21" t="s">
        <v>217</v>
      </c>
      <c r="AC117" s="22" t="s">
        <v>37</v>
      </c>
      <c r="AD117" s="22">
        <f>AD118</f>
        <v>36000000000</v>
      </c>
      <c r="AE117" s="23">
        <f t="shared" ref="AE117:AW119" si="67">AE118</f>
        <v>0</v>
      </c>
      <c r="AF117" s="23">
        <f t="shared" si="67"/>
        <v>0</v>
      </c>
      <c r="AG117" s="23">
        <f t="shared" si="67"/>
        <v>0</v>
      </c>
      <c r="AH117" s="23">
        <f t="shared" si="67"/>
        <v>0</v>
      </c>
      <c r="AI117" s="23">
        <f t="shared" si="67"/>
        <v>0</v>
      </c>
      <c r="AJ117" s="22">
        <f t="shared" si="67"/>
        <v>36000000000</v>
      </c>
      <c r="AK117" s="23">
        <f t="shared" si="67"/>
        <v>0</v>
      </c>
      <c r="AL117" s="23">
        <f t="shared" si="67"/>
        <v>2657463399</v>
      </c>
      <c r="AM117" s="22">
        <f t="shared" si="67"/>
        <v>27447344702</v>
      </c>
      <c r="AN117" s="23">
        <f t="shared" si="67"/>
        <v>0</v>
      </c>
      <c r="AO117" s="23">
        <f t="shared" si="67"/>
        <v>2657463399</v>
      </c>
      <c r="AP117" s="22">
        <f t="shared" si="67"/>
        <v>27447344702</v>
      </c>
      <c r="AQ117" s="23">
        <f t="shared" si="67"/>
        <v>0</v>
      </c>
      <c r="AR117" s="23">
        <f t="shared" si="67"/>
        <v>2657463399</v>
      </c>
      <c r="AS117" s="22">
        <f t="shared" si="67"/>
        <v>27447344702</v>
      </c>
      <c r="AT117" s="22">
        <f>AQ117+AS117</f>
        <v>27447344702</v>
      </c>
      <c r="AU117" s="22">
        <f t="shared" si="67"/>
        <v>8552655298</v>
      </c>
      <c r="AV117" s="23">
        <f t="shared" si="67"/>
        <v>0</v>
      </c>
      <c r="AW117" s="23">
        <f t="shared" si="67"/>
        <v>0</v>
      </c>
      <c r="AX117" s="24">
        <f t="shared" si="66"/>
        <v>0.76242624172222218</v>
      </c>
    </row>
    <row r="118" spans="1:50" ht="18.75" customHeight="1" x14ac:dyDescent="0.2">
      <c r="A118" s="27" t="s">
        <v>55</v>
      </c>
      <c r="B118" s="27" t="s">
        <v>56</v>
      </c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8" t="s">
        <v>218</v>
      </c>
      <c r="AB118" s="29" t="s">
        <v>219</v>
      </c>
      <c r="AC118" s="30" t="s">
        <v>37</v>
      </c>
      <c r="AD118" s="30">
        <f>AD119</f>
        <v>36000000000</v>
      </c>
      <c r="AE118" s="31">
        <f t="shared" si="67"/>
        <v>0</v>
      </c>
      <c r="AF118" s="31">
        <f t="shared" si="67"/>
        <v>0</v>
      </c>
      <c r="AG118" s="31">
        <f t="shared" si="67"/>
        <v>0</v>
      </c>
      <c r="AH118" s="31">
        <f t="shared" si="67"/>
        <v>0</v>
      </c>
      <c r="AI118" s="31">
        <f t="shared" si="67"/>
        <v>0</v>
      </c>
      <c r="AJ118" s="30">
        <f t="shared" si="67"/>
        <v>36000000000</v>
      </c>
      <c r="AK118" s="31">
        <f t="shared" si="67"/>
        <v>0</v>
      </c>
      <c r="AL118" s="31">
        <f t="shared" si="67"/>
        <v>2657463399</v>
      </c>
      <c r="AM118" s="30">
        <f t="shared" si="67"/>
        <v>27447344702</v>
      </c>
      <c r="AN118" s="31">
        <f t="shared" si="67"/>
        <v>0</v>
      </c>
      <c r="AO118" s="31">
        <f t="shared" si="67"/>
        <v>2657463399</v>
      </c>
      <c r="AP118" s="30">
        <f t="shared" si="67"/>
        <v>27447344702</v>
      </c>
      <c r="AQ118" s="31">
        <f t="shared" si="67"/>
        <v>0</v>
      </c>
      <c r="AR118" s="31">
        <f t="shared" si="67"/>
        <v>2657463399</v>
      </c>
      <c r="AS118" s="30">
        <f t="shared" si="67"/>
        <v>27447344702</v>
      </c>
      <c r="AT118" s="30">
        <f t="shared" ref="AT118:AT122" si="68">AQ118+AS118</f>
        <v>27447344702</v>
      </c>
      <c r="AU118" s="18">
        <f>AJ118-AM118</f>
        <v>8552655298</v>
      </c>
      <c r="AV118" s="34">
        <f>AM118-AP118</f>
        <v>0</v>
      </c>
      <c r="AW118" s="34">
        <f>AP118-AT118</f>
        <v>0</v>
      </c>
      <c r="AX118" s="32">
        <f t="shared" si="66"/>
        <v>0.76242624172222218</v>
      </c>
    </row>
    <row r="119" spans="1:50" ht="22.5" customHeight="1" x14ac:dyDescent="0.2">
      <c r="A119" s="27" t="s">
        <v>55</v>
      </c>
      <c r="B119" s="27" t="s">
        <v>56</v>
      </c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8" t="s">
        <v>220</v>
      </c>
      <c r="AB119" s="29" t="s">
        <v>221</v>
      </c>
      <c r="AC119" s="30" t="s">
        <v>37</v>
      </c>
      <c r="AD119" s="30">
        <f>AD120</f>
        <v>36000000000</v>
      </c>
      <c r="AE119" s="31">
        <f t="shared" si="67"/>
        <v>0</v>
      </c>
      <c r="AF119" s="31">
        <f t="shared" si="67"/>
        <v>0</v>
      </c>
      <c r="AG119" s="31">
        <f t="shared" si="67"/>
        <v>0</v>
      </c>
      <c r="AH119" s="31">
        <f t="shared" si="67"/>
        <v>0</v>
      </c>
      <c r="AI119" s="31">
        <f t="shared" si="67"/>
        <v>0</v>
      </c>
      <c r="AJ119" s="30">
        <f t="shared" si="67"/>
        <v>36000000000</v>
      </c>
      <c r="AK119" s="31">
        <f t="shared" si="67"/>
        <v>0</v>
      </c>
      <c r="AL119" s="30">
        <f t="shared" si="67"/>
        <v>2657463399</v>
      </c>
      <c r="AM119" s="30">
        <f t="shared" si="67"/>
        <v>27447344702</v>
      </c>
      <c r="AN119" s="31">
        <f t="shared" si="67"/>
        <v>0</v>
      </c>
      <c r="AO119" s="30">
        <f t="shared" si="67"/>
        <v>2657463399</v>
      </c>
      <c r="AP119" s="30">
        <f t="shared" si="67"/>
        <v>27447344702</v>
      </c>
      <c r="AQ119" s="31">
        <f t="shared" si="67"/>
        <v>0</v>
      </c>
      <c r="AR119" s="30">
        <f t="shared" si="67"/>
        <v>2657463399</v>
      </c>
      <c r="AS119" s="30">
        <f t="shared" si="67"/>
        <v>27447344702</v>
      </c>
      <c r="AT119" s="30">
        <f t="shared" si="68"/>
        <v>27447344702</v>
      </c>
      <c r="AU119" s="18">
        <f>AJ119-AM119</f>
        <v>8552655298</v>
      </c>
      <c r="AV119" s="34">
        <f>AM119-AP119</f>
        <v>0</v>
      </c>
      <c r="AW119" s="34">
        <f>AP119-AT119</f>
        <v>0</v>
      </c>
      <c r="AX119" s="32">
        <f t="shared" si="66"/>
        <v>0.76242624172222218</v>
      </c>
    </row>
    <row r="120" spans="1:50" ht="27" customHeight="1" x14ac:dyDescent="0.2">
      <c r="A120" s="27" t="s">
        <v>55</v>
      </c>
      <c r="B120" s="27" t="s">
        <v>56</v>
      </c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8" t="s">
        <v>222</v>
      </c>
      <c r="AB120" s="29" t="s">
        <v>223</v>
      </c>
      <c r="AC120" s="30" t="s">
        <v>37</v>
      </c>
      <c r="AD120" s="30">
        <f>AD121+AD122</f>
        <v>36000000000</v>
      </c>
      <c r="AE120" s="31">
        <f t="shared" ref="AE120:AS120" si="69">AE121+AE122</f>
        <v>0</v>
      </c>
      <c r="AF120" s="31">
        <f t="shared" si="69"/>
        <v>0</v>
      </c>
      <c r="AG120" s="31">
        <f t="shared" si="69"/>
        <v>0</v>
      </c>
      <c r="AH120" s="31">
        <f t="shared" si="69"/>
        <v>0</v>
      </c>
      <c r="AI120" s="31">
        <f t="shared" si="69"/>
        <v>0</v>
      </c>
      <c r="AJ120" s="30">
        <f t="shared" si="69"/>
        <v>36000000000</v>
      </c>
      <c r="AK120" s="31">
        <f t="shared" si="69"/>
        <v>0</v>
      </c>
      <c r="AL120" s="30">
        <f t="shared" si="69"/>
        <v>2657463399</v>
      </c>
      <c r="AM120" s="30">
        <f t="shared" si="69"/>
        <v>27447344702</v>
      </c>
      <c r="AN120" s="31">
        <f t="shared" si="69"/>
        <v>0</v>
      </c>
      <c r="AO120" s="30">
        <f t="shared" si="69"/>
        <v>2657463399</v>
      </c>
      <c r="AP120" s="30">
        <f t="shared" si="69"/>
        <v>27447344702</v>
      </c>
      <c r="AQ120" s="31">
        <f t="shared" si="69"/>
        <v>0</v>
      </c>
      <c r="AR120" s="30">
        <f t="shared" si="69"/>
        <v>2657463399</v>
      </c>
      <c r="AS120" s="30">
        <f t="shared" si="69"/>
        <v>27447344702</v>
      </c>
      <c r="AT120" s="30">
        <f t="shared" si="68"/>
        <v>27447344702</v>
      </c>
      <c r="AU120" s="18">
        <f>AJ120-AM120</f>
        <v>8552655298</v>
      </c>
      <c r="AV120" s="34">
        <f>AM120-AP120</f>
        <v>0</v>
      </c>
      <c r="AW120" s="34">
        <f>AP120-AT120</f>
        <v>0</v>
      </c>
      <c r="AX120" s="32">
        <f t="shared" si="66"/>
        <v>0.76242624172222218</v>
      </c>
    </row>
    <row r="121" spans="1:50" ht="18.75" customHeight="1" x14ac:dyDescent="0.2">
      <c r="A121" s="14" t="s">
        <v>55</v>
      </c>
      <c r="B121" s="15" t="s">
        <v>56</v>
      </c>
      <c r="C121" s="15"/>
      <c r="D121" s="15" t="s">
        <v>40</v>
      </c>
      <c r="E121" s="15"/>
      <c r="F121" s="15"/>
      <c r="G121" s="15" t="s">
        <v>41</v>
      </c>
      <c r="H121" s="15"/>
      <c r="I121" s="15" t="s">
        <v>936</v>
      </c>
      <c r="J121" s="15"/>
      <c r="K121" s="15" t="s">
        <v>932</v>
      </c>
      <c r="L121" s="15"/>
      <c r="M121" s="15" t="s">
        <v>933</v>
      </c>
      <c r="N121" s="15"/>
      <c r="O121" s="15" t="s">
        <v>943</v>
      </c>
      <c r="P121" s="15"/>
      <c r="Q121" s="15" t="s">
        <v>939</v>
      </c>
      <c r="R121" s="15"/>
      <c r="S121" s="15" t="s">
        <v>940</v>
      </c>
      <c r="T121" s="15">
        <v>0</v>
      </c>
      <c r="U121" s="15">
        <v>0</v>
      </c>
      <c r="V121" s="15">
        <v>0</v>
      </c>
      <c r="W121" s="15">
        <v>0</v>
      </c>
      <c r="X121" s="15" t="s">
        <v>937</v>
      </c>
      <c r="Y121" s="15"/>
      <c r="Z121" s="15"/>
      <c r="AA121" s="16" t="s">
        <v>224</v>
      </c>
      <c r="AB121" s="17" t="s">
        <v>225</v>
      </c>
      <c r="AC121" s="17" t="s">
        <v>226</v>
      </c>
      <c r="AD121" s="18">
        <v>35280000000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18">
        <v>35280000000</v>
      </c>
      <c r="AK121" s="34">
        <v>0</v>
      </c>
      <c r="AL121" s="18">
        <f>AM121-JUNIO!AM121</f>
        <v>2630260050</v>
      </c>
      <c r="AM121" s="18">
        <v>27277483561</v>
      </c>
      <c r="AN121" s="34">
        <v>0</v>
      </c>
      <c r="AO121" s="18">
        <v>2630260050</v>
      </c>
      <c r="AP121" s="18">
        <v>27277483561</v>
      </c>
      <c r="AQ121" s="34">
        <v>0</v>
      </c>
      <c r="AR121" s="18">
        <v>2630260050</v>
      </c>
      <c r="AS121" s="18">
        <v>27277483561</v>
      </c>
      <c r="AT121" s="39">
        <f t="shared" si="68"/>
        <v>27277483561</v>
      </c>
      <c r="AU121" s="18">
        <f>AJ121-AM121</f>
        <v>8002516439</v>
      </c>
      <c r="AV121" s="34">
        <f>AM121-AP121</f>
        <v>0</v>
      </c>
      <c r="AW121" s="34">
        <f>AP121-AT121</f>
        <v>0</v>
      </c>
      <c r="AX121" s="32">
        <f t="shared" si="66"/>
        <v>0.77317130274943313</v>
      </c>
    </row>
    <row r="122" spans="1:50" ht="18.75" customHeight="1" x14ac:dyDescent="0.2">
      <c r="A122" s="14" t="s">
        <v>55</v>
      </c>
      <c r="B122" s="15" t="s">
        <v>56</v>
      </c>
      <c r="C122" s="15"/>
      <c r="D122" s="15" t="s">
        <v>40</v>
      </c>
      <c r="E122" s="15"/>
      <c r="F122" s="15"/>
      <c r="G122" s="15" t="s">
        <v>41</v>
      </c>
      <c r="H122" s="15"/>
      <c r="I122" s="15" t="s">
        <v>936</v>
      </c>
      <c r="J122" s="15"/>
      <c r="K122" s="15" t="s">
        <v>932</v>
      </c>
      <c r="L122" s="15"/>
      <c r="M122" s="15" t="s">
        <v>933</v>
      </c>
      <c r="N122" s="15"/>
      <c r="O122" s="15" t="s">
        <v>943</v>
      </c>
      <c r="P122" s="15"/>
      <c r="Q122" s="15" t="s">
        <v>939</v>
      </c>
      <c r="R122" s="15"/>
      <c r="S122" s="15" t="s">
        <v>940</v>
      </c>
      <c r="T122" s="15">
        <v>0</v>
      </c>
      <c r="U122" s="15">
        <v>0</v>
      </c>
      <c r="V122" s="15">
        <v>0</v>
      </c>
      <c r="W122" s="15">
        <v>0</v>
      </c>
      <c r="X122" s="15" t="s">
        <v>937</v>
      </c>
      <c r="Y122" s="15"/>
      <c r="Z122" s="15"/>
      <c r="AA122" s="16" t="s">
        <v>227</v>
      </c>
      <c r="AB122" s="17" t="s">
        <v>228</v>
      </c>
      <c r="AC122" s="17" t="s">
        <v>226</v>
      </c>
      <c r="AD122" s="18">
        <v>720000000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18">
        <v>720000000</v>
      </c>
      <c r="AK122" s="34">
        <v>0</v>
      </c>
      <c r="AL122" s="18">
        <f>AM122-JUNIO!AM122</f>
        <v>27203349</v>
      </c>
      <c r="AM122" s="18">
        <v>169861141</v>
      </c>
      <c r="AN122" s="34">
        <v>0</v>
      </c>
      <c r="AO122" s="18">
        <v>27203349</v>
      </c>
      <c r="AP122" s="18">
        <v>169861141</v>
      </c>
      <c r="AQ122" s="34">
        <v>0</v>
      </c>
      <c r="AR122" s="18">
        <v>27203349</v>
      </c>
      <c r="AS122" s="18">
        <v>169861141</v>
      </c>
      <c r="AT122" s="39">
        <f t="shared" si="68"/>
        <v>169861141</v>
      </c>
      <c r="AU122" s="18">
        <f>AJ122-AM122</f>
        <v>550138859</v>
      </c>
      <c r="AV122" s="34">
        <f>AM122-AP122</f>
        <v>0</v>
      </c>
      <c r="AW122" s="34">
        <f>AP122-AT122</f>
        <v>0</v>
      </c>
      <c r="AX122" s="32">
        <f t="shared" si="66"/>
        <v>0.23591825138888889</v>
      </c>
    </row>
    <row r="123" spans="1:50" s="25" customFormat="1" ht="18.75" customHeight="1" x14ac:dyDescent="0.2">
      <c r="A123" s="19" t="s">
        <v>55</v>
      </c>
      <c r="B123" s="19" t="s">
        <v>56</v>
      </c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26" t="s">
        <v>884</v>
      </c>
      <c r="AB123" s="21" t="s">
        <v>229</v>
      </c>
      <c r="AC123" s="22" t="s">
        <v>56</v>
      </c>
      <c r="AD123" s="22">
        <f>AD124</f>
        <v>42253026328</v>
      </c>
      <c r="AE123" s="22">
        <f t="shared" ref="AE123:AW123" si="70">AE124</f>
        <v>429925823.10000002</v>
      </c>
      <c r="AF123" s="23">
        <f t="shared" si="70"/>
        <v>0</v>
      </c>
      <c r="AG123" s="22">
        <f t="shared" si="70"/>
        <v>184000000</v>
      </c>
      <c r="AH123" s="22">
        <f t="shared" si="70"/>
        <v>3810200000</v>
      </c>
      <c r="AI123" s="22">
        <f t="shared" si="70"/>
        <v>-3196274176.9000001</v>
      </c>
      <c r="AJ123" s="22">
        <f t="shared" si="70"/>
        <v>39056752151.099998</v>
      </c>
      <c r="AK123" s="23">
        <f t="shared" si="70"/>
        <v>0</v>
      </c>
      <c r="AL123" s="22">
        <f t="shared" si="70"/>
        <v>2127647800.6399996</v>
      </c>
      <c r="AM123" s="22">
        <f t="shared" si="70"/>
        <v>17145453257.07</v>
      </c>
      <c r="AN123" s="23">
        <f t="shared" si="70"/>
        <v>0</v>
      </c>
      <c r="AO123" s="22">
        <f t="shared" si="70"/>
        <v>2127647118.6400001</v>
      </c>
      <c r="AP123" s="22">
        <f t="shared" si="70"/>
        <v>17145452575.07</v>
      </c>
      <c r="AQ123" s="22">
        <f t="shared" si="70"/>
        <v>4542630</v>
      </c>
      <c r="AR123" s="22">
        <f t="shared" si="70"/>
        <v>1683849187.3200002</v>
      </c>
      <c r="AS123" s="22">
        <f t="shared" si="70"/>
        <v>16654544699.969999</v>
      </c>
      <c r="AT123" s="22">
        <f>AQ123+AS123</f>
        <v>16659087329.969999</v>
      </c>
      <c r="AU123" s="22">
        <f t="shared" si="70"/>
        <v>21911298894.029999</v>
      </c>
      <c r="AV123" s="23">
        <f t="shared" si="70"/>
        <v>682</v>
      </c>
      <c r="AW123" s="22">
        <f t="shared" si="70"/>
        <v>486365245.10000038</v>
      </c>
      <c r="AX123" s="24">
        <f t="shared" si="66"/>
        <v>0.43898818080773555</v>
      </c>
    </row>
    <row r="124" spans="1:50" ht="18.75" customHeight="1" x14ac:dyDescent="0.2">
      <c r="A124" s="27" t="s">
        <v>55</v>
      </c>
      <c r="B124" s="27" t="s">
        <v>56</v>
      </c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8" t="s">
        <v>885</v>
      </c>
      <c r="AB124" s="29" t="s">
        <v>230</v>
      </c>
      <c r="AC124" s="30" t="s">
        <v>56</v>
      </c>
      <c r="AD124" s="30">
        <f>AD125+AD131+AD134+AD136+AD137+AD138</f>
        <v>42253026328</v>
      </c>
      <c r="AE124" s="30">
        <f t="shared" ref="AE124:AS124" si="71">AE125+AE131+AE134+AE136+AE137+AE138</f>
        <v>429925823.10000002</v>
      </c>
      <c r="AF124" s="31">
        <f t="shared" si="71"/>
        <v>0</v>
      </c>
      <c r="AG124" s="30">
        <f t="shared" si="71"/>
        <v>184000000</v>
      </c>
      <c r="AH124" s="30">
        <f t="shared" si="71"/>
        <v>3810200000</v>
      </c>
      <c r="AI124" s="30">
        <f t="shared" si="71"/>
        <v>-3196274176.9000001</v>
      </c>
      <c r="AJ124" s="30">
        <f t="shared" si="71"/>
        <v>39056752151.099998</v>
      </c>
      <c r="AK124" s="31">
        <f t="shared" si="71"/>
        <v>0</v>
      </c>
      <c r="AL124" s="30">
        <f t="shared" si="71"/>
        <v>2127647800.6399996</v>
      </c>
      <c r="AM124" s="30">
        <f t="shared" si="71"/>
        <v>17145453257.07</v>
      </c>
      <c r="AN124" s="31">
        <f t="shared" si="71"/>
        <v>0</v>
      </c>
      <c r="AO124" s="30">
        <f t="shared" si="71"/>
        <v>2127647118.6400001</v>
      </c>
      <c r="AP124" s="30">
        <f t="shared" si="71"/>
        <v>17145452575.07</v>
      </c>
      <c r="AQ124" s="30">
        <f t="shared" si="71"/>
        <v>4542630</v>
      </c>
      <c r="AR124" s="30">
        <f t="shared" si="71"/>
        <v>1683849187.3200002</v>
      </c>
      <c r="AS124" s="30">
        <f t="shared" si="71"/>
        <v>16654544699.969999</v>
      </c>
      <c r="AT124" s="30">
        <f t="shared" ref="AT124:AT138" si="72">AQ124+AS124</f>
        <v>16659087329.969999</v>
      </c>
      <c r="AU124" s="18">
        <f>AJ124-AM124</f>
        <v>21911298894.029999</v>
      </c>
      <c r="AV124" s="34">
        <f>AM124-AP124</f>
        <v>682</v>
      </c>
      <c r="AW124" s="18">
        <f>AP124-AT124</f>
        <v>486365245.10000038</v>
      </c>
      <c r="AX124" s="32">
        <f t="shared" si="66"/>
        <v>0.43898818080773555</v>
      </c>
    </row>
    <row r="125" spans="1:50" ht="18.75" customHeight="1" x14ac:dyDescent="0.2">
      <c r="A125" s="27" t="s">
        <v>55</v>
      </c>
      <c r="B125" s="27" t="s">
        <v>56</v>
      </c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8" t="s">
        <v>886</v>
      </c>
      <c r="AB125" s="29" t="s">
        <v>231</v>
      </c>
      <c r="AC125" s="30" t="s">
        <v>56</v>
      </c>
      <c r="AD125" s="30">
        <f>AD126</f>
        <v>40897026328</v>
      </c>
      <c r="AE125" s="30">
        <f>AE126</f>
        <v>429925823.10000002</v>
      </c>
      <c r="AF125" s="31">
        <f t="shared" ref="AF125:AS125" si="73">AF126</f>
        <v>0</v>
      </c>
      <c r="AG125" s="31">
        <f t="shared" si="73"/>
        <v>0</v>
      </c>
      <c r="AH125" s="30">
        <f t="shared" si="73"/>
        <v>3810200000</v>
      </c>
      <c r="AI125" s="30">
        <f t="shared" si="73"/>
        <v>-3380274176.9000001</v>
      </c>
      <c r="AJ125" s="30">
        <f t="shared" si="73"/>
        <v>37516752151.099998</v>
      </c>
      <c r="AK125" s="31">
        <f t="shared" si="73"/>
        <v>0</v>
      </c>
      <c r="AL125" s="30">
        <f t="shared" si="73"/>
        <v>2053893321.9999995</v>
      </c>
      <c r="AM125" s="30">
        <f t="shared" si="73"/>
        <v>16453853580</v>
      </c>
      <c r="AN125" s="31">
        <f t="shared" si="73"/>
        <v>0</v>
      </c>
      <c r="AO125" s="30">
        <f t="shared" si="73"/>
        <v>2053893322</v>
      </c>
      <c r="AP125" s="30">
        <f t="shared" si="73"/>
        <v>16453853580</v>
      </c>
      <c r="AQ125" s="31">
        <f t="shared" si="73"/>
        <v>0</v>
      </c>
      <c r="AR125" s="113">
        <f t="shared" si="73"/>
        <v>1623967498.9000001</v>
      </c>
      <c r="AS125" s="113">
        <f t="shared" si="73"/>
        <v>15985272536.9</v>
      </c>
      <c r="AT125" s="30">
        <f t="shared" si="72"/>
        <v>15985272536.9</v>
      </c>
      <c r="AU125" s="18">
        <f>AJ125-AM125</f>
        <v>21062898571.099998</v>
      </c>
      <c r="AV125" s="34">
        <f>AM125-AP125</f>
        <v>0</v>
      </c>
      <c r="AW125" s="18">
        <f>AP125-AT125</f>
        <v>468581043.10000038</v>
      </c>
      <c r="AX125" s="32">
        <f t="shared" si="66"/>
        <v>0.43857350747558166</v>
      </c>
    </row>
    <row r="126" spans="1:50" ht="29.25" customHeight="1" x14ac:dyDescent="0.2">
      <c r="A126" s="27" t="s">
        <v>55</v>
      </c>
      <c r="B126" s="27" t="s">
        <v>56</v>
      </c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8" t="s">
        <v>887</v>
      </c>
      <c r="AB126" s="29" t="s">
        <v>232</v>
      </c>
      <c r="AC126" s="30" t="s">
        <v>37</v>
      </c>
      <c r="AD126" s="30">
        <f>AD127+AD128+AD129+AD130</f>
        <v>40897026328</v>
      </c>
      <c r="AE126" s="30">
        <f t="shared" ref="AE126:AW126" si="74">AE127+AE128+AE129+AE130</f>
        <v>429925823.10000002</v>
      </c>
      <c r="AF126" s="31">
        <f t="shared" si="74"/>
        <v>0</v>
      </c>
      <c r="AG126" s="31">
        <f t="shared" si="74"/>
        <v>0</v>
      </c>
      <c r="AH126" s="30">
        <f t="shared" si="74"/>
        <v>3810200000</v>
      </c>
      <c r="AI126" s="30">
        <f t="shared" si="74"/>
        <v>-3380274176.9000001</v>
      </c>
      <c r="AJ126" s="30">
        <f t="shared" si="74"/>
        <v>37516752151.099998</v>
      </c>
      <c r="AK126" s="31">
        <f t="shared" si="74"/>
        <v>0</v>
      </c>
      <c r="AL126" s="30">
        <f t="shared" si="74"/>
        <v>2053893321.9999995</v>
      </c>
      <c r="AM126" s="30">
        <f t="shared" si="74"/>
        <v>16453853580</v>
      </c>
      <c r="AN126" s="31">
        <f t="shared" si="74"/>
        <v>0</v>
      </c>
      <c r="AO126" s="30">
        <f t="shared" si="74"/>
        <v>2053893322</v>
      </c>
      <c r="AP126" s="30">
        <f t="shared" si="74"/>
        <v>16453853580</v>
      </c>
      <c r="AQ126" s="31">
        <f t="shared" si="74"/>
        <v>0</v>
      </c>
      <c r="AR126" s="30">
        <f t="shared" si="74"/>
        <v>1623967498.9000001</v>
      </c>
      <c r="AS126" s="30">
        <f t="shared" si="74"/>
        <v>15985272536.9</v>
      </c>
      <c r="AT126" s="30">
        <f t="shared" si="74"/>
        <v>15985272536.9</v>
      </c>
      <c r="AU126" s="30">
        <f t="shared" si="74"/>
        <v>21062898571.099998</v>
      </c>
      <c r="AV126" s="30">
        <f t="shared" si="74"/>
        <v>0</v>
      </c>
      <c r="AW126" s="30">
        <f t="shared" si="74"/>
        <v>468581043.10000002</v>
      </c>
      <c r="AX126" s="32">
        <f t="shared" si="66"/>
        <v>0.43857350747558166</v>
      </c>
    </row>
    <row r="127" spans="1:50" ht="18.75" customHeight="1" x14ac:dyDescent="0.2">
      <c r="A127" s="14" t="s">
        <v>55</v>
      </c>
      <c r="B127" s="15" t="s">
        <v>56</v>
      </c>
      <c r="C127" s="15"/>
      <c r="D127" s="15" t="s">
        <v>40</v>
      </c>
      <c r="E127" s="15"/>
      <c r="F127" s="15"/>
      <c r="G127" s="15" t="s">
        <v>41</v>
      </c>
      <c r="H127" s="15"/>
      <c r="I127" s="15" t="s">
        <v>936</v>
      </c>
      <c r="J127" s="15"/>
      <c r="K127" s="15" t="s">
        <v>932</v>
      </c>
      <c r="L127" s="15"/>
      <c r="M127" s="15" t="s">
        <v>933</v>
      </c>
      <c r="N127" s="15"/>
      <c r="O127" s="15" t="s">
        <v>938</v>
      </c>
      <c r="P127" s="15"/>
      <c r="Q127" s="15" t="s">
        <v>939</v>
      </c>
      <c r="R127" s="15"/>
      <c r="S127" s="15" t="s">
        <v>940</v>
      </c>
      <c r="T127" s="15">
        <v>0</v>
      </c>
      <c r="U127" s="15">
        <v>0</v>
      </c>
      <c r="V127" s="15">
        <v>0</v>
      </c>
      <c r="W127" s="15">
        <v>0</v>
      </c>
      <c r="X127" s="15" t="s">
        <v>937</v>
      </c>
      <c r="Y127" s="15"/>
      <c r="Z127" s="15"/>
      <c r="AA127" s="41" t="s">
        <v>888</v>
      </c>
      <c r="AB127" s="17" t="s">
        <v>233</v>
      </c>
      <c r="AC127" s="17" t="s">
        <v>58</v>
      </c>
      <c r="AD127" s="18">
        <v>28000000000</v>
      </c>
      <c r="AE127" s="34">
        <v>0</v>
      </c>
      <c r="AF127" s="34">
        <v>0</v>
      </c>
      <c r="AG127" s="34">
        <v>0</v>
      </c>
      <c r="AH127" s="18">
        <f>900000000+80000000+2830200000</f>
        <v>3810200000</v>
      </c>
      <c r="AI127" s="18">
        <f>AE127-AF127+AG127-AH127</f>
        <v>-3810200000</v>
      </c>
      <c r="AJ127" s="18">
        <f>AD127+AI127</f>
        <v>24189800000</v>
      </c>
      <c r="AK127" s="34">
        <v>0</v>
      </c>
      <c r="AL127" s="18">
        <f>AM127-JUNIO!AM127</f>
        <v>1452667695.8999996</v>
      </c>
      <c r="AM127" s="18">
        <v>4755277475.8999996</v>
      </c>
      <c r="AN127" s="34">
        <v>0</v>
      </c>
      <c r="AO127" s="18">
        <v>1452667695.9000001</v>
      </c>
      <c r="AP127" s="18">
        <v>4755277475.8999996</v>
      </c>
      <c r="AQ127" s="34">
        <v>0</v>
      </c>
      <c r="AR127" s="18">
        <v>1452667695.9000001</v>
      </c>
      <c r="AS127" s="18">
        <v>4755277475.8999996</v>
      </c>
      <c r="AT127" s="39">
        <f t="shared" si="72"/>
        <v>4755277475.8999996</v>
      </c>
      <c r="AU127" s="18">
        <f t="shared" ref="AU127:AU138" si="75">AJ127-AM127</f>
        <v>19434522524.099998</v>
      </c>
      <c r="AV127" s="34">
        <f t="shared" ref="AV127:AV138" si="76">AM127-AP127</f>
        <v>0</v>
      </c>
      <c r="AW127" s="34">
        <f t="shared" ref="AW127:AW138" si="77">AP127-AT127</f>
        <v>0</v>
      </c>
      <c r="AX127" s="32">
        <f t="shared" si="66"/>
        <v>0.19658192609694994</v>
      </c>
    </row>
    <row r="128" spans="1:50" ht="28.5" customHeight="1" x14ac:dyDescent="0.2">
      <c r="A128" s="4" t="s">
        <v>55</v>
      </c>
      <c r="B128" s="4" t="s">
        <v>56</v>
      </c>
      <c r="C128" s="4"/>
      <c r="D128" s="4" t="s">
        <v>40</v>
      </c>
      <c r="E128" s="4"/>
      <c r="F128" s="4"/>
      <c r="G128" s="4" t="s">
        <v>41</v>
      </c>
      <c r="H128" s="4"/>
      <c r="I128" s="4" t="s">
        <v>936</v>
      </c>
      <c r="J128" s="4"/>
      <c r="K128" s="4" t="s">
        <v>932</v>
      </c>
      <c r="L128" s="4"/>
      <c r="M128" s="4" t="s">
        <v>933</v>
      </c>
      <c r="N128" s="4"/>
      <c r="O128" s="4" t="s">
        <v>938</v>
      </c>
      <c r="P128" s="4"/>
      <c r="Q128" s="4" t="s">
        <v>939</v>
      </c>
      <c r="R128" s="4"/>
      <c r="S128" s="4" t="s">
        <v>940</v>
      </c>
      <c r="T128" s="4">
        <v>0</v>
      </c>
      <c r="U128" s="4">
        <v>0</v>
      </c>
      <c r="V128" s="4">
        <v>0</v>
      </c>
      <c r="W128" s="4">
        <v>0</v>
      </c>
      <c r="X128" s="4" t="s">
        <v>937</v>
      </c>
      <c r="Y128" s="4"/>
      <c r="Z128" s="4"/>
      <c r="AA128" s="41" t="s">
        <v>889</v>
      </c>
      <c r="AB128" s="42" t="s">
        <v>234</v>
      </c>
      <c r="AC128" s="43" t="s">
        <v>235</v>
      </c>
      <c r="AD128" s="43">
        <v>10000000000</v>
      </c>
      <c r="AE128" s="44">
        <v>0</v>
      </c>
      <c r="AF128" s="44">
        <v>0</v>
      </c>
      <c r="AG128" s="44">
        <v>0</v>
      </c>
      <c r="AH128" s="44">
        <v>0</v>
      </c>
      <c r="AI128" s="44">
        <v>0</v>
      </c>
      <c r="AJ128" s="43">
        <v>10000000000</v>
      </c>
      <c r="AK128" s="44">
        <v>0</v>
      </c>
      <c r="AL128" s="18">
        <f>AM128-JUNIO!AM128</f>
        <v>0</v>
      </c>
      <c r="AM128" s="43">
        <v>10000000000</v>
      </c>
      <c r="AN128" s="44">
        <v>0</v>
      </c>
      <c r="AO128" s="43">
        <v>0</v>
      </c>
      <c r="AP128" s="43">
        <v>10000000000</v>
      </c>
      <c r="AQ128" s="44">
        <v>0</v>
      </c>
      <c r="AR128" s="18">
        <v>0</v>
      </c>
      <c r="AS128" s="114">
        <v>10000000000</v>
      </c>
      <c r="AT128" s="39">
        <f t="shared" si="72"/>
        <v>10000000000</v>
      </c>
      <c r="AU128" s="18">
        <f t="shared" si="75"/>
        <v>0</v>
      </c>
      <c r="AV128" s="34">
        <f t="shared" si="76"/>
        <v>0</v>
      </c>
      <c r="AW128" s="18">
        <f t="shared" si="77"/>
        <v>0</v>
      </c>
      <c r="AX128" s="32">
        <f t="shared" si="66"/>
        <v>1</v>
      </c>
    </row>
    <row r="129" spans="1:50" ht="27" customHeight="1" x14ac:dyDescent="0.2">
      <c r="A129" s="4" t="s">
        <v>55</v>
      </c>
      <c r="B129" s="4" t="s">
        <v>56</v>
      </c>
      <c r="C129" s="4"/>
      <c r="D129" s="4" t="s">
        <v>40</v>
      </c>
      <c r="E129" s="4"/>
      <c r="F129" s="4"/>
      <c r="G129" s="4" t="s">
        <v>41</v>
      </c>
      <c r="H129" s="4"/>
      <c r="I129" s="4" t="s">
        <v>936</v>
      </c>
      <c r="J129" s="4"/>
      <c r="K129" s="4" t="s">
        <v>932</v>
      </c>
      <c r="L129" s="4"/>
      <c r="M129" s="4" t="s">
        <v>933</v>
      </c>
      <c r="N129" s="4"/>
      <c r="O129" s="4" t="s">
        <v>938</v>
      </c>
      <c r="P129" s="4"/>
      <c r="Q129" s="4" t="s">
        <v>939</v>
      </c>
      <c r="R129" s="4"/>
      <c r="S129" s="4" t="s">
        <v>940</v>
      </c>
      <c r="T129" s="4">
        <v>0</v>
      </c>
      <c r="U129" s="4">
        <v>0</v>
      </c>
      <c r="V129" s="4">
        <v>0</v>
      </c>
      <c r="W129" s="4">
        <v>0</v>
      </c>
      <c r="X129" s="4" t="s">
        <v>937</v>
      </c>
      <c r="Y129" s="4"/>
      <c r="Z129" s="4"/>
      <c r="AA129" s="41" t="s">
        <v>890</v>
      </c>
      <c r="AB129" s="42" t="s">
        <v>236</v>
      </c>
      <c r="AC129" s="38" t="s">
        <v>237</v>
      </c>
      <c r="AD129" s="39">
        <v>2897026328</v>
      </c>
      <c r="AE129" s="40">
        <v>0</v>
      </c>
      <c r="AF129" s="40">
        <v>0</v>
      </c>
      <c r="AG129" s="40">
        <v>0</v>
      </c>
      <c r="AH129" s="40">
        <v>0</v>
      </c>
      <c r="AI129" s="40">
        <v>0</v>
      </c>
      <c r="AJ129" s="39">
        <v>2897026328</v>
      </c>
      <c r="AK129" s="40">
        <v>0</v>
      </c>
      <c r="AL129" s="18">
        <f>AM129-JUNIO!AM129</f>
        <v>171299803</v>
      </c>
      <c r="AM129" s="39">
        <v>1268650281</v>
      </c>
      <c r="AN129" s="40">
        <v>0</v>
      </c>
      <c r="AO129" s="39">
        <v>171299803</v>
      </c>
      <c r="AP129" s="39">
        <v>1268650281</v>
      </c>
      <c r="AQ129" s="40">
        <v>0</v>
      </c>
      <c r="AR129" s="18">
        <v>171299803</v>
      </c>
      <c r="AS129" s="39">
        <v>1229995061</v>
      </c>
      <c r="AT129" s="39">
        <f t="shared" si="72"/>
        <v>1229995061</v>
      </c>
      <c r="AU129" s="18">
        <f t="shared" si="75"/>
        <v>1628376047</v>
      </c>
      <c r="AV129" s="34">
        <f t="shared" si="76"/>
        <v>0</v>
      </c>
      <c r="AW129" s="18">
        <f t="shared" si="77"/>
        <v>38655220</v>
      </c>
      <c r="AX129" s="32">
        <f t="shared" si="66"/>
        <v>0.43791465363582988</v>
      </c>
    </row>
    <row r="130" spans="1:50" ht="27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1" t="s">
        <v>994</v>
      </c>
      <c r="AB130" s="42" t="s">
        <v>995</v>
      </c>
      <c r="AC130" s="38"/>
      <c r="AD130" s="39">
        <v>0</v>
      </c>
      <c r="AE130" s="39">
        <v>429925823.10000002</v>
      </c>
      <c r="AF130" s="40">
        <v>0</v>
      </c>
      <c r="AG130" s="40">
        <v>0</v>
      </c>
      <c r="AH130" s="40">
        <v>0</v>
      </c>
      <c r="AI130" s="18">
        <f>AE130-AF130+AG130-AH130</f>
        <v>429925823.10000002</v>
      </c>
      <c r="AJ130" s="18">
        <f>AD130+AI130</f>
        <v>429925823.10000002</v>
      </c>
      <c r="AK130" s="40">
        <v>0</v>
      </c>
      <c r="AL130" s="18">
        <f>AM130-JUNIO!AM130</f>
        <v>429925823.10000002</v>
      </c>
      <c r="AM130" s="39">
        <v>429925823.10000002</v>
      </c>
      <c r="AN130" s="40">
        <v>0</v>
      </c>
      <c r="AO130" s="40">
        <v>429925823.10000002</v>
      </c>
      <c r="AP130" s="40">
        <v>429925823.10000002</v>
      </c>
      <c r="AQ130" s="40">
        <v>0</v>
      </c>
      <c r="AR130" s="34">
        <v>0</v>
      </c>
      <c r="AS130" s="40">
        <v>0</v>
      </c>
      <c r="AT130" s="30">
        <f t="shared" si="72"/>
        <v>0</v>
      </c>
      <c r="AU130" s="18">
        <f t="shared" si="75"/>
        <v>0</v>
      </c>
      <c r="AV130" s="34">
        <f t="shared" si="76"/>
        <v>0</v>
      </c>
      <c r="AW130" s="18">
        <f t="shared" si="77"/>
        <v>429925823.10000002</v>
      </c>
      <c r="AX130" s="32">
        <f t="shared" si="66"/>
        <v>1</v>
      </c>
    </row>
    <row r="131" spans="1:50" ht="18.75" customHeight="1" x14ac:dyDescent="0.2">
      <c r="A131" s="27" t="s">
        <v>55</v>
      </c>
      <c r="B131" s="27" t="s">
        <v>56</v>
      </c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8" t="s">
        <v>891</v>
      </c>
      <c r="AB131" s="29" t="s">
        <v>238</v>
      </c>
      <c r="AC131" s="30" t="s">
        <v>37</v>
      </c>
      <c r="AD131" s="30">
        <f>AD132+AD133</f>
        <v>1000000000</v>
      </c>
      <c r="AE131" s="31">
        <f t="shared" ref="AE131:AS131" si="78">AE132+AE133</f>
        <v>0</v>
      </c>
      <c r="AF131" s="31">
        <f t="shared" si="78"/>
        <v>0</v>
      </c>
      <c r="AG131" s="31">
        <f t="shared" si="78"/>
        <v>0</v>
      </c>
      <c r="AH131" s="31">
        <f t="shared" si="78"/>
        <v>0</v>
      </c>
      <c r="AI131" s="31">
        <f t="shared" si="78"/>
        <v>0</v>
      </c>
      <c r="AJ131" s="30">
        <f t="shared" si="78"/>
        <v>1000000000</v>
      </c>
      <c r="AK131" s="31">
        <f t="shared" si="78"/>
        <v>0</v>
      </c>
      <c r="AL131" s="109">
        <f t="shared" si="78"/>
        <v>12823093.640000001</v>
      </c>
      <c r="AM131" s="109">
        <f t="shared" si="78"/>
        <v>386228507.06999999</v>
      </c>
      <c r="AN131" s="31">
        <f t="shared" si="78"/>
        <v>0</v>
      </c>
      <c r="AO131" s="109">
        <f t="shared" si="78"/>
        <v>12823093.640000001</v>
      </c>
      <c r="AP131" s="109">
        <f t="shared" si="78"/>
        <v>386228507.06999999</v>
      </c>
      <c r="AQ131" s="31">
        <f t="shared" si="78"/>
        <v>0</v>
      </c>
      <c r="AR131" s="109">
        <f t="shared" si="78"/>
        <v>13372602.42</v>
      </c>
      <c r="AS131" s="109">
        <f t="shared" si="78"/>
        <v>386228507.06999999</v>
      </c>
      <c r="AT131" s="30">
        <f t="shared" si="72"/>
        <v>386228507.06999999</v>
      </c>
      <c r="AU131" s="176">
        <f t="shared" si="75"/>
        <v>613771492.93000007</v>
      </c>
      <c r="AV131" s="34">
        <f t="shared" si="76"/>
        <v>0</v>
      </c>
      <c r="AW131" s="18">
        <f t="shared" si="77"/>
        <v>0</v>
      </c>
      <c r="AX131" s="32">
        <f t="shared" si="66"/>
        <v>0.38622850707</v>
      </c>
    </row>
    <row r="132" spans="1:50" ht="18.75" customHeight="1" x14ac:dyDescent="0.2">
      <c r="A132" s="4" t="s">
        <v>55</v>
      </c>
      <c r="B132" s="4" t="s">
        <v>56</v>
      </c>
      <c r="C132" s="4"/>
      <c r="D132" s="4" t="s">
        <v>40</v>
      </c>
      <c r="E132" s="4"/>
      <c r="F132" s="4"/>
      <c r="G132" s="4" t="s">
        <v>41</v>
      </c>
      <c r="H132" s="4"/>
      <c r="I132" s="4" t="s">
        <v>936</v>
      </c>
      <c r="J132" s="4"/>
      <c r="K132" s="4" t="s">
        <v>932</v>
      </c>
      <c r="L132" s="4"/>
      <c r="M132" s="4" t="s">
        <v>933</v>
      </c>
      <c r="N132" s="4"/>
      <c r="O132" s="4" t="s">
        <v>938</v>
      </c>
      <c r="P132" s="4"/>
      <c r="Q132" s="4" t="s">
        <v>939</v>
      </c>
      <c r="R132" s="4"/>
      <c r="S132" s="4" t="s">
        <v>940</v>
      </c>
      <c r="T132" s="4">
        <v>0</v>
      </c>
      <c r="U132" s="4">
        <v>0</v>
      </c>
      <c r="V132" s="4">
        <v>0</v>
      </c>
      <c r="W132" s="4">
        <v>0</v>
      </c>
      <c r="X132" s="4" t="s">
        <v>937</v>
      </c>
      <c r="Y132" s="4"/>
      <c r="Z132" s="4"/>
      <c r="AA132" s="41" t="s">
        <v>893</v>
      </c>
      <c r="AB132" s="42" t="s">
        <v>233</v>
      </c>
      <c r="AC132" s="43" t="s">
        <v>58</v>
      </c>
      <c r="AD132" s="43">
        <v>500000000</v>
      </c>
      <c r="AE132" s="44">
        <v>0</v>
      </c>
      <c r="AF132" s="44">
        <v>0</v>
      </c>
      <c r="AG132" s="44">
        <v>0</v>
      </c>
      <c r="AH132" s="44">
        <v>0</v>
      </c>
      <c r="AI132" s="44">
        <v>0</v>
      </c>
      <c r="AJ132" s="43">
        <v>500000000</v>
      </c>
      <c r="AK132" s="44">
        <v>0</v>
      </c>
      <c r="AL132" s="114">
        <f>AM132-JUNIO!AM132</f>
        <v>1917093.6400000006</v>
      </c>
      <c r="AM132" s="43">
        <v>14609254.07</v>
      </c>
      <c r="AN132" s="44">
        <v>0</v>
      </c>
      <c r="AO132" s="43">
        <v>1917093.64</v>
      </c>
      <c r="AP132" s="43">
        <v>14609254.07</v>
      </c>
      <c r="AQ132" s="43">
        <v>0</v>
      </c>
      <c r="AR132" s="43">
        <v>2466602.42</v>
      </c>
      <c r="AS132" s="43">
        <v>14609254.07</v>
      </c>
      <c r="AT132" s="39">
        <f t="shared" si="72"/>
        <v>14609254.07</v>
      </c>
      <c r="AU132" s="18">
        <f t="shared" si="75"/>
        <v>485390745.93000001</v>
      </c>
      <c r="AV132" s="34">
        <f t="shared" si="76"/>
        <v>0</v>
      </c>
      <c r="AW132" s="18">
        <f t="shared" si="77"/>
        <v>0</v>
      </c>
      <c r="AX132" s="32">
        <f t="shared" si="66"/>
        <v>2.9218508140000002E-2</v>
      </c>
    </row>
    <row r="133" spans="1:50" ht="18.75" customHeight="1" x14ac:dyDescent="0.2">
      <c r="A133" s="4" t="s">
        <v>55</v>
      </c>
      <c r="B133" s="4" t="s">
        <v>56</v>
      </c>
      <c r="C133" s="4"/>
      <c r="D133" s="4" t="s">
        <v>40</v>
      </c>
      <c r="E133" s="4"/>
      <c r="F133" s="4"/>
      <c r="G133" s="4" t="s">
        <v>41</v>
      </c>
      <c r="H133" s="4"/>
      <c r="I133" s="4" t="s">
        <v>936</v>
      </c>
      <c r="J133" s="4"/>
      <c r="K133" s="4" t="s">
        <v>932</v>
      </c>
      <c r="L133" s="4"/>
      <c r="M133" s="4" t="s">
        <v>933</v>
      </c>
      <c r="N133" s="4"/>
      <c r="O133" s="4" t="s">
        <v>938</v>
      </c>
      <c r="P133" s="4"/>
      <c r="Q133" s="4" t="s">
        <v>939</v>
      </c>
      <c r="R133" s="4"/>
      <c r="S133" s="4" t="s">
        <v>940</v>
      </c>
      <c r="T133" s="4">
        <v>0</v>
      </c>
      <c r="U133" s="4">
        <v>0</v>
      </c>
      <c r="V133" s="4">
        <v>0</v>
      </c>
      <c r="W133" s="4">
        <v>0</v>
      </c>
      <c r="X133" s="4" t="s">
        <v>937</v>
      </c>
      <c r="Y133" s="4"/>
      <c r="Z133" s="4"/>
      <c r="AA133" s="41" t="s">
        <v>892</v>
      </c>
      <c r="AB133" s="42" t="s">
        <v>239</v>
      </c>
      <c r="AC133" s="43" t="s">
        <v>240</v>
      </c>
      <c r="AD133" s="43">
        <v>500000000</v>
      </c>
      <c r="AE133" s="44">
        <v>0</v>
      </c>
      <c r="AF133" s="44">
        <v>0</v>
      </c>
      <c r="AG133" s="44">
        <v>0</v>
      </c>
      <c r="AH133" s="44">
        <v>0</v>
      </c>
      <c r="AI133" s="44">
        <v>0</v>
      </c>
      <c r="AJ133" s="43">
        <v>500000000</v>
      </c>
      <c r="AK133" s="44">
        <v>0</v>
      </c>
      <c r="AL133" s="114">
        <f>AM133-JUNIO!AM133</f>
        <v>10906000</v>
      </c>
      <c r="AM133" s="114">
        <v>371619253</v>
      </c>
      <c r="AN133" s="44">
        <v>0</v>
      </c>
      <c r="AO133" s="114">
        <v>10906000</v>
      </c>
      <c r="AP133" s="114">
        <v>371619253</v>
      </c>
      <c r="AQ133" s="44">
        <v>0</v>
      </c>
      <c r="AR133" s="114">
        <v>10906000</v>
      </c>
      <c r="AS133" s="114">
        <v>371619253</v>
      </c>
      <c r="AT133" s="39">
        <f t="shared" si="72"/>
        <v>371619253</v>
      </c>
      <c r="AU133" s="18">
        <f t="shared" si="75"/>
        <v>128380747</v>
      </c>
      <c r="AV133" s="34">
        <f t="shared" si="76"/>
        <v>0</v>
      </c>
      <c r="AW133" s="34">
        <f t="shared" si="77"/>
        <v>0</v>
      </c>
      <c r="AX133" s="32">
        <f t="shared" si="66"/>
        <v>0.74323850599999997</v>
      </c>
    </row>
    <row r="134" spans="1:50" ht="18.75" customHeight="1" x14ac:dyDescent="0.2">
      <c r="A134" s="27" t="s">
        <v>55</v>
      </c>
      <c r="B134" s="27" t="s">
        <v>56</v>
      </c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8" t="s">
        <v>894</v>
      </c>
      <c r="AB134" s="29" t="s">
        <v>241</v>
      </c>
      <c r="AC134" s="30" t="s">
        <v>37</v>
      </c>
      <c r="AD134" s="30">
        <f>AD135</f>
        <v>80000000</v>
      </c>
      <c r="AE134" s="31">
        <f t="shared" ref="AE134:AS134" si="79">AE135</f>
        <v>0</v>
      </c>
      <c r="AF134" s="31">
        <f t="shared" si="79"/>
        <v>0</v>
      </c>
      <c r="AG134" s="30">
        <f t="shared" si="79"/>
        <v>160000000</v>
      </c>
      <c r="AH134" s="31">
        <f t="shared" si="79"/>
        <v>0</v>
      </c>
      <c r="AI134" s="30">
        <f t="shared" si="79"/>
        <v>160000000</v>
      </c>
      <c r="AJ134" s="30">
        <f t="shared" si="79"/>
        <v>240000000</v>
      </c>
      <c r="AK134" s="31">
        <f t="shared" si="79"/>
        <v>0</v>
      </c>
      <c r="AL134" s="30">
        <f t="shared" si="79"/>
        <v>36187425</v>
      </c>
      <c r="AM134" s="109">
        <f t="shared" si="79"/>
        <v>112336830</v>
      </c>
      <c r="AN134" s="31">
        <f t="shared" si="79"/>
        <v>0</v>
      </c>
      <c r="AO134" s="109">
        <f t="shared" si="79"/>
        <v>36187425</v>
      </c>
      <c r="AP134" s="109">
        <f t="shared" si="79"/>
        <v>112336830</v>
      </c>
      <c r="AQ134" s="30">
        <f t="shared" si="79"/>
        <v>4542630</v>
      </c>
      <c r="AR134" s="172">
        <f t="shared" si="79"/>
        <v>36187425</v>
      </c>
      <c r="AS134" s="109">
        <f t="shared" si="79"/>
        <v>107794200</v>
      </c>
      <c r="AT134" s="30">
        <f t="shared" si="72"/>
        <v>112336830</v>
      </c>
      <c r="AU134" s="176">
        <f t="shared" si="75"/>
        <v>127663170</v>
      </c>
      <c r="AV134" s="34">
        <f t="shared" si="76"/>
        <v>0</v>
      </c>
      <c r="AW134" s="34">
        <f t="shared" si="77"/>
        <v>0</v>
      </c>
      <c r="AX134" s="32">
        <f t="shared" si="66"/>
        <v>0.468070125</v>
      </c>
    </row>
    <row r="135" spans="1:50" ht="18.75" customHeight="1" x14ac:dyDescent="0.2">
      <c r="A135" s="4" t="s">
        <v>55</v>
      </c>
      <c r="B135" s="4" t="s">
        <v>56</v>
      </c>
      <c r="C135" s="4"/>
      <c r="D135" s="4" t="s">
        <v>40</v>
      </c>
      <c r="E135" s="4"/>
      <c r="F135" s="4"/>
      <c r="G135" s="4" t="s">
        <v>41</v>
      </c>
      <c r="H135" s="4"/>
      <c r="I135" s="4" t="s">
        <v>936</v>
      </c>
      <c r="J135" s="4"/>
      <c r="K135" s="4" t="s">
        <v>932</v>
      </c>
      <c r="L135" s="4"/>
      <c r="M135" s="4" t="s">
        <v>933</v>
      </c>
      <c r="N135" s="4"/>
      <c r="O135" s="4" t="s">
        <v>938</v>
      </c>
      <c r="P135" s="4"/>
      <c r="Q135" s="4" t="s">
        <v>939</v>
      </c>
      <c r="R135" s="4"/>
      <c r="S135" s="4" t="s">
        <v>940</v>
      </c>
      <c r="T135" s="4">
        <v>0</v>
      </c>
      <c r="U135" s="4">
        <v>0</v>
      </c>
      <c r="V135" s="4">
        <v>0</v>
      </c>
      <c r="W135" s="4">
        <v>0</v>
      </c>
      <c r="X135" s="4" t="s">
        <v>937</v>
      </c>
      <c r="Y135" s="4"/>
      <c r="Z135" s="4"/>
      <c r="AA135" s="41" t="s">
        <v>895</v>
      </c>
      <c r="AB135" s="42" t="s">
        <v>242</v>
      </c>
      <c r="AC135" s="43" t="s">
        <v>58</v>
      </c>
      <c r="AD135" s="43">
        <v>80000000</v>
      </c>
      <c r="AE135" s="44">
        <v>0</v>
      </c>
      <c r="AF135" s="44">
        <v>0</v>
      </c>
      <c r="AG135" s="43">
        <v>160000000</v>
      </c>
      <c r="AH135" s="44">
        <v>0</v>
      </c>
      <c r="AI135" s="18">
        <f>AE135-AF135+AG135-AH135</f>
        <v>160000000</v>
      </c>
      <c r="AJ135" s="18">
        <f>AD135+AI135</f>
        <v>240000000</v>
      </c>
      <c r="AK135" s="44">
        <v>0</v>
      </c>
      <c r="AL135" s="43">
        <f>AM135-JUNIO!AM135</f>
        <v>36187425</v>
      </c>
      <c r="AM135" s="114">
        <v>112336830</v>
      </c>
      <c r="AN135" s="44">
        <v>0</v>
      </c>
      <c r="AO135" s="114">
        <v>36187425</v>
      </c>
      <c r="AP135" s="114">
        <v>112336830</v>
      </c>
      <c r="AQ135" s="43">
        <v>4542630</v>
      </c>
      <c r="AR135" s="115">
        <v>36187425</v>
      </c>
      <c r="AS135" s="114">
        <v>107794200</v>
      </c>
      <c r="AT135" s="39">
        <f t="shared" si="72"/>
        <v>112336830</v>
      </c>
      <c r="AU135" s="18">
        <f t="shared" si="75"/>
        <v>127663170</v>
      </c>
      <c r="AV135" s="34">
        <f t="shared" si="76"/>
        <v>0</v>
      </c>
      <c r="AW135" s="34">
        <f t="shared" si="77"/>
        <v>0</v>
      </c>
      <c r="AX135" s="32">
        <f t="shared" si="66"/>
        <v>0.468070125</v>
      </c>
    </row>
    <row r="136" spans="1:50" ht="18.75" customHeight="1" x14ac:dyDescent="0.2">
      <c r="A136" s="4" t="s">
        <v>55</v>
      </c>
      <c r="B136" s="4" t="s">
        <v>56</v>
      </c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1" t="s">
        <v>896</v>
      </c>
      <c r="AB136" s="42" t="s">
        <v>243</v>
      </c>
      <c r="AC136" s="43" t="s">
        <v>58</v>
      </c>
      <c r="AD136" s="44">
        <v>0</v>
      </c>
      <c r="AE136" s="44">
        <v>0</v>
      </c>
      <c r="AF136" s="44">
        <v>0</v>
      </c>
      <c r="AG136" s="44">
        <v>0</v>
      </c>
      <c r="AH136" s="44">
        <v>0</v>
      </c>
      <c r="AI136" s="44">
        <v>0</v>
      </c>
      <c r="AJ136" s="44">
        <v>0</v>
      </c>
      <c r="AK136" s="44">
        <v>0</v>
      </c>
      <c r="AL136" s="43">
        <f>AM136-JUNIO!AM136</f>
        <v>0</v>
      </c>
      <c r="AM136" s="44">
        <v>0</v>
      </c>
      <c r="AN136" s="44">
        <v>0</v>
      </c>
      <c r="AO136" s="44">
        <v>0</v>
      </c>
      <c r="AP136" s="44">
        <v>0</v>
      </c>
      <c r="AQ136" s="44">
        <v>0</v>
      </c>
      <c r="AR136" s="44">
        <v>0</v>
      </c>
      <c r="AS136" s="44">
        <v>0</v>
      </c>
      <c r="AT136" s="40">
        <f t="shared" si="72"/>
        <v>0</v>
      </c>
      <c r="AU136" s="34">
        <f t="shared" si="75"/>
        <v>0</v>
      </c>
      <c r="AV136" s="34">
        <f t="shared" si="76"/>
        <v>0</v>
      </c>
      <c r="AW136" s="34">
        <f t="shared" si="77"/>
        <v>0</v>
      </c>
      <c r="AX136" s="32">
        <v>0</v>
      </c>
    </row>
    <row r="137" spans="1:50" ht="18.75" customHeight="1" x14ac:dyDescent="0.2">
      <c r="A137" s="4" t="s">
        <v>55</v>
      </c>
      <c r="B137" s="4" t="s">
        <v>56</v>
      </c>
      <c r="C137" s="4"/>
      <c r="D137" s="4" t="s">
        <v>40</v>
      </c>
      <c r="E137" s="4"/>
      <c r="F137" s="4"/>
      <c r="G137" s="4" t="s">
        <v>41</v>
      </c>
      <c r="H137" s="4"/>
      <c r="I137" s="4" t="s">
        <v>936</v>
      </c>
      <c r="J137" s="4"/>
      <c r="K137" s="4" t="s">
        <v>932</v>
      </c>
      <c r="L137" s="4"/>
      <c r="M137" s="4" t="s">
        <v>933</v>
      </c>
      <c r="N137" s="4"/>
      <c r="O137" s="4" t="s">
        <v>938</v>
      </c>
      <c r="P137" s="4"/>
      <c r="Q137" s="4" t="s">
        <v>939</v>
      </c>
      <c r="R137" s="4"/>
      <c r="S137" s="4" t="s">
        <v>940</v>
      </c>
      <c r="T137" s="4">
        <v>0</v>
      </c>
      <c r="U137" s="4">
        <v>0</v>
      </c>
      <c r="V137" s="4">
        <v>0</v>
      </c>
      <c r="W137" s="4">
        <v>0</v>
      </c>
      <c r="X137" s="4" t="s">
        <v>937</v>
      </c>
      <c r="Y137" s="4"/>
      <c r="Z137" s="4"/>
      <c r="AA137" s="41" t="s">
        <v>897</v>
      </c>
      <c r="AB137" s="42" t="s">
        <v>244</v>
      </c>
      <c r="AC137" s="43" t="s">
        <v>58</v>
      </c>
      <c r="AD137" s="43">
        <v>10000000</v>
      </c>
      <c r="AE137" s="44">
        <v>0</v>
      </c>
      <c r="AF137" s="44">
        <v>0</v>
      </c>
      <c r="AG137" s="43">
        <v>24000000</v>
      </c>
      <c r="AH137" s="44">
        <v>0</v>
      </c>
      <c r="AI137" s="18">
        <f>AE137-AF137+AG137-AH137</f>
        <v>24000000</v>
      </c>
      <c r="AJ137" s="18">
        <f>AD137+AI137</f>
        <v>34000000</v>
      </c>
      <c r="AK137" s="44">
        <v>0</v>
      </c>
      <c r="AL137" s="43">
        <f>AM137-JUNIO!AM137</f>
        <v>3634104</v>
      </c>
      <c r="AM137" s="43">
        <v>11657223</v>
      </c>
      <c r="AN137" s="44">
        <v>0</v>
      </c>
      <c r="AO137" s="44">
        <v>3634104</v>
      </c>
      <c r="AP137" s="43">
        <v>11657223</v>
      </c>
      <c r="AQ137" s="44">
        <v>0</v>
      </c>
      <c r="AR137" s="44">
        <v>3634104</v>
      </c>
      <c r="AS137" s="43">
        <v>11657223</v>
      </c>
      <c r="AT137" s="39">
        <f t="shared" si="72"/>
        <v>11657223</v>
      </c>
      <c r="AU137" s="18">
        <f t="shared" si="75"/>
        <v>22342777</v>
      </c>
      <c r="AV137" s="34">
        <f t="shared" si="76"/>
        <v>0</v>
      </c>
      <c r="AW137" s="34">
        <f t="shared" si="77"/>
        <v>0</v>
      </c>
      <c r="AX137" s="32">
        <f t="shared" ref="AX137:AX143" si="80">AP137/AJ137</f>
        <v>0.34285949999999998</v>
      </c>
    </row>
    <row r="138" spans="1:50" ht="18.75" customHeight="1" x14ac:dyDescent="0.2">
      <c r="A138" s="4" t="s">
        <v>55</v>
      </c>
      <c r="B138" s="4" t="s">
        <v>56</v>
      </c>
      <c r="C138" s="4"/>
      <c r="D138" s="4" t="s">
        <v>40</v>
      </c>
      <c r="E138" s="4"/>
      <c r="F138" s="4"/>
      <c r="G138" s="4" t="s">
        <v>41</v>
      </c>
      <c r="H138" s="4"/>
      <c r="I138" s="4" t="s">
        <v>936</v>
      </c>
      <c r="J138" s="4"/>
      <c r="K138" s="4" t="s">
        <v>932</v>
      </c>
      <c r="L138" s="4"/>
      <c r="M138" s="4" t="s">
        <v>933</v>
      </c>
      <c r="N138" s="4"/>
      <c r="O138" s="4" t="s">
        <v>938</v>
      </c>
      <c r="P138" s="4"/>
      <c r="Q138" s="4" t="s">
        <v>942</v>
      </c>
      <c r="R138" s="4"/>
      <c r="S138" s="4" t="s">
        <v>940</v>
      </c>
      <c r="T138" s="4">
        <v>0</v>
      </c>
      <c r="U138" s="4">
        <v>0</v>
      </c>
      <c r="V138" s="4">
        <v>0</v>
      </c>
      <c r="W138" s="4">
        <v>0</v>
      </c>
      <c r="X138" s="4" t="s">
        <v>937</v>
      </c>
      <c r="Y138" s="4"/>
      <c r="Z138" s="4"/>
      <c r="AA138" s="41" t="s">
        <v>898</v>
      </c>
      <c r="AB138" s="42" t="s">
        <v>245</v>
      </c>
      <c r="AC138" s="43" t="s">
        <v>58</v>
      </c>
      <c r="AD138" s="43">
        <v>266000000</v>
      </c>
      <c r="AE138" s="44">
        <v>0</v>
      </c>
      <c r="AF138" s="44">
        <v>0</v>
      </c>
      <c r="AG138" s="44">
        <v>0</v>
      </c>
      <c r="AH138" s="44">
        <v>0</v>
      </c>
      <c r="AI138" s="44">
        <v>0</v>
      </c>
      <c r="AJ138" s="43">
        <v>266000000</v>
      </c>
      <c r="AK138" s="44">
        <v>0</v>
      </c>
      <c r="AL138" s="43">
        <f>AM138-JUNIO!AM138</f>
        <v>21109856</v>
      </c>
      <c r="AM138" s="43">
        <v>181377117</v>
      </c>
      <c r="AN138" s="44">
        <v>0</v>
      </c>
      <c r="AO138" s="43">
        <v>21109174</v>
      </c>
      <c r="AP138" s="43">
        <v>181376435</v>
      </c>
      <c r="AQ138" s="44">
        <v>0</v>
      </c>
      <c r="AR138" s="43">
        <v>6687557</v>
      </c>
      <c r="AS138" s="114">
        <v>163592233</v>
      </c>
      <c r="AT138" s="39">
        <f t="shared" si="72"/>
        <v>163592233</v>
      </c>
      <c r="AU138" s="18">
        <f t="shared" si="75"/>
        <v>84622883</v>
      </c>
      <c r="AV138" s="34">
        <f t="shared" si="76"/>
        <v>682</v>
      </c>
      <c r="AW138" s="18">
        <f t="shared" si="77"/>
        <v>17784202</v>
      </c>
      <c r="AX138" s="32">
        <f t="shared" si="80"/>
        <v>0.68186629699248125</v>
      </c>
    </row>
    <row r="139" spans="1:50" s="25" customFormat="1" ht="18.75" customHeight="1" x14ac:dyDescent="0.2">
      <c r="A139" s="19" t="s">
        <v>55</v>
      </c>
      <c r="B139" s="19" t="s">
        <v>56</v>
      </c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26" t="s">
        <v>899</v>
      </c>
      <c r="AB139" s="21" t="s">
        <v>246</v>
      </c>
      <c r="AC139" s="22" t="s">
        <v>37</v>
      </c>
      <c r="AD139" s="22">
        <f>AD140</f>
        <v>100000000</v>
      </c>
      <c r="AE139" s="23">
        <f t="shared" ref="AE139:AW139" si="81">AE140</f>
        <v>0</v>
      </c>
      <c r="AF139" s="23">
        <f t="shared" si="81"/>
        <v>0</v>
      </c>
      <c r="AG139" s="23">
        <f t="shared" si="81"/>
        <v>0</v>
      </c>
      <c r="AH139" s="23">
        <f t="shared" si="81"/>
        <v>0</v>
      </c>
      <c r="AI139" s="23">
        <f t="shared" si="81"/>
        <v>0</v>
      </c>
      <c r="AJ139" s="22">
        <f t="shared" si="81"/>
        <v>100000000</v>
      </c>
      <c r="AK139" s="23">
        <f t="shared" si="81"/>
        <v>0</v>
      </c>
      <c r="AL139" s="22">
        <f t="shared" si="81"/>
        <v>2587528.0700000003</v>
      </c>
      <c r="AM139" s="22">
        <f t="shared" si="81"/>
        <v>52540868.280000001</v>
      </c>
      <c r="AN139" s="23">
        <f t="shared" si="81"/>
        <v>0</v>
      </c>
      <c r="AO139" s="22">
        <f t="shared" si="81"/>
        <v>5580325.9400000004</v>
      </c>
      <c r="AP139" s="22">
        <f t="shared" si="81"/>
        <v>48340868.280000001</v>
      </c>
      <c r="AQ139" s="23">
        <f t="shared" si="81"/>
        <v>750325.94</v>
      </c>
      <c r="AR139" s="22">
        <f t="shared" si="81"/>
        <v>4200000</v>
      </c>
      <c r="AS139" s="22">
        <f t="shared" si="81"/>
        <v>46371697.109999999</v>
      </c>
      <c r="AT139" s="22">
        <f>AQ139+AS139</f>
        <v>47122023.049999997</v>
      </c>
      <c r="AU139" s="22">
        <f t="shared" si="81"/>
        <v>47459131.719999999</v>
      </c>
      <c r="AV139" s="22">
        <f t="shared" si="81"/>
        <v>4200000</v>
      </c>
      <c r="AW139" s="22">
        <f t="shared" si="81"/>
        <v>1218845.2300000042</v>
      </c>
      <c r="AX139" s="24">
        <f t="shared" si="80"/>
        <v>0.48340868279999999</v>
      </c>
    </row>
    <row r="140" spans="1:50" ht="18.75" customHeight="1" x14ac:dyDescent="0.2">
      <c r="A140" s="27" t="s">
        <v>55</v>
      </c>
      <c r="B140" s="27" t="s">
        <v>56</v>
      </c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8" t="s">
        <v>900</v>
      </c>
      <c r="AB140" s="29" t="s">
        <v>247</v>
      </c>
      <c r="AC140" s="30" t="s">
        <v>37</v>
      </c>
      <c r="AD140" s="30">
        <f>AD141+AD142</f>
        <v>100000000</v>
      </c>
      <c r="AE140" s="31">
        <f t="shared" ref="AE140:AS140" si="82">AE141+AE142</f>
        <v>0</v>
      </c>
      <c r="AF140" s="31">
        <f t="shared" si="82"/>
        <v>0</v>
      </c>
      <c r="AG140" s="31">
        <f t="shared" si="82"/>
        <v>0</v>
      </c>
      <c r="AH140" s="31">
        <f t="shared" si="82"/>
        <v>0</v>
      </c>
      <c r="AI140" s="31">
        <f t="shared" si="82"/>
        <v>0</v>
      </c>
      <c r="AJ140" s="30">
        <f t="shared" si="82"/>
        <v>100000000</v>
      </c>
      <c r="AK140" s="31">
        <f t="shared" si="82"/>
        <v>0</v>
      </c>
      <c r="AL140" s="30">
        <f t="shared" si="82"/>
        <v>2587528.0700000003</v>
      </c>
      <c r="AM140" s="30">
        <f t="shared" si="82"/>
        <v>52540868.280000001</v>
      </c>
      <c r="AN140" s="31">
        <f t="shared" si="82"/>
        <v>0</v>
      </c>
      <c r="AO140" s="30">
        <f t="shared" si="82"/>
        <v>5580325.9400000004</v>
      </c>
      <c r="AP140" s="30">
        <f t="shared" si="82"/>
        <v>48340868.280000001</v>
      </c>
      <c r="AQ140" s="31">
        <f t="shared" si="82"/>
        <v>750325.94</v>
      </c>
      <c r="AR140" s="30">
        <f t="shared" si="82"/>
        <v>4200000</v>
      </c>
      <c r="AS140" s="30">
        <f t="shared" si="82"/>
        <v>46371697.109999999</v>
      </c>
      <c r="AT140" s="30">
        <f t="shared" ref="AT140:AT142" si="83">AQ140+AS140</f>
        <v>47122023.049999997</v>
      </c>
      <c r="AU140" s="18">
        <f>AJ140-AM140</f>
        <v>47459131.719999999</v>
      </c>
      <c r="AV140" s="110">
        <f>AM140-AP140</f>
        <v>4200000</v>
      </c>
      <c r="AW140" s="18">
        <f>AP140-AT140</f>
        <v>1218845.2300000042</v>
      </c>
      <c r="AX140" s="32">
        <f t="shared" si="80"/>
        <v>0.48340868279999999</v>
      </c>
    </row>
    <row r="141" spans="1:50" ht="18.75" customHeight="1" x14ac:dyDescent="0.2">
      <c r="A141" s="4" t="s">
        <v>55</v>
      </c>
      <c r="B141" s="4" t="s">
        <v>56</v>
      </c>
      <c r="C141" s="4"/>
      <c r="D141" s="4" t="s">
        <v>40</v>
      </c>
      <c r="E141" s="4"/>
      <c r="F141" s="4"/>
      <c r="G141" s="4" t="s">
        <v>41</v>
      </c>
      <c r="H141" s="4"/>
      <c r="I141" s="4" t="s">
        <v>936</v>
      </c>
      <c r="J141" s="4"/>
      <c r="K141" s="4" t="s">
        <v>932</v>
      </c>
      <c r="L141" s="4"/>
      <c r="M141" s="4" t="s">
        <v>933</v>
      </c>
      <c r="N141" s="4"/>
      <c r="O141" s="4" t="s">
        <v>938</v>
      </c>
      <c r="P141" s="4"/>
      <c r="Q141" s="4" t="s">
        <v>942</v>
      </c>
      <c r="R141" s="4"/>
      <c r="S141" s="4" t="s">
        <v>940</v>
      </c>
      <c r="T141" s="4">
        <v>0</v>
      </c>
      <c r="U141" s="4">
        <v>0</v>
      </c>
      <c r="V141" s="4">
        <v>0</v>
      </c>
      <c r="W141" s="4">
        <v>0</v>
      </c>
      <c r="X141" s="4" t="s">
        <v>937</v>
      </c>
      <c r="Y141" s="4"/>
      <c r="Z141" s="4"/>
      <c r="AA141" s="41" t="s">
        <v>901</v>
      </c>
      <c r="AB141" s="42" t="s">
        <v>248</v>
      </c>
      <c r="AC141" s="43" t="s">
        <v>58</v>
      </c>
      <c r="AD141" s="43">
        <v>70000000</v>
      </c>
      <c r="AE141" s="44">
        <v>0</v>
      </c>
      <c r="AF141" s="44">
        <v>0</v>
      </c>
      <c r="AG141" s="44">
        <v>0</v>
      </c>
      <c r="AH141" s="44">
        <v>0</v>
      </c>
      <c r="AI141" s="44">
        <v>0</v>
      </c>
      <c r="AJ141" s="43">
        <v>70000000</v>
      </c>
      <c r="AK141" s="44">
        <v>0</v>
      </c>
      <c r="AL141" s="43">
        <f>AM141-JUNIO!AM141</f>
        <v>2587528.0700000003</v>
      </c>
      <c r="AM141" s="43">
        <v>52540868.280000001</v>
      </c>
      <c r="AN141" s="44">
        <v>0</v>
      </c>
      <c r="AO141" s="43">
        <v>5580325.9400000004</v>
      </c>
      <c r="AP141" s="43">
        <v>48340868.280000001</v>
      </c>
      <c r="AQ141" s="44">
        <v>750325.94</v>
      </c>
      <c r="AR141" s="43">
        <v>4200000</v>
      </c>
      <c r="AS141" s="43">
        <v>46371697.109999999</v>
      </c>
      <c r="AT141" s="30">
        <f t="shared" si="83"/>
        <v>47122023.049999997</v>
      </c>
      <c r="AU141" s="18">
        <f>AJ141-AM141</f>
        <v>17459131.719999999</v>
      </c>
      <c r="AV141" s="110">
        <f>AM141-AP141</f>
        <v>4200000</v>
      </c>
      <c r="AW141" s="18">
        <f>AP141-AT141</f>
        <v>1218845.2300000042</v>
      </c>
      <c r="AX141" s="32">
        <f t="shared" si="80"/>
        <v>0.69058383257142864</v>
      </c>
    </row>
    <row r="142" spans="1:50" ht="18.75" customHeight="1" x14ac:dyDescent="0.2">
      <c r="A142" s="4" t="s">
        <v>55</v>
      </c>
      <c r="B142" s="4" t="s">
        <v>56</v>
      </c>
      <c r="C142" s="4"/>
      <c r="D142" s="4" t="s">
        <v>40</v>
      </c>
      <c r="E142" s="4"/>
      <c r="F142" s="4"/>
      <c r="G142" s="4" t="s">
        <v>41</v>
      </c>
      <c r="H142" s="4"/>
      <c r="I142" s="4" t="s">
        <v>936</v>
      </c>
      <c r="J142" s="4"/>
      <c r="K142" s="4" t="s">
        <v>932</v>
      </c>
      <c r="L142" s="4"/>
      <c r="M142" s="4" t="s">
        <v>933</v>
      </c>
      <c r="N142" s="4"/>
      <c r="O142" s="4" t="s">
        <v>938</v>
      </c>
      <c r="P142" s="4"/>
      <c r="Q142" s="4" t="s">
        <v>942</v>
      </c>
      <c r="R142" s="4"/>
      <c r="S142" s="4" t="s">
        <v>940</v>
      </c>
      <c r="T142" s="4">
        <v>0</v>
      </c>
      <c r="U142" s="4">
        <v>0</v>
      </c>
      <c r="V142" s="4">
        <v>0</v>
      </c>
      <c r="W142" s="4">
        <v>0</v>
      </c>
      <c r="X142" s="4" t="s">
        <v>937</v>
      </c>
      <c r="Y142" s="4"/>
      <c r="Z142" s="4"/>
      <c r="AA142" s="41" t="s">
        <v>902</v>
      </c>
      <c r="AB142" s="42" t="s">
        <v>249</v>
      </c>
      <c r="AC142" s="43" t="s">
        <v>58</v>
      </c>
      <c r="AD142" s="43">
        <v>30000000</v>
      </c>
      <c r="AE142" s="44">
        <v>0</v>
      </c>
      <c r="AF142" s="44">
        <v>0</v>
      </c>
      <c r="AG142" s="44">
        <v>0</v>
      </c>
      <c r="AH142" s="44">
        <v>0</v>
      </c>
      <c r="AI142" s="44">
        <v>0</v>
      </c>
      <c r="AJ142" s="43">
        <v>30000000</v>
      </c>
      <c r="AK142" s="44">
        <v>0</v>
      </c>
      <c r="AL142" s="44">
        <v>0</v>
      </c>
      <c r="AM142" s="44">
        <v>0</v>
      </c>
      <c r="AN142" s="44">
        <v>0</v>
      </c>
      <c r="AO142" s="44">
        <v>0</v>
      </c>
      <c r="AP142" s="44">
        <v>0</v>
      </c>
      <c r="AQ142" s="44">
        <v>0</v>
      </c>
      <c r="AR142" s="44">
        <v>0</v>
      </c>
      <c r="AS142" s="44">
        <v>0</v>
      </c>
      <c r="AT142" s="31">
        <f t="shared" si="83"/>
        <v>0</v>
      </c>
      <c r="AU142" s="18">
        <f>AJ142-AM142</f>
        <v>30000000</v>
      </c>
      <c r="AV142" s="34">
        <f>AM142-AP142</f>
        <v>0</v>
      </c>
      <c r="AW142" s="34">
        <f>AP142-AT142</f>
        <v>0</v>
      </c>
      <c r="AX142" s="32">
        <f t="shared" si="80"/>
        <v>0</v>
      </c>
    </row>
    <row r="143" spans="1:50" s="201" customFormat="1" ht="18.75" customHeight="1" x14ac:dyDescent="0.2">
      <c r="A143" s="199"/>
      <c r="B143" s="199"/>
      <c r="C143" s="199"/>
      <c r="D143" s="199"/>
      <c r="E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70" t="s">
        <v>996</v>
      </c>
      <c r="AB143" s="165" t="s">
        <v>997</v>
      </c>
      <c r="AC143" s="200"/>
      <c r="AD143" s="177">
        <f>AD147</f>
        <v>0</v>
      </c>
      <c r="AE143" s="176">
        <f t="shared" ref="AE143:AW143" si="84">AE147</f>
        <v>265813663</v>
      </c>
      <c r="AF143" s="177">
        <f t="shared" si="84"/>
        <v>0</v>
      </c>
      <c r="AG143" s="177">
        <f t="shared" si="84"/>
        <v>0</v>
      </c>
      <c r="AH143" s="177">
        <f t="shared" si="84"/>
        <v>0</v>
      </c>
      <c r="AI143" s="176">
        <f t="shared" si="84"/>
        <v>265813663</v>
      </c>
      <c r="AJ143" s="176">
        <f t="shared" si="84"/>
        <v>265813663</v>
      </c>
      <c r="AK143" s="177">
        <f t="shared" si="84"/>
        <v>0</v>
      </c>
      <c r="AL143" s="176">
        <f t="shared" si="84"/>
        <v>0</v>
      </c>
      <c r="AM143" s="176">
        <f t="shared" si="84"/>
        <v>259240330</v>
      </c>
      <c r="AN143" s="177">
        <f t="shared" si="84"/>
        <v>0</v>
      </c>
      <c r="AO143" s="176">
        <f t="shared" si="84"/>
        <v>0</v>
      </c>
      <c r="AP143" s="176">
        <f t="shared" si="84"/>
        <v>259240330</v>
      </c>
      <c r="AQ143" s="177">
        <f t="shared" si="84"/>
        <v>0</v>
      </c>
      <c r="AR143" s="177">
        <f t="shared" si="84"/>
        <v>259240330</v>
      </c>
      <c r="AS143" s="177">
        <f t="shared" si="84"/>
        <v>259240330</v>
      </c>
      <c r="AT143" s="177">
        <f t="shared" si="84"/>
        <v>259240330</v>
      </c>
      <c r="AU143" s="176">
        <f t="shared" si="84"/>
        <v>6573333</v>
      </c>
      <c r="AV143" s="177">
        <f t="shared" si="84"/>
        <v>0</v>
      </c>
      <c r="AW143" s="176">
        <f t="shared" si="84"/>
        <v>0</v>
      </c>
      <c r="AX143" s="32">
        <f t="shared" si="80"/>
        <v>0.97527089869718242</v>
      </c>
    </row>
    <row r="144" spans="1:50" ht="18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166" t="s">
        <v>998</v>
      </c>
      <c r="AB144" s="167" t="s">
        <v>999</v>
      </c>
      <c r="AC144" s="168"/>
      <c r="AD144" s="44"/>
      <c r="AE144" s="44"/>
      <c r="AF144" s="44"/>
      <c r="AG144" s="44"/>
      <c r="AH144" s="44"/>
      <c r="AI144" s="44"/>
      <c r="AJ144" s="43"/>
      <c r="AK144" s="44"/>
      <c r="AL144" s="44"/>
      <c r="AM144" s="44"/>
      <c r="AN144" s="44"/>
      <c r="AO144" s="43"/>
      <c r="AP144" s="43"/>
      <c r="AQ144" s="44"/>
      <c r="AR144" s="44"/>
      <c r="AS144" s="44"/>
      <c r="AT144" s="31"/>
      <c r="AU144" s="18"/>
      <c r="AV144" s="34"/>
      <c r="AW144" s="18"/>
      <c r="AX144" s="32"/>
    </row>
    <row r="145" spans="1:50" ht="18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166" t="s">
        <v>1000</v>
      </c>
      <c r="AB145" s="167" t="s">
        <v>1001</v>
      </c>
      <c r="AC145" s="168"/>
      <c r="AD145" s="44"/>
      <c r="AE145" s="44"/>
      <c r="AF145" s="44"/>
      <c r="AG145" s="44"/>
      <c r="AH145" s="44"/>
      <c r="AI145" s="44"/>
      <c r="AJ145" s="43"/>
      <c r="AK145" s="44"/>
      <c r="AL145" s="44"/>
      <c r="AM145" s="44"/>
      <c r="AN145" s="44"/>
      <c r="AO145" s="43"/>
      <c r="AP145" s="43"/>
      <c r="AQ145" s="44"/>
      <c r="AR145" s="44"/>
      <c r="AS145" s="44"/>
      <c r="AT145" s="31"/>
      <c r="AU145" s="18"/>
      <c r="AV145" s="34"/>
      <c r="AW145" s="18"/>
      <c r="AX145" s="32"/>
    </row>
    <row r="146" spans="1:50" ht="18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166" t="s">
        <v>1002</v>
      </c>
      <c r="AB146" s="167" t="s">
        <v>1003</v>
      </c>
      <c r="AC146" s="168"/>
      <c r="AD146" s="44"/>
      <c r="AE146" s="44"/>
      <c r="AF146" s="44"/>
      <c r="AG146" s="44"/>
      <c r="AH146" s="44"/>
      <c r="AI146" s="44"/>
      <c r="AJ146" s="43"/>
      <c r="AK146" s="44"/>
      <c r="AL146" s="44"/>
      <c r="AM146" s="44"/>
      <c r="AN146" s="44"/>
      <c r="AO146" s="43"/>
      <c r="AP146" s="43"/>
      <c r="AQ146" s="44"/>
      <c r="AR146" s="44"/>
      <c r="AS146" s="44"/>
      <c r="AT146" s="31"/>
      <c r="AU146" s="18"/>
      <c r="AV146" s="34"/>
      <c r="AW146" s="18"/>
      <c r="AX146" s="32"/>
    </row>
    <row r="147" spans="1:50" ht="18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166" t="s">
        <v>1004</v>
      </c>
      <c r="AB147" s="167" t="s">
        <v>1005</v>
      </c>
      <c r="AC147" s="168"/>
      <c r="AD147" s="44">
        <v>0</v>
      </c>
      <c r="AE147" s="43">
        <v>265813663</v>
      </c>
      <c r="AF147" s="44">
        <v>0</v>
      </c>
      <c r="AG147" s="44">
        <v>0</v>
      </c>
      <c r="AH147" s="44">
        <v>0</v>
      </c>
      <c r="AI147" s="18">
        <f>AE147-AF147+AG147-AH147</f>
        <v>265813663</v>
      </c>
      <c r="AJ147" s="18">
        <f>AD147+AI147</f>
        <v>265813663</v>
      </c>
      <c r="AK147" s="44">
        <v>0</v>
      </c>
      <c r="AL147" s="43">
        <v>0</v>
      </c>
      <c r="AM147" s="43">
        <v>259240330</v>
      </c>
      <c r="AN147" s="44">
        <v>0</v>
      </c>
      <c r="AO147" s="43">
        <v>0</v>
      </c>
      <c r="AP147" s="43">
        <v>259240330</v>
      </c>
      <c r="AQ147" s="44">
        <v>0</v>
      </c>
      <c r="AR147" s="44">
        <v>259240330</v>
      </c>
      <c r="AS147" s="44">
        <v>259240330</v>
      </c>
      <c r="AT147" s="31">
        <f t="shared" ref="AT147" si="85">AQ147+AS147</f>
        <v>259240330</v>
      </c>
      <c r="AU147" s="18">
        <f>AJ147-AM147</f>
        <v>6573333</v>
      </c>
      <c r="AV147" s="34">
        <f>AM147-AP147</f>
        <v>0</v>
      </c>
      <c r="AW147" s="18">
        <f>AP147-AT147</f>
        <v>0</v>
      </c>
      <c r="AX147" s="32">
        <f>AP147/AJ147</f>
        <v>0.97527089869718242</v>
      </c>
    </row>
    <row r="148" spans="1:50" s="25" customFormat="1" ht="27.75" customHeight="1" x14ac:dyDescent="0.2">
      <c r="A148" s="19" t="s">
        <v>55</v>
      </c>
      <c r="B148" s="19" t="s">
        <v>56</v>
      </c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7" t="s">
        <v>903</v>
      </c>
      <c r="AB148" s="198" t="s">
        <v>250</v>
      </c>
      <c r="AC148" s="22" t="s">
        <v>37</v>
      </c>
      <c r="AD148" s="22">
        <f>AD149+AD153+AD158+AD151</f>
        <v>4677993416.5</v>
      </c>
      <c r="AE148" s="23">
        <f t="shared" ref="AE148:AK148" si="86">AE149+AE153+AE158+AE151</f>
        <v>0</v>
      </c>
      <c r="AF148" s="23">
        <f t="shared" si="86"/>
        <v>0</v>
      </c>
      <c r="AG148" s="22">
        <f>AG149+AG153+AG158+AG151+AG152</f>
        <v>42000000</v>
      </c>
      <c r="AH148" s="22">
        <f t="shared" ref="AH148:AJ148" si="87">AH149+AH153+AH158+AH151+AH152</f>
        <v>0</v>
      </c>
      <c r="AI148" s="22">
        <f t="shared" si="87"/>
        <v>42000000</v>
      </c>
      <c r="AJ148" s="22">
        <f t="shared" si="87"/>
        <v>4719993416.5</v>
      </c>
      <c r="AK148" s="23">
        <f t="shared" si="86"/>
        <v>0</v>
      </c>
      <c r="AL148" s="22">
        <f>AL149+AL153+AL158+AL151+AL152</f>
        <v>48116746</v>
      </c>
      <c r="AM148" s="22">
        <f t="shared" ref="AM148:AW148" si="88">AM149+AM153+AM158+AM151+AM152</f>
        <v>4552888114.5</v>
      </c>
      <c r="AN148" s="22">
        <f t="shared" si="88"/>
        <v>0</v>
      </c>
      <c r="AO148" s="22">
        <f t="shared" si="88"/>
        <v>45181360</v>
      </c>
      <c r="AP148" s="22">
        <f t="shared" si="88"/>
        <v>4549708263.5</v>
      </c>
      <c r="AQ148" s="23">
        <f t="shared" si="88"/>
        <v>0</v>
      </c>
      <c r="AR148" s="22">
        <f t="shared" si="88"/>
        <v>45181360</v>
      </c>
      <c r="AS148" s="22">
        <f t="shared" si="88"/>
        <v>4549657963.5</v>
      </c>
      <c r="AT148" s="22">
        <f t="shared" si="88"/>
        <v>4549657963.5</v>
      </c>
      <c r="AU148" s="22">
        <f t="shared" si="88"/>
        <v>167105302</v>
      </c>
      <c r="AV148" s="22">
        <f t="shared" si="88"/>
        <v>3179851</v>
      </c>
      <c r="AW148" s="22">
        <f t="shared" si="88"/>
        <v>50300</v>
      </c>
      <c r="AX148" s="24">
        <f>AP148/AJ148</f>
        <v>0.96392258675515885</v>
      </c>
    </row>
    <row r="149" spans="1:50" ht="18.75" customHeight="1" x14ac:dyDescent="0.2">
      <c r="A149" s="27" t="s">
        <v>55</v>
      </c>
      <c r="B149" s="27" t="s">
        <v>56</v>
      </c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8" t="s">
        <v>904</v>
      </c>
      <c r="AB149" s="29" t="s">
        <v>251</v>
      </c>
      <c r="AC149" s="30" t="s">
        <v>37</v>
      </c>
      <c r="AD149" s="30">
        <f>AD150</f>
        <v>50000000</v>
      </c>
      <c r="AE149" s="31">
        <f t="shared" ref="AE149:AW149" si="89">AE150</f>
        <v>0</v>
      </c>
      <c r="AF149" s="31">
        <f t="shared" si="89"/>
        <v>0</v>
      </c>
      <c r="AG149" s="31">
        <f t="shared" si="89"/>
        <v>0</v>
      </c>
      <c r="AH149" s="31">
        <f t="shared" si="89"/>
        <v>0</v>
      </c>
      <c r="AI149" s="31">
        <f t="shared" si="89"/>
        <v>0</v>
      </c>
      <c r="AJ149" s="30">
        <f>AJ150</f>
        <v>50000000</v>
      </c>
      <c r="AK149" s="31">
        <f t="shared" si="89"/>
        <v>0</v>
      </c>
      <c r="AL149" s="31">
        <f t="shared" si="89"/>
        <v>0</v>
      </c>
      <c r="AM149" s="31">
        <f t="shared" si="89"/>
        <v>0</v>
      </c>
      <c r="AN149" s="31">
        <f t="shared" si="89"/>
        <v>0</v>
      </c>
      <c r="AO149" s="31">
        <f t="shared" si="89"/>
        <v>0</v>
      </c>
      <c r="AP149" s="31">
        <f t="shared" si="89"/>
        <v>0</v>
      </c>
      <c r="AQ149" s="31">
        <f t="shared" si="89"/>
        <v>0</v>
      </c>
      <c r="AR149" s="31">
        <f t="shared" si="89"/>
        <v>0</v>
      </c>
      <c r="AS149" s="31">
        <f t="shared" si="89"/>
        <v>0</v>
      </c>
      <c r="AT149" s="40">
        <f t="shared" si="89"/>
        <v>0</v>
      </c>
      <c r="AU149" s="30">
        <f t="shared" si="89"/>
        <v>50000000</v>
      </c>
      <c r="AV149" s="31">
        <f t="shared" si="89"/>
        <v>0</v>
      </c>
      <c r="AW149" s="31">
        <f t="shared" si="89"/>
        <v>0</v>
      </c>
      <c r="AX149" s="32">
        <f>AP149/AJ149</f>
        <v>0</v>
      </c>
    </row>
    <row r="150" spans="1:50" ht="18.75" customHeight="1" x14ac:dyDescent="0.2">
      <c r="A150" s="4" t="s">
        <v>55</v>
      </c>
      <c r="B150" s="4" t="s">
        <v>56</v>
      </c>
      <c r="C150" s="4"/>
      <c r="D150" s="4" t="s">
        <v>40</v>
      </c>
      <c r="E150" s="4"/>
      <c r="F150" s="4"/>
      <c r="G150" s="4" t="s">
        <v>41</v>
      </c>
      <c r="H150" s="4"/>
      <c r="I150" s="4" t="s">
        <v>936</v>
      </c>
      <c r="J150" s="4"/>
      <c r="K150" s="4" t="s">
        <v>932</v>
      </c>
      <c r="L150" s="4"/>
      <c r="M150" s="4" t="s">
        <v>933</v>
      </c>
      <c r="N150" s="4"/>
      <c r="O150" s="4" t="s">
        <v>938</v>
      </c>
      <c r="P150" s="4"/>
      <c r="Q150" s="4" t="s">
        <v>942</v>
      </c>
      <c r="R150" s="4"/>
      <c r="S150" s="4" t="s">
        <v>940</v>
      </c>
      <c r="T150" s="4">
        <v>0</v>
      </c>
      <c r="U150" s="4">
        <v>0</v>
      </c>
      <c r="V150" s="4">
        <v>0</v>
      </c>
      <c r="W150" s="4">
        <v>0</v>
      </c>
      <c r="X150" s="4" t="s">
        <v>937</v>
      </c>
      <c r="Y150" s="4"/>
      <c r="Z150" s="4"/>
      <c r="AA150" s="41" t="s">
        <v>905</v>
      </c>
      <c r="AB150" s="42" t="s">
        <v>252</v>
      </c>
      <c r="AC150" s="43" t="s">
        <v>58</v>
      </c>
      <c r="AD150" s="43">
        <v>50000000</v>
      </c>
      <c r="AE150" s="44">
        <v>0</v>
      </c>
      <c r="AF150" s="44">
        <v>0</v>
      </c>
      <c r="AG150" s="44">
        <v>0</v>
      </c>
      <c r="AH150" s="44">
        <v>0</v>
      </c>
      <c r="AI150" s="44">
        <v>0</v>
      </c>
      <c r="AJ150" s="43">
        <v>50000000</v>
      </c>
      <c r="AK150" s="44">
        <v>0</v>
      </c>
      <c r="AL150" s="44">
        <v>0</v>
      </c>
      <c r="AM150" s="44">
        <v>0</v>
      </c>
      <c r="AN150" s="44">
        <v>0</v>
      </c>
      <c r="AO150" s="44">
        <v>0</v>
      </c>
      <c r="AP150" s="44">
        <v>0</v>
      </c>
      <c r="AQ150" s="44">
        <v>0</v>
      </c>
      <c r="AR150" s="44">
        <v>0</v>
      </c>
      <c r="AS150" s="44">
        <v>0</v>
      </c>
      <c r="AT150" s="40">
        <f t="shared" ref="AT150:AT168" si="90">AQ150+AS150</f>
        <v>0</v>
      </c>
      <c r="AU150" s="18">
        <f t="shared" ref="AU150:AU161" si="91">AJ150-AM150</f>
        <v>50000000</v>
      </c>
      <c r="AV150" s="34">
        <f t="shared" ref="AV150:AV161" si="92">AM150-AP150</f>
        <v>0</v>
      </c>
      <c r="AW150" s="34">
        <f t="shared" ref="AW150:AW161" si="93">AP150-AT150</f>
        <v>0</v>
      </c>
      <c r="AX150" s="32">
        <f>AP150/AJ150</f>
        <v>0</v>
      </c>
    </row>
    <row r="151" spans="1:50" ht="18.75" customHeight="1" x14ac:dyDescent="0.2">
      <c r="A151" s="4" t="s">
        <v>55</v>
      </c>
      <c r="B151" s="4" t="s">
        <v>56</v>
      </c>
      <c r="C151" s="4"/>
      <c r="D151" s="4" t="s">
        <v>40</v>
      </c>
      <c r="E151" s="4"/>
      <c r="F151" s="4"/>
      <c r="G151" s="4" t="s">
        <v>41</v>
      </c>
      <c r="H151" s="4"/>
      <c r="I151" s="4" t="s">
        <v>936</v>
      </c>
      <c r="J151" s="4"/>
      <c r="K151" s="4" t="s">
        <v>932</v>
      </c>
      <c r="L151" s="4"/>
      <c r="M151" s="4" t="s">
        <v>933</v>
      </c>
      <c r="N151" s="4"/>
      <c r="O151" s="4" t="s">
        <v>938</v>
      </c>
      <c r="P151" s="4"/>
      <c r="Q151" s="4" t="s">
        <v>942</v>
      </c>
      <c r="R151" s="4"/>
      <c r="S151" s="4" t="s">
        <v>940</v>
      </c>
      <c r="T151" s="4">
        <v>0</v>
      </c>
      <c r="U151" s="4">
        <v>0</v>
      </c>
      <c r="V151" s="4">
        <v>0</v>
      </c>
      <c r="W151" s="4">
        <v>0</v>
      </c>
      <c r="X151" s="4" t="s">
        <v>937</v>
      </c>
      <c r="Y151" s="4"/>
      <c r="Z151" s="4"/>
      <c r="AA151" s="41" t="s">
        <v>867</v>
      </c>
      <c r="AB151" s="42" t="s">
        <v>253</v>
      </c>
      <c r="AC151" s="43" t="s">
        <v>58</v>
      </c>
      <c r="AD151" s="43">
        <v>50000000</v>
      </c>
      <c r="AE151" s="44">
        <v>0</v>
      </c>
      <c r="AF151" s="44">
        <v>0</v>
      </c>
      <c r="AG151" s="44">
        <v>0</v>
      </c>
      <c r="AH151" s="44">
        <v>0</v>
      </c>
      <c r="AI151" s="44">
        <v>0</v>
      </c>
      <c r="AJ151" s="43">
        <v>50000000</v>
      </c>
      <c r="AK151" s="44">
        <v>0</v>
      </c>
      <c r="AL151" s="44">
        <v>0</v>
      </c>
      <c r="AM151" s="43">
        <v>662900</v>
      </c>
      <c r="AN151" s="115">
        <v>0</v>
      </c>
      <c r="AO151" s="44">
        <v>0</v>
      </c>
      <c r="AP151" s="43">
        <v>662890</v>
      </c>
      <c r="AQ151" s="44">
        <v>0</v>
      </c>
      <c r="AR151" s="44">
        <v>0</v>
      </c>
      <c r="AS151" s="43">
        <v>612590</v>
      </c>
      <c r="AT151" s="39">
        <f t="shared" si="90"/>
        <v>612590</v>
      </c>
      <c r="AU151" s="18">
        <f t="shared" si="91"/>
        <v>49337100</v>
      </c>
      <c r="AV151" s="110">
        <f t="shared" si="92"/>
        <v>10</v>
      </c>
      <c r="AW151" s="18">
        <f t="shared" si="93"/>
        <v>50300</v>
      </c>
      <c r="AX151" s="32">
        <f>AP151/AJ151</f>
        <v>1.32578E-2</v>
      </c>
    </row>
    <row r="152" spans="1:50" ht="18.75" customHeight="1" x14ac:dyDescent="0.2">
      <c r="A152" s="4" t="s">
        <v>55</v>
      </c>
      <c r="B152" s="4" t="s">
        <v>56</v>
      </c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1" t="s">
        <v>866</v>
      </c>
      <c r="AB152" s="42" t="s">
        <v>254</v>
      </c>
      <c r="AC152" s="43" t="s">
        <v>58</v>
      </c>
      <c r="AD152" s="44">
        <v>0</v>
      </c>
      <c r="AE152" s="44">
        <v>0</v>
      </c>
      <c r="AF152" s="44">
        <v>0</v>
      </c>
      <c r="AG152" s="43">
        <f>10000000+12000000</f>
        <v>22000000</v>
      </c>
      <c r="AH152" s="44">
        <v>0</v>
      </c>
      <c r="AI152" s="18">
        <f>AE152-AF152+AG152-AH152</f>
        <v>22000000</v>
      </c>
      <c r="AJ152" s="18">
        <f>AD152+AI152</f>
        <v>22000000</v>
      </c>
      <c r="AK152" s="44">
        <v>0</v>
      </c>
      <c r="AL152" s="43">
        <f>AM152-JUNIO!AM152</f>
        <v>3179841</v>
      </c>
      <c r="AM152" s="43">
        <v>8472763</v>
      </c>
      <c r="AN152" s="44">
        <v>0</v>
      </c>
      <c r="AO152" s="44">
        <v>244455</v>
      </c>
      <c r="AP152" s="43">
        <v>5292922</v>
      </c>
      <c r="AQ152" s="44">
        <v>0</v>
      </c>
      <c r="AR152" s="44">
        <v>244455</v>
      </c>
      <c r="AS152" s="43">
        <v>5292922</v>
      </c>
      <c r="AT152" s="39">
        <f t="shared" si="90"/>
        <v>5292922</v>
      </c>
      <c r="AU152" s="18">
        <f t="shared" si="91"/>
        <v>13527237</v>
      </c>
      <c r="AV152" s="18">
        <f t="shared" si="92"/>
        <v>3179841</v>
      </c>
      <c r="AW152" s="34">
        <f t="shared" si="93"/>
        <v>0</v>
      </c>
      <c r="AX152" s="32">
        <v>0</v>
      </c>
    </row>
    <row r="153" spans="1:50" ht="18.75" customHeight="1" x14ac:dyDescent="0.2">
      <c r="A153" s="27" t="s">
        <v>55</v>
      </c>
      <c r="B153" s="27" t="s">
        <v>56</v>
      </c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8" t="s">
        <v>865</v>
      </c>
      <c r="AB153" s="29" t="s">
        <v>255</v>
      </c>
      <c r="AC153" s="30" t="s">
        <v>37</v>
      </c>
      <c r="AD153" s="30">
        <f>AD154+AD157</f>
        <v>4527993416.5</v>
      </c>
      <c r="AE153" s="31">
        <f t="shared" ref="AE153:AS153" si="94">AE154+AE157</f>
        <v>0</v>
      </c>
      <c r="AF153" s="31">
        <f t="shared" si="94"/>
        <v>0</v>
      </c>
      <c r="AG153" s="30">
        <f t="shared" si="94"/>
        <v>20000000</v>
      </c>
      <c r="AH153" s="31">
        <f t="shared" si="94"/>
        <v>0</v>
      </c>
      <c r="AI153" s="18">
        <f>AE153-AF153+AG153-AH153</f>
        <v>20000000</v>
      </c>
      <c r="AJ153" s="18">
        <f>AD153+AI153</f>
        <v>4547993416.5</v>
      </c>
      <c r="AK153" s="31">
        <f t="shared" si="94"/>
        <v>0</v>
      </c>
      <c r="AL153" s="30">
        <f t="shared" si="94"/>
        <v>44936905</v>
      </c>
      <c r="AM153" s="30">
        <f t="shared" si="94"/>
        <v>4543502451.5</v>
      </c>
      <c r="AN153" s="31">
        <f t="shared" si="94"/>
        <v>0</v>
      </c>
      <c r="AO153" s="30">
        <f t="shared" si="94"/>
        <v>44936905</v>
      </c>
      <c r="AP153" s="30">
        <f t="shared" si="94"/>
        <v>4543502451.5</v>
      </c>
      <c r="AQ153" s="31">
        <f t="shared" si="94"/>
        <v>0</v>
      </c>
      <c r="AR153" s="30">
        <f t="shared" si="94"/>
        <v>44936905</v>
      </c>
      <c r="AS153" s="30">
        <f t="shared" si="94"/>
        <v>4543502451.5</v>
      </c>
      <c r="AT153" s="39">
        <f t="shared" si="90"/>
        <v>4543502451.5</v>
      </c>
      <c r="AU153" s="18">
        <f t="shared" si="91"/>
        <v>4490965</v>
      </c>
      <c r="AV153" s="34">
        <f t="shared" si="92"/>
        <v>0</v>
      </c>
      <c r="AW153" s="34">
        <f t="shared" si="93"/>
        <v>0</v>
      </c>
      <c r="AX153" s="32">
        <f t="shared" ref="AX153:AX188" si="95">AP153/AJ153</f>
        <v>0.99901253924781275</v>
      </c>
    </row>
    <row r="154" spans="1:50" ht="18.75" customHeight="1" x14ac:dyDescent="0.2">
      <c r="A154" s="27" t="s">
        <v>55</v>
      </c>
      <c r="B154" s="27" t="s">
        <v>56</v>
      </c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8" t="s">
        <v>864</v>
      </c>
      <c r="AB154" s="29" t="s">
        <v>256</v>
      </c>
      <c r="AC154" s="30" t="s">
        <v>37</v>
      </c>
      <c r="AD154" s="30">
        <f>AD155+AD156</f>
        <v>4477993416.5</v>
      </c>
      <c r="AE154" s="31">
        <f t="shared" ref="AE154:AS154" si="96">AE155+AE156</f>
        <v>0</v>
      </c>
      <c r="AF154" s="31">
        <f t="shared" si="96"/>
        <v>0</v>
      </c>
      <c r="AG154" s="31">
        <f t="shared" si="96"/>
        <v>0</v>
      </c>
      <c r="AH154" s="31">
        <f t="shared" si="96"/>
        <v>0</v>
      </c>
      <c r="AI154" s="31">
        <f t="shared" si="96"/>
        <v>0</v>
      </c>
      <c r="AJ154" s="30">
        <f t="shared" si="96"/>
        <v>4477993416.5</v>
      </c>
      <c r="AK154" s="31">
        <f t="shared" si="96"/>
        <v>0</v>
      </c>
      <c r="AL154" s="30">
        <f t="shared" si="96"/>
        <v>0</v>
      </c>
      <c r="AM154" s="30">
        <f t="shared" si="96"/>
        <v>4477993416.5</v>
      </c>
      <c r="AN154" s="31">
        <f t="shared" si="96"/>
        <v>0</v>
      </c>
      <c r="AO154" s="30">
        <f t="shared" si="96"/>
        <v>0</v>
      </c>
      <c r="AP154" s="30">
        <f t="shared" si="96"/>
        <v>4477993416.5</v>
      </c>
      <c r="AQ154" s="31">
        <f t="shared" si="96"/>
        <v>0</v>
      </c>
      <c r="AR154" s="30">
        <f t="shared" si="96"/>
        <v>0</v>
      </c>
      <c r="AS154" s="30">
        <f t="shared" si="96"/>
        <v>4477993416.5</v>
      </c>
      <c r="AT154" s="39">
        <f t="shared" si="90"/>
        <v>4477993416.5</v>
      </c>
      <c r="AU154" s="34">
        <f t="shared" si="91"/>
        <v>0</v>
      </c>
      <c r="AV154" s="34">
        <f t="shared" si="92"/>
        <v>0</v>
      </c>
      <c r="AW154" s="34">
        <f t="shared" si="93"/>
        <v>0</v>
      </c>
      <c r="AX154" s="32">
        <f t="shared" si="95"/>
        <v>1</v>
      </c>
    </row>
    <row r="155" spans="1:50" ht="18.75" customHeight="1" x14ac:dyDescent="0.2">
      <c r="A155" s="4" t="s">
        <v>55</v>
      </c>
      <c r="B155" s="4" t="s">
        <v>56</v>
      </c>
      <c r="C155" s="4"/>
      <c r="D155" s="4" t="s">
        <v>40</v>
      </c>
      <c r="E155" s="4"/>
      <c r="F155" s="4"/>
      <c r="G155" s="4" t="s">
        <v>41</v>
      </c>
      <c r="H155" s="4"/>
      <c r="I155" s="4" t="s">
        <v>936</v>
      </c>
      <c r="J155" s="4"/>
      <c r="K155" s="4" t="s">
        <v>932</v>
      </c>
      <c r="L155" s="4"/>
      <c r="M155" s="4" t="s">
        <v>933</v>
      </c>
      <c r="N155" s="4"/>
      <c r="O155" s="4" t="s">
        <v>938</v>
      </c>
      <c r="P155" s="4"/>
      <c r="Q155" s="4" t="s">
        <v>942</v>
      </c>
      <c r="R155" s="4"/>
      <c r="S155" s="4" t="s">
        <v>940</v>
      </c>
      <c r="T155" s="4">
        <v>0</v>
      </c>
      <c r="U155" s="4">
        <v>0</v>
      </c>
      <c r="V155" s="4">
        <v>0</v>
      </c>
      <c r="W155" s="4">
        <v>0</v>
      </c>
      <c r="X155" s="4" t="s">
        <v>937</v>
      </c>
      <c r="Y155" s="4"/>
      <c r="Z155" s="4"/>
      <c r="AA155" s="41" t="s">
        <v>863</v>
      </c>
      <c r="AB155" s="42" t="s">
        <v>233</v>
      </c>
      <c r="AC155" s="43" t="s">
        <v>58</v>
      </c>
      <c r="AD155" s="43">
        <v>3177230763</v>
      </c>
      <c r="AE155" s="44">
        <v>0</v>
      </c>
      <c r="AF155" s="44">
        <v>0</v>
      </c>
      <c r="AG155" s="44">
        <v>0</v>
      </c>
      <c r="AH155" s="44">
        <v>0</v>
      </c>
      <c r="AI155" s="44">
        <v>0</v>
      </c>
      <c r="AJ155" s="43">
        <v>3177230763</v>
      </c>
      <c r="AK155" s="44">
        <v>0</v>
      </c>
      <c r="AL155" s="43">
        <f>AM155-JUNIO!AM155</f>
        <v>0</v>
      </c>
      <c r="AM155" s="43">
        <v>3177230763</v>
      </c>
      <c r="AN155" s="44">
        <v>0</v>
      </c>
      <c r="AO155" s="43">
        <v>0</v>
      </c>
      <c r="AP155" s="43">
        <v>3177230763</v>
      </c>
      <c r="AQ155" s="44">
        <v>0</v>
      </c>
      <c r="AR155" s="43">
        <v>0</v>
      </c>
      <c r="AS155" s="43">
        <v>3177230763</v>
      </c>
      <c r="AT155" s="39">
        <f t="shared" si="90"/>
        <v>3177230763</v>
      </c>
      <c r="AU155" s="34">
        <f t="shared" si="91"/>
        <v>0</v>
      </c>
      <c r="AV155" s="34">
        <f t="shared" si="92"/>
        <v>0</v>
      </c>
      <c r="AW155" s="34">
        <f t="shared" si="93"/>
        <v>0</v>
      </c>
      <c r="AX155" s="32">
        <f t="shared" si="95"/>
        <v>1</v>
      </c>
    </row>
    <row r="156" spans="1:50" ht="18.75" customHeight="1" x14ac:dyDescent="0.2">
      <c r="A156" s="4" t="s">
        <v>55</v>
      </c>
      <c r="B156" s="4" t="s">
        <v>56</v>
      </c>
      <c r="C156" s="4"/>
      <c r="D156" s="4" t="s">
        <v>40</v>
      </c>
      <c r="E156" s="4"/>
      <c r="F156" s="4"/>
      <c r="G156" s="4" t="s">
        <v>41</v>
      </c>
      <c r="H156" s="4"/>
      <c r="I156" s="4" t="s">
        <v>936</v>
      </c>
      <c r="J156" s="4"/>
      <c r="K156" s="4" t="s">
        <v>932</v>
      </c>
      <c r="L156" s="4"/>
      <c r="M156" s="4" t="s">
        <v>933</v>
      </c>
      <c r="N156" s="4"/>
      <c r="O156" s="4" t="s">
        <v>938</v>
      </c>
      <c r="P156" s="4"/>
      <c r="Q156" s="4" t="s">
        <v>942</v>
      </c>
      <c r="R156" s="4"/>
      <c r="S156" s="4" t="s">
        <v>940</v>
      </c>
      <c r="T156" s="4">
        <v>0</v>
      </c>
      <c r="U156" s="4">
        <v>0</v>
      </c>
      <c r="V156" s="4">
        <v>0</v>
      </c>
      <c r="W156" s="4">
        <v>0</v>
      </c>
      <c r="X156" s="4" t="s">
        <v>937</v>
      </c>
      <c r="Y156" s="4"/>
      <c r="Z156" s="4"/>
      <c r="AA156" s="41" t="s">
        <v>862</v>
      </c>
      <c r="AB156" s="42" t="s">
        <v>257</v>
      </c>
      <c r="AC156" s="43" t="s">
        <v>258</v>
      </c>
      <c r="AD156" s="43">
        <v>1300762653.5</v>
      </c>
      <c r="AE156" s="44">
        <v>0</v>
      </c>
      <c r="AF156" s="44">
        <v>0</v>
      </c>
      <c r="AG156" s="44">
        <v>0</v>
      </c>
      <c r="AH156" s="44">
        <v>0</v>
      </c>
      <c r="AI156" s="44">
        <v>0</v>
      </c>
      <c r="AJ156" s="43">
        <v>1300762653.5</v>
      </c>
      <c r="AK156" s="44">
        <v>0</v>
      </c>
      <c r="AL156" s="43">
        <f>AM156-JUNIO!AM156</f>
        <v>0</v>
      </c>
      <c r="AM156" s="43">
        <v>1300762653.5</v>
      </c>
      <c r="AN156" s="44">
        <v>0</v>
      </c>
      <c r="AO156" s="43">
        <v>0</v>
      </c>
      <c r="AP156" s="43">
        <v>1300762653.5</v>
      </c>
      <c r="AQ156" s="44">
        <v>0</v>
      </c>
      <c r="AR156" s="43">
        <v>0</v>
      </c>
      <c r="AS156" s="43">
        <v>1300762653.5</v>
      </c>
      <c r="AT156" s="39">
        <f t="shared" si="90"/>
        <v>1300762653.5</v>
      </c>
      <c r="AU156" s="34">
        <f t="shared" si="91"/>
        <v>0</v>
      </c>
      <c r="AV156" s="34">
        <f t="shared" si="92"/>
        <v>0</v>
      </c>
      <c r="AW156" s="34">
        <f t="shared" si="93"/>
        <v>0</v>
      </c>
      <c r="AX156" s="32">
        <f t="shared" si="95"/>
        <v>1</v>
      </c>
    </row>
    <row r="157" spans="1:50" ht="18.75" customHeight="1" x14ac:dyDescent="0.2">
      <c r="A157" s="4" t="s">
        <v>55</v>
      </c>
      <c r="B157" s="4" t="s">
        <v>56</v>
      </c>
      <c r="C157" s="4"/>
      <c r="D157" s="4" t="s">
        <v>40</v>
      </c>
      <c r="E157" s="4"/>
      <c r="F157" s="4"/>
      <c r="G157" s="4" t="s">
        <v>41</v>
      </c>
      <c r="H157" s="4"/>
      <c r="I157" s="4" t="s">
        <v>936</v>
      </c>
      <c r="J157" s="4"/>
      <c r="K157" s="4" t="s">
        <v>932</v>
      </c>
      <c r="L157" s="4"/>
      <c r="M157" s="4" t="s">
        <v>933</v>
      </c>
      <c r="N157" s="4"/>
      <c r="O157" s="4" t="s">
        <v>938</v>
      </c>
      <c r="P157" s="4"/>
      <c r="Q157" s="4" t="s">
        <v>942</v>
      </c>
      <c r="R157" s="4"/>
      <c r="S157" s="4" t="s">
        <v>940</v>
      </c>
      <c r="T157" s="4">
        <v>0</v>
      </c>
      <c r="U157" s="4">
        <v>0</v>
      </c>
      <c r="V157" s="4">
        <v>0</v>
      </c>
      <c r="W157" s="4">
        <v>0</v>
      </c>
      <c r="X157" s="4" t="s">
        <v>937</v>
      </c>
      <c r="Y157" s="4"/>
      <c r="Z157" s="4"/>
      <c r="AA157" s="41" t="s">
        <v>861</v>
      </c>
      <c r="AB157" s="42" t="s">
        <v>259</v>
      </c>
      <c r="AC157" s="43" t="s">
        <v>58</v>
      </c>
      <c r="AD157" s="43">
        <v>50000000</v>
      </c>
      <c r="AE157" s="44">
        <v>0</v>
      </c>
      <c r="AF157" s="44">
        <v>0</v>
      </c>
      <c r="AG157" s="43">
        <v>20000000</v>
      </c>
      <c r="AH157" s="44">
        <v>0</v>
      </c>
      <c r="AI157" s="18">
        <f>AE157-AF157+AG157-AH157</f>
        <v>20000000</v>
      </c>
      <c r="AJ157" s="18">
        <f>AD157+AI157</f>
        <v>70000000</v>
      </c>
      <c r="AK157" s="44">
        <v>0</v>
      </c>
      <c r="AL157" s="43">
        <f>AM157-JUNIO!AM157</f>
        <v>44936905</v>
      </c>
      <c r="AM157" s="43">
        <v>65509035</v>
      </c>
      <c r="AN157" s="44">
        <v>0</v>
      </c>
      <c r="AO157" s="44">
        <v>44936905</v>
      </c>
      <c r="AP157" s="43">
        <v>65509035</v>
      </c>
      <c r="AQ157" s="44">
        <v>0</v>
      </c>
      <c r="AR157" s="44">
        <v>44936905</v>
      </c>
      <c r="AS157" s="43">
        <v>65509035</v>
      </c>
      <c r="AT157" s="39">
        <f t="shared" si="90"/>
        <v>65509035</v>
      </c>
      <c r="AU157" s="18">
        <f t="shared" si="91"/>
        <v>4490965</v>
      </c>
      <c r="AV157" s="34">
        <f t="shared" si="92"/>
        <v>0</v>
      </c>
      <c r="AW157" s="34">
        <f t="shared" si="93"/>
        <v>0</v>
      </c>
      <c r="AX157" s="32">
        <f t="shared" si="95"/>
        <v>0.93584335714285716</v>
      </c>
    </row>
    <row r="158" spans="1:50" ht="18.75" customHeight="1" x14ac:dyDescent="0.2">
      <c r="A158" s="27" t="s">
        <v>55</v>
      </c>
      <c r="B158" s="27" t="s">
        <v>56</v>
      </c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8" t="s">
        <v>860</v>
      </c>
      <c r="AB158" s="29" t="s">
        <v>260</v>
      </c>
      <c r="AC158" s="30" t="s">
        <v>37</v>
      </c>
      <c r="AD158" s="30">
        <f>AD159+AD161</f>
        <v>50000000</v>
      </c>
      <c r="AE158" s="31">
        <f t="shared" ref="AE158:AS158" si="97">AE159+AE161</f>
        <v>0</v>
      </c>
      <c r="AF158" s="31">
        <f t="shared" si="97"/>
        <v>0</v>
      </c>
      <c r="AG158" s="31">
        <f t="shared" si="97"/>
        <v>0</v>
      </c>
      <c r="AH158" s="31">
        <f t="shared" si="97"/>
        <v>0</v>
      </c>
      <c r="AI158" s="31">
        <f t="shared" si="97"/>
        <v>0</v>
      </c>
      <c r="AJ158" s="30">
        <f t="shared" si="97"/>
        <v>50000000</v>
      </c>
      <c r="AK158" s="31">
        <f t="shared" si="97"/>
        <v>0</v>
      </c>
      <c r="AL158" s="172">
        <f t="shared" si="97"/>
        <v>0</v>
      </c>
      <c r="AM158" s="109">
        <f t="shared" si="97"/>
        <v>250000</v>
      </c>
      <c r="AN158" s="31">
        <f t="shared" si="97"/>
        <v>0</v>
      </c>
      <c r="AO158" s="172">
        <f t="shared" si="97"/>
        <v>0</v>
      </c>
      <c r="AP158" s="109">
        <f t="shared" si="97"/>
        <v>250000</v>
      </c>
      <c r="AQ158" s="31">
        <f t="shared" si="97"/>
        <v>0</v>
      </c>
      <c r="AR158" s="31">
        <f t="shared" si="97"/>
        <v>0</v>
      </c>
      <c r="AS158" s="30">
        <f t="shared" si="97"/>
        <v>250000</v>
      </c>
      <c r="AT158" s="39">
        <f t="shared" si="90"/>
        <v>250000</v>
      </c>
      <c r="AU158" s="176">
        <f t="shared" si="91"/>
        <v>49750000</v>
      </c>
      <c r="AV158" s="34">
        <f t="shared" si="92"/>
        <v>0</v>
      </c>
      <c r="AW158" s="34">
        <f t="shared" si="93"/>
        <v>0</v>
      </c>
      <c r="AX158" s="32">
        <f t="shared" si="95"/>
        <v>5.0000000000000001E-3</v>
      </c>
    </row>
    <row r="159" spans="1:50" ht="18.75" customHeight="1" x14ac:dyDescent="0.2">
      <c r="A159" s="27" t="s">
        <v>55</v>
      </c>
      <c r="B159" s="27" t="s">
        <v>56</v>
      </c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8" t="s">
        <v>859</v>
      </c>
      <c r="AB159" s="29" t="s">
        <v>261</v>
      </c>
      <c r="AC159" s="30" t="s">
        <v>37</v>
      </c>
      <c r="AD159" s="30">
        <f>AD160</f>
        <v>10000000</v>
      </c>
      <c r="AE159" s="31">
        <f t="shared" ref="AE159:AS159" si="98">AE160</f>
        <v>0</v>
      </c>
      <c r="AF159" s="31">
        <f t="shared" si="98"/>
        <v>0</v>
      </c>
      <c r="AG159" s="31">
        <f t="shared" si="98"/>
        <v>0</v>
      </c>
      <c r="AH159" s="31">
        <f t="shared" si="98"/>
        <v>0</v>
      </c>
      <c r="AI159" s="31">
        <f t="shared" si="98"/>
        <v>0</v>
      </c>
      <c r="AJ159" s="30">
        <f t="shared" si="98"/>
        <v>10000000</v>
      </c>
      <c r="AK159" s="31">
        <f t="shared" si="98"/>
        <v>0</v>
      </c>
      <c r="AL159" s="172">
        <f t="shared" si="98"/>
        <v>0</v>
      </c>
      <c r="AM159" s="109">
        <f t="shared" si="98"/>
        <v>250000</v>
      </c>
      <c r="AN159" s="31">
        <f t="shared" si="98"/>
        <v>0</v>
      </c>
      <c r="AO159" s="172">
        <f t="shared" si="98"/>
        <v>0</v>
      </c>
      <c r="AP159" s="109">
        <f t="shared" si="98"/>
        <v>250000</v>
      </c>
      <c r="AQ159" s="31">
        <f t="shared" si="98"/>
        <v>0</v>
      </c>
      <c r="AR159" s="31">
        <f t="shared" si="98"/>
        <v>0</v>
      </c>
      <c r="AS159" s="30">
        <f t="shared" si="98"/>
        <v>250000</v>
      </c>
      <c r="AT159" s="39">
        <f t="shared" si="90"/>
        <v>250000</v>
      </c>
      <c r="AU159" s="176">
        <f t="shared" si="91"/>
        <v>9750000</v>
      </c>
      <c r="AV159" s="34">
        <f t="shared" si="92"/>
        <v>0</v>
      </c>
      <c r="AW159" s="34">
        <f t="shared" si="93"/>
        <v>0</v>
      </c>
      <c r="AX159" s="32">
        <f t="shared" si="95"/>
        <v>2.5000000000000001E-2</v>
      </c>
    </row>
    <row r="160" spans="1:50" ht="18.75" customHeight="1" x14ac:dyDescent="0.2">
      <c r="A160" s="4" t="s">
        <v>55</v>
      </c>
      <c r="B160" s="4" t="s">
        <v>56</v>
      </c>
      <c r="C160" s="4"/>
      <c r="D160" s="4" t="s">
        <v>40</v>
      </c>
      <c r="E160" s="4"/>
      <c r="F160" s="4"/>
      <c r="G160" s="4" t="s">
        <v>41</v>
      </c>
      <c r="H160" s="4"/>
      <c r="I160" s="4" t="s">
        <v>936</v>
      </c>
      <c r="J160" s="4"/>
      <c r="K160" s="4" t="s">
        <v>932</v>
      </c>
      <c r="L160" s="4"/>
      <c r="M160" s="4" t="s">
        <v>933</v>
      </c>
      <c r="N160" s="4"/>
      <c r="O160" s="4" t="s">
        <v>938</v>
      </c>
      <c r="P160" s="4"/>
      <c r="Q160" s="4" t="s">
        <v>942</v>
      </c>
      <c r="R160" s="4"/>
      <c r="S160" s="4" t="s">
        <v>940</v>
      </c>
      <c r="T160" s="4">
        <v>0</v>
      </c>
      <c r="U160" s="4">
        <v>0</v>
      </c>
      <c r="V160" s="4">
        <v>0</v>
      </c>
      <c r="W160" s="4">
        <v>0</v>
      </c>
      <c r="X160" s="4" t="s">
        <v>937</v>
      </c>
      <c r="Y160" s="4"/>
      <c r="Z160" s="4"/>
      <c r="AA160" s="41" t="s">
        <v>858</v>
      </c>
      <c r="AB160" s="42" t="s">
        <v>262</v>
      </c>
      <c r="AC160" s="43" t="s">
        <v>58</v>
      </c>
      <c r="AD160" s="43">
        <v>10000000</v>
      </c>
      <c r="AE160" s="44">
        <v>0</v>
      </c>
      <c r="AF160" s="44">
        <v>0</v>
      </c>
      <c r="AG160" s="44">
        <v>0</v>
      </c>
      <c r="AH160" s="44">
        <v>0</v>
      </c>
      <c r="AI160" s="44">
        <v>0</v>
      </c>
      <c r="AJ160" s="43">
        <v>10000000</v>
      </c>
      <c r="AK160" s="44">
        <v>0</v>
      </c>
      <c r="AL160" s="115">
        <v>0</v>
      </c>
      <c r="AM160" s="114">
        <v>250000</v>
      </c>
      <c r="AN160" s="44">
        <v>0</v>
      </c>
      <c r="AO160" s="115">
        <v>0</v>
      </c>
      <c r="AP160" s="114">
        <v>250000</v>
      </c>
      <c r="AQ160" s="44">
        <v>0</v>
      </c>
      <c r="AR160" s="44">
        <v>0</v>
      </c>
      <c r="AS160" s="43">
        <v>250000</v>
      </c>
      <c r="AT160" s="39">
        <f t="shared" si="90"/>
        <v>250000</v>
      </c>
      <c r="AU160" s="18">
        <f t="shared" si="91"/>
        <v>9750000</v>
      </c>
      <c r="AV160" s="34">
        <f t="shared" si="92"/>
        <v>0</v>
      </c>
      <c r="AW160" s="34">
        <f t="shared" si="93"/>
        <v>0</v>
      </c>
      <c r="AX160" s="32">
        <f t="shared" si="95"/>
        <v>2.5000000000000001E-2</v>
      </c>
    </row>
    <row r="161" spans="1:50" ht="18.75" customHeight="1" x14ac:dyDescent="0.2">
      <c r="A161" s="4" t="s">
        <v>55</v>
      </c>
      <c r="B161" s="4" t="s">
        <v>56</v>
      </c>
      <c r="C161" s="4"/>
      <c r="D161" s="4" t="s">
        <v>40</v>
      </c>
      <c r="E161" s="4"/>
      <c r="F161" s="4"/>
      <c r="G161" s="4" t="s">
        <v>41</v>
      </c>
      <c r="H161" s="4"/>
      <c r="I161" s="4" t="s">
        <v>936</v>
      </c>
      <c r="J161" s="4"/>
      <c r="K161" s="4" t="s">
        <v>932</v>
      </c>
      <c r="L161" s="4"/>
      <c r="M161" s="4" t="s">
        <v>933</v>
      </c>
      <c r="N161" s="4"/>
      <c r="O161" s="4" t="s">
        <v>938</v>
      </c>
      <c r="P161" s="4"/>
      <c r="Q161" s="4" t="s">
        <v>942</v>
      </c>
      <c r="R161" s="4"/>
      <c r="S161" s="4" t="s">
        <v>940</v>
      </c>
      <c r="T161" s="4">
        <v>0</v>
      </c>
      <c r="U161" s="4">
        <v>0</v>
      </c>
      <c r="V161" s="4">
        <v>0</v>
      </c>
      <c r="W161" s="4">
        <v>0</v>
      </c>
      <c r="X161" s="4" t="s">
        <v>937</v>
      </c>
      <c r="Y161" s="4"/>
      <c r="Z161" s="4"/>
      <c r="AA161" s="41" t="s">
        <v>857</v>
      </c>
      <c r="AB161" s="42" t="s">
        <v>263</v>
      </c>
      <c r="AC161" s="43" t="s">
        <v>58</v>
      </c>
      <c r="AD161" s="43">
        <v>40000000</v>
      </c>
      <c r="AE161" s="44">
        <v>0</v>
      </c>
      <c r="AF161" s="44">
        <v>0</v>
      </c>
      <c r="AG161" s="44">
        <v>0</v>
      </c>
      <c r="AH161" s="44">
        <v>0</v>
      </c>
      <c r="AI161" s="44">
        <v>0</v>
      </c>
      <c r="AJ161" s="43">
        <v>40000000</v>
      </c>
      <c r="AK161" s="44">
        <v>0</v>
      </c>
      <c r="AL161" s="44">
        <v>0</v>
      </c>
      <c r="AM161" s="44">
        <v>0</v>
      </c>
      <c r="AN161" s="44">
        <v>0</v>
      </c>
      <c r="AO161" s="44">
        <v>0</v>
      </c>
      <c r="AP161" s="44">
        <v>0</v>
      </c>
      <c r="AQ161" s="44">
        <v>0</v>
      </c>
      <c r="AR161" s="44">
        <v>0</v>
      </c>
      <c r="AS161" s="44">
        <v>0</v>
      </c>
      <c r="AT161" s="40">
        <f t="shared" si="90"/>
        <v>0</v>
      </c>
      <c r="AU161" s="18">
        <f t="shared" si="91"/>
        <v>40000000</v>
      </c>
      <c r="AV161" s="34">
        <f t="shared" si="92"/>
        <v>0</v>
      </c>
      <c r="AW161" s="34">
        <f t="shared" si="93"/>
        <v>0</v>
      </c>
      <c r="AX161" s="32">
        <f t="shared" si="95"/>
        <v>0</v>
      </c>
    </row>
    <row r="162" spans="1:50" s="25" customFormat="1" ht="18.75" customHeight="1" x14ac:dyDescent="0.2">
      <c r="A162" s="19" t="s">
        <v>49</v>
      </c>
      <c r="B162" s="19" t="s">
        <v>50</v>
      </c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26" t="s">
        <v>856</v>
      </c>
      <c r="AB162" s="21" t="s">
        <v>264</v>
      </c>
      <c r="AC162" s="22" t="s">
        <v>37</v>
      </c>
      <c r="AD162" s="22">
        <f>AD163</f>
        <v>58452467165</v>
      </c>
      <c r="AE162" s="22">
        <f t="shared" ref="AE162:AW162" si="99">AE163</f>
        <v>5987472683.25</v>
      </c>
      <c r="AF162" s="23">
        <f t="shared" si="99"/>
        <v>0</v>
      </c>
      <c r="AG162" s="23">
        <f t="shared" si="99"/>
        <v>0</v>
      </c>
      <c r="AH162" s="23">
        <f t="shared" si="99"/>
        <v>0</v>
      </c>
      <c r="AI162" s="22">
        <f t="shared" si="99"/>
        <v>5987472683.25</v>
      </c>
      <c r="AJ162" s="22">
        <f>AJ163</f>
        <v>64439939848.25</v>
      </c>
      <c r="AK162" s="23">
        <f t="shared" si="99"/>
        <v>0</v>
      </c>
      <c r="AL162" s="22">
        <f t="shared" si="99"/>
        <v>1489358079.72</v>
      </c>
      <c r="AM162" s="22">
        <f t="shared" si="99"/>
        <v>21152425450.52</v>
      </c>
      <c r="AN162" s="23">
        <f t="shared" si="99"/>
        <v>0</v>
      </c>
      <c r="AO162" s="22">
        <f t="shared" si="99"/>
        <v>1664288934.5999999</v>
      </c>
      <c r="AP162" s="22">
        <f t="shared" si="99"/>
        <v>20886742033.549999</v>
      </c>
      <c r="AQ162" s="22">
        <f t="shared" si="99"/>
        <v>63583212.25</v>
      </c>
      <c r="AR162" s="22">
        <f t="shared" si="99"/>
        <v>1869108814.73</v>
      </c>
      <c r="AS162" s="22">
        <f t="shared" si="99"/>
        <v>20650883280.439995</v>
      </c>
      <c r="AT162" s="22">
        <f t="shared" si="90"/>
        <v>20714466492.689995</v>
      </c>
      <c r="AU162" s="22">
        <f t="shared" si="99"/>
        <v>43287514397.729996</v>
      </c>
      <c r="AV162" s="108">
        <f t="shared" si="99"/>
        <v>265683416.97000027</v>
      </c>
      <c r="AW162" s="22">
        <f t="shared" si="99"/>
        <v>172275540.86000001</v>
      </c>
      <c r="AX162" s="24">
        <f t="shared" si="95"/>
        <v>0.32412727390398427</v>
      </c>
    </row>
    <row r="163" spans="1:50" s="25" customFormat="1" ht="18.75" customHeight="1" x14ac:dyDescent="0.2">
      <c r="A163" s="19" t="s">
        <v>55</v>
      </c>
      <c r="B163" s="19" t="s">
        <v>56</v>
      </c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26" t="s">
        <v>855</v>
      </c>
      <c r="AB163" s="21" t="s">
        <v>265</v>
      </c>
      <c r="AC163" s="22" t="s">
        <v>37</v>
      </c>
      <c r="AD163" s="22">
        <f>AD164+AD174+AD179+AD169+AD178</f>
        <v>58452467165</v>
      </c>
      <c r="AE163" s="22">
        <f t="shared" ref="AE163:AW163" si="100">AE164+AE174+AE179+AE169+AE178</f>
        <v>5987472683.25</v>
      </c>
      <c r="AF163" s="23">
        <f t="shared" si="100"/>
        <v>0</v>
      </c>
      <c r="AG163" s="23">
        <f t="shared" si="100"/>
        <v>0</v>
      </c>
      <c r="AH163" s="23">
        <f t="shared" si="100"/>
        <v>0</v>
      </c>
      <c r="AI163" s="22">
        <f t="shared" si="100"/>
        <v>5987472683.25</v>
      </c>
      <c r="AJ163" s="22">
        <f t="shared" si="100"/>
        <v>64439939848.25</v>
      </c>
      <c r="AK163" s="22">
        <f t="shared" si="100"/>
        <v>0</v>
      </c>
      <c r="AL163" s="22">
        <f t="shared" si="100"/>
        <v>1489358079.72</v>
      </c>
      <c r="AM163" s="22">
        <f t="shared" si="100"/>
        <v>21152425450.52</v>
      </c>
      <c r="AN163" s="23">
        <f t="shared" si="100"/>
        <v>0</v>
      </c>
      <c r="AO163" s="22">
        <f t="shared" si="100"/>
        <v>1664288934.5999999</v>
      </c>
      <c r="AP163" s="22">
        <f t="shared" si="100"/>
        <v>20886742033.549999</v>
      </c>
      <c r="AQ163" s="22">
        <f t="shared" si="100"/>
        <v>63583212.25</v>
      </c>
      <c r="AR163" s="22">
        <f t="shared" si="100"/>
        <v>1869108814.73</v>
      </c>
      <c r="AS163" s="22">
        <f t="shared" si="100"/>
        <v>20650883280.439995</v>
      </c>
      <c r="AT163" s="22">
        <f t="shared" si="100"/>
        <v>20714466492.689999</v>
      </c>
      <c r="AU163" s="22">
        <f t="shared" si="100"/>
        <v>43287514397.729996</v>
      </c>
      <c r="AV163" s="22">
        <f t="shared" si="100"/>
        <v>265683416.97000027</v>
      </c>
      <c r="AW163" s="22">
        <f t="shared" si="100"/>
        <v>172275540.86000001</v>
      </c>
      <c r="AX163" s="24">
        <f t="shared" si="95"/>
        <v>0.32412727390398427</v>
      </c>
    </row>
    <row r="164" spans="1:50" s="25" customFormat="1" ht="18.75" customHeight="1" x14ac:dyDescent="0.2">
      <c r="A164" s="19" t="s">
        <v>37</v>
      </c>
      <c r="B164" s="19" t="s">
        <v>37</v>
      </c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26" t="s">
        <v>854</v>
      </c>
      <c r="AB164" s="21" t="s">
        <v>266</v>
      </c>
      <c r="AC164" s="22" t="s">
        <v>37</v>
      </c>
      <c r="AD164" s="22">
        <f>AD165</f>
        <v>28000000000.57</v>
      </c>
      <c r="AE164" s="23">
        <f t="shared" ref="AE164:AW167" si="101">AE165</f>
        <v>0</v>
      </c>
      <c r="AF164" s="23">
        <f t="shared" si="101"/>
        <v>0</v>
      </c>
      <c r="AG164" s="23">
        <f t="shared" si="101"/>
        <v>0</v>
      </c>
      <c r="AH164" s="23">
        <f t="shared" si="101"/>
        <v>0</v>
      </c>
      <c r="AI164" s="23">
        <f t="shared" si="101"/>
        <v>0</v>
      </c>
      <c r="AJ164" s="22">
        <f t="shared" si="101"/>
        <v>28000000000.57</v>
      </c>
      <c r="AK164" s="23">
        <f t="shared" si="101"/>
        <v>0</v>
      </c>
      <c r="AL164" s="23">
        <f t="shared" si="101"/>
        <v>0</v>
      </c>
      <c r="AM164" s="22">
        <f t="shared" si="101"/>
        <v>10549142958.959999</v>
      </c>
      <c r="AN164" s="23">
        <f t="shared" si="101"/>
        <v>0</v>
      </c>
      <c r="AO164" s="23">
        <f t="shared" si="101"/>
        <v>0</v>
      </c>
      <c r="AP164" s="22">
        <f t="shared" si="101"/>
        <v>10549142958.959999</v>
      </c>
      <c r="AQ164" s="23">
        <f t="shared" si="101"/>
        <v>0</v>
      </c>
      <c r="AR164" s="23">
        <f t="shared" si="101"/>
        <v>0</v>
      </c>
      <c r="AS164" s="22">
        <f t="shared" si="101"/>
        <v>10549142958.959999</v>
      </c>
      <c r="AT164" s="22">
        <f t="shared" si="90"/>
        <v>10549142958.959999</v>
      </c>
      <c r="AU164" s="22">
        <f t="shared" si="101"/>
        <v>17450857041.610001</v>
      </c>
      <c r="AV164" s="23">
        <f t="shared" si="101"/>
        <v>0</v>
      </c>
      <c r="AW164" s="23">
        <f t="shared" si="101"/>
        <v>0</v>
      </c>
      <c r="AX164" s="24">
        <f t="shared" si="95"/>
        <v>0.37675510566947318</v>
      </c>
    </row>
    <row r="165" spans="1:50" ht="18.75" customHeight="1" x14ac:dyDescent="0.2">
      <c r="A165" s="27" t="s">
        <v>37</v>
      </c>
      <c r="B165" s="27" t="s">
        <v>37</v>
      </c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8" t="s">
        <v>853</v>
      </c>
      <c r="AB165" s="29" t="s">
        <v>267</v>
      </c>
      <c r="AC165" s="30" t="s">
        <v>37</v>
      </c>
      <c r="AD165" s="30">
        <f>AD166</f>
        <v>28000000000.57</v>
      </c>
      <c r="AE165" s="31">
        <f t="shared" si="101"/>
        <v>0</v>
      </c>
      <c r="AF165" s="31">
        <f t="shared" si="101"/>
        <v>0</v>
      </c>
      <c r="AG165" s="31">
        <f t="shared" si="101"/>
        <v>0</v>
      </c>
      <c r="AH165" s="31">
        <f t="shared" si="101"/>
        <v>0</v>
      </c>
      <c r="AI165" s="31">
        <f t="shared" si="101"/>
        <v>0</v>
      </c>
      <c r="AJ165" s="30">
        <f t="shared" si="101"/>
        <v>28000000000.57</v>
      </c>
      <c r="AK165" s="31">
        <f t="shared" si="101"/>
        <v>0</v>
      </c>
      <c r="AL165" s="31">
        <f t="shared" si="101"/>
        <v>0</v>
      </c>
      <c r="AM165" s="30">
        <f t="shared" si="101"/>
        <v>10549142958.959999</v>
      </c>
      <c r="AN165" s="31">
        <f t="shared" si="101"/>
        <v>0</v>
      </c>
      <c r="AO165" s="31">
        <f t="shared" si="101"/>
        <v>0</v>
      </c>
      <c r="AP165" s="30">
        <f t="shared" si="101"/>
        <v>10549142958.959999</v>
      </c>
      <c r="AQ165" s="31">
        <f t="shared" si="101"/>
        <v>0</v>
      </c>
      <c r="AR165" s="31">
        <f t="shared" si="101"/>
        <v>0</v>
      </c>
      <c r="AS165" s="30">
        <f t="shared" si="101"/>
        <v>10549142958.959999</v>
      </c>
      <c r="AT165" s="30">
        <f t="shared" si="90"/>
        <v>10549142958.959999</v>
      </c>
      <c r="AU165" s="18">
        <f>AJ165-AM165</f>
        <v>17450857041.610001</v>
      </c>
      <c r="AV165" s="34">
        <f>AM165-AP165</f>
        <v>0</v>
      </c>
      <c r="AW165" s="34">
        <f>AP165-AT165</f>
        <v>0</v>
      </c>
      <c r="AX165" s="32">
        <f t="shared" si="95"/>
        <v>0.37675510566947318</v>
      </c>
    </row>
    <row r="166" spans="1:50" ht="18.75" customHeight="1" x14ac:dyDescent="0.2">
      <c r="A166" s="27" t="s">
        <v>37</v>
      </c>
      <c r="B166" s="27" t="s">
        <v>37</v>
      </c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8" t="s">
        <v>852</v>
      </c>
      <c r="AB166" s="29" t="s">
        <v>268</v>
      </c>
      <c r="AC166" s="30" t="s">
        <v>37</v>
      </c>
      <c r="AD166" s="30">
        <f>AD167</f>
        <v>28000000000.57</v>
      </c>
      <c r="AE166" s="31">
        <f t="shared" si="101"/>
        <v>0</v>
      </c>
      <c r="AF166" s="31">
        <f t="shared" si="101"/>
        <v>0</v>
      </c>
      <c r="AG166" s="31">
        <f t="shared" si="101"/>
        <v>0</v>
      </c>
      <c r="AH166" s="31">
        <f t="shared" si="101"/>
        <v>0</v>
      </c>
      <c r="AI166" s="31">
        <f t="shared" si="101"/>
        <v>0</v>
      </c>
      <c r="AJ166" s="30">
        <f t="shared" si="101"/>
        <v>28000000000.57</v>
      </c>
      <c r="AK166" s="31">
        <f t="shared" si="101"/>
        <v>0</v>
      </c>
      <c r="AL166" s="31">
        <f t="shared" si="101"/>
        <v>0</v>
      </c>
      <c r="AM166" s="30">
        <f t="shared" si="101"/>
        <v>10549142958.959999</v>
      </c>
      <c r="AN166" s="31">
        <f t="shared" si="101"/>
        <v>0</v>
      </c>
      <c r="AO166" s="31">
        <f t="shared" si="101"/>
        <v>0</v>
      </c>
      <c r="AP166" s="30">
        <f t="shared" si="101"/>
        <v>10549142958.959999</v>
      </c>
      <c r="AQ166" s="31">
        <f t="shared" si="101"/>
        <v>0</v>
      </c>
      <c r="AR166" s="31">
        <f t="shared" si="101"/>
        <v>0</v>
      </c>
      <c r="AS166" s="30">
        <f t="shared" si="101"/>
        <v>10549142958.959999</v>
      </c>
      <c r="AT166" s="30">
        <f t="shared" si="90"/>
        <v>10549142958.959999</v>
      </c>
      <c r="AU166" s="18">
        <f>AJ166-AM166</f>
        <v>17450857041.610001</v>
      </c>
      <c r="AV166" s="34">
        <f>AM166-AP166</f>
        <v>0</v>
      </c>
      <c r="AW166" s="34">
        <f>AP166-AT166</f>
        <v>0</v>
      </c>
      <c r="AX166" s="32">
        <f t="shared" si="95"/>
        <v>0.37675510566947318</v>
      </c>
    </row>
    <row r="167" spans="1:50" ht="18.75" customHeight="1" x14ac:dyDescent="0.2">
      <c r="A167" s="27" t="s">
        <v>37</v>
      </c>
      <c r="B167" s="27" t="s">
        <v>37</v>
      </c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8" t="s">
        <v>851</v>
      </c>
      <c r="AB167" s="29" t="s">
        <v>269</v>
      </c>
      <c r="AC167" s="30" t="s">
        <v>37</v>
      </c>
      <c r="AD167" s="30">
        <f>AD168</f>
        <v>28000000000.57</v>
      </c>
      <c r="AE167" s="31">
        <f t="shared" si="101"/>
        <v>0</v>
      </c>
      <c r="AF167" s="31">
        <f t="shared" si="101"/>
        <v>0</v>
      </c>
      <c r="AG167" s="31">
        <f t="shared" si="101"/>
        <v>0</v>
      </c>
      <c r="AH167" s="31">
        <f t="shared" si="101"/>
        <v>0</v>
      </c>
      <c r="AI167" s="31">
        <f t="shared" si="101"/>
        <v>0</v>
      </c>
      <c r="AJ167" s="30">
        <f t="shared" si="101"/>
        <v>28000000000.57</v>
      </c>
      <c r="AK167" s="31">
        <f t="shared" si="101"/>
        <v>0</v>
      </c>
      <c r="AL167" s="31">
        <f t="shared" si="101"/>
        <v>0</v>
      </c>
      <c r="AM167" s="30">
        <f t="shared" si="101"/>
        <v>10549142958.959999</v>
      </c>
      <c r="AN167" s="31">
        <f t="shared" si="101"/>
        <v>0</v>
      </c>
      <c r="AO167" s="31">
        <f t="shared" si="101"/>
        <v>0</v>
      </c>
      <c r="AP167" s="30">
        <f t="shared" si="101"/>
        <v>10549142958.959999</v>
      </c>
      <c r="AQ167" s="31">
        <f t="shared" si="101"/>
        <v>0</v>
      </c>
      <c r="AR167" s="31">
        <f t="shared" si="101"/>
        <v>0</v>
      </c>
      <c r="AS167" s="30">
        <f t="shared" si="101"/>
        <v>10549142958.959999</v>
      </c>
      <c r="AT167" s="30">
        <f t="shared" si="90"/>
        <v>10549142958.959999</v>
      </c>
      <c r="AU167" s="18">
        <f>AJ167-AM167</f>
        <v>17450857041.610001</v>
      </c>
      <c r="AV167" s="34">
        <f>AM167-AP167</f>
        <v>0</v>
      </c>
      <c r="AW167" s="34">
        <f>AP167-AT167</f>
        <v>0</v>
      </c>
      <c r="AX167" s="32">
        <f t="shared" si="95"/>
        <v>0.37675510566947318</v>
      </c>
    </row>
    <row r="168" spans="1:50" ht="18.75" customHeight="1" x14ac:dyDescent="0.2">
      <c r="A168" s="4" t="s">
        <v>55</v>
      </c>
      <c r="B168" s="4" t="s">
        <v>56</v>
      </c>
      <c r="C168" s="4"/>
      <c r="D168" s="4" t="s">
        <v>947</v>
      </c>
      <c r="E168" s="4"/>
      <c r="F168" s="4"/>
      <c r="G168" s="4" t="s">
        <v>41</v>
      </c>
      <c r="H168" s="4"/>
      <c r="I168" s="4" t="s">
        <v>936</v>
      </c>
      <c r="J168" s="4"/>
      <c r="K168" s="4" t="s">
        <v>932</v>
      </c>
      <c r="L168" s="4"/>
      <c r="M168" s="4" t="s">
        <v>933</v>
      </c>
      <c r="N168" s="4"/>
      <c r="O168" s="4" t="s">
        <v>934</v>
      </c>
      <c r="P168" s="4"/>
      <c r="Q168" s="4" t="s">
        <v>935</v>
      </c>
      <c r="R168" s="4"/>
      <c r="S168" s="4" t="s">
        <v>940</v>
      </c>
      <c r="T168" s="4">
        <v>0</v>
      </c>
      <c r="U168" s="4">
        <v>0</v>
      </c>
      <c r="V168" s="4">
        <v>0</v>
      </c>
      <c r="W168" s="4"/>
      <c r="X168" s="4" t="s">
        <v>937</v>
      </c>
      <c r="Y168" s="4"/>
      <c r="Z168" s="4"/>
      <c r="AA168" s="41" t="s">
        <v>850</v>
      </c>
      <c r="AB168" s="42" t="s">
        <v>269</v>
      </c>
      <c r="AC168" s="43" t="s">
        <v>58</v>
      </c>
      <c r="AD168" s="43">
        <v>28000000000.57</v>
      </c>
      <c r="AE168" s="44">
        <v>0</v>
      </c>
      <c r="AF168" s="44">
        <v>0</v>
      </c>
      <c r="AG168" s="44">
        <v>0</v>
      </c>
      <c r="AH168" s="44">
        <v>0</v>
      </c>
      <c r="AI168" s="44">
        <v>0</v>
      </c>
      <c r="AJ168" s="43">
        <v>28000000000.57</v>
      </c>
      <c r="AK168" s="44">
        <v>0</v>
      </c>
      <c r="AL168" s="44">
        <v>0</v>
      </c>
      <c r="AM168" s="43">
        <v>10549142958.959999</v>
      </c>
      <c r="AN168" s="44">
        <v>0</v>
      </c>
      <c r="AO168" s="44">
        <v>0</v>
      </c>
      <c r="AP168" s="43">
        <v>10549142958.959999</v>
      </c>
      <c r="AQ168" s="44">
        <v>0</v>
      </c>
      <c r="AR168" s="44">
        <v>0</v>
      </c>
      <c r="AS168" s="43">
        <v>10549142958.959999</v>
      </c>
      <c r="AT168" s="39">
        <f t="shared" si="90"/>
        <v>10549142958.959999</v>
      </c>
      <c r="AU168" s="18">
        <f>AJ168-AM168</f>
        <v>17450857041.610001</v>
      </c>
      <c r="AV168" s="34">
        <f>AM168-AP168</f>
        <v>0</v>
      </c>
      <c r="AW168" s="34">
        <f>AP168-AT168</f>
        <v>0</v>
      </c>
      <c r="AX168" s="32">
        <f t="shared" si="95"/>
        <v>0.37675510566947318</v>
      </c>
    </row>
    <row r="169" spans="1:50" s="25" customFormat="1" ht="18.75" customHeight="1" x14ac:dyDescent="0.2">
      <c r="A169" s="19" t="s">
        <v>37</v>
      </c>
      <c r="B169" s="19" t="s">
        <v>37</v>
      </c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26" t="s">
        <v>270</v>
      </c>
      <c r="AB169" s="21" t="s">
        <v>271</v>
      </c>
      <c r="AC169" s="22" t="s">
        <v>37</v>
      </c>
      <c r="AD169" s="22">
        <f>AD170</f>
        <v>21500000000</v>
      </c>
      <c r="AE169" s="23">
        <f t="shared" ref="AE169:AW172" si="102">AE170</f>
        <v>0</v>
      </c>
      <c r="AF169" s="23">
        <f t="shared" si="102"/>
        <v>0</v>
      </c>
      <c r="AG169" s="23">
        <f t="shared" si="102"/>
        <v>0</v>
      </c>
      <c r="AH169" s="23">
        <f t="shared" si="102"/>
        <v>0</v>
      </c>
      <c r="AI169" s="23">
        <f t="shared" si="102"/>
        <v>0</v>
      </c>
      <c r="AJ169" s="22">
        <f t="shared" si="102"/>
        <v>21500000000</v>
      </c>
      <c r="AK169" s="23">
        <f t="shared" si="102"/>
        <v>0</v>
      </c>
      <c r="AL169" s="22">
        <f t="shared" si="102"/>
        <v>1237910647.72</v>
      </c>
      <c r="AM169" s="22">
        <f t="shared" si="102"/>
        <v>8054291808.9899998</v>
      </c>
      <c r="AN169" s="23">
        <f t="shared" si="102"/>
        <v>0</v>
      </c>
      <c r="AO169" s="22">
        <f t="shared" si="102"/>
        <v>1237910647.72</v>
      </c>
      <c r="AP169" s="22">
        <f t="shared" si="102"/>
        <v>8054291808.9899998</v>
      </c>
      <c r="AQ169" s="23">
        <f t="shared" si="102"/>
        <v>0</v>
      </c>
      <c r="AR169" s="22">
        <f t="shared" si="102"/>
        <v>1237910647.72</v>
      </c>
      <c r="AS169" s="22">
        <f t="shared" si="102"/>
        <v>8054291808.9899998</v>
      </c>
      <c r="AT169" s="22">
        <f t="shared" si="102"/>
        <v>8054291808.9899998</v>
      </c>
      <c r="AU169" s="22">
        <f t="shared" si="102"/>
        <v>13445708191.01</v>
      </c>
      <c r="AV169" s="23">
        <f t="shared" si="102"/>
        <v>0</v>
      </c>
      <c r="AW169" s="23">
        <f t="shared" si="102"/>
        <v>0</v>
      </c>
      <c r="AX169" s="24">
        <f t="shared" si="95"/>
        <v>0.37461822367395348</v>
      </c>
    </row>
    <row r="170" spans="1:50" ht="18.75" customHeight="1" x14ac:dyDescent="0.2">
      <c r="A170" s="27" t="s">
        <v>37</v>
      </c>
      <c r="B170" s="27" t="s">
        <v>37</v>
      </c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8" t="s">
        <v>849</v>
      </c>
      <c r="AB170" s="29" t="s">
        <v>272</v>
      </c>
      <c r="AC170" s="30" t="s">
        <v>56</v>
      </c>
      <c r="AD170" s="30">
        <f>AD171</f>
        <v>21500000000</v>
      </c>
      <c r="AE170" s="31">
        <f t="shared" si="102"/>
        <v>0</v>
      </c>
      <c r="AF170" s="31">
        <f t="shared" si="102"/>
        <v>0</v>
      </c>
      <c r="AG170" s="31">
        <f t="shared" si="102"/>
        <v>0</v>
      </c>
      <c r="AH170" s="31">
        <f t="shared" si="102"/>
        <v>0</v>
      </c>
      <c r="AI170" s="31">
        <f t="shared" si="102"/>
        <v>0</v>
      </c>
      <c r="AJ170" s="30">
        <f t="shared" si="102"/>
        <v>21500000000</v>
      </c>
      <c r="AK170" s="31">
        <f t="shared" si="102"/>
        <v>0</v>
      </c>
      <c r="AL170" s="30">
        <f t="shared" si="102"/>
        <v>1237910647.72</v>
      </c>
      <c r="AM170" s="30">
        <f t="shared" si="102"/>
        <v>8054291808.9899998</v>
      </c>
      <c r="AN170" s="31">
        <f t="shared" si="102"/>
        <v>0</v>
      </c>
      <c r="AO170" s="30">
        <f t="shared" si="102"/>
        <v>1237910647.72</v>
      </c>
      <c r="AP170" s="30">
        <f t="shared" si="102"/>
        <v>8054291808.9899998</v>
      </c>
      <c r="AQ170" s="31">
        <f t="shared" si="102"/>
        <v>0</v>
      </c>
      <c r="AR170" s="30">
        <f t="shared" si="102"/>
        <v>1237910647.72</v>
      </c>
      <c r="AS170" s="30">
        <f t="shared" si="102"/>
        <v>8054291808.9899998</v>
      </c>
      <c r="AT170" s="30">
        <f t="shared" ref="AT170:AT173" si="103">AQ170+AS170</f>
        <v>8054291808.9899998</v>
      </c>
      <c r="AU170" s="18">
        <f>AJ170-AM170</f>
        <v>13445708191.01</v>
      </c>
      <c r="AV170" s="34">
        <f>AM170-AP170</f>
        <v>0</v>
      </c>
      <c r="AW170" s="34">
        <f>AP170-AT170</f>
        <v>0</v>
      </c>
      <c r="AX170" s="32">
        <f t="shared" si="95"/>
        <v>0.37461822367395348</v>
      </c>
    </row>
    <row r="171" spans="1:50" ht="18.75" customHeight="1" x14ac:dyDescent="0.2">
      <c r="A171" s="27" t="s">
        <v>37</v>
      </c>
      <c r="B171" s="27" t="s">
        <v>37</v>
      </c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8" t="s">
        <v>848</v>
      </c>
      <c r="AB171" s="29" t="s">
        <v>268</v>
      </c>
      <c r="AC171" s="30" t="s">
        <v>37</v>
      </c>
      <c r="AD171" s="30">
        <f>AD172</f>
        <v>21500000000</v>
      </c>
      <c r="AE171" s="31">
        <f t="shared" si="102"/>
        <v>0</v>
      </c>
      <c r="AF171" s="31">
        <f t="shared" si="102"/>
        <v>0</v>
      </c>
      <c r="AG171" s="31">
        <f t="shared" si="102"/>
        <v>0</v>
      </c>
      <c r="AH171" s="31">
        <f t="shared" si="102"/>
        <v>0</v>
      </c>
      <c r="AI171" s="31">
        <f t="shared" si="102"/>
        <v>0</v>
      </c>
      <c r="AJ171" s="30">
        <f t="shared" si="102"/>
        <v>21500000000</v>
      </c>
      <c r="AK171" s="31">
        <f t="shared" si="102"/>
        <v>0</v>
      </c>
      <c r="AL171" s="30">
        <f t="shared" si="102"/>
        <v>1237910647.72</v>
      </c>
      <c r="AM171" s="30">
        <f t="shared" si="102"/>
        <v>8054291808.9899998</v>
      </c>
      <c r="AN171" s="31">
        <f t="shared" si="102"/>
        <v>0</v>
      </c>
      <c r="AO171" s="30">
        <f t="shared" si="102"/>
        <v>1237910647.72</v>
      </c>
      <c r="AP171" s="30">
        <f t="shared" si="102"/>
        <v>8054291808.9899998</v>
      </c>
      <c r="AQ171" s="31">
        <f t="shared" si="102"/>
        <v>0</v>
      </c>
      <c r="AR171" s="30">
        <f t="shared" si="102"/>
        <v>1237910647.72</v>
      </c>
      <c r="AS171" s="30">
        <f t="shared" si="102"/>
        <v>8054291808.9899998</v>
      </c>
      <c r="AT171" s="30">
        <f t="shared" si="103"/>
        <v>8054291808.9899998</v>
      </c>
      <c r="AU171" s="18">
        <f>AJ171-AM171</f>
        <v>13445708191.01</v>
      </c>
      <c r="AV171" s="34">
        <f>AM171-AP171</f>
        <v>0</v>
      </c>
      <c r="AW171" s="34">
        <f>AP171-AT171</f>
        <v>0</v>
      </c>
      <c r="AX171" s="32">
        <f t="shared" si="95"/>
        <v>0.37461822367395348</v>
      </c>
    </row>
    <row r="172" spans="1:50" ht="18.75" customHeight="1" x14ac:dyDescent="0.2">
      <c r="A172" s="27" t="s">
        <v>37</v>
      </c>
      <c r="B172" s="27" t="s">
        <v>37</v>
      </c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8" t="s">
        <v>847</v>
      </c>
      <c r="AB172" s="29" t="s">
        <v>269</v>
      </c>
      <c r="AC172" s="30" t="s">
        <v>37</v>
      </c>
      <c r="AD172" s="30">
        <f>AD173</f>
        <v>21500000000</v>
      </c>
      <c r="AE172" s="31">
        <f t="shared" si="102"/>
        <v>0</v>
      </c>
      <c r="AF172" s="31">
        <f t="shared" si="102"/>
        <v>0</v>
      </c>
      <c r="AG172" s="31">
        <f t="shared" si="102"/>
        <v>0</v>
      </c>
      <c r="AH172" s="31">
        <f t="shared" si="102"/>
        <v>0</v>
      </c>
      <c r="AI172" s="31">
        <f t="shared" si="102"/>
        <v>0</v>
      </c>
      <c r="AJ172" s="30">
        <f t="shared" si="102"/>
        <v>21500000000</v>
      </c>
      <c r="AK172" s="31">
        <f t="shared" si="102"/>
        <v>0</v>
      </c>
      <c r="AL172" s="30">
        <f t="shared" si="102"/>
        <v>1237910647.72</v>
      </c>
      <c r="AM172" s="30">
        <f t="shared" si="102"/>
        <v>8054291808.9899998</v>
      </c>
      <c r="AN172" s="31">
        <f t="shared" si="102"/>
        <v>0</v>
      </c>
      <c r="AO172" s="30">
        <f t="shared" si="102"/>
        <v>1237910647.72</v>
      </c>
      <c r="AP172" s="30">
        <f t="shared" si="102"/>
        <v>8054291808.9899998</v>
      </c>
      <c r="AQ172" s="31">
        <f t="shared" si="102"/>
        <v>0</v>
      </c>
      <c r="AR172" s="30">
        <f t="shared" si="102"/>
        <v>1237910647.72</v>
      </c>
      <c r="AS172" s="30">
        <f t="shared" si="102"/>
        <v>8054291808.9899998</v>
      </c>
      <c r="AT172" s="30">
        <f t="shared" si="103"/>
        <v>8054291808.9899998</v>
      </c>
      <c r="AU172" s="18">
        <f>AJ172-AM172</f>
        <v>13445708191.01</v>
      </c>
      <c r="AV172" s="34">
        <f>AM172-AP172</f>
        <v>0</v>
      </c>
      <c r="AW172" s="34">
        <f>AP172-AT172</f>
        <v>0</v>
      </c>
      <c r="AX172" s="32">
        <f t="shared" si="95"/>
        <v>0.37461822367395348</v>
      </c>
    </row>
    <row r="173" spans="1:50" ht="18.75" customHeight="1" x14ac:dyDescent="0.2">
      <c r="A173" s="4" t="s">
        <v>55</v>
      </c>
      <c r="B173" s="4" t="s">
        <v>56</v>
      </c>
      <c r="C173" s="4"/>
      <c r="D173" s="4" t="s">
        <v>947</v>
      </c>
      <c r="E173" s="4"/>
      <c r="F173" s="4"/>
      <c r="G173" s="4" t="s">
        <v>41</v>
      </c>
      <c r="H173" s="4"/>
      <c r="I173" s="4" t="s">
        <v>936</v>
      </c>
      <c r="J173" s="4"/>
      <c r="K173" s="4" t="s">
        <v>932</v>
      </c>
      <c r="L173" s="4"/>
      <c r="M173" s="4" t="s">
        <v>933</v>
      </c>
      <c r="N173" s="4"/>
      <c r="O173" s="4" t="s">
        <v>934</v>
      </c>
      <c r="P173" s="4"/>
      <c r="Q173" s="4" t="s">
        <v>935</v>
      </c>
      <c r="R173" s="4"/>
      <c r="S173" s="4" t="s">
        <v>940</v>
      </c>
      <c r="T173" s="4">
        <v>0</v>
      </c>
      <c r="U173" s="4">
        <v>0</v>
      </c>
      <c r="V173" s="4">
        <v>0</v>
      </c>
      <c r="W173" s="4"/>
      <c r="X173" s="4" t="s">
        <v>937</v>
      </c>
      <c r="Y173" s="4"/>
      <c r="Z173" s="4"/>
      <c r="AA173" s="41" t="s">
        <v>846</v>
      </c>
      <c r="AB173" s="42" t="s">
        <v>269</v>
      </c>
      <c r="AC173" s="43" t="s">
        <v>58</v>
      </c>
      <c r="AD173" s="43">
        <v>21500000000</v>
      </c>
      <c r="AE173" s="44">
        <v>0</v>
      </c>
      <c r="AF173" s="44">
        <v>0</v>
      </c>
      <c r="AG173" s="44">
        <v>0</v>
      </c>
      <c r="AH173" s="44">
        <v>0</v>
      </c>
      <c r="AI173" s="44">
        <v>0</v>
      </c>
      <c r="AJ173" s="43">
        <v>21500000000</v>
      </c>
      <c r="AK173" s="44">
        <v>0</v>
      </c>
      <c r="AL173" s="43">
        <v>1237910647.72</v>
      </c>
      <c r="AM173" s="43">
        <v>8054291808.9899998</v>
      </c>
      <c r="AN173" s="44">
        <v>0</v>
      </c>
      <c r="AO173" s="43">
        <v>1237910647.72</v>
      </c>
      <c r="AP173" s="43">
        <v>8054291808.9899998</v>
      </c>
      <c r="AQ173" s="44">
        <v>0</v>
      </c>
      <c r="AR173" s="43">
        <v>1237910647.72</v>
      </c>
      <c r="AS173" s="43">
        <v>8054291808.9899998</v>
      </c>
      <c r="AT173" s="39">
        <f t="shared" si="103"/>
        <v>8054291808.9899998</v>
      </c>
      <c r="AU173" s="18">
        <f>AJ173-AM173</f>
        <v>13445708191.01</v>
      </c>
      <c r="AV173" s="34">
        <f>AM173-AP173</f>
        <v>0</v>
      </c>
      <c r="AW173" s="34">
        <f>AP173-AT173</f>
        <v>0</v>
      </c>
      <c r="AX173" s="32">
        <f t="shared" si="95"/>
        <v>0.37461822367395348</v>
      </c>
    </row>
    <row r="174" spans="1:50" s="25" customFormat="1" ht="18.75" customHeight="1" x14ac:dyDescent="0.2">
      <c r="A174" s="19" t="s">
        <v>37</v>
      </c>
      <c r="B174" s="19" t="s">
        <v>37</v>
      </c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26" t="s">
        <v>273</v>
      </c>
      <c r="AB174" s="21" t="s">
        <v>274</v>
      </c>
      <c r="AC174" s="22" t="s">
        <v>37</v>
      </c>
      <c r="AD174" s="22">
        <f>AD175</f>
        <v>200000000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2">
        <f>AJ175</f>
        <v>200000000</v>
      </c>
      <c r="AK174" s="23">
        <f t="shared" ref="AK174:AW176" si="104">AK175</f>
        <v>0</v>
      </c>
      <c r="AL174" s="23">
        <f t="shared" si="104"/>
        <v>0</v>
      </c>
      <c r="AM174" s="23">
        <f t="shared" si="104"/>
        <v>0</v>
      </c>
      <c r="AN174" s="23">
        <f t="shared" si="104"/>
        <v>0</v>
      </c>
      <c r="AO174" s="23">
        <f t="shared" si="104"/>
        <v>0</v>
      </c>
      <c r="AP174" s="23">
        <f t="shared" si="104"/>
        <v>0</v>
      </c>
      <c r="AQ174" s="23">
        <f t="shared" si="104"/>
        <v>0</v>
      </c>
      <c r="AR174" s="23">
        <f t="shared" si="104"/>
        <v>0</v>
      </c>
      <c r="AS174" s="23">
        <f t="shared" si="104"/>
        <v>0</v>
      </c>
      <c r="AT174" s="23">
        <f t="shared" si="104"/>
        <v>0</v>
      </c>
      <c r="AU174" s="22">
        <f t="shared" si="104"/>
        <v>200000000</v>
      </c>
      <c r="AV174" s="23">
        <f t="shared" si="104"/>
        <v>0</v>
      </c>
      <c r="AW174" s="23">
        <f t="shared" si="104"/>
        <v>0</v>
      </c>
      <c r="AX174" s="24">
        <f t="shared" si="95"/>
        <v>0</v>
      </c>
    </row>
    <row r="175" spans="1:50" ht="18.75" customHeight="1" x14ac:dyDescent="0.2">
      <c r="A175" s="27" t="s">
        <v>37</v>
      </c>
      <c r="B175" s="27" t="s">
        <v>37</v>
      </c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8" t="s">
        <v>843</v>
      </c>
      <c r="AB175" s="29" t="s">
        <v>267</v>
      </c>
      <c r="AC175" s="30" t="s">
        <v>37</v>
      </c>
      <c r="AD175" s="30">
        <f>AD176</f>
        <v>200000000</v>
      </c>
      <c r="AE175" s="31">
        <v>0</v>
      </c>
      <c r="AF175" s="31">
        <v>0</v>
      </c>
      <c r="AG175" s="31">
        <v>0</v>
      </c>
      <c r="AH175" s="31">
        <v>0</v>
      </c>
      <c r="AI175" s="31">
        <v>0</v>
      </c>
      <c r="AJ175" s="30">
        <f t="shared" ref="AJ175:AJ176" si="105">AJ176</f>
        <v>200000000</v>
      </c>
      <c r="AK175" s="31">
        <f t="shared" si="104"/>
        <v>0</v>
      </c>
      <c r="AL175" s="31">
        <f t="shared" si="104"/>
        <v>0</v>
      </c>
      <c r="AM175" s="31">
        <f t="shared" si="104"/>
        <v>0</v>
      </c>
      <c r="AN175" s="31">
        <f t="shared" si="104"/>
        <v>0</v>
      </c>
      <c r="AO175" s="31">
        <f t="shared" si="104"/>
        <v>0</v>
      </c>
      <c r="AP175" s="31">
        <f t="shared" si="104"/>
        <v>0</v>
      </c>
      <c r="AQ175" s="31">
        <f t="shared" si="104"/>
        <v>0</v>
      </c>
      <c r="AR175" s="31">
        <f t="shared" si="104"/>
        <v>0</v>
      </c>
      <c r="AS175" s="31">
        <f t="shared" si="104"/>
        <v>0</v>
      </c>
      <c r="AT175" s="40">
        <f t="shared" si="104"/>
        <v>0</v>
      </c>
      <c r="AU175" s="30">
        <f t="shared" si="104"/>
        <v>200000000</v>
      </c>
      <c r="AV175" s="31">
        <f t="shared" si="104"/>
        <v>0</v>
      </c>
      <c r="AW175" s="31">
        <f t="shared" si="104"/>
        <v>0</v>
      </c>
      <c r="AX175" s="32">
        <f t="shared" si="95"/>
        <v>0</v>
      </c>
    </row>
    <row r="176" spans="1:50" ht="18.75" customHeight="1" x14ac:dyDescent="0.2">
      <c r="A176" s="27" t="s">
        <v>37</v>
      </c>
      <c r="B176" s="27" t="s">
        <v>37</v>
      </c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8" t="s">
        <v>845</v>
      </c>
      <c r="AB176" s="29" t="s">
        <v>268</v>
      </c>
      <c r="AC176" s="30" t="s">
        <v>37</v>
      </c>
      <c r="AD176" s="30">
        <f>AD177</f>
        <v>200000000</v>
      </c>
      <c r="AE176" s="31">
        <v>0</v>
      </c>
      <c r="AF176" s="31">
        <v>0</v>
      </c>
      <c r="AG176" s="31">
        <v>0</v>
      </c>
      <c r="AH176" s="31">
        <v>0</v>
      </c>
      <c r="AI176" s="31">
        <v>0</v>
      </c>
      <c r="AJ176" s="30">
        <f t="shared" si="105"/>
        <v>200000000</v>
      </c>
      <c r="AK176" s="31">
        <f t="shared" si="104"/>
        <v>0</v>
      </c>
      <c r="AL176" s="31">
        <f t="shared" si="104"/>
        <v>0</v>
      </c>
      <c r="AM176" s="31">
        <f t="shared" si="104"/>
        <v>0</v>
      </c>
      <c r="AN176" s="31">
        <f t="shared" si="104"/>
        <v>0</v>
      </c>
      <c r="AO176" s="31">
        <f t="shared" si="104"/>
        <v>0</v>
      </c>
      <c r="AP176" s="31">
        <f t="shared" si="104"/>
        <v>0</v>
      </c>
      <c r="AQ176" s="31">
        <f t="shared" si="104"/>
        <v>0</v>
      </c>
      <c r="AR176" s="31">
        <f t="shared" si="104"/>
        <v>0</v>
      </c>
      <c r="AS176" s="31">
        <f t="shared" si="104"/>
        <v>0</v>
      </c>
      <c r="AT176" s="40">
        <f t="shared" si="104"/>
        <v>0</v>
      </c>
      <c r="AU176" s="30">
        <f t="shared" si="104"/>
        <v>200000000</v>
      </c>
      <c r="AV176" s="31">
        <f t="shared" si="104"/>
        <v>0</v>
      </c>
      <c r="AW176" s="31">
        <f t="shared" si="104"/>
        <v>0</v>
      </c>
      <c r="AX176" s="32">
        <f t="shared" si="95"/>
        <v>0</v>
      </c>
    </row>
    <row r="177" spans="1:50" ht="18.75" customHeight="1" x14ac:dyDescent="0.2">
      <c r="A177" s="4" t="s">
        <v>55</v>
      </c>
      <c r="B177" s="4" t="s">
        <v>56</v>
      </c>
      <c r="C177" s="4"/>
      <c r="D177" s="4" t="s">
        <v>947</v>
      </c>
      <c r="E177" s="4"/>
      <c r="F177" s="4"/>
      <c r="G177" s="4" t="s">
        <v>41</v>
      </c>
      <c r="H177" s="4"/>
      <c r="I177" s="4" t="s">
        <v>936</v>
      </c>
      <c r="J177" s="4"/>
      <c r="K177" s="4" t="s">
        <v>932</v>
      </c>
      <c r="L177" s="4"/>
      <c r="M177" s="4" t="s">
        <v>933</v>
      </c>
      <c r="N177" s="4"/>
      <c r="O177" s="4" t="s">
        <v>934</v>
      </c>
      <c r="P177" s="4"/>
      <c r="Q177" s="4" t="s">
        <v>935</v>
      </c>
      <c r="R177" s="4"/>
      <c r="S177" s="4" t="s">
        <v>940</v>
      </c>
      <c r="T177" s="4">
        <v>0</v>
      </c>
      <c r="U177" s="4">
        <v>0</v>
      </c>
      <c r="V177" s="4">
        <v>0</v>
      </c>
      <c r="W177" s="4"/>
      <c r="X177" s="4" t="s">
        <v>937</v>
      </c>
      <c r="Y177" s="4"/>
      <c r="Z177" s="4"/>
      <c r="AA177" s="41" t="s">
        <v>844</v>
      </c>
      <c r="AB177" s="42" t="s">
        <v>269</v>
      </c>
      <c r="AC177" s="43" t="s">
        <v>58</v>
      </c>
      <c r="AD177" s="43">
        <v>200000000</v>
      </c>
      <c r="AE177" s="44">
        <v>0</v>
      </c>
      <c r="AF177" s="44">
        <v>0</v>
      </c>
      <c r="AG177" s="44">
        <v>0</v>
      </c>
      <c r="AH177" s="44">
        <v>0</v>
      </c>
      <c r="AI177" s="44">
        <v>0</v>
      </c>
      <c r="AJ177" s="43">
        <v>200000000</v>
      </c>
      <c r="AK177" s="44">
        <v>0</v>
      </c>
      <c r="AL177" s="44">
        <v>0</v>
      </c>
      <c r="AM177" s="44">
        <v>0</v>
      </c>
      <c r="AN177" s="44">
        <v>0</v>
      </c>
      <c r="AO177" s="44">
        <v>0</v>
      </c>
      <c r="AP177" s="44">
        <v>0</v>
      </c>
      <c r="AQ177" s="44">
        <v>0</v>
      </c>
      <c r="AR177" s="44">
        <v>0</v>
      </c>
      <c r="AS177" s="44">
        <v>0</v>
      </c>
      <c r="AT177" s="40">
        <f t="shared" ref="AT177:AT188" si="106">AQ177+AS177</f>
        <v>0</v>
      </c>
      <c r="AU177" s="18">
        <f>AJ177-AM177</f>
        <v>200000000</v>
      </c>
      <c r="AV177" s="34">
        <f>AM177-AP177</f>
        <v>0</v>
      </c>
      <c r="AW177" s="34">
        <f>AP177-AT177</f>
        <v>0</v>
      </c>
      <c r="AX177" s="32">
        <f t="shared" si="95"/>
        <v>0</v>
      </c>
    </row>
    <row r="178" spans="1:50" s="79" customFormat="1" ht="18.75" customHeight="1" x14ac:dyDescent="0.2">
      <c r="A178" s="117" t="s">
        <v>55</v>
      </c>
      <c r="B178" s="117" t="s">
        <v>56</v>
      </c>
      <c r="C178" s="117"/>
      <c r="D178" s="117" t="s">
        <v>947</v>
      </c>
      <c r="E178" s="117"/>
      <c r="F178" s="117"/>
      <c r="G178" s="117" t="s">
        <v>41</v>
      </c>
      <c r="H178" s="117"/>
      <c r="I178" s="117" t="s">
        <v>936</v>
      </c>
      <c r="J178" s="117"/>
      <c r="K178" s="117" t="s">
        <v>932</v>
      </c>
      <c r="L178" s="117"/>
      <c r="M178" s="117" t="s">
        <v>933</v>
      </c>
      <c r="N178" s="117"/>
      <c r="O178" s="117" t="s">
        <v>934</v>
      </c>
      <c r="P178" s="117"/>
      <c r="Q178" s="117" t="s">
        <v>935</v>
      </c>
      <c r="R178" s="117"/>
      <c r="S178" s="117" t="s">
        <v>940</v>
      </c>
      <c r="T178" s="117">
        <v>0</v>
      </c>
      <c r="U178" s="117">
        <v>0</v>
      </c>
      <c r="V178" s="117">
        <v>0</v>
      </c>
      <c r="W178" s="117"/>
      <c r="X178" s="117" t="s">
        <v>937</v>
      </c>
      <c r="Y178" s="117"/>
      <c r="Z178" s="117"/>
      <c r="AA178" s="81" t="s">
        <v>842</v>
      </c>
      <c r="AB178" s="82" t="s">
        <v>275</v>
      </c>
      <c r="AC178" s="83" t="s">
        <v>58</v>
      </c>
      <c r="AD178" s="83">
        <v>5000000000</v>
      </c>
      <c r="AE178" s="79">
        <f>5188937855.29+310221537.39</f>
        <v>5499159392.6800003</v>
      </c>
      <c r="AF178" s="118">
        <v>0</v>
      </c>
      <c r="AG178" s="118">
        <v>0</v>
      </c>
      <c r="AH178" s="118">
        <v>0</v>
      </c>
      <c r="AI178" s="18">
        <f t="shared" ref="AI178" si="107">AE178-AF178+AG178-AH178</f>
        <v>5499159392.6800003</v>
      </c>
      <c r="AJ178" s="176">
        <f>AD178+AI178</f>
        <v>10499159392.68</v>
      </c>
      <c r="AK178" s="118">
        <v>0</v>
      </c>
      <c r="AL178" s="119">
        <v>105472473.27</v>
      </c>
      <c r="AM178" s="119">
        <v>1242695599.9100001</v>
      </c>
      <c r="AN178" s="118">
        <v>0</v>
      </c>
      <c r="AO178" s="83">
        <v>280403328.14999998</v>
      </c>
      <c r="AP178" s="83">
        <v>977012183.53999996</v>
      </c>
      <c r="AQ178" s="83">
        <v>50177775.649999999</v>
      </c>
      <c r="AR178" s="83">
        <v>453280137.02999997</v>
      </c>
      <c r="AS178" s="83">
        <v>790896139.02999997</v>
      </c>
      <c r="AT178" s="147">
        <f t="shared" si="106"/>
        <v>841073914.67999995</v>
      </c>
      <c r="AU178" s="119">
        <f>AJ178-AM178</f>
        <v>9256463792.7700005</v>
      </c>
      <c r="AV178" s="119">
        <f>AM178-AP178</f>
        <v>265683416.37000012</v>
      </c>
      <c r="AW178" s="83">
        <f>AP178-AT178</f>
        <v>135938268.86000001</v>
      </c>
      <c r="AX178" s="118">
        <f t="shared" si="95"/>
        <v>9.3056229265475437E-2</v>
      </c>
    </row>
    <row r="179" spans="1:50" s="25" customFormat="1" ht="18.75" customHeight="1" x14ac:dyDescent="0.2">
      <c r="A179" s="19" t="s">
        <v>37</v>
      </c>
      <c r="B179" s="19" t="s">
        <v>37</v>
      </c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7" t="s">
        <v>841</v>
      </c>
      <c r="AB179" s="198" t="s">
        <v>276</v>
      </c>
      <c r="AC179" s="22" t="s">
        <v>37</v>
      </c>
      <c r="AD179" s="22">
        <f t="shared" ref="AD179:AS179" si="108">AD180+AD187</f>
        <v>3752467164.4300003</v>
      </c>
      <c r="AE179" s="22">
        <f t="shared" si="108"/>
        <v>488313290.56999999</v>
      </c>
      <c r="AF179" s="23">
        <f t="shared" si="108"/>
        <v>0</v>
      </c>
      <c r="AG179" s="23">
        <f t="shared" si="108"/>
        <v>0</v>
      </c>
      <c r="AH179" s="23">
        <f t="shared" si="108"/>
        <v>0</v>
      </c>
      <c r="AI179" s="22">
        <f t="shared" si="108"/>
        <v>488313290.56999999</v>
      </c>
      <c r="AJ179" s="22">
        <f t="shared" si="108"/>
        <v>4240780455.0000005</v>
      </c>
      <c r="AK179" s="23">
        <f t="shared" si="108"/>
        <v>0</v>
      </c>
      <c r="AL179" s="22">
        <f t="shared" si="108"/>
        <v>145974958.72999999</v>
      </c>
      <c r="AM179" s="22">
        <f t="shared" si="108"/>
        <v>1306295082.6600001</v>
      </c>
      <c r="AN179" s="23">
        <f t="shared" si="108"/>
        <v>0</v>
      </c>
      <c r="AO179" s="22">
        <f t="shared" si="108"/>
        <v>145974958.72999999</v>
      </c>
      <c r="AP179" s="22">
        <f t="shared" si="108"/>
        <v>1306295082.0599999</v>
      </c>
      <c r="AQ179" s="23">
        <f t="shared" si="108"/>
        <v>13405436.6</v>
      </c>
      <c r="AR179" s="22">
        <f t="shared" si="108"/>
        <v>177918029.98000002</v>
      </c>
      <c r="AS179" s="22">
        <f t="shared" si="108"/>
        <v>1256552373.46</v>
      </c>
      <c r="AT179" s="121">
        <f t="shared" si="106"/>
        <v>1269957810.0599999</v>
      </c>
      <c r="AU179" s="121">
        <f>AJ179-AM179</f>
        <v>2934485372.3400002</v>
      </c>
      <c r="AV179" s="122">
        <f>AM179-AP179</f>
        <v>0.60000014305114746</v>
      </c>
      <c r="AW179" s="121">
        <f>AP179-AT179</f>
        <v>36337272</v>
      </c>
      <c r="AX179" s="49">
        <f t="shared" si="95"/>
        <v>0.30803176347406547</v>
      </c>
    </row>
    <row r="180" spans="1:50" ht="18.75" customHeight="1" x14ac:dyDescent="0.2">
      <c r="A180" s="27" t="s">
        <v>37</v>
      </c>
      <c r="B180" s="27" t="s">
        <v>37</v>
      </c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8" t="s">
        <v>840</v>
      </c>
      <c r="AB180" s="29" t="s">
        <v>277</v>
      </c>
      <c r="AC180" s="30" t="s">
        <v>37</v>
      </c>
      <c r="AD180" s="30">
        <f t="shared" ref="AD180:AW180" si="109">AD181+AD182+AD183+AD184+AD186+AD185</f>
        <v>3552467164.4300003</v>
      </c>
      <c r="AE180" s="30">
        <f t="shared" si="109"/>
        <v>488313290.56999999</v>
      </c>
      <c r="AF180" s="31">
        <f t="shared" si="109"/>
        <v>0</v>
      </c>
      <c r="AG180" s="31">
        <f t="shared" si="109"/>
        <v>0</v>
      </c>
      <c r="AH180" s="31">
        <f t="shared" si="109"/>
        <v>0</v>
      </c>
      <c r="AI180" s="30">
        <f t="shared" si="109"/>
        <v>488313290.56999999</v>
      </c>
      <c r="AJ180" s="30">
        <f t="shared" si="109"/>
        <v>4040780455.0000005</v>
      </c>
      <c r="AK180" s="31">
        <f t="shared" si="109"/>
        <v>0</v>
      </c>
      <c r="AL180" s="30">
        <f t="shared" si="109"/>
        <v>145974958.72999999</v>
      </c>
      <c r="AM180" s="30">
        <f t="shared" si="109"/>
        <v>1306295082.6600001</v>
      </c>
      <c r="AN180" s="31">
        <f t="shared" si="109"/>
        <v>0</v>
      </c>
      <c r="AO180" s="30">
        <f t="shared" si="109"/>
        <v>145974958.72999999</v>
      </c>
      <c r="AP180" s="30">
        <f t="shared" si="109"/>
        <v>1306295082.0599999</v>
      </c>
      <c r="AQ180" s="30">
        <f t="shared" si="109"/>
        <v>13405436.6</v>
      </c>
      <c r="AR180" s="30">
        <f t="shared" si="109"/>
        <v>177918029.98000002</v>
      </c>
      <c r="AS180" s="30">
        <f t="shared" si="109"/>
        <v>1256552373.46</v>
      </c>
      <c r="AT180" s="30">
        <f t="shared" si="109"/>
        <v>1269957810.0599999</v>
      </c>
      <c r="AU180" s="30">
        <f t="shared" si="109"/>
        <v>2734485372.3400002</v>
      </c>
      <c r="AV180" s="30">
        <f t="shared" si="109"/>
        <v>0.60000002384185791</v>
      </c>
      <c r="AW180" s="30">
        <f t="shared" si="109"/>
        <v>36337272</v>
      </c>
      <c r="AX180" s="123">
        <f t="shared" si="95"/>
        <v>0.3232779153946882</v>
      </c>
    </row>
    <row r="181" spans="1:50" ht="18.75" customHeight="1" x14ac:dyDescent="0.2">
      <c r="A181" s="4" t="s">
        <v>55</v>
      </c>
      <c r="B181" s="4" t="s">
        <v>56</v>
      </c>
      <c r="C181" s="4"/>
      <c r="D181" s="4" t="s">
        <v>947</v>
      </c>
      <c r="E181" s="4"/>
      <c r="F181" s="4"/>
      <c r="G181" s="4" t="s">
        <v>41</v>
      </c>
      <c r="H181" s="4"/>
      <c r="I181" s="4" t="s">
        <v>936</v>
      </c>
      <c r="J181" s="4"/>
      <c r="K181" s="4" t="s">
        <v>932</v>
      </c>
      <c r="L181" s="4"/>
      <c r="M181" s="4" t="s">
        <v>933</v>
      </c>
      <c r="N181" s="4"/>
      <c r="O181" s="4" t="s">
        <v>934</v>
      </c>
      <c r="P181" s="4"/>
      <c r="Q181" s="4" t="s">
        <v>935</v>
      </c>
      <c r="R181" s="4"/>
      <c r="S181" s="4" t="s">
        <v>940</v>
      </c>
      <c r="T181" s="4">
        <v>0</v>
      </c>
      <c r="U181" s="4">
        <v>0</v>
      </c>
      <c r="V181" s="4">
        <v>0</v>
      </c>
      <c r="W181" s="4"/>
      <c r="X181" s="4" t="s">
        <v>937</v>
      </c>
      <c r="Y181" s="4"/>
      <c r="Z181" s="4"/>
      <c r="AA181" s="41" t="s">
        <v>839</v>
      </c>
      <c r="AB181" s="42" t="s">
        <v>233</v>
      </c>
      <c r="AC181" s="43" t="s">
        <v>58</v>
      </c>
      <c r="AD181" s="43">
        <v>530000000</v>
      </c>
      <c r="AE181" s="44">
        <v>0</v>
      </c>
      <c r="AF181" s="44">
        <v>0</v>
      </c>
      <c r="AG181" s="44">
        <v>0</v>
      </c>
      <c r="AH181" s="44">
        <v>0</v>
      </c>
      <c r="AI181" s="44">
        <v>0</v>
      </c>
      <c r="AJ181" s="43">
        <v>530000000</v>
      </c>
      <c r="AK181" s="44">
        <v>0</v>
      </c>
      <c r="AL181" s="44">
        <v>0</v>
      </c>
      <c r="AM181" s="44">
        <v>0</v>
      </c>
      <c r="AN181" s="44">
        <v>0</v>
      </c>
      <c r="AO181" s="44">
        <v>0</v>
      </c>
      <c r="AP181" s="44">
        <v>0</v>
      </c>
      <c r="AQ181" s="44">
        <v>0</v>
      </c>
      <c r="AR181" s="44">
        <v>0</v>
      </c>
      <c r="AS181" s="44">
        <v>0</v>
      </c>
      <c r="AT181" s="40">
        <f t="shared" si="106"/>
        <v>0</v>
      </c>
      <c r="AU181" s="18">
        <f t="shared" ref="AU181:AU188" si="110">AJ181-AM181</f>
        <v>530000000</v>
      </c>
      <c r="AV181" s="34">
        <f t="shared" ref="AV181:AV188" si="111">AM181-AP181</f>
        <v>0</v>
      </c>
      <c r="AW181" s="34">
        <f t="shared" ref="AW181:AW188" si="112">AP181-AT181</f>
        <v>0</v>
      </c>
      <c r="AX181" s="123">
        <f t="shared" si="95"/>
        <v>0</v>
      </c>
    </row>
    <row r="182" spans="1:50" s="150" customFormat="1" ht="18.75" customHeight="1" x14ac:dyDescent="0.2">
      <c r="A182" s="140" t="s">
        <v>55</v>
      </c>
      <c r="B182" s="140" t="s">
        <v>56</v>
      </c>
      <c r="C182" s="140"/>
      <c r="D182" s="140" t="s">
        <v>947</v>
      </c>
      <c r="E182" s="140"/>
      <c r="F182" s="140"/>
      <c r="G182" s="140" t="s">
        <v>41</v>
      </c>
      <c r="H182" s="140"/>
      <c r="I182" s="140" t="s">
        <v>936</v>
      </c>
      <c r="J182" s="140"/>
      <c r="K182" s="140" t="s">
        <v>932</v>
      </c>
      <c r="L182" s="140"/>
      <c r="M182" s="140" t="s">
        <v>933</v>
      </c>
      <c r="N182" s="140"/>
      <c r="O182" s="140" t="s">
        <v>934</v>
      </c>
      <c r="P182" s="140"/>
      <c r="Q182" s="140" t="s">
        <v>935</v>
      </c>
      <c r="R182" s="140"/>
      <c r="S182" s="140" t="s">
        <v>940</v>
      </c>
      <c r="T182" s="140">
        <v>0</v>
      </c>
      <c r="U182" s="140">
        <v>0</v>
      </c>
      <c r="V182" s="140">
        <v>0</v>
      </c>
      <c r="W182" s="140"/>
      <c r="X182" s="140" t="s">
        <v>937</v>
      </c>
      <c r="Y182" s="140"/>
      <c r="Z182" s="140"/>
      <c r="AA182" s="134" t="s">
        <v>838</v>
      </c>
      <c r="AB182" s="69" t="s">
        <v>278</v>
      </c>
      <c r="AC182" s="142" t="s">
        <v>253</v>
      </c>
      <c r="AD182" s="142">
        <v>600000000</v>
      </c>
      <c r="AE182" s="143">
        <v>0</v>
      </c>
      <c r="AF182" s="143">
        <v>0</v>
      </c>
      <c r="AG182" s="143">
        <v>0</v>
      </c>
      <c r="AH182" s="143">
        <v>0</v>
      </c>
      <c r="AI182" s="143">
        <v>0</v>
      </c>
      <c r="AJ182" s="142">
        <v>600000000</v>
      </c>
      <c r="AK182" s="143">
        <v>0</v>
      </c>
      <c r="AL182" s="143">
        <v>0</v>
      </c>
      <c r="AM182" s="142">
        <v>158326163</v>
      </c>
      <c r="AN182" s="143">
        <v>0</v>
      </c>
      <c r="AO182" s="143">
        <v>0</v>
      </c>
      <c r="AP182" s="142">
        <v>158326163</v>
      </c>
      <c r="AQ182" s="143">
        <v>0</v>
      </c>
      <c r="AR182" s="143">
        <v>0</v>
      </c>
      <c r="AS182" s="142">
        <v>158326163</v>
      </c>
      <c r="AT182" s="267">
        <f t="shared" si="106"/>
        <v>158326163</v>
      </c>
      <c r="AU182" s="147">
        <f t="shared" si="110"/>
        <v>441673837</v>
      </c>
      <c r="AV182" s="145">
        <f t="shared" si="111"/>
        <v>0</v>
      </c>
      <c r="AW182" s="145">
        <f t="shared" si="112"/>
        <v>0</v>
      </c>
      <c r="AX182" s="149">
        <f t="shared" si="95"/>
        <v>0.26387693833333331</v>
      </c>
    </row>
    <row r="183" spans="1:50" ht="25.5" customHeight="1" x14ac:dyDescent="0.2">
      <c r="A183" s="4" t="s">
        <v>55</v>
      </c>
      <c r="B183" s="4" t="s">
        <v>56</v>
      </c>
      <c r="C183" s="4"/>
      <c r="D183" s="4" t="s">
        <v>947</v>
      </c>
      <c r="E183" s="4"/>
      <c r="F183" s="4"/>
      <c r="G183" s="4" t="s">
        <v>41</v>
      </c>
      <c r="H183" s="4"/>
      <c r="I183" s="4" t="s">
        <v>936</v>
      </c>
      <c r="J183" s="4"/>
      <c r="K183" s="4" t="s">
        <v>932</v>
      </c>
      <c r="L183" s="4"/>
      <c r="M183" s="4" t="s">
        <v>933</v>
      </c>
      <c r="N183" s="4"/>
      <c r="O183" s="4" t="s">
        <v>934</v>
      </c>
      <c r="P183" s="4"/>
      <c r="Q183" s="4" t="s">
        <v>935</v>
      </c>
      <c r="R183" s="4"/>
      <c r="S183" s="4" t="s">
        <v>940</v>
      </c>
      <c r="T183" s="4">
        <v>0</v>
      </c>
      <c r="U183" s="4">
        <v>0</v>
      </c>
      <c r="V183" s="4">
        <v>0</v>
      </c>
      <c r="W183" s="4"/>
      <c r="X183" s="4" t="s">
        <v>937</v>
      </c>
      <c r="Y183" s="4"/>
      <c r="Z183" s="4"/>
      <c r="AA183" s="134" t="s">
        <v>837</v>
      </c>
      <c r="AB183" s="69" t="s">
        <v>279</v>
      </c>
      <c r="AC183" s="142" t="s">
        <v>253</v>
      </c>
      <c r="AD183" s="142">
        <v>961836799</v>
      </c>
      <c r="AE183" s="44">
        <v>0</v>
      </c>
      <c r="AF183" s="44">
        <v>0</v>
      </c>
      <c r="AG183" s="44">
        <v>0</v>
      </c>
      <c r="AH183" s="44">
        <v>0</v>
      </c>
      <c r="AI183" s="44">
        <v>0</v>
      </c>
      <c r="AJ183" s="43">
        <v>961836799</v>
      </c>
      <c r="AK183" s="44">
        <v>0</v>
      </c>
      <c r="AL183" s="43">
        <v>91717054.799999997</v>
      </c>
      <c r="AM183" s="43">
        <v>423707964.94999999</v>
      </c>
      <c r="AN183" s="44">
        <v>0</v>
      </c>
      <c r="AO183" s="43">
        <v>91717054.799999997</v>
      </c>
      <c r="AP183" s="43">
        <v>423707964.94999999</v>
      </c>
      <c r="AQ183" s="44">
        <v>0</v>
      </c>
      <c r="AR183" s="43">
        <v>91717054.799999997</v>
      </c>
      <c r="AS183" s="43">
        <v>387370692.94999999</v>
      </c>
      <c r="AT183" s="39">
        <f t="shared" si="106"/>
        <v>387370692.94999999</v>
      </c>
      <c r="AU183" s="18">
        <f t="shared" si="110"/>
        <v>538128834.04999995</v>
      </c>
      <c r="AV183" s="34">
        <f t="shared" si="111"/>
        <v>0</v>
      </c>
      <c r="AW183" s="18">
        <f t="shared" si="112"/>
        <v>36337272</v>
      </c>
      <c r="AX183" s="123">
        <f t="shared" si="95"/>
        <v>0.44051960310784488</v>
      </c>
    </row>
    <row r="184" spans="1:50" ht="18.75" customHeight="1" x14ac:dyDescent="0.2">
      <c r="A184" s="4" t="s">
        <v>55</v>
      </c>
      <c r="B184" s="4" t="s">
        <v>56</v>
      </c>
      <c r="C184" s="4"/>
      <c r="D184" s="4" t="s">
        <v>947</v>
      </c>
      <c r="E184" s="4"/>
      <c r="F184" s="4"/>
      <c r="G184" s="4" t="s">
        <v>41</v>
      </c>
      <c r="H184" s="4"/>
      <c r="I184" s="4" t="s">
        <v>936</v>
      </c>
      <c r="J184" s="4"/>
      <c r="K184" s="4" t="s">
        <v>932</v>
      </c>
      <c r="L184" s="4"/>
      <c r="M184" s="4" t="s">
        <v>933</v>
      </c>
      <c r="N184" s="4"/>
      <c r="O184" s="4" t="s">
        <v>934</v>
      </c>
      <c r="P184" s="4"/>
      <c r="Q184" s="4" t="s">
        <v>935</v>
      </c>
      <c r="R184" s="4"/>
      <c r="S184" s="4" t="s">
        <v>940</v>
      </c>
      <c r="T184" s="4">
        <v>0</v>
      </c>
      <c r="U184" s="4">
        <v>0</v>
      </c>
      <c r="V184" s="4">
        <v>0</v>
      </c>
      <c r="W184" s="4"/>
      <c r="X184" s="4" t="s">
        <v>937</v>
      </c>
      <c r="Y184" s="4"/>
      <c r="Z184" s="4"/>
      <c r="AA184" s="134" t="s">
        <v>836</v>
      </c>
      <c r="AB184" s="69" t="s">
        <v>239</v>
      </c>
      <c r="AC184" s="142" t="s">
        <v>240</v>
      </c>
      <c r="AD184" s="142">
        <v>1460630365.4300001</v>
      </c>
      <c r="AE184" s="44">
        <v>0</v>
      </c>
      <c r="AF184" s="44">
        <v>0</v>
      </c>
      <c r="AG184" s="44">
        <v>0</v>
      </c>
      <c r="AH184" s="44">
        <v>0</v>
      </c>
      <c r="AI184" s="44">
        <v>0</v>
      </c>
      <c r="AJ184" s="43">
        <v>1460630365.4300001</v>
      </c>
      <c r="AK184" s="44">
        <v>0</v>
      </c>
      <c r="AL184" s="43">
        <v>54257903.93</v>
      </c>
      <c r="AM184" s="43">
        <v>724260954.71000004</v>
      </c>
      <c r="AN184" s="44">
        <v>0</v>
      </c>
      <c r="AO184" s="43">
        <v>54257903.93</v>
      </c>
      <c r="AP184" s="43">
        <v>724260954.11000001</v>
      </c>
      <c r="AQ184" s="44">
        <v>13405436.6</v>
      </c>
      <c r="AR184" s="43">
        <v>86200975.180000007</v>
      </c>
      <c r="AS184" s="43">
        <v>710855517.50999999</v>
      </c>
      <c r="AT184" s="39">
        <f t="shared" si="106"/>
        <v>724260954.11000001</v>
      </c>
      <c r="AU184" s="18">
        <f t="shared" si="110"/>
        <v>736369410.72000003</v>
      </c>
      <c r="AV184" s="34">
        <f t="shared" si="111"/>
        <v>0.60000002384185791</v>
      </c>
      <c r="AW184" s="34">
        <f t="shared" si="112"/>
        <v>0</v>
      </c>
      <c r="AX184" s="123">
        <f t="shared" si="95"/>
        <v>0.49585505768722143</v>
      </c>
    </row>
    <row r="185" spans="1:50" ht="18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166" t="s">
        <v>1012</v>
      </c>
      <c r="AB185" s="167" t="s">
        <v>1013</v>
      </c>
      <c r="AC185" s="203"/>
      <c r="AD185" s="143">
        <v>0</v>
      </c>
      <c r="AE185" s="43">
        <v>69321334.879999995</v>
      </c>
      <c r="AF185" s="44"/>
      <c r="AG185" s="44"/>
      <c r="AH185" s="44"/>
      <c r="AI185" s="18">
        <f>AE185-AF185+AG185-AH185</f>
        <v>69321334.879999995</v>
      </c>
      <c r="AJ185" s="18">
        <f>AD185+AI185</f>
        <v>69321334.879999995</v>
      </c>
      <c r="AK185" s="44">
        <v>0</v>
      </c>
      <c r="AL185" s="44">
        <v>0</v>
      </c>
      <c r="AM185" s="44">
        <v>0</v>
      </c>
      <c r="AN185" s="44">
        <v>0</v>
      </c>
      <c r="AO185" s="44">
        <v>0</v>
      </c>
      <c r="AP185" s="44">
        <v>0</v>
      </c>
      <c r="AQ185" s="44">
        <v>0</v>
      </c>
      <c r="AR185" s="44">
        <v>0</v>
      </c>
      <c r="AS185" s="44">
        <v>0</v>
      </c>
      <c r="AT185" s="40">
        <f t="shared" si="106"/>
        <v>0</v>
      </c>
      <c r="AU185" s="18">
        <f t="shared" si="110"/>
        <v>69321334.879999995</v>
      </c>
      <c r="AV185" s="34">
        <f t="shared" si="111"/>
        <v>0</v>
      </c>
      <c r="AW185" s="34">
        <f t="shared" si="112"/>
        <v>0</v>
      </c>
      <c r="AX185" s="123">
        <f t="shared" si="95"/>
        <v>0</v>
      </c>
    </row>
    <row r="186" spans="1:50" ht="26.2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166" t="s">
        <v>1010</v>
      </c>
      <c r="AB186" s="167" t="s">
        <v>1011</v>
      </c>
      <c r="AC186" s="203"/>
      <c r="AD186" s="143">
        <v>0</v>
      </c>
      <c r="AE186" s="43">
        <v>418991955.69</v>
      </c>
      <c r="AF186" s="44">
        <v>0</v>
      </c>
      <c r="AG186" s="44">
        <v>0</v>
      </c>
      <c r="AH186" s="44">
        <v>0</v>
      </c>
      <c r="AI186" s="18">
        <f t="shared" ref="AI186" si="113">AE186-AF186+AG186-AH186</f>
        <v>418991955.69</v>
      </c>
      <c r="AJ186" s="18">
        <f t="shared" ref="AJ186" si="114">AD186+AI186</f>
        <v>418991955.69</v>
      </c>
      <c r="AK186" s="44">
        <v>0</v>
      </c>
      <c r="AL186" s="44">
        <v>0</v>
      </c>
      <c r="AM186" s="44">
        <v>0</v>
      </c>
      <c r="AN186" s="44">
        <v>0</v>
      </c>
      <c r="AO186" s="44">
        <v>0</v>
      </c>
      <c r="AP186" s="44">
        <v>0</v>
      </c>
      <c r="AQ186" s="44">
        <v>0</v>
      </c>
      <c r="AR186" s="44">
        <v>0</v>
      </c>
      <c r="AS186" s="44">
        <v>0</v>
      </c>
      <c r="AT186" s="40">
        <f t="shared" si="106"/>
        <v>0</v>
      </c>
      <c r="AU186" s="18">
        <f t="shared" si="110"/>
        <v>418991955.69</v>
      </c>
      <c r="AV186" s="34">
        <f t="shared" si="111"/>
        <v>0</v>
      </c>
      <c r="AW186" s="34">
        <f t="shared" si="112"/>
        <v>0</v>
      </c>
      <c r="AX186" s="123">
        <f t="shared" si="95"/>
        <v>0</v>
      </c>
    </row>
    <row r="187" spans="1:50" ht="18.75" customHeight="1" x14ac:dyDescent="0.2">
      <c r="A187" s="27" t="s">
        <v>37</v>
      </c>
      <c r="B187" s="27" t="s">
        <v>37</v>
      </c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04" t="s">
        <v>835</v>
      </c>
      <c r="AB187" s="205" t="s">
        <v>280</v>
      </c>
      <c r="AC187" s="187" t="s">
        <v>37</v>
      </c>
      <c r="AD187" s="187">
        <f>AD188</f>
        <v>200000000</v>
      </c>
      <c r="AE187" s="31">
        <f t="shared" ref="AE187:AS187" si="115">AE188</f>
        <v>0</v>
      </c>
      <c r="AF187" s="31">
        <f t="shared" si="115"/>
        <v>0</v>
      </c>
      <c r="AG187" s="31">
        <f t="shared" si="115"/>
        <v>0</v>
      </c>
      <c r="AH187" s="31">
        <f t="shared" si="115"/>
        <v>0</v>
      </c>
      <c r="AI187" s="31">
        <f t="shared" si="115"/>
        <v>0</v>
      </c>
      <c r="AJ187" s="30">
        <f t="shared" si="115"/>
        <v>200000000</v>
      </c>
      <c r="AK187" s="31">
        <f t="shared" si="115"/>
        <v>0</v>
      </c>
      <c r="AL187" s="31">
        <f t="shared" si="115"/>
        <v>0</v>
      </c>
      <c r="AM187" s="31">
        <f t="shared" si="115"/>
        <v>0</v>
      </c>
      <c r="AN187" s="31">
        <f t="shared" si="115"/>
        <v>0</v>
      </c>
      <c r="AO187" s="31">
        <f t="shared" si="115"/>
        <v>0</v>
      </c>
      <c r="AP187" s="31">
        <f t="shared" si="115"/>
        <v>0</v>
      </c>
      <c r="AQ187" s="31">
        <f t="shared" si="115"/>
        <v>0</v>
      </c>
      <c r="AR187" s="31">
        <f t="shared" si="115"/>
        <v>0</v>
      </c>
      <c r="AS187" s="31">
        <f t="shared" si="115"/>
        <v>0</v>
      </c>
      <c r="AT187" s="40">
        <f t="shared" si="106"/>
        <v>0</v>
      </c>
      <c r="AU187" s="18">
        <f t="shared" si="110"/>
        <v>200000000</v>
      </c>
      <c r="AV187" s="34">
        <f t="shared" si="111"/>
        <v>0</v>
      </c>
      <c r="AW187" s="34">
        <f t="shared" si="112"/>
        <v>0</v>
      </c>
      <c r="AX187" s="123">
        <f t="shared" si="95"/>
        <v>0</v>
      </c>
    </row>
    <row r="188" spans="1:50" s="150" customFormat="1" ht="18.75" customHeight="1" x14ac:dyDescent="0.2">
      <c r="A188" s="140" t="s">
        <v>55</v>
      </c>
      <c r="B188" s="140" t="s">
        <v>56</v>
      </c>
      <c r="C188" s="140"/>
      <c r="D188" s="140" t="s">
        <v>947</v>
      </c>
      <c r="E188" s="140"/>
      <c r="F188" s="140"/>
      <c r="G188" s="140" t="s">
        <v>41</v>
      </c>
      <c r="H188" s="140"/>
      <c r="I188" s="140" t="s">
        <v>936</v>
      </c>
      <c r="J188" s="140"/>
      <c r="K188" s="140" t="s">
        <v>932</v>
      </c>
      <c r="L188" s="140"/>
      <c r="M188" s="140" t="s">
        <v>933</v>
      </c>
      <c r="N188" s="140"/>
      <c r="O188" s="140" t="s">
        <v>934</v>
      </c>
      <c r="P188" s="140"/>
      <c r="Q188" s="140" t="s">
        <v>935</v>
      </c>
      <c r="R188" s="140"/>
      <c r="S188" s="140" t="s">
        <v>940</v>
      </c>
      <c r="T188" s="140">
        <v>0</v>
      </c>
      <c r="U188" s="140">
        <v>0</v>
      </c>
      <c r="V188" s="140">
        <v>0</v>
      </c>
      <c r="W188" s="140"/>
      <c r="X188" s="140" t="s">
        <v>937</v>
      </c>
      <c r="Y188" s="140"/>
      <c r="Z188" s="140"/>
      <c r="AA188" s="134" t="s">
        <v>834</v>
      </c>
      <c r="AB188" s="69" t="s">
        <v>281</v>
      </c>
      <c r="AC188" s="142" t="s">
        <v>253</v>
      </c>
      <c r="AD188" s="142">
        <v>200000000</v>
      </c>
      <c r="AE188" s="143">
        <v>0</v>
      </c>
      <c r="AF188" s="143">
        <v>0</v>
      </c>
      <c r="AG188" s="143">
        <v>0</v>
      </c>
      <c r="AH188" s="143">
        <v>0</v>
      </c>
      <c r="AI188" s="143">
        <v>0</v>
      </c>
      <c r="AJ188" s="142">
        <v>200000000</v>
      </c>
      <c r="AK188" s="143">
        <v>0</v>
      </c>
      <c r="AL188" s="143">
        <v>0</v>
      </c>
      <c r="AM188" s="143">
        <v>0</v>
      </c>
      <c r="AN188" s="143">
        <v>0</v>
      </c>
      <c r="AO188" s="143">
        <v>0</v>
      </c>
      <c r="AP188" s="143">
        <v>0</v>
      </c>
      <c r="AQ188" s="143">
        <v>0</v>
      </c>
      <c r="AR188" s="143">
        <v>0</v>
      </c>
      <c r="AS188" s="143">
        <v>0</v>
      </c>
      <c r="AT188" s="146">
        <f t="shared" si="106"/>
        <v>0</v>
      </c>
      <c r="AU188" s="147">
        <f t="shared" si="110"/>
        <v>200000000</v>
      </c>
      <c r="AV188" s="145">
        <f t="shared" si="111"/>
        <v>0</v>
      </c>
      <c r="AW188" s="145">
        <f t="shared" si="112"/>
        <v>0</v>
      </c>
      <c r="AX188" s="149">
        <f t="shared" si="95"/>
        <v>0</v>
      </c>
    </row>
    <row r="189" spans="1:50" ht="18.75" customHeight="1" x14ac:dyDescent="0.2">
      <c r="AA189" s="16"/>
      <c r="AB189" s="17"/>
      <c r="AC189" s="17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34"/>
      <c r="AT189" s="39"/>
      <c r="AU189" s="18"/>
      <c r="AV189" s="34"/>
      <c r="AW189" s="34"/>
      <c r="AX189" s="123"/>
    </row>
    <row r="190" spans="1:50" s="124" customFormat="1" ht="18.75" customHeigh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7" t="s">
        <v>282</v>
      </c>
      <c r="AB190" s="128" t="s">
        <v>283</v>
      </c>
      <c r="AC190" s="128"/>
      <c r="AD190" s="129">
        <f t="shared" ref="AD190:AS190" si="116">AD243+AD517+AD694+AD774+AD1039+AD1071+AD1121+AD1139+AD1179+AD1192+AD1207+AD1222+AD1320+AD991</f>
        <v>778687617478</v>
      </c>
      <c r="AE190" s="129">
        <f t="shared" si="116"/>
        <v>228653031468.91006</v>
      </c>
      <c r="AF190" s="130">
        <f t="shared" si="116"/>
        <v>0</v>
      </c>
      <c r="AG190" s="129">
        <f t="shared" si="116"/>
        <v>113177658761.91</v>
      </c>
      <c r="AH190" s="129">
        <f t="shared" si="116"/>
        <v>113177658761.91</v>
      </c>
      <c r="AI190" s="129">
        <f t="shared" si="116"/>
        <v>228653031468.91006</v>
      </c>
      <c r="AJ190" s="129">
        <f t="shared" si="116"/>
        <v>1007340648946.91</v>
      </c>
      <c r="AK190" s="130">
        <f t="shared" si="116"/>
        <v>0</v>
      </c>
      <c r="AL190" s="129">
        <f t="shared" si="116"/>
        <v>29022864044.649998</v>
      </c>
      <c r="AM190" s="129">
        <f t="shared" si="116"/>
        <v>611226717906.03003</v>
      </c>
      <c r="AN190" s="129">
        <f t="shared" si="116"/>
        <v>1765810260</v>
      </c>
      <c r="AO190" s="129">
        <f t="shared" si="116"/>
        <v>72320944404.229996</v>
      </c>
      <c r="AP190" s="129">
        <f t="shared" si="116"/>
        <v>470224382782.35999</v>
      </c>
      <c r="AQ190" s="129">
        <f t="shared" si="116"/>
        <v>10342142439.18</v>
      </c>
      <c r="AR190" s="129">
        <f t="shared" si="116"/>
        <v>49553843029.480003</v>
      </c>
      <c r="AS190" s="129">
        <f t="shared" si="116"/>
        <v>319295878714.07001</v>
      </c>
      <c r="AT190" s="131">
        <f>AQ190+AS190</f>
        <v>329638021153.25</v>
      </c>
      <c r="AU190" s="129">
        <f>AU243+AU517+AU694+AU774+AU1039+AU1071+AU1121+AU1139+AU1179+AU1192+AU1207+AU1222+AU1320+AU991</f>
        <v>396113931040.87988</v>
      </c>
      <c r="AV190" s="129">
        <f>AV243+AV517+AV694+AV774+AV1039+AV1071+AV1121+AV1139+AV1179+AV1192+AV1207+AV1222+AV1320+AV991</f>
        <v>141002335123.66998</v>
      </c>
      <c r="AW190" s="129">
        <f>AW243+AW517+AW694+AW774+AW1039+AW1071+AW1121+AW1139+AW1179+AW1192+AW1207+AW1222+AW1320+AW991</f>
        <v>140586361629.10999</v>
      </c>
      <c r="AX190" s="132">
        <f>AP190/AJ190</f>
        <v>0.46679778411994</v>
      </c>
    </row>
    <row r="191" spans="1:50" ht="18.75" customHeight="1" x14ac:dyDescent="0.2">
      <c r="AA191" s="16"/>
      <c r="AB191" s="17"/>
      <c r="AC191" s="17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</row>
    <row r="192" spans="1:50" s="25" customFormat="1" ht="18.75" customHeight="1" x14ac:dyDescent="0.2">
      <c r="A192" s="58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60"/>
      <c r="AB192" s="21" t="s">
        <v>284</v>
      </c>
      <c r="AC192" s="61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3"/>
    </row>
    <row r="193" spans="1:50" ht="18.75" customHeight="1" x14ac:dyDescent="0.2">
      <c r="A193" s="35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7"/>
      <c r="AB193" s="29" t="s">
        <v>285</v>
      </c>
      <c r="AC193" s="38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0"/>
      <c r="AU193" s="39"/>
      <c r="AV193" s="39"/>
      <c r="AW193" s="39"/>
      <c r="AX193" s="18"/>
    </row>
    <row r="194" spans="1:50" ht="18.75" customHeight="1" x14ac:dyDescent="0.2">
      <c r="A194" s="35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7"/>
      <c r="AB194" s="29" t="s">
        <v>286</v>
      </c>
      <c r="AC194" s="38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0"/>
      <c r="AU194" s="39"/>
      <c r="AV194" s="39"/>
      <c r="AW194" s="39"/>
      <c r="AX194" s="18"/>
    </row>
    <row r="195" spans="1:50" ht="18.75" customHeight="1" x14ac:dyDescent="0.2">
      <c r="A195" s="35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7"/>
      <c r="AB195" s="29" t="s">
        <v>179</v>
      </c>
      <c r="AC195" s="38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0"/>
      <c r="AU195" s="39"/>
      <c r="AV195" s="39"/>
      <c r="AW195" s="39"/>
      <c r="AX195" s="18"/>
    </row>
    <row r="196" spans="1:50" ht="18.75" customHeight="1" x14ac:dyDescent="0.2">
      <c r="A196" s="14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6"/>
      <c r="AB196" s="29" t="s">
        <v>181</v>
      </c>
      <c r="AC196" s="17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30"/>
      <c r="AU196" s="18"/>
      <c r="AV196" s="18"/>
      <c r="AW196" s="18"/>
      <c r="AX196" s="18"/>
    </row>
    <row r="197" spans="1:50" ht="18.75" customHeight="1" x14ac:dyDescent="0.2">
      <c r="A197" s="14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6"/>
      <c r="AB197" s="29" t="s">
        <v>287</v>
      </c>
      <c r="AC197" s="17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30"/>
      <c r="AU197" s="18"/>
      <c r="AV197" s="18"/>
      <c r="AW197" s="18"/>
      <c r="AX197" s="18"/>
    </row>
    <row r="198" spans="1:50" ht="25.5" x14ac:dyDescent="0.2">
      <c r="A198" s="35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28" t="s">
        <v>288</v>
      </c>
      <c r="AB198" s="29" t="s">
        <v>289</v>
      </c>
      <c r="AC198" s="38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0"/>
      <c r="AU198" s="39"/>
      <c r="AV198" s="39"/>
      <c r="AW198" s="39"/>
      <c r="AX198" s="18"/>
    </row>
    <row r="199" spans="1:50" ht="18.75" customHeight="1" x14ac:dyDescent="0.2">
      <c r="A199" s="14" t="s">
        <v>55</v>
      </c>
      <c r="B199" s="15" t="s">
        <v>56</v>
      </c>
      <c r="C199" s="15"/>
      <c r="D199" s="15"/>
      <c r="E199" s="15"/>
      <c r="F199" s="15"/>
      <c r="G199" s="15" t="s">
        <v>41</v>
      </c>
      <c r="H199" s="15"/>
      <c r="I199" s="15" t="s">
        <v>936</v>
      </c>
      <c r="J199" s="15"/>
      <c r="K199" s="15" t="s">
        <v>932</v>
      </c>
      <c r="L199" s="15"/>
      <c r="M199" s="15" t="s">
        <v>933</v>
      </c>
      <c r="N199" s="15"/>
      <c r="O199" s="15" t="s">
        <v>948</v>
      </c>
      <c r="P199" s="15"/>
      <c r="Q199" s="15" t="s">
        <v>942</v>
      </c>
      <c r="R199" s="15"/>
      <c r="S199" s="15" t="s">
        <v>940</v>
      </c>
      <c r="T199" s="15">
        <v>0</v>
      </c>
      <c r="U199" s="15">
        <v>0</v>
      </c>
      <c r="V199" s="15">
        <v>0</v>
      </c>
      <c r="W199" s="15"/>
      <c r="X199" s="15" t="s">
        <v>937</v>
      </c>
      <c r="Y199" s="15"/>
      <c r="Z199" s="15"/>
      <c r="AA199" s="16" t="s">
        <v>290</v>
      </c>
      <c r="AB199" s="17" t="s">
        <v>233</v>
      </c>
      <c r="AC199" s="17" t="s">
        <v>58</v>
      </c>
      <c r="AD199" s="18">
        <v>100000000</v>
      </c>
      <c r="AE199" s="34">
        <v>0</v>
      </c>
      <c r="AF199" s="34">
        <v>0</v>
      </c>
      <c r="AG199" s="34">
        <v>0</v>
      </c>
      <c r="AH199" s="18">
        <v>40000000</v>
      </c>
      <c r="AI199" s="18">
        <f>AE199-AF199+AG199-AH199</f>
        <v>-40000000</v>
      </c>
      <c r="AJ199" s="18">
        <f>AD199+AI199</f>
        <v>60000000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4">
        <v>0</v>
      </c>
      <c r="AQ199" s="34">
        <v>0</v>
      </c>
      <c r="AR199" s="34">
        <v>0</v>
      </c>
      <c r="AS199" s="34">
        <v>0</v>
      </c>
      <c r="AT199" s="40">
        <f t="shared" ref="AT199" si="117">AQ199+AS199</f>
        <v>0</v>
      </c>
      <c r="AU199" s="18">
        <f>AJ199-AM199</f>
        <v>60000000</v>
      </c>
      <c r="AV199" s="34">
        <f>AM199-AP199</f>
        <v>0</v>
      </c>
      <c r="AW199" s="34">
        <f>AP199-AT199</f>
        <v>0</v>
      </c>
      <c r="AX199" s="123">
        <f>AP199/AJ199</f>
        <v>0</v>
      </c>
    </row>
    <row r="200" spans="1:50" ht="18.75" customHeight="1" x14ac:dyDescent="0.2">
      <c r="A200" s="14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41" t="s">
        <v>288</v>
      </c>
      <c r="AB200" s="29" t="s">
        <v>291</v>
      </c>
      <c r="AC200" s="17"/>
      <c r="AD200" s="18"/>
      <c r="AE200" s="18"/>
      <c r="AF200" s="18"/>
      <c r="AG200" s="18"/>
      <c r="AH200" s="18"/>
      <c r="AI200" s="18"/>
      <c r="AJ200" s="18"/>
      <c r="AK200" s="18"/>
      <c r="AL200" s="18"/>
      <c r="AM200" s="34"/>
      <c r="AN200" s="34"/>
      <c r="AO200" s="34"/>
      <c r="AP200" s="34"/>
      <c r="AQ200" s="34"/>
      <c r="AR200" s="34"/>
      <c r="AS200" s="34"/>
      <c r="AT200" s="31"/>
      <c r="AU200" s="18"/>
      <c r="AV200" s="34"/>
      <c r="AW200" s="34"/>
      <c r="AX200" s="18"/>
    </row>
    <row r="201" spans="1:50" ht="18.75" customHeight="1" x14ac:dyDescent="0.2">
      <c r="A201" s="14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41" t="s">
        <v>1217</v>
      </c>
      <c r="AB201" s="38" t="s">
        <v>1015</v>
      </c>
      <c r="AC201" s="17"/>
      <c r="AD201" s="34">
        <v>0</v>
      </c>
      <c r="AE201" s="34">
        <v>0</v>
      </c>
      <c r="AF201" s="34">
        <v>0</v>
      </c>
      <c r="AG201" s="18">
        <v>1252674808</v>
      </c>
      <c r="AH201" s="34">
        <v>0</v>
      </c>
      <c r="AI201" s="18">
        <f>AE201-AF201+AG201-AH201</f>
        <v>1252674808</v>
      </c>
      <c r="AJ201" s="18">
        <f>AD201+AI201</f>
        <v>1252674808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40">
        <f t="shared" ref="AT201" si="118">AQ201+AS201</f>
        <v>0</v>
      </c>
      <c r="AU201" s="18">
        <f>AJ201-AM201</f>
        <v>1252674808</v>
      </c>
      <c r="AV201" s="34">
        <f>AM201-AP201</f>
        <v>0</v>
      </c>
      <c r="AW201" s="34">
        <f>AP201-AT201</f>
        <v>0</v>
      </c>
      <c r="AX201" s="123">
        <f>AP201/AJ201</f>
        <v>0</v>
      </c>
    </row>
    <row r="202" spans="1:50" ht="18.75" customHeight="1" x14ac:dyDescent="0.2">
      <c r="A202" s="14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28" t="s">
        <v>288</v>
      </c>
      <c r="AB202" s="29" t="s">
        <v>292</v>
      </c>
      <c r="AC202" s="17"/>
      <c r="AD202" s="18"/>
      <c r="AE202" s="34"/>
      <c r="AF202" s="34"/>
      <c r="AG202" s="34"/>
      <c r="AH202" s="34"/>
      <c r="AI202" s="34"/>
      <c r="AJ202" s="18"/>
      <c r="AK202" s="18"/>
      <c r="AL202" s="18"/>
      <c r="AM202" s="34"/>
      <c r="AN202" s="34"/>
      <c r="AO202" s="34"/>
      <c r="AP202" s="34"/>
      <c r="AQ202" s="34"/>
      <c r="AR202" s="34"/>
      <c r="AS202" s="34"/>
      <c r="AT202" s="31"/>
      <c r="AU202" s="18"/>
      <c r="AV202" s="34"/>
      <c r="AW202" s="34"/>
      <c r="AX202" s="18"/>
    </row>
    <row r="203" spans="1:50" ht="18.75" customHeight="1" x14ac:dyDescent="0.2">
      <c r="A203" s="14" t="s">
        <v>55</v>
      </c>
      <c r="B203" s="15" t="s">
        <v>56</v>
      </c>
      <c r="C203" s="15"/>
      <c r="D203" s="15"/>
      <c r="E203" s="15"/>
      <c r="F203" s="15"/>
      <c r="G203" s="15" t="s">
        <v>41</v>
      </c>
      <c r="H203" s="15"/>
      <c r="I203" s="15" t="s">
        <v>936</v>
      </c>
      <c r="J203" s="15"/>
      <c r="K203" s="15" t="s">
        <v>932</v>
      </c>
      <c r="L203" s="15"/>
      <c r="M203" s="15" t="s">
        <v>933</v>
      </c>
      <c r="N203" s="15"/>
      <c r="O203" s="15" t="s">
        <v>948</v>
      </c>
      <c r="P203" s="15"/>
      <c r="Q203" s="15" t="s">
        <v>942</v>
      </c>
      <c r="R203" s="15"/>
      <c r="S203" s="15" t="s">
        <v>940</v>
      </c>
      <c r="T203" s="15">
        <v>0</v>
      </c>
      <c r="U203" s="15">
        <v>0</v>
      </c>
      <c r="V203" s="15">
        <v>0</v>
      </c>
      <c r="W203" s="15"/>
      <c r="X203" s="15" t="s">
        <v>937</v>
      </c>
      <c r="Y203" s="15"/>
      <c r="Z203" s="15"/>
      <c r="AA203" s="16" t="s">
        <v>293</v>
      </c>
      <c r="AB203" s="17" t="s">
        <v>233</v>
      </c>
      <c r="AC203" s="161" t="s">
        <v>58</v>
      </c>
      <c r="AD203" s="18">
        <v>500000000</v>
      </c>
      <c r="AE203" s="34">
        <v>0</v>
      </c>
      <c r="AF203" s="34">
        <v>0</v>
      </c>
      <c r="AG203" s="18"/>
      <c r="AH203" s="34">
        <v>0</v>
      </c>
      <c r="AI203" s="34">
        <f t="shared" ref="AI203:AI204" si="119">AE203-AF203+AG203-AH203</f>
        <v>0</v>
      </c>
      <c r="AJ203" s="18">
        <f t="shared" ref="AJ203:AJ204" si="120">AD203+AI203</f>
        <v>500000000</v>
      </c>
      <c r="AK203" s="34">
        <v>0</v>
      </c>
      <c r="AL203" s="34">
        <v>0</v>
      </c>
      <c r="AM203" s="18">
        <v>500000000</v>
      </c>
      <c r="AN203" s="34">
        <v>0</v>
      </c>
      <c r="AO203" s="34">
        <v>0</v>
      </c>
      <c r="AP203" s="18">
        <v>500000000</v>
      </c>
      <c r="AQ203" s="34">
        <v>0</v>
      </c>
      <c r="AR203" s="34">
        <v>0</v>
      </c>
      <c r="AS203" s="34">
        <v>0</v>
      </c>
      <c r="AT203" s="40">
        <f t="shared" ref="AT203:AT204" si="121">AQ203+AS203</f>
        <v>0</v>
      </c>
      <c r="AU203" s="34">
        <f>AJ203-AM203</f>
        <v>0</v>
      </c>
      <c r="AV203" s="34">
        <f>AM203-AP203</f>
        <v>0</v>
      </c>
      <c r="AW203" s="18">
        <f>AP203-AT203</f>
        <v>500000000</v>
      </c>
      <c r="AX203" s="123">
        <f>AP203/AJ203</f>
        <v>1</v>
      </c>
    </row>
    <row r="204" spans="1:50" ht="18.75" customHeight="1" x14ac:dyDescent="0.2">
      <c r="A204" s="14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66" t="s">
        <v>1014</v>
      </c>
      <c r="AB204" s="167" t="s">
        <v>1015</v>
      </c>
      <c r="AC204" s="161"/>
      <c r="AD204" s="34">
        <v>0</v>
      </c>
      <c r="AE204" s="18">
        <v>3410000000</v>
      </c>
      <c r="AF204" s="34">
        <v>0</v>
      </c>
      <c r="AG204" s="34">
        <v>0</v>
      </c>
      <c r="AH204" s="18">
        <v>3410000000</v>
      </c>
      <c r="AI204" s="34">
        <f t="shared" si="119"/>
        <v>0</v>
      </c>
      <c r="AJ204" s="34">
        <f t="shared" si="120"/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4">
        <v>0</v>
      </c>
      <c r="AQ204" s="34">
        <v>0</v>
      </c>
      <c r="AR204" s="34">
        <v>0</v>
      </c>
      <c r="AS204" s="34">
        <v>0</v>
      </c>
      <c r="AT204" s="40">
        <f t="shared" si="121"/>
        <v>0</v>
      </c>
      <c r="AU204" s="34">
        <f>AJ204-AM204</f>
        <v>0</v>
      </c>
      <c r="AV204" s="34">
        <f>AM204-AP204</f>
        <v>0</v>
      </c>
      <c r="AW204" s="34">
        <f>AP204-AT204</f>
        <v>0</v>
      </c>
      <c r="AX204" s="123">
        <v>0</v>
      </c>
    </row>
    <row r="205" spans="1:50" ht="27" customHeight="1" x14ac:dyDescent="0.2">
      <c r="A205" s="14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69" t="s">
        <v>288</v>
      </c>
      <c r="AB205" s="163" t="s">
        <v>294</v>
      </c>
      <c r="AC205" s="17"/>
      <c r="AD205" s="18"/>
      <c r="AE205" s="34"/>
      <c r="AF205" s="34"/>
      <c r="AG205" s="34"/>
      <c r="AH205" s="34"/>
      <c r="AI205" s="34"/>
      <c r="AJ205" s="18"/>
      <c r="AK205" s="34"/>
      <c r="AL205" s="34"/>
      <c r="AM205" s="34"/>
      <c r="AN205" s="34"/>
      <c r="AO205" s="34"/>
      <c r="AP205" s="34"/>
      <c r="AQ205" s="34"/>
      <c r="AR205" s="34"/>
      <c r="AS205" s="34"/>
      <c r="AT205" s="31"/>
      <c r="AU205" s="18"/>
      <c r="AV205" s="34"/>
      <c r="AW205" s="34"/>
      <c r="AX205" s="18"/>
    </row>
    <row r="206" spans="1:50" ht="18.75" customHeight="1" x14ac:dyDescent="0.2">
      <c r="A206" s="14" t="s">
        <v>55</v>
      </c>
      <c r="B206" s="15" t="s">
        <v>56</v>
      </c>
      <c r="C206" s="15"/>
      <c r="D206" s="15"/>
      <c r="E206" s="15"/>
      <c r="F206" s="15"/>
      <c r="G206" s="15" t="s">
        <v>41</v>
      </c>
      <c r="H206" s="15"/>
      <c r="I206" s="15" t="s">
        <v>936</v>
      </c>
      <c r="J206" s="15"/>
      <c r="K206" s="15" t="s">
        <v>932</v>
      </c>
      <c r="L206" s="15"/>
      <c r="M206" s="15" t="s">
        <v>933</v>
      </c>
      <c r="N206" s="15"/>
      <c r="O206" s="15" t="s">
        <v>948</v>
      </c>
      <c r="P206" s="15"/>
      <c r="Q206" s="15" t="s">
        <v>942</v>
      </c>
      <c r="R206" s="15"/>
      <c r="S206" s="15" t="s">
        <v>940</v>
      </c>
      <c r="T206" s="15">
        <v>0</v>
      </c>
      <c r="U206" s="15">
        <v>0</v>
      </c>
      <c r="V206" s="15">
        <v>0</v>
      </c>
      <c r="W206" s="15"/>
      <c r="X206" s="15" t="s">
        <v>937</v>
      </c>
      <c r="Y206" s="15"/>
      <c r="Z206" s="15"/>
      <c r="AA206" s="16" t="s">
        <v>295</v>
      </c>
      <c r="AB206" s="17" t="s">
        <v>233</v>
      </c>
      <c r="AC206" s="17" t="s">
        <v>58</v>
      </c>
      <c r="AD206" s="18">
        <v>400000000</v>
      </c>
      <c r="AE206" s="34">
        <v>0</v>
      </c>
      <c r="AF206" s="34">
        <v>0</v>
      </c>
      <c r="AG206" s="34">
        <v>0</v>
      </c>
      <c r="AH206" s="34">
        <v>0</v>
      </c>
      <c r="AI206" s="34">
        <f>AE206-AF206+AG206-AH206</f>
        <v>0</v>
      </c>
      <c r="AJ206" s="18">
        <f>AD206+AI206</f>
        <v>400000000</v>
      </c>
      <c r="AK206" s="34">
        <v>0</v>
      </c>
      <c r="AL206" s="110">
        <f>AM206-JUNIO!AM206</f>
        <v>18550000</v>
      </c>
      <c r="AM206" s="110">
        <v>181975926.59999999</v>
      </c>
      <c r="AN206" s="34">
        <v>0</v>
      </c>
      <c r="AO206" s="110">
        <v>17820700</v>
      </c>
      <c r="AP206" s="110">
        <v>175143459.59999999</v>
      </c>
      <c r="AQ206" s="18">
        <v>0</v>
      </c>
      <c r="AR206" s="18">
        <v>8250000</v>
      </c>
      <c r="AS206" s="18">
        <v>81385636</v>
      </c>
      <c r="AT206" s="39">
        <f t="shared" ref="AT206" si="122">AQ206+AS206</f>
        <v>81385636</v>
      </c>
      <c r="AU206" s="18">
        <f>AJ206-AM206</f>
        <v>218024073.40000001</v>
      </c>
      <c r="AV206" s="110">
        <f>AM206-AP206</f>
        <v>6832467</v>
      </c>
      <c r="AW206" s="18">
        <f>AP206-AT206</f>
        <v>93757823.599999994</v>
      </c>
      <c r="AX206" s="123">
        <f>AP206/AJ206</f>
        <v>0.43785864899999999</v>
      </c>
    </row>
    <row r="207" spans="1:50" ht="18.75" customHeight="1" x14ac:dyDescent="0.2">
      <c r="A207" s="14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6"/>
      <c r="AB207" s="17"/>
      <c r="AC207" s="17"/>
      <c r="AD207" s="18"/>
      <c r="AE207" s="34"/>
      <c r="AF207" s="34"/>
      <c r="AG207" s="34"/>
      <c r="AH207" s="34"/>
      <c r="AI207" s="34"/>
      <c r="AJ207" s="18"/>
      <c r="AK207" s="34"/>
      <c r="AL207" s="34"/>
      <c r="AM207" s="34"/>
      <c r="AN207" s="34"/>
      <c r="AO207" s="34"/>
      <c r="AP207" s="34"/>
      <c r="AQ207" s="34"/>
      <c r="AR207" s="34"/>
      <c r="AS207" s="18"/>
      <c r="AT207" s="30"/>
      <c r="AU207" s="18"/>
      <c r="AV207" s="18"/>
      <c r="AW207" s="18"/>
      <c r="AX207" s="18"/>
    </row>
    <row r="208" spans="1:50" ht="18.75" customHeight="1" x14ac:dyDescent="0.2">
      <c r="A208" s="14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6"/>
      <c r="AB208" s="29" t="s">
        <v>189</v>
      </c>
      <c r="AC208" s="17"/>
      <c r="AD208" s="18"/>
      <c r="AE208" s="34"/>
      <c r="AF208" s="34"/>
      <c r="AG208" s="34"/>
      <c r="AH208" s="34"/>
      <c r="AI208" s="34"/>
      <c r="AJ208" s="18"/>
      <c r="AK208" s="34"/>
      <c r="AL208" s="34"/>
      <c r="AM208" s="34"/>
      <c r="AN208" s="34"/>
      <c r="AO208" s="34"/>
      <c r="AP208" s="34"/>
      <c r="AQ208" s="34"/>
      <c r="AR208" s="34"/>
      <c r="AS208" s="18"/>
      <c r="AT208" s="30"/>
      <c r="AU208" s="18"/>
      <c r="AV208" s="18"/>
      <c r="AW208" s="18"/>
      <c r="AX208" s="18"/>
    </row>
    <row r="209" spans="1:50" ht="18.75" customHeight="1" x14ac:dyDescent="0.2">
      <c r="A209" s="14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6"/>
      <c r="AB209" s="29" t="s">
        <v>191</v>
      </c>
      <c r="AC209" s="17"/>
      <c r="AD209" s="18"/>
      <c r="AE209" s="34"/>
      <c r="AF209" s="34"/>
      <c r="AG209" s="34"/>
      <c r="AH209" s="34"/>
      <c r="AI209" s="34"/>
      <c r="AJ209" s="18"/>
      <c r="AK209" s="34"/>
      <c r="AL209" s="34"/>
      <c r="AM209" s="34"/>
      <c r="AN209" s="34"/>
      <c r="AO209" s="34"/>
      <c r="AP209" s="34"/>
      <c r="AQ209" s="34"/>
      <c r="AR209" s="34"/>
      <c r="AS209" s="18"/>
      <c r="AT209" s="30"/>
      <c r="AU209" s="18"/>
      <c r="AV209" s="18"/>
      <c r="AW209" s="18"/>
      <c r="AX209" s="18"/>
    </row>
    <row r="210" spans="1:50" ht="18.75" customHeight="1" x14ac:dyDescent="0.2">
      <c r="A210" s="14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28" t="s">
        <v>288</v>
      </c>
      <c r="AB210" s="29" t="s">
        <v>296</v>
      </c>
      <c r="AC210" s="17"/>
      <c r="AD210" s="18"/>
      <c r="AE210" s="34"/>
      <c r="AF210" s="34"/>
      <c r="AG210" s="34"/>
      <c r="AH210" s="34"/>
      <c r="AI210" s="34"/>
      <c r="AJ210" s="18"/>
      <c r="AK210" s="34"/>
      <c r="AL210" s="34"/>
      <c r="AM210" s="34"/>
      <c r="AN210" s="34"/>
      <c r="AO210" s="34"/>
      <c r="AP210" s="34"/>
      <c r="AQ210" s="34"/>
      <c r="AR210" s="34"/>
      <c r="AS210" s="18"/>
      <c r="AT210" s="30"/>
      <c r="AU210" s="18"/>
      <c r="AV210" s="18"/>
      <c r="AW210" s="18"/>
      <c r="AX210" s="18"/>
    </row>
    <row r="211" spans="1:50" ht="18.75" customHeight="1" x14ac:dyDescent="0.2">
      <c r="A211" s="14" t="s">
        <v>55</v>
      </c>
      <c r="B211" s="15" t="s">
        <v>56</v>
      </c>
      <c r="C211" s="15"/>
      <c r="D211" s="15"/>
      <c r="E211" s="15"/>
      <c r="F211" s="15"/>
      <c r="G211" s="15" t="s">
        <v>41</v>
      </c>
      <c r="H211" s="15"/>
      <c r="I211" s="15" t="s">
        <v>936</v>
      </c>
      <c r="J211" s="15"/>
      <c r="K211" s="15" t="s">
        <v>932</v>
      </c>
      <c r="L211" s="15"/>
      <c r="M211" s="15" t="s">
        <v>933</v>
      </c>
      <c r="N211" s="15"/>
      <c r="O211" s="15" t="s">
        <v>948</v>
      </c>
      <c r="P211" s="15"/>
      <c r="Q211" s="15" t="s">
        <v>942</v>
      </c>
      <c r="R211" s="15"/>
      <c r="S211" s="15" t="s">
        <v>940</v>
      </c>
      <c r="T211" s="15">
        <v>0</v>
      </c>
      <c r="U211" s="15">
        <v>0</v>
      </c>
      <c r="V211" s="15">
        <v>0</v>
      </c>
      <c r="W211" s="15"/>
      <c r="X211" s="15" t="s">
        <v>937</v>
      </c>
      <c r="Y211" s="15"/>
      <c r="Z211" s="15"/>
      <c r="AA211" s="16" t="s">
        <v>297</v>
      </c>
      <c r="AB211" s="17" t="s">
        <v>233</v>
      </c>
      <c r="AC211" s="17" t="s">
        <v>58</v>
      </c>
      <c r="AD211" s="18">
        <v>200000000</v>
      </c>
      <c r="AE211" s="34">
        <v>0</v>
      </c>
      <c r="AF211" s="34">
        <v>0</v>
      </c>
      <c r="AG211" s="18">
        <f>40000000+20000000</f>
        <v>60000000</v>
      </c>
      <c r="AH211" s="34">
        <v>0</v>
      </c>
      <c r="AI211" s="18">
        <f>AE211-AF211+AG211-AH211</f>
        <v>60000000</v>
      </c>
      <c r="AJ211" s="18">
        <f>AD211+AI211</f>
        <v>260000000</v>
      </c>
      <c r="AK211" s="34">
        <v>0</v>
      </c>
      <c r="AL211" s="34">
        <v>0</v>
      </c>
      <c r="AM211" s="34">
        <v>0</v>
      </c>
      <c r="AN211" s="34">
        <v>0</v>
      </c>
      <c r="AO211" s="34">
        <v>0</v>
      </c>
      <c r="AP211" s="34">
        <v>0</v>
      </c>
      <c r="AQ211" s="34">
        <v>0</v>
      </c>
      <c r="AR211" s="34">
        <v>0</v>
      </c>
      <c r="AS211" s="34">
        <v>0</v>
      </c>
      <c r="AT211" s="40">
        <f t="shared" ref="AT211" si="123">AQ211+AS211</f>
        <v>0</v>
      </c>
      <c r="AU211" s="18">
        <f>AJ211-AM211</f>
        <v>260000000</v>
      </c>
      <c r="AV211" s="34">
        <f>AM211-AP211</f>
        <v>0</v>
      </c>
      <c r="AW211" s="34">
        <f>AP211-AT211</f>
        <v>0</v>
      </c>
      <c r="AX211" s="123">
        <f>AP211/AJ211</f>
        <v>0</v>
      </c>
    </row>
    <row r="212" spans="1:50" ht="24" customHeight="1" x14ac:dyDescent="0.2">
      <c r="A212" s="14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6"/>
      <c r="AB212" s="29" t="s">
        <v>298</v>
      </c>
      <c r="AC212" s="17"/>
      <c r="AD212" s="18"/>
      <c r="AE212" s="34"/>
      <c r="AF212" s="34"/>
      <c r="AG212" s="34"/>
      <c r="AH212" s="34"/>
      <c r="AI212" s="34"/>
      <c r="AJ212" s="18"/>
      <c r="AK212" s="18"/>
      <c r="AL212" s="18"/>
      <c r="AM212" s="18"/>
      <c r="AN212" s="18"/>
      <c r="AO212" s="18"/>
      <c r="AP212" s="18"/>
      <c r="AQ212" s="18"/>
      <c r="AR212" s="18"/>
      <c r="AS212" s="34"/>
      <c r="AT212" s="31"/>
      <c r="AU212" s="18"/>
      <c r="AV212" s="18"/>
      <c r="AW212" s="18"/>
      <c r="AX212" s="18"/>
    </row>
    <row r="213" spans="1:50" ht="18.75" customHeight="1" x14ac:dyDescent="0.2">
      <c r="A213" s="14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28" t="s">
        <v>288</v>
      </c>
      <c r="AB213" s="29" t="s">
        <v>299</v>
      </c>
      <c r="AC213" s="17"/>
      <c r="AD213" s="18"/>
      <c r="AE213" s="34"/>
      <c r="AF213" s="34"/>
      <c r="AG213" s="34"/>
      <c r="AH213" s="34"/>
      <c r="AI213" s="34"/>
      <c r="AJ213" s="18"/>
      <c r="AK213" s="18"/>
      <c r="AL213" s="18"/>
      <c r="AM213" s="18"/>
      <c r="AN213" s="18"/>
      <c r="AO213" s="18"/>
      <c r="AP213" s="18"/>
      <c r="AQ213" s="18"/>
      <c r="AR213" s="18"/>
      <c r="AS213" s="34"/>
      <c r="AT213" s="31"/>
      <c r="AU213" s="18"/>
      <c r="AV213" s="18"/>
      <c r="AW213" s="18"/>
      <c r="AX213" s="18"/>
    </row>
    <row r="214" spans="1:50" ht="18.75" customHeight="1" x14ac:dyDescent="0.2">
      <c r="A214" s="14" t="s">
        <v>55</v>
      </c>
      <c r="B214" s="15" t="s">
        <v>56</v>
      </c>
      <c r="C214" s="15"/>
      <c r="D214" s="15"/>
      <c r="E214" s="15"/>
      <c r="F214" s="15"/>
      <c r="G214" s="15" t="s">
        <v>41</v>
      </c>
      <c r="H214" s="15"/>
      <c r="I214" s="15" t="s">
        <v>936</v>
      </c>
      <c r="J214" s="15"/>
      <c r="K214" s="15" t="s">
        <v>932</v>
      </c>
      <c r="L214" s="15"/>
      <c r="M214" s="15" t="s">
        <v>933</v>
      </c>
      <c r="N214" s="15"/>
      <c r="O214" s="15" t="s">
        <v>948</v>
      </c>
      <c r="P214" s="15"/>
      <c r="Q214" s="15" t="s">
        <v>942</v>
      </c>
      <c r="R214" s="15"/>
      <c r="S214" s="15" t="s">
        <v>940</v>
      </c>
      <c r="T214" s="15">
        <v>0</v>
      </c>
      <c r="U214" s="15">
        <v>0</v>
      </c>
      <c r="V214" s="15">
        <v>0</v>
      </c>
      <c r="W214" s="15"/>
      <c r="X214" s="15" t="s">
        <v>937</v>
      </c>
      <c r="Y214" s="15"/>
      <c r="Z214" s="15"/>
      <c r="AA214" s="16" t="s">
        <v>300</v>
      </c>
      <c r="AB214" s="17" t="s">
        <v>233</v>
      </c>
      <c r="AC214" s="17" t="s">
        <v>58</v>
      </c>
      <c r="AD214" s="18">
        <v>250000000</v>
      </c>
      <c r="AE214" s="34">
        <v>0</v>
      </c>
      <c r="AF214" s="34">
        <v>0</v>
      </c>
      <c r="AG214" s="18">
        <v>200000000</v>
      </c>
      <c r="AH214" s="34">
        <v>0</v>
      </c>
      <c r="AI214" s="18">
        <f>AE214-AF214+AG214-AH214</f>
        <v>200000000</v>
      </c>
      <c r="AJ214" s="18">
        <f>AD214+AI214</f>
        <v>450000000</v>
      </c>
      <c r="AK214" s="34">
        <v>0</v>
      </c>
      <c r="AL214" s="18">
        <f>AM214-JUNIO!AM214</f>
        <v>3100000</v>
      </c>
      <c r="AM214" s="18">
        <v>270100000</v>
      </c>
      <c r="AN214" s="34">
        <v>30016666.670000002</v>
      </c>
      <c r="AO214" s="286">
        <f>AP214-JUNIO!AP214</f>
        <v>-7883333</v>
      </c>
      <c r="AP214" s="18">
        <v>239116667</v>
      </c>
      <c r="AQ214" s="18">
        <v>31250000</v>
      </c>
      <c r="AR214" s="18">
        <v>35366668</v>
      </c>
      <c r="AS214" s="18">
        <v>154983333</v>
      </c>
      <c r="AT214" s="39">
        <f t="shared" ref="AT214:AT229" si="124">AQ214+AS214</f>
        <v>186233333</v>
      </c>
      <c r="AU214" s="18">
        <f>AJ214-AM214</f>
        <v>179900000</v>
      </c>
      <c r="AV214" s="110">
        <f>AM214-AP214</f>
        <v>30983333</v>
      </c>
      <c r="AW214" s="110">
        <f>AP214-AT214</f>
        <v>52883334</v>
      </c>
      <c r="AX214" s="123">
        <f>AP214/AJ214</f>
        <v>0.53137037111111107</v>
      </c>
    </row>
    <row r="215" spans="1:50" ht="18.75" customHeight="1" x14ac:dyDescent="0.2">
      <c r="A215" s="14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28" t="s">
        <v>288</v>
      </c>
      <c r="AB215" s="29" t="s">
        <v>292</v>
      </c>
      <c r="AC215" s="17"/>
      <c r="AD215" s="18"/>
      <c r="AE215" s="34"/>
      <c r="AF215" s="34"/>
      <c r="AG215" s="34"/>
      <c r="AH215" s="34"/>
      <c r="AI215" s="34"/>
      <c r="AJ215" s="18"/>
      <c r="AK215" s="34"/>
      <c r="AL215" s="18"/>
      <c r="AM215" s="18"/>
      <c r="AN215" s="34"/>
      <c r="AO215" s="34"/>
      <c r="AP215" s="18"/>
      <c r="AQ215" s="18"/>
      <c r="AR215" s="18"/>
      <c r="AS215" s="34"/>
      <c r="AT215" s="31"/>
      <c r="AU215" s="18"/>
      <c r="AV215" s="18"/>
      <c r="AW215" s="18"/>
      <c r="AX215" s="18"/>
    </row>
    <row r="216" spans="1:50" ht="18.75" customHeight="1" x14ac:dyDescent="0.2">
      <c r="A216" s="35" t="s">
        <v>55</v>
      </c>
      <c r="B216" s="36" t="s">
        <v>56</v>
      </c>
      <c r="C216" s="36"/>
      <c r="D216" s="36"/>
      <c r="E216" s="36"/>
      <c r="F216" s="36"/>
      <c r="G216" s="36" t="s">
        <v>41</v>
      </c>
      <c r="H216" s="36"/>
      <c r="I216" s="36" t="s">
        <v>936</v>
      </c>
      <c r="J216" s="36"/>
      <c r="K216" s="36" t="s">
        <v>932</v>
      </c>
      <c r="L216" s="36"/>
      <c r="M216" s="36" t="s">
        <v>933</v>
      </c>
      <c r="N216" s="36"/>
      <c r="O216" s="36" t="s">
        <v>948</v>
      </c>
      <c r="P216" s="36"/>
      <c r="Q216" s="36" t="s">
        <v>942</v>
      </c>
      <c r="R216" s="36"/>
      <c r="S216" s="36" t="s">
        <v>940</v>
      </c>
      <c r="T216" s="36">
        <v>0</v>
      </c>
      <c r="U216" s="36">
        <v>0</v>
      </c>
      <c r="V216" s="36">
        <v>0</v>
      </c>
      <c r="W216" s="36"/>
      <c r="X216" s="36" t="s">
        <v>937</v>
      </c>
      <c r="Y216" s="36"/>
      <c r="Z216" s="36"/>
      <c r="AA216" s="37" t="s">
        <v>301</v>
      </c>
      <c r="AB216" s="38" t="s">
        <v>233</v>
      </c>
      <c r="AC216" s="38" t="s">
        <v>58</v>
      </c>
      <c r="AD216" s="39">
        <v>200000000</v>
      </c>
      <c r="AE216" s="40">
        <v>0</v>
      </c>
      <c r="AF216" s="40">
        <v>0</v>
      </c>
      <c r="AG216" s="18">
        <v>64995888</v>
      </c>
      <c r="AH216" s="40">
        <v>0</v>
      </c>
      <c r="AI216" s="18">
        <f t="shared" ref="AI216:AI217" si="125">AE216-AF216+AG216-AH216</f>
        <v>64995888</v>
      </c>
      <c r="AJ216" s="18">
        <f t="shared" ref="AJ216:AJ217" si="126">AD216+AI216</f>
        <v>264995888</v>
      </c>
      <c r="AK216" s="40">
        <v>0</v>
      </c>
      <c r="AL216" s="39">
        <f>AM216-JUNIO!AM216</f>
        <v>0</v>
      </c>
      <c r="AM216" s="39">
        <v>121551269.01000001</v>
      </c>
      <c r="AN216" s="40">
        <v>0</v>
      </c>
      <c r="AO216" s="39">
        <f>AP216-JUNIO!AP216</f>
        <v>27764187.079999998</v>
      </c>
      <c r="AP216" s="39">
        <v>94364203.079999998</v>
      </c>
      <c r="AQ216" s="40">
        <v>0</v>
      </c>
      <c r="AR216" s="39">
        <v>66600016</v>
      </c>
      <c r="AS216" s="39">
        <v>66600016</v>
      </c>
      <c r="AT216" s="39">
        <f t="shared" ref="AT216:AT219" si="127">AQ216+AS216</f>
        <v>66600016</v>
      </c>
      <c r="AU216" s="18">
        <f>AJ216-AM216</f>
        <v>143444618.99000001</v>
      </c>
      <c r="AV216" s="18">
        <f>AM216-AP216</f>
        <v>27187065.930000007</v>
      </c>
      <c r="AW216" s="18">
        <f>AP216-AT216</f>
        <v>27764187.079999998</v>
      </c>
      <c r="AX216" s="123">
        <f>AP216/AJ216</f>
        <v>0.3560968579255841</v>
      </c>
    </row>
    <row r="217" spans="1:50" ht="18.75" customHeight="1" x14ac:dyDescent="0.2">
      <c r="A217" s="35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101" t="s">
        <v>1234</v>
      </c>
      <c r="AB217" s="251" t="s">
        <v>1015</v>
      </c>
      <c r="AC217" s="38"/>
      <c r="AD217" s="40">
        <v>0</v>
      </c>
      <c r="AE217" s="40"/>
      <c r="AF217" s="40"/>
      <c r="AG217" s="18">
        <v>2307325192</v>
      </c>
      <c r="AH217" s="40">
        <v>0</v>
      </c>
      <c r="AI217" s="18">
        <f t="shared" si="125"/>
        <v>2307325192</v>
      </c>
      <c r="AJ217" s="18">
        <f t="shared" si="126"/>
        <v>2307325192</v>
      </c>
      <c r="AK217" s="40">
        <v>0</v>
      </c>
      <c r="AL217" s="39">
        <f>AM217-JUNIO!AM217</f>
        <v>8000000</v>
      </c>
      <c r="AM217" s="39">
        <v>8000000</v>
      </c>
      <c r="AN217" s="40">
        <v>0</v>
      </c>
      <c r="AO217" s="40">
        <v>0</v>
      </c>
      <c r="AP217" s="40">
        <v>0</v>
      </c>
      <c r="AQ217" s="40">
        <v>0</v>
      </c>
      <c r="AR217" s="40">
        <v>0</v>
      </c>
      <c r="AS217" s="40">
        <v>0</v>
      </c>
      <c r="AT217" s="40">
        <f t="shared" si="127"/>
        <v>0</v>
      </c>
      <c r="AU217" s="18">
        <f>AJ217-AM217</f>
        <v>2299325192</v>
      </c>
      <c r="AV217" s="18">
        <f>AM217-AP217</f>
        <v>8000000</v>
      </c>
      <c r="AW217" s="34">
        <f>AP217-AT217</f>
        <v>0</v>
      </c>
      <c r="AX217" s="123">
        <f>AP217/AJ217</f>
        <v>0</v>
      </c>
    </row>
    <row r="218" spans="1:50" ht="26.25" customHeight="1" x14ac:dyDescent="0.2">
      <c r="A218" s="35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28" t="s">
        <v>288</v>
      </c>
      <c r="AB218" s="29" t="s">
        <v>298</v>
      </c>
      <c r="AC218" s="38"/>
      <c r="AD218" s="40"/>
      <c r="AE218" s="40"/>
      <c r="AF218" s="40"/>
      <c r="AG218" s="40"/>
      <c r="AH218" s="40"/>
      <c r="AI218" s="40"/>
      <c r="AJ218" s="39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>
        <f t="shared" si="127"/>
        <v>0</v>
      </c>
      <c r="AU218" s="34">
        <f>AJ218-AM218</f>
        <v>0</v>
      </c>
      <c r="AV218" s="34">
        <f>AM218-AP218</f>
        <v>0</v>
      </c>
      <c r="AW218" s="34">
        <f>AP218-AT218</f>
        <v>0</v>
      </c>
      <c r="AX218" s="123">
        <v>0</v>
      </c>
    </row>
    <row r="219" spans="1:50" ht="18.75" customHeight="1" x14ac:dyDescent="0.2">
      <c r="A219" s="35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101" t="s">
        <v>1218</v>
      </c>
      <c r="AB219" s="251" t="s">
        <v>233</v>
      </c>
      <c r="AC219" s="38"/>
      <c r="AD219" s="40">
        <v>0</v>
      </c>
      <c r="AE219" s="40">
        <v>0</v>
      </c>
      <c r="AF219" s="40">
        <v>0</v>
      </c>
      <c r="AG219" s="39">
        <v>4935004112</v>
      </c>
      <c r="AH219" s="40">
        <v>0</v>
      </c>
      <c r="AI219" s="18">
        <f>AE219-AF219+AG219-AH219</f>
        <v>4935004112</v>
      </c>
      <c r="AJ219" s="18">
        <f>AD219+AI219</f>
        <v>4935004112</v>
      </c>
      <c r="AK219" s="40">
        <v>0</v>
      </c>
      <c r="AL219" s="39">
        <f>AM219-JUNIO!AM219</f>
        <v>409007820</v>
      </c>
      <c r="AM219" s="39">
        <v>4935004112</v>
      </c>
      <c r="AN219" s="40">
        <v>0</v>
      </c>
      <c r="AO219" s="40">
        <v>0</v>
      </c>
      <c r="AP219" s="40">
        <v>0</v>
      </c>
      <c r="AQ219" s="40">
        <v>0</v>
      </c>
      <c r="AR219" s="40">
        <v>0</v>
      </c>
      <c r="AS219" s="40">
        <v>0</v>
      </c>
      <c r="AT219" s="40">
        <f t="shared" si="127"/>
        <v>0</v>
      </c>
      <c r="AU219" s="34">
        <f>AJ219-AM219</f>
        <v>0</v>
      </c>
      <c r="AV219" s="18">
        <f>AM219-AP219</f>
        <v>4935004112</v>
      </c>
      <c r="AW219" s="34">
        <f>AP219-AT219</f>
        <v>0</v>
      </c>
      <c r="AX219" s="123">
        <f>AP219/AJ219</f>
        <v>0</v>
      </c>
    </row>
    <row r="220" spans="1:50" ht="24.75" customHeight="1" x14ac:dyDescent="0.2">
      <c r="A220" s="14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28" t="s">
        <v>288</v>
      </c>
      <c r="AB220" s="29" t="s">
        <v>302</v>
      </c>
      <c r="AC220" s="17"/>
      <c r="AD220" s="18"/>
      <c r="AE220" s="34"/>
      <c r="AF220" s="34"/>
      <c r="AG220" s="34"/>
      <c r="AH220" s="34"/>
      <c r="AI220" s="34"/>
      <c r="AJ220" s="18"/>
      <c r="AK220" s="34"/>
      <c r="AL220" s="34"/>
      <c r="AM220" s="34"/>
      <c r="AN220" s="34"/>
      <c r="AO220" s="34"/>
      <c r="AP220" s="34"/>
      <c r="AQ220" s="34"/>
      <c r="AR220" s="34"/>
      <c r="AS220" s="34"/>
      <c r="AT220" s="31"/>
      <c r="AU220" s="18"/>
      <c r="AV220" s="34"/>
      <c r="AW220" s="34"/>
      <c r="AX220" s="18"/>
    </row>
    <row r="221" spans="1:50" ht="18.75" customHeight="1" x14ac:dyDescent="0.2">
      <c r="A221" s="14" t="s">
        <v>55</v>
      </c>
      <c r="B221" s="15" t="s">
        <v>56</v>
      </c>
      <c r="C221" s="15"/>
      <c r="D221" s="15"/>
      <c r="E221" s="15"/>
      <c r="F221" s="15"/>
      <c r="G221" s="15" t="s">
        <v>41</v>
      </c>
      <c r="H221" s="15"/>
      <c r="I221" s="15" t="s">
        <v>936</v>
      </c>
      <c r="J221" s="15"/>
      <c r="K221" s="15" t="s">
        <v>932</v>
      </c>
      <c r="L221" s="15"/>
      <c r="M221" s="15" t="s">
        <v>933</v>
      </c>
      <c r="N221" s="15"/>
      <c r="O221" s="15" t="s">
        <v>948</v>
      </c>
      <c r="P221" s="15"/>
      <c r="Q221" s="15" t="s">
        <v>942</v>
      </c>
      <c r="R221" s="15"/>
      <c r="S221" s="15" t="s">
        <v>940</v>
      </c>
      <c r="T221" s="15">
        <v>0</v>
      </c>
      <c r="U221" s="15">
        <v>0</v>
      </c>
      <c r="V221" s="15">
        <v>0</v>
      </c>
      <c r="W221" s="15"/>
      <c r="X221" s="15" t="s">
        <v>937</v>
      </c>
      <c r="Y221" s="15"/>
      <c r="Z221" s="15"/>
      <c r="AA221" s="16" t="s">
        <v>303</v>
      </c>
      <c r="AB221" s="17" t="s">
        <v>233</v>
      </c>
      <c r="AC221" s="17" t="s">
        <v>58</v>
      </c>
      <c r="AD221" s="18">
        <v>850000000</v>
      </c>
      <c r="AE221" s="34">
        <v>0</v>
      </c>
      <c r="AF221" s="34">
        <v>0</v>
      </c>
      <c r="AG221" s="34">
        <v>0</v>
      </c>
      <c r="AH221" s="34">
        <v>0</v>
      </c>
      <c r="AI221" s="34">
        <f>AE221-AF221+AG221-AH221</f>
        <v>0</v>
      </c>
      <c r="AJ221" s="18">
        <f>AD221+AI221</f>
        <v>850000000</v>
      </c>
      <c r="AK221" s="34">
        <v>0</v>
      </c>
      <c r="AL221" s="18">
        <f>AM221-JUNIO!AM221</f>
        <v>-10000000</v>
      </c>
      <c r="AM221" s="110">
        <v>653607711</v>
      </c>
      <c r="AN221" s="110">
        <v>18000000</v>
      </c>
      <c r="AO221" s="286">
        <f>AP221-JUNIO!AP221</f>
        <v>-10000000</v>
      </c>
      <c r="AP221" s="110">
        <v>634679430</v>
      </c>
      <c r="AQ221" s="18">
        <v>24000000</v>
      </c>
      <c r="AR221" s="18">
        <v>89504564</v>
      </c>
      <c r="AS221" s="18">
        <v>344813991.64999998</v>
      </c>
      <c r="AT221" s="39">
        <f t="shared" ref="AT221" si="128">AQ221+AS221</f>
        <v>368813991.64999998</v>
      </c>
      <c r="AU221" s="18">
        <f>AJ221-AM221</f>
        <v>196392289</v>
      </c>
      <c r="AV221" s="110">
        <f>AM221-AP221</f>
        <v>18928281</v>
      </c>
      <c r="AW221" s="110">
        <f>AP221-AT221</f>
        <v>265865438.35000002</v>
      </c>
      <c r="AX221" s="123">
        <f>AP221/AJ221</f>
        <v>0.74668168235294119</v>
      </c>
    </row>
    <row r="222" spans="1:50" ht="18.75" customHeight="1" x14ac:dyDescent="0.2">
      <c r="A222" s="35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28" t="s">
        <v>288</v>
      </c>
      <c r="AB222" s="29" t="s">
        <v>304</v>
      </c>
      <c r="AC222" s="38"/>
      <c r="AD222" s="39"/>
      <c r="AE222" s="40"/>
      <c r="AF222" s="40"/>
      <c r="AG222" s="40"/>
      <c r="AH222" s="40"/>
      <c r="AI222" s="40"/>
      <c r="AJ222" s="39"/>
      <c r="AK222" s="39"/>
      <c r="AL222" s="39"/>
      <c r="AM222" s="40"/>
      <c r="AN222" s="40"/>
      <c r="AO222" s="40"/>
      <c r="AP222" s="40"/>
      <c r="AQ222" s="40"/>
      <c r="AR222" s="40"/>
      <c r="AS222" s="40"/>
      <c r="AT222" s="31"/>
      <c r="AU222" s="39"/>
      <c r="AV222" s="40"/>
      <c r="AW222" s="40"/>
      <c r="AX222" s="18"/>
    </row>
    <row r="223" spans="1:50" ht="18.75" customHeight="1" x14ac:dyDescent="0.2">
      <c r="A223" s="14" t="s">
        <v>55</v>
      </c>
      <c r="B223" s="15" t="s">
        <v>56</v>
      </c>
      <c r="C223" s="15"/>
      <c r="D223" s="15"/>
      <c r="E223" s="15"/>
      <c r="F223" s="15"/>
      <c r="G223" s="15" t="s">
        <v>41</v>
      </c>
      <c r="H223" s="15"/>
      <c r="I223" s="15" t="s">
        <v>936</v>
      </c>
      <c r="J223" s="15"/>
      <c r="K223" s="15" t="s">
        <v>932</v>
      </c>
      <c r="L223" s="15"/>
      <c r="M223" s="15" t="s">
        <v>933</v>
      </c>
      <c r="N223" s="15"/>
      <c r="O223" s="15" t="s">
        <v>948</v>
      </c>
      <c r="P223" s="15"/>
      <c r="Q223" s="15" t="s">
        <v>942</v>
      </c>
      <c r="R223" s="15"/>
      <c r="S223" s="15" t="s">
        <v>940</v>
      </c>
      <c r="T223" s="15">
        <v>0</v>
      </c>
      <c r="U223" s="15">
        <v>0</v>
      </c>
      <c r="V223" s="15">
        <v>0</v>
      </c>
      <c r="W223" s="15"/>
      <c r="X223" s="15" t="s">
        <v>937</v>
      </c>
      <c r="Y223" s="15"/>
      <c r="Z223" s="15"/>
      <c r="AA223" s="16" t="s">
        <v>305</v>
      </c>
      <c r="AB223" s="17" t="s">
        <v>233</v>
      </c>
      <c r="AC223" s="17" t="s">
        <v>58</v>
      </c>
      <c r="AD223" s="18">
        <v>100000000</v>
      </c>
      <c r="AE223" s="34">
        <v>0</v>
      </c>
      <c r="AF223" s="34">
        <v>0</v>
      </c>
      <c r="AG223" s="34">
        <v>0</v>
      </c>
      <c r="AH223" s="34">
        <v>0</v>
      </c>
      <c r="AI223" s="34">
        <f>AE223-AF223+AG223-AH223</f>
        <v>0</v>
      </c>
      <c r="AJ223" s="18">
        <f>AD223+AI223</f>
        <v>100000000</v>
      </c>
      <c r="AK223" s="34">
        <v>0</v>
      </c>
      <c r="AL223" s="34">
        <v>0</v>
      </c>
      <c r="AM223" s="34">
        <v>0</v>
      </c>
      <c r="AN223" s="34">
        <v>0</v>
      </c>
      <c r="AO223" s="34">
        <v>0</v>
      </c>
      <c r="AP223" s="34">
        <v>0</v>
      </c>
      <c r="AQ223" s="34">
        <v>0</v>
      </c>
      <c r="AR223" s="34">
        <v>0</v>
      </c>
      <c r="AS223" s="34">
        <v>0</v>
      </c>
      <c r="AT223" s="40">
        <f t="shared" ref="AT223:AT225" si="129">AQ223+AS223</f>
        <v>0</v>
      </c>
      <c r="AU223" s="18">
        <f>AJ223-AM223</f>
        <v>100000000</v>
      </c>
      <c r="AV223" s="34">
        <f>AM223-AP223</f>
        <v>0</v>
      </c>
      <c r="AW223" s="34">
        <f>AP223-AT223</f>
        <v>0</v>
      </c>
      <c r="AX223" s="123">
        <f>AP223/AJ223</f>
        <v>0</v>
      </c>
    </row>
    <row r="224" spans="1:50" ht="40.5" customHeight="1" x14ac:dyDescent="0.2">
      <c r="A224" s="14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73" t="s">
        <v>288</v>
      </c>
      <c r="AB224" s="247" t="s">
        <v>958</v>
      </c>
      <c r="AC224" s="17"/>
      <c r="AD224" s="18"/>
      <c r="AE224" s="34"/>
      <c r="AF224" s="34"/>
      <c r="AG224" s="34"/>
      <c r="AH224" s="34"/>
      <c r="AI224" s="34"/>
      <c r="AJ224" s="18"/>
      <c r="AK224" s="34"/>
      <c r="AL224" s="34"/>
      <c r="AM224" s="34"/>
      <c r="AN224" s="34"/>
      <c r="AO224" s="34"/>
      <c r="AP224" s="34"/>
      <c r="AQ224" s="34"/>
      <c r="AR224" s="34"/>
      <c r="AS224" s="34"/>
      <c r="AT224" s="40"/>
      <c r="AU224" s="18"/>
      <c r="AV224" s="34"/>
      <c r="AW224" s="34"/>
      <c r="AX224" s="123"/>
    </row>
    <row r="225" spans="1:50" ht="30" customHeight="1" x14ac:dyDescent="0.2">
      <c r="A225" s="14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250" t="s">
        <v>765</v>
      </c>
      <c r="AB225" s="248" t="s">
        <v>233</v>
      </c>
      <c r="AC225" s="17"/>
      <c r="AD225" s="34">
        <v>0</v>
      </c>
      <c r="AE225" s="34">
        <v>0</v>
      </c>
      <c r="AF225" s="34">
        <v>0</v>
      </c>
      <c r="AG225" s="18">
        <v>200000000</v>
      </c>
      <c r="AH225" s="18">
        <v>200000000</v>
      </c>
      <c r="AI225" s="34">
        <f>AE225-AF225+AG225-AH225</f>
        <v>0</v>
      </c>
      <c r="AJ225" s="34">
        <f>AD225+AI225</f>
        <v>0</v>
      </c>
      <c r="AK225" s="34">
        <v>0</v>
      </c>
      <c r="AL225" s="34">
        <v>0</v>
      </c>
      <c r="AM225" s="34">
        <v>0</v>
      </c>
      <c r="AN225" s="34">
        <v>0</v>
      </c>
      <c r="AO225" s="34">
        <v>0</v>
      </c>
      <c r="AP225" s="34">
        <v>0</v>
      </c>
      <c r="AQ225" s="34">
        <v>0</v>
      </c>
      <c r="AR225" s="34">
        <v>0</v>
      </c>
      <c r="AS225" s="34">
        <v>0</v>
      </c>
      <c r="AT225" s="40">
        <f t="shared" si="129"/>
        <v>0</v>
      </c>
      <c r="AU225" s="18">
        <f>AJ225-AM225</f>
        <v>0</v>
      </c>
      <c r="AV225" s="34">
        <f>AM225-AP225</f>
        <v>0</v>
      </c>
      <c r="AW225" s="34">
        <f>AP225-AT225</f>
        <v>0</v>
      </c>
      <c r="AX225" s="123">
        <v>0</v>
      </c>
    </row>
    <row r="226" spans="1:50" ht="18.75" customHeight="1" x14ac:dyDescent="0.2">
      <c r="A226" s="35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28" t="s">
        <v>288</v>
      </c>
      <c r="AB226" s="249" t="s">
        <v>306</v>
      </c>
      <c r="AC226" s="38"/>
      <c r="AD226" s="39"/>
      <c r="AE226" s="40"/>
      <c r="AF226" s="40"/>
      <c r="AG226" s="40"/>
      <c r="AH226" s="40"/>
      <c r="AI226" s="40"/>
      <c r="AJ226" s="39"/>
      <c r="AK226" s="40"/>
      <c r="AL226" s="40"/>
      <c r="AM226" s="40"/>
      <c r="AN226" s="40"/>
      <c r="AO226" s="40"/>
      <c r="AP226" s="40"/>
      <c r="AQ226" s="40"/>
      <c r="AR226" s="40"/>
      <c r="AS226" s="39"/>
      <c r="AT226" s="30"/>
      <c r="AU226" s="39"/>
      <c r="AV226" s="39"/>
      <c r="AW226" s="40"/>
      <c r="AX226" s="18"/>
    </row>
    <row r="227" spans="1:50" ht="18.75" customHeight="1" x14ac:dyDescent="0.2">
      <c r="A227" s="14" t="s">
        <v>55</v>
      </c>
      <c r="B227" s="15" t="s">
        <v>56</v>
      </c>
      <c r="C227" s="15"/>
      <c r="D227" s="15"/>
      <c r="E227" s="15"/>
      <c r="F227" s="15"/>
      <c r="G227" s="15" t="s">
        <v>41</v>
      </c>
      <c r="H227" s="15"/>
      <c r="I227" s="15" t="s">
        <v>936</v>
      </c>
      <c r="J227" s="15"/>
      <c r="K227" s="15" t="s">
        <v>932</v>
      </c>
      <c r="L227" s="15"/>
      <c r="M227" s="15" t="s">
        <v>933</v>
      </c>
      <c r="N227" s="15"/>
      <c r="O227" s="15" t="s">
        <v>948</v>
      </c>
      <c r="P227" s="15"/>
      <c r="Q227" s="15" t="s">
        <v>942</v>
      </c>
      <c r="R227" s="15"/>
      <c r="S227" s="15" t="s">
        <v>940</v>
      </c>
      <c r="T227" s="15">
        <v>0</v>
      </c>
      <c r="U227" s="15">
        <v>0</v>
      </c>
      <c r="V227" s="15">
        <v>0</v>
      </c>
      <c r="W227" s="15"/>
      <c r="X227" s="15" t="s">
        <v>937</v>
      </c>
      <c r="Y227" s="15"/>
      <c r="Z227" s="15"/>
      <c r="AA227" s="16" t="s">
        <v>307</v>
      </c>
      <c r="AB227" s="17" t="s">
        <v>233</v>
      </c>
      <c r="AC227" s="17" t="s">
        <v>58</v>
      </c>
      <c r="AD227" s="18">
        <v>50000000</v>
      </c>
      <c r="AE227" s="34">
        <v>0</v>
      </c>
      <c r="AF227" s="34">
        <v>0</v>
      </c>
      <c r="AG227" s="34">
        <v>0</v>
      </c>
      <c r="AH227" s="34">
        <v>0</v>
      </c>
      <c r="AI227" s="34">
        <f>AE227-AF227+AG227-AH227</f>
        <v>0</v>
      </c>
      <c r="AJ227" s="18">
        <f>AD227+AI227</f>
        <v>50000000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4">
        <v>0</v>
      </c>
      <c r="AQ227" s="34">
        <v>0</v>
      </c>
      <c r="AR227" s="34">
        <v>0</v>
      </c>
      <c r="AS227" s="34">
        <v>0</v>
      </c>
      <c r="AT227" s="40">
        <f t="shared" si="124"/>
        <v>0</v>
      </c>
      <c r="AU227" s="18">
        <f>AJ227-AM227</f>
        <v>50000000</v>
      </c>
      <c r="AV227" s="34">
        <f>AM227-AP227</f>
        <v>0</v>
      </c>
      <c r="AW227" s="34">
        <f>AP227-AT227</f>
        <v>0</v>
      </c>
      <c r="AX227" s="123">
        <f>AP227/AJ227</f>
        <v>0</v>
      </c>
    </row>
    <row r="228" spans="1:50" ht="18.75" customHeight="1" x14ac:dyDescent="0.2">
      <c r="A228" s="14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28" t="s">
        <v>288</v>
      </c>
      <c r="AB228" s="29" t="s">
        <v>308</v>
      </c>
      <c r="AC228" s="17"/>
      <c r="AD228" s="18"/>
      <c r="AE228" s="34"/>
      <c r="AF228" s="34"/>
      <c r="AG228" s="34"/>
      <c r="AH228" s="34"/>
      <c r="AI228" s="34"/>
      <c r="AJ228" s="18"/>
      <c r="AK228" s="34"/>
      <c r="AL228" s="34"/>
      <c r="AM228" s="34"/>
      <c r="AN228" s="34"/>
      <c r="AO228" s="34"/>
      <c r="AP228" s="34"/>
      <c r="AQ228" s="34"/>
      <c r="AR228" s="34"/>
      <c r="AS228" s="34"/>
      <c r="AT228" s="31"/>
      <c r="AU228" s="18"/>
      <c r="AV228" s="18"/>
      <c r="AW228" s="34"/>
      <c r="AX228" s="18"/>
    </row>
    <row r="229" spans="1:50" ht="18.75" customHeight="1" x14ac:dyDescent="0.2">
      <c r="A229" s="35" t="s">
        <v>55</v>
      </c>
      <c r="B229" s="36" t="s">
        <v>56</v>
      </c>
      <c r="C229" s="36"/>
      <c r="D229" s="36"/>
      <c r="E229" s="36"/>
      <c r="F229" s="36"/>
      <c r="G229" s="36" t="s">
        <v>41</v>
      </c>
      <c r="H229" s="36"/>
      <c r="I229" s="36" t="s">
        <v>936</v>
      </c>
      <c r="J229" s="36"/>
      <c r="K229" s="36" t="s">
        <v>932</v>
      </c>
      <c r="L229" s="36"/>
      <c r="M229" s="36" t="s">
        <v>933</v>
      </c>
      <c r="N229" s="36"/>
      <c r="O229" s="36" t="s">
        <v>948</v>
      </c>
      <c r="P229" s="36"/>
      <c r="Q229" s="36" t="s">
        <v>942</v>
      </c>
      <c r="R229" s="36"/>
      <c r="S229" s="36" t="s">
        <v>940</v>
      </c>
      <c r="T229" s="36">
        <v>0</v>
      </c>
      <c r="U229" s="36">
        <v>0</v>
      </c>
      <c r="V229" s="36">
        <v>0</v>
      </c>
      <c r="W229" s="36"/>
      <c r="X229" s="36" t="s">
        <v>937</v>
      </c>
      <c r="Y229" s="36"/>
      <c r="Z229" s="36"/>
      <c r="AA229" s="37" t="s">
        <v>309</v>
      </c>
      <c r="AB229" s="38" t="s">
        <v>233</v>
      </c>
      <c r="AC229" s="38" t="s">
        <v>58</v>
      </c>
      <c r="AD229" s="39">
        <v>50000000</v>
      </c>
      <c r="AE229" s="40">
        <v>0</v>
      </c>
      <c r="AF229" s="40">
        <v>0</v>
      </c>
      <c r="AG229" s="40">
        <v>0</v>
      </c>
      <c r="AH229" s="39">
        <v>20000000</v>
      </c>
      <c r="AI229" s="18">
        <f>AE229-AF229+AG229-AH229</f>
        <v>-20000000</v>
      </c>
      <c r="AJ229" s="18">
        <f>AD229+AI229</f>
        <v>30000000</v>
      </c>
      <c r="AK229" s="40">
        <v>0</v>
      </c>
      <c r="AL229" s="40">
        <v>0</v>
      </c>
      <c r="AM229" s="40">
        <v>0</v>
      </c>
      <c r="AN229" s="40">
        <v>0</v>
      </c>
      <c r="AO229" s="40">
        <v>0</v>
      </c>
      <c r="AP229" s="40">
        <v>0</v>
      </c>
      <c r="AQ229" s="40">
        <v>0</v>
      </c>
      <c r="AR229" s="40">
        <v>0</v>
      </c>
      <c r="AS229" s="40">
        <v>0</v>
      </c>
      <c r="AT229" s="40">
        <f t="shared" si="124"/>
        <v>0</v>
      </c>
      <c r="AU229" s="18">
        <f>AJ229-AM229</f>
        <v>30000000</v>
      </c>
      <c r="AV229" s="34">
        <f>AM229-AP229</f>
        <v>0</v>
      </c>
      <c r="AW229" s="34">
        <f>AP229-AT229</f>
        <v>0</v>
      </c>
      <c r="AX229" s="123">
        <f>AP229/AJ229</f>
        <v>0</v>
      </c>
    </row>
    <row r="230" spans="1:50" ht="18.75" customHeight="1" x14ac:dyDescent="0.2">
      <c r="A230" s="14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28" t="s">
        <v>288</v>
      </c>
      <c r="AB230" s="29" t="s">
        <v>310</v>
      </c>
      <c r="AC230" s="17"/>
      <c r="AD230" s="18"/>
      <c r="AE230" s="34"/>
      <c r="AF230" s="34"/>
      <c r="AG230" s="34"/>
      <c r="AH230" s="34"/>
      <c r="AI230" s="34"/>
      <c r="AJ230" s="18"/>
      <c r="AK230" s="18"/>
      <c r="AL230" s="18"/>
      <c r="AM230" s="18"/>
      <c r="AN230" s="18"/>
      <c r="AO230" s="18"/>
      <c r="AP230" s="18"/>
      <c r="AQ230" s="18"/>
      <c r="AR230" s="18"/>
      <c r="AS230" s="34"/>
      <c r="AT230" s="31"/>
      <c r="AU230" s="18"/>
      <c r="AV230" s="18"/>
      <c r="AW230" s="18"/>
      <c r="AX230" s="18"/>
    </row>
    <row r="231" spans="1:50" ht="18.75" customHeight="1" x14ac:dyDescent="0.2">
      <c r="A231" s="14" t="s">
        <v>55</v>
      </c>
      <c r="B231" s="15" t="s">
        <v>56</v>
      </c>
      <c r="C231" s="15"/>
      <c r="D231" s="15"/>
      <c r="E231" s="15"/>
      <c r="F231" s="15"/>
      <c r="G231" s="15" t="s">
        <v>41</v>
      </c>
      <c r="H231" s="15"/>
      <c r="I231" s="15" t="s">
        <v>936</v>
      </c>
      <c r="J231" s="15"/>
      <c r="K231" s="15" t="s">
        <v>932</v>
      </c>
      <c r="L231" s="15"/>
      <c r="M231" s="15" t="s">
        <v>933</v>
      </c>
      <c r="N231" s="15"/>
      <c r="O231" s="15" t="s">
        <v>948</v>
      </c>
      <c r="P231" s="15"/>
      <c r="Q231" s="15" t="s">
        <v>942</v>
      </c>
      <c r="R231" s="15"/>
      <c r="S231" s="15" t="s">
        <v>940</v>
      </c>
      <c r="T231" s="15">
        <v>0</v>
      </c>
      <c r="U231" s="15">
        <v>0</v>
      </c>
      <c r="V231" s="15">
        <v>0</v>
      </c>
      <c r="W231" s="15"/>
      <c r="X231" s="15" t="s">
        <v>937</v>
      </c>
      <c r="Y231" s="15"/>
      <c r="Z231" s="15"/>
      <c r="AA231" s="16" t="s">
        <v>311</v>
      </c>
      <c r="AB231" s="17" t="s">
        <v>233</v>
      </c>
      <c r="AC231" s="17" t="s">
        <v>58</v>
      </c>
      <c r="AD231" s="18">
        <v>1400000000</v>
      </c>
      <c r="AE231" s="34">
        <v>0</v>
      </c>
      <c r="AF231" s="34">
        <v>0</v>
      </c>
      <c r="AG231" s="34">
        <v>0</v>
      </c>
      <c r="AH231" s="34">
        <v>0</v>
      </c>
      <c r="AI231" s="18">
        <f t="shared" ref="AI231:AI232" si="130">AE231-AF231+AG231-AH231</f>
        <v>0</v>
      </c>
      <c r="AJ231" s="18">
        <f t="shared" ref="AJ231:AJ232" si="131">AD231+AI231</f>
        <v>1400000000</v>
      </c>
      <c r="AK231" s="34">
        <v>0</v>
      </c>
      <c r="AL231" s="18">
        <v>63386143</v>
      </c>
      <c r="AM231" s="18">
        <v>1269122066</v>
      </c>
      <c r="AN231" s="34">
        <v>0</v>
      </c>
      <c r="AO231" s="34">
        <f>AP231-JUNIO!AP231</f>
        <v>0</v>
      </c>
      <c r="AP231" s="18">
        <v>1171960870</v>
      </c>
      <c r="AQ231" s="18">
        <v>0</v>
      </c>
      <c r="AR231" s="18">
        <v>55200000</v>
      </c>
      <c r="AS231" s="18">
        <v>234949999</v>
      </c>
      <c r="AT231" s="111">
        <f t="shared" ref="AT231:AT232" si="132">AQ231+AS231</f>
        <v>234949999</v>
      </c>
      <c r="AU231" s="18">
        <f>AJ231-AM231</f>
        <v>130877934</v>
      </c>
      <c r="AV231" s="110">
        <f>AM231-AP231</f>
        <v>97161196</v>
      </c>
      <c r="AW231" s="18">
        <f>AP231-AT231</f>
        <v>937010871</v>
      </c>
      <c r="AX231" s="123">
        <f>AP231/AJ231</f>
        <v>0.83711490714285719</v>
      </c>
    </row>
    <row r="232" spans="1:50" ht="18.75" customHeight="1" x14ac:dyDescent="0.2">
      <c r="A232" s="14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41" t="s">
        <v>1262</v>
      </c>
      <c r="AB232" s="42" t="s">
        <v>1015</v>
      </c>
      <c r="AC232" s="17"/>
      <c r="AD232" s="34">
        <v>0</v>
      </c>
      <c r="AE232" s="34">
        <v>0</v>
      </c>
      <c r="AF232" s="34">
        <v>0</v>
      </c>
      <c r="AG232" s="18">
        <v>200000000</v>
      </c>
      <c r="AH232" s="34"/>
      <c r="AI232" s="18">
        <f t="shared" si="130"/>
        <v>200000000</v>
      </c>
      <c r="AJ232" s="18">
        <f t="shared" si="131"/>
        <v>200000000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135">
        <f t="shared" si="132"/>
        <v>0</v>
      </c>
      <c r="AU232" s="18">
        <f>AJ232-AM232</f>
        <v>200000000</v>
      </c>
      <c r="AV232" s="110">
        <f>AM232-AP232</f>
        <v>0</v>
      </c>
      <c r="AW232" s="18">
        <f>AP232-AT232</f>
        <v>0</v>
      </c>
      <c r="AX232" s="123">
        <f>AP232/AJ232</f>
        <v>0</v>
      </c>
    </row>
    <row r="233" spans="1:50" ht="18.75" customHeight="1" x14ac:dyDescent="0.2">
      <c r="A233" s="35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7"/>
      <c r="AB233" s="29" t="s">
        <v>199</v>
      </c>
      <c r="AC233" s="38"/>
      <c r="AD233" s="39"/>
      <c r="AE233" s="40"/>
      <c r="AF233" s="40"/>
      <c r="AG233" s="40"/>
      <c r="AH233" s="40"/>
      <c r="AI233" s="40"/>
      <c r="AJ233" s="39"/>
      <c r="AK233" s="40"/>
      <c r="AL233" s="39"/>
      <c r="AM233" s="39"/>
      <c r="AN233" s="39"/>
      <c r="AO233" s="39"/>
      <c r="AP233" s="39"/>
      <c r="AQ233" s="40"/>
      <c r="AR233" s="40"/>
      <c r="AS233" s="40"/>
      <c r="AT233" s="31"/>
      <c r="AU233" s="39"/>
      <c r="AV233" s="39"/>
      <c r="AW233" s="39"/>
      <c r="AX233" s="18"/>
    </row>
    <row r="234" spans="1:50" ht="26.25" customHeight="1" x14ac:dyDescent="0.2">
      <c r="A234" s="14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28" t="s">
        <v>288</v>
      </c>
      <c r="AB234" s="29" t="s">
        <v>312</v>
      </c>
      <c r="AC234" s="17"/>
      <c r="AD234" s="18"/>
      <c r="AE234" s="34"/>
      <c r="AF234" s="34"/>
      <c r="AG234" s="34"/>
      <c r="AH234" s="34"/>
      <c r="AI234" s="34"/>
      <c r="AJ234" s="18"/>
      <c r="AK234" s="34"/>
      <c r="AL234" s="18"/>
      <c r="AM234" s="18"/>
      <c r="AN234" s="18"/>
      <c r="AO234" s="18"/>
      <c r="AP234" s="18"/>
      <c r="AQ234" s="34"/>
      <c r="AR234" s="34"/>
      <c r="AS234" s="34"/>
      <c r="AT234" s="31"/>
      <c r="AU234" s="18"/>
      <c r="AV234" s="18"/>
      <c r="AW234" s="18"/>
      <c r="AX234" s="18"/>
    </row>
    <row r="235" spans="1:50" ht="18.75" customHeight="1" x14ac:dyDescent="0.2">
      <c r="A235" s="14" t="s">
        <v>55</v>
      </c>
      <c r="B235" s="15" t="s">
        <v>56</v>
      </c>
      <c r="C235" s="15"/>
      <c r="D235" s="15"/>
      <c r="E235" s="15"/>
      <c r="F235" s="15"/>
      <c r="G235" s="15" t="s">
        <v>41</v>
      </c>
      <c r="H235" s="15"/>
      <c r="I235" s="15" t="s">
        <v>936</v>
      </c>
      <c r="J235" s="15"/>
      <c r="K235" s="15" t="s">
        <v>932</v>
      </c>
      <c r="L235" s="15"/>
      <c r="M235" s="15" t="s">
        <v>933</v>
      </c>
      <c r="N235" s="15"/>
      <c r="O235" s="15" t="s">
        <v>948</v>
      </c>
      <c r="P235" s="15"/>
      <c r="Q235" s="15" t="s">
        <v>942</v>
      </c>
      <c r="R235" s="15"/>
      <c r="S235" s="15" t="s">
        <v>940</v>
      </c>
      <c r="T235" s="15">
        <v>0</v>
      </c>
      <c r="U235" s="15">
        <v>0</v>
      </c>
      <c r="V235" s="15">
        <v>0</v>
      </c>
      <c r="W235" s="15"/>
      <c r="X235" s="15" t="s">
        <v>937</v>
      </c>
      <c r="Y235" s="15"/>
      <c r="Z235" s="15"/>
      <c r="AA235" s="16" t="s">
        <v>313</v>
      </c>
      <c r="AB235" s="17" t="s">
        <v>233</v>
      </c>
      <c r="AC235" s="17" t="s">
        <v>58</v>
      </c>
      <c r="AD235" s="18">
        <v>400000000</v>
      </c>
      <c r="AE235" s="34">
        <v>0</v>
      </c>
      <c r="AF235" s="34">
        <v>0</v>
      </c>
      <c r="AG235" s="34">
        <v>0</v>
      </c>
      <c r="AH235" s="18">
        <v>400000000</v>
      </c>
      <c r="AI235" s="18">
        <f>AE235-AF235+AG235-AH235</f>
        <v>-400000000</v>
      </c>
      <c r="AJ235" s="34">
        <f>AD235+AI235</f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40">
        <f t="shared" ref="AT235" si="133">AQ235+AS235</f>
        <v>0</v>
      </c>
      <c r="AU235" s="18">
        <f>AJ235-AM235</f>
        <v>0</v>
      </c>
      <c r="AV235" s="34">
        <f>AM235-AP235</f>
        <v>0</v>
      </c>
      <c r="AW235" s="34">
        <f>AP235-AT235</f>
        <v>0</v>
      </c>
      <c r="AX235" s="123">
        <v>0</v>
      </c>
    </row>
    <row r="236" spans="1:50" ht="18.75" customHeight="1" x14ac:dyDescent="0.2">
      <c r="A236" s="14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6"/>
      <c r="AB236" s="17"/>
      <c r="AC236" s="17"/>
      <c r="AD236" s="18"/>
      <c r="AE236" s="34"/>
      <c r="AF236" s="34"/>
      <c r="AG236" s="34"/>
      <c r="AH236" s="18"/>
      <c r="AI236" s="18"/>
      <c r="AJ236" s="18"/>
      <c r="AK236" s="34"/>
      <c r="AL236" s="34"/>
      <c r="AM236" s="34"/>
      <c r="AN236" s="34"/>
      <c r="AO236" s="34"/>
      <c r="AP236" s="34"/>
      <c r="AQ236" s="34"/>
      <c r="AR236" s="34"/>
      <c r="AS236" s="34"/>
      <c r="AT236" s="40"/>
      <c r="AU236" s="18"/>
      <c r="AV236" s="34"/>
      <c r="AW236" s="34"/>
      <c r="AX236" s="123"/>
    </row>
    <row r="237" spans="1:50" ht="27" customHeight="1" x14ac:dyDescent="0.2">
      <c r="A237" s="14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73" t="s">
        <v>288</v>
      </c>
      <c r="AB237" s="74" t="s">
        <v>312</v>
      </c>
      <c r="AC237" s="17"/>
      <c r="AD237" s="18"/>
      <c r="AE237" s="34"/>
      <c r="AF237" s="34"/>
      <c r="AG237" s="34"/>
      <c r="AH237" s="18"/>
      <c r="AI237" s="18"/>
      <c r="AJ237" s="18"/>
      <c r="AK237" s="34"/>
      <c r="AL237" s="34"/>
      <c r="AM237" s="34"/>
      <c r="AN237" s="34"/>
      <c r="AO237" s="34"/>
      <c r="AP237" s="34"/>
      <c r="AQ237" s="34"/>
      <c r="AR237" s="34"/>
      <c r="AS237" s="34"/>
      <c r="AT237" s="40"/>
      <c r="AU237" s="18"/>
      <c r="AV237" s="34"/>
      <c r="AW237" s="34"/>
      <c r="AX237" s="123"/>
    </row>
    <row r="238" spans="1:50" ht="18.75" customHeight="1" x14ac:dyDescent="0.2">
      <c r="A238" s="14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41" t="s">
        <v>1240</v>
      </c>
      <c r="AB238" s="42" t="s">
        <v>233</v>
      </c>
      <c r="AC238" s="17"/>
      <c r="AD238" s="34">
        <v>0</v>
      </c>
      <c r="AE238" s="34">
        <v>0</v>
      </c>
      <c r="AF238" s="34">
        <v>0</v>
      </c>
      <c r="AG238" s="18">
        <v>400000000</v>
      </c>
      <c r="AH238" s="44">
        <v>0</v>
      </c>
      <c r="AI238" s="18">
        <f>AE238-AF238+AG238-AH238</f>
        <v>400000000</v>
      </c>
      <c r="AJ238" s="18">
        <f>AD238+AI238</f>
        <v>400000000</v>
      </c>
      <c r="AK238" s="18">
        <v>0</v>
      </c>
      <c r="AL238" s="18">
        <v>339281000</v>
      </c>
      <c r="AM238" s="18">
        <v>339281000</v>
      </c>
      <c r="AN238" s="18">
        <v>0</v>
      </c>
      <c r="AO238" s="18">
        <f>AP238-JUNIO!AP238</f>
        <v>339281000</v>
      </c>
      <c r="AP238" s="18">
        <v>339281000</v>
      </c>
      <c r="AQ238" s="18">
        <v>0</v>
      </c>
      <c r="AR238" s="18">
        <v>0</v>
      </c>
      <c r="AS238" s="18">
        <v>0</v>
      </c>
      <c r="AT238" s="40">
        <f t="shared" ref="AT238" si="134">AQ238+AS238</f>
        <v>0</v>
      </c>
      <c r="AU238" s="18">
        <f>AJ238-AM238</f>
        <v>60719000</v>
      </c>
      <c r="AV238" s="34">
        <f>AM238-AP238</f>
        <v>0</v>
      </c>
      <c r="AW238" s="18">
        <f>AP238-AT238</f>
        <v>339281000</v>
      </c>
      <c r="AX238" s="123">
        <v>0</v>
      </c>
    </row>
    <row r="239" spans="1:50" ht="18.75" customHeight="1" x14ac:dyDescent="0.2">
      <c r="A239" s="14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70" t="s">
        <v>1016</v>
      </c>
      <c r="AB239" s="165" t="s">
        <v>997</v>
      </c>
      <c r="AC239" s="161"/>
      <c r="AD239" s="18"/>
      <c r="AE239" s="34"/>
      <c r="AF239" s="34"/>
      <c r="AG239" s="34"/>
      <c r="AH239" s="34"/>
      <c r="AI239" s="34"/>
      <c r="AJ239" s="18"/>
      <c r="AK239" s="34"/>
      <c r="AL239" s="34"/>
      <c r="AM239" s="34"/>
      <c r="AN239" s="34"/>
      <c r="AO239" s="34"/>
      <c r="AP239" s="34"/>
      <c r="AQ239" s="34"/>
      <c r="AR239" s="34"/>
      <c r="AS239" s="34"/>
      <c r="AT239" s="40"/>
      <c r="AU239" s="18"/>
      <c r="AV239" s="34"/>
      <c r="AW239" s="34"/>
      <c r="AX239" s="123"/>
    </row>
    <row r="240" spans="1:50" ht="18.75" customHeight="1" x14ac:dyDescent="0.2">
      <c r="A240" s="14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70" t="s">
        <v>1017</v>
      </c>
      <c r="AB240" s="165" t="s">
        <v>999</v>
      </c>
      <c r="AC240" s="161"/>
      <c r="AD240" s="18"/>
      <c r="AE240" s="34"/>
      <c r="AF240" s="34"/>
      <c r="AG240" s="34"/>
      <c r="AH240" s="34"/>
      <c r="AI240" s="34"/>
      <c r="AJ240" s="18"/>
      <c r="AK240" s="34"/>
      <c r="AL240" s="34"/>
      <c r="AM240" s="34"/>
      <c r="AN240" s="34"/>
      <c r="AO240" s="34"/>
      <c r="AP240" s="34"/>
      <c r="AQ240" s="34"/>
      <c r="AR240" s="34"/>
      <c r="AS240" s="34"/>
      <c r="AT240" s="40"/>
      <c r="AU240" s="18"/>
      <c r="AV240" s="34"/>
      <c r="AW240" s="34"/>
      <c r="AX240" s="123"/>
    </row>
    <row r="241" spans="1:50" ht="18.75" customHeight="1" x14ac:dyDescent="0.2">
      <c r="A241" s="14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70" t="s">
        <v>1018</v>
      </c>
      <c r="AB241" s="165" t="s">
        <v>1001</v>
      </c>
      <c r="AC241" s="161"/>
      <c r="AD241" s="18"/>
      <c r="AE241" s="34"/>
      <c r="AF241" s="34"/>
      <c r="AG241" s="34"/>
      <c r="AH241" s="34"/>
      <c r="AI241" s="34"/>
      <c r="AJ241" s="18"/>
      <c r="AK241" s="34"/>
      <c r="AL241" s="34"/>
      <c r="AM241" s="34"/>
      <c r="AN241" s="34"/>
      <c r="AO241" s="34"/>
      <c r="AP241" s="34"/>
      <c r="AQ241" s="34"/>
      <c r="AR241" s="34"/>
      <c r="AS241" s="34"/>
      <c r="AT241" s="40"/>
      <c r="AU241" s="18"/>
      <c r="AV241" s="34"/>
      <c r="AW241" s="34"/>
      <c r="AX241" s="123"/>
    </row>
    <row r="242" spans="1:50" ht="18.75" customHeight="1" x14ac:dyDescent="0.2">
      <c r="A242" s="14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66" t="s">
        <v>1019</v>
      </c>
      <c r="AB242" s="167" t="s">
        <v>1005</v>
      </c>
      <c r="AC242" s="161"/>
      <c r="AD242" s="34">
        <v>0</v>
      </c>
      <c r="AE242" s="18">
        <v>390355846.72000003</v>
      </c>
      <c r="AF242" s="34">
        <v>0</v>
      </c>
      <c r="AG242" s="34">
        <v>0</v>
      </c>
      <c r="AH242" s="34">
        <v>0</v>
      </c>
      <c r="AI242" s="18">
        <f>AE242-AF242+AG242-AH242</f>
        <v>390355846.72000003</v>
      </c>
      <c r="AJ242" s="18">
        <f>AD242+AI242</f>
        <v>390355846.72000003</v>
      </c>
      <c r="AK242" s="34">
        <v>0</v>
      </c>
      <c r="AL242" s="34">
        <v>0</v>
      </c>
      <c r="AM242" s="34">
        <v>0</v>
      </c>
      <c r="AN242" s="34">
        <v>0</v>
      </c>
      <c r="AO242" s="34">
        <v>0</v>
      </c>
      <c r="AP242" s="34">
        <v>0</v>
      </c>
      <c r="AQ242" s="34">
        <v>0</v>
      </c>
      <c r="AR242" s="34">
        <v>0</v>
      </c>
      <c r="AS242" s="34">
        <v>0</v>
      </c>
      <c r="AT242" s="40">
        <f t="shared" ref="AT242" si="135">AQ242+AS242</f>
        <v>0</v>
      </c>
      <c r="AU242" s="18">
        <f>AJ242-AM242</f>
        <v>390355846.72000003</v>
      </c>
      <c r="AV242" s="34">
        <f>AM242-AP242</f>
        <v>0</v>
      </c>
      <c r="AW242" s="34">
        <f>AP242-AT242</f>
        <v>0</v>
      </c>
      <c r="AX242" s="123">
        <f>AP242/AJ242</f>
        <v>0</v>
      </c>
    </row>
    <row r="243" spans="1:50" s="25" customFormat="1" ht="18.75" customHeight="1" x14ac:dyDescent="0.2">
      <c r="A243" s="64"/>
      <c r="B243" s="65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5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5"/>
      <c r="Z243" s="65"/>
      <c r="AA243" s="66"/>
      <c r="AB243" s="47" t="s">
        <v>314</v>
      </c>
      <c r="AC243" s="22" t="s">
        <v>315</v>
      </c>
      <c r="AD243" s="22">
        <f t="shared" ref="AD243:AW243" si="136">SUM(AD198:AD242)</f>
        <v>4500000000</v>
      </c>
      <c r="AE243" s="22">
        <f t="shared" si="136"/>
        <v>3800355846.7200003</v>
      </c>
      <c r="AF243" s="23">
        <f t="shared" si="136"/>
        <v>0</v>
      </c>
      <c r="AG243" s="22">
        <f>SUM(AG198:AG242)</f>
        <v>9620000000</v>
      </c>
      <c r="AH243" s="22">
        <f t="shared" si="136"/>
        <v>4070000000</v>
      </c>
      <c r="AI243" s="22">
        <f t="shared" si="136"/>
        <v>9350355846.7199993</v>
      </c>
      <c r="AJ243" s="22">
        <f t="shared" si="136"/>
        <v>13850355846.719999</v>
      </c>
      <c r="AK243" s="23">
        <f t="shared" si="136"/>
        <v>0</v>
      </c>
      <c r="AL243" s="22">
        <f t="shared" si="136"/>
        <v>831324963</v>
      </c>
      <c r="AM243" s="22">
        <f t="shared" si="136"/>
        <v>8278642084.6100006</v>
      </c>
      <c r="AN243" s="22">
        <f t="shared" si="136"/>
        <v>48016666.670000002</v>
      </c>
      <c r="AO243" s="22">
        <f t="shared" si="136"/>
        <v>366982554.07999998</v>
      </c>
      <c r="AP243" s="22">
        <f t="shared" si="136"/>
        <v>3154545629.6800003</v>
      </c>
      <c r="AQ243" s="22">
        <f t="shared" si="136"/>
        <v>55250000</v>
      </c>
      <c r="AR243" s="22">
        <f t="shared" si="136"/>
        <v>254921248</v>
      </c>
      <c r="AS243" s="22">
        <f t="shared" si="136"/>
        <v>882732975.64999998</v>
      </c>
      <c r="AT243" s="22">
        <f t="shared" si="136"/>
        <v>937982975.64999998</v>
      </c>
      <c r="AU243" s="22">
        <f t="shared" si="136"/>
        <v>5571713762.1100006</v>
      </c>
      <c r="AV243" s="22">
        <f t="shared" si="136"/>
        <v>5124096454.9300003</v>
      </c>
      <c r="AW243" s="22">
        <f t="shared" si="136"/>
        <v>2216562654.0300002</v>
      </c>
      <c r="AX243" s="24">
        <f>AP243/AJ243</f>
        <v>0.22775917561909073</v>
      </c>
    </row>
    <row r="244" spans="1:50" ht="18.75" customHeight="1" x14ac:dyDescent="0.2">
      <c r="A244" s="14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6"/>
      <c r="AB244" s="17"/>
      <c r="AC244" s="17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</row>
    <row r="245" spans="1:50" s="25" customFormat="1" ht="18.75" customHeight="1" x14ac:dyDescent="0.2">
      <c r="A245" s="64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5"/>
      <c r="Z245" s="65"/>
      <c r="AA245" s="66"/>
      <c r="AB245" s="21" t="s">
        <v>316</v>
      </c>
      <c r="AC245" s="67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3"/>
      <c r="AV245" s="63"/>
      <c r="AW245" s="63"/>
      <c r="AX245" s="63"/>
    </row>
    <row r="246" spans="1:50" ht="18.75" customHeight="1" x14ac:dyDescent="0.2">
      <c r="A246" s="14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6"/>
      <c r="AB246" s="29" t="s">
        <v>317</v>
      </c>
      <c r="AC246" s="17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30"/>
      <c r="AU246" s="18"/>
      <c r="AV246" s="18"/>
      <c r="AW246" s="18"/>
      <c r="AX246" s="18"/>
    </row>
    <row r="247" spans="1:50" ht="18.75" customHeight="1" x14ac:dyDescent="0.2">
      <c r="A247" s="14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6"/>
      <c r="AB247" s="29" t="s">
        <v>318</v>
      </c>
      <c r="AC247" s="17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30"/>
      <c r="AU247" s="18"/>
      <c r="AV247" s="18"/>
      <c r="AW247" s="18"/>
      <c r="AX247" s="18"/>
    </row>
    <row r="248" spans="1:50" ht="25.5" x14ac:dyDescent="0.2">
      <c r="A248" s="35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7"/>
      <c r="AB248" s="29" t="s">
        <v>319</v>
      </c>
      <c r="AC248" s="38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0"/>
      <c r="AU248" s="39"/>
      <c r="AV248" s="39"/>
      <c r="AW248" s="39"/>
      <c r="AX248" s="18"/>
    </row>
    <row r="249" spans="1:50" ht="18.75" customHeight="1" x14ac:dyDescent="0.2">
      <c r="A249" s="35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7"/>
      <c r="AB249" s="29" t="s">
        <v>320</v>
      </c>
      <c r="AC249" s="38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0"/>
      <c r="AU249" s="39"/>
      <c r="AV249" s="39"/>
      <c r="AW249" s="39"/>
      <c r="AX249" s="18"/>
    </row>
    <row r="250" spans="1:50" ht="18.75" customHeight="1" x14ac:dyDescent="0.2">
      <c r="A250" s="14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6"/>
      <c r="AB250" s="29" t="s">
        <v>46</v>
      </c>
      <c r="AC250" s="17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30"/>
      <c r="AU250" s="18"/>
      <c r="AV250" s="18"/>
      <c r="AW250" s="18"/>
      <c r="AX250" s="18"/>
    </row>
    <row r="251" spans="1:50" ht="18.75" customHeight="1" x14ac:dyDescent="0.2">
      <c r="A251" s="14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6"/>
      <c r="AB251" s="29" t="s">
        <v>48</v>
      </c>
      <c r="AC251" s="17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30"/>
      <c r="AU251" s="18"/>
      <c r="AV251" s="18"/>
      <c r="AW251" s="18"/>
      <c r="AX251" s="18"/>
    </row>
    <row r="252" spans="1:50" ht="18.75" customHeight="1" x14ac:dyDescent="0.2">
      <c r="A252" s="14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6"/>
      <c r="AB252" s="29" t="s">
        <v>52</v>
      </c>
      <c r="AC252" s="17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30"/>
      <c r="AU252" s="18"/>
      <c r="AV252" s="18"/>
      <c r="AW252" s="18"/>
      <c r="AX252" s="18"/>
    </row>
    <row r="253" spans="1:50" ht="18.75" customHeight="1" x14ac:dyDescent="0.2">
      <c r="AA253" s="28" t="s">
        <v>288</v>
      </c>
      <c r="AB253" s="29" t="s">
        <v>54</v>
      </c>
      <c r="AC253" s="17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30"/>
      <c r="AU253" s="18"/>
      <c r="AV253" s="18"/>
      <c r="AW253" s="18"/>
      <c r="AX253" s="18"/>
    </row>
    <row r="254" spans="1:50" ht="18.75" customHeight="1" x14ac:dyDescent="0.2">
      <c r="A254" s="4" t="s">
        <v>55</v>
      </c>
      <c r="B254" s="4" t="s">
        <v>56</v>
      </c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1" t="s">
        <v>321</v>
      </c>
      <c r="AB254" s="42" t="s">
        <v>322</v>
      </c>
      <c r="AC254" s="38" t="s">
        <v>58</v>
      </c>
      <c r="AD254" s="39">
        <v>1139356981</v>
      </c>
      <c r="AE254" s="40">
        <v>0</v>
      </c>
      <c r="AF254" s="40">
        <v>0</v>
      </c>
      <c r="AG254" s="40">
        <v>0</v>
      </c>
      <c r="AH254" s="40">
        <v>0</v>
      </c>
      <c r="AI254" s="34">
        <f>AE254-AF254+AG254-AH350</f>
        <v>0</v>
      </c>
      <c r="AJ254" s="18">
        <f>AD254+AI254</f>
        <v>1139356981</v>
      </c>
      <c r="AK254" s="40">
        <v>0</v>
      </c>
      <c r="AL254" s="39">
        <v>1362789</v>
      </c>
      <c r="AM254" s="39">
        <v>2950217</v>
      </c>
      <c r="AN254" s="40">
        <v>0</v>
      </c>
      <c r="AO254" s="40">
        <v>0</v>
      </c>
      <c r="AP254" s="39">
        <v>678902</v>
      </c>
      <c r="AQ254" s="40">
        <v>0</v>
      </c>
      <c r="AR254" s="40">
        <v>0</v>
      </c>
      <c r="AS254" s="39">
        <v>678902</v>
      </c>
      <c r="AT254" s="39">
        <f t="shared" ref="AT254:AT255" si="137">AQ254+AS254</f>
        <v>678902</v>
      </c>
      <c r="AU254" s="18">
        <f>AJ254-AM254</f>
        <v>1136406764</v>
      </c>
      <c r="AV254" s="110">
        <f>AM254-AP254</f>
        <v>2271315</v>
      </c>
      <c r="AW254" s="34">
        <f>AP254-AT254</f>
        <v>0</v>
      </c>
      <c r="AX254" s="123">
        <f>AP254/AJ254</f>
        <v>5.9586416840500314E-4</v>
      </c>
    </row>
    <row r="255" spans="1:50" ht="18.75" customHeight="1" x14ac:dyDescent="0.2">
      <c r="A255" s="4" t="s">
        <v>55</v>
      </c>
      <c r="B255" s="4" t="s">
        <v>56</v>
      </c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211" t="s">
        <v>323</v>
      </c>
      <c r="AB255" s="212" t="s">
        <v>324</v>
      </c>
      <c r="AC255" s="244" t="s">
        <v>61</v>
      </c>
      <c r="AD255" s="244">
        <v>9000660718</v>
      </c>
      <c r="AE255" s="233">
        <v>0</v>
      </c>
      <c r="AF255" s="44">
        <v>0</v>
      </c>
      <c r="AG255" s="18">
        <v>0</v>
      </c>
      <c r="AH255" s="34">
        <v>0</v>
      </c>
      <c r="AI255" s="18">
        <f t="shared" ref="AI255" si="138">AE255-AF255+AG255-AH255</f>
        <v>0</v>
      </c>
      <c r="AJ255" s="18">
        <f t="shared" ref="AJ255" si="139">AD255+AI255</f>
        <v>9000660718</v>
      </c>
      <c r="AK255" s="44">
        <v>0</v>
      </c>
      <c r="AL255" s="39">
        <v>676543716</v>
      </c>
      <c r="AM255" s="43">
        <v>4758549919</v>
      </c>
      <c r="AN255" s="44">
        <v>0</v>
      </c>
      <c r="AO255" s="43">
        <v>676543716</v>
      </c>
      <c r="AP255" s="43">
        <v>4757531565</v>
      </c>
      <c r="AQ255" s="44">
        <v>0</v>
      </c>
      <c r="AR255" s="43">
        <v>676543716</v>
      </c>
      <c r="AS255" s="43">
        <v>4757531565</v>
      </c>
      <c r="AT255" s="39">
        <f t="shared" si="137"/>
        <v>4757531565</v>
      </c>
      <c r="AU255" s="18">
        <f>AJ255-AM255</f>
        <v>4242110799</v>
      </c>
      <c r="AV255" s="110">
        <f>AM255-AP255</f>
        <v>1018354</v>
      </c>
      <c r="AW255" s="34">
        <f>AP255-AT255</f>
        <v>0</v>
      </c>
      <c r="AX255" s="123">
        <f>AP255/AJ255</f>
        <v>0.52857581393837405</v>
      </c>
    </row>
    <row r="256" spans="1:50" x14ac:dyDescent="0.2">
      <c r="AA256" s="16"/>
      <c r="AB256" s="17"/>
      <c r="AC256" s="17"/>
      <c r="AD256" s="18"/>
      <c r="AE256" s="18"/>
      <c r="AF256" s="18"/>
      <c r="AG256" s="18"/>
      <c r="AH256" s="18"/>
      <c r="AI256" s="34"/>
      <c r="AW256" s="137"/>
    </row>
    <row r="257" spans="1:50" ht="18.75" customHeight="1" x14ac:dyDescent="0.2">
      <c r="AA257" s="28" t="s">
        <v>288</v>
      </c>
      <c r="AB257" s="29" t="s">
        <v>71</v>
      </c>
      <c r="AC257" s="17"/>
      <c r="AD257" s="18"/>
      <c r="AE257" s="34"/>
      <c r="AF257" s="34"/>
      <c r="AG257" s="34"/>
      <c r="AH257" s="34"/>
      <c r="AI257" s="34"/>
      <c r="AJ257" s="18"/>
      <c r="AK257" s="34"/>
      <c r="AL257" s="18"/>
      <c r="AM257" s="18"/>
      <c r="AN257" s="34"/>
      <c r="AO257" s="18"/>
      <c r="AP257" s="18"/>
      <c r="AQ257" s="34"/>
      <c r="AR257" s="18"/>
      <c r="AS257" s="18"/>
      <c r="AT257" s="30"/>
      <c r="AU257" s="18"/>
      <c r="AV257" s="18"/>
      <c r="AW257" s="34"/>
      <c r="AX257" s="18"/>
    </row>
    <row r="258" spans="1:50" ht="18.75" customHeight="1" x14ac:dyDescent="0.2">
      <c r="A258" s="4" t="s">
        <v>325</v>
      </c>
      <c r="B258" s="4" t="s">
        <v>326</v>
      </c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1" t="s">
        <v>327</v>
      </c>
      <c r="AB258" s="42" t="s">
        <v>328</v>
      </c>
      <c r="AC258" s="43" t="s">
        <v>61</v>
      </c>
      <c r="AD258" s="43">
        <v>391454539</v>
      </c>
      <c r="AE258" s="44">
        <v>0</v>
      </c>
      <c r="AF258" s="44">
        <v>0</v>
      </c>
      <c r="AG258" s="44">
        <v>0</v>
      </c>
      <c r="AH258" s="44">
        <v>0</v>
      </c>
      <c r="AI258" s="34">
        <f>AE258-AF258+AG258-AH354</f>
        <v>0</v>
      </c>
      <c r="AJ258" s="18">
        <f>AD258+AI258</f>
        <v>391454539</v>
      </c>
      <c r="AK258" s="44">
        <v>0</v>
      </c>
      <c r="AL258" s="43">
        <v>312488</v>
      </c>
      <c r="AM258" s="43">
        <v>335575189</v>
      </c>
      <c r="AN258" s="44">
        <v>0</v>
      </c>
      <c r="AO258" s="43">
        <v>312488</v>
      </c>
      <c r="AP258" s="43">
        <v>335575189</v>
      </c>
      <c r="AQ258" s="44">
        <v>0</v>
      </c>
      <c r="AR258" s="43">
        <v>312488</v>
      </c>
      <c r="AS258" s="43">
        <v>14217247</v>
      </c>
      <c r="AT258" s="39">
        <f t="shared" ref="AT258" si="140">AQ258+AS258</f>
        <v>14217247</v>
      </c>
      <c r="AU258" s="18">
        <f>AJ258-AM258</f>
        <v>55879350</v>
      </c>
      <c r="AV258" s="34">
        <f>AM258-AP258</f>
        <v>0</v>
      </c>
      <c r="AW258" s="18">
        <f>AP258-AT258</f>
        <v>321357942</v>
      </c>
      <c r="AX258" s="123">
        <f>AP258/AJ258</f>
        <v>0.85725200647117805</v>
      </c>
    </row>
    <row r="259" spans="1:50" ht="18.75" customHeight="1" x14ac:dyDescent="0.2">
      <c r="AA259" s="28" t="s">
        <v>288</v>
      </c>
      <c r="AB259" s="29" t="s">
        <v>76</v>
      </c>
      <c r="AC259" s="17"/>
      <c r="AD259" s="18"/>
      <c r="AE259" s="18"/>
      <c r="AF259" s="18"/>
      <c r="AG259" s="18"/>
      <c r="AH259" s="18"/>
      <c r="AI259" s="18"/>
      <c r="AJ259" s="18"/>
      <c r="AK259" s="34"/>
      <c r="AL259" s="18"/>
      <c r="AM259" s="18"/>
      <c r="AN259" s="34"/>
      <c r="AO259" s="18"/>
      <c r="AP259" s="18"/>
      <c r="AQ259" s="34"/>
      <c r="AR259" s="18"/>
      <c r="AS259" s="18"/>
      <c r="AT259" s="30"/>
      <c r="AU259" s="18"/>
      <c r="AV259" s="18"/>
      <c r="AW259" s="34"/>
      <c r="AX259" s="18"/>
    </row>
    <row r="260" spans="1:50" ht="18.75" customHeight="1" x14ac:dyDescent="0.2">
      <c r="A260" s="4" t="s">
        <v>325</v>
      </c>
      <c r="B260" s="4" t="s">
        <v>326</v>
      </c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1" t="s">
        <v>329</v>
      </c>
      <c r="AB260" s="42" t="s">
        <v>328</v>
      </c>
      <c r="AC260" s="43" t="s">
        <v>61</v>
      </c>
      <c r="AD260" s="43">
        <v>277293782</v>
      </c>
      <c r="AE260" s="44">
        <v>0</v>
      </c>
      <c r="AF260" s="44">
        <v>0</v>
      </c>
      <c r="AG260" s="44">
        <v>0</v>
      </c>
      <c r="AH260" s="44">
        <v>0</v>
      </c>
      <c r="AI260" s="44">
        <v>0</v>
      </c>
      <c r="AJ260" s="43">
        <v>277293782</v>
      </c>
      <c r="AK260" s="44">
        <v>0</v>
      </c>
      <c r="AL260" s="43">
        <v>40623996</v>
      </c>
      <c r="AM260" s="43">
        <v>125953624</v>
      </c>
      <c r="AN260" s="44">
        <v>0</v>
      </c>
      <c r="AO260" s="43">
        <v>40623996</v>
      </c>
      <c r="AP260" s="43">
        <v>125953624</v>
      </c>
      <c r="AQ260" s="44">
        <v>0</v>
      </c>
      <c r="AR260" s="43">
        <v>40623996</v>
      </c>
      <c r="AS260" s="43">
        <v>125953624</v>
      </c>
      <c r="AT260" s="39">
        <f t="shared" ref="AT260" si="141">AQ260+AS260</f>
        <v>125953624</v>
      </c>
      <c r="AU260" s="18">
        <f>AJ260-AM260</f>
        <v>151340158</v>
      </c>
      <c r="AV260" s="34">
        <f>AM260-AP260</f>
        <v>0</v>
      </c>
      <c r="AW260" s="34">
        <f>AP260-AT260</f>
        <v>0</v>
      </c>
      <c r="AX260" s="123">
        <f>AP260/AJ260</f>
        <v>0.45422448023014089</v>
      </c>
    </row>
    <row r="261" spans="1:50" ht="18.75" customHeight="1" x14ac:dyDescent="0.2">
      <c r="AA261" s="16"/>
      <c r="AB261" s="29" t="s">
        <v>81</v>
      </c>
      <c r="AC261" s="17"/>
      <c r="AD261" s="18"/>
      <c r="AE261" s="34"/>
      <c r="AF261" s="34"/>
      <c r="AG261" s="34"/>
      <c r="AH261" s="34"/>
      <c r="AI261" s="34"/>
      <c r="AJ261" s="18"/>
      <c r="AK261" s="34"/>
      <c r="AL261" s="18"/>
      <c r="AM261" s="18"/>
      <c r="AN261" s="34"/>
      <c r="AO261" s="18"/>
      <c r="AP261" s="18"/>
      <c r="AQ261" s="34"/>
      <c r="AR261" s="18"/>
      <c r="AS261" s="18"/>
      <c r="AT261" s="30"/>
      <c r="AU261" s="18"/>
      <c r="AV261" s="18"/>
      <c r="AW261" s="18"/>
      <c r="AX261" s="18"/>
    </row>
    <row r="262" spans="1:50" ht="18.75" customHeight="1" x14ac:dyDescent="0.2">
      <c r="AA262" s="28" t="s">
        <v>288</v>
      </c>
      <c r="AB262" s="29" t="s">
        <v>83</v>
      </c>
      <c r="AC262" s="17"/>
      <c r="AD262" s="18"/>
      <c r="AE262" s="34"/>
      <c r="AF262" s="34"/>
      <c r="AG262" s="34"/>
      <c r="AH262" s="34"/>
      <c r="AI262" s="34"/>
      <c r="AJ262" s="18"/>
      <c r="AK262" s="34"/>
      <c r="AL262" s="18"/>
      <c r="AM262" s="18"/>
      <c r="AN262" s="34"/>
      <c r="AO262" s="18"/>
      <c r="AP262" s="18"/>
      <c r="AQ262" s="34"/>
      <c r="AR262" s="18"/>
      <c r="AS262" s="18"/>
      <c r="AT262" s="30"/>
      <c r="AU262" s="18"/>
      <c r="AV262" s="18"/>
      <c r="AW262" s="18"/>
      <c r="AX262" s="18"/>
    </row>
    <row r="263" spans="1:50" ht="18.75" customHeight="1" x14ac:dyDescent="0.2">
      <c r="A263" s="4" t="s">
        <v>325</v>
      </c>
      <c r="B263" s="4" t="s">
        <v>326</v>
      </c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1" t="s">
        <v>330</v>
      </c>
      <c r="AB263" s="42" t="s">
        <v>328</v>
      </c>
      <c r="AC263" s="43" t="s">
        <v>61</v>
      </c>
      <c r="AD263" s="43">
        <v>863231353</v>
      </c>
      <c r="AE263" s="44">
        <v>0</v>
      </c>
      <c r="AF263" s="44">
        <v>0</v>
      </c>
      <c r="AG263" s="44">
        <v>0</v>
      </c>
      <c r="AH263" s="44">
        <v>0</v>
      </c>
      <c r="AI263" s="44">
        <v>0</v>
      </c>
      <c r="AJ263" s="43">
        <v>863231353</v>
      </c>
      <c r="AK263" s="44">
        <v>0</v>
      </c>
      <c r="AL263" s="43">
        <v>11946711</v>
      </c>
      <c r="AM263" s="43">
        <v>20834654</v>
      </c>
      <c r="AN263" s="44">
        <v>0</v>
      </c>
      <c r="AO263" s="43">
        <v>11946711</v>
      </c>
      <c r="AP263" s="43">
        <v>20834654</v>
      </c>
      <c r="AQ263" s="44">
        <v>0</v>
      </c>
      <c r="AR263" s="43">
        <v>11946711</v>
      </c>
      <c r="AS263" s="43">
        <v>20834654</v>
      </c>
      <c r="AT263" s="39">
        <f t="shared" ref="AT263" si="142">AQ263+AS263</f>
        <v>20834654</v>
      </c>
      <c r="AU263" s="18">
        <f>AJ263-AM263</f>
        <v>842396699</v>
      </c>
      <c r="AV263" s="34">
        <f>AM263-AP263</f>
        <v>0</v>
      </c>
      <c r="AW263" s="34">
        <f>AP263-AT263</f>
        <v>0</v>
      </c>
      <c r="AX263" s="123">
        <f>AP263/AJ263</f>
        <v>2.4135654859607492E-2</v>
      </c>
    </row>
    <row r="264" spans="1:50" ht="18.75" customHeight="1" x14ac:dyDescent="0.2">
      <c r="AA264" s="28" t="s">
        <v>288</v>
      </c>
      <c r="AB264" s="29" t="s">
        <v>88</v>
      </c>
      <c r="AC264" s="17"/>
      <c r="AD264" s="18"/>
      <c r="AE264" s="34"/>
      <c r="AF264" s="34"/>
      <c r="AG264" s="34"/>
      <c r="AH264" s="34"/>
      <c r="AI264" s="34"/>
      <c r="AJ264" s="18"/>
      <c r="AK264" s="18"/>
      <c r="AL264" s="18"/>
      <c r="AM264" s="18"/>
      <c r="AN264" s="18"/>
      <c r="AO264" s="18"/>
      <c r="AP264" s="18"/>
      <c r="AQ264" s="34"/>
      <c r="AR264" s="18"/>
      <c r="AS264" s="18"/>
      <c r="AT264" s="30"/>
      <c r="AU264" s="18"/>
      <c r="AV264" s="18"/>
      <c r="AW264" s="34"/>
      <c r="AX264" s="18"/>
    </row>
    <row r="265" spans="1:50" ht="18.75" customHeight="1" x14ac:dyDescent="0.2">
      <c r="A265" s="4" t="s">
        <v>325</v>
      </c>
      <c r="B265" s="4" t="s">
        <v>326</v>
      </c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1" t="s">
        <v>331</v>
      </c>
      <c r="AB265" s="42" t="s">
        <v>328</v>
      </c>
      <c r="AC265" s="43" t="s">
        <v>61</v>
      </c>
      <c r="AD265" s="43">
        <v>240951939</v>
      </c>
      <c r="AE265" s="44">
        <v>0</v>
      </c>
      <c r="AF265" s="44">
        <v>0</v>
      </c>
      <c r="AG265" s="44">
        <v>0</v>
      </c>
      <c r="AH265" s="44">
        <v>0</v>
      </c>
      <c r="AI265" s="44">
        <v>0</v>
      </c>
      <c r="AJ265" s="43">
        <v>240951939</v>
      </c>
      <c r="AK265" s="44">
        <v>0</v>
      </c>
      <c r="AL265" s="43">
        <v>15750749</v>
      </c>
      <c r="AM265" s="43">
        <v>53635356</v>
      </c>
      <c r="AN265" s="43">
        <v>0</v>
      </c>
      <c r="AO265" s="43">
        <v>15750749</v>
      </c>
      <c r="AP265" s="43">
        <v>53635356</v>
      </c>
      <c r="AQ265" s="44">
        <v>0</v>
      </c>
      <c r="AR265" s="43">
        <v>15750749</v>
      </c>
      <c r="AS265" s="43">
        <v>53635356</v>
      </c>
      <c r="AT265" s="39">
        <f t="shared" ref="AT265" si="143">AQ265+AS265</f>
        <v>53635356</v>
      </c>
      <c r="AU265" s="18">
        <f>AJ265-AM265</f>
        <v>187316583</v>
      </c>
      <c r="AV265" s="34">
        <f>AM265-AP265</f>
        <v>0</v>
      </c>
      <c r="AW265" s="34">
        <f>AP265-AT265</f>
        <v>0</v>
      </c>
      <c r="AX265" s="123">
        <f>AP265/AJ265</f>
        <v>0.22259773555920628</v>
      </c>
    </row>
    <row r="266" spans="1:50" ht="18.75" customHeight="1" x14ac:dyDescent="0.2">
      <c r="AA266" s="16"/>
      <c r="AB266" s="29" t="s">
        <v>103</v>
      </c>
      <c r="AC266" s="17"/>
      <c r="AD266" s="18"/>
      <c r="AE266" s="34"/>
      <c r="AF266" s="34"/>
      <c r="AG266" s="34"/>
      <c r="AH266" s="34"/>
      <c r="AI266" s="34"/>
      <c r="AJ266" s="18"/>
      <c r="AK266" s="34"/>
      <c r="AL266" s="18"/>
      <c r="AM266" s="18"/>
      <c r="AN266" s="18"/>
      <c r="AO266" s="18"/>
      <c r="AP266" s="18"/>
      <c r="AQ266" s="18"/>
      <c r="AR266" s="18"/>
      <c r="AS266" s="18"/>
      <c r="AT266" s="30"/>
      <c r="AU266" s="18"/>
      <c r="AV266" s="18"/>
      <c r="AW266" s="34"/>
      <c r="AX266" s="18"/>
    </row>
    <row r="267" spans="1:50" ht="18.75" customHeight="1" x14ac:dyDescent="0.2">
      <c r="AA267" s="28" t="s">
        <v>288</v>
      </c>
      <c r="AB267" s="29" t="s">
        <v>105</v>
      </c>
      <c r="AC267" s="17"/>
      <c r="AD267" s="18"/>
      <c r="AE267" s="34"/>
      <c r="AF267" s="34"/>
      <c r="AG267" s="34"/>
      <c r="AH267" s="34"/>
      <c r="AI267" s="34"/>
      <c r="AJ267" s="18"/>
      <c r="AK267" s="34"/>
      <c r="AL267" s="18"/>
      <c r="AM267" s="18"/>
      <c r="AN267" s="18"/>
      <c r="AO267" s="18"/>
      <c r="AP267" s="18"/>
      <c r="AQ267" s="18"/>
      <c r="AR267" s="18"/>
      <c r="AS267" s="18"/>
      <c r="AT267" s="30"/>
      <c r="AU267" s="18"/>
      <c r="AV267" s="18"/>
      <c r="AW267" s="34"/>
      <c r="AX267" s="18"/>
    </row>
    <row r="268" spans="1:50" ht="18.75" customHeight="1" x14ac:dyDescent="0.2">
      <c r="A268" s="4" t="s">
        <v>325</v>
      </c>
      <c r="B268" s="4" t="s">
        <v>326</v>
      </c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1" t="s">
        <v>332</v>
      </c>
      <c r="AB268" s="42" t="s">
        <v>328</v>
      </c>
      <c r="AC268" s="43" t="s">
        <v>61</v>
      </c>
      <c r="AD268" s="43">
        <v>1112875275</v>
      </c>
      <c r="AE268" s="44">
        <v>0</v>
      </c>
      <c r="AF268" s="44">
        <v>0</v>
      </c>
      <c r="AG268" s="44">
        <v>0</v>
      </c>
      <c r="AH268" s="44">
        <v>0</v>
      </c>
      <c r="AI268" s="44">
        <v>0</v>
      </c>
      <c r="AJ268" s="43">
        <v>1112875275</v>
      </c>
      <c r="AK268" s="44">
        <v>0</v>
      </c>
      <c r="AL268" s="43">
        <v>87622800</v>
      </c>
      <c r="AM268" s="43">
        <v>600308300</v>
      </c>
      <c r="AN268" s="44">
        <v>0</v>
      </c>
      <c r="AO268" s="43">
        <v>88021000</v>
      </c>
      <c r="AP268" s="43">
        <v>598639900</v>
      </c>
      <c r="AQ268" s="133">
        <v>0</v>
      </c>
      <c r="AR268" s="110">
        <v>88021000</v>
      </c>
      <c r="AS268" s="110">
        <v>598639900</v>
      </c>
      <c r="AT268" s="39">
        <f t="shared" ref="AT268" si="144">AQ268+AS268</f>
        <v>598639900</v>
      </c>
      <c r="AU268" s="18">
        <f>AJ268-AM268</f>
        <v>512566975</v>
      </c>
      <c r="AV268" s="110">
        <f>AM268-AP268</f>
        <v>1668400</v>
      </c>
      <c r="AW268" s="34">
        <f>AP268-AT268</f>
        <v>0</v>
      </c>
      <c r="AX268" s="123">
        <f>AP268/AJ268</f>
        <v>0.53792182596562765</v>
      </c>
    </row>
    <row r="269" spans="1:50" ht="18.75" customHeight="1" x14ac:dyDescent="0.2">
      <c r="AA269" s="28" t="s">
        <v>288</v>
      </c>
      <c r="AB269" s="29" t="s">
        <v>333</v>
      </c>
      <c r="AC269" s="17"/>
      <c r="AD269" s="18"/>
      <c r="AE269" s="34"/>
      <c r="AF269" s="34"/>
      <c r="AG269" s="34"/>
      <c r="AH269" s="34"/>
      <c r="AI269" s="34"/>
      <c r="AJ269" s="18"/>
      <c r="AK269" s="34"/>
      <c r="AL269" s="18"/>
      <c r="AM269" s="18"/>
      <c r="AN269" s="34"/>
      <c r="AO269" s="18"/>
      <c r="AP269" s="18"/>
      <c r="AQ269" s="133"/>
      <c r="AR269" s="110"/>
      <c r="AS269" s="110"/>
      <c r="AT269" s="40"/>
      <c r="AU269" s="18"/>
      <c r="AV269" s="110"/>
      <c r="AW269" s="34"/>
      <c r="AX269" s="18"/>
    </row>
    <row r="270" spans="1:50" ht="18.75" customHeight="1" x14ac:dyDescent="0.2">
      <c r="A270" s="4" t="s">
        <v>325</v>
      </c>
      <c r="B270" s="4" t="s">
        <v>326</v>
      </c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1" t="s">
        <v>334</v>
      </c>
      <c r="AB270" s="42" t="s">
        <v>328</v>
      </c>
      <c r="AC270" s="43" t="s">
        <v>61</v>
      </c>
      <c r="AD270" s="43">
        <v>785176343</v>
      </c>
      <c r="AE270" s="44">
        <v>0</v>
      </c>
      <c r="AF270" s="44">
        <v>0</v>
      </c>
      <c r="AG270" s="44">
        <v>0</v>
      </c>
      <c r="AH270" s="44">
        <v>0</v>
      </c>
      <c r="AI270" s="44">
        <v>0</v>
      </c>
      <c r="AJ270" s="43">
        <v>785176343</v>
      </c>
      <c r="AK270" s="44">
        <v>0</v>
      </c>
      <c r="AL270" s="43">
        <v>62287600</v>
      </c>
      <c r="AM270" s="43">
        <v>426879400</v>
      </c>
      <c r="AN270" s="44">
        <v>0</v>
      </c>
      <c r="AO270" s="43">
        <v>62598700</v>
      </c>
      <c r="AP270" s="43">
        <v>425575900</v>
      </c>
      <c r="AQ270" s="133">
        <v>0</v>
      </c>
      <c r="AR270" s="110">
        <v>62598700</v>
      </c>
      <c r="AS270" s="110">
        <v>425575900</v>
      </c>
      <c r="AT270" s="39">
        <f t="shared" ref="AT270" si="145">AQ270+AS270</f>
        <v>425575900</v>
      </c>
      <c r="AU270" s="18">
        <f>AJ270-AM270</f>
        <v>358296943</v>
      </c>
      <c r="AV270" s="110">
        <f>AM270-AP270</f>
        <v>1303500</v>
      </c>
      <c r="AW270" s="34">
        <f>AP270-AT270</f>
        <v>0</v>
      </c>
      <c r="AX270" s="123">
        <f>AP270/AJ270</f>
        <v>0.54201314621115626</v>
      </c>
    </row>
    <row r="271" spans="1:50" ht="18.75" customHeight="1" x14ac:dyDescent="0.2">
      <c r="AA271" s="28" t="s">
        <v>288</v>
      </c>
      <c r="AB271" s="29" t="s">
        <v>115</v>
      </c>
      <c r="AC271" s="17"/>
      <c r="AD271" s="18"/>
      <c r="AE271" s="34"/>
      <c r="AF271" s="34"/>
      <c r="AG271" s="34"/>
      <c r="AH271" s="34"/>
      <c r="AI271" s="34"/>
      <c r="AJ271" s="18"/>
      <c r="AK271" s="34"/>
      <c r="AL271" s="18"/>
      <c r="AM271" s="18"/>
      <c r="AN271" s="34"/>
      <c r="AO271" s="18"/>
      <c r="AP271" s="18"/>
      <c r="AQ271" s="133"/>
      <c r="AR271" s="110"/>
      <c r="AS271" s="110"/>
      <c r="AT271" s="30"/>
      <c r="AU271" s="18"/>
      <c r="AV271" s="18"/>
      <c r="AW271" s="18"/>
      <c r="AX271" s="18"/>
    </row>
    <row r="272" spans="1:50" ht="18.75" customHeight="1" x14ac:dyDescent="0.2">
      <c r="A272" s="4" t="s">
        <v>325</v>
      </c>
      <c r="B272" s="4" t="s">
        <v>326</v>
      </c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1" t="s">
        <v>335</v>
      </c>
      <c r="AB272" s="42" t="s">
        <v>328</v>
      </c>
      <c r="AC272" s="43" t="s">
        <v>61</v>
      </c>
      <c r="AD272" s="43">
        <v>1074031411</v>
      </c>
      <c r="AE272" s="44">
        <v>0</v>
      </c>
      <c r="AF272" s="44">
        <v>0</v>
      </c>
      <c r="AG272" s="44">
        <v>0</v>
      </c>
      <c r="AH272" s="44">
        <v>0</v>
      </c>
      <c r="AI272" s="44">
        <v>0</v>
      </c>
      <c r="AJ272" s="43">
        <v>1074031411</v>
      </c>
      <c r="AK272" s="44">
        <v>0</v>
      </c>
      <c r="AL272" s="43">
        <v>45450710.130000003</v>
      </c>
      <c r="AM272" s="43">
        <v>748581559.20000005</v>
      </c>
      <c r="AN272" s="44">
        <v>0</v>
      </c>
      <c r="AO272" s="43">
        <v>20352321</v>
      </c>
      <c r="AP272" s="43">
        <v>723483170.07000005</v>
      </c>
      <c r="AQ272" s="115">
        <v>0</v>
      </c>
      <c r="AR272" s="114">
        <v>20352321</v>
      </c>
      <c r="AS272" s="114">
        <v>723483170.07000005</v>
      </c>
      <c r="AT272" s="39">
        <f t="shared" ref="AT272" si="146">AQ272+AS272</f>
        <v>723483170.07000005</v>
      </c>
      <c r="AU272" s="18">
        <f>AJ272-AM272</f>
        <v>325449851.79999995</v>
      </c>
      <c r="AV272" s="34">
        <f>AM272-AP272</f>
        <v>25098389.129999995</v>
      </c>
      <c r="AW272" s="18">
        <f>AP272-AT272</f>
        <v>0</v>
      </c>
      <c r="AX272" s="123">
        <f>AP272/AJ272</f>
        <v>0.67361453553428718</v>
      </c>
    </row>
    <row r="273" spans="1:50" ht="18.75" customHeight="1" x14ac:dyDescent="0.2">
      <c r="AA273" s="28" t="s">
        <v>288</v>
      </c>
      <c r="AB273" s="29" t="s">
        <v>119</v>
      </c>
      <c r="AC273" s="17"/>
      <c r="AD273" s="18"/>
      <c r="AE273" s="34"/>
      <c r="AF273" s="34"/>
      <c r="AG273" s="34"/>
      <c r="AH273" s="34"/>
      <c r="AI273" s="34"/>
      <c r="AJ273" s="18"/>
      <c r="AK273" s="18"/>
      <c r="AL273" s="18"/>
      <c r="AM273" s="18"/>
      <c r="AN273" s="34"/>
      <c r="AO273" s="18"/>
      <c r="AP273" s="18"/>
      <c r="AQ273" s="110"/>
      <c r="AR273" s="110"/>
      <c r="AS273" s="110"/>
      <c r="AT273" s="30"/>
      <c r="AU273" s="18"/>
      <c r="AV273" s="18"/>
      <c r="AW273" s="18"/>
      <c r="AX273" s="18"/>
    </row>
    <row r="274" spans="1:50" ht="18.75" customHeight="1" x14ac:dyDescent="0.2">
      <c r="A274" s="4" t="s">
        <v>325</v>
      </c>
      <c r="B274" s="4" t="s">
        <v>326</v>
      </c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1" t="s">
        <v>336</v>
      </c>
      <c r="AB274" s="42" t="s">
        <v>328</v>
      </c>
      <c r="AC274" s="43" t="s">
        <v>61</v>
      </c>
      <c r="AD274" s="43">
        <v>438243332</v>
      </c>
      <c r="AE274" s="44">
        <v>0</v>
      </c>
      <c r="AF274" s="44">
        <v>0</v>
      </c>
      <c r="AG274" s="44">
        <v>0</v>
      </c>
      <c r="AH274" s="44">
        <v>0</v>
      </c>
      <c r="AI274" s="44">
        <v>0</v>
      </c>
      <c r="AJ274" s="43">
        <v>438243332</v>
      </c>
      <c r="AK274" s="44">
        <v>0</v>
      </c>
      <c r="AL274" s="43">
        <v>30538200</v>
      </c>
      <c r="AM274" s="43">
        <v>215591200</v>
      </c>
      <c r="AN274" s="44">
        <v>0</v>
      </c>
      <c r="AO274" s="43">
        <v>30538200</v>
      </c>
      <c r="AP274" s="43">
        <v>215591200</v>
      </c>
      <c r="AQ274" s="133">
        <v>0</v>
      </c>
      <c r="AR274" s="110">
        <v>30538200</v>
      </c>
      <c r="AS274" s="110">
        <v>215591200</v>
      </c>
      <c r="AT274" s="39">
        <f t="shared" ref="AT274:AT288" si="147">AQ274+AS274</f>
        <v>215591200</v>
      </c>
      <c r="AU274" s="18">
        <f>AJ274-AM274</f>
        <v>222652132</v>
      </c>
      <c r="AV274" s="34">
        <f>AM274-AP274</f>
        <v>0</v>
      </c>
      <c r="AW274" s="34">
        <f>AP274-AT274</f>
        <v>0</v>
      </c>
      <c r="AX274" s="123">
        <f>AP274/AJ274</f>
        <v>0.4919440508452505</v>
      </c>
    </row>
    <row r="275" spans="1:50" ht="18.75" customHeight="1" x14ac:dyDescent="0.2">
      <c r="AA275" s="28" t="s">
        <v>288</v>
      </c>
      <c r="AB275" s="29" t="s">
        <v>124</v>
      </c>
      <c r="AC275" s="17"/>
      <c r="AD275" s="18"/>
      <c r="AE275" s="34"/>
      <c r="AF275" s="34"/>
      <c r="AG275" s="34"/>
      <c r="AH275" s="34"/>
      <c r="AI275" s="34"/>
      <c r="AJ275" s="18"/>
      <c r="AK275" s="34"/>
      <c r="AL275" s="18"/>
      <c r="AM275" s="18"/>
      <c r="AN275" s="34"/>
      <c r="AO275" s="18"/>
      <c r="AP275" s="18"/>
      <c r="AQ275" s="34"/>
      <c r="AR275" s="34"/>
      <c r="AS275" s="34"/>
      <c r="AT275" s="40">
        <f t="shared" si="147"/>
        <v>0</v>
      </c>
      <c r="AU275" s="18"/>
      <c r="AV275" s="18"/>
      <c r="AW275" s="34"/>
      <c r="AX275" s="18"/>
    </row>
    <row r="276" spans="1:50" ht="18.75" customHeight="1" x14ac:dyDescent="0.2">
      <c r="A276" s="4" t="s">
        <v>325</v>
      </c>
      <c r="B276" s="4" t="s">
        <v>326</v>
      </c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1" t="s">
        <v>337</v>
      </c>
      <c r="AB276" s="42" t="s">
        <v>328</v>
      </c>
      <c r="AC276" s="43" t="s">
        <v>61</v>
      </c>
      <c r="AD276" s="43">
        <v>46632075</v>
      </c>
      <c r="AE276" s="44">
        <v>0</v>
      </c>
      <c r="AF276" s="44">
        <v>0</v>
      </c>
      <c r="AG276" s="44">
        <v>0</v>
      </c>
      <c r="AH276" s="44">
        <v>0</v>
      </c>
      <c r="AI276" s="44">
        <v>0</v>
      </c>
      <c r="AJ276" s="43">
        <v>46632075</v>
      </c>
      <c r="AK276" s="44">
        <v>0</v>
      </c>
      <c r="AL276" s="43">
        <v>3755500</v>
      </c>
      <c r="AM276" s="43">
        <v>25401500</v>
      </c>
      <c r="AN276" s="44">
        <v>0</v>
      </c>
      <c r="AO276" s="43">
        <v>3755500</v>
      </c>
      <c r="AP276" s="43">
        <v>25401500</v>
      </c>
      <c r="AQ276" s="133">
        <v>0</v>
      </c>
      <c r="AR276" s="110">
        <v>3755500</v>
      </c>
      <c r="AS276" s="110">
        <v>25401500</v>
      </c>
      <c r="AT276" s="39">
        <f t="shared" si="147"/>
        <v>25401500</v>
      </c>
      <c r="AU276" s="18">
        <f>AJ276-AM276</f>
        <v>21230575</v>
      </c>
      <c r="AV276" s="34">
        <f>AM276-AP276</f>
        <v>0</v>
      </c>
      <c r="AW276" s="34">
        <f>AP276-AT276</f>
        <v>0</v>
      </c>
      <c r="AX276" s="123">
        <f>AP276/AJ276</f>
        <v>0.54472163205261614</v>
      </c>
    </row>
    <row r="277" spans="1:50" ht="18.75" customHeight="1" x14ac:dyDescent="0.2">
      <c r="AA277" s="28" t="s">
        <v>288</v>
      </c>
      <c r="AB277" s="29" t="s">
        <v>129</v>
      </c>
      <c r="AC277" s="17"/>
      <c r="AD277" s="18"/>
      <c r="AE277" s="34"/>
      <c r="AF277" s="34"/>
      <c r="AG277" s="34"/>
      <c r="AH277" s="34"/>
      <c r="AI277" s="34"/>
      <c r="AJ277" s="18"/>
      <c r="AK277" s="34"/>
      <c r="AL277" s="18"/>
      <c r="AM277" s="18"/>
      <c r="AN277" s="34"/>
      <c r="AO277" s="18"/>
      <c r="AP277" s="18"/>
      <c r="AQ277" s="133"/>
      <c r="AR277" s="110"/>
      <c r="AS277" s="110"/>
      <c r="AT277" s="40">
        <f t="shared" si="147"/>
        <v>0</v>
      </c>
      <c r="AU277" s="18"/>
      <c r="AV277" s="18"/>
      <c r="AW277" s="34"/>
      <c r="AX277" s="18"/>
    </row>
    <row r="278" spans="1:50" ht="18.75" customHeight="1" x14ac:dyDescent="0.2">
      <c r="A278" s="4" t="s">
        <v>325</v>
      </c>
      <c r="B278" s="4" t="s">
        <v>326</v>
      </c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1" t="s">
        <v>338</v>
      </c>
      <c r="AB278" s="42" t="s">
        <v>328</v>
      </c>
      <c r="AC278" s="43" t="s">
        <v>61</v>
      </c>
      <c r="AD278" s="43">
        <v>328682499</v>
      </c>
      <c r="AE278" s="44">
        <v>0</v>
      </c>
      <c r="AF278" s="44">
        <v>0</v>
      </c>
      <c r="AG278" s="44">
        <v>0</v>
      </c>
      <c r="AH278" s="44">
        <v>0</v>
      </c>
      <c r="AI278" s="44">
        <v>0</v>
      </c>
      <c r="AJ278" s="43">
        <v>328682499</v>
      </c>
      <c r="AK278" s="44">
        <v>0</v>
      </c>
      <c r="AL278" s="43">
        <v>22906800</v>
      </c>
      <c r="AM278" s="43">
        <v>161713100</v>
      </c>
      <c r="AN278" s="44">
        <v>0</v>
      </c>
      <c r="AO278" s="43">
        <v>22906800</v>
      </c>
      <c r="AP278" s="43">
        <v>161713100</v>
      </c>
      <c r="AQ278" s="133">
        <v>0</v>
      </c>
      <c r="AR278" s="110">
        <v>22906800</v>
      </c>
      <c r="AS278" s="110">
        <v>161713100</v>
      </c>
      <c r="AT278" s="39">
        <f t="shared" si="147"/>
        <v>161713100</v>
      </c>
      <c r="AU278" s="18">
        <f>AJ278-AM278</f>
        <v>166969399</v>
      </c>
      <c r="AV278" s="34">
        <f>AM278-AP278</f>
        <v>0</v>
      </c>
      <c r="AW278" s="34">
        <f>AP278-AT278</f>
        <v>0</v>
      </c>
      <c r="AX278" s="123">
        <f>AP278/AJ278</f>
        <v>0.49200398710610999</v>
      </c>
    </row>
    <row r="279" spans="1:50" ht="18.75" customHeight="1" x14ac:dyDescent="0.2">
      <c r="AA279" s="28" t="s">
        <v>288</v>
      </c>
      <c r="AB279" s="29" t="s">
        <v>133</v>
      </c>
      <c r="AC279" s="17"/>
      <c r="AD279" s="18"/>
      <c r="AE279" s="34"/>
      <c r="AF279" s="34"/>
      <c r="AG279" s="34"/>
      <c r="AH279" s="34"/>
      <c r="AI279" s="34"/>
      <c r="AJ279" s="18"/>
      <c r="AK279" s="34"/>
      <c r="AL279" s="18"/>
      <c r="AM279" s="18"/>
      <c r="AN279" s="34"/>
      <c r="AO279" s="18"/>
      <c r="AP279" s="18"/>
      <c r="AQ279" s="133"/>
      <c r="AR279" s="110"/>
      <c r="AS279" s="110"/>
      <c r="AT279" s="40">
        <f t="shared" si="147"/>
        <v>0</v>
      </c>
      <c r="AU279" s="18"/>
      <c r="AV279" s="18"/>
      <c r="AW279" s="34"/>
      <c r="AX279" s="18"/>
    </row>
    <row r="280" spans="1:50" ht="18.75" customHeight="1" x14ac:dyDescent="0.2">
      <c r="A280" s="4" t="s">
        <v>325</v>
      </c>
      <c r="B280" s="4" t="s">
        <v>326</v>
      </c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1" t="s">
        <v>339</v>
      </c>
      <c r="AB280" s="42" t="s">
        <v>328</v>
      </c>
      <c r="AC280" s="43" t="s">
        <v>61</v>
      </c>
      <c r="AD280" s="43">
        <v>54780417</v>
      </c>
      <c r="AE280" s="44">
        <v>0</v>
      </c>
      <c r="AF280" s="44">
        <v>0</v>
      </c>
      <c r="AG280" s="44">
        <v>0</v>
      </c>
      <c r="AH280" s="44">
        <v>0</v>
      </c>
      <c r="AI280" s="44">
        <v>0</v>
      </c>
      <c r="AJ280" s="43">
        <v>54780417</v>
      </c>
      <c r="AK280" s="44">
        <v>0</v>
      </c>
      <c r="AL280" s="43">
        <v>3829600</v>
      </c>
      <c r="AM280" s="43">
        <v>27040500</v>
      </c>
      <c r="AN280" s="44">
        <v>0</v>
      </c>
      <c r="AO280" s="43">
        <v>3829600</v>
      </c>
      <c r="AP280" s="43">
        <v>27040500</v>
      </c>
      <c r="AQ280" s="133">
        <v>0</v>
      </c>
      <c r="AR280" s="110">
        <v>3829600</v>
      </c>
      <c r="AS280" s="110">
        <v>27040500</v>
      </c>
      <c r="AT280" s="39">
        <f t="shared" si="147"/>
        <v>27040500</v>
      </c>
      <c r="AU280" s="18">
        <f>AJ280-AM280</f>
        <v>27739917</v>
      </c>
      <c r="AV280" s="34">
        <f>AM280-AP280</f>
        <v>0</v>
      </c>
      <c r="AW280" s="34">
        <f>AP280-AT280</f>
        <v>0</v>
      </c>
      <c r="AX280" s="123">
        <f>AP280/AJ280</f>
        <v>0.49361617674432817</v>
      </c>
    </row>
    <row r="281" spans="1:50" ht="18.75" customHeight="1" x14ac:dyDescent="0.2">
      <c r="AA281" s="28" t="s">
        <v>288</v>
      </c>
      <c r="AB281" s="29" t="s">
        <v>138</v>
      </c>
      <c r="AC281" s="17"/>
      <c r="AD281" s="18"/>
      <c r="AE281" s="34"/>
      <c r="AF281" s="34"/>
      <c r="AG281" s="34"/>
      <c r="AH281" s="34"/>
      <c r="AI281" s="34"/>
      <c r="AJ281" s="18"/>
      <c r="AK281" s="34"/>
      <c r="AL281" s="18"/>
      <c r="AM281" s="18"/>
      <c r="AN281" s="34"/>
      <c r="AO281" s="18"/>
      <c r="AP281" s="18"/>
      <c r="AQ281" s="133"/>
      <c r="AR281" s="110"/>
      <c r="AS281" s="110"/>
      <c r="AT281" s="40">
        <f t="shared" si="147"/>
        <v>0</v>
      </c>
      <c r="AU281" s="18"/>
      <c r="AV281" s="18"/>
      <c r="AW281" s="34"/>
      <c r="AX281" s="18"/>
    </row>
    <row r="282" spans="1:50" ht="18.75" customHeight="1" x14ac:dyDescent="0.2">
      <c r="A282" s="4" t="s">
        <v>325</v>
      </c>
      <c r="B282" s="4" t="s">
        <v>326</v>
      </c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1" t="s">
        <v>340</v>
      </c>
      <c r="AB282" s="42" t="s">
        <v>328</v>
      </c>
      <c r="AC282" s="43" t="s">
        <v>61</v>
      </c>
      <c r="AD282" s="43">
        <v>54780417</v>
      </c>
      <c r="AE282" s="44">
        <v>0</v>
      </c>
      <c r="AF282" s="44">
        <v>0</v>
      </c>
      <c r="AG282" s="44">
        <v>0</v>
      </c>
      <c r="AH282" s="44">
        <v>0</v>
      </c>
      <c r="AI282" s="44">
        <v>0</v>
      </c>
      <c r="AJ282" s="43">
        <v>54780417</v>
      </c>
      <c r="AK282" s="44">
        <v>0</v>
      </c>
      <c r="AL282" s="43">
        <v>3829600</v>
      </c>
      <c r="AM282" s="43">
        <v>27040500</v>
      </c>
      <c r="AN282" s="44">
        <v>0</v>
      </c>
      <c r="AO282" s="43">
        <v>3829600</v>
      </c>
      <c r="AP282" s="43">
        <v>27040500</v>
      </c>
      <c r="AQ282" s="133">
        <v>0</v>
      </c>
      <c r="AR282" s="110">
        <v>3829600</v>
      </c>
      <c r="AS282" s="110">
        <v>27040500</v>
      </c>
      <c r="AT282" s="39">
        <f t="shared" si="147"/>
        <v>27040500</v>
      </c>
      <c r="AU282" s="18">
        <f>AJ282-AM282</f>
        <v>27739917</v>
      </c>
      <c r="AV282" s="34">
        <f>AM282-AP282</f>
        <v>0</v>
      </c>
      <c r="AW282" s="34">
        <f>AP282-AT282</f>
        <v>0</v>
      </c>
      <c r="AX282" s="123">
        <f>AP282/AJ282</f>
        <v>0.49361617674432817</v>
      </c>
    </row>
    <row r="283" spans="1:50" ht="25.5" x14ac:dyDescent="0.2">
      <c r="AA283" s="28" t="s">
        <v>288</v>
      </c>
      <c r="AB283" s="29" t="s">
        <v>145</v>
      </c>
      <c r="AC283" s="17"/>
      <c r="AD283" s="18"/>
      <c r="AE283" s="34"/>
      <c r="AF283" s="34"/>
      <c r="AG283" s="34"/>
      <c r="AH283" s="34"/>
      <c r="AI283" s="34"/>
      <c r="AJ283" s="18"/>
      <c r="AK283" s="34"/>
      <c r="AL283" s="18"/>
      <c r="AM283" s="18"/>
      <c r="AN283" s="34"/>
      <c r="AO283" s="18"/>
      <c r="AP283" s="18"/>
      <c r="AQ283" s="34"/>
      <c r="AR283" s="34"/>
      <c r="AS283" s="34"/>
      <c r="AT283" s="40">
        <f t="shared" si="147"/>
        <v>0</v>
      </c>
      <c r="AU283" s="18"/>
      <c r="AV283" s="18"/>
      <c r="AW283" s="18"/>
      <c r="AX283" s="18"/>
    </row>
    <row r="284" spans="1:50" ht="18.75" customHeight="1" x14ac:dyDescent="0.2">
      <c r="A284" s="4" t="s">
        <v>325</v>
      </c>
      <c r="B284" s="4" t="s">
        <v>326</v>
      </c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1" t="s">
        <v>341</v>
      </c>
      <c r="AB284" s="42" t="s">
        <v>328</v>
      </c>
      <c r="AC284" s="43" t="s">
        <v>61</v>
      </c>
      <c r="AD284" s="43">
        <v>109560833</v>
      </c>
      <c r="AE284" s="44">
        <v>0</v>
      </c>
      <c r="AF284" s="44">
        <v>0</v>
      </c>
      <c r="AG284" s="44">
        <v>0</v>
      </c>
      <c r="AH284" s="44">
        <v>0</v>
      </c>
      <c r="AI284" s="44">
        <v>0</v>
      </c>
      <c r="AJ284" s="43">
        <v>109560833</v>
      </c>
      <c r="AK284" s="44">
        <v>0</v>
      </c>
      <c r="AL284" s="43">
        <v>7647700</v>
      </c>
      <c r="AM284" s="43">
        <v>53987400</v>
      </c>
      <c r="AN284" s="44">
        <v>0</v>
      </c>
      <c r="AO284" s="43">
        <v>7647700</v>
      </c>
      <c r="AP284" s="43">
        <v>53987400</v>
      </c>
      <c r="AQ284" s="34">
        <v>0</v>
      </c>
      <c r="AR284" s="110">
        <v>7647700</v>
      </c>
      <c r="AS284" s="110">
        <v>53987400</v>
      </c>
      <c r="AT284" s="39">
        <f t="shared" si="147"/>
        <v>53987400</v>
      </c>
      <c r="AU284" s="18">
        <f>AJ284-AM284</f>
        <v>55573433</v>
      </c>
      <c r="AV284" s="34">
        <f>AM284-AP284</f>
        <v>0</v>
      </c>
      <c r="AW284" s="34">
        <f>AP284-AT284</f>
        <v>0</v>
      </c>
      <c r="AX284" s="123">
        <f>AP284/AJ284</f>
        <v>0.49276186134875405</v>
      </c>
    </row>
    <row r="285" spans="1:50" ht="18.75" customHeight="1" x14ac:dyDescent="0.2">
      <c r="AA285" s="16"/>
      <c r="AB285" s="29" t="s">
        <v>149</v>
      </c>
      <c r="AC285" s="17"/>
      <c r="AD285" s="18"/>
      <c r="AE285" s="34"/>
      <c r="AF285" s="34"/>
      <c r="AG285" s="34"/>
      <c r="AH285" s="34"/>
      <c r="AI285" s="34"/>
      <c r="AJ285" s="18"/>
      <c r="AK285" s="34"/>
      <c r="AL285" s="18"/>
      <c r="AM285" s="18"/>
      <c r="AN285" s="34"/>
      <c r="AO285" s="18"/>
      <c r="AP285" s="18"/>
      <c r="AQ285" s="34"/>
      <c r="AR285" s="34"/>
      <c r="AS285" s="34"/>
      <c r="AT285" s="40"/>
      <c r="AU285" s="18"/>
      <c r="AV285" s="18"/>
      <c r="AW285" s="34"/>
      <c r="AX285" s="18"/>
    </row>
    <row r="286" spans="1:50" ht="18.75" customHeight="1" x14ac:dyDescent="0.2">
      <c r="AA286" s="16"/>
      <c r="AB286" s="29" t="s">
        <v>81</v>
      </c>
      <c r="AC286" s="17"/>
      <c r="AD286" s="18"/>
      <c r="AE286" s="34"/>
      <c r="AF286" s="34"/>
      <c r="AG286" s="34"/>
      <c r="AH286" s="34"/>
      <c r="AI286" s="34"/>
      <c r="AJ286" s="18"/>
      <c r="AK286" s="34"/>
      <c r="AL286" s="18"/>
      <c r="AM286" s="18"/>
      <c r="AN286" s="34"/>
      <c r="AO286" s="18"/>
      <c r="AP286" s="18"/>
      <c r="AQ286" s="34"/>
      <c r="AR286" s="34"/>
      <c r="AS286" s="34"/>
      <c r="AT286" s="40"/>
      <c r="AU286" s="18"/>
      <c r="AV286" s="18"/>
      <c r="AW286" s="34"/>
      <c r="AX286" s="18"/>
    </row>
    <row r="287" spans="1:50" ht="18.75" customHeight="1" x14ac:dyDescent="0.2">
      <c r="AA287" s="28" t="s">
        <v>288</v>
      </c>
      <c r="AB287" s="29" t="s">
        <v>152</v>
      </c>
      <c r="AC287" s="17"/>
      <c r="AD287" s="18"/>
      <c r="AE287" s="34"/>
      <c r="AF287" s="34"/>
      <c r="AG287" s="34"/>
      <c r="AH287" s="34"/>
      <c r="AI287" s="34"/>
      <c r="AJ287" s="18"/>
      <c r="AK287" s="34"/>
      <c r="AL287" s="18"/>
      <c r="AM287" s="18"/>
      <c r="AN287" s="34"/>
      <c r="AO287" s="18"/>
      <c r="AP287" s="18"/>
      <c r="AQ287" s="34"/>
      <c r="AR287" s="34"/>
      <c r="AS287" s="34"/>
      <c r="AT287" s="40"/>
      <c r="AU287" s="18"/>
      <c r="AV287" s="18"/>
      <c r="AW287" s="34"/>
      <c r="AX287" s="18"/>
    </row>
    <row r="288" spans="1:50" ht="18.75" customHeight="1" x14ac:dyDescent="0.2">
      <c r="A288" s="4" t="s">
        <v>325</v>
      </c>
      <c r="B288" s="4" t="s">
        <v>326</v>
      </c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1" t="s">
        <v>342</v>
      </c>
      <c r="AB288" s="42" t="s">
        <v>328</v>
      </c>
      <c r="AC288" s="43" t="s">
        <v>61</v>
      </c>
      <c r="AD288" s="43">
        <v>229777776</v>
      </c>
      <c r="AE288" s="44">
        <v>0</v>
      </c>
      <c r="AF288" s="44">
        <v>0</v>
      </c>
      <c r="AG288" s="44">
        <v>0</v>
      </c>
      <c r="AH288" s="44">
        <v>0</v>
      </c>
      <c r="AI288" s="44">
        <v>0</v>
      </c>
      <c r="AJ288" s="43">
        <v>229777776</v>
      </c>
      <c r="AK288" s="44">
        <v>0</v>
      </c>
      <c r="AL288" s="43">
        <v>22916593</v>
      </c>
      <c r="AM288" s="43">
        <v>84912314</v>
      </c>
      <c r="AN288" s="44">
        <v>0</v>
      </c>
      <c r="AO288" s="43">
        <v>22916593</v>
      </c>
      <c r="AP288" s="43">
        <v>84912314</v>
      </c>
      <c r="AQ288" s="34">
        <v>0</v>
      </c>
      <c r="AR288" s="133">
        <v>22916593</v>
      </c>
      <c r="AS288" s="110">
        <v>84912314</v>
      </c>
      <c r="AT288" s="39">
        <f t="shared" si="147"/>
        <v>84912314</v>
      </c>
      <c r="AU288" s="18">
        <f>AJ288-AM288</f>
        <v>144865462</v>
      </c>
      <c r="AV288" s="34">
        <f>AM288-AP288</f>
        <v>0</v>
      </c>
      <c r="AW288" s="34">
        <f>AP288-AT288</f>
        <v>0</v>
      </c>
      <c r="AX288" s="123">
        <f>AP288/AJ288</f>
        <v>0.36954102123435995</v>
      </c>
    </row>
    <row r="289" spans="1:50" ht="18.75" customHeight="1" x14ac:dyDescent="0.2">
      <c r="AA289" s="28" t="s">
        <v>288</v>
      </c>
      <c r="AB289" s="29" t="s">
        <v>343</v>
      </c>
      <c r="AC289" s="17"/>
      <c r="AD289" s="18"/>
      <c r="AE289" s="34"/>
      <c r="AF289" s="34"/>
      <c r="AG289" s="34"/>
      <c r="AH289" s="34"/>
      <c r="AI289" s="34"/>
      <c r="AJ289" s="18"/>
      <c r="AK289" s="34"/>
      <c r="AL289" s="18"/>
      <c r="AM289" s="18"/>
      <c r="AN289" s="34"/>
      <c r="AO289" s="18"/>
      <c r="AP289" s="18"/>
      <c r="AQ289" s="34"/>
      <c r="AR289" s="34"/>
      <c r="AS289" s="34"/>
      <c r="AT289" s="40"/>
      <c r="AU289" s="18"/>
      <c r="AV289" s="18"/>
      <c r="AW289" s="34"/>
      <c r="AX289" s="18"/>
    </row>
    <row r="290" spans="1:50" ht="18.75" customHeight="1" x14ac:dyDescent="0.2">
      <c r="A290" s="4" t="s">
        <v>325</v>
      </c>
      <c r="B290" s="4" t="s">
        <v>326</v>
      </c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1" t="s">
        <v>344</v>
      </c>
      <c r="AB290" s="42" t="s">
        <v>328</v>
      </c>
      <c r="AC290" s="43" t="s">
        <v>61</v>
      </c>
      <c r="AD290" s="43">
        <v>10000000</v>
      </c>
      <c r="AE290" s="44">
        <v>0</v>
      </c>
      <c r="AF290" s="44">
        <v>0</v>
      </c>
      <c r="AG290" s="44">
        <v>0</v>
      </c>
      <c r="AH290" s="44">
        <v>0</v>
      </c>
      <c r="AI290" s="44">
        <v>0</v>
      </c>
      <c r="AJ290" s="43">
        <v>10000000</v>
      </c>
      <c r="AK290" s="44">
        <v>0</v>
      </c>
      <c r="AL290" s="44">
        <v>0</v>
      </c>
      <c r="AM290" s="44">
        <v>0</v>
      </c>
      <c r="AN290" s="44">
        <v>0</v>
      </c>
      <c r="AO290" s="44">
        <v>0</v>
      </c>
      <c r="AP290" s="44">
        <v>0</v>
      </c>
      <c r="AQ290" s="34">
        <v>0</v>
      </c>
      <c r="AR290" s="34">
        <v>0</v>
      </c>
      <c r="AS290" s="34">
        <v>0</v>
      </c>
      <c r="AT290" s="40">
        <f t="shared" ref="AT290" si="148">AQ290+AS290</f>
        <v>0</v>
      </c>
      <c r="AU290" s="18">
        <f>AJ290-AM290</f>
        <v>10000000</v>
      </c>
      <c r="AV290" s="34">
        <f>AM290-AP290</f>
        <v>0</v>
      </c>
      <c r="AW290" s="34">
        <f>AP290-AT290</f>
        <v>0</v>
      </c>
      <c r="AX290" s="123">
        <f>AP290/AJ290</f>
        <v>0</v>
      </c>
    </row>
    <row r="291" spans="1:50" ht="18.75" customHeight="1" x14ac:dyDescent="0.2">
      <c r="AA291" s="28" t="s">
        <v>288</v>
      </c>
      <c r="AB291" s="29" t="s">
        <v>162</v>
      </c>
      <c r="AC291" s="17"/>
      <c r="AD291" s="18"/>
      <c r="AE291" s="34"/>
      <c r="AF291" s="34"/>
      <c r="AG291" s="34"/>
      <c r="AH291" s="34"/>
      <c r="AI291" s="34"/>
      <c r="AJ291" s="18"/>
      <c r="AK291" s="34"/>
      <c r="AL291" s="18"/>
      <c r="AM291" s="18"/>
      <c r="AN291" s="34"/>
      <c r="AO291" s="18"/>
      <c r="AP291" s="18"/>
      <c r="AQ291" s="34"/>
      <c r="AR291" s="34"/>
      <c r="AS291" s="34"/>
      <c r="AT291" s="40"/>
      <c r="AU291" s="18"/>
      <c r="AV291" s="18"/>
      <c r="AW291" s="34"/>
      <c r="AX291" s="18"/>
    </row>
    <row r="292" spans="1:50" ht="18.75" customHeight="1" x14ac:dyDescent="0.2">
      <c r="A292" s="4" t="s">
        <v>325</v>
      </c>
      <c r="B292" s="4" t="s">
        <v>326</v>
      </c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1" t="s">
        <v>345</v>
      </c>
      <c r="AB292" s="42" t="s">
        <v>328</v>
      </c>
      <c r="AC292" s="43" t="s">
        <v>61</v>
      </c>
      <c r="AD292" s="43">
        <v>31208419</v>
      </c>
      <c r="AE292" s="44">
        <v>0</v>
      </c>
      <c r="AF292" s="44">
        <v>0</v>
      </c>
      <c r="AG292" s="44">
        <v>0</v>
      </c>
      <c r="AH292" s="44">
        <v>0</v>
      </c>
      <c r="AI292" s="44">
        <v>0</v>
      </c>
      <c r="AJ292" s="43">
        <v>31208419</v>
      </c>
      <c r="AK292" s="44">
        <v>0</v>
      </c>
      <c r="AL292" s="43">
        <v>2037167</v>
      </c>
      <c r="AM292" s="43">
        <v>6829572</v>
      </c>
      <c r="AN292" s="44">
        <v>0</v>
      </c>
      <c r="AO292" s="43">
        <v>2037167</v>
      </c>
      <c r="AP292" s="43">
        <v>6829572</v>
      </c>
      <c r="AQ292" s="34">
        <v>0</v>
      </c>
      <c r="AR292" s="133">
        <v>2037167</v>
      </c>
      <c r="AS292" s="110">
        <v>6829572</v>
      </c>
      <c r="AT292" s="39">
        <f t="shared" ref="AT292" si="149">AQ292+AS292</f>
        <v>6829572</v>
      </c>
      <c r="AU292" s="18">
        <f>AJ292-AM292</f>
        <v>24378847</v>
      </c>
      <c r="AV292" s="34">
        <f>AM292-AP292</f>
        <v>0</v>
      </c>
      <c r="AW292" s="34">
        <f>AP292-AT292</f>
        <v>0</v>
      </c>
      <c r="AX292" s="123">
        <f>AP292/AJ292</f>
        <v>0.21883748741004791</v>
      </c>
    </row>
    <row r="293" spans="1:50" ht="18.75" customHeight="1" x14ac:dyDescent="0.2">
      <c r="AA293" s="28" t="s">
        <v>288</v>
      </c>
      <c r="AB293" s="29" t="s">
        <v>346</v>
      </c>
      <c r="AC293" s="17"/>
      <c r="AD293" s="18"/>
      <c r="AE293" s="34"/>
      <c r="AF293" s="34"/>
      <c r="AG293" s="34"/>
      <c r="AH293" s="34"/>
      <c r="AI293" s="34"/>
      <c r="AJ293" s="18"/>
      <c r="AK293" s="34"/>
      <c r="AL293" s="18"/>
      <c r="AM293" s="18"/>
      <c r="AN293" s="34"/>
      <c r="AO293" s="18"/>
      <c r="AP293" s="18"/>
      <c r="AQ293" s="34"/>
      <c r="AR293" s="133"/>
      <c r="AS293" s="110"/>
      <c r="AT293" s="40"/>
      <c r="AU293" s="18"/>
      <c r="AV293" s="18"/>
      <c r="AW293" s="34"/>
      <c r="AX293" s="18"/>
    </row>
    <row r="294" spans="1:50" ht="18.75" customHeight="1" x14ac:dyDescent="0.2">
      <c r="A294" s="4" t="s">
        <v>325</v>
      </c>
      <c r="B294" s="4" t="s">
        <v>326</v>
      </c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1" t="s">
        <v>347</v>
      </c>
      <c r="AB294" s="42" t="s">
        <v>328</v>
      </c>
      <c r="AC294" s="43" t="s">
        <v>61</v>
      </c>
      <c r="AD294" s="43">
        <v>1108512330</v>
      </c>
      <c r="AE294" s="44">
        <v>0</v>
      </c>
      <c r="AF294" s="44">
        <v>0</v>
      </c>
      <c r="AG294" s="44">
        <v>0</v>
      </c>
      <c r="AH294" s="44">
        <v>0</v>
      </c>
      <c r="AI294" s="44">
        <v>0</v>
      </c>
      <c r="AJ294" s="43">
        <v>1108512330</v>
      </c>
      <c r="AK294" s="44">
        <v>0</v>
      </c>
      <c r="AL294" s="43">
        <v>70070363</v>
      </c>
      <c r="AM294" s="43">
        <v>507960948</v>
      </c>
      <c r="AN294" s="44">
        <v>0</v>
      </c>
      <c r="AO294" s="43">
        <v>70070363</v>
      </c>
      <c r="AP294" s="43">
        <v>507524952</v>
      </c>
      <c r="AQ294" s="34">
        <v>0</v>
      </c>
      <c r="AR294" s="133">
        <v>70070363</v>
      </c>
      <c r="AS294" s="110">
        <v>507524952</v>
      </c>
      <c r="AT294" s="39">
        <f t="shared" ref="AT294" si="150">AQ294+AS294</f>
        <v>507524952</v>
      </c>
      <c r="AU294" s="18">
        <f>AJ294-AM294</f>
        <v>600551382</v>
      </c>
      <c r="AV294" s="110">
        <f>AM294-AP294</f>
        <v>435996</v>
      </c>
      <c r="AW294" s="34">
        <f>AP294-AT294</f>
        <v>0</v>
      </c>
      <c r="AX294" s="123">
        <f>AP294/AJ294</f>
        <v>0.45784330788634531</v>
      </c>
    </row>
    <row r="295" spans="1:50" ht="18.75" customHeight="1" x14ac:dyDescent="0.2">
      <c r="AA295" s="16"/>
      <c r="AB295" s="29" t="s">
        <v>348</v>
      </c>
      <c r="AC295" s="17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34"/>
      <c r="AO295" s="18"/>
      <c r="AP295" s="18"/>
      <c r="AQ295" s="18"/>
      <c r="AR295" s="18"/>
      <c r="AS295" s="18"/>
      <c r="AT295" s="30"/>
      <c r="AU295" s="18"/>
      <c r="AV295" s="18"/>
      <c r="AW295" s="18"/>
      <c r="AX295" s="18"/>
    </row>
    <row r="296" spans="1:50" ht="18.75" customHeight="1" x14ac:dyDescent="0.2">
      <c r="AA296" s="16"/>
      <c r="AB296" s="29" t="s">
        <v>318</v>
      </c>
      <c r="AC296" s="17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34"/>
      <c r="AO296" s="18"/>
      <c r="AP296" s="18"/>
      <c r="AQ296" s="18"/>
      <c r="AR296" s="18"/>
      <c r="AS296" s="18"/>
      <c r="AT296" s="30"/>
      <c r="AU296" s="18"/>
      <c r="AV296" s="18"/>
      <c r="AW296" s="18"/>
      <c r="AX296" s="18"/>
    </row>
    <row r="297" spans="1:50" ht="25.5" x14ac:dyDescent="0.2">
      <c r="AA297" s="16"/>
      <c r="AB297" s="29" t="s">
        <v>319</v>
      </c>
      <c r="AC297" s="17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34"/>
      <c r="AO297" s="18"/>
      <c r="AP297" s="18"/>
      <c r="AQ297" s="18"/>
      <c r="AR297" s="18"/>
      <c r="AS297" s="18"/>
      <c r="AT297" s="30"/>
      <c r="AU297" s="18"/>
      <c r="AV297" s="18"/>
      <c r="AW297" s="18"/>
      <c r="AX297" s="18"/>
    </row>
    <row r="298" spans="1:50" ht="18.75" customHeight="1" x14ac:dyDescent="0.2">
      <c r="AA298" s="16"/>
      <c r="AB298" s="29" t="s">
        <v>320</v>
      </c>
      <c r="AC298" s="17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34"/>
      <c r="AO298" s="18"/>
      <c r="AP298" s="18"/>
      <c r="AQ298" s="18"/>
      <c r="AR298" s="18"/>
      <c r="AS298" s="18"/>
      <c r="AT298" s="30"/>
      <c r="AU298" s="18"/>
      <c r="AV298" s="18"/>
      <c r="AW298" s="18"/>
      <c r="AX298" s="18"/>
    </row>
    <row r="299" spans="1:50" ht="18.75" customHeight="1" x14ac:dyDescent="0.2">
      <c r="AA299" s="16"/>
      <c r="AB299" s="29" t="s">
        <v>46</v>
      </c>
      <c r="AC299" s="17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34"/>
      <c r="AO299" s="18"/>
      <c r="AP299" s="18"/>
      <c r="AQ299" s="18"/>
      <c r="AR299" s="18"/>
      <c r="AS299" s="18"/>
      <c r="AT299" s="30"/>
      <c r="AU299" s="18"/>
      <c r="AV299" s="18"/>
      <c r="AW299" s="18"/>
      <c r="AX299" s="18"/>
    </row>
    <row r="300" spans="1:50" ht="18.75" customHeight="1" x14ac:dyDescent="0.2">
      <c r="AA300" s="16"/>
      <c r="AB300" s="29" t="s">
        <v>48</v>
      </c>
      <c r="AC300" s="17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34"/>
      <c r="AO300" s="18"/>
      <c r="AP300" s="18"/>
      <c r="AQ300" s="18"/>
      <c r="AR300" s="18"/>
      <c r="AS300" s="18"/>
      <c r="AT300" s="30"/>
      <c r="AU300" s="18"/>
      <c r="AV300" s="18"/>
      <c r="AW300" s="18"/>
      <c r="AX300" s="18"/>
    </row>
    <row r="301" spans="1:50" ht="18.75" customHeight="1" x14ac:dyDescent="0.2">
      <c r="AA301" s="16"/>
      <c r="AB301" s="29" t="s">
        <v>52</v>
      </c>
      <c r="AC301" s="17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34"/>
      <c r="AO301" s="18"/>
      <c r="AP301" s="18"/>
      <c r="AQ301" s="18"/>
      <c r="AR301" s="18"/>
      <c r="AS301" s="18"/>
      <c r="AT301" s="30"/>
      <c r="AU301" s="18"/>
      <c r="AV301" s="18"/>
      <c r="AW301" s="18"/>
      <c r="AX301" s="18"/>
    </row>
    <row r="302" spans="1:50" ht="18.75" customHeight="1" x14ac:dyDescent="0.2">
      <c r="AA302" s="28" t="s">
        <v>288</v>
      </c>
      <c r="AB302" s="29" t="s">
        <v>54</v>
      </c>
      <c r="AC302" s="17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34"/>
      <c r="AO302" s="18"/>
      <c r="AP302" s="18"/>
      <c r="AQ302" s="18"/>
      <c r="AR302" s="18"/>
      <c r="AS302" s="18"/>
      <c r="AT302" s="30"/>
      <c r="AU302" s="18"/>
      <c r="AV302" s="18"/>
      <c r="AW302" s="18"/>
      <c r="AX302" s="18"/>
    </row>
    <row r="303" spans="1:50" ht="18.75" customHeight="1" x14ac:dyDescent="0.2">
      <c r="A303" s="4" t="s">
        <v>55</v>
      </c>
      <c r="B303" s="4" t="s">
        <v>56</v>
      </c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1" t="s">
        <v>323</v>
      </c>
      <c r="AB303" s="42" t="s">
        <v>324</v>
      </c>
      <c r="AC303" s="43" t="s">
        <v>61</v>
      </c>
      <c r="AD303" s="43">
        <v>111646949658</v>
      </c>
      <c r="AE303" s="44">
        <v>0</v>
      </c>
      <c r="AF303" s="44">
        <v>0</v>
      </c>
      <c r="AG303" s="244">
        <v>18397564.699999999</v>
      </c>
      <c r="AH303" s="43">
        <v>316940531.69999999</v>
      </c>
      <c r="AI303" s="18">
        <f t="shared" ref="AI303" si="151">AE303-AF303+AG303-AH303</f>
        <v>-298542967</v>
      </c>
      <c r="AJ303" s="18">
        <f t="shared" ref="AJ303" si="152">AD303+AI303</f>
        <v>111348406691</v>
      </c>
      <c r="AK303" s="44">
        <v>0</v>
      </c>
      <c r="AL303" s="43">
        <v>4421238120</v>
      </c>
      <c r="AM303" s="43">
        <v>55570707718</v>
      </c>
      <c r="AN303" s="44">
        <v>0</v>
      </c>
      <c r="AO303" s="43">
        <v>4416310709</v>
      </c>
      <c r="AP303" s="43">
        <v>55565780307</v>
      </c>
      <c r="AQ303" s="43">
        <v>561132</v>
      </c>
      <c r="AR303" s="43">
        <v>4416310709</v>
      </c>
      <c r="AS303" s="43">
        <v>55565219175</v>
      </c>
      <c r="AT303" s="253">
        <f t="shared" ref="AT303:AT305" si="153">AQ303+AS303</f>
        <v>55565780307</v>
      </c>
      <c r="AU303" s="18">
        <f>AJ303-AM303</f>
        <v>55777698973</v>
      </c>
      <c r="AV303" s="133">
        <f>AM303-AP303</f>
        <v>4927411</v>
      </c>
      <c r="AW303" s="34">
        <f>AP303-AT303</f>
        <v>0</v>
      </c>
      <c r="AX303" s="123">
        <f>AP303/AJ303</f>
        <v>0.49902627220521545</v>
      </c>
    </row>
    <row r="304" spans="1:50" ht="18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173" t="s">
        <v>962</v>
      </c>
      <c r="AB304" s="42" t="s">
        <v>963</v>
      </c>
      <c r="AC304" s="43"/>
      <c r="AD304" s="44">
        <v>0</v>
      </c>
      <c r="AE304" s="44">
        <v>0</v>
      </c>
      <c r="AF304" s="44">
        <v>0</v>
      </c>
      <c r="AG304" s="43">
        <v>280746171.69999999</v>
      </c>
      <c r="AH304" s="44">
        <v>0</v>
      </c>
      <c r="AI304" s="18">
        <f t="shared" ref="AI304:AI305" si="154">AE304-AF304+AG304-AH304</f>
        <v>280746171.69999999</v>
      </c>
      <c r="AJ304" s="18">
        <f t="shared" ref="AJ304:AJ305" si="155">AD304+AI304</f>
        <v>280746171.69999999</v>
      </c>
      <c r="AK304" s="44">
        <v>0</v>
      </c>
      <c r="AL304" s="44">
        <v>0</v>
      </c>
      <c r="AM304" s="44">
        <v>0</v>
      </c>
      <c r="AN304" s="44">
        <v>0</v>
      </c>
      <c r="AO304" s="44">
        <v>0</v>
      </c>
      <c r="AP304" s="44">
        <v>0</v>
      </c>
      <c r="AQ304" s="44">
        <v>0</v>
      </c>
      <c r="AR304" s="44">
        <v>0</v>
      </c>
      <c r="AS304" s="44">
        <v>0</v>
      </c>
      <c r="AT304" s="275">
        <f t="shared" si="153"/>
        <v>0</v>
      </c>
      <c r="AU304" s="18">
        <f>AJ304-AM304</f>
        <v>280746171.69999999</v>
      </c>
      <c r="AV304" s="133">
        <f>AM304-AP304</f>
        <v>0</v>
      </c>
      <c r="AW304" s="34">
        <f>AP304-AT304</f>
        <v>0</v>
      </c>
      <c r="AX304" s="123">
        <f>AP304/AJ304</f>
        <v>0</v>
      </c>
    </row>
    <row r="305" spans="1:50" ht="26.2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245" t="s">
        <v>1199</v>
      </c>
      <c r="AB305" s="42" t="s">
        <v>1200</v>
      </c>
      <c r="AC305" s="43"/>
      <c r="AD305" s="44">
        <v>0</v>
      </c>
      <c r="AE305" s="43">
        <v>3259928918.5</v>
      </c>
      <c r="AF305" s="44">
        <v>0</v>
      </c>
      <c r="AG305" s="44">
        <v>0</v>
      </c>
      <c r="AH305" s="34">
        <v>0</v>
      </c>
      <c r="AI305" s="18">
        <f t="shared" si="154"/>
        <v>3259928918.5</v>
      </c>
      <c r="AJ305" s="18">
        <f t="shared" si="155"/>
        <v>3259928918.5</v>
      </c>
      <c r="AK305" s="44">
        <v>0</v>
      </c>
      <c r="AL305" s="44">
        <v>0</v>
      </c>
      <c r="AM305" s="44">
        <v>0</v>
      </c>
      <c r="AN305" s="44">
        <v>0</v>
      </c>
      <c r="AO305" s="44">
        <v>0</v>
      </c>
      <c r="AP305" s="44">
        <v>0</v>
      </c>
      <c r="AQ305" s="44">
        <v>0</v>
      </c>
      <c r="AR305" s="44">
        <v>0</v>
      </c>
      <c r="AS305" s="44">
        <v>0</v>
      </c>
      <c r="AT305" s="275">
        <f t="shared" si="153"/>
        <v>0</v>
      </c>
      <c r="AU305" s="18">
        <f>AJ305-AM305</f>
        <v>3259928918.5</v>
      </c>
      <c r="AV305" s="133">
        <f>AM305-AP305</f>
        <v>0</v>
      </c>
      <c r="AW305" s="34">
        <f>AP305-AT305</f>
        <v>0</v>
      </c>
      <c r="AX305" s="123">
        <f>AP305/AJ305</f>
        <v>0</v>
      </c>
    </row>
    <row r="306" spans="1:50" ht="18.75" customHeight="1" x14ac:dyDescent="0.2">
      <c r="AA306" s="28" t="s">
        <v>288</v>
      </c>
      <c r="AB306" s="29" t="s">
        <v>63</v>
      </c>
      <c r="AC306" s="17"/>
      <c r="AD306" s="18"/>
      <c r="AE306" s="34"/>
      <c r="AF306" s="34"/>
      <c r="AG306" s="34"/>
      <c r="AH306" s="34"/>
      <c r="AI306" s="34"/>
      <c r="AJ306" s="18"/>
      <c r="AK306" s="34"/>
      <c r="AL306" s="18"/>
      <c r="AM306" s="18"/>
      <c r="AN306" s="34"/>
      <c r="AO306" s="18"/>
      <c r="AP306" s="18"/>
      <c r="AQ306" s="18"/>
      <c r="AR306" s="34"/>
      <c r="AS306" s="18"/>
      <c r="AT306" s="30"/>
      <c r="AU306" s="18"/>
      <c r="AV306" s="34"/>
      <c r="AW306" s="34"/>
      <c r="AX306" s="18"/>
    </row>
    <row r="307" spans="1:50" ht="18.75" customHeight="1" x14ac:dyDescent="0.2">
      <c r="A307" s="4" t="s">
        <v>325</v>
      </c>
      <c r="B307" s="4" t="s">
        <v>326</v>
      </c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1" t="s">
        <v>349</v>
      </c>
      <c r="AB307" s="42" t="s">
        <v>328</v>
      </c>
      <c r="AC307" s="43" t="s">
        <v>61</v>
      </c>
      <c r="AD307" s="43">
        <v>1252925726</v>
      </c>
      <c r="AE307" s="44">
        <v>0</v>
      </c>
      <c r="AF307" s="44">
        <v>0</v>
      </c>
      <c r="AG307" s="44">
        <v>0</v>
      </c>
      <c r="AH307" s="44">
        <v>0</v>
      </c>
      <c r="AI307" s="34">
        <f>AE307-AF307+AG307-AH307</f>
        <v>0</v>
      </c>
      <c r="AJ307" s="18">
        <f>AD307+AI307</f>
        <v>1252925726</v>
      </c>
      <c r="AK307" s="44">
        <v>0</v>
      </c>
      <c r="AL307" s="43">
        <v>47686602</v>
      </c>
      <c r="AM307" s="43">
        <v>597566037</v>
      </c>
      <c r="AN307" s="44">
        <v>0</v>
      </c>
      <c r="AO307" s="43">
        <v>47568819</v>
      </c>
      <c r="AP307" s="43">
        <v>597448254</v>
      </c>
      <c r="AQ307" s="44">
        <v>0</v>
      </c>
      <c r="AR307" s="44">
        <v>47568819</v>
      </c>
      <c r="AS307" s="43">
        <v>597448254</v>
      </c>
      <c r="AT307" s="39">
        <f t="shared" ref="AT307" si="156">AQ307+AS307</f>
        <v>597448254</v>
      </c>
      <c r="AU307" s="18">
        <f>AJ307-AM307</f>
        <v>655359689</v>
      </c>
      <c r="AV307" s="34">
        <f>AM307-AP307</f>
        <v>117783</v>
      </c>
      <c r="AW307" s="34">
        <f>AP307-AT307</f>
        <v>0</v>
      </c>
      <c r="AX307" s="123">
        <f>AP307/AJ307</f>
        <v>0.47684251476531658</v>
      </c>
    </row>
    <row r="308" spans="1:50" ht="18.75" customHeight="1" x14ac:dyDescent="0.2">
      <c r="AA308" s="28" t="s">
        <v>288</v>
      </c>
      <c r="AB308" s="29" t="s">
        <v>67</v>
      </c>
      <c r="AC308" s="17"/>
      <c r="AD308" s="18"/>
      <c r="AE308" s="34"/>
      <c r="AF308" s="34"/>
      <c r="AG308" s="34"/>
      <c r="AH308" s="34"/>
      <c r="AI308" s="34"/>
      <c r="AJ308" s="18"/>
      <c r="AK308" s="34"/>
      <c r="AL308" s="18"/>
      <c r="AM308" s="18"/>
      <c r="AN308" s="34"/>
      <c r="AO308" s="18"/>
      <c r="AP308" s="18"/>
      <c r="AQ308" s="34"/>
      <c r="AR308" s="34"/>
      <c r="AS308" s="18"/>
      <c r="AT308" s="39"/>
      <c r="AU308" s="18"/>
      <c r="AV308" s="34"/>
      <c r="AW308" s="34"/>
      <c r="AX308" s="18"/>
    </row>
    <row r="309" spans="1:50" ht="18.75" customHeight="1" x14ac:dyDescent="0.2">
      <c r="A309" s="4" t="s">
        <v>325</v>
      </c>
      <c r="B309" s="4" t="s">
        <v>326</v>
      </c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1" t="s">
        <v>350</v>
      </c>
      <c r="AB309" s="42" t="s">
        <v>328</v>
      </c>
      <c r="AC309" s="43" t="s">
        <v>61</v>
      </c>
      <c r="AD309" s="43">
        <v>29846525</v>
      </c>
      <c r="AE309" s="44">
        <v>0</v>
      </c>
      <c r="AF309" s="44">
        <v>0</v>
      </c>
      <c r="AG309" s="44">
        <v>0</v>
      </c>
      <c r="AH309" s="44">
        <v>0</v>
      </c>
      <c r="AI309" s="34">
        <f>AE309-AF309+AG309-AH309</f>
        <v>0</v>
      </c>
      <c r="AJ309" s="18">
        <f>AD309+AI309</f>
        <v>29846525</v>
      </c>
      <c r="AK309" s="44">
        <v>0</v>
      </c>
      <c r="AL309" s="43">
        <v>1357202</v>
      </c>
      <c r="AM309" s="43">
        <v>14993208</v>
      </c>
      <c r="AN309" s="44">
        <v>0</v>
      </c>
      <c r="AO309" s="43">
        <v>1357202</v>
      </c>
      <c r="AP309" s="43">
        <v>14993208</v>
      </c>
      <c r="AQ309" s="44">
        <v>0</v>
      </c>
      <c r="AR309" s="44">
        <v>1357202</v>
      </c>
      <c r="AS309" s="43">
        <v>14993208</v>
      </c>
      <c r="AT309" s="39">
        <f t="shared" ref="AT309" si="157">AQ309+AS309</f>
        <v>14993208</v>
      </c>
      <c r="AU309" s="18">
        <f>AJ309-AM309</f>
        <v>14853317</v>
      </c>
      <c r="AV309" s="34">
        <f>AM309-AP309</f>
        <v>0</v>
      </c>
      <c r="AW309" s="34">
        <f>AP309-AT309</f>
        <v>0</v>
      </c>
      <c r="AX309" s="123">
        <f>AP309/AJ309</f>
        <v>0.50234350565099284</v>
      </c>
    </row>
    <row r="310" spans="1:50" ht="18.75" customHeight="1" x14ac:dyDescent="0.2">
      <c r="AA310" s="28" t="s">
        <v>288</v>
      </c>
      <c r="AB310" s="29" t="s">
        <v>69</v>
      </c>
      <c r="AC310" s="17"/>
      <c r="AD310" s="18"/>
      <c r="AE310" s="34"/>
      <c r="AF310" s="34"/>
      <c r="AG310" s="34"/>
      <c r="AH310" s="34"/>
      <c r="AI310" s="34"/>
      <c r="AJ310" s="18"/>
      <c r="AK310" s="34"/>
      <c r="AL310" s="18"/>
      <c r="AM310" s="18"/>
      <c r="AN310" s="34"/>
      <c r="AO310" s="18"/>
      <c r="AP310" s="18"/>
      <c r="AQ310" s="34"/>
      <c r="AR310" s="18"/>
      <c r="AS310" s="18"/>
      <c r="AT310" s="39"/>
      <c r="AU310" s="18"/>
      <c r="AV310" s="18"/>
      <c r="AW310" s="34"/>
      <c r="AX310" s="18"/>
    </row>
    <row r="311" spans="1:50" ht="18.75" customHeight="1" x14ac:dyDescent="0.2">
      <c r="A311" s="4" t="s">
        <v>325</v>
      </c>
      <c r="B311" s="4" t="s">
        <v>326</v>
      </c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1" t="s">
        <v>351</v>
      </c>
      <c r="AB311" s="42" t="s">
        <v>328</v>
      </c>
      <c r="AC311" s="43" t="s">
        <v>61</v>
      </c>
      <c r="AD311" s="43">
        <v>8723052</v>
      </c>
      <c r="AE311" s="44">
        <v>0</v>
      </c>
      <c r="AF311" s="44">
        <v>0</v>
      </c>
      <c r="AG311" s="43">
        <v>36194360</v>
      </c>
      <c r="AH311" s="44">
        <v>0</v>
      </c>
      <c r="AI311" s="18">
        <f>AE311-AF311+AG311-AH311</f>
        <v>36194360</v>
      </c>
      <c r="AJ311" s="18">
        <f>AD311+AI311</f>
        <v>44917412</v>
      </c>
      <c r="AK311" s="44">
        <v>0</v>
      </c>
      <c r="AL311" s="43">
        <v>2129064</v>
      </c>
      <c r="AM311" s="43">
        <v>23487274</v>
      </c>
      <c r="AN311" s="44">
        <v>0</v>
      </c>
      <c r="AO311" s="43">
        <v>2129064</v>
      </c>
      <c r="AP311" s="43">
        <v>23487274</v>
      </c>
      <c r="AQ311" s="44">
        <v>0</v>
      </c>
      <c r="AR311" s="43">
        <v>2129064</v>
      </c>
      <c r="AS311" s="43">
        <v>23487274</v>
      </c>
      <c r="AT311" s="39">
        <f t="shared" ref="AT311" si="158">AQ311+AS311</f>
        <v>23487274</v>
      </c>
      <c r="AU311" s="18">
        <f>AJ311-AM311</f>
        <v>21430138</v>
      </c>
      <c r="AV311" s="34">
        <f>AM311-AP311</f>
        <v>0</v>
      </c>
      <c r="AW311" s="34">
        <f>AP311-AT311</f>
        <v>0</v>
      </c>
      <c r="AX311" s="123">
        <f>AP311/AJ311</f>
        <v>0.52289909311783145</v>
      </c>
    </row>
    <row r="312" spans="1:50" ht="18.75" customHeight="1" x14ac:dyDescent="0.2">
      <c r="AA312" s="28" t="s">
        <v>288</v>
      </c>
      <c r="AB312" s="29" t="s">
        <v>71</v>
      </c>
      <c r="AC312" s="17"/>
      <c r="AD312" s="18"/>
      <c r="AE312" s="34"/>
      <c r="AF312" s="34"/>
      <c r="AG312" s="34"/>
      <c r="AH312" s="34"/>
      <c r="AI312" s="34"/>
      <c r="AJ312" s="18"/>
      <c r="AK312" s="34"/>
      <c r="AL312" s="18"/>
      <c r="AM312" s="18"/>
      <c r="AN312" s="34"/>
      <c r="AO312" s="18"/>
      <c r="AP312" s="18"/>
      <c r="AQ312" s="34"/>
      <c r="AR312" s="18"/>
      <c r="AS312" s="18"/>
      <c r="AT312" s="39"/>
      <c r="AU312" s="18"/>
      <c r="AV312" s="18"/>
      <c r="AW312" s="18"/>
      <c r="AX312" s="18"/>
    </row>
    <row r="313" spans="1:50" ht="18.75" customHeight="1" x14ac:dyDescent="0.2">
      <c r="A313" s="4" t="s">
        <v>325</v>
      </c>
      <c r="B313" s="4" t="s">
        <v>326</v>
      </c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1" t="s">
        <v>327</v>
      </c>
      <c r="AB313" s="42" t="s">
        <v>328</v>
      </c>
      <c r="AC313" s="43" t="s">
        <v>61</v>
      </c>
      <c r="AD313" s="43">
        <v>5466979223</v>
      </c>
      <c r="AE313" s="44">
        <v>0</v>
      </c>
      <c r="AF313" s="44">
        <v>0</v>
      </c>
      <c r="AG313" s="44">
        <v>0</v>
      </c>
      <c r="AH313" s="44">
        <v>0</v>
      </c>
      <c r="AI313" s="34">
        <f>AE313-AF313+AG313-AH313</f>
        <v>0</v>
      </c>
      <c r="AJ313" s="18">
        <f>AD313+AI313</f>
        <v>5466979223</v>
      </c>
      <c r="AK313" s="44">
        <v>0</v>
      </c>
      <c r="AL313" s="43">
        <v>2421018</v>
      </c>
      <c r="AM313" s="43">
        <v>4918621021</v>
      </c>
      <c r="AN313" s="44">
        <v>0</v>
      </c>
      <c r="AO313" s="43">
        <v>2421018</v>
      </c>
      <c r="AP313" s="43">
        <v>4918621021</v>
      </c>
      <c r="AQ313" s="44">
        <v>0</v>
      </c>
      <c r="AR313" s="44">
        <v>2421018</v>
      </c>
      <c r="AS313" s="43">
        <v>126907068</v>
      </c>
      <c r="AT313" s="39">
        <f t="shared" ref="AT313" si="159">AQ313+AS313</f>
        <v>126907068</v>
      </c>
      <c r="AU313" s="18">
        <f>AJ313-AM313</f>
        <v>548358202</v>
      </c>
      <c r="AV313" s="34">
        <f>AM313-AP313</f>
        <v>0</v>
      </c>
      <c r="AW313" s="18">
        <f>AP313-AT313</f>
        <v>4791713953</v>
      </c>
      <c r="AX313" s="123">
        <f>AP313/AJ313</f>
        <v>0.89969630766237141</v>
      </c>
    </row>
    <row r="314" spans="1:50" ht="18.75" customHeight="1" x14ac:dyDescent="0.2">
      <c r="AA314" s="28" t="s">
        <v>288</v>
      </c>
      <c r="AB314" s="29" t="s">
        <v>76</v>
      </c>
      <c r="AC314" s="17"/>
      <c r="AD314" s="18"/>
      <c r="AE314" s="34"/>
      <c r="AF314" s="34"/>
      <c r="AG314" s="34"/>
      <c r="AH314" s="34"/>
      <c r="AI314" s="34"/>
      <c r="AJ314" s="18"/>
      <c r="AK314" s="34"/>
      <c r="AL314" s="18"/>
      <c r="AM314" s="18"/>
      <c r="AN314" s="34"/>
      <c r="AO314" s="18"/>
      <c r="AP314" s="18"/>
      <c r="AQ314" s="18"/>
      <c r="AR314" s="34"/>
      <c r="AS314" s="18"/>
      <c r="AT314" s="39"/>
      <c r="AU314" s="18"/>
      <c r="AV314" s="18"/>
      <c r="AW314" s="34"/>
      <c r="AX314" s="18"/>
    </row>
    <row r="315" spans="1:50" ht="18.75" customHeight="1" x14ac:dyDescent="0.2">
      <c r="A315" s="4" t="s">
        <v>325</v>
      </c>
      <c r="B315" s="4" t="s">
        <v>326</v>
      </c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1" t="s">
        <v>329</v>
      </c>
      <c r="AB315" s="42" t="s">
        <v>328</v>
      </c>
      <c r="AC315" s="43" t="s">
        <v>61</v>
      </c>
      <c r="AD315" s="43">
        <v>3964855703</v>
      </c>
      <c r="AE315" s="44">
        <v>0</v>
      </c>
      <c r="AF315" s="44">
        <v>0</v>
      </c>
      <c r="AG315" s="44">
        <v>0</v>
      </c>
      <c r="AH315" s="44">
        <v>0</v>
      </c>
      <c r="AI315" s="34">
        <f>AE315-AF315+AG315-AH315</f>
        <v>0</v>
      </c>
      <c r="AJ315" s="18">
        <f>AD315+AI315</f>
        <v>3964855703</v>
      </c>
      <c r="AK315" s="44">
        <v>0</v>
      </c>
      <c r="AL315" s="43">
        <v>170125867</v>
      </c>
      <c r="AM315" s="43">
        <v>2073648557</v>
      </c>
      <c r="AN315" s="44">
        <v>0</v>
      </c>
      <c r="AO315" s="43">
        <v>170125867</v>
      </c>
      <c r="AP315" s="43">
        <v>2073648557</v>
      </c>
      <c r="AQ315" s="44">
        <v>0</v>
      </c>
      <c r="AR315" s="44">
        <v>170125867</v>
      </c>
      <c r="AS315" s="43">
        <v>2073648557</v>
      </c>
      <c r="AT315" s="39">
        <f t="shared" ref="AT315" si="160">AQ315+AS315</f>
        <v>2073648557</v>
      </c>
      <c r="AU315" s="18">
        <f>AJ315-AM315</f>
        <v>1891207146</v>
      </c>
      <c r="AV315" s="34">
        <f>AM315-AP315</f>
        <v>0</v>
      </c>
      <c r="AW315" s="34">
        <f>AP315-AT315</f>
        <v>0</v>
      </c>
      <c r="AX315" s="123">
        <f>AP315/AJ315</f>
        <v>0.52300732040033082</v>
      </c>
    </row>
    <row r="316" spans="1:50" ht="18.75" customHeight="1" x14ac:dyDescent="0.2">
      <c r="AA316" s="16"/>
      <c r="AB316" s="29" t="s">
        <v>81</v>
      </c>
      <c r="AC316" s="17"/>
      <c r="AD316" s="18"/>
      <c r="AE316" s="34"/>
      <c r="AF316" s="34"/>
      <c r="AG316" s="34"/>
      <c r="AH316" s="34"/>
      <c r="AI316" s="34"/>
      <c r="AJ316" s="18"/>
      <c r="AK316" s="34"/>
      <c r="AL316" s="18"/>
      <c r="AM316" s="18"/>
      <c r="AN316" s="34"/>
      <c r="AO316" s="18"/>
      <c r="AP316" s="18"/>
      <c r="AQ316" s="34"/>
      <c r="AR316" s="34"/>
      <c r="AS316" s="18"/>
      <c r="AT316" s="30"/>
      <c r="AU316" s="18"/>
      <c r="AV316" s="18"/>
      <c r="AW316" s="34"/>
      <c r="AX316" s="18"/>
    </row>
    <row r="317" spans="1:50" ht="18.75" customHeight="1" x14ac:dyDescent="0.2">
      <c r="AA317" s="28" t="s">
        <v>288</v>
      </c>
      <c r="AB317" s="29" t="s">
        <v>83</v>
      </c>
      <c r="AC317" s="17"/>
      <c r="AD317" s="18"/>
      <c r="AE317" s="34"/>
      <c r="AF317" s="34"/>
      <c r="AG317" s="34"/>
      <c r="AH317" s="34"/>
      <c r="AI317" s="34"/>
      <c r="AJ317" s="18"/>
      <c r="AK317" s="34"/>
      <c r="AL317" s="18"/>
      <c r="AM317" s="18"/>
      <c r="AN317" s="34"/>
      <c r="AO317" s="18"/>
      <c r="AP317" s="18"/>
      <c r="AQ317" s="34"/>
      <c r="AR317" s="34"/>
      <c r="AS317" s="18"/>
      <c r="AT317" s="30"/>
      <c r="AU317" s="18"/>
      <c r="AV317" s="18"/>
      <c r="AW317" s="34"/>
      <c r="AX317" s="18"/>
    </row>
    <row r="318" spans="1:50" ht="18.75" customHeight="1" x14ac:dyDescent="0.2">
      <c r="A318" s="4" t="s">
        <v>325</v>
      </c>
      <c r="B318" s="4" t="s">
        <v>326</v>
      </c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1" t="s">
        <v>330</v>
      </c>
      <c r="AB318" s="42" t="s">
        <v>328</v>
      </c>
      <c r="AC318" s="43" t="s">
        <v>61</v>
      </c>
      <c r="AD318" s="43">
        <v>11363953497</v>
      </c>
      <c r="AE318" s="44">
        <v>0</v>
      </c>
      <c r="AF318" s="44">
        <v>0</v>
      </c>
      <c r="AG318" s="44">
        <v>0</v>
      </c>
      <c r="AH318" s="44">
        <v>0</v>
      </c>
      <c r="AI318" s="34">
        <f>AE318-AF318+AG318-AH318</f>
        <v>0</v>
      </c>
      <c r="AJ318" s="18">
        <f>AD318+AI318</f>
        <v>11363953497</v>
      </c>
      <c r="AK318" s="44">
        <v>0</v>
      </c>
      <c r="AL318" s="43">
        <v>45320905</v>
      </c>
      <c r="AM318" s="43">
        <v>121093358</v>
      </c>
      <c r="AN318" s="44">
        <v>0</v>
      </c>
      <c r="AO318" s="43">
        <v>45320905</v>
      </c>
      <c r="AP318" s="43">
        <v>121093358</v>
      </c>
      <c r="AQ318" s="44">
        <v>0</v>
      </c>
      <c r="AR318" s="44">
        <v>45320905</v>
      </c>
      <c r="AS318" s="43">
        <v>121093358</v>
      </c>
      <c r="AT318" s="39">
        <f t="shared" ref="AT318" si="161">AQ318+AS318</f>
        <v>121093358</v>
      </c>
      <c r="AU318" s="18">
        <f>AJ318-AM318</f>
        <v>11242860139</v>
      </c>
      <c r="AV318" s="34">
        <f>AM318-AP318</f>
        <v>0</v>
      </c>
      <c r="AW318" s="34">
        <f>AP318-AT318</f>
        <v>0</v>
      </c>
      <c r="AX318" s="123">
        <f>AP318/AJ318</f>
        <v>1.0655918121450229E-2</v>
      </c>
    </row>
    <row r="319" spans="1:50" ht="18.75" customHeight="1" x14ac:dyDescent="0.2">
      <c r="AA319" s="28" t="s">
        <v>288</v>
      </c>
      <c r="AB319" s="29" t="s">
        <v>88</v>
      </c>
      <c r="AC319" s="17"/>
      <c r="AD319" s="18"/>
      <c r="AE319" s="34"/>
      <c r="AF319" s="34"/>
      <c r="AG319" s="34"/>
      <c r="AH319" s="34"/>
      <c r="AI319" s="34"/>
      <c r="AJ319" s="18"/>
      <c r="AK319" s="34"/>
      <c r="AL319" s="18"/>
      <c r="AM319" s="18"/>
      <c r="AN319" s="34"/>
      <c r="AO319" s="18"/>
      <c r="AP319" s="18"/>
      <c r="AQ319" s="34"/>
      <c r="AR319" s="18"/>
      <c r="AS319" s="18"/>
      <c r="AT319" s="30"/>
      <c r="AU319" s="18"/>
      <c r="AV319" s="18"/>
      <c r="AW319" s="18"/>
      <c r="AX319" s="18"/>
    </row>
    <row r="320" spans="1:50" ht="18.75" customHeight="1" x14ac:dyDescent="0.2">
      <c r="A320" s="4" t="s">
        <v>325</v>
      </c>
      <c r="B320" s="4" t="s">
        <v>326</v>
      </c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1" t="s">
        <v>331</v>
      </c>
      <c r="AB320" s="42" t="s">
        <v>328</v>
      </c>
      <c r="AC320" s="43" t="s">
        <v>61</v>
      </c>
      <c r="AD320" s="43">
        <v>5983405720</v>
      </c>
      <c r="AE320" s="44">
        <v>0</v>
      </c>
      <c r="AF320" s="44">
        <v>0</v>
      </c>
      <c r="AG320" s="44">
        <v>0</v>
      </c>
      <c r="AH320" s="44">
        <v>0</v>
      </c>
      <c r="AI320" s="34">
        <f>AE320-AF320+AG320-AH320</f>
        <v>0</v>
      </c>
      <c r="AJ320" s="18">
        <f>AD320+AI320</f>
        <v>5983405720</v>
      </c>
      <c r="AK320" s="44">
        <v>0</v>
      </c>
      <c r="AL320" s="44">
        <v>263458</v>
      </c>
      <c r="AM320" s="43">
        <v>4225408</v>
      </c>
      <c r="AN320" s="44">
        <v>0</v>
      </c>
      <c r="AO320" s="44">
        <v>263458</v>
      </c>
      <c r="AP320" s="43">
        <v>4225408</v>
      </c>
      <c r="AQ320" s="44">
        <v>0</v>
      </c>
      <c r="AR320" s="44">
        <v>263458</v>
      </c>
      <c r="AS320" s="43">
        <v>4225408</v>
      </c>
      <c r="AT320" s="39">
        <f t="shared" ref="AT320" si="162">AQ320+AS320</f>
        <v>4225408</v>
      </c>
      <c r="AU320" s="18">
        <f>AJ320-AM320</f>
        <v>5979180312</v>
      </c>
      <c r="AV320" s="34">
        <f>AM320-AP320</f>
        <v>0</v>
      </c>
      <c r="AW320" s="34">
        <f>AP320-AT320</f>
        <v>0</v>
      </c>
      <c r="AX320" s="123">
        <f>AP320/AJ320</f>
        <v>7.0618777962461155E-4</v>
      </c>
    </row>
    <row r="321" spans="1:50" ht="18.75" customHeight="1" x14ac:dyDescent="0.2">
      <c r="AA321" s="16"/>
      <c r="AB321" s="29" t="s">
        <v>103</v>
      </c>
      <c r="AC321" s="17"/>
      <c r="AD321" s="18"/>
      <c r="AE321" s="34"/>
      <c r="AF321" s="34"/>
      <c r="AG321" s="34"/>
      <c r="AH321" s="34"/>
      <c r="AI321" s="34"/>
      <c r="AJ321" s="18"/>
      <c r="AK321" s="34"/>
      <c r="AL321" s="18"/>
      <c r="AM321" s="18"/>
      <c r="AN321" s="34"/>
      <c r="AO321" s="18"/>
      <c r="AP321" s="18"/>
      <c r="AQ321" s="18"/>
      <c r="AR321" s="18"/>
      <c r="AS321" s="18"/>
      <c r="AT321" s="30"/>
      <c r="AU321" s="18"/>
      <c r="AV321" s="18"/>
      <c r="AW321" s="34"/>
      <c r="AX321" s="18"/>
    </row>
    <row r="322" spans="1:50" ht="18.75" customHeight="1" x14ac:dyDescent="0.2">
      <c r="AA322" s="28" t="s">
        <v>288</v>
      </c>
      <c r="AB322" s="29" t="s">
        <v>352</v>
      </c>
      <c r="AC322" s="17"/>
      <c r="AD322" s="18"/>
      <c r="AE322" s="34"/>
      <c r="AF322" s="34"/>
      <c r="AG322" s="34"/>
      <c r="AH322" s="34"/>
      <c r="AI322" s="34"/>
      <c r="AJ322" s="18"/>
      <c r="AK322" s="34"/>
      <c r="AL322" s="18"/>
      <c r="AM322" s="18"/>
      <c r="AN322" s="34"/>
      <c r="AO322" s="18"/>
      <c r="AP322" s="18"/>
      <c r="AQ322" s="18"/>
      <c r="AR322" s="18"/>
      <c r="AS322" s="18"/>
      <c r="AT322" s="30"/>
      <c r="AU322" s="18"/>
      <c r="AV322" s="18"/>
      <c r="AW322" s="34"/>
      <c r="AX322" s="18"/>
    </row>
    <row r="323" spans="1:50" ht="18.75" customHeight="1" x14ac:dyDescent="0.2">
      <c r="A323" s="4" t="s">
        <v>325</v>
      </c>
      <c r="B323" s="4" t="s">
        <v>326</v>
      </c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1" t="s">
        <v>332</v>
      </c>
      <c r="AB323" s="42" t="s">
        <v>328</v>
      </c>
      <c r="AC323" s="43" t="s">
        <v>61</v>
      </c>
      <c r="AD323" s="43">
        <v>13134738179</v>
      </c>
      <c r="AE323" s="44">
        <v>0</v>
      </c>
      <c r="AF323" s="44">
        <v>0</v>
      </c>
      <c r="AG323" s="44">
        <v>0</v>
      </c>
      <c r="AH323" s="44">
        <v>0</v>
      </c>
      <c r="AI323" s="44">
        <v>0</v>
      </c>
      <c r="AJ323" s="43">
        <v>13134738179</v>
      </c>
      <c r="AK323" s="44">
        <v>0</v>
      </c>
      <c r="AL323" s="43">
        <v>807214005</v>
      </c>
      <c r="AM323" s="43">
        <v>5694026221.96</v>
      </c>
      <c r="AN323" s="44">
        <v>0</v>
      </c>
      <c r="AO323" s="43">
        <v>807214005</v>
      </c>
      <c r="AP323" s="43">
        <v>5694026221.96</v>
      </c>
      <c r="AQ323" s="44">
        <v>0</v>
      </c>
      <c r="AR323" s="43">
        <v>807214005</v>
      </c>
      <c r="AS323" s="43">
        <v>5694026221.96</v>
      </c>
      <c r="AT323" s="39">
        <f t="shared" ref="AT323" si="163">AQ323+AS323</f>
        <v>5694026221.96</v>
      </c>
      <c r="AU323" s="18">
        <f>AJ323-AM323</f>
        <v>7440711957.04</v>
      </c>
      <c r="AV323" s="34">
        <f>AM323-AP323</f>
        <v>0</v>
      </c>
      <c r="AW323" s="34">
        <f>AP323-AT323</f>
        <v>0</v>
      </c>
      <c r="AX323" s="123">
        <f>AP323/AJ323</f>
        <v>0.43350892452989187</v>
      </c>
    </row>
    <row r="324" spans="1:50" ht="18.75" customHeight="1" x14ac:dyDescent="0.2">
      <c r="AA324" s="28" t="s">
        <v>288</v>
      </c>
      <c r="AB324" s="29" t="s">
        <v>353</v>
      </c>
      <c r="AC324" s="17"/>
      <c r="AD324" s="18"/>
      <c r="AE324" s="34"/>
      <c r="AF324" s="34"/>
      <c r="AG324" s="34"/>
      <c r="AH324" s="34"/>
      <c r="AI324" s="34"/>
      <c r="AJ324" s="18"/>
      <c r="AK324" s="34"/>
      <c r="AL324" s="18"/>
      <c r="AM324" s="18"/>
      <c r="AN324" s="34"/>
      <c r="AO324" s="18"/>
      <c r="AP324" s="18"/>
      <c r="AQ324" s="34"/>
      <c r="AR324" s="18"/>
      <c r="AS324" s="18"/>
      <c r="AT324" s="30"/>
      <c r="AU324" s="18"/>
      <c r="AV324" s="18"/>
      <c r="AW324" s="34"/>
      <c r="AX324" s="18"/>
    </row>
    <row r="325" spans="1:50" ht="18.75" customHeight="1" x14ac:dyDescent="0.2">
      <c r="A325" s="4" t="s">
        <v>325</v>
      </c>
      <c r="B325" s="4" t="s">
        <v>326</v>
      </c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1" t="s">
        <v>334</v>
      </c>
      <c r="AB325" s="42" t="s">
        <v>328</v>
      </c>
      <c r="AC325" s="43" t="s">
        <v>61</v>
      </c>
      <c r="AD325" s="43">
        <v>9662336131</v>
      </c>
      <c r="AE325" s="44">
        <v>0</v>
      </c>
      <c r="AF325" s="44">
        <v>0</v>
      </c>
      <c r="AG325" s="44">
        <v>0</v>
      </c>
      <c r="AH325" s="44">
        <v>0</v>
      </c>
      <c r="AI325" s="44">
        <v>0</v>
      </c>
      <c r="AJ325" s="43">
        <v>9662336131</v>
      </c>
      <c r="AK325" s="44">
        <v>0</v>
      </c>
      <c r="AL325" s="43">
        <v>857659644</v>
      </c>
      <c r="AM325" s="43">
        <v>5848198343.04</v>
      </c>
      <c r="AN325" s="44">
        <v>0</v>
      </c>
      <c r="AO325" s="43">
        <v>857659644</v>
      </c>
      <c r="AP325" s="43">
        <v>5848198343.04</v>
      </c>
      <c r="AQ325" s="44">
        <v>0</v>
      </c>
      <c r="AR325" s="43">
        <v>857659644</v>
      </c>
      <c r="AS325" s="43">
        <v>5848198343.04</v>
      </c>
      <c r="AT325" s="39">
        <f t="shared" ref="AT325" si="164">AQ325+AS325</f>
        <v>5848198343.04</v>
      </c>
      <c r="AU325" s="18">
        <f>AJ325-AM325</f>
        <v>3814137787.96</v>
      </c>
      <c r="AV325" s="34">
        <f>AM325-AP325</f>
        <v>0</v>
      </c>
      <c r="AW325" s="34">
        <f>AP325-AT325</f>
        <v>0</v>
      </c>
      <c r="AX325" s="123">
        <f>AP325/AJ325</f>
        <v>0.60525718250237925</v>
      </c>
    </row>
    <row r="326" spans="1:50" ht="18.75" customHeight="1" x14ac:dyDescent="0.2">
      <c r="AA326" s="28" t="s">
        <v>288</v>
      </c>
      <c r="AB326" s="29" t="s">
        <v>354</v>
      </c>
      <c r="AC326" s="17"/>
      <c r="AD326" s="18"/>
      <c r="AE326" s="34"/>
      <c r="AF326" s="34"/>
      <c r="AG326" s="34"/>
      <c r="AH326" s="34"/>
      <c r="AI326" s="34"/>
      <c r="AJ326" s="18"/>
      <c r="AK326" s="34"/>
      <c r="AL326" s="18"/>
      <c r="AM326" s="18"/>
      <c r="AN326" s="34"/>
      <c r="AO326" s="18"/>
      <c r="AP326" s="18"/>
      <c r="AQ326" s="34"/>
      <c r="AR326" s="18"/>
      <c r="AS326" s="18"/>
      <c r="AT326" s="30"/>
      <c r="AU326" s="18"/>
      <c r="AV326" s="18"/>
      <c r="AW326" s="18"/>
      <c r="AX326" s="18"/>
    </row>
    <row r="327" spans="1:50" ht="18.75" customHeight="1" x14ac:dyDescent="0.2">
      <c r="A327" s="4" t="s">
        <v>325</v>
      </c>
      <c r="B327" s="4" t="s">
        <v>326</v>
      </c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1" t="s">
        <v>335</v>
      </c>
      <c r="AB327" s="42" t="s">
        <v>328</v>
      </c>
      <c r="AC327" s="43" t="s">
        <v>61</v>
      </c>
      <c r="AD327" s="43">
        <v>8037478566</v>
      </c>
      <c r="AE327" s="44">
        <v>0</v>
      </c>
      <c r="AF327" s="44">
        <v>0</v>
      </c>
      <c r="AG327" s="44">
        <v>0</v>
      </c>
      <c r="AH327" s="44">
        <v>0</v>
      </c>
      <c r="AI327" s="44">
        <v>0</v>
      </c>
      <c r="AJ327" s="43">
        <v>8037478566</v>
      </c>
      <c r="AK327" s="44">
        <v>0</v>
      </c>
      <c r="AL327" s="43">
        <v>845374088</v>
      </c>
      <c r="AM327" s="43">
        <v>6251633421</v>
      </c>
      <c r="AN327" s="44">
        <v>0</v>
      </c>
      <c r="AO327" s="43">
        <v>845374088</v>
      </c>
      <c r="AP327" s="43">
        <v>6251633421</v>
      </c>
      <c r="AQ327" s="44">
        <v>0</v>
      </c>
      <c r="AR327" s="43">
        <v>845374088</v>
      </c>
      <c r="AS327" s="43">
        <v>6251633421</v>
      </c>
      <c r="AT327" s="39">
        <f t="shared" ref="AT327" si="165">AQ327+AS327</f>
        <v>6251633421</v>
      </c>
      <c r="AU327" s="18">
        <f>AJ327-AM327</f>
        <v>1785845145</v>
      </c>
      <c r="AV327" s="34">
        <f>AM327-AP327</f>
        <v>0</v>
      </c>
      <c r="AW327" s="34">
        <f>AP327-AT327</f>
        <v>0</v>
      </c>
      <c r="AX327" s="123">
        <f>AP327/AJ327</f>
        <v>0.77781027590487761</v>
      </c>
    </row>
    <row r="328" spans="1:50" ht="18.75" customHeight="1" x14ac:dyDescent="0.2">
      <c r="AA328" s="28" t="s">
        <v>288</v>
      </c>
      <c r="AB328" s="29" t="s">
        <v>119</v>
      </c>
      <c r="AC328" s="17"/>
      <c r="AD328" s="18"/>
      <c r="AE328" s="34"/>
      <c r="AF328" s="34"/>
      <c r="AG328" s="34"/>
      <c r="AH328" s="34"/>
      <c r="AI328" s="34"/>
      <c r="AJ328" s="18"/>
      <c r="AK328" s="34"/>
      <c r="AL328" s="18"/>
      <c r="AM328" s="18"/>
      <c r="AN328" s="34"/>
      <c r="AO328" s="18"/>
      <c r="AP328" s="18"/>
      <c r="AQ328" s="110"/>
      <c r="AR328" s="110"/>
      <c r="AS328" s="110"/>
      <c r="AT328" s="30"/>
      <c r="AU328" s="18"/>
      <c r="AV328" s="18"/>
      <c r="AW328" s="133"/>
      <c r="AX328" s="18"/>
    </row>
    <row r="329" spans="1:50" ht="18.75" customHeight="1" x14ac:dyDescent="0.2">
      <c r="A329" s="4" t="s">
        <v>325</v>
      </c>
      <c r="B329" s="4" t="s">
        <v>326</v>
      </c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1" t="s">
        <v>336</v>
      </c>
      <c r="AB329" s="42" t="s">
        <v>328</v>
      </c>
      <c r="AC329" s="43" t="s">
        <v>61</v>
      </c>
      <c r="AD329" s="43">
        <v>5595577790</v>
      </c>
      <c r="AE329" s="44">
        <v>0</v>
      </c>
      <c r="AF329" s="44">
        <v>0</v>
      </c>
      <c r="AG329" s="44">
        <v>0</v>
      </c>
      <c r="AH329" s="44">
        <v>0</v>
      </c>
      <c r="AI329" s="44">
        <v>0</v>
      </c>
      <c r="AJ329" s="43">
        <v>5595577790</v>
      </c>
      <c r="AK329" s="44">
        <v>0</v>
      </c>
      <c r="AL329" s="43">
        <v>399477300</v>
      </c>
      <c r="AM329" s="43">
        <v>2966640500</v>
      </c>
      <c r="AN329" s="44">
        <v>0</v>
      </c>
      <c r="AO329" s="43">
        <v>399477300</v>
      </c>
      <c r="AP329" s="43">
        <v>2966640500</v>
      </c>
      <c r="AQ329" s="114">
        <v>0</v>
      </c>
      <c r="AR329" s="114">
        <v>399477300</v>
      </c>
      <c r="AS329" s="114">
        <v>2966640500</v>
      </c>
      <c r="AT329" s="39">
        <f t="shared" ref="AT329" si="166">AQ329+AS329</f>
        <v>2966640500</v>
      </c>
      <c r="AU329" s="18">
        <f>AJ329-AM329</f>
        <v>2628937290</v>
      </c>
      <c r="AV329" s="34">
        <f>AM329-AP329</f>
        <v>0</v>
      </c>
      <c r="AW329" s="133">
        <f>AP329-AT329</f>
        <v>0</v>
      </c>
      <c r="AX329" s="123">
        <f>AP329/AJ329</f>
        <v>0.53017590163821138</v>
      </c>
    </row>
    <row r="330" spans="1:50" ht="18.75" customHeight="1" x14ac:dyDescent="0.2">
      <c r="AA330" s="28"/>
      <c r="AB330" s="29" t="s">
        <v>124</v>
      </c>
      <c r="AC330" s="17"/>
      <c r="AD330" s="18"/>
      <c r="AE330" s="34"/>
      <c r="AF330" s="34"/>
      <c r="AG330" s="34"/>
      <c r="AH330" s="34"/>
      <c r="AI330" s="34"/>
      <c r="AJ330" s="18"/>
      <c r="AK330" s="34"/>
      <c r="AL330" s="18"/>
      <c r="AM330" s="18"/>
      <c r="AN330" s="34"/>
      <c r="AO330" s="18"/>
      <c r="AP330" s="18"/>
      <c r="AQ330" s="110"/>
      <c r="AR330" s="110"/>
      <c r="AS330" s="110"/>
      <c r="AT330" s="31"/>
      <c r="AU330" s="18"/>
      <c r="AV330" s="18"/>
      <c r="AW330" s="18"/>
      <c r="AX330" s="18"/>
    </row>
    <row r="331" spans="1:50" ht="18.75" customHeight="1" x14ac:dyDescent="0.2">
      <c r="AA331" s="28" t="s">
        <v>288</v>
      </c>
      <c r="AB331" s="29" t="s">
        <v>129</v>
      </c>
      <c r="AC331" s="17"/>
      <c r="AD331" s="18"/>
      <c r="AE331" s="34"/>
      <c r="AF331" s="34"/>
      <c r="AG331" s="34"/>
      <c r="AH331" s="34"/>
      <c r="AI331" s="34"/>
      <c r="AJ331" s="18"/>
      <c r="AK331" s="34"/>
      <c r="AL331" s="18"/>
      <c r="AM331" s="18"/>
      <c r="AN331" s="34"/>
      <c r="AO331" s="18"/>
      <c r="AP331" s="18"/>
      <c r="AQ331" s="110"/>
      <c r="AR331" s="110"/>
      <c r="AS331" s="110"/>
      <c r="AT331" s="31"/>
      <c r="AU331" s="18"/>
      <c r="AV331" s="18"/>
      <c r="AW331" s="18"/>
      <c r="AX331" s="18"/>
    </row>
    <row r="332" spans="1:50" ht="18.75" customHeight="1" x14ac:dyDescent="0.2">
      <c r="A332" s="4" t="s">
        <v>325</v>
      </c>
      <c r="B332" s="4" t="s">
        <v>326</v>
      </c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1" t="s">
        <v>338</v>
      </c>
      <c r="AB332" s="42" t="s">
        <v>328</v>
      </c>
      <c r="AC332" s="43" t="s">
        <v>61</v>
      </c>
      <c r="AD332" s="43">
        <v>4197626620</v>
      </c>
      <c r="AE332" s="44">
        <v>0</v>
      </c>
      <c r="AF332" s="44">
        <v>0</v>
      </c>
      <c r="AG332" s="44">
        <v>0</v>
      </c>
      <c r="AH332" s="44">
        <v>0</v>
      </c>
      <c r="AI332" s="44">
        <v>0</v>
      </c>
      <c r="AJ332" s="43">
        <v>4197626620</v>
      </c>
      <c r="AK332" s="44">
        <v>0</v>
      </c>
      <c r="AL332" s="43">
        <v>299684100</v>
      </c>
      <c r="AM332" s="43">
        <v>2225277900</v>
      </c>
      <c r="AN332" s="44">
        <v>0</v>
      </c>
      <c r="AO332" s="43">
        <v>299684100</v>
      </c>
      <c r="AP332" s="43">
        <v>2225277900</v>
      </c>
      <c r="AQ332" s="115">
        <v>0</v>
      </c>
      <c r="AR332" s="114">
        <v>299684100</v>
      </c>
      <c r="AS332" s="114">
        <v>2225277900</v>
      </c>
      <c r="AT332" s="39">
        <f t="shared" ref="AT332" si="167">AQ332+AS332</f>
        <v>2225277900</v>
      </c>
      <c r="AU332" s="18">
        <f>AJ332-AM332</f>
        <v>1972348720</v>
      </c>
      <c r="AV332" s="34">
        <f>AM332-AP332</f>
        <v>0</v>
      </c>
      <c r="AW332" s="34">
        <f>AP332-AT332</f>
        <v>0</v>
      </c>
      <c r="AX332" s="123">
        <f>AP332/AJ332</f>
        <v>0.53012764150995406</v>
      </c>
    </row>
    <row r="333" spans="1:50" ht="18.75" customHeight="1" x14ac:dyDescent="0.2">
      <c r="AA333" s="28" t="s">
        <v>288</v>
      </c>
      <c r="AB333" s="29" t="s">
        <v>133</v>
      </c>
      <c r="AC333" s="17"/>
      <c r="AD333" s="18"/>
      <c r="AE333" s="34"/>
      <c r="AF333" s="34"/>
      <c r="AG333" s="34"/>
      <c r="AH333" s="34"/>
      <c r="AI333" s="34"/>
      <c r="AJ333" s="18"/>
      <c r="AK333" s="34"/>
      <c r="AL333" s="18"/>
      <c r="AM333" s="18"/>
      <c r="AN333" s="34"/>
      <c r="AO333" s="18"/>
      <c r="AP333" s="18"/>
      <c r="AQ333" s="133"/>
      <c r="AR333" s="110"/>
      <c r="AS333" s="110"/>
      <c r="AT333" s="31"/>
      <c r="AU333" s="18"/>
      <c r="AV333" s="18"/>
      <c r="AW333" s="34"/>
      <c r="AX333" s="18"/>
    </row>
    <row r="334" spans="1:50" ht="18.75" customHeight="1" x14ac:dyDescent="0.2">
      <c r="A334" s="4" t="s">
        <v>325</v>
      </c>
      <c r="B334" s="4" t="s">
        <v>326</v>
      </c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1" t="s">
        <v>339</v>
      </c>
      <c r="AB334" s="42" t="s">
        <v>328</v>
      </c>
      <c r="AC334" s="43" t="s">
        <v>61</v>
      </c>
      <c r="AD334" s="43">
        <v>701459880</v>
      </c>
      <c r="AE334" s="44">
        <v>0</v>
      </c>
      <c r="AF334" s="44">
        <v>0</v>
      </c>
      <c r="AG334" s="44">
        <v>0</v>
      </c>
      <c r="AH334" s="44">
        <v>0</v>
      </c>
      <c r="AI334" s="44">
        <v>0</v>
      </c>
      <c r="AJ334" s="43">
        <v>701459880</v>
      </c>
      <c r="AK334" s="44">
        <v>0</v>
      </c>
      <c r="AL334" s="43">
        <v>50198800</v>
      </c>
      <c r="AM334" s="43">
        <v>371978900</v>
      </c>
      <c r="AN334" s="44">
        <v>0</v>
      </c>
      <c r="AO334" s="43">
        <v>50198800</v>
      </c>
      <c r="AP334" s="43">
        <v>371978900</v>
      </c>
      <c r="AQ334" s="115">
        <v>0</v>
      </c>
      <c r="AR334" s="114">
        <v>50198800</v>
      </c>
      <c r="AS334" s="114">
        <v>371978900</v>
      </c>
      <c r="AT334" s="39">
        <f t="shared" ref="AT334" si="168">AQ334+AS334</f>
        <v>371978900</v>
      </c>
      <c r="AU334" s="18">
        <f>AJ334-AM334</f>
        <v>329480980</v>
      </c>
      <c r="AV334" s="34">
        <f>AM334-AP334</f>
        <v>0</v>
      </c>
      <c r="AW334" s="34">
        <f>AP334-AT334</f>
        <v>0</v>
      </c>
      <c r="AX334" s="123">
        <f>AP334/AJ334</f>
        <v>0.53029248087574166</v>
      </c>
    </row>
    <row r="335" spans="1:50" ht="18.75" customHeight="1" x14ac:dyDescent="0.2">
      <c r="AA335" s="28" t="s">
        <v>288</v>
      </c>
      <c r="AB335" s="29" t="s">
        <v>138</v>
      </c>
      <c r="AC335" s="17"/>
      <c r="AD335" s="18"/>
      <c r="AE335" s="34"/>
      <c r="AF335" s="34"/>
      <c r="AG335" s="34"/>
      <c r="AH335" s="34"/>
      <c r="AI335" s="34"/>
      <c r="AJ335" s="18"/>
      <c r="AK335" s="34"/>
      <c r="AL335" s="18"/>
      <c r="AM335" s="18"/>
      <c r="AN335" s="34"/>
      <c r="AO335" s="18"/>
      <c r="AP335" s="18"/>
      <c r="AQ335" s="133"/>
      <c r="AR335" s="110"/>
      <c r="AS335" s="110"/>
      <c r="AT335" s="31"/>
      <c r="AU335" s="18"/>
      <c r="AV335" s="18"/>
      <c r="AW335" s="34"/>
      <c r="AX335" s="18"/>
    </row>
    <row r="336" spans="1:50" ht="18.75" customHeight="1" x14ac:dyDescent="0.2">
      <c r="A336" s="4" t="s">
        <v>325</v>
      </c>
      <c r="B336" s="4" t="s">
        <v>326</v>
      </c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1" t="s">
        <v>340</v>
      </c>
      <c r="AB336" s="42" t="s">
        <v>328</v>
      </c>
      <c r="AC336" s="43" t="s">
        <v>61</v>
      </c>
      <c r="AD336" s="43">
        <v>701459880</v>
      </c>
      <c r="AE336" s="44">
        <v>0</v>
      </c>
      <c r="AF336" s="44">
        <v>0</v>
      </c>
      <c r="AG336" s="44">
        <v>0</v>
      </c>
      <c r="AH336" s="44">
        <v>0</v>
      </c>
      <c r="AI336" s="44">
        <v>0</v>
      </c>
      <c r="AJ336" s="43">
        <v>701459880</v>
      </c>
      <c r="AK336" s="44">
        <v>0</v>
      </c>
      <c r="AL336" s="43">
        <v>50198800</v>
      </c>
      <c r="AM336" s="43">
        <v>371978900</v>
      </c>
      <c r="AN336" s="44">
        <v>0</v>
      </c>
      <c r="AO336" s="43">
        <v>50198800</v>
      </c>
      <c r="AP336" s="43">
        <v>371978900</v>
      </c>
      <c r="AQ336" s="115">
        <v>0</v>
      </c>
      <c r="AR336" s="114">
        <v>50198800</v>
      </c>
      <c r="AS336" s="114">
        <v>371978900</v>
      </c>
      <c r="AT336" s="39">
        <f t="shared" ref="AT336:AT373" si="169">AQ336+AS336</f>
        <v>371978900</v>
      </c>
      <c r="AU336" s="18">
        <f>AJ336-AM336</f>
        <v>329480980</v>
      </c>
      <c r="AV336" s="34">
        <f>AM336-AP336</f>
        <v>0</v>
      </c>
      <c r="AW336" s="34">
        <f>AP336-AT336</f>
        <v>0</v>
      </c>
      <c r="AX336" s="123">
        <f>AP336/AJ336</f>
        <v>0.53029248087574166</v>
      </c>
    </row>
    <row r="337" spans="1:50" ht="25.5" x14ac:dyDescent="0.2">
      <c r="AA337" s="28" t="s">
        <v>288</v>
      </c>
      <c r="AB337" s="29" t="s">
        <v>145</v>
      </c>
      <c r="AC337" s="17"/>
      <c r="AD337" s="18"/>
      <c r="AE337" s="34"/>
      <c r="AF337" s="34"/>
      <c r="AG337" s="34"/>
      <c r="AH337" s="34"/>
      <c r="AI337" s="34"/>
      <c r="AJ337" s="18"/>
      <c r="AK337" s="34"/>
      <c r="AL337" s="18"/>
      <c r="AM337" s="18"/>
      <c r="AN337" s="34"/>
      <c r="AO337" s="18"/>
      <c r="AP337" s="18"/>
      <c r="AQ337" s="133"/>
      <c r="AR337" s="110"/>
      <c r="AS337" s="110"/>
      <c r="AT337" s="31"/>
      <c r="AU337" s="18"/>
      <c r="AV337" s="18"/>
      <c r="AW337" s="34"/>
      <c r="AX337" s="18"/>
    </row>
    <row r="338" spans="1:50" ht="18.75" customHeight="1" x14ac:dyDescent="0.2">
      <c r="A338" s="4" t="s">
        <v>325</v>
      </c>
      <c r="B338" s="4" t="s">
        <v>326</v>
      </c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1" t="s">
        <v>341</v>
      </c>
      <c r="AB338" s="42" t="s">
        <v>328</v>
      </c>
      <c r="AC338" s="43" t="s">
        <v>61</v>
      </c>
      <c r="AD338" s="43">
        <v>1400409285</v>
      </c>
      <c r="AE338" s="44">
        <v>0</v>
      </c>
      <c r="AF338" s="44">
        <v>0</v>
      </c>
      <c r="AG338" s="44">
        <v>0</v>
      </c>
      <c r="AH338" s="44">
        <v>0</v>
      </c>
      <c r="AI338" s="44">
        <v>0</v>
      </c>
      <c r="AJ338" s="43">
        <v>1400409285</v>
      </c>
      <c r="AK338" s="44">
        <v>0</v>
      </c>
      <c r="AL338" s="43">
        <v>100043300</v>
      </c>
      <c r="AM338" s="43">
        <v>742492600</v>
      </c>
      <c r="AN338" s="44">
        <v>0</v>
      </c>
      <c r="AO338" s="43">
        <v>100043300</v>
      </c>
      <c r="AP338" s="43">
        <v>742492600</v>
      </c>
      <c r="AQ338" s="115">
        <v>0</v>
      </c>
      <c r="AR338" s="114">
        <v>100043300</v>
      </c>
      <c r="AS338" s="114">
        <v>742492600</v>
      </c>
      <c r="AT338" s="39">
        <f t="shared" si="169"/>
        <v>742492600</v>
      </c>
      <c r="AU338" s="18">
        <f>AJ338-AM338</f>
        <v>657916685</v>
      </c>
      <c r="AV338" s="34">
        <f>AM338-AP338</f>
        <v>0</v>
      </c>
      <c r="AW338" s="34">
        <f>AP338-AT338</f>
        <v>0</v>
      </c>
      <c r="AX338" s="123">
        <f>AP338/AJ338</f>
        <v>0.53019685598556998</v>
      </c>
    </row>
    <row r="339" spans="1:50" ht="28.5" customHeight="1" x14ac:dyDescent="0.2">
      <c r="AA339" s="16"/>
      <c r="AB339" s="29" t="s">
        <v>149</v>
      </c>
      <c r="AC339" s="17"/>
      <c r="AD339" s="18"/>
      <c r="AE339" s="34"/>
      <c r="AF339" s="34"/>
      <c r="AG339" s="34"/>
      <c r="AH339" s="34"/>
      <c r="AI339" s="34"/>
      <c r="AJ339" s="18"/>
      <c r="AK339" s="34"/>
      <c r="AL339" s="18"/>
      <c r="AM339" s="18"/>
      <c r="AN339" s="34"/>
      <c r="AO339" s="18"/>
      <c r="AP339" s="18"/>
      <c r="AQ339" s="34"/>
      <c r="AR339" s="34"/>
      <c r="AS339" s="34"/>
      <c r="AT339" s="31"/>
      <c r="AU339" s="18"/>
      <c r="AV339" s="18"/>
      <c r="AW339" s="18"/>
      <c r="AX339" s="18"/>
    </row>
    <row r="340" spans="1:50" ht="18.75" customHeight="1" x14ac:dyDescent="0.2">
      <c r="AA340" s="16"/>
      <c r="AB340" s="29" t="s">
        <v>81</v>
      </c>
      <c r="AC340" s="17"/>
      <c r="AD340" s="18"/>
      <c r="AE340" s="34"/>
      <c r="AF340" s="34"/>
      <c r="AG340" s="34"/>
      <c r="AH340" s="34"/>
      <c r="AI340" s="34"/>
      <c r="AJ340" s="18"/>
      <c r="AK340" s="34"/>
      <c r="AL340" s="18"/>
      <c r="AM340" s="18"/>
      <c r="AN340" s="34"/>
      <c r="AO340" s="18"/>
      <c r="AP340" s="18"/>
      <c r="AQ340" s="34"/>
      <c r="AR340" s="34"/>
      <c r="AS340" s="34"/>
      <c r="AT340" s="31"/>
      <c r="AU340" s="18"/>
      <c r="AV340" s="18"/>
      <c r="AW340" s="18"/>
      <c r="AX340" s="18"/>
    </row>
    <row r="341" spans="1:50" ht="18.75" customHeight="1" x14ac:dyDescent="0.2">
      <c r="AA341" s="28" t="s">
        <v>288</v>
      </c>
      <c r="AB341" s="29" t="s">
        <v>152</v>
      </c>
      <c r="AC341" s="17"/>
      <c r="AD341" s="18"/>
      <c r="AE341" s="34"/>
      <c r="AF341" s="34"/>
      <c r="AG341" s="34"/>
      <c r="AH341" s="34"/>
      <c r="AI341" s="34"/>
      <c r="AJ341" s="18"/>
      <c r="AK341" s="34"/>
      <c r="AL341" s="18"/>
      <c r="AM341" s="18"/>
      <c r="AN341" s="34"/>
      <c r="AO341" s="18"/>
      <c r="AP341" s="18"/>
      <c r="AQ341" s="34"/>
      <c r="AR341" s="34"/>
      <c r="AS341" s="34"/>
      <c r="AT341" s="31"/>
      <c r="AU341" s="18"/>
      <c r="AV341" s="18"/>
      <c r="AW341" s="18"/>
      <c r="AX341" s="18"/>
    </row>
    <row r="342" spans="1:50" ht="18.75" customHeight="1" x14ac:dyDescent="0.2">
      <c r="A342" s="4" t="s">
        <v>325</v>
      </c>
      <c r="B342" s="4" t="s">
        <v>326</v>
      </c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1" t="s">
        <v>342</v>
      </c>
      <c r="AB342" s="42" t="s">
        <v>328</v>
      </c>
      <c r="AC342" s="43" t="s">
        <v>61</v>
      </c>
      <c r="AD342" s="43">
        <v>10068147601</v>
      </c>
      <c r="AE342" s="44">
        <v>0</v>
      </c>
      <c r="AF342" s="44">
        <v>0</v>
      </c>
      <c r="AG342" s="44">
        <v>0</v>
      </c>
      <c r="AH342" s="44">
        <v>0</v>
      </c>
      <c r="AI342" s="44">
        <v>0</v>
      </c>
      <c r="AJ342" s="43">
        <v>10068147601</v>
      </c>
      <c r="AK342" s="44">
        <v>0</v>
      </c>
      <c r="AL342" s="43">
        <v>4722301811</v>
      </c>
      <c r="AM342" s="43">
        <v>8147459537</v>
      </c>
      <c r="AN342" s="44">
        <v>0</v>
      </c>
      <c r="AO342" s="43">
        <v>4722301811</v>
      </c>
      <c r="AP342" s="43">
        <v>8147459537</v>
      </c>
      <c r="AQ342" s="44">
        <v>0</v>
      </c>
      <c r="AR342" s="114">
        <v>4722301811</v>
      </c>
      <c r="AS342" s="114">
        <v>8147459537</v>
      </c>
      <c r="AT342" s="39">
        <f t="shared" ref="AT342" si="170">AQ342+AS342</f>
        <v>8147459537</v>
      </c>
      <c r="AU342" s="18">
        <f>AJ342-AM342</f>
        <v>1920688064</v>
      </c>
      <c r="AV342" s="34">
        <f>AM342-AP342</f>
        <v>0</v>
      </c>
      <c r="AW342" s="34">
        <f>AP342-AT342</f>
        <v>0</v>
      </c>
      <c r="AX342" s="123">
        <f>AP342/AJ342</f>
        <v>0.80923123695472732</v>
      </c>
    </row>
    <row r="343" spans="1:50" ht="18.75" customHeight="1" x14ac:dyDescent="0.2">
      <c r="AA343" s="28" t="s">
        <v>288</v>
      </c>
      <c r="AB343" s="29" t="s">
        <v>343</v>
      </c>
      <c r="AC343" s="17"/>
      <c r="AD343" s="18"/>
      <c r="AE343" s="34"/>
      <c r="AF343" s="34"/>
      <c r="AG343" s="34"/>
      <c r="AH343" s="34"/>
      <c r="AI343" s="34"/>
      <c r="AJ343" s="18"/>
      <c r="AK343" s="34"/>
      <c r="AL343" s="18"/>
      <c r="AM343" s="18"/>
      <c r="AN343" s="34"/>
      <c r="AO343" s="18"/>
      <c r="AP343" s="18"/>
      <c r="AQ343" s="34"/>
      <c r="AR343" s="34"/>
      <c r="AS343" s="34"/>
      <c r="AT343" s="31"/>
      <c r="AU343" s="18"/>
      <c r="AV343" s="18"/>
      <c r="AW343" s="34"/>
      <c r="AX343" s="18"/>
    </row>
    <row r="344" spans="1:50" ht="18.75" customHeight="1" x14ac:dyDescent="0.2">
      <c r="A344" s="4" t="s">
        <v>325</v>
      </c>
      <c r="B344" s="4" t="s">
        <v>326</v>
      </c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1" t="s">
        <v>344</v>
      </c>
      <c r="AB344" s="42" t="s">
        <v>328</v>
      </c>
      <c r="AC344" s="43" t="s">
        <v>61</v>
      </c>
      <c r="AD344" s="43">
        <v>10000000</v>
      </c>
      <c r="AE344" s="44">
        <v>0</v>
      </c>
      <c r="AF344" s="44">
        <v>0</v>
      </c>
      <c r="AG344" s="44">
        <v>0</v>
      </c>
      <c r="AH344" s="44">
        <v>0</v>
      </c>
      <c r="AI344" s="44">
        <v>0</v>
      </c>
      <c r="AJ344" s="43">
        <v>10000000</v>
      </c>
      <c r="AK344" s="44">
        <v>0</v>
      </c>
      <c r="AL344" s="44">
        <v>0</v>
      </c>
      <c r="AM344" s="44">
        <v>0</v>
      </c>
      <c r="AN344" s="44">
        <v>0</v>
      </c>
      <c r="AO344" s="44">
        <v>0</v>
      </c>
      <c r="AP344" s="44">
        <v>0</v>
      </c>
      <c r="AQ344" s="44">
        <v>0</v>
      </c>
      <c r="AR344" s="44">
        <v>0</v>
      </c>
      <c r="AS344" s="44">
        <v>0</v>
      </c>
      <c r="AT344" s="40">
        <f t="shared" ref="AT344" si="171">AQ344+AS344</f>
        <v>0</v>
      </c>
      <c r="AU344" s="18">
        <f>AJ344-AM344</f>
        <v>10000000</v>
      </c>
      <c r="AV344" s="34">
        <f>AM344-AP344</f>
        <v>0</v>
      </c>
      <c r="AW344" s="34">
        <f>AP344-AT344</f>
        <v>0</v>
      </c>
      <c r="AX344" s="123">
        <f>AP344/AJ344</f>
        <v>0</v>
      </c>
    </row>
    <row r="345" spans="1:50" ht="18.75" customHeight="1" x14ac:dyDescent="0.2">
      <c r="AA345" s="16"/>
      <c r="AB345" s="29" t="s">
        <v>355</v>
      </c>
      <c r="AC345" s="17"/>
      <c r="AD345" s="18"/>
      <c r="AE345" s="34"/>
      <c r="AF345" s="34"/>
      <c r="AG345" s="34"/>
      <c r="AH345" s="34"/>
      <c r="AI345" s="34"/>
      <c r="AJ345" s="18"/>
      <c r="AK345" s="18"/>
      <c r="AL345" s="34"/>
      <c r="AM345" s="18"/>
      <c r="AN345" s="18"/>
      <c r="AO345" s="18"/>
      <c r="AP345" s="18"/>
      <c r="AQ345" s="18"/>
      <c r="AR345" s="18"/>
      <c r="AS345" s="18"/>
      <c r="AT345" s="30"/>
      <c r="AU345" s="18"/>
      <c r="AV345" s="18"/>
      <c r="AW345" s="18"/>
      <c r="AX345" s="18"/>
    </row>
    <row r="346" spans="1:50" ht="18.75" customHeight="1" x14ac:dyDescent="0.2">
      <c r="AA346" s="16"/>
      <c r="AB346" s="29" t="s">
        <v>320</v>
      </c>
      <c r="AC346" s="17"/>
      <c r="AD346" s="18"/>
      <c r="AE346" s="34"/>
      <c r="AF346" s="34"/>
      <c r="AG346" s="34"/>
      <c r="AH346" s="34"/>
      <c r="AI346" s="34"/>
      <c r="AJ346" s="18"/>
      <c r="AK346" s="18"/>
      <c r="AL346" s="34"/>
      <c r="AM346" s="18"/>
      <c r="AN346" s="18"/>
      <c r="AO346" s="18"/>
      <c r="AP346" s="18"/>
      <c r="AQ346" s="18"/>
      <c r="AR346" s="18"/>
      <c r="AS346" s="18"/>
      <c r="AT346" s="30"/>
      <c r="AU346" s="18"/>
      <c r="AV346" s="18"/>
      <c r="AW346" s="18"/>
      <c r="AX346" s="18"/>
    </row>
    <row r="347" spans="1:50" ht="18.75" customHeight="1" x14ac:dyDescent="0.2">
      <c r="AA347" s="16"/>
      <c r="AB347" s="29" t="s">
        <v>46</v>
      </c>
      <c r="AC347" s="17"/>
      <c r="AD347" s="18"/>
      <c r="AE347" s="34"/>
      <c r="AF347" s="34"/>
      <c r="AG347" s="34"/>
      <c r="AH347" s="34"/>
      <c r="AI347" s="34"/>
      <c r="AJ347" s="18"/>
      <c r="AK347" s="18"/>
      <c r="AL347" s="34"/>
      <c r="AM347" s="18"/>
      <c r="AN347" s="18"/>
      <c r="AO347" s="18"/>
      <c r="AP347" s="18"/>
      <c r="AQ347" s="18"/>
      <c r="AR347" s="18"/>
      <c r="AS347" s="18"/>
      <c r="AT347" s="30"/>
      <c r="AU347" s="18"/>
      <c r="AV347" s="18"/>
      <c r="AW347" s="18"/>
      <c r="AX347" s="18"/>
    </row>
    <row r="348" spans="1:50" ht="18.75" customHeight="1" x14ac:dyDescent="0.2">
      <c r="AA348" s="16"/>
      <c r="AB348" s="29" t="s">
        <v>48</v>
      </c>
      <c r="AC348" s="17"/>
      <c r="AD348" s="18"/>
      <c r="AE348" s="34"/>
      <c r="AF348" s="34"/>
      <c r="AG348" s="34"/>
      <c r="AH348" s="34"/>
      <c r="AI348" s="34"/>
      <c r="AJ348" s="18"/>
      <c r="AK348" s="18"/>
      <c r="AL348" s="34"/>
      <c r="AM348" s="18"/>
      <c r="AN348" s="18"/>
      <c r="AO348" s="18"/>
      <c r="AP348" s="18"/>
      <c r="AQ348" s="18"/>
      <c r="AR348" s="18"/>
      <c r="AS348" s="18"/>
      <c r="AT348" s="30"/>
      <c r="AU348" s="18"/>
      <c r="AV348" s="18"/>
      <c r="AW348" s="18"/>
      <c r="AX348" s="18"/>
    </row>
    <row r="349" spans="1:50" ht="18.75" customHeight="1" x14ac:dyDescent="0.2">
      <c r="AA349" s="16"/>
      <c r="AB349" s="29" t="s">
        <v>52</v>
      </c>
      <c r="AC349" s="17"/>
      <c r="AD349" s="18"/>
      <c r="AE349" s="34"/>
      <c r="AF349" s="34"/>
      <c r="AG349" s="34"/>
      <c r="AH349" s="34"/>
      <c r="AI349" s="34"/>
      <c r="AJ349" s="18"/>
      <c r="AK349" s="18"/>
      <c r="AL349" s="34"/>
      <c r="AM349" s="18"/>
      <c r="AN349" s="18"/>
      <c r="AO349" s="18"/>
      <c r="AP349" s="18"/>
      <c r="AQ349" s="18"/>
      <c r="AR349" s="18"/>
      <c r="AS349" s="18"/>
      <c r="AT349" s="30"/>
      <c r="AU349" s="18"/>
      <c r="AV349" s="18"/>
      <c r="AW349" s="18"/>
      <c r="AX349" s="18"/>
    </row>
    <row r="350" spans="1:50" ht="18.75" customHeight="1" x14ac:dyDescent="0.2">
      <c r="AA350" s="28" t="s">
        <v>288</v>
      </c>
      <c r="AB350" s="29" t="s">
        <v>54</v>
      </c>
      <c r="AC350" s="17"/>
      <c r="AD350" s="18"/>
      <c r="AE350" s="34"/>
      <c r="AF350" s="34"/>
      <c r="AG350" s="34"/>
      <c r="AH350" s="34"/>
      <c r="AI350" s="34"/>
      <c r="AJ350" s="18"/>
      <c r="AK350" s="18"/>
      <c r="AL350" s="34"/>
      <c r="AM350" s="18"/>
      <c r="AN350" s="18"/>
      <c r="AO350" s="18"/>
      <c r="AP350" s="18"/>
      <c r="AQ350" s="18"/>
      <c r="AR350" s="18"/>
      <c r="AS350" s="18"/>
      <c r="AT350" s="30"/>
      <c r="AU350" s="18"/>
      <c r="AV350" s="18"/>
      <c r="AW350" s="18"/>
      <c r="AX350" s="18"/>
    </row>
    <row r="351" spans="1:50" ht="18.75" customHeight="1" x14ac:dyDescent="0.2">
      <c r="A351" s="4" t="s">
        <v>55</v>
      </c>
      <c r="B351" s="4" t="s">
        <v>56</v>
      </c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1" t="s">
        <v>323</v>
      </c>
      <c r="AB351" s="42" t="s">
        <v>324</v>
      </c>
      <c r="AC351" s="43" t="s">
        <v>61</v>
      </c>
      <c r="AD351" s="43">
        <v>10521612007</v>
      </c>
      <c r="AE351" s="44">
        <v>0</v>
      </c>
      <c r="AF351" s="44">
        <v>0</v>
      </c>
      <c r="AG351" s="44">
        <v>0</v>
      </c>
      <c r="AH351" s="137">
        <v>0</v>
      </c>
      <c r="AI351" s="44">
        <v>0</v>
      </c>
      <c r="AJ351" s="43">
        <v>10521612007</v>
      </c>
      <c r="AK351" s="44">
        <v>0</v>
      </c>
      <c r="AL351" s="44">
        <v>508079417</v>
      </c>
      <c r="AM351" s="43">
        <v>4557056375</v>
      </c>
      <c r="AN351" s="44">
        <v>0</v>
      </c>
      <c r="AO351" s="44">
        <v>508079417</v>
      </c>
      <c r="AP351" s="43">
        <v>4557056375</v>
      </c>
      <c r="AQ351" s="44">
        <v>0</v>
      </c>
      <c r="AR351" s="44">
        <v>508079417</v>
      </c>
      <c r="AS351" s="43">
        <v>4557056375</v>
      </c>
      <c r="AT351" s="39">
        <f t="shared" ref="AT351" si="172">AQ351+AS351</f>
        <v>4557056375</v>
      </c>
      <c r="AU351" s="18">
        <f>AJ351-AM351</f>
        <v>5964555632</v>
      </c>
      <c r="AV351" s="34">
        <f>AM351-AP351</f>
        <v>0</v>
      </c>
      <c r="AW351" s="34">
        <f>AP351-AT351</f>
        <v>0</v>
      </c>
      <c r="AX351" s="123">
        <f>AP351/AJ351</f>
        <v>0.43311389661281968</v>
      </c>
    </row>
    <row r="352" spans="1:50" x14ac:dyDescent="0.2">
      <c r="AA352" s="28" t="s">
        <v>288</v>
      </c>
      <c r="AB352" s="29" t="s">
        <v>63</v>
      </c>
      <c r="AC352" s="17"/>
      <c r="AD352" s="18"/>
      <c r="AE352" s="34"/>
      <c r="AF352" s="34"/>
      <c r="AG352" s="34"/>
      <c r="AH352" s="34"/>
      <c r="AI352" s="34"/>
      <c r="AJ352" s="18"/>
      <c r="AK352" s="34"/>
      <c r="AL352" s="18"/>
      <c r="AM352" s="18"/>
      <c r="AN352" s="34"/>
      <c r="AO352" s="18"/>
      <c r="AP352" s="18"/>
      <c r="AQ352" s="34"/>
      <c r="AR352" s="18"/>
      <c r="AS352" s="18"/>
      <c r="AT352" s="30"/>
      <c r="AU352" s="18"/>
      <c r="AV352" s="18"/>
      <c r="AW352" s="34"/>
      <c r="AX352" s="18"/>
    </row>
    <row r="353" spans="1:50" ht="18.75" customHeight="1" x14ac:dyDescent="0.2">
      <c r="A353" s="4" t="s">
        <v>325</v>
      </c>
      <c r="B353" s="4" t="s">
        <v>326</v>
      </c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1" t="s">
        <v>349</v>
      </c>
      <c r="AB353" s="42" t="s">
        <v>328</v>
      </c>
      <c r="AC353" s="43" t="s">
        <v>61</v>
      </c>
      <c r="AD353" s="43">
        <v>112494898</v>
      </c>
      <c r="AE353" s="44">
        <v>0</v>
      </c>
      <c r="AF353" s="44">
        <v>0</v>
      </c>
      <c r="AG353" s="44">
        <v>0</v>
      </c>
      <c r="AH353" s="44">
        <v>0</v>
      </c>
      <c r="AI353" s="44">
        <v>0</v>
      </c>
      <c r="AJ353" s="43">
        <v>112494898</v>
      </c>
      <c r="AK353" s="44">
        <v>0</v>
      </c>
      <c r="AL353" s="43">
        <v>6897126</v>
      </c>
      <c r="AM353" s="43">
        <v>78722954</v>
      </c>
      <c r="AN353" s="44">
        <v>0</v>
      </c>
      <c r="AO353" s="43">
        <v>6897126</v>
      </c>
      <c r="AP353" s="43">
        <v>78722954</v>
      </c>
      <c r="AQ353" s="44">
        <v>0</v>
      </c>
      <c r="AR353" s="43">
        <v>6897126</v>
      </c>
      <c r="AS353" s="43">
        <v>78722954</v>
      </c>
      <c r="AT353" s="39">
        <f t="shared" si="169"/>
        <v>78722954</v>
      </c>
      <c r="AU353" s="18">
        <f>AJ353-AM353</f>
        <v>33771944</v>
      </c>
      <c r="AV353" s="34">
        <f>AM353-AP353</f>
        <v>0</v>
      </c>
      <c r="AW353" s="34">
        <f>AP353-AT353</f>
        <v>0</v>
      </c>
      <c r="AX353" s="123">
        <f>AP353/AJ353</f>
        <v>0.69979132742535577</v>
      </c>
    </row>
    <row r="354" spans="1:50" ht="18.75" customHeight="1" x14ac:dyDescent="0.2">
      <c r="AA354" s="28" t="s">
        <v>288</v>
      </c>
      <c r="AB354" s="29" t="s">
        <v>71</v>
      </c>
      <c r="AC354" s="17"/>
      <c r="AD354" s="18"/>
      <c r="AE354" s="34"/>
      <c r="AF354" s="34"/>
      <c r="AG354" s="34"/>
      <c r="AH354" s="34"/>
      <c r="AI354" s="34"/>
      <c r="AJ354" s="18"/>
      <c r="AK354" s="34"/>
      <c r="AL354" s="18"/>
      <c r="AM354" s="18"/>
      <c r="AN354" s="34"/>
      <c r="AO354" s="18"/>
      <c r="AP354" s="18"/>
      <c r="AQ354" s="34"/>
      <c r="AR354" s="18"/>
      <c r="AS354" s="18"/>
      <c r="AT354" s="30"/>
      <c r="AU354" s="18"/>
      <c r="AV354" s="18"/>
      <c r="AW354" s="34"/>
      <c r="AX354" s="18"/>
    </row>
    <row r="355" spans="1:50" ht="18.75" customHeight="1" x14ac:dyDescent="0.2">
      <c r="A355" s="4" t="s">
        <v>325</v>
      </c>
      <c r="B355" s="4" t="s">
        <v>326</v>
      </c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1" t="s">
        <v>327</v>
      </c>
      <c r="AB355" s="42" t="s">
        <v>328</v>
      </c>
      <c r="AC355" s="43" t="s">
        <v>61</v>
      </c>
      <c r="AD355" s="43">
        <v>532969656</v>
      </c>
      <c r="AE355" s="44">
        <v>0</v>
      </c>
      <c r="AF355" s="44">
        <v>0</v>
      </c>
      <c r="AG355" s="44">
        <v>0</v>
      </c>
      <c r="AH355" s="44">
        <v>0</v>
      </c>
      <c r="AI355" s="44">
        <v>0</v>
      </c>
      <c r="AJ355" s="43">
        <v>532969656</v>
      </c>
      <c r="AK355" s="44">
        <v>0</v>
      </c>
      <c r="AL355" s="43">
        <v>0</v>
      </c>
      <c r="AM355" s="43">
        <v>463854444</v>
      </c>
      <c r="AN355" s="44">
        <v>0</v>
      </c>
      <c r="AO355" s="43">
        <v>0</v>
      </c>
      <c r="AP355" s="43">
        <v>463854444</v>
      </c>
      <c r="AQ355" s="44">
        <v>0</v>
      </c>
      <c r="AR355" s="44">
        <v>0</v>
      </c>
      <c r="AS355" s="43">
        <v>9342995</v>
      </c>
      <c r="AT355" s="39">
        <f t="shared" si="169"/>
        <v>9342995</v>
      </c>
      <c r="AU355" s="18">
        <f>AJ355-AM355</f>
        <v>69115212</v>
      </c>
      <c r="AV355" s="34">
        <f>AM355-AP355</f>
        <v>0</v>
      </c>
      <c r="AW355" s="18">
        <f>AP355-AT355</f>
        <v>454511449</v>
      </c>
      <c r="AX355" s="123">
        <f>AP355/AJ355</f>
        <v>0.87032054973125905</v>
      </c>
    </row>
    <row r="356" spans="1:50" ht="18.75" customHeight="1" x14ac:dyDescent="0.2">
      <c r="AA356" s="28" t="s">
        <v>288</v>
      </c>
      <c r="AB356" s="29" t="s">
        <v>76</v>
      </c>
      <c r="AC356" s="17"/>
      <c r="AD356" s="18"/>
      <c r="AE356" s="34"/>
      <c r="AF356" s="34"/>
      <c r="AG356" s="34"/>
      <c r="AH356" s="34"/>
      <c r="AI356" s="34"/>
      <c r="AJ356" s="18"/>
      <c r="AK356" s="34"/>
      <c r="AL356" s="18"/>
      <c r="AM356" s="18"/>
      <c r="AN356" s="34"/>
      <c r="AO356" s="18"/>
      <c r="AP356" s="18"/>
      <c r="AQ356" s="34"/>
      <c r="AR356" s="18"/>
      <c r="AS356" s="18"/>
      <c r="AT356" s="30"/>
      <c r="AU356" s="18"/>
      <c r="AV356" s="18"/>
      <c r="AW356" s="34"/>
      <c r="AX356" s="18"/>
    </row>
    <row r="357" spans="1:50" ht="18.75" customHeight="1" x14ac:dyDescent="0.2">
      <c r="A357" s="4" t="s">
        <v>325</v>
      </c>
      <c r="B357" s="4" t="s">
        <v>326</v>
      </c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1" t="s">
        <v>329</v>
      </c>
      <c r="AB357" s="42" t="s">
        <v>328</v>
      </c>
      <c r="AC357" s="43" t="s">
        <v>61</v>
      </c>
      <c r="AD357" s="43">
        <v>318686698</v>
      </c>
      <c r="AE357" s="44">
        <v>0</v>
      </c>
      <c r="AF357" s="44">
        <v>0</v>
      </c>
      <c r="AG357" s="44">
        <v>0</v>
      </c>
      <c r="AH357" s="44">
        <v>0</v>
      </c>
      <c r="AI357" s="44">
        <v>0</v>
      </c>
      <c r="AJ357" s="43">
        <v>318686698</v>
      </c>
      <c r="AK357" s="44">
        <v>0</v>
      </c>
      <c r="AL357" s="43">
        <v>26182286</v>
      </c>
      <c r="AM357" s="43">
        <v>173699103</v>
      </c>
      <c r="AN357" s="44">
        <v>0</v>
      </c>
      <c r="AO357" s="43">
        <v>26182286</v>
      </c>
      <c r="AP357" s="43">
        <v>173699103</v>
      </c>
      <c r="AQ357" s="44">
        <v>0</v>
      </c>
      <c r="AR357" s="43">
        <v>26182286</v>
      </c>
      <c r="AS357" s="43">
        <v>173699103</v>
      </c>
      <c r="AT357" s="39">
        <f t="shared" si="169"/>
        <v>173699103</v>
      </c>
      <c r="AU357" s="18">
        <f>AJ357-AM357</f>
        <v>144987595</v>
      </c>
      <c r="AV357" s="34">
        <f>AM357-AP357</f>
        <v>0</v>
      </c>
      <c r="AW357" s="34">
        <f>AP357-AT357</f>
        <v>0</v>
      </c>
      <c r="AX357" s="123">
        <f>AP357/AJ357</f>
        <v>0.54504660561640383</v>
      </c>
    </row>
    <row r="358" spans="1:50" ht="18.75" customHeight="1" x14ac:dyDescent="0.2">
      <c r="AA358" s="16"/>
      <c r="AB358" s="17"/>
      <c r="AC358" s="17"/>
      <c r="AD358" s="18"/>
      <c r="AE358" s="34"/>
      <c r="AF358" s="34"/>
      <c r="AG358" s="34"/>
      <c r="AH358" s="34"/>
      <c r="AI358" s="34"/>
      <c r="AJ358" s="18"/>
      <c r="AK358" s="18"/>
      <c r="AL358" s="18"/>
      <c r="AM358" s="18"/>
      <c r="AN358" s="34"/>
      <c r="AO358" s="18"/>
      <c r="AP358" s="18"/>
      <c r="AQ358" s="18"/>
      <c r="AR358" s="34"/>
      <c r="AS358" s="18"/>
      <c r="AT358" s="30"/>
      <c r="AU358" s="18"/>
      <c r="AV358" s="18"/>
      <c r="AW358" s="18"/>
      <c r="AX358" s="18"/>
    </row>
    <row r="359" spans="1:50" ht="18.75" customHeight="1" x14ac:dyDescent="0.2">
      <c r="AA359" s="16"/>
      <c r="AB359" s="29" t="s">
        <v>81</v>
      </c>
      <c r="AC359" s="17"/>
      <c r="AD359" s="18"/>
      <c r="AE359" s="34"/>
      <c r="AF359" s="34"/>
      <c r="AG359" s="34"/>
      <c r="AH359" s="34"/>
      <c r="AI359" s="34"/>
      <c r="AJ359" s="18"/>
      <c r="AK359" s="18"/>
      <c r="AL359" s="18"/>
      <c r="AM359" s="18"/>
      <c r="AN359" s="34"/>
      <c r="AO359" s="18"/>
      <c r="AP359" s="18"/>
      <c r="AQ359" s="18"/>
      <c r="AR359" s="34"/>
      <c r="AS359" s="18"/>
      <c r="AT359" s="30"/>
      <c r="AU359" s="18"/>
      <c r="AV359" s="18"/>
      <c r="AW359" s="18"/>
      <c r="AX359" s="18"/>
    </row>
    <row r="360" spans="1:50" ht="18.75" customHeight="1" x14ac:dyDescent="0.2">
      <c r="AA360" s="28" t="s">
        <v>288</v>
      </c>
      <c r="AB360" s="29" t="s">
        <v>83</v>
      </c>
      <c r="AC360" s="17"/>
      <c r="AD360" s="18"/>
      <c r="AE360" s="34"/>
      <c r="AF360" s="34"/>
      <c r="AG360" s="34"/>
      <c r="AH360" s="34"/>
      <c r="AI360" s="34"/>
      <c r="AJ360" s="18"/>
      <c r="AK360" s="18"/>
      <c r="AL360" s="18"/>
      <c r="AM360" s="18"/>
      <c r="AN360" s="34"/>
      <c r="AO360" s="18"/>
      <c r="AP360" s="18"/>
      <c r="AQ360" s="18"/>
      <c r="AR360" s="34"/>
      <c r="AS360" s="18"/>
      <c r="AT360" s="30"/>
      <c r="AU360" s="18"/>
      <c r="AV360" s="18"/>
      <c r="AW360" s="18"/>
      <c r="AX360" s="18"/>
    </row>
    <row r="361" spans="1:50" ht="18.75" customHeight="1" x14ac:dyDescent="0.2">
      <c r="A361" s="4" t="s">
        <v>325</v>
      </c>
      <c r="B361" s="4" t="s">
        <v>326</v>
      </c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1" t="s">
        <v>330</v>
      </c>
      <c r="AB361" s="42" t="s">
        <v>328</v>
      </c>
      <c r="AC361" s="43" t="s">
        <v>61</v>
      </c>
      <c r="AD361" s="43">
        <v>1177756920</v>
      </c>
      <c r="AE361" s="44">
        <v>0</v>
      </c>
      <c r="AF361" s="44">
        <v>0</v>
      </c>
      <c r="AG361" s="44">
        <v>0</v>
      </c>
      <c r="AH361" s="44">
        <v>0</v>
      </c>
      <c r="AI361" s="44">
        <v>0</v>
      </c>
      <c r="AJ361" s="43">
        <v>1177756920</v>
      </c>
      <c r="AK361" s="44">
        <v>0</v>
      </c>
      <c r="AL361" s="43">
        <v>11844105</v>
      </c>
      <c r="AM361" s="43">
        <v>17414957</v>
      </c>
      <c r="AN361" s="44">
        <v>0</v>
      </c>
      <c r="AO361" s="43">
        <v>11844105</v>
      </c>
      <c r="AP361" s="110">
        <v>17414957</v>
      </c>
      <c r="AQ361" s="34">
        <v>0</v>
      </c>
      <c r="AR361" s="18">
        <v>11844105</v>
      </c>
      <c r="AS361" s="110">
        <v>17414957</v>
      </c>
      <c r="AT361" s="39">
        <f t="shared" ref="AT361" si="173">AQ361+AS361</f>
        <v>17414957</v>
      </c>
      <c r="AU361" s="18">
        <f>AJ361-AM361</f>
        <v>1160341963</v>
      </c>
      <c r="AV361" s="34">
        <f>AM361-AP361</f>
        <v>0</v>
      </c>
      <c r="AW361" s="34">
        <f>AP361-AT361</f>
        <v>0</v>
      </c>
      <c r="AX361" s="123">
        <f>AP361/AJ361</f>
        <v>1.4786546106644824E-2</v>
      </c>
    </row>
    <row r="362" spans="1:50" ht="18.75" customHeight="1" x14ac:dyDescent="0.2">
      <c r="AA362" s="28" t="s">
        <v>288</v>
      </c>
      <c r="AB362" s="29" t="s">
        <v>88</v>
      </c>
      <c r="AC362" s="17"/>
      <c r="AD362" s="18"/>
      <c r="AE362" s="34"/>
      <c r="AF362" s="34"/>
      <c r="AG362" s="34"/>
      <c r="AH362" s="34"/>
      <c r="AI362" s="34"/>
      <c r="AJ362" s="18"/>
      <c r="AK362" s="34"/>
      <c r="AL362" s="34"/>
      <c r="AM362" s="18"/>
      <c r="AN362" s="34"/>
      <c r="AO362" s="34"/>
      <c r="AP362" s="18"/>
      <c r="AQ362" s="18"/>
      <c r="AR362" s="34"/>
      <c r="AS362" s="18"/>
      <c r="AT362" s="30"/>
      <c r="AU362" s="18"/>
      <c r="AV362" s="18"/>
      <c r="AW362" s="34"/>
      <c r="AX362" s="18"/>
    </row>
    <row r="363" spans="1:50" ht="18.75" customHeight="1" x14ac:dyDescent="0.2">
      <c r="A363" s="4" t="s">
        <v>325</v>
      </c>
      <c r="B363" s="4" t="s">
        <v>326</v>
      </c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1" t="s">
        <v>331</v>
      </c>
      <c r="AB363" s="42" t="s">
        <v>328</v>
      </c>
      <c r="AC363" s="43" t="s">
        <v>61</v>
      </c>
      <c r="AD363" s="43">
        <v>565323320</v>
      </c>
      <c r="AE363" s="44">
        <v>0</v>
      </c>
      <c r="AF363" s="44">
        <v>0</v>
      </c>
      <c r="AG363" s="44">
        <v>0</v>
      </c>
      <c r="AH363" s="44">
        <v>0</v>
      </c>
      <c r="AI363" s="44">
        <v>0</v>
      </c>
      <c r="AJ363" s="43">
        <v>565323320</v>
      </c>
      <c r="AK363" s="44">
        <v>0</v>
      </c>
      <c r="AL363" s="44">
        <v>0</v>
      </c>
      <c r="AM363" s="43">
        <v>1527575</v>
      </c>
      <c r="AN363" s="44">
        <v>0</v>
      </c>
      <c r="AO363" s="44">
        <v>0</v>
      </c>
      <c r="AP363" s="43">
        <v>1527575</v>
      </c>
      <c r="AQ363" s="44">
        <v>0</v>
      </c>
      <c r="AR363" s="44">
        <v>0</v>
      </c>
      <c r="AS363" s="43">
        <v>1527575</v>
      </c>
      <c r="AT363" s="39">
        <f t="shared" si="169"/>
        <v>1527575</v>
      </c>
      <c r="AU363" s="18">
        <f>AJ363-AM363</f>
        <v>563795745</v>
      </c>
      <c r="AV363" s="34">
        <f>AM363-AP363</f>
        <v>0</v>
      </c>
      <c r="AW363" s="34">
        <f>AP363-AT363</f>
        <v>0</v>
      </c>
      <c r="AX363" s="123">
        <f>AP363/AJ363</f>
        <v>2.7021262805857716E-3</v>
      </c>
    </row>
    <row r="364" spans="1:50" ht="18.75" customHeight="1" x14ac:dyDescent="0.2">
      <c r="AA364" s="16"/>
      <c r="AB364" s="17"/>
      <c r="AC364" s="17"/>
      <c r="AD364" s="18"/>
      <c r="AE364" s="34"/>
      <c r="AF364" s="34"/>
      <c r="AG364" s="34"/>
      <c r="AH364" s="34"/>
      <c r="AI364" s="34"/>
      <c r="AJ364" s="18"/>
      <c r="AK364" s="34"/>
      <c r="AL364" s="18"/>
      <c r="AM364" s="18"/>
      <c r="AN364" s="18"/>
      <c r="AO364" s="18"/>
      <c r="AP364" s="18"/>
      <c r="AQ364" s="34"/>
      <c r="AR364" s="18"/>
      <c r="AS364" s="18"/>
      <c r="AT364" s="30"/>
      <c r="AU364" s="18"/>
      <c r="AV364" s="18"/>
      <c r="AW364" s="18"/>
      <c r="AX364" s="18"/>
    </row>
    <row r="365" spans="1:50" ht="18.75" customHeight="1" x14ac:dyDescent="0.2">
      <c r="AA365" s="16"/>
      <c r="AB365" s="29" t="s">
        <v>103</v>
      </c>
      <c r="AC365" s="17"/>
      <c r="AD365" s="18"/>
      <c r="AE365" s="34"/>
      <c r="AF365" s="34"/>
      <c r="AG365" s="34"/>
      <c r="AH365" s="34"/>
      <c r="AI365" s="34"/>
      <c r="AJ365" s="18"/>
      <c r="AK365" s="34"/>
      <c r="AL365" s="18"/>
      <c r="AM365" s="18"/>
      <c r="AN365" s="18"/>
      <c r="AO365" s="18"/>
      <c r="AP365" s="18"/>
      <c r="AQ365" s="34"/>
      <c r="AR365" s="18"/>
      <c r="AS365" s="18"/>
      <c r="AT365" s="30"/>
      <c r="AU365" s="18"/>
      <c r="AV365" s="18"/>
      <c r="AW365" s="18"/>
      <c r="AX365" s="18"/>
    </row>
    <row r="366" spans="1:50" ht="24.75" customHeight="1" x14ac:dyDescent="0.2">
      <c r="AA366" s="28" t="s">
        <v>288</v>
      </c>
      <c r="AB366" s="29" t="s">
        <v>352</v>
      </c>
      <c r="AC366" s="17"/>
      <c r="AD366" s="18"/>
      <c r="AE366" s="34"/>
      <c r="AF366" s="34"/>
      <c r="AG366" s="34"/>
      <c r="AH366" s="34"/>
      <c r="AI366" s="34"/>
      <c r="AJ366" s="18"/>
      <c r="AK366" s="34"/>
      <c r="AL366" s="18"/>
      <c r="AM366" s="18"/>
      <c r="AN366" s="18"/>
      <c r="AO366" s="18"/>
      <c r="AP366" s="18"/>
      <c r="AQ366" s="34"/>
      <c r="AR366" s="18"/>
      <c r="AS366" s="18"/>
      <c r="AT366" s="39"/>
      <c r="AU366" s="18"/>
      <c r="AV366" s="18"/>
      <c r="AW366" s="18"/>
      <c r="AX366" s="18"/>
    </row>
    <row r="367" spans="1:50" ht="18.75" customHeight="1" x14ac:dyDescent="0.2">
      <c r="A367" s="4" t="s">
        <v>325</v>
      </c>
      <c r="B367" s="4" t="s">
        <v>326</v>
      </c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1" t="s">
        <v>332</v>
      </c>
      <c r="AB367" s="42" t="s">
        <v>328</v>
      </c>
      <c r="AC367" s="43" t="s">
        <v>61</v>
      </c>
      <c r="AD367" s="43">
        <v>1248245788</v>
      </c>
      <c r="AE367" s="44">
        <v>0</v>
      </c>
      <c r="AF367" s="44">
        <v>0</v>
      </c>
      <c r="AG367" s="44">
        <v>0</v>
      </c>
      <c r="AH367" s="44">
        <v>0</v>
      </c>
      <c r="AI367" s="44">
        <v>0</v>
      </c>
      <c r="AJ367" s="43">
        <v>1248245788</v>
      </c>
      <c r="AK367" s="44">
        <v>0</v>
      </c>
      <c r="AL367" s="43">
        <v>76422264</v>
      </c>
      <c r="AM367" s="43">
        <v>537238849.03999996</v>
      </c>
      <c r="AN367" s="44">
        <v>0</v>
      </c>
      <c r="AO367" s="43">
        <v>76422264</v>
      </c>
      <c r="AP367" s="43">
        <v>537238849.03999996</v>
      </c>
      <c r="AQ367" s="44">
        <v>0</v>
      </c>
      <c r="AR367" s="43">
        <v>76422264</v>
      </c>
      <c r="AS367" s="43">
        <v>537238849.03999996</v>
      </c>
      <c r="AT367" s="39">
        <f t="shared" ref="AT367" si="174">AQ367+AS367</f>
        <v>537238849.03999996</v>
      </c>
      <c r="AU367" s="18">
        <f>AJ367-AM367</f>
        <v>711006938.96000004</v>
      </c>
      <c r="AV367" s="34">
        <f>AM367-AP367</f>
        <v>0</v>
      </c>
      <c r="AW367" s="34">
        <f>AP367-AT367</f>
        <v>0</v>
      </c>
      <c r="AX367" s="123">
        <f>AP367/AJ367</f>
        <v>0.43039508260692</v>
      </c>
    </row>
    <row r="368" spans="1:50" ht="18.75" customHeight="1" x14ac:dyDescent="0.2">
      <c r="AA368" s="28" t="s">
        <v>288</v>
      </c>
      <c r="AB368" s="29" t="s">
        <v>353</v>
      </c>
      <c r="AC368" s="17"/>
      <c r="AD368" s="18"/>
      <c r="AE368" s="34"/>
      <c r="AF368" s="34"/>
      <c r="AG368" s="34"/>
      <c r="AH368" s="34"/>
      <c r="AI368" s="34"/>
      <c r="AJ368" s="18"/>
      <c r="AK368" s="34"/>
      <c r="AL368" s="18"/>
      <c r="AM368" s="18"/>
      <c r="AN368" s="34"/>
      <c r="AO368" s="18"/>
      <c r="AP368" s="18"/>
      <c r="AQ368" s="18"/>
      <c r="AR368" s="18"/>
      <c r="AS368" s="18"/>
      <c r="AT368" s="39"/>
      <c r="AU368" s="18"/>
      <c r="AV368" s="18"/>
      <c r="AW368" s="34"/>
      <c r="AX368" s="18"/>
    </row>
    <row r="369" spans="1:50" ht="18.75" customHeight="1" x14ac:dyDescent="0.2">
      <c r="A369" s="4" t="s">
        <v>325</v>
      </c>
      <c r="B369" s="4" t="s">
        <v>326</v>
      </c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1" t="s">
        <v>334</v>
      </c>
      <c r="AB369" s="42" t="s">
        <v>328</v>
      </c>
      <c r="AC369" s="43" t="s">
        <v>61</v>
      </c>
      <c r="AD369" s="43">
        <v>918279775</v>
      </c>
      <c r="AE369" s="44">
        <v>0</v>
      </c>
      <c r="AF369" s="44">
        <v>0</v>
      </c>
      <c r="AG369" s="44">
        <v>0</v>
      </c>
      <c r="AH369" s="44">
        <v>0</v>
      </c>
      <c r="AI369" s="44">
        <v>0</v>
      </c>
      <c r="AJ369" s="43">
        <v>918279775</v>
      </c>
      <c r="AK369" s="44">
        <v>0</v>
      </c>
      <c r="AL369" s="43">
        <v>81198423</v>
      </c>
      <c r="AM369" s="43">
        <v>551533319.96000004</v>
      </c>
      <c r="AN369" s="44">
        <v>0</v>
      </c>
      <c r="AO369" s="43">
        <v>81198423</v>
      </c>
      <c r="AP369" s="43">
        <v>551533319.96000004</v>
      </c>
      <c r="AQ369" s="44">
        <v>0</v>
      </c>
      <c r="AR369" s="43">
        <v>81198423</v>
      </c>
      <c r="AS369" s="43">
        <v>551533319.96000004</v>
      </c>
      <c r="AT369" s="39">
        <f t="shared" si="169"/>
        <v>551533319.96000004</v>
      </c>
      <c r="AU369" s="18">
        <f>AJ369-AM369</f>
        <v>366746455.03999996</v>
      </c>
      <c r="AV369" s="34">
        <f>AM369-AP369</f>
        <v>0</v>
      </c>
      <c r="AW369" s="34">
        <f>AP369-AT369</f>
        <v>0</v>
      </c>
      <c r="AX369" s="123">
        <f>AP369/AJ369</f>
        <v>0.60061577634114838</v>
      </c>
    </row>
    <row r="370" spans="1:50" ht="18.75" customHeight="1" x14ac:dyDescent="0.2">
      <c r="AA370" s="28" t="s">
        <v>288</v>
      </c>
      <c r="AB370" s="29" t="s">
        <v>354</v>
      </c>
      <c r="AC370" s="17"/>
      <c r="AD370" s="18"/>
      <c r="AE370" s="34"/>
      <c r="AF370" s="34"/>
      <c r="AG370" s="34"/>
      <c r="AH370" s="34"/>
      <c r="AI370" s="34"/>
      <c r="AJ370" s="18"/>
      <c r="AK370" s="18"/>
      <c r="AL370" s="18"/>
      <c r="AM370" s="18"/>
      <c r="AN370" s="34"/>
      <c r="AO370" s="18"/>
      <c r="AP370" s="18"/>
      <c r="AQ370" s="34"/>
      <c r="AR370" s="18"/>
      <c r="AS370" s="18"/>
      <c r="AT370" s="39"/>
      <c r="AU370" s="18"/>
      <c r="AV370" s="18"/>
      <c r="AW370" s="34"/>
      <c r="AX370" s="18"/>
    </row>
    <row r="371" spans="1:50" ht="18.75" customHeight="1" x14ac:dyDescent="0.2">
      <c r="A371" s="4" t="s">
        <v>325</v>
      </c>
      <c r="B371" s="4" t="s">
        <v>326</v>
      </c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1" t="s">
        <v>335</v>
      </c>
      <c r="AB371" s="42" t="s">
        <v>328</v>
      </c>
      <c r="AC371" s="43" t="s">
        <v>61</v>
      </c>
      <c r="AD371" s="43">
        <v>956127578</v>
      </c>
      <c r="AE371" s="44">
        <v>0</v>
      </c>
      <c r="AF371" s="44">
        <v>0</v>
      </c>
      <c r="AG371" s="44">
        <v>0</v>
      </c>
      <c r="AH371" s="44">
        <v>0</v>
      </c>
      <c r="AI371" s="44">
        <v>0</v>
      </c>
      <c r="AJ371" s="43">
        <v>956127578</v>
      </c>
      <c r="AK371" s="44">
        <v>0</v>
      </c>
      <c r="AL371" s="43">
        <v>81027442</v>
      </c>
      <c r="AM371" s="43">
        <v>590845198</v>
      </c>
      <c r="AN371" s="44">
        <v>0</v>
      </c>
      <c r="AO371" s="43">
        <v>81027442</v>
      </c>
      <c r="AP371" s="43">
        <v>590845198</v>
      </c>
      <c r="AQ371" s="44">
        <v>0</v>
      </c>
      <c r="AR371" s="43">
        <v>81027442</v>
      </c>
      <c r="AS371" s="43">
        <v>590845198</v>
      </c>
      <c r="AT371" s="39">
        <f t="shared" si="169"/>
        <v>590845198</v>
      </c>
      <c r="AU371" s="18">
        <f>AJ371-AM371</f>
        <v>365282380</v>
      </c>
      <c r="AV371" s="34">
        <f>AM371-AP371</f>
        <v>0</v>
      </c>
      <c r="AW371" s="34">
        <f>AP371-AT371</f>
        <v>0</v>
      </c>
      <c r="AX371" s="123">
        <f>AP371/AJ371</f>
        <v>0.61795644388368431</v>
      </c>
    </row>
    <row r="372" spans="1:50" ht="18.75" customHeight="1" x14ac:dyDescent="0.2">
      <c r="AA372" s="28" t="s">
        <v>288</v>
      </c>
      <c r="AB372" s="29" t="s">
        <v>119</v>
      </c>
      <c r="AC372" s="17"/>
      <c r="AD372" s="18"/>
      <c r="AE372" s="34"/>
      <c r="AF372" s="34"/>
      <c r="AG372" s="34"/>
      <c r="AH372" s="34"/>
      <c r="AI372" s="34"/>
      <c r="AJ372" s="18"/>
      <c r="AK372" s="34"/>
      <c r="AL372" s="18"/>
      <c r="AM372" s="18"/>
      <c r="AN372" s="34"/>
      <c r="AO372" s="18"/>
      <c r="AP372" s="18"/>
      <c r="AQ372" s="18"/>
      <c r="AR372" s="18"/>
      <c r="AS372" s="18"/>
      <c r="AT372" s="39"/>
      <c r="AU372" s="18"/>
      <c r="AV372" s="18"/>
      <c r="AW372" s="34"/>
      <c r="AX372" s="18"/>
    </row>
    <row r="373" spans="1:50" ht="18.75" customHeight="1" x14ac:dyDescent="0.2">
      <c r="A373" s="4" t="s">
        <v>325</v>
      </c>
      <c r="B373" s="4" t="s">
        <v>326</v>
      </c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1" t="s">
        <v>336</v>
      </c>
      <c r="AB373" s="42" t="s">
        <v>328</v>
      </c>
      <c r="AC373" s="43" t="s">
        <v>61</v>
      </c>
      <c r="AD373" s="43">
        <v>527278620</v>
      </c>
      <c r="AE373" s="44">
        <v>0</v>
      </c>
      <c r="AF373" s="44">
        <v>0</v>
      </c>
      <c r="AG373" s="44">
        <v>0</v>
      </c>
      <c r="AH373" s="44">
        <v>0</v>
      </c>
      <c r="AI373" s="44">
        <v>0</v>
      </c>
      <c r="AJ373" s="43">
        <v>527278620</v>
      </c>
      <c r="AK373" s="44">
        <v>0</v>
      </c>
      <c r="AL373" s="43">
        <v>37443000</v>
      </c>
      <c r="AM373" s="43">
        <v>276512700</v>
      </c>
      <c r="AN373" s="44">
        <v>0</v>
      </c>
      <c r="AO373" s="43">
        <v>37443000</v>
      </c>
      <c r="AP373" s="43">
        <v>276512700</v>
      </c>
      <c r="AQ373" s="115">
        <v>0</v>
      </c>
      <c r="AR373" s="114">
        <v>37443000</v>
      </c>
      <c r="AS373" s="114">
        <v>276512700</v>
      </c>
      <c r="AT373" s="39">
        <f t="shared" si="169"/>
        <v>276512700</v>
      </c>
      <c r="AU373" s="18">
        <f>AJ373-AM373</f>
        <v>250765920</v>
      </c>
      <c r="AV373" s="34">
        <f>AM373-AP373</f>
        <v>0</v>
      </c>
      <c r="AW373" s="34">
        <f>AP373-AT373</f>
        <v>0</v>
      </c>
      <c r="AX373" s="123">
        <f>AP373/AJ373</f>
        <v>0.52441477714381823</v>
      </c>
    </row>
    <row r="374" spans="1:50" ht="18.75" customHeight="1" x14ac:dyDescent="0.2">
      <c r="AA374" s="28" t="s">
        <v>288</v>
      </c>
      <c r="AB374" s="29" t="s">
        <v>124</v>
      </c>
      <c r="AC374" s="17"/>
      <c r="AD374" s="18"/>
      <c r="AE374" s="34"/>
      <c r="AF374" s="34"/>
      <c r="AG374" s="34"/>
      <c r="AH374" s="34"/>
      <c r="AI374" s="34"/>
      <c r="AJ374" s="18"/>
      <c r="AK374" s="34"/>
      <c r="AL374" s="18"/>
      <c r="AM374" s="18"/>
      <c r="AN374" s="34"/>
      <c r="AO374" s="18"/>
      <c r="AP374" s="18"/>
      <c r="AQ374" s="34"/>
      <c r="AR374" s="34"/>
      <c r="AS374" s="34"/>
      <c r="AT374" s="40"/>
      <c r="AU374" s="18"/>
      <c r="AV374" s="18"/>
      <c r="AW374" s="18"/>
      <c r="AX374" s="18"/>
    </row>
    <row r="375" spans="1:50" ht="18.75" customHeight="1" x14ac:dyDescent="0.2">
      <c r="AA375" s="28" t="s">
        <v>288</v>
      </c>
      <c r="AB375" s="29" t="s">
        <v>129</v>
      </c>
      <c r="AC375" s="17"/>
      <c r="AD375" s="18"/>
      <c r="AE375" s="34"/>
      <c r="AF375" s="34"/>
      <c r="AG375" s="34"/>
      <c r="AH375" s="34"/>
      <c r="AI375" s="34"/>
      <c r="AJ375" s="18"/>
      <c r="AK375" s="34"/>
      <c r="AL375" s="18"/>
      <c r="AM375" s="18"/>
      <c r="AN375" s="34"/>
      <c r="AO375" s="18"/>
      <c r="AP375" s="18"/>
      <c r="AQ375" s="34"/>
      <c r="AR375" s="34"/>
      <c r="AS375" s="34"/>
      <c r="AT375" s="40"/>
      <c r="AU375" s="18"/>
      <c r="AV375" s="18"/>
      <c r="AW375" s="18"/>
      <c r="AX375" s="18"/>
    </row>
    <row r="376" spans="1:50" ht="18.75" customHeight="1" x14ac:dyDescent="0.2">
      <c r="A376" s="4" t="s">
        <v>325</v>
      </c>
      <c r="B376" s="4" t="s">
        <v>326</v>
      </c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1" t="s">
        <v>338</v>
      </c>
      <c r="AB376" s="42" t="s">
        <v>328</v>
      </c>
      <c r="AC376" s="43" t="s">
        <v>61</v>
      </c>
      <c r="AD376" s="43">
        <v>395516000</v>
      </c>
      <c r="AE376" s="44">
        <v>0</v>
      </c>
      <c r="AF376" s="44">
        <v>0</v>
      </c>
      <c r="AG376" s="44">
        <v>0</v>
      </c>
      <c r="AH376" s="44">
        <v>0</v>
      </c>
      <c r="AI376" s="44">
        <v>0</v>
      </c>
      <c r="AJ376" s="43">
        <v>395516000</v>
      </c>
      <c r="AK376" s="44">
        <v>0</v>
      </c>
      <c r="AL376" s="43">
        <v>28084600</v>
      </c>
      <c r="AM376" s="43">
        <v>207390000</v>
      </c>
      <c r="AN376" s="44">
        <v>0</v>
      </c>
      <c r="AO376" s="43">
        <v>28084600</v>
      </c>
      <c r="AP376" s="43">
        <v>207390000</v>
      </c>
      <c r="AQ376" s="115">
        <v>0</v>
      </c>
      <c r="AR376" s="114">
        <v>28084600</v>
      </c>
      <c r="AS376" s="114">
        <v>207390000</v>
      </c>
      <c r="AT376" s="39">
        <f t="shared" ref="AT376" si="175">AQ376+AS376</f>
        <v>207390000</v>
      </c>
      <c r="AU376" s="18">
        <f>AJ376-AM376</f>
        <v>188126000</v>
      </c>
      <c r="AV376" s="34">
        <f>AM376-AP376</f>
        <v>0</v>
      </c>
      <c r="AW376" s="34">
        <f>AP376-AT376</f>
        <v>0</v>
      </c>
      <c r="AX376" s="123">
        <f>AP376/AJ376</f>
        <v>0.52435299709746253</v>
      </c>
    </row>
    <row r="377" spans="1:50" ht="18.75" customHeight="1" x14ac:dyDescent="0.2">
      <c r="AA377" s="28" t="s">
        <v>288</v>
      </c>
      <c r="AB377" s="29" t="s">
        <v>133</v>
      </c>
      <c r="AC377" s="17"/>
      <c r="AD377" s="18"/>
      <c r="AE377" s="34"/>
      <c r="AF377" s="34"/>
      <c r="AG377" s="34"/>
      <c r="AH377" s="34"/>
      <c r="AI377" s="34"/>
      <c r="AJ377" s="18"/>
      <c r="AK377" s="34"/>
      <c r="AL377" s="18"/>
      <c r="AM377" s="18"/>
      <c r="AN377" s="34"/>
      <c r="AO377" s="18"/>
      <c r="AP377" s="18"/>
      <c r="AQ377" s="34"/>
      <c r="AR377" s="34"/>
      <c r="AS377" s="34"/>
      <c r="AT377" s="40"/>
      <c r="AU377" s="18"/>
      <c r="AV377" s="18"/>
      <c r="AW377" s="34"/>
      <c r="AX377" s="18"/>
    </row>
    <row r="378" spans="1:50" ht="18.75" customHeight="1" x14ac:dyDescent="0.2">
      <c r="A378" s="4" t="s">
        <v>325</v>
      </c>
      <c r="B378" s="4" t="s">
        <v>326</v>
      </c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1" t="s">
        <v>339</v>
      </c>
      <c r="AB378" s="42" t="s">
        <v>328</v>
      </c>
      <c r="AC378" s="43" t="s">
        <v>61</v>
      </c>
      <c r="AD378" s="43">
        <v>66047960</v>
      </c>
      <c r="AE378" s="44">
        <v>0</v>
      </c>
      <c r="AF378" s="44">
        <v>0</v>
      </c>
      <c r="AG378" s="44">
        <v>0</v>
      </c>
      <c r="AH378" s="44">
        <v>0</v>
      </c>
      <c r="AI378" s="44">
        <v>0</v>
      </c>
      <c r="AJ378" s="43">
        <v>66047960</v>
      </c>
      <c r="AK378" s="44">
        <v>0</v>
      </c>
      <c r="AL378" s="43">
        <v>4694500</v>
      </c>
      <c r="AM378" s="43">
        <v>34622200</v>
      </c>
      <c r="AN378" s="44">
        <v>0</v>
      </c>
      <c r="AO378" s="43">
        <v>4694500</v>
      </c>
      <c r="AP378" s="43">
        <v>34622200</v>
      </c>
      <c r="AQ378" s="115">
        <v>0</v>
      </c>
      <c r="AR378" s="114">
        <v>4694500</v>
      </c>
      <c r="AS378" s="114">
        <v>34622200</v>
      </c>
      <c r="AT378" s="39">
        <f t="shared" ref="AT378" si="176">AQ378+AS378</f>
        <v>34622200</v>
      </c>
      <c r="AU378" s="18">
        <f>AJ378-AM378</f>
        <v>31425760</v>
      </c>
      <c r="AV378" s="34">
        <f>AM378-AP378</f>
        <v>0</v>
      </c>
      <c r="AW378" s="34">
        <f>AP378-AT378</f>
        <v>0</v>
      </c>
      <c r="AX378" s="123">
        <f>AP378/AJ378</f>
        <v>0.52419787075936941</v>
      </c>
    </row>
    <row r="379" spans="1:50" ht="18.75" customHeight="1" x14ac:dyDescent="0.2">
      <c r="AA379" s="28" t="s">
        <v>288</v>
      </c>
      <c r="AB379" s="29" t="s">
        <v>138</v>
      </c>
      <c r="AC379" s="17"/>
      <c r="AD379" s="18"/>
      <c r="AE379" s="34"/>
      <c r="AF379" s="34"/>
      <c r="AG379" s="34"/>
      <c r="AH379" s="34"/>
      <c r="AI379" s="34"/>
      <c r="AJ379" s="18"/>
      <c r="AK379" s="34"/>
      <c r="AL379" s="18"/>
      <c r="AM379" s="18"/>
      <c r="AN379" s="34"/>
      <c r="AO379" s="18"/>
      <c r="AP379" s="18"/>
      <c r="AQ379" s="133"/>
      <c r="AR379" s="110"/>
      <c r="AS379" s="110"/>
      <c r="AT379" s="40"/>
      <c r="AU379" s="18"/>
      <c r="AV379" s="18"/>
      <c r="AW379" s="34"/>
      <c r="AX379" s="18"/>
    </row>
    <row r="380" spans="1:50" ht="18.75" customHeight="1" x14ac:dyDescent="0.2">
      <c r="A380" s="4" t="s">
        <v>325</v>
      </c>
      <c r="B380" s="4" t="s">
        <v>326</v>
      </c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1" t="s">
        <v>340</v>
      </c>
      <c r="AB380" s="42" t="s">
        <v>328</v>
      </c>
      <c r="AC380" s="43" t="s">
        <v>61</v>
      </c>
      <c r="AD380" s="43">
        <v>66047960</v>
      </c>
      <c r="AE380" s="44">
        <v>0</v>
      </c>
      <c r="AF380" s="44">
        <v>0</v>
      </c>
      <c r="AG380" s="44">
        <v>0</v>
      </c>
      <c r="AH380" s="44">
        <v>0</v>
      </c>
      <c r="AI380" s="44">
        <v>0</v>
      </c>
      <c r="AJ380" s="43">
        <v>66047960</v>
      </c>
      <c r="AK380" s="44">
        <v>0</v>
      </c>
      <c r="AL380" s="43">
        <v>4694500</v>
      </c>
      <c r="AM380" s="43">
        <v>34622200</v>
      </c>
      <c r="AN380" s="44">
        <v>0</v>
      </c>
      <c r="AO380" s="43">
        <v>4694500</v>
      </c>
      <c r="AP380" s="43">
        <v>34622200</v>
      </c>
      <c r="AQ380" s="115">
        <v>0</v>
      </c>
      <c r="AR380" s="114">
        <v>4694500</v>
      </c>
      <c r="AS380" s="114">
        <v>34622200</v>
      </c>
      <c r="AT380" s="39">
        <f t="shared" ref="AT380" si="177">AQ380+AS380</f>
        <v>34622200</v>
      </c>
      <c r="AU380" s="18">
        <f>AJ380-AM380</f>
        <v>31425760</v>
      </c>
      <c r="AV380" s="34">
        <f>AM380-AP380</f>
        <v>0</v>
      </c>
      <c r="AW380" s="34">
        <f>AP380-AT380</f>
        <v>0</v>
      </c>
      <c r="AX380" s="123">
        <f>AP380/AJ380</f>
        <v>0.52419787075936941</v>
      </c>
    </row>
    <row r="381" spans="1:50" ht="25.5" x14ac:dyDescent="0.2">
      <c r="AA381" s="28" t="s">
        <v>288</v>
      </c>
      <c r="AB381" s="29" t="s">
        <v>145</v>
      </c>
      <c r="AC381" s="17"/>
      <c r="AD381" s="18"/>
      <c r="AE381" s="34"/>
      <c r="AF381" s="34"/>
      <c r="AG381" s="34"/>
      <c r="AH381" s="34"/>
      <c r="AI381" s="34"/>
      <c r="AJ381" s="18"/>
      <c r="AK381" s="34"/>
      <c r="AL381" s="18"/>
      <c r="AM381" s="18"/>
      <c r="AN381" s="34"/>
      <c r="AO381" s="18"/>
      <c r="AP381" s="18"/>
      <c r="AQ381" s="133"/>
      <c r="AR381" s="110"/>
      <c r="AS381" s="110"/>
      <c r="AT381" s="40"/>
      <c r="AU381" s="18"/>
      <c r="AV381" s="18"/>
      <c r="AW381" s="34"/>
      <c r="AX381" s="18"/>
    </row>
    <row r="382" spans="1:50" ht="18.75" customHeight="1" x14ac:dyDescent="0.2">
      <c r="A382" s="4" t="s">
        <v>325</v>
      </c>
      <c r="B382" s="4" t="s">
        <v>326</v>
      </c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1" t="s">
        <v>341</v>
      </c>
      <c r="AB382" s="42" t="s">
        <v>328</v>
      </c>
      <c r="AC382" s="43" t="s">
        <v>61</v>
      </c>
      <c r="AD382" s="43">
        <v>131938455</v>
      </c>
      <c r="AE382" s="44">
        <v>0</v>
      </c>
      <c r="AF382" s="44">
        <v>0</v>
      </c>
      <c r="AG382" s="44">
        <v>0</v>
      </c>
      <c r="AH382" s="44">
        <v>0</v>
      </c>
      <c r="AI382" s="44">
        <v>0</v>
      </c>
      <c r="AJ382" s="43">
        <v>131938455</v>
      </c>
      <c r="AK382" s="44">
        <v>0</v>
      </c>
      <c r="AL382" s="43">
        <v>9374700</v>
      </c>
      <c r="AM382" s="43">
        <v>69185700</v>
      </c>
      <c r="AN382" s="44">
        <v>0</v>
      </c>
      <c r="AO382" s="43">
        <v>9374700</v>
      </c>
      <c r="AP382" s="43">
        <v>69185700</v>
      </c>
      <c r="AQ382" s="115">
        <v>0</v>
      </c>
      <c r="AR382" s="114">
        <v>9374700</v>
      </c>
      <c r="AS382" s="114">
        <v>69185700</v>
      </c>
      <c r="AT382" s="39">
        <f t="shared" ref="AT382" si="178">AQ382+AS382</f>
        <v>69185700</v>
      </c>
      <c r="AU382" s="18">
        <f>AJ382-AM382</f>
        <v>62752755</v>
      </c>
      <c r="AV382" s="34">
        <f>AM382-AP382</f>
        <v>0</v>
      </c>
      <c r="AW382" s="34">
        <f>AP382-AT382</f>
        <v>0</v>
      </c>
      <c r="AX382" s="123">
        <f>AP382/AJ382</f>
        <v>0.52437858242314572</v>
      </c>
    </row>
    <row r="383" spans="1:50" ht="18.75" customHeight="1" x14ac:dyDescent="0.2">
      <c r="AA383" s="16"/>
      <c r="AB383" s="17"/>
      <c r="AC383" s="17"/>
      <c r="AD383" s="18"/>
      <c r="AE383" s="34"/>
      <c r="AF383" s="34"/>
      <c r="AG383" s="34"/>
      <c r="AH383" s="34"/>
      <c r="AI383" s="34"/>
      <c r="AJ383" s="18"/>
      <c r="AK383" s="34"/>
      <c r="AL383" s="18"/>
      <c r="AM383" s="18"/>
      <c r="AN383" s="34"/>
      <c r="AO383" s="18"/>
      <c r="AP383" s="18"/>
      <c r="AQ383" s="34"/>
      <c r="AR383" s="34"/>
      <c r="AS383" s="34"/>
      <c r="AT383" s="40"/>
      <c r="AU383" s="18"/>
      <c r="AV383" s="18"/>
      <c r="AW383" s="18"/>
      <c r="AX383" s="18"/>
    </row>
    <row r="384" spans="1:50" ht="18.75" customHeight="1" x14ac:dyDescent="0.2">
      <c r="AA384" s="16"/>
      <c r="AB384" s="29" t="s">
        <v>149</v>
      </c>
      <c r="AC384" s="17"/>
      <c r="AD384" s="18"/>
      <c r="AE384" s="34"/>
      <c r="AF384" s="34"/>
      <c r="AG384" s="34"/>
      <c r="AH384" s="34"/>
      <c r="AI384" s="34"/>
      <c r="AJ384" s="18"/>
      <c r="AK384" s="34"/>
      <c r="AL384" s="18"/>
      <c r="AM384" s="18"/>
      <c r="AN384" s="34"/>
      <c r="AO384" s="18"/>
      <c r="AP384" s="18"/>
      <c r="AQ384" s="34"/>
      <c r="AR384" s="34"/>
      <c r="AS384" s="34"/>
      <c r="AT384" s="40"/>
      <c r="AU384" s="18"/>
      <c r="AV384" s="18"/>
      <c r="AW384" s="18"/>
      <c r="AX384" s="18"/>
    </row>
    <row r="385" spans="1:50" ht="18.75" customHeight="1" x14ac:dyDescent="0.2">
      <c r="AA385" s="16"/>
      <c r="AB385" s="29" t="s">
        <v>81</v>
      </c>
      <c r="AC385" s="17"/>
      <c r="AD385" s="18"/>
      <c r="AE385" s="34"/>
      <c r="AF385" s="34"/>
      <c r="AG385" s="34"/>
      <c r="AH385" s="34"/>
      <c r="AI385" s="34"/>
      <c r="AJ385" s="18"/>
      <c r="AK385" s="34"/>
      <c r="AL385" s="18"/>
      <c r="AM385" s="18"/>
      <c r="AN385" s="34"/>
      <c r="AO385" s="18"/>
      <c r="AP385" s="18"/>
      <c r="AQ385" s="34"/>
      <c r="AR385" s="34"/>
      <c r="AS385" s="34"/>
      <c r="AT385" s="40"/>
      <c r="AU385" s="18"/>
      <c r="AV385" s="18"/>
      <c r="AW385" s="18"/>
      <c r="AX385" s="18"/>
    </row>
    <row r="386" spans="1:50" ht="18.75" customHeight="1" x14ac:dyDescent="0.2">
      <c r="AA386" s="28" t="s">
        <v>288</v>
      </c>
      <c r="AB386" s="29" t="s">
        <v>152</v>
      </c>
      <c r="AC386" s="17"/>
      <c r="AD386" s="18"/>
      <c r="AE386" s="34"/>
      <c r="AF386" s="34"/>
      <c r="AG386" s="34"/>
      <c r="AH386" s="34"/>
      <c r="AI386" s="34"/>
      <c r="AJ386" s="18"/>
      <c r="AK386" s="34"/>
      <c r="AL386" s="18"/>
      <c r="AM386" s="18"/>
      <c r="AN386" s="34"/>
      <c r="AO386" s="18"/>
      <c r="AP386" s="18"/>
      <c r="AQ386" s="34"/>
      <c r="AR386" s="34"/>
      <c r="AS386" s="34"/>
      <c r="AT386" s="40"/>
      <c r="AU386" s="18"/>
      <c r="AV386" s="18"/>
      <c r="AW386" s="18"/>
      <c r="AX386" s="18"/>
    </row>
    <row r="387" spans="1:50" ht="18.75" customHeight="1" x14ac:dyDescent="0.2">
      <c r="A387" s="4" t="s">
        <v>325</v>
      </c>
      <c r="B387" s="4" t="s">
        <v>326</v>
      </c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1" t="s">
        <v>342</v>
      </c>
      <c r="AB387" s="42" t="s">
        <v>328</v>
      </c>
      <c r="AC387" s="43" t="s">
        <v>61</v>
      </c>
      <c r="AD387" s="43">
        <v>1121217736</v>
      </c>
      <c r="AE387" s="44">
        <v>0</v>
      </c>
      <c r="AF387" s="44">
        <v>0</v>
      </c>
      <c r="AG387" s="44">
        <v>0</v>
      </c>
      <c r="AH387" s="44">
        <v>0</v>
      </c>
      <c r="AI387" s="44">
        <v>0</v>
      </c>
      <c r="AJ387" s="43">
        <v>1121217736</v>
      </c>
      <c r="AK387" s="44">
        <v>0</v>
      </c>
      <c r="AL387" s="44">
        <v>360217847</v>
      </c>
      <c r="AM387" s="43">
        <v>621338674</v>
      </c>
      <c r="AN387" s="44">
        <v>0</v>
      </c>
      <c r="AO387" s="44">
        <v>360217847</v>
      </c>
      <c r="AP387" s="43">
        <v>621338674</v>
      </c>
      <c r="AQ387" s="44">
        <v>0</v>
      </c>
      <c r="AR387" s="115">
        <v>360217847</v>
      </c>
      <c r="AS387" s="114">
        <v>621338674</v>
      </c>
      <c r="AT387" s="39">
        <f t="shared" ref="AT387" si="179">AQ387+AS387</f>
        <v>621338674</v>
      </c>
      <c r="AU387" s="18">
        <f>AJ387-AM387</f>
        <v>499879062</v>
      </c>
      <c r="AV387" s="34">
        <f>AM387-AP387</f>
        <v>0</v>
      </c>
      <c r="AW387" s="34">
        <f>AP387-AT387</f>
        <v>0</v>
      </c>
      <c r="AX387" s="123">
        <f>AP387/AJ387</f>
        <v>0.55416415032521393</v>
      </c>
    </row>
    <row r="388" spans="1:50" ht="18.75" customHeight="1" x14ac:dyDescent="0.2">
      <c r="AA388" s="28" t="s">
        <v>288</v>
      </c>
      <c r="AB388" s="29" t="s">
        <v>343</v>
      </c>
      <c r="AC388" s="17"/>
      <c r="AD388" s="18"/>
      <c r="AE388" s="34"/>
      <c r="AF388" s="34"/>
      <c r="AG388" s="34"/>
      <c r="AH388" s="34"/>
      <c r="AI388" s="34"/>
      <c r="AJ388" s="18"/>
      <c r="AK388" s="34"/>
      <c r="AL388" s="18"/>
      <c r="AM388" s="18"/>
      <c r="AN388" s="34"/>
      <c r="AO388" s="18"/>
      <c r="AP388" s="18"/>
      <c r="AQ388" s="18"/>
      <c r="AR388" s="18"/>
      <c r="AS388" s="18"/>
      <c r="AT388" s="39"/>
      <c r="AU388" s="18"/>
      <c r="AV388" s="18"/>
      <c r="AW388" s="34"/>
      <c r="AX388" s="18"/>
    </row>
    <row r="389" spans="1:50" ht="18.75" customHeight="1" x14ac:dyDescent="0.2">
      <c r="A389" s="4" t="s">
        <v>325</v>
      </c>
      <c r="B389" s="4" t="s">
        <v>326</v>
      </c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1" t="s">
        <v>344</v>
      </c>
      <c r="AB389" s="42" t="s">
        <v>328</v>
      </c>
      <c r="AC389" s="43" t="s">
        <v>61</v>
      </c>
      <c r="AD389" s="43">
        <v>10000000</v>
      </c>
      <c r="AE389" s="44">
        <v>0</v>
      </c>
      <c r="AF389" s="44">
        <v>0</v>
      </c>
      <c r="AG389" s="44">
        <v>0</v>
      </c>
      <c r="AH389" s="44">
        <v>0</v>
      </c>
      <c r="AI389" s="44">
        <v>0</v>
      </c>
      <c r="AJ389" s="43">
        <v>10000000</v>
      </c>
      <c r="AK389" s="44">
        <v>0</v>
      </c>
      <c r="AL389" s="44">
        <v>0</v>
      </c>
      <c r="AM389" s="44">
        <v>0</v>
      </c>
      <c r="AN389" s="44">
        <v>0</v>
      </c>
      <c r="AO389" s="44">
        <v>0</v>
      </c>
      <c r="AP389" s="44">
        <v>0</v>
      </c>
      <c r="AQ389" s="44">
        <v>0</v>
      </c>
      <c r="AR389" s="44">
        <v>0</v>
      </c>
      <c r="AS389" s="44">
        <v>0</v>
      </c>
      <c r="AT389" s="40">
        <f t="shared" ref="AT389:AT420" si="180">AQ389+AS389</f>
        <v>0</v>
      </c>
      <c r="AU389" s="18">
        <f>AJ389-AM389</f>
        <v>10000000</v>
      </c>
      <c r="AV389" s="34">
        <f>AM389-AP389</f>
        <v>0</v>
      </c>
      <c r="AW389" s="34">
        <f>AP389-AT389</f>
        <v>0</v>
      </c>
      <c r="AX389" s="123">
        <f>AP389/AJ389</f>
        <v>0</v>
      </c>
    </row>
    <row r="390" spans="1:50" ht="18.75" customHeight="1" x14ac:dyDescent="0.2">
      <c r="AA390" s="28" t="s">
        <v>288</v>
      </c>
      <c r="AB390" s="29" t="s">
        <v>162</v>
      </c>
      <c r="AC390" s="17"/>
      <c r="AD390" s="18"/>
      <c r="AE390" s="34"/>
      <c r="AF390" s="34"/>
      <c r="AG390" s="34"/>
      <c r="AH390" s="34"/>
      <c r="AI390" s="34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30"/>
      <c r="AU390" s="18"/>
      <c r="AV390" s="18"/>
      <c r="AW390" s="18"/>
      <c r="AX390" s="18"/>
    </row>
    <row r="391" spans="1:50" ht="18.75" customHeight="1" x14ac:dyDescent="0.2">
      <c r="AA391" s="16"/>
      <c r="AB391" s="17"/>
      <c r="AC391" s="17"/>
      <c r="AD391" s="18"/>
      <c r="AE391" s="34"/>
      <c r="AF391" s="34"/>
      <c r="AG391" s="34"/>
      <c r="AH391" s="34"/>
      <c r="AI391" s="34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30"/>
      <c r="AU391" s="18"/>
      <c r="AV391" s="18"/>
      <c r="AW391" s="18"/>
      <c r="AX391" s="18"/>
    </row>
    <row r="392" spans="1:50" ht="18.75" customHeight="1" x14ac:dyDescent="0.2">
      <c r="AA392" s="16"/>
      <c r="AB392" s="29" t="s">
        <v>356</v>
      </c>
      <c r="AC392" s="17"/>
      <c r="AD392" s="18"/>
      <c r="AE392" s="34"/>
      <c r="AF392" s="34"/>
      <c r="AG392" s="34"/>
      <c r="AH392" s="34"/>
      <c r="AI392" s="34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30"/>
      <c r="AU392" s="18"/>
      <c r="AV392" s="18"/>
      <c r="AW392" s="18"/>
      <c r="AX392" s="18"/>
    </row>
    <row r="393" spans="1:50" ht="18.75" customHeight="1" x14ac:dyDescent="0.2">
      <c r="AA393" s="16"/>
      <c r="AB393" s="29" t="s">
        <v>286</v>
      </c>
      <c r="AC393" s="17"/>
      <c r="AD393" s="18"/>
      <c r="AE393" s="34"/>
      <c r="AF393" s="34"/>
      <c r="AG393" s="34"/>
      <c r="AH393" s="34"/>
      <c r="AI393" s="34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30"/>
      <c r="AU393" s="18"/>
      <c r="AV393" s="18"/>
      <c r="AW393" s="18"/>
      <c r="AX393" s="18"/>
    </row>
    <row r="394" spans="1:50" ht="18.75" customHeight="1" x14ac:dyDescent="0.2">
      <c r="AA394" s="16"/>
      <c r="AB394" s="29" t="s">
        <v>179</v>
      </c>
      <c r="AC394" s="17"/>
      <c r="AD394" s="18"/>
      <c r="AE394" s="34"/>
      <c r="AF394" s="34"/>
      <c r="AG394" s="34"/>
      <c r="AH394" s="34"/>
      <c r="AI394" s="34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30"/>
      <c r="AU394" s="18"/>
      <c r="AV394" s="18"/>
      <c r="AW394" s="18"/>
      <c r="AX394" s="18"/>
    </row>
    <row r="395" spans="1:50" ht="18.75" customHeight="1" x14ac:dyDescent="0.2">
      <c r="AA395" s="16"/>
      <c r="AB395" s="29" t="s">
        <v>181</v>
      </c>
      <c r="AC395" s="17"/>
      <c r="AD395" s="18"/>
      <c r="AE395" s="34"/>
      <c r="AF395" s="34"/>
      <c r="AG395" s="34"/>
      <c r="AH395" s="34"/>
      <c r="AI395" s="34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30"/>
      <c r="AU395" s="18"/>
      <c r="AV395" s="18"/>
      <c r="AW395" s="18"/>
      <c r="AX395" s="18"/>
    </row>
    <row r="396" spans="1:50" ht="25.5" x14ac:dyDescent="0.2">
      <c r="AA396" s="16"/>
      <c r="AB396" s="29" t="s">
        <v>183</v>
      </c>
      <c r="AC396" s="17"/>
      <c r="AD396" s="18"/>
      <c r="AE396" s="34"/>
      <c r="AF396" s="34"/>
      <c r="AG396" s="34"/>
      <c r="AH396" s="34"/>
      <c r="AI396" s="34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30"/>
      <c r="AU396" s="18"/>
      <c r="AV396" s="18"/>
      <c r="AW396" s="18"/>
      <c r="AX396" s="18"/>
    </row>
    <row r="397" spans="1:50" ht="18.75" customHeight="1" x14ac:dyDescent="0.2">
      <c r="AA397" s="28" t="s">
        <v>288</v>
      </c>
      <c r="AB397" s="29" t="s">
        <v>320</v>
      </c>
      <c r="AC397" s="17"/>
      <c r="AD397" s="18"/>
      <c r="AE397" s="34"/>
      <c r="AF397" s="34"/>
      <c r="AG397" s="34"/>
      <c r="AH397" s="34"/>
      <c r="AI397" s="34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30"/>
      <c r="AU397" s="18"/>
      <c r="AV397" s="18"/>
      <c r="AW397" s="18"/>
      <c r="AX397" s="18"/>
    </row>
    <row r="398" spans="1:50" ht="18.75" customHeight="1" x14ac:dyDescent="0.2">
      <c r="A398" s="4" t="s">
        <v>55</v>
      </c>
      <c r="B398" s="4" t="s">
        <v>56</v>
      </c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1" t="s">
        <v>357</v>
      </c>
      <c r="AB398" s="42" t="s">
        <v>328</v>
      </c>
      <c r="AC398" s="43" t="s">
        <v>61</v>
      </c>
      <c r="AD398" s="43">
        <v>33040051</v>
      </c>
      <c r="AE398" s="44">
        <v>0</v>
      </c>
      <c r="AF398" s="44">
        <v>0</v>
      </c>
      <c r="AG398" s="44">
        <v>0</v>
      </c>
      <c r="AH398" s="44">
        <v>0</v>
      </c>
      <c r="AI398" s="44">
        <v>0</v>
      </c>
      <c r="AJ398" s="43">
        <v>33040051</v>
      </c>
      <c r="AK398" s="44">
        <v>0</v>
      </c>
      <c r="AL398" s="44">
        <v>0</v>
      </c>
      <c r="AM398" s="44">
        <v>0</v>
      </c>
      <c r="AN398" s="44">
        <v>0</v>
      </c>
      <c r="AO398" s="44">
        <v>0</v>
      </c>
      <c r="AP398" s="44">
        <v>0</v>
      </c>
      <c r="AQ398" s="44">
        <v>0</v>
      </c>
      <c r="AR398" s="44">
        <v>0</v>
      </c>
      <c r="AS398" s="44">
        <v>0</v>
      </c>
      <c r="AT398" s="40">
        <f t="shared" ref="AT398" si="181">AQ398+AS398</f>
        <v>0</v>
      </c>
      <c r="AU398" s="18">
        <f>AJ398-AM398</f>
        <v>33040051</v>
      </c>
      <c r="AV398" s="34">
        <f>AM398-AP398</f>
        <v>0</v>
      </c>
      <c r="AW398" s="34">
        <f>AP398-AT398</f>
        <v>0</v>
      </c>
      <c r="AX398" s="123">
        <f>AP398/AJ398</f>
        <v>0</v>
      </c>
    </row>
    <row r="399" spans="1:50" ht="18.75" customHeight="1" x14ac:dyDescent="0.2">
      <c r="AA399" s="16"/>
      <c r="AB399" s="17"/>
      <c r="AC399" s="17"/>
      <c r="AD399" s="18"/>
      <c r="AE399" s="34"/>
      <c r="AF399" s="34"/>
      <c r="AG399" s="34"/>
      <c r="AH399" s="34"/>
      <c r="AI399" s="34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31"/>
      <c r="AU399" s="18"/>
      <c r="AV399" s="18"/>
      <c r="AW399" s="34"/>
      <c r="AX399" s="18"/>
    </row>
    <row r="400" spans="1:50" ht="18.75" customHeight="1" x14ac:dyDescent="0.2">
      <c r="AA400" s="16"/>
      <c r="AB400" s="29" t="s">
        <v>187</v>
      </c>
      <c r="AC400" s="17"/>
      <c r="AD400" s="18"/>
      <c r="AE400" s="34"/>
      <c r="AF400" s="34"/>
      <c r="AG400" s="34"/>
      <c r="AH400" s="34"/>
      <c r="AI400" s="34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31"/>
      <c r="AU400" s="18"/>
      <c r="AV400" s="18"/>
      <c r="AW400" s="34"/>
      <c r="AX400" s="18"/>
    </row>
    <row r="401" spans="1:50" ht="25.5" x14ac:dyDescent="0.2">
      <c r="AA401" s="28" t="s">
        <v>288</v>
      </c>
      <c r="AB401" s="68" t="s">
        <v>358</v>
      </c>
      <c r="AC401" s="17"/>
      <c r="AD401" s="18"/>
      <c r="AE401" s="34"/>
      <c r="AF401" s="34"/>
      <c r="AG401" s="34"/>
      <c r="AH401" s="34"/>
      <c r="AI401" s="34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31"/>
      <c r="AU401" s="18"/>
      <c r="AV401" s="18"/>
      <c r="AW401" s="34"/>
      <c r="AX401" s="18"/>
    </row>
    <row r="402" spans="1:50" ht="18.75" customHeight="1" x14ac:dyDescent="0.2">
      <c r="AA402" s="41" t="s">
        <v>908</v>
      </c>
      <c r="AB402" s="69" t="s">
        <v>233</v>
      </c>
      <c r="AC402" s="17"/>
      <c r="AD402" s="34">
        <v>0</v>
      </c>
      <c r="AE402" s="34">
        <v>0</v>
      </c>
      <c r="AF402" s="34">
        <v>0</v>
      </c>
      <c r="AG402" s="18">
        <f>2000000000+68793982.7</f>
        <v>2068793982.7</v>
      </c>
      <c r="AH402" s="34">
        <v>0</v>
      </c>
      <c r="AI402" s="18">
        <f>AE402-AF402+AG402-AH402</f>
        <v>2068793982.7</v>
      </c>
      <c r="AJ402" s="18">
        <f>AD402+AI402</f>
        <v>2068793982.7</v>
      </c>
      <c r="AK402" s="34">
        <v>0</v>
      </c>
      <c r="AL402" s="44">
        <v>0</v>
      </c>
      <c r="AM402" s="18">
        <v>1998371566.72</v>
      </c>
      <c r="AN402" s="34">
        <v>0</v>
      </c>
      <c r="AO402" s="34">
        <v>0</v>
      </c>
      <c r="AP402" s="18">
        <v>1998371566.72</v>
      </c>
      <c r="AQ402" s="34">
        <v>0</v>
      </c>
      <c r="AR402" s="34">
        <v>0</v>
      </c>
      <c r="AS402" s="34">
        <v>0</v>
      </c>
      <c r="AT402" s="40">
        <f>AQ402+AS402</f>
        <v>0</v>
      </c>
      <c r="AU402" s="18">
        <f>AJ402-AM402</f>
        <v>70422415.980000019</v>
      </c>
      <c r="AV402" s="133">
        <f>AM402-AP402</f>
        <v>0</v>
      </c>
      <c r="AW402" s="18">
        <f>AP402-AT402</f>
        <v>1998371566.72</v>
      </c>
      <c r="AX402" s="123">
        <f>AP402/AJ402</f>
        <v>0.96595967671556593</v>
      </c>
    </row>
    <row r="403" spans="1:50" ht="24.75" customHeight="1" x14ac:dyDescent="0.2">
      <c r="A403" s="4" t="s">
        <v>55</v>
      </c>
      <c r="B403" s="4" t="s">
        <v>56</v>
      </c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134" t="s">
        <v>359</v>
      </c>
      <c r="AB403" s="69" t="s">
        <v>360</v>
      </c>
      <c r="AC403" s="43" t="s">
        <v>361</v>
      </c>
      <c r="AD403" s="43">
        <v>800000000</v>
      </c>
      <c r="AE403" s="44">
        <v>0</v>
      </c>
      <c r="AF403" s="44">
        <v>0</v>
      </c>
      <c r="AG403" s="44">
        <v>0</v>
      </c>
      <c r="AH403" s="44">
        <v>0</v>
      </c>
      <c r="AI403" s="34">
        <f t="shared" ref="AI403" si="182">AE403-AF403+AG403-AH403</f>
        <v>0</v>
      </c>
      <c r="AJ403" s="18">
        <f t="shared" ref="AJ403" si="183">AD403+AI403</f>
        <v>800000000</v>
      </c>
      <c r="AK403" s="44">
        <v>0</v>
      </c>
      <c r="AL403" s="44">
        <v>0</v>
      </c>
      <c r="AM403" s="43">
        <v>800000000</v>
      </c>
      <c r="AN403" s="44">
        <v>0</v>
      </c>
      <c r="AO403" s="44">
        <v>0</v>
      </c>
      <c r="AP403" s="43">
        <v>800000000</v>
      </c>
      <c r="AQ403" s="44">
        <v>0</v>
      </c>
      <c r="AR403" s="44">
        <v>0</v>
      </c>
      <c r="AS403" s="44">
        <v>0</v>
      </c>
      <c r="AT403" s="40">
        <f t="shared" ref="AT403" si="184">AQ403+AS403</f>
        <v>0</v>
      </c>
      <c r="AU403" s="34">
        <f>AJ403-AM403</f>
        <v>0</v>
      </c>
      <c r="AV403" s="133">
        <f>AM403-AP403</f>
        <v>0</v>
      </c>
      <c r="AW403" s="18">
        <f>AP403-AT403</f>
        <v>800000000</v>
      </c>
      <c r="AX403" s="123">
        <f>AP403/AJ403</f>
        <v>1</v>
      </c>
    </row>
    <row r="405" spans="1:50" ht="18.75" customHeight="1" x14ac:dyDescent="0.2">
      <c r="AA405" s="16"/>
      <c r="AB405" s="68" t="s">
        <v>189</v>
      </c>
      <c r="AC405" s="17"/>
      <c r="AD405" s="18"/>
      <c r="AE405" s="34"/>
      <c r="AF405" s="34"/>
      <c r="AG405" s="34"/>
      <c r="AH405" s="34"/>
      <c r="AI405" s="34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31"/>
      <c r="AU405" s="18"/>
      <c r="AV405" s="18"/>
      <c r="AW405" s="34"/>
      <c r="AX405" s="18"/>
    </row>
    <row r="406" spans="1:50" ht="18.75" customHeight="1" x14ac:dyDescent="0.2">
      <c r="AA406" s="16"/>
      <c r="AB406" s="68" t="s">
        <v>191</v>
      </c>
      <c r="AC406" s="17"/>
      <c r="AD406" s="18"/>
      <c r="AE406" s="34"/>
      <c r="AF406" s="34"/>
      <c r="AG406" s="34"/>
      <c r="AH406" s="34"/>
      <c r="AI406" s="34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31"/>
      <c r="AU406" s="18"/>
      <c r="AV406" s="18"/>
      <c r="AW406" s="34"/>
      <c r="AX406" s="18"/>
    </row>
    <row r="407" spans="1:50" ht="18.75" customHeight="1" x14ac:dyDescent="0.2">
      <c r="AA407" s="28" t="s">
        <v>288</v>
      </c>
      <c r="AB407" s="68" t="s">
        <v>362</v>
      </c>
      <c r="AC407" s="17"/>
      <c r="AD407" s="18"/>
      <c r="AE407" s="34"/>
      <c r="AF407" s="34"/>
      <c r="AG407" s="34"/>
      <c r="AH407" s="34"/>
      <c r="AI407" s="34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31"/>
      <c r="AU407" s="18"/>
      <c r="AV407" s="18"/>
      <c r="AW407" s="34"/>
      <c r="AX407" s="18"/>
    </row>
    <row r="408" spans="1:50" ht="18.75" customHeight="1" x14ac:dyDescent="0.2">
      <c r="A408" s="4" t="s">
        <v>55</v>
      </c>
      <c r="B408" s="4" t="s">
        <v>56</v>
      </c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1" t="s">
        <v>363</v>
      </c>
      <c r="AB408" s="69" t="s">
        <v>233</v>
      </c>
      <c r="AC408" s="43" t="s">
        <v>58</v>
      </c>
      <c r="AD408" s="43">
        <v>295200000</v>
      </c>
      <c r="AE408" s="44">
        <v>0</v>
      </c>
      <c r="AF408" s="44">
        <v>0</v>
      </c>
      <c r="AG408" s="44">
        <v>0</v>
      </c>
      <c r="AH408" s="44">
        <v>0</v>
      </c>
      <c r="AI408" s="34">
        <f t="shared" ref="AI408:AI413" si="185">AE408-AF408+AG408-AH408</f>
        <v>0</v>
      </c>
      <c r="AJ408" s="18">
        <f t="shared" ref="AJ408:AJ413" si="186">AD408+AI408</f>
        <v>295200000</v>
      </c>
      <c r="AK408" s="44">
        <v>0</v>
      </c>
      <c r="AL408" s="43">
        <v>118521625</v>
      </c>
      <c r="AM408" s="43">
        <v>118521625</v>
      </c>
      <c r="AN408" s="44">
        <v>0</v>
      </c>
      <c r="AO408" s="44">
        <v>0</v>
      </c>
      <c r="AP408" s="44">
        <v>0</v>
      </c>
      <c r="AQ408" s="44">
        <v>0</v>
      </c>
      <c r="AR408" s="44">
        <v>0</v>
      </c>
      <c r="AS408" s="44">
        <v>0</v>
      </c>
      <c r="AT408" s="40">
        <f t="shared" ref="AT408:AT413" si="187">AQ408+AS408</f>
        <v>0</v>
      </c>
      <c r="AU408" s="18">
        <f t="shared" ref="AU408:AU413" si="188">AJ408-AM408</f>
        <v>176678375</v>
      </c>
      <c r="AV408" s="18">
        <f t="shared" ref="AV408:AV413" si="189">AM408-AP408</f>
        <v>118521625</v>
      </c>
      <c r="AW408" s="34">
        <f t="shared" ref="AW408:AW413" si="190">AP408-AT408</f>
        <v>0</v>
      </c>
      <c r="AX408" s="123">
        <f t="shared" ref="AX408:AX413" si="191">AP408/AJ408</f>
        <v>0</v>
      </c>
    </row>
    <row r="409" spans="1:50" ht="18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1" t="s">
        <v>1263</v>
      </c>
      <c r="AB409" s="69" t="s">
        <v>1264</v>
      </c>
      <c r="AC409" s="43"/>
      <c r="AD409" s="43">
        <v>0</v>
      </c>
      <c r="AE409" s="44">
        <v>0</v>
      </c>
      <c r="AF409" s="44">
        <v>0</v>
      </c>
      <c r="AG409" s="43">
        <v>563696519</v>
      </c>
      <c r="AH409" s="44"/>
      <c r="AI409" s="18">
        <f t="shared" si="185"/>
        <v>563696519</v>
      </c>
      <c r="AJ409" s="18">
        <f t="shared" si="186"/>
        <v>563696519</v>
      </c>
      <c r="AK409" s="44">
        <v>0</v>
      </c>
      <c r="AL409" s="43">
        <v>245706286.99000001</v>
      </c>
      <c r="AM409" s="43">
        <v>245706286.99000001</v>
      </c>
      <c r="AN409" s="44">
        <v>0</v>
      </c>
      <c r="AO409" s="44">
        <v>0</v>
      </c>
      <c r="AP409" s="44">
        <v>0</v>
      </c>
      <c r="AQ409" s="44">
        <v>0</v>
      </c>
      <c r="AR409" s="44">
        <v>0</v>
      </c>
      <c r="AS409" s="44">
        <v>0</v>
      </c>
      <c r="AT409" s="40">
        <f t="shared" si="187"/>
        <v>0</v>
      </c>
      <c r="AU409" s="18">
        <f t="shared" si="188"/>
        <v>317990232.00999999</v>
      </c>
      <c r="AV409" s="18">
        <f t="shared" si="189"/>
        <v>245706286.99000001</v>
      </c>
      <c r="AW409" s="34">
        <f t="shared" si="190"/>
        <v>0</v>
      </c>
      <c r="AX409" s="123">
        <f t="shared" si="191"/>
        <v>0</v>
      </c>
    </row>
    <row r="410" spans="1:50" ht="18.75" customHeight="1" x14ac:dyDescent="0.2">
      <c r="A410" s="4" t="s">
        <v>55</v>
      </c>
      <c r="B410" s="4" t="s">
        <v>56</v>
      </c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1" t="s">
        <v>364</v>
      </c>
      <c r="AB410" s="69" t="s">
        <v>360</v>
      </c>
      <c r="AC410" s="43" t="s">
        <v>361</v>
      </c>
      <c r="AD410" s="43">
        <v>1948457402</v>
      </c>
      <c r="AE410" s="44">
        <v>0</v>
      </c>
      <c r="AF410" s="44">
        <v>0</v>
      </c>
      <c r="AG410" s="44">
        <v>0</v>
      </c>
      <c r="AH410" s="44">
        <v>0</v>
      </c>
      <c r="AI410" s="34">
        <f t="shared" si="185"/>
        <v>0</v>
      </c>
      <c r="AJ410" s="18">
        <f t="shared" si="186"/>
        <v>1948457402</v>
      </c>
      <c r="AK410" s="44">
        <v>0</v>
      </c>
      <c r="AL410" s="44">
        <v>0</v>
      </c>
      <c r="AM410" s="44">
        <v>0</v>
      </c>
      <c r="AN410" s="44">
        <v>0</v>
      </c>
      <c r="AO410" s="44">
        <v>0</v>
      </c>
      <c r="AP410" s="44">
        <v>0</v>
      </c>
      <c r="AQ410" s="44">
        <v>0</v>
      </c>
      <c r="AR410" s="44">
        <v>0</v>
      </c>
      <c r="AS410" s="44">
        <v>0</v>
      </c>
      <c r="AT410" s="40">
        <f t="shared" si="187"/>
        <v>0</v>
      </c>
      <c r="AU410" s="18">
        <f t="shared" si="188"/>
        <v>1948457402</v>
      </c>
      <c r="AV410" s="18">
        <f t="shared" si="189"/>
        <v>0</v>
      </c>
      <c r="AW410" s="34">
        <f t="shared" si="190"/>
        <v>0</v>
      </c>
      <c r="AX410" s="123">
        <f t="shared" si="191"/>
        <v>0</v>
      </c>
    </row>
    <row r="411" spans="1:50" ht="18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245" t="s">
        <v>1206</v>
      </c>
      <c r="AB411" s="69" t="s">
        <v>1204</v>
      </c>
      <c r="AC411" s="43"/>
      <c r="AD411" s="44">
        <v>0</v>
      </c>
      <c r="AE411" s="43">
        <v>1243761503.24</v>
      </c>
      <c r="AF411" s="44">
        <v>0</v>
      </c>
      <c r="AG411" s="44">
        <v>0</v>
      </c>
      <c r="AH411" s="44">
        <v>0</v>
      </c>
      <c r="AI411" s="18">
        <f t="shared" si="185"/>
        <v>1243761503.24</v>
      </c>
      <c r="AJ411" s="18">
        <f t="shared" si="186"/>
        <v>1243761503.24</v>
      </c>
      <c r="AK411" s="44">
        <v>0</v>
      </c>
      <c r="AL411" s="44">
        <v>1243761503.24</v>
      </c>
      <c r="AM411" s="44">
        <v>1243761503.24</v>
      </c>
      <c r="AN411" s="44">
        <v>0</v>
      </c>
      <c r="AO411" s="44">
        <v>0</v>
      </c>
      <c r="AP411" s="44">
        <v>0</v>
      </c>
      <c r="AQ411" s="44">
        <v>0</v>
      </c>
      <c r="AR411" s="44">
        <v>0</v>
      </c>
      <c r="AS411" s="44">
        <v>0</v>
      </c>
      <c r="AT411" s="40">
        <f t="shared" si="187"/>
        <v>0</v>
      </c>
      <c r="AU411" s="34">
        <f t="shared" si="188"/>
        <v>0</v>
      </c>
      <c r="AV411" s="18">
        <f t="shared" si="189"/>
        <v>1243761503.24</v>
      </c>
      <c r="AW411" s="34">
        <f t="shared" si="190"/>
        <v>0</v>
      </c>
      <c r="AX411" s="123">
        <f t="shared" si="191"/>
        <v>0</v>
      </c>
    </row>
    <row r="412" spans="1:50" ht="18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245" t="s">
        <v>1207</v>
      </c>
      <c r="AB412" s="69" t="s">
        <v>1208</v>
      </c>
      <c r="AC412" s="43"/>
      <c r="AD412" s="44">
        <v>0</v>
      </c>
      <c r="AE412" s="43">
        <v>33301512</v>
      </c>
      <c r="AF412" s="44">
        <v>0</v>
      </c>
      <c r="AG412" s="44">
        <v>0</v>
      </c>
      <c r="AH412" s="44">
        <v>0</v>
      </c>
      <c r="AI412" s="18">
        <f t="shared" si="185"/>
        <v>33301512</v>
      </c>
      <c r="AJ412" s="18">
        <f t="shared" si="186"/>
        <v>33301512</v>
      </c>
      <c r="AK412" s="44">
        <v>0</v>
      </c>
      <c r="AL412" s="43">
        <v>0</v>
      </c>
      <c r="AM412" s="43">
        <v>33301512</v>
      </c>
      <c r="AN412" s="44">
        <v>0</v>
      </c>
      <c r="AO412" s="43">
        <v>0</v>
      </c>
      <c r="AP412" s="43">
        <v>33301512</v>
      </c>
      <c r="AQ412" s="43">
        <v>0</v>
      </c>
      <c r="AR412" s="44">
        <v>33301512</v>
      </c>
      <c r="AS412" s="44">
        <v>33301512</v>
      </c>
      <c r="AT412" s="39">
        <f t="shared" si="187"/>
        <v>33301512</v>
      </c>
      <c r="AU412" s="34">
        <f t="shared" si="188"/>
        <v>0</v>
      </c>
      <c r="AV412" s="18">
        <f t="shared" si="189"/>
        <v>0</v>
      </c>
      <c r="AW412" s="34">
        <f t="shared" si="190"/>
        <v>0</v>
      </c>
      <c r="AX412" s="123">
        <f t="shared" si="191"/>
        <v>1</v>
      </c>
    </row>
    <row r="413" spans="1:50" ht="18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245" t="s">
        <v>1209</v>
      </c>
      <c r="AB413" s="69" t="s">
        <v>1271</v>
      </c>
      <c r="AC413" s="43"/>
      <c r="AD413" s="44">
        <v>0</v>
      </c>
      <c r="AE413" s="43">
        <v>299273185.5</v>
      </c>
      <c r="AF413" s="44">
        <v>0</v>
      </c>
      <c r="AG413" s="44">
        <v>0</v>
      </c>
      <c r="AH413" s="44">
        <v>0</v>
      </c>
      <c r="AI413" s="18">
        <f t="shared" si="185"/>
        <v>299273185.5</v>
      </c>
      <c r="AJ413" s="18">
        <f t="shared" si="186"/>
        <v>299273185.5</v>
      </c>
      <c r="AK413" s="44">
        <v>0</v>
      </c>
      <c r="AL413" s="43">
        <v>21049985.5</v>
      </c>
      <c r="AM413" s="43">
        <v>299273185.5</v>
      </c>
      <c r="AN413" s="44">
        <v>0</v>
      </c>
      <c r="AO413" s="43">
        <v>0</v>
      </c>
      <c r="AP413" s="43">
        <v>278223200</v>
      </c>
      <c r="AQ413" s="43">
        <v>0</v>
      </c>
      <c r="AR413" s="44">
        <v>124621932.45</v>
      </c>
      <c r="AS413" s="44">
        <v>124621932.45</v>
      </c>
      <c r="AT413" s="39">
        <f t="shared" si="187"/>
        <v>124621932.45</v>
      </c>
      <c r="AU413" s="34">
        <f t="shared" si="188"/>
        <v>0</v>
      </c>
      <c r="AV413" s="18">
        <f t="shared" si="189"/>
        <v>21049985.5</v>
      </c>
      <c r="AW413" s="18">
        <f t="shared" si="190"/>
        <v>153601267.55000001</v>
      </c>
      <c r="AX413" s="123">
        <f t="shared" si="191"/>
        <v>0.9296629751013894</v>
      </c>
    </row>
    <row r="414" spans="1:50" ht="18.75" customHeight="1" x14ac:dyDescent="0.2">
      <c r="AA414" s="28" t="s">
        <v>288</v>
      </c>
      <c r="AB414" s="68" t="s">
        <v>365</v>
      </c>
      <c r="AC414" s="17"/>
      <c r="AD414" s="18"/>
      <c r="AE414" s="34"/>
      <c r="AF414" s="34"/>
      <c r="AG414" s="34"/>
      <c r="AH414" s="34"/>
      <c r="AI414" s="34"/>
      <c r="AJ414" s="18"/>
      <c r="AK414" s="34"/>
      <c r="AL414" s="34"/>
      <c r="AM414" s="34"/>
      <c r="AN414" s="34"/>
      <c r="AO414" s="34"/>
      <c r="AP414" s="34"/>
      <c r="AQ414" s="34"/>
      <c r="AR414" s="34"/>
      <c r="AS414" s="34"/>
      <c r="AT414" s="40"/>
      <c r="AU414" s="18"/>
      <c r="AV414" s="18"/>
      <c r="AW414" s="18"/>
      <c r="AX414" s="18"/>
    </row>
    <row r="415" spans="1:50" ht="18.75" customHeight="1" x14ac:dyDescent="0.2">
      <c r="A415" s="4" t="s">
        <v>55</v>
      </c>
      <c r="B415" s="4" t="s">
        <v>56</v>
      </c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1" t="s">
        <v>366</v>
      </c>
      <c r="AB415" s="69" t="s">
        <v>367</v>
      </c>
      <c r="AC415" s="43" t="s">
        <v>368</v>
      </c>
      <c r="AD415" s="43">
        <v>229393430</v>
      </c>
      <c r="AE415" s="44">
        <v>0</v>
      </c>
      <c r="AF415" s="44">
        <v>0</v>
      </c>
      <c r="AG415" s="44">
        <v>0</v>
      </c>
      <c r="AH415" s="44">
        <v>0</v>
      </c>
      <c r="AI415" s="34">
        <f t="shared" ref="AI415:AI416" si="192">AE415-AF415+AG415-AH415</f>
        <v>0</v>
      </c>
      <c r="AJ415" s="18">
        <f t="shared" ref="AJ415:AJ416" si="193">AD415+AI415</f>
        <v>229393430</v>
      </c>
      <c r="AK415" s="44">
        <v>0</v>
      </c>
      <c r="AL415" s="44">
        <v>0</v>
      </c>
      <c r="AM415" s="44">
        <v>0</v>
      </c>
      <c r="AN415" s="44">
        <v>0</v>
      </c>
      <c r="AO415" s="44">
        <v>0</v>
      </c>
      <c r="AP415" s="44">
        <v>0</v>
      </c>
      <c r="AQ415" s="44">
        <v>0</v>
      </c>
      <c r="AR415" s="44">
        <v>0</v>
      </c>
      <c r="AS415" s="44">
        <v>0</v>
      </c>
      <c r="AT415" s="40">
        <f t="shared" si="180"/>
        <v>0</v>
      </c>
      <c r="AU415" s="18">
        <f>AJ415-AM415</f>
        <v>229393430</v>
      </c>
      <c r="AV415" s="34">
        <f>AM415-AP415</f>
        <v>0</v>
      </c>
      <c r="AW415" s="34">
        <f>AP415-AT415</f>
        <v>0</v>
      </c>
      <c r="AX415" s="123">
        <f>AP415/AJ415</f>
        <v>0</v>
      </c>
    </row>
    <row r="416" spans="1:50" ht="18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173" t="s">
        <v>1203</v>
      </c>
      <c r="AB416" s="69" t="s">
        <v>1204</v>
      </c>
      <c r="AC416" s="43"/>
      <c r="AD416" s="43">
        <v>0</v>
      </c>
      <c r="AE416" s="43">
        <v>500000000</v>
      </c>
      <c r="AF416" s="44">
        <v>0</v>
      </c>
      <c r="AG416" s="44">
        <v>0</v>
      </c>
      <c r="AH416" s="44">
        <v>0</v>
      </c>
      <c r="AI416" s="18">
        <f t="shared" si="192"/>
        <v>500000000</v>
      </c>
      <c r="AJ416" s="18">
        <f t="shared" si="193"/>
        <v>500000000</v>
      </c>
      <c r="AK416" s="44">
        <v>0</v>
      </c>
      <c r="AL416" s="44">
        <v>0</v>
      </c>
      <c r="AM416" s="44">
        <v>0</v>
      </c>
      <c r="AN416" s="44">
        <v>0</v>
      </c>
      <c r="AO416" s="44">
        <v>0</v>
      </c>
      <c r="AP416" s="44">
        <v>0</v>
      </c>
      <c r="AQ416" s="44">
        <v>0</v>
      </c>
      <c r="AR416" s="44">
        <v>0</v>
      </c>
      <c r="AS416" s="44">
        <v>0</v>
      </c>
      <c r="AT416" s="40">
        <f t="shared" si="180"/>
        <v>0</v>
      </c>
      <c r="AU416" s="18">
        <f>AJ416-AM416</f>
        <v>500000000</v>
      </c>
      <c r="AV416" s="34">
        <f>AM416-AP416</f>
        <v>0</v>
      </c>
      <c r="AW416" s="34">
        <f>AP416-AT416</f>
        <v>0</v>
      </c>
      <c r="AX416" s="123">
        <f>AP416/AJ416</f>
        <v>0</v>
      </c>
    </row>
    <row r="417" spans="1:50" ht="18.75" customHeight="1" x14ac:dyDescent="0.2">
      <c r="AA417" s="28" t="s">
        <v>288</v>
      </c>
      <c r="AB417" s="68" t="s">
        <v>369</v>
      </c>
      <c r="AC417" s="17"/>
      <c r="AD417" s="18"/>
      <c r="AE417" s="34"/>
      <c r="AF417" s="34"/>
      <c r="AG417" s="34"/>
      <c r="AH417" s="34"/>
      <c r="AI417" s="34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40"/>
      <c r="AU417" s="18"/>
      <c r="AV417" s="18"/>
      <c r="AW417" s="18"/>
      <c r="AX417" s="18"/>
    </row>
    <row r="418" spans="1:50" ht="18.75" customHeight="1" x14ac:dyDescent="0.2">
      <c r="A418" s="4" t="s">
        <v>55</v>
      </c>
      <c r="B418" s="4" t="s">
        <v>56</v>
      </c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1" t="s">
        <v>370</v>
      </c>
      <c r="AB418" s="69" t="s">
        <v>233</v>
      </c>
      <c r="AC418" s="43" t="s">
        <v>58</v>
      </c>
      <c r="AD418" s="43">
        <v>209880000</v>
      </c>
      <c r="AE418" s="44">
        <v>0</v>
      </c>
      <c r="AF418" s="44">
        <v>0</v>
      </c>
      <c r="AG418" s="44">
        <v>0</v>
      </c>
      <c r="AH418" s="44">
        <v>0</v>
      </c>
      <c r="AI418" s="18">
        <f>AE418-AF418+AG418-AH418</f>
        <v>0</v>
      </c>
      <c r="AJ418" s="18">
        <f>AD418+AI418</f>
        <v>209880000</v>
      </c>
      <c r="AK418" s="44">
        <v>0</v>
      </c>
      <c r="AL418" s="43">
        <v>20000000</v>
      </c>
      <c r="AM418" s="43">
        <v>116000000</v>
      </c>
      <c r="AN418" s="44">
        <v>0</v>
      </c>
      <c r="AO418" s="44">
        <v>0</v>
      </c>
      <c r="AP418" s="43">
        <v>96000000</v>
      </c>
      <c r="AQ418" s="43">
        <v>2000000</v>
      </c>
      <c r="AR418" s="43">
        <v>12000000</v>
      </c>
      <c r="AS418" s="43">
        <v>57133331</v>
      </c>
      <c r="AT418" s="39">
        <f t="shared" si="180"/>
        <v>59133331</v>
      </c>
      <c r="AU418" s="18">
        <f>AJ418-AM418</f>
        <v>93880000</v>
      </c>
      <c r="AV418" s="18">
        <f>AM418-AP418</f>
        <v>20000000</v>
      </c>
      <c r="AW418" s="18">
        <f>AP418-AT418</f>
        <v>36866669</v>
      </c>
      <c r="AX418" s="123">
        <f>AP418/AJ418</f>
        <v>0.45740423098913663</v>
      </c>
    </row>
    <row r="419" spans="1:50" ht="18.75" customHeight="1" x14ac:dyDescent="0.2">
      <c r="AA419" s="28" t="s">
        <v>288</v>
      </c>
      <c r="AB419" s="68" t="s">
        <v>371</v>
      </c>
      <c r="AC419" s="17"/>
      <c r="AD419" s="18"/>
      <c r="AE419" s="34"/>
      <c r="AF419" s="34"/>
      <c r="AG419" s="34"/>
      <c r="AH419" s="34"/>
      <c r="AI419" s="34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40"/>
      <c r="AU419" s="18"/>
      <c r="AV419" s="18"/>
      <c r="AW419" s="18"/>
      <c r="AX419" s="18"/>
    </row>
    <row r="420" spans="1:50" ht="18.75" customHeight="1" x14ac:dyDescent="0.2">
      <c r="A420" s="4" t="s">
        <v>55</v>
      </c>
      <c r="B420" s="4" t="s">
        <v>56</v>
      </c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1" t="s">
        <v>372</v>
      </c>
      <c r="AB420" s="69" t="s">
        <v>233</v>
      </c>
      <c r="AC420" s="43" t="s">
        <v>58</v>
      </c>
      <c r="AD420" s="43">
        <v>290120000</v>
      </c>
      <c r="AE420" s="44">
        <v>0</v>
      </c>
      <c r="AF420" s="44">
        <v>0</v>
      </c>
      <c r="AG420" s="44">
        <v>0</v>
      </c>
      <c r="AH420" s="44">
        <v>0</v>
      </c>
      <c r="AI420" s="18">
        <f>AE420-AF420+AG420-AH420</f>
        <v>0</v>
      </c>
      <c r="AJ420" s="18">
        <f>AD420+AI420</f>
        <v>290120000</v>
      </c>
      <c r="AK420" s="44">
        <v>0</v>
      </c>
      <c r="AL420" s="43">
        <v>0</v>
      </c>
      <c r="AM420" s="43">
        <v>100124000</v>
      </c>
      <c r="AN420" s="44">
        <v>0</v>
      </c>
      <c r="AO420" s="44">
        <v>100124000</v>
      </c>
      <c r="AP420" s="44">
        <v>100124000</v>
      </c>
      <c r="AQ420" s="44">
        <v>0</v>
      </c>
      <c r="AR420" s="44">
        <v>0</v>
      </c>
      <c r="AS420" s="44">
        <v>0</v>
      </c>
      <c r="AT420" s="40">
        <f t="shared" si="180"/>
        <v>0</v>
      </c>
      <c r="AU420" s="18">
        <f>AJ420-AM420</f>
        <v>189996000</v>
      </c>
      <c r="AV420" s="34">
        <f>AM420-AP420</f>
        <v>0</v>
      </c>
      <c r="AW420" s="18">
        <f>AP420-AT420</f>
        <v>100124000</v>
      </c>
      <c r="AX420" s="123">
        <f>AP420/AJ420</f>
        <v>0.34511236729629119</v>
      </c>
    </row>
    <row r="421" spans="1:50" ht="18.75" customHeight="1" x14ac:dyDescent="0.2">
      <c r="AA421" s="16"/>
      <c r="AB421" s="70"/>
      <c r="AC421" s="17"/>
      <c r="AD421" s="18"/>
      <c r="AE421" s="34"/>
      <c r="AF421" s="34"/>
      <c r="AG421" s="34"/>
      <c r="AH421" s="34"/>
      <c r="AI421" s="34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40"/>
      <c r="AU421" s="18"/>
      <c r="AV421" s="18"/>
      <c r="AW421" s="18"/>
      <c r="AX421" s="18"/>
    </row>
    <row r="422" spans="1:50" ht="38.25" x14ac:dyDescent="0.2">
      <c r="AA422" s="16"/>
      <c r="AB422" s="68" t="s">
        <v>373</v>
      </c>
      <c r="AC422" s="17"/>
      <c r="AD422" s="18"/>
      <c r="AE422" s="34"/>
      <c r="AF422" s="34"/>
      <c r="AG422" s="34"/>
      <c r="AH422" s="34"/>
      <c r="AI422" s="34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40"/>
      <c r="AU422" s="18"/>
      <c r="AV422" s="18"/>
      <c r="AW422" s="18"/>
      <c r="AX422" s="18"/>
    </row>
    <row r="423" spans="1:50" ht="25.5" x14ac:dyDescent="0.2">
      <c r="AA423" s="28"/>
      <c r="AB423" s="68" t="s">
        <v>374</v>
      </c>
      <c r="AC423" s="17"/>
      <c r="AD423" s="18"/>
      <c r="AE423" s="34"/>
      <c r="AF423" s="34"/>
      <c r="AG423" s="34"/>
      <c r="AH423" s="34"/>
      <c r="AI423" s="34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40"/>
      <c r="AU423" s="18"/>
      <c r="AV423" s="18"/>
      <c r="AW423" s="18"/>
      <c r="AX423" s="18"/>
    </row>
    <row r="424" spans="1:50" ht="25.5" x14ac:dyDescent="0.2">
      <c r="AA424" s="28" t="s">
        <v>288</v>
      </c>
      <c r="AB424" s="68" t="s">
        <v>375</v>
      </c>
      <c r="AC424" s="17"/>
      <c r="AD424" s="18"/>
      <c r="AE424" s="34"/>
      <c r="AF424" s="34"/>
      <c r="AG424" s="34"/>
      <c r="AH424" s="34"/>
      <c r="AI424" s="34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40"/>
      <c r="AU424" s="18"/>
      <c r="AV424" s="18"/>
      <c r="AW424" s="18"/>
      <c r="AX424" s="18"/>
    </row>
    <row r="425" spans="1:50" x14ac:dyDescent="0.2">
      <c r="A425" s="4" t="s">
        <v>55</v>
      </c>
      <c r="B425" s="4" t="s">
        <v>56</v>
      </c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1" t="s">
        <v>376</v>
      </c>
      <c r="AB425" s="69" t="s">
        <v>233</v>
      </c>
      <c r="AC425" s="43" t="s">
        <v>58</v>
      </c>
      <c r="AD425" s="43">
        <v>3416292195</v>
      </c>
      <c r="AE425" s="44">
        <v>0</v>
      </c>
      <c r="AF425" s="44">
        <v>0</v>
      </c>
      <c r="AG425" s="44">
        <v>0</v>
      </c>
      <c r="AH425" s="44">
        <v>0</v>
      </c>
      <c r="AI425" s="18">
        <f>AE425-AF425+AG425-AH425</f>
        <v>0</v>
      </c>
      <c r="AJ425" s="18">
        <f>AD425+AI425</f>
        <v>3416292195</v>
      </c>
      <c r="AK425" s="44">
        <v>0</v>
      </c>
      <c r="AL425" s="44">
        <v>0</v>
      </c>
      <c r="AM425" s="43">
        <v>3321331218</v>
      </c>
      <c r="AN425" s="44">
        <v>0</v>
      </c>
      <c r="AO425" s="44">
        <v>0</v>
      </c>
      <c r="AP425" s="43">
        <v>3321331218</v>
      </c>
      <c r="AQ425" s="44">
        <v>0</v>
      </c>
      <c r="AR425" s="44">
        <v>0</v>
      </c>
      <c r="AS425" s="43">
        <v>21176441</v>
      </c>
      <c r="AT425" s="39">
        <f t="shared" ref="AT425" si="194">AQ425+AS425</f>
        <v>21176441</v>
      </c>
      <c r="AU425" s="18">
        <f>AJ425-AM425</f>
        <v>94960977</v>
      </c>
      <c r="AV425" s="133">
        <f>AM425-AP425</f>
        <v>0</v>
      </c>
      <c r="AW425" s="18">
        <f>AP425-AT425</f>
        <v>3300154777</v>
      </c>
      <c r="AX425" s="123">
        <f>AP425/AJ425</f>
        <v>0.97220349677964246</v>
      </c>
    </row>
    <row r="426" spans="1:50" ht="18.75" customHeight="1" x14ac:dyDescent="0.2">
      <c r="AA426" s="28" t="s">
        <v>288</v>
      </c>
      <c r="AB426" s="29" t="s">
        <v>320</v>
      </c>
      <c r="AC426" s="17"/>
      <c r="AD426" s="18"/>
      <c r="AE426" s="34"/>
      <c r="AF426" s="34"/>
      <c r="AG426" s="34"/>
      <c r="AH426" s="34"/>
      <c r="AI426" s="34"/>
      <c r="AJ426" s="18"/>
      <c r="AK426" s="34"/>
      <c r="AL426" s="34"/>
      <c r="AM426" s="18"/>
      <c r="AN426" s="34"/>
      <c r="AO426" s="34"/>
      <c r="AP426" s="18"/>
      <c r="AQ426" s="34"/>
      <c r="AR426" s="34"/>
      <c r="AS426" s="34"/>
      <c r="AT426" s="40"/>
      <c r="AU426" s="18"/>
      <c r="AV426" s="18"/>
      <c r="AW426" s="18"/>
      <c r="AX426" s="18"/>
    </row>
    <row r="427" spans="1:50" ht="18.75" customHeight="1" x14ac:dyDescent="0.2">
      <c r="A427" s="4" t="s">
        <v>55</v>
      </c>
      <c r="B427" s="4" t="s">
        <v>56</v>
      </c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1" t="s">
        <v>377</v>
      </c>
      <c r="AB427" s="42" t="s">
        <v>328</v>
      </c>
      <c r="AC427" s="43" t="s">
        <v>61</v>
      </c>
      <c r="AD427" s="43">
        <v>10632000</v>
      </c>
      <c r="AE427" s="44">
        <v>0</v>
      </c>
      <c r="AF427" s="44">
        <v>0</v>
      </c>
      <c r="AG427" s="44">
        <v>0</v>
      </c>
      <c r="AH427" s="44">
        <v>0</v>
      </c>
      <c r="AI427" s="18">
        <f t="shared" ref="AI427:AI429" si="195">AE427-AF427+AG427-AH427</f>
        <v>0</v>
      </c>
      <c r="AJ427" s="18">
        <f t="shared" ref="AJ427:AJ429" si="196">AD427+AI427</f>
        <v>10632000</v>
      </c>
      <c r="AK427" s="44">
        <v>0</v>
      </c>
      <c r="AL427" s="44">
        <v>0</v>
      </c>
      <c r="AM427" s="44">
        <v>0</v>
      </c>
      <c r="AN427" s="44">
        <v>0</v>
      </c>
      <c r="AO427" s="44">
        <v>0</v>
      </c>
      <c r="AP427" s="44">
        <v>0</v>
      </c>
      <c r="AQ427" s="44">
        <v>0</v>
      </c>
      <c r="AR427" s="44">
        <v>0</v>
      </c>
      <c r="AS427" s="44">
        <v>0</v>
      </c>
      <c r="AT427" s="40">
        <f t="shared" ref="AT427:AT429" si="197">AQ427+AS427</f>
        <v>0</v>
      </c>
      <c r="AU427" s="18">
        <f>AJ427-AM427</f>
        <v>10632000</v>
      </c>
      <c r="AV427" s="34">
        <f>AM427-AP427</f>
        <v>0</v>
      </c>
      <c r="AW427" s="34">
        <f>AP427-AT427</f>
        <v>0</v>
      </c>
      <c r="AX427" s="123">
        <f>AP427/AJ427</f>
        <v>0</v>
      </c>
    </row>
    <row r="428" spans="1:50" ht="18.75" customHeight="1" x14ac:dyDescent="0.2">
      <c r="A428" s="4" t="s">
        <v>55</v>
      </c>
      <c r="B428" s="4" t="s">
        <v>56</v>
      </c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1" t="s">
        <v>378</v>
      </c>
      <c r="AB428" s="42" t="s">
        <v>379</v>
      </c>
      <c r="AC428" s="43" t="s">
        <v>380</v>
      </c>
      <c r="AD428" s="43">
        <v>2835585455</v>
      </c>
      <c r="AE428" s="44">
        <v>0</v>
      </c>
      <c r="AF428" s="44">
        <v>0</v>
      </c>
      <c r="AG428" s="44">
        <v>0</v>
      </c>
      <c r="AH428" s="44">
        <v>0</v>
      </c>
      <c r="AI428" s="18">
        <f t="shared" si="195"/>
        <v>0</v>
      </c>
      <c r="AJ428" s="18">
        <f t="shared" si="196"/>
        <v>2835585455</v>
      </c>
      <c r="AK428" s="44">
        <v>0</v>
      </c>
      <c r="AL428" s="43">
        <v>150680664</v>
      </c>
      <c r="AM428" s="43">
        <v>1057528440</v>
      </c>
      <c r="AN428" s="44">
        <v>0</v>
      </c>
      <c r="AO428" s="43">
        <v>150680664</v>
      </c>
      <c r="AP428" s="43">
        <v>1057528440</v>
      </c>
      <c r="AQ428" s="115">
        <v>0</v>
      </c>
      <c r="AR428" s="43">
        <v>150680664</v>
      </c>
      <c r="AS428" s="43">
        <v>1057528440</v>
      </c>
      <c r="AT428" s="39">
        <f t="shared" si="197"/>
        <v>1057528440</v>
      </c>
      <c r="AU428" s="18">
        <f>AJ428-AM428</f>
        <v>1778057015</v>
      </c>
      <c r="AV428" s="34">
        <f>AM428-AP428</f>
        <v>0</v>
      </c>
      <c r="AW428" s="18">
        <f>AP428-AT428</f>
        <v>0</v>
      </c>
      <c r="AX428" s="123">
        <f>AP428/AJ428</f>
        <v>0.37294888719902819</v>
      </c>
    </row>
    <row r="429" spans="1:50" ht="18.75" customHeight="1" x14ac:dyDescent="0.2">
      <c r="A429" s="4" t="s">
        <v>55</v>
      </c>
      <c r="B429" s="4" t="s">
        <v>56</v>
      </c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1" t="s">
        <v>381</v>
      </c>
      <c r="AB429" s="42" t="s">
        <v>382</v>
      </c>
      <c r="AC429" s="43" t="s">
        <v>383</v>
      </c>
      <c r="AD429" s="43">
        <v>1274304912</v>
      </c>
      <c r="AE429" s="44">
        <v>0</v>
      </c>
      <c r="AF429" s="44">
        <v>0</v>
      </c>
      <c r="AG429" s="44">
        <v>0</v>
      </c>
      <c r="AH429" s="43">
        <v>563696519</v>
      </c>
      <c r="AI429" s="18">
        <f t="shared" si="195"/>
        <v>-563696519</v>
      </c>
      <c r="AJ429" s="18">
        <f t="shared" si="196"/>
        <v>710608393</v>
      </c>
      <c r="AK429" s="44">
        <v>0</v>
      </c>
      <c r="AL429" s="44">
        <v>0</v>
      </c>
      <c r="AM429" s="44">
        <v>0</v>
      </c>
      <c r="AN429" s="44">
        <v>0</v>
      </c>
      <c r="AO429" s="44">
        <v>0</v>
      </c>
      <c r="AP429" s="44">
        <v>0</v>
      </c>
      <c r="AQ429" s="44">
        <v>0</v>
      </c>
      <c r="AR429" s="44">
        <v>0</v>
      </c>
      <c r="AS429" s="44">
        <v>0</v>
      </c>
      <c r="AT429" s="40">
        <f t="shared" si="197"/>
        <v>0</v>
      </c>
      <c r="AU429" s="18">
        <f>AJ429-AM429</f>
        <v>710608393</v>
      </c>
      <c r="AV429" s="34">
        <f>AM429-AP429</f>
        <v>0</v>
      </c>
      <c r="AW429" s="34">
        <f>AP429-AT429</f>
        <v>0</v>
      </c>
      <c r="AX429" s="123">
        <f>AP429/AJ429</f>
        <v>0</v>
      </c>
    </row>
    <row r="430" spans="1:50" ht="38.25" x14ac:dyDescent="0.2">
      <c r="AA430" s="28" t="s">
        <v>288</v>
      </c>
      <c r="AB430" s="29" t="s">
        <v>384</v>
      </c>
      <c r="AC430" s="17"/>
      <c r="AD430" s="18"/>
      <c r="AE430" s="34"/>
      <c r="AF430" s="34"/>
      <c r="AG430" s="34"/>
      <c r="AH430" s="34"/>
      <c r="AI430" s="34"/>
      <c r="AJ430" s="18"/>
      <c r="AK430" s="18"/>
      <c r="AL430" s="18"/>
      <c r="AM430" s="18"/>
      <c r="AN430" s="34"/>
      <c r="AO430" s="34"/>
      <c r="AP430" s="18"/>
      <c r="AQ430" s="18"/>
      <c r="AR430" s="18"/>
      <c r="AS430" s="18"/>
      <c r="AT430" s="39"/>
      <c r="AU430" s="18"/>
      <c r="AV430" s="18"/>
      <c r="AW430" s="18"/>
      <c r="AX430" s="18"/>
    </row>
    <row r="431" spans="1:50" ht="18.75" customHeight="1" x14ac:dyDescent="0.2">
      <c r="A431" s="4" t="s">
        <v>55</v>
      </c>
      <c r="B431" s="4" t="s">
        <v>56</v>
      </c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1" t="s">
        <v>385</v>
      </c>
      <c r="AB431" s="42" t="s">
        <v>233</v>
      </c>
      <c r="AC431" s="43" t="s">
        <v>58</v>
      </c>
      <c r="AD431" s="43">
        <v>9793380820</v>
      </c>
      <c r="AE431" s="44">
        <v>0</v>
      </c>
      <c r="AF431" s="44">
        <v>0</v>
      </c>
      <c r="AG431" s="44">
        <v>0</v>
      </c>
      <c r="AH431" s="43">
        <v>210000000</v>
      </c>
      <c r="AI431" s="18">
        <f t="shared" ref="AI431:AI437" si="198">AE431-AF431+AG431-AH431</f>
        <v>-210000000</v>
      </c>
      <c r="AJ431" s="18">
        <f t="shared" ref="AJ431:AJ437" si="199">AD431+AI431</f>
        <v>9583380820</v>
      </c>
      <c r="AK431" s="44">
        <v>0</v>
      </c>
      <c r="AL431" s="44">
        <v>0</v>
      </c>
      <c r="AM431" s="43">
        <v>8828103480.7999992</v>
      </c>
      <c r="AN431" s="44">
        <v>0</v>
      </c>
      <c r="AO431" s="44">
        <v>0</v>
      </c>
      <c r="AP431" s="43">
        <v>8828103480.7999992</v>
      </c>
      <c r="AQ431" s="43">
        <v>0</v>
      </c>
      <c r="AR431" s="43">
        <v>17000000</v>
      </c>
      <c r="AS431" s="43">
        <v>204568197</v>
      </c>
      <c r="AT431" s="39">
        <f t="shared" ref="AT431:AT438" si="200">AQ431+AS431</f>
        <v>204568197</v>
      </c>
      <c r="AU431" s="18">
        <f t="shared" ref="AU431:AU438" si="201">AJ431-AM431</f>
        <v>755277339.20000076</v>
      </c>
      <c r="AV431" s="133">
        <f t="shared" ref="AV431:AV438" si="202">AM431-AP431</f>
        <v>0</v>
      </c>
      <c r="AW431" s="110">
        <f t="shared" ref="AW431:AW438" si="203">AP431-AT431</f>
        <v>8623535283.7999992</v>
      </c>
      <c r="AX431" s="123">
        <f t="shared" ref="AX431:AX438" si="204">AP431/AJ431</f>
        <v>0.92118884208130625</v>
      </c>
    </row>
    <row r="432" spans="1:50" ht="18.75" customHeight="1" x14ac:dyDescent="0.2">
      <c r="A432" s="4" t="s">
        <v>55</v>
      </c>
      <c r="B432" s="4" t="s">
        <v>56</v>
      </c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1" t="s">
        <v>386</v>
      </c>
      <c r="AB432" s="42" t="s">
        <v>382</v>
      </c>
      <c r="AC432" s="43" t="s">
        <v>383</v>
      </c>
      <c r="AD432" s="43">
        <v>8000000000</v>
      </c>
      <c r="AE432" s="44">
        <v>0</v>
      </c>
      <c r="AF432" s="44">
        <v>0</v>
      </c>
      <c r="AG432" s="44">
        <v>0</v>
      </c>
      <c r="AH432" s="44">
        <v>0</v>
      </c>
      <c r="AI432" s="18">
        <f t="shared" si="198"/>
        <v>0</v>
      </c>
      <c r="AJ432" s="18">
        <f t="shared" si="199"/>
        <v>8000000000</v>
      </c>
      <c r="AK432" s="44">
        <v>0</v>
      </c>
      <c r="AL432" s="44">
        <v>0</v>
      </c>
      <c r="AM432" s="43">
        <v>8000000000</v>
      </c>
      <c r="AN432" s="44">
        <v>0</v>
      </c>
      <c r="AO432" s="44">
        <v>0</v>
      </c>
      <c r="AP432" s="43">
        <v>8000000000</v>
      </c>
      <c r="AQ432" s="44">
        <v>0</v>
      </c>
      <c r="AR432" s="44">
        <v>0</v>
      </c>
      <c r="AS432" s="44">
        <v>0</v>
      </c>
      <c r="AT432" s="40">
        <f t="shared" si="200"/>
        <v>0</v>
      </c>
      <c r="AU432" s="34">
        <f t="shared" si="201"/>
        <v>0</v>
      </c>
      <c r="AV432" s="34">
        <f t="shared" si="202"/>
        <v>0</v>
      </c>
      <c r="AW432" s="18">
        <f t="shared" si="203"/>
        <v>8000000000</v>
      </c>
      <c r="AX432" s="123">
        <f t="shared" si="204"/>
        <v>1</v>
      </c>
    </row>
    <row r="433" spans="1:50" ht="18.75" customHeight="1" x14ac:dyDescent="0.2">
      <c r="A433" s="4" t="s">
        <v>55</v>
      </c>
      <c r="B433" s="4" t="s">
        <v>56</v>
      </c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1" t="s">
        <v>387</v>
      </c>
      <c r="AB433" s="42" t="s">
        <v>388</v>
      </c>
      <c r="AC433" s="43" t="s">
        <v>389</v>
      </c>
      <c r="AD433" s="43">
        <v>951016677</v>
      </c>
      <c r="AE433" s="44">
        <v>0</v>
      </c>
      <c r="AF433" s="44">
        <v>0</v>
      </c>
      <c r="AG433" s="44">
        <v>0</v>
      </c>
      <c r="AH433" s="44">
        <v>0</v>
      </c>
      <c r="AI433" s="34">
        <f t="shared" si="198"/>
        <v>0</v>
      </c>
      <c r="AJ433" s="18">
        <f t="shared" si="199"/>
        <v>951016677</v>
      </c>
      <c r="AK433" s="44">
        <v>0</v>
      </c>
      <c r="AL433" s="44">
        <v>0</v>
      </c>
      <c r="AM433" s="43">
        <v>934080451</v>
      </c>
      <c r="AN433" s="44">
        <v>0</v>
      </c>
      <c r="AO433" s="44">
        <v>0</v>
      </c>
      <c r="AP433" s="43">
        <v>934080451</v>
      </c>
      <c r="AQ433" s="44">
        <v>0</v>
      </c>
      <c r="AR433" s="43">
        <v>0</v>
      </c>
      <c r="AS433" s="43">
        <v>934080451</v>
      </c>
      <c r="AT433" s="39">
        <f t="shared" si="200"/>
        <v>934080451</v>
      </c>
      <c r="AU433" s="18">
        <f t="shared" si="201"/>
        <v>16936226</v>
      </c>
      <c r="AV433" s="34">
        <f t="shared" si="202"/>
        <v>0</v>
      </c>
      <c r="AW433" s="34">
        <f t="shared" si="203"/>
        <v>0</v>
      </c>
      <c r="AX433" s="123">
        <f t="shared" si="204"/>
        <v>0.9821914521484254</v>
      </c>
    </row>
    <row r="434" spans="1:50" ht="18.75" customHeight="1" x14ac:dyDescent="0.2">
      <c r="A434" s="4" t="s">
        <v>55</v>
      </c>
      <c r="B434" s="4" t="s">
        <v>56</v>
      </c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1" t="s">
        <v>390</v>
      </c>
      <c r="AB434" s="42" t="s">
        <v>391</v>
      </c>
      <c r="AC434" s="43" t="s">
        <v>392</v>
      </c>
      <c r="AD434" s="43">
        <v>2011708314</v>
      </c>
      <c r="AE434" s="44">
        <v>0</v>
      </c>
      <c r="AF434" s="44">
        <v>0</v>
      </c>
      <c r="AG434" s="44">
        <v>0</v>
      </c>
      <c r="AH434" s="44">
        <v>0</v>
      </c>
      <c r="AI434" s="34">
        <f t="shared" si="198"/>
        <v>0</v>
      </c>
      <c r="AJ434" s="18">
        <f t="shared" si="199"/>
        <v>2011708314</v>
      </c>
      <c r="AK434" s="44">
        <v>0</v>
      </c>
      <c r="AL434" s="44">
        <v>0</v>
      </c>
      <c r="AM434" s="43">
        <v>1978725412.5</v>
      </c>
      <c r="AN434" s="44">
        <v>0</v>
      </c>
      <c r="AO434" s="44">
        <v>0</v>
      </c>
      <c r="AP434" s="43">
        <v>1978725412.5</v>
      </c>
      <c r="AQ434" s="44">
        <v>0</v>
      </c>
      <c r="AR434" s="43">
        <v>802380356</v>
      </c>
      <c r="AS434" s="43">
        <v>840656067.5</v>
      </c>
      <c r="AT434" s="39">
        <f t="shared" si="200"/>
        <v>840656067.5</v>
      </c>
      <c r="AU434" s="18">
        <f t="shared" si="201"/>
        <v>32982901.5</v>
      </c>
      <c r="AV434" s="34">
        <f t="shared" si="202"/>
        <v>0</v>
      </c>
      <c r="AW434" s="18">
        <f t="shared" si="203"/>
        <v>1138069345</v>
      </c>
      <c r="AX434" s="123">
        <f t="shared" si="204"/>
        <v>0.98360453090019884</v>
      </c>
    </row>
    <row r="435" spans="1:50" ht="18.75" customHeight="1" x14ac:dyDescent="0.2">
      <c r="A435" s="4" t="s">
        <v>55</v>
      </c>
      <c r="B435" s="4" t="s">
        <v>56</v>
      </c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1" t="s">
        <v>393</v>
      </c>
      <c r="AB435" s="42" t="s">
        <v>394</v>
      </c>
      <c r="AC435" s="43" t="s">
        <v>368</v>
      </c>
      <c r="AD435" s="43">
        <v>64817304.240000002</v>
      </c>
      <c r="AE435" s="44">
        <v>0</v>
      </c>
      <c r="AF435" s="44">
        <v>0</v>
      </c>
      <c r="AG435" s="44">
        <v>0</v>
      </c>
      <c r="AH435" s="44">
        <v>0</v>
      </c>
      <c r="AI435" s="34">
        <f t="shared" si="198"/>
        <v>0</v>
      </c>
      <c r="AJ435" s="18">
        <f t="shared" si="199"/>
        <v>64817304.240000002</v>
      </c>
      <c r="AK435" s="44">
        <v>0</v>
      </c>
      <c r="AL435" s="44">
        <v>0</v>
      </c>
      <c r="AM435" s="43">
        <v>64817304.240000002</v>
      </c>
      <c r="AN435" s="44">
        <v>0</v>
      </c>
      <c r="AO435" s="44">
        <v>0</v>
      </c>
      <c r="AP435" s="43">
        <v>64817304.240000002</v>
      </c>
      <c r="AQ435" s="44">
        <v>0</v>
      </c>
      <c r="AR435" s="43">
        <v>4627570.74</v>
      </c>
      <c r="AS435" s="43">
        <v>64817304.240000002</v>
      </c>
      <c r="AT435" s="39">
        <f t="shared" si="200"/>
        <v>64817304.240000002</v>
      </c>
      <c r="AU435" s="34">
        <f t="shared" si="201"/>
        <v>0</v>
      </c>
      <c r="AV435" s="34">
        <f t="shared" si="202"/>
        <v>0</v>
      </c>
      <c r="AW435" s="18">
        <f t="shared" si="203"/>
        <v>0</v>
      </c>
      <c r="AX435" s="123">
        <f t="shared" si="204"/>
        <v>1</v>
      </c>
    </row>
    <row r="436" spans="1:50" ht="18.75" customHeight="1" x14ac:dyDescent="0.2">
      <c r="AA436" s="245" t="s">
        <v>1213</v>
      </c>
      <c r="AB436" s="42" t="s">
        <v>1214</v>
      </c>
      <c r="AC436" s="17"/>
      <c r="AD436" s="34">
        <v>0</v>
      </c>
      <c r="AE436" s="18">
        <v>437225610.45999998</v>
      </c>
      <c r="AF436" s="34">
        <v>0</v>
      </c>
      <c r="AG436" s="34">
        <v>0</v>
      </c>
      <c r="AH436" s="34">
        <v>0</v>
      </c>
      <c r="AI436" s="18">
        <f t="shared" si="198"/>
        <v>437225610.45999998</v>
      </c>
      <c r="AJ436" s="18">
        <f t="shared" si="199"/>
        <v>437225610.45999998</v>
      </c>
      <c r="AK436" s="44">
        <v>0</v>
      </c>
      <c r="AL436" s="44">
        <v>0</v>
      </c>
      <c r="AM436" s="43">
        <v>437225610.45999998</v>
      </c>
      <c r="AN436" s="44">
        <v>0</v>
      </c>
      <c r="AO436" s="44">
        <v>0</v>
      </c>
      <c r="AP436" s="43">
        <v>437225610.45999998</v>
      </c>
      <c r="AQ436" s="44">
        <v>0</v>
      </c>
      <c r="AR436" s="44">
        <v>218612805.25999999</v>
      </c>
      <c r="AS436" s="44">
        <v>218612805.25999999</v>
      </c>
      <c r="AT436" s="40">
        <f t="shared" si="200"/>
        <v>218612805.25999999</v>
      </c>
      <c r="AU436" s="34">
        <f t="shared" si="201"/>
        <v>0</v>
      </c>
      <c r="AV436" s="34">
        <f t="shared" si="202"/>
        <v>0</v>
      </c>
      <c r="AW436" s="18">
        <f t="shared" si="203"/>
        <v>218612805.19999999</v>
      </c>
      <c r="AX436" s="123">
        <f t="shared" si="204"/>
        <v>1</v>
      </c>
    </row>
    <row r="437" spans="1:50" ht="27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245" t="s">
        <v>1211</v>
      </c>
      <c r="AB437" s="42" t="s">
        <v>1212</v>
      </c>
      <c r="AC437" s="43"/>
      <c r="AD437" s="44">
        <v>0</v>
      </c>
      <c r="AE437" s="43">
        <v>17631990</v>
      </c>
      <c r="AF437" s="44">
        <v>0</v>
      </c>
      <c r="AG437" s="44">
        <v>0</v>
      </c>
      <c r="AH437" s="44">
        <v>0</v>
      </c>
      <c r="AI437" s="18">
        <f t="shared" si="198"/>
        <v>17631990</v>
      </c>
      <c r="AJ437" s="18">
        <f t="shared" si="199"/>
        <v>17631990</v>
      </c>
      <c r="AK437" s="44">
        <v>0</v>
      </c>
      <c r="AL437" s="44">
        <v>0</v>
      </c>
      <c r="AM437" s="43">
        <v>17631990</v>
      </c>
      <c r="AN437" s="44">
        <v>0</v>
      </c>
      <c r="AO437" s="44">
        <v>0</v>
      </c>
      <c r="AP437" s="43">
        <v>17631990</v>
      </c>
      <c r="AQ437" s="44">
        <v>0</v>
      </c>
      <c r="AR437" s="44">
        <v>8815995</v>
      </c>
      <c r="AS437" s="43">
        <v>8815995</v>
      </c>
      <c r="AT437" s="39">
        <f t="shared" si="200"/>
        <v>8815995</v>
      </c>
      <c r="AU437" s="34">
        <f t="shared" si="201"/>
        <v>0</v>
      </c>
      <c r="AV437" s="34">
        <f t="shared" si="202"/>
        <v>0</v>
      </c>
      <c r="AW437" s="18">
        <f t="shared" si="203"/>
        <v>8815995</v>
      </c>
      <c r="AX437" s="123">
        <f t="shared" si="204"/>
        <v>1</v>
      </c>
    </row>
    <row r="438" spans="1:50" ht="30" customHeight="1" x14ac:dyDescent="0.2">
      <c r="AA438" s="246" t="s">
        <v>1215</v>
      </c>
      <c r="AB438" s="42" t="s">
        <v>1216</v>
      </c>
      <c r="AC438" s="17"/>
      <c r="AD438" s="34">
        <v>0</v>
      </c>
      <c r="AE438" s="18">
        <v>288008146</v>
      </c>
      <c r="AF438" s="34">
        <v>0</v>
      </c>
      <c r="AG438" s="34">
        <v>0</v>
      </c>
      <c r="AH438" s="34">
        <v>0</v>
      </c>
      <c r="AI438" s="18">
        <f>AE438-AF438+AG438-AH438</f>
        <v>288008146</v>
      </c>
      <c r="AJ438" s="18">
        <f>AD438+AI438</f>
        <v>288008146</v>
      </c>
      <c r="AK438" s="44">
        <v>0</v>
      </c>
      <c r="AL438" s="44">
        <v>0</v>
      </c>
      <c r="AM438" s="43">
        <v>288008146</v>
      </c>
      <c r="AN438" s="44">
        <v>0</v>
      </c>
      <c r="AO438" s="44">
        <v>0</v>
      </c>
      <c r="AP438" s="43">
        <v>288008146</v>
      </c>
      <c r="AQ438" s="44">
        <v>0</v>
      </c>
      <c r="AR438" s="44">
        <v>144004073</v>
      </c>
      <c r="AS438" s="43">
        <v>144004073</v>
      </c>
      <c r="AT438" s="39">
        <f t="shared" si="200"/>
        <v>144004073</v>
      </c>
      <c r="AU438" s="34">
        <f t="shared" si="201"/>
        <v>0</v>
      </c>
      <c r="AV438" s="34">
        <f t="shared" si="202"/>
        <v>0</v>
      </c>
      <c r="AW438" s="18">
        <f t="shared" si="203"/>
        <v>144004073</v>
      </c>
      <c r="AX438" s="123">
        <f t="shared" si="204"/>
        <v>1</v>
      </c>
    </row>
    <row r="439" spans="1:50" ht="12.75" customHeight="1" x14ac:dyDescent="0.2">
      <c r="AA439" s="173"/>
      <c r="AB439" s="207"/>
      <c r="AC439" s="17"/>
      <c r="AD439" s="18"/>
      <c r="AE439" s="34"/>
      <c r="AF439" s="34"/>
      <c r="AG439" s="34"/>
      <c r="AH439" s="34"/>
      <c r="AI439" s="34"/>
      <c r="AJ439" s="18"/>
      <c r="AK439" s="18"/>
      <c r="AL439" s="18"/>
      <c r="AM439" s="18"/>
      <c r="AN439" s="34"/>
      <c r="AO439" s="34"/>
      <c r="AP439" s="18"/>
      <c r="AQ439" s="18"/>
      <c r="AR439" s="18"/>
      <c r="AS439" s="18"/>
      <c r="AT439" s="39"/>
      <c r="AU439" s="18"/>
      <c r="AV439" s="18"/>
      <c r="AW439" s="18"/>
      <c r="AX439" s="18"/>
    </row>
    <row r="440" spans="1:50" ht="25.5" x14ac:dyDescent="0.2">
      <c r="AA440" s="16"/>
      <c r="AB440" s="29" t="s">
        <v>195</v>
      </c>
      <c r="AC440" s="17"/>
      <c r="AD440" s="18"/>
      <c r="AE440" s="34"/>
      <c r="AF440" s="34"/>
      <c r="AG440" s="34"/>
      <c r="AH440" s="34"/>
      <c r="AI440" s="34"/>
      <c r="AJ440" s="18"/>
      <c r="AK440" s="18"/>
      <c r="AL440" s="18"/>
      <c r="AM440" s="18"/>
      <c r="AN440" s="34"/>
      <c r="AO440" s="34"/>
      <c r="AP440" s="18"/>
      <c r="AQ440" s="18"/>
      <c r="AR440" s="18"/>
      <c r="AS440" s="18"/>
      <c r="AT440" s="39"/>
      <c r="AU440" s="18"/>
      <c r="AV440" s="18"/>
      <c r="AW440" s="18"/>
      <c r="AX440" s="18"/>
    </row>
    <row r="441" spans="1:50" ht="18.75" customHeight="1" x14ac:dyDescent="0.2">
      <c r="AA441" s="28" t="s">
        <v>288</v>
      </c>
      <c r="AB441" s="29" t="s">
        <v>320</v>
      </c>
      <c r="AC441" s="17"/>
      <c r="AD441" s="18"/>
      <c r="AE441" s="34"/>
      <c r="AF441" s="34"/>
      <c r="AG441" s="34"/>
      <c r="AH441" s="34"/>
      <c r="AI441" s="34"/>
      <c r="AJ441" s="18"/>
      <c r="AK441" s="18"/>
      <c r="AL441" s="18"/>
      <c r="AM441" s="18"/>
      <c r="AN441" s="34"/>
      <c r="AO441" s="34"/>
      <c r="AP441" s="18"/>
      <c r="AQ441" s="18"/>
      <c r="AR441" s="18"/>
      <c r="AS441" s="18"/>
      <c r="AT441" s="39"/>
      <c r="AU441" s="18"/>
      <c r="AV441" s="18"/>
      <c r="AW441" s="18"/>
      <c r="AX441" s="18"/>
    </row>
    <row r="442" spans="1:50" ht="18.75" customHeight="1" x14ac:dyDescent="0.2">
      <c r="A442" s="4" t="s">
        <v>55</v>
      </c>
      <c r="B442" s="4" t="s">
        <v>56</v>
      </c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1" t="s">
        <v>395</v>
      </c>
      <c r="AB442" s="42" t="s">
        <v>233</v>
      </c>
      <c r="AC442" s="43" t="s">
        <v>58</v>
      </c>
      <c r="AD442" s="43">
        <v>77302510</v>
      </c>
      <c r="AE442" s="44">
        <v>0</v>
      </c>
      <c r="AF442" s="44">
        <v>0</v>
      </c>
      <c r="AG442" s="44">
        <v>0</v>
      </c>
      <c r="AH442" s="44">
        <v>0</v>
      </c>
      <c r="AI442" s="44">
        <v>0</v>
      </c>
      <c r="AJ442" s="43">
        <v>77302510</v>
      </c>
      <c r="AK442" s="44">
        <v>0</v>
      </c>
      <c r="AL442" s="44">
        <v>0</v>
      </c>
      <c r="AM442" s="43">
        <v>76566312</v>
      </c>
      <c r="AN442" s="44">
        <v>0</v>
      </c>
      <c r="AO442" s="44">
        <v>0</v>
      </c>
      <c r="AP442" s="43">
        <v>76566312</v>
      </c>
      <c r="AQ442" s="43">
        <v>0</v>
      </c>
      <c r="AR442" s="43">
        <v>7277568</v>
      </c>
      <c r="AS442" s="43">
        <v>29150012</v>
      </c>
      <c r="AT442" s="39">
        <f t="shared" ref="AT442" si="205">AQ442+AS442</f>
        <v>29150012</v>
      </c>
      <c r="AU442" s="18">
        <f>AJ442-AM442</f>
        <v>736198</v>
      </c>
      <c r="AV442" s="34">
        <f>AM442-AP442</f>
        <v>0</v>
      </c>
      <c r="AW442" s="18">
        <f>AP442-AT442</f>
        <v>47416300</v>
      </c>
      <c r="AX442" s="123">
        <f>AP442/AJ442</f>
        <v>0.99047640238331203</v>
      </c>
    </row>
    <row r="443" spans="1:50" ht="18.75" customHeight="1" x14ac:dyDescent="0.2">
      <c r="AA443" s="16"/>
      <c r="AB443" s="17"/>
      <c r="AC443" s="17"/>
      <c r="AD443" s="18"/>
      <c r="AE443" s="34"/>
      <c r="AF443" s="34"/>
      <c r="AG443" s="34"/>
      <c r="AH443" s="34"/>
      <c r="AI443" s="34"/>
      <c r="AJ443" s="18"/>
      <c r="AK443" s="18"/>
      <c r="AL443" s="18"/>
      <c r="AM443" s="18"/>
      <c r="AN443" s="18"/>
      <c r="AO443" s="18"/>
      <c r="AP443" s="18"/>
      <c r="AQ443" s="34"/>
      <c r="AR443" s="34"/>
      <c r="AS443" s="34"/>
      <c r="AT443" s="40"/>
      <c r="AU443" s="18"/>
      <c r="AV443" s="18"/>
      <c r="AW443" s="18"/>
      <c r="AX443" s="18"/>
    </row>
    <row r="444" spans="1:50" ht="25.5" x14ac:dyDescent="0.2">
      <c r="AA444" s="16"/>
      <c r="AB444" s="29" t="s">
        <v>197</v>
      </c>
      <c r="AC444" s="17"/>
      <c r="AD444" s="18"/>
      <c r="AE444" s="34"/>
      <c r="AF444" s="34"/>
      <c r="AG444" s="34"/>
      <c r="AH444" s="34"/>
      <c r="AI444" s="34"/>
      <c r="AJ444" s="18"/>
      <c r="AK444" s="18"/>
      <c r="AL444" s="18"/>
      <c r="AM444" s="18"/>
      <c r="AN444" s="18"/>
      <c r="AO444" s="18"/>
      <c r="AP444" s="18"/>
      <c r="AQ444" s="34"/>
      <c r="AR444" s="34"/>
      <c r="AS444" s="34"/>
      <c r="AT444" s="40"/>
      <c r="AU444" s="18"/>
      <c r="AV444" s="18"/>
      <c r="AW444" s="18"/>
      <c r="AX444" s="18"/>
    </row>
    <row r="445" spans="1:50" ht="25.5" x14ac:dyDescent="0.2">
      <c r="AA445" s="28" t="s">
        <v>288</v>
      </c>
      <c r="AB445" s="29" t="s">
        <v>396</v>
      </c>
      <c r="AC445" s="17"/>
      <c r="AD445" s="18"/>
      <c r="AE445" s="34"/>
      <c r="AF445" s="34"/>
      <c r="AG445" s="34"/>
      <c r="AH445" s="34"/>
      <c r="AI445" s="34"/>
      <c r="AJ445" s="18"/>
      <c r="AK445" s="18"/>
      <c r="AL445" s="18"/>
      <c r="AM445" s="18"/>
      <c r="AN445" s="18"/>
      <c r="AO445" s="18"/>
      <c r="AP445" s="18"/>
      <c r="AQ445" s="34"/>
      <c r="AR445" s="34"/>
      <c r="AS445" s="34"/>
      <c r="AT445" s="40"/>
      <c r="AU445" s="18"/>
      <c r="AV445" s="18"/>
      <c r="AW445" s="18"/>
      <c r="AX445" s="18"/>
    </row>
    <row r="446" spans="1:50" ht="18.75" customHeight="1" x14ac:dyDescent="0.2">
      <c r="A446" s="4" t="s">
        <v>55</v>
      </c>
      <c r="B446" s="4" t="s">
        <v>56</v>
      </c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1" t="s">
        <v>397</v>
      </c>
      <c r="AB446" s="42" t="s">
        <v>328</v>
      </c>
      <c r="AC446" s="43" t="s">
        <v>61</v>
      </c>
      <c r="AD446" s="43">
        <v>838526678</v>
      </c>
      <c r="AE446" s="44">
        <v>0</v>
      </c>
      <c r="AF446" s="44">
        <v>0</v>
      </c>
      <c r="AG446" s="43">
        <v>27102938</v>
      </c>
      <c r="AH446" s="44">
        <v>0</v>
      </c>
      <c r="AI446" s="18">
        <f>AE446-AF446+AG446-AH446</f>
        <v>27102938</v>
      </c>
      <c r="AJ446" s="18">
        <f>AD446+AI446</f>
        <v>865629616</v>
      </c>
      <c r="AK446" s="44">
        <v>0</v>
      </c>
      <c r="AL446" s="44">
        <v>0</v>
      </c>
      <c r="AM446" s="44">
        <v>864293138.00999999</v>
      </c>
      <c r="AN446" s="44">
        <v>0</v>
      </c>
      <c r="AO446" s="44">
        <v>853521647</v>
      </c>
      <c r="AP446" s="44">
        <v>853521647</v>
      </c>
      <c r="AQ446" s="44">
        <v>0</v>
      </c>
      <c r="AR446" s="44">
        <v>0</v>
      </c>
      <c r="AS446" s="44">
        <v>0</v>
      </c>
      <c r="AT446" s="40">
        <f t="shared" ref="AT446" si="206">AQ446+AS446</f>
        <v>0</v>
      </c>
      <c r="AU446" s="18">
        <f>AJ446-AM446</f>
        <v>1336477.9900000095</v>
      </c>
      <c r="AV446" s="18">
        <f>AM446-AP446</f>
        <v>10771491.00999999</v>
      </c>
      <c r="AW446" s="18">
        <f>AP446-AT446</f>
        <v>853521647</v>
      </c>
      <c r="AX446" s="123">
        <f>AP446/AJ446</f>
        <v>0.98601252917390936</v>
      </c>
    </row>
    <row r="447" spans="1:50" ht="18.75" customHeight="1" x14ac:dyDescent="0.2">
      <c r="AA447" s="28" t="s">
        <v>288</v>
      </c>
      <c r="AB447" s="29" t="s">
        <v>320</v>
      </c>
      <c r="AC447" s="17"/>
      <c r="AD447" s="18"/>
      <c r="AE447" s="34"/>
      <c r="AF447" s="34"/>
      <c r="AG447" s="34"/>
      <c r="AH447" s="34"/>
      <c r="AI447" s="34"/>
      <c r="AJ447" s="18"/>
      <c r="AK447" s="18"/>
      <c r="AL447" s="18"/>
      <c r="AM447" s="18"/>
      <c r="AN447" s="34"/>
      <c r="AO447" s="18"/>
      <c r="AP447" s="18"/>
      <c r="AQ447" s="34"/>
      <c r="AR447" s="34"/>
      <c r="AS447" s="34"/>
      <c r="AT447" s="40"/>
      <c r="AU447" s="18"/>
      <c r="AV447" s="18"/>
      <c r="AW447" s="18"/>
      <c r="AX447" s="18"/>
    </row>
    <row r="448" spans="1:50" ht="18.75" customHeight="1" x14ac:dyDescent="0.2">
      <c r="A448" s="4" t="s">
        <v>55</v>
      </c>
      <c r="B448" s="4" t="s">
        <v>56</v>
      </c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1" t="s">
        <v>398</v>
      </c>
      <c r="AB448" s="42" t="s">
        <v>233</v>
      </c>
      <c r="AC448" s="43" t="s">
        <v>58</v>
      </c>
      <c r="AD448" s="43">
        <v>9048558947</v>
      </c>
      <c r="AE448" s="143">
        <v>0</v>
      </c>
      <c r="AF448" s="44">
        <v>0</v>
      </c>
      <c r="AG448" s="44">
        <v>0</v>
      </c>
      <c r="AH448" s="44">
        <v>0</v>
      </c>
      <c r="AI448" s="18">
        <f t="shared" ref="AI448:AI449" si="207">AE448-AF448+AG448-AH448</f>
        <v>0</v>
      </c>
      <c r="AJ448" s="18">
        <f t="shared" ref="AJ448:AJ449" si="208">AD448+AI448</f>
        <v>9048558947</v>
      </c>
      <c r="AK448" s="44">
        <v>0</v>
      </c>
      <c r="AL448" s="44">
        <v>0</v>
      </c>
      <c r="AM448" s="43">
        <v>9048558947</v>
      </c>
      <c r="AN448" s="44">
        <v>0</v>
      </c>
      <c r="AO448" s="44">
        <v>0</v>
      </c>
      <c r="AP448" s="43">
        <v>9001641826</v>
      </c>
      <c r="AQ448" s="44">
        <v>0</v>
      </c>
      <c r="AR448" s="44">
        <v>1470169461</v>
      </c>
      <c r="AS448" s="43">
        <v>4197605340.3400002</v>
      </c>
      <c r="AT448" s="39">
        <f t="shared" ref="AT448:AT451" si="209">AQ448+AS448</f>
        <v>4197605340.3400002</v>
      </c>
      <c r="AU448" s="34">
        <f>AJ448-AM448</f>
        <v>0</v>
      </c>
      <c r="AV448" s="18">
        <f>AM448-AP448</f>
        <v>46917121</v>
      </c>
      <c r="AW448" s="18">
        <f>AP448-AT448</f>
        <v>4804036485.6599998</v>
      </c>
      <c r="AX448" s="123">
        <f>AP448/AJ448</f>
        <v>0.99481496210890519</v>
      </c>
    </row>
    <row r="449" spans="1:50" ht="18.75" customHeight="1" x14ac:dyDescent="0.2">
      <c r="A449" s="4" t="s">
        <v>55</v>
      </c>
      <c r="B449" s="4" t="s">
        <v>56</v>
      </c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1" t="s">
        <v>399</v>
      </c>
      <c r="AB449" s="42" t="s">
        <v>382</v>
      </c>
      <c r="AC449" s="43" t="s">
        <v>383</v>
      </c>
      <c r="AD449" s="43">
        <v>1274304910</v>
      </c>
      <c r="AE449" s="143">
        <v>0</v>
      </c>
      <c r="AF449" s="44">
        <v>0</v>
      </c>
      <c r="AG449" s="44">
        <v>0</v>
      </c>
      <c r="AH449" s="44">
        <v>0</v>
      </c>
      <c r="AI449" s="18">
        <f t="shared" si="207"/>
        <v>0</v>
      </c>
      <c r="AJ449" s="18">
        <f t="shared" si="208"/>
        <v>1274304910</v>
      </c>
      <c r="AK449" s="44">
        <v>0</v>
      </c>
      <c r="AL449" s="44">
        <v>0</v>
      </c>
      <c r="AM449" s="43">
        <v>1274304910</v>
      </c>
      <c r="AN449" s="44">
        <v>0</v>
      </c>
      <c r="AO449" s="44">
        <v>0</v>
      </c>
      <c r="AP449" s="43">
        <v>1274304910</v>
      </c>
      <c r="AQ449" s="44">
        <v>0</v>
      </c>
      <c r="AR449" s="44">
        <v>0</v>
      </c>
      <c r="AS449" s="44">
        <v>0</v>
      </c>
      <c r="AT449" s="40">
        <f t="shared" si="209"/>
        <v>0</v>
      </c>
      <c r="AU449" s="34">
        <f>AJ449-AM449</f>
        <v>0</v>
      </c>
      <c r="AV449" s="34">
        <f>AM449-AP449</f>
        <v>0</v>
      </c>
      <c r="AW449" s="18">
        <f>AP449-AT449</f>
        <v>1274304910</v>
      </c>
      <c r="AX449" s="123">
        <f>AP449/AJ449</f>
        <v>1</v>
      </c>
    </row>
    <row r="450" spans="1:50" ht="18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1" t="s">
        <v>986</v>
      </c>
      <c r="AB450" s="42" t="s">
        <v>987</v>
      </c>
      <c r="AC450" s="43"/>
      <c r="AD450" s="44">
        <v>0</v>
      </c>
      <c r="AE450" s="143">
        <v>0</v>
      </c>
      <c r="AF450" s="44">
        <v>0</v>
      </c>
      <c r="AG450" s="43">
        <v>417383651.70999998</v>
      </c>
      <c r="AH450" s="44">
        <v>0</v>
      </c>
      <c r="AI450" s="18">
        <f>AE450-AF450+AG450-AH450</f>
        <v>417383651.70999998</v>
      </c>
      <c r="AJ450" s="18">
        <f>AD450+AI450</f>
        <v>417383651.70999998</v>
      </c>
      <c r="AK450" s="44">
        <v>0</v>
      </c>
      <c r="AL450" s="44">
        <v>0</v>
      </c>
      <c r="AM450" s="43">
        <v>417383651.70999998</v>
      </c>
      <c r="AN450" s="44">
        <v>0</v>
      </c>
      <c r="AO450" s="44">
        <v>0</v>
      </c>
      <c r="AP450" s="43">
        <v>417383651.70999998</v>
      </c>
      <c r="AQ450" s="44">
        <v>0</v>
      </c>
      <c r="AR450" s="44">
        <v>0</v>
      </c>
      <c r="AS450" s="44">
        <v>0</v>
      </c>
      <c r="AT450" s="40">
        <f t="shared" si="209"/>
        <v>0</v>
      </c>
      <c r="AU450" s="34">
        <f>AJ450-AM450</f>
        <v>0</v>
      </c>
      <c r="AV450" s="34">
        <f>AM450-AP450</f>
        <v>0</v>
      </c>
      <c r="AW450" s="18">
        <f>AP450-AT450</f>
        <v>417383651.70999998</v>
      </c>
      <c r="AX450" s="123">
        <f>AP450/AJ450</f>
        <v>1</v>
      </c>
    </row>
    <row r="451" spans="1:50" ht="18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166" t="s">
        <v>1020</v>
      </c>
      <c r="AB451" s="167" t="s">
        <v>1015</v>
      </c>
      <c r="AC451" s="168"/>
      <c r="AD451" s="44">
        <v>0</v>
      </c>
      <c r="AE451" s="142">
        <v>4862312815</v>
      </c>
      <c r="AF451" s="44"/>
      <c r="AG451" s="43"/>
      <c r="AH451" s="44"/>
      <c r="AI451" s="18">
        <f>AE451-AF451+AG451-AH451</f>
        <v>4862312815</v>
      </c>
      <c r="AJ451" s="18">
        <f>AD451+AI451</f>
        <v>4862312815</v>
      </c>
      <c r="AK451" s="44">
        <v>0</v>
      </c>
      <c r="AL451" s="44">
        <v>0</v>
      </c>
      <c r="AM451" s="43">
        <v>0</v>
      </c>
      <c r="AN451" s="44">
        <v>0</v>
      </c>
      <c r="AO451" s="44">
        <v>0</v>
      </c>
      <c r="AP451" s="43">
        <v>0</v>
      </c>
      <c r="AQ451" s="44">
        <v>0</v>
      </c>
      <c r="AR451" s="44">
        <v>0</v>
      </c>
      <c r="AS451" s="44">
        <v>0</v>
      </c>
      <c r="AT451" s="40">
        <f t="shared" si="209"/>
        <v>0</v>
      </c>
      <c r="AU451" s="18">
        <f>AJ451-AM451</f>
        <v>4862312815</v>
      </c>
      <c r="AV451" s="34">
        <f>AM451-AP451</f>
        <v>0</v>
      </c>
      <c r="AW451" s="34">
        <f>AP451-AT451</f>
        <v>0</v>
      </c>
      <c r="AX451" s="123">
        <f>AP451/AJ451</f>
        <v>0</v>
      </c>
    </row>
    <row r="452" spans="1:50" ht="18.75" customHeight="1" x14ac:dyDescent="0.2">
      <c r="AA452" s="169" t="s">
        <v>288</v>
      </c>
      <c r="AB452" s="163" t="s">
        <v>400</v>
      </c>
      <c r="AC452" s="17"/>
      <c r="AD452" s="18"/>
      <c r="AE452" s="145"/>
      <c r="AF452" s="34"/>
      <c r="AG452" s="34"/>
      <c r="AH452" s="34"/>
      <c r="AI452" s="34"/>
      <c r="AJ452" s="18"/>
      <c r="AK452" s="18"/>
      <c r="AL452" s="18"/>
      <c r="AM452" s="18"/>
      <c r="AN452" s="34"/>
      <c r="AO452" s="18"/>
      <c r="AP452" s="18"/>
      <c r="AQ452" s="34"/>
      <c r="AR452" s="34"/>
      <c r="AS452" s="34"/>
      <c r="AT452" s="40"/>
      <c r="AU452" s="18"/>
      <c r="AV452" s="18"/>
      <c r="AW452" s="18"/>
      <c r="AX452" s="18"/>
    </row>
    <row r="453" spans="1:50" ht="18.75" customHeight="1" x14ac:dyDescent="0.2">
      <c r="A453" s="4" t="s">
        <v>55</v>
      </c>
      <c r="B453" s="4" t="s">
        <v>56</v>
      </c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1" t="s">
        <v>401</v>
      </c>
      <c r="AB453" s="42" t="s">
        <v>233</v>
      </c>
      <c r="AC453" s="43" t="s">
        <v>58</v>
      </c>
      <c r="AD453" s="43">
        <v>1000000000</v>
      </c>
      <c r="AE453" s="143">
        <v>0</v>
      </c>
      <c r="AF453" s="44">
        <v>0</v>
      </c>
      <c r="AG453" s="43">
        <v>210000000</v>
      </c>
      <c r="AH453" s="44">
        <v>0</v>
      </c>
      <c r="AI453" s="18">
        <f>AE453-AF453+AG453-AH453</f>
        <v>210000000</v>
      </c>
      <c r="AJ453" s="18">
        <f>AD453+AI453</f>
        <v>1210000000</v>
      </c>
      <c r="AK453" s="44">
        <v>0</v>
      </c>
      <c r="AL453" s="43">
        <v>17400000</v>
      </c>
      <c r="AM453" s="43">
        <v>829950000</v>
      </c>
      <c r="AN453" s="43">
        <v>17400000</v>
      </c>
      <c r="AO453" s="43">
        <v>0</v>
      </c>
      <c r="AP453" s="43">
        <v>811750000</v>
      </c>
      <c r="AQ453" s="114">
        <v>4700000</v>
      </c>
      <c r="AR453" s="114">
        <v>101310000</v>
      </c>
      <c r="AS453" s="114">
        <v>479793333</v>
      </c>
      <c r="AT453" s="39">
        <f t="shared" ref="AT453:AT487" si="210">AQ453+AS453</f>
        <v>484493333</v>
      </c>
      <c r="AU453" s="110">
        <f>AJ453-AM453</f>
        <v>380050000</v>
      </c>
      <c r="AV453" s="110">
        <f>AM453-AP453</f>
        <v>18200000</v>
      </c>
      <c r="AW453" s="18">
        <f>AP453-AT453</f>
        <v>327256667</v>
      </c>
      <c r="AX453" s="123">
        <f>AP453/AJ453</f>
        <v>0.67086776859504127</v>
      </c>
    </row>
    <row r="454" spans="1:50" ht="18.75" customHeight="1" x14ac:dyDescent="0.2">
      <c r="AA454" s="16"/>
      <c r="AB454" s="17"/>
      <c r="AC454" s="17"/>
      <c r="AD454" s="18"/>
      <c r="AE454" s="145"/>
      <c r="AF454" s="34"/>
      <c r="AG454" s="34"/>
      <c r="AH454" s="34"/>
      <c r="AI454" s="34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30"/>
      <c r="AU454" s="18"/>
      <c r="AV454" s="18"/>
      <c r="AW454" s="18"/>
      <c r="AX454" s="18"/>
    </row>
    <row r="455" spans="1:50" ht="26.25" customHeight="1" x14ac:dyDescent="0.2">
      <c r="AA455" s="164" t="s">
        <v>288</v>
      </c>
      <c r="AB455" s="165" t="s">
        <v>964</v>
      </c>
      <c r="AC455" s="161"/>
      <c r="AD455" s="18"/>
      <c r="AE455" s="34"/>
      <c r="AF455" s="34"/>
      <c r="AG455" s="34"/>
      <c r="AH455" s="34"/>
      <c r="AI455" s="34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30"/>
      <c r="AU455" s="18"/>
      <c r="AV455" s="18"/>
      <c r="AW455" s="18"/>
      <c r="AX455" s="18"/>
    </row>
    <row r="456" spans="1:50" ht="18.75" customHeight="1" x14ac:dyDescent="0.2">
      <c r="AA456" s="166" t="s">
        <v>965</v>
      </c>
      <c r="AB456" s="167" t="s">
        <v>966</v>
      </c>
      <c r="AC456" s="161"/>
      <c r="AD456" s="34">
        <v>0</v>
      </c>
      <c r="AE456" s="34">
        <v>0</v>
      </c>
      <c r="AF456" s="34">
        <v>0</v>
      </c>
      <c r="AG456" s="18">
        <v>155990000</v>
      </c>
      <c r="AH456" s="34">
        <v>0</v>
      </c>
      <c r="AI456" s="18">
        <f>AE456-AF456+AG456-AH456</f>
        <v>155990000</v>
      </c>
      <c r="AJ456" s="18">
        <f>AD456+AI456</f>
        <v>155990000</v>
      </c>
      <c r="AK456" s="34">
        <v>0</v>
      </c>
      <c r="AL456" s="34">
        <v>0</v>
      </c>
      <c r="AM456" s="34">
        <v>0</v>
      </c>
      <c r="AN456" s="34">
        <v>0</v>
      </c>
      <c r="AO456" s="34">
        <v>0</v>
      </c>
      <c r="AP456" s="34">
        <v>0</v>
      </c>
      <c r="AQ456" s="34">
        <v>0</v>
      </c>
      <c r="AR456" s="34">
        <v>0</v>
      </c>
      <c r="AS456" s="34">
        <v>0</v>
      </c>
      <c r="AT456" s="40">
        <f t="shared" ref="AT456" si="211">AQ456+AS456</f>
        <v>0</v>
      </c>
      <c r="AU456" s="110">
        <f>AJ456-AM456</f>
        <v>155990000</v>
      </c>
      <c r="AV456" s="133">
        <f>AM456-AP456</f>
        <v>0</v>
      </c>
      <c r="AW456" s="34">
        <f>AP456-AT456</f>
        <v>0</v>
      </c>
      <c r="AX456" s="123">
        <f>AP456/AJ456</f>
        <v>0</v>
      </c>
    </row>
    <row r="457" spans="1:50" ht="25.5" x14ac:dyDescent="0.2">
      <c r="AA457" s="28" t="s">
        <v>288</v>
      </c>
      <c r="AB457" s="29" t="s">
        <v>402</v>
      </c>
      <c r="AC457" s="17"/>
      <c r="AD457" s="18"/>
      <c r="AE457" s="34"/>
      <c r="AF457" s="34"/>
      <c r="AG457" s="34"/>
      <c r="AH457" s="34"/>
      <c r="AI457" s="34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30"/>
      <c r="AU457" s="18"/>
      <c r="AV457" s="18"/>
      <c r="AW457" s="18"/>
      <c r="AX457" s="18"/>
    </row>
    <row r="458" spans="1:50" ht="18.75" customHeight="1" x14ac:dyDescent="0.2">
      <c r="A458" s="4" t="s">
        <v>55</v>
      </c>
      <c r="B458" s="4" t="s">
        <v>56</v>
      </c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1" t="s">
        <v>403</v>
      </c>
      <c r="AB458" s="42" t="s">
        <v>233</v>
      </c>
      <c r="AC458" s="43" t="s">
        <v>58</v>
      </c>
      <c r="AD458" s="43">
        <v>206000002.94</v>
      </c>
      <c r="AE458" s="44">
        <v>0</v>
      </c>
      <c r="AF458" s="44">
        <v>0</v>
      </c>
      <c r="AG458" s="44">
        <v>0</v>
      </c>
      <c r="AH458" s="44">
        <v>0</v>
      </c>
      <c r="AI458" s="44">
        <v>0</v>
      </c>
      <c r="AJ458" s="43">
        <v>206000002.94</v>
      </c>
      <c r="AK458" s="44">
        <v>0</v>
      </c>
      <c r="AL458" s="114">
        <v>21100800</v>
      </c>
      <c r="AM458" s="114">
        <v>106224000</v>
      </c>
      <c r="AN458" s="44">
        <v>0</v>
      </c>
      <c r="AO458" s="114">
        <v>21100800</v>
      </c>
      <c r="AP458" s="114">
        <v>106224000</v>
      </c>
      <c r="AQ458" s="43">
        <v>0</v>
      </c>
      <c r="AR458" s="43">
        <v>41673600</v>
      </c>
      <c r="AS458" s="43">
        <v>106224000</v>
      </c>
      <c r="AT458" s="39">
        <f t="shared" ref="AT458" si="212">AQ458+AS458</f>
        <v>106224000</v>
      </c>
      <c r="AU458" s="18">
        <f>AJ458-AM458</f>
        <v>99776002.939999998</v>
      </c>
      <c r="AV458" s="34">
        <f>AM458-AP458</f>
        <v>0</v>
      </c>
      <c r="AW458" s="34">
        <f>AP458-AT458</f>
        <v>0</v>
      </c>
      <c r="AX458" s="123">
        <f>AP458/AJ458</f>
        <v>0.51565047807760966</v>
      </c>
    </row>
    <row r="459" spans="1:50" ht="18.75" customHeight="1" x14ac:dyDescent="0.2">
      <c r="AA459" s="28" t="s">
        <v>288</v>
      </c>
      <c r="AB459" s="29" t="s">
        <v>404</v>
      </c>
      <c r="AC459" s="17"/>
      <c r="AD459" s="18"/>
      <c r="AE459" s="34"/>
      <c r="AF459" s="34"/>
      <c r="AG459" s="34"/>
      <c r="AH459" s="34"/>
      <c r="AI459" s="34"/>
      <c r="AJ459" s="18"/>
      <c r="AK459" s="34"/>
      <c r="AL459" s="34"/>
      <c r="AM459" s="34"/>
      <c r="AN459" s="34"/>
      <c r="AO459" s="34"/>
      <c r="AP459" s="34"/>
      <c r="AQ459" s="34"/>
      <c r="AR459" s="34"/>
      <c r="AS459" s="34"/>
      <c r="AT459" s="31"/>
      <c r="AU459" s="18"/>
      <c r="AV459" s="34"/>
      <c r="AW459" s="133"/>
      <c r="AX459" s="18"/>
    </row>
    <row r="460" spans="1:50" ht="18.75" customHeight="1" x14ac:dyDescent="0.2">
      <c r="A460" s="4" t="s">
        <v>55</v>
      </c>
      <c r="B460" s="4" t="s">
        <v>56</v>
      </c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1" t="s">
        <v>405</v>
      </c>
      <c r="AB460" s="42" t="s">
        <v>233</v>
      </c>
      <c r="AC460" s="43" t="s">
        <v>58</v>
      </c>
      <c r="AD460" s="43">
        <v>50000000</v>
      </c>
      <c r="AE460" s="44">
        <v>0</v>
      </c>
      <c r="AF460" s="44">
        <v>0</v>
      </c>
      <c r="AG460" s="44">
        <v>0</v>
      </c>
      <c r="AH460" s="44">
        <v>0</v>
      </c>
      <c r="AI460" s="44">
        <v>0</v>
      </c>
      <c r="AJ460" s="43">
        <v>50000000</v>
      </c>
      <c r="AK460" s="44">
        <v>0</v>
      </c>
      <c r="AL460" s="43">
        <v>34682350</v>
      </c>
      <c r="AM460" s="43">
        <v>34682350</v>
      </c>
      <c r="AN460" s="44">
        <v>0</v>
      </c>
      <c r="AO460" s="44">
        <v>34682350</v>
      </c>
      <c r="AP460" s="44">
        <v>34682350</v>
      </c>
      <c r="AQ460" s="44">
        <v>0</v>
      </c>
      <c r="AR460" s="44">
        <v>0</v>
      </c>
      <c r="AS460" s="44">
        <v>0</v>
      </c>
      <c r="AT460" s="40">
        <f t="shared" si="210"/>
        <v>0</v>
      </c>
      <c r="AU460" s="18">
        <f>AJ460-AM460</f>
        <v>15317650</v>
      </c>
      <c r="AV460" s="34">
        <f>AM460-AP460</f>
        <v>0</v>
      </c>
      <c r="AW460" s="18">
        <f>AP460-AT460</f>
        <v>34682350</v>
      </c>
      <c r="AX460" s="123">
        <f>AP460/AJ460</f>
        <v>0.69364700000000001</v>
      </c>
    </row>
    <row r="461" spans="1:50" ht="18.75" customHeight="1" x14ac:dyDescent="0.2">
      <c r="AA461" s="28" t="s">
        <v>288</v>
      </c>
      <c r="AB461" s="29" t="s">
        <v>362</v>
      </c>
      <c r="AC461" s="17"/>
      <c r="AD461" s="18"/>
      <c r="AE461" s="34"/>
      <c r="AF461" s="34"/>
      <c r="AG461" s="34"/>
      <c r="AH461" s="34"/>
      <c r="AI461" s="34"/>
      <c r="AJ461" s="18"/>
      <c r="AK461" s="34"/>
      <c r="AL461" s="34"/>
      <c r="AM461" s="34"/>
      <c r="AN461" s="34"/>
      <c r="AO461" s="34"/>
      <c r="AP461" s="34"/>
      <c r="AQ461" s="34"/>
      <c r="AR461" s="34"/>
      <c r="AS461" s="34"/>
      <c r="AT461" s="31"/>
      <c r="AU461" s="18"/>
      <c r="AV461" s="34"/>
      <c r="AW461" s="133"/>
      <c r="AX461" s="18"/>
    </row>
    <row r="462" spans="1:50" ht="18.75" customHeight="1" x14ac:dyDescent="0.2">
      <c r="A462" s="4" t="s">
        <v>55</v>
      </c>
      <c r="B462" s="4" t="s">
        <v>56</v>
      </c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1" t="s">
        <v>406</v>
      </c>
      <c r="AB462" s="69" t="s">
        <v>379</v>
      </c>
      <c r="AC462" s="43" t="s">
        <v>380</v>
      </c>
      <c r="AD462" s="43">
        <v>155990000</v>
      </c>
      <c r="AE462" s="44">
        <v>0</v>
      </c>
      <c r="AF462" s="44">
        <v>0</v>
      </c>
      <c r="AG462" s="44">
        <v>0</v>
      </c>
      <c r="AH462" s="43">
        <v>155990000</v>
      </c>
      <c r="AI462" s="18">
        <f>AE462-AF462+AG462-AH462</f>
        <v>-155990000</v>
      </c>
      <c r="AJ462" s="34">
        <f>AD462+AI462</f>
        <v>0</v>
      </c>
      <c r="AK462" s="44">
        <v>0</v>
      </c>
      <c r="AL462" s="44">
        <v>0</v>
      </c>
      <c r="AM462" s="44">
        <v>0</v>
      </c>
      <c r="AN462" s="44">
        <v>0</v>
      </c>
      <c r="AO462" s="44">
        <v>0</v>
      </c>
      <c r="AP462" s="44">
        <v>0</v>
      </c>
      <c r="AQ462" s="44">
        <v>0</v>
      </c>
      <c r="AR462" s="44">
        <v>0</v>
      </c>
      <c r="AS462" s="44">
        <v>0</v>
      </c>
      <c r="AT462" s="40">
        <f t="shared" si="210"/>
        <v>0</v>
      </c>
      <c r="AU462" s="18">
        <f>AJ462-AM462</f>
        <v>0</v>
      </c>
      <c r="AV462" s="34">
        <f>AM462-AP462</f>
        <v>0</v>
      </c>
      <c r="AW462" s="133">
        <f>AP462-AT462</f>
        <v>0</v>
      </c>
      <c r="AX462" s="123">
        <v>0</v>
      </c>
    </row>
    <row r="463" spans="1:50" ht="18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73" t="s">
        <v>288</v>
      </c>
      <c r="AB463" s="82" t="s">
        <v>365</v>
      </c>
      <c r="AC463" s="43"/>
      <c r="AD463" s="43"/>
      <c r="AE463" s="44"/>
      <c r="AF463" s="44"/>
      <c r="AG463" s="44"/>
      <c r="AH463" s="43"/>
      <c r="AI463" s="18"/>
      <c r="AJ463" s="18"/>
      <c r="AK463" s="44"/>
      <c r="AL463" s="44"/>
      <c r="AM463" s="44"/>
      <c r="AN463" s="44"/>
      <c r="AO463" s="44"/>
      <c r="AP463" s="44"/>
      <c r="AQ463" s="44"/>
      <c r="AR463" s="44"/>
      <c r="AS463" s="44"/>
      <c r="AT463" s="40"/>
      <c r="AU463" s="18"/>
      <c r="AV463" s="34"/>
      <c r="AW463" s="133"/>
      <c r="AX463" s="123"/>
    </row>
    <row r="464" spans="1:50" ht="18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1" t="s">
        <v>988</v>
      </c>
      <c r="AB464" s="69" t="s">
        <v>978</v>
      </c>
      <c r="AC464" s="43"/>
      <c r="AD464" s="44">
        <v>0</v>
      </c>
      <c r="AE464" s="44">
        <v>0</v>
      </c>
      <c r="AF464" s="44">
        <v>0</v>
      </c>
      <c r="AG464" s="43">
        <v>1227570664.1400001</v>
      </c>
      <c r="AH464" s="43">
        <v>0</v>
      </c>
      <c r="AI464" s="18">
        <f>AE464-AF464+AG464-AH464</f>
        <v>1227570664.1400001</v>
      </c>
      <c r="AJ464" s="18">
        <f>AD464+AI464</f>
        <v>1227570664.1400001</v>
      </c>
      <c r="AK464" s="44">
        <v>0</v>
      </c>
      <c r="AL464" s="44">
        <v>36302380.200000003</v>
      </c>
      <c r="AM464" s="43">
        <v>472935218.67000002</v>
      </c>
      <c r="AN464" s="43">
        <v>0</v>
      </c>
      <c r="AO464" s="43">
        <v>36302380</v>
      </c>
      <c r="AP464" s="43">
        <v>472935217.25999999</v>
      </c>
      <c r="AQ464" s="43">
        <v>0</v>
      </c>
      <c r="AR464" s="43">
        <v>0</v>
      </c>
      <c r="AS464" s="43">
        <v>324849221</v>
      </c>
      <c r="AT464" s="40">
        <f t="shared" ref="AT464" si="213">AQ464+AS464</f>
        <v>324849221</v>
      </c>
      <c r="AU464" s="18">
        <f>AJ464-AM464</f>
        <v>754635445.47000003</v>
      </c>
      <c r="AV464" s="18">
        <f>AM464-AP464</f>
        <v>1.4100000262260437</v>
      </c>
      <c r="AW464" s="18">
        <f>AP464-AT464</f>
        <v>148085996.25999999</v>
      </c>
      <c r="AX464" s="123">
        <v>0</v>
      </c>
    </row>
    <row r="465" spans="1:50" ht="18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1" t="s">
        <v>1298</v>
      </c>
      <c r="AB465" s="69" t="s">
        <v>978</v>
      </c>
      <c r="AC465" s="43"/>
      <c r="AD465" s="44"/>
      <c r="AE465" s="44">
        <v>0</v>
      </c>
      <c r="AF465" s="44">
        <v>0</v>
      </c>
      <c r="AG465" s="43">
        <v>60900682</v>
      </c>
      <c r="AH465" s="43"/>
      <c r="AI465" s="18">
        <f>AE465-AF465+AG465-AH465</f>
        <v>60900682</v>
      </c>
      <c r="AJ465" s="18">
        <f>AD465+AI465</f>
        <v>60900682</v>
      </c>
      <c r="AK465" s="44">
        <v>0</v>
      </c>
      <c r="AL465" s="44">
        <v>0</v>
      </c>
      <c r="AM465" s="43">
        <v>0</v>
      </c>
      <c r="AN465" s="43">
        <v>0</v>
      </c>
      <c r="AO465" s="43">
        <v>0</v>
      </c>
      <c r="AP465" s="43">
        <v>0</v>
      </c>
      <c r="AQ465" s="43">
        <v>0</v>
      </c>
      <c r="AR465" s="43">
        <v>0</v>
      </c>
      <c r="AS465" s="43">
        <v>0</v>
      </c>
      <c r="AT465" s="40">
        <f t="shared" ref="AT465" si="214">AQ465+AS465</f>
        <v>0</v>
      </c>
      <c r="AU465" s="18">
        <f>AJ465-AM465</f>
        <v>60900682</v>
      </c>
      <c r="AV465" s="34">
        <f>AM465-AP465</f>
        <v>0</v>
      </c>
      <c r="AW465" s="34">
        <f>AP465-AT465</f>
        <v>0</v>
      </c>
      <c r="AX465" s="123">
        <v>0</v>
      </c>
    </row>
    <row r="466" spans="1:50" ht="25.5" x14ac:dyDescent="0.2">
      <c r="AA466" s="28" t="s">
        <v>288</v>
      </c>
      <c r="AB466" s="29" t="s">
        <v>407</v>
      </c>
      <c r="AC466" s="17"/>
      <c r="AD466" s="18"/>
      <c r="AE466" s="34"/>
      <c r="AF466" s="34"/>
      <c r="AG466" s="34"/>
      <c r="AH466" s="34"/>
      <c r="AI466" s="34"/>
      <c r="AJ466" s="18"/>
      <c r="AK466" s="34"/>
      <c r="AL466" s="34"/>
      <c r="AM466" s="34"/>
      <c r="AN466" s="34"/>
      <c r="AO466" s="34"/>
      <c r="AP466" s="34"/>
      <c r="AQ466" s="34"/>
      <c r="AR466" s="34"/>
      <c r="AS466" s="34"/>
      <c r="AT466" s="31"/>
      <c r="AU466" s="18"/>
      <c r="AV466" s="34"/>
      <c r="AW466" s="133"/>
      <c r="AX466" s="18"/>
    </row>
    <row r="467" spans="1:50" ht="18.75" customHeight="1" x14ac:dyDescent="0.2">
      <c r="A467" s="4" t="s">
        <v>55</v>
      </c>
      <c r="B467" s="4" t="s">
        <v>56</v>
      </c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1" t="s">
        <v>408</v>
      </c>
      <c r="AB467" s="42" t="s">
        <v>233</v>
      </c>
      <c r="AC467" s="43" t="s">
        <v>58</v>
      </c>
      <c r="AD467" s="43">
        <v>126488672</v>
      </c>
      <c r="AE467" s="44">
        <v>0</v>
      </c>
      <c r="AF467" s="44">
        <v>0</v>
      </c>
      <c r="AG467" s="44">
        <v>0</v>
      </c>
      <c r="AH467" s="44">
        <v>0</v>
      </c>
      <c r="AI467" s="44">
        <v>0</v>
      </c>
      <c r="AJ467" s="43">
        <v>126488672</v>
      </c>
      <c r="AK467" s="44">
        <v>0</v>
      </c>
      <c r="AL467" s="44">
        <v>0</v>
      </c>
      <c r="AM467" s="43">
        <v>126488672</v>
      </c>
      <c r="AN467" s="44">
        <v>0</v>
      </c>
      <c r="AO467" s="43">
        <v>0</v>
      </c>
      <c r="AP467" s="43">
        <v>126488672</v>
      </c>
      <c r="AQ467" s="44">
        <v>0</v>
      </c>
      <c r="AR467" s="44">
        <v>0</v>
      </c>
      <c r="AS467" s="44">
        <v>0</v>
      </c>
      <c r="AT467" s="40">
        <f t="shared" ref="AT467:AT468" si="215">AQ467+AS467</f>
        <v>0</v>
      </c>
      <c r="AU467" s="34">
        <f>AJ467-AM467</f>
        <v>0</v>
      </c>
      <c r="AV467" s="34">
        <f>AM467-AP467</f>
        <v>0</v>
      </c>
      <c r="AW467" s="18">
        <f>AP467-AT467</f>
        <v>126488672</v>
      </c>
      <c r="AX467" s="123">
        <f>AP467/AJ467</f>
        <v>1</v>
      </c>
    </row>
    <row r="468" spans="1:50" ht="18.75" customHeight="1" x14ac:dyDescent="0.2">
      <c r="A468" s="4" t="s">
        <v>55</v>
      </c>
      <c r="B468" s="4" t="s">
        <v>56</v>
      </c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1" t="s">
        <v>409</v>
      </c>
      <c r="AB468" s="42" t="s">
        <v>379</v>
      </c>
      <c r="AC468" s="43" t="s">
        <v>380</v>
      </c>
      <c r="AD468" s="43">
        <v>373511328</v>
      </c>
      <c r="AE468" s="44">
        <v>0</v>
      </c>
      <c r="AF468" s="44">
        <v>0</v>
      </c>
      <c r="AG468" s="44">
        <v>0</v>
      </c>
      <c r="AH468" s="44">
        <v>0</v>
      </c>
      <c r="AI468" s="44">
        <v>0</v>
      </c>
      <c r="AJ468" s="43">
        <v>373511328</v>
      </c>
      <c r="AK468" s="44">
        <v>0</v>
      </c>
      <c r="AL468" s="44">
        <v>0</v>
      </c>
      <c r="AM468" s="43">
        <v>373511328</v>
      </c>
      <c r="AN468" s="44">
        <v>0</v>
      </c>
      <c r="AO468" s="43">
        <v>0</v>
      </c>
      <c r="AP468" s="43">
        <v>373511328</v>
      </c>
      <c r="AQ468" s="44">
        <v>0</v>
      </c>
      <c r="AR468" s="44">
        <v>0</v>
      </c>
      <c r="AS468" s="44">
        <v>0</v>
      </c>
      <c r="AT468" s="40">
        <f t="shared" si="215"/>
        <v>0</v>
      </c>
      <c r="AU468" s="34">
        <f>AJ468-AM468</f>
        <v>0</v>
      </c>
      <c r="AV468" s="34">
        <f>AM468-AP468</f>
        <v>0</v>
      </c>
      <c r="AW468" s="18">
        <f>AP468-AT468</f>
        <v>373511328</v>
      </c>
      <c r="AX468" s="123">
        <f>AP468/AJ468</f>
        <v>1</v>
      </c>
    </row>
    <row r="469" spans="1:50" ht="25.5" x14ac:dyDescent="0.2">
      <c r="AA469" s="28" t="s">
        <v>288</v>
      </c>
      <c r="AB469" s="29" t="s">
        <v>410</v>
      </c>
      <c r="AC469" s="17"/>
      <c r="AD469" s="18"/>
      <c r="AE469" s="145"/>
      <c r="AF469" s="34"/>
      <c r="AG469" s="34"/>
      <c r="AH469" s="34"/>
      <c r="AI469" s="34"/>
      <c r="AJ469" s="18"/>
      <c r="AK469" s="34"/>
      <c r="AL469" s="34"/>
      <c r="AM469" s="34"/>
      <c r="AN469" s="34"/>
      <c r="AO469" s="34"/>
      <c r="AP469" s="34"/>
      <c r="AQ469" s="34"/>
      <c r="AR469" s="34"/>
      <c r="AS469" s="34"/>
      <c r="AT469" s="31"/>
      <c r="AU469" s="18"/>
      <c r="AV469" s="34"/>
      <c r="AW469" s="18"/>
      <c r="AX469" s="18"/>
    </row>
    <row r="470" spans="1:50" ht="18.75" customHeight="1" x14ac:dyDescent="0.2">
      <c r="A470" s="4" t="s">
        <v>55</v>
      </c>
      <c r="B470" s="4" t="s">
        <v>56</v>
      </c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1" t="s">
        <v>411</v>
      </c>
      <c r="AB470" s="42" t="s">
        <v>412</v>
      </c>
      <c r="AC470" s="43" t="s">
        <v>380</v>
      </c>
      <c r="AD470" s="43">
        <v>6161937303</v>
      </c>
      <c r="AE470" s="143">
        <v>0</v>
      </c>
      <c r="AF470" s="44">
        <v>0</v>
      </c>
      <c r="AG470" s="44">
        <v>0</v>
      </c>
      <c r="AH470" s="44">
        <v>0</v>
      </c>
      <c r="AI470" s="44">
        <v>0</v>
      </c>
      <c r="AJ470" s="43">
        <v>6161937303</v>
      </c>
      <c r="AK470" s="44">
        <v>0</v>
      </c>
      <c r="AL470" s="44">
        <v>0</v>
      </c>
      <c r="AM470" s="43">
        <v>4844629745</v>
      </c>
      <c r="AN470" s="44">
        <v>0</v>
      </c>
      <c r="AO470" s="44">
        <v>0</v>
      </c>
      <c r="AP470" s="43">
        <v>4844629745</v>
      </c>
      <c r="AQ470" s="43">
        <v>0</v>
      </c>
      <c r="AR470" s="44">
        <v>0</v>
      </c>
      <c r="AS470" s="43">
        <v>4844629745</v>
      </c>
      <c r="AT470" s="39">
        <f t="shared" ref="AT470:AT472" si="216">AQ470+AS470</f>
        <v>4844629745</v>
      </c>
      <c r="AU470" s="18">
        <f>AJ470-AM470</f>
        <v>1317307558</v>
      </c>
      <c r="AV470" s="34">
        <f>AM470-AP470</f>
        <v>0</v>
      </c>
      <c r="AW470" s="34">
        <f>AP470-AT470</f>
        <v>0</v>
      </c>
      <c r="AX470" s="123">
        <f>AP470/AJ470</f>
        <v>0.78621860411357058</v>
      </c>
    </row>
    <row r="471" spans="1:50" ht="18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1" t="s">
        <v>977</v>
      </c>
      <c r="AB471" s="42" t="s">
        <v>978</v>
      </c>
      <c r="AC471" s="43"/>
      <c r="AD471" s="43"/>
      <c r="AE471" s="142">
        <v>2137085601</v>
      </c>
      <c r="AF471" s="44">
        <v>0</v>
      </c>
      <c r="AG471" s="44">
        <v>0</v>
      </c>
      <c r="AH471" s="43">
        <v>1644954315.8499999</v>
      </c>
      <c r="AI471" s="18">
        <f>AE471-AF471+AG471-AH471</f>
        <v>492131285.1500001</v>
      </c>
      <c r="AJ471" s="18">
        <f>AD471+AI471</f>
        <v>492131285.1500001</v>
      </c>
      <c r="AK471" s="44">
        <v>0</v>
      </c>
      <c r="AL471" s="44">
        <v>0</v>
      </c>
      <c r="AM471" s="43">
        <v>492131285.14999998</v>
      </c>
      <c r="AN471" s="44">
        <v>0</v>
      </c>
      <c r="AO471" s="44">
        <v>0</v>
      </c>
      <c r="AP471" s="43">
        <v>423802091.47000003</v>
      </c>
      <c r="AQ471" s="43">
        <v>38599355.159999996</v>
      </c>
      <c r="AR471" s="43">
        <v>1318322.6399999999</v>
      </c>
      <c r="AS471" s="43">
        <v>1318322.6399999999</v>
      </c>
      <c r="AT471" s="39">
        <f t="shared" si="216"/>
        <v>39917677.799999997</v>
      </c>
      <c r="AU471" s="34">
        <f>AJ471-AM471</f>
        <v>0</v>
      </c>
      <c r="AV471" s="18">
        <f>AM471-AP471</f>
        <v>68329193.679999948</v>
      </c>
      <c r="AW471" s="18">
        <f>AP471-AT471</f>
        <v>383884413.67000002</v>
      </c>
      <c r="AX471" s="123">
        <f>AP471/AJ471</f>
        <v>0.86115657398376222</v>
      </c>
    </row>
    <row r="472" spans="1:50" ht="18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173" t="s">
        <v>1201</v>
      </c>
      <c r="AB472" s="42" t="s">
        <v>1202</v>
      </c>
      <c r="AC472" s="43"/>
      <c r="AD472" s="44">
        <v>0</v>
      </c>
      <c r="AE472" s="142">
        <v>60900682</v>
      </c>
      <c r="AF472" s="44"/>
      <c r="AG472" s="44"/>
      <c r="AH472" s="43">
        <v>60900682</v>
      </c>
      <c r="AI472" s="18">
        <f>AE472-AF472+AG472-AH472</f>
        <v>0</v>
      </c>
      <c r="AJ472" s="18">
        <f>AD472+AI472</f>
        <v>0</v>
      </c>
      <c r="AK472" s="44">
        <v>0</v>
      </c>
      <c r="AL472" s="44">
        <v>0</v>
      </c>
      <c r="AM472" s="43">
        <v>0</v>
      </c>
      <c r="AN472" s="44">
        <v>0</v>
      </c>
      <c r="AO472" s="44">
        <v>0</v>
      </c>
      <c r="AP472" s="43">
        <v>0</v>
      </c>
      <c r="AQ472" s="44">
        <v>0</v>
      </c>
      <c r="AR472" s="44">
        <v>0</v>
      </c>
      <c r="AS472" s="44">
        <v>0</v>
      </c>
      <c r="AT472" s="40">
        <f t="shared" si="216"/>
        <v>0</v>
      </c>
      <c r="AU472" s="34">
        <f>AJ472-AM472</f>
        <v>0</v>
      </c>
      <c r="AV472" s="18">
        <f>AM472-AP472</f>
        <v>0</v>
      </c>
      <c r="AW472" s="34">
        <f>AP472-AT472</f>
        <v>0</v>
      </c>
      <c r="AX472" s="123">
        <v>0</v>
      </c>
    </row>
    <row r="473" spans="1:50" ht="18.75" customHeight="1" x14ac:dyDescent="0.2">
      <c r="AA473" s="28" t="s">
        <v>288</v>
      </c>
      <c r="AB473" s="29" t="s">
        <v>320</v>
      </c>
      <c r="AC473" s="17"/>
      <c r="AD473" s="18"/>
      <c r="AE473" s="145"/>
      <c r="AF473" s="34"/>
      <c r="AG473" s="34"/>
      <c r="AH473" s="34"/>
      <c r="AI473" s="34"/>
      <c r="AJ473" s="18"/>
      <c r="AK473" s="18"/>
      <c r="AL473" s="18"/>
      <c r="AM473" s="18"/>
      <c r="AN473" s="18"/>
      <c r="AO473" s="18"/>
      <c r="AP473" s="18"/>
      <c r="AQ473" s="18"/>
      <c r="AR473" s="34"/>
      <c r="AS473" s="34"/>
      <c r="AT473" s="31"/>
      <c r="AU473" s="18"/>
      <c r="AV473" s="34"/>
      <c r="AW473" s="18"/>
      <c r="AX473" s="18"/>
    </row>
    <row r="474" spans="1:50" ht="18.75" customHeight="1" x14ac:dyDescent="0.2">
      <c r="A474" s="4" t="s">
        <v>37</v>
      </c>
      <c r="B474" s="4" t="s">
        <v>37</v>
      </c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1" t="s">
        <v>413</v>
      </c>
      <c r="AB474" s="42" t="s">
        <v>233</v>
      </c>
      <c r="AC474" s="43" t="s">
        <v>58</v>
      </c>
      <c r="AD474" s="43">
        <v>1212000000</v>
      </c>
      <c r="AE474" s="143">
        <v>0</v>
      </c>
      <c r="AF474" s="44">
        <v>0</v>
      </c>
      <c r="AG474" s="44">
        <v>0</v>
      </c>
      <c r="AH474" s="44">
        <v>0</v>
      </c>
      <c r="AI474" s="44">
        <v>0</v>
      </c>
      <c r="AJ474" s="43">
        <v>1212000000</v>
      </c>
      <c r="AK474" s="44">
        <v>0</v>
      </c>
      <c r="AL474" s="44">
        <v>0</v>
      </c>
      <c r="AM474" s="43">
        <v>1161315332</v>
      </c>
      <c r="AN474" s="44">
        <v>0</v>
      </c>
      <c r="AO474" s="44">
        <v>0</v>
      </c>
      <c r="AP474" s="43">
        <v>1161315332</v>
      </c>
      <c r="AQ474" s="44">
        <v>0</v>
      </c>
      <c r="AR474" s="43">
        <v>98352930</v>
      </c>
      <c r="AS474" s="43">
        <v>98352930</v>
      </c>
      <c r="AT474" s="39">
        <f t="shared" ref="AT474:AT475" si="217">AQ474+AS474</f>
        <v>98352930</v>
      </c>
      <c r="AU474" s="18">
        <f>AJ474-AM474</f>
        <v>50684668</v>
      </c>
      <c r="AV474" s="34">
        <f>AM474-AP474</f>
        <v>0</v>
      </c>
      <c r="AW474" s="18">
        <f>AP474-AT474</f>
        <v>1062962402</v>
      </c>
      <c r="AX474" s="123">
        <f>AP474/AJ474</f>
        <v>0.95818096699669963</v>
      </c>
    </row>
    <row r="475" spans="1:50" ht="18.75" customHeight="1" x14ac:dyDescent="0.2">
      <c r="A475" s="4" t="s">
        <v>55</v>
      </c>
      <c r="B475" s="4" t="s">
        <v>56</v>
      </c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1" t="s">
        <v>414</v>
      </c>
      <c r="AB475" s="42" t="s">
        <v>328</v>
      </c>
      <c r="AC475" s="43" t="s">
        <v>61</v>
      </c>
      <c r="AD475" s="43">
        <v>13807166550</v>
      </c>
      <c r="AE475" s="44">
        <v>0</v>
      </c>
      <c r="AF475" s="44">
        <v>0</v>
      </c>
      <c r="AG475" s="44">
        <v>0</v>
      </c>
      <c r="AH475" s="43">
        <f>23257108+31152316</f>
        <v>54409424</v>
      </c>
      <c r="AI475" s="18">
        <f>AE475-AF475+AG475-AH475</f>
        <v>-54409424</v>
      </c>
      <c r="AJ475" s="18">
        <f>AD475+AI475</f>
        <v>13752757126</v>
      </c>
      <c r="AK475" s="44">
        <v>0</v>
      </c>
      <c r="AL475" s="43">
        <v>0</v>
      </c>
      <c r="AM475" s="43">
        <v>13147919116</v>
      </c>
      <c r="AN475" s="44">
        <v>0</v>
      </c>
      <c r="AO475" s="43">
        <v>0</v>
      </c>
      <c r="AP475" s="43">
        <v>13147919116</v>
      </c>
      <c r="AQ475" s="44">
        <v>0</v>
      </c>
      <c r="AR475" s="43">
        <v>1792690224</v>
      </c>
      <c r="AS475" s="43">
        <v>3422248161</v>
      </c>
      <c r="AT475" s="39">
        <f t="shared" si="217"/>
        <v>3422248161</v>
      </c>
      <c r="AU475" s="18">
        <f>AJ475-AM475</f>
        <v>604838010</v>
      </c>
      <c r="AV475" s="34">
        <f>AM475-AP475</f>
        <v>0</v>
      </c>
      <c r="AW475" s="18">
        <f>AP475-AT475</f>
        <v>9725670955</v>
      </c>
      <c r="AX475" s="123">
        <f>AP475/AJ475</f>
        <v>0.95602059976348053</v>
      </c>
    </row>
    <row r="476" spans="1:50" ht="38.25" x14ac:dyDescent="0.2">
      <c r="AA476" s="28" t="s">
        <v>288</v>
      </c>
      <c r="AB476" s="29" t="s">
        <v>415</v>
      </c>
      <c r="AC476" s="17"/>
      <c r="AD476" s="18"/>
      <c r="AE476" s="34"/>
      <c r="AF476" s="34"/>
      <c r="AG476" s="34"/>
      <c r="AH476" s="34"/>
      <c r="AI476" s="34"/>
      <c r="AJ476" s="18"/>
      <c r="AK476" s="34"/>
      <c r="AL476" s="34"/>
      <c r="AM476" s="18"/>
      <c r="AN476" s="18"/>
      <c r="AO476" s="18"/>
      <c r="AP476" s="18"/>
      <c r="AQ476" s="34"/>
      <c r="AR476" s="34"/>
      <c r="AS476" s="34"/>
      <c r="AT476" s="40"/>
      <c r="AU476" s="18"/>
      <c r="AV476" s="34"/>
      <c r="AW476" s="18"/>
      <c r="AX476" s="18"/>
    </row>
    <row r="477" spans="1:50" ht="18.75" customHeight="1" x14ac:dyDescent="0.2">
      <c r="A477" s="4" t="s">
        <v>55</v>
      </c>
      <c r="B477" s="4" t="s">
        <v>56</v>
      </c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1" t="s">
        <v>416</v>
      </c>
      <c r="AB477" s="42" t="s">
        <v>379</v>
      </c>
      <c r="AC477" s="43" t="s">
        <v>380</v>
      </c>
      <c r="AD477" s="43">
        <v>50000000</v>
      </c>
      <c r="AE477" s="44">
        <v>0</v>
      </c>
      <c r="AF477" s="44">
        <v>0</v>
      </c>
      <c r="AG477" s="44">
        <v>0</v>
      </c>
      <c r="AH477" s="44">
        <v>0</v>
      </c>
      <c r="AI477" s="44">
        <v>0</v>
      </c>
      <c r="AJ477" s="43">
        <v>50000000</v>
      </c>
      <c r="AK477" s="44">
        <v>0</v>
      </c>
      <c r="AL477" s="43">
        <v>0</v>
      </c>
      <c r="AM477" s="43">
        <v>50000000</v>
      </c>
      <c r="AN477" s="44">
        <v>0</v>
      </c>
      <c r="AO477" s="44">
        <v>50000000</v>
      </c>
      <c r="AP477" s="44">
        <v>50000000</v>
      </c>
      <c r="AQ477" s="44">
        <v>0</v>
      </c>
      <c r="AR477" s="44">
        <v>0</v>
      </c>
      <c r="AS477" s="44">
        <v>0</v>
      </c>
      <c r="AT477" s="40">
        <f t="shared" ref="AT477:AT479" si="218">AQ477+AS477</f>
        <v>0</v>
      </c>
      <c r="AU477" s="34">
        <f>AJ477-AM477</f>
        <v>0</v>
      </c>
      <c r="AV477" s="34">
        <f>AM477-AP477</f>
        <v>0</v>
      </c>
      <c r="AW477" s="18">
        <f>AP477-AT477</f>
        <v>50000000</v>
      </c>
      <c r="AX477" s="123">
        <f>AP477/AJ477</f>
        <v>1</v>
      </c>
    </row>
    <row r="478" spans="1:50" ht="18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173" t="s">
        <v>1205</v>
      </c>
      <c r="AB478" s="42" t="s">
        <v>1204</v>
      </c>
      <c r="AC478" s="43"/>
      <c r="AD478" s="44">
        <v>0</v>
      </c>
      <c r="AE478" s="43">
        <v>200000000</v>
      </c>
      <c r="AF478" s="44"/>
      <c r="AG478" s="44"/>
      <c r="AH478" s="44"/>
      <c r="AI478" s="18">
        <f>AE478-AF478+AG478-AH478</f>
        <v>200000000</v>
      </c>
      <c r="AJ478" s="18">
        <f>AD478+AI478</f>
        <v>200000000</v>
      </c>
      <c r="AK478" s="44">
        <v>0</v>
      </c>
      <c r="AL478" s="44">
        <v>0</v>
      </c>
      <c r="AM478" s="44">
        <v>0</v>
      </c>
      <c r="AN478" s="44">
        <v>0</v>
      </c>
      <c r="AO478" s="44">
        <v>0</v>
      </c>
      <c r="AP478" s="44">
        <v>0</v>
      </c>
      <c r="AQ478" s="44">
        <v>0</v>
      </c>
      <c r="AR478" s="44">
        <v>0</v>
      </c>
      <c r="AS478" s="44">
        <v>0</v>
      </c>
      <c r="AT478" s="40">
        <f t="shared" si="218"/>
        <v>0</v>
      </c>
      <c r="AU478" s="18">
        <f>AJ478-AM478</f>
        <v>200000000</v>
      </c>
      <c r="AV478" s="34">
        <f>AM478-AP478</f>
        <v>0</v>
      </c>
      <c r="AW478" s="34">
        <f>AP478-AT478</f>
        <v>0</v>
      </c>
      <c r="AX478" s="123">
        <f>AP478/AJ478</f>
        <v>0</v>
      </c>
    </row>
    <row r="479" spans="1:50" ht="18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173" t="s">
        <v>1297</v>
      </c>
      <c r="AB479" s="42" t="s">
        <v>328</v>
      </c>
      <c r="AC479" s="43"/>
      <c r="AD479" s="44"/>
      <c r="AE479" s="43">
        <v>0</v>
      </c>
      <c r="AF479" s="44">
        <v>0</v>
      </c>
      <c r="AG479" s="43">
        <v>31152316</v>
      </c>
      <c r="AH479" s="44">
        <v>0</v>
      </c>
      <c r="AI479" s="18">
        <f>AE479-AF479+AG479-AH479</f>
        <v>31152316</v>
      </c>
      <c r="AJ479" s="18">
        <f>AD479+AI479</f>
        <v>31152316</v>
      </c>
      <c r="AK479" s="44">
        <v>0</v>
      </c>
      <c r="AL479" s="44">
        <v>0</v>
      </c>
      <c r="AM479" s="44">
        <v>0</v>
      </c>
      <c r="AN479" s="44">
        <v>0</v>
      </c>
      <c r="AO479" s="44">
        <v>0</v>
      </c>
      <c r="AP479" s="44">
        <v>0</v>
      </c>
      <c r="AQ479" s="44">
        <v>0</v>
      </c>
      <c r="AR479" s="44">
        <v>0</v>
      </c>
      <c r="AS479" s="44">
        <v>0</v>
      </c>
      <c r="AT479" s="40">
        <f t="shared" si="218"/>
        <v>0</v>
      </c>
      <c r="AU479" s="18">
        <f>AJ479-AM479</f>
        <v>31152316</v>
      </c>
      <c r="AV479" s="34">
        <f>AM479-AP479</f>
        <v>0</v>
      </c>
      <c r="AW479" s="34">
        <f>AP479-AT479</f>
        <v>0</v>
      </c>
      <c r="AX479" s="123">
        <f>AP479/AJ479</f>
        <v>0</v>
      </c>
    </row>
    <row r="480" spans="1:50" ht="25.5" x14ac:dyDescent="0.2">
      <c r="AA480" s="28" t="s">
        <v>288</v>
      </c>
      <c r="AB480" s="29" t="s">
        <v>418</v>
      </c>
      <c r="AC480" s="17"/>
      <c r="AD480" s="18"/>
      <c r="AE480" s="34"/>
      <c r="AF480" s="34"/>
      <c r="AG480" s="34"/>
      <c r="AH480" s="34"/>
      <c r="AI480" s="34"/>
      <c r="AJ480" s="18"/>
      <c r="AK480" s="34"/>
      <c r="AL480" s="34"/>
      <c r="AM480" s="34"/>
      <c r="AN480" s="34"/>
      <c r="AO480" s="34"/>
      <c r="AP480" s="34"/>
      <c r="AQ480" s="34"/>
      <c r="AR480" s="34"/>
      <c r="AS480" s="34"/>
      <c r="AT480" s="40"/>
      <c r="AU480" s="18"/>
      <c r="AV480" s="34"/>
      <c r="AW480" s="34"/>
      <c r="AX480" s="18"/>
    </row>
    <row r="481" spans="1:50" x14ac:dyDescent="0.2">
      <c r="A481" s="4" t="s">
        <v>55</v>
      </c>
      <c r="B481" s="4" t="s">
        <v>56</v>
      </c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1" t="s">
        <v>419</v>
      </c>
      <c r="AB481" s="42" t="s">
        <v>233</v>
      </c>
      <c r="AC481" s="43" t="s">
        <v>58</v>
      </c>
      <c r="AD481" s="43">
        <v>200000000</v>
      </c>
      <c r="AE481" s="44">
        <v>0</v>
      </c>
      <c r="AF481" s="44">
        <v>0</v>
      </c>
      <c r="AG481" s="44">
        <v>0</v>
      </c>
      <c r="AH481" s="44">
        <v>0</v>
      </c>
      <c r="AI481" s="44">
        <v>0</v>
      </c>
      <c r="AJ481" s="43">
        <v>200000000</v>
      </c>
      <c r="AK481" s="44">
        <v>0</v>
      </c>
      <c r="AL481" s="44">
        <v>0</v>
      </c>
      <c r="AM481" s="44">
        <v>0</v>
      </c>
      <c r="AN481" s="44">
        <v>0</v>
      </c>
      <c r="AO481" s="44">
        <v>0</v>
      </c>
      <c r="AP481" s="44">
        <v>0</v>
      </c>
      <c r="AQ481" s="44">
        <v>0</v>
      </c>
      <c r="AR481" s="44">
        <v>0</v>
      </c>
      <c r="AS481" s="44">
        <v>0</v>
      </c>
      <c r="AT481" s="40">
        <f t="shared" si="210"/>
        <v>0</v>
      </c>
      <c r="AU481" s="18">
        <f>AJ481-AM481</f>
        <v>200000000</v>
      </c>
      <c r="AV481" s="34">
        <f>AM481-AP481</f>
        <v>0</v>
      </c>
      <c r="AW481" s="34">
        <f>AP481-AT481</f>
        <v>0</v>
      </c>
      <c r="AX481" s="123">
        <f>AP481/AJ481</f>
        <v>0</v>
      </c>
    </row>
    <row r="482" spans="1:50" ht="51" x14ac:dyDescent="0.2">
      <c r="AA482" s="28" t="s">
        <v>288</v>
      </c>
      <c r="AB482" s="29" t="s">
        <v>420</v>
      </c>
      <c r="AC482" s="17"/>
      <c r="AD482" s="18"/>
      <c r="AE482" s="34"/>
      <c r="AF482" s="34"/>
      <c r="AG482" s="34"/>
      <c r="AH482" s="34"/>
      <c r="AI482" s="34"/>
      <c r="AJ482" s="18"/>
      <c r="AK482" s="34"/>
      <c r="AL482" s="18"/>
      <c r="AM482" s="18"/>
      <c r="AN482" s="18"/>
      <c r="AO482" s="18"/>
      <c r="AP482" s="18"/>
      <c r="AQ482" s="18"/>
      <c r="AR482" s="18"/>
      <c r="AS482" s="18"/>
      <c r="AT482" s="40"/>
      <c r="AU482" s="18"/>
      <c r="AV482" s="18"/>
      <c r="AW482" s="18"/>
      <c r="AX482" s="18"/>
    </row>
    <row r="483" spans="1:50" x14ac:dyDescent="0.2">
      <c r="A483" s="4" t="s">
        <v>55</v>
      </c>
      <c r="B483" s="4" t="s">
        <v>56</v>
      </c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1" t="s">
        <v>421</v>
      </c>
      <c r="AB483" s="42" t="s">
        <v>328</v>
      </c>
      <c r="AC483" s="43" t="s">
        <v>61</v>
      </c>
      <c r="AD483" s="43">
        <v>501573828</v>
      </c>
      <c r="AE483" s="44">
        <v>0</v>
      </c>
      <c r="AF483" s="44">
        <v>0</v>
      </c>
      <c r="AG483" s="43">
        <v>280746171.69999999</v>
      </c>
      <c r="AH483" s="43">
        <f>3845830+18397564.7</f>
        <v>22243394.699999999</v>
      </c>
      <c r="AI483" s="18">
        <f>AE483-AF483+AG483-AH483</f>
        <v>258502777</v>
      </c>
      <c r="AJ483" s="18">
        <f>AD483+AI483</f>
        <v>760076605</v>
      </c>
      <c r="AK483" s="44">
        <v>0</v>
      </c>
      <c r="AL483" s="43">
        <v>0</v>
      </c>
      <c r="AM483" s="43">
        <v>532000000</v>
      </c>
      <c r="AN483" s="43">
        <v>0</v>
      </c>
      <c r="AO483" s="43">
        <v>0</v>
      </c>
      <c r="AP483" s="43">
        <v>529200000</v>
      </c>
      <c r="AQ483" s="43">
        <v>103600000</v>
      </c>
      <c r="AR483" s="43">
        <v>57026667</v>
      </c>
      <c r="AS483" s="43">
        <v>214386666</v>
      </c>
      <c r="AT483" s="39">
        <f t="shared" si="210"/>
        <v>317986666</v>
      </c>
      <c r="AU483" s="18">
        <f>AJ483-AM483</f>
        <v>228076605</v>
      </c>
      <c r="AV483" s="18">
        <f>AM483-AP483</f>
        <v>2800000</v>
      </c>
      <c r="AW483" s="18">
        <f>AP483-AT483</f>
        <v>211213334</v>
      </c>
      <c r="AX483" s="123">
        <f>AP483/AJ483</f>
        <v>0.69624561066446722</v>
      </c>
    </row>
    <row r="484" spans="1:50" ht="25.5" x14ac:dyDescent="0.2">
      <c r="A484" s="4" t="s">
        <v>55</v>
      </c>
      <c r="B484" s="4" t="s">
        <v>56</v>
      </c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1" t="s">
        <v>422</v>
      </c>
      <c r="AB484" s="42" t="s">
        <v>423</v>
      </c>
      <c r="AC484" s="43" t="s">
        <v>424</v>
      </c>
      <c r="AD484" s="43">
        <v>370346171.69999999</v>
      </c>
      <c r="AE484" s="44">
        <v>0</v>
      </c>
      <c r="AF484" s="44">
        <v>0</v>
      </c>
      <c r="AG484" s="44">
        <v>0</v>
      </c>
      <c r="AH484" s="43">
        <v>280746171.69999999</v>
      </c>
      <c r="AI484" s="18">
        <f>AE484-AF484+AG484-AH484</f>
        <v>-280746171.69999999</v>
      </c>
      <c r="AJ484" s="18">
        <f>AD484+AI484</f>
        <v>89600000</v>
      </c>
      <c r="AK484" s="44">
        <v>0</v>
      </c>
      <c r="AL484" s="43">
        <v>0</v>
      </c>
      <c r="AM484" s="43">
        <v>89600000</v>
      </c>
      <c r="AN484" s="43">
        <v>0</v>
      </c>
      <c r="AO484" s="43">
        <v>0</v>
      </c>
      <c r="AP484" s="43">
        <v>89600000</v>
      </c>
      <c r="AQ484" s="43">
        <v>33600000</v>
      </c>
      <c r="AR484" s="43">
        <v>5600000</v>
      </c>
      <c r="AS484" s="43">
        <v>21466668</v>
      </c>
      <c r="AT484" s="39">
        <f t="shared" si="210"/>
        <v>55066668</v>
      </c>
      <c r="AU484" s="34">
        <f>AJ484-AM484</f>
        <v>0</v>
      </c>
      <c r="AV484" s="34">
        <f>AM484-AP484</f>
        <v>0</v>
      </c>
      <c r="AW484" s="18">
        <f>AP484-AT484</f>
        <v>34533332</v>
      </c>
      <c r="AX484" s="123">
        <f>AP484/AJ484</f>
        <v>1</v>
      </c>
    </row>
    <row r="485" spans="1:50" ht="18.75" customHeight="1" x14ac:dyDescent="0.2">
      <c r="AA485" s="28" t="s">
        <v>288</v>
      </c>
      <c r="AB485" s="29" t="s">
        <v>400</v>
      </c>
      <c r="AC485" s="17"/>
      <c r="AD485" s="18"/>
      <c r="AE485" s="34"/>
      <c r="AF485" s="34"/>
      <c r="AG485" s="34"/>
      <c r="AH485" s="34"/>
      <c r="AI485" s="34"/>
      <c r="AJ485" s="18"/>
      <c r="AK485" s="34"/>
      <c r="AL485" s="18"/>
      <c r="AM485" s="18"/>
      <c r="AN485" s="34"/>
      <c r="AO485" s="18"/>
      <c r="AP485" s="18"/>
      <c r="AQ485" s="34"/>
      <c r="AR485" s="34"/>
      <c r="AS485" s="34"/>
      <c r="AT485" s="40"/>
      <c r="AU485" s="18"/>
      <c r="AV485" s="18"/>
      <c r="AW485" s="18"/>
      <c r="AX485" s="18"/>
    </row>
    <row r="486" spans="1:50" ht="18.75" customHeight="1" x14ac:dyDescent="0.2">
      <c r="A486" s="4" t="s">
        <v>55</v>
      </c>
      <c r="B486" s="4" t="s">
        <v>56</v>
      </c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1" t="s">
        <v>425</v>
      </c>
      <c r="AB486" s="42" t="s">
        <v>233</v>
      </c>
      <c r="AC486" s="43" t="s">
        <v>58</v>
      </c>
      <c r="AD486" s="43">
        <v>318078211</v>
      </c>
      <c r="AE486" s="44">
        <v>0</v>
      </c>
      <c r="AF486" s="44">
        <v>0</v>
      </c>
      <c r="AG486" s="44">
        <v>0</v>
      </c>
      <c r="AH486" s="43">
        <v>68793982.700000003</v>
      </c>
      <c r="AI486" s="18">
        <f>AE486-AF486+AG486-AH486</f>
        <v>-68793982.700000003</v>
      </c>
      <c r="AJ486" s="18">
        <f>AD486+AI486</f>
        <v>249284228.30000001</v>
      </c>
      <c r="AK486" s="44">
        <v>0</v>
      </c>
      <c r="AL486" s="44">
        <v>0</v>
      </c>
      <c r="AM486" s="43">
        <v>217200000</v>
      </c>
      <c r="AN486" s="44">
        <v>0</v>
      </c>
      <c r="AO486" s="44">
        <v>0</v>
      </c>
      <c r="AP486" s="43">
        <v>217200000</v>
      </c>
      <c r="AQ486" s="44">
        <v>0</v>
      </c>
      <c r="AR486" s="114">
        <v>27150000</v>
      </c>
      <c r="AS486" s="114">
        <v>138856667</v>
      </c>
      <c r="AT486" s="39">
        <f t="shared" si="210"/>
        <v>138856667</v>
      </c>
      <c r="AU486" s="18">
        <f>AJ486-AM486</f>
        <v>32084228.300000012</v>
      </c>
      <c r="AV486" s="34">
        <f>AM486-AP486</f>
        <v>0</v>
      </c>
      <c r="AW486" s="18">
        <f>AP486-AT486</f>
        <v>78343333</v>
      </c>
      <c r="AX486" s="123">
        <f>AP486/AJ486</f>
        <v>0.8712945920453965</v>
      </c>
    </row>
    <row r="487" spans="1:50" ht="18.75" customHeight="1" x14ac:dyDescent="0.2">
      <c r="A487" s="4" t="s">
        <v>55</v>
      </c>
      <c r="B487" s="4" t="s">
        <v>56</v>
      </c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1" t="s">
        <v>426</v>
      </c>
      <c r="AB487" s="42" t="s">
        <v>427</v>
      </c>
      <c r="AC487" s="43" t="s">
        <v>428</v>
      </c>
      <c r="AD487" s="43">
        <v>12674978.119999999</v>
      </c>
      <c r="AE487" s="44">
        <v>0</v>
      </c>
      <c r="AF487" s="44">
        <v>0</v>
      </c>
      <c r="AG487" s="44">
        <v>0</v>
      </c>
      <c r="AH487" s="44">
        <v>0</v>
      </c>
      <c r="AI487" s="44">
        <v>0</v>
      </c>
      <c r="AJ487" s="43">
        <v>12674978.119999999</v>
      </c>
      <c r="AK487" s="44">
        <v>0</v>
      </c>
      <c r="AL487" s="44">
        <v>0</v>
      </c>
      <c r="AM487" s="44">
        <v>0</v>
      </c>
      <c r="AN487" s="44">
        <v>0</v>
      </c>
      <c r="AO487" s="44">
        <v>0</v>
      </c>
      <c r="AP487" s="44">
        <v>0</v>
      </c>
      <c r="AQ487" s="44">
        <v>0</v>
      </c>
      <c r="AR487" s="44">
        <v>0</v>
      </c>
      <c r="AS487" s="44">
        <v>0</v>
      </c>
      <c r="AT487" s="40">
        <f t="shared" si="210"/>
        <v>0</v>
      </c>
      <c r="AU487" s="18">
        <f>AJ487-AM487</f>
        <v>12674978.119999999</v>
      </c>
      <c r="AV487" s="34">
        <f>AM487-AP487</f>
        <v>0</v>
      </c>
      <c r="AW487" s="34">
        <f>AP487-AT487</f>
        <v>0</v>
      </c>
      <c r="AX487" s="123">
        <f>AP487/AJ487</f>
        <v>0</v>
      </c>
    </row>
    <row r="488" spans="1:50" ht="18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1"/>
      <c r="AB488" s="42"/>
      <c r="AC488" s="168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0"/>
      <c r="AU488" s="18"/>
      <c r="AV488" s="34"/>
      <c r="AW488" s="34"/>
      <c r="AX488" s="123"/>
    </row>
    <row r="489" spans="1:50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170" t="s">
        <v>1016</v>
      </c>
      <c r="AB489" s="170" t="s">
        <v>997</v>
      </c>
      <c r="AC489" s="168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0"/>
      <c r="AU489" s="18"/>
      <c r="AV489" s="34"/>
      <c r="AW489" s="34"/>
      <c r="AX489" s="123"/>
    </row>
    <row r="490" spans="1:50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170" t="s">
        <v>1017</v>
      </c>
      <c r="AB490" s="170" t="s">
        <v>999</v>
      </c>
      <c r="AC490" s="168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0"/>
      <c r="AU490" s="18"/>
      <c r="AV490" s="34"/>
      <c r="AW490" s="34"/>
      <c r="AX490" s="123"/>
    </row>
    <row r="491" spans="1:50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170" t="s">
        <v>1018</v>
      </c>
      <c r="AB491" s="170" t="s">
        <v>1001</v>
      </c>
      <c r="AC491" s="168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0"/>
      <c r="AU491" s="18"/>
      <c r="AV491" s="34"/>
      <c r="AW491" s="34"/>
      <c r="AX491" s="123"/>
    </row>
    <row r="492" spans="1:50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170" t="s">
        <v>1021</v>
      </c>
      <c r="AB492" s="165" t="s">
        <v>1003</v>
      </c>
      <c r="AC492" s="168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0"/>
      <c r="AU492" s="18"/>
      <c r="AV492" s="34"/>
      <c r="AW492" s="34"/>
      <c r="AX492" s="123"/>
    </row>
    <row r="493" spans="1:50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166" t="s">
        <v>1019</v>
      </c>
      <c r="AB493" s="167" t="s">
        <v>1005</v>
      </c>
      <c r="AC493" s="168"/>
      <c r="AD493" s="44">
        <v>0</v>
      </c>
      <c r="AE493" s="43">
        <v>289968755.39999998</v>
      </c>
      <c r="AF493" s="44">
        <v>0</v>
      </c>
      <c r="AG493" s="44">
        <v>0</v>
      </c>
      <c r="AH493" s="44">
        <v>0</v>
      </c>
      <c r="AI493" s="18">
        <f t="shared" ref="AI493:AI494" si="219">AE493-AF493+AG493-AH493</f>
        <v>289968755.39999998</v>
      </c>
      <c r="AJ493" s="18">
        <f t="shared" ref="AJ493:AJ494" si="220">AD493+AI493</f>
        <v>289968755.39999998</v>
      </c>
      <c r="AK493" s="44">
        <v>0</v>
      </c>
      <c r="AL493" s="43">
        <v>0</v>
      </c>
      <c r="AM493" s="43">
        <v>97697299.079999998</v>
      </c>
      <c r="AN493" s="44">
        <v>0</v>
      </c>
      <c r="AO493" s="44">
        <v>0</v>
      </c>
      <c r="AP493" s="44">
        <v>97697299.079999998</v>
      </c>
      <c r="AQ493" s="44">
        <v>0</v>
      </c>
      <c r="AR493" s="44">
        <v>0</v>
      </c>
      <c r="AS493" s="43">
        <v>2031817</v>
      </c>
      <c r="AT493" s="39">
        <f t="shared" ref="AT493:AT494" si="221">AQ493+AS493</f>
        <v>2031817</v>
      </c>
      <c r="AU493" s="18">
        <f>AJ493-AM493</f>
        <v>192271456.31999999</v>
      </c>
      <c r="AV493" s="34">
        <f>AM493-AP493</f>
        <v>0</v>
      </c>
      <c r="AW493" s="18">
        <f>AP493-AT493</f>
        <v>95665482.079999998</v>
      </c>
      <c r="AX493" s="123">
        <f>AP493/AJ493</f>
        <v>0.33692353834891831</v>
      </c>
    </row>
    <row r="494" spans="1:50" ht="25.5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166" t="s">
        <v>1022</v>
      </c>
      <c r="AB494" s="167" t="s">
        <v>1023</v>
      </c>
      <c r="AC494" s="168"/>
      <c r="AD494" s="44">
        <v>0</v>
      </c>
      <c r="AE494" s="43">
        <v>185022377.55000001</v>
      </c>
      <c r="AF494" s="44">
        <v>0</v>
      </c>
      <c r="AG494" s="44">
        <v>0</v>
      </c>
      <c r="AH494" s="44">
        <v>0</v>
      </c>
      <c r="AI494" s="18">
        <f t="shared" si="219"/>
        <v>185022377.55000001</v>
      </c>
      <c r="AJ494" s="18">
        <f t="shared" si="220"/>
        <v>185022377.55000001</v>
      </c>
      <c r="AK494" s="43">
        <v>0</v>
      </c>
      <c r="AL494" s="43">
        <v>0</v>
      </c>
      <c r="AM494" s="43">
        <v>185022377.55000001</v>
      </c>
      <c r="AN494" s="43">
        <v>0</v>
      </c>
      <c r="AO494" s="43">
        <v>0</v>
      </c>
      <c r="AP494" s="43">
        <v>185022377.55000001</v>
      </c>
      <c r="AQ494" s="43">
        <v>0</v>
      </c>
      <c r="AR494" s="43">
        <v>0</v>
      </c>
      <c r="AS494" s="43">
        <v>185022377.55000001</v>
      </c>
      <c r="AT494" s="39">
        <f t="shared" si="221"/>
        <v>185022377.55000001</v>
      </c>
      <c r="AU494" s="18">
        <f>AJ494-AM494</f>
        <v>0</v>
      </c>
      <c r="AV494" s="34">
        <f>AM494-AP494</f>
        <v>0</v>
      </c>
      <c r="AW494" s="34">
        <f>AP494-AT494</f>
        <v>0</v>
      </c>
      <c r="AX494" s="123">
        <f>AP494/AJ494</f>
        <v>1</v>
      </c>
    </row>
    <row r="495" spans="1:50" ht="18.75" customHeight="1" x14ac:dyDescent="0.2">
      <c r="AA495" s="16"/>
      <c r="AB495" s="17"/>
      <c r="AC495" s="17"/>
      <c r="AD495" s="18"/>
      <c r="AE495" s="34"/>
      <c r="AF495" s="34"/>
      <c r="AG495" s="34"/>
      <c r="AH495" s="34"/>
      <c r="AI495" s="34"/>
      <c r="AJ495" s="18"/>
      <c r="AK495" s="34"/>
      <c r="AL495" s="18"/>
      <c r="AM495" s="18"/>
      <c r="AN495" s="18"/>
      <c r="AO495" s="18"/>
      <c r="AP495" s="18"/>
      <c r="AQ495" s="18"/>
      <c r="AR495" s="18"/>
      <c r="AS495" s="18"/>
      <c r="AT495" s="40"/>
      <c r="AU495" s="18"/>
      <c r="AV495" s="18"/>
      <c r="AW495" s="18"/>
      <c r="AX495" s="18"/>
    </row>
    <row r="496" spans="1:50" ht="18.75" customHeight="1" x14ac:dyDescent="0.2">
      <c r="AA496" s="16"/>
      <c r="AB496" s="29" t="s">
        <v>429</v>
      </c>
      <c r="AC496" s="17"/>
      <c r="AD496" s="18"/>
      <c r="AE496" s="34"/>
      <c r="AF496" s="34"/>
      <c r="AG496" s="34"/>
      <c r="AH496" s="34"/>
      <c r="AI496" s="34"/>
      <c r="AJ496" s="18"/>
      <c r="AK496" s="34"/>
      <c r="AL496" s="18"/>
      <c r="AM496" s="18"/>
      <c r="AN496" s="18"/>
      <c r="AO496" s="18"/>
      <c r="AP496" s="18"/>
      <c r="AQ496" s="18"/>
      <c r="AR496" s="18"/>
      <c r="AS496" s="18"/>
      <c r="AT496" s="40"/>
      <c r="AU496" s="18"/>
      <c r="AV496" s="18"/>
      <c r="AW496" s="18"/>
      <c r="AX496" s="18"/>
    </row>
    <row r="497" spans="1:50" ht="18.75" customHeight="1" x14ac:dyDescent="0.2">
      <c r="AA497" s="16"/>
      <c r="AB497" s="29" t="s">
        <v>286</v>
      </c>
      <c r="AC497" s="17"/>
      <c r="AD497" s="18"/>
      <c r="AE497" s="34"/>
      <c r="AF497" s="34"/>
      <c r="AG497" s="34"/>
      <c r="AH497" s="34"/>
      <c r="AI497" s="34"/>
      <c r="AJ497" s="18"/>
      <c r="AK497" s="34"/>
      <c r="AL497" s="18"/>
      <c r="AM497" s="18"/>
      <c r="AN497" s="18"/>
      <c r="AO497" s="18"/>
      <c r="AP497" s="18"/>
      <c r="AQ497" s="18"/>
      <c r="AR497" s="18"/>
      <c r="AS497" s="18"/>
      <c r="AT497" s="40"/>
      <c r="AU497" s="18"/>
      <c r="AV497" s="18"/>
      <c r="AW497" s="18"/>
      <c r="AX497" s="18"/>
    </row>
    <row r="498" spans="1:50" ht="18.75" customHeight="1" x14ac:dyDescent="0.2">
      <c r="AA498" s="16"/>
      <c r="AB498" s="29" t="s">
        <v>179</v>
      </c>
      <c r="AC498" s="17"/>
      <c r="AD498" s="18"/>
      <c r="AE498" s="34"/>
      <c r="AF498" s="34"/>
      <c r="AG498" s="34"/>
      <c r="AH498" s="34"/>
      <c r="AI498" s="34"/>
      <c r="AJ498" s="18"/>
      <c r="AK498" s="34"/>
      <c r="AL498" s="18"/>
      <c r="AM498" s="18"/>
      <c r="AN498" s="18"/>
      <c r="AO498" s="18"/>
      <c r="AP498" s="18"/>
      <c r="AQ498" s="18"/>
      <c r="AR498" s="18"/>
      <c r="AS498" s="18"/>
      <c r="AT498" s="40"/>
      <c r="AU498" s="18"/>
      <c r="AV498" s="18"/>
      <c r="AW498" s="18"/>
      <c r="AX498" s="18"/>
    </row>
    <row r="499" spans="1:50" ht="18.75" customHeight="1" x14ac:dyDescent="0.2">
      <c r="AA499" s="16"/>
      <c r="AB499" s="29" t="s">
        <v>189</v>
      </c>
      <c r="AC499" s="17"/>
      <c r="AD499" s="18"/>
      <c r="AE499" s="34"/>
      <c r="AF499" s="34"/>
      <c r="AG499" s="34"/>
      <c r="AH499" s="34"/>
      <c r="AI499" s="34"/>
      <c r="AJ499" s="18"/>
      <c r="AK499" s="34"/>
      <c r="AL499" s="18"/>
      <c r="AM499" s="18"/>
      <c r="AN499" s="18"/>
      <c r="AO499" s="18"/>
      <c r="AP499" s="18"/>
      <c r="AQ499" s="18"/>
      <c r="AR499" s="18"/>
      <c r="AS499" s="18"/>
      <c r="AT499" s="40"/>
      <c r="AU499" s="18"/>
      <c r="AV499" s="18"/>
      <c r="AW499" s="18"/>
      <c r="AX499" s="18"/>
    </row>
    <row r="500" spans="1:50" ht="18.75" customHeight="1" x14ac:dyDescent="0.2">
      <c r="AA500" s="16"/>
      <c r="AB500" s="29" t="s">
        <v>199</v>
      </c>
      <c r="AC500" s="17"/>
      <c r="AD500" s="18"/>
      <c r="AE500" s="34"/>
      <c r="AF500" s="34"/>
      <c r="AG500" s="34"/>
      <c r="AH500" s="34"/>
      <c r="AI500" s="34"/>
      <c r="AJ500" s="18"/>
      <c r="AK500" s="34"/>
      <c r="AL500" s="18"/>
      <c r="AM500" s="18"/>
      <c r="AN500" s="18"/>
      <c r="AO500" s="18"/>
      <c r="AP500" s="18"/>
      <c r="AQ500" s="18"/>
      <c r="AR500" s="18"/>
      <c r="AS500" s="18"/>
      <c r="AT500" s="40"/>
      <c r="AU500" s="18"/>
      <c r="AV500" s="18"/>
      <c r="AW500" s="18"/>
      <c r="AX500" s="18"/>
    </row>
    <row r="501" spans="1:50" ht="25.5" x14ac:dyDescent="0.2">
      <c r="AA501" s="28" t="s">
        <v>288</v>
      </c>
      <c r="AB501" s="29" t="s">
        <v>418</v>
      </c>
      <c r="AC501" s="17"/>
      <c r="AD501" s="18"/>
      <c r="AE501" s="34"/>
      <c r="AF501" s="34"/>
      <c r="AG501" s="34"/>
      <c r="AH501" s="34"/>
      <c r="AI501" s="34"/>
      <c r="AJ501" s="18"/>
      <c r="AK501" s="34"/>
      <c r="AL501" s="18"/>
      <c r="AM501" s="18"/>
      <c r="AN501" s="18"/>
      <c r="AO501" s="18"/>
      <c r="AP501" s="18"/>
      <c r="AQ501" s="18"/>
      <c r="AR501" s="18"/>
      <c r="AS501" s="18"/>
      <c r="AT501" s="40"/>
      <c r="AU501" s="18"/>
      <c r="AV501" s="18"/>
      <c r="AW501" s="18"/>
      <c r="AX501" s="18"/>
    </row>
    <row r="502" spans="1:50" ht="18.75" customHeight="1" x14ac:dyDescent="0.2">
      <c r="A502" s="4" t="s">
        <v>55</v>
      </c>
      <c r="B502" s="4" t="s">
        <v>56</v>
      </c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1" t="s">
        <v>419</v>
      </c>
      <c r="AB502" s="42" t="s">
        <v>233</v>
      </c>
      <c r="AC502" s="43" t="s">
        <v>58</v>
      </c>
      <c r="AD502" s="43">
        <v>2364833525</v>
      </c>
      <c r="AE502" s="44">
        <v>0</v>
      </c>
      <c r="AF502" s="44">
        <v>0</v>
      </c>
      <c r="AG502" s="44">
        <v>0</v>
      </c>
      <c r="AH502" s="18">
        <v>1500000000</v>
      </c>
      <c r="AI502" s="18">
        <f>AE502-AF502+AG502-AH502</f>
        <v>-1500000000</v>
      </c>
      <c r="AJ502" s="18">
        <f>AD502+AI502</f>
        <v>864833525</v>
      </c>
      <c r="AK502" s="44">
        <v>0</v>
      </c>
      <c r="AL502" s="43">
        <v>66719955</v>
      </c>
      <c r="AM502" s="43">
        <v>864833525</v>
      </c>
      <c r="AN502" s="44">
        <v>0</v>
      </c>
      <c r="AO502" s="44">
        <v>0</v>
      </c>
      <c r="AP502" s="43">
        <v>798113570</v>
      </c>
      <c r="AQ502" s="44">
        <v>0</v>
      </c>
      <c r="AR502" s="43">
        <v>0</v>
      </c>
      <c r="AS502" s="43">
        <v>293958556</v>
      </c>
      <c r="AT502" s="39">
        <f t="shared" ref="AT502:AT505" si="222">AQ502+AS502</f>
        <v>293958556</v>
      </c>
      <c r="AU502" s="34">
        <f>AJ502-AM502</f>
        <v>0</v>
      </c>
      <c r="AV502" s="18">
        <f>AM502-AP502</f>
        <v>66719955</v>
      </c>
      <c r="AW502" s="18">
        <f>AP502-AT502</f>
        <v>504155014</v>
      </c>
      <c r="AX502" s="123">
        <f>AP502/AJ502</f>
        <v>0.92285225645016478</v>
      </c>
    </row>
    <row r="503" spans="1:50" ht="18.75" customHeight="1" x14ac:dyDescent="0.2">
      <c r="A503" s="4" t="s">
        <v>55</v>
      </c>
      <c r="B503" s="4" t="s">
        <v>56</v>
      </c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1" t="s">
        <v>430</v>
      </c>
      <c r="AB503" s="42" t="s">
        <v>431</v>
      </c>
      <c r="AC503" s="43" t="s">
        <v>432</v>
      </c>
      <c r="AD503" s="43">
        <v>1269842288</v>
      </c>
      <c r="AE503" s="44">
        <v>0</v>
      </c>
      <c r="AF503" s="44">
        <v>0</v>
      </c>
      <c r="AG503" s="44">
        <v>0</v>
      </c>
      <c r="AH503" s="44">
        <v>0</v>
      </c>
      <c r="AI503" s="44">
        <v>0</v>
      </c>
      <c r="AJ503" s="43">
        <v>1269842288</v>
      </c>
      <c r="AK503" s="44">
        <v>0</v>
      </c>
      <c r="AL503" s="43">
        <v>3800000</v>
      </c>
      <c r="AM503" s="43">
        <v>1269842288</v>
      </c>
      <c r="AN503" s="44">
        <v>0</v>
      </c>
      <c r="AO503" s="43">
        <v>0</v>
      </c>
      <c r="AP503" s="43">
        <v>1266042288</v>
      </c>
      <c r="AQ503" s="43">
        <v>0</v>
      </c>
      <c r="AR503" s="43">
        <v>269178820</v>
      </c>
      <c r="AS503" s="43">
        <v>487955016</v>
      </c>
      <c r="AT503" s="39">
        <f t="shared" si="222"/>
        <v>487955016</v>
      </c>
      <c r="AU503" s="34">
        <f>AJ503-AM503</f>
        <v>0</v>
      </c>
      <c r="AV503" s="18">
        <f>AM503-AP503</f>
        <v>3800000</v>
      </c>
      <c r="AW503" s="18">
        <f>AP503-AT503</f>
        <v>778087272</v>
      </c>
      <c r="AX503" s="123">
        <f>AP503/AJ503</f>
        <v>0.99700750239938463</v>
      </c>
    </row>
    <row r="504" spans="1:50" ht="18.75" customHeight="1" x14ac:dyDescent="0.2">
      <c r="A504" s="4" t="s">
        <v>55</v>
      </c>
      <c r="B504" s="4" t="s">
        <v>56</v>
      </c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1" t="s">
        <v>433</v>
      </c>
      <c r="AB504" s="42" t="s">
        <v>434</v>
      </c>
      <c r="AC504" s="43" t="s">
        <v>428</v>
      </c>
      <c r="AD504" s="43">
        <v>1185147617</v>
      </c>
      <c r="AE504" s="44">
        <v>0</v>
      </c>
      <c r="AF504" s="44">
        <v>0</v>
      </c>
      <c r="AG504" s="44">
        <v>0</v>
      </c>
      <c r="AH504" s="44">
        <v>0</v>
      </c>
      <c r="AI504" s="44">
        <v>0</v>
      </c>
      <c r="AJ504" s="43">
        <v>1185147617</v>
      </c>
      <c r="AK504" s="44">
        <v>0</v>
      </c>
      <c r="AL504" s="43">
        <v>440766483</v>
      </c>
      <c r="AM504" s="43">
        <v>799588657</v>
      </c>
      <c r="AN504" s="44">
        <v>0</v>
      </c>
      <c r="AO504" s="44">
        <v>29456000</v>
      </c>
      <c r="AP504" s="43">
        <v>388278174</v>
      </c>
      <c r="AQ504" s="44">
        <v>0</v>
      </c>
      <c r="AR504" s="44">
        <v>0</v>
      </c>
      <c r="AS504" s="44">
        <v>143528869</v>
      </c>
      <c r="AT504" s="39">
        <f t="shared" si="222"/>
        <v>143528869</v>
      </c>
      <c r="AU504" s="18">
        <f>AJ504-AM504</f>
        <v>385558960</v>
      </c>
      <c r="AV504" s="18">
        <f>AM504-AP504</f>
        <v>411310483</v>
      </c>
      <c r="AW504" s="18">
        <f>AP504-AT504</f>
        <v>244749305</v>
      </c>
      <c r="AX504" s="123">
        <f>AP504/AJ504</f>
        <v>0.32762009426543864</v>
      </c>
    </row>
    <row r="505" spans="1:50" ht="18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166" t="s">
        <v>1024</v>
      </c>
      <c r="AB505" s="167" t="s">
        <v>1025</v>
      </c>
      <c r="AC505" s="168"/>
      <c r="AD505" s="44">
        <v>0</v>
      </c>
      <c r="AE505" s="43">
        <v>860456218.52999997</v>
      </c>
      <c r="AF505" s="44">
        <v>0</v>
      </c>
      <c r="AG505" s="44">
        <v>0</v>
      </c>
      <c r="AH505" s="44">
        <v>0</v>
      </c>
      <c r="AI505" s="18">
        <f>AE505-AF505+AG505-AH505</f>
        <v>860456218.52999997</v>
      </c>
      <c r="AJ505" s="18">
        <f>AD505+AI505</f>
        <v>860456218.52999997</v>
      </c>
      <c r="AK505" s="44">
        <v>0</v>
      </c>
      <c r="AL505" s="43">
        <v>374888075</v>
      </c>
      <c r="AM505" s="43">
        <v>374888075</v>
      </c>
      <c r="AN505" s="44">
        <v>0</v>
      </c>
      <c r="AO505" s="44">
        <v>0</v>
      </c>
      <c r="AP505" s="43">
        <v>0</v>
      </c>
      <c r="AQ505" s="44">
        <v>0</v>
      </c>
      <c r="AR505" s="44">
        <v>0</v>
      </c>
      <c r="AS505" s="44">
        <v>0</v>
      </c>
      <c r="AT505" s="39">
        <f t="shared" si="222"/>
        <v>0</v>
      </c>
      <c r="AU505" s="18">
        <f>AJ505-AM505</f>
        <v>485568143.52999997</v>
      </c>
      <c r="AV505" s="18">
        <f>AM505-AP505</f>
        <v>374888075</v>
      </c>
      <c r="AW505" s="18">
        <f>AP505-AT505</f>
        <v>0</v>
      </c>
      <c r="AX505" s="123">
        <f>AP505/AJ505</f>
        <v>0</v>
      </c>
    </row>
    <row r="506" spans="1:50" ht="25.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208" t="s">
        <v>288</v>
      </c>
      <c r="AB506" s="209" t="s">
        <v>959</v>
      </c>
      <c r="AC506" s="43"/>
      <c r="AD506" s="43"/>
      <c r="AE506" s="44"/>
      <c r="AF506" s="44"/>
      <c r="AG506" s="44"/>
      <c r="AH506" s="44"/>
      <c r="AI506" s="44"/>
      <c r="AJ506" s="43"/>
      <c r="AK506" s="44"/>
      <c r="AL506" s="44"/>
      <c r="AM506" s="44"/>
      <c r="AN506" s="44"/>
      <c r="AO506" s="44"/>
      <c r="AP506" s="44"/>
      <c r="AQ506" s="44"/>
      <c r="AR506" s="44"/>
      <c r="AS506" s="44"/>
      <c r="AT506" s="40"/>
      <c r="AU506" s="18"/>
      <c r="AV506" s="34"/>
      <c r="AW506" s="34"/>
      <c r="AX506" s="123"/>
    </row>
    <row r="507" spans="1:50" ht="18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160" t="s">
        <v>960</v>
      </c>
      <c r="AB507" s="42" t="s">
        <v>961</v>
      </c>
      <c r="AC507" s="43"/>
      <c r="AD507" s="44">
        <v>0</v>
      </c>
      <c r="AE507" s="44">
        <v>0</v>
      </c>
      <c r="AF507" s="44">
        <v>0</v>
      </c>
      <c r="AG507" s="43">
        <v>1500000000</v>
      </c>
      <c r="AH507" s="44">
        <v>0</v>
      </c>
      <c r="AI507" s="18">
        <f>AE507-AF507+AG507-AH507</f>
        <v>1500000000</v>
      </c>
      <c r="AJ507" s="18">
        <f>AD507+AI507</f>
        <v>1500000000</v>
      </c>
      <c r="AK507" s="44">
        <v>0</v>
      </c>
      <c r="AL507" s="44">
        <v>0</v>
      </c>
      <c r="AM507" s="44">
        <v>0</v>
      </c>
      <c r="AN507" s="44">
        <v>0</v>
      </c>
      <c r="AO507" s="44">
        <v>0</v>
      </c>
      <c r="AP507" s="44">
        <v>0</v>
      </c>
      <c r="AQ507" s="44">
        <v>0</v>
      </c>
      <c r="AR507" s="44">
        <v>0</v>
      </c>
      <c r="AS507" s="44">
        <v>0</v>
      </c>
      <c r="AT507" s="40">
        <f t="shared" ref="AT507" si="223">AQ507+AS507</f>
        <v>0</v>
      </c>
      <c r="AU507" s="18">
        <f>AJ507-AM507</f>
        <v>1500000000</v>
      </c>
      <c r="AV507" s="34">
        <f>AM507-AP507</f>
        <v>0</v>
      </c>
      <c r="AW507" s="34">
        <f>AP507-AT507</f>
        <v>0</v>
      </c>
      <c r="AX507" s="123">
        <f>AP507/AJ507</f>
        <v>0</v>
      </c>
    </row>
    <row r="508" spans="1:50" ht="18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160"/>
      <c r="AB508" s="42"/>
      <c r="AC508" s="43"/>
      <c r="AD508" s="44"/>
      <c r="AE508" s="44"/>
      <c r="AF508" s="44"/>
      <c r="AG508" s="43"/>
      <c r="AH508" s="44"/>
      <c r="AI508" s="18"/>
      <c r="AJ508" s="18"/>
      <c r="AK508" s="44"/>
      <c r="AL508" s="44"/>
      <c r="AM508" s="44"/>
      <c r="AN508" s="44"/>
      <c r="AO508" s="44"/>
      <c r="AP508" s="44"/>
      <c r="AQ508" s="44"/>
      <c r="AR508" s="44"/>
      <c r="AS508" s="44"/>
      <c r="AT508" s="40"/>
      <c r="AU508" s="18"/>
      <c r="AV508" s="34"/>
      <c r="AW508" s="34"/>
      <c r="AX508" s="123"/>
    </row>
    <row r="509" spans="1:50" ht="18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166"/>
      <c r="AB509" s="165" t="s">
        <v>1026</v>
      </c>
      <c r="AC509" s="168"/>
      <c r="AD509" s="44"/>
      <c r="AE509" s="44"/>
      <c r="AF509" s="44"/>
      <c r="AG509" s="43"/>
      <c r="AH509" s="44"/>
      <c r="AI509" s="18"/>
      <c r="AJ509" s="18"/>
      <c r="AK509" s="44"/>
      <c r="AL509" s="44"/>
      <c r="AM509" s="44"/>
      <c r="AN509" s="44"/>
      <c r="AO509" s="44"/>
      <c r="AP509" s="44"/>
      <c r="AQ509" s="44"/>
      <c r="AR509" s="44"/>
      <c r="AS509" s="44"/>
      <c r="AT509" s="40"/>
      <c r="AU509" s="18"/>
      <c r="AV509" s="34"/>
      <c r="AW509" s="34"/>
      <c r="AX509" s="123"/>
    </row>
    <row r="510" spans="1:50" ht="25.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166" t="s">
        <v>991</v>
      </c>
      <c r="AB510" s="167" t="s">
        <v>992</v>
      </c>
      <c r="AC510" s="168"/>
      <c r="AD510" s="44">
        <v>0</v>
      </c>
      <c r="AE510" s="43">
        <v>720712175</v>
      </c>
      <c r="AF510" s="44">
        <v>0</v>
      </c>
      <c r="AG510" s="44">
        <v>0</v>
      </c>
      <c r="AH510" s="44">
        <v>0</v>
      </c>
      <c r="AI510" s="18">
        <f>AE510-AF510+AG510-AH510</f>
        <v>720712175</v>
      </c>
      <c r="AJ510" s="18">
        <f>AD510+AI510</f>
        <v>720712175</v>
      </c>
      <c r="AK510" s="44">
        <v>0</v>
      </c>
      <c r="AL510" s="44">
        <v>0</v>
      </c>
      <c r="AM510" s="44">
        <v>0</v>
      </c>
      <c r="AN510" s="44">
        <v>0</v>
      </c>
      <c r="AO510" s="44">
        <v>0</v>
      </c>
      <c r="AP510" s="44">
        <v>0</v>
      </c>
      <c r="AQ510" s="44">
        <v>0</v>
      </c>
      <c r="AR510" s="44">
        <v>0</v>
      </c>
      <c r="AS510" s="44">
        <v>0</v>
      </c>
      <c r="AT510" s="40">
        <f t="shared" ref="AT510" si="224">AQ510+AS510</f>
        <v>0</v>
      </c>
      <c r="AU510" s="18">
        <f>AJ510-AM510</f>
        <v>720712175</v>
      </c>
      <c r="AV510" s="34">
        <f>AM510-AP510</f>
        <v>0</v>
      </c>
      <c r="AW510" s="34">
        <f>AP510-AT510</f>
        <v>0</v>
      </c>
      <c r="AX510" s="123">
        <f>AP510/AJ510</f>
        <v>0</v>
      </c>
    </row>
    <row r="511" spans="1:50" ht="18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210"/>
      <c r="AB511" s="207"/>
      <c r="AC511" s="43"/>
      <c r="AD511" s="44"/>
      <c r="AE511" s="44"/>
      <c r="AF511" s="44"/>
      <c r="AG511" s="43"/>
      <c r="AH511" s="44"/>
      <c r="AI511" s="18"/>
      <c r="AJ511" s="18"/>
      <c r="AK511" s="44"/>
      <c r="AL511" s="44"/>
      <c r="AM511" s="44"/>
      <c r="AN511" s="44"/>
      <c r="AO511" s="44"/>
      <c r="AP511" s="44"/>
      <c r="AQ511" s="44"/>
      <c r="AR511" s="44"/>
      <c r="AS511" s="44"/>
      <c r="AT511" s="40"/>
      <c r="AU511" s="18"/>
      <c r="AV511" s="34"/>
      <c r="AW511" s="18"/>
      <c r="AX511" s="123"/>
    </row>
    <row r="512" spans="1:50" ht="18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170" t="s">
        <v>1016</v>
      </c>
      <c r="AB512" s="170" t="s">
        <v>997</v>
      </c>
      <c r="AC512" s="168"/>
      <c r="AD512" s="44"/>
      <c r="AE512" s="44"/>
      <c r="AF512" s="44"/>
      <c r="AG512" s="43"/>
      <c r="AH512" s="44"/>
      <c r="AI512" s="18"/>
      <c r="AJ512" s="18"/>
      <c r="AK512" s="44"/>
      <c r="AL512" s="44"/>
      <c r="AM512" s="44"/>
      <c r="AN512" s="44"/>
      <c r="AO512" s="44"/>
      <c r="AP512" s="44"/>
      <c r="AQ512" s="44"/>
      <c r="AR512" s="44"/>
      <c r="AS512" s="44"/>
      <c r="AT512" s="40"/>
      <c r="AU512" s="18"/>
      <c r="AV512" s="34"/>
      <c r="AW512" s="18"/>
      <c r="AX512" s="123"/>
    </row>
    <row r="513" spans="1:50" ht="18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170" t="s">
        <v>1017</v>
      </c>
      <c r="AB513" s="170" t="s">
        <v>999</v>
      </c>
      <c r="AC513" s="168"/>
      <c r="AD513" s="44"/>
      <c r="AE513" s="44"/>
      <c r="AF513" s="44"/>
      <c r="AG513" s="43"/>
      <c r="AH513" s="44"/>
      <c r="AI513" s="18"/>
      <c r="AJ513" s="18"/>
      <c r="AK513" s="44"/>
      <c r="AL513" s="44"/>
      <c r="AM513" s="44"/>
      <c r="AN513" s="44"/>
      <c r="AO513" s="44"/>
      <c r="AP513" s="44"/>
      <c r="AQ513" s="44"/>
      <c r="AR513" s="44"/>
      <c r="AS513" s="44"/>
      <c r="AT513" s="40"/>
      <c r="AU513" s="18"/>
      <c r="AV513" s="34"/>
      <c r="AW513" s="18"/>
      <c r="AX513" s="123"/>
    </row>
    <row r="514" spans="1:50" ht="18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170" t="s">
        <v>1018</v>
      </c>
      <c r="AB514" s="170" t="s">
        <v>1001</v>
      </c>
      <c r="AC514" s="168"/>
      <c r="AD514" s="44"/>
      <c r="AE514" s="44"/>
      <c r="AF514" s="44"/>
      <c r="AG514" s="43"/>
      <c r="AH514" s="44"/>
      <c r="AI514" s="18"/>
      <c r="AJ514" s="18"/>
      <c r="AK514" s="44"/>
      <c r="AL514" s="44"/>
      <c r="AM514" s="44"/>
      <c r="AN514" s="44"/>
      <c r="AO514" s="44"/>
      <c r="AP514" s="44"/>
      <c r="AQ514" s="44"/>
      <c r="AR514" s="44"/>
      <c r="AS514" s="44"/>
      <c r="AT514" s="40"/>
      <c r="AU514" s="18"/>
      <c r="AV514" s="34"/>
      <c r="AW514" s="18"/>
      <c r="AX514" s="123"/>
    </row>
    <row r="515" spans="1:50" ht="18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170" t="s">
        <v>1021</v>
      </c>
      <c r="AB515" s="165" t="s">
        <v>1003</v>
      </c>
      <c r="AC515" s="168"/>
      <c r="AD515" s="44"/>
      <c r="AE515" s="44"/>
      <c r="AF515" s="44"/>
      <c r="AG515" s="43"/>
      <c r="AH515" s="44"/>
      <c r="AI515" s="18"/>
      <c r="AJ515" s="18"/>
      <c r="AK515" s="44"/>
      <c r="AL515" s="44"/>
      <c r="AM515" s="44"/>
      <c r="AN515" s="44"/>
      <c r="AO515" s="44"/>
      <c r="AP515" s="44"/>
      <c r="AQ515" s="44"/>
      <c r="AR515" s="44"/>
      <c r="AS515" s="44"/>
      <c r="AT515" s="40"/>
      <c r="AU515" s="18"/>
      <c r="AV515" s="34"/>
      <c r="AW515" s="18"/>
      <c r="AX515" s="123"/>
    </row>
    <row r="516" spans="1:50" ht="18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166" t="s">
        <v>1027</v>
      </c>
      <c r="AB516" s="167" t="s">
        <v>1028</v>
      </c>
      <c r="AC516" s="168"/>
      <c r="AD516" s="44">
        <v>0</v>
      </c>
      <c r="AE516" s="43">
        <v>20398035</v>
      </c>
      <c r="AF516" s="44">
        <v>0</v>
      </c>
      <c r="AG516" s="44">
        <v>0</v>
      </c>
      <c r="AH516" s="44">
        <v>0</v>
      </c>
      <c r="AI516" s="18">
        <f>AE516-AF516+AG516-AH516</f>
        <v>20398035</v>
      </c>
      <c r="AJ516" s="18">
        <f>AD516+AI516</f>
        <v>20398035</v>
      </c>
      <c r="AK516" s="44">
        <v>0</v>
      </c>
      <c r="AL516" s="44">
        <v>0</v>
      </c>
      <c r="AM516" s="43">
        <v>20398035</v>
      </c>
      <c r="AN516" s="44">
        <v>0</v>
      </c>
      <c r="AO516" s="43">
        <v>0</v>
      </c>
      <c r="AP516" s="43">
        <v>20398035</v>
      </c>
      <c r="AQ516" s="44">
        <v>0</v>
      </c>
      <c r="AR516" s="43">
        <v>20398035</v>
      </c>
      <c r="AS516" s="43">
        <v>20398035</v>
      </c>
      <c r="AT516" s="39">
        <f t="shared" ref="AT516" si="225">AQ516+AS516</f>
        <v>20398035</v>
      </c>
      <c r="AU516" s="34">
        <f>AJ516-AM516</f>
        <v>0</v>
      </c>
      <c r="AV516" s="34">
        <f>AM516-AP516</f>
        <v>0</v>
      </c>
      <c r="AW516" s="34">
        <f>AP516-AT516</f>
        <v>0</v>
      </c>
      <c r="AX516" s="123">
        <f>AP516/AJ516</f>
        <v>1</v>
      </c>
    </row>
    <row r="517" spans="1:50" s="50" customFormat="1" ht="18.75" customHeight="1" x14ac:dyDescent="0.2">
      <c r="A517" s="45"/>
      <c r="B517" s="45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6"/>
      <c r="AB517" s="47" t="s">
        <v>435</v>
      </c>
      <c r="AC517" s="48"/>
      <c r="AD517" s="48">
        <f t="shared" ref="AD517:AW517" si="226">SUM(AD251:AD516)</f>
        <v>301961738926</v>
      </c>
      <c r="AE517" s="48">
        <f t="shared" si="226"/>
        <v>15415987525.18</v>
      </c>
      <c r="AF517" s="49">
        <f t="shared" si="226"/>
        <v>0</v>
      </c>
      <c r="AG517" s="48">
        <f>SUM(AG251:AG516)</f>
        <v>6878675021.6499996</v>
      </c>
      <c r="AH517" s="48">
        <f t="shared" si="226"/>
        <v>4878675021.6499996</v>
      </c>
      <c r="AI517" s="48">
        <f t="shared" si="226"/>
        <v>17415987525.179996</v>
      </c>
      <c r="AJ517" s="48">
        <f t="shared" si="226"/>
        <v>319377726451.18005</v>
      </c>
      <c r="AK517" s="49">
        <f t="shared" si="226"/>
        <v>0</v>
      </c>
      <c r="AL517" s="48">
        <f t="shared" si="226"/>
        <v>17963667484.060001</v>
      </c>
      <c r="AM517" s="48">
        <f t="shared" si="226"/>
        <v>179997814399.81998</v>
      </c>
      <c r="AN517" s="48">
        <f t="shared" si="226"/>
        <v>17400000</v>
      </c>
      <c r="AO517" s="48">
        <f t="shared" si="226"/>
        <v>16413358145</v>
      </c>
      <c r="AP517" s="48">
        <f t="shared" si="226"/>
        <v>177308197530.85999</v>
      </c>
      <c r="AQ517" s="48">
        <f t="shared" si="226"/>
        <v>183060487.16</v>
      </c>
      <c r="AR517" s="48">
        <f t="shared" si="226"/>
        <v>20545680840.09</v>
      </c>
      <c r="AS517" s="48">
        <f t="shared" si="226"/>
        <v>125459445067.04999</v>
      </c>
      <c r="AT517" s="48">
        <f t="shared" si="226"/>
        <v>125642505554.20999</v>
      </c>
      <c r="AU517" s="48">
        <f t="shared" si="226"/>
        <v>139379912051.35999</v>
      </c>
      <c r="AV517" s="48">
        <f t="shared" si="226"/>
        <v>2689616868.96</v>
      </c>
      <c r="AW517" s="48">
        <f t="shared" si="226"/>
        <v>51665691976.650002</v>
      </c>
      <c r="AX517" s="24">
        <f>AP517/AJ517</f>
        <v>0.55516769907861196</v>
      </c>
    </row>
    <row r="518" spans="1:50" ht="18.75" customHeight="1" x14ac:dyDescent="0.2">
      <c r="AA518" s="16"/>
      <c r="AB518" s="17"/>
      <c r="AC518" s="17"/>
      <c r="AD518" s="18"/>
      <c r="AE518" s="34"/>
      <c r="AF518" s="34"/>
      <c r="AG518" s="34"/>
      <c r="AH518" s="34"/>
      <c r="AI518" s="34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</row>
    <row r="519" spans="1:50" s="25" customFormat="1" ht="18.75" customHeight="1" x14ac:dyDescent="0.2"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66"/>
      <c r="AB519" s="21" t="s">
        <v>436</v>
      </c>
      <c r="AC519" s="67"/>
      <c r="AD519" s="63"/>
      <c r="AE519" s="72"/>
      <c r="AF519" s="72"/>
      <c r="AG519" s="72"/>
      <c r="AH519" s="72"/>
      <c r="AI519" s="72"/>
      <c r="AJ519" s="63"/>
      <c r="AK519" s="63"/>
      <c r="AL519" s="63"/>
      <c r="AM519" s="63"/>
      <c r="AN519" s="63"/>
      <c r="AO519" s="63"/>
      <c r="AP519" s="63"/>
      <c r="AQ519" s="63"/>
      <c r="AR519" s="63"/>
      <c r="AS519" s="63"/>
      <c r="AT519" s="63"/>
      <c r="AU519" s="63"/>
      <c r="AV519" s="63"/>
      <c r="AW519" s="63"/>
      <c r="AX519" s="63"/>
    </row>
    <row r="520" spans="1:50" ht="18.75" customHeight="1" x14ac:dyDescent="0.2">
      <c r="AA520" s="16"/>
      <c r="AB520" s="29" t="s">
        <v>38</v>
      </c>
      <c r="AC520" s="17"/>
      <c r="AD520" s="18"/>
      <c r="AE520" s="34"/>
      <c r="AF520" s="34"/>
      <c r="AG520" s="34"/>
      <c r="AH520" s="34"/>
      <c r="AI520" s="34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</row>
    <row r="521" spans="1:50" ht="18.75" customHeight="1" x14ac:dyDescent="0.2">
      <c r="AA521" s="16"/>
      <c r="AB521" s="29" t="s">
        <v>285</v>
      </c>
      <c r="AC521" s="17"/>
      <c r="AD521" s="18"/>
      <c r="AE521" s="34"/>
      <c r="AF521" s="34"/>
      <c r="AG521" s="34"/>
      <c r="AH521" s="34"/>
      <c r="AI521" s="34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</row>
    <row r="522" spans="1:50" ht="18.75" customHeight="1" x14ac:dyDescent="0.2">
      <c r="AA522" s="16"/>
      <c r="AB522" s="29" t="s">
        <v>286</v>
      </c>
      <c r="AC522" s="17"/>
      <c r="AD522" s="18"/>
      <c r="AE522" s="34"/>
      <c r="AF522" s="34"/>
      <c r="AG522" s="34"/>
      <c r="AH522" s="34"/>
      <c r="AI522" s="34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</row>
    <row r="523" spans="1:50" ht="18.75" customHeight="1" x14ac:dyDescent="0.2">
      <c r="AA523" s="16"/>
      <c r="AB523" s="29" t="s">
        <v>179</v>
      </c>
      <c r="AC523" s="17"/>
      <c r="AD523" s="18"/>
      <c r="AE523" s="34"/>
      <c r="AF523" s="34"/>
      <c r="AG523" s="34"/>
      <c r="AH523" s="34"/>
      <c r="AI523" s="34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</row>
    <row r="524" spans="1:50" ht="18.75" customHeight="1" x14ac:dyDescent="0.2">
      <c r="AA524" s="16"/>
      <c r="AB524" s="29" t="s">
        <v>181</v>
      </c>
      <c r="AC524" s="17"/>
      <c r="AD524" s="18"/>
      <c r="AE524" s="34"/>
      <c r="AF524" s="34"/>
      <c r="AG524" s="34"/>
      <c r="AH524" s="34"/>
      <c r="AI524" s="34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</row>
    <row r="525" spans="1:50" ht="25.5" x14ac:dyDescent="0.2">
      <c r="AA525" s="16"/>
      <c r="AB525" s="29" t="s">
        <v>437</v>
      </c>
      <c r="AC525" s="17"/>
      <c r="AD525" s="18"/>
      <c r="AE525" s="34"/>
      <c r="AF525" s="34"/>
      <c r="AG525" s="34"/>
      <c r="AH525" s="34"/>
      <c r="AI525" s="34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</row>
    <row r="526" spans="1:50" s="150" customFormat="1" ht="18.75" customHeight="1" x14ac:dyDescent="0.2">
      <c r="A526" s="140" t="s">
        <v>55</v>
      </c>
      <c r="B526" s="140" t="s">
        <v>56</v>
      </c>
      <c r="C526" s="140"/>
      <c r="D526" s="140"/>
      <c r="E526" s="140"/>
      <c r="F526" s="140"/>
      <c r="G526" s="140"/>
      <c r="H526" s="140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X526" s="140"/>
      <c r="Y526" s="140"/>
      <c r="Z526" s="140"/>
      <c r="AA526" s="134" t="s">
        <v>438</v>
      </c>
      <c r="AB526" s="69" t="s">
        <v>439</v>
      </c>
      <c r="AC526" s="142" t="s">
        <v>428</v>
      </c>
      <c r="AD526" s="142">
        <v>43946996</v>
      </c>
      <c r="AE526" s="143">
        <v>0</v>
      </c>
      <c r="AF526" s="143">
        <v>0</v>
      </c>
      <c r="AG526" s="143">
        <v>0</v>
      </c>
      <c r="AH526" s="143">
        <v>0</v>
      </c>
      <c r="AI526" s="143">
        <v>0</v>
      </c>
      <c r="AJ526" s="142">
        <v>43946996</v>
      </c>
      <c r="AK526" s="143">
        <v>0</v>
      </c>
      <c r="AL526" s="142">
        <f>AM526-JUNIO!AM524</f>
        <v>11091109</v>
      </c>
      <c r="AM526" s="142">
        <v>19720752</v>
      </c>
      <c r="AN526" s="143">
        <v>0</v>
      </c>
      <c r="AO526" s="142">
        <v>2006443</v>
      </c>
      <c r="AP526" s="142">
        <v>8629643</v>
      </c>
      <c r="AQ526" s="143">
        <v>0</v>
      </c>
      <c r="AR526" s="143">
        <v>0</v>
      </c>
      <c r="AS526" s="143">
        <v>0</v>
      </c>
      <c r="AT526" s="146">
        <f t="shared" ref="AT526" si="227">AQ526+AS526</f>
        <v>0</v>
      </c>
      <c r="AU526" s="147">
        <f>AJ526-AM526</f>
        <v>24226244</v>
      </c>
      <c r="AV526" s="147">
        <f>AM526-AP526</f>
        <v>11091109</v>
      </c>
      <c r="AW526" s="147">
        <f>AP526-AT526</f>
        <v>8629643</v>
      </c>
      <c r="AX526" s="149">
        <f>AP526/AJ526</f>
        <v>0.19636479817642144</v>
      </c>
    </row>
    <row r="527" spans="1:50" ht="43.5" customHeight="1" x14ac:dyDescent="0.2">
      <c r="AA527" s="28" t="s">
        <v>288</v>
      </c>
      <c r="AB527" s="29" t="s">
        <v>440</v>
      </c>
      <c r="AC527" s="17"/>
      <c r="AD527" s="18"/>
      <c r="AE527" s="34"/>
      <c r="AF527" s="34"/>
      <c r="AG527" s="34"/>
      <c r="AH527" s="34"/>
      <c r="AI527" s="34"/>
      <c r="AJ527" s="18"/>
      <c r="AK527" s="34"/>
      <c r="AL527" s="34"/>
      <c r="AM527" s="34"/>
      <c r="AN527" s="34"/>
      <c r="AO527" s="34"/>
      <c r="AP527" s="34"/>
      <c r="AQ527" s="34"/>
      <c r="AR527" s="34"/>
      <c r="AS527" s="34"/>
      <c r="AT527" s="40"/>
      <c r="AU527" s="18"/>
      <c r="AV527" s="18"/>
      <c r="AW527" s="18"/>
      <c r="AX527" s="18"/>
    </row>
    <row r="528" spans="1:50" ht="18.75" customHeight="1" x14ac:dyDescent="0.2">
      <c r="A528" s="4" t="s">
        <v>55</v>
      </c>
      <c r="B528" s="4" t="s">
        <v>56</v>
      </c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1" t="s">
        <v>441</v>
      </c>
      <c r="AB528" s="42" t="s">
        <v>439</v>
      </c>
      <c r="AC528" s="43" t="s">
        <v>428</v>
      </c>
      <c r="AD528" s="43">
        <v>3500000</v>
      </c>
      <c r="AE528" s="44">
        <v>0</v>
      </c>
      <c r="AF528" s="44">
        <v>0</v>
      </c>
      <c r="AG528" s="44">
        <v>0</v>
      </c>
      <c r="AH528" s="44">
        <v>0</v>
      </c>
      <c r="AI528" s="44">
        <v>0</v>
      </c>
      <c r="AJ528" s="43">
        <v>3500000</v>
      </c>
      <c r="AK528" s="44">
        <v>0</v>
      </c>
      <c r="AL528" s="44">
        <v>0</v>
      </c>
      <c r="AM528" s="44">
        <v>0</v>
      </c>
      <c r="AN528" s="44">
        <v>0</v>
      </c>
      <c r="AO528" s="44">
        <v>0</v>
      </c>
      <c r="AP528" s="44">
        <v>0</v>
      </c>
      <c r="AQ528" s="44">
        <v>0</v>
      </c>
      <c r="AR528" s="44">
        <v>0</v>
      </c>
      <c r="AS528" s="44">
        <v>0</v>
      </c>
      <c r="AT528" s="40">
        <f>AQ528+AS528</f>
        <v>0</v>
      </c>
      <c r="AU528" s="18">
        <f>AJ528-AM528</f>
        <v>3500000</v>
      </c>
      <c r="AV528" s="34">
        <f>AM528-AP528</f>
        <v>0</v>
      </c>
      <c r="AW528" s="34">
        <f>AP528-AT528</f>
        <v>0</v>
      </c>
      <c r="AX528" s="123">
        <f>AP528/AJ528</f>
        <v>0</v>
      </c>
    </row>
    <row r="529" spans="1:52" ht="18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73" t="s">
        <v>288</v>
      </c>
      <c r="AB529" s="74" t="s">
        <v>291</v>
      </c>
      <c r="AC529" s="43"/>
      <c r="AD529" s="43"/>
      <c r="AE529" s="44"/>
      <c r="AF529" s="44"/>
      <c r="AG529" s="44"/>
      <c r="AH529" s="44"/>
      <c r="AI529" s="44"/>
      <c r="AJ529" s="43"/>
      <c r="AK529" s="44"/>
      <c r="AL529" s="44"/>
      <c r="AM529" s="43"/>
      <c r="AN529" s="43"/>
      <c r="AO529" s="43"/>
      <c r="AP529" s="43"/>
      <c r="AQ529" s="44"/>
      <c r="AR529" s="44"/>
      <c r="AS529" s="44"/>
      <c r="AT529" s="40"/>
      <c r="AU529" s="43"/>
      <c r="AV529" s="44"/>
      <c r="AW529" s="44"/>
      <c r="AX529" s="43"/>
    </row>
    <row r="530" spans="1:52" ht="18.75" customHeight="1" x14ac:dyDescent="0.2">
      <c r="A530" s="4" t="s">
        <v>55</v>
      </c>
      <c r="B530" s="4" t="s">
        <v>56</v>
      </c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1" t="s">
        <v>442</v>
      </c>
      <c r="AB530" s="42" t="s">
        <v>439</v>
      </c>
      <c r="AC530" s="43" t="s">
        <v>428</v>
      </c>
      <c r="AD530" s="43">
        <v>105900000</v>
      </c>
      <c r="AE530" s="44">
        <v>0</v>
      </c>
      <c r="AF530" s="44">
        <v>0</v>
      </c>
      <c r="AG530" s="44">
        <v>0</v>
      </c>
      <c r="AH530" s="44">
        <v>0</v>
      </c>
      <c r="AI530" s="44">
        <v>0</v>
      </c>
      <c r="AJ530" s="43">
        <v>105900000</v>
      </c>
      <c r="AK530" s="44">
        <v>0</v>
      </c>
      <c r="AL530" s="43">
        <f>AM530-JUNIO!AM528</f>
        <v>-139086</v>
      </c>
      <c r="AM530" s="43">
        <v>150434</v>
      </c>
      <c r="AN530" s="43">
        <v>0</v>
      </c>
      <c r="AO530" s="43">
        <v>150434</v>
      </c>
      <c r="AP530" s="43">
        <v>150434</v>
      </c>
      <c r="AQ530" s="44">
        <v>0</v>
      </c>
      <c r="AR530" s="44">
        <v>0</v>
      </c>
      <c r="AS530" s="44">
        <v>0</v>
      </c>
      <c r="AT530" s="40">
        <f>AQ530+AS530</f>
        <v>0</v>
      </c>
      <c r="AU530" s="18">
        <f>AJ530-AM530</f>
        <v>105749566</v>
      </c>
      <c r="AV530" s="18">
        <f>AM530-AP530</f>
        <v>0</v>
      </c>
      <c r="AW530" s="34">
        <f>AP530-AT530</f>
        <v>150434</v>
      </c>
      <c r="AX530" s="123">
        <f>AP530/AJ530</f>
        <v>1.4205288007554297E-3</v>
      </c>
    </row>
    <row r="531" spans="1:52" ht="18.75" customHeight="1" x14ac:dyDescent="0.2">
      <c r="AA531" s="16"/>
      <c r="AB531" s="29" t="s">
        <v>189</v>
      </c>
      <c r="AC531" s="17"/>
      <c r="AD531" s="18"/>
      <c r="AE531" s="34"/>
      <c r="AF531" s="34"/>
      <c r="AG531" s="34"/>
      <c r="AH531" s="34"/>
      <c r="AI531" s="34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39"/>
      <c r="AU531" s="18"/>
      <c r="AV531" s="34"/>
      <c r="AW531" s="18"/>
      <c r="AX531" s="18"/>
    </row>
    <row r="532" spans="1:52" ht="18.75" customHeight="1" x14ac:dyDescent="0.2">
      <c r="AA532" s="16"/>
      <c r="AB532" s="29" t="s">
        <v>191</v>
      </c>
      <c r="AC532" s="17"/>
      <c r="AD532" s="18"/>
      <c r="AE532" s="34"/>
      <c r="AF532" s="34"/>
      <c r="AG532" s="34"/>
      <c r="AH532" s="34"/>
      <c r="AI532" s="34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39"/>
      <c r="AU532" s="18"/>
      <c r="AV532" s="34"/>
      <c r="AW532" s="18"/>
      <c r="AX532" s="18"/>
    </row>
    <row r="533" spans="1:52" ht="18.75" customHeight="1" x14ac:dyDescent="0.2">
      <c r="AA533" s="28" t="s">
        <v>288</v>
      </c>
      <c r="AB533" s="29" t="s">
        <v>443</v>
      </c>
      <c r="AC533" s="17"/>
      <c r="AD533" s="18"/>
      <c r="AE533" s="34"/>
      <c r="AF533" s="34"/>
      <c r="AG533" s="34"/>
      <c r="AH533" s="34"/>
      <c r="AI533" s="34"/>
      <c r="AJ533" s="147"/>
      <c r="AK533" s="18"/>
      <c r="AL533" s="18"/>
      <c r="AM533" s="18"/>
      <c r="AN533" s="18"/>
      <c r="AO533" s="18"/>
      <c r="AP533" s="18"/>
      <c r="AQ533" s="18"/>
      <c r="AR533" s="18"/>
      <c r="AS533" s="18"/>
      <c r="AT533" s="39"/>
      <c r="AU533" s="18"/>
      <c r="AV533" s="34"/>
      <c r="AW533" s="18"/>
      <c r="AX533" s="18"/>
    </row>
    <row r="534" spans="1:52" ht="18.75" customHeight="1" x14ac:dyDescent="0.2">
      <c r="A534" s="4" t="s">
        <v>55</v>
      </c>
      <c r="B534" s="4" t="s">
        <v>56</v>
      </c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1" t="s">
        <v>444</v>
      </c>
      <c r="AB534" s="42" t="s">
        <v>233</v>
      </c>
      <c r="AC534" s="43" t="s">
        <v>58</v>
      </c>
      <c r="AD534" s="43">
        <v>530557116</v>
      </c>
      <c r="AE534" s="44">
        <v>0</v>
      </c>
      <c r="AF534" s="44">
        <v>0</v>
      </c>
      <c r="AG534" s="44">
        <v>0</v>
      </c>
      <c r="AH534" s="44">
        <v>0</v>
      </c>
      <c r="AI534" s="44">
        <v>0</v>
      </c>
      <c r="AJ534" s="142">
        <v>530557116</v>
      </c>
      <c r="AK534" s="44">
        <v>0</v>
      </c>
      <c r="AL534" s="44">
        <v>0</v>
      </c>
      <c r="AM534" s="44">
        <v>0</v>
      </c>
      <c r="AN534" s="44">
        <v>0</v>
      </c>
      <c r="AO534" s="44">
        <v>0</v>
      </c>
      <c r="AP534" s="44">
        <v>0</v>
      </c>
      <c r="AQ534" s="44">
        <v>0</v>
      </c>
      <c r="AR534" s="44">
        <v>0</v>
      </c>
      <c r="AS534" s="44">
        <v>0</v>
      </c>
      <c r="AT534" s="40">
        <f>AQ534+AS534</f>
        <v>0</v>
      </c>
      <c r="AU534" s="18">
        <f>AJ534-AM534</f>
        <v>530557116</v>
      </c>
      <c r="AV534" s="34">
        <f>AM534-AP534</f>
        <v>0</v>
      </c>
      <c r="AW534" s="34">
        <f>AP534-AT534</f>
        <v>0</v>
      </c>
      <c r="AX534" s="123">
        <f>AP534/AJ534</f>
        <v>0</v>
      </c>
    </row>
    <row r="535" spans="1:52" ht="18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1" t="s">
        <v>1233</v>
      </c>
      <c r="AB535" s="42" t="s">
        <v>453</v>
      </c>
      <c r="AC535" s="43"/>
      <c r="AD535" s="44">
        <v>0</v>
      </c>
      <c r="AE535" s="43">
        <v>11666787329</v>
      </c>
      <c r="AF535" s="44">
        <v>0</v>
      </c>
      <c r="AG535" s="44">
        <v>0</v>
      </c>
      <c r="AH535" s="44">
        <v>0</v>
      </c>
      <c r="AI535" s="43">
        <f>AE535-AF535+AG535-AH535</f>
        <v>11666787329</v>
      </c>
      <c r="AJ535" s="142">
        <f>AD535+AI535</f>
        <v>11666787329</v>
      </c>
      <c r="AK535" s="44">
        <v>0</v>
      </c>
      <c r="AL535" s="44">
        <v>0</v>
      </c>
      <c r="AM535" s="44">
        <v>0</v>
      </c>
      <c r="AN535" s="44">
        <v>0</v>
      </c>
      <c r="AO535" s="44">
        <v>0</v>
      </c>
      <c r="AP535" s="44">
        <v>0</v>
      </c>
      <c r="AQ535" s="44">
        <v>0</v>
      </c>
      <c r="AR535" s="44">
        <v>0</v>
      </c>
      <c r="AS535" s="44">
        <v>0</v>
      </c>
      <c r="AT535" s="40">
        <f>AQ535+AS535</f>
        <v>0</v>
      </c>
      <c r="AU535" s="18">
        <f>AJ535-AM535</f>
        <v>11666787329</v>
      </c>
      <c r="AV535" s="34">
        <f>AM535-AP535</f>
        <v>0</v>
      </c>
      <c r="AW535" s="34">
        <f>AP535-AT535</f>
        <v>0</v>
      </c>
      <c r="AX535" s="123">
        <f>AP535/AJ535</f>
        <v>0</v>
      </c>
      <c r="AZ535" s="257"/>
    </row>
    <row r="536" spans="1:52" ht="18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73" t="s">
        <v>288</v>
      </c>
      <c r="AB536" s="74" t="s">
        <v>362</v>
      </c>
      <c r="AC536" s="43"/>
      <c r="AD536" s="44"/>
      <c r="AE536" s="44"/>
      <c r="AF536" s="44"/>
      <c r="AG536" s="44"/>
      <c r="AH536" s="44"/>
      <c r="AI536" s="44"/>
      <c r="AJ536" s="142"/>
      <c r="AK536" s="44"/>
      <c r="AL536" s="44"/>
      <c r="AM536" s="44"/>
      <c r="AN536" s="44"/>
      <c r="AO536" s="44"/>
      <c r="AP536" s="44"/>
      <c r="AQ536" s="44"/>
      <c r="AR536" s="44"/>
      <c r="AS536" s="44"/>
      <c r="AT536" s="40"/>
      <c r="AU536" s="18"/>
      <c r="AV536" s="34"/>
      <c r="AW536" s="34"/>
      <c r="AX536" s="123"/>
    </row>
    <row r="537" spans="1:52" ht="18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1" t="s">
        <v>975</v>
      </c>
      <c r="AB537" s="42" t="s">
        <v>453</v>
      </c>
      <c r="AC537" s="43"/>
      <c r="AD537" s="44">
        <v>0</v>
      </c>
      <c r="AE537" s="44">
        <v>0</v>
      </c>
      <c r="AF537" s="44">
        <v>0</v>
      </c>
      <c r="AG537" s="43">
        <v>11046667966</v>
      </c>
      <c r="AH537" s="44"/>
      <c r="AI537" s="43">
        <f>AE537-AF537+AG537-AH537</f>
        <v>11046667966</v>
      </c>
      <c r="AJ537" s="142">
        <f>AD537+AI537</f>
        <v>11046667966</v>
      </c>
      <c r="AK537" s="44">
        <v>0</v>
      </c>
      <c r="AL537" s="43">
        <f>AM537-JUNIO!AM535</f>
        <v>0</v>
      </c>
      <c r="AM537" s="43">
        <v>10699323813</v>
      </c>
      <c r="AN537" s="44">
        <v>0</v>
      </c>
      <c r="AO537" s="43">
        <v>0</v>
      </c>
      <c r="AP537" s="43">
        <v>10699323813</v>
      </c>
      <c r="AQ537" s="44">
        <v>3048432929.6999998</v>
      </c>
      <c r="AR537" s="44">
        <v>0</v>
      </c>
      <c r="AS537" s="44">
        <v>0</v>
      </c>
      <c r="AT537" s="40">
        <f>AQ537+AS537</f>
        <v>3048432929.6999998</v>
      </c>
      <c r="AU537" s="18">
        <f>AJ537-AM537</f>
        <v>347344153</v>
      </c>
      <c r="AV537" s="18">
        <f>AM537-AP537</f>
        <v>0</v>
      </c>
      <c r="AW537" s="18">
        <f>AP537-AT537</f>
        <v>7650890883.3000002</v>
      </c>
      <c r="AX537" s="123">
        <f>AP537/AJ537</f>
        <v>0.96855665852643769</v>
      </c>
    </row>
    <row r="538" spans="1:52" ht="18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73" t="s">
        <v>288</v>
      </c>
      <c r="AB538" s="74" t="s">
        <v>296</v>
      </c>
      <c r="AC538" s="43"/>
      <c r="AD538" s="44"/>
      <c r="AE538" s="44"/>
      <c r="AF538" s="44"/>
      <c r="AG538" s="44"/>
      <c r="AH538" s="44"/>
      <c r="AI538" s="44"/>
      <c r="AJ538" s="142"/>
      <c r="AK538" s="44"/>
      <c r="AL538" s="44"/>
      <c r="AM538" s="44"/>
      <c r="AN538" s="44"/>
      <c r="AO538" s="44"/>
      <c r="AP538" s="44"/>
      <c r="AQ538" s="44"/>
      <c r="AR538" s="44"/>
      <c r="AS538" s="44"/>
      <c r="AT538" s="40"/>
      <c r="AU538" s="18"/>
      <c r="AV538" s="34"/>
      <c r="AW538" s="34"/>
      <c r="AX538" s="123"/>
    </row>
    <row r="539" spans="1:52" ht="18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1" t="s">
        <v>973</v>
      </c>
      <c r="AB539" s="42" t="s">
        <v>453</v>
      </c>
      <c r="AC539" s="43"/>
      <c r="AD539" s="44">
        <v>0</v>
      </c>
      <c r="AE539" s="43">
        <f>11046667966+38953332034</f>
        <v>50000000000</v>
      </c>
      <c r="AF539" s="44">
        <v>0</v>
      </c>
      <c r="AG539" s="44">
        <v>0</v>
      </c>
      <c r="AH539" s="43">
        <v>11046667966</v>
      </c>
      <c r="AI539" s="43">
        <f>AE539-AF539+AG539-AH539</f>
        <v>38953332034</v>
      </c>
      <c r="AJ539" s="142">
        <f>AD539+AI539</f>
        <v>38953332034</v>
      </c>
      <c r="AK539" s="44">
        <v>0</v>
      </c>
      <c r="AL539" s="44">
        <v>0</v>
      </c>
      <c r="AM539" s="44">
        <v>0</v>
      </c>
      <c r="AN539" s="44">
        <v>0</v>
      </c>
      <c r="AO539" s="44">
        <v>0</v>
      </c>
      <c r="AP539" s="44">
        <v>0</v>
      </c>
      <c r="AQ539" s="44">
        <v>0</v>
      </c>
      <c r="AR539" s="44">
        <v>0</v>
      </c>
      <c r="AS539" s="44">
        <v>0</v>
      </c>
      <c r="AT539" s="40">
        <f>AQ539+AS539</f>
        <v>0</v>
      </c>
      <c r="AU539" s="18">
        <f>AJ539-AM539</f>
        <v>38953332034</v>
      </c>
      <c r="AV539" s="34">
        <f>AM539-AP539</f>
        <v>0</v>
      </c>
      <c r="AW539" s="34">
        <f>AP539-AT539</f>
        <v>0</v>
      </c>
      <c r="AX539" s="123">
        <v>0</v>
      </c>
    </row>
    <row r="540" spans="1:52" ht="18.75" customHeight="1" x14ac:dyDescent="0.2">
      <c r="AA540" s="28" t="s">
        <v>288</v>
      </c>
      <c r="AB540" s="29" t="s">
        <v>445</v>
      </c>
      <c r="AC540" s="17"/>
      <c r="AD540" s="18"/>
      <c r="AE540" s="18"/>
      <c r="AF540" s="18"/>
      <c r="AG540" s="18"/>
      <c r="AH540" s="18"/>
      <c r="AI540" s="18"/>
      <c r="AJ540" s="147"/>
      <c r="AK540" s="34"/>
      <c r="AL540" s="34"/>
      <c r="AM540" s="34"/>
      <c r="AN540" s="34"/>
      <c r="AO540" s="34"/>
      <c r="AP540" s="34"/>
      <c r="AQ540" s="34"/>
      <c r="AR540" s="34"/>
      <c r="AS540" s="34"/>
      <c r="AT540" s="40"/>
      <c r="AU540" s="18"/>
      <c r="AV540" s="34"/>
      <c r="AW540" s="18"/>
      <c r="AX540" s="18"/>
    </row>
    <row r="541" spans="1:52" ht="18.75" customHeight="1" x14ac:dyDescent="0.2">
      <c r="A541" s="4" t="s">
        <v>55</v>
      </c>
      <c r="B541" s="4" t="s">
        <v>56</v>
      </c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1" t="s">
        <v>446</v>
      </c>
      <c r="AB541" s="42" t="s">
        <v>233</v>
      </c>
      <c r="AC541" s="43" t="s">
        <v>58</v>
      </c>
      <c r="AD541" s="43">
        <v>1315360000</v>
      </c>
      <c r="AE541" s="44">
        <v>0</v>
      </c>
      <c r="AF541" s="44">
        <v>0</v>
      </c>
      <c r="AG541" s="43">
        <f>24165016+458969140</f>
        <v>483134156</v>
      </c>
      <c r="AH541" s="75">
        <v>0</v>
      </c>
      <c r="AI541" s="43">
        <f>AE541-AF541+AG541-AH541</f>
        <v>483134156</v>
      </c>
      <c r="AJ541" s="142">
        <f>AD541+AI541</f>
        <v>1798494156</v>
      </c>
      <c r="AK541" s="44">
        <v>0</v>
      </c>
      <c r="AL541" s="114">
        <v>0</v>
      </c>
      <c r="AM541" s="114">
        <v>5134940.1100000003</v>
      </c>
      <c r="AN541" s="44">
        <v>0</v>
      </c>
      <c r="AO541" s="114">
        <v>0</v>
      </c>
      <c r="AP541" s="114">
        <v>5134940.1100000003</v>
      </c>
      <c r="AQ541" s="44">
        <v>0</v>
      </c>
      <c r="AR541" s="114">
        <v>0</v>
      </c>
      <c r="AS541" s="114">
        <v>5134940.1100000003</v>
      </c>
      <c r="AT541" s="111">
        <f>AQ541+AS541</f>
        <v>5134940.1100000003</v>
      </c>
      <c r="AU541" s="18">
        <f>AJ541-AM541</f>
        <v>1793359215.8900001</v>
      </c>
      <c r="AV541" s="34">
        <f>AM541-AP541</f>
        <v>0</v>
      </c>
      <c r="AW541" s="34">
        <f>AP541-AT541</f>
        <v>0</v>
      </c>
      <c r="AX541" s="123">
        <f>AP541/AJ541</f>
        <v>2.8551330527648378E-3</v>
      </c>
    </row>
    <row r="542" spans="1:52" ht="18.75" customHeight="1" x14ac:dyDescent="0.2">
      <c r="AA542" s="28" t="s">
        <v>288</v>
      </c>
      <c r="AB542" s="29" t="s">
        <v>447</v>
      </c>
      <c r="AC542" s="17"/>
      <c r="AD542" s="18"/>
      <c r="AE542" s="34"/>
      <c r="AF542" s="34"/>
      <c r="AG542" s="18"/>
      <c r="AH542" s="76"/>
      <c r="AI542" s="18"/>
      <c r="AJ542" s="18"/>
      <c r="AK542" s="34"/>
      <c r="AL542" s="34"/>
      <c r="AM542" s="34"/>
      <c r="AN542" s="34"/>
      <c r="AO542" s="34"/>
      <c r="AP542" s="34"/>
      <c r="AQ542" s="34"/>
      <c r="AR542" s="34"/>
      <c r="AS542" s="34"/>
      <c r="AT542" s="40"/>
      <c r="AU542" s="18"/>
      <c r="AV542" s="34"/>
      <c r="AW542" s="34"/>
      <c r="AX542" s="18"/>
    </row>
    <row r="543" spans="1:52" ht="18.75" customHeight="1" x14ac:dyDescent="0.2">
      <c r="A543" s="4" t="s">
        <v>55</v>
      </c>
      <c r="B543" s="4" t="s">
        <v>56</v>
      </c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1" t="s">
        <v>448</v>
      </c>
      <c r="AB543" s="42" t="s">
        <v>449</v>
      </c>
      <c r="AC543" s="43" t="s">
        <v>428</v>
      </c>
      <c r="AD543" s="43">
        <v>1568183063</v>
      </c>
      <c r="AE543" s="44">
        <v>0</v>
      </c>
      <c r="AF543" s="44">
        <v>0</v>
      </c>
      <c r="AG543" s="75">
        <v>0</v>
      </c>
      <c r="AH543" s="43">
        <v>1200000000</v>
      </c>
      <c r="AI543" s="43">
        <f>AE543-AF543+AG543-AH543</f>
        <v>-1200000000</v>
      </c>
      <c r="AJ543" s="43">
        <f>AD543+AI543</f>
        <v>368183063</v>
      </c>
      <c r="AK543" s="44">
        <v>0</v>
      </c>
      <c r="AL543" s="44">
        <v>0</v>
      </c>
      <c r="AM543" s="44">
        <v>0</v>
      </c>
      <c r="AN543" s="44">
        <v>0</v>
      </c>
      <c r="AO543" s="44">
        <v>0</v>
      </c>
      <c r="AP543" s="44">
        <v>0</v>
      </c>
      <c r="AQ543" s="44">
        <v>0</v>
      </c>
      <c r="AR543" s="44">
        <v>0</v>
      </c>
      <c r="AS543" s="44">
        <v>0</v>
      </c>
      <c r="AT543" s="40">
        <f t="shared" ref="AT543:AT632" si="228">AQ543+AS543</f>
        <v>0</v>
      </c>
      <c r="AU543" s="18">
        <f>AJ543-AM543</f>
        <v>368183063</v>
      </c>
      <c r="AV543" s="34">
        <f>AM543-AP543</f>
        <v>0</v>
      </c>
      <c r="AW543" s="34">
        <f>AP543-AT543</f>
        <v>0</v>
      </c>
      <c r="AX543" s="123">
        <f>AP543/AJ543</f>
        <v>0</v>
      </c>
    </row>
    <row r="544" spans="1:52" ht="18.75" customHeight="1" x14ac:dyDescent="0.2">
      <c r="A544" s="4" t="s">
        <v>55</v>
      </c>
      <c r="B544" s="4" t="s">
        <v>56</v>
      </c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1" t="s">
        <v>450</v>
      </c>
      <c r="AB544" s="42" t="s">
        <v>451</v>
      </c>
      <c r="AC544" s="43" t="s">
        <v>428</v>
      </c>
      <c r="AD544" s="43">
        <v>54121641</v>
      </c>
      <c r="AE544" s="44">
        <v>0</v>
      </c>
      <c r="AF544" s="44">
        <v>0</v>
      </c>
      <c r="AG544" s="75">
        <v>0</v>
      </c>
      <c r="AH544" s="75">
        <v>0</v>
      </c>
      <c r="AI544" s="44">
        <v>0</v>
      </c>
      <c r="AJ544" s="43">
        <v>54121641</v>
      </c>
      <c r="AK544" s="44">
        <v>0</v>
      </c>
      <c r="AL544" s="44">
        <v>0</v>
      </c>
      <c r="AM544" s="44">
        <v>0</v>
      </c>
      <c r="AN544" s="44">
        <v>0</v>
      </c>
      <c r="AO544" s="44">
        <v>0</v>
      </c>
      <c r="AP544" s="44">
        <v>0</v>
      </c>
      <c r="AQ544" s="44">
        <v>0</v>
      </c>
      <c r="AR544" s="44">
        <v>0</v>
      </c>
      <c r="AS544" s="44">
        <v>0</v>
      </c>
      <c r="AT544" s="40">
        <f t="shared" si="228"/>
        <v>0</v>
      </c>
      <c r="AU544" s="18">
        <f>AJ544-AM544</f>
        <v>54121641</v>
      </c>
      <c r="AV544" s="34">
        <f>AM544-AP544</f>
        <v>0</v>
      </c>
      <c r="AW544" s="34">
        <f>AP544-AT544</f>
        <v>0</v>
      </c>
      <c r="AX544" s="123">
        <f>AP544/AJ544</f>
        <v>0</v>
      </c>
    </row>
    <row r="545" spans="1:50" ht="18.75" customHeight="1" x14ac:dyDescent="0.2">
      <c r="A545" s="4" t="s">
        <v>55</v>
      </c>
      <c r="B545" s="4" t="s">
        <v>56</v>
      </c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1" t="s">
        <v>452</v>
      </c>
      <c r="AB545" s="42" t="s">
        <v>453</v>
      </c>
      <c r="AC545" s="43" t="s">
        <v>454</v>
      </c>
      <c r="AD545" s="43">
        <v>13500000000</v>
      </c>
      <c r="AE545" s="44">
        <v>0</v>
      </c>
      <c r="AF545" s="44">
        <v>0</v>
      </c>
      <c r="AG545" s="75">
        <v>0</v>
      </c>
      <c r="AH545" s="43">
        <v>10658999538</v>
      </c>
      <c r="AI545" s="43">
        <f>AE545-AF545+AG545-AH545</f>
        <v>-10658999538</v>
      </c>
      <c r="AJ545" s="43">
        <f>AD545+AI545</f>
        <v>2841000462</v>
      </c>
      <c r="AK545" s="44">
        <v>0</v>
      </c>
      <c r="AL545" s="44">
        <v>0</v>
      </c>
      <c r="AM545" s="44">
        <v>0</v>
      </c>
      <c r="AN545" s="44">
        <v>0</v>
      </c>
      <c r="AO545" s="44">
        <v>0</v>
      </c>
      <c r="AP545" s="44">
        <v>0</v>
      </c>
      <c r="AQ545" s="44">
        <v>0</v>
      </c>
      <c r="AR545" s="44">
        <v>0</v>
      </c>
      <c r="AS545" s="44">
        <v>0</v>
      </c>
      <c r="AT545" s="40">
        <f t="shared" si="228"/>
        <v>0</v>
      </c>
      <c r="AU545" s="18">
        <f>AJ545-AM545</f>
        <v>2841000462</v>
      </c>
      <c r="AV545" s="34">
        <f>AM545-AP545</f>
        <v>0</v>
      </c>
      <c r="AW545" s="34">
        <f>AP545-AT545</f>
        <v>0</v>
      </c>
      <c r="AX545" s="123">
        <f>AP545/AJ545</f>
        <v>0</v>
      </c>
    </row>
    <row r="546" spans="1:50" ht="18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166" t="s">
        <v>1035</v>
      </c>
      <c r="AB546" s="167" t="s">
        <v>1036</v>
      </c>
      <c r="AC546" s="168"/>
      <c r="AD546" s="43">
        <v>0</v>
      </c>
      <c r="AE546" s="43">
        <v>3208930754.3099999</v>
      </c>
      <c r="AF546" s="44">
        <v>0</v>
      </c>
      <c r="AG546" s="75">
        <v>0</v>
      </c>
      <c r="AH546" s="43">
        <v>0</v>
      </c>
      <c r="AI546" s="43">
        <f>AE546-AF546+AG546-AH546</f>
        <v>3208930754.3099999</v>
      </c>
      <c r="AJ546" s="43">
        <f>AD546+AI546</f>
        <v>3208930754.3099999</v>
      </c>
      <c r="AK546" s="44">
        <v>0</v>
      </c>
      <c r="AL546" s="44">
        <v>0</v>
      </c>
      <c r="AM546" s="44">
        <v>0</v>
      </c>
      <c r="AN546" s="44">
        <v>0</v>
      </c>
      <c r="AO546" s="44">
        <v>0</v>
      </c>
      <c r="AP546" s="44">
        <v>0</v>
      </c>
      <c r="AQ546" s="44">
        <v>0</v>
      </c>
      <c r="AR546" s="44">
        <v>0</v>
      </c>
      <c r="AS546" s="44">
        <v>0</v>
      </c>
      <c r="AT546" s="40">
        <f t="shared" si="228"/>
        <v>0</v>
      </c>
      <c r="AU546" s="18">
        <f>AJ546-AM546</f>
        <v>3208930754.3099999</v>
      </c>
      <c r="AV546" s="34">
        <f>AM546-AP546</f>
        <v>0</v>
      </c>
      <c r="AW546" s="34">
        <f>AP546-AT546</f>
        <v>0</v>
      </c>
      <c r="AX546" s="123">
        <f>AP546/AJ546</f>
        <v>0</v>
      </c>
    </row>
    <row r="547" spans="1:50" ht="18.75" customHeight="1" x14ac:dyDescent="0.2">
      <c r="AA547" s="169" t="s">
        <v>288</v>
      </c>
      <c r="AB547" s="163" t="s">
        <v>455</v>
      </c>
      <c r="AC547" s="17"/>
      <c r="AD547" s="18"/>
      <c r="AE547" s="34"/>
      <c r="AF547" s="34"/>
      <c r="AG547" s="76"/>
      <c r="AH547" s="18"/>
      <c r="AI547" s="18"/>
      <c r="AJ547" s="18"/>
      <c r="AK547" s="34"/>
      <c r="AL547" s="34"/>
      <c r="AM547" s="34"/>
      <c r="AN547" s="34"/>
      <c r="AO547" s="34"/>
      <c r="AP547" s="34"/>
      <c r="AQ547" s="34"/>
      <c r="AR547" s="34"/>
      <c r="AS547" s="34"/>
      <c r="AT547" s="40"/>
      <c r="AU547" s="18"/>
      <c r="AV547" s="34"/>
      <c r="AW547" s="34"/>
      <c r="AX547" s="18"/>
    </row>
    <row r="548" spans="1:50" ht="18.75" customHeight="1" x14ac:dyDescent="0.2">
      <c r="A548" s="4" t="s">
        <v>55</v>
      </c>
      <c r="B548" s="4" t="s">
        <v>56</v>
      </c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1" t="s">
        <v>456</v>
      </c>
      <c r="AB548" s="42" t="s">
        <v>233</v>
      </c>
      <c r="AC548" s="43" t="s">
        <v>58</v>
      </c>
      <c r="AD548" s="43">
        <v>1983597115.25</v>
      </c>
      <c r="AE548" s="44">
        <v>0</v>
      </c>
      <c r="AF548" s="44">
        <v>0</v>
      </c>
      <c r="AG548" s="43">
        <v>15401381</v>
      </c>
      <c r="AH548" s="43">
        <v>547969140</v>
      </c>
      <c r="AI548" s="43">
        <f>AE548-AF548+AG548-AH548</f>
        <v>-532567759</v>
      </c>
      <c r="AJ548" s="43">
        <f>AD548+AI548</f>
        <v>1451029356.25</v>
      </c>
      <c r="AK548" s="44">
        <v>0</v>
      </c>
      <c r="AL548" s="43">
        <v>0</v>
      </c>
      <c r="AM548" s="43">
        <v>0</v>
      </c>
      <c r="AN548" s="43">
        <v>0</v>
      </c>
      <c r="AO548" s="43">
        <v>0</v>
      </c>
      <c r="AP548" s="43">
        <v>0</v>
      </c>
      <c r="AQ548" s="43">
        <v>0</v>
      </c>
      <c r="AR548" s="43">
        <v>0</v>
      </c>
      <c r="AS548" s="44">
        <v>0</v>
      </c>
      <c r="AT548" s="40">
        <f t="shared" si="228"/>
        <v>0</v>
      </c>
      <c r="AU548" s="18">
        <f>AJ548-AM548</f>
        <v>1451029356.25</v>
      </c>
      <c r="AV548" s="34">
        <f>AM548-AP548</f>
        <v>0</v>
      </c>
      <c r="AW548" s="34">
        <f>AP548-AT548</f>
        <v>0</v>
      </c>
      <c r="AX548" s="123">
        <f>AP548/AJ548</f>
        <v>0</v>
      </c>
    </row>
    <row r="549" spans="1:50" ht="18.75" customHeight="1" x14ac:dyDescent="0.2">
      <c r="A549" s="4" t="s">
        <v>55</v>
      </c>
      <c r="B549" s="4" t="s">
        <v>56</v>
      </c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1" t="s">
        <v>457</v>
      </c>
      <c r="AB549" s="42" t="s">
        <v>458</v>
      </c>
      <c r="AC549" s="43" t="s">
        <v>454</v>
      </c>
      <c r="AD549" s="43">
        <v>0</v>
      </c>
      <c r="AE549" s="43">
        <v>14100000000</v>
      </c>
      <c r="AF549" s="44">
        <v>0</v>
      </c>
      <c r="AG549" s="43">
        <v>20296364215</v>
      </c>
      <c r="AH549" s="44">
        <v>0</v>
      </c>
      <c r="AI549" s="43">
        <f>AE549-AF549+AG549-AH549</f>
        <v>34396364215</v>
      </c>
      <c r="AJ549" s="43">
        <f>AD549+AI549</f>
        <v>34396364215</v>
      </c>
      <c r="AK549" s="44">
        <v>0</v>
      </c>
      <c r="AL549" s="43">
        <f>AM549-JUNIO!AM547</f>
        <v>0</v>
      </c>
      <c r="AM549" s="43">
        <v>19256924334</v>
      </c>
      <c r="AN549" s="43">
        <v>0</v>
      </c>
      <c r="AO549" s="43">
        <v>0</v>
      </c>
      <c r="AP549" s="43">
        <v>19256924334</v>
      </c>
      <c r="AQ549" s="43">
        <v>5404066350</v>
      </c>
      <c r="AR549" s="43">
        <v>0</v>
      </c>
      <c r="AS549" s="44">
        <v>0</v>
      </c>
      <c r="AT549" s="40">
        <f t="shared" si="228"/>
        <v>5404066350</v>
      </c>
      <c r="AU549" s="18">
        <f>AJ549-AM549</f>
        <v>15139439881</v>
      </c>
      <c r="AV549" s="110">
        <f>AM549-AP549</f>
        <v>0</v>
      </c>
      <c r="AW549" s="18">
        <f>AP549-AT549</f>
        <v>13852857984</v>
      </c>
      <c r="AX549" s="123">
        <f>AP549/AJ549</f>
        <v>0.55985348374704669</v>
      </c>
    </row>
    <row r="550" spans="1:50" ht="18.75" customHeight="1" x14ac:dyDescent="0.2">
      <c r="AA550" s="28" t="s">
        <v>288</v>
      </c>
      <c r="AB550" s="29" t="s">
        <v>459</v>
      </c>
      <c r="AC550" s="17"/>
      <c r="AD550" s="18"/>
      <c r="AE550" s="34"/>
      <c r="AF550" s="34"/>
      <c r="AG550" s="18"/>
      <c r="AH550" s="34"/>
      <c r="AI550" s="18"/>
      <c r="AJ550" s="18"/>
      <c r="AK550" s="34"/>
      <c r="AL550" s="34"/>
      <c r="AM550" s="18"/>
      <c r="AN550" s="34"/>
      <c r="AO550" s="34"/>
      <c r="AP550" s="18"/>
      <c r="AQ550" s="34"/>
      <c r="AR550" s="34"/>
      <c r="AS550" s="34"/>
      <c r="AT550" s="40"/>
      <c r="AU550" s="18"/>
      <c r="AV550" s="18"/>
      <c r="AW550" s="18"/>
      <c r="AX550" s="18"/>
    </row>
    <row r="551" spans="1:50" ht="18.75" customHeight="1" x14ac:dyDescent="0.2">
      <c r="A551" s="4" t="s">
        <v>55</v>
      </c>
      <c r="B551" s="4" t="s">
        <v>56</v>
      </c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1" t="s">
        <v>460</v>
      </c>
      <c r="AB551" s="42" t="s">
        <v>233</v>
      </c>
      <c r="AC551" s="43" t="s">
        <v>58</v>
      </c>
      <c r="AD551" s="43">
        <v>867728401</v>
      </c>
      <c r="AE551" s="44">
        <v>0</v>
      </c>
      <c r="AF551" s="44">
        <v>0</v>
      </c>
      <c r="AG551" s="44">
        <v>0</v>
      </c>
      <c r="AH551" s="44">
        <v>0</v>
      </c>
      <c r="AI551" s="44">
        <v>0</v>
      </c>
      <c r="AJ551" s="43">
        <v>867728401</v>
      </c>
      <c r="AK551" s="44">
        <v>0</v>
      </c>
      <c r="AL551" s="44">
        <f>AM551-JUNIO!AM549</f>
        <v>0</v>
      </c>
      <c r="AM551" s="43">
        <v>829015863.20000005</v>
      </c>
      <c r="AN551" s="44">
        <v>0</v>
      </c>
      <c r="AO551" s="44">
        <v>0</v>
      </c>
      <c r="AP551" s="43">
        <v>829015863.20000005</v>
      </c>
      <c r="AQ551" s="44">
        <v>0</v>
      </c>
      <c r="AR551" s="43">
        <v>321729827.5</v>
      </c>
      <c r="AS551" s="43">
        <v>566173738.5</v>
      </c>
      <c r="AT551" s="39">
        <f t="shared" si="228"/>
        <v>566173738.5</v>
      </c>
      <c r="AU551" s="18">
        <f>AJ551-AM551</f>
        <v>38712537.799999952</v>
      </c>
      <c r="AV551" s="34">
        <f>AM551-AP551</f>
        <v>0</v>
      </c>
      <c r="AW551" s="18">
        <f>AP551-AT551</f>
        <v>262842124.70000005</v>
      </c>
      <c r="AX551" s="123">
        <f>AP551/AJ551</f>
        <v>0.95538634236774289</v>
      </c>
    </row>
    <row r="552" spans="1:50" ht="18.75" customHeight="1" x14ac:dyDescent="0.2">
      <c r="A552" s="4" t="s">
        <v>55</v>
      </c>
      <c r="B552" s="4" t="s">
        <v>56</v>
      </c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1" t="s">
        <v>461</v>
      </c>
      <c r="AB552" s="42" t="s">
        <v>462</v>
      </c>
      <c r="AC552" s="43" t="s">
        <v>428</v>
      </c>
      <c r="AD552" s="43">
        <v>208691582</v>
      </c>
      <c r="AE552" s="44">
        <v>0</v>
      </c>
      <c r="AF552" s="44">
        <v>0</v>
      </c>
      <c r="AG552" s="44">
        <v>0</v>
      </c>
      <c r="AH552" s="44">
        <v>0</v>
      </c>
      <c r="AI552" s="44">
        <v>0</v>
      </c>
      <c r="AJ552" s="43">
        <v>208691582</v>
      </c>
      <c r="AK552" s="44">
        <v>0</v>
      </c>
      <c r="AL552" s="44">
        <v>0</v>
      </c>
      <c r="AM552" s="44">
        <v>0</v>
      </c>
      <c r="AN552" s="44">
        <v>0</v>
      </c>
      <c r="AO552" s="44">
        <v>0</v>
      </c>
      <c r="AP552" s="44">
        <v>0</v>
      </c>
      <c r="AQ552" s="44">
        <v>0</v>
      </c>
      <c r="AR552" s="44">
        <v>0</v>
      </c>
      <c r="AS552" s="44">
        <v>0</v>
      </c>
      <c r="AT552" s="40">
        <f t="shared" si="228"/>
        <v>0</v>
      </c>
      <c r="AU552" s="18">
        <f>AJ552-AM552</f>
        <v>208691582</v>
      </c>
      <c r="AV552" s="34">
        <f>AM552-AP552</f>
        <v>0</v>
      </c>
      <c r="AW552" s="34">
        <f>AP552-AT552</f>
        <v>0</v>
      </c>
      <c r="AX552" s="123">
        <f>AP552/AJ552</f>
        <v>0</v>
      </c>
    </row>
    <row r="553" spans="1:50" ht="24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166" t="s">
        <v>1045</v>
      </c>
      <c r="AB553" s="167" t="s">
        <v>1044</v>
      </c>
      <c r="AC553" s="168"/>
      <c r="AD553" s="44">
        <v>0</v>
      </c>
      <c r="AE553" s="43">
        <v>439408481</v>
      </c>
      <c r="AF553" s="44">
        <v>0</v>
      </c>
      <c r="AG553" s="43">
        <v>1681878981.2</v>
      </c>
      <c r="AH553" s="44">
        <v>0</v>
      </c>
      <c r="AI553" s="43">
        <f>AE553-AF553+AG553-AH553</f>
        <v>2121287462.2</v>
      </c>
      <c r="AJ553" s="43">
        <f>AD553+AI553</f>
        <v>2121287462.2</v>
      </c>
      <c r="AK553" s="44">
        <v>0</v>
      </c>
      <c r="AL553" s="44">
        <v>0</v>
      </c>
      <c r="AM553" s="44">
        <v>0</v>
      </c>
      <c r="AN553" s="44">
        <v>0</v>
      </c>
      <c r="AO553" s="44">
        <v>0</v>
      </c>
      <c r="AP553" s="44">
        <v>0</v>
      </c>
      <c r="AQ553" s="44">
        <v>0</v>
      </c>
      <c r="AR553" s="44">
        <v>0</v>
      </c>
      <c r="AS553" s="44">
        <v>0</v>
      </c>
      <c r="AT553" s="40">
        <f t="shared" si="228"/>
        <v>0</v>
      </c>
      <c r="AU553" s="18">
        <f>AJ553-AM553</f>
        <v>2121287462.2</v>
      </c>
      <c r="AV553" s="34">
        <f>AM553-AP553</f>
        <v>0</v>
      </c>
      <c r="AW553" s="34">
        <f>AP553-AT553</f>
        <v>0</v>
      </c>
      <c r="AX553" s="123">
        <f>AP553/AJ553</f>
        <v>0</v>
      </c>
    </row>
    <row r="554" spans="1:50" ht="21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171" t="s">
        <v>288</v>
      </c>
      <c r="AB554" s="213" t="s">
        <v>1040</v>
      </c>
      <c r="AC554" s="168"/>
      <c r="AD554" s="44"/>
      <c r="AE554" s="44"/>
      <c r="AF554" s="44"/>
      <c r="AG554" s="44"/>
      <c r="AH554" s="44"/>
      <c r="AI554" s="44"/>
      <c r="AJ554" s="43"/>
      <c r="AK554" s="44"/>
      <c r="AL554" s="44"/>
      <c r="AM554" s="44"/>
      <c r="AN554" s="44"/>
      <c r="AO554" s="44"/>
      <c r="AP554" s="44"/>
      <c r="AQ554" s="44"/>
      <c r="AR554" s="44"/>
      <c r="AS554" s="44"/>
      <c r="AT554" s="40"/>
      <c r="AU554" s="18"/>
      <c r="AV554" s="34"/>
      <c r="AW554" s="34"/>
      <c r="AX554" s="123"/>
    </row>
    <row r="555" spans="1:50" ht="18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166" t="s">
        <v>1041</v>
      </c>
      <c r="AB555" s="167" t="s">
        <v>1015</v>
      </c>
      <c r="AC555" s="168"/>
      <c r="AD555" s="44">
        <v>0</v>
      </c>
      <c r="AE555" s="43">
        <v>117329833</v>
      </c>
      <c r="AF555" s="44">
        <v>0</v>
      </c>
      <c r="AG555" s="43">
        <v>8000000</v>
      </c>
      <c r="AH555" s="44">
        <v>0</v>
      </c>
      <c r="AI555" s="43">
        <f>AE555-AF555+AG555-AH555</f>
        <v>125329833</v>
      </c>
      <c r="AJ555" s="43">
        <f>AD555+AI555</f>
        <v>125329833</v>
      </c>
      <c r="AK555" s="43">
        <v>0</v>
      </c>
      <c r="AL555" s="43">
        <f>AM555-JUNIO!AM553</f>
        <v>76590161</v>
      </c>
      <c r="AM555" s="43">
        <v>76590161</v>
      </c>
      <c r="AN555" s="43">
        <v>0</v>
      </c>
      <c r="AO555" s="43">
        <v>0</v>
      </c>
      <c r="AP555" s="43">
        <v>0</v>
      </c>
      <c r="AQ555" s="43">
        <v>0</v>
      </c>
      <c r="AR555" s="43">
        <v>0</v>
      </c>
      <c r="AS555" s="43">
        <v>0</v>
      </c>
      <c r="AT555" s="40">
        <f t="shared" ref="AT555" si="229">AQ555+AS555</f>
        <v>0</v>
      </c>
      <c r="AU555" s="18">
        <f>AJ555-AM555</f>
        <v>48739672</v>
      </c>
      <c r="AV555" s="18">
        <f>AM555-AP555</f>
        <v>76590161</v>
      </c>
      <c r="AW555" s="34">
        <f>AP555-AT555</f>
        <v>0</v>
      </c>
      <c r="AX555" s="123">
        <f>AP555/AJ555</f>
        <v>0</v>
      </c>
    </row>
    <row r="556" spans="1:50" ht="18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208" t="s">
        <v>288</v>
      </c>
      <c r="AB556" s="209" t="s">
        <v>463</v>
      </c>
      <c r="AC556" s="43"/>
      <c r="AD556" s="43"/>
      <c r="AE556" s="44"/>
      <c r="AF556" s="44"/>
      <c r="AG556" s="43"/>
      <c r="AH556" s="44"/>
      <c r="AI556" s="43"/>
      <c r="AJ556" s="142"/>
      <c r="AK556" s="44"/>
      <c r="AL556" s="44"/>
      <c r="AM556" s="44"/>
      <c r="AN556" s="44"/>
      <c r="AO556" s="44"/>
      <c r="AP556" s="44"/>
      <c r="AQ556" s="44"/>
      <c r="AR556" s="44"/>
      <c r="AS556" s="44"/>
      <c r="AT556" s="40"/>
      <c r="AU556" s="43"/>
      <c r="AV556" s="44"/>
      <c r="AW556" s="44"/>
      <c r="AX556" s="43"/>
    </row>
    <row r="557" spans="1:50" ht="18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134" t="s">
        <v>464</v>
      </c>
      <c r="AB557" s="17" t="s">
        <v>458</v>
      </c>
      <c r="AC557" s="43"/>
      <c r="AD557" s="44">
        <v>0</v>
      </c>
      <c r="AE557" s="44">
        <v>0</v>
      </c>
      <c r="AF557" s="44">
        <v>0</v>
      </c>
      <c r="AG557" s="43">
        <v>1555449996</v>
      </c>
      <c r="AH557" s="44">
        <v>0</v>
      </c>
      <c r="AI557" s="43">
        <f>AE557-AF557+AG557-AH557</f>
        <v>1555449996</v>
      </c>
      <c r="AJ557" s="142">
        <f>AD557+AI557</f>
        <v>1555449996</v>
      </c>
      <c r="AK557" s="44">
        <v>0</v>
      </c>
      <c r="AL557" s="44">
        <v>0</v>
      </c>
      <c r="AM557" s="44">
        <v>0</v>
      </c>
      <c r="AN557" s="44">
        <v>0</v>
      </c>
      <c r="AO557" s="44">
        <v>0</v>
      </c>
      <c r="AP557" s="44">
        <v>0</v>
      </c>
      <c r="AQ557" s="44">
        <v>0</v>
      </c>
      <c r="AR557" s="44">
        <v>0</v>
      </c>
      <c r="AS557" s="44">
        <v>0</v>
      </c>
      <c r="AT557" s="40">
        <f>AQ557+AS557</f>
        <v>0</v>
      </c>
      <c r="AU557" s="18">
        <f>AJ557-AM557</f>
        <v>1555449996</v>
      </c>
      <c r="AV557" s="34">
        <f>AM557-AP557</f>
        <v>0</v>
      </c>
      <c r="AW557" s="34">
        <f>AP557-AT557</f>
        <v>0</v>
      </c>
      <c r="AX557" s="123">
        <f>AP557/AJ557</f>
        <v>0</v>
      </c>
    </row>
    <row r="558" spans="1:50" ht="18.75" customHeight="1" x14ac:dyDescent="0.2">
      <c r="AA558" s="28" t="s">
        <v>288</v>
      </c>
      <c r="AB558" s="29" t="s">
        <v>465</v>
      </c>
      <c r="AC558" s="17"/>
      <c r="AD558" s="18"/>
      <c r="AE558" s="34"/>
      <c r="AF558" s="34"/>
      <c r="AG558" s="18"/>
      <c r="AH558" s="34"/>
      <c r="AI558" s="18"/>
      <c r="AJ558" s="147"/>
      <c r="AK558" s="34"/>
      <c r="AL558" s="34"/>
      <c r="AM558" s="34"/>
      <c r="AN558" s="34"/>
      <c r="AO558" s="34"/>
      <c r="AP558" s="34"/>
      <c r="AQ558" s="34"/>
      <c r="AR558" s="34"/>
      <c r="AS558" s="34"/>
      <c r="AT558" s="40"/>
      <c r="AU558" s="18"/>
      <c r="AV558" s="34"/>
      <c r="AW558" s="34"/>
      <c r="AX558" s="18"/>
    </row>
    <row r="559" spans="1:50" ht="18.75" customHeight="1" x14ac:dyDescent="0.2">
      <c r="A559" s="4" t="s">
        <v>55</v>
      </c>
      <c r="B559" s="4" t="s">
        <v>56</v>
      </c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1" t="s">
        <v>466</v>
      </c>
      <c r="AB559" s="42" t="s">
        <v>233</v>
      </c>
      <c r="AC559" s="43" t="s">
        <v>58</v>
      </c>
      <c r="AD559" s="44">
        <v>0</v>
      </c>
      <c r="AE559" s="44">
        <v>0</v>
      </c>
      <c r="AF559" s="44">
        <v>0</v>
      </c>
      <c r="AG559" s="43">
        <v>95000000</v>
      </c>
      <c r="AH559" s="44">
        <v>0</v>
      </c>
      <c r="AI559" s="43">
        <f>AE559-AF559+AG559-AH559</f>
        <v>95000000</v>
      </c>
      <c r="AJ559" s="142">
        <f>AD559+AI559</f>
        <v>95000000</v>
      </c>
      <c r="AK559" s="44">
        <v>0</v>
      </c>
      <c r="AL559" s="115">
        <f>AM559-JUNIO!AM557</f>
        <v>0</v>
      </c>
      <c r="AM559" s="114">
        <v>94976390.849999994</v>
      </c>
      <c r="AN559" s="44">
        <v>0</v>
      </c>
      <c r="AO559" s="114">
        <v>0</v>
      </c>
      <c r="AP559" s="114">
        <v>94976390.849999994</v>
      </c>
      <c r="AQ559" s="44">
        <v>0</v>
      </c>
      <c r="AR559" s="44">
        <v>0</v>
      </c>
      <c r="AS559" s="44">
        <v>0</v>
      </c>
      <c r="AT559" s="40">
        <f>AQ559+AS559</f>
        <v>0</v>
      </c>
      <c r="AU559" s="18">
        <f>AJ559-AM559</f>
        <v>23609.15000000596</v>
      </c>
      <c r="AV559" s="34">
        <f>AM559-AP559</f>
        <v>0</v>
      </c>
      <c r="AW559" s="110">
        <f>AP559-AT559</f>
        <v>94976390.849999994</v>
      </c>
      <c r="AX559" s="123">
        <f>AP559/AJ559</f>
        <v>0.99975148263157887</v>
      </c>
    </row>
    <row r="560" spans="1:50" ht="18.75" customHeight="1" x14ac:dyDescent="0.2">
      <c r="AA560" s="16"/>
      <c r="AB560" s="29" t="s">
        <v>467</v>
      </c>
      <c r="AC560" s="17"/>
      <c r="AD560" s="34"/>
      <c r="AE560" s="34"/>
      <c r="AF560" s="34"/>
      <c r="AG560" s="18"/>
      <c r="AH560" s="34"/>
      <c r="AI560" s="18"/>
      <c r="AJ560" s="147"/>
      <c r="AK560" s="34"/>
      <c r="AL560" s="34"/>
      <c r="AM560" s="34"/>
      <c r="AN560" s="34"/>
      <c r="AO560" s="34"/>
      <c r="AP560" s="34"/>
      <c r="AQ560" s="34"/>
      <c r="AR560" s="34"/>
      <c r="AS560" s="34"/>
      <c r="AT560" s="40"/>
      <c r="AU560" s="18"/>
      <c r="AV560" s="34"/>
      <c r="AW560" s="34"/>
      <c r="AX560" s="18"/>
    </row>
    <row r="561" spans="1:50" ht="18.75" customHeight="1" x14ac:dyDescent="0.2">
      <c r="A561" s="4" t="s">
        <v>55</v>
      </c>
      <c r="B561" s="4" t="s">
        <v>56</v>
      </c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1" t="s">
        <v>468</v>
      </c>
      <c r="AB561" s="42" t="s">
        <v>458</v>
      </c>
      <c r="AC561" s="43" t="s">
        <v>454</v>
      </c>
      <c r="AD561" s="44">
        <v>0</v>
      </c>
      <c r="AE561" s="44">
        <v>0</v>
      </c>
      <c r="AF561" s="44">
        <v>0</v>
      </c>
      <c r="AG561" s="43">
        <v>1331864802</v>
      </c>
      <c r="AH561" s="44">
        <v>0</v>
      </c>
      <c r="AI561" s="43">
        <f>AE561-AF561+AG561-AH561</f>
        <v>1331864802</v>
      </c>
      <c r="AJ561" s="43">
        <f>AD561+AI561</f>
        <v>1331864802</v>
      </c>
      <c r="AK561" s="44">
        <v>0</v>
      </c>
      <c r="AL561" s="44">
        <f>AM561-JUNIO!AM559</f>
        <v>0</v>
      </c>
      <c r="AM561" s="43">
        <v>1234550713.8599999</v>
      </c>
      <c r="AN561" s="44">
        <v>0</v>
      </c>
      <c r="AO561" s="44">
        <v>0</v>
      </c>
      <c r="AP561" s="44">
        <v>0</v>
      </c>
      <c r="AQ561" s="44">
        <v>0</v>
      </c>
      <c r="AR561" s="44">
        <v>0</v>
      </c>
      <c r="AS561" s="44">
        <v>0</v>
      </c>
      <c r="AT561" s="40">
        <f>AQ561+AS561</f>
        <v>0</v>
      </c>
      <c r="AU561" s="18">
        <f>AJ561-AM561</f>
        <v>97314088.140000105</v>
      </c>
      <c r="AV561" s="18">
        <f>AM561-AP561</f>
        <v>1234550713.8599999</v>
      </c>
      <c r="AW561" s="34">
        <f>AP561-AT561</f>
        <v>0</v>
      </c>
      <c r="AX561" s="123">
        <f>AP561/AJ561</f>
        <v>0</v>
      </c>
    </row>
    <row r="562" spans="1:50" ht="18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170" t="s">
        <v>288</v>
      </c>
      <c r="AB562" s="170" t="s">
        <v>970</v>
      </c>
      <c r="AC562" s="168"/>
      <c r="AD562" s="44"/>
      <c r="AE562" s="44"/>
      <c r="AF562" s="44"/>
      <c r="AG562" s="43"/>
      <c r="AH562" s="44"/>
      <c r="AI562" s="43"/>
      <c r="AJ562" s="43"/>
      <c r="AK562" s="44"/>
      <c r="AL562" s="44"/>
      <c r="AM562" s="44"/>
      <c r="AN562" s="44"/>
      <c r="AO562" s="44"/>
      <c r="AP562" s="44"/>
      <c r="AQ562" s="44"/>
      <c r="AR562" s="44"/>
      <c r="AS562" s="44"/>
      <c r="AT562" s="40"/>
      <c r="AU562" s="18"/>
      <c r="AV562" s="34"/>
      <c r="AW562" s="34"/>
      <c r="AX562" s="123"/>
    </row>
    <row r="563" spans="1:50" ht="18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166" t="s">
        <v>969</v>
      </c>
      <c r="AB563" s="166" t="s">
        <v>233</v>
      </c>
      <c r="AC563" s="168"/>
      <c r="AD563" s="44">
        <v>0</v>
      </c>
      <c r="AE563" s="44">
        <v>0</v>
      </c>
      <c r="AF563" s="44">
        <v>0</v>
      </c>
      <c r="AG563" s="43">
        <v>138279379</v>
      </c>
      <c r="AH563" s="43">
        <v>4993574</v>
      </c>
      <c r="AI563" s="43">
        <f>AE563-AF563+AG563-AH563</f>
        <v>133285805</v>
      </c>
      <c r="AJ563" s="43">
        <f>AD563+AI563</f>
        <v>133285805</v>
      </c>
      <c r="AK563" s="44">
        <v>0</v>
      </c>
      <c r="AL563" s="44">
        <f>AM563-JUNIO!AM561</f>
        <v>0</v>
      </c>
      <c r="AM563" s="43">
        <v>133285804.41</v>
      </c>
      <c r="AN563" s="44">
        <v>0</v>
      </c>
      <c r="AO563" s="43">
        <v>0</v>
      </c>
      <c r="AP563" s="43">
        <v>133285804.41</v>
      </c>
      <c r="AQ563" s="44">
        <v>0</v>
      </c>
      <c r="AR563" s="44">
        <v>0</v>
      </c>
      <c r="AS563" s="44">
        <v>0</v>
      </c>
      <c r="AT563" s="40">
        <f>AQ563+AS563</f>
        <v>0</v>
      </c>
      <c r="AU563" s="18">
        <f>AJ563-AM563</f>
        <v>0.59000000357627869</v>
      </c>
      <c r="AV563" s="34">
        <f>AM563-AP563</f>
        <v>0</v>
      </c>
      <c r="AW563" s="18">
        <f>AP563-AT563</f>
        <v>133285804.41</v>
      </c>
      <c r="AX563" s="123">
        <f>AP563/AJ563</f>
        <v>0.99999999557342212</v>
      </c>
    </row>
    <row r="564" spans="1:50" ht="22.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166" t="s">
        <v>1042</v>
      </c>
      <c r="AB564" s="167" t="s">
        <v>1015</v>
      </c>
      <c r="AC564" s="168"/>
      <c r="AD564" s="44">
        <v>0</v>
      </c>
      <c r="AE564" s="43">
        <v>20000000</v>
      </c>
      <c r="AF564" s="44">
        <v>0</v>
      </c>
      <c r="AG564" s="43">
        <f>50000000+50000000</f>
        <v>100000000</v>
      </c>
      <c r="AH564" s="44">
        <v>0</v>
      </c>
      <c r="AI564" s="43">
        <f t="shared" ref="AI564:AI565" si="230">AE564-AF564+AG564-AH564</f>
        <v>120000000</v>
      </c>
      <c r="AJ564" s="43">
        <f t="shared" ref="AJ564:AJ565" si="231">AD564+AI564</f>
        <v>120000000</v>
      </c>
      <c r="AK564" s="44">
        <v>0</v>
      </c>
      <c r="AL564" s="44">
        <v>0</v>
      </c>
      <c r="AM564" s="44">
        <v>0</v>
      </c>
      <c r="AN564" s="44">
        <v>0</v>
      </c>
      <c r="AO564" s="44">
        <v>0</v>
      </c>
      <c r="AP564" s="44">
        <v>0</v>
      </c>
      <c r="AQ564" s="44">
        <v>0</v>
      </c>
      <c r="AR564" s="44">
        <v>0</v>
      </c>
      <c r="AS564" s="44">
        <v>0</v>
      </c>
      <c r="AT564" s="40">
        <f t="shared" ref="AT564:AT565" si="232">AQ564+AS564</f>
        <v>0</v>
      </c>
      <c r="AU564" s="18">
        <f>AJ564-AM564</f>
        <v>120000000</v>
      </c>
      <c r="AV564" s="34">
        <f>AM564-AP564</f>
        <v>0</v>
      </c>
      <c r="AW564" s="34">
        <f>AP564-AT564</f>
        <v>0</v>
      </c>
      <c r="AX564" s="123">
        <f>AP564/AJ564</f>
        <v>0</v>
      </c>
    </row>
    <row r="565" spans="1:50" ht="27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166" t="s">
        <v>1043</v>
      </c>
      <c r="AB565" s="167" t="s">
        <v>1044</v>
      </c>
      <c r="AC565" s="168"/>
      <c r="AD565" s="44">
        <v>0</v>
      </c>
      <c r="AE565" s="43">
        <v>2160000000</v>
      </c>
      <c r="AF565" s="44">
        <v>0</v>
      </c>
      <c r="AG565" s="44">
        <v>0</v>
      </c>
      <c r="AH565" s="43">
        <v>1681878981.2</v>
      </c>
      <c r="AI565" s="43">
        <f t="shared" si="230"/>
        <v>478121018.79999995</v>
      </c>
      <c r="AJ565" s="43">
        <f t="shared" si="231"/>
        <v>478121018.79999995</v>
      </c>
      <c r="AK565" s="44">
        <v>0</v>
      </c>
      <c r="AL565" s="44">
        <v>0</v>
      </c>
      <c r="AM565" s="44">
        <v>0</v>
      </c>
      <c r="AN565" s="44">
        <v>0</v>
      </c>
      <c r="AO565" s="44">
        <v>0</v>
      </c>
      <c r="AP565" s="44">
        <v>0</v>
      </c>
      <c r="AQ565" s="44">
        <v>0</v>
      </c>
      <c r="AR565" s="44">
        <v>0</v>
      </c>
      <c r="AS565" s="44">
        <v>0</v>
      </c>
      <c r="AT565" s="40">
        <f t="shared" si="232"/>
        <v>0</v>
      </c>
      <c r="AU565" s="18">
        <f>AJ565-AM565</f>
        <v>478121018.79999995</v>
      </c>
      <c r="AV565" s="34">
        <f>AM565-AP565</f>
        <v>0</v>
      </c>
      <c r="AW565" s="34">
        <f>AP565-AT565</f>
        <v>0</v>
      </c>
      <c r="AX565" s="123">
        <f>AP565/AJ565</f>
        <v>0</v>
      </c>
    </row>
    <row r="566" spans="1:50" ht="18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171" t="s">
        <v>288</v>
      </c>
      <c r="AB566" s="171" t="s">
        <v>971</v>
      </c>
      <c r="AC566" s="168"/>
      <c r="AD566" s="44"/>
      <c r="AE566" s="44"/>
      <c r="AF566" s="44"/>
      <c r="AG566" s="43"/>
      <c r="AH566" s="44"/>
      <c r="AI566" s="43"/>
      <c r="AJ566" s="43"/>
      <c r="AK566" s="44"/>
      <c r="AL566" s="44"/>
      <c r="AM566" s="44"/>
      <c r="AN566" s="44"/>
      <c r="AO566" s="44"/>
      <c r="AP566" s="44"/>
      <c r="AQ566" s="44"/>
      <c r="AR566" s="44"/>
      <c r="AS566" s="44"/>
      <c r="AT566" s="40"/>
      <c r="AU566" s="18"/>
      <c r="AV566" s="34"/>
      <c r="AW566" s="34"/>
      <c r="AX566" s="123"/>
    </row>
    <row r="567" spans="1:50" ht="18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166" t="s">
        <v>968</v>
      </c>
      <c r="AB567" s="166" t="s">
        <v>233</v>
      </c>
      <c r="AC567" s="168"/>
      <c r="AD567" s="44">
        <v>0</v>
      </c>
      <c r="AE567" s="44">
        <v>0</v>
      </c>
      <c r="AF567" s="44">
        <v>0</v>
      </c>
      <c r="AG567" s="43">
        <v>610000000</v>
      </c>
      <c r="AH567" s="44"/>
      <c r="AI567" s="43">
        <f>AE567-AF567+AG567-AH567</f>
        <v>610000000</v>
      </c>
      <c r="AJ567" s="43">
        <f>AD567+AI567</f>
        <v>610000000</v>
      </c>
      <c r="AK567" s="44">
        <v>0</v>
      </c>
      <c r="AL567" s="43">
        <f>AM567-JUNIO!AM565</f>
        <v>-270211449.05000001</v>
      </c>
      <c r="AM567" s="43">
        <v>41500000</v>
      </c>
      <c r="AN567" s="43">
        <v>8000000</v>
      </c>
      <c r="AO567" s="44">
        <v>14000000</v>
      </c>
      <c r="AP567" s="44">
        <v>14000000</v>
      </c>
      <c r="AQ567" s="44">
        <v>0</v>
      </c>
      <c r="AR567" s="44">
        <v>0</v>
      </c>
      <c r="AS567" s="44">
        <v>0</v>
      </c>
      <c r="AT567" s="40">
        <f>AQ567+AS567</f>
        <v>0</v>
      </c>
      <c r="AU567" s="18">
        <f>AJ567-AM567</f>
        <v>568500000</v>
      </c>
      <c r="AV567" s="18">
        <f>AM567-AP567</f>
        <v>27500000</v>
      </c>
      <c r="AW567" s="34">
        <f>AP567-AT567</f>
        <v>14000000</v>
      </c>
      <c r="AX567" s="123">
        <f>AP567/AJ567</f>
        <v>2.2950819672131147E-2</v>
      </c>
    </row>
    <row r="568" spans="1:50" ht="18.75" customHeight="1" x14ac:dyDescent="0.2">
      <c r="AA568" s="169" t="s">
        <v>288</v>
      </c>
      <c r="AB568" s="205" t="s">
        <v>469</v>
      </c>
      <c r="AC568" s="17"/>
      <c r="AD568" s="18"/>
      <c r="AE568" s="18"/>
      <c r="AF568" s="18"/>
      <c r="AG568" s="18"/>
      <c r="AH568" s="34"/>
      <c r="AI568" s="18"/>
      <c r="AJ568" s="18"/>
      <c r="AK568" s="34"/>
      <c r="AL568" s="34"/>
      <c r="AM568" s="34"/>
      <c r="AN568" s="34"/>
      <c r="AO568" s="34"/>
      <c r="AP568" s="34"/>
      <c r="AQ568" s="34"/>
      <c r="AR568" s="34"/>
      <c r="AS568" s="34"/>
      <c r="AT568" s="40"/>
      <c r="AU568" s="18"/>
      <c r="AV568" s="34"/>
      <c r="AW568" s="18"/>
      <c r="AX568" s="18"/>
    </row>
    <row r="569" spans="1:50" ht="18.75" customHeight="1" x14ac:dyDescent="0.2">
      <c r="A569" s="4" t="s">
        <v>55</v>
      </c>
      <c r="B569" s="4" t="s">
        <v>56</v>
      </c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211" t="s">
        <v>470</v>
      </c>
      <c r="AB569" s="265" t="s">
        <v>233</v>
      </c>
      <c r="AC569" s="43" t="s">
        <v>58</v>
      </c>
      <c r="AD569" s="43">
        <v>128000000</v>
      </c>
      <c r="AE569" s="44">
        <v>0</v>
      </c>
      <c r="AF569" s="44">
        <v>0</v>
      </c>
      <c r="AG569" s="43">
        <v>89000000</v>
      </c>
      <c r="AH569" s="44">
        <v>0</v>
      </c>
      <c r="AI569" s="43">
        <f>AE569-AF569+AG569-AH569</f>
        <v>89000000</v>
      </c>
      <c r="AJ569" s="43">
        <f>AD569+AI569</f>
        <v>217000000</v>
      </c>
      <c r="AK569" s="44">
        <v>0</v>
      </c>
      <c r="AL569" s="44">
        <v>0</v>
      </c>
      <c r="AM569" s="44">
        <v>0</v>
      </c>
      <c r="AN569" s="44">
        <v>0</v>
      </c>
      <c r="AO569" s="44">
        <v>0</v>
      </c>
      <c r="AP569" s="44">
        <v>0</v>
      </c>
      <c r="AQ569" s="44">
        <v>0</v>
      </c>
      <c r="AR569" s="44">
        <v>0</v>
      </c>
      <c r="AS569" s="44">
        <v>0</v>
      </c>
      <c r="AT569" s="40">
        <f>AQ569+AS569</f>
        <v>0</v>
      </c>
      <c r="AU569" s="18">
        <f>AJ569-AM569</f>
        <v>217000000</v>
      </c>
      <c r="AV569" s="34">
        <f>AM569-AP569</f>
        <v>0</v>
      </c>
      <c r="AW569" s="34">
        <f>AP569-AT569</f>
        <v>0</v>
      </c>
      <c r="AX569" s="123">
        <f>AP569/AJ569</f>
        <v>0</v>
      </c>
    </row>
    <row r="570" spans="1:50" ht="28.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166" t="s">
        <v>1029</v>
      </c>
      <c r="AB570" s="266" t="s">
        <v>1030</v>
      </c>
      <c r="AC570" s="168"/>
      <c r="AD570" s="44">
        <v>0</v>
      </c>
      <c r="AE570" s="43">
        <v>451451337.30000001</v>
      </c>
      <c r="AF570" s="44">
        <v>0</v>
      </c>
      <c r="AG570" s="44">
        <v>0</v>
      </c>
      <c r="AH570" s="43">
        <v>451451337.30000001</v>
      </c>
      <c r="AI570" s="44">
        <f t="shared" ref="AI570:AI572" si="233">AE570-AF570+AG570-AH570</f>
        <v>0</v>
      </c>
      <c r="AJ570" s="44">
        <f t="shared" ref="AJ570:AJ572" si="234">AD570+AI570</f>
        <v>0</v>
      </c>
      <c r="AK570" s="44">
        <v>0</v>
      </c>
      <c r="AL570" s="44">
        <v>0</v>
      </c>
      <c r="AM570" s="44">
        <v>0</v>
      </c>
      <c r="AN570" s="44">
        <v>0</v>
      </c>
      <c r="AO570" s="44">
        <v>0</v>
      </c>
      <c r="AP570" s="44">
        <v>0</v>
      </c>
      <c r="AQ570" s="44">
        <v>0</v>
      </c>
      <c r="AR570" s="44">
        <v>0</v>
      </c>
      <c r="AS570" s="44">
        <v>0</v>
      </c>
      <c r="AT570" s="40">
        <f t="shared" ref="AT570:AT572" si="235">AQ570+AS570</f>
        <v>0</v>
      </c>
      <c r="AU570" s="34">
        <f>AJ570-AM570</f>
        <v>0</v>
      </c>
      <c r="AV570" s="34">
        <f>AM570-AP570</f>
        <v>0</v>
      </c>
      <c r="AW570" s="34">
        <f>AP570-AT570</f>
        <v>0</v>
      </c>
      <c r="AX570" s="123">
        <v>0</v>
      </c>
    </row>
    <row r="571" spans="1:50" ht="18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166" t="s">
        <v>1031</v>
      </c>
      <c r="AB571" s="266" t="s">
        <v>1032</v>
      </c>
      <c r="AC571" s="168"/>
      <c r="AD571" s="44">
        <v>0</v>
      </c>
      <c r="AE571" s="43">
        <v>700000000</v>
      </c>
      <c r="AF571" s="44">
        <v>0</v>
      </c>
      <c r="AG571" s="44">
        <v>0</v>
      </c>
      <c r="AH571" s="43">
        <v>700000000</v>
      </c>
      <c r="AI571" s="44">
        <f t="shared" si="233"/>
        <v>0</v>
      </c>
      <c r="AJ571" s="44">
        <f t="shared" si="234"/>
        <v>0</v>
      </c>
      <c r="AK571" s="44">
        <v>0</v>
      </c>
      <c r="AL571" s="44">
        <v>0</v>
      </c>
      <c r="AM571" s="44">
        <v>0</v>
      </c>
      <c r="AN571" s="44">
        <v>0</v>
      </c>
      <c r="AO571" s="44">
        <v>0</v>
      </c>
      <c r="AP571" s="44">
        <v>0</v>
      </c>
      <c r="AQ571" s="44">
        <v>0</v>
      </c>
      <c r="AR571" s="44">
        <v>0</v>
      </c>
      <c r="AS571" s="44">
        <v>0</v>
      </c>
      <c r="AT571" s="40">
        <f t="shared" si="235"/>
        <v>0</v>
      </c>
      <c r="AU571" s="34">
        <f>AJ571-AM571</f>
        <v>0</v>
      </c>
      <c r="AV571" s="34">
        <f>AM571-AP571</f>
        <v>0</v>
      </c>
      <c r="AW571" s="34">
        <f>AP571-AT571</f>
        <v>0</v>
      </c>
      <c r="AX571" s="123">
        <v>0</v>
      </c>
    </row>
    <row r="572" spans="1:50" ht="18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166" t="s">
        <v>1033</v>
      </c>
      <c r="AB572" s="167" t="s">
        <v>1034</v>
      </c>
      <c r="AC572" s="168"/>
      <c r="AD572" s="44">
        <v>0</v>
      </c>
      <c r="AE572" s="43">
        <v>1040743</v>
      </c>
      <c r="AF572" s="44">
        <v>0</v>
      </c>
      <c r="AG572" s="44">
        <v>0</v>
      </c>
      <c r="AH572" s="43">
        <v>1040743</v>
      </c>
      <c r="AI572" s="44">
        <f t="shared" si="233"/>
        <v>0</v>
      </c>
      <c r="AJ572" s="44">
        <f t="shared" si="234"/>
        <v>0</v>
      </c>
      <c r="AK572" s="44">
        <v>0</v>
      </c>
      <c r="AL572" s="44">
        <v>0</v>
      </c>
      <c r="AM572" s="44">
        <v>0</v>
      </c>
      <c r="AN572" s="44">
        <v>0</v>
      </c>
      <c r="AO572" s="44">
        <v>0</v>
      </c>
      <c r="AP572" s="44">
        <v>0</v>
      </c>
      <c r="AQ572" s="44">
        <v>0</v>
      </c>
      <c r="AR572" s="44">
        <v>0</v>
      </c>
      <c r="AS572" s="44">
        <v>0</v>
      </c>
      <c r="AT572" s="40">
        <f t="shared" si="235"/>
        <v>0</v>
      </c>
      <c r="AU572" s="34">
        <f>AJ572-AM572</f>
        <v>0</v>
      </c>
      <c r="AV572" s="34">
        <f>AM572-AP572</f>
        <v>0</v>
      </c>
      <c r="AW572" s="34">
        <f>AP572-AT572</f>
        <v>0</v>
      </c>
      <c r="AX572" s="123">
        <v>0</v>
      </c>
    </row>
    <row r="573" spans="1:50" ht="18.75" customHeight="1" x14ac:dyDescent="0.2">
      <c r="AA573" s="169" t="s">
        <v>288</v>
      </c>
      <c r="AB573" s="163" t="s">
        <v>471</v>
      </c>
      <c r="AC573" s="17"/>
      <c r="AD573" s="18"/>
      <c r="AE573" s="34"/>
      <c r="AF573" s="34"/>
      <c r="AG573" s="34"/>
      <c r="AH573" s="18"/>
      <c r="AI573" s="18"/>
      <c r="AJ573" s="18"/>
      <c r="AK573" s="34"/>
      <c r="AL573" s="34"/>
      <c r="AM573" s="34"/>
      <c r="AN573" s="34"/>
      <c r="AO573" s="34"/>
      <c r="AP573" s="34"/>
      <c r="AQ573" s="34"/>
      <c r="AR573" s="34"/>
      <c r="AS573" s="34"/>
      <c r="AT573" s="40"/>
      <c r="AU573" s="18"/>
      <c r="AV573" s="34"/>
      <c r="AW573" s="34"/>
      <c r="AX573" s="18"/>
    </row>
    <row r="574" spans="1:50" ht="18.75" customHeight="1" x14ac:dyDescent="0.2">
      <c r="A574" s="4" t="s">
        <v>55</v>
      </c>
      <c r="B574" s="4" t="s">
        <v>56</v>
      </c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1" t="s">
        <v>472</v>
      </c>
      <c r="AB574" s="42" t="s">
        <v>453</v>
      </c>
      <c r="AC574" s="43" t="s">
        <v>454</v>
      </c>
      <c r="AD574" s="43">
        <v>16500000000</v>
      </c>
      <c r="AE574" s="44">
        <v>0</v>
      </c>
      <c r="AF574" s="44">
        <v>0</v>
      </c>
      <c r="AG574" s="44">
        <v>0</v>
      </c>
      <c r="AH574" s="43">
        <v>16500000000</v>
      </c>
      <c r="AI574" s="43">
        <f>AE574-AF574+AG574-AH574</f>
        <v>-16500000000</v>
      </c>
      <c r="AJ574" s="44">
        <f>AD574+AI574</f>
        <v>0</v>
      </c>
      <c r="AK574" s="44">
        <v>0</v>
      </c>
      <c r="AL574" s="44">
        <v>0</v>
      </c>
      <c r="AM574" s="44">
        <v>0</v>
      </c>
      <c r="AN574" s="44">
        <v>0</v>
      </c>
      <c r="AO574" s="44">
        <v>0</v>
      </c>
      <c r="AP574" s="44">
        <v>0</v>
      </c>
      <c r="AQ574" s="44">
        <v>0</v>
      </c>
      <c r="AR574" s="44">
        <v>0</v>
      </c>
      <c r="AS574" s="44">
        <v>0</v>
      </c>
      <c r="AT574" s="40">
        <f>AQ574+AS574</f>
        <v>0</v>
      </c>
      <c r="AU574" s="34">
        <f>AJ574-AM574</f>
        <v>0</v>
      </c>
      <c r="AV574" s="34">
        <f>AM574-AP574</f>
        <v>0</v>
      </c>
      <c r="AW574" s="34">
        <f>AP574-AT574</f>
        <v>0</v>
      </c>
      <c r="AX574" s="123">
        <v>0</v>
      </c>
    </row>
    <row r="575" spans="1:50" ht="25.5" x14ac:dyDescent="0.2">
      <c r="AA575" s="28" t="s">
        <v>288</v>
      </c>
      <c r="AB575" s="29" t="s">
        <v>473</v>
      </c>
      <c r="AC575" s="17"/>
      <c r="AD575" s="18"/>
      <c r="AE575" s="18"/>
      <c r="AF575" s="18"/>
      <c r="AG575" s="18"/>
      <c r="AH575" s="18"/>
      <c r="AI575" s="18"/>
      <c r="AJ575" s="18"/>
      <c r="AK575" s="34"/>
      <c r="AL575" s="34"/>
      <c r="AM575" s="34"/>
      <c r="AN575" s="34"/>
      <c r="AO575" s="34"/>
      <c r="AP575" s="34"/>
      <c r="AQ575" s="18"/>
      <c r="AR575" s="18"/>
      <c r="AS575" s="18"/>
      <c r="AT575" s="40"/>
      <c r="AU575" s="18"/>
      <c r="AV575" s="34"/>
      <c r="AW575" s="34"/>
      <c r="AX575" s="18"/>
    </row>
    <row r="576" spans="1:50" ht="18.75" customHeight="1" x14ac:dyDescent="0.2">
      <c r="A576" s="4" t="s">
        <v>55</v>
      </c>
      <c r="B576" s="4" t="s">
        <v>56</v>
      </c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1" t="s">
        <v>474</v>
      </c>
      <c r="AB576" s="42" t="s">
        <v>233</v>
      </c>
      <c r="AC576" s="43" t="s">
        <v>58</v>
      </c>
      <c r="AD576" s="44">
        <v>0</v>
      </c>
      <c r="AE576" s="44">
        <v>0</v>
      </c>
      <c r="AF576" s="44">
        <v>0</v>
      </c>
      <c r="AG576" s="43">
        <v>22204778</v>
      </c>
      <c r="AH576" s="44">
        <v>0</v>
      </c>
      <c r="AI576" s="43">
        <f>AE576-AF576+AG576-AH576</f>
        <v>22204778</v>
      </c>
      <c r="AJ576" s="43">
        <f>AD576+AI576</f>
        <v>22204778</v>
      </c>
      <c r="AK576" s="44">
        <v>0</v>
      </c>
      <c r="AL576" s="44">
        <v>0</v>
      </c>
      <c r="AM576" s="44">
        <v>0</v>
      </c>
      <c r="AN576" s="44">
        <v>0</v>
      </c>
      <c r="AO576" s="44">
        <v>0</v>
      </c>
      <c r="AP576" s="44">
        <v>0</v>
      </c>
      <c r="AQ576" s="44">
        <v>0</v>
      </c>
      <c r="AR576" s="44">
        <v>0</v>
      </c>
      <c r="AS576" s="44">
        <v>0</v>
      </c>
      <c r="AT576" s="40">
        <f>AQ576+AS576</f>
        <v>0</v>
      </c>
      <c r="AU576" s="18">
        <f>AJ576-AM576</f>
        <v>22204778</v>
      </c>
      <c r="AV576" s="34">
        <f>AM576-AP576</f>
        <v>0</v>
      </c>
      <c r="AW576" s="34">
        <f>AP576-AT576</f>
        <v>0</v>
      </c>
      <c r="AX576" s="123">
        <f>AP576/AJ576</f>
        <v>0</v>
      </c>
    </row>
    <row r="577" spans="1:50" ht="18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1" t="s">
        <v>1279</v>
      </c>
      <c r="AB577" s="42" t="s">
        <v>1280</v>
      </c>
      <c r="AC577" s="168"/>
      <c r="AD577" s="44">
        <v>0</v>
      </c>
      <c r="AE577" s="44">
        <v>0</v>
      </c>
      <c r="AF577" s="44">
        <v>0</v>
      </c>
      <c r="AG577" s="43">
        <v>451451337.30000001</v>
      </c>
      <c r="AH577" s="44"/>
      <c r="AI577" s="43">
        <f t="shared" ref="AI577:AI581" si="236">AE577-AF577+AG577-AH577</f>
        <v>451451337.30000001</v>
      </c>
      <c r="AJ577" s="43">
        <f t="shared" ref="AJ577:AJ581" si="237">AD577+AI577</f>
        <v>451451337.30000001</v>
      </c>
      <c r="AK577" s="44">
        <v>0</v>
      </c>
      <c r="AL577" s="44">
        <v>0</v>
      </c>
      <c r="AM577" s="44">
        <v>0</v>
      </c>
      <c r="AN577" s="44">
        <v>0</v>
      </c>
      <c r="AO577" s="44">
        <v>0</v>
      </c>
      <c r="AP577" s="44">
        <v>0</v>
      </c>
      <c r="AQ577" s="44">
        <v>0</v>
      </c>
      <c r="AR577" s="44">
        <v>0</v>
      </c>
      <c r="AS577" s="44">
        <v>0</v>
      </c>
      <c r="AT577" s="40">
        <f t="shared" ref="AT577:AT580" si="238">AQ577+AS577</f>
        <v>0</v>
      </c>
      <c r="AU577" s="18">
        <f t="shared" ref="AU577:AU580" si="239">AJ577-AM577</f>
        <v>451451337.30000001</v>
      </c>
      <c r="AV577" s="34">
        <f t="shared" ref="AV577:AV580" si="240">AM577-AP577</f>
        <v>0</v>
      </c>
      <c r="AW577" s="34">
        <f t="shared" ref="AW577:AW580" si="241">AP577-AT577</f>
        <v>0</v>
      </c>
      <c r="AX577" s="123">
        <f t="shared" ref="AX577:AX580" si="242">AP577/AJ577</f>
        <v>0</v>
      </c>
    </row>
    <row r="578" spans="1:50" ht="18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1" t="s">
        <v>1281</v>
      </c>
      <c r="AB578" s="42" t="s">
        <v>1032</v>
      </c>
      <c r="AC578" s="168"/>
      <c r="AD578" s="44">
        <v>0</v>
      </c>
      <c r="AE578" s="44">
        <v>0</v>
      </c>
      <c r="AF578" s="44">
        <v>0</v>
      </c>
      <c r="AG578" s="43">
        <v>700000000</v>
      </c>
      <c r="AH578" s="44"/>
      <c r="AI578" s="43">
        <f t="shared" si="236"/>
        <v>700000000</v>
      </c>
      <c r="AJ578" s="43">
        <f t="shared" si="237"/>
        <v>700000000</v>
      </c>
      <c r="AK578" s="44">
        <v>0</v>
      </c>
      <c r="AL578" s="44">
        <v>0</v>
      </c>
      <c r="AM578" s="44">
        <v>0</v>
      </c>
      <c r="AN578" s="44">
        <v>0</v>
      </c>
      <c r="AO578" s="44">
        <v>0</v>
      </c>
      <c r="AP578" s="44">
        <v>0</v>
      </c>
      <c r="AQ578" s="44">
        <v>0</v>
      </c>
      <c r="AR578" s="44">
        <v>0</v>
      </c>
      <c r="AS578" s="44">
        <v>0</v>
      </c>
      <c r="AT578" s="40">
        <f t="shared" si="238"/>
        <v>0</v>
      </c>
      <c r="AU578" s="18">
        <f t="shared" si="239"/>
        <v>700000000</v>
      </c>
      <c r="AV578" s="34">
        <f t="shared" si="240"/>
        <v>0</v>
      </c>
      <c r="AW578" s="34">
        <f t="shared" si="241"/>
        <v>0</v>
      </c>
      <c r="AX578" s="123">
        <f t="shared" si="242"/>
        <v>0</v>
      </c>
    </row>
    <row r="579" spans="1:50" ht="29.2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1" t="s">
        <v>1282</v>
      </c>
      <c r="AB579" s="42" t="s">
        <v>1047</v>
      </c>
      <c r="AC579" s="168"/>
      <c r="AD579" s="44">
        <v>0</v>
      </c>
      <c r="AE579" s="44">
        <v>0</v>
      </c>
      <c r="AF579" s="44">
        <v>0</v>
      </c>
      <c r="AG579" s="43">
        <v>186255799.66</v>
      </c>
      <c r="AH579" s="44"/>
      <c r="AI579" s="43">
        <f t="shared" si="236"/>
        <v>186255799.66</v>
      </c>
      <c r="AJ579" s="43">
        <f t="shared" si="237"/>
        <v>186255799.66</v>
      </c>
      <c r="AK579" s="44">
        <v>0</v>
      </c>
      <c r="AL579" s="44">
        <v>0</v>
      </c>
      <c r="AM579" s="44">
        <v>0</v>
      </c>
      <c r="AN579" s="44">
        <v>0</v>
      </c>
      <c r="AO579" s="44">
        <v>0</v>
      </c>
      <c r="AP579" s="44">
        <v>0</v>
      </c>
      <c r="AQ579" s="44">
        <v>0</v>
      </c>
      <c r="AR579" s="44">
        <v>0</v>
      </c>
      <c r="AS579" s="44">
        <v>0</v>
      </c>
      <c r="AT579" s="40">
        <f t="shared" si="238"/>
        <v>0</v>
      </c>
      <c r="AU579" s="18">
        <f t="shared" si="239"/>
        <v>186255799.66</v>
      </c>
      <c r="AV579" s="34">
        <f t="shared" si="240"/>
        <v>0</v>
      </c>
      <c r="AW579" s="34">
        <f t="shared" si="241"/>
        <v>0</v>
      </c>
      <c r="AX579" s="123">
        <f t="shared" si="242"/>
        <v>0</v>
      </c>
    </row>
    <row r="580" spans="1:50" ht="18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1" t="s">
        <v>1283</v>
      </c>
      <c r="AB580" s="42" t="s">
        <v>1284</v>
      </c>
      <c r="AC580" s="168"/>
      <c r="AD580" s="44">
        <v>0</v>
      </c>
      <c r="AE580" s="44">
        <v>0</v>
      </c>
      <c r="AF580" s="44">
        <v>0</v>
      </c>
      <c r="AG580" s="43">
        <v>1040743</v>
      </c>
      <c r="AH580" s="44"/>
      <c r="AI580" s="43">
        <f t="shared" si="236"/>
        <v>1040743</v>
      </c>
      <c r="AJ580" s="43">
        <f t="shared" si="237"/>
        <v>1040743</v>
      </c>
      <c r="AK580" s="44">
        <v>0</v>
      </c>
      <c r="AL580" s="44">
        <v>0</v>
      </c>
      <c r="AM580" s="44">
        <v>0</v>
      </c>
      <c r="AN580" s="44">
        <v>0</v>
      </c>
      <c r="AO580" s="44">
        <v>0</v>
      </c>
      <c r="AP580" s="44">
        <v>0</v>
      </c>
      <c r="AQ580" s="44">
        <v>0</v>
      </c>
      <c r="AR580" s="44">
        <v>0</v>
      </c>
      <c r="AS580" s="44">
        <v>0</v>
      </c>
      <c r="AT580" s="40">
        <f t="shared" si="238"/>
        <v>0</v>
      </c>
      <c r="AU580" s="18">
        <f t="shared" si="239"/>
        <v>1040743</v>
      </c>
      <c r="AV580" s="34">
        <f t="shared" si="240"/>
        <v>0</v>
      </c>
      <c r="AW580" s="34">
        <f t="shared" si="241"/>
        <v>0</v>
      </c>
      <c r="AX580" s="123">
        <f t="shared" si="242"/>
        <v>0</v>
      </c>
    </row>
    <row r="581" spans="1:50" ht="27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166" t="s">
        <v>1046</v>
      </c>
      <c r="AB581" s="167" t="s">
        <v>1047</v>
      </c>
      <c r="AC581" s="168"/>
      <c r="AD581" s="44">
        <v>0</v>
      </c>
      <c r="AE581" s="43">
        <v>186255799.66</v>
      </c>
      <c r="AF581" s="44">
        <v>0</v>
      </c>
      <c r="AG581" s="44">
        <v>0</v>
      </c>
      <c r="AH581" s="43">
        <v>186255799.66</v>
      </c>
      <c r="AI581" s="43">
        <f t="shared" si="236"/>
        <v>0</v>
      </c>
      <c r="AJ581" s="43">
        <f t="shared" si="237"/>
        <v>0</v>
      </c>
      <c r="AK581" s="44">
        <v>0</v>
      </c>
      <c r="AL581" s="44">
        <v>0</v>
      </c>
      <c r="AM581" s="44">
        <v>0</v>
      </c>
      <c r="AN581" s="44">
        <v>0</v>
      </c>
      <c r="AO581" s="44">
        <v>0</v>
      </c>
      <c r="AP581" s="44">
        <v>0</v>
      </c>
      <c r="AQ581" s="44">
        <v>0</v>
      </c>
      <c r="AR581" s="44">
        <v>0</v>
      </c>
      <c r="AS581" s="44">
        <v>0</v>
      </c>
      <c r="AT581" s="40">
        <f>AQ581+AS581</f>
        <v>0</v>
      </c>
      <c r="AU581" s="34">
        <f>AJ581-AM581</f>
        <v>0</v>
      </c>
      <c r="AV581" s="34">
        <f>AM581-AP581</f>
        <v>0</v>
      </c>
      <c r="AW581" s="34">
        <f>AP581-AT581</f>
        <v>0</v>
      </c>
      <c r="AX581" s="123">
        <v>0</v>
      </c>
    </row>
    <row r="582" spans="1:50" ht="25.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171" t="s">
        <v>288</v>
      </c>
      <c r="AB582" s="213" t="s">
        <v>1037</v>
      </c>
      <c r="AC582" s="168"/>
      <c r="AD582" s="44"/>
      <c r="AE582" s="44"/>
      <c r="AF582" s="44"/>
      <c r="AG582" s="43"/>
      <c r="AH582" s="44"/>
      <c r="AI582" s="43"/>
      <c r="AJ582" s="43"/>
      <c r="AK582" s="44"/>
      <c r="AL582" s="44"/>
      <c r="AM582" s="44"/>
      <c r="AN582" s="44"/>
      <c r="AO582" s="44"/>
      <c r="AP582" s="44"/>
      <c r="AQ582" s="44"/>
      <c r="AR582" s="44"/>
      <c r="AS582" s="44"/>
      <c r="AT582" s="40"/>
      <c r="AU582" s="18"/>
      <c r="AV582" s="34"/>
      <c r="AW582" s="34"/>
      <c r="AX582" s="123"/>
    </row>
    <row r="583" spans="1:50" ht="28.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166" t="s">
        <v>1038</v>
      </c>
      <c r="AB583" s="167" t="s">
        <v>1039</v>
      </c>
      <c r="AC583" s="168"/>
      <c r="AD583" s="44">
        <v>0</v>
      </c>
      <c r="AE583" s="43">
        <v>266733201.66</v>
      </c>
      <c r="AF583" s="44">
        <v>0</v>
      </c>
      <c r="AG583" s="44">
        <v>0</v>
      </c>
      <c r="AH583" s="44">
        <v>0</v>
      </c>
      <c r="AI583" s="43">
        <f>AE583-AF583+AG583-AH583</f>
        <v>266733201.66</v>
      </c>
      <c r="AJ583" s="43">
        <f>AD583+AI583</f>
        <v>266733201.66</v>
      </c>
      <c r="AK583" s="44">
        <v>0</v>
      </c>
      <c r="AL583" s="44">
        <v>0</v>
      </c>
      <c r="AM583" s="44">
        <v>0</v>
      </c>
      <c r="AN583" s="44">
        <v>0</v>
      </c>
      <c r="AO583" s="44">
        <v>0</v>
      </c>
      <c r="AP583" s="44">
        <v>0</v>
      </c>
      <c r="AQ583" s="44">
        <v>0</v>
      </c>
      <c r="AR583" s="44">
        <v>0</v>
      </c>
      <c r="AS583" s="44">
        <v>0</v>
      </c>
      <c r="AT583" s="40">
        <f>AQ583+AS583</f>
        <v>0</v>
      </c>
      <c r="AU583" s="18">
        <f>AJ583-AM583</f>
        <v>266733201.66</v>
      </c>
      <c r="AV583" s="34">
        <f>AM583-AP583</f>
        <v>0</v>
      </c>
      <c r="AW583" s="34">
        <f>AP583-AT583</f>
        <v>0</v>
      </c>
      <c r="AX583" s="123">
        <f>AP583/AJ583</f>
        <v>0</v>
      </c>
    </row>
    <row r="584" spans="1:50" x14ac:dyDescent="0.2">
      <c r="AA584" s="162"/>
      <c r="AB584" s="163" t="s">
        <v>475</v>
      </c>
      <c r="AC584" s="17"/>
      <c r="AD584" s="34"/>
      <c r="AE584" s="34"/>
      <c r="AF584" s="34"/>
      <c r="AG584" s="18"/>
      <c r="AH584" s="34"/>
      <c r="AI584" s="18"/>
      <c r="AJ584" s="18"/>
      <c r="AK584" s="34"/>
      <c r="AL584" s="34"/>
      <c r="AM584" s="34"/>
      <c r="AN584" s="34"/>
      <c r="AO584" s="34"/>
      <c r="AP584" s="34"/>
      <c r="AQ584" s="34"/>
      <c r="AR584" s="34"/>
      <c r="AS584" s="34"/>
      <c r="AT584" s="40"/>
      <c r="AU584" s="18"/>
      <c r="AV584" s="34"/>
      <c r="AW584" s="18"/>
      <c r="AX584" s="18"/>
    </row>
    <row r="585" spans="1:50" x14ac:dyDescent="0.2">
      <c r="A585" s="4" t="s">
        <v>55</v>
      </c>
      <c r="B585" s="4" t="s">
        <v>56</v>
      </c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1" t="s">
        <v>476</v>
      </c>
      <c r="AB585" s="42" t="s">
        <v>458</v>
      </c>
      <c r="AC585" s="43" t="s">
        <v>454</v>
      </c>
      <c r="AD585" s="44">
        <v>0</v>
      </c>
      <c r="AE585" s="44">
        <v>0</v>
      </c>
      <c r="AF585" s="44">
        <v>0</v>
      </c>
      <c r="AG585" s="43">
        <v>3975320525</v>
      </c>
      <c r="AH585" s="44">
        <v>0</v>
      </c>
      <c r="AI585" s="43">
        <f>AE585-AF585+AG585-AH585</f>
        <v>3975320525</v>
      </c>
      <c r="AJ585" s="43">
        <f>AD585+AI585</f>
        <v>3975320525</v>
      </c>
      <c r="AK585" s="115">
        <v>0</v>
      </c>
      <c r="AL585" s="43">
        <f>AM585-JUNIO!AM579</f>
        <v>-136842</v>
      </c>
      <c r="AM585" s="114">
        <v>3726811888</v>
      </c>
      <c r="AN585" s="44">
        <v>0</v>
      </c>
      <c r="AO585" s="44">
        <v>444860990</v>
      </c>
      <c r="AP585" s="44">
        <v>444860990</v>
      </c>
      <c r="AQ585" s="44">
        <v>0</v>
      </c>
      <c r="AR585" s="44">
        <v>0</v>
      </c>
      <c r="AS585" s="44">
        <v>0</v>
      </c>
      <c r="AT585" s="40">
        <f>AQ585+AS585</f>
        <v>0</v>
      </c>
      <c r="AU585" s="18">
        <f>AJ585-AM585</f>
        <v>248508637</v>
      </c>
      <c r="AV585" s="110">
        <f>AM585-AP585</f>
        <v>3281950898</v>
      </c>
      <c r="AW585" s="18">
        <f>AP585-AT585</f>
        <v>444860990</v>
      </c>
      <c r="AX585" s="123">
        <f>AP585/AJ585</f>
        <v>0.11190569092538771</v>
      </c>
    </row>
    <row r="586" spans="1:50" ht="25.5" x14ac:dyDescent="0.2">
      <c r="AA586" s="28" t="s">
        <v>288</v>
      </c>
      <c r="AB586" s="29" t="s">
        <v>477</v>
      </c>
      <c r="AC586" s="17"/>
      <c r="AD586" s="18"/>
      <c r="AE586" s="18"/>
      <c r="AF586" s="18"/>
      <c r="AG586" s="18"/>
      <c r="AH586" s="18"/>
      <c r="AI586" s="18"/>
      <c r="AJ586" s="18"/>
      <c r="AK586" s="34"/>
      <c r="AL586" s="34"/>
      <c r="AM586" s="18"/>
      <c r="AN586" s="18"/>
      <c r="AO586" s="18"/>
      <c r="AP586" s="18"/>
      <c r="AQ586" s="34"/>
      <c r="AR586" s="34"/>
      <c r="AS586" s="34"/>
      <c r="AT586" s="40"/>
      <c r="AU586" s="18"/>
      <c r="AV586" s="18"/>
      <c r="AW586" s="18"/>
      <c r="AX586" s="18"/>
    </row>
    <row r="587" spans="1:50" x14ac:dyDescent="0.2">
      <c r="A587" s="4" t="s">
        <v>55</v>
      </c>
      <c r="B587" s="4" t="s">
        <v>56</v>
      </c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1" t="s">
        <v>478</v>
      </c>
      <c r="AB587" s="42" t="s">
        <v>233</v>
      </c>
      <c r="AC587" s="43" t="s">
        <v>58</v>
      </c>
      <c r="AD587" s="43">
        <v>389814494</v>
      </c>
      <c r="AE587" s="44">
        <v>0</v>
      </c>
      <c r="AF587" s="44">
        <v>0</v>
      </c>
      <c r="AG587" s="43">
        <v>50860045</v>
      </c>
      <c r="AH587" s="44">
        <v>0</v>
      </c>
      <c r="AI587" s="43">
        <f>AE587-AF587+AG587-AH587</f>
        <v>50860045</v>
      </c>
      <c r="AJ587" s="43">
        <f>AD587+AI587</f>
        <v>440674539</v>
      </c>
      <c r="AK587" s="44">
        <v>0</v>
      </c>
      <c r="AL587" s="43">
        <v>0</v>
      </c>
      <c r="AM587" s="43">
        <v>440674539</v>
      </c>
      <c r="AN587" s="44">
        <v>0</v>
      </c>
      <c r="AO587" s="44">
        <v>0</v>
      </c>
      <c r="AP587" s="43">
        <v>440674539</v>
      </c>
      <c r="AQ587" s="43">
        <v>0</v>
      </c>
      <c r="AR587" s="43">
        <v>151061867.18000001</v>
      </c>
      <c r="AS587" s="43">
        <v>296520436.25</v>
      </c>
      <c r="AT587" s="39">
        <f>AQ587+AS587</f>
        <v>296520436.25</v>
      </c>
      <c r="AU587" s="34">
        <f>AJ587-AM587</f>
        <v>0</v>
      </c>
      <c r="AV587" s="34">
        <f>AM587-AP587</f>
        <v>0</v>
      </c>
      <c r="AW587" s="18">
        <f>AP587-AT587</f>
        <v>144154102.75</v>
      </c>
      <c r="AX587" s="123">
        <f>AP587/AJ587</f>
        <v>1</v>
      </c>
    </row>
    <row r="588" spans="1:50" ht="25.5" x14ac:dyDescent="0.2">
      <c r="A588" s="4" t="s">
        <v>55</v>
      </c>
      <c r="B588" s="4" t="s">
        <v>56</v>
      </c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1" t="s">
        <v>479</v>
      </c>
      <c r="AB588" s="42" t="s">
        <v>480</v>
      </c>
      <c r="AC588" s="43" t="s">
        <v>368</v>
      </c>
      <c r="AD588" s="43">
        <v>88687399.159999996</v>
      </c>
      <c r="AE588" s="44">
        <v>0</v>
      </c>
      <c r="AF588" s="44">
        <v>0</v>
      </c>
      <c r="AG588" s="44">
        <v>0</v>
      </c>
      <c r="AH588" s="44">
        <v>0</v>
      </c>
      <c r="AI588" s="44">
        <v>0</v>
      </c>
      <c r="AJ588" s="142">
        <v>88687399.159999996</v>
      </c>
      <c r="AK588" s="44">
        <v>0</v>
      </c>
      <c r="AL588" s="43">
        <v>0</v>
      </c>
      <c r="AM588" s="43">
        <v>88687399</v>
      </c>
      <c r="AN588" s="44">
        <v>0</v>
      </c>
      <c r="AO588" s="44">
        <v>0</v>
      </c>
      <c r="AP588" s="43">
        <v>88687399</v>
      </c>
      <c r="AQ588" s="44">
        <v>0</v>
      </c>
      <c r="AR588" s="43">
        <v>34078387</v>
      </c>
      <c r="AS588" s="43">
        <v>64981854</v>
      </c>
      <c r="AT588" s="39">
        <f>AQ588+AS588</f>
        <v>64981854</v>
      </c>
      <c r="AU588" s="18">
        <f>AJ588-AM588</f>
        <v>0.15999999642372131</v>
      </c>
      <c r="AV588" s="34">
        <f>AM588-AP588</f>
        <v>0</v>
      </c>
      <c r="AW588" s="18">
        <f>AP588-AT588</f>
        <v>23705545</v>
      </c>
      <c r="AX588" s="123">
        <f>AP588/AJ588</f>
        <v>0.99999999819591057</v>
      </c>
    </row>
    <row r="589" spans="1:50" ht="25.5" x14ac:dyDescent="0.2">
      <c r="AA589" s="28" t="s">
        <v>288</v>
      </c>
      <c r="AB589" s="29" t="s">
        <v>481</v>
      </c>
      <c r="AC589" s="17"/>
      <c r="AD589" s="18"/>
      <c r="AE589" s="18"/>
      <c r="AF589" s="18"/>
      <c r="AG589" s="18"/>
      <c r="AH589" s="18"/>
      <c r="AI589" s="18"/>
      <c r="AJ589" s="147"/>
      <c r="AK589" s="34"/>
      <c r="AL589" s="34"/>
      <c r="AM589" s="18"/>
      <c r="AN589" s="34"/>
      <c r="AO589" s="18"/>
      <c r="AP589" s="18"/>
      <c r="AQ589" s="34"/>
      <c r="AR589" s="34"/>
      <c r="AS589" s="34"/>
      <c r="AT589" s="40"/>
      <c r="AU589" s="18"/>
      <c r="AV589" s="18"/>
      <c r="AW589" s="18"/>
      <c r="AX589" s="18"/>
    </row>
    <row r="590" spans="1:50" x14ac:dyDescent="0.2">
      <c r="A590" s="4" t="s">
        <v>55</v>
      </c>
      <c r="B590" s="4" t="s">
        <v>56</v>
      </c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1" t="s">
        <v>482</v>
      </c>
      <c r="AB590" s="42" t="s">
        <v>233</v>
      </c>
      <c r="AC590" s="43" t="s">
        <v>58</v>
      </c>
      <c r="AD590" s="43">
        <v>732098782</v>
      </c>
      <c r="AE590" s="44">
        <v>0</v>
      </c>
      <c r="AF590" s="44">
        <v>0</v>
      </c>
      <c r="AG590" s="43">
        <v>96486764</v>
      </c>
      <c r="AH590" s="44">
        <v>0</v>
      </c>
      <c r="AI590" s="43">
        <f>AE590-AF590+AG590-AH590</f>
        <v>96486764</v>
      </c>
      <c r="AJ590" s="142">
        <f>AD590+AI590</f>
        <v>828585546</v>
      </c>
      <c r="AK590" s="44">
        <v>0</v>
      </c>
      <c r="AL590" s="43">
        <f>AM590-JUNIO!AM584</f>
        <v>170202101.5</v>
      </c>
      <c r="AM590" s="43">
        <v>828287647.5</v>
      </c>
      <c r="AN590" s="44">
        <v>0</v>
      </c>
      <c r="AO590" s="44">
        <v>170202101.5</v>
      </c>
      <c r="AP590" s="43">
        <v>828287647.5</v>
      </c>
      <c r="AQ590" s="44">
        <v>150223149.5</v>
      </c>
      <c r="AR590" s="43">
        <v>124030564.01000001</v>
      </c>
      <c r="AS590" s="43">
        <v>265605838.13999999</v>
      </c>
      <c r="AT590" s="39">
        <f>AQ590+AS590</f>
        <v>415828987.63999999</v>
      </c>
      <c r="AU590" s="18">
        <f>AJ590-AM590</f>
        <v>297898.5</v>
      </c>
      <c r="AV590" s="34">
        <f>AM590-AP590</f>
        <v>0</v>
      </c>
      <c r="AW590" s="18">
        <f>AP590-AT590</f>
        <v>412458659.86000001</v>
      </c>
      <c r="AX590" s="123">
        <f>AP590/AJ590</f>
        <v>0.99964047345329865</v>
      </c>
    </row>
    <row r="591" spans="1:50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1" t="s">
        <v>979</v>
      </c>
      <c r="AB591" s="42" t="s">
        <v>453</v>
      </c>
      <c r="AC591" s="43"/>
      <c r="AD591" s="44">
        <v>0</v>
      </c>
      <c r="AE591" s="43">
        <f>17804659196+8428553475</f>
        <v>26233212671</v>
      </c>
      <c r="AF591" s="44">
        <v>0</v>
      </c>
      <c r="AG591" s="44">
        <v>0</v>
      </c>
      <c r="AH591" s="44">
        <v>0</v>
      </c>
      <c r="AI591" s="43">
        <f>AE591-AF591+AG591-AH591</f>
        <v>26233212671</v>
      </c>
      <c r="AJ591" s="142">
        <f>AD591+AI591</f>
        <v>26233212671</v>
      </c>
      <c r="AK591" s="44">
        <v>0</v>
      </c>
      <c r="AL591" s="43">
        <f>AM591-JUNIO!AM585</f>
        <v>-83946</v>
      </c>
      <c r="AM591" s="43">
        <v>17240785988</v>
      </c>
      <c r="AN591" s="43">
        <v>1662960260</v>
      </c>
      <c r="AO591" s="44">
        <v>12229632833</v>
      </c>
      <c r="AP591" s="43">
        <v>12229632833</v>
      </c>
      <c r="AQ591" s="44">
        <v>0</v>
      </c>
      <c r="AR591" s="44">
        <v>0</v>
      </c>
      <c r="AS591" s="44">
        <v>0</v>
      </c>
      <c r="AT591" s="39">
        <f>AQ591+AS591</f>
        <v>0</v>
      </c>
      <c r="AU591" s="18">
        <f>AJ591-AM591</f>
        <v>8992426683</v>
      </c>
      <c r="AV591" s="18">
        <f>AM591-AP591</f>
        <v>5011153155</v>
      </c>
      <c r="AW591" s="18">
        <f>AP591-AT591</f>
        <v>12229632833</v>
      </c>
      <c r="AX591" s="40">
        <f>AP591/AJ591</f>
        <v>0.46618891046156458</v>
      </c>
    </row>
    <row r="592" spans="1:50" x14ac:dyDescent="0.2">
      <c r="AA592" s="28" t="s">
        <v>288</v>
      </c>
      <c r="AB592" s="29" t="s">
        <v>483</v>
      </c>
      <c r="AC592" s="17"/>
      <c r="AD592" s="18"/>
      <c r="AE592" s="34"/>
      <c r="AF592" s="34"/>
      <c r="AG592" s="18"/>
      <c r="AH592" s="34"/>
      <c r="AI592" s="18"/>
      <c r="AJ592" s="147"/>
      <c r="AK592" s="34"/>
      <c r="AL592" s="34"/>
      <c r="AM592" s="18"/>
      <c r="AN592" s="34"/>
      <c r="AO592" s="34"/>
      <c r="AP592" s="18"/>
      <c r="AQ592" s="34"/>
      <c r="AR592" s="34"/>
      <c r="AS592" s="34"/>
      <c r="AT592" s="40"/>
      <c r="AU592" s="18"/>
      <c r="AV592" s="34"/>
      <c r="AW592" s="18"/>
      <c r="AX592" s="18"/>
    </row>
    <row r="593" spans="1:50" x14ac:dyDescent="0.2">
      <c r="A593" s="4" t="s">
        <v>55</v>
      </c>
      <c r="B593" s="4" t="s">
        <v>56</v>
      </c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1" t="s">
        <v>484</v>
      </c>
      <c r="AB593" s="42" t="s">
        <v>233</v>
      </c>
      <c r="AC593" s="43" t="s">
        <v>58</v>
      </c>
      <c r="AD593" s="44">
        <v>0</v>
      </c>
      <c r="AE593" s="44">
        <v>0</v>
      </c>
      <c r="AF593" s="44">
        <v>0</v>
      </c>
      <c r="AG593" s="43">
        <f>60325921.15+40465552</f>
        <v>100791473.15000001</v>
      </c>
      <c r="AH593" s="44">
        <v>0</v>
      </c>
      <c r="AI593" s="43">
        <f>AE593-AF593+AG593-AH593</f>
        <v>100791473.15000001</v>
      </c>
      <c r="AJ593" s="142">
        <f>AD593+AI593</f>
        <v>100791473.15000001</v>
      </c>
      <c r="AK593" s="44">
        <v>0</v>
      </c>
      <c r="AL593" s="43">
        <v>0</v>
      </c>
      <c r="AM593" s="43">
        <v>100758121.22</v>
      </c>
      <c r="AN593" s="44">
        <v>0</v>
      </c>
      <c r="AO593" s="44">
        <v>0</v>
      </c>
      <c r="AP593" s="43">
        <v>100758121.22</v>
      </c>
      <c r="AQ593" s="44">
        <v>0</v>
      </c>
      <c r="AR593" s="44">
        <v>0</v>
      </c>
      <c r="AS593" s="44">
        <v>0</v>
      </c>
      <c r="AT593" s="40">
        <f>AQ593+AS593</f>
        <v>0</v>
      </c>
      <c r="AU593" s="18">
        <f>AJ593-AM593</f>
        <v>33351.930000007153</v>
      </c>
      <c r="AV593" s="34">
        <f>AM593-AP593</f>
        <v>0</v>
      </c>
      <c r="AW593" s="18">
        <f>AP593-AT593</f>
        <v>100758121.22</v>
      </c>
      <c r="AX593" s="123">
        <f>AP593/AJ593</f>
        <v>0.99966909968712958</v>
      </c>
    </row>
    <row r="594" spans="1:50" x14ac:dyDescent="0.2">
      <c r="AA594" s="28" t="s">
        <v>288</v>
      </c>
      <c r="AB594" s="29" t="s">
        <v>485</v>
      </c>
      <c r="AC594" s="17"/>
      <c r="AD594" s="18"/>
      <c r="AE594" s="34"/>
      <c r="AF594" s="34"/>
      <c r="AG594" s="18"/>
      <c r="AH594" s="34"/>
      <c r="AI594" s="18"/>
      <c r="AJ594" s="147"/>
      <c r="AK594" s="34"/>
      <c r="AL594" s="18"/>
      <c r="AM594" s="18"/>
      <c r="AN594" s="34"/>
      <c r="AO594" s="34"/>
      <c r="AP594" s="18"/>
      <c r="AQ594" s="34"/>
      <c r="AR594" s="34"/>
      <c r="AS594" s="34"/>
      <c r="AT594" s="40"/>
      <c r="AU594" s="18"/>
      <c r="AV594" s="34"/>
      <c r="AW594" s="34"/>
      <c r="AX594" s="18"/>
    </row>
    <row r="595" spans="1:50" x14ac:dyDescent="0.2">
      <c r="A595" s="4" t="s">
        <v>55</v>
      </c>
      <c r="B595" s="4" t="s">
        <v>56</v>
      </c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1" t="s">
        <v>972</v>
      </c>
      <c r="AB595" s="42" t="s">
        <v>233</v>
      </c>
      <c r="AC595" s="43" t="s">
        <v>58</v>
      </c>
      <c r="AD595" s="43">
        <v>530557116</v>
      </c>
      <c r="AE595" s="44">
        <v>0</v>
      </c>
      <c r="AF595" s="44">
        <v>0</v>
      </c>
      <c r="AG595" s="44">
        <v>0</v>
      </c>
      <c r="AH595" s="44">
        <v>0</v>
      </c>
      <c r="AI595" s="43">
        <f>AE595-AF595+AG595-AH595</f>
        <v>0</v>
      </c>
      <c r="AJ595" s="142">
        <f>AD595+AI595</f>
        <v>530557116</v>
      </c>
      <c r="AK595" s="44">
        <v>0</v>
      </c>
      <c r="AL595" s="44">
        <v>0</v>
      </c>
      <c r="AM595" s="44">
        <v>0</v>
      </c>
      <c r="AN595" s="44">
        <v>0</v>
      </c>
      <c r="AO595" s="44">
        <v>0</v>
      </c>
      <c r="AP595" s="43">
        <v>0</v>
      </c>
      <c r="AQ595" s="44">
        <v>0</v>
      </c>
      <c r="AR595" s="44">
        <v>0</v>
      </c>
      <c r="AS595" s="44">
        <v>0</v>
      </c>
      <c r="AT595" s="40">
        <f>AQ595+AS595</f>
        <v>0</v>
      </c>
      <c r="AU595" s="18">
        <f>AJ595-AM595</f>
        <v>530557116</v>
      </c>
      <c r="AV595" s="34">
        <f>AM595-AP595</f>
        <v>0</v>
      </c>
      <c r="AW595" s="34">
        <f>AP595-AT595</f>
        <v>0</v>
      </c>
      <c r="AX595" s="123">
        <f>AP595/AJ595</f>
        <v>0</v>
      </c>
    </row>
    <row r="596" spans="1:50" ht="38.25" x14ac:dyDescent="0.2">
      <c r="AA596" s="16"/>
      <c r="AB596" s="29" t="s">
        <v>193</v>
      </c>
      <c r="AC596" s="17"/>
      <c r="AD596" s="18"/>
      <c r="AE596" s="34"/>
      <c r="AF596" s="34"/>
      <c r="AG596" s="18"/>
      <c r="AH596" s="18"/>
      <c r="AI596" s="18"/>
      <c r="AJ596" s="147"/>
      <c r="AK596" s="34"/>
      <c r="AL596" s="34"/>
      <c r="AM596" s="34"/>
      <c r="AN596" s="34"/>
      <c r="AO596" s="34"/>
      <c r="AP596" s="34"/>
      <c r="AQ596" s="34"/>
      <c r="AR596" s="34"/>
      <c r="AS596" s="34"/>
      <c r="AT596" s="40"/>
      <c r="AU596" s="18"/>
      <c r="AV596" s="34"/>
      <c r="AW596" s="18"/>
      <c r="AX596" s="18"/>
    </row>
    <row r="597" spans="1:50" ht="18.75" customHeight="1" x14ac:dyDescent="0.2">
      <c r="AA597" s="28" t="s">
        <v>288</v>
      </c>
      <c r="AB597" s="29" t="s">
        <v>487</v>
      </c>
      <c r="AC597" s="17"/>
      <c r="AD597" s="18"/>
      <c r="AE597" s="34"/>
      <c r="AF597" s="34"/>
      <c r="AG597" s="18"/>
      <c r="AH597" s="18"/>
      <c r="AI597" s="18"/>
      <c r="AJ597" s="147"/>
      <c r="AK597" s="34"/>
      <c r="AL597" s="34"/>
      <c r="AM597" s="34"/>
      <c r="AN597" s="34"/>
      <c r="AO597" s="34"/>
      <c r="AP597" s="34"/>
      <c r="AQ597" s="34"/>
      <c r="AR597" s="34"/>
      <c r="AS597" s="34"/>
      <c r="AT597" s="40"/>
      <c r="AU597" s="18"/>
      <c r="AV597" s="34"/>
      <c r="AW597" s="18"/>
      <c r="AX597" s="18"/>
    </row>
    <row r="598" spans="1:50" ht="18.75" customHeight="1" x14ac:dyDescent="0.2">
      <c r="A598" s="4" t="s">
        <v>55</v>
      </c>
      <c r="B598" s="4" t="s">
        <v>56</v>
      </c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1" t="s">
        <v>488</v>
      </c>
      <c r="AB598" s="42" t="s">
        <v>439</v>
      </c>
      <c r="AC598" s="43" t="s">
        <v>428</v>
      </c>
      <c r="AD598" s="43">
        <v>14800000000</v>
      </c>
      <c r="AE598" s="44">
        <v>0</v>
      </c>
      <c r="AF598" s="44">
        <v>0</v>
      </c>
      <c r="AG598" s="44">
        <v>0</v>
      </c>
      <c r="AH598" s="43">
        <f>265538240+219103236.8</f>
        <v>484641476.80000001</v>
      </c>
      <c r="AI598" s="43">
        <f>AE598-AF598+AG598-AH598</f>
        <v>-484641476.80000001</v>
      </c>
      <c r="AJ598" s="43">
        <f>AD598+AI598</f>
        <v>14315358523.200001</v>
      </c>
      <c r="AK598" s="44">
        <v>0</v>
      </c>
      <c r="AL598" s="114">
        <f>AM598-JUNIO!AM592</f>
        <v>909894998</v>
      </c>
      <c r="AM598" s="114">
        <v>6250598418</v>
      </c>
      <c r="AN598" s="44">
        <v>0</v>
      </c>
      <c r="AO598" s="114">
        <v>909894998</v>
      </c>
      <c r="AP598" s="114">
        <v>6250598418</v>
      </c>
      <c r="AQ598" s="44">
        <v>0</v>
      </c>
      <c r="AR598" s="114">
        <v>909894998</v>
      </c>
      <c r="AS598" s="114">
        <v>6250598418</v>
      </c>
      <c r="AT598" s="111">
        <f t="shared" si="228"/>
        <v>6250598418</v>
      </c>
      <c r="AU598" s="18">
        <f t="shared" ref="AU598:AU603" si="243">AJ598-AM598</f>
        <v>8064760105.2000008</v>
      </c>
      <c r="AV598" s="34">
        <f t="shared" ref="AV598:AV603" si="244">AM598-AP598</f>
        <v>0</v>
      </c>
      <c r="AW598" s="34">
        <f t="shared" ref="AW598:AW603" si="245">AP598-AT598</f>
        <v>0</v>
      </c>
      <c r="AX598" s="123">
        <f t="shared" ref="AX598:AX603" si="246">AP598/AJ598</f>
        <v>0.43663582772796422</v>
      </c>
    </row>
    <row r="599" spans="1:50" ht="18.75" customHeight="1" x14ac:dyDescent="0.2">
      <c r="A599" s="4" t="s">
        <v>55</v>
      </c>
      <c r="B599" s="4" t="s">
        <v>56</v>
      </c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1" t="s">
        <v>489</v>
      </c>
      <c r="AB599" s="42" t="s">
        <v>490</v>
      </c>
      <c r="AC599" s="43" t="s">
        <v>368</v>
      </c>
      <c r="AD599" s="43">
        <v>28000000.199999999</v>
      </c>
      <c r="AE599" s="44">
        <v>0</v>
      </c>
      <c r="AF599" s="44">
        <v>0</v>
      </c>
      <c r="AG599" s="44">
        <v>0</v>
      </c>
      <c r="AH599" s="44">
        <v>0</v>
      </c>
      <c r="AI599" s="43">
        <f>AE599-AF599+AG599-AH599</f>
        <v>0</v>
      </c>
      <c r="AJ599" s="43">
        <f>AD599+AI599</f>
        <v>28000000.199999999</v>
      </c>
      <c r="AK599" s="44">
        <v>0</v>
      </c>
      <c r="AL599" s="114">
        <f>AM599-JUNIO!AM593</f>
        <v>2086409</v>
      </c>
      <c r="AM599" s="114">
        <v>13639902</v>
      </c>
      <c r="AN599" s="44">
        <v>0</v>
      </c>
      <c r="AO599" s="114">
        <v>2086409</v>
      </c>
      <c r="AP599" s="114">
        <v>13639902</v>
      </c>
      <c r="AQ599" s="44">
        <v>0</v>
      </c>
      <c r="AR599" s="114">
        <v>2086409</v>
      </c>
      <c r="AS599" s="114">
        <v>13639902</v>
      </c>
      <c r="AT599" s="111">
        <f t="shared" si="228"/>
        <v>13639902</v>
      </c>
      <c r="AU599" s="18">
        <f t="shared" si="243"/>
        <v>14360098.199999999</v>
      </c>
      <c r="AV599" s="34">
        <f t="shared" si="244"/>
        <v>0</v>
      </c>
      <c r="AW599" s="34">
        <f t="shared" si="245"/>
        <v>0</v>
      </c>
      <c r="AX599" s="123">
        <f t="shared" si="246"/>
        <v>0.48713935366329036</v>
      </c>
    </row>
    <row r="600" spans="1:50" ht="18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166" t="s">
        <v>1073</v>
      </c>
      <c r="AB600" s="167" t="s">
        <v>1074</v>
      </c>
      <c r="AC600" s="168"/>
      <c r="AD600" s="44">
        <v>0</v>
      </c>
      <c r="AE600" s="43">
        <v>505000000</v>
      </c>
      <c r="AF600" s="44">
        <v>0</v>
      </c>
      <c r="AG600" s="44">
        <v>0</v>
      </c>
      <c r="AH600" s="44">
        <v>0</v>
      </c>
      <c r="AI600" s="43">
        <f t="shared" ref="AI600:AI603" si="247">AE600-AF600+AG600-AH600</f>
        <v>505000000</v>
      </c>
      <c r="AJ600" s="43">
        <f t="shared" ref="AJ600:AJ603" si="248">AD600+AI600</f>
        <v>505000000</v>
      </c>
      <c r="AK600" s="44">
        <v>0</v>
      </c>
      <c r="AL600" s="115">
        <v>0</v>
      </c>
      <c r="AM600" s="115">
        <v>0</v>
      </c>
      <c r="AN600" s="44">
        <v>0</v>
      </c>
      <c r="AO600" s="114">
        <v>0</v>
      </c>
      <c r="AP600" s="114">
        <v>0</v>
      </c>
      <c r="AQ600" s="44">
        <v>0</v>
      </c>
      <c r="AR600" s="114">
        <v>0</v>
      </c>
      <c r="AS600" s="114"/>
      <c r="AT600" s="111">
        <f t="shared" si="228"/>
        <v>0</v>
      </c>
      <c r="AU600" s="18">
        <f t="shared" si="243"/>
        <v>505000000</v>
      </c>
      <c r="AV600" s="34">
        <f t="shared" si="244"/>
        <v>0</v>
      </c>
      <c r="AW600" s="34">
        <f t="shared" si="245"/>
        <v>0</v>
      </c>
      <c r="AX600" s="123">
        <f t="shared" si="246"/>
        <v>0</v>
      </c>
    </row>
    <row r="601" spans="1:50" ht="18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166" t="s">
        <v>1075</v>
      </c>
      <c r="AB601" s="167" t="s">
        <v>1074</v>
      </c>
      <c r="AC601" s="168"/>
      <c r="AD601" s="44">
        <v>0</v>
      </c>
      <c r="AE601" s="43">
        <v>13000000</v>
      </c>
      <c r="AF601" s="44">
        <v>0</v>
      </c>
      <c r="AG601" s="44">
        <v>0</v>
      </c>
      <c r="AH601" s="44">
        <v>0</v>
      </c>
      <c r="AI601" s="43">
        <f t="shared" si="247"/>
        <v>13000000</v>
      </c>
      <c r="AJ601" s="43">
        <f t="shared" si="248"/>
        <v>13000000</v>
      </c>
      <c r="AK601" s="44">
        <v>0</v>
      </c>
      <c r="AL601" s="115">
        <v>0</v>
      </c>
      <c r="AM601" s="115">
        <v>0</v>
      </c>
      <c r="AN601" s="44">
        <v>0</v>
      </c>
      <c r="AO601" s="115">
        <v>0</v>
      </c>
      <c r="AP601" s="115">
        <v>0</v>
      </c>
      <c r="AQ601" s="44">
        <v>0</v>
      </c>
      <c r="AR601" s="115">
        <v>0</v>
      </c>
      <c r="AS601" s="115">
        <v>0</v>
      </c>
      <c r="AT601" s="135">
        <f t="shared" si="228"/>
        <v>0</v>
      </c>
      <c r="AU601" s="18">
        <f t="shared" si="243"/>
        <v>13000000</v>
      </c>
      <c r="AV601" s="34">
        <f t="shared" si="244"/>
        <v>0</v>
      </c>
      <c r="AW601" s="34">
        <f t="shared" si="245"/>
        <v>0</v>
      </c>
      <c r="AX601" s="123">
        <f t="shared" si="246"/>
        <v>0</v>
      </c>
    </row>
    <row r="602" spans="1:50" ht="18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166" t="s">
        <v>1076</v>
      </c>
      <c r="AB602" s="167" t="s">
        <v>1074</v>
      </c>
      <c r="AC602" s="168"/>
      <c r="AD602" s="44">
        <v>0</v>
      </c>
      <c r="AE602" s="43">
        <v>30358521.859999999</v>
      </c>
      <c r="AF602" s="44">
        <v>0</v>
      </c>
      <c r="AG602" s="44">
        <v>0</v>
      </c>
      <c r="AH602" s="44">
        <v>0</v>
      </c>
      <c r="AI602" s="43">
        <f t="shared" si="247"/>
        <v>30358521.859999999</v>
      </c>
      <c r="AJ602" s="43">
        <f t="shared" si="248"/>
        <v>30358521.859999999</v>
      </c>
      <c r="AK602" s="44">
        <v>0</v>
      </c>
      <c r="AL602" s="115">
        <v>0</v>
      </c>
      <c r="AM602" s="115">
        <v>0</v>
      </c>
      <c r="AN602" s="44">
        <v>0</v>
      </c>
      <c r="AO602" s="115">
        <v>0</v>
      </c>
      <c r="AP602" s="115">
        <v>0</v>
      </c>
      <c r="AQ602" s="44">
        <v>0</v>
      </c>
      <c r="AR602" s="115">
        <v>0</v>
      </c>
      <c r="AS602" s="115">
        <v>0</v>
      </c>
      <c r="AT602" s="135">
        <f t="shared" si="228"/>
        <v>0</v>
      </c>
      <c r="AU602" s="18">
        <f t="shared" si="243"/>
        <v>30358521.859999999</v>
      </c>
      <c r="AV602" s="34">
        <f t="shared" si="244"/>
        <v>0</v>
      </c>
      <c r="AW602" s="34">
        <f t="shared" si="245"/>
        <v>0</v>
      </c>
      <c r="AX602" s="123">
        <f t="shared" si="246"/>
        <v>0</v>
      </c>
    </row>
    <row r="603" spans="1:50" ht="18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166" t="s">
        <v>1077</v>
      </c>
      <c r="AB603" s="167" t="s">
        <v>1074</v>
      </c>
      <c r="AC603" s="168"/>
      <c r="AD603" s="44">
        <v>0</v>
      </c>
      <c r="AE603" s="43">
        <v>4485910634</v>
      </c>
      <c r="AF603" s="44">
        <v>0</v>
      </c>
      <c r="AG603" s="44">
        <v>0</v>
      </c>
      <c r="AH603" s="43">
        <v>1886000000</v>
      </c>
      <c r="AI603" s="43">
        <f t="shared" si="247"/>
        <v>2599910634</v>
      </c>
      <c r="AJ603" s="43">
        <f t="shared" si="248"/>
        <v>2599910634</v>
      </c>
      <c r="AK603" s="44">
        <v>0</v>
      </c>
      <c r="AL603" s="115">
        <v>0</v>
      </c>
      <c r="AM603" s="115">
        <v>0</v>
      </c>
      <c r="AN603" s="44">
        <v>0</v>
      </c>
      <c r="AO603" s="115">
        <v>0</v>
      </c>
      <c r="AP603" s="115">
        <v>0</v>
      </c>
      <c r="AQ603" s="44">
        <v>0</v>
      </c>
      <c r="AR603" s="115">
        <v>0</v>
      </c>
      <c r="AS603" s="115">
        <v>0</v>
      </c>
      <c r="AT603" s="135">
        <f t="shared" si="228"/>
        <v>0</v>
      </c>
      <c r="AU603" s="18">
        <f t="shared" si="243"/>
        <v>2599910634</v>
      </c>
      <c r="AV603" s="34">
        <f t="shared" si="244"/>
        <v>0</v>
      </c>
      <c r="AW603" s="34">
        <f t="shared" si="245"/>
        <v>0</v>
      </c>
      <c r="AX603" s="123">
        <f t="shared" si="246"/>
        <v>0</v>
      </c>
    </row>
    <row r="604" spans="1:50" ht="25.5" x14ac:dyDescent="0.2">
      <c r="AA604" s="162"/>
      <c r="AB604" s="163" t="s">
        <v>195</v>
      </c>
      <c r="AC604" s="17"/>
      <c r="AD604" s="18"/>
      <c r="AE604" s="34"/>
      <c r="AF604" s="34"/>
      <c r="AG604" s="34"/>
      <c r="AH604" s="34"/>
      <c r="AI604" s="34"/>
      <c r="AJ604" s="18"/>
      <c r="AK604" s="34"/>
      <c r="AL604" s="18"/>
      <c r="AM604" s="18"/>
      <c r="AN604" s="34"/>
      <c r="AO604" s="18"/>
      <c r="AP604" s="18"/>
      <c r="AQ604" s="18"/>
      <c r="AR604" s="18"/>
      <c r="AS604" s="18"/>
      <c r="AT604" s="30"/>
      <c r="AU604" s="18"/>
      <c r="AV604" s="18"/>
      <c r="AW604" s="18"/>
      <c r="AX604" s="18"/>
    </row>
    <row r="605" spans="1:50" ht="18.75" customHeight="1" x14ac:dyDescent="0.2">
      <c r="AA605" s="28" t="s">
        <v>288</v>
      </c>
      <c r="AB605" s="29" t="s">
        <v>487</v>
      </c>
      <c r="AC605" s="17"/>
      <c r="AD605" s="18"/>
      <c r="AE605" s="34"/>
      <c r="AF605" s="34"/>
      <c r="AG605" s="34"/>
      <c r="AH605" s="34"/>
      <c r="AI605" s="34"/>
      <c r="AJ605" s="18"/>
      <c r="AK605" s="34"/>
      <c r="AL605" s="18"/>
      <c r="AM605" s="18"/>
      <c r="AN605" s="34"/>
      <c r="AO605" s="18"/>
      <c r="AP605" s="18"/>
      <c r="AQ605" s="18"/>
      <c r="AR605" s="18"/>
      <c r="AS605" s="18"/>
      <c r="AT605" s="30"/>
      <c r="AU605" s="18"/>
      <c r="AV605" s="18"/>
      <c r="AW605" s="18"/>
      <c r="AX605" s="18"/>
    </row>
    <row r="606" spans="1:50" ht="18.75" customHeight="1" x14ac:dyDescent="0.2">
      <c r="A606" s="4" t="s">
        <v>55</v>
      </c>
      <c r="B606" s="4" t="s">
        <v>56</v>
      </c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1" t="s">
        <v>491</v>
      </c>
      <c r="AB606" s="42" t="s">
        <v>490</v>
      </c>
      <c r="AC606" s="43" t="s">
        <v>368</v>
      </c>
      <c r="AD606" s="43">
        <v>192000000</v>
      </c>
      <c r="AE606" s="44">
        <v>0</v>
      </c>
      <c r="AF606" s="44">
        <v>0</v>
      </c>
      <c r="AG606" s="44">
        <v>0</v>
      </c>
      <c r="AH606" s="44">
        <v>0</v>
      </c>
      <c r="AI606" s="44">
        <v>0</v>
      </c>
      <c r="AJ606" s="43">
        <v>192000000</v>
      </c>
      <c r="AK606" s="44">
        <v>0</v>
      </c>
      <c r="AL606" s="44">
        <v>0</v>
      </c>
      <c r="AM606" s="43">
        <v>166971871</v>
      </c>
      <c r="AN606" s="44">
        <v>0</v>
      </c>
      <c r="AO606" s="44">
        <v>0</v>
      </c>
      <c r="AP606" s="43">
        <v>166971871</v>
      </c>
      <c r="AQ606" s="44">
        <v>0</v>
      </c>
      <c r="AR606" s="43">
        <v>15179261</v>
      </c>
      <c r="AS606" s="43">
        <v>75390330</v>
      </c>
      <c r="AT606" s="39">
        <f>AQ606+AS606</f>
        <v>75390330</v>
      </c>
      <c r="AU606" s="18">
        <f>AJ606-AM606</f>
        <v>25028129</v>
      </c>
      <c r="AV606" s="34">
        <f>AM606-AP606</f>
        <v>0</v>
      </c>
      <c r="AW606" s="18">
        <f>AP606-AT606</f>
        <v>91581541</v>
      </c>
      <c r="AX606" s="123">
        <f>AP606/AJ606</f>
        <v>0.86964516145833337</v>
      </c>
    </row>
    <row r="607" spans="1:50" ht="25.5" x14ac:dyDescent="0.2">
      <c r="AA607" s="16"/>
      <c r="AB607" s="29" t="s">
        <v>197</v>
      </c>
      <c r="AC607" s="17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34"/>
      <c r="AO607" s="34"/>
      <c r="AP607" s="18"/>
      <c r="AQ607" s="34"/>
      <c r="AR607" s="34"/>
      <c r="AS607" s="34"/>
      <c r="AT607" s="40"/>
      <c r="AU607" s="18"/>
      <c r="AV607" s="18"/>
      <c r="AW607" s="18"/>
      <c r="AX607" s="18"/>
    </row>
    <row r="608" spans="1:50" ht="17.25" customHeight="1" x14ac:dyDescent="0.2">
      <c r="AA608" s="170" t="s">
        <v>288</v>
      </c>
      <c r="AB608" s="165" t="s">
        <v>1048</v>
      </c>
      <c r="AC608" s="161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34"/>
      <c r="AO608" s="34"/>
      <c r="AP608" s="18"/>
      <c r="AQ608" s="34"/>
      <c r="AR608" s="34"/>
      <c r="AS608" s="34"/>
      <c r="AT608" s="40"/>
      <c r="AU608" s="18"/>
      <c r="AV608" s="18"/>
      <c r="AW608" s="18"/>
      <c r="AX608" s="18"/>
    </row>
    <row r="609" spans="1:50" ht="16.5" customHeight="1" x14ac:dyDescent="0.2">
      <c r="AA609" s="166" t="s">
        <v>1049</v>
      </c>
      <c r="AB609" s="167" t="s">
        <v>1015</v>
      </c>
      <c r="AC609" s="161"/>
      <c r="AD609" s="34">
        <v>0</v>
      </c>
      <c r="AE609" s="18">
        <v>40000000</v>
      </c>
      <c r="AF609" s="34">
        <v>0</v>
      </c>
      <c r="AG609" s="34">
        <v>0</v>
      </c>
      <c r="AH609" s="18">
        <v>40000000</v>
      </c>
      <c r="AI609" s="43">
        <f>AE609-AF609+AG609-AH609</f>
        <v>0</v>
      </c>
      <c r="AJ609" s="43">
        <f>AD609+AI609</f>
        <v>0</v>
      </c>
      <c r="AK609" s="34">
        <v>0</v>
      </c>
      <c r="AL609" s="34">
        <v>0</v>
      </c>
      <c r="AM609" s="34">
        <v>0</v>
      </c>
      <c r="AN609" s="34">
        <v>0</v>
      </c>
      <c r="AO609" s="34">
        <v>0</v>
      </c>
      <c r="AP609" s="18">
        <v>0</v>
      </c>
      <c r="AQ609" s="34">
        <v>0</v>
      </c>
      <c r="AR609" s="34">
        <v>0</v>
      </c>
      <c r="AS609" s="34">
        <v>0</v>
      </c>
      <c r="AT609" s="135">
        <f t="shared" ref="AT609" si="249">AQ609+AS609</f>
        <v>0</v>
      </c>
      <c r="AU609" s="34">
        <f>AJ609-AM609</f>
        <v>0</v>
      </c>
      <c r="AV609" s="34">
        <f>AM609-AP609</f>
        <v>0</v>
      </c>
      <c r="AW609" s="34">
        <f>AP609-AT609</f>
        <v>0</v>
      </c>
      <c r="AX609" s="123">
        <v>0</v>
      </c>
    </row>
    <row r="610" spans="1:50" ht="18.75" customHeight="1" x14ac:dyDescent="0.2">
      <c r="AA610" s="162"/>
      <c r="AB610" s="163" t="s">
        <v>492</v>
      </c>
      <c r="AC610" s="17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34"/>
      <c r="AO610" s="34"/>
      <c r="AP610" s="18"/>
      <c r="AQ610" s="34"/>
      <c r="AR610" s="34"/>
      <c r="AS610" s="34"/>
      <c r="AT610" s="40"/>
      <c r="AU610" s="18"/>
      <c r="AV610" s="18"/>
      <c r="AW610" s="18"/>
      <c r="AX610" s="18"/>
    </row>
    <row r="611" spans="1:50" ht="18.75" customHeight="1" x14ac:dyDescent="0.2">
      <c r="A611" s="4" t="s">
        <v>55</v>
      </c>
      <c r="B611" s="4" t="s">
        <v>56</v>
      </c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1" t="s">
        <v>493</v>
      </c>
      <c r="AB611" s="42" t="s">
        <v>233</v>
      </c>
      <c r="AC611" s="43" t="s">
        <v>58</v>
      </c>
      <c r="AD611" s="44">
        <v>0</v>
      </c>
      <c r="AE611" s="44">
        <v>0</v>
      </c>
      <c r="AF611" s="44">
        <v>0</v>
      </c>
      <c r="AG611" s="43">
        <v>503000000</v>
      </c>
      <c r="AH611" s="43">
        <v>21088294</v>
      </c>
      <c r="AI611" s="43">
        <f>AE611-AF611+AG611-AH611</f>
        <v>481911706</v>
      </c>
      <c r="AJ611" s="43">
        <f>AD611+AI611</f>
        <v>481911706</v>
      </c>
      <c r="AK611" s="44">
        <v>0</v>
      </c>
      <c r="AL611" s="44">
        <v>0</v>
      </c>
      <c r="AM611" s="43">
        <v>481911706</v>
      </c>
      <c r="AN611" s="44">
        <v>0</v>
      </c>
      <c r="AO611" s="44">
        <v>0</v>
      </c>
      <c r="AP611" s="43">
        <v>481911706</v>
      </c>
      <c r="AQ611" s="44">
        <v>0</v>
      </c>
      <c r="AR611" s="43">
        <v>99479442.299999997</v>
      </c>
      <c r="AS611" s="43">
        <v>198958884.59999999</v>
      </c>
      <c r="AT611" s="39">
        <f>AQ611+AS611</f>
        <v>198958884.59999999</v>
      </c>
      <c r="AU611" s="34">
        <f>AJ611-AM611</f>
        <v>0</v>
      </c>
      <c r="AV611" s="34">
        <f>AM611-AP611</f>
        <v>0</v>
      </c>
      <c r="AW611" s="18">
        <f>AP611-AT611</f>
        <v>282952821.39999998</v>
      </c>
      <c r="AX611" s="123">
        <f>AP611/AJ611</f>
        <v>1</v>
      </c>
    </row>
    <row r="612" spans="1:50" ht="18.75" customHeight="1" x14ac:dyDescent="0.2">
      <c r="AA612" s="28" t="s">
        <v>288</v>
      </c>
      <c r="AB612" s="29" t="s">
        <v>494</v>
      </c>
      <c r="AC612" s="17"/>
      <c r="AD612" s="18"/>
      <c r="AE612" s="34"/>
      <c r="AF612" s="34"/>
      <c r="AG612" s="18"/>
      <c r="AH612" s="34"/>
      <c r="AI612" s="18"/>
      <c r="AJ612" s="18"/>
      <c r="AK612" s="34"/>
      <c r="AL612" s="34"/>
      <c r="AM612" s="18"/>
      <c r="AN612" s="34"/>
      <c r="AO612" s="18"/>
      <c r="AP612" s="18"/>
      <c r="AQ612" s="34"/>
      <c r="AR612" s="34"/>
      <c r="AS612" s="34"/>
      <c r="AT612" s="40"/>
      <c r="AU612" s="34"/>
      <c r="AV612" s="34"/>
      <c r="AW612" s="18"/>
      <c r="AX612" s="18"/>
    </row>
    <row r="613" spans="1:50" ht="18.75" customHeight="1" x14ac:dyDescent="0.2">
      <c r="A613" s="4" t="s">
        <v>55</v>
      </c>
      <c r="B613" s="4" t="s">
        <v>56</v>
      </c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1" t="s">
        <v>495</v>
      </c>
      <c r="AB613" s="42" t="s">
        <v>233</v>
      </c>
      <c r="AC613" s="43" t="s">
        <v>58</v>
      </c>
      <c r="AD613" s="43">
        <v>100000000</v>
      </c>
      <c r="AE613" s="44">
        <v>0</v>
      </c>
      <c r="AF613" s="44">
        <v>0</v>
      </c>
      <c r="AG613" s="44">
        <v>0</v>
      </c>
      <c r="AH613" s="43">
        <v>30591703</v>
      </c>
      <c r="AI613" s="44">
        <f>AE613-AF613+AG613-AH613</f>
        <v>-30591703</v>
      </c>
      <c r="AJ613" s="43">
        <f>AD613+AI613</f>
        <v>69408297</v>
      </c>
      <c r="AK613" s="44">
        <v>0</v>
      </c>
      <c r="AL613" s="44">
        <v>0</v>
      </c>
      <c r="AM613" s="43">
        <v>69408297</v>
      </c>
      <c r="AN613" s="44">
        <v>0</v>
      </c>
      <c r="AO613" s="44">
        <v>0</v>
      </c>
      <c r="AP613" s="43">
        <v>69408297</v>
      </c>
      <c r="AQ613" s="43">
        <v>0</v>
      </c>
      <c r="AR613" s="44">
        <v>7344144.5</v>
      </c>
      <c r="AS613" s="43">
        <v>69408297</v>
      </c>
      <c r="AT613" s="39">
        <f>AQ613+AS613</f>
        <v>69408297</v>
      </c>
      <c r="AU613" s="34">
        <f>AJ613-AM613</f>
        <v>0</v>
      </c>
      <c r="AV613" s="34">
        <f>AM613-AP613</f>
        <v>0</v>
      </c>
      <c r="AW613" s="34">
        <f>AP613-AT613</f>
        <v>0</v>
      </c>
      <c r="AX613" s="123">
        <f>AP613/AJ613</f>
        <v>1</v>
      </c>
    </row>
    <row r="614" spans="1:50" ht="18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1" t="s">
        <v>976</v>
      </c>
      <c r="AB614" s="42" t="s">
        <v>449</v>
      </c>
      <c r="AC614" s="43"/>
      <c r="AD614" s="43">
        <v>0</v>
      </c>
      <c r="AE614" s="44">
        <v>0</v>
      </c>
      <c r="AF614" s="44">
        <v>0</v>
      </c>
      <c r="AG614" s="43">
        <v>1200000000</v>
      </c>
      <c r="AH614" s="44"/>
      <c r="AI614" s="43">
        <f>AE614-AF614+AG614-AH614</f>
        <v>1200000000</v>
      </c>
      <c r="AJ614" s="43">
        <f>AD614+AI614</f>
        <v>1200000000</v>
      </c>
      <c r="AK614" s="44">
        <v>0</v>
      </c>
      <c r="AL614" s="44">
        <v>0</v>
      </c>
      <c r="AM614" s="43">
        <v>1114130436</v>
      </c>
      <c r="AN614" s="44">
        <v>0</v>
      </c>
      <c r="AO614" s="44">
        <v>0</v>
      </c>
      <c r="AP614" s="43">
        <v>0</v>
      </c>
      <c r="AQ614" s="44">
        <v>0</v>
      </c>
      <c r="AR614" s="44">
        <v>0</v>
      </c>
      <c r="AS614" s="44">
        <v>0</v>
      </c>
      <c r="AT614" s="40">
        <f>AQ614+AS614</f>
        <v>0</v>
      </c>
      <c r="AU614" s="18">
        <f>AJ614-AM614</f>
        <v>85869564</v>
      </c>
      <c r="AV614" s="18">
        <f>AM614-AP614</f>
        <v>1114130436</v>
      </c>
      <c r="AW614" s="34">
        <f>AP614-AT614</f>
        <v>0</v>
      </c>
      <c r="AX614" s="123">
        <f>AP614/AJ614</f>
        <v>0</v>
      </c>
    </row>
    <row r="615" spans="1:50" ht="18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1" t="s">
        <v>288</v>
      </c>
      <c r="AB615" s="74" t="s">
        <v>463</v>
      </c>
      <c r="AC615" s="43"/>
      <c r="AD615" s="43"/>
      <c r="AE615" s="44"/>
      <c r="AF615" s="44"/>
      <c r="AG615" s="43"/>
      <c r="AH615" s="44"/>
      <c r="AI615" s="43"/>
      <c r="AJ615" s="43"/>
      <c r="AK615" s="44"/>
      <c r="AL615" s="44"/>
      <c r="AM615" s="43"/>
      <c r="AN615" s="44"/>
      <c r="AO615" s="44"/>
      <c r="AP615" s="43"/>
      <c r="AQ615" s="44"/>
      <c r="AR615" s="44"/>
      <c r="AS615" s="44"/>
      <c r="AT615" s="40"/>
      <c r="AU615" s="43"/>
      <c r="AV615" s="43"/>
      <c r="AW615" s="43"/>
      <c r="AX615" s="32"/>
    </row>
    <row r="616" spans="1:50" ht="18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139" t="s">
        <v>909</v>
      </c>
      <c r="AB616" s="42" t="s">
        <v>233</v>
      </c>
      <c r="AC616" s="43"/>
      <c r="AD616" s="44">
        <v>0</v>
      </c>
      <c r="AE616" s="44">
        <v>0</v>
      </c>
      <c r="AF616" s="44">
        <v>0</v>
      </c>
      <c r="AG616" s="43">
        <v>1556000000</v>
      </c>
      <c r="AH616" s="44">
        <v>0</v>
      </c>
      <c r="AI616" s="43">
        <f>AE616-AF616+AG616-AH616</f>
        <v>1556000000</v>
      </c>
      <c r="AJ616" s="43">
        <f>AD616+AI616</f>
        <v>1556000000</v>
      </c>
      <c r="AK616" s="44">
        <v>0</v>
      </c>
      <c r="AL616" s="44">
        <v>0</v>
      </c>
      <c r="AM616" s="43">
        <v>1555449996</v>
      </c>
      <c r="AN616" s="44">
        <v>0</v>
      </c>
      <c r="AO616" s="44">
        <v>0</v>
      </c>
      <c r="AP616" s="43">
        <v>1555449996</v>
      </c>
      <c r="AQ616" s="44">
        <v>0</v>
      </c>
      <c r="AR616" s="44">
        <f>AS616-MAYO!AS605</f>
        <v>0</v>
      </c>
      <c r="AS616" s="43">
        <v>1555449996</v>
      </c>
      <c r="AT616" s="39">
        <f>AQ616+AS616</f>
        <v>1555449996</v>
      </c>
      <c r="AU616" s="18">
        <f>AJ616-AM616</f>
        <v>550004</v>
      </c>
      <c r="AV616" s="34">
        <f>AM616-AP616</f>
        <v>0</v>
      </c>
      <c r="AW616" s="34">
        <f>AP616-AT616</f>
        <v>0</v>
      </c>
      <c r="AX616" s="123">
        <f>AP616/AJ616</f>
        <v>0.99964652699228795</v>
      </c>
    </row>
    <row r="617" spans="1:50" ht="26.2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170" t="s">
        <v>288</v>
      </c>
      <c r="AB617" s="165" t="s">
        <v>1050</v>
      </c>
      <c r="AC617" s="168"/>
      <c r="AD617" s="44"/>
      <c r="AE617" s="44"/>
      <c r="AF617" s="44"/>
      <c r="AG617" s="43"/>
      <c r="AH617" s="44"/>
      <c r="AI617" s="43"/>
      <c r="AJ617" s="43"/>
      <c r="AK617" s="44"/>
      <c r="AL617" s="44"/>
      <c r="AM617" s="43"/>
      <c r="AN617" s="44"/>
      <c r="AO617" s="44"/>
      <c r="AP617" s="43"/>
      <c r="AQ617" s="44"/>
      <c r="AR617" s="44"/>
      <c r="AS617" s="43"/>
      <c r="AT617" s="39"/>
      <c r="AU617" s="18"/>
      <c r="AV617" s="34"/>
      <c r="AW617" s="34"/>
      <c r="AX617" s="123"/>
    </row>
    <row r="618" spans="1:50" ht="18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166" t="s">
        <v>1051</v>
      </c>
      <c r="AB618" s="167" t="s">
        <v>1015</v>
      </c>
      <c r="AC618" s="168"/>
      <c r="AD618" s="44">
        <v>0</v>
      </c>
      <c r="AE618" s="43">
        <v>40000000</v>
      </c>
      <c r="AF618" s="44">
        <v>0</v>
      </c>
      <c r="AG618" s="44">
        <v>0</v>
      </c>
      <c r="AH618" s="43">
        <v>40000000</v>
      </c>
      <c r="AI618" s="44">
        <f>AE618-AF618+AG618-AH618</f>
        <v>0</v>
      </c>
      <c r="AJ618" s="44">
        <f>AD618+AI618</f>
        <v>0</v>
      </c>
      <c r="AK618" s="44">
        <v>0</v>
      </c>
      <c r="AL618" s="44">
        <v>0</v>
      </c>
      <c r="AM618" s="43">
        <v>0</v>
      </c>
      <c r="AN618" s="44">
        <v>0</v>
      </c>
      <c r="AO618" s="44">
        <v>0</v>
      </c>
      <c r="AP618" s="43">
        <v>0</v>
      </c>
      <c r="AQ618" s="44">
        <v>0</v>
      </c>
      <c r="AR618" s="44">
        <v>0</v>
      </c>
      <c r="AS618" s="44">
        <v>0</v>
      </c>
      <c r="AT618" s="135">
        <f t="shared" ref="AT618" si="250">AQ618+AS618</f>
        <v>0</v>
      </c>
      <c r="AU618" s="34">
        <f>AJ618-AM618</f>
        <v>0</v>
      </c>
      <c r="AV618" s="34">
        <f>AM618-AP618</f>
        <v>0</v>
      </c>
      <c r="AW618" s="34">
        <f>AP618-AT618</f>
        <v>0</v>
      </c>
      <c r="AX618" s="123">
        <v>0</v>
      </c>
    </row>
    <row r="619" spans="1:50" ht="18.75" customHeight="1" x14ac:dyDescent="0.2">
      <c r="AA619" s="169" t="s">
        <v>288</v>
      </c>
      <c r="AB619" s="163" t="s">
        <v>496</v>
      </c>
      <c r="AC619" s="17"/>
      <c r="AD619" s="34"/>
      <c r="AE619" s="34"/>
      <c r="AF619" s="34"/>
      <c r="AG619" s="18"/>
      <c r="AH619" s="34"/>
      <c r="AI619" s="18"/>
      <c r="AJ619" s="18"/>
      <c r="AK619" s="18"/>
      <c r="AL619" s="18"/>
      <c r="AM619" s="18"/>
      <c r="AN619" s="18"/>
      <c r="AO619" s="18"/>
      <c r="AP619" s="18"/>
      <c r="AQ619" s="34"/>
      <c r="AR619" s="34"/>
      <c r="AS619" s="34"/>
      <c r="AT619" s="40"/>
      <c r="AU619" s="18"/>
      <c r="AV619" s="18"/>
      <c r="AW619" s="18"/>
      <c r="AX619" s="18"/>
    </row>
    <row r="620" spans="1:50" ht="18.75" customHeight="1" x14ac:dyDescent="0.2">
      <c r="A620" s="4" t="s">
        <v>55</v>
      </c>
      <c r="B620" s="4" t="s">
        <v>56</v>
      </c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1" t="s">
        <v>497</v>
      </c>
      <c r="AB620" s="42" t="s">
        <v>233</v>
      </c>
      <c r="AC620" s="43" t="s">
        <v>58</v>
      </c>
      <c r="AD620" s="44">
        <v>0</v>
      </c>
      <c r="AE620" s="44">
        <v>0</v>
      </c>
      <c r="AF620" s="44">
        <v>0</v>
      </c>
      <c r="AG620" s="43">
        <f>91680424+36720621</f>
        <v>128401045</v>
      </c>
      <c r="AH620" s="43">
        <v>11419181</v>
      </c>
      <c r="AI620" s="43">
        <f>AE620-AF620+AG620-AH620</f>
        <v>116981864</v>
      </c>
      <c r="AJ620" s="43">
        <f>AD620+AI620</f>
        <v>116981864</v>
      </c>
      <c r="AK620" s="44">
        <v>0</v>
      </c>
      <c r="AL620" s="115">
        <v>0</v>
      </c>
      <c r="AM620" s="114">
        <v>116981864</v>
      </c>
      <c r="AN620" s="44">
        <v>0</v>
      </c>
      <c r="AO620" s="44">
        <v>0</v>
      </c>
      <c r="AP620" s="114">
        <v>116981864</v>
      </c>
      <c r="AQ620" s="44">
        <v>0</v>
      </c>
      <c r="AR620" s="43">
        <v>0</v>
      </c>
      <c r="AS620" s="114">
        <v>116981864</v>
      </c>
      <c r="AT620" s="39">
        <f>AQ620+AS620</f>
        <v>116981864</v>
      </c>
      <c r="AU620" s="34">
        <f>AJ620-AM620</f>
        <v>0</v>
      </c>
      <c r="AV620" s="34">
        <f>AM620-AP620</f>
        <v>0</v>
      </c>
      <c r="AW620" s="34">
        <f>AP620-AT620</f>
        <v>0</v>
      </c>
      <c r="AX620" s="123">
        <f>AP620/AJ620</f>
        <v>1</v>
      </c>
    </row>
    <row r="621" spans="1:50" ht="18.75" customHeight="1" x14ac:dyDescent="0.2">
      <c r="AA621" s="28" t="s">
        <v>288</v>
      </c>
      <c r="AB621" s="29" t="s">
        <v>498</v>
      </c>
      <c r="AC621" s="17"/>
      <c r="AD621" s="18"/>
      <c r="AE621" s="34"/>
      <c r="AF621" s="34"/>
      <c r="AG621" s="18"/>
      <c r="AH621" s="18"/>
      <c r="AI621" s="18"/>
      <c r="AJ621" s="18"/>
      <c r="AK621" s="34"/>
      <c r="AL621" s="34"/>
      <c r="AM621" s="34"/>
      <c r="AN621" s="34"/>
      <c r="AO621" s="34"/>
      <c r="AP621" s="34"/>
      <c r="AQ621" s="34"/>
      <c r="AR621" s="34"/>
      <c r="AS621" s="34"/>
      <c r="AT621" s="40"/>
      <c r="AU621" s="18"/>
      <c r="AV621" s="18"/>
      <c r="AW621" s="18"/>
      <c r="AX621" s="18"/>
    </row>
    <row r="622" spans="1:50" ht="18.75" customHeight="1" x14ac:dyDescent="0.2">
      <c r="A622" s="4" t="s">
        <v>55</v>
      </c>
      <c r="B622" s="4" t="s">
        <v>56</v>
      </c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1" t="s">
        <v>499</v>
      </c>
      <c r="AB622" s="42" t="s">
        <v>233</v>
      </c>
      <c r="AC622" s="43" t="s">
        <v>58</v>
      </c>
      <c r="AD622" s="43">
        <v>5000000000</v>
      </c>
      <c r="AE622" s="44">
        <v>0</v>
      </c>
      <c r="AF622" s="44">
        <v>0</v>
      </c>
      <c r="AG622" s="44">
        <v>0</v>
      </c>
      <c r="AH622" s="43">
        <f>2332895811.15+800401381+119719609</f>
        <v>3253016801.1500001</v>
      </c>
      <c r="AI622" s="43">
        <f>AE622-AF622+AG622-AH622</f>
        <v>-3253016801.1500001</v>
      </c>
      <c r="AJ622" s="269">
        <f>AD622+AI622</f>
        <v>1746983198.8499999</v>
      </c>
      <c r="AK622" s="44">
        <v>0</v>
      </c>
      <c r="AL622" s="115">
        <v>0</v>
      </c>
      <c r="AM622" s="114">
        <v>1746983198.74</v>
      </c>
      <c r="AN622" s="44">
        <v>0</v>
      </c>
      <c r="AO622" s="44">
        <v>0</v>
      </c>
      <c r="AP622" s="44">
        <v>1434700926</v>
      </c>
      <c r="AQ622" s="44">
        <v>0</v>
      </c>
      <c r="AR622" s="43">
        <v>0</v>
      </c>
      <c r="AS622" s="43">
        <v>1076025694.5</v>
      </c>
      <c r="AT622" s="39">
        <f>AQ622+AS622</f>
        <v>1076025694.5</v>
      </c>
      <c r="AU622" s="18">
        <f>AJ622-AM622</f>
        <v>0.1099998950958252</v>
      </c>
      <c r="AV622" s="18">
        <f>AM622-AP622</f>
        <v>312282272.74000001</v>
      </c>
      <c r="AW622" s="18">
        <f>AP622-AT622</f>
        <v>358675231.5</v>
      </c>
      <c r="AX622" s="123">
        <f>AP622/AJ622</f>
        <v>0.82124483334724208</v>
      </c>
    </row>
    <row r="623" spans="1:50" ht="18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166" t="s">
        <v>1052</v>
      </c>
      <c r="AB623" s="167" t="s">
        <v>1015</v>
      </c>
      <c r="AC623" s="168"/>
      <c r="AD623" s="44">
        <v>0</v>
      </c>
      <c r="AE623" s="43">
        <v>3500000000</v>
      </c>
      <c r="AF623" s="44"/>
      <c r="AG623" s="44"/>
      <c r="AH623" s="43">
        <f>769916142.32+86300000</f>
        <v>856216142.32000005</v>
      </c>
      <c r="AI623" s="43">
        <f>AE623-AF623+AG623-AH623</f>
        <v>2643783857.6799998</v>
      </c>
      <c r="AJ623" s="142">
        <f>AD623+AI623</f>
        <v>2643783857.6799998</v>
      </c>
      <c r="AK623" s="44">
        <v>0</v>
      </c>
      <c r="AL623" s="115">
        <v>0</v>
      </c>
      <c r="AM623" s="115">
        <v>0</v>
      </c>
      <c r="AN623" s="44">
        <v>0</v>
      </c>
      <c r="AO623" s="44">
        <v>0</v>
      </c>
      <c r="AP623" s="44">
        <v>0</v>
      </c>
      <c r="AQ623" s="44">
        <v>0</v>
      </c>
      <c r="AR623" s="44">
        <v>0</v>
      </c>
      <c r="AS623" s="44">
        <v>0</v>
      </c>
      <c r="AT623" s="135">
        <f t="shared" ref="AT623:AT624" si="251">AQ623+AS623</f>
        <v>0</v>
      </c>
      <c r="AU623" s="18">
        <f>AJ623-AM623</f>
        <v>2643783857.6799998</v>
      </c>
      <c r="AV623" s="34">
        <f>AM623-AP623</f>
        <v>0</v>
      </c>
      <c r="AW623" s="34">
        <f>AP623-AT623</f>
        <v>0</v>
      </c>
      <c r="AX623" s="123">
        <f>AP623/AJ623</f>
        <v>0</v>
      </c>
    </row>
    <row r="624" spans="1:50" ht="24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229" t="s">
        <v>1224</v>
      </c>
      <c r="AB624" s="230" t="s">
        <v>1055</v>
      </c>
      <c r="AC624" s="168"/>
      <c r="AD624" s="44">
        <v>0</v>
      </c>
      <c r="AE624" s="44">
        <v>0</v>
      </c>
      <c r="AF624" s="44">
        <v>0</v>
      </c>
      <c r="AG624" s="43">
        <v>769916142.32000005</v>
      </c>
      <c r="AH624" s="44">
        <v>0</v>
      </c>
      <c r="AI624" s="43">
        <f>AE624-AF624+AG624-AH624</f>
        <v>769916142.32000005</v>
      </c>
      <c r="AJ624" s="142">
        <f>AD624+AI624</f>
        <v>769916142.32000005</v>
      </c>
      <c r="AK624" s="44">
        <v>0</v>
      </c>
      <c r="AL624" s="115">
        <v>0</v>
      </c>
      <c r="AM624" s="115">
        <v>0</v>
      </c>
      <c r="AN624" s="44">
        <v>0</v>
      </c>
      <c r="AO624" s="44">
        <v>0</v>
      </c>
      <c r="AP624" s="44">
        <v>0</v>
      </c>
      <c r="AQ624" s="44">
        <v>0</v>
      </c>
      <c r="AR624" s="44">
        <v>0</v>
      </c>
      <c r="AS624" s="44">
        <v>0</v>
      </c>
      <c r="AT624" s="135">
        <f t="shared" si="251"/>
        <v>0</v>
      </c>
      <c r="AU624" s="18">
        <f>AJ624-AM624</f>
        <v>769916142.32000005</v>
      </c>
      <c r="AV624" s="34">
        <f>AM624-AP624</f>
        <v>0</v>
      </c>
      <c r="AW624" s="34">
        <f>AP624-AT624</f>
        <v>0</v>
      </c>
      <c r="AX624" s="123">
        <f>AP624/AJ624</f>
        <v>0</v>
      </c>
    </row>
    <row r="625" spans="1:50" ht="18.75" customHeight="1" x14ac:dyDescent="0.2">
      <c r="AA625" s="169" t="s">
        <v>288</v>
      </c>
      <c r="AB625" s="163" t="s">
        <v>483</v>
      </c>
      <c r="AC625" s="17"/>
      <c r="AD625" s="18"/>
      <c r="AE625" s="34"/>
      <c r="AF625" s="34"/>
      <c r="AG625" s="18"/>
      <c r="AH625" s="18"/>
      <c r="AI625" s="18"/>
      <c r="AJ625" s="147"/>
      <c r="AK625" s="34"/>
      <c r="AL625" s="34"/>
      <c r="AM625" s="34"/>
      <c r="AN625" s="34"/>
      <c r="AO625" s="34"/>
      <c r="AP625" s="34"/>
      <c r="AQ625" s="34"/>
      <c r="AR625" s="34"/>
      <c r="AS625" s="34"/>
      <c r="AT625" s="40"/>
      <c r="AU625" s="18"/>
      <c r="AV625" s="18"/>
      <c r="AW625" s="18"/>
      <c r="AX625" s="18"/>
    </row>
    <row r="626" spans="1:50" ht="18.75" customHeight="1" x14ac:dyDescent="0.2">
      <c r="A626" s="4" t="s">
        <v>55</v>
      </c>
      <c r="B626" s="4" t="s">
        <v>56</v>
      </c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1" t="s">
        <v>500</v>
      </c>
      <c r="AB626" s="42" t="s">
        <v>233</v>
      </c>
      <c r="AC626" s="43" t="s">
        <v>58</v>
      </c>
      <c r="AD626" s="44">
        <v>0</v>
      </c>
      <c r="AE626" s="44">
        <v>0</v>
      </c>
      <c r="AF626" s="44">
        <v>0</v>
      </c>
      <c r="AG626" s="43">
        <f>36519672</f>
        <v>36519672</v>
      </c>
      <c r="AH626" s="44">
        <v>0</v>
      </c>
      <c r="AI626" s="43">
        <f>AE626-AF626+AG626-AH626</f>
        <v>36519672</v>
      </c>
      <c r="AJ626" s="142">
        <f>AD626+AI626</f>
        <v>36519672</v>
      </c>
      <c r="AK626" s="44">
        <v>0</v>
      </c>
      <c r="AL626" s="44">
        <v>0</v>
      </c>
      <c r="AM626" s="43">
        <v>36519672</v>
      </c>
      <c r="AN626" s="44">
        <v>0</v>
      </c>
      <c r="AO626" s="44">
        <v>0</v>
      </c>
      <c r="AP626" s="43">
        <v>36519672</v>
      </c>
      <c r="AQ626" s="44">
        <v>0</v>
      </c>
      <c r="AR626" s="43">
        <v>36519672</v>
      </c>
      <c r="AS626" s="43">
        <v>36519672</v>
      </c>
      <c r="AT626" s="39">
        <f>AQ626+AS626</f>
        <v>36519672</v>
      </c>
      <c r="AU626" s="18">
        <f>AJ626-AM626</f>
        <v>0</v>
      </c>
      <c r="AV626" s="34">
        <f>AM626-AP626</f>
        <v>0</v>
      </c>
      <c r="AW626" s="34">
        <f>AP626-AT626</f>
        <v>0</v>
      </c>
      <c r="AX626" s="123">
        <f>AP626/AJ626</f>
        <v>1</v>
      </c>
    </row>
    <row r="627" spans="1:50" ht="18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1" t="s">
        <v>1278</v>
      </c>
      <c r="AB627" s="42" t="s">
        <v>1015</v>
      </c>
      <c r="AC627" s="43"/>
      <c r="AD627" s="44">
        <v>0</v>
      </c>
      <c r="AE627" s="44">
        <v>0</v>
      </c>
      <c r="AF627" s="44">
        <v>0</v>
      </c>
      <c r="AG627" s="43">
        <v>25000000</v>
      </c>
      <c r="AH627" s="44">
        <v>0</v>
      </c>
      <c r="AI627" s="43">
        <f>AE627-AF627+AG627-AH627</f>
        <v>25000000</v>
      </c>
      <c r="AJ627" s="142">
        <f>AD627+AI627</f>
        <v>25000000</v>
      </c>
      <c r="AK627" s="44">
        <v>0</v>
      </c>
      <c r="AL627" s="44">
        <v>0</v>
      </c>
      <c r="AM627" s="43">
        <v>0</v>
      </c>
      <c r="AN627" s="44">
        <v>0</v>
      </c>
      <c r="AO627" s="44">
        <v>0</v>
      </c>
      <c r="AP627" s="43">
        <v>0</v>
      </c>
      <c r="AQ627" s="44">
        <v>0</v>
      </c>
      <c r="AR627" s="44">
        <v>0</v>
      </c>
      <c r="AS627" s="44">
        <v>0</v>
      </c>
      <c r="AT627" s="40">
        <f>AQ627+AS627</f>
        <v>0</v>
      </c>
      <c r="AU627" s="18">
        <f>AJ627-AM627</f>
        <v>25000000</v>
      </c>
      <c r="AV627" s="34">
        <f>AM627-AP627</f>
        <v>0</v>
      </c>
      <c r="AW627" s="34">
        <f>AP627-AT627</f>
        <v>0</v>
      </c>
      <c r="AX627" s="123">
        <f>AP627/AJ627</f>
        <v>0</v>
      </c>
    </row>
    <row r="628" spans="1:50" ht="18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73" t="s">
        <v>1249</v>
      </c>
      <c r="AB628" s="74" t="s">
        <v>1265</v>
      </c>
      <c r="AC628" s="43"/>
      <c r="AD628" s="44"/>
      <c r="AE628" s="44"/>
      <c r="AF628" s="44"/>
      <c r="AG628" s="43"/>
      <c r="AH628" s="44"/>
      <c r="AI628" s="43"/>
      <c r="AJ628" s="142"/>
      <c r="AK628" s="44"/>
      <c r="AL628" s="44"/>
      <c r="AM628" s="43"/>
      <c r="AN628" s="44"/>
      <c r="AO628" s="44"/>
      <c r="AP628" s="43"/>
      <c r="AQ628" s="44"/>
      <c r="AR628" s="44"/>
      <c r="AS628" s="44"/>
      <c r="AT628" s="40"/>
      <c r="AU628" s="18"/>
      <c r="AV628" s="34"/>
      <c r="AW628" s="34"/>
      <c r="AX628" s="123"/>
    </row>
    <row r="629" spans="1:50" ht="18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1" t="s">
        <v>1266</v>
      </c>
      <c r="AB629" s="42" t="s">
        <v>1015</v>
      </c>
      <c r="AC629" s="43"/>
      <c r="AD629" s="44">
        <v>0</v>
      </c>
      <c r="AE629" s="44">
        <v>0</v>
      </c>
      <c r="AF629" s="44">
        <v>0</v>
      </c>
      <c r="AG629" s="43">
        <f>22000000+11300000</f>
        <v>33300000</v>
      </c>
      <c r="AH629" s="44"/>
      <c r="AI629" s="43">
        <f>AE629-AF629+AG629-AH629</f>
        <v>33300000</v>
      </c>
      <c r="AJ629" s="142">
        <f>AD629+AI629</f>
        <v>33300000</v>
      </c>
      <c r="AK629" s="44">
        <v>0</v>
      </c>
      <c r="AL629" s="44">
        <v>0</v>
      </c>
      <c r="AM629" s="43">
        <v>0</v>
      </c>
      <c r="AN629" s="44">
        <v>0</v>
      </c>
      <c r="AO629" s="44">
        <v>0</v>
      </c>
      <c r="AP629" s="43">
        <v>0</v>
      </c>
      <c r="AQ629" s="44">
        <v>0</v>
      </c>
      <c r="AR629" s="44">
        <v>0</v>
      </c>
      <c r="AS629" s="44">
        <v>0</v>
      </c>
      <c r="AT629" s="40">
        <f>AQ629+AS629</f>
        <v>0</v>
      </c>
      <c r="AU629" s="18">
        <f>AJ629-AM629</f>
        <v>33300000</v>
      </c>
      <c r="AV629" s="34">
        <f>AM629-AP629</f>
        <v>0</v>
      </c>
      <c r="AW629" s="34">
        <f>AP629-AT629</f>
        <v>0</v>
      </c>
      <c r="AX629" s="123">
        <f>AP629/AJ629</f>
        <v>0</v>
      </c>
    </row>
    <row r="630" spans="1:50" ht="18.75" customHeight="1" x14ac:dyDescent="0.2">
      <c r="AA630" s="28" t="s">
        <v>288</v>
      </c>
      <c r="AB630" s="29" t="s">
        <v>487</v>
      </c>
      <c r="AC630" s="17"/>
      <c r="AD630" s="18"/>
      <c r="AE630" s="34"/>
      <c r="AF630" s="34"/>
      <c r="AG630" s="18"/>
      <c r="AH630" s="18"/>
      <c r="AI630" s="18"/>
      <c r="AJ630" s="147"/>
      <c r="AK630" s="18"/>
      <c r="AL630" s="18"/>
      <c r="AM630" s="18"/>
      <c r="AN630" s="34"/>
      <c r="AO630" s="34"/>
      <c r="AP630" s="18"/>
      <c r="AQ630" s="18"/>
      <c r="AR630" s="18"/>
      <c r="AS630" s="18"/>
      <c r="AT630" s="39"/>
      <c r="AU630" s="18"/>
      <c r="AV630" s="18"/>
      <c r="AW630" s="18"/>
      <c r="AX630" s="18"/>
    </row>
    <row r="631" spans="1:50" ht="18.75" customHeight="1" x14ac:dyDescent="0.2">
      <c r="A631" s="4" t="s">
        <v>55</v>
      </c>
      <c r="B631" s="4" t="s">
        <v>56</v>
      </c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1" t="s">
        <v>501</v>
      </c>
      <c r="AB631" s="42" t="s">
        <v>439</v>
      </c>
      <c r="AC631" s="43" t="s">
        <v>428</v>
      </c>
      <c r="AD631" s="43">
        <v>4549743506</v>
      </c>
      <c r="AE631" s="44">
        <v>0</v>
      </c>
      <c r="AF631" s="44">
        <v>0</v>
      </c>
      <c r="AG631" s="43">
        <v>265538240</v>
      </c>
      <c r="AH631" s="44">
        <v>0</v>
      </c>
      <c r="AI631" s="43">
        <f>AE631-AF631+AG631-AH631</f>
        <v>265538240</v>
      </c>
      <c r="AJ631" s="142">
        <f>AD631+AI631</f>
        <v>4815281746</v>
      </c>
      <c r="AK631" s="44">
        <v>0</v>
      </c>
      <c r="AL631" s="43">
        <f>AM631-JUNIO!AM624</f>
        <v>-119142819.5999999</v>
      </c>
      <c r="AM631" s="43">
        <v>3879793780.8000002</v>
      </c>
      <c r="AN631" s="44">
        <v>0</v>
      </c>
      <c r="AO631" s="44">
        <v>1693018898.4000001</v>
      </c>
      <c r="AP631" s="43">
        <v>3097383085.0300002</v>
      </c>
      <c r="AQ631" s="44">
        <v>0</v>
      </c>
      <c r="AR631" s="44">
        <v>190223439.27000001</v>
      </c>
      <c r="AS631" s="43">
        <v>703743926.57000005</v>
      </c>
      <c r="AT631" s="39">
        <f t="shared" si="228"/>
        <v>703743926.57000005</v>
      </c>
      <c r="AU631" s="18">
        <f>AJ631-AM631</f>
        <v>935487965.19999981</v>
      </c>
      <c r="AV631" s="110">
        <f>AM631-AP631</f>
        <v>782410695.76999998</v>
      </c>
      <c r="AW631" s="18">
        <f>AP631-AT631</f>
        <v>2393639158.46</v>
      </c>
      <c r="AX631" s="123">
        <f>AP631/AJ631</f>
        <v>0.64324026057311423</v>
      </c>
    </row>
    <row r="632" spans="1:50" ht="18.75" customHeight="1" x14ac:dyDescent="0.2">
      <c r="A632" s="4" t="s">
        <v>55</v>
      </c>
      <c r="B632" s="4" t="s">
        <v>56</v>
      </c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1" t="s">
        <v>502</v>
      </c>
      <c r="AB632" s="42" t="s">
        <v>490</v>
      </c>
      <c r="AC632" s="43" t="s">
        <v>368</v>
      </c>
      <c r="AD632" s="43">
        <v>104829219</v>
      </c>
      <c r="AE632" s="44">
        <v>0</v>
      </c>
      <c r="AF632" s="44">
        <v>0</v>
      </c>
      <c r="AG632" s="44">
        <v>0</v>
      </c>
      <c r="AH632" s="43">
        <v>53364831</v>
      </c>
      <c r="AI632" s="43">
        <f>AE632-AF632+AG632-AH632</f>
        <v>-53364831</v>
      </c>
      <c r="AJ632" s="142">
        <f>AD632+AI632</f>
        <v>51464388</v>
      </c>
      <c r="AK632" s="44">
        <v>0</v>
      </c>
      <c r="AL632" s="43">
        <f>AM632-JUNIO!AM625</f>
        <v>5418363.3399999961</v>
      </c>
      <c r="AM632" s="43">
        <v>48778891.359999999</v>
      </c>
      <c r="AN632" s="44">
        <v>0</v>
      </c>
      <c r="AO632" s="43">
        <v>5418363.3399999999</v>
      </c>
      <c r="AP632" s="43">
        <v>48778891.359999999</v>
      </c>
      <c r="AQ632" s="44">
        <v>0</v>
      </c>
      <c r="AR632" s="43">
        <v>7110667.2400000002</v>
      </c>
      <c r="AS632" s="43">
        <v>48778891.359999999</v>
      </c>
      <c r="AT632" s="39">
        <f t="shared" si="228"/>
        <v>48778891.359999999</v>
      </c>
      <c r="AU632" s="18">
        <f>AJ632-AM632</f>
        <v>2685496.6400000006</v>
      </c>
      <c r="AV632" s="34">
        <f>AM632-AP632</f>
        <v>0</v>
      </c>
      <c r="AW632" s="34">
        <f>AP632-AT632</f>
        <v>0</v>
      </c>
      <c r="AX632" s="123">
        <f>AP632/AJ632</f>
        <v>0.94781835081765664</v>
      </c>
    </row>
    <row r="633" spans="1:50" ht="18.75" customHeight="1" x14ac:dyDescent="0.2">
      <c r="AA633" s="28" t="s">
        <v>288</v>
      </c>
      <c r="AB633" s="29" t="s">
        <v>400</v>
      </c>
      <c r="AC633" s="17"/>
      <c r="AD633" s="18"/>
      <c r="AE633" s="34"/>
      <c r="AF633" s="34"/>
      <c r="AG633" s="18"/>
      <c r="AH633" s="18"/>
      <c r="AI633" s="18"/>
      <c r="AJ633" s="147"/>
      <c r="AK633" s="34"/>
      <c r="AL633" s="18"/>
      <c r="AM633" s="18"/>
      <c r="AN633" s="18"/>
      <c r="AO633" s="18"/>
      <c r="AP633" s="18"/>
      <c r="AQ633" s="18"/>
      <c r="AR633" s="18"/>
      <c r="AS633" s="18"/>
      <c r="AT633" s="39"/>
      <c r="AU633" s="18"/>
      <c r="AV633" s="18"/>
      <c r="AW633" s="18"/>
      <c r="AX633" s="18"/>
    </row>
    <row r="634" spans="1:50" ht="18.75" customHeight="1" x14ac:dyDescent="0.2">
      <c r="A634" s="4" t="s">
        <v>55</v>
      </c>
      <c r="B634" s="4" t="s">
        <v>56</v>
      </c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1" t="s">
        <v>401</v>
      </c>
      <c r="AB634" s="42" t="s">
        <v>233</v>
      </c>
      <c r="AC634" s="43" t="s">
        <v>58</v>
      </c>
      <c r="AD634" s="43">
        <v>2673811725</v>
      </c>
      <c r="AE634" s="44">
        <v>0</v>
      </c>
      <c r="AF634" s="44">
        <v>0</v>
      </c>
      <c r="AG634" s="43">
        <v>1500000000</v>
      </c>
      <c r="AH634" s="44">
        <v>0</v>
      </c>
      <c r="AI634" s="43">
        <f>AE634-AF634+AG634-AH634</f>
        <v>1500000000</v>
      </c>
      <c r="AJ634" s="43">
        <f>AD634+AI634</f>
        <v>4173811725</v>
      </c>
      <c r="AK634" s="44">
        <v>0</v>
      </c>
      <c r="AL634" s="43">
        <f>AM634-JUNIO!AM627</f>
        <v>0</v>
      </c>
      <c r="AM634" s="43">
        <v>4126933333</v>
      </c>
      <c r="AN634" s="43">
        <v>0</v>
      </c>
      <c r="AO634" s="43">
        <v>36000000</v>
      </c>
      <c r="AP634" s="43">
        <v>4114933333</v>
      </c>
      <c r="AQ634" s="114">
        <v>167810000</v>
      </c>
      <c r="AR634" s="114">
        <v>496283334</v>
      </c>
      <c r="AS634" s="114">
        <v>2312169996</v>
      </c>
      <c r="AT634" s="111">
        <f t="shared" ref="AT634:AT663" si="252">AQ634+AS634</f>
        <v>2479979996</v>
      </c>
      <c r="AU634" s="18">
        <f>AJ634-AM634</f>
        <v>46878392</v>
      </c>
      <c r="AV634" s="110">
        <f>AM634-AP634</f>
        <v>12000000</v>
      </c>
      <c r="AW634" s="18">
        <f>AP634-AT634</f>
        <v>1634953337</v>
      </c>
      <c r="AX634" s="123">
        <f>AP634/AJ634</f>
        <v>0.98589337615606032</v>
      </c>
    </row>
    <row r="635" spans="1:50" ht="18.75" customHeight="1" x14ac:dyDescent="0.2">
      <c r="A635" s="4" t="s">
        <v>55</v>
      </c>
      <c r="B635" s="4" t="s">
        <v>56</v>
      </c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1" t="s">
        <v>503</v>
      </c>
      <c r="AB635" s="42" t="s">
        <v>439</v>
      </c>
      <c r="AC635" s="43" t="s">
        <v>428</v>
      </c>
      <c r="AD635" s="43">
        <v>1237500000</v>
      </c>
      <c r="AE635" s="44">
        <v>0</v>
      </c>
      <c r="AF635" s="44">
        <v>0</v>
      </c>
      <c r="AG635" s="44">
        <v>0</v>
      </c>
      <c r="AH635" s="44">
        <v>0</v>
      </c>
      <c r="AI635" s="44">
        <v>0</v>
      </c>
      <c r="AJ635" s="43">
        <v>1237500000</v>
      </c>
      <c r="AK635" s="44">
        <v>0</v>
      </c>
      <c r="AL635" s="43">
        <f>AM635-JUNIO!AM628</f>
        <v>-15666667</v>
      </c>
      <c r="AM635" s="43">
        <v>1082533333</v>
      </c>
      <c r="AN635" s="43">
        <v>0</v>
      </c>
      <c r="AO635" s="43">
        <v>-15666667</v>
      </c>
      <c r="AP635" s="43">
        <v>1082533333</v>
      </c>
      <c r="AQ635" s="114">
        <v>45066667</v>
      </c>
      <c r="AR635" s="114">
        <v>131250000</v>
      </c>
      <c r="AS635" s="114">
        <v>611486668</v>
      </c>
      <c r="AT635" s="111">
        <f t="shared" si="252"/>
        <v>656553335</v>
      </c>
      <c r="AU635" s="18">
        <f>AJ635-AM635</f>
        <v>154966667</v>
      </c>
      <c r="AV635" s="110">
        <f>AM635-AP635</f>
        <v>0</v>
      </c>
      <c r="AW635" s="18">
        <f>AP635-AT635</f>
        <v>425979998</v>
      </c>
      <c r="AX635" s="123">
        <f>AP635/AJ635</f>
        <v>0.87477441050505056</v>
      </c>
    </row>
    <row r="636" spans="1:50" ht="23.2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166" t="s">
        <v>1053</v>
      </c>
      <c r="AB636" s="167" t="s">
        <v>1015</v>
      </c>
      <c r="AC636" s="168"/>
      <c r="AD636" s="44">
        <v>0</v>
      </c>
      <c r="AE636" s="43">
        <v>230083857.68000001</v>
      </c>
      <c r="AF636" s="44">
        <v>0</v>
      </c>
      <c r="AG636" s="43">
        <v>769916142.32000005</v>
      </c>
      <c r="AH636" s="44">
        <v>0</v>
      </c>
      <c r="AI636" s="43">
        <f t="shared" ref="AI636:AI638" si="253">AE636-AF636+AG636-AH636</f>
        <v>1000000000</v>
      </c>
      <c r="AJ636" s="43">
        <f t="shared" ref="AJ636:AJ638" si="254">AD636+AI636</f>
        <v>1000000000</v>
      </c>
      <c r="AK636" s="44">
        <v>0</v>
      </c>
      <c r="AL636" s="43">
        <f>AM636-JUNIO!AM629</f>
        <v>127500000</v>
      </c>
      <c r="AM636" s="43">
        <v>442333333.32999998</v>
      </c>
      <c r="AN636" s="43">
        <v>13333333.33</v>
      </c>
      <c r="AO636" s="43">
        <v>231250000</v>
      </c>
      <c r="AP636" s="43">
        <v>355000000</v>
      </c>
      <c r="AQ636" s="114">
        <v>1800001</v>
      </c>
      <c r="AR636" s="115">
        <v>4716667</v>
      </c>
      <c r="AS636" s="115">
        <v>4716667</v>
      </c>
      <c r="AT636" s="135">
        <f t="shared" si="252"/>
        <v>6516668</v>
      </c>
      <c r="AU636" s="18">
        <f>AJ636-AM636</f>
        <v>557666666.67000008</v>
      </c>
      <c r="AV636" s="18">
        <f>AM636-AP636</f>
        <v>87333333.329999983</v>
      </c>
      <c r="AW636" s="18">
        <f>AP636-AT636</f>
        <v>348483332</v>
      </c>
      <c r="AX636" s="123">
        <f>AP636/AJ636</f>
        <v>0.35499999999999998</v>
      </c>
    </row>
    <row r="637" spans="1:50" ht="25.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214" t="s">
        <v>1054</v>
      </c>
      <c r="AB637" s="215" t="s">
        <v>1055</v>
      </c>
      <c r="AC637" s="168"/>
      <c r="AD637" s="44">
        <v>0</v>
      </c>
      <c r="AE637" s="43">
        <v>769916142.32000005</v>
      </c>
      <c r="AF637" s="44">
        <v>0</v>
      </c>
      <c r="AG637" s="44">
        <v>0</v>
      </c>
      <c r="AH637" s="43">
        <v>769916142.32000005</v>
      </c>
      <c r="AI637" s="44">
        <f t="shared" si="253"/>
        <v>0</v>
      </c>
      <c r="AJ637" s="44">
        <f t="shared" si="254"/>
        <v>0</v>
      </c>
      <c r="AK637" s="44">
        <v>0</v>
      </c>
      <c r="AL637" s="43">
        <f>AM637-JUNIO!AM630</f>
        <v>0</v>
      </c>
      <c r="AM637" s="44">
        <v>0</v>
      </c>
      <c r="AN637" s="43">
        <v>0</v>
      </c>
      <c r="AO637" s="44">
        <v>0</v>
      </c>
      <c r="AP637" s="44">
        <v>0</v>
      </c>
      <c r="AQ637" s="115">
        <v>0</v>
      </c>
      <c r="AR637" s="115">
        <v>0</v>
      </c>
      <c r="AS637" s="115">
        <v>0</v>
      </c>
      <c r="AT637" s="135">
        <f t="shared" si="252"/>
        <v>0</v>
      </c>
      <c r="AU637" s="34">
        <f>AJ637-AM637</f>
        <v>0</v>
      </c>
      <c r="AV637" s="34">
        <f>AM637-AP637</f>
        <v>0</v>
      </c>
      <c r="AW637" s="34">
        <f>AP637-AT637</f>
        <v>0</v>
      </c>
      <c r="AX637" s="123">
        <v>0</v>
      </c>
    </row>
    <row r="638" spans="1:50" ht="25.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166" t="s">
        <v>1078</v>
      </c>
      <c r="AB638" s="167" t="s">
        <v>1074</v>
      </c>
      <c r="AC638" s="168"/>
      <c r="AD638" s="44">
        <v>0</v>
      </c>
      <c r="AE638" s="43">
        <v>1200000000</v>
      </c>
      <c r="AF638" s="216">
        <v>0</v>
      </c>
      <c r="AG638" s="44">
        <v>0</v>
      </c>
      <c r="AH638" s="33">
        <v>0</v>
      </c>
      <c r="AI638" s="43">
        <f t="shared" si="253"/>
        <v>1200000000</v>
      </c>
      <c r="AJ638" s="43">
        <f t="shared" si="254"/>
        <v>1200000000</v>
      </c>
      <c r="AK638" s="44">
        <v>0</v>
      </c>
      <c r="AL638" s="44">
        <v>0</v>
      </c>
      <c r="AM638" s="44">
        <v>0</v>
      </c>
      <c r="AN638" s="43">
        <v>0</v>
      </c>
      <c r="AO638" s="44">
        <v>0</v>
      </c>
      <c r="AP638" s="44">
        <v>0</v>
      </c>
      <c r="AQ638" s="115">
        <v>0</v>
      </c>
      <c r="AR638" s="115">
        <v>0</v>
      </c>
      <c r="AS638" s="115">
        <v>0</v>
      </c>
      <c r="AT638" s="135">
        <f t="shared" si="252"/>
        <v>0</v>
      </c>
      <c r="AU638" s="18">
        <f>AJ638-AM638</f>
        <v>1200000000</v>
      </c>
      <c r="AV638" s="133">
        <f>AM638-AP638</f>
        <v>0</v>
      </c>
      <c r="AW638" s="34">
        <f>AP638-AT638</f>
        <v>0</v>
      </c>
      <c r="AX638" s="123">
        <f>AP638/AJ638</f>
        <v>0</v>
      </c>
    </row>
    <row r="639" spans="1:50" ht="17.2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219"/>
      <c r="AB639" s="220"/>
      <c r="AC639" s="168"/>
      <c r="AD639" s="43"/>
      <c r="AE639" s="43"/>
      <c r="AF639" s="44"/>
      <c r="AG639" s="44"/>
      <c r="AH639" s="44"/>
      <c r="AI639" s="44"/>
      <c r="AJ639" s="43"/>
      <c r="AK639" s="44"/>
      <c r="AL639" s="43"/>
      <c r="AM639" s="43"/>
      <c r="AN639" s="43"/>
      <c r="AO639" s="43"/>
      <c r="AP639" s="43"/>
      <c r="AQ639" s="114"/>
      <c r="AR639" s="114"/>
      <c r="AS639" s="114"/>
      <c r="AT639" s="111"/>
      <c r="AU639" s="18"/>
      <c r="AV639" s="110"/>
      <c r="AW639" s="18"/>
      <c r="AX639" s="123"/>
    </row>
    <row r="640" spans="1:50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170" t="s">
        <v>1016</v>
      </c>
      <c r="AB640" s="170" t="s">
        <v>1068</v>
      </c>
      <c r="AC640" s="168"/>
      <c r="AD640" s="43"/>
      <c r="AE640" s="43"/>
      <c r="AF640" s="44"/>
      <c r="AG640" s="44"/>
      <c r="AH640" s="44"/>
      <c r="AI640" s="44"/>
      <c r="AJ640" s="43"/>
      <c r="AK640" s="44"/>
      <c r="AL640" s="43"/>
      <c r="AM640" s="43"/>
      <c r="AN640" s="43"/>
      <c r="AO640" s="43"/>
      <c r="AP640" s="43"/>
      <c r="AQ640" s="114"/>
      <c r="AR640" s="114"/>
      <c r="AS640" s="114"/>
      <c r="AT640" s="111"/>
      <c r="AU640" s="18"/>
      <c r="AV640" s="110"/>
      <c r="AW640" s="18"/>
      <c r="AX640" s="123"/>
    </row>
    <row r="641" spans="1:50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170" t="s">
        <v>1017</v>
      </c>
      <c r="AB641" s="170" t="s">
        <v>1069</v>
      </c>
      <c r="AC641" s="168"/>
      <c r="AD641" s="43"/>
      <c r="AE641" s="43"/>
      <c r="AF641" s="44"/>
      <c r="AG641" s="44"/>
      <c r="AH641" s="44"/>
      <c r="AI641" s="44"/>
      <c r="AJ641" s="43"/>
      <c r="AK641" s="44"/>
      <c r="AL641" s="43"/>
      <c r="AM641" s="43"/>
      <c r="AN641" s="43"/>
      <c r="AO641" s="43"/>
      <c r="AP641" s="43"/>
      <c r="AQ641" s="114"/>
      <c r="AR641" s="114"/>
      <c r="AS641" s="114"/>
      <c r="AT641" s="111"/>
      <c r="AU641" s="18"/>
      <c r="AV641" s="110"/>
      <c r="AW641" s="18"/>
      <c r="AX641" s="123"/>
    </row>
    <row r="642" spans="1:50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170" t="s">
        <v>1018</v>
      </c>
      <c r="AB642" s="170" t="s">
        <v>286</v>
      </c>
      <c r="AC642" s="168"/>
      <c r="AD642" s="43"/>
      <c r="AE642" s="43"/>
      <c r="AF642" s="44"/>
      <c r="AG642" s="44"/>
      <c r="AH642" s="44"/>
      <c r="AI642" s="44"/>
      <c r="AJ642" s="43"/>
      <c r="AK642" s="44"/>
      <c r="AL642" s="43"/>
      <c r="AM642" s="43"/>
      <c r="AN642" s="43"/>
      <c r="AO642" s="43"/>
      <c r="AP642" s="43"/>
      <c r="AQ642" s="114"/>
      <c r="AR642" s="114"/>
      <c r="AS642" s="114"/>
      <c r="AT642" s="111"/>
      <c r="AU642" s="18"/>
      <c r="AV642" s="110"/>
      <c r="AW642" s="18"/>
      <c r="AX642" s="123"/>
    </row>
    <row r="643" spans="1:50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170" t="s">
        <v>1021</v>
      </c>
      <c r="AB643" s="165" t="s">
        <v>1070</v>
      </c>
      <c r="AC643" s="168"/>
      <c r="AD643" s="43"/>
      <c r="AE643" s="43"/>
      <c r="AF643" s="44"/>
      <c r="AG643" s="44"/>
      <c r="AH643" s="44"/>
      <c r="AI643" s="44"/>
      <c r="AJ643" s="43"/>
      <c r="AK643" s="44"/>
      <c r="AL643" s="43"/>
      <c r="AM643" s="43"/>
      <c r="AN643" s="43"/>
      <c r="AO643" s="43"/>
      <c r="AP643" s="43"/>
      <c r="AQ643" s="114"/>
      <c r="AR643" s="114"/>
      <c r="AS643" s="114"/>
      <c r="AT643" s="111"/>
      <c r="AU643" s="18"/>
      <c r="AV643" s="110"/>
      <c r="AW643" s="18"/>
      <c r="AX643" s="123"/>
    </row>
    <row r="644" spans="1:50" ht="25.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166" t="s">
        <v>1019</v>
      </c>
      <c r="AB644" s="167" t="s">
        <v>1005</v>
      </c>
      <c r="AC644" s="168"/>
      <c r="AD644" s="44">
        <v>0</v>
      </c>
      <c r="AE644" s="217">
        <v>7731979438.25</v>
      </c>
      <c r="AF644" s="216">
        <v>0</v>
      </c>
      <c r="AG644" s="44">
        <v>0</v>
      </c>
      <c r="AH644" s="44">
        <v>0</v>
      </c>
      <c r="AI644" s="43">
        <f t="shared" ref="AI644:AI650" si="255">AE644-AF644+AG644-AH644</f>
        <v>7731979438.25</v>
      </c>
      <c r="AJ644" s="43">
        <f t="shared" ref="AJ644:AJ650" si="256">AD644+AI644</f>
        <v>7731979438.25</v>
      </c>
      <c r="AK644" s="44">
        <v>0</v>
      </c>
      <c r="AL644" s="44">
        <v>0</v>
      </c>
      <c r="AM644" s="43">
        <v>3593372598.2800002</v>
      </c>
      <c r="AN644" s="44">
        <v>0</v>
      </c>
      <c r="AO644" s="44">
        <v>0</v>
      </c>
      <c r="AP644" s="43">
        <v>3593372598.2800002</v>
      </c>
      <c r="AQ644" s="114">
        <v>321556403.25</v>
      </c>
      <c r="AR644" s="114">
        <v>0</v>
      </c>
      <c r="AS644" s="114">
        <v>1118844798.0699999</v>
      </c>
      <c r="AT644" s="111">
        <f t="shared" ref="AT644:AT650" si="257">AQ644+AS644</f>
        <v>1440401201.3199999</v>
      </c>
      <c r="AU644" s="18">
        <f t="shared" ref="AU644:AU650" si="258">AJ644-AM644</f>
        <v>4138606839.9699998</v>
      </c>
      <c r="AV644" s="34">
        <f t="shared" ref="AV644:AV650" si="259">AM644-AP644</f>
        <v>0</v>
      </c>
      <c r="AW644" s="18">
        <f t="shared" ref="AW644:AW650" si="260">AP644-AT644</f>
        <v>2152971396.96</v>
      </c>
      <c r="AX644" s="123">
        <f t="shared" ref="AX644:AX650" si="261">AP644/AJ644</f>
        <v>0.46474161331878788</v>
      </c>
    </row>
    <row r="645" spans="1:50" ht="25.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166" t="s">
        <v>1056</v>
      </c>
      <c r="AB645" s="167" t="s">
        <v>1057</v>
      </c>
      <c r="AC645" s="168"/>
      <c r="AD645" s="44">
        <v>0</v>
      </c>
      <c r="AE645" s="217">
        <v>427067817.00999999</v>
      </c>
      <c r="AF645" s="216">
        <v>0</v>
      </c>
      <c r="AG645" s="44">
        <v>0</v>
      </c>
      <c r="AH645" s="44">
        <v>0</v>
      </c>
      <c r="AI645" s="43">
        <f t="shared" si="255"/>
        <v>427067817.00999999</v>
      </c>
      <c r="AJ645" s="43">
        <f t="shared" si="256"/>
        <v>427067817.00999999</v>
      </c>
      <c r="AK645" s="44">
        <v>0</v>
      </c>
      <c r="AL645" s="44">
        <v>0</v>
      </c>
      <c r="AM645" s="43">
        <v>427067817.00999999</v>
      </c>
      <c r="AN645" s="44">
        <v>0</v>
      </c>
      <c r="AO645" s="44">
        <v>0</v>
      </c>
      <c r="AP645" s="43">
        <v>427067817.00999999</v>
      </c>
      <c r="AQ645" s="115">
        <v>0</v>
      </c>
      <c r="AR645" s="43">
        <v>318829688.63</v>
      </c>
      <c r="AS645" s="43">
        <v>425039138.57999998</v>
      </c>
      <c r="AT645" s="39">
        <f t="shared" si="257"/>
        <v>425039138.57999998</v>
      </c>
      <c r="AU645" s="34">
        <f t="shared" si="258"/>
        <v>0</v>
      </c>
      <c r="AV645" s="34">
        <f t="shared" si="259"/>
        <v>0</v>
      </c>
      <c r="AW645" s="18">
        <f t="shared" si="260"/>
        <v>2028678.4300000072</v>
      </c>
      <c r="AX645" s="123">
        <f t="shared" si="261"/>
        <v>1</v>
      </c>
    </row>
    <row r="646" spans="1:50" ht="25.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166" t="s">
        <v>1060</v>
      </c>
      <c r="AB646" s="167" t="s">
        <v>1061</v>
      </c>
      <c r="AC646" s="168"/>
      <c r="AD646" s="44">
        <v>0</v>
      </c>
      <c r="AE646" s="217">
        <v>255374883.63</v>
      </c>
      <c r="AF646" s="216">
        <v>0</v>
      </c>
      <c r="AG646" s="44">
        <v>0</v>
      </c>
      <c r="AH646" s="44">
        <v>0</v>
      </c>
      <c r="AI646" s="43">
        <f>AE646-AF646+AG646-AH646</f>
        <v>255374883.63</v>
      </c>
      <c r="AJ646" s="43">
        <f>AD646+AI646</f>
        <v>255374883.63</v>
      </c>
      <c r="AK646" s="44">
        <v>0</v>
      </c>
      <c r="AL646" s="44">
        <v>0</v>
      </c>
      <c r="AM646" s="43">
        <v>255374883.63</v>
      </c>
      <c r="AN646" s="44">
        <v>0</v>
      </c>
      <c r="AO646" s="44">
        <v>0</v>
      </c>
      <c r="AP646" s="43">
        <v>255374883.63</v>
      </c>
      <c r="AQ646" s="115">
        <v>0</v>
      </c>
      <c r="AR646" s="43">
        <v>0</v>
      </c>
      <c r="AS646" s="43">
        <v>254437726.47999999</v>
      </c>
      <c r="AT646" s="39">
        <f>AQ646+AS646</f>
        <v>254437726.47999999</v>
      </c>
      <c r="AU646" s="34">
        <f t="shared" si="258"/>
        <v>0</v>
      </c>
      <c r="AV646" s="34">
        <f t="shared" si="259"/>
        <v>0</v>
      </c>
      <c r="AW646" s="18">
        <f t="shared" si="260"/>
        <v>937157.15000000596</v>
      </c>
      <c r="AX646" s="123">
        <f t="shared" si="261"/>
        <v>1</v>
      </c>
    </row>
    <row r="647" spans="1:50" ht="25.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166" t="s">
        <v>1058</v>
      </c>
      <c r="AB647" s="167" t="s">
        <v>1059</v>
      </c>
      <c r="AC647" s="168"/>
      <c r="AD647" s="44">
        <v>0</v>
      </c>
      <c r="AE647" s="217">
        <v>4369426346.8800001</v>
      </c>
      <c r="AF647" s="216">
        <v>0</v>
      </c>
      <c r="AG647" s="44">
        <v>0</v>
      </c>
      <c r="AH647" s="44">
        <v>0</v>
      </c>
      <c r="AI647" s="43">
        <f t="shared" si="255"/>
        <v>4369426346.8800001</v>
      </c>
      <c r="AJ647" s="43">
        <f t="shared" si="256"/>
        <v>4369426346.8800001</v>
      </c>
      <c r="AK647" s="44">
        <v>0</v>
      </c>
      <c r="AL647" s="44">
        <v>0</v>
      </c>
      <c r="AM647" s="43">
        <v>2654728677.5599999</v>
      </c>
      <c r="AN647" s="44">
        <v>0</v>
      </c>
      <c r="AO647" s="44">
        <v>0</v>
      </c>
      <c r="AP647" s="43">
        <v>2654728677.5599999</v>
      </c>
      <c r="AQ647" s="115">
        <v>0</v>
      </c>
      <c r="AR647" s="43">
        <v>126577930</v>
      </c>
      <c r="AS647" s="43">
        <v>1839708049.6400001</v>
      </c>
      <c r="AT647" s="39">
        <f t="shared" si="257"/>
        <v>1839708049.6400001</v>
      </c>
      <c r="AU647" s="18">
        <f t="shared" si="258"/>
        <v>1714697669.3200002</v>
      </c>
      <c r="AV647" s="34">
        <f t="shared" si="259"/>
        <v>0</v>
      </c>
      <c r="AW647" s="18">
        <f t="shared" si="260"/>
        <v>815020627.91999984</v>
      </c>
      <c r="AX647" s="123">
        <f t="shared" si="261"/>
        <v>0.60756915595009753</v>
      </c>
    </row>
    <row r="648" spans="1:50" ht="25.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166" t="s">
        <v>1062</v>
      </c>
      <c r="AB648" s="167" t="s">
        <v>1063</v>
      </c>
      <c r="AC648" s="168"/>
      <c r="AD648" s="44">
        <v>0</v>
      </c>
      <c r="AE648" s="217">
        <v>116816300</v>
      </c>
      <c r="AF648" s="216">
        <v>0</v>
      </c>
      <c r="AG648" s="44">
        <v>0</v>
      </c>
      <c r="AH648" s="44">
        <v>0</v>
      </c>
      <c r="AI648" s="43">
        <f t="shared" si="255"/>
        <v>116816300</v>
      </c>
      <c r="AJ648" s="43">
        <f t="shared" si="256"/>
        <v>116816300</v>
      </c>
      <c r="AK648" s="44">
        <v>0</v>
      </c>
      <c r="AL648" s="44">
        <v>0</v>
      </c>
      <c r="AM648" s="43">
        <v>0</v>
      </c>
      <c r="AN648" s="44">
        <v>0</v>
      </c>
      <c r="AO648" s="44">
        <v>0</v>
      </c>
      <c r="AP648" s="43">
        <v>0</v>
      </c>
      <c r="AQ648" s="115">
        <v>0</v>
      </c>
      <c r="AR648" s="44">
        <v>0</v>
      </c>
      <c r="AS648" s="44">
        <v>0</v>
      </c>
      <c r="AT648" s="40">
        <f t="shared" si="257"/>
        <v>0</v>
      </c>
      <c r="AU648" s="18">
        <f t="shared" si="258"/>
        <v>116816300</v>
      </c>
      <c r="AV648" s="34">
        <f t="shared" si="259"/>
        <v>0</v>
      </c>
      <c r="AW648" s="34">
        <f t="shared" si="260"/>
        <v>0</v>
      </c>
      <c r="AX648" s="123">
        <f t="shared" si="261"/>
        <v>0</v>
      </c>
    </row>
    <row r="649" spans="1:50" ht="25.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166" t="s">
        <v>1064</v>
      </c>
      <c r="AB649" s="167" t="s">
        <v>1065</v>
      </c>
      <c r="AC649" s="168"/>
      <c r="AD649" s="44">
        <v>0</v>
      </c>
      <c r="AE649" s="217">
        <v>122396604.84999999</v>
      </c>
      <c r="AF649" s="216">
        <v>0</v>
      </c>
      <c r="AG649" s="44">
        <v>0</v>
      </c>
      <c r="AH649" s="44">
        <v>0</v>
      </c>
      <c r="AI649" s="43">
        <f t="shared" si="255"/>
        <v>122396604.84999999</v>
      </c>
      <c r="AJ649" s="43">
        <f t="shared" si="256"/>
        <v>122396604.84999999</v>
      </c>
      <c r="AK649" s="44">
        <v>0</v>
      </c>
      <c r="AL649" s="44">
        <v>0</v>
      </c>
      <c r="AM649" s="43">
        <v>122396604.84999999</v>
      </c>
      <c r="AN649" s="44">
        <v>0</v>
      </c>
      <c r="AO649" s="44">
        <v>0</v>
      </c>
      <c r="AP649" s="43">
        <v>122396604.84999999</v>
      </c>
      <c r="AQ649" s="115">
        <v>0</v>
      </c>
      <c r="AR649" s="43">
        <v>0</v>
      </c>
      <c r="AS649" s="43">
        <v>122396604.84999999</v>
      </c>
      <c r="AT649" s="39">
        <f t="shared" si="257"/>
        <v>122396604.84999999</v>
      </c>
      <c r="AU649" s="18">
        <f t="shared" si="258"/>
        <v>0</v>
      </c>
      <c r="AV649" s="34">
        <f t="shared" si="259"/>
        <v>0</v>
      </c>
      <c r="AW649" s="34">
        <f t="shared" si="260"/>
        <v>0</v>
      </c>
      <c r="AX649" s="123">
        <f t="shared" si="261"/>
        <v>1</v>
      </c>
    </row>
    <row r="650" spans="1:50" ht="25.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166" t="s">
        <v>1066</v>
      </c>
      <c r="AB650" s="167" t="s">
        <v>1067</v>
      </c>
      <c r="AC650" s="168"/>
      <c r="AD650" s="44">
        <v>0</v>
      </c>
      <c r="AE650" s="217">
        <v>256369955.99000001</v>
      </c>
      <c r="AF650" s="216">
        <v>0</v>
      </c>
      <c r="AG650" s="44">
        <v>0</v>
      </c>
      <c r="AH650" s="44">
        <v>0</v>
      </c>
      <c r="AI650" s="43">
        <f t="shared" si="255"/>
        <v>256369955.99000001</v>
      </c>
      <c r="AJ650" s="43">
        <f t="shared" si="256"/>
        <v>256369955.99000001</v>
      </c>
      <c r="AK650" s="44">
        <v>0</v>
      </c>
      <c r="AL650" s="44">
        <v>0</v>
      </c>
      <c r="AM650" s="43">
        <v>232210009.36000001</v>
      </c>
      <c r="AN650" s="44">
        <v>0</v>
      </c>
      <c r="AO650" s="44">
        <v>0</v>
      </c>
      <c r="AP650" s="43">
        <v>232210009.36000001</v>
      </c>
      <c r="AQ650" s="115">
        <v>0</v>
      </c>
      <c r="AR650" s="43">
        <v>0</v>
      </c>
      <c r="AS650" s="43">
        <v>232210009.36000001</v>
      </c>
      <c r="AT650" s="39">
        <f t="shared" si="257"/>
        <v>232210009.36000001</v>
      </c>
      <c r="AU650" s="18">
        <f t="shared" si="258"/>
        <v>24159946.629999995</v>
      </c>
      <c r="AV650" s="34">
        <f t="shared" si="259"/>
        <v>0</v>
      </c>
      <c r="AW650" s="34">
        <f t="shared" si="260"/>
        <v>0</v>
      </c>
      <c r="AX650" s="123">
        <f t="shared" si="261"/>
        <v>0.90576139650723198</v>
      </c>
    </row>
    <row r="651" spans="1:50" ht="18.75" customHeight="1" x14ac:dyDescent="0.2">
      <c r="AA651" s="162"/>
      <c r="AB651" s="163" t="s">
        <v>199</v>
      </c>
      <c r="AC651" s="17"/>
      <c r="AD651" s="18"/>
      <c r="AE651" s="34"/>
      <c r="AF651" s="34"/>
      <c r="AG651" s="34"/>
      <c r="AH651" s="34"/>
      <c r="AI651" s="34"/>
      <c r="AJ651" s="18"/>
      <c r="AK651" s="18"/>
      <c r="AL651" s="18"/>
      <c r="AM651" s="18"/>
      <c r="AN651" s="18"/>
      <c r="AO651" s="18"/>
      <c r="AP651" s="18"/>
      <c r="AQ651" s="34"/>
      <c r="AR651" s="34"/>
      <c r="AS651" s="34"/>
      <c r="AT651" s="40"/>
      <c r="AU651" s="18"/>
      <c r="AV651" s="18"/>
      <c r="AW651" s="18"/>
      <c r="AX651" s="18"/>
    </row>
    <row r="652" spans="1:50" ht="18.75" customHeight="1" x14ac:dyDescent="0.2">
      <c r="AA652" s="28" t="s">
        <v>288</v>
      </c>
      <c r="AB652" s="29" t="s">
        <v>1079</v>
      </c>
      <c r="AC652" s="17"/>
      <c r="AD652" s="18"/>
      <c r="AE652" s="34"/>
      <c r="AF652" s="34"/>
      <c r="AG652" s="34"/>
      <c r="AH652" s="34"/>
      <c r="AI652" s="34"/>
      <c r="AJ652" s="18"/>
      <c r="AK652" s="18"/>
      <c r="AL652" s="18"/>
      <c r="AM652" s="18"/>
      <c r="AN652" s="18"/>
      <c r="AO652" s="18"/>
      <c r="AP652" s="18"/>
      <c r="AQ652" s="34"/>
      <c r="AR652" s="34"/>
      <c r="AS652" s="34"/>
      <c r="AT652" s="40"/>
      <c r="AU652" s="18"/>
      <c r="AV652" s="18"/>
      <c r="AW652" s="18"/>
      <c r="AX652" s="18"/>
    </row>
    <row r="653" spans="1:50" ht="18.75" customHeight="1" x14ac:dyDescent="0.2">
      <c r="A653" s="4" t="s">
        <v>55</v>
      </c>
      <c r="B653" s="4" t="s">
        <v>56</v>
      </c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1" t="s">
        <v>505</v>
      </c>
      <c r="AB653" s="42" t="s">
        <v>439</v>
      </c>
      <c r="AC653" s="43" t="s">
        <v>428</v>
      </c>
      <c r="AD653" s="43">
        <v>1896134100.8599999</v>
      </c>
      <c r="AE653" s="44">
        <v>0</v>
      </c>
      <c r="AF653" s="44">
        <v>0</v>
      </c>
      <c r="AG653" s="44">
        <v>0</v>
      </c>
      <c r="AH653" s="44">
        <v>0</v>
      </c>
      <c r="AI653" s="44">
        <v>0</v>
      </c>
      <c r="AJ653" s="43">
        <v>1896134100.8599999</v>
      </c>
      <c r="AK653" s="44">
        <v>0</v>
      </c>
      <c r="AL653" s="43">
        <f>AM653-JUNIO!AM646</f>
        <v>0</v>
      </c>
      <c r="AM653" s="114">
        <v>1827225023</v>
      </c>
      <c r="AN653" s="44">
        <v>0</v>
      </c>
      <c r="AO653" s="44">
        <v>0</v>
      </c>
      <c r="AP653" s="43">
        <v>1827225023</v>
      </c>
      <c r="AQ653" s="44">
        <v>0</v>
      </c>
      <c r="AR653" s="44">
        <v>0</v>
      </c>
      <c r="AS653" s="44">
        <v>0</v>
      </c>
      <c r="AT653" s="40">
        <f>AQ653+AS653</f>
        <v>0</v>
      </c>
      <c r="AU653" s="18">
        <f>AJ653-AM653</f>
        <v>68909077.859999895</v>
      </c>
      <c r="AV653" s="133">
        <f>AM653-AP653</f>
        <v>0</v>
      </c>
      <c r="AW653" s="18">
        <f>AP653-AT653</f>
        <v>1827225023</v>
      </c>
      <c r="AX653" s="123">
        <f>AP653/AJ653</f>
        <v>0.96365812005134766</v>
      </c>
    </row>
    <row r="654" spans="1:50" ht="18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214" t="s">
        <v>1080</v>
      </c>
      <c r="AB654" s="215" t="s">
        <v>1074</v>
      </c>
      <c r="AC654" s="168"/>
      <c r="AD654" s="44">
        <v>0</v>
      </c>
      <c r="AE654" s="43">
        <v>100000000</v>
      </c>
      <c r="AF654" s="44">
        <v>0</v>
      </c>
      <c r="AG654" s="44">
        <v>0</v>
      </c>
      <c r="AH654" s="44">
        <v>0</v>
      </c>
      <c r="AI654" s="43">
        <f>AE654-AF654+AG654-AH654</f>
        <v>100000000</v>
      </c>
      <c r="AJ654" s="43">
        <f>AD654+AI654</f>
        <v>100000000</v>
      </c>
      <c r="AK654" s="44">
        <v>0</v>
      </c>
      <c r="AL654" s="115">
        <v>0</v>
      </c>
      <c r="AM654" s="115">
        <v>0</v>
      </c>
      <c r="AN654" s="44">
        <v>0</v>
      </c>
      <c r="AO654" s="44">
        <v>0</v>
      </c>
      <c r="AP654" s="44">
        <v>0</v>
      </c>
      <c r="AQ654" s="44">
        <v>0</v>
      </c>
      <c r="AR654" s="44">
        <v>0</v>
      </c>
      <c r="AS654" s="44">
        <v>0</v>
      </c>
      <c r="AT654" s="40">
        <f t="shared" ref="AT654" si="262">AQ654+AS654</f>
        <v>0</v>
      </c>
      <c r="AU654" s="18">
        <f>AJ654-AM654</f>
        <v>100000000</v>
      </c>
      <c r="AV654" s="34">
        <f>AM654-AP654</f>
        <v>0</v>
      </c>
      <c r="AW654" s="34">
        <f>AP654-AT654</f>
        <v>0</v>
      </c>
      <c r="AX654" s="123">
        <f>AP654/AJ654</f>
        <v>0</v>
      </c>
    </row>
    <row r="655" spans="1:50" ht="18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170" t="s">
        <v>288</v>
      </c>
      <c r="AB655" s="165" t="s">
        <v>1084</v>
      </c>
      <c r="AC655" s="168"/>
      <c r="AD655" s="44"/>
      <c r="AE655" s="43"/>
      <c r="AF655" s="44"/>
      <c r="AG655" s="44"/>
      <c r="AH655" s="44"/>
      <c r="AI655" s="44"/>
      <c r="AJ655" s="43"/>
      <c r="AK655" s="44"/>
      <c r="AL655" s="115"/>
      <c r="AM655" s="115"/>
      <c r="AN655" s="44"/>
      <c r="AO655" s="44"/>
      <c r="AP655" s="44"/>
      <c r="AQ655" s="44"/>
      <c r="AR655" s="44"/>
      <c r="AS655" s="44"/>
      <c r="AT655" s="40"/>
      <c r="AU655" s="18"/>
      <c r="AV655" s="133"/>
      <c r="AW655" s="34"/>
      <c r="AX655" s="123"/>
    </row>
    <row r="656" spans="1:50" ht="18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166" t="s">
        <v>1085</v>
      </c>
      <c r="AB656" s="167" t="s">
        <v>1074</v>
      </c>
      <c r="AC656" s="168"/>
      <c r="AD656" s="44">
        <v>0</v>
      </c>
      <c r="AE656" s="43">
        <v>3115350000</v>
      </c>
      <c r="AF656" s="44">
        <v>0</v>
      </c>
      <c r="AG656" s="44">
        <v>0</v>
      </c>
      <c r="AH656" s="43">
        <v>466710000</v>
      </c>
      <c r="AI656" s="43">
        <f>AE656-AF656+AG656-AH656</f>
        <v>2648640000</v>
      </c>
      <c r="AJ656" s="43">
        <f>AD656+AI656</f>
        <v>2648640000</v>
      </c>
      <c r="AK656" s="44">
        <v>0</v>
      </c>
      <c r="AL656" s="115">
        <v>0</v>
      </c>
      <c r="AM656" s="115">
        <v>0</v>
      </c>
      <c r="AN656" s="44">
        <v>0</v>
      </c>
      <c r="AO656" s="44">
        <v>0</v>
      </c>
      <c r="AP656" s="44">
        <v>0</v>
      </c>
      <c r="AQ656" s="44">
        <v>0</v>
      </c>
      <c r="AR656" s="44">
        <v>0</v>
      </c>
      <c r="AS656" s="44">
        <v>0</v>
      </c>
      <c r="AT656" s="40">
        <f t="shared" ref="AT656" si="263">AQ656+AS656</f>
        <v>0</v>
      </c>
      <c r="AU656" s="18">
        <f>AJ656-AM656</f>
        <v>2648640000</v>
      </c>
      <c r="AV656" s="34">
        <f>AM656-AP656</f>
        <v>0</v>
      </c>
      <c r="AW656" s="34">
        <f>AP656-AT656</f>
        <v>0</v>
      </c>
      <c r="AX656" s="123">
        <f>AP656/AJ656</f>
        <v>0</v>
      </c>
    </row>
    <row r="657" spans="1:50" ht="18.75" customHeight="1" x14ac:dyDescent="0.2">
      <c r="AA657" s="169" t="s">
        <v>288</v>
      </c>
      <c r="AB657" s="163" t="s">
        <v>506</v>
      </c>
      <c r="AC657" s="17"/>
      <c r="AD657" s="18"/>
      <c r="AE657" s="34"/>
      <c r="AF657" s="34"/>
      <c r="AG657" s="34"/>
      <c r="AH657" s="34"/>
      <c r="AI657" s="34"/>
      <c r="AJ657" s="18"/>
      <c r="AK657" s="34"/>
      <c r="AL657" s="133"/>
      <c r="AM657" s="110"/>
      <c r="AN657" s="34"/>
      <c r="AO657" s="34"/>
      <c r="AP657" s="34"/>
      <c r="AQ657" s="34"/>
      <c r="AR657" s="34"/>
      <c r="AS657" s="34"/>
      <c r="AT657" s="40"/>
      <c r="AU657" s="18"/>
      <c r="AV657" s="34"/>
      <c r="AW657" s="18"/>
      <c r="AX657" s="18"/>
    </row>
    <row r="658" spans="1:50" ht="18.75" customHeight="1" x14ac:dyDescent="0.2">
      <c r="A658" s="4" t="s">
        <v>55</v>
      </c>
      <c r="B658" s="4" t="s">
        <v>56</v>
      </c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1" t="s">
        <v>507</v>
      </c>
      <c r="AB658" s="42" t="s">
        <v>439</v>
      </c>
      <c r="AC658" s="43" t="s">
        <v>428</v>
      </c>
      <c r="AD658" s="43">
        <v>6191009183.8000002</v>
      </c>
      <c r="AE658" s="44">
        <v>0</v>
      </c>
      <c r="AF658" s="44">
        <v>0</v>
      </c>
      <c r="AG658" s="44">
        <v>0</v>
      </c>
      <c r="AH658" s="43">
        <f>4680084481.8+76000000+907367029.2</f>
        <v>5663451511</v>
      </c>
      <c r="AI658" s="43">
        <f>AE658-AF658+AG658-AH658</f>
        <v>-5663451511</v>
      </c>
      <c r="AJ658" s="43">
        <f>AD658+AI658</f>
        <v>527557672.80000019</v>
      </c>
      <c r="AK658" s="44">
        <v>0</v>
      </c>
      <c r="AL658" s="115">
        <f>AM658-JUNIO!AM651</f>
        <v>0</v>
      </c>
      <c r="AM658" s="114">
        <v>527557672.80000001</v>
      </c>
      <c r="AN658" s="44">
        <v>0</v>
      </c>
      <c r="AO658" s="44">
        <v>0</v>
      </c>
      <c r="AP658" s="114">
        <v>527557672.80000001</v>
      </c>
      <c r="AQ658" s="44">
        <v>0</v>
      </c>
      <c r="AR658" s="44">
        <v>409471282.97000003</v>
      </c>
      <c r="AS658" s="43">
        <v>527557672.80000001</v>
      </c>
      <c r="AT658" s="39">
        <f>AQ658+AS658</f>
        <v>527557672.80000001</v>
      </c>
      <c r="AU658" s="34">
        <f>AJ658-AM658</f>
        <v>0</v>
      </c>
      <c r="AV658" s="34">
        <f>AM658-AP658</f>
        <v>0</v>
      </c>
      <c r="AW658" s="34">
        <f>AP658-AT658</f>
        <v>0</v>
      </c>
      <c r="AX658" s="123">
        <f>AP658/AJ658</f>
        <v>0.99999999999999967</v>
      </c>
    </row>
    <row r="659" spans="1:50" ht="18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166" t="s">
        <v>1081</v>
      </c>
      <c r="AB659" s="167" t="s">
        <v>1074</v>
      </c>
      <c r="AC659" s="168"/>
      <c r="AD659" s="43">
        <v>0</v>
      </c>
      <c r="AE659" s="43">
        <v>12071695000</v>
      </c>
      <c r="AF659" s="44">
        <v>0</v>
      </c>
      <c r="AG659" s="44">
        <v>0</v>
      </c>
      <c r="AH659" s="44">
        <v>0</v>
      </c>
      <c r="AI659" s="43">
        <f>AE659-AF659+AG659-AH659</f>
        <v>12071695000</v>
      </c>
      <c r="AJ659" s="43">
        <f>AD659+AI659</f>
        <v>12071695000</v>
      </c>
      <c r="AK659" s="44">
        <v>0</v>
      </c>
      <c r="AL659" s="115">
        <f>AM659-JUNIO!AM652</f>
        <v>0</v>
      </c>
      <c r="AM659" s="43">
        <v>9684383100.0699997</v>
      </c>
      <c r="AN659" s="44">
        <v>0</v>
      </c>
      <c r="AO659" s="43">
        <v>0</v>
      </c>
      <c r="AP659" s="43">
        <v>399999941.93000001</v>
      </c>
      <c r="AQ659" s="44">
        <v>0</v>
      </c>
      <c r="AR659" s="44">
        <v>231624044.91999999</v>
      </c>
      <c r="AS659" s="44">
        <v>231624044.91999999</v>
      </c>
      <c r="AT659" s="111">
        <f t="shared" ref="AT659" si="264">AQ659+AS659</f>
        <v>231624044.91999999</v>
      </c>
      <c r="AU659" s="18">
        <f>AJ659-AM659</f>
        <v>2387311899.9300003</v>
      </c>
      <c r="AV659" s="18">
        <f>AM659-AP659</f>
        <v>9284383158.1399994</v>
      </c>
      <c r="AW659" s="18">
        <f>AP659-AT659</f>
        <v>168375897.01000002</v>
      </c>
      <c r="AX659" s="123">
        <f>AP659/AJ659</f>
        <v>3.3135358533329412E-2</v>
      </c>
    </row>
    <row r="660" spans="1:50" ht="18.75" customHeight="1" x14ac:dyDescent="0.2">
      <c r="AA660" s="169" t="s">
        <v>288</v>
      </c>
      <c r="AB660" s="163" t="s">
        <v>508</v>
      </c>
      <c r="AC660" s="17"/>
      <c r="AD660" s="18"/>
      <c r="AE660" s="34"/>
      <c r="AF660" s="34"/>
      <c r="AG660" s="34"/>
      <c r="AH660" s="34"/>
      <c r="AI660" s="34"/>
      <c r="AJ660" s="18"/>
      <c r="AK660" s="34"/>
      <c r="AL660" s="34"/>
      <c r="AM660" s="34"/>
      <c r="AN660" s="34"/>
      <c r="AO660" s="34"/>
      <c r="AP660" s="34"/>
      <c r="AQ660" s="34"/>
      <c r="AR660" s="34"/>
      <c r="AS660" s="34"/>
      <c r="AT660" s="40"/>
      <c r="AU660" s="18"/>
      <c r="AV660" s="34"/>
      <c r="AW660" s="18"/>
      <c r="AX660" s="18"/>
    </row>
    <row r="661" spans="1:50" ht="18.75" customHeight="1" x14ac:dyDescent="0.2">
      <c r="A661" s="4" t="s">
        <v>55</v>
      </c>
      <c r="B661" s="4" t="s">
        <v>56</v>
      </c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1" t="s">
        <v>509</v>
      </c>
      <c r="AB661" s="42" t="s">
        <v>439</v>
      </c>
      <c r="AC661" s="43" t="s">
        <v>428</v>
      </c>
      <c r="AD661" s="43">
        <v>9340881185.3400002</v>
      </c>
      <c r="AE661" s="44">
        <v>0</v>
      </c>
      <c r="AF661" s="44">
        <v>0</v>
      </c>
      <c r="AG661" s="43">
        <f>4680084481.8+1126470266</f>
        <v>5806554747.8000002</v>
      </c>
      <c r="AH661" s="44">
        <v>0</v>
      </c>
      <c r="AI661" s="43">
        <f>AE661-AF661+AG661-AH661</f>
        <v>5806554747.8000002</v>
      </c>
      <c r="AJ661" s="43">
        <f>AD661+AI661</f>
        <v>15147435933.139999</v>
      </c>
      <c r="AK661" s="44">
        <v>0</v>
      </c>
      <c r="AL661" s="43">
        <f>AM661-JUNIO!AM654</f>
        <v>-198819089.89999962</v>
      </c>
      <c r="AM661" s="43">
        <v>14938402085.66</v>
      </c>
      <c r="AN661" s="44">
        <v>0</v>
      </c>
      <c r="AO661" s="44">
        <v>14766414723.66</v>
      </c>
      <c r="AP661" s="44">
        <v>14766414723.66</v>
      </c>
      <c r="AQ661" s="44">
        <v>0</v>
      </c>
      <c r="AR661" s="44">
        <v>0</v>
      </c>
      <c r="AS661" s="44">
        <v>0</v>
      </c>
      <c r="AT661" s="40">
        <f t="shared" si="252"/>
        <v>0</v>
      </c>
      <c r="AU661" s="18">
        <f>AJ661-AM661</f>
        <v>209033847.47999954</v>
      </c>
      <c r="AV661" s="18">
        <f>AM661-AP661</f>
        <v>171987362</v>
      </c>
      <c r="AW661" s="18">
        <f>AP661-AT661</f>
        <v>14766414723.66</v>
      </c>
      <c r="AX661" s="123">
        <f>AP661/AJ661</f>
        <v>0.97484582795650643</v>
      </c>
    </row>
    <row r="662" spans="1:50" ht="18.75" customHeight="1" x14ac:dyDescent="0.2">
      <c r="A662" s="4" t="s">
        <v>55</v>
      </c>
      <c r="B662" s="4" t="s">
        <v>56</v>
      </c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1" t="s">
        <v>510</v>
      </c>
      <c r="AB662" s="42" t="s">
        <v>490</v>
      </c>
      <c r="AC662" s="43" t="s">
        <v>368</v>
      </c>
      <c r="AD662" s="43">
        <v>659690762</v>
      </c>
      <c r="AE662" s="44">
        <v>0</v>
      </c>
      <c r="AF662" s="44">
        <v>0</v>
      </c>
      <c r="AG662" s="44">
        <v>0</v>
      </c>
      <c r="AH662" s="44">
        <v>0</v>
      </c>
      <c r="AI662" s="44">
        <v>0</v>
      </c>
      <c r="AJ662" s="43">
        <v>659690762</v>
      </c>
      <c r="AK662" s="44">
        <v>0</v>
      </c>
      <c r="AL662" s="43">
        <f>AM662-JUNIO!AM655</f>
        <v>0</v>
      </c>
      <c r="AM662" s="43">
        <v>659690762</v>
      </c>
      <c r="AN662" s="44">
        <v>0</v>
      </c>
      <c r="AO662" s="44">
        <v>0</v>
      </c>
      <c r="AP662" s="44">
        <v>0</v>
      </c>
      <c r="AQ662" s="44">
        <v>0</v>
      </c>
      <c r="AR662" s="44">
        <v>0</v>
      </c>
      <c r="AS662" s="44">
        <v>0</v>
      </c>
      <c r="AT662" s="40">
        <f t="shared" si="252"/>
        <v>0</v>
      </c>
      <c r="AU662" s="18">
        <f>AJ662-AM662</f>
        <v>0</v>
      </c>
      <c r="AV662" s="18">
        <f>AM662-AP662</f>
        <v>659690762</v>
      </c>
      <c r="AW662" s="34">
        <f>AP662-AT662</f>
        <v>0</v>
      </c>
      <c r="AX662" s="123">
        <f>AP662/AJ662</f>
        <v>0</v>
      </c>
    </row>
    <row r="663" spans="1:50" ht="18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166" t="s">
        <v>1086</v>
      </c>
      <c r="AB663" s="167" t="s">
        <v>1074</v>
      </c>
      <c r="AC663" s="168"/>
      <c r="AD663" s="44">
        <v>0</v>
      </c>
      <c r="AE663" s="43">
        <v>7500000000</v>
      </c>
      <c r="AF663" s="44">
        <v>0</v>
      </c>
      <c r="AG663" s="44">
        <v>0</v>
      </c>
      <c r="AH663" s="44">
        <v>0</v>
      </c>
      <c r="AI663" s="43">
        <f>AE663-AF663+AG663-AH663</f>
        <v>7500000000</v>
      </c>
      <c r="AJ663" s="43">
        <f>AD663+AI663</f>
        <v>7500000000</v>
      </c>
      <c r="AK663" s="44">
        <v>0</v>
      </c>
      <c r="AL663" s="43">
        <f>AM663-JUNIO!AM656</f>
        <v>0</v>
      </c>
      <c r="AM663" s="43">
        <v>2000000000</v>
      </c>
      <c r="AN663" s="44">
        <v>0</v>
      </c>
      <c r="AO663" s="44">
        <v>11562421</v>
      </c>
      <c r="AP663" s="44">
        <v>11562421</v>
      </c>
      <c r="AQ663" s="44">
        <v>0</v>
      </c>
      <c r="AR663" s="44">
        <v>0</v>
      </c>
      <c r="AS663" s="44">
        <v>0</v>
      </c>
      <c r="AT663" s="135">
        <f t="shared" si="252"/>
        <v>0</v>
      </c>
      <c r="AU663" s="18">
        <f>AJ663-AM663</f>
        <v>5500000000</v>
      </c>
      <c r="AV663" s="18">
        <f>AM663-AP663</f>
        <v>1988437579</v>
      </c>
      <c r="AW663" s="34">
        <f>AP663-AT663</f>
        <v>11562421</v>
      </c>
      <c r="AX663" s="123">
        <f>AP663/AJ663</f>
        <v>1.5416561333333333E-3</v>
      </c>
    </row>
    <row r="664" spans="1:50" ht="18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171" t="s">
        <v>288</v>
      </c>
      <c r="AB664" s="213" t="s">
        <v>1082</v>
      </c>
      <c r="AC664" s="168"/>
      <c r="AD664" s="44"/>
      <c r="AE664" s="44"/>
      <c r="AF664" s="44"/>
      <c r="AG664" s="44"/>
      <c r="AH664" s="44"/>
      <c r="AI664" s="44"/>
      <c r="AJ664" s="43"/>
      <c r="AK664" s="44"/>
      <c r="AL664" s="44"/>
      <c r="AM664" s="44"/>
      <c r="AN664" s="44"/>
      <c r="AO664" s="44"/>
      <c r="AP664" s="44"/>
      <c r="AQ664" s="44"/>
      <c r="AR664" s="44"/>
      <c r="AS664" s="44"/>
      <c r="AT664" s="40"/>
      <c r="AU664" s="18"/>
      <c r="AV664" s="34"/>
      <c r="AW664" s="34"/>
      <c r="AX664" s="123"/>
    </row>
    <row r="665" spans="1:50" ht="18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166" t="s">
        <v>1083</v>
      </c>
      <c r="AB665" s="167" t="s">
        <v>1074</v>
      </c>
      <c r="AC665" s="168"/>
      <c r="AD665" s="44">
        <v>0</v>
      </c>
      <c r="AE665" s="43">
        <v>926394000</v>
      </c>
      <c r="AF665" s="44">
        <v>0</v>
      </c>
      <c r="AG665" s="43">
        <f>1886000000+466710000</f>
        <v>2352710000</v>
      </c>
      <c r="AH665" s="44">
        <v>0</v>
      </c>
      <c r="AI665" s="43">
        <f>AE665-AF665+AG665-AH665</f>
        <v>3279104000</v>
      </c>
      <c r="AJ665" s="43">
        <f>AD665+AI665</f>
        <v>3279104000</v>
      </c>
      <c r="AK665" s="44">
        <v>0</v>
      </c>
      <c r="AL665" s="43">
        <v>0</v>
      </c>
      <c r="AM665" s="43">
        <v>3011575283</v>
      </c>
      <c r="AN665" s="44">
        <v>0</v>
      </c>
      <c r="AO665" s="44">
        <v>0</v>
      </c>
      <c r="AP665" s="44">
        <v>0</v>
      </c>
      <c r="AQ665" s="44">
        <v>0</v>
      </c>
      <c r="AR665" s="44">
        <v>0</v>
      </c>
      <c r="AS665" s="44">
        <v>0</v>
      </c>
      <c r="AT665" s="135">
        <f t="shared" ref="AT665:AT666" si="265">AQ665+AS665</f>
        <v>0</v>
      </c>
      <c r="AU665" s="18">
        <f>AJ665-AM665</f>
        <v>267528717</v>
      </c>
      <c r="AV665" s="18">
        <f>AM665-AP665</f>
        <v>3011575283</v>
      </c>
      <c r="AW665" s="34">
        <f>AP665-AT665</f>
        <v>0</v>
      </c>
      <c r="AX665" s="123">
        <f>AP665/AJ665</f>
        <v>0</v>
      </c>
    </row>
    <row r="666" spans="1:50" ht="18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229" t="s">
        <v>1261</v>
      </c>
      <c r="AB666" s="230" t="s">
        <v>490</v>
      </c>
      <c r="AC666" s="168"/>
      <c r="AD666" s="44">
        <v>0</v>
      </c>
      <c r="AE666" s="43">
        <v>0</v>
      </c>
      <c r="AF666" s="44">
        <v>0</v>
      </c>
      <c r="AG666" s="43">
        <v>53364831</v>
      </c>
      <c r="AH666" s="44">
        <v>0</v>
      </c>
      <c r="AI666" s="43">
        <f>AE666-AF666+AG666-AH666</f>
        <v>53364831</v>
      </c>
      <c r="AJ666" s="43">
        <f>AD666+AI666</f>
        <v>53364831</v>
      </c>
      <c r="AK666" s="44">
        <v>0</v>
      </c>
      <c r="AL666" s="43">
        <v>0</v>
      </c>
      <c r="AM666" s="43">
        <v>53364831</v>
      </c>
      <c r="AN666" s="44">
        <v>0</v>
      </c>
      <c r="AO666" s="44">
        <v>0</v>
      </c>
      <c r="AP666" s="44">
        <v>0</v>
      </c>
      <c r="AQ666" s="44">
        <v>0</v>
      </c>
      <c r="AR666" s="44">
        <v>0</v>
      </c>
      <c r="AS666" s="44">
        <v>0</v>
      </c>
      <c r="AT666" s="135">
        <f t="shared" si="265"/>
        <v>0</v>
      </c>
      <c r="AU666" s="34">
        <f>AJ666-AM666</f>
        <v>0</v>
      </c>
      <c r="AV666" s="18">
        <f>AM666-AP666</f>
        <v>53364831</v>
      </c>
      <c r="AW666" s="34">
        <f>AP666-AT666</f>
        <v>0</v>
      </c>
      <c r="AX666" s="123">
        <f>AP666/AJ666</f>
        <v>0</v>
      </c>
    </row>
    <row r="667" spans="1:50" ht="18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206"/>
      <c r="AB667" s="207"/>
      <c r="AC667" s="43"/>
      <c r="AD667" s="44"/>
      <c r="AE667" s="44"/>
      <c r="AF667" s="44"/>
      <c r="AG667" s="44"/>
      <c r="AH667" s="44"/>
      <c r="AI667" s="44"/>
      <c r="AJ667" s="43"/>
      <c r="AK667" s="44"/>
      <c r="AL667" s="44"/>
      <c r="AM667" s="44"/>
      <c r="AN667" s="44"/>
      <c r="AO667" s="44"/>
      <c r="AP667" s="44"/>
      <c r="AQ667" s="44"/>
      <c r="AR667" s="44"/>
      <c r="AS667" s="44"/>
      <c r="AT667" s="40"/>
      <c r="AU667" s="34"/>
      <c r="AV667" s="34"/>
      <c r="AW667" s="34"/>
      <c r="AX667" s="123"/>
    </row>
    <row r="668" spans="1:50" ht="24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73" t="s">
        <v>288</v>
      </c>
      <c r="AB668" s="74" t="s">
        <v>197</v>
      </c>
      <c r="AC668" s="43"/>
      <c r="AD668" s="44"/>
      <c r="AE668" s="44"/>
      <c r="AF668" s="44"/>
      <c r="AG668" s="44"/>
      <c r="AH668" s="44"/>
      <c r="AI668" s="44"/>
      <c r="AJ668" s="43"/>
      <c r="AK668" s="44"/>
      <c r="AL668" s="44"/>
      <c r="AM668" s="44"/>
      <c r="AN668" s="44"/>
      <c r="AO668" s="44"/>
      <c r="AP668" s="44"/>
      <c r="AQ668" s="44"/>
      <c r="AR668" s="44"/>
      <c r="AS668" s="44"/>
      <c r="AT668" s="40"/>
      <c r="AU668" s="34"/>
      <c r="AV668" s="34"/>
      <c r="AW668" s="34"/>
      <c r="AX668" s="123"/>
    </row>
    <row r="669" spans="1:50" ht="18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159" t="s">
        <v>967</v>
      </c>
      <c r="AB669" s="42" t="s">
        <v>439</v>
      </c>
      <c r="AC669" s="43"/>
      <c r="AD669" s="44">
        <v>0</v>
      </c>
      <c r="AE669" s="44">
        <v>0</v>
      </c>
      <c r="AF669" s="44">
        <v>0</v>
      </c>
      <c r="AG669" s="43">
        <v>76000000</v>
      </c>
      <c r="AH669" s="44">
        <v>0</v>
      </c>
      <c r="AI669" s="43">
        <f>AE669-AF669+AG669-AH669</f>
        <v>76000000</v>
      </c>
      <c r="AJ669" s="43">
        <f>AD669+AI669</f>
        <v>76000000</v>
      </c>
      <c r="AK669" s="43">
        <v>0</v>
      </c>
      <c r="AL669" s="43">
        <v>0</v>
      </c>
      <c r="AM669" s="43">
        <v>76000000</v>
      </c>
      <c r="AN669" s="44">
        <v>0</v>
      </c>
      <c r="AO669" s="44">
        <v>0</v>
      </c>
      <c r="AP669" s="44">
        <v>0</v>
      </c>
      <c r="AQ669" s="44">
        <v>0</v>
      </c>
      <c r="AR669" s="44">
        <v>0</v>
      </c>
      <c r="AS669" s="44">
        <v>0</v>
      </c>
      <c r="AT669" s="40">
        <f t="shared" ref="AT669" si="266">AQ669+AS669</f>
        <v>0</v>
      </c>
      <c r="AU669" s="34">
        <f>AJ669-AM669</f>
        <v>0</v>
      </c>
      <c r="AV669" s="18">
        <f>AM669-AP669</f>
        <v>76000000</v>
      </c>
      <c r="AW669" s="34">
        <f>AP669-AT669</f>
        <v>0</v>
      </c>
      <c r="AX669" s="123">
        <f>AP669/AJ669</f>
        <v>0</v>
      </c>
    </row>
    <row r="670" spans="1:50" ht="25.5" x14ac:dyDescent="0.2">
      <c r="AA670" s="16"/>
      <c r="AB670" s="29" t="s">
        <v>511</v>
      </c>
      <c r="AC670" s="17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34"/>
      <c r="AR670" s="34"/>
      <c r="AS670" s="34"/>
      <c r="AT670" s="40"/>
      <c r="AU670" s="18"/>
      <c r="AV670" s="18"/>
      <c r="AW670" s="18"/>
      <c r="AX670" s="18"/>
    </row>
    <row r="671" spans="1:50" ht="18.75" customHeight="1" x14ac:dyDescent="0.2">
      <c r="AA671" s="16"/>
      <c r="AB671" s="29" t="s">
        <v>285</v>
      </c>
      <c r="AC671" s="17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30"/>
      <c r="AU671" s="18"/>
      <c r="AV671" s="18"/>
      <c r="AW671" s="18"/>
      <c r="AX671" s="18"/>
    </row>
    <row r="672" spans="1:50" ht="18.75" customHeight="1" x14ac:dyDescent="0.2">
      <c r="AA672" s="16"/>
      <c r="AB672" s="29" t="s">
        <v>286</v>
      </c>
      <c r="AC672" s="17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30"/>
      <c r="AU672" s="18"/>
      <c r="AV672" s="18"/>
      <c r="AW672" s="18"/>
      <c r="AX672" s="18"/>
    </row>
    <row r="673" spans="1:50" ht="18.75" customHeight="1" x14ac:dyDescent="0.2">
      <c r="AA673" s="16"/>
      <c r="AB673" s="29" t="s">
        <v>179</v>
      </c>
      <c r="AC673" s="17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30"/>
      <c r="AU673" s="18"/>
      <c r="AV673" s="18"/>
      <c r="AW673" s="18"/>
      <c r="AX673" s="18"/>
    </row>
    <row r="674" spans="1:50" ht="18.75" customHeight="1" x14ac:dyDescent="0.2">
      <c r="AA674" s="16"/>
      <c r="AB674" s="29" t="s">
        <v>189</v>
      </c>
      <c r="AC674" s="17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30"/>
      <c r="AU674" s="18"/>
      <c r="AV674" s="18"/>
      <c r="AW674" s="18"/>
      <c r="AX674" s="18"/>
    </row>
    <row r="675" spans="1:50" ht="18.75" customHeight="1" x14ac:dyDescent="0.2">
      <c r="AA675" s="16"/>
      <c r="AB675" s="29" t="s">
        <v>199</v>
      </c>
      <c r="AC675" s="17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30"/>
      <c r="AU675" s="18"/>
      <c r="AV675" s="18"/>
      <c r="AW675" s="18"/>
      <c r="AX675" s="18"/>
    </row>
    <row r="676" spans="1:50" ht="25.5" x14ac:dyDescent="0.2">
      <c r="AA676" s="28" t="s">
        <v>288</v>
      </c>
      <c r="AB676" s="29" t="s">
        <v>512</v>
      </c>
      <c r="AC676" s="17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30"/>
      <c r="AU676" s="18"/>
      <c r="AV676" s="18"/>
      <c r="AW676" s="18"/>
      <c r="AX676" s="18"/>
    </row>
    <row r="677" spans="1:50" ht="18.75" customHeight="1" x14ac:dyDescent="0.2">
      <c r="A677" s="4" t="s">
        <v>55</v>
      </c>
      <c r="B677" s="4" t="s">
        <v>56</v>
      </c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1" t="s">
        <v>513</v>
      </c>
      <c r="AB677" s="42" t="s">
        <v>233</v>
      </c>
      <c r="AC677" s="43" t="s">
        <v>58</v>
      </c>
      <c r="AD677" s="43">
        <v>331060322</v>
      </c>
      <c r="AE677" s="44">
        <v>0</v>
      </c>
      <c r="AF677" s="44">
        <v>0</v>
      </c>
      <c r="AG677" s="44">
        <v>0</v>
      </c>
      <c r="AH677" s="44">
        <v>0</v>
      </c>
      <c r="AI677" s="44">
        <v>0</v>
      </c>
      <c r="AJ677" s="43">
        <v>331060322</v>
      </c>
      <c r="AK677" s="44">
        <v>0</v>
      </c>
      <c r="AL677" s="44">
        <v>0</v>
      </c>
      <c r="AM677" s="44">
        <v>0</v>
      </c>
      <c r="AN677" s="44">
        <v>0</v>
      </c>
      <c r="AO677" s="44">
        <v>0</v>
      </c>
      <c r="AP677" s="44">
        <v>0</v>
      </c>
      <c r="AQ677" s="34">
        <v>0</v>
      </c>
      <c r="AR677" s="34">
        <v>0</v>
      </c>
      <c r="AS677" s="34">
        <v>0</v>
      </c>
      <c r="AT677" s="40">
        <f t="shared" ref="AT677:AT681" si="267">AQ677+AS677</f>
        <v>0</v>
      </c>
      <c r="AU677" s="18">
        <f>AJ677-AM677</f>
        <v>331060322</v>
      </c>
      <c r="AV677" s="34">
        <f>AM677-AP677</f>
        <v>0</v>
      </c>
      <c r="AW677" s="34">
        <f>AP677-AT677</f>
        <v>0</v>
      </c>
      <c r="AX677" s="123">
        <f>AP677/AJ677</f>
        <v>0</v>
      </c>
    </row>
    <row r="678" spans="1:50" ht="18.75" customHeight="1" x14ac:dyDescent="0.2">
      <c r="A678" s="4" t="s">
        <v>55</v>
      </c>
      <c r="B678" s="4" t="s">
        <v>56</v>
      </c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1" t="s">
        <v>514</v>
      </c>
      <c r="AB678" s="42" t="s">
        <v>515</v>
      </c>
      <c r="AC678" s="43" t="s">
        <v>516</v>
      </c>
      <c r="AD678" s="43">
        <v>6887333116</v>
      </c>
      <c r="AE678" s="44">
        <v>0</v>
      </c>
      <c r="AF678" s="44">
        <v>0</v>
      </c>
      <c r="AG678" s="44">
        <v>0</v>
      </c>
      <c r="AH678" s="44">
        <v>0</v>
      </c>
      <c r="AI678" s="44">
        <v>0</v>
      </c>
      <c r="AJ678" s="43">
        <v>6887333116</v>
      </c>
      <c r="AK678" s="115">
        <v>0</v>
      </c>
      <c r="AL678" s="114">
        <f>AM678-JUNIO!AM671</f>
        <v>15234939</v>
      </c>
      <c r="AM678" s="114">
        <v>4109543028</v>
      </c>
      <c r="AN678" s="114">
        <v>0</v>
      </c>
      <c r="AO678" s="114">
        <v>15234939</v>
      </c>
      <c r="AP678" s="114">
        <v>4109543028</v>
      </c>
      <c r="AQ678" s="18">
        <v>0</v>
      </c>
      <c r="AR678" s="110">
        <v>15234939</v>
      </c>
      <c r="AS678" s="110">
        <v>4109543028</v>
      </c>
      <c r="AT678" s="39">
        <f t="shared" si="267"/>
        <v>4109543028</v>
      </c>
      <c r="AU678" s="18">
        <f>AJ678-AM678</f>
        <v>2777790088</v>
      </c>
      <c r="AV678" s="34">
        <f>AM678-AP678</f>
        <v>0</v>
      </c>
      <c r="AW678" s="18">
        <f>AP678-AT678</f>
        <v>0</v>
      </c>
      <c r="AX678" s="123">
        <f>AP678/AJ678</f>
        <v>0.59668132189701972</v>
      </c>
    </row>
    <row r="679" spans="1:50" x14ac:dyDescent="0.2">
      <c r="A679" s="4" t="s">
        <v>55</v>
      </c>
      <c r="B679" s="4" t="s">
        <v>56</v>
      </c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1" t="s">
        <v>517</v>
      </c>
      <c r="AB679" s="42" t="s">
        <v>518</v>
      </c>
      <c r="AC679" s="43" t="s">
        <v>428</v>
      </c>
      <c r="AD679" s="43">
        <v>263626220</v>
      </c>
      <c r="AE679" s="44">
        <v>0</v>
      </c>
      <c r="AF679" s="44">
        <v>0</v>
      </c>
      <c r="AG679" s="44">
        <v>0</v>
      </c>
      <c r="AH679" s="44">
        <v>0</v>
      </c>
      <c r="AI679" s="44">
        <v>0</v>
      </c>
      <c r="AJ679" s="43">
        <v>263626220</v>
      </c>
      <c r="AK679" s="44">
        <v>0</v>
      </c>
      <c r="AL679" s="44">
        <v>0</v>
      </c>
      <c r="AM679" s="44">
        <v>0</v>
      </c>
      <c r="AN679" s="44">
        <v>0</v>
      </c>
      <c r="AO679" s="44">
        <v>0</v>
      </c>
      <c r="AP679" s="44">
        <v>0</v>
      </c>
      <c r="AQ679" s="34">
        <v>0</v>
      </c>
      <c r="AR679" s="34">
        <v>0</v>
      </c>
      <c r="AS679" s="34">
        <v>0</v>
      </c>
      <c r="AT679" s="40">
        <f t="shared" si="267"/>
        <v>0</v>
      </c>
      <c r="AU679" s="18">
        <f>AJ679-AM679</f>
        <v>263626220</v>
      </c>
      <c r="AV679" s="34">
        <f>AM679-AP679</f>
        <v>0</v>
      </c>
      <c r="AW679" s="34">
        <f>AP679-AT679</f>
        <v>0</v>
      </c>
      <c r="AX679" s="123">
        <f>AP679/AJ679</f>
        <v>0</v>
      </c>
    </row>
    <row r="680" spans="1:50" ht="25.5" x14ac:dyDescent="0.2">
      <c r="A680" s="4" t="s">
        <v>55</v>
      </c>
      <c r="B680" s="4" t="s">
        <v>56</v>
      </c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1" t="s">
        <v>519</v>
      </c>
      <c r="AB680" s="42" t="s">
        <v>520</v>
      </c>
      <c r="AC680" s="43" t="s">
        <v>368</v>
      </c>
      <c r="AD680" s="43">
        <v>6200094.4000000004</v>
      </c>
      <c r="AE680" s="44">
        <v>0</v>
      </c>
      <c r="AF680" s="44">
        <v>0</v>
      </c>
      <c r="AG680" s="44">
        <v>0</v>
      </c>
      <c r="AH680" s="44">
        <v>0</v>
      </c>
      <c r="AI680" s="44">
        <v>0</v>
      </c>
      <c r="AJ680" s="43">
        <v>6200094.4000000004</v>
      </c>
      <c r="AK680" s="44">
        <v>0</v>
      </c>
      <c r="AL680" s="44">
        <v>0</v>
      </c>
      <c r="AM680" s="44">
        <v>0</v>
      </c>
      <c r="AN680" s="44">
        <v>0</v>
      </c>
      <c r="AO680" s="44">
        <v>0</v>
      </c>
      <c r="AP680" s="44">
        <v>0</v>
      </c>
      <c r="AQ680" s="34">
        <v>0</v>
      </c>
      <c r="AR680" s="34">
        <v>0</v>
      </c>
      <c r="AS680" s="34">
        <v>0</v>
      </c>
      <c r="AT680" s="40">
        <f t="shared" si="267"/>
        <v>0</v>
      </c>
      <c r="AU680" s="18">
        <f>AJ680-AM680</f>
        <v>6200094.4000000004</v>
      </c>
      <c r="AV680" s="34">
        <f>AM680-AP680</f>
        <v>0</v>
      </c>
      <c r="AW680" s="34">
        <f>AP680-AT680</f>
        <v>0</v>
      </c>
      <c r="AX680" s="123">
        <f>AP680/AJ680</f>
        <v>0</v>
      </c>
    </row>
    <row r="681" spans="1:50" ht="25.5" x14ac:dyDescent="0.2">
      <c r="A681" s="4" t="s">
        <v>55</v>
      </c>
      <c r="B681" s="4" t="s">
        <v>56</v>
      </c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1" t="s">
        <v>521</v>
      </c>
      <c r="AB681" s="42" t="s">
        <v>522</v>
      </c>
      <c r="AC681" s="43" t="s">
        <v>368</v>
      </c>
      <c r="AD681" s="43">
        <v>112310609.13</v>
      </c>
      <c r="AE681" s="44">
        <v>0</v>
      </c>
      <c r="AF681" s="44">
        <v>0</v>
      </c>
      <c r="AG681" s="44">
        <v>0</v>
      </c>
      <c r="AH681" s="44">
        <v>0</v>
      </c>
      <c r="AI681" s="44">
        <v>0</v>
      </c>
      <c r="AJ681" s="43">
        <v>112310609.13</v>
      </c>
      <c r="AK681" s="44">
        <v>0</v>
      </c>
      <c r="AL681" s="44">
        <v>0</v>
      </c>
      <c r="AM681" s="44">
        <v>0</v>
      </c>
      <c r="AN681" s="44">
        <v>0</v>
      </c>
      <c r="AO681" s="44">
        <v>0</v>
      </c>
      <c r="AP681" s="44">
        <v>0</v>
      </c>
      <c r="AQ681" s="34">
        <v>0</v>
      </c>
      <c r="AR681" s="34">
        <v>0</v>
      </c>
      <c r="AS681" s="34">
        <v>0</v>
      </c>
      <c r="AT681" s="40">
        <f t="shared" si="267"/>
        <v>0</v>
      </c>
      <c r="AU681" s="18">
        <f>AJ681-AM681</f>
        <v>112310609.13</v>
      </c>
      <c r="AV681" s="34">
        <f>AM681-AP681</f>
        <v>0</v>
      </c>
      <c r="AW681" s="34">
        <f>AP681-AT681</f>
        <v>0</v>
      </c>
      <c r="AX681" s="123">
        <f>AP681/AJ681</f>
        <v>0</v>
      </c>
    </row>
    <row r="682" spans="1:50" ht="18.75" customHeight="1" x14ac:dyDescent="0.2">
      <c r="AA682" s="16"/>
      <c r="AB682" s="17"/>
      <c r="AC682" s="17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34"/>
      <c r="AR682" s="34"/>
      <c r="AS682" s="34"/>
      <c r="AT682" s="40"/>
      <c r="AU682" s="18"/>
      <c r="AV682" s="18"/>
      <c r="AW682" s="18"/>
      <c r="AX682" s="18"/>
    </row>
    <row r="683" spans="1:50" ht="18.75" customHeight="1" x14ac:dyDescent="0.2">
      <c r="AA683" s="16"/>
      <c r="AB683" s="29" t="s">
        <v>523</v>
      </c>
      <c r="AC683" s="17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34"/>
      <c r="AR683" s="34"/>
      <c r="AS683" s="34"/>
      <c r="AT683" s="40"/>
      <c r="AU683" s="18"/>
      <c r="AV683" s="18"/>
      <c r="AW683" s="18"/>
      <c r="AX683" s="18"/>
    </row>
    <row r="684" spans="1:50" ht="18.75" customHeight="1" x14ac:dyDescent="0.2">
      <c r="AA684" s="16"/>
      <c r="AB684" s="29" t="s">
        <v>285</v>
      </c>
      <c r="AC684" s="17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34"/>
      <c r="AR684" s="34"/>
      <c r="AS684" s="34"/>
      <c r="AT684" s="40"/>
      <c r="AU684" s="18"/>
      <c r="AV684" s="18"/>
      <c r="AW684" s="18"/>
      <c r="AX684" s="18"/>
    </row>
    <row r="685" spans="1:50" ht="18.75" customHeight="1" x14ac:dyDescent="0.2">
      <c r="AA685" s="16"/>
      <c r="AB685" s="29" t="s">
        <v>286</v>
      </c>
      <c r="AC685" s="17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34"/>
      <c r="AR685" s="34"/>
      <c r="AS685" s="34"/>
      <c r="AT685" s="40"/>
      <c r="AU685" s="18"/>
      <c r="AV685" s="18"/>
      <c r="AW685" s="18"/>
      <c r="AX685" s="18"/>
    </row>
    <row r="686" spans="1:50" ht="18.75" customHeight="1" x14ac:dyDescent="0.2">
      <c r="AA686" s="16"/>
      <c r="AB686" s="29" t="s">
        <v>179</v>
      </c>
      <c r="AC686" s="17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34"/>
      <c r="AR686" s="34"/>
      <c r="AS686" s="34"/>
      <c r="AT686" s="40"/>
      <c r="AU686" s="18"/>
      <c r="AV686" s="18"/>
      <c r="AW686" s="18"/>
      <c r="AX686" s="18"/>
    </row>
    <row r="687" spans="1:50" ht="18.75" customHeight="1" x14ac:dyDescent="0.2">
      <c r="AA687" s="16"/>
      <c r="AB687" s="29" t="s">
        <v>189</v>
      </c>
      <c r="AC687" s="17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34"/>
      <c r="AR687" s="34"/>
      <c r="AS687" s="34"/>
      <c r="AT687" s="40"/>
      <c r="AU687" s="18"/>
      <c r="AV687" s="18"/>
      <c r="AW687" s="18"/>
      <c r="AX687" s="18"/>
    </row>
    <row r="688" spans="1:50" ht="18.75" customHeight="1" x14ac:dyDescent="0.2">
      <c r="AA688" s="16"/>
      <c r="AB688" s="29" t="s">
        <v>191</v>
      </c>
      <c r="AC688" s="17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34"/>
      <c r="AR688" s="34"/>
      <c r="AS688" s="34"/>
      <c r="AT688" s="40"/>
      <c r="AU688" s="18"/>
      <c r="AV688" s="18"/>
      <c r="AW688" s="18"/>
      <c r="AX688" s="18"/>
    </row>
    <row r="689" spans="1:50" ht="18.75" customHeight="1" x14ac:dyDescent="0.2">
      <c r="AA689" s="28" t="s">
        <v>288</v>
      </c>
      <c r="AB689" s="29" t="s">
        <v>459</v>
      </c>
      <c r="AC689" s="17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34"/>
      <c r="AR689" s="34"/>
      <c r="AS689" s="34"/>
      <c r="AT689" s="40"/>
      <c r="AU689" s="18"/>
      <c r="AV689" s="18"/>
      <c r="AW689" s="18"/>
      <c r="AX689" s="18"/>
    </row>
    <row r="690" spans="1:50" ht="25.5" x14ac:dyDescent="0.2">
      <c r="A690" s="4" t="s">
        <v>55</v>
      </c>
      <c r="B690" s="4" t="s">
        <v>56</v>
      </c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1" t="s">
        <v>524</v>
      </c>
      <c r="AB690" s="42" t="s">
        <v>525</v>
      </c>
      <c r="AC690" s="43" t="s">
        <v>428</v>
      </c>
      <c r="AD690" s="43">
        <v>47990790</v>
      </c>
      <c r="AE690" s="44">
        <v>0</v>
      </c>
      <c r="AF690" s="44">
        <v>0</v>
      </c>
      <c r="AG690" s="44">
        <v>0</v>
      </c>
      <c r="AH690" s="44">
        <v>0</v>
      </c>
      <c r="AI690" s="44">
        <v>0</v>
      </c>
      <c r="AJ690" s="43">
        <v>47990790</v>
      </c>
      <c r="AK690" s="44">
        <v>0</v>
      </c>
      <c r="AL690" s="44">
        <v>0</v>
      </c>
      <c r="AM690" s="44">
        <v>0</v>
      </c>
      <c r="AN690" s="44">
        <v>0</v>
      </c>
      <c r="AO690" s="44">
        <v>0</v>
      </c>
      <c r="AP690" s="44">
        <v>0</v>
      </c>
      <c r="AQ690" s="34">
        <v>0</v>
      </c>
      <c r="AR690" s="34">
        <v>0</v>
      </c>
      <c r="AS690" s="34">
        <v>0</v>
      </c>
      <c r="AT690" s="40">
        <f t="shared" ref="AT690:AT692" si="268">AQ690+AS690</f>
        <v>0</v>
      </c>
      <c r="AU690" s="18">
        <f>AJ690-AM690</f>
        <v>47990790</v>
      </c>
      <c r="AV690" s="34">
        <f>AM690-AP690</f>
        <v>0</v>
      </c>
      <c r="AW690" s="34">
        <f>AP690-AT690</f>
        <v>0</v>
      </c>
      <c r="AX690" s="123">
        <f>AP690/AJ690</f>
        <v>0</v>
      </c>
    </row>
    <row r="691" spans="1:50" ht="25.5" x14ac:dyDescent="0.2">
      <c r="A691" s="4" t="s">
        <v>55</v>
      </c>
      <c r="B691" s="4" t="s">
        <v>56</v>
      </c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1" t="s">
        <v>526</v>
      </c>
      <c r="AB691" s="42" t="s">
        <v>527</v>
      </c>
      <c r="AC691" s="43" t="s">
        <v>428</v>
      </c>
      <c r="AD691" s="43">
        <v>1098509998.8599999</v>
      </c>
      <c r="AE691" s="44">
        <v>0</v>
      </c>
      <c r="AF691" s="44">
        <v>0</v>
      </c>
      <c r="AG691" s="44">
        <v>0</v>
      </c>
      <c r="AH691" s="44">
        <v>0</v>
      </c>
      <c r="AI691" s="44">
        <v>0</v>
      </c>
      <c r="AJ691" s="43">
        <v>1098509998.8599999</v>
      </c>
      <c r="AK691" s="44">
        <v>0</v>
      </c>
      <c r="AL691" s="44">
        <v>0</v>
      </c>
      <c r="AM691" s="44">
        <v>0</v>
      </c>
      <c r="AN691" s="44">
        <v>0</v>
      </c>
      <c r="AO691" s="44">
        <v>0</v>
      </c>
      <c r="AP691" s="44">
        <v>0</v>
      </c>
      <c r="AQ691" s="34">
        <v>0</v>
      </c>
      <c r="AR691" s="34">
        <v>0</v>
      </c>
      <c r="AS691" s="34">
        <v>0</v>
      </c>
      <c r="AT691" s="40">
        <f t="shared" si="268"/>
        <v>0</v>
      </c>
      <c r="AU691" s="18">
        <f>AJ691-AM691</f>
        <v>1098509998.8599999</v>
      </c>
      <c r="AV691" s="34">
        <f>AM691-AP691</f>
        <v>0</v>
      </c>
      <c r="AW691" s="34">
        <f>AP691-AT691</f>
        <v>0</v>
      </c>
      <c r="AX691" s="123">
        <f>AP691/AJ691</f>
        <v>0</v>
      </c>
    </row>
    <row r="692" spans="1:50" ht="25.5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173" t="s">
        <v>1071</v>
      </c>
      <c r="AB692" s="218" t="s">
        <v>1072</v>
      </c>
      <c r="AC692" s="43"/>
      <c r="AD692" s="44">
        <v>0</v>
      </c>
      <c r="AE692" s="43">
        <v>1788940976.47</v>
      </c>
      <c r="AF692" s="44">
        <v>0</v>
      </c>
      <c r="AG692" s="44">
        <v>0</v>
      </c>
      <c r="AH692" s="44">
        <v>0</v>
      </c>
      <c r="AI692" s="43">
        <f>AE692-AF692+AG692-AH692</f>
        <v>1788940976.47</v>
      </c>
      <c r="AJ692" s="43">
        <f>AD692+AI692</f>
        <v>1788940976.47</v>
      </c>
      <c r="AK692" s="44">
        <v>0</v>
      </c>
      <c r="AL692" s="43">
        <f>AM692-JUNIO!AM685</f>
        <v>1070473875.92</v>
      </c>
      <c r="AM692" s="43">
        <v>1070473875.92</v>
      </c>
      <c r="AN692" s="44">
        <v>0</v>
      </c>
      <c r="AO692" s="43">
        <v>1070473875.92</v>
      </c>
      <c r="AP692" s="43">
        <v>1070473875.92</v>
      </c>
      <c r="AQ692" s="34">
        <v>0</v>
      </c>
      <c r="AR692" s="34">
        <v>0</v>
      </c>
      <c r="AS692" s="34">
        <v>0</v>
      </c>
      <c r="AT692" s="135">
        <f t="shared" si="268"/>
        <v>0</v>
      </c>
      <c r="AU692" s="18">
        <f>AJ692-AM692</f>
        <v>718467100.55000007</v>
      </c>
      <c r="AV692" s="34">
        <f>AM692-AP692</f>
        <v>0</v>
      </c>
      <c r="AW692" s="18">
        <f>AP692-AT692</f>
        <v>1070473875.92</v>
      </c>
      <c r="AX692" s="123">
        <f>AP692/AJ692</f>
        <v>0.59838412222648951</v>
      </c>
    </row>
    <row r="693" spans="1:50" x14ac:dyDescent="0.2">
      <c r="AA693" s="16"/>
      <c r="AB693" s="17"/>
      <c r="AC693" s="17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30"/>
      <c r="AU693" s="18"/>
      <c r="AV693" s="18"/>
      <c r="AW693" s="18"/>
      <c r="AX693" s="18"/>
    </row>
    <row r="694" spans="1:50" s="50" customFormat="1" ht="18.75" customHeight="1" x14ac:dyDescent="0.2"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46"/>
      <c r="AB694" s="47" t="s">
        <v>528</v>
      </c>
      <c r="AC694" s="47"/>
      <c r="AD694" s="48">
        <f t="shared" ref="AD694:AW694" si="269">SUM(AD525:AD692)</f>
        <v>94071374538</v>
      </c>
      <c r="AE694" s="48">
        <f t="shared" si="269"/>
        <v>159147230628.87003</v>
      </c>
      <c r="AF694" s="49">
        <f t="shared" si="269"/>
        <v>0</v>
      </c>
      <c r="AG694" s="48">
        <f>SUM(AG525:AG692)</f>
        <v>58111673161.750008</v>
      </c>
      <c r="AH694" s="48">
        <f t="shared" si="269"/>
        <v>56555673161.750008</v>
      </c>
      <c r="AI694" s="48">
        <f t="shared" si="269"/>
        <v>160703230628.87003</v>
      </c>
      <c r="AJ694" s="48">
        <f t="shared" si="269"/>
        <v>254774605166.87</v>
      </c>
      <c r="AK694" s="48">
        <f t="shared" si="269"/>
        <v>0</v>
      </c>
      <c r="AL694" s="48">
        <f t="shared" si="269"/>
        <v>1784292057.2100005</v>
      </c>
      <c r="AM694" s="48">
        <f t="shared" si="269"/>
        <v>121193513073.52</v>
      </c>
      <c r="AN694" s="48">
        <f t="shared" si="269"/>
        <v>1684293593.3299999</v>
      </c>
      <c r="AO694" s="48">
        <f t="shared" si="269"/>
        <v>31586540762.82</v>
      </c>
      <c r="AP694" s="48">
        <f t="shared" si="269"/>
        <v>93997081323.680008</v>
      </c>
      <c r="AQ694" s="48">
        <f t="shared" si="269"/>
        <v>9138955500.4500008</v>
      </c>
      <c r="AR694" s="48">
        <f t="shared" si="269"/>
        <v>3632726565.5200005</v>
      </c>
      <c r="AS694" s="48">
        <f t="shared" si="269"/>
        <v>23133647086.729996</v>
      </c>
      <c r="AT694" s="48">
        <f t="shared" si="269"/>
        <v>32272602587.179996</v>
      </c>
      <c r="AU694" s="48">
        <f t="shared" si="269"/>
        <v>133581092093.34999</v>
      </c>
      <c r="AV694" s="48">
        <f t="shared" si="269"/>
        <v>27196431749.84</v>
      </c>
      <c r="AW694" s="48">
        <f t="shared" si="269"/>
        <v>61724478736.5</v>
      </c>
      <c r="AX694" s="24">
        <f>AP694/AJ694</f>
        <v>0.36894211360710238</v>
      </c>
    </row>
    <row r="695" spans="1:50" ht="18.75" customHeight="1" x14ac:dyDescent="0.2">
      <c r="AA695" s="16"/>
      <c r="AB695" s="17"/>
      <c r="AC695" s="17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</row>
    <row r="696" spans="1:50" s="25" customFormat="1" ht="18.75" customHeight="1" x14ac:dyDescent="0.2"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66"/>
      <c r="AB696" s="21" t="s">
        <v>529</v>
      </c>
      <c r="AC696" s="67"/>
      <c r="AD696" s="63"/>
      <c r="AE696" s="63"/>
      <c r="AF696" s="63"/>
      <c r="AG696" s="63"/>
      <c r="AH696" s="63"/>
      <c r="AI696" s="63"/>
      <c r="AJ696" s="63"/>
      <c r="AK696" s="63"/>
      <c r="AL696" s="63"/>
      <c r="AM696" s="63"/>
      <c r="AN696" s="63"/>
      <c r="AO696" s="63"/>
      <c r="AP696" s="63"/>
      <c r="AQ696" s="63"/>
      <c r="AR696" s="63"/>
      <c r="AS696" s="63"/>
      <c r="AT696" s="63"/>
      <c r="AU696" s="63"/>
      <c r="AV696" s="63"/>
      <c r="AW696" s="63"/>
      <c r="AX696" s="63"/>
    </row>
    <row r="697" spans="1:50" ht="18.75" customHeight="1" x14ac:dyDescent="0.2">
      <c r="AA697" s="16"/>
      <c r="AB697" s="29" t="s">
        <v>286</v>
      </c>
      <c r="AC697" s="17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</row>
    <row r="698" spans="1:50" ht="18.75" customHeight="1" x14ac:dyDescent="0.2">
      <c r="AA698" s="41" t="s">
        <v>1219</v>
      </c>
      <c r="AB698" s="29" t="s">
        <v>575</v>
      </c>
      <c r="AC698" s="17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</row>
    <row r="699" spans="1:50" ht="18.75" customHeight="1" x14ac:dyDescent="0.2">
      <c r="AA699" s="73" t="s">
        <v>288</v>
      </c>
      <c r="AB699" s="29" t="s">
        <v>1220</v>
      </c>
      <c r="AC699" s="17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</row>
    <row r="700" spans="1:50" ht="18.75" customHeight="1" x14ac:dyDescent="0.2">
      <c r="AA700" s="41" t="s">
        <v>1221</v>
      </c>
      <c r="AB700" s="38" t="s">
        <v>961</v>
      </c>
      <c r="AC700" s="17"/>
      <c r="AD700" s="34">
        <v>0</v>
      </c>
      <c r="AE700" s="34">
        <v>0</v>
      </c>
      <c r="AF700" s="34">
        <v>0</v>
      </c>
      <c r="AG700" s="18">
        <v>374200000</v>
      </c>
      <c r="AH700" s="137">
        <v>0</v>
      </c>
      <c r="AI700" s="43">
        <f>AE700-AF700+AG700-AH700</f>
        <v>374200000</v>
      </c>
      <c r="AJ700" s="43">
        <f>AD700+AI700</f>
        <v>374200000</v>
      </c>
      <c r="AK700" s="18">
        <v>0</v>
      </c>
      <c r="AL700" s="18">
        <v>140422957.72999999</v>
      </c>
      <c r="AM700" s="18">
        <v>140422957.72999999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  <c r="AS700" s="18">
        <v>0</v>
      </c>
      <c r="AT700" s="40">
        <f t="shared" ref="AT700" si="270">AQ700+AS700</f>
        <v>0</v>
      </c>
      <c r="AU700" s="18">
        <f>AJ700-AM700</f>
        <v>233777042.27000001</v>
      </c>
      <c r="AV700" s="34">
        <f>AM700-AP700</f>
        <v>140422957.72999999</v>
      </c>
      <c r="AW700" s="34">
        <f>AP700-AT700</f>
        <v>0</v>
      </c>
      <c r="AX700" s="123">
        <f>AP700/AJ700</f>
        <v>0</v>
      </c>
    </row>
    <row r="701" spans="1:50" ht="18.75" customHeight="1" x14ac:dyDescent="0.2">
      <c r="AA701" s="16"/>
      <c r="AB701" s="29" t="s">
        <v>179</v>
      </c>
      <c r="AC701" s="17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</row>
    <row r="702" spans="1:50" ht="18.75" customHeight="1" x14ac:dyDescent="0.2">
      <c r="AA702" s="16"/>
      <c r="AB702" s="29" t="s">
        <v>181</v>
      </c>
      <c r="AC702" s="17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</row>
    <row r="703" spans="1:50" x14ac:dyDescent="0.2">
      <c r="AA703" s="16"/>
      <c r="AB703" s="29" t="s">
        <v>530</v>
      </c>
      <c r="AC703" s="17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30"/>
      <c r="AU703" s="18"/>
      <c r="AV703" s="18"/>
      <c r="AW703" s="18"/>
      <c r="AX703" s="18"/>
    </row>
    <row r="704" spans="1:50" ht="25.5" x14ac:dyDescent="0.2">
      <c r="AA704" s="28" t="s">
        <v>288</v>
      </c>
      <c r="AB704" s="29" t="s">
        <v>531</v>
      </c>
      <c r="AC704" s="17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30"/>
      <c r="AU704" s="18"/>
      <c r="AV704" s="18"/>
      <c r="AW704" s="18"/>
      <c r="AX704" s="18"/>
    </row>
    <row r="705" spans="1:50" x14ac:dyDescent="0.2">
      <c r="A705" s="4" t="s">
        <v>55</v>
      </c>
      <c r="B705" s="4" t="s">
        <v>56</v>
      </c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1" t="s">
        <v>532</v>
      </c>
      <c r="AB705" s="42" t="s">
        <v>233</v>
      </c>
      <c r="AC705" s="43" t="s">
        <v>58</v>
      </c>
      <c r="AD705" s="43">
        <v>40000000.659999996</v>
      </c>
      <c r="AE705" s="44">
        <v>0</v>
      </c>
      <c r="AF705" s="44">
        <v>0</v>
      </c>
      <c r="AG705" s="43">
        <v>250000000</v>
      </c>
      <c r="AH705" s="43">
        <v>70000000</v>
      </c>
      <c r="AI705" s="43">
        <f>AE705-AF705+AG705-AH705</f>
        <v>180000000</v>
      </c>
      <c r="AJ705" s="43">
        <f>AD705+AI705</f>
        <v>220000000.66</v>
      </c>
      <c r="AK705" s="44">
        <v>0</v>
      </c>
      <c r="AL705" s="43">
        <v>14202222</v>
      </c>
      <c r="AM705" s="43">
        <v>192305397</v>
      </c>
      <c r="AN705" s="44">
        <v>0</v>
      </c>
      <c r="AO705" s="44">
        <v>55800000</v>
      </c>
      <c r="AP705" s="44">
        <v>55800000</v>
      </c>
      <c r="AQ705" s="34">
        <v>0</v>
      </c>
      <c r="AR705" s="34">
        <v>0</v>
      </c>
      <c r="AS705" s="34">
        <v>0</v>
      </c>
      <c r="AT705" s="40">
        <f t="shared" ref="AT705:AT707" si="271">AQ705+AS705</f>
        <v>0</v>
      </c>
      <c r="AU705" s="18">
        <f>AJ705-AM705</f>
        <v>27694603.659999996</v>
      </c>
      <c r="AV705" s="18">
        <f>AM705-AP705</f>
        <v>136505397</v>
      </c>
      <c r="AW705" s="18">
        <f>AP705-AT705</f>
        <v>55800000</v>
      </c>
      <c r="AX705" s="123">
        <f>AP705/AJ705</f>
        <v>0.25363636287545455</v>
      </c>
    </row>
    <row r="706" spans="1:50" ht="25.5" x14ac:dyDescent="0.2">
      <c r="AA706" s="28" t="s">
        <v>288</v>
      </c>
      <c r="AB706" s="29" t="s">
        <v>533</v>
      </c>
      <c r="AC706" s="17"/>
      <c r="AD706" s="18"/>
      <c r="AE706" s="34"/>
      <c r="AF706" s="34"/>
      <c r="AG706" s="34"/>
      <c r="AH706" s="34"/>
      <c r="AI706" s="34"/>
      <c r="AJ706" s="18"/>
      <c r="AK706" s="18"/>
      <c r="AL706" s="18"/>
      <c r="AM706" s="18"/>
      <c r="AN706" s="18"/>
      <c r="AO706" s="18"/>
      <c r="AP706" s="18"/>
      <c r="AQ706" s="34"/>
      <c r="AR706" s="34"/>
      <c r="AS706" s="34"/>
      <c r="AT706" s="40"/>
      <c r="AU706" s="18"/>
      <c r="AV706" s="18"/>
      <c r="AW706" s="18"/>
      <c r="AX706" s="123"/>
    </row>
    <row r="707" spans="1:50" x14ac:dyDescent="0.2">
      <c r="A707" s="4" t="s">
        <v>55</v>
      </c>
      <c r="B707" s="4" t="s">
        <v>56</v>
      </c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1" t="s">
        <v>534</v>
      </c>
      <c r="AB707" s="42" t="s">
        <v>233</v>
      </c>
      <c r="AC707" s="43" t="s">
        <v>58</v>
      </c>
      <c r="AD707" s="43">
        <v>100000000</v>
      </c>
      <c r="AE707" s="44">
        <v>0</v>
      </c>
      <c r="AF707" s="44">
        <v>0</v>
      </c>
      <c r="AG707" s="44">
        <v>0</v>
      </c>
      <c r="AH707" s="44">
        <v>0</v>
      </c>
      <c r="AI707" s="44">
        <v>0</v>
      </c>
      <c r="AJ707" s="43">
        <v>100000000</v>
      </c>
      <c r="AK707" s="44">
        <v>0</v>
      </c>
      <c r="AL707" s="43">
        <v>0</v>
      </c>
      <c r="AM707" s="43">
        <v>47672742</v>
      </c>
      <c r="AN707" s="44">
        <v>0</v>
      </c>
      <c r="AO707" s="44">
        <v>0</v>
      </c>
      <c r="AP707" s="44">
        <v>47672742</v>
      </c>
      <c r="AQ707" s="34">
        <v>0</v>
      </c>
      <c r="AR707" s="34">
        <v>0</v>
      </c>
      <c r="AS707" s="34">
        <v>0</v>
      </c>
      <c r="AT707" s="40">
        <f t="shared" si="271"/>
        <v>0</v>
      </c>
      <c r="AU707" s="18">
        <f>AJ707-AM707</f>
        <v>52327258</v>
      </c>
      <c r="AV707" s="34">
        <f>AM707-AP707</f>
        <v>0</v>
      </c>
      <c r="AW707" s="18">
        <f>AP707-AT707</f>
        <v>47672742</v>
      </c>
      <c r="AX707" s="123">
        <f>AP707/AJ707</f>
        <v>0.47672742000000001</v>
      </c>
    </row>
    <row r="708" spans="1:50" ht="25.5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73" t="s">
        <v>288</v>
      </c>
      <c r="AB708" s="74" t="s">
        <v>1257</v>
      </c>
      <c r="AC708" s="43"/>
      <c r="AD708" s="43"/>
      <c r="AE708" s="44"/>
      <c r="AF708" s="44"/>
      <c r="AG708" s="44"/>
      <c r="AH708" s="44"/>
      <c r="AI708" s="44"/>
      <c r="AJ708" s="43"/>
      <c r="AK708" s="44"/>
      <c r="AL708" s="43"/>
      <c r="AM708" s="43"/>
      <c r="AN708" s="44"/>
      <c r="AO708" s="44"/>
      <c r="AP708" s="44"/>
      <c r="AQ708" s="34"/>
      <c r="AR708" s="34"/>
      <c r="AS708" s="34"/>
      <c r="AT708" s="40"/>
      <c r="AU708" s="18"/>
      <c r="AV708" s="34"/>
      <c r="AW708" s="34"/>
      <c r="AX708" s="123"/>
    </row>
    <row r="709" spans="1:50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1" t="s">
        <v>1258</v>
      </c>
      <c r="AB709" s="42" t="s">
        <v>961</v>
      </c>
      <c r="AC709" s="43"/>
      <c r="AD709" s="43">
        <v>0</v>
      </c>
      <c r="AE709" s="44">
        <v>0</v>
      </c>
      <c r="AF709" s="44">
        <v>0</v>
      </c>
      <c r="AG709" s="43">
        <v>200000000</v>
      </c>
      <c r="AH709" s="44"/>
      <c r="AI709" s="43">
        <f>AE709-AF709+AG709-AH709</f>
        <v>200000000</v>
      </c>
      <c r="AJ709" s="43">
        <f>AD709+AI709</f>
        <v>200000000</v>
      </c>
      <c r="AK709" s="44">
        <v>0</v>
      </c>
      <c r="AL709" s="43">
        <v>0</v>
      </c>
      <c r="AM709" s="43">
        <v>0</v>
      </c>
      <c r="AN709" s="44">
        <v>0</v>
      </c>
      <c r="AO709" s="44">
        <v>0</v>
      </c>
      <c r="AP709" s="44">
        <v>0</v>
      </c>
      <c r="AQ709" s="34">
        <v>0</v>
      </c>
      <c r="AR709" s="34">
        <v>0</v>
      </c>
      <c r="AS709" s="34">
        <v>0</v>
      </c>
      <c r="AT709" s="40">
        <f t="shared" ref="AT709" si="272">AQ709+AS709</f>
        <v>0</v>
      </c>
      <c r="AU709" s="18">
        <f>AJ709-AM709</f>
        <v>200000000</v>
      </c>
      <c r="AV709" s="34">
        <f>AM709-AP709</f>
        <v>0</v>
      </c>
      <c r="AW709" s="34">
        <f>AP709-AT709</f>
        <v>0</v>
      </c>
      <c r="AX709" s="123">
        <f>AP709/AJ709</f>
        <v>0</v>
      </c>
    </row>
    <row r="710" spans="1:50" x14ac:dyDescent="0.2">
      <c r="AA710" s="16"/>
      <c r="AB710" s="17"/>
      <c r="AC710" s="17"/>
      <c r="AD710" s="18"/>
      <c r="AE710" s="34"/>
      <c r="AF710" s="34"/>
      <c r="AG710" s="34"/>
      <c r="AH710" s="34"/>
      <c r="AI710" s="34"/>
      <c r="AJ710" s="18"/>
      <c r="AK710" s="34"/>
      <c r="AL710" s="34"/>
      <c r="AM710" s="34"/>
      <c r="AN710" s="34"/>
      <c r="AO710" s="34"/>
      <c r="AP710" s="34"/>
      <c r="AQ710" s="18"/>
      <c r="AR710" s="18"/>
      <c r="AS710" s="18"/>
      <c r="AT710" s="31"/>
      <c r="AU710" s="18"/>
      <c r="AV710" s="34"/>
      <c r="AW710" s="34"/>
      <c r="AX710" s="18"/>
    </row>
    <row r="711" spans="1:50" ht="25.5" x14ac:dyDescent="0.2">
      <c r="AA711" s="16"/>
      <c r="AB711" s="29" t="s">
        <v>183</v>
      </c>
      <c r="AC711" s="17"/>
      <c r="AD711" s="18"/>
      <c r="AE711" s="34"/>
      <c r="AF711" s="34"/>
      <c r="AG711" s="34"/>
      <c r="AH711" s="34"/>
      <c r="AI711" s="34"/>
      <c r="AJ711" s="18"/>
      <c r="AK711" s="34"/>
      <c r="AL711" s="34"/>
      <c r="AM711" s="34"/>
      <c r="AN711" s="34"/>
      <c r="AO711" s="34"/>
      <c r="AP711" s="34"/>
      <c r="AQ711" s="18"/>
      <c r="AR711" s="18"/>
      <c r="AS711" s="18"/>
      <c r="AT711" s="31"/>
      <c r="AU711" s="18"/>
      <c r="AV711" s="34"/>
      <c r="AW711" s="34"/>
      <c r="AX711" s="18"/>
    </row>
    <row r="712" spans="1:50" ht="25.5" x14ac:dyDescent="0.2">
      <c r="AA712" s="28" t="s">
        <v>288</v>
      </c>
      <c r="AB712" s="29" t="s">
        <v>535</v>
      </c>
      <c r="AC712" s="17"/>
      <c r="AD712" s="18"/>
      <c r="AE712" s="34"/>
      <c r="AF712" s="34"/>
      <c r="AG712" s="34"/>
      <c r="AH712" s="34"/>
      <c r="AI712" s="34"/>
      <c r="AJ712" s="18"/>
      <c r="AK712" s="34"/>
      <c r="AL712" s="34"/>
      <c r="AM712" s="34"/>
      <c r="AN712" s="34"/>
      <c r="AO712" s="34"/>
      <c r="AP712" s="34"/>
      <c r="AQ712" s="18"/>
      <c r="AR712" s="18"/>
      <c r="AS712" s="18"/>
      <c r="AT712" s="31"/>
      <c r="AU712" s="18"/>
      <c r="AV712" s="34"/>
      <c r="AW712" s="34"/>
      <c r="AX712" s="18"/>
    </row>
    <row r="713" spans="1:50" x14ac:dyDescent="0.2">
      <c r="A713" s="4" t="s">
        <v>55</v>
      </c>
      <c r="B713" s="4" t="s">
        <v>56</v>
      </c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1" t="s">
        <v>536</v>
      </c>
      <c r="AB713" s="42" t="s">
        <v>233</v>
      </c>
      <c r="AC713" s="43" t="s">
        <v>58</v>
      </c>
      <c r="AD713" s="43">
        <v>246000000</v>
      </c>
      <c r="AE713" s="44">
        <v>0</v>
      </c>
      <c r="AF713" s="44">
        <v>0</v>
      </c>
      <c r="AG713" s="43">
        <v>200000000</v>
      </c>
      <c r="AH713" s="44">
        <v>0</v>
      </c>
      <c r="AI713" s="43">
        <f>AE713-AF713+AG713-AH713</f>
        <v>200000000</v>
      </c>
      <c r="AJ713" s="43">
        <f>AD713+AI713</f>
        <v>446000000</v>
      </c>
      <c r="AK713" s="44">
        <v>0</v>
      </c>
      <c r="AL713" s="44">
        <v>0</v>
      </c>
      <c r="AM713" s="43">
        <v>446000000</v>
      </c>
      <c r="AN713" s="44">
        <v>0</v>
      </c>
      <c r="AO713" s="43">
        <v>0</v>
      </c>
      <c r="AP713" s="43">
        <v>446000000</v>
      </c>
      <c r="AQ713" s="44">
        <v>0</v>
      </c>
      <c r="AR713" s="44">
        <v>0</v>
      </c>
      <c r="AS713" s="44">
        <v>0</v>
      </c>
      <c r="AT713" s="40">
        <f t="shared" ref="AT713:AT716" si="273">AQ713+AS713</f>
        <v>0</v>
      </c>
      <c r="AU713" s="18">
        <f>AJ713-AM713</f>
        <v>0</v>
      </c>
      <c r="AV713" s="34">
        <f>AM713-AP713</f>
        <v>0</v>
      </c>
      <c r="AW713" s="18">
        <f>AP713-AT713</f>
        <v>446000000</v>
      </c>
      <c r="AX713" s="123">
        <f>AP713/AJ713</f>
        <v>1</v>
      </c>
    </row>
    <row r="714" spans="1:50" x14ac:dyDescent="0.2">
      <c r="A714" s="4" t="s">
        <v>55</v>
      </c>
      <c r="B714" s="4" t="s">
        <v>56</v>
      </c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1" t="s">
        <v>537</v>
      </c>
      <c r="AB714" s="42" t="s">
        <v>538</v>
      </c>
      <c r="AC714" s="43" t="s">
        <v>253</v>
      </c>
      <c r="AD714" s="43">
        <v>603350727</v>
      </c>
      <c r="AE714" s="44">
        <v>0</v>
      </c>
      <c r="AF714" s="44">
        <v>0</v>
      </c>
      <c r="AG714" s="44">
        <v>0</v>
      </c>
      <c r="AH714" s="44">
        <v>0</v>
      </c>
      <c r="AI714" s="44">
        <v>0</v>
      </c>
      <c r="AJ714" s="43">
        <v>603350727</v>
      </c>
      <c r="AK714" s="44">
        <v>0</v>
      </c>
      <c r="AL714" s="44">
        <v>0</v>
      </c>
      <c r="AM714" s="43">
        <v>603350726</v>
      </c>
      <c r="AN714" s="44">
        <v>0</v>
      </c>
      <c r="AO714" s="43">
        <v>0</v>
      </c>
      <c r="AP714" s="43">
        <v>603350726</v>
      </c>
      <c r="AQ714" s="44">
        <v>0</v>
      </c>
      <c r="AR714" s="44">
        <v>0</v>
      </c>
      <c r="AS714" s="44">
        <v>0</v>
      </c>
      <c r="AT714" s="40">
        <f t="shared" si="273"/>
        <v>0</v>
      </c>
      <c r="AU714" s="18">
        <f>AJ714-AM714</f>
        <v>1</v>
      </c>
      <c r="AV714" s="34">
        <f>AM714-AP714</f>
        <v>0</v>
      </c>
      <c r="AW714" s="18">
        <f>AP714-AT714</f>
        <v>603350726</v>
      </c>
      <c r="AX714" s="123">
        <f>AP714/AJ714</f>
        <v>0.99999999834258924</v>
      </c>
    </row>
    <row r="715" spans="1:50" ht="25.5" x14ac:dyDescent="0.2">
      <c r="A715" s="4" t="s">
        <v>55</v>
      </c>
      <c r="B715" s="4" t="s">
        <v>56</v>
      </c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1" t="s">
        <v>539</v>
      </c>
      <c r="AB715" s="42" t="s">
        <v>540</v>
      </c>
      <c r="AC715" s="43" t="s">
        <v>253</v>
      </c>
      <c r="AD715" s="43">
        <v>850649274</v>
      </c>
      <c r="AE715" s="44">
        <v>0</v>
      </c>
      <c r="AF715" s="44">
        <v>0</v>
      </c>
      <c r="AG715" s="44">
        <v>0</v>
      </c>
      <c r="AH715" s="44">
        <v>0</v>
      </c>
      <c r="AI715" s="44">
        <v>0</v>
      </c>
      <c r="AJ715" s="43">
        <v>850649274</v>
      </c>
      <c r="AK715" s="44">
        <v>0</v>
      </c>
      <c r="AL715" s="44">
        <v>-454451418.89999998</v>
      </c>
      <c r="AM715" s="43">
        <v>369641575.10000002</v>
      </c>
      <c r="AN715" s="44">
        <v>0</v>
      </c>
      <c r="AO715" s="43">
        <v>0</v>
      </c>
      <c r="AP715" s="43">
        <v>369641575.10000002</v>
      </c>
      <c r="AQ715" s="44">
        <v>0</v>
      </c>
      <c r="AR715" s="44">
        <v>0</v>
      </c>
      <c r="AS715" s="44">
        <v>0</v>
      </c>
      <c r="AT715" s="40">
        <f t="shared" si="273"/>
        <v>0</v>
      </c>
      <c r="AU715" s="18">
        <f>AJ715-AM715</f>
        <v>481007698.89999998</v>
      </c>
      <c r="AV715" s="18">
        <f>AM715-AP715</f>
        <v>0</v>
      </c>
      <c r="AW715" s="18">
        <f>AP715-AT715</f>
        <v>369641575.10000002</v>
      </c>
      <c r="AX715" s="123">
        <f>AP715/AJ715</f>
        <v>0.43454051675355926</v>
      </c>
    </row>
    <row r="716" spans="1:50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1" t="s">
        <v>1087</v>
      </c>
      <c r="AB716" s="42" t="s">
        <v>1015</v>
      </c>
      <c r="AC716" s="43"/>
      <c r="AD716" s="44">
        <v>0</v>
      </c>
      <c r="AE716" s="43">
        <v>800000000</v>
      </c>
      <c r="AF716" s="44">
        <v>0</v>
      </c>
      <c r="AG716" s="44">
        <v>0</v>
      </c>
      <c r="AH716" s="44">
        <v>0</v>
      </c>
      <c r="AI716" s="43">
        <f>AE716-AF716+AG716-AH716</f>
        <v>800000000</v>
      </c>
      <c r="AJ716" s="43">
        <f>AD716+AI716</f>
        <v>800000000</v>
      </c>
      <c r="AK716" s="44">
        <v>0</v>
      </c>
      <c r="AL716" s="44">
        <v>0</v>
      </c>
      <c r="AM716" s="44">
        <v>0</v>
      </c>
      <c r="AN716" s="44">
        <v>0</v>
      </c>
      <c r="AO716" s="44">
        <v>0</v>
      </c>
      <c r="AP716" s="44">
        <v>0</v>
      </c>
      <c r="AQ716" s="44">
        <v>0</v>
      </c>
      <c r="AR716" s="44">
        <v>0</v>
      </c>
      <c r="AS716" s="44">
        <v>0</v>
      </c>
      <c r="AT716" s="40">
        <f t="shared" si="273"/>
        <v>0</v>
      </c>
      <c r="AU716" s="18">
        <f>AJ716-AM716</f>
        <v>800000000</v>
      </c>
      <c r="AV716" s="34">
        <f>AM716-AP716</f>
        <v>0</v>
      </c>
      <c r="AW716" s="34">
        <f>AP716-AT716</f>
        <v>0</v>
      </c>
      <c r="AX716" s="123">
        <f>AP716/AJ716</f>
        <v>0</v>
      </c>
    </row>
    <row r="717" spans="1:50" x14ac:dyDescent="0.2">
      <c r="AA717" s="16"/>
      <c r="AB717" s="17"/>
      <c r="AC717" s="17"/>
      <c r="AD717" s="34"/>
      <c r="AE717" s="34"/>
      <c r="AF717" s="34"/>
      <c r="AG717" s="34"/>
      <c r="AH717" s="34"/>
      <c r="AI717" s="34"/>
      <c r="AJ717" s="18"/>
      <c r="AK717" s="34"/>
      <c r="AL717" s="34"/>
      <c r="AM717" s="34"/>
      <c r="AN717" s="18"/>
      <c r="AO717" s="18"/>
      <c r="AP717" s="18"/>
      <c r="AQ717" s="18"/>
      <c r="AR717" s="18"/>
      <c r="AS717" s="18"/>
      <c r="AT717" s="30"/>
      <c r="AU717" s="18"/>
      <c r="AV717" s="34"/>
      <c r="AW717" s="18"/>
      <c r="AX717" s="18"/>
    </row>
    <row r="718" spans="1:50" ht="25.5" x14ac:dyDescent="0.2">
      <c r="AA718" s="73" t="s">
        <v>288</v>
      </c>
      <c r="AB718" s="74" t="s">
        <v>1222</v>
      </c>
      <c r="AC718" s="17"/>
      <c r="AD718" s="34"/>
      <c r="AE718" s="34"/>
      <c r="AF718" s="34"/>
      <c r="AG718" s="34"/>
      <c r="AH718" s="34"/>
      <c r="AI718" s="34"/>
      <c r="AJ718" s="18"/>
      <c r="AK718" s="34"/>
      <c r="AL718" s="34"/>
      <c r="AM718" s="34"/>
      <c r="AN718" s="18"/>
      <c r="AO718" s="18"/>
      <c r="AP718" s="18"/>
      <c r="AQ718" s="18"/>
      <c r="AR718" s="18"/>
      <c r="AS718" s="18"/>
      <c r="AT718" s="30"/>
      <c r="AU718" s="18"/>
      <c r="AV718" s="34"/>
      <c r="AW718" s="18"/>
      <c r="AX718" s="18"/>
    </row>
    <row r="719" spans="1:50" x14ac:dyDescent="0.2">
      <c r="AA719" s="41" t="s">
        <v>1223</v>
      </c>
      <c r="AB719" s="42" t="s">
        <v>961</v>
      </c>
      <c r="AC719" s="17"/>
      <c r="AD719" s="34">
        <v>0</v>
      </c>
      <c r="AE719" s="34">
        <v>0</v>
      </c>
      <c r="AF719" s="34">
        <v>0</v>
      </c>
      <c r="AG719" s="18">
        <v>115200000</v>
      </c>
      <c r="AH719" s="34">
        <v>0</v>
      </c>
      <c r="AI719" s="43">
        <f>AE719-AF719+AG719-AH719</f>
        <v>115200000</v>
      </c>
      <c r="AJ719" s="43">
        <f>AD719+AI719</f>
        <v>115200000</v>
      </c>
      <c r="AK719" s="34">
        <v>0</v>
      </c>
      <c r="AL719" s="18">
        <v>47356193</v>
      </c>
      <c r="AM719" s="18">
        <v>47356193</v>
      </c>
      <c r="AN719" s="18">
        <v>0</v>
      </c>
      <c r="AO719" s="34">
        <v>0</v>
      </c>
      <c r="AP719" s="34">
        <v>0</v>
      </c>
      <c r="AQ719" s="34">
        <v>0</v>
      </c>
      <c r="AR719" s="34">
        <v>0</v>
      </c>
      <c r="AS719" s="34">
        <v>0</v>
      </c>
      <c r="AT719" s="40">
        <f t="shared" ref="AT719" si="274">AQ719+AS719</f>
        <v>0</v>
      </c>
      <c r="AU719" s="18">
        <f>AJ719-AM719</f>
        <v>67843807</v>
      </c>
      <c r="AV719" s="18">
        <f>AM719-AP719</f>
        <v>47356193</v>
      </c>
      <c r="AW719" s="34">
        <f>AP719-AT719</f>
        <v>0</v>
      </c>
      <c r="AX719" s="123">
        <f>AP719/AJ719</f>
        <v>0</v>
      </c>
    </row>
    <row r="720" spans="1:50" x14ac:dyDescent="0.2">
      <c r="AA720" s="16"/>
      <c r="AB720" s="29" t="s">
        <v>199</v>
      </c>
      <c r="AC720" s="17"/>
      <c r="AD720" s="18"/>
      <c r="AE720" s="34"/>
      <c r="AF720" s="34"/>
      <c r="AG720" s="34"/>
      <c r="AH720" s="34"/>
      <c r="AI720" s="34"/>
      <c r="AJ720" s="18"/>
      <c r="AK720" s="34"/>
      <c r="AL720" s="34"/>
      <c r="AM720" s="18"/>
      <c r="AN720" s="18"/>
      <c r="AO720" s="18"/>
      <c r="AP720" s="18"/>
      <c r="AQ720" s="18"/>
      <c r="AR720" s="18"/>
      <c r="AS720" s="18"/>
      <c r="AT720" s="30"/>
      <c r="AU720" s="18"/>
      <c r="AV720" s="34"/>
      <c r="AW720" s="18"/>
      <c r="AX720" s="18"/>
    </row>
    <row r="721" spans="1:50" ht="25.5" x14ac:dyDescent="0.2">
      <c r="AA721" s="28" t="s">
        <v>288</v>
      </c>
      <c r="AB721" s="29" t="s">
        <v>531</v>
      </c>
      <c r="AC721" s="17"/>
      <c r="AD721" s="18"/>
      <c r="AE721" s="34"/>
      <c r="AF721" s="34"/>
      <c r="AG721" s="34"/>
      <c r="AH721" s="34"/>
      <c r="AI721" s="34"/>
      <c r="AJ721" s="18"/>
      <c r="AK721" s="34"/>
      <c r="AL721" s="34"/>
      <c r="AM721" s="18"/>
      <c r="AN721" s="18"/>
      <c r="AO721" s="18"/>
      <c r="AP721" s="18"/>
      <c r="AQ721" s="18"/>
      <c r="AR721" s="18"/>
      <c r="AS721" s="18"/>
      <c r="AT721" s="30"/>
      <c r="AU721" s="18"/>
      <c r="AV721" s="34"/>
      <c r="AW721" s="18"/>
      <c r="AX721" s="18"/>
    </row>
    <row r="722" spans="1:50" x14ac:dyDescent="0.2">
      <c r="A722" s="4" t="s">
        <v>55</v>
      </c>
      <c r="B722" s="4" t="s">
        <v>56</v>
      </c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1" t="s">
        <v>541</v>
      </c>
      <c r="AB722" s="42" t="s">
        <v>233</v>
      </c>
      <c r="AC722" s="43" t="s">
        <v>58</v>
      </c>
      <c r="AD722" s="43">
        <v>190000000</v>
      </c>
      <c r="AE722" s="44">
        <v>0</v>
      </c>
      <c r="AF722" s="44">
        <v>0</v>
      </c>
      <c r="AG722" s="44">
        <v>0</v>
      </c>
      <c r="AH722" s="44">
        <v>0</v>
      </c>
      <c r="AI722" s="44">
        <v>0</v>
      </c>
      <c r="AJ722" s="43">
        <v>190000000</v>
      </c>
      <c r="AK722" s="115">
        <v>0</v>
      </c>
      <c r="AL722" s="115">
        <v>0</v>
      </c>
      <c r="AM722" s="114">
        <v>88000000</v>
      </c>
      <c r="AN722" s="114">
        <v>0</v>
      </c>
      <c r="AO722" s="114">
        <v>0</v>
      </c>
      <c r="AP722" s="114">
        <v>88000000</v>
      </c>
      <c r="AQ722" s="43">
        <v>0</v>
      </c>
      <c r="AR722" s="43">
        <v>11000000</v>
      </c>
      <c r="AS722" s="43">
        <v>42433334</v>
      </c>
      <c r="AT722" s="39">
        <f t="shared" ref="AT722" si="275">AQ722+AS722</f>
        <v>42433334</v>
      </c>
      <c r="AU722" s="18">
        <f>AJ722-AM722</f>
        <v>102000000</v>
      </c>
      <c r="AV722" s="133">
        <f>AM722-AP722</f>
        <v>0</v>
      </c>
      <c r="AW722" s="18">
        <f>AP722-AT722</f>
        <v>45566666</v>
      </c>
      <c r="AX722" s="123">
        <f>AP722/AJ722</f>
        <v>0.4631578947368421</v>
      </c>
    </row>
    <row r="723" spans="1:50" x14ac:dyDescent="0.2">
      <c r="AA723" s="28" t="s">
        <v>288</v>
      </c>
      <c r="AB723" s="29" t="s">
        <v>542</v>
      </c>
      <c r="AC723" s="17"/>
      <c r="AD723" s="18"/>
      <c r="AE723" s="34"/>
      <c r="AF723" s="34"/>
      <c r="AG723" s="34"/>
      <c r="AH723" s="34"/>
      <c r="AI723" s="34"/>
      <c r="AJ723" s="18"/>
      <c r="AK723" s="34"/>
      <c r="AL723" s="34"/>
      <c r="AM723" s="34"/>
      <c r="AN723" s="34"/>
      <c r="AO723" s="34"/>
      <c r="AP723" s="34"/>
      <c r="AQ723" s="34"/>
      <c r="AR723" s="34"/>
      <c r="AS723" s="34"/>
      <c r="AT723" s="31"/>
      <c r="AU723" s="18"/>
      <c r="AV723" s="18"/>
      <c r="AW723" s="18"/>
      <c r="AX723" s="18"/>
    </row>
    <row r="724" spans="1:50" x14ac:dyDescent="0.2">
      <c r="A724" s="4" t="s">
        <v>55</v>
      </c>
      <c r="B724" s="4" t="s">
        <v>56</v>
      </c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1" t="s">
        <v>543</v>
      </c>
      <c r="AB724" s="42" t="s">
        <v>233</v>
      </c>
      <c r="AC724" s="43" t="s">
        <v>58</v>
      </c>
      <c r="AD724" s="43">
        <v>229000000</v>
      </c>
      <c r="AE724" s="44">
        <v>0</v>
      </c>
      <c r="AF724" s="44">
        <v>0</v>
      </c>
      <c r="AG724" s="44">
        <v>0</v>
      </c>
      <c r="AH724" s="43">
        <v>229000000</v>
      </c>
      <c r="AI724" s="43">
        <f>AE724-AF724+AG724-AH724</f>
        <v>-229000000</v>
      </c>
      <c r="AJ724" s="43">
        <f>AD724+AI724</f>
        <v>0</v>
      </c>
      <c r="AK724" s="44">
        <v>0</v>
      </c>
      <c r="AL724" s="44">
        <v>0</v>
      </c>
      <c r="AM724" s="44">
        <v>0</v>
      </c>
      <c r="AN724" s="44">
        <v>0</v>
      </c>
      <c r="AO724" s="44">
        <v>0</v>
      </c>
      <c r="AP724" s="44">
        <v>0</v>
      </c>
      <c r="AQ724" s="44">
        <v>0</v>
      </c>
      <c r="AR724" s="44">
        <v>0</v>
      </c>
      <c r="AS724" s="44">
        <v>0</v>
      </c>
      <c r="AT724" s="40">
        <f t="shared" ref="AT724" si="276">AQ724+AS724</f>
        <v>0</v>
      </c>
      <c r="AU724" s="34">
        <f>AJ724-AM724</f>
        <v>0</v>
      </c>
      <c r="AV724" s="34">
        <f>AM724-AP724</f>
        <v>0</v>
      </c>
      <c r="AW724" s="34">
        <f>AP724-AT724</f>
        <v>0</v>
      </c>
      <c r="AX724" s="123">
        <v>0</v>
      </c>
    </row>
    <row r="725" spans="1:50" ht="25.5" x14ac:dyDescent="0.2">
      <c r="AA725" s="28" t="s">
        <v>288</v>
      </c>
      <c r="AB725" s="29" t="s">
        <v>544</v>
      </c>
      <c r="AC725" s="17"/>
      <c r="AD725" s="18"/>
      <c r="AE725" s="34"/>
      <c r="AF725" s="34"/>
      <c r="AG725" s="34"/>
      <c r="AH725" s="34"/>
      <c r="AI725" s="34"/>
      <c r="AJ725" s="18"/>
      <c r="AK725" s="34"/>
      <c r="AL725" s="34"/>
      <c r="AM725" s="34"/>
      <c r="AN725" s="34"/>
      <c r="AO725" s="34"/>
      <c r="AP725" s="34"/>
      <c r="AQ725" s="34"/>
      <c r="AR725" s="34"/>
      <c r="AS725" s="34"/>
      <c r="AT725" s="31"/>
      <c r="AU725" s="34"/>
      <c r="AV725" s="34"/>
      <c r="AW725" s="34"/>
      <c r="AX725" s="18"/>
    </row>
    <row r="726" spans="1:50" x14ac:dyDescent="0.2">
      <c r="A726" s="4" t="s">
        <v>55</v>
      </c>
      <c r="B726" s="4" t="s">
        <v>56</v>
      </c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1" t="s">
        <v>545</v>
      </c>
      <c r="AB726" s="42" t="s">
        <v>233</v>
      </c>
      <c r="AC726" s="43" t="s">
        <v>58</v>
      </c>
      <c r="AD726" s="43">
        <v>150000000</v>
      </c>
      <c r="AE726" s="44">
        <v>0</v>
      </c>
      <c r="AF726" s="44">
        <v>0</v>
      </c>
      <c r="AG726" s="44">
        <v>0</v>
      </c>
      <c r="AH726" s="44">
        <v>0</v>
      </c>
      <c r="AI726" s="44">
        <v>0</v>
      </c>
      <c r="AJ726" s="43">
        <v>150000000</v>
      </c>
      <c r="AK726" s="44">
        <v>0</v>
      </c>
      <c r="AL726" s="43">
        <v>0</v>
      </c>
      <c r="AM726" s="43">
        <v>150000000</v>
      </c>
      <c r="AN726" s="43">
        <v>0</v>
      </c>
      <c r="AO726" s="43">
        <v>0</v>
      </c>
      <c r="AP726" s="43">
        <v>150000000</v>
      </c>
      <c r="AQ726" s="44">
        <v>0</v>
      </c>
      <c r="AR726" s="43">
        <v>89831520</v>
      </c>
      <c r="AS726" s="43">
        <v>89831520</v>
      </c>
      <c r="AT726" s="40">
        <f t="shared" ref="AT726" si="277">AQ726+AS726</f>
        <v>89831520</v>
      </c>
      <c r="AU726" s="34">
        <f>AJ726-AM726</f>
        <v>0</v>
      </c>
      <c r="AV726" s="34">
        <f>AM726-AP726</f>
        <v>0</v>
      </c>
      <c r="AW726" s="18">
        <f>AP726-AT726</f>
        <v>60168480</v>
      </c>
      <c r="AX726" s="123">
        <f>AP726/AJ726</f>
        <v>1</v>
      </c>
    </row>
    <row r="727" spans="1:50" ht="38.25" x14ac:dyDescent="0.2">
      <c r="AA727" s="28" t="s">
        <v>288</v>
      </c>
      <c r="AB727" s="29" t="s">
        <v>546</v>
      </c>
      <c r="AC727" s="17"/>
      <c r="AD727" s="18"/>
      <c r="AE727" s="34"/>
      <c r="AF727" s="34"/>
      <c r="AG727" s="34"/>
      <c r="AH727" s="34"/>
      <c r="AI727" s="34"/>
      <c r="AJ727" s="18"/>
      <c r="AK727" s="34"/>
      <c r="AL727" s="18"/>
      <c r="AM727" s="18"/>
      <c r="AN727" s="18"/>
      <c r="AO727" s="18"/>
      <c r="AP727" s="18"/>
      <c r="AQ727" s="18"/>
      <c r="AR727" s="18"/>
      <c r="AS727" s="18"/>
      <c r="AT727" s="30"/>
      <c r="AU727" s="18"/>
      <c r="AV727" s="18"/>
      <c r="AW727" s="18"/>
      <c r="AX727" s="18"/>
    </row>
    <row r="728" spans="1:50" x14ac:dyDescent="0.2">
      <c r="A728" s="4" t="s">
        <v>55</v>
      </c>
      <c r="B728" s="4" t="s">
        <v>56</v>
      </c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1" t="s">
        <v>547</v>
      </c>
      <c r="AB728" s="42" t="s">
        <v>233</v>
      </c>
      <c r="AC728" s="43" t="s">
        <v>58</v>
      </c>
      <c r="AD728" s="43">
        <v>80000000</v>
      </c>
      <c r="AE728" s="44">
        <v>0</v>
      </c>
      <c r="AF728" s="44">
        <v>0</v>
      </c>
      <c r="AG728" s="44">
        <v>0</v>
      </c>
      <c r="AH728" s="44">
        <v>0</v>
      </c>
      <c r="AI728" s="44">
        <v>0</v>
      </c>
      <c r="AJ728" s="43">
        <v>80000000</v>
      </c>
      <c r="AK728" s="44">
        <v>0</v>
      </c>
      <c r="AL728" s="44">
        <v>0</v>
      </c>
      <c r="AM728" s="43">
        <v>80000000</v>
      </c>
      <c r="AN728" s="44">
        <v>0</v>
      </c>
      <c r="AO728" s="44">
        <v>0</v>
      </c>
      <c r="AP728" s="110">
        <v>80000000</v>
      </c>
      <c r="AQ728" s="18">
        <v>0</v>
      </c>
      <c r="AR728" s="18">
        <v>7000000</v>
      </c>
      <c r="AS728" s="18">
        <v>42666666</v>
      </c>
      <c r="AT728" s="39">
        <f t="shared" ref="AT728:AT763" si="278">AQ728+AS728</f>
        <v>42666666</v>
      </c>
      <c r="AU728" s="34">
        <f>AJ728-AM728</f>
        <v>0</v>
      </c>
      <c r="AV728" s="34">
        <f>AM728-AP728</f>
        <v>0</v>
      </c>
      <c r="AW728" s="18">
        <f>AP728-AT728</f>
        <v>37333334</v>
      </c>
      <c r="AX728" s="123">
        <f>AP728/AJ728</f>
        <v>1</v>
      </c>
    </row>
    <row r="729" spans="1:50" ht="38.25" x14ac:dyDescent="0.2">
      <c r="AA729" s="28" t="s">
        <v>288</v>
      </c>
      <c r="AB729" s="29" t="s">
        <v>548</v>
      </c>
      <c r="AC729" s="17"/>
      <c r="AD729" s="18"/>
      <c r="AE729" s="34"/>
      <c r="AF729" s="34"/>
      <c r="AG729" s="34"/>
      <c r="AH729" s="34"/>
      <c r="AI729" s="34"/>
      <c r="AJ729" s="18"/>
      <c r="AK729" s="18"/>
      <c r="AL729" s="18"/>
      <c r="AM729" s="18"/>
      <c r="AN729" s="18"/>
      <c r="AO729" s="18"/>
      <c r="AP729" s="34"/>
      <c r="AQ729" s="34"/>
      <c r="AR729" s="34"/>
      <c r="AS729" s="34"/>
      <c r="AT729" s="40"/>
      <c r="AU729" s="18"/>
      <c r="AV729" s="18"/>
      <c r="AW729" s="18"/>
      <c r="AX729" s="18"/>
    </row>
    <row r="730" spans="1:50" x14ac:dyDescent="0.2">
      <c r="A730" s="4" t="s">
        <v>55</v>
      </c>
      <c r="B730" s="4" t="s">
        <v>56</v>
      </c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1" t="s">
        <v>549</v>
      </c>
      <c r="AB730" s="42" t="s">
        <v>233</v>
      </c>
      <c r="AC730" s="43" t="s">
        <v>58</v>
      </c>
      <c r="AD730" s="43">
        <v>40000000</v>
      </c>
      <c r="AE730" s="44">
        <v>0</v>
      </c>
      <c r="AF730" s="44">
        <v>0</v>
      </c>
      <c r="AG730" s="44">
        <v>0</v>
      </c>
      <c r="AH730" s="44">
        <v>0</v>
      </c>
      <c r="AI730" s="44">
        <v>0</v>
      </c>
      <c r="AJ730" s="43">
        <v>40000000</v>
      </c>
      <c r="AK730" s="44">
        <v>0</v>
      </c>
      <c r="AL730" s="43">
        <v>0</v>
      </c>
      <c r="AM730" s="43">
        <v>20998948</v>
      </c>
      <c r="AN730" s="44">
        <v>0</v>
      </c>
      <c r="AO730" s="43">
        <v>0</v>
      </c>
      <c r="AP730" s="18">
        <v>20998948</v>
      </c>
      <c r="AQ730" s="34">
        <v>0</v>
      </c>
      <c r="AR730" s="34">
        <v>0</v>
      </c>
      <c r="AS730" s="34">
        <v>0</v>
      </c>
      <c r="AT730" s="40">
        <f t="shared" si="278"/>
        <v>0</v>
      </c>
      <c r="AU730" s="18">
        <f>AJ730-AM730</f>
        <v>19001052</v>
      </c>
      <c r="AV730" s="34">
        <f>AM730-AP730</f>
        <v>0</v>
      </c>
      <c r="AW730" s="18">
        <f>AP730-AT730</f>
        <v>20998948</v>
      </c>
      <c r="AX730" s="123">
        <f>AP730/AJ730</f>
        <v>0.52497369999999999</v>
      </c>
    </row>
    <row r="731" spans="1:50" ht="25.5" x14ac:dyDescent="0.2">
      <c r="AA731" s="28" t="s">
        <v>288</v>
      </c>
      <c r="AB731" s="29" t="s">
        <v>550</v>
      </c>
      <c r="AC731" s="17"/>
      <c r="AD731" s="18"/>
      <c r="AE731" s="34"/>
      <c r="AF731" s="34"/>
      <c r="AG731" s="34"/>
      <c r="AH731" s="34"/>
      <c r="AI731" s="34"/>
      <c r="AJ731" s="18"/>
      <c r="AK731" s="34"/>
      <c r="AL731" s="18"/>
      <c r="AM731" s="18"/>
      <c r="AN731" s="34"/>
      <c r="AO731" s="34"/>
      <c r="AP731" s="34"/>
      <c r="AQ731" s="34"/>
      <c r="AR731" s="34"/>
      <c r="AS731" s="34"/>
      <c r="AT731" s="40"/>
      <c r="AU731" s="18"/>
      <c r="AV731" s="34"/>
      <c r="AW731" s="18"/>
      <c r="AX731" s="18"/>
    </row>
    <row r="732" spans="1:50" x14ac:dyDescent="0.2">
      <c r="A732" s="4" t="s">
        <v>55</v>
      </c>
      <c r="B732" s="4" t="s">
        <v>56</v>
      </c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1" t="s">
        <v>551</v>
      </c>
      <c r="AB732" s="42" t="s">
        <v>233</v>
      </c>
      <c r="AC732" s="43" t="s">
        <v>58</v>
      </c>
      <c r="AD732" s="43">
        <v>670000000</v>
      </c>
      <c r="AE732" s="44">
        <v>0</v>
      </c>
      <c r="AF732" s="44">
        <v>0</v>
      </c>
      <c r="AG732" s="43">
        <v>932000000</v>
      </c>
      <c r="AH732" s="43">
        <f>782000000+60000000</f>
        <v>842000000</v>
      </c>
      <c r="AI732" s="43">
        <f>AE732-AF732+AG732-AH732</f>
        <v>90000000</v>
      </c>
      <c r="AJ732" s="43">
        <f>AD732+AI732</f>
        <v>760000000</v>
      </c>
      <c r="AK732" s="44">
        <v>0</v>
      </c>
      <c r="AL732" s="43">
        <v>5286668</v>
      </c>
      <c r="AM732" s="43">
        <v>495079599</v>
      </c>
      <c r="AN732" s="44">
        <v>0</v>
      </c>
      <c r="AO732" s="43">
        <v>8462035</v>
      </c>
      <c r="AP732" s="18">
        <v>495079599</v>
      </c>
      <c r="AQ732" s="18">
        <v>0</v>
      </c>
      <c r="AR732" s="18">
        <v>48600000</v>
      </c>
      <c r="AS732" s="18">
        <v>216930001</v>
      </c>
      <c r="AT732" s="39">
        <f t="shared" ref="AT732:AT736" si="279">AQ732+AS732</f>
        <v>216930001</v>
      </c>
      <c r="AU732" s="18">
        <f>AJ732-AM732</f>
        <v>264920401</v>
      </c>
      <c r="AV732" s="34">
        <f>AM732-AP732</f>
        <v>0</v>
      </c>
      <c r="AW732" s="18">
        <f>AP732-AT732</f>
        <v>278149598</v>
      </c>
      <c r="AX732" s="123">
        <f>AP732/AJ732</f>
        <v>0.65142052500000003</v>
      </c>
    </row>
    <row r="733" spans="1:50" x14ac:dyDescent="0.2">
      <c r="A733" s="4" t="s">
        <v>55</v>
      </c>
      <c r="B733" s="4" t="s">
        <v>56</v>
      </c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1" t="s">
        <v>552</v>
      </c>
      <c r="AB733" s="42" t="s">
        <v>382</v>
      </c>
      <c r="AC733" s="43" t="s">
        <v>383</v>
      </c>
      <c r="AD733" s="43">
        <v>120000000</v>
      </c>
      <c r="AE733" s="44">
        <v>0</v>
      </c>
      <c r="AF733" s="44">
        <v>0</v>
      </c>
      <c r="AG733" s="44">
        <v>0</v>
      </c>
      <c r="AH733" s="44">
        <v>0</v>
      </c>
      <c r="AI733" s="43">
        <f t="shared" ref="AI733:AI736" si="280">AE733-AF733+AG733-AH733</f>
        <v>0</v>
      </c>
      <c r="AJ733" s="43">
        <f t="shared" ref="AJ733:AJ736" si="281">AD733+AI733</f>
        <v>120000000</v>
      </c>
      <c r="AK733" s="44">
        <v>0</v>
      </c>
      <c r="AL733" s="43">
        <v>0</v>
      </c>
      <c r="AM733" s="43">
        <v>1886133</v>
      </c>
      <c r="AN733" s="44">
        <v>0</v>
      </c>
      <c r="AO733" s="43">
        <v>0</v>
      </c>
      <c r="AP733" s="18">
        <v>1886133</v>
      </c>
      <c r="AQ733" s="34">
        <v>0</v>
      </c>
      <c r="AR733" s="34">
        <v>0</v>
      </c>
      <c r="AS733" s="34">
        <v>0</v>
      </c>
      <c r="AT733" s="39">
        <f t="shared" si="279"/>
        <v>0</v>
      </c>
      <c r="AU733" s="18">
        <f>AJ733-AM733</f>
        <v>118113867</v>
      </c>
      <c r="AV733" s="34">
        <f>AM733-AP733</f>
        <v>0</v>
      </c>
      <c r="AW733" s="18">
        <f>AP733-AT733</f>
        <v>1886133</v>
      </c>
      <c r="AX733" s="123">
        <f>AP733/AJ733</f>
        <v>1.5717775E-2</v>
      </c>
    </row>
    <row r="734" spans="1:50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1" t="s">
        <v>1092</v>
      </c>
      <c r="AB734" s="42" t="s">
        <v>1095</v>
      </c>
      <c r="AC734" s="43"/>
      <c r="AD734" s="44">
        <v>0</v>
      </c>
      <c r="AE734" s="43">
        <v>28189.13</v>
      </c>
      <c r="AF734" s="44">
        <v>0</v>
      </c>
      <c r="AG734" s="44">
        <v>0</v>
      </c>
      <c r="AH734" s="44">
        <v>0</v>
      </c>
      <c r="AI734" s="43">
        <f t="shared" si="280"/>
        <v>28189.13</v>
      </c>
      <c r="AJ734" s="43">
        <f t="shared" si="281"/>
        <v>28189.13</v>
      </c>
      <c r="AK734" s="44">
        <v>0</v>
      </c>
      <c r="AL734" s="44">
        <v>28189.13</v>
      </c>
      <c r="AM734" s="44">
        <v>28189.13</v>
      </c>
      <c r="AN734" s="44">
        <v>0</v>
      </c>
      <c r="AO734" s="44">
        <v>0</v>
      </c>
      <c r="AP734" s="34">
        <v>0</v>
      </c>
      <c r="AQ734" s="34">
        <v>0</v>
      </c>
      <c r="AR734" s="34">
        <v>0</v>
      </c>
      <c r="AS734" s="34">
        <v>0</v>
      </c>
      <c r="AT734" s="40">
        <f t="shared" si="279"/>
        <v>0</v>
      </c>
      <c r="AU734" s="34">
        <f>AJ734-AM734</f>
        <v>0</v>
      </c>
      <c r="AV734" s="18">
        <f>AM734-AP734</f>
        <v>28189.13</v>
      </c>
      <c r="AW734" s="34">
        <f>AP734-AT734</f>
        <v>0</v>
      </c>
      <c r="AX734" s="123">
        <f>AP734/AJ734</f>
        <v>0</v>
      </c>
    </row>
    <row r="735" spans="1:50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1" t="s">
        <v>1093</v>
      </c>
      <c r="AB735" s="42" t="s">
        <v>1096</v>
      </c>
      <c r="AC735" s="43"/>
      <c r="AD735" s="44">
        <v>0</v>
      </c>
      <c r="AE735" s="43">
        <v>5349132</v>
      </c>
      <c r="AF735" s="44">
        <v>0</v>
      </c>
      <c r="AG735" s="44">
        <v>0</v>
      </c>
      <c r="AH735" s="44">
        <v>0</v>
      </c>
      <c r="AI735" s="43">
        <f t="shared" si="280"/>
        <v>5349132</v>
      </c>
      <c r="AJ735" s="43">
        <f t="shared" si="281"/>
        <v>5349132</v>
      </c>
      <c r="AK735" s="44">
        <v>0</v>
      </c>
      <c r="AL735" s="44">
        <v>5349132</v>
      </c>
      <c r="AM735" s="44">
        <v>5349132</v>
      </c>
      <c r="AN735" s="44">
        <v>0</v>
      </c>
      <c r="AO735" s="44">
        <v>0</v>
      </c>
      <c r="AP735" s="34">
        <v>0</v>
      </c>
      <c r="AQ735" s="34">
        <v>0</v>
      </c>
      <c r="AR735" s="34">
        <v>0</v>
      </c>
      <c r="AS735" s="34">
        <v>0</v>
      </c>
      <c r="AT735" s="40">
        <f t="shared" si="279"/>
        <v>0</v>
      </c>
      <c r="AU735" s="34">
        <f>AJ735-AM735</f>
        <v>0</v>
      </c>
      <c r="AV735" s="18">
        <f>AM735-AP735</f>
        <v>5349132</v>
      </c>
      <c r="AW735" s="34">
        <f>AP735-AT735</f>
        <v>0</v>
      </c>
      <c r="AX735" s="123">
        <f>AP735/AJ735</f>
        <v>0</v>
      </c>
    </row>
    <row r="736" spans="1:50" ht="25.5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1" t="s">
        <v>1094</v>
      </c>
      <c r="AB736" s="42" t="s">
        <v>1097</v>
      </c>
      <c r="AC736" s="43"/>
      <c r="AD736" s="44">
        <v>0</v>
      </c>
      <c r="AE736" s="43">
        <v>11995542.140000001</v>
      </c>
      <c r="AF736" s="44">
        <v>0</v>
      </c>
      <c r="AG736" s="44">
        <v>0</v>
      </c>
      <c r="AH736" s="44">
        <v>0</v>
      </c>
      <c r="AI736" s="43">
        <f t="shared" si="280"/>
        <v>11995542.140000001</v>
      </c>
      <c r="AJ736" s="43">
        <f t="shared" si="281"/>
        <v>11995542.140000001</v>
      </c>
      <c r="AK736" s="44">
        <v>0</v>
      </c>
      <c r="AL736" s="44">
        <v>11995542.140000001</v>
      </c>
      <c r="AM736" s="44">
        <v>11995542.140000001</v>
      </c>
      <c r="AN736" s="44">
        <v>0</v>
      </c>
      <c r="AO736" s="44">
        <v>0</v>
      </c>
      <c r="AP736" s="34">
        <v>0</v>
      </c>
      <c r="AQ736" s="34">
        <v>0</v>
      </c>
      <c r="AR736" s="34">
        <v>0</v>
      </c>
      <c r="AS736" s="34">
        <v>0</v>
      </c>
      <c r="AT736" s="40">
        <f t="shared" si="279"/>
        <v>0</v>
      </c>
      <c r="AU736" s="34">
        <f>AJ736-AM736</f>
        <v>0</v>
      </c>
      <c r="AV736" s="18">
        <f>AM736-AP736</f>
        <v>11995542.140000001</v>
      </c>
      <c r="AW736" s="34">
        <f>AP736-AT736</f>
        <v>0</v>
      </c>
      <c r="AX736" s="123">
        <f>AP736/AJ736</f>
        <v>0</v>
      </c>
    </row>
    <row r="737" spans="1:50" ht="25.5" x14ac:dyDescent="0.2">
      <c r="AA737" s="28"/>
      <c r="AB737" s="29" t="s">
        <v>553</v>
      </c>
      <c r="AC737" s="17"/>
      <c r="AD737" s="18"/>
      <c r="AE737" s="34"/>
      <c r="AF737" s="34"/>
      <c r="AG737" s="34"/>
      <c r="AH737" s="34"/>
      <c r="AI737" s="34"/>
      <c r="AJ737" s="18"/>
      <c r="AK737" s="34"/>
      <c r="AL737" s="18"/>
      <c r="AM737" s="18"/>
      <c r="AN737" s="18"/>
      <c r="AO737" s="18"/>
      <c r="AP737" s="18"/>
      <c r="AQ737" s="18"/>
      <c r="AR737" s="18"/>
      <c r="AS737" s="18"/>
      <c r="AT737" s="30"/>
      <c r="AU737" s="18"/>
      <c r="AV737" s="18"/>
      <c r="AW737" s="18"/>
      <c r="AX737" s="18"/>
    </row>
    <row r="738" spans="1:50" x14ac:dyDescent="0.2">
      <c r="A738" s="4" t="s">
        <v>55</v>
      </c>
      <c r="B738" s="4" t="s">
        <v>56</v>
      </c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1" t="s">
        <v>554</v>
      </c>
      <c r="AB738" s="42" t="s">
        <v>233</v>
      </c>
      <c r="AC738" s="43" t="s">
        <v>58</v>
      </c>
      <c r="AD738" s="43">
        <v>200000000</v>
      </c>
      <c r="AE738" s="44">
        <v>0</v>
      </c>
      <c r="AF738" s="44">
        <v>0</v>
      </c>
      <c r="AG738" s="44">
        <v>0</v>
      </c>
      <c r="AH738" s="44">
        <v>0</v>
      </c>
      <c r="AI738" s="44">
        <v>0</v>
      </c>
      <c r="AJ738" s="43">
        <v>200000000</v>
      </c>
      <c r="AK738" s="44">
        <v>0</v>
      </c>
      <c r="AL738" s="43">
        <v>89142.65</v>
      </c>
      <c r="AM738" s="43">
        <v>152869605.21000001</v>
      </c>
      <c r="AN738" s="44">
        <v>0</v>
      </c>
      <c r="AO738" s="43">
        <v>89142.65</v>
      </c>
      <c r="AP738" s="43">
        <v>152869605.21000001</v>
      </c>
      <c r="AQ738" s="44">
        <v>0</v>
      </c>
      <c r="AR738" s="43">
        <v>17789142.649999999</v>
      </c>
      <c r="AS738" s="43">
        <v>85244233.209999993</v>
      </c>
      <c r="AT738" s="39">
        <f t="shared" si="278"/>
        <v>85244233.209999993</v>
      </c>
      <c r="AU738" s="18">
        <f>AJ738-AM738</f>
        <v>47130394.789999992</v>
      </c>
      <c r="AV738" s="34">
        <f>AM738-AP738</f>
        <v>0</v>
      </c>
      <c r="AW738" s="18">
        <f>AP738-AT738</f>
        <v>67625372.000000015</v>
      </c>
      <c r="AX738" s="123">
        <f>AP738/AJ738</f>
        <v>0.76434802605000007</v>
      </c>
    </row>
    <row r="739" spans="1:50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1" t="s">
        <v>1236</v>
      </c>
      <c r="AB739" s="42" t="s">
        <v>1015</v>
      </c>
      <c r="AC739" s="43"/>
      <c r="AD739" s="43">
        <v>0</v>
      </c>
      <c r="AE739" s="43">
        <v>200000000</v>
      </c>
      <c r="AF739" s="44">
        <v>0</v>
      </c>
      <c r="AG739" s="44">
        <v>0</v>
      </c>
      <c r="AH739" s="43">
        <v>145000000</v>
      </c>
      <c r="AI739" s="43">
        <f t="shared" ref="AI739" si="282">AE739-AF739+AG739-AH739</f>
        <v>55000000</v>
      </c>
      <c r="AJ739" s="43">
        <f t="shared" ref="AJ739" si="283">AD739+AI739</f>
        <v>55000000</v>
      </c>
      <c r="AK739" s="44">
        <v>0</v>
      </c>
      <c r="AL739" s="44">
        <v>10000000</v>
      </c>
      <c r="AM739" s="43">
        <v>10000000</v>
      </c>
      <c r="AN739" s="44">
        <v>0</v>
      </c>
      <c r="AO739" s="43">
        <v>10000000</v>
      </c>
      <c r="AP739" s="43">
        <v>10000000</v>
      </c>
      <c r="AQ739" s="44">
        <v>0</v>
      </c>
      <c r="AR739" s="44">
        <v>0</v>
      </c>
      <c r="AS739" s="44">
        <v>0</v>
      </c>
      <c r="AT739" s="40">
        <f t="shared" si="278"/>
        <v>0</v>
      </c>
      <c r="AU739" s="18">
        <f>AJ739-AM739</f>
        <v>45000000</v>
      </c>
      <c r="AV739" s="34">
        <f>AM739-AP739</f>
        <v>0</v>
      </c>
      <c r="AW739" s="18">
        <f>AP739-AT739</f>
        <v>10000000</v>
      </c>
      <c r="AX739" s="123">
        <f>AP739/AJ739</f>
        <v>0.18181818181818182</v>
      </c>
    </row>
    <row r="740" spans="1:50" ht="25.5" x14ac:dyDescent="0.2">
      <c r="AA740" s="28" t="s">
        <v>288</v>
      </c>
      <c r="AB740" s="29" t="s">
        <v>535</v>
      </c>
      <c r="AC740" s="17"/>
      <c r="AD740" s="18"/>
      <c r="AE740" s="34"/>
      <c r="AF740" s="34"/>
      <c r="AG740" s="34"/>
      <c r="AH740" s="34"/>
      <c r="AI740" s="34"/>
      <c r="AJ740" s="18"/>
      <c r="AK740" s="34"/>
      <c r="AL740" s="34"/>
      <c r="AM740" s="18"/>
      <c r="AN740" s="34"/>
      <c r="AO740" s="18"/>
      <c r="AP740" s="18"/>
      <c r="AQ740" s="34"/>
      <c r="AR740" s="18"/>
      <c r="AS740" s="18"/>
      <c r="AT740" s="30"/>
      <c r="AU740" s="18"/>
      <c r="AV740" s="18"/>
      <c r="AW740" s="18"/>
      <c r="AX740" s="18"/>
    </row>
    <row r="741" spans="1:50" x14ac:dyDescent="0.2">
      <c r="A741" s="4" t="s">
        <v>55</v>
      </c>
      <c r="B741" s="4" t="s">
        <v>56</v>
      </c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1" t="s">
        <v>555</v>
      </c>
      <c r="AB741" s="42" t="s">
        <v>233</v>
      </c>
      <c r="AC741" s="43" t="s">
        <v>58</v>
      </c>
      <c r="AD741" s="43">
        <v>1154000000</v>
      </c>
      <c r="AE741" s="44">
        <v>0</v>
      </c>
      <c r="AF741" s="44">
        <v>0</v>
      </c>
      <c r="AG741" s="43">
        <f>32000000+60000000</f>
        <v>92000000</v>
      </c>
      <c r="AH741" s="44">
        <v>0</v>
      </c>
      <c r="AI741" s="43">
        <f t="shared" ref="AI741:AI747" si="284">AE741-AF741+AG741-AH741</f>
        <v>92000000</v>
      </c>
      <c r="AJ741" s="43">
        <f t="shared" ref="AJ741:AJ747" si="285">AD741+AI741</f>
        <v>1246000000</v>
      </c>
      <c r="AK741" s="43">
        <v>0</v>
      </c>
      <c r="AL741" s="43">
        <v>83683326</v>
      </c>
      <c r="AM741" s="43">
        <v>995138087</v>
      </c>
      <c r="AN741" s="43">
        <v>0</v>
      </c>
      <c r="AO741" s="43">
        <v>-17916666</v>
      </c>
      <c r="AP741" s="43">
        <v>893538095</v>
      </c>
      <c r="AQ741" s="43">
        <v>6800000</v>
      </c>
      <c r="AR741" s="43">
        <v>112156315</v>
      </c>
      <c r="AS741" s="43">
        <v>389210863</v>
      </c>
      <c r="AT741" s="39">
        <f t="shared" si="278"/>
        <v>396010863</v>
      </c>
      <c r="AU741" s="18">
        <f t="shared" ref="AU741:AU747" si="286">AJ741-AM741</f>
        <v>250861913</v>
      </c>
      <c r="AV741" s="18">
        <f t="shared" ref="AV741:AV747" si="287">AM741-AP741</f>
        <v>101599992</v>
      </c>
      <c r="AW741" s="18">
        <f t="shared" ref="AW741:AW747" si="288">AP741-AT741</f>
        <v>497527232</v>
      </c>
      <c r="AX741" s="123">
        <f t="shared" ref="AX741:AX747" si="289">AP741/AJ741</f>
        <v>0.71712527688603533</v>
      </c>
    </row>
    <row r="742" spans="1:50" ht="25.5" x14ac:dyDescent="0.2">
      <c r="A742" s="4" t="s">
        <v>55</v>
      </c>
      <c r="B742" s="4" t="s">
        <v>56</v>
      </c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1" t="s">
        <v>556</v>
      </c>
      <c r="AB742" s="42" t="s">
        <v>279</v>
      </c>
      <c r="AC742" s="43" t="s">
        <v>253</v>
      </c>
      <c r="AD742" s="43">
        <v>3243996468</v>
      </c>
      <c r="AE742" s="44">
        <v>0</v>
      </c>
      <c r="AF742" s="44">
        <v>0</v>
      </c>
      <c r="AG742" s="44">
        <v>0</v>
      </c>
      <c r="AH742" s="44">
        <v>0</v>
      </c>
      <c r="AI742" s="44">
        <f t="shared" si="284"/>
        <v>0</v>
      </c>
      <c r="AJ742" s="43">
        <f t="shared" si="285"/>
        <v>3243996468</v>
      </c>
      <c r="AK742" s="43">
        <v>0</v>
      </c>
      <c r="AL742" s="43">
        <v>56767731.700000003</v>
      </c>
      <c r="AM742" s="43">
        <v>3103790765.1700001</v>
      </c>
      <c r="AN742" s="43">
        <v>0</v>
      </c>
      <c r="AO742" s="43">
        <v>56767731.700000003</v>
      </c>
      <c r="AP742" s="43">
        <v>3103790765.1700001</v>
      </c>
      <c r="AQ742" s="43">
        <v>3500000</v>
      </c>
      <c r="AR742" s="43">
        <v>529104178.69999999</v>
      </c>
      <c r="AS742" s="43">
        <v>1418692990.1700001</v>
      </c>
      <c r="AT742" s="39">
        <f t="shared" si="278"/>
        <v>1422192990.1700001</v>
      </c>
      <c r="AU742" s="18">
        <f t="shared" si="286"/>
        <v>140205702.82999992</v>
      </c>
      <c r="AV742" s="133">
        <f t="shared" si="287"/>
        <v>0</v>
      </c>
      <c r="AW742" s="18">
        <f t="shared" si="288"/>
        <v>1681597775</v>
      </c>
      <c r="AX742" s="123">
        <f t="shared" si="289"/>
        <v>0.95677994590529258</v>
      </c>
    </row>
    <row r="743" spans="1:50" ht="38.25" x14ac:dyDescent="0.2">
      <c r="A743" s="4" t="s">
        <v>55</v>
      </c>
      <c r="B743" s="4" t="s">
        <v>56</v>
      </c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1" t="s">
        <v>557</v>
      </c>
      <c r="AB743" s="42" t="s">
        <v>558</v>
      </c>
      <c r="AC743" s="43" t="s">
        <v>368</v>
      </c>
      <c r="AD743" s="43">
        <v>101429564.34</v>
      </c>
      <c r="AE743" s="44">
        <v>0</v>
      </c>
      <c r="AF743" s="44">
        <v>0</v>
      </c>
      <c r="AG743" s="44">
        <v>0</v>
      </c>
      <c r="AH743" s="44">
        <v>0</v>
      </c>
      <c r="AI743" s="44">
        <f t="shared" si="284"/>
        <v>0</v>
      </c>
      <c r="AJ743" s="43">
        <f t="shared" si="285"/>
        <v>101429564.34</v>
      </c>
      <c r="AK743" s="43">
        <v>0</v>
      </c>
      <c r="AL743" s="43">
        <v>40000000</v>
      </c>
      <c r="AM743" s="43">
        <v>40000000</v>
      </c>
      <c r="AN743" s="43">
        <v>0</v>
      </c>
      <c r="AO743" s="43">
        <v>40000000</v>
      </c>
      <c r="AP743" s="43">
        <v>40000000</v>
      </c>
      <c r="AQ743" s="43">
        <v>0</v>
      </c>
      <c r="AR743" s="43">
        <v>0</v>
      </c>
      <c r="AS743" s="43">
        <v>0</v>
      </c>
      <c r="AT743" s="40">
        <f t="shared" si="278"/>
        <v>0</v>
      </c>
      <c r="AU743" s="18">
        <f t="shared" si="286"/>
        <v>61429564.340000004</v>
      </c>
      <c r="AV743" s="34">
        <f t="shared" si="287"/>
        <v>0</v>
      </c>
      <c r="AW743" s="18">
        <f t="shared" si="288"/>
        <v>40000000</v>
      </c>
      <c r="AX743" s="123">
        <f t="shared" si="289"/>
        <v>0.39436233666465137</v>
      </c>
    </row>
    <row r="744" spans="1:50" ht="25.5" x14ac:dyDescent="0.2">
      <c r="A744" s="4" t="s">
        <v>55</v>
      </c>
      <c r="B744" s="4" t="s">
        <v>56</v>
      </c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1" t="s">
        <v>559</v>
      </c>
      <c r="AB744" s="42" t="s">
        <v>540</v>
      </c>
      <c r="AC744" s="43" t="s">
        <v>253</v>
      </c>
      <c r="AD744" s="43">
        <v>1690003316</v>
      </c>
      <c r="AE744" s="44">
        <v>0</v>
      </c>
      <c r="AF744" s="44">
        <v>0</v>
      </c>
      <c r="AG744" s="44">
        <v>0</v>
      </c>
      <c r="AH744" s="44">
        <v>0</v>
      </c>
      <c r="AI744" s="44">
        <f t="shared" si="284"/>
        <v>0</v>
      </c>
      <c r="AJ744" s="43">
        <f t="shared" si="285"/>
        <v>1690003316</v>
      </c>
      <c r="AK744" s="43">
        <v>0</v>
      </c>
      <c r="AL744" s="43">
        <v>0</v>
      </c>
      <c r="AM744" s="43">
        <v>1661510016</v>
      </c>
      <c r="AN744" s="43">
        <v>0</v>
      </c>
      <c r="AO744" s="43">
        <v>0</v>
      </c>
      <c r="AP744" s="43">
        <v>1661510016</v>
      </c>
      <c r="AQ744" s="18">
        <v>0</v>
      </c>
      <c r="AR744" s="18">
        <v>0</v>
      </c>
      <c r="AS744" s="18">
        <v>644527158</v>
      </c>
      <c r="AT744" s="39">
        <f t="shared" si="278"/>
        <v>644527158</v>
      </c>
      <c r="AU744" s="18">
        <f t="shared" si="286"/>
        <v>28493300</v>
      </c>
      <c r="AV744" s="34">
        <f t="shared" si="287"/>
        <v>0</v>
      </c>
      <c r="AW744" s="18">
        <f t="shared" si="288"/>
        <v>1016982858</v>
      </c>
      <c r="AX744" s="123">
        <f t="shared" si="289"/>
        <v>0.98314009225293142</v>
      </c>
    </row>
    <row r="745" spans="1:50" ht="38.25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1" t="s">
        <v>1088</v>
      </c>
      <c r="AB745" s="42" t="s">
        <v>1089</v>
      </c>
      <c r="AC745" s="43"/>
      <c r="AD745" s="44">
        <v>0</v>
      </c>
      <c r="AE745" s="43">
        <v>56264221.140000001</v>
      </c>
      <c r="AF745" s="44">
        <v>0</v>
      </c>
      <c r="AG745" s="44">
        <v>0</v>
      </c>
      <c r="AH745" s="44">
        <v>0</v>
      </c>
      <c r="AI745" s="43">
        <f t="shared" si="284"/>
        <v>56264221.140000001</v>
      </c>
      <c r="AJ745" s="43">
        <f t="shared" si="285"/>
        <v>56264221.140000001</v>
      </c>
      <c r="AK745" s="44">
        <v>0</v>
      </c>
      <c r="AL745" s="44">
        <v>0</v>
      </c>
      <c r="AM745" s="44">
        <v>0</v>
      </c>
      <c r="AN745" s="44">
        <v>0</v>
      </c>
      <c r="AO745" s="44">
        <v>0</v>
      </c>
      <c r="AP745" s="44">
        <v>0</v>
      </c>
      <c r="AQ745" s="34">
        <v>0</v>
      </c>
      <c r="AR745" s="34">
        <v>0</v>
      </c>
      <c r="AS745" s="34">
        <v>0</v>
      </c>
      <c r="AT745" s="40">
        <f t="shared" si="278"/>
        <v>0</v>
      </c>
      <c r="AU745" s="18">
        <f t="shared" si="286"/>
        <v>56264221.140000001</v>
      </c>
      <c r="AV745" s="34">
        <f t="shared" si="287"/>
        <v>0</v>
      </c>
      <c r="AW745" s="34">
        <f t="shared" si="288"/>
        <v>0</v>
      </c>
      <c r="AX745" s="123">
        <f t="shared" si="289"/>
        <v>0</v>
      </c>
    </row>
    <row r="746" spans="1:50" ht="25.5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1" t="s">
        <v>1090</v>
      </c>
      <c r="AB746" s="42" t="s">
        <v>1011</v>
      </c>
      <c r="AC746" s="43"/>
      <c r="AD746" s="44">
        <v>0</v>
      </c>
      <c r="AE746" s="43">
        <v>1134339181.01</v>
      </c>
      <c r="AF746" s="44">
        <v>0</v>
      </c>
      <c r="AG746" s="44">
        <v>0</v>
      </c>
      <c r="AH746" s="44">
        <v>0</v>
      </c>
      <c r="AI746" s="43">
        <f t="shared" si="284"/>
        <v>1134339181.01</v>
      </c>
      <c r="AJ746" s="43">
        <f t="shared" si="285"/>
        <v>1134339181.01</v>
      </c>
      <c r="AK746" s="43">
        <v>0</v>
      </c>
      <c r="AL746" s="43">
        <v>203200008</v>
      </c>
      <c r="AM746" s="43">
        <v>203200008</v>
      </c>
      <c r="AN746" s="43">
        <v>0</v>
      </c>
      <c r="AO746" s="43">
        <v>0</v>
      </c>
      <c r="AP746" s="43">
        <v>0</v>
      </c>
      <c r="AQ746" s="18">
        <v>0</v>
      </c>
      <c r="AR746" s="18">
        <v>0</v>
      </c>
      <c r="AS746" s="18">
        <v>0</v>
      </c>
      <c r="AT746" s="40">
        <v>0</v>
      </c>
      <c r="AU746" s="18">
        <f t="shared" si="286"/>
        <v>931139173.00999999</v>
      </c>
      <c r="AV746" s="18">
        <f t="shared" si="287"/>
        <v>203200008</v>
      </c>
      <c r="AW746" s="34">
        <f t="shared" si="288"/>
        <v>0</v>
      </c>
      <c r="AX746" s="123">
        <f t="shared" si="289"/>
        <v>0</v>
      </c>
    </row>
    <row r="747" spans="1:50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1" t="s">
        <v>1091</v>
      </c>
      <c r="AB747" s="42" t="s">
        <v>1015</v>
      </c>
      <c r="AC747" s="43"/>
      <c r="AD747" s="44">
        <v>0</v>
      </c>
      <c r="AE747" s="43">
        <v>300000000</v>
      </c>
      <c r="AF747" s="44">
        <v>0</v>
      </c>
      <c r="AG747" s="44">
        <v>0</v>
      </c>
      <c r="AH747" s="44">
        <v>0</v>
      </c>
      <c r="AI747" s="43">
        <f t="shared" si="284"/>
        <v>300000000</v>
      </c>
      <c r="AJ747" s="43">
        <f t="shared" si="285"/>
        <v>300000000</v>
      </c>
      <c r="AK747" s="44">
        <v>0</v>
      </c>
      <c r="AL747" s="44">
        <v>0</v>
      </c>
      <c r="AM747" s="43">
        <v>0</v>
      </c>
      <c r="AN747" s="44">
        <v>0</v>
      </c>
      <c r="AO747" s="44">
        <v>0</v>
      </c>
      <c r="AP747" s="44">
        <v>0</v>
      </c>
      <c r="AQ747" s="34">
        <v>0</v>
      </c>
      <c r="AR747" s="34">
        <v>0</v>
      </c>
      <c r="AS747" s="34">
        <v>0</v>
      </c>
      <c r="AT747" s="40">
        <v>0</v>
      </c>
      <c r="AU747" s="18">
        <f t="shared" si="286"/>
        <v>300000000</v>
      </c>
      <c r="AV747" s="34">
        <f t="shared" si="287"/>
        <v>0</v>
      </c>
      <c r="AW747" s="34">
        <f t="shared" si="288"/>
        <v>0</v>
      </c>
      <c r="AX747" s="123">
        <f t="shared" si="289"/>
        <v>0</v>
      </c>
    </row>
    <row r="748" spans="1:50" ht="25.5" x14ac:dyDescent="0.2">
      <c r="AA748" s="28" t="s">
        <v>288</v>
      </c>
      <c r="AB748" s="29" t="s">
        <v>560</v>
      </c>
      <c r="AC748" s="17"/>
      <c r="AD748" s="18"/>
      <c r="AE748" s="34"/>
      <c r="AF748" s="34"/>
      <c r="AG748" s="34"/>
      <c r="AH748" s="34"/>
      <c r="AI748" s="34"/>
      <c r="AJ748" s="18"/>
      <c r="AK748" s="18"/>
      <c r="AL748" s="18"/>
      <c r="AM748" s="18"/>
      <c r="AN748" s="34"/>
      <c r="AO748" s="34"/>
      <c r="AP748" s="18"/>
      <c r="AQ748" s="34"/>
      <c r="AR748" s="34"/>
      <c r="AS748" s="34"/>
      <c r="AT748" s="40"/>
      <c r="AU748" s="18"/>
      <c r="AV748" s="18"/>
      <c r="AW748" s="18"/>
      <c r="AX748" s="18"/>
    </row>
    <row r="749" spans="1:50" x14ac:dyDescent="0.2">
      <c r="A749" s="4" t="s">
        <v>55</v>
      </c>
      <c r="B749" s="4" t="s">
        <v>56</v>
      </c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1" t="s">
        <v>561</v>
      </c>
      <c r="AB749" s="42" t="s">
        <v>233</v>
      </c>
      <c r="AC749" s="43" t="s">
        <v>58</v>
      </c>
      <c r="AD749" s="43">
        <v>510000000</v>
      </c>
      <c r="AE749" s="44">
        <v>0</v>
      </c>
      <c r="AF749" s="44">
        <v>0</v>
      </c>
      <c r="AG749" s="43">
        <v>20000000</v>
      </c>
      <c r="AH749" s="44">
        <v>0</v>
      </c>
      <c r="AI749" s="43">
        <f>AE749-AF749+AG749-AH749</f>
        <v>20000000</v>
      </c>
      <c r="AJ749" s="43">
        <f>AD749+AI749</f>
        <v>530000000</v>
      </c>
      <c r="AK749" s="44">
        <v>0</v>
      </c>
      <c r="AL749" s="43">
        <v>-21943368</v>
      </c>
      <c r="AM749" s="43">
        <v>287442400</v>
      </c>
      <c r="AN749" s="44">
        <v>0</v>
      </c>
      <c r="AO749" s="43">
        <v>67742400</v>
      </c>
      <c r="AP749" s="114">
        <v>287442400</v>
      </c>
      <c r="AQ749" s="18">
        <v>0</v>
      </c>
      <c r="AR749" s="18">
        <v>25100000</v>
      </c>
      <c r="AS749" s="18">
        <v>87423333</v>
      </c>
      <c r="AT749" s="39">
        <f t="shared" ref="AT749:AT751" si="290">AQ749+AS749</f>
        <v>87423333</v>
      </c>
      <c r="AU749" s="18">
        <f>AJ749-AM749</f>
        <v>242557600</v>
      </c>
      <c r="AV749" s="133">
        <f>AM749-AP749</f>
        <v>0</v>
      </c>
      <c r="AW749" s="18">
        <f>AP749-AT749</f>
        <v>200019067</v>
      </c>
      <c r="AX749" s="123">
        <f>AP749/AJ749</f>
        <v>0.54234415094339627</v>
      </c>
    </row>
    <row r="750" spans="1:50" ht="18.75" customHeight="1" x14ac:dyDescent="0.2">
      <c r="A750" s="4" t="s">
        <v>55</v>
      </c>
      <c r="B750" s="4" t="s">
        <v>56</v>
      </c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1" t="s">
        <v>562</v>
      </c>
      <c r="AB750" s="42" t="s">
        <v>382</v>
      </c>
      <c r="AC750" s="43" t="s">
        <v>383</v>
      </c>
      <c r="AD750" s="43">
        <v>770000000</v>
      </c>
      <c r="AE750" s="44">
        <v>0</v>
      </c>
      <c r="AF750" s="44">
        <v>0</v>
      </c>
      <c r="AG750" s="44">
        <v>0</v>
      </c>
      <c r="AH750" s="44">
        <v>0</v>
      </c>
      <c r="AI750" s="44">
        <v>0</v>
      </c>
      <c r="AJ750" s="43">
        <v>770000000</v>
      </c>
      <c r="AK750" s="44">
        <v>0</v>
      </c>
      <c r="AL750" s="43">
        <v>-51500000</v>
      </c>
      <c r="AM750" s="43">
        <v>718500000</v>
      </c>
      <c r="AN750" s="44">
        <v>0</v>
      </c>
      <c r="AO750" s="43">
        <v>0</v>
      </c>
      <c r="AP750" s="114">
        <v>718500000</v>
      </c>
      <c r="AQ750" s="34">
        <v>0</v>
      </c>
      <c r="AR750" s="34">
        <v>0</v>
      </c>
      <c r="AS750" s="34">
        <v>0</v>
      </c>
      <c r="AT750" s="40">
        <f t="shared" si="290"/>
        <v>0</v>
      </c>
      <c r="AU750" s="18">
        <f>AJ750-AM750</f>
        <v>51500000</v>
      </c>
      <c r="AV750" s="34">
        <f>AM750-AP750</f>
        <v>0</v>
      </c>
      <c r="AW750" s="18">
        <f>AP750-AT750</f>
        <v>718500000</v>
      </c>
      <c r="AX750" s="123">
        <f>AP750/AJ750</f>
        <v>0.93311688311688312</v>
      </c>
    </row>
    <row r="751" spans="1:50" ht="18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1" t="s">
        <v>1235</v>
      </c>
      <c r="AB751" s="42" t="s">
        <v>1015</v>
      </c>
      <c r="AC751" s="43"/>
      <c r="AD751" s="44">
        <v>0</v>
      </c>
      <c r="AE751" s="43">
        <v>25000000</v>
      </c>
      <c r="AF751" s="44">
        <v>0</v>
      </c>
      <c r="AG751" s="44">
        <v>0</v>
      </c>
      <c r="AH751" s="44">
        <v>0</v>
      </c>
      <c r="AI751" s="43">
        <f>AE751-AF751+AG751-AH751</f>
        <v>25000000</v>
      </c>
      <c r="AJ751" s="43">
        <f>AD751+AI751</f>
        <v>25000000</v>
      </c>
      <c r="AK751" s="44">
        <v>0</v>
      </c>
      <c r="AL751" s="44">
        <v>0</v>
      </c>
      <c r="AM751" s="44">
        <v>0</v>
      </c>
      <c r="AN751" s="44">
        <v>0</v>
      </c>
      <c r="AO751" s="44">
        <v>0</v>
      </c>
      <c r="AP751" s="114">
        <v>0</v>
      </c>
      <c r="AQ751" s="34">
        <v>0</v>
      </c>
      <c r="AR751" s="34">
        <v>0</v>
      </c>
      <c r="AS751" s="34">
        <v>0</v>
      </c>
      <c r="AT751" s="39">
        <f t="shared" si="290"/>
        <v>0</v>
      </c>
      <c r="AU751" s="18">
        <f>AJ751-AM751</f>
        <v>25000000</v>
      </c>
      <c r="AV751" s="133">
        <f>AM751-AP751</f>
        <v>0</v>
      </c>
      <c r="AW751" s="18">
        <f>AP751-AT751</f>
        <v>0</v>
      </c>
      <c r="AX751" s="123">
        <f>AP751/AJ751</f>
        <v>0</v>
      </c>
    </row>
    <row r="752" spans="1:50" ht="25.5" customHeight="1" x14ac:dyDescent="0.2">
      <c r="AA752" s="28" t="s">
        <v>288</v>
      </c>
      <c r="AB752" s="29" t="s">
        <v>563</v>
      </c>
      <c r="AC752" s="17"/>
      <c r="AD752" s="18"/>
      <c r="AE752" s="34"/>
      <c r="AF752" s="34"/>
      <c r="AG752" s="34"/>
      <c r="AH752" s="34"/>
      <c r="AI752" s="34"/>
      <c r="AJ752" s="18"/>
      <c r="AK752" s="18"/>
      <c r="AL752" s="18"/>
      <c r="AM752" s="18"/>
      <c r="AN752" s="18"/>
      <c r="AO752" s="18"/>
      <c r="AP752" s="110"/>
      <c r="AQ752" s="34"/>
      <c r="AR752" s="34"/>
      <c r="AS752" s="34"/>
      <c r="AT752" s="40"/>
      <c r="AU752" s="18"/>
      <c r="AV752" s="34"/>
      <c r="AW752" s="18"/>
      <c r="AX752" s="18"/>
    </row>
    <row r="753" spans="1:50" ht="18.75" customHeight="1" x14ac:dyDescent="0.2">
      <c r="A753" s="4" t="s">
        <v>55</v>
      </c>
      <c r="B753" s="4" t="s">
        <v>56</v>
      </c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1" t="s">
        <v>564</v>
      </c>
      <c r="AB753" s="42" t="s">
        <v>233</v>
      </c>
      <c r="AC753" s="43" t="s">
        <v>58</v>
      </c>
      <c r="AD753" s="43">
        <v>150000000</v>
      </c>
      <c r="AE753" s="44">
        <v>0</v>
      </c>
      <c r="AF753" s="44">
        <v>0</v>
      </c>
      <c r="AG753" s="43">
        <f>200000000+318600000</f>
        <v>518600000</v>
      </c>
      <c r="AH753" s="44">
        <v>0</v>
      </c>
      <c r="AI753" s="43">
        <f>AE753-AF753+AG753-AH753</f>
        <v>518600000</v>
      </c>
      <c r="AJ753" s="43">
        <f>AD753+AI753</f>
        <v>668600000</v>
      </c>
      <c r="AK753" s="43">
        <v>0</v>
      </c>
      <c r="AL753" s="43">
        <v>134719471</v>
      </c>
      <c r="AM753" s="43">
        <v>333119471</v>
      </c>
      <c r="AN753" s="43">
        <v>0</v>
      </c>
      <c r="AO753" s="43">
        <v>30000000</v>
      </c>
      <c r="AP753" s="43">
        <v>228400000</v>
      </c>
      <c r="AQ753" s="18">
        <v>0</v>
      </c>
      <c r="AR753" s="18">
        <v>17800000</v>
      </c>
      <c r="AS753" s="18">
        <v>65413333</v>
      </c>
      <c r="AT753" s="39">
        <f t="shared" ref="AT753:AT755" si="291">AQ753+AS753</f>
        <v>65413333</v>
      </c>
      <c r="AU753" s="18">
        <f>AJ753-AM753</f>
        <v>335480529</v>
      </c>
      <c r="AV753" s="18">
        <f>AM753-AP753</f>
        <v>104719471</v>
      </c>
      <c r="AW753" s="110">
        <f>AP753-AT753</f>
        <v>162986667</v>
      </c>
      <c r="AX753" s="123">
        <f>AP753/AJ753</f>
        <v>0.34160933293448997</v>
      </c>
    </row>
    <row r="754" spans="1:50" ht="18.75" customHeight="1" x14ac:dyDescent="0.2">
      <c r="A754" s="4" t="s">
        <v>55</v>
      </c>
      <c r="B754" s="4" t="s">
        <v>56</v>
      </c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1" t="s">
        <v>565</v>
      </c>
      <c r="AB754" s="42" t="s">
        <v>382</v>
      </c>
      <c r="AC754" s="43" t="s">
        <v>383</v>
      </c>
      <c r="AD754" s="43">
        <v>1110000000</v>
      </c>
      <c r="AE754" s="44">
        <v>0</v>
      </c>
      <c r="AF754" s="44">
        <v>0</v>
      </c>
      <c r="AG754" s="44">
        <v>0</v>
      </c>
      <c r="AH754" s="44">
        <v>0</v>
      </c>
      <c r="AI754" s="44">
        <v>0</v>
      </c>
      <c r="AJ754" s="43">
        <v>1110000000</v>
      </c>
      <c r="AK754" s="43">
        <v>0</v>
      </c>
      <c r="AL754" s="43">
        <v>93765809</v>
      </c>
      <c r="AM754" s="43">
        <v>1110000000</v>
      </c>
      <c r="AN754" s="43">
        <v>0</v>
      </c>
      <c r="AO754" s="43">
        <v>0</v>
      </c>
      <c r="AP754" s="43">
        <v>1016234191</v>
      </c>
      <c r="AQ754" s="18">
        <v>0</v>
      </c>
      <c r="AR754" s="18">
        <v>142244923</v>
      </c>
      <c r="AS754" s="18">
        <v>276871504</v>
      </c>
      <c r="AT754" s="39">
        <f t="shared" si="291"/>
        <v>276871504</v>
      </c>
      <c r="AU754" s="34">
        <f>AJ754-AM754</f>
        <v>0</v>
      </c>
      <c r="AV754" s="18">
        <f>AM754-AP754</f>
        <v>93765809</v>
      </c>
      <c r="AW754" s="110">
        <f>AP754-AT754</f>
        <v>739362687</v>
      </c>
      <c r="AX754" s="123">
        <f>AP754/AJ754</f>
        <v>0.9155262981981982</v>
      </c>
    </row>
    <row r="755" spans="1:50" ht="18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1" t="s">
        <v>1098</v>
      </c>
      <c r="AB755" s="42" t="s">
        <v>1015</v>
      </c>
      <c r="AC755" s="43"/>
      <c r="AD755" s="44">
        <v>0</v>
      </c>
      <c r="AE755" s="43">
        <v>326400000</v>
      </c>
      <c r="AF755" s="44">
        <v>0</v>
      </c>
      <c r="AG755" s="44">
        <v>0</v>
      </c>
      <c r="AH755" s="44">
        <v>0</v>
      </c>
      <c r="AI755" s="43">
        <f>AE755-AF755+AG755-AH755</f>
        <v>326400000</v>
      </c>
      <c r="AJ755" s="43">
        <f>AD755+AI755</f>
        <v>326400000</v>
      </c>
      <c r="AK755" s="43">
        <v>0</v>
      </c>
      <c r="AL755" s="43">
        <v>0</v>
      </c>
      <c r="AM755" s="43">
        <v>0</v>
      </c>
      <c r="AN755" s="43">
        <v>0</v>
      </c>
      <c r="AO755" s="43">
        <v>0</v>
      </c>
      <c r="AP755" s="43">
        <v>0</v>
      </c>
      <c r="AQ755" s="18">
        <v>0</v>
      </c>
      <c r="AR755" s="18">
        <v>0</v>
      </c>
      <c r="AS755" s="34">
        <v>0</v>
      </c>
      <c r="AT755" s="40">
        <f t="shared" si="291"/>
        <v>0</v>
      </c>
      <c r="AU755" s="18">
        <f>AJ755-AM755</f>
        <v>326400000</v>
      </c>
      <c r="AV755" s="34">
        <f>AM755-AP755</f>
        <v>0</v>
      </c>
      <c r="AW755" s="133">
        <f>AP755-AT755</f>
        <v>0</v>
      </c>
      <c r="AX755" s="123">
        <f>AP755/AJ755</f>
        <v>0</v>
      </c>
    </row>
    <row r="756" spans="1:50" ht="18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73" t="s">
        <v>288</v>
      </c>
      <c r="AB756" s="74" t="s">
        <v>1259</v>
      </c>
      <c r="AC756" s="43"/>
      <c r="AD756" s="43"/>
      <c r="AE756" s="43"/>
      <c r="AF756" s="44"/>
      <c r="AG756" s="44"/>
      <c r="AH756" s="44"/>
      <c r="AI756" s="43"/>
      <c r="AJ756" s="43"/>
      <c r="AK756" s="44"/>
      <c r="AL756" s="115"/>
      <c r="AM756" s="115"/>
      <c r="AN756" s="44"/>
      <c r="AO756" s="44"/>
      <c r="AP756" s="44"/>
      <c r="AQ756" s="34"/>
      <c r="AR756" s="34"/>
      <c r="AS756" s="34"/>
      <c r="AT756" s="40"/>
      <c r="AU756" s="18"/>
      <c r="AV756" s="34"/>
      <c r="AW756" s="133"/>
      <c r="AX756" s="123"/>
    </row>
    <row r="757" spans="1:50" ht="18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1" t="s">
        <v>1260</v>
      </c>
      <c r="AB757" s="42" t="s">
        <v>961</v>
      </c>
      <c r="AC757" s="43"/>
      <c r="AD757" s="44">
        <v>0</v>
      </c>
      <c r="AE757" s="44">
        <v>0</v>
      </c>
      <c r="AF757" s="44">
        <v>0</v>
      </c>
      <c r="AG757" s="43">
        <v>29000000</v>
      </c>
      <c r="AH757" s="43">
        <v>29000000</v>
      </c>
      <c r="AI757" s="44">
        <f>AE757-AF757+AG757-AH757</f>
        <v>0</v>
      </c>
      <c r="AJ757" s="44">
        <f>AD757+AI757</f>
        <v>0</v>
      </c>
      <c r="AK757" s="44">
        <v>0</v>
      </c>
      <c r="AL757" s="115">
        <v>0</v>
      </c>
      <c r="AM757" s="115">
        <v>0</v>
      </c>
      <c r="AN757" s="44">
        <v>0</v>
      </c>
      <c r="AO757" s="44">
        <v>0</v>
      </c>
      <c r="AP757" s="44">
        <v>0</v>
      </c>
      <c r="AQ757" s="34">
        <v>0</v>
      </c>
      <c r="AR757" s="34">
        <v>0</v>
      </c>
      <c r="AS757" s="34">
        <v>0</v>
      </c>
      <c r="AT757" s="40">
        <f t="shared" ref="AT757" si="292">AQ757+AS757</f>
        <v>0</v>
      </c>
      <c r="AU757" s="34">
        <f>AJ757-AM757</f>
        <v>0</v>
      </c>
      <c r="AV757" s="34">
        <f>AM757-AP757</f>
        <v>0</v>
      </c>
      <c r="AW757" s="133">
        <f>AP757-AT757</f>
        <v>0</v>
      </c>
      <c r="AX757" s="123">
        <v>0</v>
      </c>
    </row>
    <row r="758" spans="1:50" ht="18.75" customHeight="1" x14ac:dyDescent="0.2">
      <c r="AA758" s="28" t="s">
        <v>288</v>
      </c>
      <c r="AB758" s="29" t="s">
        <v>566</v>
      </c>
      <c r="AC758" s="17"/>
      <c r="AD758" s="18"/>
      <c r="AE758" s="34"/>
      <c r="AF758" s="34"/>
      <c r="AG758" s="34"/>
      <c r="AH758" s="34"/>
      <c r="AI758" s="34"/>
      <c r="AJ758" s="18"/>
      <c r="AK758" s="18"/>
      <c r="AL758" s="18"/>
      <c r="AM758" s="18"/>
      <c r="AN758" s="18"/>
      <c r="AO758" s="18"/>
      <c r="AP758" s="110"/>
      <c r="AQ758" s="18"/>
      <c r="AR758" s="18"/>
      <c r="AS758" s="18"/>
      <c r="AT758" s="30"/>
      <c r="AU758" s="18"/>
      <c r="AV758" s="18"/>
      <c r="AW758" s="18"/>
      <c r="AX758" s="18"/>
    </row>
    <row r="759" spans="1:50" ht="18.75" customHeight="1" x14ac:dyDescent="0.2">
      <c r="A759" s="4" t="s">
        <v>55</v>
      </c>
      <c r="B759" s="4" t="s">
        <v>56</v>
      </c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1" t="s">
        <v>567</v>
      </c>
      <c r="AB759" s="42" t="s">
        <v>233</v>
      </c>
      <c r="AC759" s="43" t="s">
        <v>58</v>
      </c>
      <c r="AD759" s="43">
        <v>771000000</v>
      </c>
      <c r="AE759" s="44">
        <v>0</v>
      </c>
      <c r="AF759" s="44">
        <v>0</v>
      </c>
      <c r="AG759" s="43">
        <v>29000000</v>
      </c>
      <c r="AH759" s="44">
        <v>0</v>
      </c>
      <c r="AI759" s="43">
        <f>AE759-AF759+AG759-AH759</f>
        <v>29000000</v>
      </c>
      <c r="AJ759" s="43">
        <f>AD759+AI759</f>
        <v>800000000</v>
      </c>
      <c r="AK759" s="44">
        <v>0</v>
      </c>
      <c r="AL759" s="43">
        <v>39951525.649999999</v>
      </c>
      <c r="AM759" s="43">
        <v>617785899.21000004</v>
      </c>
      <c r="AN759" s="43">
        <v>0</v>
      </c>
      <c r="AO759" s="114">
        <v>14297142.65</v>
      </c>
      <c r="AP759" s="114">
        <v>592131516.21000004</v>
      </c>
      <c r="AQ759" s="43">
        <v>0</v>
      </c>
      <c r="AR759" s="43">
        <v>62397142.649999999</v>
      </c>
      <c r="AS759" s="43">
        <v>324268967.20999998</v>
      </c>
      <c r="AT759" s="39">
        <f t="shared" si="278"/>
        <v>324268967.20999998</v>
      </c>
      <c r="AU759" s="18">
        <f>AJ759-AM759</f>
        <v>182214100.78999996</v>
      </c>
      <c r="AV759" s="18">
        <f>AM759-AP759</f>
        <v>25654383</v>
      </c>
      <c r="AW759" s="18">
        <f>AP759-AT759</f>
        <v>267862549.00000006</v>
      </c>
      <c r="AX759" s="123">
        <f>AP759/AJ759</f>
        <v>0.7401643952625</v>
      </c>
    </row>
    <row r="760" spans="1:50" ht="18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1" t="s">
        <v>567</v>
      </c>
      <c r="AB760" s="42" t="s">
        <v>1015</v>
      </c>
      <c r="AC760" s="43"/>
      <c r="AD760" s="44">
        <v>0</v>
      </c>
      <c r="AE760" s="43">
        <v>883600000</v>
      </c>
      <c r="AF760" s="44">
        <v>0</v>
      </c>
      <c r="AG760" s="44">
        <v>0</v>
      </c>
      <c r="AH760" s="44">
        <v>0</v>
      </c>
      <c r="AI760" s="43">
        <f>AE760-AF760+AG760-AH760</f>
        <v>883600000</v>
      </c>
      <c r="AJ760" s="43">
        <f>AD760+AI760</f>
        <v>883600000</v>
      </c>
      <c r="AK760" s="44">
        <v>0</v>
      </c>
      <c r="AL760" s="44">
        <v>613633415</v>
      </c>
      <c r="AM760" s="44">
        <v>613633415</v>
      </c>
      <c r="AN760" s="43">
        <v>0</v>
      </c>
      <c r="AO760" s="115">
        <v>60000000</v>
      </c>
      <c r="AP760" s="115">
        <v>60000000</v>
      </c>
      <c r="AQ760" s="44">
        <v>0</v>
      </c>
      <c r="AR760" s="44">
        <v>0</v>
      </c>
      <c r="AS760" s="44">
        <v>0</v>
      </c>
      <c r="AT760" s="40">
        <f t="shared" si="278"/>
        <v>0</v>
      </c>
      <c r="AU760" s="18">
        <f>AJ760-AM760</f>
        <v>269966585</v>
      </c>
      <c r="AV760" s="18">
        <f>AM760-AP760</f>
        <v>553633415</v>
      </c>
      <c r="AW760" s="18">
        <f>AP760-AT760</f>
        <v>60000000</v>
      </c>
      <c r="AX760" s="123">
        <f>AP760/AJ760</f>
        <v>6.7904028972385691E-2</v>
      </c>
    </row>
    <row r="761" spans="1:50" ht="18.75" customHeight="1" x14ac:dyDescent="0.2">
      <c r="AA761" s="28" t="s">
        <v>288</v>
      </c>
      <c r="AB761" s="29" t="s">
        <v>568</v>
      </c>
      <c r="AC761" s="17"/>
      <c r="AD761" s="18"/>
      <c r="AE761" s="34"/>
      <c r="AF761" s="34"/>
      <c r="AG761" s="34"/>
      <c r="AH761" s="34"/>
      <c r="AI761" s="34"/>
      <c r="AJ761" s="18"/>
      <c r="AK761" s="34"/>
      <c r="AL761" s="18"/>
      <c r="AM761" s="18"/>
      <c r="AN761" s="18"/>
      <c r="AO761" s="110"/>
      <c r="AP761" s="110"/>
      <c r="AQ761" s="18"/>
      <c r="AR761" s="18"/>
      <c r="AS761" s="18"/>
      <c r="AT761" s="30"/>
      <c r="AU761" s="18"/>
      <c r="AV761" s="18"/>
      <c r="AW761" s="18"/>
      <c r="AX761" s="18"/>
    </row>
    <row r="762" spans="1:50" ht="18.75" customHeight="1" x14ac:dyDescent="0.2">
      <c r="A762" s="4" t="s">
        <v>55</v>
      </c>
      <c r="B762" s="4" t="s">
        <v>56</v>
      </c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1" t="s">
        <v>569</v>
      </c>
      <c r="AB762" s="42" t="s">
        <v>233</v>
      </c>
      <c r="AC762" s="43" t="s">
        <v>58</v>
      </c>
      <c r="AD762" s="43">
        <v>230000000</v>
      </c>
      <c r="AE762" s="44">
        <v>0</v>
      </c>
      <c r="AF762" s="44">
        <v>0</v>
      </c>
      <c r="AG762" s="44">
        <v>0</v>
      </c>
      <c r="AH762" s="44">
        <v>0</v>
      </c>
      <c r="AI762" s="44">
        <v>0</v>
      </c>
      <c r="AJ762" s="43">
        <v>230000000</v>
      </c>
      <c r="AK762" s="44">
        <v>0</v>
      </c>
      <c r="AL762" s="43">
        <v>-7900000</v>
      </c>
      <c r="AM762" s="43">
        <v>220831290</v>
      </c>
      <c r="AN762" s="44">
        <v>0</v>
      </c>
      <c r="AO762" s="114">
        <v>3100000</v>
      </c>
      <c r="AP762" s="114">
        <v>180831290</v>
      </c>
      <c r="AQ762" s="18">
        <v>0</v>
      </c>
      <c r="AR762" s="18">
        <v>22600000</v>
      </c>
      <c r="AS762" s="18">
        <v>96966667</v>
      </c>
      <c r="AT762" s="39">
        <f t="shared" si="278"/>
        <v>96966667</v>
      </c>
      <c r="AU762" s="18">
        <f>AJ762-AM762</f>
        <v>9168710</v>
      </c>
      <c r="AV762" s="18">
        <f>AM762-AP762</f>
        <v>40000000</v>
      </c>
      <c r="AW762" s="18">
        <f>AP762-AT762</f>
        <v>83864623</v>
      </c>
      <c r="AX762" s="123">
        <f>AP762/AJ762</f>
        <v>0.78622300000000001</v>
      </c>
    </row>
    <row r="763" spans="1:50" ht="18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1" t="s">
        <v>1099</v>
      </c>
      <c r="AB763" s="42" t="s">
        <v>1015</v>
      </c>
      <c r="AC763" s="43"/>
      <c r="AD763" s="44">
        <v>0</v>
      </c>
      <c r="AE763" s="43">
        <v>65000000</v>
      </c>
      <c r="AF763" s="44">
        <v>0</v>
      </c>
      <c r="AG763" s="43">
        <v>25000000</v>
      </c>
      <c r="AH763" s="44">
        <v>0</v>
      </c>
      <c r="AI763" s="43">
        <f>AE763-AF763+AG763-AH763</f>
        <v>90000000</v>
      </c>
      <c r="AJ763" s="43">
        <f>AD763+AI763</f>
        <v>90000000</v>
      </c>
      <c r="AK763" s="44">
        <v>0</v>
      </c>
      <c r="AL763" s="44">
        <v>0</v>
      </c>
      <c r="AM763" s="44">
        <v>0</v>
      </c>
      <c r="AN763" s="44">
        <v>0</v>
      </c>
      <c r="AO763" s="115">
        <v>0</v>
      </c>
      <c r="AP763" s="115">
        <v>0</v>
      </c>
      <c r="AQ763" s="34">
        <v>0</v>
      </c>
      <c r="AR763" s="34">
        <v>0</v>
      </c>
      <c r="AS763" s="34">
        <v>0</v>
      </c>
      <c r="AT763" s="39">
        <f t="shared" si="278"/>
        <v>0</v>
      </c>
      <c r="AU763" s="18">
        <f>AJ763-AM763</f>
        <v>90000000</v>
      </c>
      <c r="AV763" s="34">
        <f>AM763-AP763</f>
        <v>0</v>
      </c>
      <c r="AW763" s="133">
        <f>AP763-AT763</f>
        <v>0</v>
      </c>
      <c r="AX763" s="123">
        <f>AP763/AJ763</f>
        <v>0</v>
      </c>
    </row>
    <row r="764" spans="1:50" ht="18.75" customHeight="1" x14ac:dyDescent="0.2">
      <c r="AA764" s="28" t="s">
        <v>288</v>
      </c>
      <c r="AB764" s="29" t="s">
        <v>570</v>
      </c>
      <c r="AC764" s="17"/>
      <c r="AD764" s="18"/>
      <c r="AE764" s="34"/>
      <c r="AF764" s="34"/>
      <c r="AG764" s="34"/>
      <c r="AH764" s="34"/>
      <c r="AI764" s="34"/>
      <c r="AJ764" s="18"/>
      <c r="AK764" s="34"/>
      <c r="AL764" s="18"/>
      <c r="AM764" s="18"/>
      <c r="AN764" s="34"/>
      <c r="AO764" s="110"/>
      <c r="AP764" s="110"/>
      <c r="AQ764" s="18"/>
      <c r="AR764" s="18"/>
      <c r="AS764" s="18"/>
      <c r="AT764" s="39"/>
      <c r="AU764" s="18"/>
      <c r="AV764" s="18"/>
      <c r="AW764" s="18"/>
      <c r="AX764" s="18"/>
    </row>
    <row r="765" spans="1:50" ht="18.75" customHeight="1" x14ac:dyDescent="0.2">
      <c r="A765" s="4" t="s">
        <v>55</v>
      </c>
      <c r="B765" s="4" t="s">
        <v>56</v>
      </c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1" t="s">
        <v>571</v>
      </c>
      <c r="AB765" s="42" t="s">
        <v>233</v>
      </c>
      <c r="AC765" s="43" t="s">
        <v>58</v>
      </c>
      <c r="AD765" s="43">
        <v>300000000</v>
      </c>
      <c r="AE765" s="44">
        <v>0</v>
      </c>
      <c r="AF765" s="44">
        <v>0</v>
      </c>
      <c r="AG765" s="44">
        <v>0</v>
      </c>
      <c r="AH765" s="44">
        <v>0</v>
      </c>
      <c r="AI765" s="44">
        <v>0</v>
      </c>
      <c r="AJ765" s="43">
        <v>300000000</v>
      </c>
      <c r="AK765" s="44">
        <v>0</v>
      </c>
      <c r="AL765" s="43">
        <v>0</v>
      </c>
      <c r="AM765" s="43">
        <v>128999999</v>
      </c>
      <c r="AN765" s="44">
        <v>0</v>
      </c>
      <c r="AO765" s="114">
        <v>0</v>
      </c>
      <c r="AP765" s="114">
        <v>128999999</v>
      </c>
      <c r="AQ765" s="18">
        <v>5000000</v>
      </c>
      <c r="AR765" s="18">
        <v>14000000</v>
      </c>
      <c r="AS765" s="18">
        <v>80483332</v>
      </c>
      <c r="AT765" s="39">
        <f t="shared" ref="AT765" si="293">AQ765+AS765</f>
        <v>85483332</v>
      </c>
      <c r="AU765" s="18">
        <f>AJ765-AM765</f>
        <v>171000001</v>
      </c>
      <c r="AV765" s="133">
        <f>AM765-AP765</f>
        <v>0</v>
      </c>
      <c r="AW765" s="18">
        <f>AP765-AT765</f>
        <v>43516667</v>
      </c>
      <c r="AX765" s="123">
        <f>AP765/AJ765</f>
        <v>0.42999999666666666</v>
      </c>
    </row>
    <row r="766" spans="1:50" ht="18.75" customHeight="1" x14ac:dyDescent="0.2">
      <c r="AA766" s="28" t="s">
        <v>288</v>
      </c>
      <c r="AB766" s="29" t="s">
        <v>400</v>
      </c>
      <c r="AC766" s="17"/>
      <c r="AD766" s="18"/>
      <c r="AE766" s="34"/>
      <c r="AF766" s="34"/>
      <c r="AG766" s="34"/>
      <c r="AH766" s="34"/>
      <c r="AI766" s="34"/>
      <c r="AJ766" s="18"/>
      <c r="AK766" s="34"/>
      <c r="AL766" s="18"/>
      <c r="AM766" s="18"/>
      <c r="AN766" s="34"/>
      <c r="AO766" s="110"/>
      <c r="AP766" s="110"/>
      <c r="AQ766" s="18"/>
      <c r="AR766" s="18"/>
      <c r="AS766" s="18"/>
      <c r="AT766" s="39"/>
      <c r="AU766" s="18"/>
      <c r="AV766" s="110"/>
      <c r="AW766" s="18"/>
      <c r="AX766" s="18"/>
    </row>
    <row r="767" spans="1:50" ht="18.75" customHeight="1" x14ac:dyDescent="0.2">
      <c r="A767" s="4" t="s">
        <v>55</v>
      </c>
      <c r="B767" s="4" t="s">
        <v>56</v>
      </c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1" t="s">
        <v>425</v>
      </c>
      <c r="AB767" s="42" t="s">
        <v>233</v>
      </c>
      <c r="AC767" s="43" t="s">
        <v>58</v>
      </c>
      <c r="AD767" s="43">
        <v>440000000</v>
      </c>
      <c r="AE767" s="44">
        <v>0</v>
      </c>
      <c r="AF767" s="44">
        <v>0</v>
      </c>
      <c r="AG767" s="43">
        <f>42000000+12000000</f>
        <v>54000000</v>
      </c>
      <c r="AH767" s="44">
        <v>0</v>
      </c>
      <c r="AI767" s="43">
        <f>AE767-AF767+AG767-AH767</f>
        <v>54000000</v>
      </c>
      <c r="AJ767" s="43">
        <f>AD767+AI767</f>
        <v>494000000</v>
      </c>
      <c r="AK767" s="44">
        <v>0</v>
      </c>
      <c r="AL767" s="43">
        <v>-5000000</v>
      </c>
      <c r="AM767" s="43">
        <v>427900001</v>
      </c>
      <c r="AN767" s="44">
        <v>0</v>
      </c>
      <c r="AO767" s="114">
        <v>-5000000</v>
      </c>
      <c r="AP767" s="114">
        <v>427900001</v>
      </c>
      <c r="AQ767" s="18">
        <v>6000000</v>
      </c>
      <c r="AR767" s="18">
        <v>52766666</v>
      </c>
      <c r="AS767" s="18">
        <v>209016667</v>
      </c>
      <c r="AT767" s="39">
        <f t="shared" ref="AT767:AT768" si="294">AQ767+AS767</f>
        <v>215016667</v>
      </c>
      <c r="AU767" s="18">
        <f>AJ767-AM767</f>
        <v>66099999</v>
      </c>
      <c r="AV767" s="133">
        <f>AM767-AP767</f>
        <v>0</v>
      </c>
      <c r="AW767" s="18">
        <f>AP767-AT767</f>
        <v>212883334</v>
      </c>
      <c r="AX767" s="123">
        <f>AP767/AJ767</f>
        <v>0.8661943340080972</v>
      </c>
    </row>
    <row r="768" spans="1:50" ht="18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1" t="s">
        <v>1256</v>
      </c>
      <c r="AB768" s="42" t="s">
        <v>1015</v>
      </c>
      <c r="AC768" s="43"/>
      <c r="AD768" s="44">
        <v>0</v>
      </c>
      <c r="AE768" s="44">
        <v>0</v>
      </c>
      <c r="AF768" s="44">
        <v>0</v>
      </c>
      <c r="AG768" s="43">
        <v>120000000</v>
      </c>
      <c r="AH768" s="44">
        <v>0</v>
      </c>
      <c r="AI768" s="43">
        <f>AE768-AF768+AG768-AH768</f>
        <v>120000000</v>
      </c>
      <c r="AJ768" s="43">
        <f>AD768+AI768</f>
        <v>120000000</v>
      </c>
      <c r="AK768" s="43">
        <v>0</v>
      </c>
      <c r="AL768" s="43">
        <v>42000000</v>
      </c>
      <c r="AM768" s="43">
        <v>42000000</v>
      </c>
      <c r="AN768" s="43">
        <v>0</v>
      </c>
      <c r="AO768" s="43">
        <v>0</v>
      </c>
      <c r="AP768" s="43">
        <v>0</v>
      </c>
      <c r="AQ768" s="18">
        <v>0</v>
      </c>
      <c r="AR768" s="18">
        <v>0</v>
      </c>
      <c r="AS768" s="18">
        <v>0</v>
      </c>
      <c r="AT768" s="40">
        <f t="shared" si="294"/>
        <v>0</v>
      </c>
      <c r="AU768" s="18">
        <f>AJ768-AM768</f>
        <v>78000000</v>
      </c>
      <c r="AV768" s="18">
        <f>AM768-AP768</f>
        <v>42000000</v>
      </c>
      <c r="AW768" s="34">
        <f>AP768-AT768</f>
        <v>0</v>
      </c>
      <c r="AX768" s="123">
        <f>AP768/AJ768</f>
        <v>0</v>
      </c>
    </row>
    <row r="769" spans="1:50" ht="18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73" t="s">
        <v>1016</v>
      </c>
      <c r="AB769" s="74" t="s">
        <v>1068</v>
      </c>
      <c r="AC769" s="43"/>
      <c r="AD769" s="43"/>
      <c r="AE769" s="44"/>
      <c r="AF769" s="44"/>
      <c r="AG769" s="43"/>
      <c r="AH769" s="44"/>
      <c r="AI769" s="43"/>
      <c r="AJ769" s="43"/>
      <c r="AK769" s="44"/>
      <c r="AL769" s="43"/>
      <c r="AM769" s="43"/>
      <c r="AN769" s="44"/>
      <c r="AO769" s="115"/>
      <c r="AP769" s="115"/>
      <c r="AQ769" s="34"/>
      <c r="AR769" s="34"/>
      <c r="AS769" s="34"/>
      <c r="AT769" s="40"/>
      <c r="AU769" s="18"/>
      <c r="AV769" s="133"/>
      <c r="AW769" s="18"/>
      <c r="AX769" s="123"/>
    </row>
    <row r="770" spans="1:50" ht="18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73" t="s">
        <v>1017</v>
      </c>
      <c r="AB770" s="74" t="s">
        <v>1069</v>
      </c>
      <c r="AC770" s="43"/>
      <c r="AD770" s="43"/>
      <c r="AE770" s="44"/>
      <c r="AF770" s="44"/>
      <c r="AG770" s="43"/>
      <c r="AH770" s="44"/>
      <c r="AI770" s="43"/>
      <c r="AJ770" s="43"/>
      <c r="AK770" s="44"/>
      <c r="AL770" s="43"/>
      <c r="AM770" s="43"/>
      <c r="AN770" s="44"/>
      <c r="AO770" s="115"/>
      <c r="AP770" s="115"/>
      <c r="AQ770" s="34"/>
      <c r="AR770" s="34"/>
      <c r="AS770" s="34"/>
      <c r="AT770" s="40"/>
      <c r="AU770" s="18"/>
      <c r="AV770" s="133"/>
      <c r="AW770" s="18"/>
      <c r="AX770" s="123"/>
    </row>
    <row r="771" spans="1:50" ht="18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73" t="s">
        <v>1018</v>
      </c>
      <c r="AB771" s="74" t="s">
        <v>286</v>
      </c>
      <c r="AC771" s="43"/>
      <c r="AD771" s="43"/>
      <c r="AE771" s="44"/>
      <c r="AF771" s="44"/>
      <c r="AG771" s="43"/>
      <c r="AH771" s="44"/>
      <c r="AI771" s="43"/>
      <c r="AJ771" s="43"/>
      <c r="AK771" s="44"/>
      <c r="AL771" s="43"/>
      <c r="AM771" s="43"/>
      <c r="AN771" s="44"/>
      <c r="AO771" s="115"/>
      <c r="AP771" s="115"/>
      <c r="AQ771" s="34"/>
      <c r="AR771" s="34"/>
      <c r="AS771" s="34"/>
      <c r="AT771" s="40"/>
      <c r="AU771" s="18"/>
      <c r="AV771" s="133"/>
      <c r="AW771" s="18"/>
      <c r="AX771" s="123"/>
    </row>
    <row r="772" spans="1:50" ht="18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73" t="s">
        <v>1021</v>
      </c>
      <c r="AB772" s="74" t="s">
        <v>1070</v>
      </c>
      <c r="AC772" s="43"/>
      <c r="AD772" s="43"/>
      <c r="AE772" s="44"/>
      <c r="AF772" s="44"/>
      <c r="AG772" s="43"/>
      <c r="AH772" s="44"/>
      <c r="AI772" s="43"/>
      <c r="AJ772" s="43"/>
      <c r="AK772" s="44"/>
      <c r="AL772" s="43"/>
      <c r="AM772" s="43"/>
      <c r="AN772" s="44"/>
      <c r="AO772" s="115"/>
      <c r="AP772" s="115"/>
      <c r="AQ772" s="34"/>
      <c r="AR772" s="34"/>
      <c r="AS772" s="34"/>
      <c r="AT772" s="40"/>
      <c r="AU772" s="18"/>
      <c r="AV772" s="133"/>
      <c r="AW772" s="18"/>
      <c r="AX772" s="123"/>
    </row>
    <row r="773" spans="1:50" ht="18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1" t="s">
        <v>1019</v>
      </c>
      <c r="AB773" s="42" t="s">
        <v>1005</v>
      </c>
      <c r="AC773" s="43"/>
      <c r="AD773" s="44">
        <v>0</v>
      </c>
      <c r="AE773" s="43">
        <v>4577320</v>
      </c>
      <c r="AF773" s="44">
        <v>0</v>
      </c>
      <c r="AG773" s="44">
        <v>0</v>
      </c>
      <c r="AH773" s="44">
        <v>0</v>
      </c>
      <c r="AI773" s="43">
        <f>AE773-AF773+AG773-AH773</f>
        <v>4577320</v>
      </c>
      <c r="AJ773" s="43">
        <f>AD773+AI773</f>
        <v>4577320</v>
      </c>
      <c r="AK773" s="44">
        <v>0</v>
      </c>
      <c r="AL773" s="44">
        <v>0</v>
      </c>
      <c r="AM773" s="44">
        <v>0</v>
      </c>
      <c r="AN773" s="44">
        <v>0</v>
      </c>
      <c r="AO773" s="115">
        <v>0</v>
      </c>
      <c r="AP773" s="115">
        <v>0</v>
      </c>
      <c r="AQ773" s="34">
        <v>0</v>
      </c>
      <c r="AR773" s="34">
        <v>0</v>
      </c>
      <c r="AS773" s="34">
        <v>0</v>
      </c>
      <c r="AT773" s="40">
        <f t="shared" ref="AT773" si="295">AQ773+AS773</f>
        <v>0</v>
      </c>
      <c r="AU773" s="18">
        <f>AJ773-AM773</f>
        <v>4577320</v>
      </c>
      <c r="AV773" s="34">
        <f>AM773-AP773</f>
        <v>0</v>
      </c>
      <c r="AW773" s="133">
        <f>AP773-AT773</f>
        <v>0</v>
      </c>
      <c r="AX773" s="123">
        <f>AP773/AJ773</f>
        <v>0</v>
      </c>
    </row>
    <row r="774" spans="1:50" s="50" customFormat="1" ht="18.75" customHeight="1" x14ac:dyDescent="0.2"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46"/>
      <c r="AB774" s="47" t="s">
        <v>572</v>
      </c>
      <c r="AC774" s="47"/>
      <c r="AD774" s="48">
        <f t="shared" ref="AD774:AW774" si="296">SUM(AD698:AD773)</f>
        <v>13989429350</v>
      </c>
      <c r="AE774" s="48">
        <f t="shared" si="296"/>
        <v>3812553585.4200001</v>
      </c>
      <c r="AF774" s="49">
        <f t="shared" si="296"/>
        <v>0</v>
      </c>
      <c r="AG774" s="48">
        <f>SUM(AG698:AG773)</f>
        <v>2959000000</v>
      </c>
      <c r="AH774" s="48">
        <f t="shared" si="296"/>
        <v>1315000000</v>
      </c>
      <c r="AI774" s="48">
        <f t="shared" si="296"/>
        <v>5456553585.4200001</v>
      </c>
      <c r="AJ774" s="48">
        <f t="shared" si="296"/>
        <v>19445982935.419998</v>
      </c>
      <c r="AK774" s="49">
        <f t="shared" si="296"/>
        <v>0</v>
      </c>
      <c r="AL774" s="48">
        <f t="shared" si="296"/>
        <v>1001656546.1</v>
      </c>
      <c r="AM774" s="48">
        <f t="shared" si="296"/>
        <v>13366808090.689999</v>
      </c>
      <c r="AN774" s="48">
        <f t="shared" si="296"/>
        <v>0</v>
      </c>
      <c r="AO774" s="48">
        <f t="shared" si="296"/>
        <v>323341786</v>
      </c>
      <c r="AP774" s="48">
        <f t="shared" si="296"/>
        <v>11860577601.689999</v>
      </c>
      <c r="AQ774" s="48">
        <f t="shared" si="296"/>
        <v>21300000</v>
      </c>
      <c r="AR774" s="48">
        <f t="shared" si="296"/>
        <v>1152389888</v>
      </c>
      <c r="AS774" s="48">
        <f t="shared" si="296"/>
        <v>4069980568.5900002</v>
      </c>
      <c r="AT774" s="48">
        <f t="shared" si="296"/>
        <v>4091280568.5900002</v>
      </c>
      <c r="AU774" s="48">
        <f t="shared" si="296"/>
        <v>6079174844.7299995</v>
      </c>
      <c r="AV774" s="48">
        <f t="shared" si="296"/>
        <v>1506230489</v>
      </c>
      <c r="AW774" s="48">
        <f t="shared" si="296"/>
        <v>7769297033.1000004</v>
      </c>
      <c r="AX774" s="24">
        <f>AP774/AJ774</f>
        <v>0.60992430370215334</v>
      </c>
    </row>
    <row r="775" spans="1:50" ht="18.75" customHeight="1" x14ac:dyDescent="0.2">
      <c r="AA775" s="16"/>
      <c r="AB775" s="17"/>
      <c r="AC775" s="17"/>
      <c r="AD775" s="18"/>
      <c r="AE775" s="34"/>
      <c r="AF775" s="34"/>
      <c r="AG775" s="34"/>
      <c r="AH775" s="34"/>
      <c r="AI775" s="34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</row>
    <row r="776" spans="1:50" s="25" customFormat="1" ht="18.75" customHeight="1" x14ac:dyDescent="0.2"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66"/>
      <c r="AB776" s="21" t="s">
        <v>573</v>
      </c>
      <c r="AC776" s="67"/>
      <c r="AD776" s="63"/>
      <c r="AE776" s="72"/>
      <c r="AF776" s="72"/>
      <c r="AG776" s="72"/>
      <c r="AH776" s="72"/>
      <c r="AI776" s="72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</row>
    <row r="777" spans="1:50" ht="18.75" customHeight="1" x14ac:dyDescent="0.2">
      <c r="AA777" s="16"/>
      <c r="AB777" s="29" t="s">
        <v>286</v>
      </c>
      <c r="AC777" s="17"/>
      <c r="AD777" s="18"/>
      <c r="AE777" s="34"/>
      <c r="AF777" s="34"/>
      <c r="AG777" s="34"/>
      <c r="AH777" s="34"/>
      <c r="AI777" s="34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</row>
    <row r="778" spans="1:50" ht="18.75" customHeight="1" x14ac:dyDescent="0.2">
      <c r="AA778" s="16"/>
      <c r="AB778" s="29" t="s">
        <v>574</v>
      </c>
      <c r="AC778" s="17"/>
      <c r="AD778" s="18"/>
      <c r="AE778" s="34"/>
      <c r="AF778" s="34"/>
      <c r="AG778" s="34"/>
      <c r="AH778" s="34"/>
      <c r="AI778" s="34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</row>
    <row r="779" spans="1:50" ht="18.75" customHeight="1" x14ac:dyDescent="0.2">
      <c r="AA779" s="16"/>
      <c r="AB779" s="29" t="s">
        <v>575</v>
      </c>
      <c r="AC779" s="17"/>
      <c r="AD779" s="18"/>
      <c r="AE779" s="34"/>
      <c r="AF779" s="34"/>
      <c r="AG779" s="34"/>
      <c r="AH779" s="34"/>
      <c r="AI779" s="34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</row>
    <row r="780" spans="1:50" ht="18.75" customHeight="1" x14ac:dyDescent="0.2">
      <c r="AA780" s="16"/>
      <c r="AB780" s="29" t="s">
        <v>576</v>
      </c>
      <c r="AC780" s="17"/>
      <c r="AD780" s="18"/>
      <c r="AE780" s="34"/>
      <c r="AF780" s="34"/>
      <c r="AG780" s="34"/>
      <c r="AH780" s="34"/>
      <c r="AI780" s="34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</row>
    <row r="781" spans="1:50" x14ac:dyDescent="0.2">
      <c r="AA781" s="16"/>
      <c r="AB781" s="29" t="s">
        <v>577</v>
      </c>
      <c r="AC781" s="17"/>
      <c r="AD781" s="18"/>
      <c r="AE781" s="34"/>
      <c r="AF781" s="34"/>
      <c r="AG781" s="34"/>
      <c r="AH781" s="34"/>
      <c r="AI781" s="34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</row>
    <row r="782" spans="1:50" ht="25.5" x14ac:dyDescent="0.2">
      <c r="AA782" s="16"/>
      <c r="AB782" s="29" t="s">
        <v>578</v>
      </c>
      <c r="AC782" s="17"/>
      <c r="AD782" s="18"/>
      <c r="AE782" s="34"/>
      <c r="AF782" s="34"/>
      <c r="AG782" s="34"/>
      <c r="AH782" s="34"/>
      <c r="AI782" s="34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30"/>
      <c r="AU782" s="18"/>
      <c r="AV782" s="18"/>
      <c r="AW782" s="18"/>
      <c r="AX782" s="18"/>
    </row>
    <row r="783" spans="1:50" ht="25.5" x14ac:dyDescent="0.2">
      <c r="AA783" s="16"/>
      <c r="AB783" s="29" t="s">
        <v>579</v>
      </c>
      <c r="AC783" s="17"/>
      <c r="AD783" s="18"/>
      <c r="AE783" s="34"/>
      <c r="AF783" s="34"/>
      <c r="AG783" s="34"/>
      <c r="AH783" s="34"/>
      <c r="AI783" s="34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30"/>
      <c r="AU783" s="18"/>
      <c r="AV783" s="18"/>
      <c r="AW783" s="18"/>
      <c r="AX783" s="18"/>
    </row>
    <row r="784" spans="1:50" x14ac:dyDescent="0.2">
      <c r="A784" s="4" t="s">
        <v>55</v>
      </c>
      <c r="B784" s="4" t="s">
        <v>56</v>
      </c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1" t="s">
        <v>580</v>
      </c>
      <c r="AB784" s="42" t="s">
        <v>233</v>
      </c>
      <c r="AC784" s="43" t="s">
        <v>58</v>
      </c>
      <c r="AD784" s="43">
        <v>50000000</v>
      </c>
      <c r="AE784" s="44">
        <v>0</v>
      </c>
      <c r="AF784" s="44">
        <v>0</v>
      </c>
      <c r="AG784" s="44">
        <v>0</v>
      </c>
      <c r="AH784" s="44">
        <v>0</v>
      </c>
      <c r="AI784" s="44">
        <v>0</v>
      </c>
      <c r="AJ784" s="43">
        <v>50000000</v>
      </c>
      <c r="AK784" s="44">
        <v>0</v>
      </c>
      <c r="AL784" s="44">
        <v>0</v>
      </c>
      <c r="AM784" s="44">
        <v>0</v>
      </c>
      <c r="AN784" s="44">
        <v>0</v>
      </c>
      <c r="AO784" s="44">
        <v>0</v>
      </c>
      <c r="AP784" s="44">
        <v>0</v>
      </c>
      <c r="AQ784" s="34">
        <v>0</v>
      </c>
      <c r="AR784" s="34">
        <v>0</v>
      </c>
      <c r="AS784" s="34">
        <v>0</v>
      </c>
      <c r="AT784" s="40">
        <f t="shared" ref="AT784:AT846" si="297">AQ784+AS784</f>
        <v>0</v>
      </c>
      <c r="AU784" s="18">
        <f>AJ784-AM784</f>
        <v>50000000</v>
      </c>
      <c r="AV784" s="133">
        <f>AM784-AP784</f>
        <v>0</v>
      </c>
      <c r="AW784" s="34">
        <f>AP784-AT784</f>
        <v>0</v>
      </c>
      <c r="AX784" s="123">
        <f>AP784/AJ784</f>
        <v>0</v>
      </c>
    </row>
    <row r="785" spans="1:50" ht="38.25" x14ac:dyDescent="0.2">
      <c r="AA785" s="28" t="s">
        <v>288</v>
      </c>
      <c r="AB785" s="29" t="s">
        <v>581</v>
      </c>
      <c r="AC785" s="17"/>
      <c r="AD785" s="18"/>
      <c r="AE785" s="18"/>
      <c r="AF785" s="18"/>
      <c r="AG785" s="18"/>
      <c r="AH785" s="18"/>
      <c r="AI785" s="18"/>
      <c r="AJ785" s="18"/>
      <c r="AK785" s="34"/>
      <c r="AL785" s="34"/>
      <c r="AM785" s="34"/>
      <c r="AN785" s="34"/>
      <c r="AO785" s="34"/>
      <c r="AP785" s="34"/>
      <c r="AQ785" s="34"/>
      <c r="AR785" s="34"/>
      <c r="AS785" s="34"/>
      <c r="AT785" s="40"/>
      <c r="AU785" s="18"/>
      <c r="AV785" s="34"/>
      <c r="AW785" s="34"/>
      <c r="AX785" s="18"/>
    </row>
    <row r="786" spans="1:50" x14ac:dyDescent="0.2">
      <c r="A786" s="4" t="s">
        <v>55</v>
      </c>
      <c r="B786" s="4" t="s">
        <v>56</v>
      </c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1" t="s">
        <v>582</v>
      </c>
      <c r="AB786" s="42" t="s">
        <v>233</v>
      </c>
      <c r="AC786" s="43" t="s">
        <v>58</v>
      </c>
      <c r="AD786" s="43">
        <v>75000000</v>
      </c>
      <c r="AE786" s="44">
        <v>0</v>
      </c>
      <c r="AF786" s="44">
        <v>0</v>
      </c>
      <c r="AG786" s="44">
        <v>0</v>
      </c>
      <c r="AH786" s="43">
        <v>75000000</v>
      </c>
      <c r="AI786" s="43">
        <f>AE786-AF786+AG786-AH786</f>
        <v>-75000000</v>
      </c>
      <c r="AJ786" s="44">
        <f>AD786+AI786</f>
        <v>0</v>
      </c>
      <c r="AK786" s="44">
        <v>0</v>
      </c>
      <c r="AL786" s="44">
        <v>0</v>
      </c>
      <c r="AM786" s="44">
        <v>0</v>
      </c>
      <c r="AN786" s="44">
        <v>0</v>
      </c>
      <c r="AO786" s="44">
        <v>0</v>
      </c>
      <c r="AP786" s="44">
        <v>0</v>
      </c>
      <c r="AQ786" s="34">
        <v>0</v>
      </c>
      <c r="AR786" s="34">
        <v>0</v>
      </c>
      <c r="AS786" s="34">
        <v>0</v>
      </c>
      <c r="AT786" s="40">
        <f t="shared" ref="AT786" si="298">AQ786+AS786</f>
        <v>0</v>
      </c>
      <c r="AU786" s="34">
        <f>AJ786-AM786</f>
        <v>0</v>
      </c>
      <c r="AV786" s="133">
        <f>AM786-AP786</f>
        <v>0</v>
      </c>
      <c r="AW786" s="34">
        <f>AP786-AT786</f>
        <v>0</v>
      </c>
      <c r="AX786" s="123">
        <v>0</v>
      </c>
    </row>
    <row r="787" spans="1:50" ht="25.5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73" t="s">
        <v>288</v>
      </c>
      <c r="AB787" s="74" t="s">
        <v>910</v>
      </c>
      <c r="AC787" s="43"/>
      <c r="AD787" s="43"/>
      <c r="AE787" s="44"/>
      <c r="AF787" s="44"/>
      <c r="AH787" s="43"/>
      <c r="AK787" s="44"/>
      <c r="AL787" s="44"/>
      <c r="AM787" s="44"/>
      <c r="AN787" s="44"/>
      <c r="AO787" s="44"/>
      <c r="AP787" s="44"/>
      <c r="AQ787" s="34"/>
      <c r="AR787" s="34"/>
      <c r="AS787" s="34"/>
      <c r="AT787" s="40"/>
      <c r="AU787" s="43"/>
      <c r="AV787" s="44"/>
      <c r="AW787" s="44"/>
      <c r="AX787" s="32"/>
    </row>
    <row r="788" spans="1:50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1" t="s">
        <v>911</v>
      </c>
      <c r="AB788" s="42" t="s">
        <v>233</v>
      </c>
      <c r="AC788" s="43"/>
      <c r="AD788" s="44">
        <v>0</v>
      </c>
      <c r="AE788" s="44">
        <v>0</v>
      </c>
      <c r="AF788" s="44">
        <v>0</v>
      </c>
      <c r="AG788" s="43">
        <f>31295090+46856431.35</f>
        <v>78151521.349999994</v>
      </c>
      <c r="AH788" s="44">
        <v>0</v>
      </c>
      <c r="AI788" s="43">
        <f>AE787-AF787+AG788-AH787</f>
        <v>78151521.349999994</v>
      </c>
      <c r="AJ788" s="43">
        <f>AD787+AI788</f>
        <v>78151521.349999994</v>
      </c>
      <c r="AK788" s="44">
        <v>0</v>
      </c>
      <c r="AL788" s="44">
        <v>0</v>
      </c>
      <c r="AM788" s="44">
        <v>0</v>
      </c>
      <c r="AN788" s="44">
        <v>0</v>
      </c>
      <c r="AO788" s="44">
        <v>0</v>
      </c>
      <c r="AP788" s="44">
        <v>0</v>
      </c>
      <c r="AQ788" s="34">
        <v>0</v>
      </c>
      <c r="AR788" s="34">
        <v>0</v>
      </c>
      <c r="AS788" s="34">
        <v>0</v>
      </c>
      <c r="AT788" s="40">
        <f t="shared" ref="AT788" si="299">AQ788+AS788</f>
        <v>0</v>
      </c>
      <c r="AU788" s="18">
        <f>AJ788-AM788</f>
        <v>78151521.349999994</v>
      </c>
      <c r="AV788" s="133">
        <f>AM788-AP788</f>
        <v>0</v>
      </c>
      <c r="AW788" s="34">
        <f>AP788-AT788</f>
        <v>0</v>
      </c>
      <c r="AX788" s="123">
        <f>AP788/AJ788</f>
        <v>0</v>
      </c>
    </row>
    <row r="789" spans="1:50" x14ac:dyDescent="0.2">
      <c r="AA789" s="16"/>
      <c r="AB789" s="17"/>
      <c r="AC789" s="17"/>
      <c r="AD789" s="18"/>
      <c r="AE789" s="34"/>
      <c r="AF789" s="34"/>
      <c r="AG789" s="34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30"/>
      <c r="AU789" s="18"/>
      <c r="AV789" s="18"/>
      <c r="AW789" s="18"/>
      <c r="AX789" s="18"/>
    </row>
    <row r="790" spans="1:50" x14ac:dyDescent="0.2">
      <c r="AA790" s="16"/>
      <c r="AB790" s="29" t="s">
        <v>179</v>
      </c>
      <c r="AC790" s="17"/>
      <c r="AD790" s="18"/>
      <c r="AE790" s="34"/>
      <c r="AF790" s="34"/>
      <c r="AG790" s="34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30"/>
      <c r="AU790" s="18"/>
      <c r="AV790" s="18"/>
      <c r="AW790" s="18"/>
      <c r="AX790" s="18"/>
    </row>
    <row r="791" spans="1:50" x14ac:dyDescent="0.2">
      <c r="AA791" s="16"/>
      <c r="AB791" s="29" t="s">
        <v>181</v>
      </c>
      <c r="AC791" s="17"/>
      <c r="AD791" s="18"/>
      <c r="AE791" s="34"/>
      <c r="AF791" s="34"/>
      <c r="AG791" s="34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30"/>
      <c r="AU791" s="18"/>
      <c r="AV791" s="18"/>
      <c r="AW791" s="18"/>
      <c r="AX791" s="18"/>
    </row>
    <row r="792" spans="1:50" ht="25.5" x14ac:dyDescent="0.2">
      <c r="AA792" s="16"/>
      <c r="AB792" s="29" t="s">
        <v>185</v>
      </c>
      <c r="AC792" s="17"/>
      <c r="AD792" s="18"/>
      <c r="AE792" s="34"/>
      <c r="AF792" s="34"/>
      <c r="AG792" s="34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30"/>
      <c r="AU792" s="18"/>
      <c r="AV792" s="18"/>
      <c r="AW792" s="18"/>
      <c r="AX792" s="18"/>
    </row>
    <row r="793" spans="1:50" ht="25.5" x14ac:dyDescent="0.2">
      <c r="AA793" s="28" t="s">
        <v>288</v>
      </c>
      <c r="AB793" s="29" t="s">
        <v>583</v>
      </c>
      <c r="AC793" s="17"/>
      <c r="AD793" s="18"/>
      <c r="AE793" s="34"/>
      <c r="AF793" s="34"/>
      <c r="AG793" s="34"/>
      <c r="AH793" s="18"/>
      <c r="AI793" s="18"/>
      <c r="AJ793" s="18"/>
      <c r="AK793" s="34"/>
      <c r="AL793" s="34"/>
      <c r="AM793" s="34"/>
      <c r="AN793" s="34"/>
      <c r="AO793" s="34"/>
      <c r="AP793" s="34"/>
      <c r="AQ793" s="18"/>
      <c r="AR793" s="18"/>
      <c r="AS793" s="18"/>
      <c r="AT793" s="30"/>
      <c r="AU793" s="18"/>
      <c r="AV793" s="18"/>
      <c r="AW793" s="18"/>
      <c r="AX793" s="18"/>
    </row>
    <row r="794" spans="1:50" x14ac:dyDescent="0.2">
      <c r="A794" s="4" t="s">
        <v>55</v>
      </c>
      <c r="B794" s="4" t="s">
        <v>56</v>
      </c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1" t="s">
        <v>584</v>
      </c>
      <c r="AB794" s="42" t="s">
        <v>233</v>
      </c>
      <c r="AC794" s="43" t="s">
        <v>58</v>
      </c>
      <c r="AD794" s="43">
        <v>50000000</v>
      </c>
      <c r="AE794" s="44">
        <v>0</v>
      </c>
      <c r="AF794" s="44">
        <v>0</v>
      </c>
      <c r="AG794" s="44">
        <v>0</v>
      </c>
      <c r="AH794" s="44">
        <v>0</v>
      </c>
      <c r="AI794" s="44">
        <v>0</v>
      </c>
      <c r="AJ794" s="43">
        <v>50000000</v>
      </c>
      <c r="AK794" s="44">
        <v>0</v>
      </c>
      <c r="AL794" s="43">
        <f>AM794-JUNIO!AM787</f>
        <v>0</v>
      </c>
      <c r="AM794" s="43">
        <v>43169856.109999999</v>
      </c>
      <c r="AN794" s="43">
        <v>0</v>
      </c>
      <c r="AO794" s="44">
        <v>0</v>
      </c>
      <c r="AP794" s="43">
        <v>43169856.109999999</v>
      </c>
      <c r="AQ794" s="44">
        <v>0</v>
      </c>
      <c r="AR794" s="44">
        <v>0</v>
      </c>
      <c r="AS794" s="44">
        <v>0</v>
      </c>
      <c r="AT794" s="40">
        <f t="shared" si="297"/>
        <v>0</v>
      </c>
      <c r="AU794" s="18">
        <f>AJ794-AM794</f>
        <v>6830143.8900000006</v>
      </c>
      <c r="AV794" s="34">
        <f>AM794-AP794</f>
        <v>0</v>
      </c>
      <c r="AW794" s="18">
        <f>AP794-AT794</f>
        <v>43169856.109999999</v>
      </c>
      <c r="AX794" s="123">
        <f>AP794/AJ794</f>
        <v>0.86339712219999998</v>
      </c>
    </row>
    <row r="795" spans="1:50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1"/>
      <c r="AB795" s="42"/>
      <c r="AC795" s="43"/>
      <c r="AD795" s="43"/>
      <c r="AE795" s="44"/>
      <c r="AF795" s="44"/>
      <c r="AG795" s="44"/>
      <c r="AH795" s="44"/>
      <c r="AI795" s="44"/>
      <c r="AJ795" s="43"/>
      <c r="AK795" s="44"/>
      <c r="AL795" s="44"/>
      <c r="AM795" s="43"/>
      <c r="AN795" s="43"/>
      <c r="AO795" s="44"/>
      <c r="AP795" s="43"/>
      <c r="AQ795" s="44"/>
      <c r="AR795" s="44"/>
      <c r="AS795" s="44"/>
      <c r="AT795" s="40"/>
      <c r="AU795" s="18"/>
      <c r="AV795" s="34"/>
      <c r="AW795" s="18"/>
      <c r="AX795" s="123"/>
    </row>
    <row r="796" spans="1:50" ht="25.5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73" t="s">
        <v>288</v>
      </c>
      <c r="AB796" s="74" t="s">
        <v>1241</v>
      </c>
      <c r="AC796" s="43"/>
      <c r="AD796" s="43"/>
      <c r="AE796" s="44"/>
      <c r="AF796" s="44"/>
      <c r="AG796" s="44"/>
      <c r="AH796" s="44"/>
      <c r="AI796" s="44"/>
      <c r="AJ796" s="43"/>
      <c r="AK796" s="44"/>
      <c r="AL796" s="44"/>
      <c r="AM796" s="43"/>
      <c r="AN796" s="43"/>
      <c r="AO796" s="44"/>
      <c r="AP796" s="43"/>
      <c r="AQ796" s="44"/>
      <c r="AR796" s="44"/>
      <c r="AS796" s="44"/>
      <c r="AT796" s="40"/>
      <c r="AU796" s="18"/>
      <c r="AV796" s="34"/>
      <c r="AW796" s="18"/>
      <c r="AX796" s="123"/>
    </row>
    <row r="797" spans="1:50" ht="25.5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1" t="s">
        <v>1242</v>
      </c>
      <c r="AB797" s="42" t="s">
        <v>1243</v>
      </c>
      <c r="AC797" s="43"/>
      <c r="AD797" s="44">
        <v>0</v>
      </c>
      <c r="AE797" s="44">
        <v>0</v>
      </c>
      <c r="AF797" s="44">
        <v>0</v>
      </c>
      <c r="AG797" s="43">
        <v>2905817258</v>
      </c>
      <c r="AH797" s="44">
        <v>0</v>
      </c>
      <c r="AI797" s="43">
        <f>AE796-AF796+AG797-AH796</f>
        <v>2905817258</v>
      </c>
      <c r="AJ797" s="43">
        <f>AD796+AI797</f>
        <v>2905817258</v>
      </c>
      <c r="AK797" s="44">
        <v>0</v>
      </c>
      <c r="AL797" s="44">
        <v>0</v>
      </c>
      <c r="AM797" s="44">
        <v>0</v>
      </c>
      <c r="AN797" s="44">
        <v>0</v>
      </c>
      <c r="AO797" s="44">
        <v>0</v>
      </c>
      <c r="AP797" s="44">
        <v>0</v>
      </c>
      <c r="AQ797" s="44">
        <v>0</v>
      </c>
      <c r="AR797" s="44">
        <v>0</v>
      </c>
      <c r="AS797" s="44">
        <v>0</v>
      </c>
      <c r="AT797" s="40">
        <f t="shared" ref="AT797:AT798" si="300">AQ797+AS797</f>
        <v>0</v>
      </c>
      <c r="AU797" s="18">
        <f t="shared" ref="AU797:AU798" si="301">AJ797-AM797</f>
        <v>2905817258</v>
      </c>
      <c r="AV797" s="34">
        <f t="shared" ref="AV797:AV798" si="302">AM797-AP797</f>
        <v>0</v>
      </c>
      <c r="AW797" s="34">
        <f t="shared" ref="AW797:AW798" si="303">AP797-AT797</f>
        <v>0</v>
      </c>
      <c r="AX797" s="123">
        <f t="shared" ref="AX797:AX798" si="304">AP797/AJ797</f>
        <v>0</v>
      </c>
    </row>
    <row r="798" spans="1:50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270" t="s">
        <v>1255</v>
      </c>
      <c r="AB798" s="42" t="s">
        <v>233</v>
      </c>
      <c r="AC798" s="43"/>
      <c r="AD798" s="44">
        <v>0</v>
      </c>
      <c r="AE798" s="44">
        <v>0</v>
      </c>
      <c r="AF798" s="44">
        <v>0</v>
      </c>
      <c r="AG798" s="43">
        <v>134254307</v>
      </c>
      <c r="AH798" s="44"/>
      <c r="AI798" s="43">
        <f>AE797-AF797+AG798-AH797</f>
        <v>134254307</v>
      </c>
      <c r="AJ798" s="43">
        <f>AD797+AI798</f>
        <v>134254307</v>
      </c>
      <c r="AK798" s="43">
        <v>0</v>
      </c>
      <c r="AL798" s="43">
        <f>AM798-JUNIO!AM791</f>
        <v>134254307</v>
      </c>
      <c r="AM798" s="43">
        <v>134254307</v>
      </c>
      <c r="AN798" s="43">
        <v>0</v>
      </c>
      <c r="AO798" s="43">
        <v>0</v>
      </c>
      <c r="AP798" s="43">
        <v>0</v>
      </c>
      <c r="AQ798" s="43">
        <v>0</v>
      </c>
      <c r="AR798" s="43">
        <v>0</v>
      </c>
      <c r="AS798" s="44">
        <v>0</v>
      </c>
      <c r="AT798" s="40">
        <f t="shared" si="300"/>
        <v>0</v>
      </c>
      <c r="AU798" s="34">
        <f t="shared" si="301"/>
        <v>0</v>
      </c>
      <c r="AV798" s="18">
        <f t="shared" si="302"/>
        <v>134254307</v>
      </c>
      <c r="AW798" s="34">
        <f t="shared" si="303"/>
        <v>0</v>
      </c>
      <c r="AX798" s="123">
        <f t="shared" si="304"/>
        <v>0</v>
      </c>
    </row>
    <row r="799" spans="1:50" ht="38.25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73" t="s">
        <v>1249</v>
      </c>
      <c r="AB799" s="74" t="s">
        <v>1250</v>
      </c>
      <c r="AC799" s="43"/>
      <c r="AD799" s="44"/>
      <c r="AE799" s="44"/>
      <c r="AF799" s="44"/>
      <c r="AG799" s="43"/>
      <c r="AH799" s="44"/>
      <c r="AI799" s="43"/>
      <c r="AJ799" s="43"/>
      <c r="AK799" s="44"/>
      <c r="AL799" s="44"/>
      <c r="AM799" s="44"/>
      <c r="AN799" s="44"/>
      <c r="AO799" s="44"/>
      <c r="AP799" s="44"/>
      <c r="AQ799" s="44"/>
      <c r="AR799" s="44"/>
      <c r="AS799" s="44"/>
      <c r="AT799" s="40"/>
      <c r="AU799" s="18"/>
      <c r="AV799" s="34"/>
      <c r="AW799" s="34"/>
      <c r="AX799" s="123"/>
    </row>
    <row r="800" spans="1:50" ht="25.5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1" t="s">
        <v>1251</v>
      </c>
      <c r="AB800" s="42" t="s">
        <v>1243</v>
      </c>
      <c r="AC800" s="43"/>
      <c r="AD800" s="44">
        <v>0</v>
      </c>
      <c r="AE800" s="44">
        <v>0</v>
      </c>
      <c r="AF800" s="44">
        <v>0</v>
      </c>
      <c r="AG800" s="43">
        <v>65000000</v>
      </c>
      <c r="AH800" s="44">
        <v>0</v>
      </c>
      <c r="AI800" s="43">
        <f>AE799-AF799+AG800-AH799</f>
        <v>65000000</v>
      </c>
      <c r="AJ800" s="43">
        <f>AD799+AI800</f>
        <v>65000000</v>
      </c>
      <c r="AK800" s="44">
        <v>0</v>
      </c>
      <c r="AL800" s="44">
        <v>0</v>
      </c>
      <c r="AM800" s="44">
        <v>0</v>
      </c>
      <c r="AN800" s="44">
        <v>0</v>
      </c>
      <c r="AO800" s="44">
        <v>0</v>
      </c>
      <c r="AP800" s="44">
        <v>0</v>
      </c>
      <c r="AQ800" s="44">
        <v>0</v>
      </c>
      <c r="AR800" s="44">
        <v>0</v>
      </c>
      <c r="AS800" s="44">
        <v>0</v>
      </c>
      <c r="AT800" s="40">
        <f t="shared" ref="AT800" si="305">AQ800+AS800</f>
        <v>0</v>
      </c>
      <c r="AU800" s="18">
        <f t="shared" ref="AU800" si="306">AJ800-AM800</f>
        <v>65000000</v>
      </c>
      <c r="AV800" s="34">
        <f t="shared" ref="AV800" si="307">AM800-AP800</f>
        <v>0</v>
      </c>
      <c r="AW800" s="34">
        <f t="shared" ref="AW800" si="308">AP800-AT800</f>
        <v>0</v>
      </c>
      <c r="AX800" s="123">
        <f t="shared" ref="AX800" si="309">AP800/AJ800</f>
        <v>0</v>
      </c>
    </row>
    <row r="801" spans="1:50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73" t="s">
        <v>288</v>
      </c>
      <c r="AB801" s="74" t="s">
        <v>1244</v>
      </c>
      <c r="AC801" s="43"/>
      <c r="AD801" s="44"/>
      <c r="AE801" s="44"/>
      <c r="AF801" s="44"/>
      <c r="AG801" s="44"/>
      <c r="AH801" s="44"/>
      <c r="AI801" s="44"/>
      <c r="AJ801" s="43"/>
      <c r="AK801" s="44"/>
      <c r="AL801" s="44"/>
      <c r="AM801" s="43"/>
      <c r="AN801" s="43"/>
      <c r="AO801" s="43"/>
      <c r="AP801" s="43"/>
      <c r="AQ801" s="44"/>
      <c r="AR801" s="44"/>
      <c r="AS801" s="44"/>
      <c r="AT801" s="40"/>
      <c r="AU801" s="18"/>
      <c r="AV801" s="34"/>
      <c r="AW801" s="34"/>
      <c r="AX801" s="123"/>
    </row>
    <row r="802" spans="1:50" ht="25.5" x14ac:dyDescent="0.2">
      <c r="AA802" s="41" t="s">
        <v>1245</v>
      </c>
      <c r="AB802" s="42" t="s">
        <v>1243</v>
      </c>
      <c r="AC802" s="17"/>
      <c r="AD802" s="34">
        <v>0</v>
      </c>
      <c r="AE802" s="34">
        <v>0</v>
      </c>
      <c r="AF802" s="34">
        <v>0</v>
      </c>
      <c r="AG802" s="18">
        <v>350000000</v>
      </c>
      <c r="AH802" s="34">
        <v>0</v>
      </c>
      <c r="AI802" s="43">
        <f>AE801-AF801+AG802-AH801</f>
        <v>350000000</v>
      </c>
      <c r="AJ802" s="43">
        <f>AD801+AI802</f>
        <v>350000000</v>
      </c>
      <c r="AK802" s="34">
        <v>0</v>
      </c>
      <c r="AL802" s="34">
        <v>0</v>
      </c>
      <c r="AM802" s="34">
        <v>0</v>
      </c>
      <c r="AN802" s="34">
        <v>0</v>
      </c>
      <c r="AO802" s="34">
        <v>0</v>
      </c>
      <c r="AP802" s="34">
        <v>0</v>
      </c>
      <c r="AQ802" s="34">
        <v>0</v>
      </c>
      <c r="AR802" s="34">
        <v>0</v>
      </c>
      <c r="AS802" s="34">
        <v>0</v>
      </c>
      <c r="AT802" s="40">
        <f t="shared" ref="AT802" si="310">AQ802+AS802</f>
        <v>0</v>
      </c>
      <c r="AU802" s="18">
        <f t="shared" ref="AU802" si="311">AJ802-AM802</f>
        <v>350000000</v>
      </c>
      <c r="AV802" s="34">
        <f t="shared" ref="AV802" si="312">AM802-AP802</f>
        <v>0</v>
      </c>
      <c r="AW802" s="34">
        <f t="shared" ref="AW802" si="313">AP802-AT802</f>
        <v>0</v>
      </c>
      <c r="AX802" s="123">
        <f t="shared" ref="AX802" si="314">AP802/AJ802</f>
        <v>0</v>
      </c>
    </row>
    <row r="803" spans="1:50" ht="25.5" x14ac:dyDescent="0.2">
      <c r="AA803" s="73" t="s">
        <v>288</v>
      </c>
      <c r="AB803" s="74" t="s">
        <v>1246</v>
      </c>
      <c r="AC803" s="17"/>
      <c r="AD803" s="34"/>
      <c r="AE803" s="34"/>
      <c r="AF803" s="34"/>
      <c r="AG803" s="18"/>
      <c r="AH803" s="34"/>
      <c r="AI803" s="43"/>
      <c r="AJ803" s="43"/>
      <c r="AK803" s="34"/>
      <c r="AL803" s="34"/>
      <c r="AM803" s="34"/>
      <c r="AN803" s="34"/>
      <c r="AO803" s="34"/>
      <c r="AP803" s="34"/>
      <c r="AQ803" s="34"/>
      <c r="AR803" s="18"/>
      <c r="AS803" s="18"/>
      <c r="AT803" s="30"/>
      <c r="AU803" s="18"/>
      <c r="AV803" s="18"/>
      <c r="AW803" s="34"/>
      <c r="AX803" s="18"/>
    </row>
    <row r="804" spans="1:50" ht="25.5" x14ac:dyDescent="0.2">
      <c r="AA804" s="41" t="s">
        <v>1247</v>
      </c>
      <c r="AB804" s="42" t="s">
        <v>1243</v>
      </c>
      <c r="AC804" s="17"/>
      <c r="AD804" s="34">
        <v>0</v>
      </c>
      <c r="AE804" s="34">
        <v>0</v>
      </c>
      <c r="AF804" s="34">
        <v>0</v>
      </c>
      <c r="AG804" s="18">
        <v>1067000000</v>
      </c>
      <c r="AH804" s="34">
        <v>0</v>
      </c>
      <c r="AI804" s="43">
        <f>AE803-AF803+AG804-AH803</f>
        <v>1067000000</v>
      </c>
      <c r="AJ804" s="43">
        <f>AD803+AI804</f>
        <v>1067000000</v>
      </c>
      <c r="AK804" s="34">
        <v>0</v>
      </c>
      <c r="AL804" s="34">
        <v>0</v>
      </c>
      <c r="AM804" s="34">
        <v>0</v>
      </c>
      <c r="AN804" s="34">
        <v>0</v>
      </c>
      <c r="AO804" s="34">
        <v>0</v>
      </c>
      <c r="AP804" s="34">
        <v>0</v>
      </c>
      <c r="AQ804" s="34">
        <v>0</v>
      </c>
      <c r="AR804" s="34">
        <v>0</v>
      </c>
      <c r="AS804" s="34">
        <v>0</v>
      </c>
      <c r="AT804" s="40">
        <f t="shared" ref="AT804" si="315">AQ804+AS804</f>
        <v>0</v>
      </c>
      <c r="AU804" s="18">
        <f t="shared" ref="AU804" si="316">AJ804-AM804</f>
        <v>1067000000</v>
      </c>
      <c r="AV804" s="34">
        <f t="shared" ref="AV804" si="317">AM804-AP804</f>
        <v>0</v>
      </c>
      <c r="AW804" s="34">
        <f t="shared" ref="AW804" si="318">AP804-AT804</f>
        <v>0</v>
      </c>
      <c r="AX804" s="123">
        <f t="shared" ref="AX804" si="319">AP804/AJ804</f>
        <v>0</v>
      </c>
    </row>
    <row r="805" spans="1:50" x14ac:dyDescent="0.2">
      <c r="AA805" s="73" t="s">
        <v>288</v>
      </c>
      <c r="AB805" s="74" t="s">
        <v>635</v>
      </c>
      <c r="AC805" s="17"/>
      <c r="AD805" s="34"/>
      <c r="AE805" s="34"/>
      <c r="AF805" s="34"/>
      <c r="AG805" s="18"/>
      <c r="AH805" s="34"/>
      <c r="AI805" s="43"/>
      <c r="AJ805" s="43"/>
      <c r="AK805" s="34"/>
      <c r="AL805" s="34"/>
      <c r="AM805" s="34"/>
      <c r="AN805" s="34"/>
      <c r="AO805" s="34"/>
      <c r="AP805" s="34"/>
      <c r="AQ805" s="34"/>
      <c r="AR805" s="34"/>
      <c r="AS805" s="34"/>
      <c r="AT805" s="30"/>
      <c r="AU805" s="18"/>
      <c r="AV805" s="18"/>
      <c r="AW805" s="34"/>
      <c r="AX805" s="18"/>
    </row>
    <row r="806" spans="1:50" ht="25.5" x14ac:dyDescent="0.2">
      <c r="AA806" s="134" t="s">
        <v>1252</v>
      </c>
      <c r="AB806" s="42" t="s">
        <v>1243</v>
      </c>
      <c r="AC806" s="17"/>
      <c r="AD806" s="34">
        <v>0</v>
      </c>
      <c r="AE806" s="34">
        <v>0</v>
      </c>
      <c r="AF806" s="34">
        <v>0</v>
      </c>
      <c r="AG806" s="18">
        <v>148000000</v>
      </c>
      <c r="AH806" s="34"/>
      <c r="AI806" s="43">
        <f>AE805-AF805+AG806-AH805</f>
        <v>148000000</v>
      </c>
      <c r="AJ806" s="43">
        <f>AD805+AI806</f>
        <v>148000000</v>
      </c>
      <c r="AK806" s="34">
        <v>0</v>
      </c>
      <c r="AL806" s="34">
        <v>0</v>
      </c>
      <c r="AM806" s="34">
        <v>0</v>
      </c>
      <c r="AN806" s="34">
        <v>0</v>
      </c>
      <c r="AO806" s="34">
        <v>0</v>
      </c>
      <c r="AP806" s="34">
        <v>0</v>
      </c>
      <c r="AQ806" s="34">
        <v>0</v>
      </c>
      <c r="AR806" s="34">
        <v>0</v>
      </c>
      <c r="AS806" s="34">
        <v>0</v>
      </c>
      <c r="AT806" s="40">
        <f t="shared" ref="AT806" si="320">AQ806+AS806</f>
        <v>0</v>
      </c>
      <c r="AU806" s="18">
        <f t="shared" ref="AU806" si="321">AJ806-AM806</f>
        <v>148000000</v>
      </c>
      <c r="AV806" s="34">
        <f t="shared" ref="AV806" si="322">AM806-AP806</f>
        <v>0</v>
      </c>
      <c r="AW806" s="34">
        <f t="shared" ref="AW806" si="323">AP806-AT806</f>
        <v>0</v>
      </c>
      <c r="AX806" s="123">
        <f t="shared" ref="AX806" si="324">AP806/AJ806</f>
        <v>0</v>
      </c>
    </row>
    <row r="807" spans="1:50" ht="25.5" x14ac:dyDescent="0.2">
      <c r="AA807" s="81" t="s">
        <v>288</v>
      </c>
      <c r="AB807" s="74" t="s">
        <v>1248</v>
      </c>
      <c r="AC807" s="17"/>
      <c r="AD807" s="34"/>
      <c r="AE807" s="34"/>
      <c r="AF807" s="34"/>
      <c r="AG807" s="18"/>
      <c r="AH807" s="34"/>
      <c r="AI807" s="43"/>
      <c r="AJ807" s="43"/>
      <c r="AK807" s="34"/>
      <c r="AL807" s="34"/>
      <c r="AM807" s="34"/>
      <c r="AN807" s="34"/>
      <c r="AO807" s="34"/>
      <c r="AP807" s="34"/>
      <c r="AQ807" s="34"/>
      <c r="AR807" s="34"/>
      <c r="AS807" s="34"/>
      <c r="AT807" s="30"/>
      <c r="AU807" s="18"/>
      <c r="AV807" s="18"/>
      <c r="AW807" s="34"/>
      <c r="AX807" s="18"/>
    </row>
    <row r="808" spans="1:50" x14ac:dyDescent="0.2">
      <c r="AA808" s="134" t="s">
        <v>1254</v>
      </c>
      <c r="AB808" s="42" t="s">
        <v>961</v>
      </c>
      <c r="AC808" s="17"/>
      <c r="AD808" s="34">
        <v>0</v>
      </c>
      <c r="AE808" s="34">
        <v>0</v>
      </c>
      <c r="AF808" s="34">
        <v>0</v>
      </c>
      <c r="AG808" s="18">
        <v>54735904</v>
      </c>
      <c r="AH808" s="34">
        <v>0</v>
      </c>
      <c r="AI808" s="43">
        <f>AE807-AF807+AG808-AH807</f>
        <v>54735904</v>
      </c>
      <c r="AJ808" s="43">
        <f>AD807+AI808</f>
        <v>54735904</v>
      </c>
      <c r="AK808" s="34">
        <v>0</v>
      </c>
      <c r="AL808" s="18">
        <f>AM808-JUNIO!AM801</f>
        <v>30684766</v>
      </c>
      <c r="AM808" s="18">
        <v>30684766</v>
      </c>
      <c r="AN808" s="34">
        <v>0</v>
      </c>
      <c r="AO808" s="34">
        <v>0</v>
      </c>
      <c r="AP808" s="34">
        <v>0</v>
      </c>
      <c r="AQ808" s="34">
        <v>0</v>
      </c>
      <c r="AR808" s="34">
        <v>0</v>
      </c>
      <c r="AS808" s="34">
        <v>0</v>
      </c>
      <c r="AT808" s="40">
        <f t="shared" ref="AT808" si="325">AQ808+AS808</f>
        <v>0</v>
      </c>
      <c r="AU808" s="18">
        <f t="shared" ref="AU808" si="326">AJ808-AM808</f>
        <v>24051138</v>
      </c>
      <c r="AV808" s="18">
        <f t="shared" ref="AV808" si="327">AM808-AP808</f>
        <v>30684766</v>
      </c>
      <c r="AW808" s="34">
        <f t="shared" ref="AW808" si="328">AP808-AT808</f>
        <v>0</v>
      </c>
      <c r="AX808" s="123">
        <f t="shared" ref="AX808" si="329">AP808/AJ808</f>
        <v>0</v>
      </c>
    </row>
    <row r="809" spans="1:50" x14ac:dyDescent="0.2">
      <c r="AA809" s="134"/>
      <c r="AB809" s="42"/>
      <c r="AC809" s="17"/>
      <c r="AD809" s="18"/>
      <c r="AE809" s="34"/>
      <c r="AF809" s="34"/>
      <c r="AG809" s="18"/>
      <c r="AH809" s="18"/>
      <c r="AI809" s="43"/>
      <c r="AJ809" s="43"/>
      <c r="AK809" s="18"/>
      <c r="AL809" s="18"/>
      <c r="AM809" s="18"/>
      <c r="AN809" s="18"/>
      <c r="AO809" s="18"/>
      <c r="AP809" s="18"/>
      <c r="AQ809" s="18"/>
      <c r="AR809" s="18"/>
      <c r="AS809" s="18"/>
      <c r="AT809" s="30"/>
      <c r="AU809" s="18"/>
      <c r="AV809" s="18"/>
      <c r="AW809" s="18"/>
      <c r="AX809" s="18"/>
    </row>
    <row r="810" spans="1:50" x14ac:dyDescent="0.2">
      <c r="AA810" s="16"/>
      <c r="AB810" s="29" t="s">
        <v>189</v>
      </c>
      <c r="AC810" s="17"/>
      <c r="AD810" s="18"/>
      <c r="AE810" s="34"/>
      <c r="AF810" s="34"/>
      <c r="AG810" s="34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30"/>
      <c r="AU810" s="18"/>
      <c r="AV810" s="18"/>
      <c r="AW810" s="18"/>
      <c r="AX810" s="18"/>
    </row>
    <row r="811" spans="1:50" ht="38.25" x14ac:dyDescent="0.2">
      <c r="AA811" s="16"/>
      <c r="AB811" s="29" t="s">
        <v>373</v>
      </c>
      <c r="AC811" s="17"/>
      <c r="AD811" s="18"/>
      <c r="AE811" s="34"/>
      <c r="AF811" s="34"/>
      <c r="AG811" s="34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30"/>
      <c r="AU811" s="18"/>
      <c r="AV811" s="18"/>
      <c r="AW811" s="18"/>
      <c r="AX811" s="18"/>
    </row>
    <row r="812" spans="1:50" ht="25.5" x14ac:dyDescent="0.2">
      <c r="AA812" s="73" t="s">
        <v>288</v>
      </c>
      <c r="AB812" s="29" t="s">
        <v>637</v>
      </c>
      <c r="AC812" s="17"/>
      <c r="AD812" s="18"/>
      <c r="AE812" s="34"/>
      <c r="AF812" s="34"/>
      <c r="AG812" s="34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30"/>
      <c r="AU812" s="18"/>
      <c r="AV812" s="18"/>
      <c r="AW812" s="18"/>
      <c r="AX812" s="18"/>
    </row>
    <row r="813" spans="1:50" x14ac:dyDescent="0.2">
      <c r="AA813" s="41" t="s">
        <v>1253</v>
      </c>
      <c r="AB813" s="38" t="s">
        <v>233</v>
      </c>
      <c r="AC813" s="17"/>
      <c r="AD813" s="18">
        <v>0</v>
      </c>
      <c r="AE813" s="34">
        <v>0</v>
      </c>
      <c r="AF813" s="34">
        <v>0</v>
      </c>
      <c r="AG813" s="18">
        <v>30000000</v>
      </c>
      <c r="AH813" s="18">
        <v>0</v>
      </c>
      <c r="AI813" s="43">
        <f>AE813-AF813+AG813-AH813</f>
        <v>30000000</v>
      </c>
      <c r="AJ813" s="43">
        <f>AD813+AI813</f>
        <v>30000000</v>
      </c>
      <c r="AK813" s="34">
        <v>0</v>
      </c>
      <c r="AL813" s="34">
        <v>0</v>
      </c>
      <c r="AM813" s="34">
        <v>0</v>
      </c>
      <c r="AN813" s="34">
        <v>0</v>
      </c>
      <c r="AO813" s="34">
        <v>0</v>
      </c>
      <c r="AP813" s="34">
        <v>0</v>
      </c>
      <c r="AQ813" s="34">
        <v>0</v>
      </c>
      <c r="AR813" s="34">
        <v>0</v>
      </c>
      <c r="AS813" s="34">
        <v>0</v>
      </c>
      <c r="AT813" s="40">
        <f t="shared" ref="AT813" si="330">AQ813+AS813</f>
        <v>0</v>
      </c>
      <c r="AU813" s="18">
        <f>AJ813-AM813</f>
        <v>30000000</v>
      </c>
      <c r="AV813" s="133">
        <f>AM813-AP813</f>
        <v>0</v>
      </c>
      <c r="AW813" s="18">
        <f>AP813-AT813</f>
        <v>0</v>
      </c>
      <c r="AX813" s="123">
        <f>AP813/AJ813</f>
        <v>0</v>
      </c>
    </row>
    <row r="814" spans="1:50" x14ac:dyDescent="0.2">
      <c r="AA814" s="16"/>
      <c r="AB814" s="29"/>
      <c r="AC814" s="17"/>
      <c r="AD814" s="18"/>
      <c r="AE814" s="34"/>
      <c r="AF814" s="34"/>
      <c r="AG814" s="34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30"/>
      <c r="AU814" s="18"/>
      <c r="AV814" s="18"/>
      <c r="AW814" s="18"/>
      <c r="AX814" s="18"/>
    </row>
    <row r="815" spans="1:50" ht="25.5" x14ac:dyDescent="0.2">
      <c r="AA815" s="28" t="s">
        <v>288</v>
      </c>
      <c r="AB815" s="29" t="s">
        <v>585</v>
      </c>
      <c r="AC815" s="17"/>
      <c r="AD815" s="18"/>
      <c r="AE815" s="34"/>
      <c r="AF815" s="34"/>
      <c r="AG815" s="34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30"/>
      <c r="AU815" s="18"/>
      <c r="AV815" s="18"/>
      <c r="AW815" s="18"/>
      <c r="AX815" s="18"/>
    </row>
    <row r="816" spans="1:50" x14ac:dyDescent="0.2">
      <c r="A816" s="4" t="s">
        <v>55</v>
      </c>
      <c r="B816" s="4" t="s">
        <v>56</v>
      </c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1" t="s">
        <v>586</v>
      </c>
      <c r="AB816" s="42" t="s">
        <v>233</v>
      </c>
      <c r="AC816" s="43" t="s">
        <v>58</v>
      </c>
      <c r="AD816" s="43">
        <v>165000000</v>
      </c>
      <c r="AE816" s="44">
        <v>0</v>
      </c>
      <c r="AF816" s="44">
        <v>0</v>
      </c>
      <c r="AG816" s="44">
        <v>0</v>
      </c>
      <c r="AH816" s="44">
        <v>0</v>
      </c>
      <c r="AI816" s="44">
        <v>0</v>
      </c>
      <c r="AJ816" s="43">
        <v>165000000</v>
      </c>
      <c r="AK816" s="44">
        <v>0</v>
      </c>
      <c r="AL816" s="44">
        <v>0</v>
      </c>
      <c r="AM816" s="43">
        <v>142500000</v>
      </c>
      <c r="AN816" s="44">
        <v>0</v>
      </c>
      <c r="AO816" s="44">
        <v>0</v>
      </c>
      <c r="AP816" s="18">
        <v>142500000</v>
      </c>
      <c r="AQ816" s="34">
        <v>0</v>
      </c>
      <c r="AR816" s="34">
        <v>0</v>
      </c>
      <c r="AS816" s="34">
        <v>0</v>
      </c>
      <c r="AT816" s="40">
        <f t="shared" ref="AT816" si="331">AQ816+AS816</f>
        <v>0</v>
      </c>
      <c r="AU816" s="18">
        <f>AJ816-AM816</f>
        <v>22500000</v>
      </c>
      <c r="AV816" s="133">
        <f>AM816-AP816</f>
        <v>0</v>
      </c>
      <c r="AW816" s="18">
        <f>AP816-AT816</f>
        <v>142500000</v>
      </c>
      <c r="AX816" s="123">
        <f>AP816/AJ816</f>
        <v>0.86363636363636365</v>
      </c>
    </row>
    <row r="817" spans="1:50" ht="25.5" x14ac:dyDescent="0.2">
      <c r="AA817" s="28" t="s">
        <v>288</v>
      </c>
      <c r="AB817" s="29" t="s">
        <v>587</v>
      </c>
      <c r="AC817" s="17"/>
      <c r="AD817" s="18"/>
      <c r="AE817" s="34"/>
      <c r="AF817" s="34"/>
      <c r="AG817" s="34"/>
      <c r="AH817" s="34"/>
      <c r="AI817" s="34"/>
      <c r="AJ817" s="18"/>
      <c r="AK817" s="18"/>
      <c r="AL817" s="18"/>
      <c r="AM817" s="18"/>
      <c r="AN817" s="34"/>
      <c r="AO817" s="34"/>
      <c r="AP817" s="18"/>
      <c r="AQ817" s="34"/>
      <c r="AR817" s="34"/>
      <c r="AS817" s="34"/>
      <c r="AT817" s="40"/>
      <c r="AU817" s="18"/>
      <c r="AV817" s="34"/>
      <c r="AW817" s="18"/>
      <c r="AX817" s="18"/>
    </row>
    <row r="818" spans="1:50" x14ac:dyDescent="0.2">
      <c r="A818" s="4" t="s">
        <v>55</v>
      </c>
      <c r="B818" s="4" t="s">
        <v>56</v>
      </c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1" t="s">
        <v>588</v>
      </c>
      <c r="AB818" s="42" t="s">
        <v>233</v>
      </c>
      <c r="AC818" s="43" t="s">
        <v>58</v>
      </c>
      <c r="AD818" s="43">
        <v>360000000</v>
      </c>
      <c r="AE818" s="44">
        <v>0</v>
      </c>
      <c r="AF818" s="44">
        <v>0</v>
      </c>
      <c r="AG818" s="44">
        <v>0</v>
      </c>
      <c r="AH818" s="44">
        <v>0</v>
      </c>
      <c r="AI818" s="44">
        <v>0</v>
      </c>
      <c r="AJ818" s="43">
        <v>360000000</v>
      </c>
      <c r="AK818" s="44">
        <v>0</v>
      </c>
      <c r="AL818" s="115">
        <v>0</v>
      </c>
      <c r="AM818" s="114">
        <v>320207103</v>
      </c>
      <c r="AN818" s="44">
        <v>0</v>
      </c>
      <c r="AO818" s="44">
        <v>0</v>
      </c>
      <c r="AP818" s="18">
        <v>320207103</v>
      </c>
      <c r="AQ818" s="34">
        <v>0</v>
      </c>
      <c r="AR818" s="18">
        <v>35578567</v>
      </c>
      <c r="AS818" s="18">
        <v>142314268</v>
      </c>
      <c r="AT818" s="39">
        <f t="shared" ref="AT818" si="332">AQ818+AS818</f>
        <v>142314268</v>
      </c>
      <c r="AU818" s="18">
        <f>AJ818-AM818</f>
        <v>39792897</v>
      </c>
      <c r="AV818" s="133">
        <f>AM818-AP818</f>
        <v>0</v>
      </c>
      <c r="AW818" s="18">
        <f>AP818-AT818</f>
        <v>177892835</v>
      </c>
      <c r="AX818" s="123">
        <f>AP818/AJ818</f>
        <v>0.88946417499999997</v>
      </c>
    </row>
    <row r="819" spans="1:50" ht="25.5" x14ac:dyDescent="0.2">
      <c r="AA819" s="28" t="s">
        <v>288</v>
      </c>
      <c r="AB819" s="29" t="s">
        <v>589</v>
      </c>
      <c r="AC819" s="17"/>
      <c r="AD819" s="18"/>
      <c r="AE819" s="34"/>
      <c r="AF819" s="34"/>
      <c r="AG819" s="34"/>
      <c r="AH819" s="34"/>
      <c r="AI819" s="34"/>
      <c r="AJ819" s="18"/>
      <c r="AK819" s="34"/>
      <c r="AL819" s="34"/>
      <c r="AM819" s="34"/>
      <c r="AN819" s="34"/>
      <c r="AO819" s="34"/>
      <c r="AP819" s="34"/>
      <c r="AQ819" s="34"/>
      <c r="AR819" s="34"/>
      <c r="AS819" s="34"/>
      <c r="AT819" s="40"/>
      <c r="AU819" s="18"/>
      <c r="AV819" s="18"/>
      <c r="AW819" s="34"/>
      <c r="AX819" s="18"/>
    </row>
    <row r="820" spans="1:50" x14ac:dyDescent="0.2">
      <c r="A820" s="4" t="s">
        <v>55</v>
      </c>
      <c r="B820" s="4" t="s">
        <v>56</v>
      </c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1" t="s">
        <v>590</v>
      </c>
      <c r="AB820" s="42" t="s">
        <v>233</v>
      </c>
      <c r="AC820" s="43" t="s">
        <v>58</v>
      </c>
      <c r="AD820" s="43">
        <v>2564591998.2600002</v>
      </c>
      <c r="AE820" s="44">
        <v>0</v>
      </c>
      <c r="AF820" s="44">
        <v>0</v>
      </c>
      <c r="AG820" s="44">
        <v>0</v>
      </c>
      <c r="AH820" s="43">
        <v>602281020</v>
      </c>
      <c r="AI820" s="43">
        <f>AE820-AF820+AG820-AH820</f>
        <v>-602281020</v>
      </c>
      <c r="AJ820" s="43">
        <f>AD820+AI820</f>
        <v>1962310978.2600002</v>
      </c>
      <c r="AK820" s="44">
        <v>0</v>
      </c>
      <c r="AL820" s="44">
        <v>0</v>
      </c>
      <c r="AM820" s="44">
        <v>0</v>
      </c>
      <c r="AN820" s="44">
        <v>0</v>
      </c>
      <c r="AO820" s="44">
        <v>0</v>
      </c>
      <c r="AP820" s="34">
        <v>0</v>
      </c>
      <c r="AQ820" s="34">
        <v>0</v>
      </c>
      <c r="AR820" s="34">
        <v>0</v>
      </c>
      <c r="AS820" s="34">
        <v>0</v>
      </c>
      <c r="AT820" s="40">
        <f t="shared" ref="AT820:AT821" si="333">AQ820+AS820</f>
        <v>0</v>
      </c>
      <c r="AU820" s="18">
        <f>AJ820-AM820</f>
        <v>1962310978.2600002</v>
      </c>
      <c r="AV820" s="133">
        <f>AM820-AP820</f>
        <v>0</v>
      </c>
      <c r="AW820" s="34">
        <f>AP820-AT820</f>
        <v>0</v>
      </c>
      <c r="AX820" s="123">
        <f>AP820/AJ820</f>
        <v>0</v>
      </c>
    </row>
    <row r="821" spans="1:50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1" t="s">
        <v>1100</v>
      </c>
      <c r="AB821" s="42" t="s">
        <v>1015</v>
      </c>
      <c r="AC821" s="43"/>
      <c r="AD821" s="43">
        <v>0</v>
      </c>
      <c r="AE821" s="43">
        <v>40000000</v>
      </c>
      <c r="AF821" s="44"/>
      <c r="AG821" s="44"/>
      <c r="AH821" s="44"/>
      <c r="AI821" s="43">
        <f>AE821-AF821+AG821-AH821</f>
        <v>40000000</v>
      </c>
      <c r="AJ821" s="43">
        <f>AD821+AI821</f>
        <v>40000000</v>
      </c>
      <c r="AK821" s="44">
        <v>0</v>
      </c>
      <c r="AL821" s="44">
        <v>0</v>
      </c>
      <c r="AM821" s="44">
        <v>0</v>
      </c>
      <c r="AN821" s="44">
        <v>0</v>
      </c>
      <c r="AO821" s="44">
        <v>0</v>
      </c>
      <c r="AP821" s="34">
        <v>0</v>
      </c>
      <c r="AQ821" s="34">
        <v>0</v>
      </c>
      <c r="AR821" s="34">
        <v>0</v>
      </c>
      <c r="AS821" s="34">
        <v>0</v>
      </c>
      <c r="AT821" s="40">
        <f t="shared" si="333"/>
        <v>0</v>
      </c>
      <c r="AU821" s="18">
        <f>AJ821-AM821</f>
        <v>40000000</v>
      </c>
      <c r="AV821" s="133">
        <f>AM821-AP821</f>
        <v>0</v>
      </c>
      <c r="AW821" s="34">
        <f>AP821-AT821</f>
        <v>0</v>
      </c>
      <c r="AX821" s="123">
        <f>AP821/AJ821</f>
        <v>0</v>
      </c>
    </row>
    <row r="822" spans="1:50" x14ac:dyDescent="0.2">
      <c r="AA822" s="16"/>
      <c r="AB822" s="17"/>
      <c r="AC822" s="17"/>
      <c r="AD822" s="18"/>
      <c r="AE822" s="34"/>
      <c r="AF822" s="34"/>
      <c r="AG822" s="34"/>
      <c r="AH822" s="34"/>
      <c r="AI822" s="34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30"/>
      <c r="AU822" s="18"/>
      <c r="AV822" s="18"/>
      <c r="AW822" s="18"/>
      <c r="AX822" s="18"/>
    </row>
    <row r="823" spans="1:50" ht="25.5" x14ac:dyDescent="0.2">
      <c r="AA823" s="16"/>
      <c r="AB823" s="29" t="s">
        <v>197</v>
      </c>
      <c r="AC823" s="17"/>
      <c r="AD823" s="18"/>
      <c r="AE823" s="34"/>
      <c r="AF823" s="34"/>
      <c r="AG823" s="34"/>
      <c r="AH823" s="34"/>
      <c r="AI823" s="34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30"/>
      <c r="AU823" s="18"/>
      <c r="AV823" s="18"/>
      <c r="AW823" s="18"/>
      <c r="AX823" s="18"/>
    </row>
    <row r="824" spans="1:50" x14ac:dyDescent="0.2">
      <c r="AA824" s="28" t="s">
        <v>288</v>
      </c>
      <c r="AB824" s="29" t="s">
        <v>591</v>
      </c>
      <c r="AC824" s="17"/>
      <c r="AD824" s="18"/>
      <c r="AE824" s="34"/>
      <c r="AF824" s="34"/>
      <c r="AG824" s="34"/>
      <c r="AH824" s="34"/>
      <c r="AI824" s="34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30"/>
      <c r="AU824" s="18"/>
      <c r="AV824" s="18"/>
      <c r="AW824" s="18"/>
      <c r="AX824" s="18"/>
    </row>
    <row r="825" spans="1:50" x14ac:dyDescent="0.2">
      <c r="A825" s="4" t="s">
        <v>55</v>
      </c>
      <c r="B825" s="4" t="s">
        <v>56</v>
      </c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1" t="s">
        <v>592</v>
      </c>
      <c r="AB825" s="42" t="s">
        <v>233</v>
      </c>
      <c r="AC825" s="43" t="s">
        <v>58</v>
      </c>
      <c r="AD825" s="43">
        <v>458060751</v>
      </c>
      <c r="AE825" s="44">
        <v>0</v>
      </c>
      <c r="AF825" s="44">
        <v>0</v>
      </c>
      <c r="AG825" s="43">
        <v>118300000</v>
      </c>
      <c r="AH825" s="44">
        <v>0</v>
      </c>
      <c r="AI825" s="43">
        <f>AE825-AF825+AG825-AH825</f>
        <v>118300000</v>
      </c>
      <c r="AJ825" s="43">
        <f>AD825+AI825</f>
        <v>576360751</v>
      </c>
      <c r="AK825" s="44">
        <v>0</v>
      </c>
      <c r="AL825" s="43">
        <f>AM825-JUNIO!AM818</f>
        <v>10200000</v>
      </c>
      <c r="AM825" s="43">
        <v>435960751</v>
      </c>
      <c r="AN825" s="44">
        <v>0</v>
      </c>
      <c r="AO825" s="44">
        <v>10200000</v>
      </c>
      <c r="AP825" s="43">
        <v>435960751</v>
      </c>
      <c r="AQ825" s="110">
        <v>35333333</v>
      </c>
      <c r="AR825" s="110">
        <v>47960000</v>
      </c>
      <c r="AS825" s="18">
        <v>199250002</v>
      </c>
      <c r="AT825" s="39">
        <f t="shared" ref="AT825" si="334">AQ825+AS825</f>
        <v>234583335</v>
      </c>
      <c r="AU825" s="18">
        <f>AJ825-AM825</f>
        <v>140400000</v>
      </c>
      <c r="AV825" s="133">
        <f>AM825-AP825</f>
        <v>0</v>
      </c>
      <c r="AW825" s="18">
        <f>AP825-AT825</f>
        <v>201377416</v>
      </c>
      <c r="AX825" s="123">
        <f>AP825/AJ825</f>
        <v>0.75640256600331901</v>
      </c>
    </row>
    <row r="826" spans="1:50" ht="25.5" x14ac:dyDescent="0.2">
      <c r="AA826" s="28" t="s">
        <v>288</v>
      </c>
      <c r="AB826" s="29" t="s">
        <v>593</v>
      </c>
      <c r="AC826" s="17"/>
      <c r="AD826" s="18"/>
      <c r="AE826" s="34"/>
      <c r="AF826" s="34"/>
      <c r="AG826" s="34"/>
      <c r="AH826" s="34"/>
      <c r="AI826" s="34"/>
      <c r="AJ826" s="18"/>
      <c r="AK826" s="34"/>
      <c r="AL826" s="18"/>
      <c r="AM826" s="18"/>
      <c r="AN826" s="34"/>
      <c r="AO826" s="34"/>
      <c r="AP826" s="18"/>
      <c r="AQ826" s="110"/>
      <c r="AR826" s="110"/>
      <c r="AS826" s="18"/>
      <c r="AT826" s="39"/>
      <c r="AU826" s="18"/>
      <c r="AV826" s="34"/>
      <c r="AW826" s="18"/>
      <c r="AX826" s="18"/>
    </row>
    <row r="827" spans="1:50" x14ac:dyDescent="0.2">
      <c r="A827" s="4" t="s">
        <v>55</v>
      </c>
      <c r="B827" s="4" t="s">
        <v>56</v>
      </c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1" t="s">
        <v>594</v>
      </c>
      <c r="AB827" s="42" t="s">
        <v>233</v>
      </c>
      <c r="AC827" s="43" t="s">
        <v>58</v>
      </c>
      <c r="AD827" s="43">
        <v>522500000</v>
      </c>
      <c r="AE827" s="44">
        <v>0</v>
      </c>
      <c r="AF827" s="44">
        <v>0</v>
      </c>
      <c r="AG827" s="43">
        <v>140000000</v>
      </c>
      <c r="AH827" s="44">
        <v>0</v>
      </c>
      <c r="AI827" s="43">
        <f>AE827-AF827+AG827-AH827</f>
        <v>140000000</v>
      </c>
      <c r="AJ827" s="43">
        <f>AD827+AI827</f>
        <v>662500000</v>
      </c>
      <c r="AK827" s="44">
        <v>0</v>
      </c>
      <c r="AL827" s="43">
        <f>AM827-JUNIO!AM820</f>
        <v>-2916666.6599999666</v>
      </c>
      <c r="AM827" s="43">
        <v>445416666.67000002</v>
      </c>
      <c r="AN827" s="43">
        <v>0</v>
      </c>
      <c r="AO827" s="44">
        <v>12916666.67</v>
      </c>
      <c r="AP827" s="43">
        <v>445416666.67000002</v>
      </c>
      <c r="AQ827" s="110">
        <v>13000000</v>
      </c>
      <c r="AR827" s="110">
        <v>46000000</v>
      </c>
      <c r="AS827" s="18">
        <v>232700001</v>
      </c>
      <c r="AT827" s="39">
        <f t="shared" ref="AT827" si="335">AQ827+AS827</f>
        <v>245700001</v>
      </c>
      <c r="AU827" s="18">
        <f>AJ827-AM827</f>
        <v>217083333.32999998</v>
      </c>
      <c r="AV827" s="34">
        <f>AM827-AP827</f>
        <v>0</v>
      </c>
      <c r="AW827" s="18">
        <f>AP827-AT827</f>
        <v>199716665.67000002</v>
      </c>
      <c r="AX827" s="123">
        <f>AP827/AJ827</f>
        <v>0.67232704403018873</v>
      </c>
    </row>
    <row r="828" spans="1:50" ht="25.5" x14ac:dyDescent="0.2">
      <c r="AA828" s="28" t="s">
        <v>288</v>
      </c>
      <c r="AB828" s="29" t="s">
        <v>583</v>
      </c>
      <c r="AC828" s="17"/>
      <c r="AD828" s="18"/>
      <c r="AE828" s="34"/>
      <c r="AF828" s="34"/>
      <c r="AG828" s="34"/>
      <c r="AH828" s="34"/>
      <c r="AI828" s="34"/>
      <c r="AJ828" s="18"/>
      <c r="AK828" s="18"/>
      <c r="AL828" s="18"/>
      <c r="AM828" s="18"/>
      <c r="AN828" s="34"/>
      <c r="AO828" s="34"/>
      <c r="AP828" s="18"/>
      <c r="AQ828" s="34"/>
      <c r="AR828" s="34"/>
      <c r="AS828" s="18"/>
      <c r="AT828" s="39"/>
      <c r="AU828" s="18"/>
      <c r="AV828" s="18"/>
      <c r="AW828" s="18"/>
      <c r="AX828" s="18"/>
    </row>
    <row r="829" spans="1:50" x14ac:dyDescent="0.2">
      <c r="A829" s="4" t="s">
        <v>55</v>
      </c>
      <c r="B829" s="4" t="s">
        <v>56</v>
      </c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1" t="s">
        <v>595</v>
      </c>
      <c r="AB829" s="42" t="s">
        <v>233</v>
      </c>
      <c r="AC829" s="43" t="s">
        <v>58</v>
      </c>
      <c r="AD829" s="43">
        <v>100000000</v>
      </c>
      <c r="AE829" s="44">
        <v>0</v>
      </c>
      <c r="AF829" s="44">
        <v>0</v>
      </c>
      <c r="AG829" s="44">
        <v>0</v>
      </c>
      <c r="AH829" s="44">
        <v>0</v>
      </c>
      <c r="AI829" s="44">
        <v>0</v>
      </c>
      <c r="AJ829" s="43">
        <v>100000000</v>
      </c>
      <c r="AK829" s="44">
        <v>0</v>
      </c>
      <c r="AL829" s="44">
        <v>0</v>
      </c>
      <c r="AM829" s="43">
        <v>54000000</v>
      </c>
      <c r="AN829" s="44">
        <v>0</v>
      </c>
      <c r="AO829" s="44">
        <v>0</v>
      </c>
      <c r="AP829" s="43">
        <v>54000000</v>
      </c>
      <c r="AQ829" s="18">
        <v>0</v>
      </c>
      <c r="AR829" s="34">
        <v>7000000</v>
      </c>
      <c r="AS829" s="18">
        <v>15633333</v>
      </c>
      <c r="AT829" s="39">
        <f t="shared" ref="AT829" si="336">AQ829+AS829</f>
        <v>15633333</v>
      </c>
      <c r="AU829" s="18">
        <f>AJ829-AM829</f>
        <v>46000000</v>
      </c>
      <c r="AV829" s="34">
        <f>AM829-AP829</f>
        <v>0</v>
      </c>
      <c r="AW829" s="18">
        <f>AP829-AT829</f>
        <v>38366667</v>
      </c>
      <c r="AX829" s="123">
        <f>AP829/AJ829</f>
        <v>0.54</v>
      </c>
    </row>
    <row r="830" spans="1:50" ht="25.5" x14ac:dyDescent="0.2">
      <c r="AA830" s="28" t="s">
        <v>288</v>
      </c>
      <c r="AB830" s="29" t="s">
        <v>596</v>
      </c>
      <c r="AC830" s="17"/>
      <c r="AD830" s="18"/>
      <c r="AE830" s="34"/>
      <c r="AF830" s="34"/>
      <c r="AG830" s="34"/>
      <c r="AH830" s="34"/>
      <c r="AI830" s="34"/>
      <c r="AJ830" s="18"/>
      <c r="AK830" s="34"/>
      <c r="AL830" s="133"/>
      <c r="AM830" s="110"/>
      <c r="AN830" s="34"/>
      <c r="AO830" s="34"/>
      <c r="AP830" s="34"/>
      <c r="AQ830" s="34"/>
      <c r="AR830" s="34"/>
      <c r="AS830" s="18"/>
      <c r="AT830" s="39"/>
      <c r="AU830" s="18"/>
      <c r="AV830" s="34"/>
      <c r="AW830" s="18"/>
      <c r="AX830" s="18"/>
    </row>
    <row r="831" spans="1:50" x14ac:dyDescent="0.2">
      <c r="A831" s="4" t="s">
        <v>55</v>
      </c>
      <c r="B831" s="4" t="s">
        <v>56</v>
      </c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1" t="s">
        <v>597</v>
      </c>
      <c r="AB831" s="42" t="s">
        <v>233</v>
      </c>
      <c r="AC831" s="43" t="s">
        <v>58</v>
      </c>
      <c r="AD831" s="43">
        <v>279700000</v>
      </c>
      <c r="AE831" s="44">
        <v>0</v>
      </c>
      <c r="AF831" s="44">
        <v>0</v>
      </c>
      <c r="AG831" s="44">
        <v>0</v>
      </c>
      <c r="AH831" s="44">
        <v>0</v>
      </c>
      <c r="AI831" s="44">
        <v>0</v>
      </c>
      <c r="AJ831" s="43">
        <v>279700000</v>
      </c>
      <c r="AK831" s="44">
        <v>0</v>
      </c>
      <c r="AL831" s="115">
        <v>0</v>
      </c>
      <c r="AM831" s="114">
        <v>193600000</v>
      </c>
      <c r="AN831" s="44">
        <v>0</v>
      </c>
      <c r="AO831" s="43">
        <v>0</v>
      </c>
      <c r="AP831" s="114">
        <v>193600000</v>
      </c>
      <c r="AQ831" s="34">
        <v>2500000</v>
      </c>
      <c r="AR831" s="18">
        <v>24200000</v>
      </c>
      <c r="AS831" s="18">
        <v>102373333</v>
      </c>
      <c r="AT831" s="39">
        <f t="shared" ref="AT831" si="337">AQ831+AS831</f>
        <v>104873333</v>
      </c>
      <c r="AU831" s="18">
        <f>AJ831-AM831</f>
        <v>86100000</v>
      </c>
      <c r="AV831" s="133">
        <f>AM831-AP831</f>
        <v>0</v>
      </c>
      <c r="AW831" s="18">
        <f>AP831-AT831</f>
        <v>88726667</v>
      </c>
      <c r="AX831" s="123">
        <f>AP831/AJ831</f>
        <v>0.69217018233821948</v>
      </c>
    </row>
    <row r="832" spans="1:50" ht="38.25" x14ac:dyDescent="0.2">
      <c r="AA832" s="28" t="s">
        <v>288</v>
      </c>
      <c r="AB832" s="29" t="s">
        <v>598</v>
      </c>
      <c r="AC832" s="17"/>
      <c r="AD832" s="18"/>
      <c r="AE832" s="34"/>
      <c r="AF832" s="34"/>
      <c r="AG832" s="34"/>
      <c r="AH832" s="34"/>
      <c r="AI832" s="34"/>
      <c r="AJ832" s="18"/>
      <c r="AK832" s="34"/>
      <c r="AL832" s="34"/>
      <c r="AM832" s="18"/>
      <c r="AN832" s="18"/>
      <c r="AO832" s="18"/>
      <c r="AP832" s="18"/>
      <c r="AQ832" s="110"/>
      <c r="AR832" s="110"/>
      <c r="AS832" s="18"/>
      <c r="AT832" s="30"/>
      <c r="AU832" s="18"/>
      <c r="AV832" s="18"/>
      <c r="AW832" s="18"/>
      <c r="AX832" s="18"/>
    </row>
    <row r="833" spans="1:50" x14ac:dyDescent="0.2">
      <c r="A833" s="4" t="s">
        <v>55</v>
      </c>
      <c r="B833" s="4" t="s">
        <v>56</v>
      </c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1" t="s">
        <v>599</v>
      </c>
      <c r="AB833" s="42" t="s">
        <v>233</v>
      </c>
      <c r="AC833" s="43" t="s">
        <v>58</v>
      </c>
      <c r="AD833" s="43">
        <v>418000000</v>
      </c>
      <c r="AE833" s="44">
        <v>0</v>
      </c>
      <c r="AF833" s="44">
        <v>0</v>
      </c>
      <c r="AG833" s="44">
        <v>0</v>
      </c>
      <c r="AH833" s="43">
        <v>30000000</v>
      </c>
      <c r="AI833" s="142">
        <f>AE833-AF833+AG833-AH833</f>
        <v>-30000000</v>
      </c>
      <c r="AJ833" s="142">
        <f>AD833+AI833</f>
        <v>388000000</v>
      </c>
      <c r="AK833" s="44">
        <v>0</v>
      </c>
      <c r="AL833" s="44">
        <v>0</v>
      </c>
      <c r="AM833" s="43">
        <v>300000000</v>
      </c>
      <c r="AN833" s="44">
        <v>0</v>
      </c>
      <c r="AO833" s="44">
        <v>0</v>
      </c>
      <c r="AP833" s="43">
        <v>300000000</v>
      </c>
      <c r="AQ833" s="110">
        <v>2000000</v>
      </c>
      <c r="AR833" s="110">
        <v>35500000</v>
      </c>
      <c r="AS833" s="110">
        <v>186366670</v>
      </c>
      <c r="AT833" s="111">
        <f t="shared" si="297"/>
        <v>188366670</v>
      </c>
      <c r="AU833" s="18">
        <f>AJ833-AM833</f>
        <v>88000000</v>
      </c>
      <c r="AV833" s="133">
        <f>AM833-AP833</f>
        <v>0</v>
      </c>
      <c r="AW833" s="18">
        <f>AP833-AT833</f>
        <v>111633330</v>
      </c>
      <c r="AX833" s="123">
        <f>AP833/AJ833</f>
        <v>0.77319587628865982</v>
      </c>
    </row>
    <row r="834" spans="1:50" x14ac:dyDescent="0.2">
      <c r="AA834" s="28" t="s">
        <v>288</v>
      </c>
      <c r="AB834" s="29" t="s">
        <v>600</v>
      </c>
      <c r="AC834" s="17"/>
      <c r="AD834" s="18"/>
      <c r="AE834" s="34"/>
      <c r="AF834" s="34"/>
      <c r="AG834" s="34"/>
      <c r="AH834" s="34"/>
      <c r="AI834" s="34"/>
      <c r="AJ834" s="18"/>
      <c r="AK834" s="34"/>
      <c r="AL834" s="34"/>
      <c r="AM834" s="18"/>
      <c r="AN834" s="34"/>
      <c r="AO834" s="34"/>
      <c r="AP834" s="18"/>
      <c r="AQ834" s="34"/>
      <c r="AR834" s="34"/>
      <c r="AS834" s="34"/>
      <c r="AT834" s="40"/>
      <c r="AU834" s="18"/>
      <c r="AV834" s="18"/>
      <c r="AW834" s="18"/>
      <c r="AX834" s="18"/>
    </row>
    <row r="835" spans="1:50" s="150" customFormat="1" x14ac:dyDescent="0.2">
      <c r="A835" s="140" t="s">
        <v>55</v>
      </c>
      <c r="B835" s="140" t="s">
        <v>56</v>
      </c>
      <c r="C835" s="140"/>
      <c r="D835" s="140"/>
      <c r="E835" s="140"/>
      <c r="F835" s="140"/>
      <c r="G835" s="140"/>
      <c r="H835" s="140"/>
      <c r="I835" s="140"/>
      <c r="J835" s="140"/>
      <c r="K835" s="140"/>
      <c r="L835" s="140"/>
      <c r="M835" s="140"/>
      <c r="N835" s="140"/>
      <c r="O835" s="140"/>
      <c r="P835" s="140"/>
      <c r="Q835" s="140"/>
      <c r="R835" s="140"/>
      <c r="S835" s="140"/>
      <c r="T835" s="140"/>
      <c r="U835" s="140"/>
      <c r="V835" s="140"/>
      <c r="W835" s="140"/>
      <c r="X835" s="140"/>
      <c r="Y835" s="140"/>
      <c r="Z835" s="140"/>
      <c r="AA835" s="134" t="s">
        <v>601</v>
      </c>
      <c r="AB835" s="69" t="s">
        <v>233</v>
      </c>
      <c r="AC835" s="142" t="s">
        <v>58</v>
      </c>
      <c r="AD835" s="142">
        <v>337300000</v>
      </c>
      <c r="AE835" s="143">
        <v>0</v>
      </c>
      <c r="AF835" s="143">
        <v>0</v>
      </c>
      <c r="AG835" s="143">
        <v>0</v>
      </c>
      <c r="AH835" s="142">
        <f>31295090+46856431.35</f>
        <v>78151521.349999994</v>
      </c>
      <c r="AI835" s="142">
        <f>AE835-AF835+AG835-AH835</f>
        <v>-78151521.349999994</v>
      </c>
      <c r="AJ835" s="142">
        <f>AD835+AI835</f>
        <v>259148478.65000001</v>
      </c>
      <c r="AK835" s="143">
        <v>0</v>
      </c>
      <c r="AL835" s="258">
        <v>0</v>
      </c>
      <c r="AM835" s="144">
        <v>259148478.65000001</v>
      </c>
      <c r="AN835" s="143">
        <v>0</v>
      </c>
      <c r="AO835" s="143">
        <v>0</v>
      </c>
      <c r="AP835" s="142">
        <v>259148478.65000001</v>
      </c>
      <c r="AQ835" s="147">
        <v>0</v>
      </c>
      <c r="AR835" s="147">
        <v>51003991.719999999</v>
      </c>
      <c r="AS835" s="147">
        <v>82542714.579999998</v>
      </c>
      <c r="AT835" s="267">
        <f t="shared" ref="AT835" si="338">AQ835+AS835</f>
        <v>82542714.579999998</v>
      </c>
      <c r="AU835" s="145">
        <f>AJ835-AM835</f>
        <v>0</v>
      </c>
      <c r="AV835" s="175">
        <f>AM835-AP835</f>
        <v>0</v>
      </c>
      <c r="AW835" s="147">
        <f>AP835-AT835</f>
        <v>176605764.06999999</v>
      </c>
      <c r="AX835" s="149">
        <f>AP835/AJ835</f>
        <v>1</v>
      </c>
    </row>
    <row r="836" spans="1:50" ht="25.5" x14ac:dyDescent="0.2">
      <c r="AA836" s="28" t="s">
        <v>288</v>
      </c>
      <c r="AB836" s="29" t="s">
        <v>602</v>
      </c>
      <c r="AC836" s="17"/>
      <c r="AD836" s="18"/>
      <c r="AE836" s="18"/>
      <c r="AF836" s="18"/>
      <c r="AG836" s="18"/>
      <c r="AH836" s="18"/>
      <c r="AI836" s="18"/>
      <c r="AJ836" s="18"/>
      <c r="AK836" s="34"/>
      <c r="AL836" s="34"/>
      <c r="AM836" s="34"/>
      <c r="AN836" s="34"/>
      <c r="AO836" s="34"/>
      <c r="AP836" s="34"/>
      <c r="AQ836" s="34"/>
      <c r="AR836" s="34"/>
      <c r="AS836" s="34"/>
      <c r="AT836" s="40"/>
      <c r="AU836" s="18"/>
      <c r="AV836" s="18"/>
      <c r="AW836" s="18"/>
      <c r="AX836" s="18"/>
    </row>
    <row r="837" spans="1:50" x14ac:dyDescent="0.2">
      <c r="A837" s="4" t="s">
        <v>55</v>
      </c>
      <c r="B837" s="4" t="s">
        <v>56</v>
      </c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1" t="s">
        <v>603</v>
      </c>
      <c r="AB837" s="42" t="s">
        <v>233</v>
      </c>
      <c r="AC837" s="43" t="s">
        <v>58</v>
      </c>
      <c r="AD837" s="44">
        <v>0</v>
      </c>
      <c r="AE837" s="44">
        <v>0</v>
      </c>
      <c r="AF837" s="44">
        <v>0</v>
      </c>
      <c r="AG837" s="43">
        <v>4400000</v>
      </c>
      <c r="AH837" s="44">
        <v>0</v>
      </c>
      <c r="AI837" s="43">
        <f>AE837-AF837+AG837-AH837</f>
        <v>4400000</v>
      </c>
      <c r="AJ837" s="43">
        <f>AD837+AI837</f>
        <v>4400000</v>
      </c>
      <c r="AK837" s="44">
        <v>0</v>
      </c>
      <c r="AL837" s="44">
        <v>0</v>
      </c>
      <c r="AM837" s="44">
        <v>0</v>
      </c>
      <c r="AN837" s="44">
        <v>0</v>
      </c>
      <c r="AO837" s="44">
        <v>0</v>
      </c>
      <c r="AP837" s="44">
        <v>0</v>
      </c>
      <c r="AQ837" s="34">
        <v>0</v>
      </c>
      <c r="AR837" s="34">
        <v>0</v>
      </c>
      <c r="AS837" s="34">
        <v>0</v>
      </c>
      <c r="AT837" s="40">
        <f t="shared" ref="AT837" si="339">AQ837+AS837</f>
        <v>0</v>
      </c>
      <c r="AU837" s="18">
        <f>AJ837-AM837</f>
        <v>4400000</v>
      </c>
      <c r="AV837" s="133">
        <f>AM837-AP837</f>
        <v>0</v>
      </c>
      <c r="AW837" s="34">
        <f>AP837-AT837</f>
        <v>0</v>
      </c>
      <c r="AX837" s="123">
        <f>AP837/AJ837</f>
        <v>0</v>
      </c>
    </row>
    <row r="838" spans="1:50" ht="25.5" x14ac:dyDescent="0.2">
      <c r="AA838" s="28" t="s">
        <v>288</v>
      </c>
      <c r="AB838" s="29" t="s">
        <v>197</v>
      </c>
      <c r="AC838" s="17"/>
      <c r="AD838" s="34"/>
      <c r="AE838" s="34"/>
      <c r="AF838" s="34"/>
      <c r="AG838" s="18"/>
      <c r="AH838" s="34"/>
      <c r="AI838" s="18"/>
      <c r="AJ838" s="18"/>
      <c r="AK838" s="34"/>
      <c r="AL838" s="34"/>
      <c r="AM838" s="34"/>
      <c r="AN838" s="34"/>
      <c r="AO838" s="34"/>
      <c r="AP838" s="34"/>
      <c r="AQ838" s="34"/>
      <c r="AR838" s="34"/>
      <c r="AS838" s="34"/>
      <c r="AT838" s="40"/>
      <c r="AU838" s="18"/>
      <c r="AV838" s="34"/>
      <c r="AW838" s="34"/>
      <c r="AX838" s="18"/>
    </row>
    <row r="839" spans="1:50" x14ac:dyDescent="0.2">
      <c r="A839" s="4" t="s">
        <v>55</v>
      </c>
      <c r="B839" s="4" t="s">
        <v>56</v>
      </c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1" t="s">
        <v>604</v>
      </c>
      <c r="AB839" s="42" t="s">
        <v>233</v>
      </c>
      <c r="AC839" s="43" t="s">
        <v>58</v>
      </c>
      <c r="AD839" s="44">
        <v>0</v>
      </c>
      <c r="AE839" s="44">
        <v>0</v>
      </c>
      <c r="AF839" s="44">
        <v>0</v>
      </c>
      <c r="AG839" s="43">
        <v>88500000</v>
      </c>
      <c r="AH839" s="43">
        <v>20700000</v>
      </c>
      <c r="AI839" s="43">
        <f>AE839-AF839+AG839-AH839</f>
        <v>67800000</v>
      </c>
      <c r="AJ839" s="43">
        <f>AD839+AI839</f>
        <v>67800000</v>
      </c>
      <c r="AK839" s="44">
        <v>0</v>
      </c>
      <c r="AL839" s="43">
        <v>29999991</v>
      </c>
      <c r="AM839" s="43">
        <v>29999991</v>
      </c>
      <c r="AN839" s="44">
        <v>0</v>
      </c>
      <c r="AO839" s="44">
        <v>0</v>
      </c>
      <c r="AP839" s="44">
        <v>0</v>
      </c>
      <c r="AQ839" s="34">
        <v>0</v>
      </c>
      <c r="AR839" s="34">
        <v>0</v>
      </c>
      <c r="AS839" s="34">
        <v>0</v>
      </c>
      <c r="AT839" s="40">
        <f t="shared" ref="AT839:AT840" si="340">AQ839+AS839</f>
        <v>0</v>
      </c>
      <c r="AU839" s="18">
        <f>AJ839-AM839</f>
        <v>37800009</v>
      </c>
      <c r="AV839" s="18">
        <f>AM839-AP839</f>
        <v>29999991</v>
      </c>
      <c r="AW839" s="34">
        <f>AP839-AT839</f>
        <v>0</v>
      </c>
      <c r="AX839" s="123">
        <f>AP839/AJ839</f>
        <v>0</v>
      </c>
    </row>
    <row r="840" spans="1:50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1" t="s">
        <v>1225</v>
      </c>
      <c r="AB840" s="42" t="s">
        <v>233</v>
      </c>
      <c r="AC840" s="43"/>
      <c r="AD840" s="44">
        <v>0</v>
      </c>
      <c r="AE840" s="44">
        <v>0</v>
      </c>
      <c r="AF840" s="44">
        <v>0</v>
      </c>
      <c r="AG840" s="43">
        <v>602281020</v>
      </c>
      <c r="AH840" s="43"/>
      <c r="AI840" s="43">
        <f>AE840-AF840+AG840-AH840</f>
        <v>602281020</v>
      </c>
      <c r="AJ840" s="43">
        <f>AD840+AI840</f>
        <v>602281020</v>
      </c>
      <c r="AK840" s="44">
        <v>0</v>
      </c>
      <c r="AL840" s="44">
        <v>0</v>
      </c>
      <c r="AM840" s="44">
        <v>0</v>
      </c>
      <c r="AN840" s="44">
        <v>0</v>
      </c>
      <c r="AO840" s="44">
        <v>0</v>
      </c>
      <c r="AP840" s="44">
        <v>0</v>
      </c>
      <c r="AQ840" s="34">
        <v>0</v>
      </c>
      <c r="AR840" s="34">
        <v>0</v>
      </c>
      <c r="AS840" s="34">
        <v>0</v>
      </c>
      <c r="AT840" s="40">
        <f t="shared" si="340"/>
        <v>0</v>
      </c>
      <c r="AU840" s="18">
        <f>AJ840-AM840</f>
        <v>602281020</v>
      </c>
      <c r="AV840" s="133">
        <f>AM840-AP840</f>
        <v>0</v>
      </c>
      <c r="AW840" s="34">
        <f>AP840-AT840</f>
        <v>0</v>
      </c>
      <c r="AX840" s="123">
        <f>AP840/AJ840</f>
        <v>0</v>
      </c>
    </row>
    <row r="841" spans="1:50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1"/>
      <c r="AB841" s="42"/>
      <c r="AC841" s="43"/>
      <c r="AD841" s="44"/>
      <c r="AE841" s="44"/>
      <c r="AF841" s="44"/>
      <c r="AG841" s="43"/>
      <c r="AH841" s="43"/>
      <c r="AI841" s="43"/>
      <c r="AJ841" s="43"/>
      <c r="AK841" s="44"/>
      <c r="AL841" s="44"/>
      <c r="AM841" s="44"/>
      <c r="AN841" s="44"/>
      <c r="AO841" s="44"/>
      <c r="AP841" s="44"/>
      <c r="AQ841" s="34"/>
      <c r="AR841" s="34"/>
      <c r="AS841" s="34"/>
      <c r="AT841" s="40"/>
      <c r="AU841" s="18"/>
      <c r="AV841" s="133"/>
      <c r="AW841" s="34"/>
      <c r="AX841" s="123"/>
    </row>
    <row r="842" spans="1:50" ht="38.25" x14ac:dyDescent="0.2">
      <c r="AA842" s="28" t="s">
        <v>288</v>
      </c>
      <c r="AB842" s="29" t="s">
        <v>606</v>
      </c>
      <c r="AC842" s="17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30"/>
      <c r="AU842" s="18"/>
      <c r="AV842" s="34"/>
      <c r="AW842" s="18"/>
      <c r="AX842" s="18"/>
    </row>
    <row r="843" spans="1:50" x14ac:dyDescent="0.2">
      <c r="A843" s="4" t="s">
        <v>55</v>
      </c>
      <c r="B843" s="4" t="s">
        <v>56</v>
      </c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1" t="s">
        <v>607</v>
      </c>
      <c r="AB843" s="42" t="s">
        <v>233</v>
      </c>
      <c r="AC843" s="43" t="s">
        <v>58</v>
      </c>
      <c r="AD843" s="43">
        <v>859800000</v>
      </c>
      <c r="AE843" s="44">
        <v>0</v>
      </c>
      <c r="AF843" s="44">
        <v>0</v>
      </c>
      <c r="AG843" s="43">
        <f>300000000+313000000</f>
        <v>613000000</v>
      </c>
      <c r="AH843" s="43">
        <f>900000+258300000</f>
        <v>259200000</v>
      </c>
      <c r="AI843" s="43">
        <f>AE843-AF843+AG843-AH843</f>
        <v>353800000</v>
      </c>
      <c r="AJ843" s="43">
        <f>AD843+AI843</f>
        <v>1213600000</v>
      </c>
      <c r="AK843" s="44">
        <v>0</v>
      </c>
      <c r="AL843" s="43">
        <v>10500000</v>
      </c>
      <c r="AM843" s="43">
        <v>589443632.66999996</v>
      </c>
      <c r="AN843" s="44">
        <v>0</v>
      </c>
      <c r="AO843" s="43">
        <v>10500000</v>
      </c>
      <c r="AP843" s="43">
        <v>589443632.66999996</v>
      </c>
      <c r="AQ843" s="18">
        <v>2400000</v>
      </c>
      <c r="AR843" s="110">
        <v>82150000</v>
      </c>
      <c r="AS843" s="110">
        <v>341460001</v>
      </c>
      <c r="AT843" s="111">
        <f t="shared" si="297"/>
        <v>343860001</v>
      </c>
      <c r="AU843" s="18">
        <f>AJ843-AM843</f>
        <v>624156367.33000004</v>
      </c>
      <c r="AV843" s="34">
        <f>AM843-AP843</f>
        <v>0</v>
      </c>
      <c r="AW843" s="18">
        <f>AP843-AT843</f>
        <v>245583631.66999996</v>
      </c>
      <c r="AX843" s="123">
        <f>AP843/AJ843</f>
        <v>0.48569844485003294</v>
      </c>
    </row>
    <row r="844" spans="1:50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1" t="s">
        <v>1101</v>
      </c>
      <c r="AB844" s="42" t="s">
        <v>1015</v>
      </c>
      <c r="AC844" s="43"/>
      <c r="AD844" s="43">
        <v>0</v>
      </c>
      <c r="AE844" s="43">
        <v>25000000</v>
      </c>
      <c r="AF844" s="44">
        <v>0</v>
      </c>
      <c r="AG844" s="44">
        <v>0</v>
      </c>
      <c r="AH844" s="44">
        <v>0</v>
      </c>
      <c r="AI844" s="43">
        <f>AE844-AF844+AG844-AH844</f>
        <v>25000000</v>
      </c>
      <c r="AJ844" s="43">
        <f>AD844+AI844</f>
        <v>25000000</v>
      </c>
      <c r="AK844" s="44">
        <v>0</v>
      </c>
      <c r="AL844" s="44">
        <v>0</v>
      </c>
      <c r="AM844" s="44">
        <v>0</v>
      </c>
      <c r="AN844" s="44">
        <v>0</v>
      </c>
      <c r="AO844" s="44">
        <v>0</v>
      </c>
      <c r="AP844" s="44">
        <v>0</v>
      </c>
      <c r="AQ844" s="34">
        <v>0</v>
      </c>
      <c r="AR844" s="133">
        <v>0</v>
      </c>
      <c r="AS844" s="133">
        <v>0</v>
      </c>
      <c r="AT844" s="135">
        <f t="shared" si="297"/>
        <v>0</v>
      </c>
      <c r="AU844" s="18">
        <f>AJ844-AM844</f>
        <v>25000000</v>
      </c>
      <c r="AV844" s="34">
        <f>AM844-AP844</f>
        <v>0</v>
      </c>
      <c r="AW844" s="18">
        <f>AP844-AT844</f>
        <v>0</v>
      </c>
      <c r="AX844" s="123">
        <f>AP844/AJ844</f>
        <v>0</v>
      </c>
    </row>
    <row r="845" spans="1:50" ht="25.5" x14ac:dyDescent="0.2">
      <c r="AA845" s="28" t="s">
        <v>288</v>
      </c>
      <c r="AB845" s="29" t="s">
        <v>608</v>
      </c>
      <c r="AC845" s="17"/>
      <c r="AD845" s="18"/>
      <c r="AE845" s="34"/>
      <c r="AF845" s="34"/>
      <c r="AG845" s="34"/>
      <c r="AH845" s="18"/>
      <c r="AI845" s="18"/>
      <c r="AJ845" s="18"/>
      <c r="AK845" s="34"/>
      <c r="AL845" s="18"/>
      <c r="AM845" s="18"/>
      <c r="AN845" s="34"/>
      <c r="AO845" s="18"/>
      <c r="AP845" s="18"/>
      <c r="AQ845" s="34"/>
      <c r="AR845" s="34"/>
      <c r="AS845" s="34"/>
      <c r="AT845" s="40">
        <f t="shared" si="297"/>
        <v>0</v>
      </c>
      <c r="AU845" s="18"/>
      <c r="AV845" s="34"/>
      <c r="AW845" s="18"/>
      <c r="AX845" s="18"/>
    </row>
    <row r="846" spans="1:50" x14ac:dyDescent="0.2">
      <c r="A846" s="4" t="s">
        <v>55</v>
      </c>
      <c r="B846" s="4" t="s">
        <v>56</v>
      </c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1" t="s">
        <v>609</v>
      </c>
      <c r="AB846" s="42" t="s">
        <v>233</v>
      </c>
      <c r="AC846" s="43" t="s">
        <v>58</v>
      </c>
      <c r="AD846" s="43">
        <v>20000000</v>
      </c>
      <c r="AE846" s="44">
        <v>0</v>
      </c>
      <c r="AF846" s="44">
        <v>0</v>
      </c>
      <c r="AG846" s="44">
        <v>0</v>
      </c>
      <c r="AH846" s="44">
        <v>0</v>
      </c>
      <c r="AI846" s="43">
        <f>AE846-AF846+AG846-AH846</f>
        <v>0</v>
      </c>
      <c r="AJ846" s="43">
        <f>AD846+AI846</f>
        <v>20000000</v>
      </c>
      <c r="AK846" s="44">
        <v>0</v>
      </c>
      <c r="AL846" s="44">
        <v>0</v>
      </c>
      <c r="AM846" s="44">
        <v>0</v>
      </c>
      <c r="AN846" s="44">
        <v>0</v>
      </c>
      <c r="AO846" s="44">
        <f>AP846-'MARZO '!AP689</f>
        <v>0</v>
      </c>
      <c r="AP846" s="44">
        <v>0</v>
      </c>
      <c r="AQ846" s="34">
        <v>0</v>
      </c>
      <c r="AR846" s="34">
        <v>0</v>
      </c>
      <c r="AS846" s="34">
        <v>0</v>
      </c>
      <c r="AT846" s="40">
        <f t="shared" si="297"/>
        <v>0</v>
      </c>
      <c r="AU846" s="18">
        <f>AJ846-AM846</f>
        <v>20000000</v>
      </c>
      <c r="AV846" s="133">
        <f>AM846-AP846</f>
        <v>0</v>
      </c>
      <c r="AW846" s="34">
        <f>AP846-AT846</f>
        <v>0</v>
      </c>
      <c r="AX846" s="123">
        <f>AP846/AJ846</f>
        <v>0</v>
      </c>
    </row>
    <row r="847" spans="1:50" x14ac:dyDescent="0.2">
      <c r="AA847" s="28" t="s">
        <v>288</v>
      </c>
      <c r="AB847" s="29" t="s">
        <v>400</v>
      </c>
      <c r="AC847" s="17"/>
      <c r="AD847" s="18"/>
      <c r="AE847" s="34"/>
      <c r="AF847" s="34"/>
      <c r="AG847" s="34"/>
      <c r="AH847" s="34"/>
      <c r="AI847" s="34"/>
      <c r="AJ847" s="18"/>
      <c r="AK847" s="34"/>
      <c r="AL847" s="18"/>
      <c r="AM847" s="18"/>
      <c r="AN847" s="34"/>
      <c r="AO847" s="34"/>
      <c r="AP847" s="18"/>
      <c r="AQ847" s="34"/>
      <c r="AR847" s="34"/>
      <c r="AS847" s="34"/>
      <c r="AT847" s="40"/>
      <c r="AU847" s="18"/>
      <c r="AV847" s="34"/>
      <c r="AW847" s="18"/>
      <c r="AX847" s="18"/>
    </row>
    <row r="848" spans="1:50" x14ac:dyDescent="0.2">
      <c r="A848" s="4" t="s">
        <v>55</v>
      </c>
      <c r="B848" s="4" t="s">
        <v>56</v>
      </c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1" t="s">
        <v>610</v>
      </c>
      <c r="AB848" s="42" t="s">
        <v>233</v>
      </c>
      <c r="AC848" s="43" t="s">
        <v>58</v>
      </c>
      <c r="AD848" s="43">
        <v>379500000</v>
      </c>
      <c r="AE848" s="44">
        <v>0</v>
      </c>
      <c r="AF848" s="44">
        <v>0</v>
      </c>
      <c r="AG848" s="44">
        <v>0</v>
      </c>
      <c r="AH848" s="44">
        <v>0</v>
      </c>
      <c r="AI848" s="44">
        <v>0</v>
      </c>
      <c r="AJ848" s="43">
        <v>379500000</v>
      </c>
      <c r="AK848" s="44">
        <v>0</v>
      </c>
      <c r="AL848" s="43">
        <v>0</v>
      </c>
      <c r="AM848" s="43">
        <v>290666666.67000002</v>
      </c>
      <c r="AN848" s="44">
        <v>0</v>
      </c>
      <c r="AO848" s="44">
        <v>0</v>
      </c>
      <c r="AP848" s="43">
        <v>290666666.67000002</v>
      </c>
      <c r="AQ848" s="18">
        <v>1750000</v>
      </c>
      <c r="AR848" s="18">
        <v>34000000</v>
      </c>
      <c r="AS848" s="18">
        <v>157916667</v>
      </c>
      <c r="AT848" s="111">
        <f t="shared" ref="AT848" si="341">AQ848+AS848</f>
        <v>159666667</v>
      </c>
      <c r="AU848" s="18">
        <f>AJ848-AM848</f>
        <v>88833333.329999983</v>
      </c>
      <c r="AV848" s="133">
        <f>AM848-AP848</f>
        <v>0</v>
      </c>
      <c r="AW848" s="18">
        <f>AP848-AT848</f>
        <v>130999999.67000002</v>
      </c>
      <c r="AX848" s="123">
        <f>AP848/AJ848</f>
        <v>0.76592007027667985</v>
      </c>
    </row>
    <row r="849" spans="1:50" x14ac:dyDescent="0.2">
      <c r="AA849" s="16"/>
      <c r="AB849" s="17"/>
      <c r="AC849" s="17"/>
      <c r="AD849" s="18"/>
      <c r="AE849" s="34"/>
      <c r="AF849" s="34"/>
      <c r="AG849" s="34"/>
      <c r="AH849" s="18"/>
      <c r="AI849" s="18"/>
      <c r="AJ849" s="18"/>
      <c r="AK849" s="34"/>
      <c r="AL849" s="18"/>
      <c r="AM849" s="18"/>
      <c r="AN849" s="18"/>
      <c r="AO849" s="18"/>
      <c r="AP849" s="18"/>
      <c r="AQ849" s="34"/>
      <c r="AR849" s="34"/>
      <c r="AS849" s="34"/>
      <c r="AT849" s="40"/>
      <c r="AU849" s="18"/>
      <c r="AV849" s="34"/>
      <c r="AW849" s="18"/>
      <c r="AX849" s="18"/>
    </row>
    <row r="850" spans="1:50" x14ac:dyDescent="0.2">
      <c r="AA850" s="16"/>
      <c r="AB850" s="29" t="s">
        <v>199</v>
      </c>
      <c r="AC850" s="17"/>
      <c r="AD850" s="18"/>
      <c r="AE850" s="34"/>
      <c r="AF850" s="34"/>
      <c r="AG850" s="34"/>
      <c r="AH850" s="18"/>
      <c r="AI850" s="18"/>
      <c r="AJ850" s="18"/>
      <c r="AK850" s="34"/>
      <c r="AL850" s="18"/>
      <c r="AM850" s="18"/>
      <c r="AN850" s="18"/>
      <c r="AO850" s="18"/>
      <c r="AP850" s="18"/>
      <c r="AQ850" s="34"/>
      <c r="AR850" s="34"/>
      <c r="AS850" s="34"/>
      <c r="AT850" s="40"/>
      <c r="AU850" s="18"/>
      <c r="AV850" s="18"/>
      <c r="AW850" s="18"/>
      <c r="AX850" s="18"/>
    </row>
    <row r="851" spans="1:50" ht="38.25" x14ac:dyDescent="0.2">
      <c r="AA851" s="28" t="s">
        <v>288</v>
      </c>
      <c r="AB851" s="29" t="s">
        <v>611</v>
      </c>
      <c r="AC851" s="17"/>
      <c r="AD851" s="18"/>
      <c r="AE851" s="34"/>
      <c r="AF851" s="34"/>
      <c r="AG851" s="34"/>
      <c r="AH851" s="18"/>
      <c r="AI851" s="18"/>
      <c r="AJ851" s="18"/>
      <c r="AK851" s="34"/>
      <c r="AL851" s="18"/>
      <c r="AM851" s="18"/>
      <c r="AN851" s="18"/>
      <c r="AO851" s="18"/>
      <c r="AP851" s="18"/>
      <c r="AQ851" s="34"/>
      <c r="AR851" s="34"/>
      <c r="AS851" s="34"/>
      <c r="AT851" s="40"/>
      <c r="AU851" s="18"/>
      <c r="AV851" s="18"/>
      <c r="AW851" s="18"/>
      <c r="AX851" s="18"/>
    </row>
    <row r="852" spans="1:50" x14ac:dyDescent="0.2">
      <c r="A852" s="4" t="s">
        <v>55</v>
      </c>
      <c r="B852" s="4" t="s">
        <v>56</v>
      </c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1" t="s">
        <v>612</v>
      </c>
      <c r="AB852" s="42" t="s">
        <v>233</v>
      </c>
      <c r="AC852" s="43" t="s">
        <v>58</v>
      </c>
      <c r="AD852" s="43">
        <v>725000000</v>
      </c>
      <c r="AE852" s="44">
        <v>0</v>
      </c>
      <c r="AF852" s="44">
        <v>0</v>
      </c>
      <c r="AG852" s="43">
        <v>20700000</v>
      </c>
      <c r="AH852" s="43">
        <f>17000000+313000000</f>
        <v>330000000</v>
      </c>
      <c r="AI852" s="43">
        <f>AE852-AF852+AG852-AH852</f>
        <v>-309300000</v>
      </c>
      <c r="AJ852" s="43">
        <f>AD852+AI852</f>
        <v>415700000</v>
      </c>
      <c r="AK852" s="4">
        <v>0</v>
      </c>
      <c r="AL852" s="4">
        <v>20700000</v>
      </c>
      <c r="AM852" s="4">
        <v>415700000</v>
      </c>
      <c r="AN852" s="4">
        <v>0</v>
      </c>
      <c r="AO852" s="4">
        <v>17650582</v>
      </c>
      <c r="AP852" s="4">
        <v>157158915</v>
      </c>
      <c r="AQ852" s="4">
        <v>0</v>
      </c>
      <c r="AR852" s="4">
        <v>39282129</v>
      </c>
      <c r="AS852" s="4">
        <v>107772251</v>
      </c>
      <c r="AT852" s="111">
        <f t="shared" ref="AT852:AT853" si="342">AQ852+AS852</f>
        <v>107772251</v>
      </c>
      <c r="AU852" s="110">
        <f>AJ852-AM852</f>
        <v>0</v>
      </c>
      <c r="AV852" s="110">
        <f>AM852-AP852</f>
        <v>258541085</v>
      </c>
      <c r="AW852" s="18">
        <f>AP852-AT852</f>
        <v>49386664</v>
      </c>
      <c r="AX852" s="123">
        <f>AP852/AJ852</f>
        <v>0.37805849170074574</v>
      </c>
    </row>
    <row r="853" spans="1:50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1" t="s">
        <v>1102</v>
      </c>
      <c r="AB853" s="42" t="s">
        <v>1015</v>
      </c>
      <c r="AC853" s="43"/>
      <c r="AD853" s="44">
        <v>0</v>
      </c>
      <c r="AE853" s="43">
        <v>12000000</v>
      </c>
      <c r="AF853" s="44">
        <v>0</v>
      </c>
      <c r="AG853" s="44">
        <v>0</v>
      </c>
      <c r="AH853" s="44">
        <v>0</v>
      </c>
      <c r="AI853" s="43">
        <f>AE853-AF853+AG853-AH853</f>
        <v>12000000</v>
      </c>
      <c r="AJ853" s="43">
        <f>AD853+AI853</f>
        <v>12000000</v>
      </c>
      <c r="AK853" s="44">
        <v>0</v>
      </c>
      <c r="AL853" s="43">
        <v>2300000</v>
      </c>
      <c r="AM853" s="43">
        <v>2300000</v>
      </c>
      <c r="AN853" s="43">
        <v>0</v>
      </c>
      <c r="AO853" s="44">
        <v>0</v>
      </c>
      <c r="AP853" s="115">
        <v>0</v>
      </c>
      <c r="AQ853" s="133">
        <v>0</v>
      </c>
      <c r="AR853" s="133">
        <v>0</v>
      </c>
      <c r="AS853" s="133">
        <v>0</v>
      </c>
      <c r="AT853" s="135">
        <f t="shared" si="342"/>
        <v>0</v>
      </c>
      <c r="AU853" s="110">
        <f>AJ853-AM853</f>
        <v>9700000</v>
      </c>
      <c r="AV853" s="18">
        <f>AM853-AP853</f>
        <v>2300000</v>
      </c>
      <c r="AW853" s="34">
        <f>AP853-AT853</f>
        <v>0</v>
      </c>
      <c r="AX853" s="123">
        <f>AP853/AJ853</f>
        <v>0</v>
      </c>
    </row>
    <row r="854" spans="1:50" x14ac:dyDescent="0.2">
      <c r="AA854" s="16"/>
      <c r="AB854" s="17"/>
      <c r="AC854" s="17"/>
      <c r="AD854" s="34"/>
      <c r="AE854" s="18"/>
      <c r="AF854" s="18"/>
      <c r="AG854" s="18"/>
      <c r="AH854" s="18"/>
      <c r="AI854" s="18"/>
      <c r="AJ854" s="18"/>
      <c r="AK854" s="34"/>
      <c r="AL854" s="34"/>
      <c r="AM854" s="34"/>
      <c r="AN854" s="18"/>
      <c r="AO854" s="18"/>
      <c r="AP854" s="18"/>
      <c r="AQ854" s="34"/>
      <c r="AR854" s="34"/>
      <c r="AS854" s="34"/>
      <c r="AT854" s="40"/>
      <c r="AU854" s="18"/>
      <c r="AV854" s="18"/>
      <c r="AW854" s="18"/>
      <c r="AX854" s="18"/>
    </row>
    <row r="855" spans="1:50" x14ac:dyDescent="0.2">
      <c r="AA855" s="73" t="s">
        <v>1016</v>
      </c>
      <c r="AB855" s="74" t="s">
        <v>1068</v>
      </c>
      <c r="AC855" s="17"/>
      <c r="AD855" s="34"/>
      <c r="AE855" s="18"/>
      <c r="AF855" s="18"/>
      <c r="AG855" s="18"/>
      <c r="AH855" s="18"/>
      <c r="AI855" s="18"/>
      <c r="AJ855" s="18"/>
      <c r="AK855" s="34"/>
      <c r="AL855" s="34"/>
      <c r="AM855" s="34"/>
      <c r="AN855" s="18"/>
      <c r="AO855" s="18"/>
      <c r="AP855" s="18"/>
      <c r="AQ855" s="34"/>
      <c r="AR855" s="34"/>
      <c r="AS855" s="34"/>
      <c r="AT855" s="40"/>
      <c r="AU855" s="18"/>
      <c r="AV855" s="18"/>
      <c r="AW855" s="18"/>
      <c r="AX855" s="18"/>
    </row>
    <row r="856" spans="1:50" x14ac:dyDescent="0.2">
      <c r="AA856" s="73" t="s">
        <v>1017</v>
      </c>
      <c r="AB856" s="74" t="s">
        <v>1069</v>
      </c>
      <c r="AC856" s="17"/>
      <c r="AD856" s="34"/>
      <c r="AE856" s="18"/>
      <c r="AF856" s="18"/>
      <c r="AG856" s="18"/>
      <c r="AH856" s="18"/>
      <c r="AI856" s="18"/>
      <c r="AJ856" s="18"/>
      <c r="AK856" s="34"/>
      <c r="AL856" s="34"/>
      <c r="AM856" s="34"/>
      <c r="AN856" s="18"/>
      <c r="AO856" s="18"/>
      <c r="AP856" s="18"/>
      <c r="AQ856" s="34"/>
      <c r="AR856" s="34"/>
      <c r="AS856" s="34"/>
      <c r="AT856" s="40"/>
      <c r="AU856" s="18"/>
      <c r="AV856" s="18"/>
      <c r="AW856" s="18"/>
      <c r="AX856" s="18"/>
    </row>
    <row r="857" spans="1:50" x14ac:dyDescent="0.2">
      <c r="AA857" s="73" t="s">
        <v>1018</v>
      </c>
      <c r="AB857" s="74" t="s">
        <v>286</v>
      </c>
      <c r="AC857" s="17"/>
      <c r="AD857" s="34"/>
      <c r="AE857" s="18"/>
      <c r="AF857" s="18"/>
      <c r="AG857" s="18"/>
      <c r="AH857" s="18"/>
      <c r="AI857" s="18"/>
      <c r="AJ857" s="18"/>
      <c r="AK857" s="34"/>
      <c r="AL857" s="34"/>
      <c r="AM857" s="34"/>
      <c r="AN857" s="18"/>
      <c r="AO857" s="18"/>
      <c r="AP857" s="18"/>
      <c r="AQ857" s="34"/>
      <c r="AR857" s="34"/>
      <c r="AS857" s="34"/>
      <c r="AT857" s="40"/>
      <c r="AU857" s="18"/>
      <c r="AV857" s="18"/>
      <c r="AW857" s="18"/>
      <c r="AX857" s="18"/>
    </row>
    <row r="858" spans="1:50" x14ac:dyDescent="0.2">
      <c r="AA858" s="73" t="s">
        <v>1021</v>
      </c>
      <c r="AB858" s="74" t="s">
        <v>1070</v>
      </c>
      <c r="AC858" s="17"/>
      <c r="AD858" s="34"/>
      <c r="AE858" s="18"/>
      <c r="AF858" s="18"/>
      <c r="AG858" s="18"/>
      <c r="AH858" s="18"/>
      <c r="AI858" s="18"/>
      <c r="AJ858" s="18"/>
      <c r="AK858" s="34"/>
      <c r="AL858" s="34"/>
      <c r="AM858" s="34"/>
      <c r="AN858" s="18"/>
      <c r="AO858" s="18"/>
      <c r="AP858" s="18"/>
      <c r="AQ858" s="34"/>
      <c r="AR858" s="34"/>
      <c r="AS858" s="34"/>
      <c r="AT858" s="40"/>
      <c r="AU858" s="18"/>
      <c r="AV858" s="18"/>
      <c r="AW858" s="18"/>
      <c r="AX858" s="18"/>
    </row>
    <row r="859" spans="1:50" s="150" customFormat="1" x14ac:dyDescent="0.2">
      <c r="B859" s="276"/>
      <c r="C859" s="276"/>
      <c r="D859" s="276"/>
      <c r="E859" s="276"/>
      <c r="F859" s="276"/>
      <c r="G859" s="276"/>
      <c r="H859" s="276"/>
      <c r="I859" s="276"/>
      <c r="J859" s="276"/>
      <c r="K859" s="276"/>
      <c r="L859" s="276"/>
      <c r="M859" s="276"/>
      <c r="N859" s="276"/>
      <c r="O859" s="276"/>
      <c r="P859" s="276"/>
      <c r="Q859" s="276"/>
      <c r="R859" s="276"/>
      <c r="S859" s="276"/>
      <c r="T859" s="276"/>
      <c r="U859" s="276"/>
      <c r="V859" s="276"/>
      <c r="W859" s="276"/>
      <c r="X859" s="276"/>
      <c r="Y859" s="276"/>
      <c r="Z859" s="276"/>
      <c r="AA859" s="139" t="s">
        <v>1019</v>
      </c>
      <c r="AB859" s="70" t="s">
        <v>1005</v>
      </c>
      <c r="AC859" s="70"/>
      <c r="AD859" s="145">
        <v>0</v>
      </c>
      <c r="AE859" s="147">
        <v>6986666</v>
      </c>
      <c r="AF859" s="145">
        <v>0</v>
      </c>
      <c r="AG859" s="145">
        <v>0</v>
      </c>
      <c r="AH859" s="145">
        <v>0</v>
      </c>
      <c r="AI859" s="142">
        <f>AE859-AF859+AG859-AH859</f>
        <v>6986666</v>
      </c>
      <c r="AJ859" s="142">
        <f>AD859+AI859</f>
        <v>6986666</v>
      </c>
      <c r="AK859" s="145">
        <v>0</v>
      </c>
      <c r="AL859" s="145">
        <v>0</v>
      </c>
      <c r="AM859" s="145">
        <v>0</v>
      </c>
      <c r="AN859" s="147">
        <v>0</v>
      </c>
      <c r="AO859" s="147">
        <v>0</v>
      </c>
      <c r="AP859" s="145">
        <v>0</v>
      </c>
      <c r="AQ859" s="145">
        <v>0</v>
      </c>
      <c r="AR859" s="145">
        <v>0</v>
      </c>
      <c r="AS859" s="145">
        <v>0</v>
      </c>
      <c r="AT859" s="277">
        <f t="shared" ref="AT859" si="343">AQ859+AS859</f>
        <v>0</v>
      </c>
      <c r="AU859" s="148">
        <f>AJ859-AM859</f>
        <v>6986666</v>
      </c>
      <c r="AV859" s="175">
        <f>AM859-AP859</f>
        <v>0</v>
      </c>
      <c r="AW859" s="145">
        <f>AP859-AT859</f>
        <v>0</v>
      </c>
      <c r="AX859" s="149">
        <f>AP859/AJ859</f>
        <v>0</v>
      </c>
    </row>
    <row r="860" spans="1:50" x14ac:dyDescent="0.2">
      <c r="AA860" s="16"/>
      <c r="AB860" s="17"/>
      <c r="AC860" s="17"/>
      <c r="AD860" s="18"/>
      <c r="AE860" s="18"/>
      <c r="AF860" s="18"/>
      <c r="AG860" s="18"/>
      <c r="AH860" s="18"/>
      <c r="AI860" s="18"/>
      <c r="AJ860" s="18"/>
      <c r="AK860" s="34"/>
      <c r="AL860" s="34"/>
      <c r="AM860" s="18"/>
      <c r="AN860" s="18"/>
      <c r="AO860" s="18"/>
      <c r="AP860" s="18"/>
      <c r="AQ860" s="34"/>
      <c r="AR860" s="34"/>
      <c r="AS860" s="34"/>
      <c r="AT860" s="40"/>
      <c r="AU860" s="18"/>
      <c r="AV860" s="18"/>
      <c r="AW860" s="18"/>
      <c r="AX860" s="18"/>
    </row>
    <row r="861" spans="1:50" ht="38.25" x14ac:dyDescent="0.2">
      <c r="AA861" s="16"/>
      <c r="AB861" s="29" t="s">
        <v>613</v>
      </c>
      <c r="AC861" s="17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30"/>
      <c r="AU861" s="18"/>
      <c r="AV861" s="18"/>
      <c r="AW861" s="18"/>
      <c r="AX861" s="18"/>
    </row>
    <row r="862" spans="1:50" x14ac:dyDescent="0.2">
      <c r="AA862" s="16"/>
      <c r="AB862" s="29" t="s">
        <v>614</v>
      </c>
      <c r="AC862" s="17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30"/>
      <c r="AU862" s="18"/>
      <c r="AV862" s="18"/>
      <c r="AW862" s="18"/>
      <c r="AX862" s="18"/>
    </row>
    <row r="863" spans="1:50" x14ac:dyDescent="0.2">
      <c r="AA863" s="16"/>
      <c r="AB863" s="29" t="s">
        <v>286</v>
      </c>
      <c r="AC863" s="17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30"/>
      <c r="AU863" s="18"/>
      <c r="AV863" s="18"/>
      <c r="AW863" s="18"/>
      <c r="AX863" s="18"/>
    </row>
    <row r="864" spans="1:50" x14ac:dyDescent="0.2">
      <c r="AA864" s="16"/>
      <c r="AB864" s="29" t="s">
        <v>574</v>
      </c>
      <c r="AC864" s="17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30"/>
      <c r="AU864" s="18"/>
      <c r="AV864" s="18"/>
      <c r="AW864" s="18"/>
      <c r="AX864" s="18"/>
    </row>
    <row r="865" spans="1:50" x14ac:dyDescent="0.2">
      <c r="AA865" s="16"/>
      <c r="AB865" s="29" t="s">
        <v>575</v>
      </c>
      <c r="AC865" s="17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30"/>
      <c r="AU865" s="18"/>
      <c r="AV865" s="18"/>
      <c r="AW865" s="18"/>
      <c r="AX865" s="18"/>
    </row>
    <row r="866" spans="1:50" x14ac:dyDescent="0.2">
      <c r="AA866" s="16"/>
      <c r="AB866" s="29" t="s">
        <v>576</v>
      </c>
      <c r="AC866" s="17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30"/>
      <c r="AU866" s="18"/>
      <c r="AV866" s="18"/>
      <c r="AW866" s="18"/>
      <c r="AX866" s="18"/>
    </row>
    <row r="867" spans="1:50" x14ac:dyDescent="0.2">
      <c r="AA867" s="16"/>
      <c r="AB867" s="29" t="s">
        <v>615</v>
      </c>
      <c r="AC867" s="17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30"/>
      <c r="AU867" s="18"/>
      <c r="AV867" s="18"/>
      <c r="AW867" s="18"/>
      <c r="AX867" s="18"/>
    </row>
    <row r="868" spans="1:50" ht="25.5" x14ac:dyDescent="0.2">
      <c r="AA868" s="16"/>
      <c r="AB868" s="29" t="s">
        <v>579</v>
      </c>
      <c r="AC868" s="17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30"/>
      <c r="AU868" s="18"/>
      <c r="AV868" s="18"/>
      <c r="AW868" s="18"/>
      <c r="AX868" s="18"/>
    </row>
    <row r="869" spans="1:50" ht="25.5" x14ac:dyDescent="0.2">
      <c r="AA869" s="41" t="s">
        <v>1229</v>
      </c>
      <c r="AB869" s="38" t="s">
        <v>1228</v>
      </c>
      <c r="AC869" s="17"/>
      <c r="AD869" s="34">
        <v>0</v>
      </c>
      <c r="AE869" s="34">
        <v>0</v>
      </c>
      <c r="AF869" s="34">
        <v>0</v>
      </c>
      <c r="AG869" s="18">
        <f>283500000+31000000+279000000</f>
        <v>593500000</v>
      </c>
      <c r="AH869" s="34">
        <v>0</v>
      </c>
      <c r="AI869" s="43">
        <f>AE869-AF869+AG869-AH869</f>
        <v>593500000</v>
      </c>
      <c r="AJ869" s="142">
        <f>AD869+AI869</f>
        <v>593500000</v>
      </c>
      <c r="AK869" s="34">
        <v>0</v>
      </c>
      <c r="AL869" s="18">
        <v>12188407.279999999</v>
      </c>
      <c r="AM869" s="18">
        <v>12188407.279999999</v>
      </c>
      <c r="AN869" s="18">
        <v>0</v>
      </c>
      <c r="AO869" s="18">
        <v>12188407.279999999</v>
      </c>
      <c r="AP869" s="18">
        <v>12188407.279999999</v>
      </c>
      <c r="AQ869" s="34">
        <v>0</v>
      </c>
      <c r="AR869" s="34">
        <v>0</v>
      </c>
      <c r="AS869" s="34">
        <v>0</v>
      </c>
      <c r="AT869" s="135">
        <f t="shared" ref="AT869" si="344">AQ869+AS869</f>
        <v>0</v>
      </c>
      <c r="AU869" s="110">
        <f>AJ869-AM869</f>
        <v>581311592.72000003</v>
      </c>
      <c r="AV869" s="133">
        <f>AM869-AP869</f>
        <v>0</v>
      </c>
      <c r="AW869" s="34">
        <f>AP869-AT869</f>
        <v>12188407.279999999</v>
      </c>
      <c r="AX869" s="123">
        <f>AP869/AJ869</f>
        <v>2.0536490783487783E-2</v>
      </c>
    </row>
    <row r="870" spans="1:50" ht="25.5" x14ac:dyDescent="0.2">
      <c r="AA870" s="28" t="s">
        <v>288</v>
      </c>
      <c r="AB870" s="29" t="s">
        <v>616</v>
      </c>
      <c r="AC870" s="17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30"/>
      <c r="AU870" s="18"/>
      <c r="AV870" s="34"/>
      <c r="AW870" s="18"/>
      <c r="AX870" s="18"/>
    </row>
    <row r="871" spans="1:50" x14ac:dyDescent="0.2">
      <c r="A871" s="4" t="s">
        <v>55</v>
      </c>
      <c r="B871" s="4" t="s">
        <v>56</v>
      </c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1" t="s">
        <v>617</v>
      </c>
      <c r="AB871" s="42" t="s">
        <v>618</v>
      </c>
      <c r="AC871" s="43" t="s">
        <v>619</v>
      </c>
      <c r="AD871" s="43">
        <v>100000000</v>
      </c>
      <c r="AE871" s="44">
        <v>0</v>
      </c>
      <c r="AF871" s="44">
        <v>0</v>
      </c>
      <c r="AG871" s="43">
        <f>770000000+704534301</f>
        <v>1474534301</v>
      </c>
      <c r="AH871" s="137">
        <v>0</v>
      </c>
      <c r="AI871" s="43">
        <f>AE871-AF871+AG871-AH871</f>
        <v>1474534301</v>
      </c>
      <c r="AJ871" s="43">
        <f>AD871+AI871</f>
        <v>1574534301</v>
      </c>
      <c r="AK871" s="44">
        <v>0</v>
      </c>
      <c r="AL871" s="114">
        <v>0</v>
      </c>
      <c r="AM871" s="114">
        <v>1565609440</v>
      </c>
      <c r="AN871" s="44">
        <v>0</v>
      </c>
      <c r="AO871" s="43">
        <v>0</v>
      </c>
      <c r="AP871" s="43">
        <v>1565609440</v>
      </c>
      <c r="AQ871" s="43">
        <v>0</v>
      </c>
      <c r="AR871" s="43">
        <v>0</v>
      </c>
      <c r="AS871" s="43">
        <v>16631440</v>
      </c>
      <c r="AT871" s="39">
        <f t="shared" ref="AT871" si="345">AQ871+AS871</f>
        <v>16631440</v>
      </c>
      <c r="AU871" s="18">
        <f>AJ871-AM871</f>
        <v>8924861</v>
      </c>
      <c r="AV871" s="133">
        <f>AM871-AP871</f>
        <v>0</v>
      </c>
      <c r="AW871" s="18">
        <f>AP871-AT871</f>
        <v>1548978000</v>
      </c>
      <c r="AX871" s="123">
        <f>AP871/AJ871</f>
        <v>0.99433174558704007</v>
      </c>
    </row>
    <row r="872" spans="1:50" x14ac:dyDescent="0.2">
      <c r="AA872" s="16"/>
      <c r="AB872" s="17"/>
      <c r="AC872" s="17"/>
      <c r="AD872" s="18"/>
      <c r="AE872" s="34"/>
      <c r="AF872" s="34"/>
      <c r="AG872" s="34"/>
      <c r="AH872" s="34"/>
      <c r="AI872" s="34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30"/>
      <c r="AU872" s="18"/>
      <c r="AV872" s="18"/>
      <c r="AW872" s="18"/>
      <c r="AX872" s="18"/>
    </row>
    <row r="873" spans="1:50" x14ac:dyDescent="0.2">
      <c r="AA873" s="16"/>
      <c r="AB873" s="29" t="s">
        <v>620</v>
      </c>
      <c r="AC873" s="17"/>
      <c r="AD873" s="18"/>
      <c r="AE873" s="34"/>
      <c r="AF873" s="34"/>
      <c r="AG873" s="34"/>
      <c r="AH873" s="34"/>
      <c r="AI873" s="34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30"/>
      <c r="AU873" s="18"/>
      <c r="AV873" s="18"/>
      <c r="AW873" s="18"/>
      <c r="AX873" s="18"/>
    </row>
    <row r="874" spans="1:50" ht="25.5" x14ac:dyDescent="0.2">
      <c r="AA874" s="16"/>
      <c r="AB874" s="29" t="s">
        <v>621</v>
      </c>
      <c r="AC874" s="17"/>
      <c r="AD874" s="18"/>
      <c r="AE874" s="34"/>
      <c r="AF874" s="34"/>
      <c r="AG874" s="34"/>
      <c r="AH874" s="34"/>
      <c r="AI874" s="34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30"/>
      <c r="AU874" s="18"/>
      <c r="AV874" s="18"/>
      <c r="AW874" s="18"/>
      <c r="AX874" s="18"/>
    </row>
    <row r="875" spans="1:50" ht="25.5" x14ac:dyDescent="0.2">
      <c r="AA875" s="28" t="s">
        <v>288</v>
      </c>
      <c r="AB875" s="29" t="s">
        <v>616</v>
      </c>
      <c r="AC875" s="17"/>
      <c r="AD875" s="18"/>
      <c r="AE875" s="34"/>
      <c r="AF875" s="34"/>
      <c r="AG875" s="34"/>
      <c r="AH875" s="34"/>
      <c r="AI875" s="34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30"/>
      <c r="AU875" s="18"/>
      <c r="AV875" s="18"/>
      <c r="AW875" s="18"/>
      <c r="AX875" s="18"/>
    </row>
    <row r="876" spans="1:50" x14ac:dyDescent="0.2">
      <c r="A876" s="4" t="s">
        <v>55</v>
      </c>
      <c r="B876" s="4" t="s">
        <v>56</v>
      </c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1" t="s">
        <v>622</v>
      </c>
      <c r="AB876" s="42" t="s">
        <v>618</v>
      </c>
      <c r="AC876" s="43" t="s">
        <v>619</v>
      </c>
      <c r="AD876" s="43">
        <v>162000000</v>
      </c>
      <c r="AE876" s="44">
        <v>0</v>
      </c>
      <c r="AF876" s="44">
        <v>0</v>
      </c>
      <c r="AG876" s="43">
        <f>24729623+163270377</f>
        <v>188000000</v>
      </c>
      <c r="AH876" s="44">
        <v>0</v>
      </c>
      <c r="AI876" s="43">
        <f>AE876-AF876+AG876-AH876</f>
        <v>188000000</v>
      </c>
      <c r="AJ876" s="43">
        <f>AD876+AI876</f>
        <v>350000000</v>
      </c>
      <c r="AK876" s="44">
        <v>0</v>
      </c>
      <c r="AL876" s="44">
        <v>0</v>
      </c>
      <c r="AM876" s="43">
        <v>297576901</v>
      </c>
      <c r="AN876" s="43">
        <v>0</v>
      </c>
      <c r="AO876" s="43">
        <v>0</v>
      </c>
      <c r="AP876" s="43">
        <v>297576901</v>
      </c>
      <c r="AQ876" s="44">
        <v>0</v>
      </c>
      <c r="AR876" s="44">
        <v>0</v>
      </c>
      <c r="AS876" s="44">
        <v>0</v>
      </c>
      <c r="AT876" s="40">
        <f t="shared" ref="AT876" si="346">AQ876+AS876</f>
        <v>0</v>
      </c>
      <c r="AU876" s="18">
        <f>AJ876-AM876</f>
        <v>52423099</v>
      </c>
      <c r="AV876" s="133">
        <f>AM876-AP876</f>
        <v>0</v>
      </c>
      <c r="AW876" s="18">
        <f>AP876-AT876</f>
        <v>297576901</v>
      </c>
      <c r="AX876" s="123">
        <f>AP876/AJ876</f>
        <v>0.85021971714285716</v>
      </c>
    </row>
    <row r="877" spans="1:50" x14ac:dyDescent="0.2">
      <c r="AA877" s="16"/>
      <c r="AB877" s="17"/>
      <c r="AC877" s="17"/>
      <c r="AD877" s="18"/>
      <c r="AE877" s="34"/>
      <c r="AF877" s="34"/>
      <c r="AG877" s="34"/>
      <c r="AH877" s="34"/>
      <c r="AI877" s="34"/>
      <c r="AJ877" s="18"/>
      <c r="AK877" s="34"/>
      <c r="AL877" s="34"/>
      <c r="AM877" s="34"/>
      <c r="AN877" s="34"/>
      <c r="AO877" s="34"/>
      <c r="AP877" s="34"/>
      <c r="AQ877" s="34"/>
      <c r="AR877" s="34"/>
      <c r="AS877" s="34"/>
      <c r="AT877" s="31"/>
      <c r="AU877" s="18"/>
      <c r="AV877" s="18"/>
      <c r="AW877" s="18"/>
      <c r="AX877" s="18"/>
    </row>
    <row r="878" spans="1:50" x14ac:dyDescent="0.2">
      <c r="AA878" s="16"/>
      <c r="AB878" s="29" t="s">
        <v>623</v>
      </c>
      <c r="AC878" s="17"/>
      <c r="AD878" s="18"/>
      <c r="AE878" s="34"/>
      <c r="AF878" s="34"/>
      <c r="AG878" s="34"/>
      <c r="AH878" s="34"/>
      <c r="AI878" s="34"/>
      <c r="AJ878" s="18"/>
      <c r="AK878" s="34"/>
      <c r="AL878" s="34"/>
      <c r="AM878" s="34"/>
      <c r="AN878" s="34"/>
      <c r="AO878" s="34"/>
      <c r="AP878" s="34"/>
      <c r="AQ878" s="34"/>
      <c r="AR878" s="34"/>
      <c r="AS878" s="34"/>
      <c r="AT878" s="31"/>
      <c r="AU878" s="18"/>
      <c r="AV878" s="18"/>
      <c r="AW878" s="18"/>
      <c r="AX878" s="18"/>
    </row>
    <row r="879" spans="1:50" ht="25.5" x14ac:dyDescent="0.2">
      <c r="AA879" s="16"/>
      <c r="AB879" s="29" t="s">
        <v>624</v>
      </c>
      <c r="AC879" s="17"/>
      <c r="AD879" s="18"/>
      <c r="AE879" s="34"/>
      <c r="AF879" s="34"/>
      <c r="AG879" s="34"/>
      <c r="AH879" s="34"/>
      <c r="AI879" s="34"/>
      <c r="AJ879" s="18"/>
      <c r="AK879" s="34"/>
      <c r="AL879" s="34"/>
      <c r="AM879" s="34"/>
      <c r="AN879" s="34"/>
      <c r="AO879" s="34"/>
      <c r="AP879" s="34"/>
      <c r="AQ879" s="34"/>
      <c r="AR879" s="34"/>
      <c r="AS879" s="34"/>
      <c r="AT879" s="31"/>
      <c r="AU879" s="18"/>
      <c r="AV879" s="18"/>
      <c r="AW879" s="18"/>
      <c r="AX879" s="18"/>
    </row>
    <row r="880" spans="1:50" ht="25.5" x14ac:dyDescent="0.2">
      <c r="AA880" s="28" t="s">
        <v>288</v>
      </c>
      <c r="AB880" s="29" t="s">
        <v>616</v>
      </c>
      <c r="AC880" s="17"/>
      <c r="AD880" s="18"/>
      <c r="AE880" s="34"/>
      <c r="AF880" s="34"/>
      <c r="AG880" s="34"/>
      <c r="AH880" s="34"/>
      <c r="AI880" s="34"/>
      <c r="AJ880" s="18"/>
      <c r="AK880" s="34"/>
      <c r="AL880" s="34"/>
      <c r="AM880" s="34"/>
      <c r="AN880" s="34"/>
      <c r="AO880" s="34"/>
      <c r="AP880" s="34"/>
      <c r="AQ880" s="34"/>
      <c r="AR880" s="34"/>
      <c r="AS880" s="34"/>
      <c r="AT880" s="31"/>
      <c r="AU880" s="18"/>
      <c r="AV880" s="18"/>
      <c r="AW880" s="18"/>
      <c r="AX880" s="18"/>
    </row>
    <row r="881" spans="1:50" x14ac:dyDescent="0.2">
      <c r="A881" s="4" t="s">
        <v>55</v>
      </c>
      <c r="B881" s="4" t="s">
        <v>56</v>
      </c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1" t="s">
        <v>625</v>
      </c>
      <c r="AB881" s="42" t="s">
        <v>618</v>
      </c>
      <c r="AC881" s="43" t="s">
        <v>619</v>
      </c>
      <c r="AD881" s="43">
        <v>163270377</v>
      </c>
      <c r="AE881" s="44">
        <v>0</v>
      </c>
      <c r="AF881" s="44">
        <v>0</v>
      </c>
      <c r="AG881" s="44">
        <v>0</v>
      </c>
      <c r="AH881" s="43">
        <v>163270377</v>
      </c>
      <c r="AI881" s="43">
        <f>AE881-AF881+AG881-AH881</f>
        <v>-163270377</v>
      </c>
      <c r="AJ881" s="44">
        <f>AD881+AI881</f>
        <v>0</v>
      </c>
      <c r="AK881" s="44">
        <v>0</v>
      </c>
      <c r="AL881" s="44">
        <v>0</v>
      </c>
      <c r="AM881" s="44">
        <v>0</v>
      </c>
      <c r="AN881" s="44">
        <v>0</v>
      </c>
      <c r="AO881" s="44">
        <v>0</v>
      </c>
      <c r="AP881" s="44">
        <v>0</v>
      </c>
      <c r="AQ881" s="44">
        <v>0</v>
      </c>
      <c r="AR881" s="44">
        <v>0</v>
      </c>
      <c r="AS881" s="44">
        <v>0</v>
      </c>
      <c r="AT881" s="40">
        <f t="shared" ref="AT881" si="347">AQ881+AS881</f>
        <v>0</v>
      </c>
      <c r="AU881" s="34">
        <f>AJ881-AM881</f>
        <v>0</v>
      </c>
      <c r="AV881" s="133">
        <f>AM881-AP881</f>
        <v>0</v>
      </c>
      <c r="AW881" s="34">
        <f>AP881-AT881</f>
        <v>0</v>
      </c>
      <c r="AX881" s="123">
        <v>0</v>
      </c>
    </row>
    <row r="882" spans="1:50" x14ac:dyDescent="0.2">
      <c r="AA882" s="16"/>
      <c r="AB882" s="17"/>
      <c r="AC882" s="17"/>
      <c r="AD882" s="18"/>
      <c r="AE882" s="18"/>
      <c r="AF882" s="18"/>
      <c r="AG882" s="18"/>
      <c r="AH882" s="18"/>
      <c r="AI882" s="18"/>
      <c r="AJ882" s="18"/>
      <c r="AK882" s="34"/>
      <c r="AL882" s="34"/>
      <c r="AM882" s="34"/>
      <c r="AN882" s="34"/>
      <c r="AO882" s="34"/>
      <c r="AP882" s="34"/>
      <c r="AQ882" s="18"/>
      <c r="AR882" s="18"/>
      <c r="AS882" s="18"/>
      <c r="AT882" s="30"/>
      <c r="AU882" s="18"/>
      <c r="AV882" s="18"/>
      <c r="AW882" s="18"/>
      <c r="AX882" s="18"/>
    </row>
    <row r="883" spans="1:50" ht="25.5" x14ac:dyDescent="0.2">
      <c r="AA883" s="16"/>
      <c r="AB883" s="29" t="s">
        <v>626</v>
      </c>
      <c r="AC883" s="17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30"/>
      <c r="AU883" s="18"/>
      <c r="AV883" s="18"/>
      <c r="AW883" s="18"/>
      <c r="AX883" s="18"/>
    </row>
    <row r="884" spans="1:50" ht="25.5" x14ac:dyDescent="0.2">
      <c r="AA884" s="16"/>
      <c r="AB884" s="29" t="s">
        <v>627</v>
      </c>
      <c r="AC884" s="17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30"/>
      <c r="AU884" s="18"/>
      <c r="AV884" s="18"/>
      <c r="AW884" s="18"/>
      <c r="AX884" s="18"/>
    </row>
    <row r="885" spans="1:50" x14ac:dyDescent="0.2">
      <c r="AA885" s="16"/>
      <c r="AB885" s="29" t="s">
        <v>628</v>
      </c>
      <c r="AC885" s="17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30"/>
      <c r="AU885" s="18"/>
      <c r="AV885" s="18"/>
      <c r="AW885" s="18"/>
      <c r="AX885" s="18"/>
    </row>
    <row r="886" spans="1:50" x14ac:dyDescent="0.2">
      <c r="AA886" s="16"/>
      <c r="AB886" s="29" t="s">
        <v>629</v>
      </c>
      <c r="AC886" s="17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30"/>
      <c r="AU886" s="18"/>
      <c r="AV886" s="18"/>
      <c r="AW886" s="18"/>
      <c r="AX886" s="18"/>
    </row>
    <row r="887" spans="1:50" ht="25.5" x14ac:dyDescent="0.2">
      <c r="AA887" s="28" t="s">
        <v>288</v>
      </c>
      <c r="AB887" s="29" t="s">
        <v>616</v>
      </c>
      <c r="AC887" s="17"/>
      <c r="AD887" s="18"/>
      <c r="AE887" s="34"/>
      <c r="AF887" s="34"/>
      <c r="AG887" s="34"/>
      <c r="AH887" s="34"/>
      <c r="AI887" s="34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30"/>
      <c r="AU887" s="18"/>
      <c r="AV887" s="18"/>
      <c r="AW887" s="18"/>
      <c r="AX887" s="18"/>
    </row>
    <row r="888" spans="1:50" x14ac:dyDescent="0.2">
      <c r="A888" s="4" t="s">
        <v>55</v>
      </c>
      <c r="B888" s="4" t="s">
        <v>56</v>
      </c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1" t="s">
        <v>630</v>
      </c>
      <c r="AB888" s="42" t="s">
        <v>618</v>
      </c>
      <c r="AC888" s="43" t="s">
        <v>619</v>
      </c>
      <c r="AD888" s="43">
        <v>100000000</v>
      </c>
      <c r="AE888" s="44">
        <v>0</v>
      </c>
      <c r="AF888" s="44">
        <v>0</v>
      </c>
      <c r="AG888" s="43">
        <v>222721043</v>
      </c>
      <c r="AH888" s="43">
        <v>74931884</v>
      </c>
      <c r="AI888" s="43">
        <f>AE888-AF888+AG888-AH888</f>
        <v>147789159</v>
      </c>
      <c r="AJ888" s="43">
        <f>AD888+AI888</f>
        <v>247789159</v>
      </c>
      <c r="AK888" s="44">
        <v>0</v>
      </c>
      <c r="AL888" s="43">
        <v>0</v>
      </c>
      <c r="AM888" s="43">
        <v>17033100</v>
      </c>
      <c r="AN888" s="44">
        <v>0</v>
      </c>
      <c r="AO888" s="44">
        <v>0</v>
      </c>
      <c r="AP888" s="43">
        <v>17033100</v>
      </c>
      <c r="AQ888" s="44">
        <v>0</v>
      </c>
      <c r="AR888" s="43">
        <v>0</v>
      </c>
      <c r="AS888" s="43">
        <v>9627100</v>
      </c>
      <c r="AT888" s="39">
        <f t="shared" ref="AT888" si="348">AQ888+AS888</f>
        <v>9627100</v>
      </c>
      <c r="AU888" s="18">
        <f>AJ888-AM888</f>
        <v>230756059</v>
      </c>
      <c r="AV888" s="133">
        <f>AM888-AP888</f>
        <v>0</v>
      </c>
      <c r="AW888" s="18">
        <f>AP888-AT888</f>
        <v>7406000</v>
      </c>
      <c r="AX888" s="123">
        <f>AP888/AJ888</f>
        <v>6.8740295454168765E-2</v>
      </c>
    </row>
    <row r="889" spans="1:50" x14ac:dyDescent="0.2">
      <c r="AA889" s="16"/>
      <c r="AB889" s="17"/>
      <c r="AC889" s="17"/>
      <c r="AD889" s="18"/>
      <c r="AE889" s="34"/>
      <c r="AF889" s="34"/>
      <c r="AG889" s="34"/>
      <c r="AH889" s="34"/>
      <c r="AI889" s="34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30"/>
      <c r="AU889" s="18"/>
      <c r="AV889" s="18"/>
      <c r="AW889" s="18"/>
      <c r="AX889" s="18"/>
    </row>
    <row r="890" spans="1:50" x14ac:dyDescent="0.2">
      <c r="AA890" s="16"/>
      <c r="AB890" s="29" t="s">
        <v>631</v>
      </c>
      <c r="AC890" s="17"/>
      <c r="AD890" s="18"/>
      <c r="AE890" s="34"/>
      <c r="AF890" s="34"/>
      <c r="AG890" s="34"/>
      <c r="AH890" s="34"/>
      <c r="AI890" s="34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30"/>
      <c r="AU890" s="18"/>
      <c r="AV890" s="18"/>
      <c r="AW890" s="18"/>
      <c r="AX890" s="18"/>
    </row>
    <row r="891" spans="1:50" x14ac:dyDescent="0.2">
      <c r="AA891" s="16"/>
      <c r="AB891" s="29" t="s">
        <v>632</v>
      </c>
      <c r="AC891" s="17"/>
      <c r="AD891" s="18"/>
      <c r="AE891" s="34"/>
      <c r="AF891" s="34"/>
      <c r="AG891" s="34"/>
      <c r="AH891" s="34"/>
      <c r="AI891" s="34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30"/>
      <c r="AU891" s="18"/>
      <c r="AV891" s="18"/>
      <c r="AW891" s="18"/>
      <c r="AX891" s="18"/>
    </row>
    <row r="892" spans="1:50" x14ac:dyDescent="0.2">
      <c r="AA892" s="16"/>
      <c r="AB892" s="29" t="s">
        <v>633</v>
      </c>
      <c r="AC892" s="17"/>
      <c r="AD892" s="18"/>
      <c r="AE892" s="34"/>
      <c r="AF892" s="34"/>
      <c r="AG892" s="34"/>
      <c r="AH892" s="34"/>
      <c r="AI892" s="34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30"/>
      <c r="AU892" s="18"/>
      <c r="AV892" s="18"/>
      <c r="AW892" s="18"/>
      <c r="AX892" s="18"/>
    </row>
    <row r="893" spans="1:50" x14ac:dyDescent="0.2">
      <c r="AA893" s="16"/>
      <c r="AB893" s="29" t="s">
        <v>634</v>
      </c>
      <c r="AC893" s="17"/>
      <c r="AD893" s="18"/>
      <c r="AE893" s="34"/>
      <c r="AF893" s="34"/>
      <c r="AG893" s="34"/>
      <c r="AH893" s="34"/>
      <c r="AI893" s="34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30"/>
      <c r="AU893" s="18"/>
      <c r="AV893" s="18"/>
      <c r="AW893" s="18"/>
      <c r="AX893" s="18"/>
    </row>
    <row r="894" spans="1:50" x14ac:dyDescent="0.2">
      <c r="AA894" s="16"/>
      <c r="AB894" s="29" t="s">
        <v>635</v>
      </c>
      <c r="AC894" s="17"/>
      <c r="AD894" s="18"/>
      <c r="AE894" s="34"/>
      <c r="AF894" s="34"/>
      <c r="AG894" s="34"/>
      <c r="AH894" s="34"/>
      <c r="AI894" s="34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30"/>
      <c r="AU894" s="18"/>
      <c r="AV894" s="18"/>
      <c r="AW894" s="18"/>
      <c r="AX894" s="18"/>
    </row>
    <row r="895" spans="1:50" ht="25.5" x14ac:dyDescent="0.2">
      <c r="AA895" s="28" t="s">
        <v>288</v>
      </c>
      <c r="AB895" s="29" t="s">
        <v>616</v>
      </c>
      <c r="AC895" s="17"/>
      <c r="AD895" s="18"/>
      <c r="AE895" s="34"/>
      <c r="AF895" s="34"/>
      <c r="AG895" s="34"/>
      <c r="AH895" s="34"/>
      <c r="AI895" s="34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30"/>
      <c r="AU895" s="18"/>
      <c r="AV895" s="18"/>
      <c r="AW895" s="18"/>
      <c r="AX895" s="18"/>
    </row>
    <row r="896" spans="1:50" ht="18.75" customHeight="1" x14ac:dyDescent="0.2">
      <c r="A896" s="4" t="s">
        <v>55</v>
      </c>
      <c r="B896" s="4" t="s">
        <v>56</v>
      </c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1" t="s">
        <v>636</v>
      </c>
      <c r="AB896" s="42" t="s">
        <v>618</v>
      </c>
      <c r="AC896" s="43" t="s">
        <v>619</v>
      </c>
      <c r="AD896" s="43">
        <v>80000000</v>
      </c>
      <c r="AE896" s="44">
        <v>0</v>
      </c>
      <c r="AF896" s="44">
        <v>0</v>
      </c>
      <c r="AG896" s="44">
        <v>0</v>
      </c>
      <c r="AH896" s="44">
        <v>0</v>
      </c>
      <c r="AI896" s="44">
        <v>0</v>
      </c>
      <c r="AJ896" s="43">
        <v>80000000</v>
      </c>
      <c r="AK896" s="44">
        <v>0</v>
      </c>
      <c r="AL896" s="44">
        <v>0</v>
      </c>
      <c r="AM896" s="44">
        <v>0</v>
      </c>
      <c r="AN896" s="44">
        <v>0</v>
      </c>
      <c r="AO896" s="44">
        <v>0</v>
      </c>
      <c r="AP896" s="44">
        <v>0</v>
      </c>
      <c r="AQ896" s="44">
        <v>0</v>
      </c>
      <c r="AR896" s="44">
        <v>0</v>
      </c>
      <c r="AS896" s="44">
        <v>0</v>
      </c>
      <c r="AT896" s="40">
        <f t="shared" ref="AT896" si="349">AQ896+AS896</f>
        <v>0</v>
      </c>
      <c r="AU896" s="18">
        <f>AJ896-AM896</f>
        <v>80000000</v>
      </c>
      <c r="AV896" s="133">
        <f>AM896-AP896</f>
        <v>0</v>
      </c>
      <c r="AW896" s="34">
        <f>AP896-AT896</f>
        <v>0</v>
      </c>
      <c r="AX896" s="123">
        <f>AP896/AJ896</f>
        <v>0</v>
      </c>
    </row>
    <row r="897" spans="1:50" ht="18.75" customHeight="1" x14ac:dyDescent="0.2">
      <c r="AA897" s="16"/>
      <c r="AB897" s="17"/>
      <c r="AC897" s="17"/>
      <c r="AD897" s="18"/>
      <c r="AE897" s="34"/>
      <c r="AF897" s="34"/>
      <c r="AG897" s="34"/>
      <c r="AH897" s="34"/>
      <c r="AI897" s="34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30"/>
      <c r="AU897" s="18"/>
      <c r="AV897" s="18"/>
      <c r="AW897" s="18"/>
      <c r="AX897" s="18"/>
    </row>
    <row r="898" spans="1:50" ht="18.75" customHeight="1" x14ac:dyDescent="0.2">
      <c r="AA898" s="16"/>
      <c r="AB898" s="29" t="s">
        <v>179</v>
      </c>
      <c r="AC898" s="17"/>
      <c r="AD898" s="18"/>
      <c r="AE898" s="34"/>
      <c r="AF898" s="34"/>
      <c r="AG898" s="34"/>
      <c r="AH898" s="34"/>
      <c r="AI898" s="34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30"/>
      <c r="AU898" s="18"/>
      <c r="AV898" s="18"/>
      <c r="AW898" s="18"/>
      <c r="AX898" s="18"/>
    </row>
    <row r="899" spans="1:50" ht="18.75" customHeight="1" x14ac:dyDescent="0.2">
      <c r="AA899" s="16"/>
      <c r="AB899" s="29" t="s">
        <v>181</v>
      </c>
      <c r="AC899" s="17"/>
      <c r="AD899" s="18"/>
      <c r="AE899" s="34"/>
      <c r="AF899" s="34"/>
      <c r="AG899" s="34"/>
      <c r="AH899" s="34"/>
      <c r="AI899" s="34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30"/>
      <c r="AU899" s="18"/>
      <c r="AV899" s="18"/>
      <c r="AW899" s="18"/>
      <c r="AX899" s="18"/>
    </row>
    <row r="900" spans="1:50" ht="25.5" x14ac:dyDescent="0.2">
      <c r="AA900" s="16"/>
      <c r="AB900" s="29" t="s">
        <v>637</v>
      </c>
      <c r="AC900" s="17"/>
      <c r="AD900" s="18"/>
      <c r="AE900" s="34"/>
      <c r="AF900" s="34"/>
      <c r="AG900" s="34"/>
      <c r="AH900" s="34"/>
      <c r="AI900" s="34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30"/>
      <c r="AU900" s="18"/>
      <c r="AV900" s="18"/>
      <c r="AW900" s="18"/>
      <c r="AX900" s="18"/>
    </row>
    <row r="901" spans="1:50" ht="28.5" customHeight="1" x14ac:dyDescent="0.2">
      <c r="AA901" s="28" t="s">
        <v>288</v>
      </c>
      <c r="AB901" s="29" t="s">
        <v>637</v>
      </c>
      <c r="AC901" s="17"/>
      <c r="AD901" s="18"/>
      <c r="AE901" s="34"/>
      <c r="AF901" s="34"/>
      <c r="AG901" s="34"/>
      <c r="AH901" s="34"/>
      <c r="AI901" s="34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30"/>
      <c r="AU901" s="18"/>
      <c r="AV901" s="18"/>
      <c r="AW901" s="18"/>
      <c r="AX901" s="18"/>
    </row>
    <row r="902" spans="1:50" ht="27.75" customHeight="1" x14ac:dyDescent="0.2">
      <c r="AA902" s="101" t="s">
        <v>1227</v>
      </c>
      <c r="AB902" s="251" t="s">
        <v>1228</v>
      </c>
      <c r="AC902" s="17"/>
      <c r="AD902" s="34">
        <v>0</v>
      </c>
      <c r="AE902" s="34">
        <v>0</v>
      </c>
      <c r="AF902" s="34">
        <v>0</v>
      </c>
      <c r="AG902" s="18">
        <f>70000000+170000000</f>
        <v>240000000</v>
      </c>
      <c r="AH902" s="34">
        <v>0</v>
      </c>
      <c r="AI902" s="43">
        <f>AE902-AF902+AG902-AH902</f>
        <v>240000000</v>
      </c>
      <c r="AJ902" s="142">
        <f>AD902+AI902</f>
        <v>240000000</v>
      </c>
      <c r="AK902" s="18">
        <v>0</v>
      </c>
      <c r="AL902" s="18">
        <v>-11124306</v>
      </c>
      <c r="AM902" s="18">
        <v>53999991</v>
      </c>
      <c r="AN902" s="18">
        <v>0</v>
      </c>
      <c r="AO902" s="18">
        <v>53999991</v>
      </c>
      <c r="AP902" s="18">
        <v>53999991</v>
      </c>
      <c r="AQ902" s="18">
        <v>0</v>
      </c>
      <c r="AR902" s="18">
        <v>0</v>
      </c>
      <c r="AS902" s="18">
        <v>0</v>
      </c>
      <c r="AT902" s="40">
        <f t="shared" ref="AT902" si="350">AQ902+AS902</f>
        <v>0</v>
      </c>
      <c r="AU902" s="18">
        <f>AJ902-AM902</f>
        <v>186000009</v>
      </c>
      <c r="AV902" s="18">
        <f>AM902-AP902</f>
        <v>0</v>
      </c>
      <c r="AW902" s="18">
        <f>AP902-AT902</f>
        <v>53999991</v>
      </c>
      <c r="AX902" s="123">
        <f>AP902/AJ902</f>
        <v>0.22499996250000001</v>
      </c>
    </row>
    <row r="903" spans="1:50" ht="25.5" x14ac:dyDescent="0.2">
      <c r="AA903" s="28" t="s">
        <v>288</v>
      </c>
      <c r="AB903" s="29" t="s">
        <v>616</v>
      </c>
      <c r="AC903" s="17"/>
      <c r="AD903" s="18"/>
      <c r="AE903" s="34"/>
      <c r="AF903" s="34"/>
      <c r="AG903" s="34"/>
      <c r="AH903" s="34"/>
      <c r="AI903" s="34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30"/>
      <c r="AU903" s="18"/>
      <c r="AV903" s="18"/>
      <c r="AW903" s="18"/>
      <c r="AX903" s="18"/>
    </row>
    <row r="904" spans="1:50" x14ac:dyDescent="0.2">
      <c r="A904" s="4" t="s">
        <v>55</v>
      </c>
      <c r="B904" s="4" t="s">
        <v>56</v>
      </c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1" t="s">
        <v>639</v>
      </c>
      <c r="AB904" s="42" t="s">
        <v>618</v>
      </c>
      <c r="AC904" s="43" t="s">
        <v>619</v>
      </c>
      <c r="AD904" s="43">
        <v>1601743650</v>
      </c>
      <c r="AE904" s="44">
        <v>0</v>
      </c>
      <c r="AF904" s="44">
        <v>0</v>
      </c>
      <c r="AG904" s="44">
        <v>0</v>
      </c>
      <c r="AH904" s="43">
        <v>794729623</v>
      </c>
      <c r="AI904" s="43">
        <f>AE904-AF904+AG904-AH904</f>
        <v>-794729623</v>
      </c>
      <c r="AJ904" s="43">
        <f>AD904+AI904</f>
        <v>807014027</v>
      </c>
      <c r="AK904" s="44">
        <v>0</v>
      </c>
      <c r="AL904" s="43">
        <v>0</v>
      </c>
      <c r="AM904" s="43">
        <v>799658449</v>
      </c>
      <c r="AN904" s="44">
        <v>0</v>
      </c>
      <c r="AO904" s="44">
        <v>0</v>
      </c>
      <c r="AP904" s="44">
        <v>0</v>
      </c>
      <c r="AQ904" s="44">
        <v>0</v>
      </c>
      <c r="AR904" s="44">
        <v>0</v>
      </c>
      <c r="AS904" s="44">
        <v>0</v>
      </c>
      <c r="AT904" s="40">
        <f t="shared" ref="AT904:AT905" si="351">AQ904+AS904</f>
        <v>0</v>
      </c>
      <c r="AU904" s="18">
        <f>AJ904-AM904</f>
        <v>7355578</v>
      </c>
      <c r="AV904" s="18">
        <f>AM904-AP904</f>
        <v>799658449</v>
      </c>
      <c r="AW904" s="34">
        <f>AP904-AT904</f>
        <v>0</v>
      </c>
      <c r="AX904" s="123">
        <f>AP904/AJ904</f>
        <v>0</v>
      </c>
    </row>
    <row r="905" spans="1:50" ht="23.25" customHeight="1" x14ac:dyDescent="0.2">
      <c r="A905" s="4" t="s">
        <v>55</v>
      </c>
      <c r="B905" s="4" t="s">
        <v>56</v>
      </c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1" t="s">
        <v>640</v>
      </c>
      <c r="AB905" s="42" t="s">
        <v>641</v>
      </c>
      <c r="AC905" s="43" t="s">
        <v>642</v>
      </c>
      <c r="AD905" s="43">
        <v>20790000</v>
      </c>
      <c r="AE905" s="44">
        <v>0</v>
      </c>
      <c r="AF905" s="44">
        <v>0</v>
      </c>
      <c r="AG905" s="44">
        <v>0</v>
      </c>
      <c r="AH905" s="44">
        <v>0</v>
      </c>
      <c r="AI905" s="44">
        <v>0</v>
      </c>
      <c r="AJ905" s="43">
        <v>20790000</v>
      </c>
      <c r="AK905" s="44">
        <v>0</v>
      </c>
      <c r="AL905" s="44">
        <v>0</v>
      </c>
      <c r="AM905" s="44">
        <v>0</v>
      </c>
      <c r="AN905" s="44">
        <v>0</v>
      </c>
      <c r="AO905" s="44">
        <v>0</v>
      </c>
      <c r="AP905" s="44">
        <v>0</v>
      </c>
      <c r="AQ905" s="44">
        <v>0</v>
      </c>
      <c r="AR905" s="44">
        <v>0</v>
      </c>
      <c r="AS905" s="44">
        <v>0</v>
      </c>
      <c r="AT905" s="40">
        <f t="shared" si="351"/>
        <v>0</v>
      </c>
      <c r="AU905" s="18">
        <f>AJ905-AM905</f>
        <v>20790000</v>
      </c>
      <c r="AV905" s="133">
        <f>AM905-AP905</f>
        <v>0</v>
      </c>
      <c r="AW905" s="34">
        <f>AP905-AT905</f>
        <v>0</v>
      </c>
      <c r="AX905" s="123">
        <f>AP905/AJ905</f>
        <v>0</v>
      </c>
    </row>
    <row r="906" spans="1:50" ht="27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1"/>
      <c r="AB906" s="74" t="s">
        <v>1288</v>
      </c>
      <c r="AC906" s="43"/>
      <c r="AD906" s="43"/>
      <c r="AE906" s="44"/>
      <c r="AF906" s="44"/>
      <c r="AG906" s="44"/>
      <c r="AH906" s="44"/>
      <c r="AI906" s="44"/>
      <c r="AJ906" s="43"/>
      <c r="AK906" s="44"/>
      <c r="AL906" s="44"/>
      <c r="AM906" s="44"/>
      <c r="AN906" s="44"/>
      <c r="AO906" s="44"/>
      <c r="AP906" s="44"/>
      <c r="AQ906" s="44"/>
      <c r="AR906" s="44"/>
      <c r="AS906" s="44"/>
      <c r="AT906" s="40"/>
      <c r="AU906" s="18"/>
      <c r="AV906" s="133"/>
      <c r="AW906" s="34"/>
      <c r="AX906" s="123"/>
    </row>
    <row r="907" spans="1:50" ht="27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73" t="s">
        <v>288</v>
      </c>
      <c r="AB907" s="74" t="s">
        <v>1293</v>
      </c>
      <c r="AC907" s="43"/>
      <c r="AD907" s="43"/>
      <c r="AE907" s="44"/>
      <c r="AF907" s="44"/>
      <c r="AG907" s="44"/>
      <c r="AH907" s="44"/>
      <c r="AI907" s="44"/>
      <c r="AJ907" s="43"/>
      <c r="AK907" s="44"/>
      <c r="AL907" s="44"/>
      <c r="AM907" s="44"/>
      <c r="AN907" s="44"/>
      <c r="AO907" s="44"/>
      <c r="AP907" s="44"/>
      <c r="AQ907" s="44"/>
      <c r="AR907" s="44"/>
      <c r="AS907" s="44"/>
      <c r="AT907" s="40"/>
      <c r="AU907" s="18"/>
      <c r="AV907" s="133"/>
      <c r="AW907" s="34"/>
      <c r="AX907" s="123"/>
    </row>
    <row r="908" spans="1:50" ht="27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1" t="s">
        <v>1289</v>
      </c>
      <c r="AB908" s="42" t="s">
        <v>1290</v>
      </c>
      <c r="AC908" s="43"/>
      <c r="AD908" s="43">
        <v>0</v>
      </c>
      <c r="AE908" s="44">
        <v>0</v>
      </c>
      <c r="AF908" s="44">
        <v>0</v>
      </c>
      <c r="AG908" s="43">
        <v>424146000</v>
      </c>
      <c r="AH908" s="44">
        <v>0</v>
      </c>
      <c r="AI908" s="43">
        <f>AE908-AF908+AG908-AH908</f>
        <v>424146000</v>
      </c>
      <c r="AJ908" s="43">
        <f>AD908+AI908</f>
        <v>424146000</v>
      </c>
      <c r="AK908" s="44">
        <v>0</v>
      </c>
      <c r="AL908" s="44">
        <v>0</v>
      </c>
      <c r="AM908" s="44">
        <v>0</v>
      </c>
      <c r="AN908" s="44">
        <v>0</v>
      </c>
      <c r="AO908" s="44">
        <v>0</v>
      </c>
      <c r="AP908" s="44">
        <v>0</v>
      </c>
      <c r="AQ908" s="44">
        <v>0</v>
      </c>
      <c r="AR908" s="44">
        <v>0</v>
      </c>
      <c r="AS908" s="44">
        <v>0</v>
      </c>
      <c r="AT908" s="40">
        <f t="shared" ref="AT908" si="352">AQ908+AS908</f>
        <v>0</v>
      </c>
      <c r="AU908" s="18">
        <f>AJ908-AM908</f>
        <v>424146000</v>
      </c>
      <c r="AV908" s="133">
        <f>AM908-AP908</f>
        <v>0</v>
      </c>
      <c r="AW908" s="34">
        <f>AP908-AT908</f>
        <v>0</v>
      </c>
      <c r="AX908" s="123">
        <f>AP908/AJ908</f>
        <v>0</v>
      </c>
    </row>
    <row r="909" spans="1:50" ht="27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73" t="s">
        <v>288</v>
      </c>
      <c r="AB909" s="74" t="s">
        <v>637</v>
      </c>
      <c r="AC909" s="43"/>
      <c r="AD909" s="43"/>
      <c r="AE909" s="44"/>
      <c r="AF909" s="44"/>
      <c r="AG909" s="43"/>
      <c r="AH909" s="44"/>
      <c r="AI909" s="43"/>
      <c r="AJ909" s="43"/>
      <c r="AK909" s="44"/>
      <c r="AL909" s="44"/>
      <c r="AM909" s="44"/>
      <c r="AN909" s="44"/>
      <c r="AO909" s="44"/>
      <c r="AP909" s="44"/>
      <c r="AQ909" s="44"/>
      <c r="AR909" s="44"/>
      <c r="AS909" s="44"/>
      <c r="AT909" s="40"/>
      <c r="AU909" s="18"/>
      <c r="AV909" s="133"/>
      <c r="AW909" s="34"/>
      <c r="AX909" s="123"/>
    </row>
    <row r="910" spans="1:50" ht="26.2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1" t="s">
        <v>1291</v>
      </c>
      <c r="AB910" s="42" t="s">
        <v>1290</v>
      </c>
      <c r="AC910" s="43"/>
      <c r="AD910" s="43"/>
      <c r="AE910" s="44">
        <v>0</v>
      </c>
      <c r="AF910" s="44">
        <v>0</v>
      </c>
      <c r="AG910" s="43">
        <v>77854000</v>
      </c>
      <c r="AH910" s="44"/>
      <c r="AI910" s="43">
        <f>AE910-AF910+AG910-AH910</f>
        <v>77854000</v>
      </c>
      <c r="AJ910" s="43">
        <f>AD910+AI910</f>
        <v>77854000</v>
      </c>
      <c r="AK910" s="44">
        <v>0</v>
      </c>
      <c r="AL910" s="44">
        <v>0</v>
      </c>
      <c r="AM910" s="44">
        <v>0</v>
      </c>
      <c r="AN910" s="44">
        <v>0</v>
      </c>
      <c r="AO910" s="44">
        <v>0</v>
      </c>
      <c r="AP910" s="44">
        <v>0</v>
      </c>
      <c r="AQ910" s="44">
        <v>0</v>
      </c>
      <c r="AR910" s="44">
        <v>0</v>
      </c>
      <c r="AS910" s="44">
        <v>0</v>
      </c>
      <c r="AT910" s="40">
        <f t="shared" ref="AT910" si="353">AQ910+AS910</f>
        <v>0</v>
      </c>
      <c r="AU910" s="18">
        <f>AJ910-AM910</f>
        <v>77854000</v>
      </c>
      <c r="AV910" s="133">
        <f>AM910-AP910</f>
        <v>0</v>
      </c>
      <c r="AW910" s="34">
        <f>AP910-AT910</f>
        <v>0</v>
      </c>
      <c r="AX910" s="123">
        <f>AP910/AJ910</f>
        <v>0</v>
      </c>
    </row>
    <row r="911" spans="1:50" ht="18.75" customHeight="1" x14ac:dyDescent="0.2">
      <c r="AA911" s="73" t="s">
        <v>288</v>
      </c>
      <c r="AB911" s="74" t="s">
        <v>1294</v>
      </c>
      <c r="AC911" s="17"/>
      <c r="AD911" s="18"/>
      <c r="AE911" s="34"/>
      <c r="AF911" s="34"/>
      <c r="AG911" s="34"/>
      <c r="AH911" s="34"/>
      <c r="AI911" s="34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30"/>
      <c r="AU911" s="18"/>
      <c r="AV911" s="18"/>
      <c r="AW911" s="18"/>
      <c r="AX911" s="18"/>
    </row>
    <row r="912" spans="1:50" ht="26.25" customHeight="1" x14ac:dyDescent="0.2">
      <c r="AA912" s="41" t="s">
        <v>1295</v>
      </c>
      <c r="AB912" s="38" t="s">
        <v>1296</v>
      </c>
      <c r="AC912" s="17"/>
      <c r="AD912" s="18">
        <v>0</v>
      </c>
      <c r="AE912" s="34">
        <v>0</v>
      </c>
      <c r="AF912" s="34">
        <v>0</v>
      </c>
      <c r="AG912" s="18">
        <v>85000000</v>
      </c>
      <c r="AH912" s="34">
        <v>0</v>
      </c>
      <c r="AI912" s="43">
        <f>AE912-AF912+AG912-AH912</f>
        <v>85000000</v>
      </c>
      <c r="AJ912" s="43">
        <f>AD912+AI912</f>
        <v>85000000</v>
      </c>
      <c r="AK912" s="18">
        <v>0</v>
      </c>
      <c r="AL912" s="18">
        <v>0</v>
      </c>
      <c r="AM912" s="18">
        <v>0</v>
      </c>
      <c r="AN912" s="18">
        <v>0</v>
      </c>
      <c r="AO912" s="34">
        <v>0</v>
      </c>
      <c r="AP912" s="34">
        <v>0</v>
      </c>
      <c r="AQ912" s="34">
        <v>0</v>
      </c>
      <c r="AR912" s="34">
        <v>0</v>
      </c>
      <c r="AS912" s="34">
        <v>0</v>
      </c>
      <c r="AT912" s="40">
        <f t="shared" ref="AT912" si="354">AQ912+AS912</f>
        <v>0</v>
      </c>
      <c r="AU912" s="18">
        <f>AJ912-AM912</f>
        <v>85000000</v>
      </c>
      <c r="AV912" s="133">
        <f>AM912-AP912</f>
        <v>0</v>
      </c>
      <c r="AW912" s="34">
        <f>AP912-AT912</f>
        <v>0</v>
      </c>
      <c r="AX912" s="123">
        <f>AP912/AJ912</f>
        <v>0</v>
      </c>
    </row>
    <row r="913" spans="1:50" ht="26.25" customHeight="1" x14ac:dyDescent="0.2">
      <c r="AA913" s="28" t="s">
        <v>288</v>
      </c>
      <c r="AB913" s="29" t="s">
        <v>643</v>
      </c>
      <c r="AC913" s="17"/>
      <c r="AD913" s="18"/>
      <c r="AE913" s="34"/>
      <c r="AF913" s="34"/>
      <c r="AG913" s="34"/>
      <c r="AH913" s="34"/>
      <c r="AI913" s="34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30"/>
      <c r="AU913" s="18"/>
      <c r="AV913" s="18"/>
      <c r="AW913" s="18"/>
      <c r="AX913" s="18"/>
    </row>
    <row r="914" spans="1:50" x14ac:dyDescent="0.2">
      <c r="A914" s="4" t="s">
        <v>55</v>
      </c>
      <c r="B914" s="4" t="s">
        <v>56</v>
      </c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1" t="s">
        <v>644</v>
      </c>
      <c r="AB914" s="42" t="s">
        <v>618</v>
      </c>
      <c r="AC914" s="43" t="s">
        <v>619</v>
      </c>
      <c r="AD914" s="43">
        <v>530000000</v>
      </c>
      <c r="AE914" s="44">
        <v>0</v>
      </c>
      <c r="AF914" s="44">
        <v>0</v>
      </c>
      <c r="AG914" s="44">
        <v>0</v>
      </c>
      <c r="AH914" s="44">
        <v>0</v>
      </c>
      <c r="AI914" s="44">
        <v>0</v>
      </c>
      <c r="AJ914" s="43">
        <v>530000000</v>
      </c>
      <c r="AK914" s="44">
        <v>0</v>
      </c>
      <c r="AL914" s="43">
        <v>0</v>
      </c>
      <c r="AM914" s="43">
        <v>455933332</v>
      </c>
      <c r="AN914" s="44">
        <v>0</v>
      </c>
      <c r="AO914" s="43">
        <v>0</v>
      </c>
      <c r="AP914" s="43">
        <v>455933332</v>
      </c>
      <c r="AQ914" s="114">
        <v>0</v>
      </c>
      <c r="AR914" s="114">
        <v>56650000</v>
      </c>
      <c r="AS914" s="114">
        <v>278059996</v>
      </c>
      <c r="AT914" s="111">
        <f t="shared" ref="AT914:AT915" si="355">AQ914+AS914</f>
        <v>278059996</v>
      </c>
      <c r="AU914" s="18">
        <f>AJ914-AM914</f>
        <v>74066668</v>
      </c>
      <c r="AV914" s="133">
        <f>AM914-AP914</f>
        <v>0</v>
      </c>
      <c r="AW914" s="18">
        <f>AP914-AT914</f>
        <v>177873336</v>
      </c>
      <c r="AX914" s="123">
        <f>AP914/AJ914</f>
        <v>0.86025156981132078</v>
      </c>
    </row>
    <row r="915" spans="1:50" ht="25.5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1" t="s">
        <v>1103</v>
      </c>
      <c r="AB915" s="42" t="s">
        <v>1104</v>
      </c>
      <c r="AC915" s="43"/>
      <c r="AD915" s="43">
        <v>0</v>
      </c>
      <c r="AE915" s="43">
        <v>15774292916.77</v>
      </c>
      <c r="AF915" s="44">
        <v>0</v>
      </c>
      <c r="AG915" s="44">
        <v>0</v>
      </c>
      <c r="AH915" s="43">
        <f>101000000+4989317258+364000000</f>
        <v>5454317258</v>
      </c>
      <c r="AI915" s="43">
        <f>AE915-AF915+AG915-AH915</f>
        <v>10319975658.77</v>
      </c>
      <c r="AJ915" s="43">
        <f>AD915+AI915</f>
        <v>10319975658.77</v>
      </c>
      <c r="AK915" s="44">
        <v>0</v>
      </c>
      <c r="AL915" s="43">
        <v>60166666.659999996</v>
      </c>
      <c r="AM915" s="43">
        <v>1041166666.66</v>
      </c>
      <c r="AN915" s="44">
        <v>0</v>
      </c>
      <c r="AO915" s="43">
        <v>60166666.659999996</v>
      </c>
      <c r="AP915" s="43">
        <v>1041166666.66</v>
      </c>
      <c r="AQ915" s="114">
        <v>6300000</v>
      </c>
      <c r="AR915" s="114">
        <v>125099997</v>
      </c>
      <c r="AS915" s="43">
        <v>128666663</v>
      </c>
      <c r="AT915" s="39">
        <f t="shared" si="355"/>
        <v>134966663</v>
      </c>
      <c r="AU915" s="18">
        <f>AJ915-AM915</f>
        <v>9278808992.1100006</v>
      </c>
      <c r="AV915" s="133">
        <f>AM915-AP915</f>
        <v>0</v>
      </c>
      <c r="AW915" s="18">
        <f>AP915-AT915</f>
        <v>906200003.65999997</v>
      </c>
      <c r="AX915" s="123">
        <f>AP915/AJ915</f>
        <v>0.10088848085365472</v>
      </c>
    </row>
    <row r="916" spans="1:50" ht="25.5" x14ac:dyDescent="0.2">
      <c r="AA916" s="28" t="s">
        <v>288</v>
      </c>
      <c r="AB916" s="29" t="s">
        <v>616</v>
      </c>
      <c r="AC916" s="17"/>
      <c r="AD916" s="18"/>
      <c r="AE916" s="34"/>
      <c r="AF916" s="34"/>
      <c r="AG916" s="34"/>
      <c r="AH916" s="34"/>
      <c r="AI916" s="34"/>
      <c r="AJ916" s="18"/>
      <c r="AK916" s="18"/>
      <c r="AL916" s="18"/>
      <c r="AM916" s="18"/>
      <c r="AN916" s="34"/>
      <c r="AO916" s="18"/>
      <c r="AP916" s="18"/>
      <c r="AQ916" s="18"/>
      <c r="AR916" s="18"/>
      <c r="AS916" s="18"/>
      <c r="AT916" s="30"/>
      <c r="AU916" s="18"/>
      <c r="AV916" s="18"/>
      <c r="AW916" s="18"/>
      <c r="AX916" s="18"/>
    </row>
    <row r="917" spans="1:50" x14ac:dyDescent="0.2">
      <c r="A917" s="4" t="s">
        <v>55</v>
      </c>
      <c r="B917" s="4" t="s">
        <v>56</v>
      </c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1" t="s">
        <v>645</v>
      </c>
      <c r="AB917" s="42" t="s">
        <v>618</v>
      </c>
      <c r="AC917" s="43" t="s">
        <v>619</v>
      </c>
      <c r="AD917" s="43">
        <v>2879425052</v>
      </c>
      <c r="AE917" s="44">
        <v>0</v>
      </c>
      <c r="AF917" s="44">
        <v>0</v>
      </c>
      <c r="AG917" s="44">
        <v>0</v>
      </c>
      <c r="AH917" s="43">
        <f>221572545+222721043</f>
        <v>444293588</v>
      </c>
      <c r="AI917" s="43">
        <f>AE917-AF917+AG917-AH917</f>
        <v>-444293588</v>
      </c>
      <c r="AJ917" s="43">
        <f>AD917+AI917</f>
        <v>2435131464</v>
      </c>
      <c r="AK917" s="43">
        <v>0</v>
      </c>
      <c r="AL917" s="43">
        <f>AM917-JUNIO!AM905</f>
        <v>0</v>
      </c>
      <c r="AM917" s="114">
        <v>1604960807.99</v>
      </c>
      <c r="AN917" s="115">
        <v>0</v>
      </c>
      <c r="AO917" s="43">
        <v>0</v>
      </c>
      <c r="AP917" s="43">
        <v>692078906</v>
      </c>
      <c r="AQ917" s="43">
        <v>77189472.569999993</v>
      </c>
      <c r="AR917" s="43">
        <v>0</v>
      </c>
      <c r="AS917" s="43">
        <v>38339782.950000003</v>
      </c>
      <c r="AT917" s="39">
        <f t="shared" ref="AT917:AT921" si="356">AQ917+AS917</f>
        <v>115529255.52</v>
      </c>
      <c r="AU917" s="18">
        <f>AJ917-AM917</f>
        <v>830170656.00999999</v>
      </c>
      <c r="AV917" s="110">
        <f>AM917-AP917</f>
        <v>912881901.99000001</v>
      </c>
      <c r="AW917" s="18">
        <f>AP917-AT917</f>
        <v>576549650.48000002</v>
      </c>
      <c r="AX917" s="123">
        <f>AP917/AJ917</f>
        <v>0.28420597254456897</v>
      </c>
    </row>
    <row r="918" spans="1:50" ht="25.5" x14ac:dyDescent="0.2">
      <c r="A918" s="4" t="s">
        <v>55</v>
      </c>
      <c r="B918" s="4" t="s">
        <v>56</v>
      </c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1" t="s">
        <v>646</v>
      </c>
      <c r="AB918" s="42" t="s">
        <v>647</v>
      </c>
      <c r="AC918" s="43" t="s">
        <v>642</v>
      </c>
      <c r="AD918" s="43">
        <v>404210000</v>
      </c>
      <c r="AE918" s="44">
        <v>0</v>
      </c>
      <c r="AF918" s="44">
        <v>0</v>
      </c>
      <c r="AG918" s="44">
        <v>0</v>
      </c>
      <c r="AH918" s="44">
        <v>0</v>
      </c>
      <c r="AI918" s="44">
        <f t="shared" ref="AI918:AI920" si="357">AE918-AF918+AG918-AH918</f>
        <v>0</v>
      </c>
      <c r="AJ918" s="43">
        <f t="shared" ref="AJ918:AJ920" si="358">AD918+AI918</f>
        <v>404210000</v>
      </c>
      <c r="AK918" s="44">
        <v>0</v>
      </c>
      <c r="AL918" s="44">
        <v>0</v>
      </c>
      <c r="AM918" s="114">
        <v>249600000</v>
      </c>
      <c r="AN918" s="115">
        <v>0</v>
      </c>
      <c r="AO918" s="43">
        <v>0</v>
      </c>
      <c r="AP918" s="43">
        <v>249600000</v>
      </c>
      <c r="AQ918" s="43">
        <v>0</v>
      </c>
      <c r="AR918" s="43">
        <v>75886850.629999995</v>
      </c>
      <c r="AS918" s="43">
        <v>140633516.63</v>
      </c>
      <c r="AT918" s="39">
        <f t="shared" si="356"/>
        <v>140633516.63</v>
      </c>
      <c r="AU918" s="18">
        <f>AJ918-AM918</f>
        <v>154610000</v>
      </c>
      <c r="AV918" s="133">
        <f>AM918-AP918</f>
        <v>0</v>
      </c>
      <c r="AW918" s="18">
        <f>AP918-AT918</f>
        <v>108966483.37</v>
      </c>
      <c r="AX918" s="123">
        <f>AP918/AJ918</f>
        <v>0.61750080403750529</v>
      </c>
    </row>
    <row r="919" spans="1:50" ht="25.5" x14ac:dyDescent="0.2">
      <c r="A919" s="4" t="s">
        <v>55</v>
      </c>
      <c r="B919" s="4" t="s">
        <v>56</v>
      </c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1" t="s">
        <v>648</v>
      </c>
      <c r="AB919" s="42" t="s">
        <v>649</v>
      </c>
      <c r="AC919" s="43" t="s">
        <v>650</v>
      </c>
      <c r="AD919" s="43">
        <v>425000000</v>
      </c>
      <c r="AE919" s="44">
        <v>0</v>
      </c>
      <c r="AF919" s="44">
        <v>0</v>
      </c>
      <c r="AG919" s="44">
        <v>0</v>
      </c>
      <c r="AH919" s="44">
        <v>0</v>
      </c>
      <c r="AI919" s="44">
        <f t="shared" si="357"/>
        <v>0</v>
      </c>
      <c r="AJ919" s="43">
        <f t="shared" si="358"/>
        <v>425000000</v>
      </c>
      <c r="AK919" s="44">
        <v>0</v>
      </c>
      <c r="AL919" s="44">
        <v>0</v>
      </c>
      <c r="AM919" s="114">
        <v>145600000</v>
      </c>
      <c r="AN919" s="114">
        <v>0</v>
      </c>
      <c r="AO919" s="43">
        <v>0</v>
      </c>
      <c r="AP919" s="43">
        <v>145600000</v>
      </c>
      <c r="AQ919" s="43">
        <v>0</v>
      </c>
      <c r="AR919" s="43">
        <v>18200000</v>
      </c>
      <c r="AS919" s="43">
        <v>80326668</v>
      </c>
      <c r="AT919" s="39">
        <f t="shared" si="356"/>
        <v>80326668</v>
      </c>
      <c r="AU919" s="18">
        <f>AJ919-AM919</f>
        <v>279400000</v>
      </c>
      <c r="AV919" s="133">
        <f>AM919-AP919</f>
        <v>0</v>
      </c>
      <c r="AW919" s="18">
        <f>AP919-AT919</f>
        <v>65273332</v>
      </c>
      <c r="AX919" s="123">
        <f>AP919/AJ919</f>
        <v>0.34258823529411764</v>
      </c>
    </row>
    <row r="920" spans="1:50" ht="25.5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1" t="s">
        <v>1105</v>
      </c>
      <c r="AB920" s="42" t="s">
        <v>1106</v>
      </c>
      <c r="AC920" s="43"/>
      <c r="AD920" s="44">
        <v>0</v>
      </c>
      <c r="AE920" s="43">
        <v>997743934.5</v>
      </c>
      <c r="AF920" s="44">
        <v>0</v>
      </c>
      <c r="AG920" s="44">
        <v>0</v>
      </c>
      <c r="AH920" s="43">
        <v>502000000</v>
      </c>
      <c r="AI920" s="43">
        <f t="shared" si="357"/>
        <v>495743934.5</v>
      </c>
      <c r="AJ920" s="43">
        <f t="shared" si="358"/>
        <v>495743934.5</v>
      </c>
      <c r="AK920" s="44">
        <v>0</v>
      </c>
      <c r="AL920" s="44">
        <v>0</v>
      </c>
      <c r="AM920" s="115">
        <v>0</v>
      </c>
      <c r="AN920" s="115">
        <v>0</v>
      </c>
      <c r="AO920" s="44">
        <v>0</v>
      </c>
      <c r="AP920" s="43">
        <v>0</v>
      </c>
      <c r="AQ920" s="43">
        <v>0</v>
      </c>
      <c r="AR920" s="43">
        <v>0</v>
      </c>
      <c r="AS920" s="44">
        <v>0</v>
      </c>
      <c r="AT920" s="40">
        <f t="shared" si="356"/>
        <v>0</v>
      </c>
      <c r="AU920" s="18">
        <f>AJ920-AM920</f>
        <v>495743934.5</v>
      </c>
      <c r="AV920" s="133">
        <f>AM920-AP920</f>
        <v>0</v>
      </c>
      <c r="AW920" s="34">
        <f>AP920-AT920</f>
        <v>0</v>
      </c>
      <c r="AX920" s="123">
        <f>AP920/AJ920</f>
        <v>0</v>
      </c>
    </row>
    <row r="921" spans="1:50" ht="25.5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1" t="s">
        <v>1107</v>
      </c>
      <c r="AB921" s="42" t="s">
        <v>1108</v>
      </c>
      <c r="AC921" s="43"/>
      <c r="AD921" s="44">
        <v>0</v>
      </c>
      <c r="AE921" s="43">
        <v>997743934.5</v>
      </c>
      <c r="AF921" s="44">
        <v>0</v>
      </c>
      <c r="AG921" s="44">
        <v>0</v>
      </c>
      <c r="AH921" s="44">
        <v>0</v>
      </c>
      <c r="AI921" s="43">
        <f>AE921-AF921+AG921-AH921</f>
        <v>997743934.5</v>
      </c>
      <c r="AJ921" s="43">
        <f>AD921+AI921</f>
        <v>997743934.5</v>
      </c>
      <c r="AK921" s="44">
        <v>0</v>
      </c>
      <c r="AL921" s="44">
        <v>0</v>
      </c>
      <c r="AM921" s="115">
        <v>0</v>
      </c>
      <c r="AN921" s="115">
        <v>0</v>
      </c>
      <c r="AO921" s="44">
        <v>0</v>
      </c>
      <c r="AP921" s="43">
        <v>0</v>
      </c>
      <c r="AQ921" s="43">
        <v>0</v>
      </c>
      <c r="AR921" s="43">
        <v>0</v>
      </c>
      <c r="AS921" s="44">
        <v>0</v>
      </c>
      <c r="AT921" s="40">
        <f t="shared" si="356"/>
        <v>0</v>
      </c>
      <c r="AU921" s="18">
        <f>AJ921-AM921</f>
        <v>997743934.5</v>
      </c>
      <c r="AV921" s="133">
        <f>AM921-AP921</f>
        <v>0</v>
      </c>
      <c r="AW921" s="34">
        <f>AP921-AT921</f>
        <v>0</v>
      </c>
      <c r="AX921" s="123">
        <f>AP921/AJ921</f>
        <v>0</v>
      </c>
    </row>
    <row r="922" spans="1:50" x14ac:dyDescent="0.2">
      <c r="AA922" s="16"/>
      <c r="AB922" s="17"/>
      <c r="AC922" s="17"/>
      <c r="AD922" s="18"/>
      <c r="AE922" s="34"/>
      <c r="AF922" s="34"/>
      <c r="AG922" s="34"/>
      <c r="AH922" s="34"/>
      <c r="AI922" s="34"/>
      <c r="AJ922" s="18"/>
      <c r="AK922" s="34"/>
      <c r="AL922" s="34"/>
      <c r="AM922" s="34"/>
      <c r="AN922" s="34"/>
      <c r="AO922" s="34"/>
      <c r="AP922" s="34"/>
      <c r="AQ922" s="18"/>
      <c r="AR922" s="18"/>
      <c r="AS922" s="18"/>
      <c r="AT922" s="30"/>
      <c r="AU922" s="18"/>
      <c r="AV922" s="18"/>
      <c r="AW922" s="18"/>
      <c r="AX922" s="18"/>
    </row>
    <row r="923" spans="1:50" x14ac:dyDescent="0.2">
      <c r="AA923" s="16"/>
      <c r="AB923" s="29" t="s">
        <v>199</v>
      </c>
      <c r="AC923" s="17"/>
      <c r="AD923" s="18"/>
      <c r="AE923" s="34"/>
      <c r="AF923" s="34"/>
      <c r="AG923" s="34"/>
      <c r="AH923" s="34"/>
      <c r="AI923" s="34"/>
      <c r="AJ923" s="18"/>
      <c r="AK923" s="34"/>
      <c r="AL923" s="34"/>
      <c r="AM923" s="34"/>
      <c r="AN923" s="34"/>
      <c r="AO923" s="34"/>
      <c r="AP923" s="34"/>
      <c r="AQ923" s="18"/>
      <c r="AR923" s="18"/>
      <c r="AS923" s="18"/>
      <c r="AT923" s="30"/>
      <c r="AU923" s="18"/>
      <c r="AV923" s="18"/>
      <c r="AW923" s="18"/>
      <c r="AX923" s="18"/>
    </row>
    <row r="924" spans="1:50" ht="25.5" x14ac:dyDescent="0.2">
      <c r="AA924" s="28" t="s">
        <v>288</v>
      </c>
      <c r="AB924" s="29" t="s">
        <v>616</v>
      </c>
      <c r="AC924" s="17"/>
      <c r="AD924" s="18"/>
      <c r="AE924" s="34"/>
      <c r="AF924" s="34"/>
      <c r="AG924" s="34"/>
      <c r="AH924" s="34"/>
      <c r="AI924" s="34"/>
      <c r="AJ924" s="18"/>
      <c r="AK924" s="34"/>
      <c r="AL924" s="34"/>
      <c r="AM924" s="34"/>
      <c r="AN924" s="34"/>
      <c r="AO924" s="34"/>
      <c r="AP924" s="34"/>
      <c r="AQ924" s="18"/>
      <c r="AR924" s="18"/>
      <c r="AS924" s="18"/>
      <c r="AT924" s="30"/>
      <c r="AU924" s="18"/>
      <c r="AV924" s="18"/>
      <c r="AW924" s="18"/>
      <c r="AX924" s="18"/>
    </row>
    <row r="925" spans="1:50" x14ac:dyDescent="0.2">
      <c r="A925" s="4" t="s">
        <v>55</v>
      </c>
      <c r="B925" s="4" t="s">
        <v>56</v>
      </c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134" t="s">
        <v>651</v>
      </c>
      <c r="AB925" s="42" t="s">
        <v>618</v>
      </c>
      <c r="AC925" s="43" t="s">
        <v>619</v>
      </c>
      <c r="AD925" s="43">
        <v>408029872</v>
      </c>
      <c r="AE925" s="44">
        <v>0</v>
      </c>
      <c r="AF925" s="44">
        <v>0</v>
      </c>
      <c r="AG925" s="44">
        <v>0</v>
      </c>
      <c r="AH925" s="43">
        <v>408029872</v>
      </c>
      <c r="AI925" s="43">
        <f>AE925-AF925+AG925-AH925</f>
        <v>-408029872</v>
      </c>
      <c r="AJ925" s="44">
        <f>AD925+AI925</f>
        <v>0</v>
      </c>
      <c r="AK925" s="44">
        <v>0</v>
      </c>
      <c r="AL925" s="44">
        <v>0</v>
      </c>
      <c r="AM925" s="44">
        <v>0</v>
      </c>
      <c r="AN925" s="44">
        <v>0</v>
      </c>
      <c r="AO925" s="44">
        <v>0</v>
      </c>
      <c r="AP925" s="44">
        <v>0</v>
      </c>
      <c r="AQ925" s="44">
        <v>0</v>
      </c>
      <c r="AR925" s="44">
        <v>0</v>
      </c>
      <c r="AS925" s="44">
        <v>0</v>
      </c>
      <c r="AT925" s="40">
        <f t="shared" ref="AT925:AT926" si="359">AQ925+AS925</f>
        <v>0</v>
      </c>
      <c r="AU925" s="34">
        <f>AJ925-AM925</f>
        <v>0</v>
      </c>
      <c r="AV925" s="133">
        <f>AM925-AP925</f>
        <v>0</v>
      </c>
      <c r="AW925" s="34">
        <f>AP925-AT925</f>
        <v>0</v>
      </c>
      <c r="AX925" s="123">
        <v>0</v>
      </c>
    </row>
    <row r="926" spans="1:50" ht="38.25" x14ac:dyDescent="0.2">
      <c r="A926" s="4" t="s">
        <v>55</v>
      </c>
      <c r="B926" s="4" t="s">
        <v>56</v>
      </c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1" t="s">
        <v>652</v>
      </c>
      <c r="AB926" s="42" t="s">
        <v>653</v>
      </c>
      <c r="AC926" s="43" t="s">
        <v>368</v>
      </c>
      <c r="AD926" s="43">
        <v>159146685.47999999</v>
      </c>
      <c r="AE926" s="44">
        <v>0</v>
      </c>
      <c r="AF926" s="44">
        <v>0</v>
      </c>
      <c r="AG926" s="44">
        <v>0</v>
      </c>
      <c r="AH926" s="44">
        <v>0</v>
      </c>
      <c r="AI926" s="44">
        <f>AE926-AF926+AG926-AH926</f>
        <v>0</v>
      </c>
      <c r="AJ926" s="43">
        <f>AD926+AI926</f>
        <v>159146685.47999999</v>
      </c>
      <c r="AK926" s="44">
        <v>0</v>
      </c>
      <c r="AL926" s="44">
        <v>0</v>
      </c>
      <c r="AM926" s="44">
        <v>0</v>
      </c>
      <c r="AN926" s="44">
        <v>0</v>
      </c>
      <c r="AO926" s="44">
        <v>0</v>
      </c>
      <c r="AP926" s="44">
        <v>0</v>
      </c>
      <c r="AQ926" s="44">
        <v>0</v>
      </c>
      <c r="AR926" s="44">
        <v>0</v>
      </c>
      <c r="AS926" s="44">
        <v>0</v>
      </c>
      <c r="AT926" s="40">
        <f t="shared" si="359"/>
        <v>0</v>
      </c>
      <c r="AU926" s="18">
        <f>AJ926-AM926</f>
        <v>159146685.47999999</v>
      </c>
      <c r="AV926" s="133">
        <f>AM926-AP926</f>
        <v>0</v>
      </c>
      <c r="AW926" s="34">
        <f>AP926-AT926</f>
        <v>0</v>
      </c>
      <c r="AX926" s="123">
        <f>AP926/AJ926</f>
        <v>0</v>
      </c>
    </row>
    <row r="927" spans="1:50" x14ac:dyDescent="0.2">
      <c r="AA927" s="16"/>
      <c r="AB927" s="17"/>
      <c r="AC927" s="17"/>
      <c r="AD927" s="18"/>
      <c r="AE927" s="34"/>
      <c r="AF927" s="34"/>
      <c r="AG927" s="34"/>
      <c r="AH927" s="34"/>
      <c r="AI927" s="34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30"/>
      <c r="AU927" s="18"/>
      <c r="AV927" s="18"/>
      <c r="AW927" s="18"/>
      <c r="AX927" s="18"/>
    </row>
    <row r="928" spans="1:50" x14ac:dyDescent="0.2">
      <c r="AA928" s="16"/>
      <c r="AB928" s="29" t="s">
        <v>654</v>
      </c>
      <c r="AC928" s="17"/>
      <c r="AD928" s="18"/>
      <c r="AE928" s="34"/>
      <c r="AF928" s="34"/>
      <c r="AG928" s="34"/>
      <c r="AH928" s="34"/>
      <c r="AI928" s="34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30"/>
      <c r="AU928" s="18"/>
      <c r="AV928" s="18"/>
      <c r="AW928" s="18"/>
      <c r="AX928" s="18"/>
    </row>
    <row r="929" spans="1:50" x14ac:dyDescent="0.2">
      <c r="AA929" s="16"/>
      <c r="AB929" s="29" t="s">
        <v>614</v>
      </c>
      <c r="AC929" s="17"/>
      <c r="AD929" s="18"/>
      <c r="AE929" s="34"/>
      <c r="AF929" s="34"/>
      <c r="AG929" s="34"/>
      <c r="AH929" s="34"/>
      <c r="AI929" s="34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30"/>
      <c r="AU929" s="18"/>
      <c r="AV929" s="18"/>
      <c r="AW929" s="18"/>
      <c r="AX929" s="18"/>
    </row>
    <row r="930" spans="1:50" x14ac:dyDescent="0.2">
      <c r="AA930" s="16"/>
      <c r="AB930" s="29" t="s">
        <v>286</v>
      </c>
      <c r="AC930" s="17"/>
      <c r="AD930" s="18"/>
      <c r="AE930" s="34"/>
      <c r="AF930" s="34"/>
      <c r="AG930" s="34"/>
      <c r="AH930" s="34"/>
      <c r="AI930" s="34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30"/>
      <c r="AU930" s="18"/>
      <c r="AV930" s="18"/>
      <c r="AW930" s="18"/>
      <c r="AX930" s="18"/>
    </row>
    <row r="931" spans="1:50" x14ac:dyDescent="0.2">
      <c r="AA931" s="16"/>
      <c r="AB931" s="29" t="s">
        <v>181</v>
      </c>
      <c r="AC931" s="17"/>
      <c r="AD931" s="18"/>
      <c r="AE931" s="34"/>
      <c r="AF931" s="34"/>
      <c r="AG931" s="34"/>
      <c r="AH931" s="34"/>
      <c r="AI931" s="34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30"/>
      <c r="AU931" s="18"/>
      <c r="AV931" s="18"/>
      <c r="AW931" s="18"/>
      <c r="AX931" s="18"/>
    </row>
    <row r="932" spans="1:50" ht="25.5" x14ac:dyDescent="0.2">
      <c r="AA932" s="16"/>
      <c r="AB932" s="29" t="s">
        <v>637</v>
      </c>
      <c r="AC932" s="17"/>
      <c r="AD932" s="18"/>
      <c r="AE932" s="34"/>
      <c r="AF932" s="34"/>
      <c r="AG932" s="34"/>
      <c r="AH932" s="34"/>
      <c r="AI932" s="34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30"/>
      <c r="AU932" s="18"/>
      <c r="AV932" s="18"/>
      <c r="AW932" s="18"/>
      <c r="AX932" s="18"/>
    </row>
    <row r="933" spans="1:50" ht="25.5" x14ac:dyDescent="0.2">
      <c r="AA933" s="28" t="s">
        <v>288</v>
      </c>
      <c r="AB933" s="29" t="s">
        <v>655</v>
      </c>
      <c r="AC933" s="17"/>
      <c r="AD933" s="18"/>
      <c r="AE933" s="34"/>
      <c r="AF933" s="34"/>
      <c r="AG933" s="34"/>
      <c r="AH933" s="34"/>
      <c r="AI933" s="34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30"/>
      <c r="AU933" s="18"/>
      <c r="AV933" s="18"/>
      <c r="AW933" s="18"/>
      <c r="AX933" s="18"/>
    </row>
    <row r="934" spans="1:50" x14ac:dyDescent="0.2">
      <c r="A934" s="4" t="s">
        <v>55</v>
      </c>
      <c r="B934" s="4" t="s">
        <v>56</v>
      </c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1" t="s">
        <v>656</v>
      </c>
      <c r="AB934" s="42" t="s">
        <v>233</v>
      </c>
      <c r="AC934" s="43" t="s">
        <v>58</v>
      </c>
      <c r="AD934" s="43">
        <v>800000000</v>
      </c>
      <c r="AE934" s="44">
        <v>0</v>
      </c>
      <c r="AF934" s="44">
        <v>0</v>
      </c>
      <c r="AG934" s="44">
        <v>0</v>
      </c>
      <c r="AH934" s="44">
        <v>0</v>
      </c>
      <c r="AI934" s="44">
        <v>0</v>
      </c>
      <c r="AJ934" s="43">
        <v>800000000</v>
      </c>
      <c r="AK934" s="44">
        <v>0</v>
      </c>
      <c r="AL934" s="43">
        <v>0</v>
      </c>
      <c r="AM934" s="43">
        <v>800000000</v>
      </c>
      <c r="AN934" s="44">
        <v>0</v>
      </c>
      <c r="AO934" s="44">
        <v>0</v>
      </c>
      <c r="AP934" s="44">
        <v>0</v>
      </c>
      <c r="AQ934" s="44">
        <v>0</v>
      </c>
      <c r="AR934" s="44">
        <v>0</v>
      </c>
      <c r="AS934" s="44">
        <v>0</v>
      </c>
      <c r="AT934" s="40">
        <f t="shared" ref="AT934" si="360">AQ934+AS934</f>
        <v>0</v>
      </c>
      <c r="AU934" s="34">
        <f>AJ934-AM934</f>
        <v>0</v>
      </c>
      <c r="AV934" s="18">
        <f>AM934-AP934</f>
        <v>800000000</v>
      </c>
      <c r="AW934" s="34">
        <f>AP934-AT934</f>
        <v>0</v>
      </c>
      <c r="AX934" s="123">
        <f>AP934/AJ934</f>
        <v>0</v>
      </c>
    </row>
    <row r="935" spans="1:50" ht="18.75" customHeight="1" x14ac:dyDescent="0.2">
      <c r="AA935" s="16"/>
      <c r="AB935" s="29" t="s">
        <v>189</v>
      </c>
      <c r="AC935" s="17"/>
      <c r="AD935" s="18"/>
      <c r="AE935" s="34"/>
      <c r="AF935" s="34"/>
      <c r="AG935" s="34"/>
      <c r="AH935" s="34"/>
      <c r="AI935" s="34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30"/>
      <c r="AU935" s="18"/>
      <c r="AV935" s="18"/>
      <c r="AW935" s="18"/>
      <c r="AX935" s="18"/>
    </row>
    <row r="936" spans="1:50" ht="38.25" x14ac:dyDescent="0.2">
      <c r="AA936" s="16"/>
      <c r="AB936" s="29" t="s">
        <v>193</v>
      </c>
      <c r="AC936" s="17"/>
      <c r="AD936" s="18"/>
      <c r="AE936" s="34"/>
      <c r="AF936" s="34"/>
      <c r="AG936" s="34"/>
      <c r="AH936" s="34"/>
      <c r="AI936" s="34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30"/>
      <c r="AU936" s="18"/>
      <c r="AV936" s="18"/>
      <c r="AW936" s="18"/>
      <c r="AX936" s="18"/>
    </row>
    <row r="937" spans="1:50" ht="25.5" x14ac:dyDescent="0.2">
      <c r="AA937" s="28" t="s">
        <v>288</v>
      </c>
      <c r="AB937" s="29" t="s">
        <v>616</v>
      </c>
      <c r="AC937" s="17"/>
      <c r="AD937" s="18"/>
      <c r="AE937" s="34"/>
      <c r="AF937" s="34"/>
      <c r="AG937" s="34"/>
      <c r="AH937" s="34"/>
      <c r="AI937" s="34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30"/>
      <c r="AU937" s="18"/>
      <c r="AV937" s="18"/>
      <c r="AW937" s="18"/>
      <c r="AX937" s="18"/>
    </row>
    <row r="938" spans="1:50" x14ac:dyDescent="0.2">
      <c r="A938" s="4" t="s">
        <v>37</v>
      </c>
      <c r="B938" s="4" t="s">
        <v>37</v>
      </c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1" t="s">
        <v>657</v>
      </c>
      <c r="AB938" s="42" t="s">
        <v>233</v>
      </c>
      <c r="AC938" s="43" t="s">
        <v>58</v>
      </c>
      <c r="AD938" s="43">
        <v>400000000</v>
      </c>
      <c r="AE938" s="44">
        <v>0</v>
      </c>
      <c r="AF938" s="44">
        <v>0</v>
      </c>
      <c r="AG938" s="44">
        <v>0</v>
      </c>
      <c r="AH938" s="44">
        <v>0</v>
      </c>
      <c r="AI938" s="44">
        <v>0</v>
      </c>
      <c r="AJ938" s="43">
        <v>400000000</v>
      </c>
      <c r="AK938" s="44">
        <v>0</v>
      </c>
      <c r="AL938" s="44">
        <f>AM938-JUNIO!AM926</f>
        <v>0</v>
      </c>
      <c r="AM938" s="43">
        <v>399068768</v>
      </c>
      <c r="AN938" s="44">
        <v>0</v>
      </c>
      <c r="AO938" s="43">
        <v>0</v>
      </c>
      <c r="AP938" s="43">
        <v>399068768</v>
      </c>
      <c r="AQ938" s="44">
        <v>0</v>
      </c>
      <c r="AR938" s="43">
        <v>265116918</v>
      </c>
      <c r="AS938" s="43">
        <v>399068768</v>
      </c>
      <c r="AT938" s="39">
        <f t="shared" ref="AT938:AT939" si="361">AQ938+AS938</f>
        <v>399068768</v>
      </c>
      <c r="AU938" s="18">
        <f>AJ938-AM938</f>
        <v>931232</v>
      </c>
      <c r="AV938" s="34">
        <f>AM938-AP938</f>
        <v>0</v>
      </c>
      <c r="AW938" s="18">
        <f>AP938-AT938</f>
        <v>0</v>
      </c>
      <c r="AX938" s="123">
        <f>AP938/AJ938</f>
        <v>0.99767192000000005</v>
      </c>
    </row>
    <row r="939" spans="1:50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1" t="s">
        <v>1226</v>
      </c>
      <c r="AB939" s="42" t="s">
        <v>1110</v>
      </c>
      <c r="AC939" s="43"/>
      <c r="AD939" s="43">
        <v>0</v>
      </c>
      <c r="AE939" s="44">
        <v>0</v>
      </c>
      <c r="AF939" s="44">
        <v>0</v>
      </c>
      <c r="AG939" s="43">
        <v>502777408.16000003</v>
      </c>
      <c r="AH939" s="44">
        <v>0</v>
      </c>
      <c r="AI939" s="43">
        <f>AE939-AF939+AG939-AH939</f>
        <v>502777408.16000003</v>
      </c>
      <c r="AJ939" s="43">
        <f>AD939+AI939</f>
        <v>502777408.16000003</v>
      </c>
      <c r="AK939" s="44">
        <v>0</v>
      </c>
      <c r="AL939" s="43">
        <f>AM939-JUNIO!AM927</f>
        <v>302439582</v>
      </c>
      <c r="AM939" s="43">
        <v>501789667</v>
      </c>
      <c r="AN939" s="44">
        <v>0</v>
      </c>
      <c r="AO939" s="43">
        <v>0</v>
      </c>
      <c r="AP939" s="43">
        <v>199350085</v>
      </c>
      <c r="AQ939" s="44">
        <v>0</v>
      </c>
      <c r="AR939" s="43">
        <v>94684642</v>
      </c>
      <c r="AS939" s="43">
        <v>94684642</v>
      </c>
      <c r="AT939" s="39">
        <f t="shared" si="361"/>
        <v>94684642</v>
      </c>
      <c r="AU939" s="18">
        <f>AJ939-AM939</f>
        <v>987741.16000002623</v>
      </c>
      <c r="AV939" s="18">
        <f>AM939-AP939</f>
        <v>302439582</v>
      </c>
      <c r="AW939" s="18">
        <f>AP939-AT939</f>
        <v>104665443</v>
      </c>
      <c r="AX939" s="123">
        <f>AP939/AJ939</f>
        <v>0.39649769811566465</v>
      </c>
    </row>
    <row r="940" spans="1:50" x14ac:dyDescent="0.2">
      <c r="AA940" s="16"/>
      <c r="AB940" s="17"/>
      <c r="AC940" s="17"/>
      <c r="AD940" s="18"/>
      <c r="AE940" s="34"/>
      <c r="AF940" s="34"/>
      <c r="AG940" s="34"/>
      <c r="AH940" s="34"/>
      <c r="AI940" s="34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30"/>
      <c r="AU940" s="18"/>
      <c r="AV940" s="34"/>
      <c r="AW940" s="34"/>
      <c r="AX940" s="18"/>
    </row>
    <row r="941" spans="1:50" ht="25.5" x14ac:dyDescent="0.2">
      <c r="AA941" s="16"/>
      <c r="AB941" s="29" t="s">
        <v>197</v>
      </c>
      <c r="AC941" s="17"/>
      <c r="AD941" s="18"/>
      <c r="AE941" s="34"/>
      <c r="AF941" s="34"/>
      <c r="AG941" s="34"/>
      <c r="AH941" s="34"/>
      <c r="AI941" s="34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30"/>
      <c r="AU941" s="18"/>
      <c r="AV941" s="34"/>
      <c r="AW941" s="34"/>
      <c r="AX941" s="18"/>
    </row>
    <row r="942" spans="1:50" ht="25.5" x14ac:dyDescent="0.2">
      <c r="AA942" s="28" t="s">
        <v>288</v>
      </c>
      <c r="AB942" s="29" t="s">
        <v>616</v>
      </c>
      <c r="AC942" s="17"/>
      <c r="AD942" s="18"/>
      <c r="AE942" s="34"/>
      <c r="AF942" s="34"/>
      <c r="AG942" s="34"/>
      <c r="AH942" s="34"/>
      <c r="AI942" s="34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30"/>
      <c r="AU942" s="18"/>
      <c r="AV942" s="34"/>
      <c r="AW942" s="34"/>
      <c r="AX942" s="18"/>
    </row>
    <row r="943" spans="1:50" x14ac:dyDescent="0.2">
      <c r="A943" s="4" t="s">
        <v>55</v>
      </c>
      <c r="B943" s="4" t="s">
        <v>56</v>
      </c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1" t="s">
        <v>658</v>
      </c>
      <c r="AB943" s="42" t="s">
        <v>233</v>
      </c>
      <c r="AC943" s="43" t="s">
        <v>58</v>
      </c>
      <c r="AD943" s="43">
        <v>80000001.5</v>
      </c>
      <c r="AE943" s="44">
        <v>0</v>
      </c>
      <c r="AF943" s="44">
        <v>0</v>
      </c>
      <c r="AG943" s="44">
        <v>0</v>
      </c>
      <c r="AH943" s="44">
        <v>0</v>
      </c>
      <c r="AI943" s="44">
        <v>0</v>
      </c>
      <c r="AJ943" s="43">
        <v>80000001.5</v>
      </c>
      <c r="AK943" s="44">
        <v>0</v>
      </c>
      <c r="AL943" s="44">
        <v>0</v>
      </c>
      <c r="AM943" s="44">
        <v>0</v>
      </c>
      <c r="AN943" s="44">
        <v>0</v>
      </c>
      <c r="AO943" s="44">
        <v>0</v>
      </c>
      <c r="AP943" s="44">
        <v>0</v>
      </c>
      <c r="AQ943" s="44">
        <v>0</v>
      </c>
      <c r="AR943" s="44">
        <v>0</v>
      </c>
      <c r="AS943" s="44">
        <v>0</v>
      </c>
      <c r="AT943" s="40">
        <f t="shared" ref="AT943:AT945" si="362">AQ943+AS943</f>
        <v>0</v>
      </c>
      <c r="AU943" s="18">
        <f>AJ943-AM943</f>
        <v>80000001.5</v>
      </c>
      <c r="AV943" s="133">
        <f>AM943-AP943</f>
        <v>0</v>
      </c>
      <c r="AW943" s="34">
        <f>AP943-AT943</f>
        <v>0</v>
      </c>
      <c r="AX943" s="123">
        <f>AP943/AJ943</f>
        <v>0</v>
      </c>
    </row>
    <row r="944" spans="1:50" ht="25.5" x14ac:dyDescent="0.2">
      <c r="A944" s="4" t="s">
        <v>55</v>
      </c>
      <c r="B944" s="4" t="s">
        <v>56</v>
      </c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1" t="s">
        <v>659</v>
      </c>
      <c r="AB944" s="42" t="s">
        <v>660</v>
      </c>
      <c r="AC944" s="43" t="s">
        <v>368</v>
      </c>
      <c r="AD944" s="43">
        <v>18064798.5</v>
      </c>
      <c r="AE944" s="44">
        <v>0</v>
      </c>
      <c r="AF944" s="44">
        <v>0</v>
      </c>
      <c r="AG944" s="44">
        <v>0</v>
      </c>
      <c r="AH944" s="44">
        <v>0</v>
      </c>
      <c r="AI944" s="44">
        <v>0</v>
      </c>
      <c r="AJ944" s="43">
        <v>18064798.5</v>
      </c>
      <c r="AK944" s="44">
        <v>0</v>
      </c>
      <c r="AL944" s="44">
        <v>0</v>
      </c>
      <c r="AM944" s="44">
        <v>0</v>
      </c>
      <c r="AN944" s="44">
        <v>0</v>
      </c>
      <c r="AO944" s="44">
        <v>0</v>
      </c>
      <c r="AP944" s="44">
        <v>0</v>
      </c>
      <c r="AQ944" s="44">
        <v>0</v>
      </c>
      <c r="AR944" s="44">
        <v>0</v>
      </c>
      <c r="AS944" s="44">
        <v>0</v>
      </c>
      <c r="AT944" s="40">
        <f t="shared" si="362"/>
        <v>0</v>
      </c>
      <c r="AU944" s="18">
        <f>AJ944-AM944</f>
        <v>18064798.5</v>
      </c>
      <c r="AV944" s="133">
        <f>AM944-AP944</f>
        <v>0</v>
      </c>
      <c r="AW944" s="34">
        <f>AP944-AT944</f>
        <v>0</v>
      </c>
      <c r="AX944" s="123">
        <f>AP944/AJ944</f>
        <v>0</v>
      </c>
    </row>
    <row r="945" spans="1:50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1" t="s">
        <v>1109</v>
      </c>
      <c r="AB945" s="42" t="s">
        <v>1110</v>
      </c>
      <c r="AC945" s="43"/>
      <c r="AD945" s="44">
        <v>0</v>
      </c>
      <c r="AE945" s="43">
        <v>502777408.16000003</v>
      </c>
      <c r="AF945" s="44">
        <v>0</v>
      </c>
      <c r="AG945" s="44">
        <v>0</v>
      </c>
      <c r="AH945" s="43">
        <v>502777408.16000003</v>
      </c>
      <c r="AI945" s="44">
        <f>AE945-AF945+AG945-AH945</f>
        <v>0</v>
      </c>
      <c r="AJ945" s="44">
        <f>AD945+AI945</f>
        <v>0</v>
      </c>
      <c r="AK945" s="44">
        <v>0</v>
      </c>
      <c r="AL945" s="44">
        <v>0</v>
      </c>
      <c r="AM945" s="44">
        <v>0</v>
      </c>
      <c r="AN945" s="44">
        <v>0</v>
      </c>
      <c r="AO945" s="44">
        <v>0</v>
      </c>
      <c r="AP945" s="44">
        <v>0</v>
      </c>
      <c r="AQ945" s="44">
        <v>0</v>
      </c>
      <c r="AR945" s="44">
        <v>0</v>
      </c>
      <c r="AS945" s="44">
        <v>0</v>
      </c>
      <c r="AT945" s="40">
        <f t="shared" si="362"/>
        <v>0</v>
      </c>
      <c r="AU945" s="34">
        <f>AJ945-AM945</f>
        <v>0</v>
      </c>
      <c r="AV945" s="133">
        <f>AM945-AP945</f>
        <v>0</v>
      </c>
      <c r="AW945" s="34">
        <f>AP945-AT945</f>
        <v>0</v>
      </c>
      <c r="AX945" s="123">
        <v>0</v>
      </c>
    </row>
    <row r="946" spans="1:50" x14ac:dyDescent="0.2">
      <c r="AA946" s="16"/>
      <c r="AB946" s="17"/>
      <c r="AC946" s="17"/>
      <c r="AD946" s="18"/>
      <c r="AE946" s="34"/>
      <c r="AF946" s="34"/>
      <c r="AG946" s="34"/>
      <c r="AH946" s="34"/>
      <c r="AI946" s="34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30"/>
      <c r="AU946" s="18"/>
      <c r="AV946" s="18"/>
      <c r="AW946" s="18"/>
      <c r="AX946" s="18"/>
    </row>
    <row r="947" spans="1:50" x14ac:dyDescent="0.2">
      <c r="AA947" s="16"/>
      <c r="AB947" s="29" t="s">
        <v>661</v>
      </c>
      <c r="AC947" s="17"/>
      <c r="AD947" s="18"/>
      <c r="AE947" s="34"/>
      <c r="AF947" s="34"/>
      <c r="AG947" s="34"/>
      <c r="AH947" s="34"/>
      <c r="AI947" s="34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30"/>
      <c r="AU947" s="18"/>
      <c r="AV947" s="18"/>
      <c r="AW947" s="18"/>
      <c r="AX947" s="18"/>
    </row>
    <row r="948" spans="1:50" x14ac:dyDescent="0.2">
      <c r="AA948" s="16"/>
      <c r="AB948" s="29" t="s">
        <v>614</v>
      </c>
      <c r="AC948" s="17"/>
      <c r="AD948" s="18"/>
      <c r="AE948" s="34"/>
      <c r="AF948" s="34"/>
      <c r="AG948" s="34"/>
      <c r="AH948" s="34"/>
      <c r="AI948" s="34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30"/>
      <c r="AU948" s="18"/>
      <c r="AV948" s="18"/>
      <c r="AW948" s="18"/>
      <c r="AX948" s="18"/>
    </row>
    <row r="949" spans="1:50" x14ac:dyDescent="0.2">
      <c r="AA949" s="16"/>
      <c r="AB949" s="29" t="s">
        <v>286</v>
      </c>
      <c r="AC949" s="17"/>
      <c r="AD949" s="18"/>
      <c r="AE949" s="34"/>
      <c r="AF949" s="34"/>
      <c r="AG949" s="34"/>
      <c r="AH949" s="34"/>
      <c r="AI949" s="34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30"/>
      <c r="AU949" s="18"/>
      <c r="AV949" s="18"/>
      <c r="AW949" s="18"/>
      <c r="AX949" s="18"/>
    </row>
    <row r="950" spans="1:50" x14ac:dyDescent="0.2">
      <c r="AA950" s="16"/>
      <c r="AB950" s="29" t="s">
        <v>179</v>
      </c>
      <c r="AC950" s="17"/>
      <c r="AD950" s="18"/>
      <c r="AE950" s="34"/>
      <c r="AF950" s="34"/>
      <c r="AG950" s="34"/>
      <c r="AH950" s="34"/>
      <c r="AI950" s="34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30"/>
      <c r="AU950" s="18"/>
      <c r="AV950" s="18"/>
      <c r="AW950" s="18"/>
      <c r="AX950" s="18"/>
    </row>
    <row r="951" spans="1:50" x14ac:dyDescent="0.2">
      <c r="AA951" s="16"/>
      <c r="AB951" s="29" t="s">
        <v>189</v>
      </c>
      <c r="AC951" s="17"/>
      <c r="AD951" s="18"/>
      <c r="AE951" s="34"/>
      <c r="AF951" s="34"/>
      <c r="AG951" s="34"/>
      <c r="AH951" s="34"/>
      <c r="AI951" s="34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30"/>
      <c r="AU951" s="18"/>
      <c r="AV951" s="18"/>
      <c r="AW951" s="18"/>
      <c r="AX951" s="18"/>
    </row>
    <row r="952" spans="1:50" ht="25.5" x14ac:dyDescent="0.2">
      <c r="AA952" s="16"/>
      <c r="AB952" s="29" t="s">
        <v>197</v>
      </c>
      <c r="AC952" s="17"/>
      <c r="AD952" s="18"/>
      <c r="AE952" s="34"/>
      <c r="AF952" s="34"/>
      <c r="AG952" s="34"/>
      <c r="AH952" s="34"/>
      <c r="AI952" s="34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30"/>
      <c r="AU952" s="18"/>
      <c r="AV952" s="18"/>
      <c r="AW952" s="18"/>
      <c r="AX952" s="18"/>
    </row>
    <row r="953" spans="1:50" x14ac:dyDescent="0.2">
      <c r="AA953" s="28" t="s">
        <v>288</v>
      </c>
      <c r="AB953" s="29" t="s">
        <v>591</v>
      </c>
      <c r="AC953" s="17"/>
      <c r="AD953" s="18"/>
      <c r="AE953" s="34"/>
      <c r="AF953" s="34"/>
      <c r="AG953" s="34"/>
      <c r="AH953" s="34"/>
      <c r="AI953" s="34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30"/>
      <c r="AU953" s="18"/>
      <c r="AV953" s="18"/>
      <c r="AW953" s="18"/>
      <c r="AX953" s="18"/>
    </row>
    <row r="954" spans="1:50" ht="25.5" x14ac:dyDescent="0.2">
      <c r="A954" s="4" t="s">
        <v>55</v>
      </c>
      <c r="B954" s="4" t="s">
        <v>56</v>
      </c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1" t="s">
        <v>662</v>
      </c>
      <c r="AB954" s="42" t="s">
        <v>1238</v>
      </c>
      <c r="AC954" s="43" t="s">
        <v>368</v>
      </c>
      <c r="AD954" s="43">
        <v>3179405.26</v>
      </c>
      <c r="AE954" s="44">
        <v>0</v>
      </c>
      <c r="AF954" s="44">
        <v>0</v>
      </c>
      <c r="AG954" s="44">
        <v>0</v>
      </c>
      <c r="AH954" s="44">
        <v>0</v>
      </c>
      <c r="AI954" s="44">
        <v>0</v>
      </c>
      <c r="AJ954" s="43">
        <v>3179405.26</v>
      </c>
      <c r="AK954" s="44">
        <v>0</v>
      </c>
      <c r="AL954" s="44">
        <v>0</v>
      </c>
      <c r="AM954" s="43">
        <v>1739249</v>
      </c>
      <c r="AN954" s="44">
        <v>0</v>
      </c>
      <c r="AO954" s="44">
        <v>0</v>
      </c>
      <c r="AP954" s="43">
        <v>1739249</v>
      </c>
      <c r="AQ954" s="44">
        <v>0</v>
      </c>
      <c r="AR954" s="44">
        <v>0</v>
      </c>
      <c r="AS954" s="44">
        <v>0</v>
      </c>
      <c r="AT954" s="40">
        <f t="shared" ref="AT954:AT955" si="363">AQ954+AS954</f>
        <v>0</v>
      </c>
      <c r="AU954" s="18">
        <f>AJ954-AM954</f>
        <v>1440156.2599999998</v>
      </c>
      <c r="AV954" s="133">
        <f>AM954-AP954</f>
        <v>0</v>
      </c>
      <c r="AW954" s="18">
        <f>AP954-AT954</f>
        <v>1739249</v>
      </c>
      <c r="AX954" s="123">
        <f>AP954/AJ954</f>
        <v>0.54703595728466525</v>
      </c>
    </row>
    <row r="955" spans="1:50" ht="25.5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1" t="s">
        <v>1111</v>
      </c>
      <c r="AB955" s="42" t="s">
        <v>1112</v>
      </c>
      <c r="AC955" s="43"/>
      <c r="AD955" s="44">
        <v>0</v>
      </c>
      <c r="AE955" s="43">
        <v>58361947.520000003</v>
      </c>
      <c r="AF955" s="44">
        <v>0</v>
      </c>
      <c r="AG955" s="44">
        <v>0</v>
      </c>
      <c r="AH955" s="44">
        <v>0</v>
      </c>
      <c r="AI955" s="43">
        <f>AE955-AF955+AG955-AH955</f>
        <v>58361947.520000003</v>
      </c>
      <c r="AJ955" s="43">
        <f>AD955+AI955</f>
        <v>58361947.520000003</v>
      </c>
      <c r="AK955" s="44">
        <v>0</v>
      </c>
      <c r="AL955" s="44">
        <v>0</v>
      </c>
      <c r="AM955" s="44">
        <v>0</v>
      </c>
      <c r="AN955" s="44">
        <v>0</v>
      </c>
      <c r="AO955" s="44">
        <v>0</v>
      </c>
      <c r="AP955" s="44">
        <v>0</v>
      </c>
      <c r="AQ955" s="44">
        <v>0</v>
      </c>
      <c r="AR955" s="44">
        <v>0</v>
      </c>
      <c r="AS955" s="44">
        <v>0</v>
      </c>
      <c r="AT955" s="40">
        <f t="shared" si="363"/>
        <v>0</v>
      </c>
      <c r="AU955" s="18">
        <f>AJ955-AM955</f>
        <v>58361947.520000003</v>
      </c>
      <c r="AV955" s="133">
        <f>AM955-AP955</f>
        <v>0</v>
      </c>
      <c r="AW955" s="34">
        <f>AP955-AT955</f>
        <v>0</v>
      </c>
      <c r="AX955" s="123">
        <f>AP955/AJ955</f>
        <v>0</v>
      </c>
    </row>
    <row r="956" spans="1:50" x14ac:dyDescent="0.2">
      <c r="AA956" s="16"/>
      <c r="AB956" s="17"/>
      <c r="AC956" s="17"/>
      <c r="AD956" s="18"/>
      <c r="AE956" s="34"/>
      <c r="AF956" s="34"/>
      <c r="AG956" s="34"/>
      <c r="AH956" s="34"/>
      <c r="AI956" s="34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30"/>
      <c r="AU956" s="18"/>
      <c r="AV956" s="18"/>
      <c r="AW956" s="18"/>
      <c r="AX956" s="18"/>
    </row>
    <row r="957" spans="1:50" ht="25.5" x14ac:dyDescent="0.2">
      <c r="AA957" s="16"/>
      <c r="AB957" s="29" t="s">
        <v>663</v>
      </c>
      <c r="AC957" s="17"/>
      <c r="AD957" s="18"/>
      <c r="AE957" s="34"/>
      <c r="AF957" s="34"/>
      <c r="AG957" s="34"/>
      <c r="AH957" s="34"/>
      <c r="AI957" s="34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30"/>
      <c r="AU957" s="18"/>
      <c r="AV957" s="18"/>
      <c r="AW957" s="18"/>
      <c r="AX957" s="18"/>
    </row>
    <row r="958" spans="1:50" x14ac:dyDescent="0.2">
      <c r="AA958" s="16"/>
      <c r="AB958" s="29" t="s">
        <v>614</v>
      </c>
      <c r="AC958" s="17"/>
      <c r="AD958" s="18"/>
      <c r="AE958" s="34"/>
      <c r="AF958" s="34"/>
      <c r="AG958" s="34"/>
      <c r="AH958" s="34"/>
      <c r="AI958" s="34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30"/>
      <c r="AU958" s="18"/>
      <c r="AV958" s="18"/>
      <c r="AW958" s="18"/>
      <c r="AX958" s="18"/>
    </row>
    <row r="959" spans="1:50" x14ac:dyDescent="0.2">
      <c r="AA959" s="16"/>
      <c r="AB959" s="29" t="s">
        <v>286</v>
      </c>
      <c r="AC959" s="17"/>
      <c r="AD959" s="18"/>
      <c r="AE959" s="34"/>
      <c r="AF959" s="34"/>
      <c r="AG959" s="34"/>
      <c r="AH959" s="34"/>
      <c r="AI959" s="34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30"/>
      <c r="AU959" s="18"/>
      <c r="AV959" s="18"/>
      <c r="AW959" s="18"/>
      <c r="AX959" s="18"/>
    </row>
    <row r="960" spans="1:50" ht="18.75" customHeight="1" x14ac:dyDescent="0.2">
      <c r="AA960" s="16"/>
      <c r="AB960" s="29" t="s">
        <v>664</v>
      </c>
      <c r="AC960" s="17"/>
      <c r="AD960" s="18"/>
      <c r="AE960" s="34"/>
      <c r="AF960" s="34"/>
      <c r="AG960" s="34"/>
      <c r="AH960" s="34"/>
      <c r="AI960" s="34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30"/>
      <c r="AU960" s="18"/>
      <c r="AV960" s="18"/>
      <c r="AW960" s="18"/>
      <c r="AX960" s="18"/>
    </row>
    <row r="961" spans="1:50" ht="18.75" customHeight="1" x14ac:dyDescent="0.2">
      <c r="AA961" s="16"/>
      <c r="AB961" s="29" t="s">
        <v>575</v>
      </c>
      <c r="AC961" s="17"/>
      <c r="AD961" s="18"/>
      <c r="AE961" s="34"/>
      <c r="AF961" s="34"/>
      <c r="AG961" s="34"/>
      <c r="AH961" s="34"/>
      <c r="AI961" s="34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30"/>
      <c r="AU961" s="18"/>
      <c r="AV961" s="18"/>
      <c r="AW961" s="18"/>
      <c r="AX961" s="18"/>
    </row>
    <row r="962" spans="1:50" ht="18.75" customHeight="1" x14ac:dyDescent="0.2">
      <c r="AA962" s="16"/>
      <c r="AB962" s="29" t="s">
        <v>631</v>
      </c>
      <c r="AC962" s="17"/>
      <c r="AD962" s="18"/>
      <c r="AE962" s="34"/>
      <c r="AF962" s="34"/>
      <c r="AG962" s="34"/>
      <c r="AH962" s="34"/>
      <c r="AI962" s="34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30"/>
      <c r="AU962" s="18"/>
      <c r="AV962" s="18"/>
      <c r="AW962" s="18"/>
      <c r="AX962" s="18"/>
    </row>
    <row r="963" spans="1:50" ht="18.75" customHeight="1" x14ac:dyDescent="0.2">
      <c r="AA963" s="16"/>
      <c r="AB963" s="29" t="s">
        <v>632</v>
      </c>
      <c r="AC963" s="17"/>
      <c r="AD963" s="18"/>
      <c r="AE963" s="34"/>
      <c r="AF963" s="34"/>
      <c r="AG963" s="34"/>
      <c r="AH963" s="34"/>
      <c r="AI963" s="34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30"/>
      <c r="AU963" s="18"/>
      <c r="AV963" s="18"/>
      <c r="AW963" s="18"/>
      <c r="AX963" s="18"/>
    </row>
    <row r="964" spans="1:50" ht="18.75" customHeight="1" x14ac:dyDescent="0.2">
      <c r="AA964" s="16"/>
      <c r="AB964" s="29" t="s">
        <v>633</v>
      </c>
      <c r="AC964" s="17"/>
      <c r="AD964" s="18"/>
      <c r="AE964" s="34"/>
      <c r="AF964" s="34"/>
      <c r="AG964" s="34"/>
      <c r="AH964" s="34"/>
      <c r="AI964" s="34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30"/>
      <c r="AU964" s="18"/>
      <c r="AV964" s="18"/>
      <c r="AW964" s="18"/>
      <c r="AX964" s="18"/>
    </row>
    <row r="965" spans="1:50" ht="18.75" customHeight="1" x14ac:dyDescent="0.2">
      <c r="AA965" s="16"/>
      <c r="AB965" s="29" t="s">
        <v>634</v>
      </c>
      <c r="AC965" s="17"/>
      <c r="AD965" s="18"/>
      <c r="AE965" s="34"/>
      <c r="AF965" s="34"/>
      <c r="AG965" s="34"/>
      <c r="AH965" s="34"/>
      <c r="AI965" s="34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30"/>
      <c r="AU965" s="18"/>
      <c r="AV965" s="18"/>
      <c r="AW965" s="18"/>
      <c r="AX965" s="18"/>
    </row>
    <row r="966" spans="1:50" ht="18.75" customHeight="1" x14ac:dyDescent="0.2">
      <c r="AA966" s="16"/>
      <c r="AB966" s="29" t="s">
        <v>635</v>
      </c>
      <c r="AC966" s="17"/>
      <c r="AD966" s="18"/>
      <c r="AE966" s="34"/>
      <c r="AF966" s="34"/>
      <c r="AG966" s="34"/>
      <c r="AH966" s="34"/>
      <c r="AI966" s="34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30"/>
      <c r="AU966" s="18"/>
      <c r="AV966" s="18"/>
      <c r="AW966" s="18"/>
      <c r="AX966" s="18"/>
    </row>
    <row r="967" spans="1:50" ht="18.75" customHeight="1" x14ac:dyDescent="0.2">
      <c r="AA967" s="28" t="s">
        <v>288</v>
      </c>
      <c r="AB967" s="29" t="s">
        <v>665</v>
      </c>
      <c r="AC967" s="17"/>
      <c r="AD967" s="18"/>
      <c r="AE967" s="34"/>
      <c r="AF967" s="34"/>
      <c r="AG967" s="34"/>
      <c r="AH967" s="34"/>
      <c r="AI967" s="34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30"/>
      <c r="AU967" s="18"/>
      <c r="AV967" s="18"/>
      <c r="AW967" s="18"/>
      <c r="AX967" s="18"/>
    </row>
    <row r="968" spans="1:50" ht="18.75" customHeight="1" x14ac:dyDescent="0.2">
      <c r="A968" s="4" t="s">
        <v>37</v>
      </c>
      <c r="B968" s="4" t="s">
        <v>37</v>
      </c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1" t="s">
        <v>666</v>
      </c>
      <c r="AB968" s="42" t="s">
        <v>233</v>
      </c>
      <c r="AC968" s="43" t="s">
        <v>58</v>
      </c>
      <c r="AD968" s="43">
        <v>22000000</v>
      </c>
      <c r="AE968" s="44">
        <v>0</v>
      </c>
      <c r="AF968" s="44">
        <v>0</v>
      </c>
      <c r="AG968" s="44">
        <v>0</v>
      </c>
      <c r="AH968" s="44">
        <v>0</v>
      </c>
      <c r="AI968" s="44">
        <v>0</v>
      </c>
      <c r="AJ968" s="43">
        <v>22000000</v>
      </c>
      <c r="AK968" s="44">
        <v>0</v>
      </c>
      <c r="AL968" s="44">
        <v>0</v>
      </c>
      <c r="AM968" s="44">
        <v>0</v>
      </c>
      <c r="AN968" s="44">
        <v>0</v>
      </c>
      <c r="AO968" s="44">
        <v>0</v>
      </c>
      <c r="AP968" s="44">
        <v>0</v>
      </c>
      <c r="AQ968" s="44">
        <v>0</v>
      </c>
      <c r="AR968" s="44">
        <v>0</v>
      </c>
      <c r="AS968" s="44">
        <v>0</v>
      </c>
      <c r="AT968" s="40">
        <f t="shared" ref="AT968" si="364">AQ968+AS968</f>
        <v>0</v>
      </c>
      <c r="AU968" s="18">
        <f>AJ968-AM968</f>
        <v>22000000</v>
      </c>
      <c r="AV968" s="133">
        <f>AM968-AP968</f>
        <v>0</v>
      </c>
      <c r="AW968" s="34">
        <f>AP968-AT968</f>
        <v>0</v>
      </c>
      <c r="AX968" s="123">
        <f>AP968/AJ968</f>
        <v>0</v>
      </c>
    </row>
    <row r="969" spans="1:50" ht="18.75" customHeight="1" x14ac:dyDescent="0.2">
      <c r="AA969" s="16"/>
      <c r="AB969" s="17"/>
      <c r="AC969" s="17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30"/>
      <c r="AU969" s="18"/>
      <c r="AV969" s="34"/>
      <c r="AW969" s="34"/>
      <c r="AX969" s="18"/>
    </row>
    <row r="970" spans="1:50" ht="18.75" customHeight="1" x14ac:dyDescent="0.2">
      <c r="AA970" s="16"/>
      <c r="AB970" s="29" t="s">
        <v>179</v>
      </c>
      <c r="AC970" s="17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30"/>
      <c r="AU970" s="18"/>
      <c r="AV970" s="34"/>
      <c r="AW970" s="34"/>
      <c r="AX970" s="18"/>
    </row>
    <row r="971" spans="1:50" ht="18.75" customHeight="1" x14ac:dyDescent="0.2">
      <c r="AA971" s="16"/>
      <c r="AB971" s="29" t="s">
        <v>181</v>
      </c>
      <c r="AC971" s="17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30"/>
      <c r="AU971" s="18"/>
      <c r="AV971" s="34"/>
      <c r="AW971" s="34"/>
      <c r="AX971" s="18"/>
    </row>
    <row r="972" spans="1:50" ht="25.5" x14ac:dyDescent="0.2">
      <c r="AA972" s="16"/>
      <c r="AB972" s="29" t="s">
        <v>183</v>
      </c>
      <c r="AC972" s="17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30"/>
      <c r="AU972" s="18"/>
      <c r="AV972" s="34"/>
      <c r="AW972" s="34"/>
      <c r="AX972" s="18"/>
    </row>
    <row r="973" spans="1:50" ht="18.75" customHeight="1" x14ac:dyDescent="0.2">
      <c r="AA973" s="28" t="s">
        <v>288</v>
      </c>
      <c r="AB973" s="29" t="s">
        <v>667</v>
      </c>
      <c r="AC973" s="17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30"/>
      <c r="AU973" s="18"/>
      <c r="AV973" s="34"/>
      <c r="AW973" s="34"/>
      <c r="AX973" s="18"/>
    </row>
    <row r="974" spans="1:50" ht="18.75" customHeight="1" x14ac:dyDescent="0.2">
      <c r="A974" s="4" t="s">
        <v>668</v>
      </c>
      <c r="B974" s="4" t="s">
        <v>669</v>
      </c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1" t="s">
        <v>670</v>
      </c>
      <c r="AB974" s="42" t="s">
        <v>233</v>
      </c>
      <c r="AC974" s="43" t="s">
        <v>58</v>
      </c>
      <c r="AD974" s="43">
        <v>1000000000</v>
      </c>
      <c r="AE974" s="44">
        <v>0</v>
      </c>
      <c r="AF974" s="44">
        <v>0</v>
      </c>
      <c r="AG974" s="44">
        <v>0</v>
      </c>
      <c r="AH974" s="43">
        <v>557151874</v>
      </c>
      <c r="AI974" s="43">
        <f>AE974-AF974+AG974-AH974</f>
        <v>-557151874</v>
      </c>
      <c r="AJ974" s="43">
        <f>AD974+AI974</f>
        <v>442848126</v>
      </c>
      <c r="AK974" s="44">
        <v>0</v>
      </c>
      <c r="AL974" s="44">
        <v>0</v>
      </c>
      <c r="AM974" s="44">
        <v>0</v>
      </c>
      <c r="AN974" s="44">
        <v>0</v>
      </c>
      <c r="AO974" s="44">
        <v>0</v>
      </c>
      <c r="AP974" s="44">
        <v>0</v>
      </c>
      <c r="AQ974" s="44">
        <v>0</v>
      </c>
      <c r="AR974" s="44">
        <v>0</v>
      </c>
      <c r="AS974" s="44">
        <v>0</v>
      </c>
      <c r="AT974" s="40">
        <f t="shared" ref="AT974" si="365">AQ974+AS974</f>
        <v>0</v>
      </c>
      <c r="AU974" s="18">
        <f>AJ974-AM974</f>
        <v>442848126</v>
      </c>
      <c r="AV974" s="133">
        <f>AM974-AP974</f>
        <v>0</v>
      </c>
      <c r="AW974" s="34">
        <f>AP974-AT974</f>
        <v>0</v>
      </c>
      <c r="AX974" s="123">
        <f>AP974/AJ974</f>
        <v>0</v>
      </c>
    </row>
    <row r="975" spans="1:50" ht="18.75" customHeight="1" x14ac:dyDescent="0.2">
      <c r="AA975" s="16"/>
      <c r="AB975" s="17"/>
      <c r="AC975" s="17"/>
      <c r="AD975" s="18"/>
      <c r="AE975" s="34"/>
      <c r="AF975" s="34"/>
      <c r="AG975" s="34"/>
      <c r="AH975" s="34"/>
      <c r="AI975" s="34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30"/>
      <c r="AU975" s="18"/>
      <c r="AV975" s="34"/>
      <c r="AW975" s="34"/>
      <c r="AX975" s="18"/>
    </row>
    <row r="976" spans="1:50" ht="25.5" x14ac:dyDescent="0.2">
      <c r="AA976" s="16"/>
      <c r="AB976" s="29" t="s">
        <v>637</v>
      </c>
      <c r="AC976" s="17"/>
      <c r="AD976" s="18"/>
      <c r="AE976" s="34"/>
      <c r="AF976" s="34"/>
      <c r="AG976" s="34"/>
      <c r="AH976" s="34"/>
      <c r="AI976" s="34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30"/>
      <c r="AU976" s="18"/>
      <c r="AV976" s="34"/>
      <c r="AW976" s="34"/>
      <c r="AX976" s="18"/>
    </row>
    <row r="977" spans="1:50" ht="18.75" customHeight="1" x14ac:dyDescent="0.2">
      <c r="AA977" s="28" t="s">
        <v>288</v>
      </c>
      <c r="AB977" s="29" t="s">
        <v>667</v>
      </c>
      <c r="AC977" s="17"/>
      <c r="AD977" s="18"/>
      <c r="AE977" s="34"/>
      <c r="AF977" s="34"/>
      <c r="AG977" s="34"/>
      <c r="AH977" s="34"/>
      <c r="AI977" s="34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30"/>
      <c r="AU977" s="18"/>
      <c r="AV977" s="34"/>
      <c r="AW977" s="34"/>
      <c r="AX977" s="18"/>
    </row>
    <row r="978" spans="1:50" ht="18.75" customHeight="1" x14ac:dyDescent="0.2">
      <c r="A978" s="4" t="s">
        <v>55</v>
      </c>
      <c r="B978" s="4" t="s">
        <v>56</v>
      </c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1" t="s">
        <v>671</v>
      </c>
      <c r="AB978" s="42" t="s">
        <v>233</v>
      </c>
      <c r="AC978" s="43" t="s">
        <v>58</v>
      </c>
      <c r="AD978" s="43">
        <v>856200000</v>
      </c>
      <c r="AE978" s="44">
        <v>0</v>
      </c>
      <c r="AF978" s="44">
        <v>0</v>
      </c>
      <c r="AG978" s="43">
        <v>368161663</v>
      </c>
      <c r="AH978" s="44">
        <v>0</v>
      </c>
      <c r="AI978" s="43">
        <f>AE978-AF978+AG978-AH978</f>
        <v>368161663</v>
      </c>
      <c r="AJ978" s="43">
        <f>AD978+AI978</f>
        <v>1224361663</v>
      </c>
      <c r="AK978" s="44">
        <v>0</v>
      </c>
      <c r="AL978" s="43">
        <f>AM978-JUNIO!AM966</f>
        <v>141149639</v>
      </c>
      <c r="AM978" s="43">
        <v>141149639</v>
      </c>
      <c r="AN978" s="44">
        <v>0</v>
      </c>
      <c r="AO978" s="44">
        <v>0</v>
      </c>
      <c r="AP978" s="44">
        <v>0</v>
      </c>
      <c r="AQ978" s="44">
        <v>0</v>
      </c>
      <c r="AR978" s="44">
        <v>0</v>
      </c>
      <c r="AS978" s="44">
        <v>0</v>
      </c>
      <c r="AT978" s="40">
        <f t="shared" ref="AT978" si="366">AQ978+AS978</f>
        <v>0</v>
      </c>
      <c r="AU978" s="18">
        <f>AJ978-AM978</f>
        <v>1083212024</v>
      </c>
      <c r="AV978" s="18">
        <f>AM978-AP978</f>
        <v>141149639</v>
      </c>
      <c r="AW978" s="34">
        <f>AP978-AT978</f>
        <v>0</v>
      </c>
      <c r="AX978" s="123">
        <f>AP978/AJ978</f>
        <v>0</v>
      </c>
    </row>
    <row r="979" spans="1:50" ht="18.75" customHeight="1" x14ac:dyDescent="0.2">
      <c r="AA979" s="16"/>
      <c r="AB979" s="17"/>
      <c r="AC979" s="17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30"/>
      <c r="AU979" s="18"/>
      <c r="AV979" s="34"/>
      <c r="AW979" s="34"/>
      <c r="AX979" s="18"/>
    </row>
    <row r="980" spans="1:50" ht="18.75" customHeight="1" x14ac:dyDescent="0.2">
      <c r="AA980" s="16"/>
      <c r="AB980" s="29" t="s">
        <v>189</v>
      </c>
      <c r="AC980" s="17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30"/>
      <c r="AU980" s="18"/>
      <c r="AV980" s="34"/>
      <c r="AW980" s="34"/>
      <c r="AX980" s="18"/>
    </row>
    <row r="981" spans="1:50" ht="25.5" x14ac:dyDescent="0.2">
      <c r="AA981" s="16"/>
      <c r="AB981" s="29" t="s">
        <v>197</v>
      </c>
      <c r="AC981" s="17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30"/>
      <c r="AU981" s="18"/>
      <c r="AV981" s="34"/>
      <c r="AW981" s="34"/>
      <c r="AX981" s="18"/>
    </row>
    <row r="982" spans="1:50" ht="18.75" customHeight="1" x14ac:dyDescent="0.2">
      <c r="AA982" s="28" t="s">
        <v>288</v>
      </c>
      <c r="AB982" s="29" t="s">
        <v>667</v>
      </c>
      <c r="AC982" s="17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30"/>
      <c r="AU982" s="18"/>
      <c r="AV982" s="18"/>
      <c r="AW982" s="18"/>
      <c r="AX982" s="18"/>
    </row>
    <row r="983" spans="1:50" ht="18.75" customHeight="1" x14ac:dyDescent="0.2">
      <c r="A983" s="4" t="s">
        <v>55</v>
      </c>
      <c r="B983" s="4" t="s">
        <v>56</v>
      </c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1" t="s">
        <v>672</v>
      </c>
      <c r="AB983" s="42" t="s">
        <v>233</v>
      </c>
      <c r="AC983" s="43" t="s">
        <v>58</v>
      </c>
      <c r="AD983" s="43">
        <v>500000000</v>
      </c>
      <c r="AE983" s="44">
        <v>0</v>
      </c>
      <c r="AF983" s="44">
        <v>0</v>
      </c>
      <c r="AG983" s="44">
        <v>0</v>
      </c>
      <c r="AH983" s="44">
        <v>0</v>
      </c>
      <c r="AI983" s="44">
        <v>0</v>
      </c>
      <c r="AJ983" s="43">
        <v>500000000</v>
      </c>
      <c r="AK983" s="44">
        <v>0</v>
      </c>
      <c r="AL983" s="43">
        <f>AM983-JUNIO!AM971</f>
        <v>-5487268</v>
      </c>
      <c r="AM983" s="43">
        <v>226214243</v>
      </c>
      <c r="AN983" s="44">
        <v>0</v>
      </c>
      <c r="AO983" s="44">
        <v>65214243</v>
      </c>
      <c r="AP983" s="114">
        <v>226214243</v>
      </c>
      <c r="AQ983" s="43">
        <v>2333333</v>
      </c>
      <c r="AR983" s="43">
        <v>15500000</v>
      </c>
      <c r="AS983" s="43">
        <v>60900000</v>
      </c>
      <c r="AT983" s="111">
        <f t="shared" ref="AT983:AT985" si="367">AQ983+AS983</f>
        <v>63233333</v>
      </c>
      <c r="AU983" s="18">
        <f>AJ983-AM983</f>
        <v>273785757</v>
      </c>
      <c r="AV983" s="18">
        <f>AM983-AP983</f>
        <v>0</v>
      </c>
      <c r="AW983" s="18">
        <f>AP983-AT983</f>
        <v>162980910</v>
      </c>
      <c r="AX983" s="123">
        <f>AP983/AJ983</f>
        <v>0.45242848600000002</v>
      </c>
    </row>
    <row r="984" spans="1:50" ht="28.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1" t="s">
        <v>1113</v>
      </c>
      <c r="AB984" s="42" t="s">
        <v>1114</v>
      </c>
      <c r="AC984" s="43"/>
      <c r="AD984" s="44">
        <v>0</v>
      </c>
      <c r="AE984" s="43">
        <v>116018634.52</v>
      </c>
      <c r="AF984" s="44">
        <v>0</v>
      </c>
      <c r="AG984" s="44">
        <v>0</v>
      </c>
      <c r="AH984" s="44">
        <v>0</v>
      </c>
      <c r="AI984" s="43">
        <f t="shared" ref="AI984:AI985" si="368">AE984-AF984+AG984-AH984</f>
        <v>116018634.52</v>
      </c>
      <c r="AJ984" s="43">
        <f t="shared" ref="AJ984:AJ985" si="369">AD984+AI984</f>
        <v>116018634.52</v>
      </c>
      <c r="AK984" s="44">
        <v>0</v>
      </c>
      <c r="AL984" s="43">
        <f>AM984-JUNIO!AM972</f>
        <v>10766663</v>
      </c>
      <c r="AM984" s="43">
        <v>10766663</v>
      </c>
      <c r="AN984" s="44">
        <v>0</v>
      </c>
      <c r="AO984" s="44">
        <v>0</v>
      </c>
      <c r="AP984" s="115">
        <v>0</v>
      </c>
      <c r="AQ984" s="44">
        <v>0</v>
      </c>
      <c r="AR984" s="44">
        <v>0</v>
      </c>
      <c r="AS984" s="44">
        <v>0</v>
      </c>
      <c r="AT984" s="135">
        <f t="shared" si="367"/>
        <v>0</v>
      </c>
      <c r="AU984" s="18">
        <f>AJ984-AM984</f>
        <v>105251971.52</v>
      </c>
      <c r="AV984" s="18">
        <f>AM984-AP984</f>
        <v>10766663</v>
      </c>
      <c r="AW984" s="34">
        <f>AP984-AT984</f>
        <v>0</v>
      </c>
      <c r="AX984" s="123">
        <f>AP984/AJ984</f>
        <v>0</v>
      </c>
    </row>
    <row r="985" spans="1:50" ht="25.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1" t="s">
        <v>1115</v>
      </c>
      <c r="AB985" s="42" t="s">
        <v>1044</v>
      </c>
      <c r="AC985" s="43"/>
      <c r="AD985" s="44">
        <v>0</v>
      </c>
      <c r="AE985" s="43">
        <v>90000000</v>
      </c>
      <c r="AF985" s="44">
        <v>0</v>
      </c>
      <c r="AG985" s="44">
        <v>0</v>
      </c>
      <c r="AH985" s="44">
        <v>0</v>
      </c>
      <c r="AI985" s="43">
        <f t="shared" si="368"/>
        <v>90000000</v>
      </c>
      <c r="AJ985" s="43">
        <f t="shared" si="369"/>
        <v>90000000</v>
      </c>
      <c r="AK985" s="44">
        <v>0</v>
      </c>
      <c r="AL985" s="43">
        <f>AM985-JUNIO!AM973</f>
        <v>0</v>
      </c>
      <c r="AM985" s="44">
        <v>0</v>
      </c>
      <c r="AN985" s="44">
        <v>0</v>
      </c>
      <c r="AO985" s="44">
        <v>0</v>
      </c>
      <c r="AP985" s="115">
        <v>0</v>
      </c>
      <c r="AQ985" s="44">
        <v>0</v>
      </c>
      <c r="AR985" s="44">
        <v>0</v>
      </c>
      <c r="AS985" s="44">
        <v>0</v>
      </c>
      <c r="AT985" s="135">
        <f t="shared" si="367"/>
        <v>0</v>
      </c>
      <c r="AU985" s="18">
        <f>AJ985-AM985</f>
        <v>90000000</v>
      </c>
      <c r="AV985" s="133">
        <f>AM985-AP985</f>
        <v>0</v>
      </c>
      <c r="AW985" s="34">
        <f>AP985-AT985</f>
        <v>0</v>
      </c>
      <c r="AX985" s="123">
        <f>AP985/AJ985</f>
        <v>0</v>
      </c>
    </row>
    <row r="986" spans="1:50" ht="18.75" customHeight="1" x14ac:dyDescent="0.2">
      <c r="AA986" s="16"/>
      <c r="AB986" s="17"/>
      <c r="AC986" s="17"/>
      <c r="AD986" s="18"/>
      <c r="AE986" s="34"/>
      <c r="AF986" s="34"/>
      <c r="AG986" s="34"/>
      <c r="AH986" s="34"/>
      <c r="AI986" s="34"/>
      <c r="AJ986" s="18"/>
      <c r="AK986" s="18"/>
      <c r="AL986" s="18"/>
      <c r="AM986" s="18"/>
      <c r="AN986" s="18"/>
      <c r="AO986" s="18"/>
      <c r="AP986" s="18"/>
      <c r="AQ986" s="34"/>
      <c r="AR986" s="34"/>
      <c r="AS986" s="34"/>
      <c r="AT986" s="31"/>
      <c r="AU986" s="18"/>
      <c r="AV986" s="18"/>
      <c r="AW986" s="18"/>
      <c r="AX986" s="18"/>
    </row>
    <row r="987" spans="1:50" ht="18.75" customHeight="1" x14ac:dyDescent="0.2">
      <c r="AA987" s="16"/>
      <c r="AB987" s="29" t="s">
        <v>199</v>
      </c>
      <c r="AC987" s="17"/>
      <c r="AD987" s="18"/>
      <c r="AE987" s="34"/>
      <c r="AF987" s="34"/>
      <c r="AG987" s="34"/>
      <c r="AH987" s="34"/>
      <c r="AI987" s="34"/>
      <c r="AJ987" s="18"/>
      <c r="AK987" s="18"/>
      <c r="AL987" s="18"/>
      <c r="AM987" s="18"/>
      <c r="AN987" s="18"/>
      <c r="AO987" s="18"/>
      <c r="AP987" s="18"/>
      <c r="AQ987" s="34"/>
      <c r="AR987" s="34"/>
      <c r="AS987" s="34"/>
      <c r="AT987" s="31"/>
      <c r="AU987" s="18"/>
      <c r="AV987" s="18"/>
      <c r="AW987" s="18"/>
      <c r="AX987" s="18"/>
    </row>
    <row r="988" spans="1:50" ht="18.75" customHeight="1" x14ac:dyDescent="0.2">
      <c r="AA988" s="28" t="s">
        <v>288</v>
      </c>
      <c r="AB988" s="29" t="s">
        <v>667</v>
      </c>
      <c r="AC988" s="17"/>
      <c r="AD988" s="18"/>
      <c r="AE988" s="34"/>
      <c r="AF988" s="34"/>
      <c r="AG988" s="34"/>
      <c r="AH988" s="34"/>
      <c r="AI988" s="34"/>
      <c r="AJ988" s="18"/>
      <c r="AK988" s="18"/>
      <c r="AL988" s="18"/>
      <c r="AM988" s="18"/>
      <c r="AN988" s="18"/>
      <c r="AO988" s="18"/>
      <c r="AP988" s="18"/>
      <c r="AQ988" s="34"/>
      <c r="AR988" s="34"/>
      <c r="AS988" s="34"/>
      <c r="AT988" s="31"/>
      <c r="AU988" s="18"/>
      <c r="AV988" s="18"/>
      <c r="AW988" s="18"/>
      <c r="AX988" s="18"/>
    </row>
    <row r="989" spans="1:50" ht="18.75" customHeight="1" x14ac:dyDescent="0.2">
      <c r="A989" s="4" t="s">
        <v>55</v>
      </c>
      <c r="B989" s="4" t="s">
        <v>56</v>
      </c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1" t="s">
        <v>673</v>
      </c>
      <c r="AB989" s="42" t="s">
        <v>233</v>
      </c>
      <c r="AC989" s="43" t="s">
        <v>58</v>
      </c>
      <c r="AD989" s="43">
        <v>121800000</v>
      </c>
      <c r="AE989" s="44">
        <v>0</v>
      </c>
      <c r="AF989" s="44">
        <v>0</v>
      </c>
      <c r="AG989" s="44">
        <v>0</v>
      </c>
      <c r="AH989" s="44">
        <v>0</v>
      </c>
      <c r="AI989" s="44">
        <v>0</v>
      </c>
      <c r="AJ989" s="43">
        <v>121800000</v>
      </c>
      <c r="AK989" s="44">
        <v>0</v>
      </c>
      <c r="AL989" s="43">
        <v>3150000</v>
      </c>
      <c r="AM989" s="43">
        <v>22050000</v>
      </c>
      <c r="AN989" s="43">
        <v>0</v>
      </c>
      <c r="AO989" s="43">
        <v>3150000</v>
      </c>
      <c r="AP989" s="43">
        <v>22050000</v>
      </c>
      <c r="AQ989" s="43">
        <v>0</v>
      </c>
      <c r="AR989" s="43">
        <v>3150000</v>
      </c>
      <c r="AS989" s="43">
        <v>22050000</v>
      </c>
      <c r="AT989" s="39">
        <f t="shared" ref="AT989" si="370">AQ989+AS989</f>
        <v>22050000</v>
      </c>
      <c r="AU989" s="18">
        <f>AJ989-AM989</f>
        <v>99750000</v>
      </c>
      <c r="AV989" s="133">
        <f>AM989-AP989</f>
        <v>0</v>
      </c>
      <c r="AW989" s="34">
        <f>AP989-AT989</f>
        <v>0</v>
      </c>
      <c r="AX989" s="123">
        <f>AP989/AJ989</f>
        <v>0.18103448275862069</v>
      </c>
    </row>
    <row r="990" spans="1:50" ht="18.75" customHeight="1" x14ac:dyDescent="0.2">
      <c r="AA990" s="16"/>
      <c r="AB990" s="17"/>
      <c r="AC990" s="17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34"/>
      <c r="AR990" s="34"/>
      <c r="AS990" s="34"/>
      <c r="AT990" s="31"/>
      <c r="AU990" s="18"/>
      <c r="AV990" s="18"/>
      <c r="AW990" s="18"/>
      <c r="AX990" s="18"/>
    </row>
    <row r="991" spans="1:50" s="50" customFormat="1" ht="18.75" customHeight="1" x14ac:dyDescent="0.2"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46"/>
      <c r="AB991" s="47" t="s">
        <v>674</v>
      </c>
      <c r="AC991" s="47"/>
      <c r="AD991" s="48">
        <f t="shared" ref="AD991:AS991" si="371">SUM(AD782:AD990)</f>
        <v>18199312591</v>
      </c>
      <c r="AE991" s="48">
        <f t="shared" si="371"/>
        <v>18620925441.970001</v>
      </c>
      <c r="AF991" s="49">
        <f t="shared" si="371"/>
        <v>0</v>
      </c>
      <c r="AG991" s="48">
        <f>SUM(AG782:AG990)</f>
        <v>10596834425.51</v>
      </c>
      <c r="AH991" s="48">
        <f t="shared" si="371"/>
        <v>10296834425.51</v>
      </c>
      <c r="AI991" s="48">
        <f t="shared" si="371"/>
        <v>18920925441.970001</v>
      </c>
      <c r="AJ991" s="48">
        <f t="shared" si="371"/>
        <v>37120238032.970001</v>
      </c>
      <c r="AK991" s="49">
        <f t="shared" si="371"/>
        <v>0</v>
      </c>
      <c r="AL991" s="48">
        <f t="shared" si="371"/>
        <v>748971781.27999997</v>
      </c>
      <c r="AM991" s="48">
        <f t="shared" si="371"/>
        <v>12033157542.700001</v>
      </c>
      <c r="AN991" s="49">
        <f t="shared" si="371"/>
        <v>0</v>
      </c>
      <c r="AO991" s="48">
        <f t="shared" si="371"/>
        <v>245986556.61000001</v>
      </c>
      <c r="AP991" s="48">
        <f t="shared" si="371"/>
        <v>8610481158.7099991</v>
      </c>
      <c r="AQ991" s="121">
        <f t="shared" si="371"/>
        <v>142806138.56999999</v>
      </c>
      <c r="AR991" s="121">
        <f t="shared" si="371"/>
        <v>1056963095.35</v>
      </c>
      <c r="AS991" s="121">
        <f t="shared" si="371"/>
        <v>2837317817.1599998</v>
      </c>
      <c r="AT991" s="108">
        <f>AQ991+AS991</f>
        <v>2980123955.73</v>
      </c>
      <c r="AU991" s="48">
        <f>SUM(AU782:AU990)</f>
        <v>25087080490.269997</v>
      </c>
      <c r="AV991" s="48">
        <f>SUM(AV782:AV990)</f>
        <v>3422676383.9899998</v>
      </c>
      <c r="AW991" s="48">
        <f>SUM(AW782:AW990)</f>
        <v>5630357202.9800005</v>
      </c>
      <c r="AX991" s="24">
        <f>AP991/AJ991</f>
        <v>0.23196190582243073</v>
      </c>
    </row>
    <row r="992" spans="1:50" s="79" customFormat="1" ht="18.75" customHeight="1" x14ac:dyDescent="0.2"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  <c r="AA992" s="81"/>
      <c r="AB992" s="82"/>
      <c r="AC992" s="82"/>
      <c r="AD992" s="83"/>
      <c r="AE992" s="83"/>
      <c r="AF992" s="83"/>
      <c r="AG992" s="83"/>
      <c r="AH992" s="83"/>
      <c r="AI992" s="83"/>
      <c r="AJ992" s="83"/>
      <c r="AK992" s="83"/>
      <c r="AL992" s="83"/>
      <c r="AM992" s="83"/>
      <c r="AN992" s="83"/>
      <c r="AO992" s="83"/>
      <c r="AP992" s="83"/>
      <c r="AQ992" s="83"/>
      <c r="AR992" s="83"/>
      <c r="AS992" s="83"/>
      <c r="AT992" s="83"/>
      <c r="AU992" s="83"/>
      <c r="AV992" s="83"/>
      <c r="AW992" s="83"/>
      <c r="AX992" s="83"/>
    </row>
    <row r="993" spans="1:50" s="25" customFormat="1" ht="18.75" customHeight="1" x14ac:dyDescent="0.2"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66"/>
      <c r="AB993" s="21" t="s">
        <v>675</v>
      </c>
      <c r="AC993" s="67"/>
      <c r="AD993" s="63"/>
      <c r="AE993" s="63"/>
      <c r="AF993" s="63"/>
      <c r="AG993" s="63"/>
      <c r="AH993" s="63"/>
      <c r="AI993" s="63"/>
      <c r="AJ993" s="63"/>
      <c r="AK993" s="63"/>
      <c r="AL993" s="63"/>
      <c r="AM993" s="63"/>
      <c r="AN993" s="63"/>
      <c r="AO993" s="63"/>
      <c r="AP993" s="63"/>
      <c r="AQ993" s="63"/>
      <c r="AR993" s="63"/>
      <c r="AS993" s="63"/>
      <c r="AT993" s="63"/>
      <c r="AU993" s="63"/>
      <c r="AV993" s="63"/>
      <c r="AW993" s="63"/>
      <c r="AX993" s="63"/>
    </row>
    <row r="994" spans="1:50" ht="18.75" customHeight="1" x14ac:dyDescent="0.2">
      <c r="AA994" s="16"/>
      <c r="AB994" s="29" t="s">
        <v>676</v>
      </c>
      <c r="AC994" s="17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</row>
    <row r="995" spans="1:50" ht="18.75" customHeight="1" x14ac:dyDescent="0.2">
      <c r="AA995" s="16"/>
      <c r="AB995" s="29" t="s">
        <v>286</v>
      </c>
      <c r="AC995" s="17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</row>
    <row r="996" spans="1:50" ht="18.75" customHeight="1" x14ac:dyDescent="0.2">
      <c r="AA996" s="16"/>
      <c r="AB996" s="29" t="s">
        <v>179</v>
      </c>
      <c r="AC996" s="17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</row>
    <row r="997" spans="1:50" ht="18.75" customHeight="1" x14ac:dyDescent="0.2">
      <c r="AA997" s="16"/>
      <c r="AB997" s="29" t="s">
        <v>181</v>
      </c>
      <c r="AC997" s="17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</row>
    <row r="998" spans="1:50" ht="18.75" customHeight="1" x14ac:dyDescent="0.2">
      <c r="AA998" s="16"/>
      <c r="AB998" s="29" t="s">
        <v>187</v>
      </c>
      <c r="AC998" s="17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30"/>
      <c r="AU998" s="18"/>
      <c r="AV998" s="18"/>
      <c r="AW998" s="18"/>
      <c r="AX998" s="18"/>
    </row>
    <row r="999" spans="1:50" ht="18.75" customHeight="1" x14ac:dyDescent="0.2">
      <c r="AA999" s="28" t="s">
        <v>288</v>
      </c>
      <c r="AB999" s="29" t="s">
        <v>292</v>
      </c>
      <c r="AC999" s="17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30"/>
      <c r="AU999" s="18"/>
      <c r="AV999" s="18"/>
      <c r="AW999" s="18"/>
      <c r="AX999" s="18"/>
    </row>
    <row r="1000" spans="1:50" ht="18.75" customHeight="1" x14ac:dyDescent="0.2">
      <c r="A1000" s="4" t="s">
        <v>55</v>
      </c>
      <c r="B1000" s="4" t="s">
        <v>56</v>
      </c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1" t="s">
        <v>677</v>
      </c>
      <c r="AB1000" s="42" t="s">
        <v>233</v>
      </c>
      <c r="AC1000" s="43" t="s">
        <v>58</v>
      </c>
      <c r="AD1000" s="43">
        <v>10000000</v>
      </c>
      <c r="AE1000" s="44">
        <v>0</v>
      </c>
      <c r="AF1000" s="44">
        <v>0</v>
      </c>
      <c r="AG1000" s="44">
        <v>0</v>
      </c>
      <c r="AH1000" s="44">
        <v>0</v>
      </c>
      <c r="AI1000" s="44">
        <v>0</v>
      </c>
      <c r="AJ1000" s="43">
        <v>10000000</v>
      </c>
      <c r="AK1000" s="44">
        <v>0</v>
      </c>
      <c r="AL1000" s="44">
        <v>0</v>
      </c>
      <c r="AM1000" s="44">
        <v>0</v>
      </c>
      <c r="AN1000" s="44">
        <v>0</v>
      </c>
      <c r="AO1000" s="44">
        <v>0</v>
      </c>
      <c r="AP1000" s="44">
        <v>0</v>
      </c>
      <c r="AQ1000" s="44">
        <v>0</v>
      </c>
      <c r="AR1000" s="44">
        <v>0</v>
      </c>
      <c r="AS1000" s="44">
        <v>0</v>
      </c>
      <c r="AT1000" s="40">
        <f t="shared" ref="AT1000" si="372">AQ1000+AS1000</f>
        <v>0</v>
      </c>
      <c r="AU1000" s="18">
        <f>AJ1000-AM1000</f>
        <v>10000000</v>
      </c>
      <c r="AV1000" s="133">
        <f>AM1000-AP1000</f>
        <v>0</v>
      </c>
      <c r="AW1000" s="34">
        <f>AP1000-AT1000</f>
        <v>0</v>
      </c>
      <c r="AX1000" s="123">
        <f>AP1000/AJ1000</f>
        <v>0</v>
      </c>
    </row>
    <row r="1001" spans="1:50" ht="25.5" x14ac:dyDescent="0.2">
      <c r="AA1001" s="28" t="s">
        <v>288</v>
      </c>
      <c r="AB1001" s="29" t="s">
        <v>678</v>
      </c>
      <c r="AC1001" s="17"/>
      <c r="AD1001" s="18"/>
      <c r="AE1001" s="18"/>
      <c r="AF1001" s="18"/>
      <c r="AG1001" s="18"/>
      <c r="AH1001" s="18"/>
      <c r="AI1001" s="18"/>
      <c r="AJ1001" s="18"/>
      <c r="AK1001" s="34"/>
      <c r="AL1001" s="34"/>
      <c r="AM1001" s="34"/>
      <c r="AN1001" s="34"/>
      <c r="AO1001" s="34"/>
      <c r="AP1001" s="34"/>
      <c r="AQ1001" s="34"/>
      <c r="AR1001" s="34"/>
      <c r="AS1001" s="34"/>
      <c r="AT1001" s="40"/>
      <c r="AU1001" s="18"/>
      <c r="AV1001" s="34"/>
      <c r="AW1001" s="34"/>
      <c r="AX1001" s="18"/>
    </row>
    <row r="1002" spans="1:50" x14ac:dyDescent="0.2">
      <c r="A1002" s="4" t="s">
        <v>55</v>
      </c>
      <c r="B1002" s="4" t="s">
        <v>56</v>
      </c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1" t="s">
        <v>981</v>
      </c>
      <c r="AB1002" s="42" t="s">
        <v>233</v>
      </c>
      <c r="AC1002" s="43" t="s">
        <v>58</v>
      </c>
      <c r="AD1002" s="43">
        <v>14000000</v>
      </c>
      <c r="AE1002" s="44">
        <v>0</v>
      </c>
      <c r="AF1002" s="44">
        <v>0</v>
      </c>
      <c r="AG1002" s="44">
        <v>0</v>
      </c>
      <c r="AH1002" s="44">
        <v>0</v>
      </c>
      <c r="AI1002" s="44">
        <v>0</v>
      </c>
      <c r="AJ1002" s="43">
        <v>14000000</v>
      </c>
      <c r="AK1002" s="44">
        <v>0</v>
      </c>
      <c r="AL1002" s="44">
        <v>0</v>
      </c>
      <c r="AM1002" s="44">
        <v>0</v>
      </c>
      <c r="AN1002" s="44">
        <v>0</v>
      </c>
      <c r="AO1002" s="44">
        <v>0</v>
      </c>
      <c r="AP1002" s="44">
        <v>0</v>
      </c>
      <c r="AQ1002" s="44">
        <v>0</v>
      </c>
      <c r="AR1002" s="44">
        <v>0</v>
      </c>
      <c r="AS1002" s="44">
        <v>0</v>
      </c>
      <c r="AT1002" s="40">
        <f t="shared" ref="AT1002:AT1029" si="373">AQ1002+AS1002</f>
        <v>0</v>
      </c>
      <c r="AU1002" s="18">
        <f>AJ1002-AM1002</f>
        <v>14000000</v>
      </c>
      <c r="AV1002" s="133">
        <f>AM1002-AP1002</f>
        <v>0</v>
      </c>
      <c r="AW1002" s="34">
        <f>AP1002-AT1002</f>
        <v>0</v>
      </c>
      <c r="AX1002" s="123">
        <f>AP1002/AJ1002</f>
        <v>0</v>
      </c>
    </row>
    <row r="1003" spans="1:50" x14ac:dyDescent="0.2">
      <c r="AA1003" s="16"/>
      <c r="AB1003" s="17"/>
      <c r="AC1003" s="17"/>
      <c r="AD1003" s="18"/>
      <c r="AE1003" s="34"/>
      <c r="AF1003" s="34"/>
      <c r="AG1003" s="34"/>
      <c r="AH1003" s="34"/>
      <c r="AI1003" s="34"/>
      <c r="AJ1003" s="18"/>
      <c r="AK1003" s="34"/>
      <c r="AL1003" s="34"/>
      <c r="AM1003" s="34"/>
      <c r="AN1003" s="34"/>
      <c r="AO1003" s="34"/>
      <c r="AP1003" s="34"/>
      <c r="AQ1003" s="18"/>
      <c r="AR1003" s="18"/>
      <c r="AS1003" s="18"/>
      <c r="AT1003" s="30"/>
      <c r="AU1003" s="18"/>
      <c r="AV1003" s="18"/>
      <c r="AW1003" s="18"/>
      <c r="AX1003" s="18"/>
    </row>
    <row r="1004" spans="1:50" x14ac:dyDescent="0.2">
      <c r="AA1004" s="16"/>
      <c r="AB1004" s="29" t="s">
        <v>189</v>
      </c>
      <c r="AC1004" s="17"/>
      <c r="AD1004" s="18"/>
      <c r="AE1004" s="34"/>
      <c r="AF1004" s="34"/>
      <c r="AG1004" s="34"/>
      <c r="AH1004" s="34"/>
      <c r="AI1004" s="34"/>
      <c r="AJ1004" s="18"/>
      <c r="AK1004" s="34"/>
      <c r="AL1004" s="34"/>
      <c r="AM1004" s="34"/>
      <c r="AN1004" s="34"/>
      <c r="AO1004" s="34"/>
      <c r="AP1004" s="34"/>
      <c r="AQ1004" s="18"/>
      <c r="AR1004" s="18"/>
      <c r="AS1004" s="18"/>
      <c r="AT1004" s="30"/>
      <c r="AU1004" s="18"/>
      <c r="AV1004" s="18"/>
      <c r="AW1004" s="18"/>
      <c r="AX1004" s="18"/>
    </row>
    <row r="1005" spans="1:50" ht="25.5" x14ac:dyDescent="0.2">
      <c r="AA1005" s="16"/>
      <c r="AB1005" s="29" t="s">
        <v>197</v>
      </c>
      <c r="AC1005" s="17"/>
      <c r="AD1005" s="18"/>
      <c r="AE1005" s="34"/>
      <c r="AF1005" s="34"/>
      <c r="AG1005" s="34"/>
      <c r="AH1005" s="34"/>
      <c r="AI1005" s="34"/>
      <c r="AJ1005" s="18"/>
      <c r="AK1005" s="34"/>
      <c r="AL1005" s="34"/>
      <c r="AM1005" s="34"/>
      <c r="AN1005" s="34"/>
      <c r="AO1005" s="34"/>
      <c r="AP1005" s="34"/>
      <c r="AQ1005" s="18"/>
      <c r="AR1005" s="18"/>
      <c r="AS1005" s="18"/>
      <c r="AT1005" s="30"/>
      <c r="AU1005" s="18"/>
      <c r="AV1005" s="18"/>
      <c r="AW1005" s="18"/>
      <c r="AX1005" s="18"/>
    </row>
    <row r="1006" spans="1:50" x14ac:dyDescent="0.2">
      <c r="AA1006" s="28" t="s">
        <v>288</v>
      </c>
      <c r="AB1006" s="29" t="s">
        <v>292</v>
      </c>
      <c r="AC1006" s="17"/>
      <c r="AD1006" s="18"/>
      <c r="AE1006" s="34"/>
      <c r="AF1006" s="34"/>
      <c r="AG1006" s="34"/>
      <c r="AH1006" s="34"/>
      <c r="AI1006" s="34"/>
      <c r="AJ1006" s="18"/>
      <c r="AK1006" s="34"/>
      <c r="AL1006" s="34"/>
      <c r="AM1006" s="34"/>
      <c r="AN1006" s="34"/>
      <c r="AO1006" s="34"/>
      <c r="AP1006" s="34"/>
      <c r="AQ1006" s="18"/>
      <c r="AR1006" s="18"/>
      <c r="AS1006" s="18"/>
      <c r="AT1006" s="30"/>
      <c r="AU1006" s="18"/>
      <c r="AV1006" s="18"/>
      <c r="AW1006" s="18"/>
      <c r="AX1006" s="18"/>
    </row>
    <row r="1007" spans="1:50" x14ac:dyDescent="0.2">
      <c r="A1007" s="4" t="s">
        <v>55</v>
      </c>
      <c r="B1007" s="4" t="s">
        <v>56</v>
      </c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1" t="s">
        <v>680</v>
      </c>
      <c r="AB1007" s="42" t="s">
        <v>233</v>
      </c>
      <c r="AC1007" s="43" t="s">
        <v>58</v>
      </c>
      <c r="AD1007" s="43">
        <v>90000000</v>
      </c>
      <c r="AE1007" s="44">
        <v>0</v>
      </c>
      <c r="AF1007" s="44">
        <v>0</v>
      </c>
      <c r="AG1007" s="44">
        <v>0</v>
      </c>
      <c r="AH1007" s="44">
        <v>0</v>
      </c>
      <c r="AI1007" s="44">
        <v>0</v>
      </c>
      <c r="AJ1007" s="43">
        <v>90000000</v>
      </c>
      <c r="AK1007" s="44">
        <v>0</v>
      </c>
      <c r="AL1007" s="44">
        <v>0</v>
      </c>
      <c r="AM1007" s="44">
        <v>0</v>
      </c>
      <c r="AN1007" s="44">
        <v>0</v>
      </c>
      <c r="AO1007" s="44">
        <v>0</v>
      </c>
      <c r="AP1007" s="44">
        <v>0</v>
      </c>
      <c r="AQ1007" s="44">
        <v>0</v>
      </c>
      <c r="AR1007" s="44">
        <v>0</v>
      </c>
      <c r="AS1007" s="44">
        <v>0</v>
      </c>
      <c r="AT1007" s="40">
        <f t="shared" ref="AT1007" si="374">AQ1007+AS1007</f>
        <v>0</v>
      </c>
      <c r="AU1007" s="18">
        <f>AJ1007-AM1007</f>
        <v>90000000</v>
      </c>
      <c r="AV1007" s="133">
        <f>AM1007-AP1007</f>
        <v>0</v>
      </c>
      <c r="AW1007" s="34">
        <f>AP1007-AT1007</f>
        <v>0</v>
      </c>
      <c r="AX1007" s="123">
        <f>AP1007/AJ1007</f>
        <v>0</v>
      </c>
    </row>
    <row r="1008" spans="1:50" ht="25.5" x14ac:dyDescent="0.2">
      <c r="AA1008" s="28" t="s">
        <v>288</v>
      </c>
      <c r="AB1008" s="29" t="s">
        <v>678</v>
      </c>
      <c r="AC1008" s="17"/>
      <c r="AD1008" s="18"/>
      <c r="AE1008" s="34"/>
      <c r="AF1008" s="34"/>
      <c r="AG1008" s="34"/>
      <c r="AH1008" s="34"/>
      <c r="AI1008" s="34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30"/>
      <c r="AU1008" s="18"/>
      <c r="AV1008" s="18"/>
      <c r="AW1008" s="18"/>
      <c r="AX1008" s="18"/>
    </row>
    <row r="1009" spans="1:50" x14ac:dyDescent="0.2">
      <c r="A1009" s="4" t="s">
        <v>55</v>
      </c>
      <c r="B1009" s="4" t="s">
        <v>56</v>
      </c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1" t="s">
        <v>681</v>
      </c>
      <c r="AB1009" s="42" t="s">
        <v>233</v>
      </c>
      <c r="AC1009" s="43" t="s">
        <v>58</v>
      </c>
      <c r="AD1009" s="43">
        <v>4085500000</v>
      </c>
      <c r="AE1009" s="44">
        <v>0</v>
      </c>
      <c r="AF1009" s="44">
        <v>0</v>
      </c>
      <c r="AG1009" s="43">
        <v>2080000000</v>
      </c>
      <c r="AH1009" s="43">
        <f>1800000000+1856300000+210000000</f>
        <v>3866300000</v>
      </c>
      <c r="AI1009" s="43">
        <f>AE1009-AF1009+AG1009-AH1009</f>
        <v>-1786300000</v>
      </c>
      <c r="AJ1009" s="43">
        <f>AD1009+AI1009</f>
        <v>2299200000</v>
      </c>
      <c r="AK1009" s="44">
        <v>0</v>
      </c>
      <c r="AL1009" s="43">
        <v>96040000</v>
      </c>
      <c r="AM1009" s="43">
        <v>1251100000</v>
      </c>
      <c r="AN1009" s="43">
        <v>16100000</v>
      </c>
      <c r="AO1009" s="43">
        <v>106040000</v>
      </c>
      <c r="AP1009" s="43">
        <v>1233600000</v>
      </c>
      <c r="AQ1009" s="43">
        <v>6500000</v>
      </c>
      <c r="AR1009" s="43">
        <v>174026533.33000001</v>
      </c>
      <c r="AS1009" s="43">
        <v>594016532.33000004</v>
      </c>
      <c r="AT1009" s="111">
        <f t="shared" ref="AT1009" si="375">AQ1009+AS1009</f>
        <v>600516532.33000004</v>
      </c>
      <c r="AU1009" s="18">
        <f>AJ1009-AM1009</f>
        <v>1048100000</v>
      </c>
      <c r="AV1009" s="110">
        <f>AM1009-AP1009</f>
        <v>17500000</v>
      </c>
      <c r="AW1009" s="18">
        <f>AP1009-AT1009</f>
        <v>633083467.66999996</v>
      </c>
      <c r="AX1009" s="123">
        <f>AP1009/AJ1009</f>
        <v>0.5365344467640919</v>
      </c>
    </row>
    <row r="1010" spans="1:50" ht="25.5" x14ac:dyDescent="0.2">
      <c r="AA1010" s="28" t="s">
        <v>288</v>
      </c>
      <c r="AB1010" s="29" t="s">
        <v>682</v>
      </c>
      <c r="AC1010" s="17"/>
      <c r="AD1010" s="18"/>
      <c r="AE1010" s="34"/>
      <c r="AF1010" s="34"/>
      <c r="AG1010" s="34"/>
      <c r="AH1010" s="34"/>
      <c r="AI1010" s="34"/>
      <c r="AJ1010" s="18"/>
      <c r="AK1010" s="34"/>
      <c r="AL1010" s="18"/>
      <c r="AM1010" s="18"/>
      <c r="AN1010" s="18"/>
      <c r="AO1010" s="18"/>
      <c r="AP1010" s="18"/>
      <c r="AQ1010" s="18"/>
      <c r="AR1010" s="18"/>
      <c r="AS1010" s="18"/>
      <c r="AT1010" s="31"/>
      <c r="AU1010" s="18"/>
      <c r="AV1010" s="18"/>
      <c r="AW1010" s="18"/>
      <c r="AX1010" s="18"/>
    </row>
    <row r="1011" spans="1:50" x14ac:dyDescent="0.2">
      <c r="A1011" s="4" t="s">
        <v>55</v>
      </c>
      <c r="B1011" s="4" t="s">
        <v>56</v>
      </c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1" t="s">
        <v>683</v>
      </c>
      <c r="AB1011" s="42" t="s">
        <v>233</v>
      </c>
      <c r="AC1011" s="43" t="s">
        <v>58</v>
      </c>
      <c r="AD1011" s="43">
        <v>467600000</v>
      </c>
      <c r="AE1011" s="44">
        <v>0</v>
      </c>
      <c r="AF1011" s="44">
        <v>0</v>
      </c>
      <c r="AG1011" s="43">
        <f>2580000000+60000000</f>
        <v>2640000000</v>
      </c>
      <c r="AH1011" s="43">
        <v>2240000000</v>
      </c>
      <c r="AI1011" s="43">
        <f>AE1011-AF1011+AG1011-AH1011</f>
        <v>400000000</v>
      </c>
      <c r="AJ1011" s="43">
        <f>AD1011+AI1011</f>
        <v>867600000</v>
      </c>
      <c r="AK1011" s="44">
        <v>0</v>
      </c>
      <c r="AL1011" s="44">
        <v>9200000</v>
      </c>
      <c r="AM1011" s="43">
        <v>562000000</v>
      </c>
      <c r="AN1011" s="44">
        <v>0</v>
      </c>
      <c r="AO1011" s="44">
        <v>9200000</v>
      </c>
      <c r="AP1011" s="43">
        <v>502500000</v>
      </c>
      <c r="AQ1011" s="43">
        <v>22216667</v>
      </c>
      <c r="AR1011" s="43">
        <v>62683333</v>
      </c>
      <c r="AS1011" s="43">
        <v>262583333</v>
      </c>
      <c r="AT1011" s="111">
        <f t="shared" ref="AT1011" si="376">AQ1011+AS1011</f>
        <v>284800000</v>
      </c>
      <c r="AU1011" s="18">
        <f>AJ1011-AM1011</f>
        <v>305600000</v>
      </c>
      <c r="AV1011" s="110">
        <f>AM1011-AP1011</f>
        <v>59500000</v>
      </c>
      <c r="AW1011" s="18">
        <f>AP1011-AT1011</f>
        <v>217700000</v>
      </c>
      <c r="AX1011" s="123">
        <f>AP1011/AJ1011</f>
        <v>0.57918395573997239</v>
      </c>
    </row>
    <row r="1012" spans="1:50" ht="25.5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73" t="s">
        <v>288</v>
      </c>
      <c r="AB1012" s="74" t="s">
        <v>197</v>
      </c>
      <c r="AC1012" s="43"/>
      <c r="AD1012" s="43"/>
      <c r="AE1012" s="44"/>
      <c r="AF1012" s="44"/>
      <c r="AG1012" s="43"/>
      <c r="AH1012" s="43"/>
      <c r="AI1012" s="43"/>
      <c r="AJ1012" s="43"/>
      <c r="AK1012" s="44"/>
      <c r="AL1012" s="44"/>
      <c r="AM1012" s="43"/>
      <c r="AN1012" s="44"/>
      <c r="AO1012" s="44"/>
      <c r="AP1012" s="43"/>
      <c r="AQ1012" s="44"/>
      <c r="AR1012" s="114"/>
      <c r="AS1012" s="114"/>
      <c r="AT1012" s="111"/>
      <c r="AU1012" s="18"/>
      <c r="AV1012" s="110"/>
      <c r="AW1012" s="18"/>
      <c r="AX1012" s="123"/>
    </row>
    <row r="1013" spans="1:50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1" t="s">
        <v>305</v>
      </c>
      <c r="AB1013" s="42" t="s">
        <v>233</v>
      </c>
      <c r="AC1013" s="43"/>
      <c r="AD1013" s="44">
        <v>0</v>
      </c>
      <c r="AE1013" s="44">
        <v>0</v>
      </c>
      <c r="AF1013" s="44">
        <v>0</v>
      </c>
      <c r="AG1013" s="43">
        <f>1800000000+1620000000</f>
        <v>3420000000</v>
      </c>
      <c r="AH1013" s="259">
        <v>0</v>
      </c>
      <c r="AI1013" s="43">
        <f>AE1013-AF1013+AG1013-AH1013</f>
        <v>3420000000</v>
      </c>
      <c r="AJ1013" s="43">
        <f>AD1013+AI1013</f>
        <v>3420000000</v>
      </c>
      <c r="AK1013" s="44">
        <v>0</v>
      </c>
      <c r="AL1013" s="43">
        <v>1119988003</v>
      </c>
      <c r="AM1013" s="43">
        <v>2919988003</v>
      </c>
      <c r="AN1013" s="44">
        <v>0</v>
      </c>
      <c r="AO1013" s="43">
        <v>1119988003</v>
      </c>
      <c r="AP1013" s="43">
        <v>2919988003</v>
      </c>
      <c r="AQ1013" s="44">
        <v>0</v>
      </c>
      <c r="AR1013" s="114">
        <v>0</v>
      </c>
      <c r="AS1013" s="114">
        <v>1800000000</v>
      </c>
      <c r="AT1013" s="111">
        <f t="shared" ref="AT1013" si="377">AQ1013+AS1013</f>
        <v>1800000000</v>
      </c>
      <c r="AU1013" s="18">
        <f>AJ1013-AM1013</f>
        <v>500011997</v>
      </c>
      <c r="AV1013" s="133">
        <f>AM1013-AP1013</f>
        <v>0</v>
      </c>
      <c r="AW1013" s="18">
        <f>AP1013-AT1013</f>
        <v>1119988003</v>
      </c>
      <c r="AX1013" s="123">
        <f>AP1013/AJ1013</f>
        <v>0.85379766169590643</v>
      </c>
    </row>
    <row r="1014" spans="1:50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73" t="s">
        <v>288</v>
      </c>
      <c r="AB1014" s="74" t="s">
        <v>1276</v>
      </c>
      <c r="AC1014" s="43"/>
      <c r="AD1014" s="44"/>
      <c r="AE1014" s="44"/>
      <c r="AF1014" s="44"/>
      <c r="AG1014" s="43"/>
      <c r="AH1014" s="259"/>
      <c r="AI1014" s="43"/>
      <c r="AJ1014" s="43"/>
      <c r="AK1014" s="44"/>
      <c r="AL1014" s="44"/>
      <c r="AM1014" s="43"/>
      <c r="AN1014" s="44"/>
      <c r="AO1014" s="44"/>
      <c r="AP1014" s="43"/>
      <c r="AQ1014" s="44"/>
      <c r="AR1014" s="114"/>
      <c r="AS1014" s="114"/>
      <c r="AT1014" s="111"/>
      <c r="AU1014" s="18"/>
      <c r="AV1014" s="133"/>
      <c r="AW1014" s="34"/>
      <c r="AX1014" s="123"/>
    </row>
    <row r="1015" spans="1:50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1" t="s">
        <v>1277</v>
      </c>
      <c r="AB1015" s="42" t="s">
        <v>233</v>
      </c>
      <c r="AC1015" s="43"/>
      <c r="AD1015" s="44">
        <v>0</v>
      </c>
      <c r="AE1015" s="44">
        <v>0</v>
      </c>
      <c r="AF1015" s="44">
        <v>0</v>
      </c>
      <c r="AG1015" s="43">
        <v>100000000</v>
      </c>
      <c r="AH1015" s="259">
        <v>0</v>
      </c>
      <c r="AI1015" s="43">
        <f>AE1015-AF1015+AG1015-AH1015</f>
        <v>100000000</v>
      </c>
      <c r="AJ1015" s="43">
        <f>AD1015+AI1015</f>
        <v>100000000</v>
      </c>
      <c r="AK1015" s="43">
        <v>0</v>
      </c>
      <c r="AL1015" s="43">
        <v>100000000</v>
      </c>
      <c r="AM1015" s="43">
        <v>100000000</v>
      </c>
      <c r="AN1015" s="43">
        <v>0</v>
      </c>
      <c r="AO1015" s="43">
        <v>100000000</v>
      </c>
      <c r="AP1015" s="43">
        <v>100000000</v>
      </c>
      <c r="AQ1015" s="43">
        <v>0</v>
      </c>
      <c r="AR1015" s="43">
        <v>0</v>
      </c>
      <c r="AS1015" s="44">
        <v>0</v>
      </c>
      <c r="AT1015" s="135">
        <f t="shared" ref="AT1015" si="378">AQ1015+AS1015</f>
        <v>0</v>
      </c>
      <c r="AU1015" s="34">
        <f>AJ1015-AM1015</f>
        <v>0</v>
      </c>
      <c r="AV1015" s="133">
        <f>AM1015-AP1015</f>
        <v>0</v>
      </c>
      <c r="AW1015" s="18">
        <f>AP1015-AT1015</f>
        <v>100000000</v>
      </c>
      <c r="AX1015" s="123">
        <f>AP1015/AJ1015</f>
        <v>1</v>
      </c>
    </row>
    <row r="1016" spans="1:50" x14ac:dyDescent="0.2">
      <c r="AA1016" s="28" t="s">
        <v>288</v>
      </c>
      <c r="AB1016" s="68" t="s">
        <v>684</v>
      </c>
      <c r="AC1016" s="17"/>
      <c r="AD1016" s="18"/>
      <c r="AE1016" s="34"/>
      <c r="AF1016" s="34"/>
      <c r="AG1016" s="34"/>
      <c r="AH1016" s="34"/>
      <c r="AI1016" s="34"/>
      <c r="AJ1016" s="18"/>
      <c r="AK1016" s="34"/>
      <c r="AL1016" s="18"/>
      <c r="AM1016" s="18"/>
      <c r="AN1016" s="34"/>
      <c r="AO1016" s="34"/>
      <c r="AP1016" s="18"/>
      <c r="AQ1016" s="34"/>
      <c r="AR1016" s="34"/>
      <c r="AS1016" s="34"/>
      <c r="AT1016" s="31"/>
      <c r="AU1016" s="18"/>
      <c r="AV1016" s="18"/>
      <c r="AW1016" s="18"/>
      <c r="AX1016" s="18"/>
    </row>
    <row r="1017" spans="1:50" x14ac:dyDescent="0.2">
      <c r="A1017" s="4" t="s">
        <v>55</v>
      </c>
      <c r="B1017" s="4" t="s">
        <v>56</v>
      </c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1" t="s">
        <v>685</v>
      </c>
      <c r="AB1017" s="69" t="s">
        <v>233</v>
      </c>
      <c r="AC1017" s="43" t="s">
        <v>58</v>
      </c>
      <c r="AD1017" s="43">
        <v>6107898530</v>
      </c>
      <c r="AE1017" s="44">
        <v>0</v>
      </c>
      <c r="AF1017" s="44">
        <v>0</v>
      </c>
      <c r="AG1017" s="44">
        <v>0</v>
      </c>
      <c r="AH1017" s="43">
        <v>3080123215</v>
      </c>
      <c r="AI1017" s="43">
        <f>AE1017-AF1017+AG1017-AH1017</f>
        <v>-3080123215</v>
      </c>
      <c r="AJ1017" s="43">
        <f>AD1017+AI1017</f>
        <v>3027775315</v>
      </c>
      <c r="AK1017" s="44">
        <v>0</v>
      </c>
      <c r="AL1017" s="44">
        <v>0</v>
      </c>
      <c r="AM1017" s="44">
        <v>0</v>
      </c>
      <c r="AN1017" s="44">
        <v>0</v>
      </c>
      <c r="AO1017" s="44">
        <v>0</v>
      </c>
      <c r="AP1017" s="44">
        <v>0</v>
      </c>
      <c r="AQ1017" s="44">
        <v>0</v>
      </c>
      <c r="AR1017" s="44">
        <v>0</v>
      </c>
      <c r="AS1017" s="44">
        <v>0</v>
      </c>
      <c r="AT1017" s="40">
        <f t="shared" ref="AT1017" si="379">AQ1017+AS1017</f>
        <v>0</v>
      </c>
      <c r="AU1017" s="18">
        <f>AJ1017-AM1017</f>
        <v>3027775315</v>
      </c>
      <c r="AV1017" s="133">
        <f>AM1017-AP1017</f>
        <v>0</v>
      </c>
      <c r="AW1017" s="34">
        <f>AP1017-AT1017</f>
        <v>0</v>
      </c>
      <c r="AX1017" s="123">
        <f>AP1017/AJ1017</f>
        <v>0</v>
      </c>
    </row>
    <row r="1018" spans="1:50" ht="25.5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73" t="s">
        <v>288</v>
      </c>
      <c r="AB1018" s="82" t="s">
        <v>197</v>
      </c>
      <c r="AC1018" s="43"/>
      <c r="AD1018" s="43"/>
      <c r="AE1018" s="44"/>
      <c r="AF1018" s="44"/>
      <c r="AG1018" s="44"/>
      <c r="AH1018" s="44"/>
      <c r="AI1018" s="44"/>
      <c r="AJ1018" s="43"/>
      <c r="AK1018" s="44"/>
      <c r="AL1018" s="44"/>
      <c r="AM1018" s="44"/>
      <c r="AN1018" s="43"/>
      <c r="AO1018" s="43"/>
      <c r="AP1018" s="44"/>
      <c r="AQ1018" s="44"/>
      <c r="AR1018" s="44"/>
      <c r="AS1018" s="44"/>
      <c r="AT1018" s="40"/>
      <c r="AU1018" s="18"/>
      <c r="AV1018" s="133"/>
      <c r="AW1018" s="34"/>
      <c r="AX1018" s="123"/>
    </row>
    <row r="1019" spans="1:50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1" t="s">
        <v>974</v>
      </c>
      <c r="AB1019" s="69" t="s">
        <v>233</v>
      </c>
      <c r="AC1019" s="43"/>
      <c r="AD1019" s="44">
        <v>0</v>
      </c>
      <c r="AE1019" s="44">
        <v>0</v>
      </c>
      <c r="AF1019" s="44">
        <v>0</v>
      </c>
      <c r="AG1019" s="43">
        <f>2240000000+1080123215</f>
        <v>3320123215</v>
      </c>
      <c r="AH1019" s="44">
        <v>0</v>
      </c>
      <c r="AI1019" s="43">
        <f>AE1019-AF1019+AG1019-AH1019</f>
        <v>3320123215</v>
      </c>
      <c r="AJ1019" s="43">
        <f>AD1019+AI1019</f>
        <v>3320123215</v>
      </c>
      <c r="AK1019" s="43">
        <v>0</v>
      </c>
      <c r="AL1019" s="43">
        <v>-102638</v>
      </c>
      <c r="AM1019" s="43">
        <v>320020577</v>
      </c>
      <c r="AN1019" s="43">
        <v>0</v>
      </c>
      <c r="AO1019" s="43">
        <v>320020577</v>
      </c>
      <c r="AP1019" s="43">
        <v>320020577</v>
      </c>
      <c r="AQ1019" s="43">
        <v>0</v>
      </c>
      <c r="AR1019" s="43">
        <v>0</v>
      </c>
      <c r="AS1019" s="44">
        <v>0</v>
      </c>
      <c r="AT1019" s="135">
        <f t="shared" ref="AT1019" si="380">AQ1019+AS1019</f>
        <v>0</v>
      </c>
      <c r="AU1019" s="110">
        <f>AJ1019-AM1019</f>
        <v>3000102638</v>
      </c>
      <c r="AV1019" s="34">
        <f>AM1019-AP1019</f>
        <v>0</v>
      </c>
      <c r="AW1019" s="18">
        <f>AP1019-AT1019</f>
        <v>320020577</v>
      </c>
      <c r="AX1019" s="123">
        <f>AP1019/AJ1019</f>
        <v>9.6388162810999767E-2</v>
      </c>
    </row>
    <row r="1020" spans="1:50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1" t="s">
        <v>1292</v>
      </c>
      <c r="AB1020" s="69" t="s">
        <v>233</v>
      </c>
      <c r="AC1020" s="43"/>
      <c r="AD1020" s="44">
        <v>0</v>
      </c>
      <c r="AE1020" s="44">
        <v>0</v>
      </c>
      <c r="AF1020" s="44">
        <v>0</v>
      </c>
      <c r="AG1020" s="43">
        <v>2000000000</v>
      </c>
      <c r="AH1020" s="44"/>
      <c r="AI1020" s="43">
        <f>AE1020-AF1020+AG1020-AH1020</f>
        <v>2000000000</v>
      </c>
      <c r="AJ1020" s="43">
        <f>AD1020+AI1020</f>
        <v>2000000000</v>
      </c>
      <c r="AK1020" s="44">
        <v>0</v>
      </c>
      <c r="AL1020" s="44">
        <v>0</v>
      </c>
      <c r="AM1020" s="44">
        <v>0</v>
      </c>
      <c r="AN1020" s="44">
        <v>0</v>
      </c>
      <c r="AO1020" s="44">
        <v>0</v>
      </c>
      <c r="AP1020" s="44">
        <v>0</v>
      </c>
      <c r="AQ1020" s="44">
        <v>0</v>
      </c>
      <c r="AR1020" s="44">
        <v>0</v>
      </c>
      <c r="AS1020" s="44">
        <v>0</v>
      </c>
      <c r="AT1020" s="135">
        <f t="shared" ref="AT1020" si="381">AQ1020+AS1020</f>
        <v>0</v>
      </c>
      <c r="AU1020" s="110">
        <f>AJ1020-AM1020</f>
        <v>2000000000</v>
      </c>
      <c r="AV1020" s="34">
        <f>AM1020-AP1020</f>
        <v>0</v>
      </c>
      <c r="AW1020" s="18">
        <f>AP1020-AT1020</f>
        <v>0</v>
      </c>
      <c r="AX1020" s="123">
        <f>AP1020/AJ1020</f>
        <v>0</v>
      </c>
    </row>
    <row r="1021" spans="1:50" x14ac:dyDescent="0.2">
      <c r="AA1021" s="28" t="s">
        <v>288</v>
      </c>
      <c r="AB1021" s="29" t="s">
        <v>306</v>
      </c>
      <c r="AC1021" s="17"/>
      <c r="AD1021" s="18"/>
      <c r="AE1021" s="34"/>
      <c r="AF1021" s="34"/>
      <c r="AG1021" s="34"/>
      <c r="AH1021" s="34"/>
      <c r="AI1021" s="34"/>
      <c r="AJ1021" s="18"/>
      <c r="AK1021" s="34"/>
      <c r="AL1021" s="18"/>
      <c r="AM1021" s="18"/>
      <c r="AN1021" s="34"/>
      <c r="AO1021" s="34"/>
      <c r="AP1021" s="18"/>
      <c r="AQ1021" s="34"/>
      <c r="AR1021" s="34"/>
      <c r="AS1021" s="34"/>
      <c r="AT1021" s="31"/>
      <c r="AU1021" s="18"/>
      <c r="AV1021" s="34"/>
      <c r="AW1021" s="18"/>
      <c r="AX1021" s="18"/>
    </row>
    <row r="1022" spans="1:50" x14ac:dyDescent="0.2">
      <c r="A1022" s="4" t="s">
        <v>55</v>
      </c>
      <c r="B1022" s="4" t="s">
        <v>56</v>
      </c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1" t="s">
        <v>307</v>
      </c>
      <c r="AB1022" s="42" t="s">
        <v>233</v>
      </c>
      <c r="AC1022" s="43" t="s">
        <v>58</v>
      </c>
      <c r="AD1022" s="43">
        <v>147500000</v>
      </c>
      <c r="AE1022" s="44">
        <v>0</v>
      </c>
      <c r="AF1022" s="44">
        <v>0</v>
      </c>
      <c r="AG1022" s="43">
        <v>6300000</v>
      </c>
      <c r="AH1022" s="44">
        <v>0</v>
      </c>
      <c r="AI1022" s="43">
        <f>AE1022-AF1022+AG1022-AH1022</f>
        <v>6300000</v>
      </c>
      <c r="AJ1022" s="43">
        <f>AD1022+AI1022</f>
        <v>153800000</v>
      </c>
      <c r="AK1022" s="44">
        <v>0</v>
      </c>
      <c r="AL1022" s="44">
        <v>0</v>
      </c>
      <c r="AM1022" s="43">
        <v>142000000</v>
      </c>
      <c r="AN1022" s="44">
        <v>0</v>
      </c>
      <c r="AO1022" s="44">
        <v>0</v>
      </c>
      <c r="AP1022" s="43">
        <v>142000000</v>
      </c>
      <c r="AQ1022" s="43">
        <v>0</v>
      </c>
      <c r="AR1022" s="114">
        <v>13566667</v>
      </c>
      <c r="AS1022" s="114">
        <v>71516667</v>
      </c>
      <c r="AT1022" s="111">
        <f t="shared" ref="AT1022" si="382">AQ1022+AS1022</f>
        <v>71516667</v>
      </c>
      <c r="AU1022" s="110">
        <f>AJ1022-AM1022</f>
        <v>11800000</v>
      </c>
      <c r="AV1022" s="133">
        <f>AM1022-AP1022</f>
        <v>0</v>
      </c>
      <c r="AW1022" s="18">
        <f>AP1022-AT1022</f>
        <v>70483333</v>
      </c>
      <c r="AX1022" s="123">
        <f>AP1022/AJ1022</f>
        <v>0.92327698309492845</v>
      </c>
    </row>
    <row r="1023" spans="1:50" x14ac:dyDescent="0.2">
      <c r="AA1023" s="28" t="s">
        <v>288</v>
      </c>
      <c r="AB1023" s="29" t="s">
        <v>400</v>
      </c>
      <c r="AC1023" s="17"/>
      <c r="AD1023" s="18"/>
      <c r="AE1023" s="34"/>
      <c r="AF1023" s="34"/>
      <c r="AG1023" s="34"/>
      <c r="AH1023" s="34"/>
      <c r="AI1023" s="34"/>
      <c r="AJ1023" s="18"/>
      <c r="AK1023" s="34"/>
      <c r="AL1023" s="34"/>
      <c r="AM1023" s="18"/>
      <c r="AN1023" s="34"/>
      <c r="AO1023" s="34"/>
      <c r="AP1023" s="18"/>
      <c r="AQ1023" s="18"/>
      <c r="AR1023" s="110"/>
      <c r="AS1023" s="110"/>
      <c r="AT1023" s="109"/>
      <c r="AU1023" s="110"/>
      <c r="AV1023" s="34"/>
      <c r="AW1023" s="18"/>
      <c r="AX1023" s="18"/>
    </row>
    <row r="1024" spans="1:50" x14ac:dyDescent="0.2">
      <c r="A1024" s="4" t="s">
        <v>55</v>
      </c>
      <c r="B1024" s="4" t="s">
        <v>56</v>
      </c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1" t="s">
        <v>401</v>
      </c>
      <c r="AB1024" s="42" t="s">
        <v>233</v>
      </c>
      <c r="AC1024" s="43" t="s">
        <v>58</v>
      </c>
      <c r="AD1024" s="43">
        <v>996500000</v>
      </c>
      <c r="AE1024" s="44">
        <v>0</v>
      </c>
      <c r="AF1024" s="44">
        <v>0</v>
      </c>
      <c r="AG1024" s="43">
        <v>140000000</v>
      </c>
      <c r="AH1024" s="43">
        <v>100000000</v>
      </c>
      <c r="AI1024" s="43">
        <f>AE1024-AF1024+AG1024-AH1024</f>
        <v>40000000</v>
      </c>
      <c r="AJ1024" s="43">
        <f>AD1024+AI1024</f>
        <v>1036500000</v>
      </c>
      <c r="AK1024" s="44">
        <v>0</v>
      </c>
      <c r="AL1024" s="43">
        <v>0</v>
      </c>
      <c r="AM1024" s="43">
        <v>784750000</v>
      </c>
      <c r="AN1024" s="44">
        <v>0</v>
      </c>
      <c r="AO1024" s="44">
        <v>52250000</v>
      </c>
      <c r="AP1024" s="43">
        <v>784750000</v>
      </c>
      <c r="AQ1024" s="18">
        <v>22273333</v>
      </c>
      <c r="AR1024" s="110">
        <v>73100000</v>
      </c>
      <c r="AS1024" s="110">
        <v>420673334</v>
      </c>
      <c r="AT1024" s="111">
        <f t="shared" ref="AT1024:AT1027" si="383">AQ1024+AS1024</f>
        <v>442946667</v>
      </c>
      <c r="AU1024" s="110">
        <f>AJ1024-AM1024</f>
        <v>251750000</v>
      </c>
      <c r="AV1024" s="34">
        <f>AM1024-AP1024</f>
        <v>0</v>
      </c>
      <c r="AW1024" s="18">
        <f>AP1024-AT1024</f>
        <v>341803333</v>
      </c>
      <c r="AX1024" s="123">
        <f>AP1024/AJ1024</f>
        <v>0.75711529184756388</v>
      </c>
    </row>
    <row r="1025" spans="1:50" x14ac:dyDescent="0.2">
      <c r="A1025" s="4" t="s">
        <v>55</v>
      </c>
      <c r="B1025" s="4" t="s">
        <v>56</v>
      </c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1" t="s">
        <v>686</v>
      </c>
      <c r="AB1025" s="42" t="s">
        <v>687</v>
      </c>
      <c r="AC1025" s="43" t="s">
        <v>428</v>
      </c>
      <c r="AD1025" s="43">
        <v>51500000</v>
      </c>
      <c r="AE1025" s="44">
        <v>0</v>
      </c>
      <c r="AF1025" s="44">
        <v>0</v>
      </c>
      <c r="AG1025" s="44">
        <v>0</v>
      </c>
      <c r="AH1025" s="44">
        <v>0</v>
      </c>
      <c r="AI1025" s="44">
        <v>0</v>
      </c>
      <c r="AJ1025" s="43">
        <v>51500000</v>
      </c>
      <c r="AK1025" s="44">
        <v>0</v>
      </c>
      <c r="AL1025" s="44">
        <v>0</v>
      </c>
      <c r="AM1025" s="43">
        <v>51400000</v>
      </c>
      <c r="AN1025" s="44">
        <v>0</v>
      </c>
      <c r="AO1025" s="44">
        <v>0</v>
      </c>
      <c r="AP1025" s="43">
        <v>51400000</v>
      </c>
      <c r="AQ1025" s="18">
        <v>0</v>
      </c>
      <c r="AR1025" s="18">
        <v>5300000</v>
      </c>
      <c r="AS1025" s="18">
        <v>35190000</v>
      </c>
      <c r="AT1025" s="39">
        <f t="shared" si="383"/>
        <v>35190000</v>
      </c>
      <c r="AU1025" s="18">
        <f>AJ1025-AM1025</f>
        <v>100000</v>
      </c>
      <c r="AV1025" s="133">
        <f>AM1025-AP1025</f>
        <v>0</v>
      </c>
      <c r="AW1025" s="18">
        <f>AP1025-AT1025</f>
        <v>16210000</v>
      </c>
      <c r="AX1025" s="123">
        <f>AP1025/AJ1025</f>
        <v>0.99805825242718449</v>
      </c>
    </row>
    <row r="1026" spans="1:50" ht="25.5" x14ac:dyDescent="0.2">
      <c r="A1026" s="4" t="s">
        <v>55</v>
      </c>
      <c r="B1026" s="4" t="s">
        <v>56</v>
      </c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1" t="s">
        <v>688</v>
      </c>
      <c r="AB1026" s="42" t="s">
        <v>689</v>
      </c>
      <c r="AC1026" s="43" t="s">
        <v>368</v>
      </c>
      <c r="AD1026" s="43">
        <v>6785951</v>
      </c>
      <c r="AE1026" s="44">
        <v>0</v>
      </c>
      <c r="AF1026" s="44">
        <v>0</v>
      </c>
      <c r="AG1026" s="44">
        <v>0</v>
      </c>
      <c r="AH1026" s="44">
        <v>0</v>
      </c>
      <c r="AI1026" s="44">
        <v>0</v>
      </c>
      <c r="AJ1026" s="43">
        <v>6785951</v>
      </c>
      <c r="AK1026" s="44">
        <v>0</v>
      </c>
      <c r="AL1026" s="44">
        <v>0</v>
      </c>
      <c r="AM1026" s="44">
        <v>0</v>
      </c>
      <c r="AN1026" s="44">
        <v>0</v>
      </c>
      <c r="AO1026" s="44">
        <v>0</v>
      </c>
      <c r="AP1026" s="44">
        <v>0</v>
      </c>
      <c r="AQ1026" s="34">
        <v>0</v>
      </c>
      <c r="AR1026" s="34">
        <v>0</v>
      </c>
      <c r="AS1026" s="34">
        <v>0</v>
      </c>
      <c r="AT1026" s="40">
        <f t="shared" si="383"/>
        <v>0</v>
      </c>
      <c r="AU1026" s="18">
        <f>AJ1026-AM1026</f>
        <v>6785951</v>
      </c>
      <c r="AV1026" s="133">
        <f>AM1026-AP1026</f>
        <v>0</v>
      </c>
      <c r="AW1026" s="34">
        <f>AP1026-AT1026</f>
        <v>0</v>
      </c>
      <c r="AX1026" s="123">
        <f>AP1026/AJ1026</f>
        <v>0</v>
      </c>
    </row>
    <row r="1027" spans="1:50" ht="25.5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1" t="s">
        <v>1116</v>
      </c>
      <c r="AB1027" s="42" t="s">
        <v>1117</v>
      </c>
      <c r="AC1027" s="43"/>
      <c r="AD1027" s="44">
        <v>0</v>
      </c>
      <c r="AE1027" s="43">
        <v>138409128.97</v>
      </c>
      <c r="AF1027" s="44">
        <v>0</v>
      </c>
      <c r="AG1027" s="44">
        <v>0</v>
      </c>
      <c r="AH1027" s="44">
        <v>0</v>
      </c>
      <c r="AI1027" s="43">
        <f>AE1027-AF1027+AG1027-AH1027</f>
        <v>138409128.97</v>
      </c>
      <c r="AJ1027" s="43">
        <f>AD1027+AI1027</f>
        <v>138409128.97</v>
      </c>
      <c r="AK1027" s="44">
        <v>0</v>
      </c>
      <c r="AL1027" s="43">
        <v>721951</v>
      </c>
      <c r="AM1027" s="43">
        <v>16471951</v>
      </c>
      <c r="AN1027" s="44">
        <v>0</v>
      </c>
      <c r="AO1027" s="44">
        <v>721951</v>
      </c>
      <c r="AP1027" s="43">
        <v>16471951</v>
      </c>
      <c r="AQ1027" s="34">
        <v>0</v>
      </c>
      <c r="AR1027" s="34">
        <v>1805284</v>
      </c>
      <c r="AS1027" s="34">
        <v>1805284</v>
      </c>
      <c r="AT1027" s="40">
        <f t="shared" si="383"/>
        <v>1805284</v>
      </c>
      <c r="AU1027" s="18">
        <f>AJ1027-AM1027</f>
        <v>121937177.97</v>
      </c>
      <c r="AV1027" s="133">
        <f>AM1027-AP1027</f>
        <v>0</v>
      </c>
      <c r="AW1027" s="18">
        <f>AP1027-AT1027</f>
        <v>14666667</v>
      </c>
      <c r="AX1027" s="123">
        <f>AP1027/AJ1027</f>
        <v>0.11900913706039054</v>
      </c>
    </row>
    <row r="1028" spans="1:50" ht="25.5" x14ac:dyDescent="0.2">
      <c r="AA1028" s="28" t="s">
        <v>288</v>
      </c>
      <c r="AB1028" s="29" t="s">
        <v>690</v>
      </c>
      <c r="AC1028" s="17"/>
      <c r="AD1028" s="18"/>
      <c r="AE1028" s="34"/>
      <c r="AF1028" s="34"/>
      <c r="AG1028" s="34"/>
      <c r="AH1028" s="34"/>
      <c r="AI1028" s="34"/>
      <c r="AJ1028" s="18"/>
      <c r="AK1028" s="34"/>
      <c r="AL1028" s="34"/>
      <c r="AM1028" s="34"/>
      <c r="AN1028" s="34"/>
      <c r="AO1028" s="34"/>
      <c r="AP1028" s="34"/>
      <c r="AQ1028" s="18"/>
      <c r="AR1028" s="34"/>
      <c r="AS1028" s="34"/>
      <c r="AT1028" s="40"/>
      <c r="AU1028" s="18"/>
      <c r="AV1028" s="34"/>
      <c r="AW1028" s="18"/>
      <c r="AX1028" s="18"/>
    </row>
    <row r="1029" spans="1:50" x14ac:dyDescent="0.2">
      <c r="A1029" s="4" t="s">
        <v>55</v>
      </c>
      <c r="B1029" s="4" t="s">
        <v>56</v>
      </c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1" t="s">
        <v>691</v>
      </c>
      <c r="AB1029" s="42" t="s">
        <v>233</v>
      </c>
      <c r="AC1029" s="43" t="s">
        <v>58</v>
      </c>
      <c r="AD1029" s="43">
        <v>368900000</v>
      </c>
      <c r="AE1029" s="44">
        <v>0</v>
      </c>
      <c r="AF1029" s="44">
        <v>0</v>
      </c>
      <c r="AG1029" s="43">
        <f>80000000+50000000</f>
        <v>130000000</v>
      </c>
      <c r="AH1029" s="44">
        <v>0</v>
      </c>
      <c r="AI1029" s="43">
        <f>AE1029-AF1029+AG1029-AH1029</f>
        <v>130000000</v>
      </c>
      <c r="AJ1029" s="43">
        <f>AD1029+AI1029</f>
        <v>498900000</v>
      </c>
      <c r="AK1029" s="44">
        <v>0</v>
      </c>
      <c r="AL1029" s="114">
        <v>0</v>
      </c>
      <c r="AM1029" s="114">
        <v>318000000</v>
      </c>
      <c r="AN1029" s="115">
        <v>0</v>
      </c>
      <c r="AO1029" s="114">
        <v>0</v>
      </c>
      <c r="AP1029" s="114">
        <v>318000000</v>
      </c>
      <c r="AQ1029" s="18">
        <v>5400000</v>
      </c>
      <c r="AR1029" s="18">
        <v>41600000</v>
      </c>
      <c r="AS1029" s="18">
        <v>150353333</v>
      </c>
      <c r="AT1029" s="39">
        <f t="shared" si="373"/>
        <v>155753333</v>
      </c>
      <c r="AU1029" s="18">
        <f>AJ1029-AM1029</f>
        <v>180900000</v>
      </c>
      <c r="AV1029" s="133">
        <f>AM1029-AP1029</f>
        <v>0</v>
      </c>
      <c r="AW1029" s="18">
        <f>AP1029-AT1029</f>
        <v>162246667</v>
      </c>
      <c r="AX1029" s="123">
        <f>AP1029/AJ1029</f>
        <v>0.63740228502705953</v>
      </c>
    </row>
    <row r="1030" spans="1:50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1"/>
      <c r="AB1030" s="42"/>
      <c r="AC1030" s="43"/>
      <c r="AD1030" s="43"/>
      <c r="AE1030" s="44"/>
      <c r="AF1030" s="44"/>
      <c r="AG1030" s="44"/>
      <c r="AH1030" s="44"/>
      <c r="AI1030" s="44"/>
      <c r="AJ1030" s="43"/>
      <c r="AK1030" s="44"/>
      <c r="AL1030" s="114"/>
      <c r="AM1030" s="114"/>
      <c r="AN1030" s="115"/>
      <c r="AO1030" s="114"/>
      <c r="AP1030" s="114"/>
      <c r="AQ1030" s="18"/>
      <c r="AR1030" s="18"/>
      <c r="AS1030" s="18"/>
      <c r="AT1030" s="39"/>
      <c r="AU1030" s="18"/>
      <c r="AV1030" s="133"/>
      <c r="AW1030" s="18"/>
      <c r="AX1030" s="123"/>
    </row>
    <row r="1031" spans="1:50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73" t="s">
        <v>288</v>
      </c>
      <c r="AB1031" s="74" t="s">
        <v>1230</v>
      </c>
      <c r="AC1031" s="43"/>
      <c r="AD1031" s="43"/>
      <c r="AE1031" s="44"/>
      <c r="AF1031" s="44"/>
      <c r="AG1031" s="44"/>
      <c r="AH1031" s="44"/>
      <c r="AI1031" s="44"/>
      <c r="AJ1031" s="43"/>
      <c r="AK1031" s="44"/>
      <c r="AL1031" s="114"/>
      <c r="AM1031" s="114"/>
      <c r="AN1031" s="115"/>
      <c r="AO1031" s="114"/>
      <c r="AP1031" s="114"/>
      <c r="AQ1031" s="18"/>
      <c r="AR1031" s="18"/>
      <c r="AS1031" s="18"/>
      <c r="AT1031" s="39"/>
      <c r="AU1031" s="18"/>
      <c r="AV1031" s="133"/>
      <c r="AW1031" s="18"/>
      <c r="AX1031" s="123"/>
    </row>
    <row r="1032" spans="1:50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1" t="s">
        <v>1231</v>
      </c>
      <c r="AB1032" s="42" t="s">
        <v>1232</v>
      </c>
      <c r="AC1032" s="43"/>
      <c r="AD1032" s="44">
        <v>0</v>
      </c>
      <c r="AE1032" s="44">
        <v>0</v>
      </c>
      <c r="AF1032" s="44">
        <v>0</v>
      </c>
      <c r="AG1032" s="43">
        <f>150000000+100000000</f>
        <v>250000000</v>
      </c>
      <c r="AH1032" s="44"/>
      <c r="AI1032" s="43">
        <f>AE1032-AF1032+AG1032-AH1032</f>
        <v>250000000</v>
      </c>
      <c r="AJ1032" s="43">
        <f>AD1032+AI1032</f>
        <v>250000000</v>
      </c>
      <c r="AK1032" s="44">
        <v>0</v>
      </c>
      <c r="AL1032" s="115">
        <v>0</v>
      </c>
      <c r="AM1032" s="115">
        <v>0</v>
      </c>
      <c r="AN1032" s="115">
        <v>0</v>
      </c>
      <c r="AO1032" s="115">
        <v>0</v>
      </c>
      <c r="AP1032" s="115">
        <v>0</v>
      </c>
      <c r="AQ1032" s="34">
        <v>0</v>
      </c>
      <c r="AR1032" s="34">
        <v>0</v>
      </c>
      <c r="AS1032" s="34"/>
      <c r="AT1032" s="40">
        <f t="shared" ref="AT1032" si="384">AQ1032+AS1032</f>
        <v>0</v>
      </c>
      <c r="AU1032" s="18">
        <f>AJ1032-AM1032</f>
        <v>250000000</v>
      </c>
      <c r="AV1032" s="133">
        <f>AM1032-AP1032</f>
        <v>0</v>
      </c>
      <c r="AW1032" s="34">
        <f>AP1032-AT1032</f>
        <v>0</v>
      </c>
      <c r="AX1032" s="123">
        <f>AP1032/AJ1032</f>
        <v>0</v>
      </c>
    </row>
    <row r="1033" spans="1:50" ht="18.75" customHeight="1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73" t="s">
        <v>1016</v>
      </c>
      <c r="AB1033" s="74" t="s">
        <v>1068</v>
      </c>
      <c r="AC1033" s="43"/>
      <c r="AD1033" s="44"/>
      <c r="AE1033" s="44"/>
      <c r="AF1033" s="44"/>
      <c r="AG1033" s="44"/>
      <c r="AH1033" s="44"/>
      <c r="AI1033" s="44"/>
      <c r="AJ1033" s="43"/>
      <c r="AK1033" s="44"/>
      <c r="AL1033" s="115"/>
      <c r="AM1033" s="115"/>
      <c r="AN1033" s="115"/>
      <c r="AO1033" s="115"/>
      <c r="AP1033" s="115"/>
      <c r="AQ1033" s="34"/>
      <c r="AR1033" s="34"/>
      <c r="AS1033" s="34"/>
      <c r="AT1033" s="40"/>
      <c r="AU1033" s="18"/>
      <c r="AV1033" s="133"/>
      <c r="AW1033" s="34"/>
      <c r="AX1033" s="123"/>
    </row>
    <row r="1034" spans="1:50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73" t="s">
        <v>1017</v>
      </c>
      <c r="AB1034" s="74" t="s">
        <v>1069</v>
      </c>
      <c r="AC1034" s="43"/>
      <c r="AD1034" s="44"/>
      <c r="AE1034" s="44"/>
      <c r="AF1034" s="44"/>
      <c r="AG1034" s="44"/>
      <c r="AH1034" s="44"/>
      <c r="AI1034" s="44"/>
      <c r="AJ1034" s="43"/>
      <c r="AK1034" s="44"/>
      <c r="AL1034" s="115"/>
      <c r="AM1034" s="115"/>
      <c r="AN1034" s="115"/>
      <c r="AO1034" s="115"/>
      <c r="AP1034" s="115"/>
      <c r="AQ1034" s="34"/>
      <c r="AR1034" s="34"/>
      <c r="AS1034" s="34"/>
      <c r="AT1034" s="40"/>
      <c r="AU1034" s="18"/>
      <c r="AV1034" s="133"/>
      <c r="AW1034" s="34"/>
      <c r="AX1034" s="123"/>
    </row>
    <row r="1035" spans="1:50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73" t="s">
        <v>1018</v>
      </c>
      <c r="AB1035" s="74" t="s">
        <v>286</v>
      </c>
      <c r="AC1035" s="43"/>
      <c r="AD1035" s="44"/>
      <c r="AE1035" s="44"/>
      <c r="AF1035" s="44"/>
      <c r="AG1035" s="44"/>
      <c r="AH1035" s="44"/>
      <c r="AI1035" s="44"/>
      <c r="AJ1035" s="43"/>
      <c r="AK1035" s="44"/>
      <c r="AL1035" s="115"/>
      <c r="AM1035" s="115"/>
      <c r="AN1035" s="115"/>
      <c r="AO1035" s="115"/>
      <c r="AP1035" s="115"/>
      <c r="AQ1035" s="34"/>
      <c r="AR1035" s="34"/>
      <c r="AS1035" s="34"/>
      <c r="AT1035" s="40"/>
      <c r="AU1035" s="18"/>
      <c r="AV1035" s="133"/>
      <c r="AW1035" s="34"/>
      <c r="AX1035" s="123"/>
    </row>
    <row r="1036" spans="1:50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73" t="s">
        <v>1021</v>
      </c>
      <c r="AB1036" s="74" t="s">
        <v>1070</v>
      </c>
      <c r="AC1036" s="43"/>
      <c r="AD1036" s="44"/>
      <c r="AE1036" s="44"/>
      <c r="AF1036" s="44"/>
      <c r="AG1036" s="44"/>
      <c r="AH1036" s="44"/>
      <c r="AI1036" s="44"/>
      <c r="AJ1036" s="43"/>
      <c r="AK1036" s="44"/>
      <c r="AL1036" s="115"/>
      <c r="AM1036" s="115"/>
      <c r="AN1036" s="115"/>
      <c r="AO1036" s="115"/>
      <c r="AP1036" s="115"/>
      <c r="AQ1036" s="34"/>
      <c r="AR1036" s="34"/>
      <c r="AS1036" s="34"/>
      <c r="AT1036" s="40"/>
      <c r="AU1036" s="18"/>
      <c r="AV1036" s="133"/>
      <c r="AW1036" s="34"/>
      <c r="AX1036" s="123"/>
    </row>
    <row r="1037" spans="1:50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1" t="s">
        <v>1019</v>
      </c>
      <c r="AB1037" s="42" t="s">
        <v>1005</v>
      </c>
      <c r="AC1037" s="43"/>
      <c r="AD1037" s="44">
        <v>0</v>
      </c>
      <c r="AE1037" s="43">
        <v>5053333</v>
      </c>
      <c r="AF1037" s="44">
        <v>0</v>
      </c>
      <c r="AG1037" s="44">
        <v>0</v>
      </c>
      <c r="AH1037" s="44">
        <v>0</v>
      </c>
      <c r="AI1037" s="43">
        <f>AE1037-AF1037+AG1037-AH1037</f>
        <v>5053333</v>
      </c>
      <c r="AJ1037" s="43">
        <f>AD1037+AI1037</f>
        <v>5053333</v>
      </c>
      <c r="AK1037" s="44">
        <v>0</v>
      </c>
      <c r="AL1037" s="115">
        <v>0</v>
      </c>
      <c r="AM1037" s="115">
        <v>0</v>
      </c>
      <c r="AN1037" s="115">
        <v>0</v>
      </c>
      <c r="AO1037" s="115">
        <v>0</v>
      </c>
      <c r="AP1037" s="115">
        <v>0</v>
      </c>
      <c r="AQ1037" s="34">
        <v>0</v>
      </c>
      <c r="AR1037" s="34">
        <v>0</v>
      </c>
      <c r="AS1037" s="34">
        <v>0</v>
      </c>
      <c r="AT1037" s="40">
        <f t="shared" ref="AT1037" si="385">AQ1037+AS1037</f>
        <v>0</v>
      </c>
      <c r="AU1037" s="18">
        <f>AJ1037-AM1037</f>
        <v>5053333</v>
      </c>
      <c r="AV1037" s="133">
        <f>AM1037-AP1037</f>
        <v>0</v>
      </c>
      <c r="AW1037" s="34">
        <f>AP1037-AT1037</f>
        <v>0</v>
      </c>
      <c r="AX1037" s="123">
        <f>AP1037/AJ1037</f>
        <v>0</v>
      </c>
    </row>
    <row r="1038" spans="1:50" x14ac:dyDescent="0.2">
      <c r="AA1038" s="16"/>
      <c r="AB1038" s="17"/>
      <c r="AC1038" s="17"/>
      <c r="AD1038" s="18"/>
      <c r="AE1038" s="34"/>
      <c r="AF1038" s="34"/>
      <c r="AG1038" s="34"/>
      <c r="AH1038" s="34"/>
      <c r="AI1038" s="34"/>
      <c r="AJ1038" s="18"/>
      <c r="AK1038" s="18"/>
      <c r="AL1038" s="18"/>
      <c r="AM1038" s="18"/>
      <c r="AN1038" s="34"/>
      <c r="AO1038" s="18"/>
      <c r="AP1038" s="18"/>
      <c r="AQ1038" s="18"/>
      <c r="AR1038" s="34"/>
      <c r="AS1038" s="34"/>
      <c r="AT1038" s="40"/>
      <c r="AU1038" s="18"/>
      <c r="AV1038" s="18"/>
      <c r="AW1038" s="34"/>
      <c r="AX1038" s="18"/>
    </row>
    <row r="1039" spans="1:50" ht="18.75" customHeight="1" x14ac:dyDescent="0.2">
      <c r="AA1039" s="46"/>
      <c r="AB1039" s="47" t="s">
        <v>692</v>
      </c>
      <c r="AC1039" s="47"/>
      <c r="AD1039" s="48">
        <f>SUM(AD996:AD1038)</f>
        <v>12346184481</v>
      </c>
      <c r="AE1039" s="48">
        <f>SUM(AE996:AE1038)</f>
        <v>143462461.97</v>
      </c>
      <c r="AF1039" s="49">
        <f t="shared" ref="AF1039:AW1039" si="386">SUM(AF996:AF1038)</f>
        <v>0</v>
      </c>
      <c r="AG1039" s="48">
        <f>SUM(AG996:AG1038)</f>
        <v>14086423215</v>
      </c>
      <c r="AH1039" s="48">
        <f t="shared" si="386"/>
        <v>9286423215</v>
      </c>
      <c r="AI1039" s="48">
        <f t="shared" si="386"/>
        <v>4943462461.9700003</v>
      </c>
      <c r="AJ1039" s="48">
        <f t="shared" si="386"/>
        <v>17289646942.970001</v>
      </c>
      <c r="AK1039" s="49">
        <f t="shared" si="386"/>
        <v>0</v>
      </c>
      <c r="AL1039" s="48">
        <f t="shared" si="386"/>
        <v>1325847316</v>
      </c>
      <c r="AM1039" s="48">
        <f t="shared" si="386"/>
        <v>6465730531</v>
      </c>
      <c r="AN1039" s="48">
        <f t="shared" si="386"/>
        <v>16100000</v>
      </c>
      <c r="AO1039" s="48">
        <f t="shared" si="386"/>
        <v>1708220531</v>
      </c>
      <c r="AP1039" s="48">
        <f t="shared" si="386"/>
        <v>6388730531</v>
      </c>
      <c r="AQ1039" s="48">
        <f t="shared" si="386"/>
        <v>56390000</v>
      </c>
      <c r="AR1039" s="121">
        <f t="shared" si="386"/>
        <v>372081817.33000004</v>
      </c>
      <c r="AS1039" s="121">
        <f t="shared" si="386"/>
        <v>3336138483.3299999</v>
      </c>
      <c r="AT1039" s="108">
        <f>AQ1039+AS1039</f>
        <v>3392528483.3299999</v>
      </c>
      <c r="AU1039" s="48">
        <f t="shared" si="386"/>
        <v>10823916411.969999</v>
      </c>
      <c r="AV1039" s="48">
        <f t="shared" si="386"/>
        <v>77000000</v>
      </c>
      <c r="AW1039" s="48">
        <f t="shared" si="386"/>
        <v>2996202047.6700001</v>
      </c>
      <c r="AX1039" s="24">
        <f>AP1039/AJ1039</f>
        <v>0.3695119138102278</v>
      </c>
    </row>
    <row r="1040" spans="1:50" ht="18.75" customHeight="1" x14ac:dyDescent="0.2">
      <c r="AA1040" s="16"/>
      <c r="AB1040" s="17"/>
      <c r="AC1040" s="17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</row>
    <row r="1041" spans="1:50" s="25" customFormat="1" ht="18.75" customHeight="1" x14ac:dyDescent="0.2">
      <c r="B1041" s="71"/>
      <c r="C1041" s="71"/>
      <c r="D1041" s="71"/>
      <c r="E1041" s="71"/>
      <c r="F1041" s="71"/>
      <c r="G1041" s="71"/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71"/>
      <c r="T1041" s="71"/>
      <c r="U1041" s="71"/>
      <c r="V1041" s="71"/>
      <c r="W1041" s="71"/>
      <c r="X1041" s="71"/>
      <c r="Y1041" s="71"/>
      <c r="Z1041" s="71"/>
      <c r="AA1041" s="66"/>
      <c r="AB1041" s="21" t="s">
        <v>693</v>
      </c>
      <c r="AC1041" s="67"/>
      <c r="AD1041" s="63"/>
      <c r="AE1041" s="63"/>
      <c r="AF1041" s="63"/>
      <c r="AG1041" s="63"/>
      <c r="AH1041" s="63"/>
      <c r="AI1041" s="63"/>
      <c r="AJ1041" s="63"/>
      <c r="AK1041" s="63"/>
      <c r="AL1041" s="63"/>
      <c r="AM1041" s="63"/>
      <c r="AN1041" s="63"/>
      <c r="AO1041" s="63"/>
      <c r="AP1041" s="63"/>
      <c r="AQ1041" s="63"/>
      <c r="AR1041" s="63"/>
      <c r="AS1041" s="63"/>
      <c r="AT1041" s="63"/>
      <c r="AU1041" s="63"/>
      <c r="AV1041" s="63"/>
      <c r="AW1041" s="63"/>
      <c r="AX1041" s="63"/>
    </row>
    <row r="1042" spans="1:50" ht="18.75" customHeight="1" x14ac:dyDescent="0.2">
      <c r="AA1042" s="16"/>
      <c r="AB1042" s="29" t="s">
        <v>285</v>
      </c>
      <c r="AC1042" s="17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</row>
    <row r="1043" spans="1:50" ht="18.75" customHeight="1" x14ac:dyDescent="0.2">
      <c r="AA1043" s="16"/>
      <c r="AB1043" s="29" t="s">
        <v>286</v>
      </c>
      <c r="AC1043" s="17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</row>
    <row r="1044" spans="1:50" ht="18.75" customHeight="1" x14ac:dyDescent="0.2">
      <c r="AA1044" s="16"/>
      <c r="AB1044" s="29" t="s">
        <v>179</v>
      </c>
      <c r="AC1044" s="17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</row>
    <row r="1045" spans="1:50" x14ac:dyDescent="0.2">
      <c r="AA1045" s="16"/>
      <c r="AB1045" s="29" t="s">
        <v>189</v>
      </c>
      <c r="AC1045" s="17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</row>
    <row r="1046" spans="1:50" ht="38.25" x14ac:dyDescent="0.2">
      <c r="AA1046" s="16"/>
      <c r="AB1046" s="29" t="s">
        <v>193</v>
      </c>
      <c r="AC1046" s="17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30"/>
      <c r="AU1046" s="18"/>
      <c r="AV1046" s="18"/>
      <c r="AW1046" s="18"/>
      <c r="AX1046" s="18"/>
    </row>
    <row r="1047" spans="1:50" ht="25.5" x14ac:dyDescent="0.2">
      <c r="AA1047" s="28" t="s">
        <v>288</v>
      </c>
      <c r="AB1047" s="29" t="s">
        <v>694</v>
      </c>
      <c r="AC1047" s="17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30"/>
      <c r="AU1047" s="18"/>
      <c r="AV1047" s="18"/>
      <c r="AW1047" s="18"/>
      <c r="AX1047" s="18"/>
    </row>
    <row r="1048" spans="1:50" x14ac:dyDescent="0.2">
      <c r="A1048" s="4" t="s">
        <v>55</v>
      </c>
      <c r="B1048" s="4" t="s">
        <v>56</v>
      </c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1" t="s">
        <v>695</v>
      </c>
      <c r="AB1048" s="42" t="s">
        <v>233</v>
      </c>
      <c r="AC1048" s="43" t="s">
        <v>58</v>
      </c>
      <c r="AD1048" s="43">
        <v>20000000000</v>
      </c>
      <c r="AE1048" s="44">
        <v>0</v>
      </c>
      <c r="AF1048" s="44">
        <v>0</v>
      </c>
      <c r="AG1048" s="44">
        <v>0</v>
      </c>
      <c r="AH1048" s="43">
        <f>10000000000+500000000+431000000</f>
        <v>10931000000</v>
      </c>
      <c r="AI1048" s="43">
        <f>AE1048-AF1048+AG1048-AH1048</f>
        <v>-10931000000</v>
      </c>
      <c r="AJ1048" s="43">
        <f>AD1048+AI1048</f>
        <v>9069000000</v>
      </c>
      <c r="AK1048" s="115">
        <v>0</v>
      </c>
      <c r="AL1048" s="115">
        <v>0</v>
      </c>
      <c r="AM1048" s="114">
        <v>8927500500</v>
      </c>
      <c r="AN1048" s="115">
        <v>0</v>
      </c>
      <c r="AO1048" s="115">
        <v>0</v>
      </c>
      <c r="AP1048" s="114">
        <v>8927500500</v>
      </c>
      <c r="AQ1048" s="115">
        <v>0</v>
      </c>
      <c r="AR1048" s="115">
        <v>0</v>
      </c>
      <c r="AS1048" s="114">
        <v>8927500500</v>
      </c>
      <c r="AT1048" s="111">
        <f t="shared" ref="AT1048:AT1063" si="387">AQ1048+AS1048</f>
        <v>8927500500</v>
      </c>
      <c r="AU1048" s="18">
        <f>AJ1048-AM1048</f>
        <v>141499500</v>
      </c>
      <c r="AV1048" s="133">
        <f>AM1048-AP1048</f>
        <v>0</v>
      </c>
      <c r="AW1048" s="34">
        <f>AP1048-AT1048</f>
        <v>0</v>
      </c>
      <c r="AX1048" s="123">
        <f>AP1048/AJ1048</f>
        <v>0.98439745286139602</v>
      </c>
    </row>
    <row r="1049" spans="1:50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1" t="s">
        <v>1118</v>
      </c>
      <c r="AB1049" s="42" t="s">
        <v>1015</v>
      </c>
      <c r="AC1049" s="43"/>
      <c r="AD1049" s="44">
        <v>0</v>
      </c>
      <c r="AE1049" s="43">
        <v>1500000000</v>
      </c>
      <c r="AF1049" s="44">
        <v>0</v>
      </c>
      <c r="AG1049" s="44">
        <v>0</v>
      </c>
      <c r="AH1049" s="43">
        <v>200000000</v>
      </c>
      <c r="AI1049" s="43">
        <f>AE1049-AF1049+AG1049-AH1049</f>
        <v>1300000000</v>
      </c>
      <c r="AJ1049" s="43">
        <f>AD1049+AI1049</f>
        <v>1300000000</v>
      </c>
      <c r="AK1049" s="115">
        <v>0</v>
      </c>
      <c r="AL1049" s="115">
        <v>0</v>
      </c>
      <c r="AM1049" s="114">
        <v>0</v>
      </c>
      <c r="AN1049" s="115">
        <v>0</v>
      </c>
      <c r="AO1049" s="115">
        <v>0</v>
      </c>
      <c r="AP1049" s="114">
        <v>0</v>
      </c>
      <c r="AQ1049" s="115">
        <v>0</v>
      </c>
      <c r="AR1049" s="115">
        <v>0</v>
      </c>
      <c r="AS1049" s="115">
        <v>0</v>
      </c>
      <c r="AT1049" s="135">
        <f t="shared" si="387"/>
        <v>0</v>
      </c>
      <c r="AU1049" s="18">
        <f>AJ1049-AM1049</f>
        <v>1300000000</v>
      </c>
      <c r="AV1049" s="133">
        <f>AM1049-AP1049</f>
        <v>0</v>
      </c>
      <c r="AW1049" s="34">
        <f>AP1049-AT1049</f>
        <v>0</v>
      </c>
      <c r="AX1049" s="123">
        <f>AP1049/AJ1049</f>
        <v>0</v>
      </c>
    </row>
    <row r="1050" spans="1:50" x14ac:dyDescent="0.2">
      <c r="AA1050" s="16"/>
      <c r="AB1050" s="17"/>
      <c r="AC1050" s="17"/>
      <c r="AD1050" s="18"/>
      <c r="AE1050" s="34"/>
      <c r="AF1050" s="34"/>
      <c r="AG1050" s="34"/>
      <c r="AH1050" s="34"/>
      <c r="AI1050" s="34"/>
      <c r="AJ1050" s="18"/>
      <c r="AK1050" s="18"/>
      <c r="AL1050" s="18"/>
      <c r="AM1050" s="18"/>
      <c r="AN1050" s="18"/>
      <c r="AO1050" s="18"/>
      <c r="AP1050" s="34"/>
      <c r="AQ1050" s="34"/>
      <c r="AR1050" s="34"/>
      <c r="AS1050" s="34"/>
      <c r="AT1050" s="40"/>
      <c r="AU1050" s="18"/>
      <c r="AV1050" s="18"/>
      <c r="AW1050" s="18"/>
      <c r="AX1050" s="18"/>
    </row>
    <row r="1051" spans="1:50" ht="25.5" x14ac:dyDescent="0.2">
      <c r="AA1051" s="16"/>
      <c r="AB1051" s="29" t="s">
        <v>195</v>
      </c>
      <c r="AC1051" s="17"/>
      <c r="AD1051" s="18"/>
      <c r="AE1051" s="34"/>
      <c r="AF1051" s="34"/>
      <c r="AG1051" s="34"/>
      <c r="AH1051" s="34"/>
      <c r="AI1051" s="34"/>
      <c r="AJ1051" s="18"/>
      <c r="AK1051" s="18"/>
      <c r="AL1051" s="18"/>
      <c r="AM1051" s="18"/>
      <c r="AN1051" s="18"/>
      <c r="AO1051" s="18"/>
      <c r="AP1051" s="34"/>
      <c r="AQ1051" s="34"/>
      <c r="AR1051" s="34"/>
      <c r="AS1051" s="34"/>
      <c r="AT1051" s="40"/>
      <c r="AU1051" s="18"/>
      <c r="AV1051" s="18"/>
      <c r="AW1051" s="18"/>
      <c r="AX1051" s="18"/>
    </row>
    <row r="1052" spans="1:50" ht="25.5" x14ac:dyDescent="0.2">
      <c r="AA1052" s="28" t="s">
        <v>288</v>
      </c>
      <c r="AB1052" s="29" t="s">
        <v>696</v>
      </c>
      <c r="AC1052" s="17"/>
      <c r="AD1052" s="18"/>
      <c r="AE1052" s="34"/>
      <c r="AF1052" s="34"/>
      <c r="AG1052" s="34"/>
      <c r="AH1052" s="34"/>
      <c r="AI1052" s="34"/>
      <c r="AJ1052" s="18"/>
      <c r="AK1052" s="18"/>
      <c r="AL1052" s="18"/>
      <c r="AM1052" s="18"/>
      <c r="AN1052" s="18"/>
      <c r="AO1052" s="18"/>
      <c r="AP1052" s="34"/>
      <c r="AQ1052" s="34"/>
      <c r="AR1052" s="34"/>
      <c r="AS1052" s="34"/>
      <c r="AT1052" s="40"/>
      <c r="AU1052" s="18"/>
      <c r="AV1052" s="18"/>
      <c r="AW1052" s="18"/>
      <c r="AX1052" s="18"/>
    </row>
    <row r="1053" spans="1:50" x14ac:dyDescent="0.2">
      <c r="A1053" s="4" t="s">
        <v>55</v>
      </c>
      <c r="B1053" s="4" t="s">
        <v>56</v>
      </c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1" t="s">
        <v>697</v>
      </c>
      <c r="AB1053" s="42" t="s">
        <v>233</v>
      </c>
      <c r="AC1053" s="43" t="s">
        <v>58</v>
      </c>
      <c r="AD1053" s="43">
        <v>5000000000</v>
      </c>
      <c r="AE1053" s="44">
        <v>0</v>
      </c>
      <c r="AF1053" s="44">
        <v>0</v>
      </c>
      <c r="AG1053" s="44">
        <v>0</v>
      </c>
      <c r="AH1053" s="43">
        <v>5000000000</v>
      </c>
      <c r="AI1053" s="43">
        <f t="shared" ref="AI1053" si="388">AE1053-AF1053+AG1053-AH1053</f>
        <v>-5000000000</v>
      </c>
      <c r="AJ1053" s="44">
        <f t="shared" ref="AJ1053" si="389">AD1053+AI1053</f>
        <v>0</v>
      </c>
      <c r="AK1053" s="44">
        <v>0</v>
      </c>
      <c r="AL1053" s="44">
        <v>0</v>
      </c>
      <c r="AM1053" s="44">
        <v>0</v>
      </c>
      <c r="AN1053" s="44">
        <v>0</v>
      </c>
      <c r="AO1053" s="44">
        <v>0</v>
      </c>
      <c r="AP1053" s="44">
        <v>0</v>
      </c>
      <c r="AQ1053" s="44">
        <v>0</v>
      </c>
      <c r="AR1053" s="44">
        <v>0</v>
      </c>
      <c r="AS1053" s="44">
        <v>0</v>
      </c>
      <c r="AT1053" s="40">
        <f t="shared" ref="AT1053:AT1054" si="390">AQ1053+AS1053</f>
        <v>0</v>
      </c>
      <c r="AU1053" s="34">
        <f>AJ1053-AM1053</f>
        <v>0</v>
      </c>
      <c r="AV1053" s="133">
        <f>AM1053-AP1053</f>
        <v>0</v>
      </c>
      <c r="AW1053" s="34">
        <f>AP1053-AT1053</f>
        <v>0</v>
      </c>
      <c r="AX1053" s="123">
        <v>0</v>
      </c>
    </row>
    <row r="1054" spans="1:50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1" t="s">
        <v>1119</v>
      </c>
      <c r="AB1054" s="42" t="s">
        <v>1015</v>
      </c>
      <c r="AC1054" s="43"/>
      <c r="AD1054" s="44">
        <v>0</v>
      </c>
      <c r="AE1054" s="43">
        <v>150000000</v>
      </c>
      <c r="AF1054" s="44">
        <v>0</v>
      </c>
      <c r="AG1054" s="44">
        <v>0</v>
      </c>
      <c r="AH1054" s="43">
        <v>150000000</v>
      </c>
      <c r="AI1054" s="43">
        <f>AE1054-AF1054+AG1054-AH1054</f>
        <v>0</v>
      </c>
      <c r="AJ1054" s="44">
        <f>AD1054+AI1054</f>
        <v>0</v>
      </c>
      <c r="AK1054" s="44">
        <v>0</v>
      </c>
      <c r="AL1054" s="44">
        <v>0</v>
      </c>
      <c r="AM1054" s="44">
        <v>0</v>
      </c>
      <c r="AN1054" s="44">
        <v>0</v>
      </c>
      <c r="AO1054" s="44">
        <v>0</v>
      </c>
      <c r="AP1054" s="44">
        <v>0</v>
      </c>
      <c r="AQ1054" s="44">
        <v>0</v>
      </c>
      <c r="AR1054" s="44">
        <v>0</v>
      </c>
      <c r="AS1054" s="44">
        <v>0</v>
      </c>
      <c r="AT1054" s="40">
        <f t="shared" si="390"/>
        <v>0</v>
      </c>
      <c r="AU1054" s="34">
        <f>AJ1054-AM1054</f>
        <v>0</v>
      </c>
      <c r="AV1054" s="133">
        <f>AM1054-AP1054</f>
        <v>0</v>
      </c>
      <c r="AW1054" s="34">
        <f>AP1054-AT1054</f>
        <v>0</v>
      </c>
      <c r="AX1054" s="123">
        <v>0</v>
      </c>
    </row>
    <row r="1055" spans="1:50" ht="25.5" x14ac:dyDescent="0.2">
      <c r="AA1055" s="28" t="s">
        <v>288</v>
      </c>
      <c r="AB1055" s="29" t="s">
        <v>698</v>
      </c>
      <c r="AC1055" s="17"/>
      <c r="AD1055" s="18"/>
      <c r="AE1055" s="18"/>
      <c r="AF1055" s="18"/>
      <c r="AG1055" s="18"/>
      <c r="AH1055" s="18"/>
      <c r="AI1055" s="18"/>
      <c r="AJ1055" s="18"/>
      <c r="AK1055" s="34"/>
      <c r="AL1055" s="34"/>
      <c r="AM1055" s="34"/>
      <c r="AN1055" s="34"/>
      <c r="AO1055" s="34"/>
      <c r="AP1055" s="34"/>
      <c r="AQ1055" s="18"/>
      <c r="AR1055" s="18"/>
      <c r="AS1055" s="18"/>
      <c r="AT1055" s="39"/>
      <c r="AU1055" s="34"/>
      <c r="AV1055" s="34"/>
      <c r="AW1055" s="34"/>
      <c r="AX1055" s="18"/>
    </row>
    <row r="1056" spans="1:50" x14ac:dyDescent="0.2">
      <c r="A1056" s="4" t="s">
        <v>55</v>
      </c>
      <c r="B1056" s="4" t="s">
        <v>56</v>
      </c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1" t="s">
        <v>699</v>
      </c>
      <c r="AB1056" s="42" t="s">
        <v>233</v>
      </c>
      <c r="AC1056" s="43" t="s">
        <v>58</v>
      </c>
      <c r="AD1056" s="43">
        <v>4500000000</v>
      </c>
      <c r="AE1056" s="44">
        <v>0</v>
      </c>
      <c r="AF1056" s="44">
        <v>0</v>
      </c>
      <c r="AG1056" s="44">
        <v>0</v>
      </c>
      <c r="AH1056" s="44">
        <v>0</v>
      </c>
      <c r="AI1056" s="44">
        <v>0</v>
      </c>
      <c r="AJ1056" s="43">
        <v>4500000000</v>
      </c>
      <c r="AK1056" s="44">
        <v>0</v>
      </c>
      <c r="AL1056" s="43">
        <v>0</v>
      </c>
      <c r="AM1056" s="43">
        <v>4500000000</v>
      </c>
      <c r="AN1056" s="44">
        <v>0</v>
      </c>
      <c r="AO1056" s="44">
        <v>0</v>
      </c>
      <c r="AP1056" s="44">
        <v>0</v>
      </c>
      <c r="AQ1056" s="44">
        <v>0</v>
      </c>
      <c r="AR1056" s="44">
        <v>0</v>
      </c>
      <c r="AS1056" s="44">
        <v>0</v>
      </c>
      <c r="AT1056" s="40">
        <f t="shared" si="387"/>
        <v>0</v>
      </c>
      <c r="AU1056" s="34">
        <f>AJ1056-AM1056</f>
        <v>0</v>
      </c>
      <c r="AV1056" s="18">
        <f>AM1056-AP1056</f>
        <v>4500000000</v>
      </c>
      <c r="AW1056" s="34">
        <f>AP1056-AT1056</f>
        <v>0</v>
      </c>
      <c r="AX1056" s="123">
        <f>AP1056/AJ1056</f>
        <v>0</v>
      </c>
    </row>
    <row r="1057" spans="1:50" x14ac:dyDescent="0.2">
      <c r="AA1057" s="16"/>
      <c r="AB1057" s="17"/>
      <c r="AC1057" s="17"/>
      <c r="AD1057" s="18"/>
      <c r="AE1057" s="34"/>
      <c r="AF1057" s="34"/>
      <c r="AG1057" s="34"/>
      <c r="AH1057" s="34"/>
      <c r="AI1057" s="34"/>
      <c r="AJ1057" s="18"/>
      <c r="AK1057" s="34"/>
      <c r="AL1057" s="34"/>
      <c r="AM1057" s="34"/>
      <c r="AN1057" s="34"/>
      <c r="AO1057" s="34"/>
      <c r="AP1057" s="34"/>
      <c r="AQ1057" s="34"/>
      <c r="AR1057" s="34"/>
      <c r="AS1057" s="34"/>
      <c r="AT1057" s="31"/>
      <c r="AU1057" s="34"/>
      <c r="AV1057" s="34"/>
      <c r="AW1057" s="34"/>
      <c r="AX1057" s="18"/>
    </row>
    <row r="1058" spans="1:50" ht="25.5" x14ac:dyDescent="0.2">
      <c r="AA1058" s="16"/>
      <c r="AB1058" s="29" t="s">
        <v>197</v>
      </c>
      <c r="AC1058" s="17"/>
      <c r="AD1058" s="18"/>
      <c r="AE1058" s="34"/>
      <c r="AF1058" s="34"/>
      <c r="AG1058" s="34"/>
      <c r="AH1058" s="34"/>
      <c r="AI1058" s="34"/>
      <c r="AJ1058" s="18"/>
      <c r="AK1058" s="34"/>
      <c r="AL1058" s="34"/>
      <c r="AM1058" s="34"/>
      <c r="AN1058" s="34"/>
      <c r="AO1058" s="34"/>
      <c r="AP1058" s="34"/>
      <c r="AQ1058" s="34"/>
      <c r="AR1058" s="34"/>
      <c r="AS1058" s="34"/>
      <c r="AT1058" s="31"/>
      <c r="AU1058" s="34"/>
      <c r="AV1058" s="34"/>
      <c r="AW1058" s="34"/>
      <c r="AX1058" s="18"/>
    </row>
    <row r="1059" spans="1:50" ht="25.5" x14ac:dyDescent="0.2">
      <c r="AA1059" s="28" t="s">
        <v>288</v>
      </c>
      <c r="AB1059" s="29" t="s">
        <v>700</v>
      </c>
      <c r="AC1059" s="17"/>
      <c r="AD1059" s="18"/>
      <c r="AE1059" s="34"/>
      <c r="AF1059" s="34"/>
      <c r="AG1059" s="34"/>
      <c r="AH1059" s="34"/>
      <c r="AI1059" s="34"/>
      <c r="AJ1059" s="18"/>
      <c r="AK1059" s="34"/>
      <c r="AL1059" s="34"/>
      <c r="AM1059" s="34"/>
      <c r="AN1059" s="34"/>
      <c r="AO1059" s="34"/>
      <c r="AP1059" s="34"/>
      <c r="AQ1059" s="34"/>
      <c r="AR1059" s="34"/>
      <c r="AS1059" s="34"/>
      <c r="AT1059" s="31"/>
      <c r="AU1059" s="34"/>
      <c r="AV1059" s="34"/>
      <c r="AW1059" s="34"/>
      <c r="AX1059" s="18"/>
    </row>
    <row r="1060" spans="1:50" x14ac:dyDescent="0.2">
      <c r="A1060" s="4" t="s">
        <v>55</v>
      </c>
      <c r="B1060" s="4" t="s">
        <v>56</v>
      </c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1" t="s">
        <v>701</v>
      </c>
      <c r="AB1060" s="42" t="s">
        <v>233</v>
      </c>
      <c r="AC1060" s="43" t="s">
        <v>58</v>
      </c>
      <c r="AD1060" s="43">
        <v>4500000000</v>
      </c>
      <c r="AE1060" s="44">
        <v>0</v>
      </c>
      <c r="AF1060" s="44">
        <v>0</v>
      </c>
      <c r="AG1060" s="44">
        <v>0</v>
      </c>
      <c r="AH1060" s="44">
        <v>0</v>
      </c>
      <c r="AI1060" s="44">
        <v>0</v>
      </c>
      <c r="AJ1060" s="43">
        <v>4500000000</v>
      </c>
      <c r="AK1060" s="44">
        <v>0</v>
      </c>
      <c r="AL1060" s="43">
        <v>0</v>
      </c>
      <c r="AM1060" s="43">
        <v>4500000000</v>
      </c>
      <c r="AN1060" s="44">
        <v>0</v>
      </c>
      <c r="AO1060" s="44">
        <v>0</v>
      </c>
      <c r="AP1060" s="44">
        <v>0</v>
      </c>
      <c r="AQ1060" s="44">
        <v>0</v>
      </c>
      <c r="AR1060" s="44">
        <v>0</v>
      </c>
      <c r="AS1060" s="44">
        <v>0</v>
      </c>
      <c r="AT1060" s="40">
        <f t="shared" si="387"/>
        <v>0</v>
      </c>
      <c r="AU1060" s="34">
        <f>AJ1060-AM1060</f>
        <v>0</v>
      </c>
      <c r="AV1060" s="18">
        <f>AM1060-AP1060</f>
        <v>4500000000</v>
      </c>
      <c r="AW1060" s="34">
        <f>AP1060-AT1060</f>
        <v>0</v>
      </c>
      <c r="AX1060" s="123">
        <f>AP1060/AJ1060</f>
        <v>0</v>
      </c>
    </row>
    <row r="1061" spans="1:50" x14ac:dyDescent="0.2">
      <c r="AA1061" s="28" t="s">
        <v>288</v>
      </c>
      <c r="AB1061" s="29" t="s">
        <v>400</v>
      </c>
      <c r="AC1061" s="17"/>
      <c r="AD1061" s="18"/>
      <c r="AE1061" s="34"/>
      <c r="AF1061" s="34"/>
      <c r="AG1061" s="34"/>
      <c r="AH1061" s="34"/>
      <c r="AI1061" s="34"/>
      <c r="AJ1061" s="18"/>
      <c r="AK1061" s="34"/>
      <c r="AL1061" s="18"/>
      <c r="AM1061" s="18"/>
      <c r="AN1061" s="34"/>
      <c r="AO1061" s="34"/>
      <c r="AP1061" s="18"/>
      <c r="AQ1061" s="18"/>
      <c r="AR1061" s="18"/>
      <c r="AS1061" s="18"/>
      <c r="AT1061" s="31"/>
      <c r="AU1061" s="18"/>
      <c r="AV1061" s="18"/>
      <c r="AW1061" s="18"/>
      <c r="AX1061" s="18"/>
    </row>
    <row r="1062" spans="1:50" x14ac:dyDescent="0.2">
      <c r="A1062" s="4" t="s">
        <v>55</v>
      </c>
      <c r="B1062" s="4" t="s">
        <v>56</v>
      </c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1" t="s">
        <v>401</v>
      </c>
      <c r="AB1062" s="42" t="s">
        <v>233</v>
      </c>
      <c r="AC1062" s="43" t="s">
        <v>58</v>
      </c>
      <c r="AD1062" s="43">
        <v>4899360013</v>
      </c>
      <c r="AE1062" s="44">
        <v>0</v>
      </c>
      <c r="AF1062" s="44">
        <v>0</v>
      </c>
      <c r="AG1062" s="44">
        <v>0</v>
      </c>
      <c r="AH1062" s="44">
        <v>0</v>
      </c>
      <c r="AI1062" s="44">
        <v>0</v>
      </c>
      <c r="AJ1062" s="43">
        <v>4899360013</v>
      </c>
      <c r="AK1062" s="43">
        <v>0</v>
      </c>
      <c r="AL1062" s="43">
        <v>20136667</v>
      </c>
      <c r="AM1062" s="43">
        <v>4689262113</v>
      </c>
      <c r="AN1062" s="43">
        <v>0</v>
      </c>
      <c r="AO1062" s="43">
        <v>20136667</v>
      </c>
      <c r="AP1062" s="43">
        <v>1910039285</v>
      </c>
      <c r="AQ1062" s="43">
        <v>41950000</v>
      </c>
      <c r="AR1062" s="43">
        <v>213687142</v>
      </c>
      <c r="AS1062" s="43">
        <v>863378095</v>
      </c>
      <c r="AT1062" s="111">
        <f t="shared" si="387"/>
        <v>905328095</v>
      </c>
      <c r="AU1062" s="18">
        <f>AJ1062-AM1062</f>
        <v>210097900</v>
      </c>
      <c r="AV1062" s="18">
        <f>AM1062-AP1062</f>
        <v>2779222828</v>
      </c>
      <c r="AW1062" s="18">
        <f>AP1062-AT1062</f>
        <v>1004711190</v>
      </c>
      <c r="AX1062" s="123">
        <f>AP1062/AJ1062</f>
        <v>0.38985485449770724</v>
      </c>
    </row>
    <row r="1063" spans="1:50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1" t="s">
        <v>401</v>
      </c>
      <c r="AB1063" s="42" t="s">
        <v>1015</v>
      </c>
      <c r="AC1063" s="43"/>
      <c r="AD1063" s="44">
        <v>0</v>
      </c>
      <c r="AE1063" s="43">
        <v>533723107.06</v>
      </c>
      <c r="AF1063" s="44">
        <v>0</v>
      </c>
      <c r="AG1063" s="44">
        <v>0</v>
      </c>
      <c r="AH1063" s="44">
        <v>0</v>
      </c>
      <c r="AI1063" s="43">
        <f>AE1063-AF1063+AG1063-AH1063</f>
        <v>533723107.06</v>
      </c>
      <c r="AJ1063" s="43">
        <f>AD1063+AI1063</f>
        <v>533723107.06</v>
      </c>
      <c r="AK1063" s="44">
        <v>0</v>
      </c>
      <c r="AL1063" s="44">
        <v>0</v>
      </c>
      <c r="AM1063" s="43">
        <v>0</v>
      </c>
      <c r="AN1063" s="44">
        <v>0</v>
      </c>
      <c r="AO1063" s="44">
        <v>0</v>
      </c>
      <c r="AP1063" s="44">
        <v>0</v>
      </c>
      <c r="AQ1063" s="44">
        <v>0</v>
      </c>
      <c r="AR1063" s="44">
        <v>0</v>
      </c>
      <c r="AS1063" s="44">
        <v>0</v>
      </c>
      <c r="AT1063" s="135">
        <f t="shared" si="387"/>
        <v>0</v>
      </c>
      <c r="AU1063" s="18">
        <f>AJ1063-AM1063</f>
        <v>533723107.06</v>
      </c>
      <c r="AV1063" s="34">
        <f>AM1063-AP1063</f>
        <v>0</v>
      </c>
      <c r="AW1063" s="34">
        <f>AP1063-AT1063</f>
        <v>0</v>
      </c>
      <c r="AX1063" s="123">
        <f>AP1063/AJ1063</f>
        <v>0</v>
      </c>
    </row>
    <row r="1064" spans="1:50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1"/>
      <c r="AB1064" s="42"/>
      <c r="AC1064" s="43"/>
      <c r="AD1064" s="44"/>
      <c r="AE1064" s="43"/>
      <c r="AF1064" s="44"/>
      <c r="AG1064" s="44"/>
      <c r="AH1064" s="44"/>
      <c r="AI1064" s="44"/>
      <c r="AJ1064" s="43"/>
      <c r="AK1064" s="44"/>
      <c r="AL1064" s="44"/>
      <c r="AM1064" s="43"/>
      <c r="AN1064" s="44"/>
      <c r="AO1064" s="44"/>
      <c r="AP1064" s="44"/>
      <c r="AQ1064" s="44"/>
      <c r="AR1064" s="44"/>
      <c r="AS1064" s="44"/>
      <c r="AT1064" s="135"/>
      <c r="AU1064" s="18"/>
      <c r="AV1064" s="34"/>
      <c r="AW1064" s="34"/>
      <c r="AX1064" s="123"/>
    </row>
    <row r="1065" spans="1:50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73" t="s">
        <v>1016</v>
      </c>
      <c r="AB1065" s="74" t="s">
        <v>1068</v>
      </c>
      <c r="AC1065" s="43"/>
      <c r="AD1065" s="44"/>
      <c r="AE1065" s="43"/>
      <c r="AF1065" s="44"/>
      <c r="AG1065" s="44"/>
      <c r="AH1065" s="44"/>
      <c r="AI1065" s="44"/>
      <c r="AJ1065" s="43"/>
      <c r="AK1065" s="44"/>
      <c r="AL1065" s="44"/>
      <c r="AM1065" s="43"/>
      <c r="AN1065" s="44"/>
      <c r="AO1065" s="44"/>
      <c r="AP1065" s="44"/>
      <c r="AQ1065" s="44"/>
      <c r="AR1065" s="44"/>
      <c r="AS1065" s="44"/>
      <c r="AT1065" s="135"/>
      <c r="AU1065" s="18"/>
      <c r="AV1065" s="34"/>
      <c r="AW1065" s="34"/>
      <c r="AX1065" s="123"/>
    </row>
    <row r="1066" spans="1:50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73" t="s">
        <v>1017</v>
      </c>
      <c r="AB1066" s="74" t="s">
        <v>1069</v>
      </c>
      <c r="AC1066" s="43"/>
      <c r="AD1066" s="44"/>
      <c r="AE1066" s="43"/>
      <c r="AF1066" s="44"/>
      <c r="AG1066" s="44"/>
      <c r="AH1066" s="44"/>
      <c r="AI1066" s="44"/>
      <c r="AJ1066" s="43"/>
      <c r="AK1066" s="44"/>
      <c r="AL1066" s="44"/>
      <c r="AM1066" s="43"/>
      <c r="AN1066" s="44"/>
      <c r="AO1066" s="44"/>
      <c r="AP1066" s="44"/>
      <c r="AQ1066" s="44"/>
      <c r="AR1066" s="44"/>
      <c r="AS1066" s="44"/>
      <c r="AT1066" s="135"/>
      <c r="AU1066" s="18"/>
      <c r="AV1066" s="34"/>
      <c r="AW1066" s="34"/>
      <c r="AX1066" s="123"/>
    </row>
    <row r="1067" spans="1:50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73" t="s">
        <v>1018</v>
      </c>
      <c r="AB1067" s="74" t="s">
        <v>286</v>
      </c>
      <c r="AC1067" s="43"/>
      <c r="AD1067" s="44"/>
      <c r="AE1067" s="43"/>
      <c r="AF1067" s="44"/>
      <c r="AG1067" s="44"/>
      <c r="AH1067" s="44"/>
      <c r="AI1067" s="44"/>
      <c r="AJ1067" s="43"/>
      <c r="AK1067" s="44"/>
      <c r="AL1067" s="44"/>
      <c r="AM1067" s="43"/>
      <c r="AN1067" s="44"/>
      <c r="AO1067" s="44"/>
      <c r="AP1067" s="44"/>
      <c r="AQ1067" s="44"/>
      <c r="AR1067" s="44"/>
      <c r="AS1067" s="44"/>
      <c r="AT1067" s="135"/>
      <c r="AU1067" s="18"/>
      <c r="AV1067" s="34"/>
      <c r="AW1067" s="34"/>
      <c r="AX1067" s="123"/>
    </row>
    <row r="1068" spans="1:50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73" t="s">
        <v>1021</v>
      </c>
      <c r="AB1068" s="74" t="s">
        <v>1070</v>
      </c>
      <c r="AC1068" s="43"/>
      <c r="AD1068" s="44"/>
      <c r="AE1068" s="43"/>
      <c r="AF1068" s="44"/>
      <c r="AG1068" s="44"/>
      <c r="AH1068" s="44"/>
      <c r="AI1068" s="44"/>
      <c r="AJ1068" s="43"/>
      <c r="AK1068" s="44"/>
      <c r="AL1068" s="44"/>
      <c r="AM1068" s="43"/>
      <c r="AN1068" s="44"/>
      <c r="AO1068" s="44"/>
      <c r="AP1068" s="44"/>
      <c r="AQ1068" s="44"/>
      <c r="AR1068" s="44"/>
      <c r="AS1068" s="44"/>
      <c r="AT1068" s="135"/>
      <c r="AU1068" s="18"/>
      <c r="AV1068" s="34"/>
      <c r="AW1068" s="34"/>
      <c r="AX1068" s="123"/>
    </row>
    <row r="1069" spans="1:50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1" t="s">
        <v>1019</v>
      </c>
      <c r="AB1069" s="42" t="s">
        <v>1005</v>
      </c>
      <c r="AC1069" s="43"/>
      <c r="AD1069" s="44">
        <v>0</v>
      </c>
      <c r="AE1069" s="43">
        <v>546274807</v>
      </c>
      <c r="AF1069" s="44">
        <v>0</v>
      </c>
      <c r="AG1069" s="44">
        <v>0</v>
      </c>
      <c r="AH1069" s="44">
        <v>0</v>
      </c>
      <c r="AI1069" s="43">
        <f>AE1069-AF1069+AG1069-AH1069</f>
        <v>546274807</v>
      </c>
      <c r="AJ1069" s="43">
        <f>AD1069+AI1069</f>
        <v>546274807</v>
      </c>
      <c r="AK1069" s="44">
        <v>0</v>
      </c>
      <c r="AL1069" s="44">
        <v>0</v>
      </c>
      <c r="AM1069" s="43">
        <v>0</v>
      </c>
      <c r="AN1069" s="44">
        <v>0</v>
      </c>
      <c r="AO1069" s="44">
        <v>0</v>
      </c>
      <c r="AP1069" s="44">
        <v>0</v>
      </c>
      <c r="AQ1069" s="44">
        <v>0</v>
      </c>
      <c r="AR1069" s="44">
        <v>0</v>
      </c>
      <c r="AS1069" s="44">
        <v>0</v>
      </c>
      <c r="AT1069" s="135">
        <f t="shared" ref="AT1069" si="391">AQ1069+AS1069</f>
        <v>0</v>
      </c>
      <c r="AU1069" s="18">
        <f>AJ1069-AM1069</f>
        <v>546274807</v>
      </c>
      <c r="AV1069" s="34">
        <f>AM1069-AP1069</f>
        <v>0</v>
      </c>
      <c r="AW1069" s="34">
        <f>AP1069-AT1069</f>
        <v>0</v>
      </c>
      <c r="AX1069" s="123">
        <f>AP1069/AJ1069</f>
        <v>0</v>
      </c>
    </row>
    <row r="1070" spans="1:50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1"/>
      <c r="AB1070" s="42"/>
      <c r="AC1070" s="43"/>
      <c r="AD1070" s="43"/>
      <c r="AE1070" s="43"/>
      <c r="AF1070" s="44"/>
      <c r="AG1070" s="44"/>
      <c r="AH1070" s="44"/>
      <c r="AI1070" s="44"/>
      <c r="AJ1070" s="43"/>
      <c r="AK1070" s="44"/>
      <c r="AL1070" s="44"/>
      <c r="AM1070" s="43"/>
      <c r="AN1070" s="44"/>
      <c r="AO1070" s="44"/>
      <c r="AP1070" s="43"/>
      <c r="AQ1070" s="43"/>
      <c r="AR1070" s="43"/>
      <c r="AS1070" s="43"/>
      <c r="AT1070" s="111"/>
      <c r="AU1070" s="18"/>
      <c r="AV1070" s="18"/>
      <c r="AW1070" s="18"/>
      <c r="AX1070" s="123"/>
    </row>
    <row r="1071" spans="1:50" s="50" customFormat="1" x14ac:dyDescent="0.2">
      <c r="B1071" s="77"/>
      <c r="C1071" s="77"/>
      <c r="D1071" s="77"/>
      <c r="E1071" s="77"/>
      <c r="F1071" s="77"/>
      <c r="G1071" s="77"/>
      <c r="H1071" s="77"/>
      <c r="I1071" s="77"/>
      <c r="J1071" s="77"/>
      <c r="K1071" s="77"/>
      <c r="L1071" s="77"/>
      <c r="M1071" s="77"/>
      <c r="N1071" s="77"/>
      <c r="O1071" s="77"/>
      <c r="P1071" s="77"/>
      <c r="Q1071" s="77"/>
      <c r="R1071" s="77"/>
      <c r="S1071" s="77"/>
      <c r="T1071" s="77"/>
      <c r="U1071" s="77"/>
      <c r="V1071" s="77"/>
      <c r="W1071" s="77"/>
      <c r="X1071" s="77"/>
      <c r="Y1071" s="77"/>
      <c r="Z1071" s="77"/>
      <c r="AA1071" s="46"/>
      <c r="AB1071" s="47" t="s">
        <v>702</v>
      </c>
      <c r="AC1071" s="47"/>
      <c r="AD1071" s="48">
        <f t="shared" ref="AD1071:AW1071" si="392">SUM(AD1045:AD1070)</f>
        <v>38899360013</v>
      </c>
      <c r="AE1071" s="48">
        <f t="shared" si="392"/>
        <v>2729997914.0599999</v>
      </c>
      <c r="AF1071" s="49">
        <f t="shared" si="392"/>
        <v>0</v>
      </c>
      <c r="AG1071" s="49">
        <f t="shared" si="392"/>
        <v>0</v>
      </c>
      <c r="AH1071" s="48">
        <f t="shared" si="392"/>
        <v>16281000000</v>
      </c>
      <c r="AI1071" s="48">
        <f t="shared" si="392"/>
        <v>-13551002085.940001</v>
      </c>
      <c r="AJ1071" s="48">
        <f t="shared" si="392"/>
        <v>25348357927.060001</v>
      </c>
      <c r="AK1071" s="49">
        <f t="shared" si="392"/>
        <v>0</v>
      </c>
      <c r="AL1071" s="48">
        <f t="shared" si="392"/>
        <v>20136667</v>
      </c>
      <c r="AM1071" s="48">
        <f t="shared" si="392"/>
        <v>22616762613</v>
      </c>
      <c r="AN1071" s="48">
        <f t="shared" si="392"/>
        <v>0</v>
      </c>
      <c r="AO1071" s="48">
        <f t="shared" si="392"/>
        <v>20136667</v>
      </c>
      <c r="AP1071" s="48">
        <f t="shared" si="392"/>
        <v>10837539785</v>
      </c>
      <c r="AQ1071" s="48">
        <f t="shared" si="392"/>
        <v>41950000</v>
      </c>
      <c r="AR1071" s="48">
        <f t="shared" si="392"/>
        <v>213687142</v>
      </c>
      <c r="AS1071" s="48">
        <f t="shared" si="392"/>
        <v>9790878595</v>
      </c>
      <c r="AT1071" s="48">
        <f t="shared" si="392"/>
        <v>9832828595</v>
      </c>
      <c r="AU1071" s="48">
        <f t="shared" si="392"/>
        <v>2731595314.0599999</v>
      </c>
      <c r="AV1071" s="48">
        <f t="shared" si="392"/>
        <v>11779222828</v>
      </c>
      <c r="AW1071" s="48">
        <f t="shared" si="392"/>
        <v>1004711190</v>
      </c>
      <c r="AX1071" s="24">
        <f>AP1071/AJ1071</f>
        <v>0.42754405694384873</v>
      </c>
    </row>
    <row r="1072" spans="1:50" x14ac:dyDescent="0.2">
      <c r="AA1072" s="16"/>
      <c r="AB1072" s="17"/>
      <c r="AC1072" s="17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</row>
    <row r="1073" spans="1:50" s="25" customFormat="1" x14ac:dyDescent="0.2">
      <c r="B1073" s="71"/>
      <c r="C1073" s="71"/>
      <c r="D1073" s="71"/>
      <c r="E1073" s="71"/>
      <c r="F1073" s="71"/>
      <c r="G1073" s="71"/>
      <c r="H1073" s="71"/>
      <c r="I1073" s="71"/>
      <c r="J1073" s="71"/>
      <c r="K1073" s="71"/>
      <c r="L1073" s="71"/>
      <c r="M1073" s="71"/>
      <c r="N1073" s="71"/>
      <c r="O1073" s="71"/>
      <c r="P1073" s="71"/>
      <c r="Q1073" s="71"/>
      <c r="R1073" s="71"/>
      <c r="S1073" s="71"/>
      <c r="T1073" s="71"/>
      <c r="U1073" s="71"/>
      <c r="V1073" s="71"/>
      <c r="W1073" s="71"/>
      <c r="X1073" s="71"/>
      <c r="Y1073" s="71"/>
      <c r="Z1073" s="71"/>
      <c r="AA1073" s="66"/>
      <c r="AB1073" s="21" t="s">
        <v>703</v>
      </c>
      <c r="AC1073" s="67"/>
      <c r="AD1073" s="63"/>
      <c r="AE1073" s="63"/>
      <c r="AF1073" s="63"/>
      <c r="AG1073" s="63"/>
      <c r="AH1073" s="63"/>
      <c r="AI1073" s="63"/>
      <c r="AJ1073" s="63"/>
      <c r="AK1073" s="63"/>
      <c r="AL1073" s="63"/>
      <c r="AM1073" s="63"/>
      <c r="AN1073" s="63"/>
      <c r="AO1073" s="63"/>
      <c r="AP1073" s="63"/>
      <c r="AQ1073" s="63"/>
      <c r="AR1073" s="63"/>
      <c r="AS1073" s="63"/>
      <c r="AT1073" s="63"/>
      <c r="AU1073" s="63"/>
      <c r="AV1073" s="63"/>
      <c r="AW1073" s="63"/>
      <c r="AX1073" s="63"/>
    </row>
    <row r="1074" spans="1:50" x14ac:dyDescent="0.2">
      <c r="AA1074" s="16"/>
      <c r="AB1074" s="29" t="s">
        <v>676</v>
      </c>
      <c r="AC1074" s="17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</row>
    <row r="1075" spans="1:50" ht="18.75" customHeight="1" x14ac:dyDescent="0.2">
      <c r="AA1075" s="16"/>
      <c r="AB1075" s="29" t="s">
        <v>286</v>
      </c>
      <c r="AC1075" s="17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</row>
    <row r="1076" spans="1:50" ht="18.75" customHeight="1" x14ac:dyDescent="0.2">
      <c r="AA1076" s="16"/>
      <c r="AB1076" s="29" t="s">
        <v>179</v>
      </c>
      <c r="AC1076" s="17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</row>
    <row r="1077" spans="1:50" ht="18.75" customHeight="1" x14ac:dyDescent="0.2">
      <c r="AA1077" s="16"/>
      <c r="AB1077" s="29" t="s">
        <v>189</v>
      </c>
      <c r="AC1077" s="17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</row>
    <row r="1078" spans="1:50" ht="18.75" customHeight="1" x14ac:dyDescent="0.2">
      <c r="AA1078" s="16"/>
      <c r="AB1078" s="29" t="s">
        <v>199</v>
      </c>
      <c r="AC1078" s="17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30"/>
      <c r="AU1078" s="18"/>
      <c r="AV1078" s="18"/>
      <c r="AW1078" s="18"/>
      <c r="AX1078" s="18"/>
    </row>
    <row r="1079" spans="1:50" ht="39" customHeight="1" x14ac:dyDescent="0.2">
      <c r="AA1079" s="170" t="s">
        <v>288</v>
      </c>
      <c r="AB1079" s="165" t="s">
        <v>1124</v>
      </c>
      <c r="AC1079" s="161"/>
      <c r="AD1079" s="18"/>
      <c r="AE1079" s="222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30"/>
      <c r="AU1079" s="18"/>
      <c r="AV1079" s="18"/>
      <c r="AW1079" s="18"/>
      <c r="AX1079" s="18"/>
    </row>
    <row r="1080" spans="1:50" ht="28.5" customHeight="1" x14ac:dyDescent="0.2">
      <c r="AA1080" s="166" t="s">
        <v>1129</v>
      </c>
      <c r="AB1080" s="167" t="s">
        <v>1130</v>
      </c>
      <c r="AC1080" s="161"/>
      <c r="AD1080" s="34">
        <v>0</v>
      </c>
      <c r="AE1080" s="217">
        <v>13266452.33</v>
      </c>
      <c r="AF1080" s="232">
        <v>0</v>
      </c>
      <c r="AG1080" s="34">
        <v>0</v>
      </c>
      <c r="AH1080" s="34">
        <v>0</v>
      </c>
      <c r="AI1080" s="43">
        <f>AE1080-AF1080+AG1080-AH1080</f>
        <v>13266452.33</v>
      </c>
      <c r="AJ1080" s="43">
        <f>AD1080+AI1080</f>
        <v>13266452.33</v>
      </c>
      <c r="AK1080" s="34">
        <v>0</v>
      </c>
      <c r="AL1080" s="34">
        <v>0</v>
      </c>
      <c r="AM1080" s="34">
        <v>0</v>
      </c>
      <c r="AN1080" s="18">
        <v>0</v>
      </c>
      <c r="AO1080" s="34">
        <v>0</v>
      </c>
      <c r="AP1080" s="34">
        <v>0</v>
      </c>
      <c r="AQ1080" s="34">
        <v>0</v>
      </c>
      <c r="AR1080" s="34">
        <v>0</v>
      </c>
      <c r="AS1080" s="34">
        <v>0</v>
      </c>
      <c r="AT1080" s="135">
        <f t="shared" ref="AT1080:AT1082" si="393">AQ1080+AS1080</f>
        <v>0</v>
      </c>
      <c r="AU1080" s="18">
        <f>AJ1080-AM1080</f>
        <v>13266452.33</v>
      </c>
      <c r="AV1080" s="133">
        <f>AM1080-AP1080</f>
        <v>0</v>
      </c>
      <c r="AW1080" s="34">
        <f>AP1080-AT1080</f>
        <v>0</v>
      </c>
      <c r="AX1080" s="123">
        <f>AP1080/AJ1080</f>
        <v>0</v>
      </c>
    </row>
    <row r="1081" spans="1:50" ht="18.75" customHeight="1" x14ac:dyDescent="0.2">
      <c r="AA1081" s="166" t="s">
        <v>1127</v>
      </c>
      <c r="AB1081" s="167" t="s">
        <v>1128</v>
      </c>
      <c r="AC1081" s="161"/>
      <c r="AD1081" s="34">
        <v>0</v>
      </c>
      <c r="AE1081" s="217">
        <v>10555526.43</v>
      </c>
      <c r="AF1081" s="232">
        <v>0</v>
      </c>
      <c r="AG1081" s="34">
        <v>0</v>
      </c>
      <c r="AH1081" s="34">
        <v>0</v>
      </c>
      <c r="AI1081" s="43">
        <f>AE1081-AF1081+AG1081-AH1081</f>
        <v>10555526.43</v>
      </c>
      <c r="AJ1081" s="43">
        <f>AD1081+AI1081</f>
        <v>10555526.43</v>
      </c>
      <c r="AK1081" s="34">
        <v>0</v>
      </c>
      <c r="AL1081" s="34">
        <v>0</v>
      </c>
      <c r="AM1081" s="34">
        <v>0</v>
      </c>
      <c r="AN1081" s="18"/>
      <c r="AO1081" s="34">
        <v>0</v>
      </c>
      <c r="AP1081" s="34">
        <v>0</v>
      </c>
      <c r="AQ1081" s="34">
        <v>0</v>
      </c>
      <c r="AR1081" s="34">
        <v>0</v>
      </c>
      <c r="AS1081" s="34">
        <v>0</v>
      </c>
      <c r="AT1081" s="135">
        <f t="shared" si="393"/>
        <v>0</v>
      </c>
      <c r="AU1081" s="18">
        <f>AJ1081-AM1081</f>
        <v>10555526.43</v>
      </c>
      <c r="AV1081" s="133">
        <f>AM1081-AP1081</f>
        <v>0</v>
      </c>
      <c r="AW1081" s="34">
        <f>AP1081-AT1081</f>
        <v>0</v>
      </c>
      <c r="AX1081" s="123">
        <f>AP1081/AJ1081</f>
        <v>0</v>
      </c>
    </row>
    <row r="1082" spans="1:50" ht="25.5" customHeight="1" x14ac:dyDescent="0.2">
      <c r="AA1082" s="166" t="s">
        <v>1125</v>
      </c>
      <c r="AB1082" s="167" t="s">
        <v>1126</v>
      </c>
      <c r="AC1082" s="161"/>
      <c r="AD1082" s="34">
        <v>0</v>
      </c>
      <c r="AE1082" s="217">
        <v>4178021.24</v>
      </c>
      <c r="AF1082" s="232">
        <v>0</v>
      </c>
      <c r="AG1082" s="34">
        <v>0</v>
      </c>
      <c r="AH1082" s="34">
        <v>0</v>
      </c>
      <c r="AI1082" s="43">
        <f t="shared" ref="AI1082" si="394">AE1082-AF1082+AG1082-AH1082</f>
        <v>4178021.24</v>
      </c>
      <c r="AJ1082" s="43">
        <f t="shared" ref="AJ1082" si="395">AD1082+AI1082</f>
        <v>4178021.24</v>
      </c>
      <c r="AK1082" s="34">
        <v>0</v>
      </c>
      <c r="AL1082" s="34">
        <v>0</v>
      </c>
      <c r="AM1082" s="34">
        <v>0</v>
      </c>
      <c r="AN1082" s="18"/>
      <c r="AO1082" s="34">
        <v>0</v>
      </c>
      <c r="AP1082" s="34">
        <v>0</v>
      </c>
      <c r="AQ1082" s="34">
        <v>0</v>
      </c>
      <c r="AR1082" s="34">
        <v>0</v>
      </c>
      <c r="AS1082" s="34">
        <v>0</v>
      </c>
      <c r="AT1082" s="135">
        <f t="shared" si="393"/>
        <v>0</v>
      </c>
      <c r="AU1082" s="18">
        <f>AJ1082-AM1082</f>
        <v>4178021.24</v>
      </c>
      <c r="AV1082" s="133">
        <f>AM1082-AP1082</f>
        <v>0</v>
      </c>
      <c r="AW1082" s="34">
        <f>AP1082-AT1082</f>
        <v>0</v>
      </c>
      <c r="AX1082" s="123">
        <f>AP1082/AJ1082</f>
        <v>0</v>
      </c>
    </row>
    <row r="1083" spans="1:50" x14ac:dyDescent="0.2">
      <c r="AA1083" s="28" t="s">
        <v>288</v>
      </c>
      <c r="AB1083" s="29" t="s">
        <v>704</v>
      </c>
      <c r="AC1083" s="17"/>
      <c r="AD1083" s="18"/>
      <c r="AE1083" s="18"/>
      <c r="AF1083" s="18"/>
      <c r="AG1083" s="18"/>
      <c r="AH1083" s="18"/>
      <c r="AI1083" s="18"/>
      <c r="AJ1083" s="18"/>
      <c r="AK1083" s="34"/>
      <c r="AL1083" s="34"/>
      <c r="AM1083" s="34"/>
      <c r="AN1083" s="34"/>
      <c r="AO1083" s="34"/>
      <c r="AP1083" s="34"/>
      <c r="AQ1083" s="34"/>
      <c r="AR1083" s="34"/>
      <c r="AS1083" s="34"/>
      <c r="AT1083" s="31"/>
      <c r="AU1083" s="18"/>
      <c r="AV1083" s="18"/>
      <c r="AW1083" s="18"/>
      <c r="AX1083" s="18"/>
    </row>
    <row r="1084" spans="1:50" x14ac:dyDescent="0.2">
      <c r="A1084" s="4" t="s">
        <v>55</v>
      </c>
      <c r="B1084" s="4" t="s">
        <v>56</v>
      </c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1" t="s">
        <v>705</v>
      </c>
      <c r="AB1084" s="42" t="s">
        <v>233</v>
      </c>
      <c r="AC1084" s="43" t="s">
        <v>58</v>
      </c>
      <c r="AD1084" s="43">
        <v>221000000</v>
      </c>
      <c r="AE1084" s="44">
        <v>0</v>
      </c>
      <c r="AF1084" s="44">
        <v>0</v>
      </c>
      <c r="AG1084" s="44">
        <v>0</v>
      </c>
      <c r="AH1084" s="43">
        <v>221000000</v>
      </c>
      <c r="AI1084" s="136">
        <f>AE1084-AF1084+AG1084-AH1084</f>
        <v>-221000000</v>
      </c>
      <c r="AJ1084" s="44">
        <f>AD1084+AI1084</f>
        <v>0</v>
      </c>
      <c r="AK1084" s="44">
        <v>0</v>
      </c>
      <c r="AL1084" s="44">
        <v>0</v>
      </c>
      <c r="AM1084" s="44">
        <v>0</v>
      </c>
      <c r="AN1084" s="44">
        <v>0</v>
      </c>
      <c r="AO1084" s="44">
        <v>0</v>
      </c>
      <c r="AP1084" s="44">
        <v>0</v>
      </c>
      <c r="AQ1084" s="44">
        <v>0</v>
      </c>
      <c r="AR1084" s="44">
        <v>0</v>
      </c>
      <c r="AS1084" s="44">
        <v>0</v>
      </c>
      <c r="AT1084" s="40">
        <f t="shared" ref="AT1084:AT1090" si="396">AQ1084+AS1084</f>
        <v>0</v>
      </c>
      <c r="AU1084" s="34">
        <f>AJ1084-AM1084</f>
        <v>0</v>
      </c>
      <c r="AV1084" s="133">
        <f>AM1084-AP1084</f>
        <v>0</v>
      </c>
      <c r="AW1084" s="34">
        <f>AP1084-AT1084</f>
        <v>0</v>
      </c>
      <c r="AX1084" s="123">
        <v>0</v>
      </c>
    </row>
    <row r="1085" spans="1:50" ht="25.5" x14ac:dyDescent="0.2">
      <c r="AA1085" s="28" t="s">
        <v>288</v>
      </c>
      <c r="AB1085" s="29" t="s">
        <v>706</v>
      </c>
      <c r="AC1085" s="17"/>
      <c r="AD1085" s="18"/>
      <c r="AE1085" s="34"/>
      <c r="AF1085" s="34"/>
      <c r="AG1085" s="34"/>
      <c r="AH1085" s="18"/>
      <c r="AI1085" s="18"/>
      <c r="AJ1085" s="18"/>
      <c r="AK1085" s="34"/>
      <c r="AL1085" s="18"/>
      <c r="AM1085" s="18"/>
      <c r="AN1085" s="18"/>
      <c r="AO1085" s="18"/>
      <c r="AP1085" s="18"/>
      <c r="AQ1085" s="18"/>
      <c r="AR1085" s="18"/>
      <c r="AS1085" s="18"/>
      <c r="AT1085" s="31"/>
      <c r="AU1085" s="18"/>
      <c r="AV1085" s="18"/>
      <c r="AW1085" s="18"/>
      <c r="AX1085" s="18"/>
    </row>
    <row r="1086" spans="1:50" x14ac:dyDescent="0.2">
      <c r="A1086" s="4" t="s">
        <v>55</v>
      </c>
      <c r="B1086" s="4" t="s">
        <v>56</v>
      </c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1" t="s">
        <v>982</v>
      </c>
      <c r="AB1086" s="42" t="s">
        <v>233</v>
      </c>
      <c r="AC1086" s="43" t="s">
        <v>58</v>
      </c>
      <c r="AD1086" s="43">
        <v>2458264706</v>
      </c>
      <c r="AE1086" s="44">
        <v>0</v>
      </c>
      <c r="AF1086" s="44">
        <v>0</v>
      </c>
      <c r="AG1086" s="44">
        <v>0</v>
      </c>
      <c r="AH1086" s="44">
        <v>0</v>
      </c>
      <c r="AI1086" s="97">
        <f>AE1086-AF1086+AG1086-AH1086</f>
        <v>0</v>
      </c>
      <c r="AJ1086" s="43">
        <f>AD1086+AI1086</f>
        <v>2458264706</v>
      </c>
      <c r="AK1086" s="43">
        <v>0</v>
      </c>
      <c r="AL1086" s="43">
        <v>361929141</v>
      </c>
      <c r="AM1086" s="43">
        <v>2441293847</v>
      </c>
      <c r="AN1086" s="43">
        <v>0</v>
      </c>
      <c r="AO1086" s="43">
        <v>0</v>
      </c>
      <c r="AP1086" s="43">
        <v>2079364706</v>
      </c>
      <c r="AQ1086" s="43">
        <v>80600000</v>
      </c>
      <c r="AR1086" s="43">
        <v>447210104</v>
      </c>
      <c r="AS1086" s="43">
        <v>538508771</v>
      </c>
      <c r="AT1086" s="111">
        <f t="shared" si="396"/>
        <v>619108771</v>
      </c>
      <c r="AU1086" s="18">
        <f>AJ1086-AM1086</f>
        <v>16970859</v>
      </c>
      <c r="AV1086" s="18">
        <f>AM1086-AP1086</f>
        <v>361929141</v>
      </c>
      <c r="AW1086" s="18">
        <f>AP1086-AT1086</f>
        <v>1460255935</v>
      </c>
      <c r="AX1086" s="123">
        <f>AP1086/AJ1086</f>
        <v>0.84586688362925222</v>
      </c>
    </row>
    <row r="1087" spans="1:50" ht="38.25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73" t="s">
        <v>288</v>
      </c>
      <c r="AB1087" s="74" t="s">
        <v>1122</v>
      </c>
      <c r="AC1087" s="43"/>
      <c r="AD1087" s="43"/>
      <c r="AE1087" s="44"/>
      <c r="AF1087" s="44"/>
      <c r="AG1087" s="44"/>
      <c r="AH1087" s="44"/>
      <c r="AI1087" s="97"/>
      <c r="AJ1087" s="43"/>
      <c r="AK1087" s="44"/>
      <c r="AL1087" s="44"/>
      <c r="AM1087" s="43"/>
      <c r="AN1087" s="44"/>
      <c r="AO1087" s="43"/>
      <c r="AP1087" s="43"/>
      <c r="AQ1087" s="43"/>
      <c r="AR1087" s="43"/>
      <c r="AS1087" s="43"/>
      <c r="AT1087" s="111"/>
      <c r="AU1087" s="18"/>
      <c r="AV1087" s="133"/>
      <c r="AW1087" s="18"/>
      <c r="AX1087" s="123"/>
    </row>
    <row r="1088" spans="1:50" ht="25.5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1" t="s">
        <v>1123</v>
      </c>
      <c r="AB1088" s="42" t="s">
        <v>1121</v>
      </c>
      <c r="AC1088" s="43"/>
      <c r="AD1088" s="44">
        <v>0</v>
      </c>
      <c r="AE1088" s="43">
        <v>3500000</v>
      </c>
      <c r="AF1088" s="44">
        <v>0</v>
      </c>
      <c r="AG1088" s="44">
        <v>0</v>
      </c>
      <c r="AH1088" s="44">
        <v>0</v>
      </c>
      <c r="AI1088" s="136">
        <f>AE1088-AF1088+AG1088-AH1088</f>
        <v>3500000</v>
      </c>
      <c r="AJ1088" s="43">
        <f>AD1088+AI1088</f>
        <v>3500000</v>
      </c>
      <c r="AK1088" s="44">
        <v>0</v>
      </c>
      <c r="AL1088" s="44">
        <v>0</v>
      </c>
      <c r="AM1088" s="43">
        <v>0</v>
      </c>
      <c r="AN1088" s="44">
        <v>0</v>
      </c>
      <c r="AO1088" s="44">
        <v>0</v>
      </c>
      <c r="AP1088" s="44">
        <v>0</v>
      </c>
      <c r="AQ1088" s="44">
        <v>0</v>
      </c>
      <c r="AR1088" s="44">
        <v>0</v>
      </c>
      <c r="AS1088" s="44">
        <v>0</v>
      </c>
      <c r="AT1088" s="135"/>
      <c r="AU1088" s="18">
        <f>AJ1088-AM1088</f>
        <v>3500000</v>
      </c>
      <c r="AV1088" s="133">
        <f>AM1088-AP1088</f>
        <v>0</v>
      </c>
      <c r="AW1088" s="34">
        <f>AP1088-AT1088</f>
        <v>0</v>
      </c>
      <c r="AX1088" s="123">
        <f>AP1088/AJ1088</f>
        <v>0</v>
      </c>
    </row>
    <row r="1089" spans="1:50" ht="25.5" x14ac:dyDescent="0.2">
      <c r="AA1089" s="28" t="s">
        <v>288</v>
      </c>
      <c r="AB1089" s="29" t="s">
        <v>708</v>
      </c>
      <c r="AC1089" s="17"/>
      <c r="AD1089" s="18"/>
      <c r="AE1089" s="34"/>
      <c r="AF1089" s="34"/>
      <c r="AG1089" s="34"/>
      <c r="AH1089" s="18"/>
      <c r="AI1089" s="18"/>
      <c r="AJ1089" s="18"/>
      <c r="AK1089" s="34"/>
      <c r="AL1089" s="34"/>
      <c r="AM1089" s="18"/>
      <c r="AN1089" s="34"/>
      <c r="AO1089" s="18"/>
      <c r="AP1089" s="18"/>
      <c r="AQ1089" s="18"/>
      <c r="AR1089" s="18"/>
      <c r="AS1089" s="18"/>
      <c r="AT1089" s="31"/>
      <c r="AU1089" s="18"/>
      <c r="AV1089" s="18"/>
      <c r="AW1089" s="18"/>
      <c r="AX1089" s="18"/>
    </row>
    <row r="1090" spans="1:50" x14ac:dyDescent="0.2">
      <c r="A1090" s="4" t="s">
        <v>55</v>
      </c>
      <c r="B1090" s="4" t="s">
        <v>56</v>
      </c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1" t="s">
        <v>709</v>
      </c>
      <c r="AB1090" s="42" t="s">
        <v>233</v>
      </c>
      <c r="AC1090" s="43" t="s">
        <v>58</v>
      </c>
      <c r="AD1090" s="43">
        <v>501500000</v>
      </c>
      <c r="AE1090" s="44">
        <v>0</v>
      </c>
      <c r="AF1090" s="44">
        <v>0</v>
      </c>
      <c r="AG1090" s="43">
        <v>204500000</v>
      </c>
      <c r="AH1090" s="43">
        <v>501500000</v>
      </c>
      <c r="AI1090" s="136">
        <f>AE1090-AF1090+AG1090-AH1090</f>
        <v>-297000000</v>
      </c>
      <c r="AJ1090" s="43">
        <f>AD1090+AI1090</f>
        <v>204500000</v>
      </c>
      <c r="AK1090" s="44">
        <v>0</v>
      </c>
      <c r="AL1090" s="44">
        <v>0</v>
      </c>
      <c r="AM1090" s="43">
        <v>192393333</v>
      </c>
      <c r="AN1090" s="44">
        <v>0</v>
      </c>
      <c r="AO1090" s="43">
        <v>0</v>
      </c>
      <c r="AP1090" s="43">
        <v>192393333</v>
      </c>
      <c r="AQ1090" s="43">
        <v>0</v>
      </c>
      <c r="AR1090" s="43">
        <v>24780000</v>
      </c>
      <c r="AS1090" s="43">
        <v>69743334</v>
      </c>
      <c r="AT1090" s="39">
        <f t="shared" si="396"/>
        <v>69743334</v>
      </c>
      <c r="AU1090" s="18">
        <f>AJ1090-AM1090</f>
        <v>12106667</v>
      </c>
      <c r="AV1090" s="34">
        <f>AM1090-AP1090</f>
        <v>0</v>
      </c>
      <c r="AW1090" s="18">
        <f>AP1090-AT1090</f>
        <v>122649999</v>
      </c>
      <c r="AX1090" s="123">
        <f>AP1090/AJ1090</f>
        <v>0.94079869437652808</v>
      </c>
    </row>
    <row r="1091" spans="1:50" x14ac:dyDescent="0.2">
      <c r="AA1091" s="28" t="s">
        <v>288</v>
      </c>
      <c r="AB1091" s="29" t="s">
        <v>710</v>
      </c>
      <c r="AC1091" s="17"/>
      <c r="AD1091" s="18"/>
      <c r="AE1091" s="18"/>
      <c r="AF1091" s="18"/>
      <c r="AG1091" s="18"/>
      <c r="AH1091" s="18"/>
      <c r="AI1091" s="18"/>
      <c r="AJ1091" s="18"/>
      <c r="AK1091" s="34"/>
      <c r="AL1091" s="34"/>
      <c r="AM1091" s="18"/>
      <c r="AN1091" s="34"/>
      <c r="AO1091" s="18"/>
      <c r="AP1091" s="18"/>
      <c r="AQ1091" s="18"/>
      <c r="AR1091" s="18"/>
      <c r="AS1091" s="18"/>
      <c r="AT1091" s="31"/>
      <c r="AU1091" s="18"/>
      <c r="AV1091" s="34"/>
      <c r="AW1091" s="34"/>
      <c r="AX1091" s="18"/>
    </row>
    <row r="1092" spans="1:50" ht="16.5" customHeight="1" x14ac:dyDescent="0.2">
      <c r="A1092" s="4" t="s">
        <v>55</v>
      </c>
      <c r="B1092" s="4" t="s">
        <v>56</v>
      </c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1" t="s">
        <v>711</v>
      </c>
      <c r="AB1092" s="17" t="s">
        <v>233</v>
      </c>
      <c r="AC1092" s="43" t="s">
        <v>58</v>
      </c>
      <c r="AD1092" s="44">
        <v>0</v>
      </c>
      <c r="AE1092" s="44">
        <v>0</v>
      </c>
      <c r="AF1092" s="44">
        <v>0</v>
      </c>
      <c r="AG1092" s="43">
        <v>3086332698</v>
      </c>
      <c r="AH1092" s="44">
        <v>0</v>
      </c>
      <c r="AI1092" s="136">
        <f>AE1092-AF1092+AG1092-AH1092</f>
        <v>3086332698</v>
      </c>
      <c r="AJ1092" s="43">
        <f>AD1092+AI1092</f>
        <v>3086332698</v>
      </c>
      <c r="AK1092" s="44">
        <v>0</v>
      </c>
      <c r="AL1092" s="44">
        <v>0</v>
      </c>
      <c r="AM1092" s="43">
        <v>0</v>
      </c>
      <c r="AN1092" s="44">
        <v>0</v>
      </c>
      <c r="AO1092" s="44">
        <v>0</v>
      </c>
      <c r="AP1092" s="44">
        <v>0</v>
      </c>
      <c r="AQ1092" s="44">
        <v>0</v>
      </c>
      <c r="AR1092" s="44">
        <v>0</v>
      </c>
      <c r="AS1092" s="44">
        <v>0</v>
      </c>
      <c r="AT1092" s="40">
        <f t="shared" ref="AT1092:AT1093" si="397">AQ1092+AS1092</f>
        <v>0</v>
      </c>
      <c r="AU1092" s="18">
        <f>AJ1092-AM1092</f>
        <v>3086332698</v>
      </c>
      <c r="AV1092" s="133">
        <f>AM1092-AP1092</f>
        <v>0</v>
      </c>
      <c r="AW1092" s="34">
        <f>AP1092-AT1092</f>
        <v>0</v>
      </c>
      <c r="AX1092" s="123">
        <f>AP1092/AJ1092</f>
        <v>0</v>
      </c>
    </row>
    <row r="1093" spans="1:50" ht="16.5" customHeight="1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166" t="s">
        <v>1131</v>
      </c>
      <c r="AB1093" s="167" t="s">
        <v>1015</v>
      </c>
      <c r="AC1093" s="168"/>
      <c r="AD1093" s="44">
        <v>0</v>
      </c>
      <c r="AE1093" s="43">
        <v>2950125891</v>
      </c>
      <c r="AF1093" s="44">
        <v>0</v>
      </c>
      <c r="AG1093" s="44">
        <v>0</v>
      </c>
      <c r="AH1093" s="44">
        <v>0</v>
      </c>
      <c r="AI1093" s="136">
        <f>AE1093-AF1093+AG1093-AH1093</f>
        <v>2950125891</v>
      </c>
      <c r="AJ1093" s="43">
        <f>AD1093+AI1093</f>
        <v>2950125891</v>
      </c>
      <c r="AK1093" s="44">
        <v>0</v>
      </c>
      <c r="AL1093" s="44">
        <v>0</v>
      </c>
      <c r="AM1093" s="43">
        <v>0</v>
      </c>
      <c r="AN1093" s="44">
        <v>0</v>
      </c>
      <c r="AO1093" s="44">
        <v>0</v>
      </c>
      <c r="AP1093" s="44">
        <v>0</v>
      </c>
      <c r="AQ1093" s="44">
        <v>0</v>
      </c>
      <c r="AR1093" s="44">
        <v>0</v>
      </c>
      <c r="AS1093" s="44">
        <v>0</v>
      </c>
      <c r="AT1093" s="40">
        <f t="shared" si="397"/>
        <v>0</v>
      </c>
      <c r="AU1093" s="18">
        <f>AJ1093-AM1093</f>
        <v>2950125891</v>
      </c>
      <c r="AV1093" s="133">
        <f>AM1093-AP1093</f>
        <v>0</v>
      </c>
      <c r="AW1093" s="34">
        <f>AP1093-AT1093</f>
        <v>0</v>
      </c>
      <c r="AX1093" s="123">
        <f>AP1093/AJ1093</f>
        <v>0</v>
      </c>
    </row>
    <row r="1094" spans="1:50" x14ac:dyDescent="0.2">
      <c r="AA1094" s="169" t="s">
        <v>288</v>
      </c>
      <c r="AB1094" s="163" t="s">
        <v>712</v>
      </c>
      <c r="AC1094" s="17"/>
      <c r="AD1094" s="34"/>
      <c r="AE1094" s="34"/>
      <c r="AF1094" s="34"/>
      <c r="AG1094" s="18"/>
      <c r="AH1094" s="18"/>
      <c r="AI1094" s="18"/>
      <c r="AJ1094" s="18"/>
      <c r="AK1094" s="34"/>
      <c r="AL1094" s="34"/>
      <c r="AM1094" s="34"/>
      <c r="AN1094" s="34"/>
      <c r="AO1094" s="34"/>
      <c r="AP1094" s="34"/>
      <c r="AQ1094" s="18"/>
      <c r="AR1094" s="18"/>
      <c r="AS1094" s="34"/>
      <c r="AT1094" s="31"/>
      <c r="AU1094" s="18"/>
      <c r="AV1094" s="34"/>
      <c r="AW1094" s="34"/>
      <c r="AX1094" s="18"/>
    </row>
    <row r="1095" spans="1:50" x14ac:dyDescent="0.2">
      <c r="A1095" s="4" t="s">
        <v>55</v>
      </c>
      <c r="B1095" s="4" t="s">
        <v>56</v>
      </c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1" t="s">
        <v>713</v>
      </c>
      <c r="AB1095" s="17" t="s">
        <v>233</v>
      </c>
      <c r="AC1095" s="43" t="s">
        <v>58</v>
      </c>
      <c r="AD1095" s="44">
        <v>0</v>
      </c>
      <c r="AE1095" s="44">
        <v>0</v>
      </c>
      <c r="AF1095" s="44">
        <v>0</v>
      </c>
      <c r="AG1095" s="43">
        <v>501500000</v>
      </c>
      <c r="AH1095" s="43">
        <v>204500000</v>
      </c>
      <c r="AI1095" s="136">
        <f>AE1095-AF1095+AG1095-AH1095</f>
        <v>297000000</v>
      </c>
      <c r="AJ1095" s="43">
        <f>AD1095+AI1095</f>
        <v>297000000</v>
      </c>
      <c r="AK1095" s="43">
        <v>0</v>
      </c>
      <c r="AL1095" s="43">
        <v>17000000</v>
      </c>
      <c r="AM1095" s="43">
        <v>276500000</v>
      </c>
      <c r="AN1095" s="43">
        <v>0</v>
      </c>
      <c r="AO1095" s="43">
        <v>0</v>
      </c>
      <c r="AP1095" s="43">
        <v>259500000</v>
      </c>
      <c r="AQ1095" s="43">
        <v>19000000</v>
      </c>
      <c r="AR1095" s="43">
        <v>19000000</v>
      </c>
      <c r="AS1095" s="43">
        <v>100133334</v>
      </c>
      <c r="AT1095" s="39">
        <f t="shared" ref="AT1095" si="398">AQ1095+AS1095</f>
        <v>119133334</v>
      </c>
      <c r="AU1095" s="18">
        <f>AJ1095-AM1095</f>
        <v>20500000</v>
      </c>
      <c r="AV1095" s="18">
        <f>AM1095-AP1095</f>
        <v>17000000</v>
      </c>
      <c r="AW1095" s="18">
        <f>AP1095-AT1095</f>
        <v>140366666</v>
      </c>
      <c r="AX1095" s="123">
        <f>AP1095/AJ1095</f>
        <v>0.8737373737373737</v>
      </c>
    </row>
    <row r="1096" spans="1:50" ht="16.5" customHeight="1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170" t="s">
        <v>288</v>
      </c>
      <c r="AB1096" s="165" t="s">
        <v>1132</v>
      </c>
      <c r="AC1096" s="168"/>
      <c r="AD1096" s="44"/>
      <c r="AE1096" s="44"/>
      <c r="AF1096" s="44"/>
      <c r="AG1096" s="43"/>
      <c r="AH1096" s="43"/>
      <c r="AI1096" s="136"/>
      <c r="AJ1096" s="43"/>
      <c r="AK1096" s="44"/>
      <c r="AL1096" s="115"/>
      <c r="AM1096" s="114"/>
      <c r="AN1096" s="44"/>
      <c r="AO1096" s="114"/>
      <c r="AP1096" s="114"/>
      <c r="AQ1096" s="43"/>
      <c r="AR1096" s="43"/>
      <c r="AS1096" s="43"/>
      <c r="AT1096" s="39"/>
      <c r="AU1096" s="18"/>
      <c r="AV1096" s="133"/>
      <c r="AW1096" s="18"/>
      <c r="AX1096" s="123"/>
    </row>
    <row r="1097" spans="1:50" ht="25.5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166" t="s">
        <v>1133</v>
      </c>
      <c r="AB1097" s="167" t="s">
        <v>1044</v>
      </c>
      <c r="AC1097" s="168"/>
      <c r="AD1097" s="44">
        <v>0</v>
      </c>
      <c r="AE1097" s="43">
        <v>128000000</v>
      </c>
      <c r="AF1097" s="44">
        <v>0</v>
      </c>
      <c r="AG1097" s="44">
        <v>0</v>
      </c>
      <c r="AH1097" s="44">
        <v>0</v>
      </c>
      <c r="AI1097" s="136">
        <f>AE1097-AF1097+AG1097-AH1097</f>
        <v>128000000</v>
      </c>
      <c r="AJ1097" s="43">
        <f>AD1097+AI1097</f>
        <v>128000000</v>
      </c>
      <c r="AK1097" s="44">
        <v>0</v>
      </c>
      <c r="AL1097" s="115">
        <v>0</v>
      </c>
      <c r="AM1097" s="114">
        <v>0</v>
      </c>
      <c r="AN1097" s="44">
        <v>0</v>
      </c>
      <c r="AO1097" s="115">
        <v>0</v>
      </c>
      <c r="AP1097" s="115">
        <v>0</v>
      </c>
      <c r="AQ1097" s="44">
        <v>0</v>
      </c>
      <c r="AR1097" s="44">
        <v>0</v>
      </c>
      <c r="AS1097" s="44">
        <v>0</v>
      </c>
      <c r="AT1097" s="40">
        <v>0</v>
      </c>
      <c r="AU1097" s="18">
        <f>AJ1097-AM1097</f>
        <v>128000000</v>
      </c>
      <c r="AV1097" s="133">
        <f>AM1097-AP1097</f>
        <v>0</v>
      </c>
      <c r="AW1097" s="34">
        <f>AP1097-AT1097</f>
        <v>0</v>
      </c>
      <c r="AX1097" s="123">
        <f>AP1097/AJ1097</f>
        <v>0</v>
      </c>
    </row>
    <row r="1098" spans="1:50" ht="25.5" x14ac:dyDescent="0.2">
      <c r="AA1098" s="169" t="s">
        <v>288</v>
      </c>
      <c r="AB1098" s="163" t="s">
        <v>714</v>
      </c>
      <c r="AC1098" s="17"/>
      <c r="AD1098" s="18"/>
      <c r="AE1098" s="18"/>
      <c r="AF1098" s="18"/>
      <c r="AG1098" s="18"/>
      <c r="AH1098" s="18"/>
      <c r="AI1098" s="18"/>
      <c r="AJ1098" s="18"/>
      <c r="AK1098" s="34"/>
      <c r="AL1098" s="34"/>
      <c r="AM1098" s="34"/>
      <c r="AN1098" s="34"/>
      <c r="AO1098" s="34"/>
      <c r="AP1098" s="34"/>
      <c r="AQ1098" s="34"/>
      <c r="AR1098" s="34"/>
      <c r="AS1098" s="34"/>
      <c r="AT1098" s="31"/>
      <c r="AU1098" s="18"/>
      <c r="AV1098" s="34"/>
      <c r="AW1098" s="34"/>
      <c r="AX1098" s="18"/>
    </row>
    <row r="1099" spans="1:50" x14ac:dyDescent="0.2">
      <c r="A1099" s="4" t="s">
        <v>55</v>
      </c>
      <c r="B1099" s="4" t="s">
        <v>56</v>
      </c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1" t="s">
        <v>715</v>
      </c>
      <c r="AB1099" s="17" t="s">
        <v>233</v>
      </c>
      <c r="AC1099" s="43" t="s">
        <v>58</v>
      </c>
      <c r="AD1099" s="43">
        <v>3086332698</v>
      </c>
      <c r="AE1099" s="44">
        <v>0</v>
      </c>
      <c r="AF1099" s="44">
        <v>0</v>
      </c>
      <c r="AG1099" s="44">
        <v>0</v>
      </c>
      <c r="AH1099" s="43">
        <v>3086332698</v>
      </c>
      <c r="AI1099" s="136">
        <f>AE1099-AF1099+AG1099-AH1099</f>
        <v>-3086332698</v>
      </c>
      <c r="AJ1099" s="44">
        <f>AD1099+AI1099</f>
        <v>0</v>
      </c>
      <c r="AK1099" s="44">
        <v>0</v>
      </c>
      <c r="AL1099" s="44">
        <v>0</v>
      </c>
      <c r="AM1099" s="44">
        <v>0</v>
      </c>
      <c r="AN1099" s="44">
        <v>0</v>
      </c>
      <c r="AO1099" s="44">
        <v>0</v>
      </c>
      <c r="AP1099" s="44">
        <v>0</v>
      </c>
      <c r="AQ1099" s="44">
        <v>0</v>
      </c>
      <c r="AR1099" s="44">
        <v>0</v>
      </c>
      <c r="AS1099" s="44">
        <v>0</v>
      </c>
      <c r="AT1099" s="40">
        <f t="shared" ref="AT1099" si="399">AQ1099+AS1099</f>
        <v>0</v>
      </c>
      <c r="AU1099" s="34">
        <f>AJ1099-AM1099</f>
        <v>0</v>
      </c>
      <c r="AV1099" s="133">
        <f>AM1099-AP1099</f>
        <v>0</v>
      </c>
      <c r="AW1099" s="34">
        <f>AP1099-AT1099</f>
        <v>0</v>
      </c>
      <c r="AX1099" s="123">
        <v>0</v>
      </c>
    </row>
    <row r="1100" spans="1:50" ht="25.5" x14ac:dyDescent="0.2">
      <c r="AA1100" s="28" t="s">
        <v>288</v>
      </c>
      <c r="AB1100" s="29" t="s">
        <v>716</v>
      </c>
      <c r="AC1100" s="17"/>
      <c r="AD1100" s="18"/>
      <c r="AE1100" s="34"/>
      <c r="AF1100" s="34"/>
      <c r="AG1100" s="18"/>
      <c r="AH1100" s="18"/>
      <c r="AI1100" s="18"/>
      <c r="AJ1100" s="18"/>
      <c r="AK1100" s="34"/>
      <c r="AL1100" s="34"/>
      <c r="AM1100" s="34"/>
      <c r="AN1100" s="34"/>
      <c r="AO1100" s="34"/>
      <c r="AP1100" s="34"/>
      <c r="AQ1100" s="34"/>
      <c r="AR1100" s="34"/>
      <c r="AS1100" s="34"/>
      <c r="AT1100" s="31"/>
      <c r="AU1100" s="18"/>
      <c r="AV1100" s="34"/>
      <c r="AW1100" s="18"/>
      <c r="AX1100" s="18"/>
    </row>
    <row r="1101" spans="1:50" x14ac:dyDescent="0.2">
      <c r="A1101" s="4" t="s">
        <v>55</v>
      </c>
      <c r="B1101" s="4" t="s">
        <v>56</v>
      </c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1" t="s">
        <v>717</v>
      </c>
      <c r="AB1101" s="17" t="s">
        <v>233</v>
      </c>
      <c r="AC1101" s="43" t="s">
        <v>58</v>
      </c>
      <c r="AD1101" s="44">
        <v>0</v>
      </c>
      <c r="AE1101" s="44">
        <v>0</v>
      </c>
      <c r="AF1101" s="44">
        <v>0</v>
      </c>
      <c r="AG1101" s="43">
        <v>221000000</v>
      </c>
      <c r="AH1101" s="44">
        <v>0</v>
      </c>
      <c r="AI1101" s="136">
        <f>AE1101-AF1101+AG1101-AH1101</f>
        <v>221000000</v>
      </c>
      <c r="AJ1101" s="43">
        <f>AD1101+AI1101</f>
        <v>221000000</v>
      </c>
      <c r="AK1101" s="44">
        <v>0</v>
      </c>
      <c r="AL1101" s="43">
        <v>13943333</v>
      </c>
      <c r="AM1101" s="43">
        <v>161107999</v>
      </c>
      <c r="AN1101" s="44">
        <v>0</v>
      </c>
      <c r="AO1101" s="43">
        <v>0</v>
      </c>
      <c r="AP1101" s="43">
        <v>147164666</v>
      </c>
      <c r="AQ1101" s="43">
        <v>4775200</v>
      </c>
      <c r="AR1101" s="43">
        <v>14000000</v>
      </c>
      <c r="AS1101" s="43">
        <v>40330000</v>
      </c>
      <c r="AT1101" s="40">
        <f t="shared" ref="AT1101" si="400">AQ1101+AS1101</f>
        <v>45105200</v>
      </c>
      <c r="AU1101" s="18">
        <f>AJ1101-AM1101</f>
        <v>59892001</v>
      </c>
      <c r="AV1101" s="18">
        <f>AM1101-AP1101</f>
        <v>13943333</v>
      </c>
      <c r="AW1101" s="18">
        <f>AP1101-AT1101</f>
        <v>102059466</v>
      </c>
      <c r="AX1101" s="123">
        <f>AP1101/AJ1101</f>
        <v>0.66590346606334838</v>
      </c>
    </row>
    <row r="1102" spans="1:50" x14ac:dyDescent="0.2">
      <c r="AA1102" s="28" t="s">
        <v>288</v>
      </c>
      <c r="AB1102" s="29" t="s">
        <v>718</v>
      </c>
      <c r="AC1102" s="17"/>
      <c r="AD1102" s="18"/>
      <c r="AE1102" s="34"/>
      <c r="AF1102" s="34"/>
      <c r="AG1102" s="18"/>
      <c r="AH1102" s="18"/>
      <c r="AI1102" s="18"/>
      <c r="AJ1102" s="18"/>
      <c r="AK1102" s="34"/>
      <c r="AL1102" s="18"/>
      <c r="AM1102" s="18"/>
      <c r="AN1102" s="34"/>
      <c r="AO1102" s="18"/>
      <c r="AP1102" s="18"/>
      <c r="AQ1102" s="18"/>
      <c r="AR1102" s="18"/>
      <c r="AS1102" s="18"/>
      <c r="AT1102" s="31"/>
      <c r="AU1102" s="18"/>
      <c r="AV1102" s="34"/>
      <c r="AW1102" s="18"/>
      <c r="AX1102" s="18"/>
    </row>
    <row r="1103" spans="1:50" x14ac:dyDescent="0.2">
      <c r="A1103" s="4" t="s">
        <v>55</v>
      </c>
      <c r="B1103" s="4" t="s">
        <v>56</v>
      </c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1" t="s">
        <v>719</v>
      </c>
      <c r="AB1103" s="42" t="s">
        <v>233</v>
      </c>
      <c r="AC1103" s="43" t="s">
        <v>58</v>
      </c>
      <c r="AD1103" s="43">
        <v>546100000</v>
      </c>
      <c r="AE1103" s="44">
        <v>0</v>
      </c>
      <c r="AF1103" s="44">
        <v>0</v>
      </c>
      <c r="AG1103" s="44">
        <v>0</v>
      </c>
      <c r="AH1103" s="44">
        <v>0</v>
      </c>
      <c r="AI1103" s="44">
        <v>0</v>
      </c>
      <c r="AJ1103" s="43">
        <v>546100000</v>
      </c>
      <c r="AK1103" s="44">
        <v>0</v>
      </c>
      <c r="AL1103" s="44">
        <v>0</v>
      </c>
      <c r="AM1103" s="43">
        <v>521700000</v>
      </c>
      <c r="AN1103" s="44">
        <v>0</v>
      </c>
      <c r="AO1103" s="43">
        <v>0</v>
      </c>
      <c r="AP1103" s="43">
        <v>521700000</v>
      </c>
      <c r="AQ1103" s="43">
        <v>11600000</v>
      </c>
      <c r="AR1103" s="43">
        <v>40500000</v>
      </c>
      <c r="AS1103" s="43">
        <v>214550000</v>
      </c>
      <c r="AT1103" s="39">
        <f t="shared" ref="AT1103:AT1104" si="401">AQ1103+AS1103</f>
        <v>226150000</v>
      </c>
      <c r="AU1103" s="18">
        <f>AJ1103-AM1103</f>
        <v>24400000</v>
      </c>
      <c r="AV1103" s="133">
        <f>AM1103-AP1103</f>
        <v>0</v>
      </c>
      <c r="AW1103" s="18">
        <f>AP1103-AT1103</f>
        <v>295550000</v>
      </c>
      <c r="AX1103" s="123">
        <f>AP1103/AJ1103</f>
        <v>0.95531953854605378</v>
      </c>
    </row>
    <row r="1104" spans="1:50" ht="25.5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1" t="s">
        <v>1120</v>
      </c>
      <c r="AB1104" s="42" t="s">
        <v>1121</v>
      </c>
      <c r="AC1104" s="43"/>
      <c r="AD1104" s="44">
        <v>0</v>
      </c>
      <c r="AE1104" s="43">
        <v>117051260.84999999</v>
      </c>
      <c r="AF1104" s="44">
        <v>0</v>
      </c>
      <c r="AG1104" s="44">
        <v>0</v>
      </c>
      <c r="AH1104" s="44">
        <v>0</v>
      </c>
      <c r="AI1104" s="136">
        <f>AE1104-AF1104+AG1104-AH1104</f>
        <v>117051260.84999999</v>
      </c>
      <c r="AJ1104" s="43">
        <f>AD1104+AI1104</f>
        <v>117051260.84999999</v>
      </c>
      <c r="AK1104" s="44">
        <v>0</v>
      </c>
      <c r="AL1104" s="43">
        <v>0</v>
      </c>
      <c r="AM1104" s="43">
        <v>32000000</v>
      </c>
      <c r="AN1104" s="44">
        <v>0</v>
      </c>
      <c r="AO1104" s="43">
        <v>0</v>
      </c>
      <c r="AP1104" s="43">
        <v>32000000</v>
      </c>
      <c r="AQ1104" s="44">
        <v>0</v>
      </c>
      <c r="AR1104" s="43">
        <v>2333333</v>
      </c>
      <c r="AS1104" s="43">
        <v>2333333</v>
      </c>
      <c r="AT1104" s="39">
        <f t="shared" si="401"/>
        <v>2333333</v>
      </c>
      <c r="AU1104" s="18">
        <f>AJ1104-AM1104</f>
        <v>85051260.849999994</v>
      </c>
      <c r="AV1104" s="133">
        <f>AM1104-AP1104</f>
        <v>0</v>
      </c>
      <c r="AW1104" s="18">
        <f>AP1104-AT1104</f>
        <v>29666667</v>
      </c>
      <c r="AX1104" s="123">
        <f>AP1104/AJ1104</f>
        <v>0.27338449639605056</v>
      </c>
    </row>
    <row r="1105" spans="1:50" x14ac:dyDescent="0.2">
      <c r="AA1105" s="16"/>
      <c r="AB1105" s="17"/>
      <c r="AC1105" s="17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34"/>
      <c r="AQ1105" s="34"/>
      <c r="AR1105" s="34"/>
      <c r="AS1105" s="34"/>
      <c r="AT1105" s="31"/>
      <c r="AU1105" s="18"/>
      <c r="AV1105" s="18"/>
      <c r="AW1105" s="18"/>
      <c r="AX1105" s="18"/>
    </row>
    <row r="1106" spans="1:50" x14ac:dyDescent="0.2">
      <c r="AA1106" s="16"/>
      <c r="AB1106" s="29" t="s">
        <v>720</v>
      </c>
      <c r="AC1106" s="17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  <c r="AQ1106" s="18"/>
      <c r="AR1106" s="18"/>
      <c r="AS1106" s="18"/>
      <c r="AT1106" s="30"/>
      <c r="AU1106" s="18"/>
      <c r="AV1106" s="18"/>
      <c r="AW1106" s="18"/>
      <c r="AX1106" s="18"/>
    </row>
    <row r="1107" spans="1:50" x14ac:dyDescent="0.2">
      <c r="AA1107" s="16"/>
      <c r="AB1107" s="29" t="s">
        <v>676</v>
      </c>
      <c r="AC1107" s="17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30"/>
      <c r="AU1107" s="18"/>
      <c r="AV1107" s="18"/>
      <c r="AW1107" s="18"/>
      <c r="AX1107" s="18"/>
    </row>
    <row r="1108" spans="1:50" x14ac:dyDescent="0.2">
      <c r="AA1108" s="16"/>
      <c r="AB1108" s="29" t="s">
        <v>286</v>
      </c>
      <c r="AC1108" s="17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30"/>
      <c r="AU1108" s="18"/>
      <c r="AV1108" s="18"/>
      <c r="AW1108" s="18"/>
      <c r="AX1108" s="18"/>
    </row>
    <row r="1109" spans="1:50" x14ac:dyDescent="0.2">
      <c r="AA1109" s="16"/>
      <c r="AB1109" s="29" t="s">
        <v>179</v>
      </c>
      <c r="AC1109" s="17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30"/>
      <c r="AU1109" s="18"/>
      <c r="AV1109" s="18"/>
      <c r="AW1109" s="18"/>
      <c r="AX1109" s="18"/>
    </row>
    <row r="1110" spans="1:50" x14ac:dyDescent="0.2">
      <c r="AA1110" s="16"/>
      <c r="AB1110" s="29" t="s">
        <v>189</v>
      </c>
      <c r="AC1110" s="17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30"/>
      <c r="AU1110" s="18"/>
      <c r="AV1110" s="18"/>
      <c r="AW1110" s="18"/>
      <c r="AX1110" s="18"/>
    </row>
    <row r="1111" spans="1:50" x14ac:dyDescent="0.2">
      <c r="AA1111" s="16"/>
      <c r="AB1111" s="29" t="s">
        <v>199</v>
      </c>
      <c r="AC1111" s="17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30"/>
      <c r="AU1111" s="18"/>
      <c r="AV1111" s="18"/>
      <c r="AW1111" s="18"/>
      <c r="AX1111" s="18"/>
    </row>
    <row r="1112" spans="1:50" x14ac:dyDescent="0.2">
      <c r="AA1112" s="28" t="s">
        <v>288</v>
      </c>
      <c r="AB1112" s="29" t="s">
        <v>718</v>
      </c>
      <c r="AC1112" s="17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30"/>
      <c r="AU1112" s="18"/>
      <c r="AV1112" s="18"/>
      <c r="AW1112" s="18"/>
      <c r="AX1112" s="18"/>
    </row>
    <row r="1113" spans="1:50" x14ac:dyDescent="0.2">
      <c r="A1113" s="4" t="s">
        <v>55</v>
      </c>
      <c r="B1113" s="4" t="s">
        <v>56</v>
      </c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1" t="s">
        <v>721</v>
      </c>
      <c r="AB1113" s="42" t="s">
        <v>722</v>
      </c>
      <c r="AC1113" s="43" t="s">
        <v>723</v>
      </c>
      <c r="AD1113" s="43">
        <v>7643630</v>
      </c>
      <c r="AE1113" s="44">
        <v>0</v>
      </c>
      <c r="AF1113" s="44">
        <v>0</v>
      </c>
      <c r="AG1113" s="44">
        <v>0</v>
      </c>
      <c r="AH1113" s="44">
        <v>0</v>
      </c>
      <c r="AI1113" s="44">
        <v>0</v>
      </c>
      <c r="AJ1113" s="43">
        <v>7643630</v>
      </c>
      <c r="AK1113" s="44">
        <v>0</v>
      </c>
      <c r="AL1113" s="44">
        <v>0</v>
      </c>
      <c r="AM1113" s="44">
        <v>0</v>
      </c>
      <c r="AN1113" s="44">
        <v>0</v>
      </c>
      <c r="AO1113" s="44">
        <v>0</v>
      </c>
      <c r="AP1113" s="44">
        <v>0</v>
      </c>
      <c r="AQ1113" s="44">
        <v>0</v>
      </c>
      <c r="AR1113" s="44">
        <v>0</v>
      </c>
      <c r="AS1113" s="44">
        <v>0</v>
      </c>
      <c r="AT1113" s="40">
        <f t="shared" ref="AT1113:AT1114" si="402">AQ1113+AS1113</f>
        <v>0</v>
      </c>
      <c r="AU1113" s="18">
        <f>AJ1113-AM1113</f>
        <v>7643630</v>
      </c>
      <c r="AV1113" s="133">
        <f>AM1113-AP1113</f>
        <v>0</v>
      </c>
      <c r="AW1113" s="34">
        <f>AP1113-AT1113</f>
        <v>0</v>
      </c>
      <c r="AX1113" s="123">
        <f>AP1113/AJ1113</f>
        <v>0</v>
      </c>
    </row>
    <row r="1114" spans="1:50" x14ac:dyDescent="0.2">
      <c r="A1114" s="4" t="s">
        <v>55</v>
      </c>
      <c r="B1114" s="4" t="s">
        <v>56</v>
      </c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1" t="s">
        <v>724</v>
      </c>
      <c r="AB1114" s="42" t="s">
        <v>725</v>
      </c>
      <c r="AC1114" s="43" t="s">
        <v>428</v>
      </c>
      <c r="AD1114" s="43">
        <v>56100000</v>
      </c>
      <c r="AE1114" s="44">
        <v>0</v>
      </c>
      <c r="AF1114" s="44">
        <v>0</v>
      </c>
      <c r="AG1114" s="44">
        <v>0</v>
      </c>
      <c r="AH1114" s="44">
        <v>0</v>
      </c>
      <c r="AI1114" s="44">
        <v>0</v>
      </c>
      <c r="AJ1114" s="43">
        <v>56100000</v>
      </c>
      <c r="AK1114" s="44">
        <v>0</v>
      </c>
      <c r="AL1114" s="44">
        <v>0</v>
      </c>
      <c r="AM1114" s="44">
        <v>0</v>
      </c>
      <c r="AN1114" s="44">
        <v>0</v>
      </c>
      <c r="AO1114" s="44">
        <v>0</v>
      </c>
      <c r="AP1114" s="44">
        <v>0</v>
      </c>
      <c r="AQ1114" s="44">
        <v>0</v>
      </c>
      <c r="AR1114" s="44">
        <v>0</v>
      </c>
      <c r="AS1114" s="44">
        <v>0</v>
      </c>
      <c r="AT1114" s="40">
        <f t="shared" si="402"/>
        <v>0</v>
      </c>
      <c r="AU1114" s="18">
        <f>AJ1114-AM1114</f>
        <v>56100000</v>
      </c>
      <c r="AV1114" s="133">
        <f>AM1114-AP1114</f>
        <v>0</v>
      </c>
      <c r="AW1114" s="34">
        <f>AP1114-AT1114</f>
        <v>0</v>
      </c>
      <c r="AX1114" s="123">
        <f>AP1114/AJ1114</f>
        <v>0</v>
      </c>
    </row>
    <row r="1115" spans="1:50" ht="18.75" customHeight="1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170" t="s">
        <v>1016</v>
      </c>
      <c r="AB1115" s="165" t="s">
        <v>997</v>
      </c>
      <c r="AC1115" s="168"/>
      <c r="AD1115" s="43"/>
      <c r="AE1115" s="44"/>
      <c r="AF1115" s="44"/>
      <c r="AG1115" s="44"/>
      <c r="AH1115" s="44"/>
      <c r="AI1115" s="44"/>
      <c r="AJ1115" s="43"/>
      <c r="AK1115" s="44"/>
      <c r="AL1115" s="44"/>
      <c r="AM1115" s="44"/>
      <c r="AN1115" s="44"/>
      <c r="AO1115" s="44"/>
      <c r="AP1115" s="44"/>
      <c r="AQ1115" s="44"/>
      <c r="AR1115" s="44"/>
      <c r="AS1115" s="44"/>
      <c r="AT1115" s="40"/>
      <c r="AU1115" s="18"/>
      <c r="AV1115" s="133"/>
      <c r="AW1115" s="34"/>
      <c r="AX1115" s="123"/>
    </row>
    <row r="1116" spans="1:50" ht="15.75" customHeight="1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170" t="s">
        <v>1017</v>
      </c>
      <c r="AB1116" s="165" t="s">
        <v>999</v>
      </c>
      <c r="AC1116" s="168"/>
      <c r="AD1116" s="43"/>
      <c r="AE1116" s="44"/>
      <c r="AF1116" s="44"/>
      <c r="AG1116" s="44"/>
      <c r="AH1116" s="44"/>
      <c r="AI1116" s="44"/>
      <c r="AJ1116" s="43"/>
      <c r="AK1116" s="44"/>
      <c r="AL1116" s="44"/>
      <c r="AM1116" s="44"/>
      <c r="AN1116" s="44"/>
      <c r="AO1116" s="44"/>
      <c r="AP1116" s="44"/>
      <c r="AQ1116" s="44"/>
      <c r="AR1116" s="44"/>
      <c r="AS1116" s="44"/>
      <c r="AT1116" s="40"/>
      <c r="AU1116" s="18"/>
      <c r="AV1116" s="133"/>
      <c r="AW1116" s="34"/>
      <c r="AX1116" s="123"/>
    </row>
    <row r="1117" spans="1:50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170" t="s">
        <v>1018</v>
      </c>
      <c r="AB1117" s="165" t="s">
        <v>1001</v>
      </c>
      <c r="AC1117" s="168"/>
      <c r="AD1117" s="43"/>
      <c r="AE1117" s="44"/>
      <c r="AF1117" s="44"/>
      <c r="AG1117" s="44"/>
      <c r="AH1117" s="44"/>
      <c r="AI1117" s="44"/>
      <c r="AJ1117" s="43"/>
      <c r="AK1117" s="44"/>
      <c r="AL1117" s="44"/>
      <c r="AM1117" s="44"/>
      <c r="AN1117" s="44"/>
      <c r="AO1117" s="44"/>
      <c r="AP1117" s="44"/>
      <c r="AQ1117" s="44"/>
      <c r="AR1117" s="44"/>
      <c r="AS1117" s="44"/>
      <c r="AT1117" s="40"/>
      <c r="AU1117" s="18"/>
      <c r="AV1117" s="133"/>
      <c r="AW1117" s="34"/>
      <c r="AX1117" s="123"/>
    </row>
    <row r="1118" spans="1:50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170" t="s">
        <v>1021</v>
      </c>
      <c r="AB1118" s="165" t="s">
        <v>1003</v>
      </c>
      <c r="AC1118" s="168"/>
      <c r="AD1118" s="43"/>
      <c r="AE1118" s="44"/>
      <c r="AF1118" s="44"/>
      <c r="AG1118" s="44"/>
      <c r="AH1118" s="44"/>
      <c r="AI1118" s="44"/>
      <c r="AJ1118" s="43"/>
      <c r="AK1118" s="44"/>
      <c r="AL1118" s="44"/>
      <c r="AM1118" s="44"/>
      <c r="AN1118" s="44"/>
      <c r="AO1118" s="44"/>
      <c r="AP1118" s="44"/>
      <c r="AQ1118" s="44"/>
      <c r="AR1118" s="44"/>
      <c r="AS1118" s="44"/>
      <c r="AT1118" s="40"/>
      <c r="AU1118" s="18"/>
      <c r="AV1118" s="133"/>
      <c r="AW1118" s="34"/>
      <c r="AX1118" s="123"/>
    </row>
    <row r="1119" spans="1:50" ht="25.5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166" t="s">
        <v>1056</v>
      </c>
      <c r="AB1119" s="167" t="s">
        <v>1057</v>
      </c>
      <c r="AC1119" s="168"/>
      <c r="AD1119" s="44">
        <v>0</v>
      </c>
      <c r="AE1119" s="43">
        <v>170856060</v>
      </c>
      <c r="AF1119" s="44">
        <v>0</v>
      </c>
      <c r="AG1119" s="44">
        <v>0</v>
      </c>
      <c r="AH1119" s="44">
        <v>0</v>
      </c>
      <c r="AI1119" s="43">
        <f>AE1119-AF1119+AG1119-AH1119</f>
        <v>170856060</v>
      </c>
      <c r="AJ1119" s="43">
        <f>AD1119+AI1119</f>
        <v>170856060</v>
      </c>
      <c r="AK1119" s="44">
        <v>0</v>
      </c>
      <c r="AL1119" s="44">
        <v>0</v>
      </c>
      <c r="AM1119" s="44">
        <v>0</v>
      </c>
      <c r="AN1119" s="44">
        <v>0</v>
      </c>
      <c r="AO1119" s="44">
        <v>0</v>
      </c>
      <c r="AP1119" s="44">
        <v>0</v>
      </c>
      <c r="AQ1119" s="44">
        <v>0</v>
      </c>
      <c r="AR1119" s="44">
        <v>0</v>
      </c>
      <c r="AS1119" s="44">
        <v>0</v>
      </c>
      <c r="AT1119" s="40">
        <f t="shared" ref="AT1119" si="403">AQ1119+AS1119</f>
        <v>0</v>
      </c>
      <c r="AU1119" s="18">
        <f>AJ1119-AM1119</f>
        <v>170856060</v>
      </c>
      <c r="AV1119" s="133">
        <f>AM1119-AP1119</f>
        <v>0</v>
      </c>
      <c r="AW1119" s="34">
        <f>AP1119-AT1119</f>
        <v>0</v>
      </c>
      <c r="AX1119" s="123">
        <f>AP1119/AJ1119</f>
        <v>0</v>
      </c>
    </row>
    <row r="1120" spans="1:50" x14ac:dyDescent="0.2">
      <c r="AA1120" s="162"/>
      <c r="AB1120" s="223"/>
      <c r="AC1120" s="17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34"/>
      <c r="AR1120" s="34"/>
      <c r="AS1120" s="34"/>
      <c r="AT1120" s="31"/>
      <c r="AU1120" s="18"/>
      <c r="AV1120" s="18"/>
      <c r="AW1120" s="18"/>
      <c r="AX1120" s="18"/>
    </row>
    <row r="1121" spans="1:50" s="50" customFormat="1" ht="18.75" customHeight="1" x14ac:dyDescent="0.2">
      <c r="B1121" s="77"/>
      <c r="C1121" s="77"/>
      <c r="D1121" s="77"/>
      <c r="E1121" s="77"/>
      <c r="F1121" s="77"/>
      <c r="G1121" s="77"/>
      <c r="H1121" s="77"/>
      <c r="I1121" s="77"/>
      <c r="J1121" s="77"/>
      <c r="K1121" s="77"/>
      <c r="L1121" s="77"/>
      <c r="M1121" s="77"/>
      <c r="N1121" s="77"/>
      <c r="O1121" s="77"/>
      <c r="P1121" s="77"/>
      <c r="Q1121" s="77"/>
      <c r="R1121" s="77"/>
      <c r="S1121" s="77"/>
      <c r="T1121" s="77"/>
      <c r="U1121" s="77"/>
      <c r="V1121" s="77"/>
      <c r="W1121" s="77"/>
      <c r="X1121" s="77"/>
      <c r="Y1121" s="77"/>
      <c r="Z1121" s="77"/>
      <c r="AA1121" s="46"/>
      <c r="AB1121" s="47" t="s">
        <v>726</v>
      </c>
      <c r="AC1121" s="47"/>
      <c r="AD1121" s="48">
        <f t="shared" ref="AD1121:AW1121" si="404">SUM(AD1078:AD1120)</f>
        <v>6876941034</v>
      </c>
      <c r="AE1121" s="48">
        <f t="shared" si="404"/>
        <v>3397533211.8499999</v>
      </c>
      <c r="AF1121" s="49">
        <f t="shared" si="404"/>
        <v>0</v>
      </c>
      <c r="AG1121" s="48">
        <f t="shared" si="404"/>
        <v>4013332698</v>
      </c>
      <c r="AH1121" s="48">
        <f t="shared" si="404"/>
        <v>4013332698</v>
      </c>
      <c r="AI1121" s="48">
        <f t="shared" si="404"/>
        <v>3397533211.8499999</v>
      </c>
      <c r="AJ1121" s="48">
        <f t="shared" si="404"/>
        <v>10274474245.85</v>
      </c>
      <c r="AK1121" s="49">
        <f t="shared" si="404"/>
        <v>0</v>
      </c>
      <c r="AL1121" s="48">
        <f t="shared" si="404"/>
        <v>392872474</v>
      </c>
      <c r="AM1121" s="48">
        <f t="shared" si="404"/>
        <v>3624995179</v>
      </c>
      <c r="AN1121" s="48">
        <f t="shared" si="404"/>
        <v>0</v>
      </c>
      <c r="AO1121" s="48">
        <f t="shared" si="404"/>
        <v>0</v>
      </c>
      <c r="AP1121" s="48">
        <f t="shared" si="404"/>
        <v>3232122705</v>
      </c>
      <c r="AQ1121" s="48">
        <f t="shared" si="404"/>
        <v>115975200</v>
      </c>
      <c r="AR1121" s="48">
        <f t="shared" si="404"/>
        <v>547823437</v>
      </c>
      <c r="AS1121" s="48">
        <f t="shared" si="404"/>
        <v>965598772</v>
      </c>
      <c r="AT1121" s="48">
        <f t="shared" si="404"/>
        <v>1081573972</v>
      </c>
      <c r="AU1121" s="48">
        <f t="shared" si="404"/>
        <v>6649479066.8500004</v>
      </c>
      <c r="AV1121" s="48">
        <f t="shared" si="404"/>
        <v>392872474</v>
      </c>
      <c r="AW1121" s="48">
        <f t="shared" si="404"/>
        <v>2150548733</v>
      </c>
      <c r="AX1121" s="24">
        <f>AP1121/AJ1121</f>
        <v>0.31457791685112241</v>
      </c>
    </row>
    <row r="1122" spans="1:50" ht="18.75" customHeight="1" x14ac:dyDescent="0.2">
      <c r="AA1122" s="16"/>
      <c r="AB1122" s="17"/>
      <c r="AC1122" s="17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</row>
    <row r="1123" spans="1:50" s="25" customFormat="1" ht="18.75" customHeight="1" x14ac:dyDescent="0.2">
      <c r="B1123" s="71"/>
      <c r="C1123" s="71"/>
      <c r="D1123" s="71"/>
      <c r="E1123" s="71"/>
      <c r="F1123" s="71"/>
      <c r="G1123" s="71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71"/>
      <c r="T1123" s="71"/>
      <c r="U1123" s="71"/>
      <c r="V1123" s="71"/>
      <c r="W1123" s="71"/>
      <c r="X1123" s="71"/>
      <c r="Y1123" s="71"/>
      <c r="Z1123" s="71"/>
      <c r="AA1123" s="66"/>
      <c r="AB1123" s="21" t="s">
        <v>727</v>
      </c>
      <c r="AC1123" s="67"/>
      <c r="AD1123" s="63"/>
      <c r="AE1123" s="63"/>
      <c r="AF1123" s="63"/>
      <c r="AG1123" s="63"/>
      <c r="AH1123" s="63"/>
      <c r="AI1123" s="63"/>
      <c r="AJ1123" s="63"/>
      <c r="AK1123" s="63"/>
      <c r="AL1123" s="63"/>
      <c r="AM1123" s="63"/>
      <c r="AN1123" s="63"/>
      <c r="AO1123" s="63"/>
      <c r="AP1123" s="63"/>
      <c r="AQ1123" s="63"/>
      <c r="AR1123" s="63"/>
      <c r="AS1123" s="63"/>
      <c r="AT1123" s="63"/>
      <c r="AU1123" s="63"/>
      <c r="AV1123" s="63"/>
      <c r="AW1123" s="63"/>
      <c r="AX1123" s="63"/>
    </row>
    <row r="1124" spans="1:50" ht="18.75" customHeight="1" x14ac:dyDescent="0.2">
      <c r="AA1124" s="16"/>
      <c r="AB1124" s="29" t="s">
        <v>285</v>
      </c>
      <c r="AC1124" s="17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</row>
    <row r="1125" spans="1:50" ht="18.75" customHeight="1" x14ac:dyDescent="0.2">
      <c r="AA1125" s="16"/>
      <c r="AB1125" s="29" t="s">
        <v>202</v>
      </c>
      <c r="AC1125" s="17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</row>
    <row r="1126" spans="1:50" ht="18.75" customHeight="1" x14ac:dyDescent="0.2">
      <c r="AA1126" s="16"/>
      <c r="AB1126" s="29" t="s">
        <v>203</v>
      </c>
      <c r="AC1126" s="17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</row>
    <row r="1127" spans="1:50" x14ac:dyDescent="0.2">
      <c r="AA1127" s="16"/>
      <c r="AB1127" s="29" t="s">
        <v>204</v>
      </c>
      <c r="AC1127" s="17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</row>
    <row r="1128" spans="1:50" ht="25.5" x14ac:dyDescent="0.2">
      <c r="AA1128" s="16"/>
      <c r="AB1128" s="29" t="s">
        <v>205</v>
      </c>
      <c r="AC1128" s="17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</row>
    <row r="1129" spans="1:50" ht="25.5" x14ac:dyDescent="0.2">
      <c r="AA1129" s="16"/>
      <c r="AB1129" s="29" t="s">
        <v>205</v>
      </c>
      <c r="AC1129" s="17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</row>
    <row r="1130" spans="1:50" ht="25.5" x14ac:dyDescent="0.2">
      <c r="AA1130" s="28" t="s">
        <v>288</v>
      </c>
      <c r="AB1130" s="29" t="s">
        <v>728</v>
      </c>
      <c r="AC1130" s="17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30">
        <f t="shared" ref="AT1130:AT1137" si="405">AQ1130+AS1130</f>
        <v>0</v>
      </c>
      <c r="AU1130" s="18"/>
      <c r="AV1130" s="18"/>
      <c r="AW1130" s="18"/>
      <c r="AX1130" s="18"/>
    </row>
    <row r="1131" spans="1:50" x14ac:dyDescent="0.2">
      <c r="A1131" s="4" t="s">
        <v>55</v>
      </c>
      <c r="B1131" s="4" t="s">
        <v>56</v>
      </c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1" t="s">
        <v>729</v>
      </c>
      <c r="AB1131" s="42" t="s">
        <v>233</v>
      </c>
      <c r="AC1131" s="43" t="s">
        <v>58</v>
      </c>
      <c r="AD1131" s="43">
        <v>1500000000</v>
      </c>
      <c r="AE1131" s="44">
        <v>0</v>
      </c>
      <c r="AF1131" s="44">
        <v>0</v>
      </c>
      <c r="AG1131" s="44">
        <v>0</v>
      </c>
      <c r="AH1131" s="44">
        <v>0</v>
      </c>
      <c r="AI1131" s="44">
        <f t="shared" ref="AI1131:AI1137" si="406">AE1131-AF1131+AG1131-AH1131</f>
        <v>0</v>
      </c>
      <c r="AJ1131" s="43">
        <f t="shared" ref="AJ1131:AJ1137" si="407">AD1131+AI1131</f>
        <v>1500000000</v>
      </c>
      <c r="AK1131" s="44">
        <v>0</v>
      </c>
      <c r="AL1131" s="114">
        <v>125000000</v>
      </c>
      <c r="AM1131" s="114">
        <v>875000000</v>
      </c>
      <c r="AN1131" s="44">
        <v>0</v>
      </c>
      <c r="AO1131" s="114">
        <v>125000000</v>
      </c>
      <c r="AP1131" s="114">
        <v>875000000</v>
      </c>
      <c r="AQ1131" s="44">
        <v>0</v>
      </c>
      <c r="AR1131" s="114">
        <v>125000000</v>
      </c>
      <c r="AS1131" s="114">
        <v>875000000</v>
      </c>
      <c r="AT1131" s="111">
        <f t="shared" si="405"/>
        <v>875000000</v>
      </c>
      <c r="AU1131" s="18">
        <f t="shared" ref="AU1131:AU1137" si="408">AJ1131-AM1131</f>
        <v>625000000</v>
      </c>
      <c r="AV1131" s="133">
        <f t="shared" ref="AV1131:AV1137" si="409">AM1131-AP1131</f>
        <v>0</v>
      </c>
      <c r="AW1131" s="34">
        <f t="shared" ref="AW1131:AW1137" si="410">AP1131-AT1131</f>
        <v>0</v>
      </c>
      <c r="AX1131" s="123">
        <f t="shared" ref="AX1131:AX1137" si="411">AP1131/AJ1131</f>
        <v>0.58333333333333337</v>
      </c>
    </row>
    <row r="1132" spans="1:50" x14ac:dyDescent="0.2">
      <c r="A1132" s="4" t="s">
        <v>55</v>
      </c>
      <c r="B1132" s="4" t="s">
        <v>56</v>
      </c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1" t="s">
        <v>730</v>
      </c>
      <c r="AB1132" s="42" t="s">
        <v>731</v>
      </c>
      <c r="AC1132" s="43" t="s">
        <v>732</v>
      </c>
      <c r="AD1132" s="43">
        <v>1531432613</v>
      </c>
      <c r="AE1132" s="44">
        <v>0</v>
      </c>
      <c r="AF1132" s="44">
        <v>0</v>
      </c>
      <c r="AG1132" s="44">
        <v>0</v>
      </c>
      <c r="AH1132" s="44">
        <v>0</v>
      </c>
      <c r="AI1132" s="44">
        <f t="shared" si="406"/>
        <v>0</v>
      </c>
      <c r="AJ1132" s="43">
        <f t="shared" si="407"/>
        <v>1531432613</v>
      </c>
      <c r="AK1132" s="44">
        <v>0</v>
      </c>
      <c r="AL1132" s="114">
        <v>127619384</v>
      </c>
      <c r="AM1132" s="114">
        <v>893335688</v>
      </c>
      <c r="AN1132" s="44">
        <v>0</v>
      </c>
      <c r="AO1132" s="114">
        <v>127619384</v>
      </c>
      <c r="AP1132" s="114">
        <v>893335688</v>
      </c>
      <c r="AQ1132" s="44">
        <v>127619384</v>
      </c>
      <c r="AR1132" s="114">
        <v>127619384</v>
      </c>
      <c r="AS1132" s="114">
        <v>765716304</v>
      </c>
      <c r="AT1132" s="111">
        <f t="shared" si="405"/>
        <v>893335688</v>
      </c>
      <c r="AU1132" s="18">
        <f t="shared" si="408"/>
        <v>638096925</v>
      </c>
      <c r="AV1132" s="133">
        <f t="shared" si="409"/>
        <v>0</v>
      </c>
      <c r="AW1132" s="34">
        <f t="shared" si="410"/>
        <v>0</v>
      </c>
      <c r="AX1132" s="123">
        <f t="shared" si="411"/>
        <v>0.58333333142879851</v>
      </c>
    </row>
    <row r="1133" spans="1:50" x14ac:dyDescent="0.2">
      <c r="A1133" s="4" t="s">
        <v>55</v>
      </c>
      <c r="B1133" s="4" t="s">
        <v>56</v>
      </c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1" t="s">
        <v>733</v>
      </c>
      <c r="AB1133" s="42" t="s">
        <v>734</v>
      </c>
      <c r="AC1133" s="43" t="s">
        <v>383</v>
      </c>
      <c r="AD1133" s="43">
        <v>2000000000</v>
      </c>
      <c r="AE1133" s="44">
        <v>0</v>
      </c>
      <c r="AF1133" s="44">
        <v>0</v>
      </c>
      <c r="AG1133" s="44">
        <v>0</v>
      </c>
      <c r="AH1133" s="44">
        <v>0</v>
      </c>
      <c r="AI1133" s="44">
        <f t="shared" si="406"/>
        <v>0</v>
      </c>
      <c r="AJ1133" s="43">
        <f t="shared" si="407"/>
        <v>2000000000</v>
      </c>
      <c r="AK1133" s="44">
        <v>0</v>
      </c>
      <c r="AL1133" s="114">
        <v>166666667</v>
      </c>
      <c r="AM1133" s="114">
        <v>1166666669</v>
      </c>
      <c r="AN1133" s="44">
        <v>0</v>
      </c>
      <c r="AO1133" s="114">
        <v>166666667</v>
      </c>
      <c r="AP1133" s="114">
        <v>1166666669</v>
      </c>
      <c r="AQ1133" s="44">
        <v>0</v>
      </c>
      <c r="AR1133" s="114">
        <v>166666667</v>
      </c>
      <c r="AS1133" s="114">
        <v>1166666669</v>
      </c>
      <c r="AT1133" s="111">
        <f t="shared" si="405"/>
        <v>1166666669</v>
      </c>
      <c r="AU1133" s="18">
        <f t="shared" si="408"/>
        <v>833333331</v>
      </c>
      <c r="AV1133" s="133">
        <f t="shared" si="409"/>
        <v>0</v>
      </c>
      <c r="AW1133" s="34">
        <f t="shared" si="410"/>
        <v>0</v>
      </c>
      <c r="AX1133" s="123">
        <f t="shared" si="411"/>
        <v>0.58333333450000002</v>
      </c>
    </row>
    <row r="1134" spans="1:50" ht="25.5" x14ac:dyDescent="0.2">
      <c r="A1134" s="4" t="s">
        <v>55</v>
      </c>
      <c r="B1134" s="4" t="s">
        <v>56</v>
      </c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1" t="s">
        <v>735</v>
      </c>
      <c r="AB1134" s="42" t="s">
        <v>736</v>
      </c>
      <c r="AC1134" s="43" t="s">
        <v>428</v>
      </c>
      <c r="AD1134" s="43">
        <v>24512970</v>
      </c>
      <c r="AE1134" s="44">
        <v>0</v>
      </c>
      <c r="AF1134" s="44">
        <v>0</v>
      </c>
      <c r="AG1134" s="44">
        <v>0</v>
      </c>
      <c r="AH1134" s="44">
        <v>0</v>
      </c>
      <c r="AI1134" s="44">
        <f t="shared" si="406"/>
        <v>0</v>
      </c>
      <c r="AJ1134" s="43">
        <f t="shared" si="407"/>
        <v>24512970</v>
      </c>
      <c r="AK1134" s="44">
        <v>0</v>
      </c>
      <c r="AL1134" s="44">
        <v>0</v>
      </c>
      <c r="AM1134" s="44">
        <v>0</v>
      </c>
      <c r="AN1134" s="44">
        <v>0</v>
      </c>
      <c r="AO1134" s="44">
        <v>0</v>
      </c>
      <c r="AP1134" s="44">
        <v>0</v>
      </c>
      <c r="AQ1134" s="44">
        <v>0</v>
      </c>
      <c r="AR1134" s="44">
        <v>0</v>
      </c>
      <c r="AS1134" s="44">
        <v>0</v>
      </c>
      <c r="AT1134" s="40">
        <f t="shared" si="405"/>
        <v>0</v>
      </c>
      <c r="AU1134" s="18">
        <f t="shared" si="408"/>
        <v>24512970</v>
      </c>
      <c r="AV1134" s="133">
        <f t="shared" si="409"/>
        <v>0</v>
      </c>
      <c r="AW1134" s="34">
        <f t="shared" si="410"/>
        <v>0</v>
      </c>
      <c r="AX1134" s="123">
        <f t="shared" si="411"/>
        <v>0</v>
      </c>
    </row>
    <row r="1135" spans="1:50" ht="25.5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166" t="s">
        <v>1134</v>
      </c>
      <c r="AB1135" s="167" t="s">
        <v>1055</v>
      </c>
      <c r="AC1135" s="168"/>
      <c r="AD1135" s="44">
        <v>0</v>
      </c>
      <c r="AE1135" s="217">
        <v>628300000</v>
      </c>
      <c r="AF1135" s="216">
        <v>0</v>
      </c>
      <c r="AG1135" s="44">
        <v>0</v>
      </c>
      <c r="AH1135" s="44">
        <v>0</v>
      </c>
      <c r="AI1135" s="43">
        <f t="shared" si="406"/>
        <v>628300000</v>
      </c>
      <c r="AJ1135" s="43">
        <f t="shared" si="407"/>
        <v>628300000</v>
      </c>
      <c r="AK1135" s="44">
        <v>0</v>
      </c>
      <c r="AL1135" s="43">
        <v>0</v>
      </c>
      <c r="AM1135" s="43">
        <v>628300000</v>
      </c>
      <c r="AN1135" s="44">
        <v>0</v>
      </c>
      <c r="AO1135" s="43">
        <v>0</v>
      </c>
      <c r="AP1135" s="43">
        <v>628300000</v>
      </c>
      <c r="AQ1135" s="44">
        <v>0</v>
      </c>
      <c r="AR1135" s="43">
        <v>0</v>
      </c>
      <c r="AS1135" s="43">
        <v>628300000</v>
      </c>
      <c r="AT1135" s="39">
        <f t="shared" si="405"/>
        <v>628300000</v>
      </c>
      <c r="AU1135" s="34">
        <f t="shared" si="408"/>
        <v>0</v>
      </c>
      <c r="AV1135" s="133">
        <f t="shared" si="409"/>
        <v>0</v>
      </c>
      <c r="AW1135" s="34">
        <f t="shared" si="410"/>
        <v>0</v>
      </c>
      <c r="AX1135" s="123">
        <f t="shared" si="411"/>
        <v>1</v>
      </c>
    </row>
    <row r="1136" spans="1:50" ht="25.5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166" t="s">
        <v>1135</v>
      </c>
      <c r="AB1136" s="167" t="s">
        <v>1055</v>
      </c>
      <c r="AC1136" s="168"/>
      <c r="AD1136" s="44">
        <v>0</v>
      </c>
      <c r="AE1136" s="217">
        <v>371700000</v>
      </c>
      <c r="AF1136" s="216">
        <v>0</v>
      </c>
      <c r="AG1136" s="44">
        <v>0</v>
      </c>
      <c r="AH1136" s="44">
        <v>0</v>
      </c>
      <c r="AI1136" s="43">
        <f t="shared" si="406"/>
        <v>371700000</v>
      </c>
      <c r="AJ1136" s="43">
        <f t="shared" si="407"/>
        <v>371700000</v>
      </c>
      <c r="AK1136" s="44">
        <v>0</v>
      </c>
      <c r="AL1136" s="43">
        <v>0</v>
      </c>
      <c r="AM1136" s="43">
        <v>371700000</v>
      </c>
      <c r="AN1136" s="44">
        <v>0</v>
      </c>
      <c r="AO1136" s="43">
        <v>0</v>
      </c>
      <c r="AP1136" s="43">
        <v>371700000</v>
      </c>
      <c r="AQ1136" s="44">
        <v>0</v>
      </c>
      <c r="AR1136" s="43">
        <v>0</v>
      </c>
      <c r="AS1136" s="43">
        <v>371700000</v>
      </c>
      <c r="AT1136" s="39">
        <f t="shared" si="405"/>
        <v>371700000</v>
      </c>
      <c r="AU1136" s="34">
        <f t="shared" si="408"/>
        <v>0</v>
      </c>
      <c r="AV1136" s="133">
        <f t="shared" si="409"/>
        <v>0</v>
      </c>
      <c r="AW1136" s="34">
        <f t="shared" si="410"/>
        <v>0</v>
      </c>
      <c r="AX1136" s="123">
        <f t="shared" si="411"/>
        <v>1</v>
      </c>
    </row>
    <row r="1137" spans="1:50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166" t="s">
        <v>1136</v>
      </c>
      <c r="AB1137" s="167" t="s">
        <v>1137</v>
      </c>
      <c r="AC1137" s="168"/>
      <c r="AD1137" s="44">
        <v>0</v>
      </c>
      <c r="AE1137" s="217">
        <v>179021213</v>
      </c>
      <c r="AF1137" s="216">
        <v>0</v>
      </c>
      <c r="AG1137" s="44">
        <v>0</v>
      </c>
      <c r="AH1137" s="44">
        <v>0</v>
      </c>
      <c r="AI1137" s="43">
        <f t="shared" si="406"/>
        <v>179021213</v>
      </c>
      <c r="AJ1137" s="43">
        <f t="shared" si="407"/>
        <v>179021213</v>
      </c>
      <c r="AK1137" s="44">
        <v>0</v>
      </c>
      <c r="AL1137" s="43">
        <v>0</v>
      </c>
      <c r="AM1137" s="43">
        <v>179021213</v>
      </c>
      <c r="AN1137" s="44">
        <v>0</v>
      </c>
      <c r="AO1137" s="43">
        <v>0</v>
      </c>
      <c r="AP1137" s="43">
        <v>179021213</v>
      </c>
      <c r="AQ1137" s="44">
        <v>0</v>
      </c>
      <c r="AR1137" s="43">
        <v>0</v>
      </c>
      <c r="AS1137" s="43">
        <v>179021213</v>
      </c>
      <c r="AT1137" s="39">
        <f t="shared" si="405"/>
        <v>179021213</v>
      </c>
      <c r="AU1137" s="34">
        <f t="shared" si="408"/>
        <v>0</v>
      </c>
      <c r="AV1137" s="133">
        <f t="shared" si="409"/>
        <v>0</v>
      </c>
      <c r="AW1137" s="34">
        <f t="shared" si="410"/>
        <v>0</v>
      </c>
      <c r="AX1137" s="123">
        <f t="shared" si="411"/>
        <v>1</v>
      </c>
    </row>
    <row r="1138" spans="1:50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206"/>
      <c r="AB1138" s="207"/>
      <c r="AC1138" s="43"/>
      <c r="AD1138" s="43"/>
      <c r="AE1138" s="224"/>
      <c r="AF1138" s="44"/>
      <c r="AG1138" s="44"/>
      <c r="AH1138" s="44"/>
      <c r="AI1138" s="44"/>
      <c r="AJ1138" s="43"/>
      <c r="AK1138" s="44"/>
      <c r="AL1138" s="44"/>
      <c r="AM1138" s="44"/>
      <c r="AN1138" s="44"/>
      <c r="AO1138" s="44"/>
      <c r="AP1138" s="44"/>
      <c r="AQ1138" s="44"/>
      <c r="AR1138" s="44"/>
      <c r="AS1138" s="44"/>
      <c r="AT1138" s="40"/>
      <c r="AU1138" s="18"/>
      <c r="AV1138" s="133"/>
      <c r="AW1138" s="34"/>
      <c r="AX1138" s="123"/>
    </row>
    <row r="1139" spans="1:50" s="50" customFormat="1" x14ac:dyDescent="0.2">
      <c r="B1139" s="77"/>
      <c r="C1139" s="77"/>
      <c r="D1139" s="77"/>
      <c r="E1139" s="77"/>
      <c r="F1139" s="77"/>
      <c r="G1139" s="77"/>
      <c r="H1139" s="77"/>
      <c r="I1139" s="77"/>
      <c r="J1139" s="77"/>
      <c r="K1139" s="77"/>
      <c r="L1139" s="77"/>
      <c r="M1139" s="77"/>
      <c r="N1139" s="77"/>
      <c r="O1139" s="77"/>
      <c r="P1139" s="77"/>
      <c r="Q1139" s="77"/>
      <c r="R1139" s="77"/>
      <c r="S1139" s="77"/>
      <c r="T1139" s="77"/>
      <c r="U1139" s="77"/>
      <c r="V1139" s="77"/>
      <c r="W1139" s="77"/>
      <c r="X1139" s="77"/>
      <c r="Y1139" s="77"/>
      <c r="Z1139" s="77"/>
      <c r="AA1139" s="46"/>
      <c r="AB1139" s="47" t="s">
        <v>737</v>
      </c>
      <c r="AC1139" s="47"/>
      <c r="AD1139" s="48">
        <f t="shared" ref="AD1139:AS1139" si="412">SUM(AD1131:AD1138)</f>
        <v>5055945583</v>
      </c>
      <c r="AE1139" s="48">
        <f t="shared" si="412"/>
        <v>1179021213</v>
      </c>
      <c r="AF1139" s="49">
        <f t="shared" si="412"/>
        <v>0</v>
      </c>
      <c r="AG1139" s="49">
        <f t="shared" si="412"/>
        <v>0</v>
      </c>
      <c r="AH1139" s="49">
        <f t="shared" si="412"/>
        <v>0</v>
      </c>
      <c r="AI1139" s="49">
        <f t="shared" si="412"/>
        <v>1179021213</v>
      </c>
      <c r="AJ1139" s="48">
        <f t="shared" si="412"/>
        <v>6234966796</v>
      </c>
      <c r="AK1139" s="49">
        <f t="shared" si="412"/>
        <v>0</v>
      </c>
      <c r="AL1139" s="121">
        <f t="shared" si="412"/>
        <v>419286051</v>
      </c>
      <c r="AM1139" s="121">
        <f t="shared" si="412"/>
        <v>4114023570</v>
      </c>
      <c r="AN1139" s="49">
        <f t="shared" si="412"/>
        <v>0</v>
      </c>
      <c r="AO1139" s="121">
        <f t="shared" si="412"/>
        <v>419286051</v>
      </c>
      <c r="AP1139" s="121">
        <f t="shared" si="412"/>
        <v>4114023570</v>
      </c>
      <c r="AQ1139" s="48">
        <f t="shared" si="412"/>
        <v>127619384</v>
      </c>
      <c r="AR1139" s="121">
        <f t="shared" si="412"/>
        <v>419286051</v>
      </c>
      <c r="AS1139" s="121">
        <f t="shared" si="412"/>
        <v>3986404186</v>
      </c>
      <c r="AT1139" s="108">
        <f>AQ1139+AS1139</f>
        <v>4114023570</v>
      </c>
      <c r="AU1139" s="48">
        <f>SUM(AU1131:AU1138)</f>
        <v>2120943226</v>
      </c>
      <c r="AV1139" s="49">
        <f>SUM(AV1131:AV1138)</f>
        <v>0</v>
      </c>
      <c r="AW1139" s="49">
        <f>SUM(AW1131:AW1138)</f>
        <v>0</v>
      </c>
      <c r="AX1139" s="24">
        <f>AP1139/AJ1139</f>
        <v>0.65983087073363778</v>
      </c>
    </row>
    <row r="1140" spans="1:50" x14ac:dyDescent="0.2">
      <c r="AA1140" s="16"/>
      <c r="AB1140" s="17"/>
      <c r="AC1140" s="17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</row>
    <row r="1141" spans="1:50" s="25" customFormat="1" x14ac:dyDescent="0.2">
      <c r="B1141" s="71"/>
      <c r="C1141" s="71"/>
      <c r="D1141" s="71"/>
      <c r="E1141" s="71"/>
      <c r="F1141" s="71"/>
      <c r="G1141" s="71"/>
      <c r="H1141" s="71"/>
      <c r="I1141" s="71"/>
      <c r="J1141" s="71"/>
      <c r="K1141" s="71"/>
      <c r="L1141" s="71"/>
      <c r="M1141" s="71"/>
      <c r="N1141" s="71"/>
      <c r="O1141" s="71"/>
      <c r="P1141" s="71"/>
      <c r="Q1141" s="71"/>
      <c r="R1141" s="71"/>
      <c r="S1141" s="71"/>
      <c r="T1141" s="71"/>
      <c r="U1141" s="71"/>
      <c r="V1141" s="71"/>
      <c r="W1141" s="71"/>
      <c r="X1141" s="71"/>
      <c r="Y1141" s="71"/>
      <c r="Z1141" s="71"/>
      <c r="AA1141" s="66"/>
      <c r="AB1141" s="21" t="s">
        <v>738</v>
      </c>
      <c r="AC1141" s="67"/>
      <c r="AD1141" s="63"/>
      <c r="AE1141" s="63"/>
      <c r="AF1141" s="63"/>
      <c r="AG1141" s="63"/>
      <c r="AH1141" s="63"/>
      <c r="AI1141" s="63"/>
      <c r="AJ1141" s="63"/>
      <c r="AK1141" s="63"/>
      <c r="AL1141" s="63"/>
      <c r="AM1141" s="63"/>
      <c r="AN1141" s="63"/>
      <c r="AO1141" s="63"/>
      <c r="AP1141" s="63"/>
      <c r="AQ1141" s="63"/>
      <c r="AR1141" s="63"/>
      <c r="AS1141" s="63"/>
      <c r="AT1141" s="63"/>
      <c r="AU1141" s="63"/>
      <c r="AV1141" s="63"/>
      <c r="AW1141" s="63"/>
      <c r="AX1141" s="63"/>
    </row>
    <row r="1142" spans="1:50" x14ac:dyDescent="0.2">
      <c r="AA1142" s="16"/>
      <c r="AB1142" s="29" t="s">
        <v>285</v>
      </c>
      <c r="AC1142" s="17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</row>
    <row r="1143" spans="1:50" x14ac:dyDescent="0.2">
      <c r="AA1143" s="16"/>
      <c r="AB1143" s="29" t="s">
        <v>202</v>
      </c>
      <c r="AC1143" s="17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</row>
    <row r="1144" spans="1:50" x14ac:dyDescent="0.2">
      <c r="AA1144" s="16"/>
      <c r="AB1144" s="29" t="s">
        <v>203</v>
      </c>
      <c r="AC1144" s="17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</row>
    <row r="1145" spans="1:50" x14ac:dyDescent="0.2">
      <c r="AA1145" s="16"/>
      <c r="AB1145" s="29" t="s">
        <v>204</v>
      </c>
      <c r="AC1145" s="17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</row>
    <row r="1146" spans="1:50" ht="25.5" x14ac:dyDescent="0.2">
      <c r="AA1146" s="16"/>
      <c r="AB1146" s="29" t="s">
        <v>739</v>
      </c>
      <c r="AC1146" s="17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</row>
    <row r="1147" spans="1:50" ht="25.5" x14ac:dyDescent="0.2">
      <c r="AA1147" s="16"/>
      <c r="AB1147" s="29" t="s">
        <v>205</v>
      </c>
      <c r="AC1147" s="17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30"/>
      <c r="AU1147" s="18"/>
      <c r="AV1147" s="18"/>
      <c r="AW1147" s="18"/>
      <c r="AX1147" s="18"/>
    </row>
    <row r="1148" spans="1:50" ht="25.5" x14ac:dyDescent="0.2">
      <c r="AA1148" s="28" t="s">
        <v>288</v>
      </c>
      <c r="AB1148" s="29" t="s">
        <v>740</v>
      </c>
      <c r="AC1148" s="17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30"/>
      <c r="AU1148" s="18"/>
      <c r="AV1148" s="18"/>
      <c r="AW1148" s="18"/>
      <c r="AX1148" s="18"/>
    </row>
    <row r="1149" spans="1:50" x14ac:dyDescent="0.2">
      <c r="A1149" s="4" t="s">
        <v>55</v>
      </c>
      <c r="B1149" s="4" t="s">
        <v>56</v>
      </c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1" t="s">
        <v>741</v>
      </c>
      <c r="AB1149" s="42" t="s">
        <v>233</v>
      </c>
      <c r="AC1149" s="43" t="s">
        <v>58</v>
      </c>
      <c r="AD1149" s="43">
        <v>9645837227</v>
      </c>
      <c r="AE1149" s="44">
        <v>0</v>
      </c>
      <c r="AF1149" s="44">
        <v>0</v>
      </c>
      <c r="AG1149" s="44">
        <v>0</v>
      </c>
      <c r="AH1149" s="44">
        <v>0</v>
      </c>
      <c r="AI1149" s="44">
        <v>0</v>
      </c>
      <c r="AJ1149" s="43">
        <v>9645837227</v>
      </c>
      <c r="AK1149" s="44">
        <v>0</v>
      </c>
      <c r="AL1149" s="43">
        <v>803819769</v>
      </c>
      <c r="AM1149" s="43">
        <v>5626738383</v>
      </c>
      <c r="AN1149" s="44">
        <v>0</v>
      </c>
      <c r="AO1149" s="43">
        <v>803819769</v>
      </c>
      <c r="AP1149" s="43">
        <v>5626738383</v>
      </c>
      <c r="AQ1149" s="44">
        <v>0</v>
      </c>
      <c r="AR1149" s="114">
        <v>803819769</v>
      </c>
      <c r="AS1149" s="114">
        <v>5626738383</v>
      </c>
      <c r="AT1149" s="111">
        <f t="shared" ref="AT1149:AT1153" si="413">AQ1149+AS1149</f>
        <v>5626738383</v>
      </c>
      <c r="AU1149" s="110">
        <f>AJ1149-AM1149</f>
        <v>4019098844</v>
      </c>
      <c r="AV1149" s="133">
        <f>AM1149-AP1149</f>
        <v>0</v>
      </c>
      <c r="AW1149" s="34">
        <f>AP1149-AT1149</f>
        <v>0</v>
      </c>
      <c r="AX1149" s="123">
        <f>AP1149/AJ1149</f>
        <v>0.58333333339380844</v>
      </c>
    </row>
    <row r="1150" spans="1:50" x14ac:dyDescent="0.2">
      <c r="A1150" s="4" t="s">
        <v>55</v>
      </c>
      <c r="B1150" s="4" t="s">
        <v>56</v>
      </c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134" t="s">
        <v>742</v>
      </c>
      <c r="AB1150" s="69" t="s">
        <v>743</v>
      </c>
      <c r="AC1150" s="43" t="s">
        <v>744</v>
      </c>
      <c r="AD1150" s="43">
        <v>1148574460</v>
      </c>
      <c r="AE1150" s="44">
        <v>0</v>
      </c>
      <c r="AF1150" s="44">
        <v>0</v>
      </c>
      <c r="AG1150" s="44">
        <v>0</v>
      </c>
      <c r="AH1150" s="44">
        <v>0</v>
      </c>
      <c r="AI1150" s="44">
        <v>0</v>
      </c>
      <c r="AJ1150" s="43">
        <v>1148574460</v>
      </c>
      <c r="AK1150" s="44">
        <v>0</v>
      </c>
      <c r="AL1150" s="43">
        <v>95714538</v>
      </c>
      <c r="AM1150" s="43">
        <v>670001766</v>
      </c>
      <c r="AN1150" s="44">
        <v>0</v>
      </c>
      <c r="AO1150" s="43">
        <v>95714538</v>
      </c>
      <c r="AP1150" s="43">
        <v>670001766</v>
      </c>
      <c r="AQ1150" s="44">
        <v>0</v>
      </c>
      <c r="AR1150" s="114">
        <v>95714538</v>
      </c>
      <c r="AS1150" s="114">
        <v>670001766</v>
      </c>
      <c r="AT1150" s="111">
        <f t="shared" si="413"/>
        <v>670001766</v>
      </c>
      <c r="AU1150" s="110">
        <f>AJ1150-AM1150</f>
        <v>478572694</v>
      </c>
      <c r="AV1150" s="133">
        <f>AM1150-AP1150</f>
        <v>0</v>
      </c>
      <c r="AW1150" s="34">
        <f>AP1150-AT1150</f>
        <v>0</v>
      </c>
      <c r="AX1150" s="123">
        <f>AP1150/AJ1150</f>
        <v>0.58333333130182963</v>
      </c>
    </row>
    <row r="1151" spans="1:50" x14ac:dyDescent="0.2">
      <c r="A1151" s="4" t="s">
        <v>55</v>
      </c>
      <c r="B1151" s="4" t="s">
        <v>56</v>
      </c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134" t="s">
        <v>745</v>
      </c>
      <c r="AB1151" s="69" t="s">
        <v>281</v>
      </c>
      <c r="AC1151" s="43" t="s">
        <v>253</v>
      </c>
      <c r="AD1151" s="43">
        <v>3200000000</v>
      </c>
      <c r="AE1151" s="44">
        <v>0</v>
      </c>
      <c r="AF1151" s="44">
        <v>0</v>
      </c>
      <c r="AG1151" s="44">
        <v>0</v>
      </c>
      <c r="AH1151" s="44">
        <v>0</v>
      </c>
      <c r="AI1151" s="44">
        <v>0</v>
      </c>
      <c r="AJ1151" s="43">
        <v>3200000000</v>
      </c>
      <c r="AK1151" s="44">
        <v>0</v>
      </c>
      <c r="AL1151" s="43">
        <v>289000000</v>
      </c>
      <c r="AM1151" s="43">
        <v>1124577298</v>
      </c>
      <c r="AN1151" s="44">
        <v>0</v>
      </c>
      <c r="AO1151" s="43">
        <v>289000000</v>
      </c>
      <c r="AP1151" s="43">
        <v>1124577298</v>
      </c>
      <c r="AQ1151" s="44">
        <v>0</v>
      </c>
      <c r="AR1151" s="114">
        <v>289000000</v>
      </c>
      <c r="AS1151" s="114">
        <v>1124577298</v>
      </c>
      <c r="AT1151" s="111">
        <f t="shared" si="413"/>
        <v>1124577298</v>
      </c>
      <c r="AU1151" s="110">
        <f>AJ1151-AM1151</f>
        <v>2075422702</v>
      </c>
      <c r="AV1151" s="133">
        <f>AM1151-AP1151</f>
        <v>0</v>
      </c>
      <c r="AW1151" s="34">
        <f>AP1151-AT1151</f>
        <v>0</v>
      </c>
      <c r="AX1151" s="123">
        <f>AP1151/AJ1151</f>
        <v>0.351430405625</v>
      </c>
    </row>
    <row r="1152" spans="1:50" ht="25.5" x14ac:dyDescent="0.2">
      <c r="A1152" s="4" t="s">
        <v>55</v>
      </c>
      <c r="B1152" s="4" t="s">
        <v>56</v>
      </c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1" t="s">
        <v>746</v>
      </c>
      <c r="AB1152" s="42" t="s">
        <v>747</v>
      </c>
      <c r="AC1152" s="43" t="s">
        <v>258</v>
      </c>
      <c r="AD1152" s="43">
        <v>35443183</v>
      </c>
      <c r="AE1152" s="44">
        <v>0</v>
      </c>
      <c r="AF1152" s="44">
        <v>0</v>
      </c>
      <c r="AG1152" s="44">
        <v>0</v>
      </c>
      <c r="AH1152" s="44">
        <v>0</v>
      </c>
      <c r="AI1152" s="44">
        <v>0</v>
      </c>
      <c r="AJ1152" s="43">
        <v>35443183</v>
      </c>
      <c r="AK1152" s="44">
        <v>0</v>
      </c>
      <c r="AL1152" s="44">
        <v>0</v>
      </c>
      <c r="AM1152" s="44">
        <v>0</v>
      </c>
      <c r="AN1152" s="44">
        <v>0</v>
      </c>
      <c r="AO1152" s="44">
        <v>0</v>
      </c>
      <c r="AP1152" s="44">
        <v>0</v>
      </c>
      <c r="AQ1152" s="44">
        <v>0</v>
      </c>
      <c r="AR1152" s="44">
        <v>0</v>
      </c>
      <c r="AS1152" s="44">
        <v>0</v>
      </c>
      <c r="AT1152" s="135">
        <f t="shared" si="413"/>
        <v>0</v>
      </c>
      <c r="AU1152" s="110">
        <f>AJ1152-AM1152</f>
        <v>35443183</v>
      </c>
      <c r="AV1152" s="133">
        <f>AM1152-AP1152</f>
        <v>0</v>
      </c>
      <c r="AW1152" s="34">
        <f>AP1152-AT1152</f>
        <v>0</v>
      </c>
      <c r="AX1152" s="123">
        <f>AP1152/AJ1152</f>
        <v>0</v>
      </c>
    </row>
    <row r="1153" spans="1:50" x14ac:dyDescent="0.2">
      <c r="A1153" s="4" t="s">
        <v>55</v>
      </c>
      <c r="B1153" s="4" t="s">
        <v>56</v>
      </c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1" t="s">
        <v>748</v>
      </c>
      <c r="AB1153" s="42" t="s">
        <v>749</v>
      </c>
      <c r="AC1153" s="43" t="s">
        <v>368</v>
      </c>
      <c r="AD1153" s="43">
        <v>30000000</v>
      </c>
      <c r="AE1153" s="44">
        <v>0</v>
      </c>
      <c r="AF1153" s="44">
        <v>0</v>
      </c>
      <c r="AG1153" s="44">
        <v>0</v>
      </c>
      <c r="AH1153" s="44">
        <v>0</v>
      </c>
      <c r="AI1153" s="44">
        <v>0</v>
      </c>
      <c r="AJ1153" s="43">
        <v>30000000</v>
      </c>
      <c r="AK1153" s="44">
        <v>0</v>
      </c>
      <c r="AL1153" s="44">
        <v>0</v>
      </c>
      <c r="AM1153" s="44">
        <v>0</v>
      </c>
      <c r="AN1153" s="44">
        <v>0</v>
      </c>
      <c r="AO1153" s="44">
        <v>0</v>
      </c>
      <c r="AP1153" s="44">
        <v>0</v>
      </c>
      <c r="AQ1153" s="44">
        <v>0</v>
      </c>
      <c r="AR1153" s="44">
        <v>0</v>
      </c>
      <c r="AS1153" s="44">
        <v>0</v>
      </c>
      <c r="AT1153" s="135">
        <f t="shared" si="413"/>
        <v>0</v>
      </c>
      <c r="AU1153" s="110">
        <f>AJ1153-AM1153</f>
        <v>30000000</v>
      </c>
      <c r="AV1153" s="133">
        <f>AM1153-AP1153</f>
        <v>0</v>
      </c>
      <c r="AW1153" s="34">
        <f>AP1153-AT1153</f>
        <v>0</v>
      </c>
      <c r="AX1153" s="123">
        <f>AP1153/AJ1153</f>
        <v>0</v>
      </c>
    </row>
    <row r="1154" spans="1:50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1"/>
      <c r="AB1154" s="42"/>
      <c r="AC1154" s="43"/>
      <c r="AD1154" s="43"/>
      <c r="AE1154" s="44"/>
      <c r="AF1154" s="44"/>
      <c r="AG1154" s="44"/>
      <c r="AH1154" s="44"/>
      <c r="AI1154" s="44"/>
      <c r="AJ1154" s="43"/>
      <c r="AK1154" s="44"/>
      <c r="AL1154" s="44"/>
      <c r="AM1154" s="44"/>
      <c r="AN1154" s="44"/>
      <c r="AO1154" s="44"/>
      <c r="AP1154" s="44"/>
      <c r="AQ1154" s="44"/>
      <c r="AR1154" s="44"/>
      <c r="AS1154" s="44"/>
      <c r="AT1154" s="135"/>
      <c r="AU1154" s="110"/>
      <c r="AV1154" s="133"/>
      <c r="AW1154" s="34"/>
      <c r="AX1154" s="123"/>
    </row>
    <row r="1155" spans="1:50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225" t="s">
        <v>288</v>
      </c>
      <c r="AB1155" s="226" t="s">
        <v>1138</v>
      </c>
      <c r="AC1155" s="43"/>
      <c r="AD1155" s="43"/>
      <c r="AE1155" s="233"/>
      <c r="AF1155" s="44"/>
      <c r="AG1155" s="44"/>
      <c r="AH1155" s="44"/>
      <c r="AI1155" s="44"/>
      <c r="AJ1155" s="43"/>
      <c r="AK1155" s="44"/>
      <c r="AL1155" s="44"/>
      <c r="AM1155" s="44"/>
      <c r="AN1155" s="44"/>
      <c r="AO1155" s="44"/>
      <c r="AP1155" s="44"/>
      <c r="AQ1155" s="44"/>
      <c r="AR1155" s="44"/>
      <c r="AS1155" s="44"/>
      <c r="AT1155" s="135"/>
      <c r="AU1155" s="110"/>
      <c r="AV1155" s="133"/>
      <c r="AW1155" s="34"/>
      <c r="AX1155" s="123"/>
    </row>
    <row r="1156" spans="1:50" ht="25.5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166" t="s">
        <v>1139</v>
      </c>
      <c r="AB1156" s="167" t="s">
        <v>1055</v>
      </c>
      <c r="AC1156" s="168"/>
      <c r="AD1156" s="255">
        <v>0</v>
      </c>
      <c r="AE1156" s="217">
        <v>140000000</v>
      </c>
      <c r="AF1156" s="216">
        <v>0</v>
      </c>
      <c r="AG1156" s="44">
        <v>0</v>
      </c>
      <c r="AH1156" s="44">
        <v>0</v>
      </c>
      <c r="AI1156" s="43">
        <f t="shared" ref="AI1156:AI1157" si="414">AE1156-AF1156+AG1156-AH1156</f>
        <v>140000000</v>
      </c>
      <c r="AJ1156" s="43">
        <f t="shared" ref="AJ1156:AJ1157" si="415">AD1156+AI1156</f>
        <v>140000000</v>
      </c>
      <c r="AK1156" s="44">
        <v>0</v>
      </c>
      <c r="AL1156" s="44">
        <v>0</v>
      </c>
      <c r="AM1156" s="43">
        <v>140000000</v>
      </c>
      <c r="AN1156" s="44">
        <v>0</v>
      </c>
      <c r="AO1156" s="44">
        <v>0</v>
      </c>
      <c r="AP1156" s="43">
        <v>140000000</v>
      </c>
      <c r="AQ1156" s="44">
        <v>0</v>
      </c>
      <c r="AR1156" s="43">
        <v>0</v>
      </c>
      <c r="AS1156" s="43">
        <v>140000000</v>
      </c>
      <c r="AT1156" s="39">
        <f t="shared" ref="AT1156:AT1157" si="416">AQ1156+AS1156</f>
        <v>140000000</v>
      </c>
      <c r="AU1156" s="133">
        <f>AJ1156-AM1156</f>
        <v>0</v>
      </c>
      <c r="AV1156" s="133">
        <f>AM1156-AP1156</f>
        <v>0</v>
      </c>
      <c r="AW1156" s="34">
        <f>AP1156-AT1156</f>
        <v>0</v>
      </c>
      <c r="AX1156" s="123">
        <f>AP1156/AJ1156</f>
        <v>1</v>
      </c>
    </row>
    <row r="1157" spans="1:50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166" t="s">
        <v>1140</v>
      </c>
      <c r="AB1157" s="167" t="s">
        <v>1013</v>
      </c>
      <c r="AC1157" s="168"/>
      <c r="AD1157" s="255">
        <v>0</v>
      </c>
      <c r="AE1157" s="217">
        <v>92624671.799999997</v>
      </c>
      <c r="AF1157" s="216">
        <v>0</v>
      </c>
      <c r="AG1157" s="216">
        <v>0</v>
      </c>
      <c r="AH1157" s="216">
        <v>0</v>
      </c>
      <c r="AI1157" s="43">
        <f t="shared" si="414"/>
        <v>92624671.799999997</v>
      </c>
      <c r="AJ1157" s="43">
        <f t="shared" si="415"/>
        <v>92624671.799999997</v>
      </c>
      <c r="AK1157" s="44">
        <v>0</v>
      </c>
      <c r="AL1157" s="44">
        <v>0</v>
      </c>
      <c r="AM1157" s="43">
        <v>92624671.799999997</v>
      </c>
      <c r="AN1157" s="44">
        <v>0</v>
      </c>
      <c r="AO1157" s="44">
        <v>0</v>
      </c>
      <c r="AP1157" s="43">
        <v>92624671.799999997</v>
      </c>
      <c r="AQ1157" s="44">
        <v>0</v>
      </c>
      <c r="AR1157" s="43">
        <v>0</v>
      </c>
      <c r="AS1157" s="43">
        <v>92624671.799999997</v>
      </c>
      <c r="AT1157" s="39">
        <f t="shared" si="416"/>
        <v>92624671.799999997</v>
      </c>
      <c r="AU1157" s="133">
        <f>AJ1157-AM1157</f>
        <v>0</v>
      </c>
      <c r="AV1157" s="133">
        <f>AM1157-AP1157</f>
        <v>0</v>
      </c>
      <c r="AW1157" s="34">
        <f>AP1157-AT1157</f>
        <v>0</v>
      </c>
      <c r="AX1157" s="123">
        <f>AP1157/AJ1157</f>
        <v>1</v>
      </c>
    </row>
    <row r="1158" spans="1:50" ht="25.5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170" t="s">
        <v>288</v>
      </c>
      <c r="AB1158" s="165" t="s">
        <v>1141</v>
      </c>
      <c r="AC1158" s="168"/>
      <c r="AD1158" s="255"/>
      <c r="AE1158" s="235"/>
      <c r="AF1158" s="216"/>
      <c r="AG1158" s="44"/>
      <c r="AH1158" s="44"/>
      <c r="AI1158" s="44"/>
      <c r="AJ1158" s="43"/>
      <c r="AK1158" s="44"/>
      <c r="AL1158" s="44"/>
      <c r="AM1158" s="44"/>
      <c r="AN1158" s="44"/>
      <c r="AO1158" s="44"/>
      <c r="AP1158" s="44"/>
      <c r="AQ1158" s="44"/>
      <c r="AR1158" s="44"/>
      <c r="AS1158" s="44"/>
      <c r="AT1158" s="135"/>
      <c r="AU1158" s="133"/>
      <c r="AV1158" s="133"/>
      <c r="AW1158" s="34"/>
      <c r="AX1158" s="123"/>
    </row>
    <row r="1159" spans="1:50" ht="25.5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166" t="s">
        <v>1142</v>
      </c>
      <c r="AB1159" s="167" t="s">
        <v>1055</v>
      </c>
      <c r="AC1159" s="168"/>
      <c r="AD1159" s="255">
        <v>0</v>
      </c>
      <c r="AE1159" s="217">
        <v>15000000</v>
      </c>
      <c r="AF1159" s="216">
        <v>0</v>
      </c>
      <c r="AG1159" s="216">
        <v>0</v>
      </c>
      <c r="AH1159" s="216">
        <v>0</v>
      </c>
      <c r="AI1159" s="43">
        <f t="shared" ref="AI1159:AI1162" si="417">AE1159-AF1159+AG1159-AH1159</f>
        <v>15000000</v>
      </c>
      <c r="AJ1159" s="43">
        <f t="shared" ref="AJ1159:AJ1162" si="418">AD1159+AI1159</f>
        <v>15000000</v>
      </c>
      <c r="AK1159" s="44">
        <v>0</v>
      </c>
      <c r="AL1159" s="44">
        <v>0</v>
      </c>
      <c r="AM1159" s="43">
        <v>15000000</v>
      </c>
      <c r="AN1159" s="44">
        <v>0</v>
      </c>
      <c r="AO1159" s="44">
        <v>0</v>
      </c>
      <c r="AP1159" s="43">
        <v>15000000</v>
      </c>
      <c r="AQ1159" s="44">
        <v>0</v>
      </c>
      <c r="AR1159" s="43">
        <v>0</v>
      </c>
      <c r="AS1159" s="43">
        <v>15000000</v>
      </c>
      <c r="AT1159" s="39">
        <f t="shared" ref="AT1159:AT1162" si="419">AQ1159+AS1159</f>
        <v>15000000</v>
      </c>
      <c r="AU1159" s="133">
        <f>AJ1159-AM1159</f>
        <v>0</v>
      </c>
      <c r="AV1159" s="133">
        <f>AM1159-AP1159</f>
        <v>0</v>
      </c>
      <c r="AW1159" s="34">
        <f>AP1159-AT1159</f>
        <v>0</v>
      </c>
      <c r="AX1159" s="123">
        <f>AP1159/AJ1159</f>
        <v>1</v>
      </c>
    </row>
    <row r="1160" spans="1:50" ht="25.5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166" t="s">
        <v>1143</v>
      </c>
      <c r="AB1160" s="167" t="s">
        <v>1055</v>
      </c>
      <c r="AC1160" s="168"/>
      <c r="AD1160" s="255">
        <v>0</v>
      </c>
      <c r="AE1160" s="217">
        <v>100000000</v>
      </c>
      <c r="AF1160" s="216">
        <v>0</v>
      </c>
      <c r="AG1160" s="216">
        <v>0</v>
      </c>
      <c r="AH1160" s="216">
        <v>0</v>
      </c>
      <c r="AI1160" s="43">
        <f t="shared" si="417"/>
        <v>100000000</v>
      </c>
      <c r="AJ1160" s="43">
        <f t="shared" si="418"/>
        <v>100000000</v>
      </c>
      <c r="AK1160" s="44">
        <v>0</v>
      </c>
      <c r="AL1160" s="44">
        <v>0</v>
      </c>
      <c r="AM1160" s="43">
        <v>100000000</v>
      </c>
      <c r="AN1160" s="44">
        <v>0</v>
      </c>
      <c r="AO1160" s="44">
        <v>0</v>
      </c>
      <c r="AP1160" s="43">
        <v>100000000</v>
      </c>
      <c r="AQ1160" s="44">
        <v>0</v>
      </c>
      <c r="AR1160" s="43">
        <v>0</v>
      </c>
      <c r="AS1160" s="43">
        <v>100000000</v>
      </c>
      <c r="AT1160" s="39">
        <f t="shared" si="419"/>
        <v>100000000</v>
      </c>
      <c r="AU1160" s="133">
        <f>AJ1160-AM1160</f>
        <v>0</v>
      </c>
      <c r="AV1160" s="133">
        <f>AM1160-AP1160</f>
        <v>0</v>
      </c>
      <c r="AW1160" s="34">
        <f>AP1160-AT1160</f>
        <v>0</v>
      </c>
      <c r="AX1160" s="123">
        <f>AP1160/AJ1160</f>
        <v>1</v>
      </c>
    </row>
    <row r="1161" spans="1:50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166" t="s">
        <v>1144</v>
      </c>
      <c r="AB1161" s="167" t="s">
        <v>1013</v>
      </c>
      <c r="AC1161" s="168"/>
      <c r="AD1161" s="255">
        <v>0</v>
      </c>
      <c r="AE1161" s="217">
        <v>80000000</v>
      </c>
      <c r="AF1161" s="216">
        <v>0</v>
      </c>
      <c r="AG1161" s="216">
        <v>0</v>
      </c>
      <c r="AH1161" s="216">
        <v>0</v>
      </c>
      <c r="AI1161" s="43">
        <f t="shared" si="417"/>
        <v>80000000</v>
      </c>
      <c r="AJ1161" s="43">
        <f t="shared" si="418"/>
        <v>80000000</v>
      </c>
      <c r="AK1161" s="44">
        <v>0</v>
      </c>
      <c r="AL1161" s="44">
        <v>0</v>
      </c>
      <c r="AM1161" s="43">
        <v>80000000</v>
      </c>
      <c r="AN1161" s="44">
        <v>0</v>
      </c>
      <c r="AO1161" s="44">
        <v>0</v>
      </c>
      <c r="AP1161" s="43">
        <v>80000000</v>
      </c>
      <c r="AQ1161" s="44">
        <v>0</v>
      </c>
      <c r="AR1161" s="43">
        <v>0</v>
      </c>
      <c r="AS1161" s="43">
        <v>80000000</v>
      </c>
      <c r="AT1161" s="39">
        <f t="shared" si="419"/>
        <v>80000000</v>
      </c>
      <c r="AU1161" s="133">
        <f>AJ1161-AM1161</f>
        <v>0</v>
      </c>
      <c r="AV1161" s="133">
        <f>AM1161-AP1161</f>
        <v>0</v>
      </c>
      <c r="AW1161" s="34">
        <f>AP1161-AT1161</f>
        <v>0</v>
      </c>
      <c r="AX1161" s="123">
        <f>AP1161/AJ1161</f>
        <v>1</v>
      </c>
    </row>
    <row r="1162" spans="1:50" ht="25.5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166" t="s">
        <v>1145</v>
      </c>
      <c r="AB1162" s="167" t="s">
        <v>1044</v>
      </c>
      <c r="AC1162" s="168"/>
      <c r="AD1162" s="255">
        <v>0</v>
      </c>
      <c r="AE1162" s="217">
        <v>22000000</v>
      </c>
      <c r="AF1162" s="216">
        <v>0</v>
      </c>
      <c r="AG1162" s="216">
        <v>0</v>
      </c>
      <c r="AH1162" s="216">
        <v>0</v>
      </c>
      <c r="AI1162" s="43">
        <f t="shared" si="417"/>
        <v>22000000</v>
      </c>
      <c r="AJ1162" s="43">
        <f t="shared" si="418"/>
        <v>22000000</v>
      </c>
      <c r="AK1162" s="44">
        <v>0</v>
      </c>
      <c r="AL1162" s="44">
        <v>0</v>
      </c>
      <c r="AM1162" s="43">
        <v>22000000</v>
      </c>
      <c r="AN1162" s="44">
        <v>0</v>
      </c>
      <c r="AO1162" s="44">
        <v>0</v>
      </c>
      <c r="AP1162" s="43">
        <v>22000000</v>
      </c>
      <c r="AQ1162" s="44">
        <v>0</v>
      </c>
      <c r="AR1162" s="44">
        <v>0</v>
      </c>
      <c r="AS1162" s="43">
        <v>22000000</v>
      </c>
      <c r="AT1162" s="39">
        <f t="shared" si="419"/>
        <v>22000000</v>
      </c>
      <c r="AU1162" s="133">
        <f>AJ1162-AM1162</f>
        <v>0</v>
      </c>
      <c r="AV1162" s="133">
        <f>AM1162-AP1162</f>
        <v>0</v>
      </c>
      <c r="AW1162" s="34">
        <f>AP1162-AT1162</f>
        <v>0</v>
      </c>
      <c r="AX1162" s="123">
        <f>AP1162/AJ1162</f>
        <v>1</v>
      </c>
    </row>
    <row r="1163" spans="1:50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170" t="s">
        <v>288</v>
      </c>
      <c r="AB1163" s="165" t="s">
        <v>199</v>
      </c>
      <c r="AC1163" s="168"/>
      <c r="AD1163" s="255"/>
      <c r="AE1163" s="235"/>
      <c r="AF1163" s="216"/>
      <c r="AG1163" s="44"/>
      <c r="AH1163" s="44"/>
      <c r="AI1163" s="44"/>
      <c r="AJ1163" s="43"/>
      <c r="AK1163" s="44"/>
      <c r="AL1163" s="44"/>
      <c r="AM1163" s="44"/>
      <c r="AN1163" s="44"/>
      <c r="AO1163" s="44"/>
      <c r="AP1163" s="44"/>
      <c r="AQ1163" s="44"/>
      <c r="AR1163" s="44"/>
      <c r="AS1163" s="44"/>
      <c r="AT1163" s="135"/>
      <c r="AU1163" s="133"/>
      <c r="AV1163" s="133"/>
      <c r="AW1163" s="34"/>
      <c r="AX1163" s="123"/>
    </row>
    <row r="1164" spans="1:50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166" t="s">
        <v>1146</v>
      </c>
      <c r="AB1164" s="167" t="s">
        <v>1147</v>
      </c>
      <c r="AC1164" s="168"/>
      <c r="AD1164" s="255">
        <v>0</v>
      </c>
      <c r="AE1164" s="217">
        <v>134265906</v>
      </c>
      <c r="AF1164" s="216">
        <v>0</v>
      </c>
      <c r="AG1164" s="44">
        <v>0</v>
      </c>
      <c r="AH1164" s="44">
        <v>0</v>
      </c>
      <c r="AI1164" s="43">
        <f t="shared" ref="AI1164:AI1165" si="420">AE1164-AF1164+AG1164-AH1164</f>
        <v>134265906</v>
      </c>
      <c r="AJ1164" s="43">
        <f t="shared" ref="AJ1164:AJ1165" si="421">AD1164+AI1164</f>
        <v>134265906</v>
      </c>
      <c r="AK1164" s="44">
        <v>0</v>
      </c>
      <c r="AL1164" s="44">
        <v>0</v>
      </c>
      <c r="AM1164" s="43">
        <v>134265906</v>
      </c>
      <c r="AN1164" s="44">
        <v>0</v>
      </c>
      <c r="AO1164" s="44">
        <v>0</v>
      </c>
      <c r="AP1164" s="43">
        <v>134265906</v>
      </c>
      <c r="AQ1164" s="44">
        <v>0</v>
      </c>
      <c r="AR1164" s="43">
        <v>0</v>
      </c>
      <c r="AS1164" s="43">
        <v>134265906</v>
      </c>
      <c r="AT1164" s="39">
        <f t="shared" ref="AT1164:AT1165" si="422">AQ1164+AS1164</f>
        <v>134265906</v>
      </c>
      <c r="AU1164" s="133">
        <f>AJ1164-AM1164</f>
        <v>0</v>
      </c>
      <c r="AV1164" s="133">
        <f>AM1164-AP1164</f>
        <v>0</v>
      </c>
      <c r="AW1164" s="34">
        <f>AP1164-AT1164</f>
        <v>0</v>
      </c>
      <c r="AX1164" s="123">
        <f>AP1164/AJ1164</f>
        <v>1</v>
      </c>
    </row>
    <row r="1165" spans="1:50" ht="25.5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166" t="s">
        <v>1148</v>
      </c>
      <c r="AB1165" s="167" t="s">
        <v>1149</v>
      </c>
      <c r="AC1165" s="168"/>
      <c r="AD1165" s="255">
        <v>0</v>
      </c>
      <c r="AE1165" s="217">
        <v>24691137.52</v>
      </c>
      <c r="AF1165" s="216">
        <v>0</v>
      </c>
      <c r="AG1165" s="216">
        <v>0</v>
      </c>
      <c r="AH1165" s="216">
        <v>0</v>
      </c>
      <c r="AI1165" s="43">
        <f t="shared" si="420"/>
        <v>24691137.52</v>
      </c>
      <c r="AJ1165" s="43">
        <f t="shared" si="421"/>
        <v>24691137.52</v>
      </c>
      <c r="AK1165" s="44">
        <v>0</v>
      </c>
      <c r="AL1165" s="44">
        <v>0</v>
      </c>
      <c r="AM1165" s="43">
        <v>24691137.52</v>
      </c>
      <c r="AN1165" s="44">
        <v>0</v>
      </c>
      <c r="AO1165" s="44">
        <v>0</v>
      </c>
      <c r="AP1165" s="43">
        <v>24691137.52</v>
      </c>
      <c r="AQ1165" s="44">
        <v>0</v>
      </c>
      <c r="AR1165" s="43">
        <v>0</v>
      </c>
      <c r="AS1165" s="43">
        <v>24691137.52</v>
      </c>
      <c r="AT1165" s="39">
        <f t="shared" si="422"/>
        <v>24691137.52</v>
      </c>
      <c r="AU1165" s="133">
        <f>AJ1165-AM1165</f>
        <v>0</v>
      </c>
      <c r="AV1165" s="133">
        <f>AM1165-AP1165</f>
        <v>0</v>
      </c>
      <c r="AW1165" s="34">
        <f>AP1165-AT1165</f>
        <v>0</v>
      </c>
      <c r="AX1165" s="123">
        <f>AP1165/AJ1165</f>
        <v>1</v>
      </c>
    </row>
    <row r="1166" spans="1:50" ht="25.5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170" t="s">
        <v>288</v>
      </c>
      <c r="AB1166" s="165" t="s">
        <v>1150</v>
      </c>
      <c r="AC1166" s="168"/>
      <c r="AD1166" s="231"/>
      <c r="AE1166" s="236"/>
      <c r="AF1166" s="216"/>
      <c r="AG1166" s="44"/>
      <c r="AH1166" s="44"/>
      <c r="AI1166" s="44"/>
      <c r="AJ1166" s="43"/>
      <c r="AK1166" s="44"/>
      <c r="AL1166" s="44"/>
      <c r="AM1166" s="44"/>
      <c r="AN1166" s="44"/>
      <c r="AO1166" s="44"/>
      <c r="AP1166" s="44"/>
      <c r="AQ1166" s="44"/>
      <c r="AR1166" s="44"/>
      <c r="AS1166" s="44"/>
      <c r="AT1166" s="135"/>
      <c r="AU1166" s="133"/>
      <c r="AV1166" s="133"/>
      <c r="AW1166" s="34"/>
      <c r="AX1166" s="123"/>
    </row>
    <row r="1167" spans="1:50" ht="25.5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166" t="s">
        <v>1151</v>
      </c>
      <c r="AB1167" s="167" t="s">
        <v>1055</v>
      </c>
      <c r="AC1167" s="168"/>
      <c r="AD1167" s="255">
        <v>0</v>
      </c>
      <c r="AE1167" s="217">
        <v>233600000</v>
      </c>
      <c r="AF1167" s="216">
        <v>0</v>
      </c>
      <c r="AG1167" s="216">
        <v>0</v>
      </c>
      <c r="AH1167" s="216">
        <v>0</v>
      </c>
      <c r="AI1167" s="43">
        <f t="shared" ref="AI1167" si="423">AE1167-AF1167+AG1167-AH1167</f>
        <v>233600000</v>
      </c>
      <c r="AJ1167" s="43">
        <f t="shared" ref="AJ1167" si="424">AD1167+AI1167</f>
        <v>233600000</v>
      </c>
      <c r="AK1167" s="44">
        <v>0</v>
      </c>
      <c r="AL1167" s="44">
        <v>0</v>
      </c>
      <c r="AM1167" s="43">
        <v>233600000</v>
      </c>
      <c r="AN1167" s="44">
        <v>0</v>
      </c>
      <c r="AO1167" s="44">
        <v>0</v>
      </c>
      <c r="AP1167" s="43">
        <v>233600000</v>
      </c>
      <c r="AQ1167" s="44">
        <v>0</v>
      </c>
      <c r="AR1167" s="43">
        <v>0</v>
      </c>
      <c r="AS1167" s="43">
        <v>233600000</v>
      </c>
      <c r="AT1167" s="39">
        <f t="shared" ref="AT1167" si="425">AQ1167+AS1167</f>
        <v>233600000</v>
      </c>
      <c r="AU1167" s="133">
        <f>AJ1167-AM1167</f>
        <v>0</v>
      </c>
      <c r="AV1167" s="133">
        <f>AM1167-AP1167</f>
        <v>0</v>
      </c>
      <c r="AW1167" s="34">
        <f>AP1167-AT1167</f>
        <v>0</v>
      </c>
      <c r="AX1167" s="123">
        <f>AP1167/AJ1167</f>
        <v>1</v>
      </c>
    </row>
    <row r="1168" spans="1:50" ht="25.5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170" t="s">
        <v>288</v>
      </c>
      <c r="AB1168" s="165" t="s">
        <v>1152</v>
      </c>
      <c r="AC1168" s="168"/>
      <c r="AD1168" s="231"/>
      <c r="AE1168" s="236"/>
      <c r="AF1168" s="216"/>
      <c r="AG1168" s="44"/>
      <c r="AH1168" s="44"/>
      <c r="AI1168" s="44"/>
      <c r="AJ1168" s="43"/>
      <c r="AK1168" s="44"/>
      <c r="AL1168" s="44"/>
      <c r="AM1168" s="44"/>
      <c r="AN1168" s="44"/>
      <c r="AO1168" s="44"/>
      <c r="AP1168" s="44"/>
      <c r="AQ1168" s="44"/>
      <c r="AR1168" s="44"/>
      <c r="AS1168" s="44"/>
      <c r="AT1168" s="135"/>
      <c r="AU1168" s="110"/>
      <c r="AV1168" s="133"/>
      <c r="AW1168" s="34"/>
      <c r="AX1168" s="123"/>
    </row>
    <row r="1169" spans="1:50" ht="25.5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166" t="s">
        <v>1153</v>
      </c>
      <c r="AB1169" s="167" t="s">
        <v>1055</v>
      </c>
      <c r="AC1169" s="168"/>
      <c r="AD1169" s="255">
        <v>0</v>
      </c>
      <c r="AE1169" s="217">
        <v>61400000</v>
      </c>
      <c r="AF1169" s="216">
        <v>0</v>
      </c>
      <c r="AG1169" s="216">
        <v>0</v>
      </c>
      <c r="AH1169" s="216">
        <v>0</v>
      </c>
      <c r="AI1169" s="43">
        <f t="shared" ref="AI1169" si="426">AE1169-AF1169+AG1169-AH1169</f>
        <v>61400000</v>
      </c>
      <c r="AJ1169" s="43">
        <f t="shared" ref="AJ1169" si="427">AD1169+AI1169</f>
        <v>61400000</v>
      </c>
      <c r="AK1169" s="44">
        <v>0</v>
      </c>
      <c r="AL1169" s="44">
        <v>0</v>
      </c>
      <c r="AM1169" s="43">
        <v>61400000</v>
      </c>
      <c r="AN1169" s="44">
        <v>0</v>
      </c>
      <c r="AO1169" s="44">
        <v>0</v>
      </c>
      <c r="AP1169" s="43">
        <v>61400000</v>
      </c>
      <c r="AQ1169" s="44">
        <v>0</v>
      </c>
      <c r="AR1169" s="43">
        <v>0</v>
      </c>
      <c r="AS1169" s="43">
        <v>61400000</v>
      </c>
      <c r="AT1169" s="39">
        <f t="shared" ref="AT1169" si="428">AQ1169+AS1169</f>
        <v>61400000</v>
      </c>
      <c r="AU1169" s="133">
        <f>AJ1169-AM1169</f>
        <v>0</v>
      </c>
      <c r="AV1169" s="133">
        <f>AM1169-AP1169</f>
        <v>0</v>
      </c>
      <c r="AW1169" s="34">
        <f>AP1169-AT1169</f>
        <v>0</v>
      </c>
      <c r="AX1169" s="123">
        <f>AP1169/AJ1169</f>
        <v>1</v>
      </c>
    </row>
    <row r="1170" spans="1:50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170" t="s">
        <v>288</v>
      </c>
      <c r="AB1170" s="165" t="s">
        <v>1154</v>
      </c>
      <c r="AC1170" s="168"/>
      <c r="AD1170" s="255"/>
      <c r="AE1170" s="236"/>
      <c r="AF1170" s="216"/>
      <c r="AG1170" s="44"/>
      <c r="AH1170" s="44"/>
      <c r="AI1170" s="44"/>
      <c r="AJ1170" s="43"/>
      <c r="AK1170" s="44"/>
      <c r="AL1170" s="44"/>
      <c r="AM1170" s="44"/>
      <c r="AN1170" s="44"/>
      <c r="AO1170" s="44"/>
      <c r="AP1170" s="44"/>
      <c r="AQ1170" s="44"/>
      <c r="AR1170" s="44"/>
      <c r="AS1170" s="44"/>
      <c r="AT1170" s="135"/>
      <c r="AU1170" s="133"/>
      <c r="AV1170" s="133"/>
      <c r="AW1170" s="34"/>
      <c r="AX1170" s="123"/>
    </row>
    <row r="1171" spans="1:50" ht="25.5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166" t="s">
        <v>1155</v>
      </c>
      <c r="AB1171" s="167" t="s">
        <v>1055</v>
      </c>
      <c r="AC1171" s="168"/>
      <c r="AD1171" s="255">
        <v>0</v>
      </c>
      <c r="AE1171" s="217">
        <v>200000000</v>
      </c>
      <c r="AF1171" s="216">
        <v>0</v>
      </c>
      <c r="AG1171" s="216">
        <v>0</v>
      </c>
      <c r="AH1171" s="216">
        <v>0</v>
      </c>
      <c r="AI1171" s="43">
        <f t="shared" ref="AI1171" si="429">AE1171-AF1171+AG1171-AH1171</f>
        <v>200000000</v>
      </c>
      <c r="AJ1171" s="43">
        <f t="shared" ref="AJ1171" si="430">AD1171+AI1171</f>
        <v>200000000</v>
      </c>
      <c r="AK1171" s="44">
        <v>0</v>
      </c>
      <c r="AL1171" s="44">
        <v>0</v>
      </c>
      <c r="AM1171" s="43">
        <v>200000000</v>
      </c>
      <c r="AN1171" s="44">
        <v>0</v>
      </c>
      <c r="AO1171" s="44">
        <v>0</v>
      </c>
      <c r="AP1171" s="43">
        <v>200000000</v>
      </c>
      <c r="AQ1171" s="44">
        <v>0</v>
      </c>
      <c r="AR1171" s="43">
        <v>0</v>
      </c>
      <c r="AS1171" s="43">
        <v>200000000</v>
      </c>
      <c r="AT1171" s="39">
        <f t="shared" ref="AT1171" si="431">AQ1171+AS1171</f>
        <v>200000000</v>
      </c>
      <c r="AU1171" s="133">
        <f>AJ1171-AM1171</f>
        <v>0</v>
      </c>
      <c r="AV1171" s="133">
        <f>AM1171-AP1171</f>
        <v>0</v>
      </c>
      <c r="AW1171" s="34">
        <f>AP1171-AT1171</f>
        <v>0</v>
      </c>
      <c r="AX1171" s="123">
        <f>AP1171/AJ1171</f>
        <v>1</v>
      </c>
    </row>
    <row r="1172" spans="1:50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170" t="s">
        <v>288</v>
      </c>
      <c r="AB1172" s="165" t="s">
        <v>1156</v>
      </c>
      <c r="AC1172" s="168"/>
      <c r="AD1172" s="255"/>
      <c r="AE1172" s="236"/>
      <c r="AF1172" s="216"/>
      <c r="AG1172" s="44"/>
      <c r="AH1172" s="44"/>
      <c r="AI1172" s="44"/>
      <c r="AJ1172" s="43"/>
      <c r="AK1172" s="44"/>
      <c r="AL1172" s="44"/>
      <c r="AM1172" s="44"/>
      <c r="AN1172" s="44"/>
      <c r="AO1172" s="44"/>
      <c r="AP1172" s="44"/>
      <c r="AQ1172" s="44"/>
      <c r="AR1172" s="44"/>
      <c r="AS1172" s="44"/>
      <c r="AT1172" s="135"/>
      <c r="AU1172" s="133"/>
      <c r="AV1172" s="133"/>
      <c r="AW1172" s="34"/>
      <c r="AX1172" s="123"/>
    </row>
    <row r="1173" spans="1:50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166" t="s">
        <v>1157</v>
      </c>
      <c r="AB1173" s="167" t="s">
        <v>1013</v>
      </c>
      <c r="AC1173" s="168"/>
      <c r="AD1173" s="255">
        <v>0</v>
      </c>
      <c r="AE1173" s="217">
        <v>70000000</v>
      </c>
      <c r="AF1173" s="216">
        <v>0</v>
      </c>
      <c r="AG1173" s="216">
        <v>0</v>
      </c>
      <c r="AH1173" s="216">
        <v>0</v>
      </c>
      <c r="AI1173" s="43">
        <f t="shared" ref="AI1173" si="432">AE1173-AF1173+AG1173-AH1173</f>
        <v>70000000</v>
      </c>
      <c r="AJ1173" s="43">
        <f t="shared" ref="AJ1173" si="433">AD1173+AI1173</f>
        <v>70000000</v>
      </c>
      <c r="AK1173" s="44">
        <v>0</v>
      </c>
      <c r="AL1173" s="44">
        <v>0</v>
      </c>
      <c r="AM1173" s="43">
        <v>70000000</v>
      </c>
      <c r="AN1173" s="44">
        <v>0</v>
      </c>
      <c r="AO1173" s="44">
        <v>0</v>
      </c>
      <c r="AP1173" s="43">
        <v>70000000</v>
      </c>
      <c r="AQ1173" s="44">
        <v>0</v>
      </c>
      <c r="AR1173" s="43">
        <v>0</v>
      </c>
      <c r="AS1173" s="43">
        <v>70000000</v>
      </c>
      <c r="AT1173" s="39">
        <f t="shared" ref="AT1173" si="434">AQ1173+AS1173</f>
        <v>70000000</v>
      </c>
      <c r="AU1173" s="133">
        <f>AJ1173-AM1173</f>
        <v>0</v>
      </c>
      <c r="AV1173" s="133">
        <f>AM1173-AP1173</f>
        <v>0</v>
      </c>
      <c r="AW1173" s="34">
        <f>AP1173-AT1173</f>
        <v>0</v>
      </c>
      <c r="AX1173" s="123">
        <f>AP1173/AJ1173</f>
        <v>1</v>
      </c>
    </row>
    <row r="1174" spans="1:50" ht="25.5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170" t="s">
        <v>288</v>
      </c>
      <c r="AB1174" s="165" t="s">
        <v>1158</v>
      </c>
      <c r="AC1174" s="168"/>
      <c r="AD1174" s="255"/>
      <c r="AE1174" s="236"/>
      <c r="AF1174" s="216"/>
      <c r="AG1174" s="44"/>
      <c r="AH1174" s="44"/>
      <c r="AI1174" s="44"/>
      <c r="AJ1174" s="43"/>
      <c r="AK1174" s="44"/>
      <c r="AL1174" s="44"/>
      <c r="AM1174" s="44"/>
      <c r="AN1174" s="44"/>
      <c r="AO1174" s="44"/>
      <c r="AP1174" s="44"/>
      <c r="AQ1174" s="44"/>
      <c r="AR1174" s="43"/>
      <c r="AS1174" s="43"/>
      <c r="AT1174" s="39"/>
      <c r="AU1174" s="133"/>
      <c r="AV1174" s="133"/>
      <c r="AW1174" s="34"/>
      <c r="AX1174" s="123"/>
    </row>
    <row r="1175" spans="1:50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166" t="s">
        <v>1159</v>
      </c>
      <c r="AB1175" s="167" t="s">
        <v>1013</v>
      </c>
      <c r="AC1175" s="168"/>
      <c r="AD1175" s="255">
        <v>0</v>
      </c>
      <c r="AE1175" s="217">
        <v>34660667.719999999</v>
      </c>
      <c r="AF1175" s="216">
        <v>0</v>
      </c>
      <c r="AG1175" s="216">
        <v>0</v>
      </c>
      <c r="AH1175" s="216">
        <v>0</v>
      </c>
      <c r="AI1175" s="43">
        <f t="shared" ref="AI1175" si="435">AE1175-AF1175+AG1175-AH1175</f>
        <v>34660667.719999999</v>
      </c>
      <c r="AJ1175" s="43">
        <f t="shared" ref="AJ1175" si="436">AD1175+AI1175</f>
        <v>34660667.719999999</v>
      </c>
      <c r="AK1175" s="44">
        <v>0</v>
      </c>
      <c r="AL1175" s="44">
        <v>0</v>
      </c>
      <c r="AM1175" s="43">
        <v>34660667.719999999</v>
      </c>
      <c r="AN1175" s="44">
        <v>0</v>
      </c>
      <c r="AO1175" s="44">
        <v>0</v>
      </c>
      <c r="AP1175" s="43">
        <v>34660667.719999999</v>
      </c>
      <c r="AQ1175" s="44">
        <v>0</v>
      </c>
      <c r="AR1175" s="43">
        <v>0</v>
      </c>
      <c r="AS1175" s="43">
        <v>34660667.719999999</v>
      </c>
      <c r="AT1175" s="39">
        <f t="shared" ref="AT1175" si="437">AQ1175+AS1175</f>
        <v>34660667.719999999</v>
      </c>
      <c r="AU1175" s="133">
        <f>AJ1175-AM1175</f>
        <v>0</v>
      </c>
      <c r="AV1175" s="133">
        <f>AM1175-AP1175</f>
        <v>0</v>
      </c>
      <c r="AW1175" s="34">
        <f>AP1175-AT1175</f>
        <v>0</v>
      </c>
      <c r="AX1175" s="123">
        <f>AP1175/AJ1175</f>
        <v>1</v>
      </c>
    </row>
    <row r="1176" spans="1:50" ht="17.25" customHeight="1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170" t="s">
        <v>288</v>
      </c>
      <c r="AB1176" s="165" t="s">
        <v>1160</v>
      </c>
      <c r="AC1176" s="168"/>
      <c r="AD1176" s="255"/>
      <c r="AE1176" s="236"/>
      <c r="AF1176" s="216"/>
      <c r="AG1176" s="44"/>
      <c r="AH1176" s="44"/>
      <c r="AI1176" s="44"/>
      <c r="AJ1176" s="43"/>
      <c r="AK1176" s="44"/>
      <c r="AL1176" s="44"/>
      <c r="AM1176" s="44"/>
      <c r="AN1176" s="44"/>
      <c r="AO1176" s="44"/>
      <c r="AP1176" s="44"/>
      <c r="AQ1176" s="44"/>
      <c r="AR1176" s="44"/>
      <c r="AS1176" s="44"/>
      <c r="AT1176" s="135"/>
      <c r="AU1176" s="133"/>
      <c r="AV1176" s="133"/>
      <c r="AW1176" s="34"/>
      <c r="AX1176" s="123"/>
    </row>
    <row r="1177" spans="1:50" ht="31.5" customHeight="1" x14ac:dyDescent="0.2">
      <c r="AA1177" s="166" t="s">
        <v>1161</v>
      </c>
      <c r="AB1177" s="167" t="s">
        <v>1044</v>
      </c>
      <c r="AC1177" s="161"/>
      <c r="AD1177" s="256">
        <v>0</v>
      </c>
      <c r="AE1177" s="217">
        <v>106000000</v>
      </c>
      <c r="AF1177" s="216">
        <v>0</v>
      </c>
      <c r="AG1177" s="216">
        <v>0</v>
      </c>
      <c r="AH1177" s="216">
        <v>0</v>
      </c>
      <c r="AI1177" s="43">
        <f t="shared" ref="AI1177" si="438">AE1177-AF1177+AG1177-AH1177</f>
        <v>106000000</v>
      </c>
      <c r="AJ1177" s="43">
        <f t="shared" ref="AJ1177" si="439">AD1177+AI1177</f>
        <v>106000000</v>
      </c>
      <c r="AK1177" s="34">
        <v>0</v>
      </c>
      <c r="AL1177" s="18">
        <v>0</v>
      </c>
      <c r="AM1177" s="18">
        <v>106000000</v>
      </c>
      <c r="AN1177" s="34">
        <v>0</v>
      </c>
      <c r="AO1177" s="18">
        <v>0</v>
      </c>
      <c r="AP1177" s="18">
        <v>106000000</v>
      </c>
      <c r="AQ1177" s="34">
        <v>0</v>
      </c>
      <c r="AR1177" s="34">
        <v>0</v>
      </c>
      <c r="AS1177" s="18">
        <v>106000000</v>
      </c>
      <c r="AT1177" s="39">
        <f t="shared" ref="AT1177" si="440">AQ1177+AS1177</f>
        <v>106000000</v>
      </c>
      <c r="AU1177" s="133">
        <f>AJ1177-AM1177</f>
        <v>0</v>
      </c>
      <c r="AV1177" s="133">
        <f>AM1177-AP1177</f>
        <v>0</v>
      </c>
      <c r="AW1177" s="34">
        <f>AP1177-AT1177</f>
        <v>0</v>
      </c>
      <c r="AX1177" s="123">
        <f>AP1177/AJ1177</f>
        <v>1</v>
      </c>
    </row>
    <row r="1178" spans="1:50" ht="14.25" customHeight="1" x14ac:dyDescent="0.2">
      <c r="AA1178" s="229"/>
      <c r="AB1178" s="230"/>
      <c r="AC1178" s="161"/>
      <c r="AD1178" s="18"/>
      <c r="AE1178" s="234"/>
      <c r="AF1178" s="34"/>
      <c r="AG1178" s="34"/>
      <c r="AH1178" s="34"/>
      <c r="AI1178" s="34"/>
      <c r="AJ1178" s="18"/>
      <c r="AK1178" s="34"/>
      <c r="AL1178" s="18"/>
      <c r="AM1178" s="18"/>
      <c r="AN1178" s="34"/>
      <c r="AO1178" s="18"/>
      <c r="AP1178" s="18"/>
      <c r="AQ1178" s="18"/>
      <c r="AR1178" s="18"/>
      <c r="AS1178" s="18"/>
      <c r="AT1178" s="30"/>
      <c r="AU1178" s="18"/>
      <c r="AV1178" s="18"/>
      <c r="AW1178" s="18"/>
      <c r="AX1178" s="18"/>
    </row>
    <row r="1179" spans="1:50" s="50" customFormat="1" ht="15.75" customHeight="1" x14ac:dyDescent="0.2">
      <c r="B1179" s="77"/>
      <c r="C1179" s="77"/>
      <c r="D1179" s="77"/>
      <c r="E1179" s="77"/>
      <c r="F1179" s="77"/>
      <c r="G1179" s="77"/>
      <c r="H1179" s="77"/>
      <c r="I1179" s="77"/>
      <c r="J1179" s="77"/>
      <c r="K1179" s="77"/>
      <c r="L1179" s="77"/>
      <c r="M1179" s="77"/>
      <c r="N1179" s="77"/>
      <c r="O1179" s="77"/>
      <c r="P1179" s="77"/>
      <c r="Q1179" s="77"/>
      <c r="R1179" s="77"/>
      <c r="S1179" s="77"/>
      <c r="T1179" s="77"/>
      <c r="U1179" s="77"/>
      <c r="V1179" s="77"/>
      <c r="W1179" s="77"/>
      <c r="X1179" s="77"/>
      <c r="Y1179" s="77"/>
      <c r="Z1179" s="77"/>
      <c r="AA1179" s="227"/>
      <c r="AB1179" s="228" t="s">
        <v>750</v>
      </c>
      <c r="AC1179" s="22" t="s">
        <v>751</v>
      </c>
      <c r="AD1179" s="22">
        <f>SUM(AD1149:AD1177)</f>
        <v>14059854870</v>
      </c>
      <c r="AE1179" s="22">
        <f t="shared" ref="AE1179:AW1179" si="441">SUM(AE1149:AE1177)</f>
        <v>1314242383.04</v>
      </c>
      <c r="AF1179" s="23">
        <f t="shared" si="441"/>
        <v>0</v>
      </c>
      <c r="AG1179" s="23">
        <f t="shared" si="441"/>
        <v>0</v>
      </c>
      <c r="AH1179" s="23">
        <f t="shared" si="441"/>
        <v>0</v>
      </c>
      <c r="AI1179" s="23">
        <f t="shared" si="441"/>
        <v>1314242383.04</v>
      </c>
      <c r="AJ1179" s="22">
        <f t="shared" si="441"/>
        <v>15374097253.039999</v>
      </c>
      <c r="AK1179" s="23">
        <f t="shared" si="441"/>
        <v>0</v>
      </c>
      <c r="AL1179" s="22">
        <f t="shared" si="441"/>
        <v>1188534307</v>
      </c>
      <c r="AM1179" s="22">
        <f t="shared" si="441"/>
        <v>8735559830.039999</v>
      </c>
      <c r="AN1179" s="23">
        <f t="shared" si="441"/>
        <v>0</v>
      </c>
      <c r="AO1179" s="22">
        <f t="shared" si="441"/>
        <v>1188534307</v>
      </c>
      <c r="AP1179" s="22">
        <f t="shared" si="441"/>
        <v>8735559830.039999</v>
      </c>
      <c r="AQ1179" s="23">
        <f t="shared" si="441"/>
        <v>0</v>
      </c>
      <c r="AR1179" s="22">
        <f t="shared" si="441"/>
        <v>1188534307</v>
      </c>
      <c r="AS1179" s="22">
        <f t="shared" si="441"/>
        <v>8735559830.039999</v>
      </c>
      <c r="AT1179" s="22">
        <f>AQ1179+AS1179</f>
        <v>8735559830.039999</v>
      </c>
      <c r="AU1179" s="22">
        <f t="shared" si="441"/>
        <v>6638537423</v>
      </c>
      <c r="AV1179" s="23">
        <f t="shared" si="441"/>
        <v>0</v>
      </c>
      <c r="AW1179" s="23">
        <f t="shared" si="441"/>
        <v>0</v>
      </c>
      <c r="AX1179" s="24">
        <f>AP1179/AJ1179</f>
        <v>0.56819985500694503</v>
      </c>
    </row>
    <row r="1180" spans="1:50" x14ac:dyDescent="0.2">
      <c r="AA1180" s="16"/>
      <c r="AB1180" s="17"/>
      <c r="AC1180" s="17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</row>
    <row r="1181" spans="1:50" x14ac:dyDescent="0.2">
      <c r="AA1181" s="16"/>
      <c r="AB1181" s="29" t="s">
        <v>207</v>
      </c>
      <c r="AC1181" s="17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</row>
    <row r="1182" spans="1:50" x14ac:dyDescent="0.2">
      <c r="AA1182" s="16"/>
      <c r="AB1182" s="29" t="s">
        <v>285</v>
      </c>
      <c r="AC1182" s="17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</row>
    <row r="1183" spans="1:50" x14ac:dyDescent="0.2">
      <c r="AA1183" s="16"/>
      <c r="AB1183" s="29" t="s">
        <v>202</v>
      </c>
      <c r="AC1183" s="17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</row>
    <row r="1184" spans="1:50" x14ac:dyDescent="0.2">
      <c r="AA1184" s="16"/>
      <c r="AB1184" s="29" t="s">
        <v>203</v>
      </c>
      <c r="AC1184" s="17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</row>
    <row r="1185" spans="1:50" x14ac:dyDescent="0.2">
      <c r="AA1185" s="16"/>
      <c r="AB1185" s="29" t="s">
        <v>752</v>
      </c>
      <c r="AC1185" s="17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</row>
    <row r="1186" spans="1:50" ht="25.5" x14ac:dyDescent="0.2">
      <c r="AA1186" s="16"/>
      <c r="AB1186" s="29" t="s">
        <v>205</v>
      </c>
      <c r="AC1186" s="17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</row>
    <row r="1187" spans="1:50" ht="25.5" x14ac:dyDescent="0.2">
      <c r="AA1187" s="16"/>
      <c r="AB1187" s="29" t="s">
        <v>205</v>
      </c>
      <c r="AC1187" s="17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30"/>
      <c r="AU1187" s="18"/>
      <c r="AV1187" s="18"/>
      <c r="AW1187" s="18"/>
      <c r="AX1187" s="18"/>
    </row>
    <row r="1188" spans="1:50" ht="25.5" x14ac:dyDescent="0.2">
      <c r="AA1188" s="28" t="s">
        <v>288</v>
      </c>
      <c r="AB1188" s="29" t="s">
        <v>753</v>
      </c>
      <c r="AC1188" s="17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30"/>
      <c r="AU1188" s="18"/>
      <c r="AV1188" s="18"/>
      <c r="AW1188" s="18"/>
      <c r="AX1188" s="18"/>
    </row>
    <row r="1189" spans="1:50" x14ac:dyDescent="0.2">
      <c r="A1189" s="4" t="s">
        <v>55</v>
      </c>
      <c r="B1189" s="4" t="s">
        <v>56</v>
      </c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1" t="s">
        <v>754</v>
      </c>
      <c r="AB1189" s="42" t="s">
        <v>233</v>
      </c>
      <c r="AC1189" s="43" t="s">
        <v>58</v>
      </c>
      <c r="AD1189" s="43">
        <v>3500000000</v>
      </c>
      <c r="AE1189" s="44">
        <v>0</v>
      </c>
      <c r="AF1189" s="44">
        <v>0</v>
      </c>
      <c r="AG1189" s="44">
        <v>0</v>
      </c>
      <c r="AH1189" s="44">
        <v>0</v>
      </c>
      <c r="AI1189" s="44">
        <f t="shared" ref="AI1189:AI1190" si="442">AE1189-AF1189+AG1189-AH1189</f>
        <v>0</v>
      </c>
      <c r="AJ1189" s="43">
        <f t="shared" ref="AJ1189:AJ1190" si="443">AD1189+AI1189</f>
        <v>3500000000</v>
      </c>
      <c r="AK1189" s="44">
        <v>0</v>
      </c>
      <c r="AL1189" s="43">
        <v>291666667</v>
      </c>
      <c r="AM1189" s="43">
        <v>2041666669</v>
      </c>
      <c r="AN1189" s="44">
        <v>0</v>
      </c>
      <c r="AO1189" s="43">
        <v>291666667</v>
      </c>
      <c r="AP1189" s="43">
        <v>2041666669</v>
      </c>
      <c r="AQ1189" s="44">
        <v>0</v>
      </c>
      <c r="AR1189" s="43">
        <v>291666667</v>
      </c>
      <c r="AS1189" s="43">
        <v>2041666669</v>
      </c>
      <c r="AT1189" s="111">
        <f t="shared" ref="AT1189:AT1190" si="444">AQ1189+AS1189</f>
        <v>2041666669</v>
      </c>
      <c r="AU1189" s="110">
        <f>AJ1189-AM1189</f>
        <v>1458333331</v>
      </c>
      <c r="AV1189" s="133">
        <f>AM1189-AP1189</f>
        <v>0</v>
      </c>
      <c r="AW1189" s="34">
        <f>AP1189-AT1189</f>
        <v>0</v>
      </c>
      <c r="AX1189" s="123">
        <f>AP1189/AJ1189</f>
        <v>0.58333333399999998</v>
      </c>
    </row>
    <row r="1190" spans="1:50" x14ac:dyDescent="0.2">
      <c r="A1190" s="4" t="s">
        <v>55</v>
      </c>
      <c r="B1190" s="4" t="s">
        <v>56</v>
      </c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1" t="s">
        <v>1237</v>
      </c>
      <c r="AB1190" s="69" t="s">
        <v>756</v>
      </c>
      <c r="AC1190" s="43" t="s">
        <v>757</v>
      </c>
      <c r="AD1190" s="43">
        <v>103000000</v>
      </c>
      <c r="AE1190" s="44">
        <v>0</v>
      </c>
      <c r="AF1190" s="44">
        <v>0</v>
      </c>
      <c r="AG1190" s="44">
        <v>0</v>
      </c>
      <c r="AH1190" s="44">
        <v>0</v>
      </c>
      <c r="AI1190" s="44">
        <f t="shared" si="442"/>
        <v>0</v>
      </c>
      <c r="AJ1190" s="43">
        <f t="shared" si="443"/>
        <v>103000000</v>
      </c>
      <c r="AK1190" s="44">
        <v>0</v>
      </c>
      <c r="AL1190" s="43">
        <v>11802190</v>
      </c>
      <c r="AM1190" s="43">
        <v>23419439</v>
      </c>
      <c r="AN1190" s="44">
        <v>0</v>
      </c>
      <c r="AO1190" s="43">
        <v>11802190</v>
      </c>
      <c r="AP1190" s="43">
        <v>23419439</v>
      </c>
      <c r="AQ1190" s="44">
        <v>0</v>
      </c>
      <c r="AR1190" s="44">
        <v>11802190</v>
      </c>
      <c r="AS1190" s="44">
        <v>23419439</v>
      </c>
      <c r="AT1190" s="135">
        <f t="shared" si="444"/>
        <v>23419439</v>
      </c>
      <c r="AU1190" s="110">
        <f>AJ1190-AM1190</f>
        <v>79580561</v>
      </c>
      <c r="AV1190" s="133">
        <f>AM1190-AP1190</f>
        <v>0</v>
      </c>
      <c r="AW1190" s="34">
        <f>AP1190-AT1190</f>
        <v>0</v>
      </c>
      <c r="AX1190" s="123">
        <f>AP1190/AJ1190</f>
        <v>0.22737319417475729</v>
      </c>
    </row>
    <row r="1191" spans="1:50" x14ac:dyDescent="0.2">
      <c r="AA1191" s="162"/>
      <c r="AB1191" s="223"/>
      <c r="AC1191" s="17"/>
      <c r="AD1191" s="18"/>
      <c r="AE1191" s="34"/>
      <c r="AF1191" s="34"/>
      <c r="AG1191" s="34"/>
      <c r="AH1191" s="34"/>
      <c r="AI1191" s="34"/>
      <c r="AJ1191" s="18"/>
      <c r="AK1191" s="34"/>
      <c r="AL1191" s="18"/>
      <c r="AM1191" s="18"/>
      <c r="AN1191" s="34"/>
      <c r="AO1191" s="18"/>
      <c r="AP1191" s="18"/>
      <c r="AQ1191" s="34"/>
      <c r="AR1191" s="18"/>
      <c r="AS1191" s="18"/>
      <c r="AT1191" s="30"/>
      <c r="AU1191" s="18"/>
      <c r="AV1191" s="18"/>
      <c r="AW1191" s="18"/>
      <c r="AX1191" s="18"/>
    </row>
    <row r="1192" spans="1:50" s="50" customFormat="1" x14ac:dyDescent="0.2">
      <c r="B1192" s="77"/>
      <c r="C1192" s="77"/>
      <c r="D1192" s="77"/>
      <c r="E1192" s="77"/>
      <c r="F1192" s="77"/>
      <c r="G1192" s="77"/>
      <c r="H1192" s="77"/>
      <c r="I1192" s="77"/>
      <c r="J1192" s="77"/>
      <c r="K1192" s="77"/>
      <c r="L1192" s="77"/>
      <c r="M1192" s="77"/>
      <c r="N1192" s="77"/>
      <c r="O1192" s="77"/>
      <c r="P1192" s="77"/>
      <c r="Q1192" s="77"/>
      <c r="R1192" s="77"/>
      <c r="S1192" s="77"/>
      <c r="T1192" s="77"/>
      <c r="U1192" s="77"/>
      <c r="V1192" s="77"/>
      <c r="W1192" s="77"/>
      <c r="X1192" s="77"/>
      <c r="Y1192" s="77"/>
      <c r="Z1192" s="77"/>
      <c r="AA1192" s="46"/>
      <c r="AB1192" s="47" t="s">
        <v>758</v>
      </c>
      <c r="AC1192" s="22" t="s">
        <v>759</v>
      </c>
      <c r="AD1192" s="22">
        <f t="shared" ref="AD1192:AS1192" si="445">SUM(AD1189:AD1191)</f>
        <v>3603000000</v>
      </c>
      <c r="AE1192" s="23">
        <f t="shared" si="445"/>
        <v>0</v>
      </c>
      <c r="AF1192" s="23">
        <f t="shared" si="445"/>
        <v>0</v>
      </c>
      <c r="AG1192" s="23">
        <f t="shared" si="445"/>
        <v>0</v>
      </c>
      <c r="AH1192" s="23">
        <f t="shared" si="445"/>
        <v>0</v>
      </c>
      <c r="AI1192" s="23">
        <f t="shared" si="445"/>
        <v>0</v>
      </c>
      <c r="AJ1192" s="22">
        <f t="shared" si="445"/>
        <v>3603000000</v>
      </c>
      <c r="AK1192" s="23">
        <f t="shared" si="445"/>
        <v>0</v>
      </c>
      <c r="AL1192" s="22">
        <f t="shared" si="445"/>
        <v>303468857</v>
      </c>
      <c r="AM1192" s="22">
        <f t="shared" si="445"/>
        <v>2065086108</v>
      </c>
      <c r="AN1192" s="23">
        <f t="shared" si="445"/>
        <v>0</v>
      </c>
      <c r="AO1192" s="22">
        <f t="shared" si="445"/>
        <v>303468857</v>
      </c>
      <c r="AP1192" s="22">
        <f t="shared" si="445"/>
        <v>2065086108</v>
      </c>
      <c r="AQ1192" s="23">
        <f t="shared" si="445"/>
        <v>0</v>
      </c>
      <c r="AR1192" s="22">
        <f t="shared" si="445"/>
        <v>303468857</v>
      </c>
      <c r="AS1192" s="22">
        <f t="shared" si="445"/>
        <v>2065086108</v>
      </c>
      <c r="AT1192" s="22">
        <f>AQ1192+AS1192</f>
        <v>2065086108</v>
      </c>
      <c r="AU1192" s="22">
        <f>SUM(AU1189:AU1191)</f>
        <v>1537913892</v>
      </c>
      <c r="AV1192" s="23">
        <f>SUM(AV1189:AV1191)</f>
        <v>0</v>
      </c>
      <c r="AW1192" s="23">
        <f>SUM(AW1189:AW1191)</f>
        <v>0</v>
      </c>
      <c r="AX1192" s="22">
        <f>SUM(AX1189:AX1191)</f>
        <v>0.8107065281747573</v>
      </c>
    </row>
    <row r="1193" spans="1:50" x14ac:dyDescent="0.2">
      <c r="AA1193" s="16"/>
      <c r="AB1193" s="17"/>
      <c r="AC1193" s="17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</row>
    <row r="1194" spans="1:50" s="25" customFormat="1" x14ac:dyDescent="0.2">
      <c r="B1194" s="71"/>
      <c r="C1194" s="71"/>
      <c r="D1194" s="71"/>
      <c r="E1194" s="71"/>
      <c r="F1194" s="71"/>
      <c r="G1194" s="71"/>
      <c r="H1194" s="71"/>
      <c r="I1194" s="71"/>
      <c r="J1194" s="71"/>
      <c r="K1194" s="71"/>
      <c r="L1194" s="71"/>
      <c r="M1194" s="71"/>
      <c r="N1194" s="71"/>
      <c r="O1194" s="71"/>
      <c r="P1194" s="71"/>
      <c r="Q1194" s="71"/>
      <c r="R1194" s="71"/>
      <c r="S1194" s="71"/>
      <c r="T1194" s="71"/>
      <c r="U1194" s="71"/>
      <c r="V1194" s="71"/>
      <c r="W1194" s="71"/>
      <c r="X1194" s="71"/>
      <c r="Y1194" s="71"/>
      <c r="Z1194" s="71"/>
      <c r="AA1194" s="66"/>
      <c r="AB1194" s="21" t="s">
        <v>760</v>
      </c>
      <c r="AC1194" s="67"/>
      <c r="AD1194" s="63"/>
      <c r="AE1194" s="63"/>
      <c r="AF1194" s="63"/>
      <c r="AG1194" s="63"/>
      <c r="AH1194" s="63"/>
      <c r="AI1194" s="63"/>
      <c r="AJ1194" s="63"/>
      <c r="AK1194" s="63"/>
      <c r="AL1194" s="63"/>
      <c r="AM1194" s="63"/>
      <c r="AN1194" s="63"/>
      <c r="AO1194" s="63"/>
      <c r="AP1194" s="63"/>
      <c r="AQ1194" s="63"/>
      <c r="AR1194" s="63"/>
      <c r="AS1194" s="63"/>
      <c r="AT1194" s="63"/>
      <c r="AU1194" s="63"/>
      <c r="AV1194" s="63"/>
      <c r="AW1194" s="63"/>
      <c r="AX1194" s="63"/>
    </row>
    <row r="1195" spans="1:50" x14ac:dyDescent="0.2">
      <c r="AA1195" s="16"/>
      <c r="AB1195" s="29" t="s">
        <v>285</v>
      </c>
      <c r="AC1195" s="17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</row>
    <row r="1196" spans="1:50" x14ac:dyDescent="0.2">
      <c r="AA1196" s="16"/>
      <c r="AB1196" s="29" t="s">
        <v>177</v>
      </c>
      <c r="AC1196" s="17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</row>
    <row r="1197" spans="1:50" x14ac:dyDescent="0.2">
      <c r="AA1197" s="16"/>
      <c r="AB1197" s="29" t="s">
        <v>179</v>
      </c>
      <c r="AC1197" s="17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</row>
    <row r="1198" spans="1:50" x14ac:dyDescent="0.2">
      <c r="AA1198" s="16"/>
      <c r="AB1198" s="29" t="s">
        <v>761</v>
      </c>
      <c r="AC1198" s="17"/>
      <c r="AD1198" s="18"/>
      <c r="AE1198" s="18"/>
      <c r="AF1198" s="18"/>
      <c r="AG1198" s="18"/>
      <c r="AH1198" s="18"/>
      <c r="AI1198" s="18"/>
      <c r="AJ1198" s="18"/>
      <c r="AK1198" s="18"/>
      <c r="AL1198" s="18"/>
      <c r="AM1198" s="18"/>
      <c r="AN1198" s="18"/>
      <c r="AO1198" s="18"/>
      <c r="AP1198" s="18"/>
      <c r="AQ1198" s="18"/>
      <c r="AR1198" s="18"/>
      <c r="AS1198" s="18"/>
      <c r="AT1198" s="18"/>
      <c r="AU1198" s="18"/>
      <c r="AV1198" s="18"/>
      <c r="AW1198" s="18"/>
      <c r="AX1198" s="18"/>
    </row>
    <row r="1199" spans="1:50" ht="25.5" x14ac:dyDescent="0.2">
      <c r="AA1199" s="16"/>
      <c r="AB1199" s="29" t="s">
        <v>298</v>
      </c>
      <c r="AC1199" s="17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18"/>
      <c r="AR1199" s="18"/>
      <c r="AS1199" s="18"/>
      <c r="AT1199" s="18"/>
      <c r="AU1199" s="18"/>
      <c r="AV1199" s="18"/>
      <c r="AW1199" s="18"/>
      <c r="AX1199" s="18"/>
    </row>
    <row r="1200" spans="1:50" x14ac:dyDescent="0.2">
      <c r="AA1200" s="28" t="s">
        <v>288</v>
      </c>
      <c r="AB1200" s="29">
        <v>0</v>
      </c>
      <c r="AC1200" s="17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30"/>
      <c r="AU1200" s="18"/>
      <c r="AV1200" s="18"/>
      <c r="AW1200" s="18"/>
      <c r="AX1200" s="18"/>
    </row>
    <row r="1201" spans="1:50" x14ac:dyDescent="0.2">
      <c r="A1201" s="4" t="s">
        <v>55</v>
      </c>
      <c r="B1201" s="4" t="s">
        <v>56</v>
      </c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1" t="s">
        <v>763</v>
      </c>
      <c r="AB1201" s="42" t="s">
        <v>233</v>
      </c>
      <c r="AC1201" s="43" t="s">
        <v>58</v>
      </c>
      <c r="AD1201" s="43">
        <v>123000000</v>
      </c>
      <c r="AE1201" s="44">
        <v>0</v>
      </c>
      <c r="AF1201" s="44">
        <v>0</v>
      </c>
      <c r="AG1201" s="43">
        <f>431000000+18000000</f>
        <v>449000000</v>
      </c>
      <c r="AH1201" s="43">
        <f>431000000+9000000</f>
        <v>440000000</v>
      </c>
      <c r="AI1201" s="43">
        <f>AE1201-AF1201+AG1201-AH1201</f>
        <v>9000000</v>
      </c>
      <c r="AJ1201" s="43">
        <f>AD1201+AI1201</f>
        <v>132000000</v>
      </c>
      <c r="AK1201" s="44">
        <v>0</v>
      </c>
      <c r="AL1201" s="43">
        <v>0</v>
      </c>
      <c r="AM1201" s="43">
        <v>132000000</v>
      </c>
      <c r="AN1201" s="44">
        <v>0</v>
      </c>
      <c r="AO1201" s="43">
        <v>0</v>
      </c>
      <c r="AP1201" s="43">
        <v>132000000</v>
      </c>
      <c r="AQ1201" s="43">
        <v>0</v>
      </c>
      <c r="AR1201" s="43">
        <v>10908308</v>
      </c>
      <c r="AS1201" s="43">
        <v>55458308</v>
      </c>
      <c r="AT1201" s="111">
        <f t="shared" ref="AT1201:AT1205" si="446">AQ1201+AS1201</f>
        <v>55458308</v>
      </c>
      <c r="AU1201" s="133">
        <f>AJ1201-AM1201</f>
        <v>0</v>
      </c>
      <c r="AV1201" s="133">
        <f>AM1201-AP1201</f>
        <v>0</v>
      </c>
      <c r="AW1201" s="110">
        <f>AP1201-AT1201</f>
        <v>76541692</v>
      </c>
      <c r="AX1201" s="123">
        <f>AP1201/AJ1201</f>
        <v>1</v>
      </c>
    </row>
    <row r="1202" spans="1:50" ht="25.5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1" t="s">
        <v>288</v>
      </c>
      <c r="AB1202" s="74" t="s">
        <v>990</v>
      </c>
      <c r="AC1202" s="43"/>
      <c r="AD1202" s="43"/>
      <c r="AE1202" s="44"/>
      <c r="AF1202" s="44"/>
      <c r="AG1202" s="43"/>
      <c r="AH1202" s="44"/>
      <c r="AI1202" s="43"/>
      <c r="AJ1202" s="43"/>
      <c r="AK1202" s="44"/>
      <c r="AL1202" s="43"/>
      <c r="AM1202" s="43"/>
      <c r="AN1202" s="44"/>
      <c r="AO1202" s="43"/>
      <c r="AP1202" s="43"/>
      <c r="AQ1202" s="43"/>
      <c r="AR1202" s="43"/>
      <c r="AS1202" s="43"/>
      <c r="AT1202" s="191"/>
      <c r="AU1202" s="110"/>
      <c r="AV1202" s="133"/>
      <c r="AW1202" s="110"/>
      <c r="AX1202" s="123"/>
    </row>
    <row r="1203" spans="1:50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1" t="s">
        <v>989</v>
      </c>
      <c r="AB1203" s="42" t="s">
        <v>233</v>
      </c>
      <c r="AC1203" s="43"/>
      <c r="AD1203" s="44">
        <v>0</v>
      </c>
      <c r="AE1203" s="44">
        <v>0</v>
      </c>
      <c r="AF1203" s="44">
        <v>0</v>
      </c>
      <c r="AG1203" s="43">
        <f>431000000+9000000</f>
        <v>440000000</v>
      </c>
      <c r="AH1203" s="43">
        <v>18000000</v>
      </c>
      <c r="AI1203" s="43">
        <f>AE1203-AF1203+AG1203-AH1203</f>
        <v>422000000</v>
      </c>
      <c r="AJ1203" s="43">
        <f>AD1203+AI1203</f>
        <v>422000000</v>
      </c>
      <c r="AK1203" s="44">
        <v>0</v>
      </c>
      <c r="AL1203" s="43">
        <v>53108332</v>
      </c>
      <c r="AM1203" s="43">
        <v>411999996.64999998</v>
      </c>
      <c r="AN1203" s="44">
        <v>0</v>
      </c>
      <c r="AO1203" s="43">
        <v>0</v>
      </c>
      <c r="AP1203" s="43">
        <v>358891664.64999998</v>
      </c>
      <c r="AQ1203" s="43">
        <v>1250000</v>
      </c>
      <c r="AR1203" s="43">
        <v>44650833.140000001</v>
      </c>
      <c r="AS1203" s="43">
        <v>59000833.140000001</v>
      </c>
      <c r="AT1203" s="191">
        <f t="shared" ref="AT1203" si="447">AQ1203+AS1203</f>
        <v>60250833.140000001</v>
      </c>
      <c r="AU1203" s="110">
        <f>AJ1203-AM1203</f>
        <v>10000003.350000024</v>
      </c>
      <c r="AV1203" s="18">
        <f>AM1203-AP1203</f>
        <v>53108332</v>
      </c>
      <c r="AW1203" s="18">
        <f>AP1203-AT1203</f>
        <v>298640831.50999999</v>
      </c>
      <c r="AX1203" s="123">
        <f>AP1203/AJ1203</f>
        <v>0.85045418163507103</v>
      </c>
    </row>
    <row r="1204" spans="1:50" x14ac:dyDescent="0.2">
      <c r="AA1204" s="28" t="s">
        <v>288</v>
      </c>
      <c r="AB1204" s="29" t="s">
        <v>764</v>
      </c>
      <c r="AC1204" s="17"/>
      <c r="AD1204" s="18"/>
      <c r="AE1204" s="18"/>
      <c r="AF1204" s="18"/>
      <c r="AG1204" s="18"/>
      <c r="AH1204" s="18"/>
      <c r="AI1204" s="18"/>
      <c r="AJ1204" s="18"/>
      <c r="AK1204" s="34"/>
      <c r="AL1204" s="18"/>
      <c r="AM1204" s="18"/>
      <c r="AN1204" s="34"/>
      <c r="AO1204" s="18"/>
      <c r="AP1204" s="18"/>
      <c r="AQ1204" s="18"/>
      <c r="AR1204" s="18"/>
      <c r="AS1204" s="18"/>
      <c r="AT1204" s="31"/>
      <c r="AU1204" s="18"/>
      <c r="AV1204" s="34"/>
      <c r="AW1204" s="110"/>
      <c r="AX1204" s="18"/>
    </row>
    <row r="1205" spans="1:50" x14ac:dyDescent="0.2">
      <c r="A1205" s="4" t="s">
        <v>55</v>
      </c>
      <c r="B1205" s="4" t="s">
        <v>56</v>
      </c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1" t="s">
        <v>765</v>
      </c>
      <c r="AB1205" s="42" t="s">
        <v>233</v>
      </c>
      <c r="AC1205" s="43" t="s">
        <v>58</v>
      </c>
      <c r="AD1205" s="43">
        <v>77000000</v>
      </c>
      <c r="AE1205" s="44">
        <v>0</v>
      </c>
      <c r="AF1205" s="44">
        <v>0</v>
      </c>
      <c r="AG1205" s="44">
        <v>0</v>
      </c>
      <c r="AH1205" s="44">
        <v>0</v>
      </c>
      <c r="AI1205" s="44">
        <v>0</v>
      </c>
      <c r="AJ1205" s="43">
        <v>77000000</v>
      </c>
      <c r="AK1205" s="44">
        <v>0</v>
      </c>
      <c r="AL1205" s="44">
        <v>0</v>
      </c>
      <c r="AM1205" s="43">
        <v>65000000</v>
      </c>
      <c r="AN1205" s="44">
        <v>0</v>
      </c>
      <c r="AO1205" s="43">
        <v>0</v>
      </c>
      <c r="AP1205" s="43">
        <v>65000000</v>
      </c>
      <c r="AQ1205" s="43">
        <v>0</v>
      </c>
      <c r="AR1205" s="43">
        <v>7000000</v>
      </c>
      <c r="AS1205" s="43">
        <v>34733333</v>
      </c>
      <c r="AT1205" s="39">
        <f t="shared" si="446"/>
        <v>34733333</v>
      </c>
      <c r="AU1205" s="110">
        <f>AJ1205-AM1205</f>
        <v>12000000</v>
      </c>
      <c r="AV1205" s="133">
        <f>AM1205-AP1205</f>
        <v>0</v>
      </c>
      <c r="AW1205" s="110">
        <f>AP1205-AT1205</f>
        <v>30266667</v>
      </c>
      <c r="AX1205" s="123">
        <f>AP1205/AJ1205</f>
        <v>0.8441558441558441</v>
      </c>
    </row>
    <row r="1206" spans="1:50" x14ac:dyDescent="0.2">
      <c r="AA1206" s="16"/>
      <c r="AB1206" s="17"/>
      <c r="AC1206" s="17"/>
      <c r="AD1206" s="18"/>
      <c r="AE1206" s="34"/>
      <c r="AF1206" s="34"/>
      <c r="AG1206" s="34"/>
      <c r="AH1206" s="34"/>
      <c r="AI1206" s="34"/>
      <c r="AJ1206" s="18"/>
      <c r="AK1206" s="34"/>
      <c r="AL1206" s="34"/>
      <c r="AM1206" s="18"/>
      <c r="AN1206" s="34"/>
      <c r="AO1206" s="34"/>
      <c r="AP1206" s="18"/>
      <c r="AQ1206" s="34"/>
      <c r="AR1206" s="34"/>
      <c r="AS1206" s="34"/>
      <c r="AT1206" s="31"/>
      <c r="AU1206" s="18"/>
      <c r="AV1206" s="34"/>
      <c r="AW1206" s="18"/>
      <c r="AX1206" s="18"/>
    </row>
    <row r="1207" spans="1:50" s="50" customFormat="1" x14ac:dyDescent="0.2">
      <c r="B1207" s="77"/>
      <c r="C1207" s="77"/>
      <c r="D1207" s="77"/>
      <c r="E1207" s="77"/>
      <c r="F1207" s="77"/>
      <c r="G1207" s="77"/>
      <c r="H1207" s="77"/>
      <c r="I1207" s="77"/>
      <c r="J1207" s="77"/>
      <c r="K1207" s="77"/>
      <c r="L1207" s="77"/>
      <c r="M1207" s="77"/>
      <c r="N1207" s="77"/>
      <c r="O1207" s="77"/>
      <c r="P1207" s="77"/>
      <c r="Q1207" s="77"/>
      <c r="R1207" s="77"/>
      <c r="S1207" s="77"/>
      <c r="T1207" s="77"/>
      <c r="U1207" s="77"/>
      <c r="V1207" s="77"/>
      <c r="W1207" s="77"/>
      <c r="X1207" s="77"/>
      <c r="Y1207" s="77"/>
      <c r="Z1207" s="77"/>
      <c r="AA1207" s="46"/>
      <c r="AB1207" s="47" t="s">
        <v>766</v>
      </c>
      <c r="AC1207" s="22" t="s">
        <v>767</v>
      </c>
      <c r="AD1207" s="22">
        <f>SUM(AD1200:AD1205)</f>
        <v>200000000</v>
      </c>
      <c r="AE1207" s="23">
        <f t="shared" ref="AE1207:AW1207" si="448">SUM(AE1200:AE1205)</f>
        <v>0</v>
      </c>
      <c r="AF1207" s="23">
        <f t="shared" si="448"/>
        <v>0</v>
      </c>
      <c r="AG1207" s="22">
        <f t="shared" si="448"/>
        <v>889000000</v>
      </c>
      <c r="AH1207" s="22">
        <f t="shared" si="448"/>
        <v>458000000</v>
      </c>
      <c r="AI1207" s="189">
        <f t="shared" si="448"/>
        <v>431000000</v>
      </c>
      <c r="AJ1207" s="22">
        <f t="shared" si="448"/>
        <v>631000000</v>
      </c>
      <c r="AK1207" s="23">
        <f t="shared" si="448"/>
        <v>0</v>
      </c>
      <c r="AL1207" s="22">
        <f t="shared" si="448"/>
        <v>53108332</v>
      </c>
      <c r="AM1207" s="22">
        <f t="shared" si="448"/>
        <v>608999996.64999998</v>
      </c>
      <c r="AN1207" s="23">
        <f t="shared" si="448"/>
        <v>0</v>
      </c>
      <c r="AO1207" s="22">
        <f t="shared" si="448"/>
        <v>0</v>
      </c>
      <c r="AP1207" s="22">
        <f t="shared" si="448"/>
        <v>555891664.64999998</v>
      </c>
      <c r="AQ1207" s="22">
        <f t="shared" si="448"/>
        <v>1250000</v>
      </c>
      <c r="AR1207" s="108">
        <f t="shared" si="448"/>
        <v>62559141.140000001</v>
      </c>
      <c r="AS1207" s="108">
        <f t="shared" si="448"/>
        <v>149192474.13999999</v>
      </c>
      <c r="AT1207" s="108">
        <f>AQ1207+AS1207</f>
        <v>150442474.13999999</v>
      </c>
      <c r="AU1207" s="22">
        <f t="shared" si="448"/>
        <v>22000003.350000024</v>
      </c>
      <c r="AV1207" s="22">
        <f t="shared" si="448"/>
        <v>53108332</v>
      </c>
      <c r="AW1207" s="22">
        <f t="shared" si="448"/>
        <v>405449190.50999999</v>
      </c>
      <c r="AX1207" s="24">
        <f>AP1207/AJ1207</f>
        <v>0.88096935760697304</v>
      </c>
    </row>
    <row r="1208" spans="1:50" x14ac:dyDescent="0.2">
      <c r="AA1208" s="16"/>
      <c r="AB1208" s="17"/>
      <c r="AC1208" s="17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</row>
    <row r="1209" spans="1:50" s="25" customFormat="1" x14ac:dyDescent="0.2">
      <c r="B1209" s="71"/>
      <c r="C1209" s="71"/>
      <c r="D1209" s="71"/>
      <c r="E1209" s="71"/>
      <c r="F1209" s="71"/>
      <c r="G1209" s="71"/>
      <c r="H1209" s="71"/>
      <c r="I1209" s="71"/>
      <c r="J1209" s="71"/>
      <c r="K1209" s="71"/>
      <c r="L1209" s="71"/>
      <c r="M1209" s="71"/>
      <c r="N1209" s="71"/>
      <c r="O1209" s="71"/>
      <c r="P1209" s="71"/>
      <c r="Q1209" s="71"/>
      <c r="R1209" s="71"/>
      <c r="S1209" s="71"/>
      <c r="T1209" s="71"/>
      <c r="U1209" s="71"/>
      <c r="V1209" s="71"/>
      <c r="W1209" s="71"/>
      <c r="X1209" s="71"/>
      <c r="Y1209" s="71"/>
      <c r="Z1209" s="71"/>
      <c r="AA1209" s="66"/>
      <c r="AB1209" s="21" t="s">
        <v>768</v>
      </c>
      <c r="AC1209" s="67"/>
      <c r="AD1209" s="63"/>
      <c r="AE1209" s="63"/>
      <c r="AF1209" s="63"/>
      <c r="AG1209" s="63"/>
      <c r="AH1209" s="63"/>
      <c r="AI1209" s="63"/>
      <c r="AJ1209" s="63"/>
      <c r="AK1209" s="63"/>
      <c r="AL1209" s="63"/>
      <c r="AM1209" s="63"/>
      <c r="AN1209" s="63"/>
      <c r="AO1209" s="63"/>
      <c r="AP1209" s="63"/>
      <c r="AQ1209" s="63"/>
      <c r="AR1209" s="63"/>
      <c r="AS1209" s="63"/>
      <c r="AT1209" s="63"/>
      <c r="AU1209" s="63"/>
      <c r="AV1209" s="63"/>
      <c r="AW1209" s="63"/>
      <c r="AX1209" s="63"/>
    </row>
    <row r="1210" spans="1:50" x14ac:dyDescent="0.2">
      <c r="AA1210" s="16"/>
      <c r="AB1210" s="29" t="s">
        <v>285</v>
      </c>
      <c r="AC1210" s="17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</row>
    <row r="1211" spans="1:50" x14ac:dyDescent="0.2">
      <c r="AA1211" s="16"/>
      <c r="AB1211" s="29" t="s">
        <v>202</v>
      </c>
      <c r="AC1211" s="17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</row>
    <row r="1212" spans="1:50" x14ac:dyDescent="0.2">
      <c r="AA1212" s="16"/>
      <c r="AB1212" s="29" t="s">
        <v>203</v>
      </c>
      <c r="AC1212" s="17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</row>
    <row r="1213" spans="1:50" x14ac:dyDescent="0.2">
      <c r="AA1213" s="16"/>
      <c r="AB1213" s="29" t="s">
        <v>204</v>
      </c>
      <c r="AC1213" s="17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</row>
    <row r="1214" spans="1:50" ht="25.5" x14ac:dyDescent="0.2">
      <c r="AA1214" s="16"/>
      <c r="AB1214" s="29" t="s">
        <v>205</v>
      </c>
      <c r="AC1214" s="17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</row>
    <row r="1215" spans="1:50" ht="25.5" x14ac:dyDescent="0.2">
      <c r="AA1215" s="28" t="s">
        <v>288</v>
      </c>
      <c r="AB1215" s="29" t="s">
        <v>769</v>
      </c>
      <c r="AC1215" s="17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30"/>
      <c r="AU1215" s="18"/>
      <c r="AV1215" s="18"/>
      <c r="AW1215" s="18"/>
      <c r="AX1215" s="18"/>
    </row>
    <row r="1216" spans="1:50" s="150" customFormat="1" x14ac:dyDescent="0.2">
      <c r="A1216" s="140" t="s">
        <v>55</v>
      </c>
      <c r="B1216" s="140" t="s">
        <v>56</v>
      </c>
      <c r="C1216" s="140"/>
      <c r="D1216" s="140"/>
      <c r="E1216" s="140"/>
      <c r="F1216" s="140"/>
      <c r="G1216" s="140"/>
      <c r="H1216" s="140"/>
      <c r="I1216" s="140"/>
      <c r="J1216" s="140"/>
      <c r="K1216" s="140"/>
      <c r="L1216" s="140"/>
      <c r="M1216" s="140"/>
      <c r="N1216" s="140"/>
      <c r="O1216" s="140"/>
      <c r="P1216" s="140"/>
      <c r="Q1216" s="140"/>
      <c r="R1216" s="140"/>
      <c r="S1216" s="140"/>
      <c r="T1216" s="140"/>
      <c r="U1216" s="140"/>
      <c r="V1216" s="140"/>
      <c r="W1216" s="140"/>
      <c r="X1216" s="140"/>
      <c r="Y1216" s="140"/>
      <c r="Z1216" s="140"/>
      <c r="AA1216" s="134" t="s">
        <v>770</v>
      </c>
      <c r="AB1216" s="69" t="s">
        <v>233</v>
      </c>
      <c r="AC1216" s="142" t="s">
        <v>58</v>
      </c>
      <c r="AD1216" s="142">
        <v>4000000000</v>
      </c>
      <c r="AE1216" s="143">
        <v>0</v>
      </c>
      <c r="AF1216" s="143">
        <v>0</v>
      </c>
      <c r="AG1216" s="143">
        <v>0</v>
      </c>
      <c r="AH1216" s="143">
        <v>0</v>
      </c>
      <c r="AI1216" s="143">
        <v>0</v>
      </c>
      <c r="AJ1216" s="142">
        <v>4000000000</v>
      </c>
      <c r="AK1216" s="143">
        <v>0</v>
      </c>
      <c r="AL1216" s="142">
        <v>333333333</v>
      </c>
      <c r="AM1216" s="142">
        <v>2333333331</v>
      </c>
      <c r="AN1216" s="143">
        <v>0</v>
      </c>
      <c r="AO1216" s="142">
        <v>333333333</v>
      </c>
      <c r="AP1216" s="142">
        <v>2333333331</v>
      </c>
      <c r="AQ1216" s="143">
        <v>0</v>
      </c>
      <c r="AR1216" s="142">
        <v>333333333</v>
      </c>
      <c r="AS1216" s="142">
        <v>2333333331</v>
      </c>
      <c r="AT1216" s="174">
        <f t="shared" ref="AT1216" si="449">AQ1216+AS1216</f>
        <v>2333333331</v>
      </c>
      <c r="AU1216" s="148">
        <f>AJ1216-AM1216</f>
        <v>1666666669</v>
      </c>
      <c r="AV1216" s="175">
        <f>AM1216-AP1216</f>
        <v>0</v>
      </c>
      <c r="AW1216" s="175">
        <f>AP1216-AT1216</f>
        <v>0</v>
      </c>
      <c r="AX1216" s="149">
        <f>AP1216/AJ1216</f>
        <v>0.58333333274999999</v>
      </c>
    </row>
    <row r="1217" spans="1:50" s="150" customFormat="1" x14ac:dyDescent="0.2">
      <c r="A1217" s="140"/>
      <c r="B1217" s="140"/>
      <c r="C1217" s="140"/>
      <c r="D1217" s="140"/>
      <c r="E1217" s="140"/>
      <c r="F1217" s="140"/>
      <c r="G1217" s="140"/>
      <c r="H1217" s="140"/>
      <c r="I1217" s="140"/>
      <c r="J1217" s="140"/>
      <c r="K1217" s="140"/>
      <c r="L1217" s="140"/>
      <c r="M1217" s="140"/>
      <c r="N1217" s="140"/>
      <c r="O1217" s="140"/>
      <c r="P1217" s="140"/>
      <c r="Q1217" s="140"/>
      <c r="R1217" s="140"/>
      <c r="S1217" s="140"/>
      <c r="T1217" s="140"/>
      <c r="U1217" s="140"/>
      <c r="V1217" s="140"/>
      <c r="W1217" s="140"/>
      <c r="X1217" s="140"/>
      <c r="Y1217" s="140"/>
      <c r="Z1217" s="140"/>
      <c r="AA1217" s="134"/>
      <c r="AB1217" s="69"/>
      <c r="AC1217" s="142"/>
      <c r="AD1217" s="142"/>
      <c r="AE1217" s="143"/>
      <c r="AF1217" s="143"/>
      <c r="AG1217" s="143"/>
      <c r="AH1217" s="143"/>
      <c r="AI1217" s="143"/>
      <c r="AJ1217" s="142"/>
      <c r="AK1217" s="143"/>
      <c r="AL1217" s="142"/>
      <c r="AM1217" s="142"/>
      <c r="AN1217" s="143"/>
      <c r="AO1217" s="142"/>
      <c r="AP1217" s="142"/>
      <c r="AQ1217" s="143"/>
      <c r="AR1217" s="142"/>
      <c r="AS1217" s="142"/>
      <c r="AT1217" s="174"/>
      <c r="AU1217" s="148"/>
      <c r="AV1217" s="175"/>
      <c r="AW1217" s="175"/>
      <c r="AX1217" s="149"/>
    </row>
    <row r="1218" spans="1:50" ht="13.5" customHeight="1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170" t="s">
        <v>288</v>
      </c>
      <c r="AB1218" s="165" t="s">
        <v>199</v>
      </c>
      <c r="AC1218" s="168"/>
      <c r="AD1218" s="43"/>
      <c r="AE1218" s="44"/>
      <c r="AF1218" s="44"/>
      <c r="AG1218" s="44"/>
      <c r="AH1218" s="44"/>
      <c r="AI1218" s="44"/>
      <c r="AJ1218" s="43"/>
      <c r="AK1218" s="44"/>
      <c r="AL1218" s="43"/>
      <c r="AM1218" s="43"/>
      <c r="AN1218" s="44"/>
      <c r="AO1218" s="43"/>
      <c r="AP1218" s="43"/>
      <c r="AQ1218" s="44"/>
      <c r="AR1218" s="44"/>
      <c r="AS1218" s="44"/>
      <c r="AT1218" s="135"/>
      <c r="AU1218" s="110"/>
      <c r="AV1218" s="133"/>
      <c r="AW1218" s="34"/>
      <c r="AX1218" s="123"/>
    </row>
    <row r="1219" spans="1:50" ht="25.5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166" t="s">
        <v>1162</v>
      </c>
      <c r="AB1219" s="167" t="s">
        <v>1044</v>
      </c>
      <c r="AC1219" s="168"/>
      <c r="AD1219" s="44">
        <v>0</v>
      </c>
      <c r="AE1219" s="43">
        <v>384000000</v>
      </c>
      <c r="AF1219" s="44">
        <v>0</v>
      </c>
      <c r="AG1219" s="44">
        <v>0</v>
      </c>
      <c r="AH1219" s="44">
        <v>0</v>
      </c>
      <c r="AI1219" s="43">
        <f t="shared" ref="AI1219:AI1220" si="450">AE1219-AF1219+AG1219-AH1219</f>
        <v>384000000</v>
      </c>
      <c r="AJ1219" s="43">
        <f t="shared" ref="AJ1219:AJ1220" si="451">AD1219+AI1219</f>
        <v>384000000</v>
      </c>
      <c r="AK1219" s="43">
        <v>0</v>
      </c>
      <c r="AL1219" s="43">
        <v>384000000</v>
      </c>
      <c r="AM1219" s="43">
        <v>384000000</v>
      </c>
      <c r="AN1219" s="43">
        <v>0</v>
      </c>
      <c r="AO1219" s="43">
        <v>384000000</v>
      </c>
      <c r="AP1219" s="43">
        <v>384000000</v>
      </c>
      <c r="AQ1219" s="43">
        <v>0</v>
      </c>
      <c r="AR1219" s="43">
        <v>384000000</v>
      </c>
      <c r="AS1219" s="43">
        <v>384000000</v>
      </c>
      <c r="AT1219" s="39">
        <f t="shared" ref="AT1219:AT1220" si="452">AQ1219+AS1219</f>
        <v>384000000</v>
      </c>
      <c r="AU1219" s="133">
        <f>AJ1219-AM1219</f>
        <v>0</v>
      </c>
      <c r="AV1219" s="133">
        <f>AM1219-AP1219</f>
        <v>0</v>
      </c>
      <c r="AW1219" s="34">
        <f>AP1219-AT1219</f>
        <v>0</v>
      </c>
      <c r="AX1219" s="123">
        <f>AP1219/AJ1219</f>
        <v>1</v>
      </c>
    </row>
    <row r="1220" spans="1:50" ht="15.75" customHeight="1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166" t="s">
        <v>1163</v>
      </c>
      <c r="AB1220" s="167" t="s">
        <v>1015</v>
      </c>
      <c r="AC1220" s="168"/>
      <c r="AD1220" s="44">
        <v>0</v>
      </c>
      <c r="AE1220" s="43">
        <v>270000000</v>
      </c>
      <c r="AF1220" s="44">
        <v>0</v>
      </c>
      <c r="AG1220" s="44">
        <v>0</v>
      </c>
      <c r="AH1220" s="44">
        <v>0</v>
      </c>
      <c r="AI1220" s="43">
        <f t="shared" si="450"/>
        <v>270000000</v>
      </c>
      <c r="AJ1220" s="43">
        <f t="shared" si="451"/>
        <v>270000000</v>
      </c>
      <c r="AK1220" s="43">
        <v>0</v>
      </c>
      <c r="AL1220" s="43">
        <v>270000000</v>
      </c>
      <c r="AM1220" s="43">
        <v>270000000</v>
      </c>
      <c r="AN1220" s="43">
        <v>0</v>
      </c>
      <c r="AO1220" s="43">
        <v>270000000</v>
      </c>
      <c r="AP1220" s="43">
        <v>270000000</v>
      </c>
      <c r="AQ1220" s="43">
        <v>0</v>
      </c>
      <c r="AR1220" s="43">
        <v>270000000</v>
      </c>
      <c r="AS1220" s="43">
        <v>270000000</v>
      </c>
      <c r="AT1220" s="39">
        <f t="shared" si="452"/>
        <v>270000000</v>
      </c>
      <c r="AU1220" s="133">
        <f>AJ1220-AM1220</f>
        <v>0</v>
      </c>
      <c r="AV1220" s="133">
        <f>AM1220-AP1220</f>
        <v>0</v>
      </c>
      <c r="AW1220" s="34">
        <f>AP1220-AT1220</f>
        <v>0</v>
      </c>
      <c r="AX1220" s="123">
        <f>AP1220/AJ1220</f>
        <v>1</v>
      </c>
    </row>
    <row r="1221" spans="1:50" x14ac:dyDescent="0.2">
      <c r="AA1221" s="16"/>
      <c r="AB1221" s="17"/>
      <c r="AC1221" s="17"/>
      <c r="AD1221" s="18"/>
      <c r="AE1221" s="34"/>
      <c r="AF1221" s="34"/>
      <c r="AG1221" s="34"/>
      <c r="AH1221" s="34"/>
      <c r="AI1221" s="34"/>
      <c r="AJ1221" s="18"/>
      <c r="AK1221" s="34"/>
      <c r="AL1221" s="18"/>
      <c r="AM1221" s="18"/>
      <c r="AN1221" s="34"/>
      <c r="AO1221" s="18"/>
      <c r="AP1221" s="18"/>
      <c r="AQ1221" s="34"/>
      <c r="AR1221" s="18"/>
      <c r="AS1221" s="18"/>
      <c r="AT1221" s="30"/>
      <c r="AU1221" s="18"/>
      <c r="AV1221" s="34"/>
      <c r="AW1221" s="34"/>
      <c r="AX1221" s="18"/>
    </row>
    <row r="1222" spans="1:50" s="50" customFormat="1" x14ac:dyDescent="0.2">
      <c r="B1222" s="77"/>
      <c r="C1222" s="77"/>
      <c r="D1222" s="77"/>
      <c r="E1222" s="77"/>
      <c r="F1222" s="77"/>
      <c r="G1222" s="77"/>
      <c r="H1222" s="77"/>
      <c r="I1222" s="77"/>
      <c r="J1222" s="77"/>
      <c r="K1222" s="77"/>
      <c r="L1222" s="77"/>
      <c r="M1222" s="77"/>
      <c r="N1222" s="77"/>
      <c r="O1222" s="77"/>
      <c r="P1222" s="77"/>
      <c r="Q1222" s="77"/>
      <c r="R1222" s="77"/>
      <c r="S1222" s="77"/>
      <c r="T1222" s="77"/>
      <c r="U1222" s="77"/>
      <c r="V1222" s="77"/>
      <c r="W1222" s="77"/>
      <c r="X1222" s="77"/>
      <c r="Y1222" s="77"/>
      <c r="Z1222" s="77"/>
      <c r="AA1222" s="46"/>
      <c r="AB1222" s="47" t="s">
        <v>771</v>
      </c>
      <c r="AC1222" s="22" t="s">
        <v>772</v>
      </c>
      <c r="AD1222" s="22">
        <f>SUM(AD1216:AD1221)</f>
        <v>4000000000</v>
      </c>
      <c r="AE1222" s="22">
        <f t="shared" ref="AE1222:AW1222" si="453">SUM(AE1216:AE1221)</f>
        <v>654000000</v>
      </c>
      <c r="AF1222" s="23">
        <f t="shared" si="453"/>
        <v>0</v>
      </c>
      <c r="AG1222" s="23">
        <f t="shared" si="453"/>
        <v>0</v>
      </c>
      <c r="AH1222" s="23">
        <f t="shared" si="453"/>
        <v>0</v>
      </c>
      <c r="AI1222" s="22">
        <f t="shared" si="453"/>
        <v>654000000</v>
      </c>
      <c r="AJ1222" s="22">
        <f t="shared" si="453"/>
        <v>4654000000</v>
      </c>
      <c r="AK1222" s="23">
        <f t="shared" si="453"/>
        <v>0</v>
      </c>
      <c r="AL1222" s="22">
        <f t="shared" si="453"/>
        <v>987333333</v>
      </c>
      <c r="AM1222" s="22">
        <f t="shared" si="453"/>
        <v>2987333331</v>
      </c>
      <c r="AN1222" s="23">
        <f t="shared" si="453"/>
        <v>0</v>
      </c>
      <c r="AO1222" s="22">
        <f t="shared" si="453"/>
        <v>987333333</v>
      </c>
      <c r="AP1222" s="22">
        <f t="shared" si="453"/>
        <v>2987333331</v>
      </c>
      <c r="AQ1222" s="23">
        <f t="shared" si="453"/>
        <v>0</v>
      </c>
      <c r="AR1222" s="22">
        <f t="shared" si="453"/>
        <v>987333333</v>
      </c>
      <c r="AS1222" s="22">
        <f t="shared" si="453"/>
        <v>2987333331</v>
      </c>
      <c r="AT1222" s="22">
        <f>AQ1222+AS1222</f>
        <v>2987333331</v>
      </c>
      <c r="AU1222" s="22">
        <f t="shared" si="453"/>
        <v>1666666669</v>
      </c>
      <c r="AV1222" s="23">
        <f t="shared" si="453"/>
        <v>0</v>
      </c>
      <c r="AW1222" s="23">
        <f t="shared" si="453"/>
        <v>0</v>
      </c>
      <c r="AX1222" s="24">
        <f>AP1222/AJ1222</f>
        <v>0.64188511624409106</v>
      </c>
    </row>
    <row r="1223" spans="1:50" x14ac:dyDescent="0.2">
      <c r="AA1223" s="16"/>
      <c r="AB1223" s="17"/>
      <c r="AC1223" s="17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34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</row>
    <row r="1224" spans="1:50" s="25" customFormat="1" x14ac:dyDescent="0.2">
      <c r="B1224" s="71"/>
      <c r="C1224" s="71"/>
      <c r="D1224" s="71"/>
      <c r="E1224" s="71"/>
      <c r="F1224" s="71"/>
      <c r="G1224" s="71"/>
      <c r="H1224" s="71"/>
      <c r="I1224" s="71"/>
      <c r="J1224" s="71"/>
      <c r="K1224" s="71"/>
      <c r="L1224" s="71"/>
      <c r="M1224" s="71"/>
      <c r="N1224" s="71"/>
      <c r="O1224" s="71"/>
      <c r="P1224" s="71"/>
      <c r="Q1224" s="71"/>
      <c r="R1224" s="71"/>
      <c r="S1224" s="71"/>
      <c r="T1224" s="71"/>
      <c r="U1224" s="71"/>
      <c r="V1224" s="71"/>
      <c r="W1224" s="71"/>
      <c r="X1224" s="71"/>
      <c r="Y1224" s="71"/>
      <c r="Z1224" s="71"/>
      <c r="AA1224" s="85"/>
      <c r="AB1224" s="86" t="s">
        <v>773</v>
      </c>
      <c r="AC1224" s="87"/>
      <c r="AD1224" s="63"/>
      <c r="AE1224" s="88"/>
      <c r="AF1224" s="88"/>
      <c r="AG1224" s="88"/>
      <c r="AH1224" s="88"/>
      <c r="AI1224" s="88"/>
      <c r="AJ1224" s="88"/>
      <c r="AK1224" s="88"/>
      <c r="AL1224" s="88"/>
      <c r="AM1224" s="88"/>
      <c r="AN1224" s="88"/>
      <c r="AO1224" s="88"/>
      <c r="AP1224" s="88"/>
      <c r="AQ1224" s="88"/>
      <c r="AR1224" s="88"/>
      <c r="AS1224" s="88"/>
      <c r="AT1224" s="88"/>
      <c r="AU1224" s="88"/>
      <c r="AV1224" s="88"/>
      <c r="AW1224" s="88"/>
      <c r="AX1224" s="88"/>
    </row>
    <row r="1225" spans="1:50" x14ac:dyDescent="0.2">
      <c r="AA1225" s="89"/>
      <c r="AB1225" s="90" t="s">
        <v>676</v>
      </c>
      <c r="AC1225" s="91"/>
      <c r="AD1225" s="18"/>
      <c r="AE1225" s="92"/>
      <c r="AF1225" s="92"/>
      <c r="AG1225" s="92"/>
      <c r="AH1225" s="92"/>
      <c r="AI1225" s="92"/>
      <c r="AJ1225" s="92"/>
      <c r="AK1225" s="92"/>
      <c r="AL1225" s="92"/>
      <c r="AM1225" s="92"/>
      <c r="AN1225" s="92"/>
      <c r="AO1225" s="92"/>
      <c r="AP1225" s="92"/>
      <c r="AQ1225" s="92"/>
      <c r="AR1225" s="92"/>
      <c r="AS1225" s="92"/>
      <c r="AT1225" s="92"/>
      <c r="AU1225" s="92"/>
      <c r="AV1225" s="92"/>
      <c r="AW1225" s="92"/>
      <c r="AX1225" s="92"/>
    </row>
    <row r="1226" spans="1:50" x14ac:dyDescent="0.2">
      <c r="AA1226" s="89"/>
      <c r="AB1226" s="90" t="s">
        <v>286</v>
      </c>
      <c r="AC1226" s="91"/>
      <c r="AD1226" s="18"/>
      <c r="AE1226" s="92"/>
      <c r="AF1226" s="92"/>
      <c r="AG1226" s="92"/>
      <c r="AH1226" s="92"/>
      <c r="AI1226" s="92"/>
      <c r="AJ1226" s="92"/>
      <c r="AK1226" s="92"/>
      <c r="AL1226" s="92"/>
      <c r="AM1226" s="92"/>
      <c r="AN1226" s="92"/>
      <c r="AO1226" s="92"/>
      <c r="AP1226" s="92"/>
      <c r="AQ1226" s="92"/>
      <c r="AR1226" s="92"/>
      <c r="AS1226" s="92"/>
      <c r="AT1226" s="92"/>
      <c r="AU1226" s="92"/>
      <c r="AV1226" s="92"/>
      <c r="AW1226" s="92"/>
      <c r="AX1226" s="92"/>
    </row>
    <row r="1227" spans="1:50" x14ac:dyDescent="0.2">
      <c r="AA1227" s="89"/>
      <c r="AB1227" s="90" t="s">
        <v>179</v>
      </c>
      <c r="AC1227" s="91"/>
      <c r="AD1227" s="18"/>
      <c r="AE1227" s="92"/>
      <c r="AF1227" s="92"/>
      <c r="AG1227" s="92"/>
      <c r="AH1227" s="92"/>
      <c r="AI1227" s="92"/>
      <c r="AJ1227" s="92"/>
      <c r="AK1227" s="92"/>
      <c r="AL1227" s="92"/>
      <c r="AM1227" s="92"/>
      <c r="AN1227" s="92"/>
      <c r="AO1227" s="92"/>
      <c r="AP1227" s="92"/>
      <c r="AQ1227" s="92"/>
      <c r="AR1227" s="92"/>
      <c r="AS1227" s="92"/>
      <c r="AT1227" s="92"/>
      <c r="AU1227" s="92"/>
      <c r="AV1227" s="92"/>
      <c r="AW1227" s="92"/>
      <c r="AX1227" s="92"/>
    </row>
    <row r="1228" spans="1:50" x14ac:dyDescent="0.2">
      <c r="AA1228" s="89"/>
      <c r="AB1228" s="90" t="s">
        <v>189</v>
      </c>
      <c r="AC1228" s="91"/>
      <c r="AD1228" s="18"/>
      <c r="AE1228" s="92"/>
      <c r="AF1228" s="92"/>
      <c r="AG1228" s="92"/>
      <c r="AH1228" s="92"/>
      <c r="AI1228" s="92"/>
      <c r="AJ1228" s="92"/>
      <c r="AK1228" s="92"/>
      <c r="AL1228" s="92"/>
      <c r="AM1228" s="92"/>
      <c r="AN1228" s="92"/>
      <c r="AO1228" s="92"/>
      <c r="AP1228" s="92"/>
      <c r="AQ1228" s="92"/>
      <c r="AR1228" s="92"/>
      <c r="AS1228" s="92"/>
      <c r="AT1228" s="92"/>
      <c r="AU1228" s="92"/>
      <c r="AV1228" s="92"/>
      <c r="AW1228" s="92"/>
      <c r="AX1228" s="92"/>
    </row>
    <row r="1229" spans="1:50" x14ac:dyDescent="0.2">
      <c r="AA1229" s="89"/>
      <c r="AB1229" s="90" t="s">
        <v>191</v>
      </c>
      <c r="AC1229" s="91"/>
      <c r="AD1229" s="18"/>
      <c r="AE1229" s="92"/>
      <c r="AF1229" s="92"/>
      <c r="AG1229" s="92"/>
      <c r="AH1229" s="92"/>
      <c r="AI1229" s="92"/>
      <c r="AJ1229" s="92"/>
      <c r="AK1229" s="92"/>
      <c r="AL1229" s="92"/>
      <c r="AM1229" s="92"/>
      <c r="AN1229" s="92"/>
      <c r="AO1229" s="92"/>
      <c r="AP1229" s="92"/>
      <c r="AQ1229" s="92"/>
      <c r="AR1229" s="92"/>
      <c r="AS1229" s="92"/>
      <c r="AT1229" s="92"/>
      <c r="AU1229" s="92"/>
      <c r="AV1229" s="92"/>
      <c r="AW1229" s="92"/>
      <c r="AX1229" s="92"/>
    </row>
    <row r="1230" spans="1:50" x14ac:dyDescent="0.2">
      <c r="AA1230" s="89"/>
      <c r="AB1230" s="278" t="s">
        <v>1272</v>
      </c>
      <c r="AC1230" s="91"/>
      <c r="AD1230" s="18"/>
      <c r="AE1230" s="92"/>
      <c r="AF1230" s="92"/>
      <c r="AG1230" s="92"/>
      <c r="AH1230" s="92"/>
      <c r="AI1230" s="92"/>
      <c r="AJ1230" s="92"/>
      <c r="AK1230" s="92"/>
      <c r="AL1230" s="92"/>
      <c r="AM1230" s="92"/>
      <c r="AN1230" s="92"/>
      <c r="AO1230" s="92"/>
      <c r="AP1230" s="92"/>
      <c r="AQ1230" s="92"/>
      <c r="AR1230" s="92"/>
      <c r="AS1230" s="92"/>
      <c r="AT1230" s="92"/>
      <c r="AU1230" s="92"/>
      <c r="AV1230" s="92"/>
      <c r="AW1230" s="92"/>
      <c r="AX1230" s="92"/>
    </row>
    <row r="1231" spans="1:50" ht="38.25" x14ac:dyDescent="0.2">
      <c r="AA1231" s="93" t="s">
        <v>288</v>
      </c>
      <c r="AB1231" s="90" t="s">
        <v>774</v>
      </c>
      <c r="AC1231" s="91"/>
      <c r="AD1231" s="18"/>
      <c r="AE1231" s="92"/>
      <c r="AF1231" s="92"/>
      <c r="AG1231" s="92"/>
      <c r="AH1231" s="92"/>
      <c r="AI1231" s="92"/>
      <c r="AJ1231" s="92"/>
      <c r="AK1231" s="92"/>
      <c r="AL1231" s="92"/>
      <c r="AM1231" s="92"/>
      <c r="AN1231" s="92"/>
      <c r="AO1231" s="92"/>
      <c r="AP1231" s="92"/>
      <c r="AQ1231" s="92"/>
      <c r="AR1231" s="92"/>
      <c r="AS1231" s="92"/>
      <c r="AT1231" s="30"/>
      <c r="AU1231" s="92"/>
      <c r="AV1231" s="92"/>
      <c r="AW1231" s="92"/>
      <c r="AX1231" s="92"/>
    </row>
    <row r="1232" spans="1:50" ht="25.5" x14ac:dyDescent="0.2">
      <c r="AA1232" s="94" t="s">
        <v>775</v>
      </c>
      <c r="AB1232" s="95" t="s">
        <v>776</v>
      </c>
      <c r="AC1232" s="96" t="s">
        <v>777</v>
      </c>
      <c r="AD1232" s="44">
        <v>0</v>
      </c>
      <c r="AE1232" s="97">
        <v>0</v>
      </c>
      <c r="AF1232" s="97">
        <v>0</v>
      </c>
      <c r="AG1232" s="43">
        <v>5536570240</v>
      </c>
      <c r="AH1232" s="96">
        <v>0</v>
      </c>
      <c r="AI1232" s="136">
        <f>AE1232-AF1232+AG1232-AH1232</f>
        <v>5536570240</v>
      </c>
      <c r="AJ1232" s="43">
        <f>AD1232+AI1232</f>
        <v>5536570240</v>
      </c>
      <c r="AK1232" s="43">
        <v>0</v>
      </c>
      <c r="AL1232" s="114">
        <f>AM1232-JUNIO!AM1217</f>
        <v>33000000</v>
      </c>
      <c r="AM1232" s="114">
        <v>2108032416</v>
      </c>
      <c r="AN1232" s="43">
        <v>0</v>
      </c>
      <c r="AO1232" s="114">
        <v>-22533333</v>
      </c>
      <c r="AP1232" s="114">
        <v>1919349083</v>
      </c>
      <c r="AQ1232" s="43">
        <v>52730001</v>
      </c>
      <c r="AR1232" s="43">
        <v>192866667</v>
      </c>
      <c r="AS1232" s="43">
        <v>695739998</v>
      </c>
      <c r="AT1232" s="39">
        <f t="shared" ref="AT1232" si="454">AQ1232+AS1232</f>
        <v>748469999</v>
      </c>
      <c r="AU1232" s="18">
        <f>AJ1232-AM1232</f>
        <v>3428537824</v>
      </c>
      <c r="AV1232" s="18">
        <f>AM1232-AP1232</f>
        <v>188683333</v>
      </c>
      <c r="AW1232" s="110">
        <f>AP1232-AT1232</f>
        <v>1170879084</v>
      </c>
      <c r="AX1232" s="123">
        <f>AP1232/AJ1232</f>
        <v>0.34666752155211528</v>
      </c>
    </row>
    <row r="1233" spans="27:50" x14ac:dyDescent="0.2">
      <c r="AA1233" s="94" t="s">
        <v>787</v>
      </c>
      <c r="AB1233" s="242" t="s">
        <v>788</v>
      </c>
      <c r="AC1233" s="96" t="s">
        <v>789</v>
      </c>
      <c r="AD1233" s="43">
        <v>886001426</v>
      </c>
      <c r="AE1233" s="96">
        <v>0</v>
      </c>
      <c r="AF1233" s="216">
        <v>0</v>
      </c>
      <c r="AG1233" s="216">
        <v>0</v>
      </c>
      <c r="AH1233" s="216">
        <v>0</v>
      </c>
      <c r="AI1233" s="136">
        <f>AE1233-AF1233+AG1233-AH1233</f>
        <v>0</v>
      </c>
      <c r="AJ1233" s="43">
        <f>AD1233+AI1233</f>
        <v>886001426</v>
      </c>
      <c r="AK1233" s="44">
        <v>0</v>
      </c>
      <c r="AL1233" s="114">
        <f>AM1233-JUNIO!AM1218</f>
        <v>72894950</v>
      </c>
      <c r="AM1233" s="18">
        <v>512352557</v>
      </c>
      <c r="AN1233" s="92">
        <v>0</v>
      </c>
      <c r="AO1233" s="147">
        <v>72894950</v>
      </c>
      <c r="AP1233" s="18">
        <v>512352557</v>
      </c>
      <c r="AQ1233" s="96">
        <v>0</v>
      </c>
      <c r="AR1233" s="18">
        <v>72894950</v>
      </c>
      <c r="AS1233" s="43">
        <v>512352557</v>
      </c>
      <c r="AT1233" s="39">
        <f>AQ1233+AS1233</f>
        <v>512352557</v>
      </c>
      <c r="AU1233" s="110">
        <f>AJ1233-AM1233</f>
        <v>373648869</v>
      </c>
      <c r="AV1233" s="133">
        <f>AM1233-AP1233</f>
        <v>0</v>
      </c>
      <c r="AW1233" s="133">
        <f>AP1233-AT1233</f>
        <v>0</v>
      </c>
      <c r="AX1233" s="123">
        <f>AP1233/AJ1233</f>
        <v>0.57827509297936508</v>
      </c>
    </row>
    <row r="1234" spans="27:50" x14ac:dyDescent="0.2">
      <c r="AA1234" s="94"/>
      <c r="AB1234" s="95"/>
      <c r="AC1234" s="96"/>
      <c r="AD1234" s="44"/>
      <c r="AE1234" s="97"/>
      <c r="AF1234" s="97"/>
      <c r="AG1234" s="43"/>
      <c r="AH1234" s="96"/>
      <c r="AI1234" s="136"/>
      <c r="AJ1234" s="43"/>
      <c r="AK1234" s="43"/>
      <c r="AL1234" s="114"/>
      <c r="AM1234" s="114"/>
      <c r="AN1234" s="43"/>
      <c r="AO1234" s="114"/>
      <c r="AP1234" s="114"/>
      <c r="AQ1234" s="43"/>
      <c r="AR1234" s="43"/>
      <c r="AS1234" s="43"/>
      <c r="AT1234" s="39"/>
      <c r="AU1234" s="18"/>
      <c r="AV1234" s="18"/>
      <c r="AW1234" s="110"/>
      <c r="AX1234" s="123"/>
    </row>
    <row r="1235" spans="27:50" ht="25.5" x14ac:dyDescent="0.2">
      <c r="AA1235" s="93" t="s">
        <v>288</v>
      </c>
      <c r="AB1235" s="90" t="s">
        <v>778</v>
      </c>
      <c r="AC1235" s="91"/>
      <c r="AD1235" s="18"/>
      <c r="AE1235" s="98"/>
      <c r="AF1235" s="98"/>
      <c r="AG1235" s="92"/>
      <c r="AH1235" s="92"/>
      <c r="AI1235" s="92"/>
      <c r="AJ1235" s="18"/>
      <c r="AK1235" s="98"/>
      <c r="AL1235" s="98"/>
      <c r="AM1235" s="98"/>
      <c r="AN1235" s="98"/>
      <c r="AO1235" s="98"/>
      <c r="AP1235" s="98"/>
      <c r="AQ1235" s="98"/>
      <c r="AR1235" s="98"/>
      <c r="AS1235" s="98"/>
      <c r="AT1235" s="31"/>
      <c r="AU1235" s="18"/>
      <c r="AV1235" s="34"/>
      <c r="AW1235" s="34"/>
      <c r="AX1235" s="92"/>
    </row>
    <row r="1236" spans="27:50" x14ac:dyDescent="0.2">
      <c r="AA1236" s="94" t="s">
        <v>779</v>
      </c>
      <c r="AB1236" s="95" t="s">
        <v>780</v>
      </c>
      <c r="AC1236" s="96" t="s">
        <v>368</v>
      </c>
      <c r="AD1236" s="43">
        <v>920421961</v>
      </c>
      <c r="AE1236" s="97">
        <v>0</v>
      </c>
      <c r="AF1236" s="97">
        <v>0</v>
      </c>
      <c r="AG1236" s="96">
        <v>0</v>
      </c>
      <c r="AH1236" s="96">
        <v>0</v>
      </c>
      <c r="AI1236" s="136">
        <f>AE1236-AF1236+AG1236-AH1236</f>
        <v>0</v>
      </c>
      <c r="AJ1236" s="43">
        <f>AD1236+AI1236</f>
        <v>920421961</v>
      </c>
      <c r="AK1236" s="97">
        <v>0</v>
      </c>
      <c r="AL1236" s="97">
        <v>0</v>
      </c>
      <c r="AM1236" s="97">
        <v>0</v>
      </c>
      <c r="AN1236" s="97">
        <v>0</v>
      </c>
      <c r="AO1236" s="97">
        <v>0</v>
      </c>
      <c r="AP1236" s="97">
        <v>0</v>
      </c>
      <c r="AQ1236" s="97">
        <v>0</v>
      </c>
      <c r="AR1236" s="97">
        <v>0</v>
      </c>
      <c r="AS1236" s="97">
        <v>0</v>
      </c>
      <c r="AT1236" s="135">
        <f t="shared" ref="AT1236:AT1237" si="455">AQ1236+AS1236</f>
        <v>0</v>
      </c>
      <c r="AU1236" s="110">
        <f>AJ1236-AM1236</f>
        <v>920421961</v>
      </c>
      <c r="AV1236" s="133">
        <f>AM1236-AP1236</f>
        <v>0</v>
      </c>
      <c r="AW1236" s="133">
        <f>AP1236-AT1236</f>
        <v>0</v>
      </c>
      <c r="AX1236" s="123">
        <f>AP1236/AJ1236</f>
        <v>0</v>
      </c>
    </row>
    <row r="1237" spans="27:50" ht="25.5" x14ac:dyDescent="0.2">
      <c r="AA1237" s="94" t="s">
        <v>781</v>
      </c>
      <c r="AB1237" s="95" t="s">
        <v>776</v>
      </c>
      <c r="AC1237" s="96" t="s">
        <v>777</v>
      </c>
      <c r="AD1237" s="43">
        <v>23813351805</v>
      </c>
      <c r="AE1237" s="97">
        <v>0</v>
      </c>
      <c r="AF1237" s="97">
        <v>0</v>
      </c>
      <c r="AG1237" s="96">
        <v>0</v>
      </c>
      <c r="AH1237" s="43">
        <v>5536570240</v>
      </c>
      <c r="AI1237" s="136">
        <f>AE1237-AF1237+AG1237-AH1237</f>
        <v>-5536570240</v>
      </c>
      <c r="AJ1237" s="43">
        <f>AD1237+AI1237</f>
        <v>18276781565</v>
      </c>
      <c r="AK1237" s="97">
        <v>0</v>
      </c>
      <c r="AL1237" s="97">
        <v>0</v>
      </c>
      <c r="AM1237" s="97">
        <v>0</v>
      </c>
      <c r="AN1237" s="97">
        <v>0</v>
      </c>
      <c r="AO1237" s="97">
        <v>0</v>
      </c>
      <c r="AP1237" s="97">
        <v>0</v>
      </c>
      <c r="AQ1237" s="97">
        <v>0</v>
      </c>
      <c r="AR1237" s="97">
        <v>0</v>
      </c>
      <c r="AS1237" s="97">
        <v>0</v>
      </c>
      <c r="AT1237" s="135">
        <f t="shared" si="455"/>
        <v>0</v>
      </c>
      <c r="AU1237" s="110">
        <f>AJ1237-AM1237</f>
        <v>18276781565</v>
      </c>
      <c r="AV1237" s="133">
        <f>AM1237-AP1237</f>
        <v>0</v>
      </c>
      <c r="AW1237" s="133">
        <f>AP1237-AT1237</f>
        <v>0</v>
      </c>
      <c r="AX1237" s="123">
        <f>AP1237/AJ1237</f>
        <v>0</v>
      </c>
    </row>
    <row r="1238" spans="27:50" x14ac:dyDescent="0.2">
      <c r="AA1238" s="94"/>
      <c r="AB1238" s="95"/>
      <c r="AC1238" s="96"/>
      <c r="AD1238" s="43"/>
      <c r="AE1238" s="97"/>
      <c r="AF1238" s="97"/>
      <c r="AG1238" s="96"/>
      <c r="AH1238" s="43"/>
      <c r="AI1238" s="136"/>
      <c r="AJ1238" s="43"/>
      <c r="AK1238" s="97"/>
      <c r="AL1238" s="97"/>
      <c r="AM1238" s="97"/>
      <c r="AN1238" s="97"/>
      <c r="AO1238" s="97"/>
      <c r="AP1238" s="97"/>
      <c r="AQ1238" s="97"/>
      <c r="AR1238" s="97"/>
      <c r="AS1238" s="97"/>
      <c r="AT1238" s="135"/>
      <c r="AU1238" s="110"/>
      <c r="AV1238" s="133"/>
      <c r="AW1238" s="133"/>
      <c r="AX1238" s="123"/>
    </row>
    <row r="1239" spans="27:50" ht="25.5" x14ac:dyDescent="0.2">
      <c r="AA1239" s="238" t="s">
        <v>288</v>
      </c>
      <c r="AB1239" s="239" t="s">
        <v>778</v>
      </c>
      <c r="AC1239" s="91"/>
      <c r="AD1239" s="18"/>
      <c r="AE1239" s="92"/>
      <c r="AF1239" s="92"/>
      <c r="AG1239" s="92"/>
      <c r="AH1239" s="92"/>
      <c r="AI1239" s="92"/>
      <c r="AJ1239" s="18"/>
      <c r="AK1239" s="34"/>
      <c r="AL1239" s="18"/>
      <c r="AM1239" s="18"/>
      <c r="AN1239" s="92"/>
      <c r="AO1239" s="147"/>
      <c r="AP1239" s="18"/>
      <c r="AQ1239" s="92"/>
      <c r="AR1239" s="92"/>
      <c r="AS1239" s="92"/>
      <c r="AT1239" s="30"/>
      <c r="AU1239" s="18"/>
      <c r="AV1239" s="18"/>
      <c r="AW1239" s="18"/>
      <c r="AX1239" s="92"/>
    </row>
    <row r="1240" spans="27:50" x14ac:dyDescent="0.2">
      <c r="AA1240" s="94" t="s">
        <v>823</v>
      </c>
      <c r="AB1240" s="95" t="s">
        <v>824</v>
      </c>
      <c r="AC1240" s="96" t="s">
        <v>794</v>
      </c>
      <c r="AD1240" s="43">
        <v>68497522112</v>
      </c>
      <c r="AE1240" s="43">
        <v>11382993803</v>
      </c>
      <c r="AF1240" s="216">
        <v>0</v>
      </c>
      <c r="AG1240" s="216">
        <v>0</v>
      </c>
      <c r="AH1240" s="216">
        <v>0</v>
      </c>
      <c r="AI1240" s="136">
        <f t="shared" ref="AI1240:AI1245" si="456">AE1240-AF1240+AG1240-AH1240</f>
        <v>11382993803</v>
      </c>
      <c r="AJ1240" s="43">
        <f t="shared" ref="AJ1240:AJ1245" si="457">AD1240+AI1240</f>
        <v>79880515915</v>
      </c>
      <c r="AK1240" s="44">
        <v>0</v>
      </c>
      <c r="AL1240" s="44">
        <v>0</v>
      </c>
      <c r="AM1240" s="18">
        <v>68497522112</v>
      </c>
      <c r="AN1240" s="34">
        <v>0</v>
      </c>
      <c r="AO1240" s="147">
        <v>6711410086</v>
      </c>
      <c r="AP1240" s="43">
        <v>46323465487</v>
      </c>
      <c r="AQ1240" s="44">
        <v>0</v>
      </c>
      <c r="AR1240" s="18">
        <v>6711410086</v>
      </c>
      <c r="AS1240" s="43">
        <v>46323465487</v>
      </c>
      <c r="AT1240" s="111">
        <f t="shared" ref="AT1240:AT1245" si="458">AQ1240+AS1240</f>
        <v>46323465487</v>
      </c>
      <c r="AU1240" s="18">
        <f t="shared" ref="AU1240:AU1245" si="459">AJ1240-AM1240</f>
        <v>11382993803</v>
      </c>
      <c r="AV1240" s="18">
        <f t="shared" ref="AV1240:AV1245" si="460">AM1240-AP1240</f>
        <v>22174056625</v>
      </c>
      <c r="AW1240" s="133">
        <f t="shared" ref="AW1240:AW1245" si="461">AP1240-AT1240</f>
        <v>0</v>
      </c>
      <c r="AX1240" s="123">
        <f t="shared" ref="AX1240:AX1245" si="462">AP1240/AJ1240</f>
        <v>0.57990944295217506</v>
      </c>
    </row>
    <row r="1241" spans="27:50" x14ac:dyDescent="0.2">
      <c r="AA1241" s="94" t="s">
        <v>825</v>
      </c>
      <c r="AB1241" s="95" t="s">
        <v>826</v>
      </c>
      <c r="AC1241" s="96" t="s">
        <v>802</v>
      </c>
      <c r="AD1241" s="43">
        <v>6053442339</v>
      </c>
      <c r="AE1241" s="96">
        <v>0</v>
      </c>
      <c r="AF1241" s="216">
        <v>0</v>
      </c>
      <c r="AG1241" s="216">
        <v>0</v>
      </c>
      <c r="AH1241" s="216">
        <v>0</v>
      </c>
      <c r="AI1241" s="97">
        <f t="shared" si="456"/>
        <v>0</v>
      </c>
      <c r="AJ1241" s="43">
        <f t="shared" si="457"/>
        <v>6053442339</v>
      </c>
      <c r="AK1241" s="44">
        <v>0</v>
      </c>
      <c r="AL1241" s="44">
        <v>0</v>
      </c>
      <c r="AM1241" s="18">
        <v>3247805756</v>
      </c>
      <c r="AN1241" s="34">
        <v>0</v>
      </c>
      <c r="AO1241" s="147">
        <v>232874559</v>
      </c>
      <c r="AP1241" s="43">
        <v>2001088025</v>
      </c>
      <c r="AQ1241" s="44">
        <v>0</v>
      </c>
      <c r="AR1241" s="18">
        <v>232874559</v>
      </c>
      <c r="AS1241" s="43">
        <v>2001088025</v>
      </c>
      <c r="AT1241" s="111">
        <f t="shared" si="458"/>
        <v>2001088025</v>
      </c>
      <c r="AU1241" s="18">
        <f t="shared" si="459"/>
        <v>2805636583</v>
      </c>
      <c r="AV1241" s="18">
        <f t="shared" si="460"/>
        <v>1246717731</v>
      </c>
      <c r="AW1241" s="133">
        <f t="shared" si="461"/>
        <v>0</v>
      </c>
      <c r="AX1241" s="123">
        <f t="shared" si="462"/>
        <v>0.33057026282513002</v>
      </c>
    </row>
    <row r="1242" spans="27:50" ht="25.5" x14ac:dyDescent="0.2">
      <c r="AA1242" s="94" t="s">
        <v>827</v>
      </c>
      <c r="AB1242" s="95" t="s">
        <v>776</v>
      </c>
      <c r="AC1242" s="96" t="s">
        <v>777</v>
      </c>
      <c r="AD1242" s="43">
        <v>5590188172</v>
      </c>
      <c r="AE1242" s="96">
        <v>0</v>
      </c>
      <c r="AF1242" s="216">
        <v>0</v>
      </c>
      <c r="AG1242" s="216">
        <v>0</v>
      </c>
      <c r="AH1242" s="216">
        <v>0</v>
      </c>
      <c r="AI1242" s="97">
        <f t="shared" si="456"/>
        <v>0</v>
      </c>
      <c r="AJ1242" s="43">
        <f t="shared" si="457"/>
        <v>5590188172</v>
      </c>
      <c r="AK1242" s="44">
        <v>0</v>
      </c>
      <c r="AL1242" s="43">
        <f>AM1242-JUNIO!AM1227</f>
        <v>360955728</v>
      </c>
      <c r="AM1242" s="18">
        <v>549343521</v>
      </c>
      <c r="AN1242" s="34">
        <v>0</v>
      </c>
      <c r="AO1242" s="147">
        <v>360955728</v>
      </c>
      <c r="AP1242" s="43">
        <v>549343521</v>
      </c>
      <c r="AQ1242" s="44">
        <v>360955728</v>
      </c>
      <c r="AR1242" s="18">
        <v>0</v>
      </c>
      <c r="AS1242" s="43">
        <v>188387793</v>
      </c>
      <c r="AT1242" s="111">
        <f t="shared" si="458"/>
        <v>549343521</v>
      </c>
      <c r="AU1242" s="18">
        <f t="shared" si="459"/>
        <v>5040844651</v>
      </c>
      <c r="AV1242" s="34">
        <f t="shared" si="460"/>
        <v>0</v>
      </c>
      <c r="AW1242" s="133">
        <f t="shared" si="461"/>
        <v>0</v>
      </c>
      <c r="AX1242" s="123">
        <f t="shared" si="462"/>
        <v>9.8269236043169103E-2</v>
      </c>
    </row>
    <row r="1243" spans="27:50" ht="16.5" customHeight="1" x14ac:dyDescent="0.2">
      <c r="AA1243" s="94" t="s">
        <v>828</v>
      </c>
      <c r="AB1243" s="95" t="s">
        <v>829</v>
      </c>
      <c r="AC1243" s="96" t="s">
        <v>789</v>
      </c>
      <c r="AD1243" s="43">
        <v>134040044112</v>
      </c>
      <c r="AE1243" s="96">
        <v>0</v>
      </c>
      <c r="AF1243" s="216">
        <v>0</v>
      </c>
      <c r="AG1243" s="216">
        <v>0</v>
      </c>
      <c r="AH1243" s="216">
        <v>0</v>
      </c>
      <c r="AI1243" s="97">
        <f t="shared" si="456"/>
        <v>0</v>
      </c>
      <c r="AJ1243" s="43">
        <f t="shared" si="457"/>
        <v>134040044112</v>
      </c>
      <c r="AK1243" s="44">
        <v>0</v>
      </c>
      <c r="AL1243" s="44">
        <v>0</v>
      </c>
      <c r="AM1243" s="18">
        <v>129958738901</v>
      </c>
      <c r="AN1243" s="34">
        <v>0</v>
      </c>
      <c r="AO1243" s="147">
        <v>10170091449.07</v>
      </c>
      <c r="AP1243" s="43">
        <v>71410766482.25</v>
      </c>
      <c r="AQ1243" s="44">
        <v>0</v>
      </c>
      <c r="AR1243" s="18">
        <v>10170091449.07</v>
      </c>
      <c r="AS1243" s="43">
        <v>71410766482.25</v>
      </c>
      <c r="AT1243" s="111">
        <f t="shared" si="458"/>
        <v>71410766482.25</v>
      </c>
      <c r="AU1243" s="18">
        <f t="shared" si="459"/>
        <v>4081305211</v>
      </c>
      <c r="AV1243" s="18">
        <f t="shared" si="460"/>
        <v>58547972418.75</v>
      </c>
      <c r="AW1243" s="133">
        <f t="shared" si="461"/>
        <v>0</v>
      </c>
      <c r="AX1243" s="123">
        <f t="shared" si="462"/>
        <v>0.53275696046907606</v>
      </c>
    </row>
    <row r="1244" spans="27:50" ht="25.5" x14ac:dyDescent="0.2">
      <c r="AA1244" s="94" t="s">
        <v>830</v>
      </c>
      <c r="AB1244" s="95" t="s">
        <v>831</v>
      </c>
      <c r="AC1244" s="96" t="s">
        <v>832</v>
      </c>
      <c r="AD1244" s="43">
        <v>12909348026</v>
      </c>
      <c r="AE1244" s="43">
        <v>955692586</v>
      </c>
      <c r="AF1244" s="216">
        <v>0</v>
      </c>
      <c r="AG1244" s="216">
        <v>0</v>
      </c>
      <c r="AH1244" s="216">
        <v>0</v>
      </c>
      <c r="AI1244" s="136">
        <f t="shared" si="456"/>
        <v>955692586</v>
      </c>
      <c r="AJ1244" s="43">
        <f t="shared" si="457"/>
        <v>13865040612</v>
      </c>
      <c r="AK1244" s="44">
        <v>0</v>
      </c>
      <c r="AL1244" s="44">
        <v>0</v>
      </c>
      <c r="AM1244" s="18">
        <v>12909348026</v>
      </c>
      <c r="AN1244" s="34">
        <v>0</v>
      </c>
      <c r="AO1244" s="147">
        <v>1109361414.6500001</v>
      </c>
      <c r="AP1244" s="43">
        <v>8352819365.8000002</v>
      </c>
      <c r="AQ1244" s="44">
        <v>0</v>
      </c>
      <c r="AR1244" s="43">
        <v>1109361414.6500001</v>
      </c>
      <c r="AS1244" s="43">
        <v>8352819365.8000002</v>
      </c>
      <c r="AT1244" s="111">
        <f t="shared" si="458"/>
        <v>8352819365.8000002</v>
      </c>
      <c r="AU1244" s="18">
        <f t="shared" si="459"/>
        <v>955692586</v>
      </c>
      <c r="AV1244" s="18">
        <f t="shared" si="460"/>
        <v>4556528660.1999998</v>
      </c>
      <c r="AW1244" s="133">
        <f t="shared" si="461"/>
        <v>0</v>
      </c>
      <c r="AX1244" s="123">
        <f t="shared" si="462"/>
        <v>0.60243742514325926</v>
      </c>
    </row>
    <row r="1245" spans="27:50" ht="26.25" thickBot="1" x14ac:dyDescent="0.25">
      <c r="AA1245" s="221" t="s">
        <v>1195</v>
      </c>
      <c r="AB1245" s="95" t="s">
        <v>1196</v>
      </c>
      <c r="AC1245" s="96"/>
      <c r="AD1245" s="44">
        <v>0</v>
      </c>
      <c r="AE1245" s="43">
        <v>969348211.46000004</v>
      </c>
      <c r="AF1245" s="216">
        <v>0</v>
      </c>
      <c r="AG1245" s="216">
        <v>0</v>
      </c>
      <c r="AH1245" s="216">
        <v>0</v>
      </c>
      <c r="AI1245" s="136">
        <f t="shared" si="456"/>
        <v>969348211.46000004</v>
      </c>
      <c r="AJ1245" s="43">
        <f t="shared" si="457"/>
        <v>969348211.46000004</v>
      </c>
      <c r="AK1245" s="44">
        <v>0</v>
      </c>
      <c r="AL1245" s="44">
        <v>0</v>
      </c>
      <c r="AM1245" s="34">
        <v>0</v>
      </c>
      <c r="AN1245" s="34">
        <v>0</v>
      </c>
      <c r="AO1245" s="145">
        <v>0</v>
      </c>
      <c r="AP1245" s="44">
        <v>0</v>
      </c>
      <c r="AQ1245" s="44">
        <v>0</v>
      </c>
      <c r="AR1245" s="44">
        <v>0</v>
      </c>
      <c r="AS1245" s="44">
        <v>0</v>
      </c>
      <c r="AT1245" s="135">
        <f t="shared" si="458"/>
        <v>0</v>
      </c>
      <c r="AU1245" s="18">
        <f t="shared" si="459"/>
        <v>969348211.46000004</v>
      </c>
      <c r="AV1245" s="34">
        <f t="shared" si="460"/>
        <v>0</v>
      </c>
      <c r="AW1245" s="133">
        <f t="shared" si="461"/>
        <v>0</v>
      </c>
      <c r="AX1245" s="123">
        <f t="shared" si="462"/>
        <v>0</v>
      </c>
    </row>
    <row r="1246" spans="27:50" x14ac:dyDescent="0.2">
      <c r="AA1246" s="94"/>
      <c r="AB1246" s="95"/>
      <c r="AC1246" s="96"/>
      <c r="AD1246" s="43"/>
      <c r="AE1246" s="97"/>
      <c r="AF1246" s="97"/>
      <c r="AG1246" s="96"/>
      <c r="AH1246" s="43"/>
      <c r="AI1246" s="136"/>
      <c r="AJ1246" s="43"/>
      <c r="AK1246" s="97"/>
      <c r="AL1246" s="97"/>
      <c r="AM1246" s="97"/>
      <c r="AN1246" s="97"/>
      <c r="AO1246" s="97"/>
      <c r="AP1246" s="97"/>
      <c r="AQ1246" s="97"/>
      <c r="AR1246" s="97"/>
      <c r="AS1246" s="97"/>
      <c r="AT1246" s="135"/>
      <c r="AU1246" s="110"/>
      <c r="AV1246" s="133"/>
      <c r="AW1246" s="133"/>
      <c r="AX1246" s="123"/>
    </row>
    <row r="1247" spans="27:50" x14ac:dyDescent="0.2">
      <c r="AA1247" s="94"/>
      <c r="AB1247" s="279" t="s">
        <v>1273</v>
      </c>
      <c r="AC1247" s="96"/>
      <c r="AD1247" s="43"/>
      <c r="AE1247" s="97"/>
      <c r="AF1247" s="97"/>
      <c r="AG1247" s="96"/>
      <c r="AH1247" s="43"/>
      <c r="AI1247" s="136"/>
      <c r="AJ1247" s="43"/>
      <c r="AK1247" s="97"/>
      <c r="AL1247" s="97"/>
      <c r="AM1247" s="97"/>
      <c r="AN1247" s="97"/>
      <c r="AO1247" s="97"/>
      <c r="AP1247" s="97"/>
      <c r="AQ1247" s="97"/>
      <c r="AR1247" s="97"/>
      <c r="AS1247" s="97"/>
      <c r="AT1247" s="135"/>
      <c r="AU1247" s="110"/>
      <c r="AV1247" s="133"/>
      <c r="AW1247" s="133"/>
      <c r="AX1247" s="123"/>
    </row>
    <row r="1248" spans="27:50" x14ac:dyDescent="0.2">
      <c r="AA1248" s="93" t="s">
        <v>288</v>
      </c>
      <c r="AB1248" s="243" t="s">
        <v>790</v>
      </c>
      <c r="AC1248" s="91"/>
      <c r="AD1248" s="18"/>
      <c r="AE1248" s="92"/>
      <c r="AF1248" s="92"/>
      <c r="AG1248" s="92"/>
      <c r="AH1248" s="92"/>
      <c r="AI1248" s="92"/>
      <c r="AJ1248" s="18"/>
      <c r="AK1248" s="18"/>
      <c r="AL1248" s="115">
        <f>AM1248-'MARZO '!AM995</f>
        <v>0</v>
      </c>
      <c r="AM1248" s="18"/>
      <c r="AN1248" s="92"/>
      <c r="AO1248" s="147"/>
      <c r="AP1248" s="18"/>
      <c r="AQ1248" s="92"/>
      <c r="AR1248" s="92"/>
      <c r="AS1248" s="92"/>
      <c r="AT1248" s="30"/>
      <c r="AU1248" s="18"/>
      <c r="AV1248" s="110"/>
      <c r="AW1248" s="18"/>
      <c r="AX1248" s="92"/>
    </row>
    <row r="1249" spans="27:50" x14ac:dyDescent="0.2">
      <c r="AA1249" s="94" t="s">
        <v>791</v>
      </c>
      <c r="AB1249" s="95" t="s">
        <v>233</v>
      </c>
      <c r="AC1249" s="96" t="s">
        <v>58</v>
      </c>
      <c r="AD1249" s="43">
        <v>300000000</v>
      </c>
      <c r="AE1249" s="96">
        <v>0</v>
      </c>
      <c r="AF1249" s="216">
        <v>0</v>
      </c>
      <c r="AG1249" s="216">
        <v>0</v>
      </c>
      <c r="AH1249" s="216">
        <v>0</v>
      </c>
      <c r="AI1249" s="136">
        <f t="shared" ref="AI1249:AI1252" si="463">AE1249-AF1249+AG1249-AH1249</f>
        <v>0</v>
      </c>
      <c r="AJ1249" s="43">
        <f t="shared" ref="AJ1249:AJ1252" si="464">AD1249+AI1249</f>
        <v>300000000</v>
      </c>
      <c r="AK1249" s="44">
        <v>0</v>
      </c>
      <c r="AL1249" s="115">
        <v>0</v>
      </c>
      <c r="AM1249" s="18">
        <v>300000000</v>
      </c>
      <c r="AN1249" s="98">
        <v>0</v>
      </c>
      <c r="AO1249" s="145">
        <v>0</v>
      </c>
      <c r="AP1249" s="18">
        <v>300000000</v>
      </c>
      <c r="AQ1249" s="96">
        <v>0</v>
      </c>
      <c r="AR1249" s="43">
        <v>27272727</v>
      </c>
      <c r="AS1249" s="43">
        <v>94545454</v>
      </c>
      <c r="AT1249" s="39">
        <f t="shared" ref="AT1249:AT1252" si="465">AQ1249+AS1249</f>
        <v>94545454</v>
      </c>
      <c r="AU1249" s="133">
        <f>AJ1249-AM1249</f>
        <v>0</v>
      </c>
      <c r="AV1249" s="133">
        <f>AM1249-AP1249</f>
        <v>0</v>
      </c>
      <c r="AW1249" s="110">
        <f>AP1249-AT1249</f>
        <v>205454546</v>
      </c>
      <c r="AX1249" s="123">
        <f>AP1249/AJ1249</f>
        <v>1</v>
      </c>
    </row>
    <row r="1250" spans="27:50" x14ac:dyDescent="0.2">
      <c r="AA1250" s="94" t="s">
        <v>792</v>
      </c>
      <c r="AB1250" s="95" t="s">
        <v>793</v>
      </c>
      <c r="AC1250" s="96" t="s">
        <v>794</v>
      </c>
      <c r="AD1250" s="43">
        <v>664600000</v>
      </c>
      <c r="AE1250" s="96">
        <v>0</v>
      </c>
      <c r="AF1250" s="216">
        <v>0</v>
      </c>
      <c r="AG1250" s="216">
        <v>0</v>
      </c>
      <c r="AH1250" s="216">
        <v>0</v>
      </c>
      <c r="AI1250" s="136">
        <f t="shared" si="463"/>
        <v>0</v>
      </c>
      <c r="AJ1250" s="43">
        <f t="shared" si="464"/>
        <v>664600000</v>
      </c>
      <c r="AK1250" s="44">
        <v>0</v>
      </c>
      <c r="AL1250" s="115">
        <v>0</v>
      </c>
      <c r="AM1250" s="18">
        <v>664510000</v>
      </c>
      <c r="AN1250" s="98">
        <v>0</v>
      </c>
      <c r="AO1250" s="145">
        <v>0</v>
      </c>
      <c r="AP1250" s="18">
        <v>664510000</v>
      </c>
      <c r="AQ1250" s="114">
        <v>11800000</v>
      </c>
      <c r="AR1250" s="43">
        <v>70945455</v>
      </c>
      <c r="AS1250" s="43">
        <v>256617578</v>
      </c>
      <c r="AT1250" s="111">
        <f t="shared" si="465"/>
        <v>268417578</v>
      </c>
      <c r="AU1250" s="110">
        <f>AJ1250-AM1250</f>
        <v>90000</v>
      </c>
      <c r="AV1250" s="133">
        <f>AM1250-AP1250</f>
        <v>0</v>
      </c>
      <c r="AW1250" s="110">
        <f>AP1250-AT1250</f>
        <v>396092422</v>
      </c>
      <c r="AX1250" s="123">
        <f>AP1250/AJ1250</f>
        <v>0.99986458019861568</v>
      </c>
    </row>
    <row r="1251" spans="27:50" x14ac:dyDescent="0.2">
      <c r="AA1251" s="173" t="s">
        <v>1180</v>
      </c>
      <c r="AB1251" s="95" t="s">
        <v>1181</v>
      </c>
      <c r="AC1251" s="96"/>
      <c r="AD1251" s="44">
        <v>0</v>
      </c>
      <c r="AE1251" s="43">
        <f>54400000+23058182</f>
        <v>77458182</v>
      </c>
      <c r="AF1251" s="216">
        <v>0</v>
      </c>
      <c r="AG1251" s="216">
        <v>0</v>
      </c>
      <c r="AH1251" s="216">
        <v>0</v>
      </c>
      <c r="AI1251" s="136">
        <f t="shared" si="463"/>
        <v>77458182</v>
      </c>
      <c r="AJ1251" s="43">
        <f t="shared" si="464"/>
        <v>77458182</v>
      </c>
      <c r="AK1251" s="44">
        <v>0</v>
      </c>
      <c r="AL1251" s="115">
        <v>0</v>
      </c>
      <c r="AM1251" s="34">
        <v>0</v>
      </c>
      <c r="AN1251" s="98">
        <v>0</v>
      </c>
      <c r="AO1251" s="34">
        <v>0</v>
      </c>
      <c r="AP1251" s="34">
        <v>0</v>
      </c>
      <c r="AQ1251" s="115">
        <v>0</v>
      </c>
      <c r="AR1251" s="44">
        <v>0</v>
      </c>
      <c r="AS1251" s="44">
        <v>0</v>
      </c>
      <c r="AT1251" s="135">
        <f t="shared" si="465"/>
        <v>0</v>
      </c>
      <c r="AU1251" s="110">
        <f>AJ1251-AM1251</f>
        <v>77458182</v>
      </c>
      <c r="AV1251" s="133">
        <f>AM1251-AP1251</f>
        <v>0</v>
      </c>
      <c r="AW1251" s="133">
        <f>AP1251-AT1251</f>
        <v>0</v>
      </c>
      <c r="AX1251" s="123">
        <f>AP1251/AJ1251</f>
        <v>0</v>
      </c>
    </row>
    <row r="1252" spans="27:50" ht="13.5" thickBot="1" x14ac:dyDescent="0.25">
      <c r="AA1252" s="221" t="s">
        <v>1185</v>
      </c>
      <c r="AB1252" s="95" t="s">
        <v>1015</v>
      </c>
      <c r="AC1252" s="96"/>
      <c r="AD1252" s="44">
        <v>0</v>
      </c>
      <c r="AE1252" s="43">
        <v>26941817.940000001</v>
      </c>
      <c r="AF1252" s="216">
        <v>0</v>
      </c>
      <c r="AG1252" s="216">
        <v>0</v>
      </c>
      <c r="AH1252" s="216">
        <v>0</v>
      </c>
      <c r="AI1252" s="136">
        <f t="shared" si="463"/>
        <v>26941817.940000001</v>
      </c>
      <c r="AJ1252" s="43">
        <f t="shared" si="464"/>
        <v>26941817.940000001</v>
      </c>
      <c r="AK1252" s="44">
        <v>0</v>
      </c>
      <c r="AL1252" s="115">
        <v>0</v>
      </c>
      <c r="AM1252" s="34">
        <v>0</v>
      </c>
      <c r="AN1252" s="98">
        <v>0</v>
      </c>
      <c r="AO1252" s="34">
        <v>0</v>
      </c>
      <c r="AP1252" s="34">
        <v>0</v>
      </c>
      <c r="AQ1252" s="115">
        <v>0</v>
      </c>
      <c r="AR1252" s="44">
        <v>0</v>
      </c>
      <c r="AS1252" s="44">
        <v>0</v>
      </c>
      <c r="AT1252" s="135">
        <f t="shared" si="465"/>
        <v>0</v>
      </c>
      <c r="AU1252" s="110">
        <f>AJ1252-AM1252</f>
        <v>26941817.940000001</v>
      </c>
      <c r="AV1252" s="133">
        <f>AM1252-AP1252</f>
        <v>0</v>
      </c>
      <c r="AW1252" s="133">
        <f>AP1252-AT1252</f>
        <v>0</v>
      </c>
      <c r="AX1252" s="123">
        <f>AP1252/AJ1252</f>
        <v>0</v>
      </c>
    </row>
    <row r="1253" spans="27:50" x14ac:dyDescent="0.2">
      <c r="AA1253" s="94"/>
      <c r="AB1253" s="95"/>
      <c r="AC1253" s="96"/>
      <c r="AD1253" s="43"/>
      <c r="AE1253" s="97"/>
      <c r="AF1253" s="97"/>
      <c r="AG1253" s="96"/>
      <c r="AH1253" s="43"/>
      <c r="AI1253" s="136"/>
      <c r="AJ1253" s="43"/>
      <c r="AK1253" s="97"/>
      <c r="AL1253" s="97"/>
      <c r="AM1253" s="97"/>
      <c r="AN1253" s="97"/>
      <c r="AO1253" s="97"/>
      <c r="AP1253" s="97"/>
      <c r="AQ1253" s="97"/>
      <c r="AR1253" s="97"/>
      <c r="AS1253" s="97"/>
      <c r="AT1253" s="135"/>
      <c r="AU1253" s="110"/>
      <c r="AV1253" s="133"/>
      <c r="AW1253" s="133"/>
      <c r="AX1253" s="123"/>
    </row>
    <row r="1254" spans="27:50" ht="25.5" x14ac:dyDescent="0.2">
      <c r="AA1254" s="93" t="s">
        <v>288</v>
      </c>
      <c r="AB1254" s="90" t="s">
        <v>795</v>
      </c>
      <c r="AC1254" s="91"/>
      <c r="AD1254" s="18"/>
      <c r="AE1254" s="92"/>
      <c r="AF1254" s="92"/>
      <c r="AG1254" s="92"/>
      <c r="AH1254" s="92"/>
      <c r="AI1254" s="92"/>
      <c r="AJ1254" s="18"/>
      <c r="AK1254" s="34"/>
      <c r="AL1254" s="18"/>
      <c r="AM1254" s="18"/>
      <c r="AN1254" s="92"/>
      <c r="AO1254" s="18"/>
      <c r="AP1254" s="18"/>
      <c r="AQ1254" s="92"/>
      <c r="AR1254" s="92"/>
      <c r="AS1254" s="92"/>
      <c r="AT1254" s="40"/>
      <c r="AU1254" s="18"/>
      <c r="AV1254" s="110"/>
      <c r="AW1254" s="18"/>
      <c r="AX1254" s="92"/>
    </row>
    <row r="1255" spans="27:50" x14ac:dyDescent="0.2">
      <c r="AA1255" s="94" t="s">
        <v>796</v>
      </c>
      <c r="AB1255" s="95" t="s">
        <v>233</v>
      </c>
      <c r="AC1255" s="96" t="s">
        <v>58</v>
      </c>
      <c r="AD1255" s="43">
        <v>242950000</v>
      </c>
      <c r="AE1255" s="96">
        <v>0</v>
      </c>
      <c r="AF1255" s="216">
        <v>0</v>
      </c>
      <c r="AG1255" s="216">
        <v>0</v>
      </c>
      <c r="AH1255" s="216">
        <v>0</v>
      </c>
      <c r="AI1255" s="136">
        <f>AE1255-AF1255+AG1255-AH1255</f>
        <v>0</v>
      </c>
      <c r="AJ1255" s="43">
        <f>AD1255+AI1255</f>
        <v>242950000</v>
      </c>
      <c r="AK1255" s="44">
        <v>0</v>
      </c>
      <c r="AL1255" s="43">
        <f>AM1255-JUNIO!AM1240</f>
        <v>242950000</v>
      </c>
      <c r="AM1255" s="43">
        <v>242950000</v>
      </c>
      <c r="AN1255" s="97">
        <v>0</v>
      </c>
      <c r="AO1255" s="44">
        <v>0</v>
      </c>
      <c r="AP1255" s="44">
        <v>0</v>
      </c>
      <c r="AQ1255" s="97">
        <v>0</v>
      </c>
      <c r="AR1255" s="97">
        <v>0</v>
      </c>
      <c r="AS1255" s="97">
        <v>0</v>
      </c>
      <c r="AT1255" s="135">
        <f>AQ1255+AS1255</f>
        <v>0</v>
      </c>
      <c r="AU1255" s="133">
        <f>AJ1255-AM1255</f>
        <v>0</v>
      </c>
      <c r="AV1255" s="18">
        <f>AM1255-AP1255</f>
        <v>242950000</v>
      </c>
      <c r="AW1255" s="34">
        <f>AP1255-AT1255</f>
        <v>0</v>
      </c>
      <c r="AX1255" s="123">
        <f>AP1255/AJ1255</f>
        <v>0</v>
      </c>
    </row>
    <row r="1256" spans="27:50" x14ac:dyDescent="0.2">
      <c r="AA1256" s="94" t="s">
        <v>797</v>
      </c>
      <c r="AB1256" s="95" t="s">
        <v>793</v>
      </c>
      <c r="AC1256" s="96" t="s">
        <v>794</v>
      </c>
      <c r="AD1256" s="43">
        <v>1746250000</v>
      </c>
      <c r="AE1256" s="43">
        <v>22486525</v>
      </c>
      <c r="AF1256" s="216">
        <v>0</v>
      </c>
      <c r="AG1256" s="216">
        <v>0</v>
      </c>
      <c r="AH1256" s="216">
        <v>0</v>
      </c>
      <c r="AI1256" s="136">
        <f>AE1256-AF1256+AG1256-AH1256</f>
        <v>22486525</v>
      </c>
      <c r="AJ1256" s="43">
        <f>AD1256+AI1256</f>
        <v>1768736525</v>
      </c>
      <c r="AK1256" s="44">
        <v>0</v>
      </c>
      <c r="AL1256" s="43">
        <f>AM1256-JUNIO!AM1241</f>
        <v>148000000</v>
      </c>
      <c r="AM1256" s="43">
        <v>1500939877</v>
      </c>
      <c r="AN1256" s="97">
        <v>0</v>
      </c>
      <c r="AO1256" s="114">
        <v>0</v>
      </c>
      <c r="AP1256" s="114">
        <v>1185450000</v>
      </c>
      <c r="AQ1256" s="43">
        <v>0</v>
      </c>
      <c r="AR1256" s="43">
        <v>52033333</v>
      </c>
      <c r="AS1256" s="43">
        <v>234098015</v>
      </c>
      <c r="AT1256" s="39">
        <f>AQ1256+AS1256</f>
        <v>234098015</v>
      </c>
      <c r="AU1256" s="18">
        <f>AJ1256-AM1256</f>
        <v>267796648</v>
      </c>
      <c r="AV1256" s="18">
        <f>AM1256-AP1256</f>
        <v>315489877</v>
      </c>
      <c r="AW1256" s="18">
        <f>AP1256-AT1256</f>
        <v>951351985</v>
      </c>
      <c r="AX1256" s="123">
        <f>AP1256/AJ1256</f>
        <v>0.67022418729098165</v>
      </c>
    </row>
    <row r="1257" spans="27:50" x14ac:dyDescent="0.2">
      <c r="AA1257" s="173" t="s">
        <v>1171</v>
      </c>
      <c r="AB1257" s="95" t="s">
        <v>1015</v>
      </c>
      <c r="AC1257" s="96"/>
      <c r="AD1257" s="44">
        <v>0</v>
      </c>
      <c r="AE1257" s="43">
        <f>168359999+463053476</f>
        <v>631413475</v>
      </c>
      <c r="AF1257" s="216">
        <v>0</v>
      </c>
      <c r="AG1257" s="216">
        <v>0</v>
      </c>
      <c r="AH1257" s="216">
        <v>0</v>
      </c>
      <c r="AI1257" s="136">
        <f>AE1257-AF1257+AG1257-AH1257</f>
        <v>631413475</v>
      </c>
      <c r="AJ1257" s="43">
        <f>AD1257+AI1257</f>
        <v>631413475</v>
      </c>
      <c r="AK1257" s="115">
        <v>0</v>
      </c>
      <c r="AL1257" s="43">
        <f>AM1257-JUNIO!AM1242</f>
        <v>450000000</v>
      </c>
      <c r="AM1257" s="18">
        <v>600000000</v>
      </c>
      <c r="AN1257" s="92">
        <v>0</v>
      </c>
      <c r="AO1257" s="18">
        <v>0</v>
      </c>
      <c r="AP1257" s="18">
        <v>46032300</v>
      </c>
      <c r="AQ1257" s="115">
        <v>0</v>
      </c>
      <c r="AR1257" s="115">
        <v>0</v>
      </c>
      <c r="AS1257" s="115">
        <v>0</v>
      </c>
      <c r="AT1257" s="135">
        <f>AQ1257+AS1257</f>
        <v>0</v>
      </c>
      <c r="AU1257" s="110">
        <f>AJ1257-AM1257</f>
        <v>31413475</v>
      </c>
      <c r="AV1257" s="18">
        <f>AM1257-AP1257</f>
        <v>553967700</v>
      </c>
      <c r="AW1257" s="18">
        <f>AP1257-AT1257</f>
        <v>46032300</v>
      </c>
      <c r="AX1257" s="123">
        <f>AP1257/AJ1257</f>
        <v>7.2903575584920804E-2</v>
      </c>
    </row>
    <row r="1258" spans="27:50" x14ac:dyDescent="0.2">
      <c r="AA1258" s="173" t="s">
        <v>1189</v>
      </c>
      <c r="AB1258" s="95" t="s">
        <v>1190</v>
      </c>
      <c r="AC1258" s="96"/>
      <c r="AD1258" s="44">
        <v>0</v>
      </c>
      <c r="AE1258" s="43">
        <v>1323800000</v>
      </c>
      <c r="AF1258" s="216">
        <v>0</v>
      </c>
      <c r="AG1258" s="216">
        <v>0</v>
      </c>
      <c r="AH1258" s="216">
        <v>0</v>
      </c>
      <c r="AI1258" s="136">
        <f>AE1258-AF1258+AG1258-AH1258</f>
        <v>1323800000</v>
      </c>
      <c r="AJ1258" s="43">
        <f>AD1258+AI1258</f>
        <v>1323800000</v>
      </c>
      <c r="AK1258" s="115">
        <v>0</v>
      </c>
      <c r="AL1258" s="43">
        <f>AM1258-JUNIO!AM1243</f>
        <v>294563198</v>
      </c>
      <c r="AM1258" s="18">
        <v>838193198</v>
      </c>
      <c r="AN1258" s="92">
        <v>0</v>
      </c>
      <c r="AO1258" s="18">
        <v>122700000</v>
      </c>
      <c r="AP1258" s="18">
        <v>439630000</v>
      </c>
      <c r="AQ1258" s="114">
        <v>0</v>
      </c>
      <c r="AR1258" s="114">
        <v>30023333</v>
      </c>
      <c r="AS1258" s="114">
        <v>34189999</v>
      </c>
      <c r="AT1258" s="111">
        <f>AQ1258+AS1258</f>
        <v>34189999</v>
      </c>
      <c r="AU1258" s="110">
        <f>AJ1258-AM1258</f>
        <v>485606802</v>
      </c>
      <c r="AV1258" s="18">
        <f>AM1258-AP1258</f>
        <v>398563198</v>
      </c>
      <c r="AW1258" s="18">
        <f>AP1258-AT1258</f>
        <v>405440001</v>
      </c>
      <c r="AX1258" s="123">
        <f>AP1258/AJ1258</f>
        <v>0.33209699350355038</v>
      </c>
    </row>
    <row r="1259" spans="27:50" x14ac:dyDescent="0.2">
      <c r="AA1259" s="94"/>
      <c r="AB1259" s="95"/>
      <c r="AC1259" s="96"/>
      <c r="AD1259" s="43"/>
      <c r="AE1259" s="97"/>
      <c r="AF1259" s="97"/>
      <c r="AG1259" s="96"/>
      <c r="AH1259" s="43"/>
      <c r="AI1259" s="136"/>
      <c r="AJ1259" s="43"/>
      <c r="AK1259" s="97"/>
      <c r="AL1259" s="97"/>
      <c r="AM1259" s="97"/>
      <c r="AN1259" s="97"/>
      <c r="AO1259" s="97"/>
      <c r="AP1259" s="97"/>
      <c r="AQ1259" s="97"/>
      <c r="AR1259" s="97"/>
      <c r="AS1259" s="97"/>
      <c r="AT1259" s="135"/>
      <c r="AU1259" s="110"/>
      <c r="AV1259" s="133"/>
      <c r="AW1259" s="133"/>
      <c r="AX1259" s="123"/>
    </row>
    <row r="1260" spans="27:50" ht="25.5" x14ac:dyDescent="0.2">
      <c r="AA1260" s="272" t="s">
        <v>288</v>
      </c>
      <c r="AB1260" s="90" t="s">
        <v>803</v>
      </c>
      <c r="AC1260" s="91"/>
      <c r="AD1260" s="18"/>
      <c r="AE1260" s="92"/>
      <c r="AF1260" s="92"/>
      <c r="AG1260" s="92"/>
      <c r="AH1260" s="92"/>
      <c r="AI1260" s="92"/>
      <c r="AJ1260" s="18"/>
      <c r="AK1260" s="34"/>
      <c r="AL1260" s="18"/>
      <c r="AM1260" s="18"/>
      <c r="AN1260" s="92"/>
      <c r="AO1260" s="18"/>
      <c r="AP1260" s="18"/>
      <c r="AQ1260" s="92"/>
      <c r="AR1260" s="92"/>
      <c r="AS1260" s="98"/>
      <c r="AT1260" s="31"/>
      <c r="AU1260" s="18"/>
      <c r="AV1260" s="34"/>
      <c r="AW1260" s="18"/>
      <c r="AX1260" s="92"/>
    </row>
    <row r="1261" spans="27:50" x14ac:dyDescent="0.2">
      <c r="AA1261" s="273" t="s">
        <v>804</v>
      </c>
      <c r="AB1261" s="95" t="s">
        <v>793</v>
      </c>
      <c r="AC1261" s="96" t="s">
        <v>794</v>
      </c>
      <c r="AD1261" s="43">
        <v>485467000</v>
      </c>
      <c r="AE1261" s="96">
        <v>0</v>
      </c>
      <c r="AF1261" s="216">
        <v>0</v>
      </c>
      <c r="AG1261" s="216">
        <v>0</v>
      </c>
      <c r="AH1261" s="216">
        <v>0</v>
      </c>
      <c r="AI1261" s="136">
        <f t="shared" ref="AI1261:AI1262" si="466">AE1261-AF1261+AG1261-AH1261</f>
        <v>0</v>
      </c>
      <c r="AJ1261" s="43">
        <f t="shared" ref="AJ1261:AJ1262" si="467">AD1261+AI1261</f>
        <v>485467000</v>
      </c>
      <c r="AK1261" s="97">
        <v>0</v>
      </c>
      <c r="AL1261" s="44">
        <v>0</v>
      </c>
      <c r="AM1261" s="43">
        <v>485467000</v>
      </c>
      <c r="AN1261" s="97">
        <v>0</v>
      </c>
      <c r="AO1261" s="44">
        <v>0</v>
      </c>
      <c r="AP1261" s="43">
        <v>485467000</v>
      </c>
      <c r="AQ1261" s="43">
        <v>0</v>
      </c>
      <c r="AR1261" s="43">
        <v>7600000</v>
      </c>
      <c r="AS1261" s="43">
        <v>44316708</v>
      </c>
      <c r="AT1261" s="39">
        <f t="shared" ref="AT1261:AT1262" si="468">AQ1261+AS1261</f>
        <v>44316708</v>
      </c>
      <c r="AU1261" s="133">
        <f>AJ1261-AM1261</f>
        <v>0</v>
      </c>
      <c r="AV1261" s="18">
        <f>AM1261-AP1261</f>
        <v>0</v>
      </c>
      <c r="AW1261" s="18">
        <f>AP1261-AT1261</f>
        <v>441150292</v>
      </c>
      <c r="AX1261" s="123">
        <f>AP1261/AJ1261</f>
        <v>1</v>
      </c>
    </row>
    <row r="1262" spans="27:50" x14ac:dyDescent="0.2">
      <c r="AA1262" s="274" t="s">
        <v>1172</v>
      </c>
      <c r="AB1262" s="95" t="s">
        <v>1015</v>
      </c>
      <c r="AC1262" s="96"/>
      <c r="AD1262" s="43">
        <v>0</v>
      </c>
      <c r="AE1262" s="43">
        <v>7600000</v>
      </c>
      <c r="AF1262" s="216">
        <v>0</v>
      </c>
      <c r="AG1262" s="216">
        <v>0</v>
      </c>
      <c r="AH1262" s="216">
        <v>0</v>
      </c>
      <c r="AI1262" s="136">
        <f t="shared" si="466"/>
        <v>7600000</v>
      </c>
      <c r="AJ1262" s="43">
        <f t="shared" si="467"/>
        <v>7600000</v>
      </c>
      <c r="AK1262" s="97">
        <v>0</v>
      </c>
      <c r="AL1262" s="44">
        <v>0</v>
      </c>
      <c r="AM1262" s="44">
        <v>0</v>
      </c>
      <c r="AN1262" s="97">
        <v>0</v>
      </c>
      <c r="AO1262" s="44">
        <v>0</v>
      </c>
      <c r="AP1262" s="44">
        <v>0</v>
      </c>
      <c r="AQ1262" s="44">
        <v>0</v>
      </c>
      <c r="AR1262" s="43">
        <v>0</v>
      </c>
      <c r="AS1262" s="44">
        <v>0</v>
      </c>
      <c r="AT1262" s="40">
        <f t="shared" si="468"/>
        <v>0</v>
      </c>
      <c r="AU1262" s="110">
        <f>AJ1262-AM1262</f>
        <v>7600000</v>
      </c>
      <c r="AV1262" s="34">
        <f>AM1262-AP1262</f>
        <v>0</v>
      </c>
      <c r="AW1262" s="34">
        <f>AP1262-AT1262</f>
        <v>0</v>
      </c>
      <c r="AX1262" s="123">
        <f>AP1262/AJ1262</f>
        <v>0</v>
      </c>
    </row>
    <row r="1263" spans="27:50" ht="25.5" x14ac:dyDescent="0.2">
      <c r="AA1263" s="272" t="s">
        <v>288</v>
      </c>
      <c r="AB1263" s="90" t="s">
        <v>805</v>
      </c>
      <c r="AC1263" s="91"/>
      <c r="AD1263" s="18"/>
      <c r="AE1263" s="92"/>
      <c r="AF1263" s="92"/>
      <c r="AG1263" s="92"/>
      <c r="AH1263" s="92"/>
      <c r="AI1263" s="92"/>
      <c r="AJ1263" s="18"/>
      <c r="AK1263" s="98"/>
      <c r="AL1263" s="133"/>
      <c r="AM1263" s="110"/>
      <c r="AN1263" s="92"/>
      <c r="AO1263" s="98"/>
      <c r="AP1263" s="92"/>
      <c r="AQ1263" s="92"/>
      <c r="AR1263" s="92"/>
      <c r="AS1263" s="98"/>
      <c r="AT1263" s="31"/>
      <c r="AU1263" s="18"/>
      <c r="AV1263" s="34"/>
      <c r="AW1263" s="18"/>
      <c r="AX1263" s="92"/>
    </row>
    <row r="1264" spans="27:50" x14ac:dyDescent="0.2">
      <c r="AA1264" s="273" t="s">
        <v>806</v>
      </c>
      <c r="AB1264" s="95" t="s">
        <v>793</v>
      </c>
      <c r="AC1264" s="96" t="s">
        <v>794</v>
      </c>
      <c r="AD1264" s="43">
        <v>402000000</v>
      </c>
      <c r="AE1264" s="96">
        <v>0</v>
      </c>
      <c r="AF1264" s="216">
        <v>0</v>
      </c>
      <c r="AG1264" s="216">
        <v>0</v>
      </c>
      <c r="AH1264" s="216">
        <v>0</v>
      </c>
      <c r="AI1264" s="136">
        <f t="shared" ref="AI1264:AI1265" si="469">AE1264-AF1264+AG1264-AH1264</f>
        <v>0</v>
      </c>
      <c r="AJ1264" s="43">
        <f t="shared" ref="AJ1264:AJ1265" si="470">AD1264+AI1264</f>
        <v>402000000</v>
      </c>
      <c r="AK1264" s="97">
        <v>0</v>
      </c>
      <c r="AL1264" s="115">
        <v>0</v>
      </c>
      <c r="AM1264" s="114">
        <v>366000000</v>
      </c>
      <c r="AN1264" s="97">
        <v>0</v>
      </c>
      <c r="AO1264" s="115">
        <v>0</v>
      </c>
      <c r="AP1264" s="43">
        <v>366000000</v>
      </c>
      <c r="AQ1264" s="43">
        <v>0</v>
      </c>
      <c r="AR1264" s="43">
        <v>8000000</v>
      </c>
      <c r="AS1264" s="43">
        <v>43129292</v>
      </c>
      <c r="AT1264" s="39">
        <f t="shared" ref="AT1264:AT1265" si="471">AQ1264+AS1264</f>
        <v>43129292</v>
      </c>
      <c r="AU1264" s="18">
        <f>AJ1264-AM1264</f>
        <v>36000000</v>
      </c>
      <c r="AV1264" s="34">
        <f>AM1264-AP1264</f>
        <v>0</v>
      </c>
      <c r="AW1264" s="18">
        <f>AP1264-AT1264</f>
        <v>322870708</v>
      </c>
      <c r="AX1264" s="123">
        <f>AP1264/AJ1264</f>
        <v>0.91044776119402981</v>
      </c>
    </row>
    <row r="1265" spans="27:50" x14ac:dyDescent="0.2">
      <c r="AA1265" s="173" t="s">
        <v>1173</v>
      </c>
      <c r="AB1265" s="95" t="s">
        <v>1015</v>
      </c>
      <c r="AC1265" s="96"/>
      <c r="AD1265" s="43">
        <v>0</v>
      </c>
      <c r="AE1265" s="43">
        <v>12000000</v>
      </c>
      <c r="AF1265" s="216">
        <v>0</v>
      </c>
      <c r="AG1265" s="216">
        <v>0</v>
      </c>
      <c r="AH1265" s="216">
        <v>0</v>
      </c>
      <c r="AI1265" s="136">
        <f t="shared" si="469"/>
        <v>12000000</v>
      </c>
      <c r="AJ1265" s="43">
        <f t="shared" si="470"/>
        <v>12000000</v>
      </c>
      <c r="AK1265" s="97">
        <v>0</v>
      </c>
      <c r="AL1265" s="115">
        <v>0</v>
      </c>
      <c r="AM1265" s="115">
        <v>0</v>
      </c>
      <c r="AN1265" s="97">
        <v>0</v>
      </c>
      <c r="AO1265" s="115">
        <v>0</v>
      </c>
      <c r="AP1265" s="44">
        <v>0</v>
      </c>
      <c r="AQ1265" s="44">
        <v>0</v>
      </c>
      <c r="AR1265" s="44">
        <v>0</v>
      </c>
      <c r="AS1265" s="44">
        <v>0</v>
      </c>
      <c r="AT1265" s="40">
        <f t="shared" si="471"/>
        <v>0</v>
      </c>
      <c r="AU1265" s="18">
        <f>AJ1265-AM1265</f>
        <v>12000000</v>
      </c>
      <c r="AV1265" s="34">
        <f>AM1265-AP1265</f>
        <v>0</v>
      </c>
      <c r="AW1265" s="34">
        <f>AP1265-AT1265</f>
        <v>0</v>
      </c>
      <c r="AX1265" s="123">
        <f>AP1265/AJ1265</f>
        <v>0</v>
      </c>
    </row>
    <row r="1266" spans="27:50" x14ac:dyDescent="0.2">
      <c r="AA1266" s="94"/>
      <c r="AB1266" s="95"/>
      <c r="AC1266" s="96"/>
      <c r="AD1266" s="43"/>
      <c r="AE1266" s="97"/>
      <c r="AF1266" s="97"/>
      <c r="AG1266" s="96"/>
      <c r="AH1266" s="43"/>
      <c r="AI1266" s="136"/>
      <c r="AJ1266" s="43"/>
      <c r="AK1266" s="97"/>
      <c r="AL1266" s="97"/>
      <c r="AM1266" s="97"/>
      <c r="AN1266" s="97"/>
      <c r="AO1266" s="97"/>
      <c r="AP1266" s="97"/>
      <c r="AQ1266" s="97"/>
      <c r="AR1266" s="97"/>
      <c r="AS1266" s="97"/>
      <c r="AT1266" s="135"/>
      <c r="AU1266" s="110"/>
      <c r="AV1266" s="133"/>
      <c r="AW1266" s="133"/>
      <c r="AX1266" s="123"/>
    </row>
    <row r="1267" spans="27:50" ht="38.25" x14ac:dyDescent="0.2">
      <c r="AA1267" s="93" t="s">
        <v>288</v>
      </c>
      <c r="AB1267" s="90" t="s">
        <v>807</v>
      </c>
      <c r="AC1267" s="91"/>
      <c r="AD1267" s="18"/>
      <c r="AE1267" s="92"/>
      <c r="AF1267" s="92"/>
      <c r="AG1267" s="92"/>
      <c r="AH1267" s="92"/>
      <c r="AI1267" s="92"/>
      <c r="AJ1267" s="18"/>
      <c r="AK1267" s="98"/>
      <c r="AL1267" s="98"/>
      <c r="AM1267" s="98"/>
      <c r="AN1267" s="98"/>
      <c r="AO1267" s="98"/>
      <c r="AP1267" s="98"/>
      <c r="AQ1267" s="98"/>
      <c r="AR1267" s="98"/>
      <c r="AS1267" s="98"/>
      <c r="AT1267" s="31"/>
      <c r="AU1267" s="18"/>
      <c r="AV1267" s="18"/>
      <c r="AW1267" s="18"/>
      <c r="AX1267" s="92"/>
    </row>
    <row r="1268" spans="27:50" x14ac:dyDescent="0.2">
      <c r="AA1268" s="94" t="s">
        <v>808</v>
      </c>
      <c r="AB1268" s="95" t="s">
        <v>233</v>
      </c>
      <c r="AC1268" s="96" t="s">
        <v>58</v>
      </c>
      <c r="AD1268" s="43">
        <v>313050000.81</v>
      </c>
      <c r="AE1268" s="96">
        <v>0</v>
      </c>
      <c r="AF1268" s="216">
        <v>0</v>
      </c>
      <c r="AG1268" s="216">
        <v>0</v>
      </c>
      <c r="AH1268" s="43">
        <v>136150000</v>
      </c>
      <c r="AI1268" s="136">
        <f t="shared" ref="AI1268:AI1273" si="472">AE1268-AF1268+AG1268-AH1268</f>
        <v>-136150000</v>
      </c>
      <c r="AJ1268" s="43">
        <f t="shared" ref="AJ1268:AJ1273" si="473">AD1268+AI1268</f>
        <v>176900000.81</v>
      </c>
      <c r="AK1268" s="97">
        <v>0</v>
      </c>
      <c r="AL1268" s="115">
        <v>0</v>
      </c>
      <c r="AM1268" s="114">
        <v>175300000</v>
      </c>
      <c r="AN1268" s="97">
        <v>0</v>
      </c>
      <c r="AO1268" s="114">
        <v>0</v>
      </c>
      <c r="AP1268" s="43">
        <v>175300000</v>
      </c>
      <c r="AQ1268" s="43">
        <v>4500000</v>
      </c>
      <c r="AR1268" s="43">
        <v>18200000</v>
      </c>
      <c r="AS1268" s="43">
        <v>73103333</v>
      </c>
      <c r="AT1268" s="39">
        <f t="shared" ref="AT1268:AT1273" si="474">AQ1268+AS1268</f>
        <v>77603333</v>
      </c>
      <c r="AU1268" s="110">
        <f t="shared" ref="AU1268:AU1273" si="475">AJ1268-AM1268</f>
        <v>1600000.8100000024</v>
      </c>
      <c r="AV1268" s="34">
        <f t="shared" ref="AV1268:AV1273" si="476">AM1268-AP1268</f>
        <v>0</v>
      </c>
      <c r="AW1268" s="18">
        <f t="shared" ref="AW1268:AW1273" si="477">AP1268-AT1268</f>
        <v>97696667</v>
      </c>
      <c r="AX1268" s="123">
        <f t="shared" ref="AX1268:AX1273" si="478">AP1268/AJ1268</f>
        <v>0.99095533746368669</v>
      </c>
    </row>
    <row r="1269" spans="27:50" x14ac:dyDescent="0.2">
      <c r="AA1269" s="94" t="s">
        <v>809</v>
      </c>
      <c r="AB1269" s="95" t="s">
        <v>793</v>
      </c>
      <c r="AC1269" s="96" t="s">
        <v>794</v>
      </c>
      <c r="AD1269" s="43">
        <v>256800000</v>
      </c>
      <c r="AE1269" s="96">
        <v>0</v>
      </c>
      <c r="AF1269" s="216">
        <v>0</v>
      </c>
      <c r="AG1269" s="216">
        <v>0</v>
      </c>
      <c r="AH1269" s="216">
        <v>0</v>
      </c>
      <c r="AI1269" s="136">
        <f t="shared" si="472"/>
        <v>0</v>
      </c>
      <c r="AJ1269" s="43">
        <f t="shared" si="473"/>
        <v>256800000</v>
      </c>
      <c r="AK1269" s="97">
        <v>0</v>
      </c>
      <c r="AL1269" s="115">
        <v>0</v>
      </c>
      <c r="AM1269" s="114">
        <v>256800000</v>
      </c>
      <c r="AN1269" s="97">
        <v>0</v>
      </c>
      <c r="AO1269" s="115">
        <v>0</v>
      </c>
      <c r="AP1269" s="43">
        <v>256800000</v>
      </c>
      <c r="AQ1269" s="43">
        <v>0</v>
      </c>
      <c r="AR1269" s="43">
        <v>3913333.33</v>
      </c>
      <c r="AS1269" s="43">
        <v>24089999.329999998</v>
      </c>
      <c r="AT1269" s="39">
        <f t="shared" si="474"/>
        <v>24089999.329999998</v>
      </c>
      <c r="AU1269" s="133">
        <f t="shared" si="475"/>
        <v>0</v>
      </c>
      <c r="AV1269" s="34">
        <f t="shared" si="476"/>
        <v>0</v>
      </c>
      <c r="AW1269" s="18">
        <f t="shared" si="477"/>
        <v>232710000.67000002</v>
      </c>
      <c r="AX1269" s="123">
        <f t="shared" si="478"/>
        <v>1</v>
      </c>
    </row>
    <row r="1270" spans="27:50" x14ac:dyDescent="0.2">
      <c r="AA1270" s="94" t="s">
        <v>810</v>
      </c>
      <c r="AB1270" s="95" t="s">
        <v>811</v>
      </c>
      <c r="AC1270" s="96" t="s">
        <v>368</v>
      </c>
      <c r="AD1270" s="43">
        <v>90000000</v>
      </c>
      <c r="AE1270" s="96">
        <v>0</v>
      </c>
      <c r="AF1270" s="216">
        <v>0</v>
      </c>
      <c r="AG1270" s="216">
        <v>0</v>
      </c>
      <c r="AH1270" s="216">
        <v>0</v>
      </c>
      <c r="AI1270" s="136">
        <f t="shared" si="472"/>
        <v>0</v>
      </c>
      <c r="AJ1270" s="43">
        <f t="shared" si="473"/>
        <v>90000000</v>
      </c>
      <c r="AK1270" s="97">
        <v>0</v>
      </c>
      <c r="AL1270" s="115">
        <v>0</v>
      </c>
      <c r="AM1270" s="114">
        <v>86600000</v>
      </c>
      <c r="AN1270" s="97">
        <v>0</v>
      </c>
      <c r="AO1270" s="115">
        <v>0</v>
      </c>
      <c r="AP1270" s="43">
        <v>86600000</v>
      </c>
      <c r="AQ1270" s="43">
        <v>0</v>
      </c>
      <c r="AR1270" s="43">
        <v>9700000</v>
      </c>
      <c r="AS1270" s="43">
        <v>34483333</v>
      </c>
      <c r="AT1270" s="39">
        <f t="shared" si="474"/>
        <v>34483333</v>
      </c>
      <c r="AU1270" s="18">
        <f t="shared" si="475"/>
        <v>3400000</v>
      </c>
      <c r="AV1270" s="34">
        <f t="shared" si="476"/>
        <v>0</v>
      </c>
      <c r="AW1270" s="18">
        <f t="shared" si="477"/>
        <v>52116667</v>
      </c>
      <c r="AX1270" s="123">
        <f t="shared" si="478"/>
        <v>0.9622222222222222</v>
      </c>
    </row>
    <row r="1271" spans="27:50" x14ac:dyDescent="0.2">
      <c r="AA1271" s="173" t="s">
        <v>1174</v>
      </c>
      <c r="AB1271" s="95" t="s">
        <v>1015</v>
      </c>
      <c r="AC1271" s="96"/>
      <c r="AD1271" s="44">
        <v>0</v>
      </c>
      <c r="AE1271" s="43">
        <v>165050000</v>
      </c>
      <c r="AF1271" s="216">
        <v>0</v>
      </c>
      <c r="AG1271" s="216">
        <v>0</v>
      </c>
      <c r="AH1271" s="216">
        <v>0</v>
      </c>
      <c r="AI1271" s="136">
        <f t="shared" si="472"/>
        <v>165050000</v>
      </c>
      <c r="AJ1271" s="43">
        <f t="shared" si="473"/>
        <v>165050000</v>
      </c>
      <c r="AK1271" s="97">
        <v>0</v>
      </c>
      <c r="AL1271" s="115">
        <v>0</v>
      </c>
      <c r="AM1271" s="114">
        <v>136150000</v>
      </c>
      <c r="AN1271" s="97">
        <v>0</v>
      </c>
      <c r="AO1271" s="115">
        <v>0</v>
      </c>
      <c r="AP1271" s="44">
        <v>0</v>
      </c>
      <c r="AQ1271" s="44">
        <v>0</v>
      </c>
      <c r="AR1271" s="44">
        <v>0</v>
      </c>
      <c r="AS1271" s="44">
        <v>0</v>
      </c>
      <c r="AT1271" s="40">
        <f t="shared" si="474"/>
        <v>0</v>
      </c>
      <c r="AU1271" s="18">
        <f t="shared" si="475"/>
        <v>28900000</v>
      </c>
      <c r="AV1271" s="18">
        <f t="shared" si="476"/>
        <v>136150000</v>
      </c>
      <c r="AW1271" s="34">
        <f t="shared" si="477"/>
        <v>0</v>
      </c>
      <c r="AX1271" s="123">
        <f t="shared" si="478"/>
        <v>0</v>
      </c>
    </row>
    <row r="1272" spans="27:50" x14ac:dyDescent="0.2">
      <c r="AA1272" s="173" t="s">
        <v>1166</v>
      </c>
      <c r="AB1272" s="95" t="s">
        <v>1167</v>
      </c>
      <c r="AC1272" s="96"/>
      <c r="AD1272" s="44">
        <v>0</v>
      </c>
      <c r="AE1272" s="43">
        <v>77813000</v>
      </c>
      <c r="AF1272" s="216">
        <v>0</v>
      </c>
      <c r="AG1272" s="216">
        <v>0</v>
      </c>
      <c r="AH1272" s="216">
        <v>0</v>
      </c>
      <c r="AI1272" s="136">
        <f>AE1272-AF1272+AG1272-AH1272</f>
        <v>77813000</v>
      </c>
      <c r="AJ1272" s="43">
        <f>AD1272+AI1272</f>
        <v>77813000</v>
      </c>
      <c r="AK1272" s="97">
        <v>0</v>
      </c>
      <c r="AL1272" s="115">
        <v>0</v>
      </c>
      <c r="AM1272" s="114">
        <v>0</v>
      </c>
      <c r="AN1272" s="97">
        <v>0</v>
      </c>
      <c r="AO1272" s="115">
        <v>0</v>
      </c>
      <c r="AP1272" s="43">
        <v>0</v>
      </c>
      <c r="AQ1272" s="43">
        <v>0</v>
      </c>
      <c r="AR1272" s="44">
        <v>0</v>
      </c>
      <c r="AS1272" s="44">
        <v>0</v>
      </c>
      <c r="AT1272" s="40">
        <f>AQ1272+AS1272</f>
        <v>0</v>
      </c>
      <c r="AU1272" s="18">
        <f>AJ1272-AM1272</f>
        <v>77813000</v>
      </c>
      <c r="AV1272" s="34">
        <f>AM1272-AP1272</f>
        <v>0</v>
      </c>
      <c r="AW1272" s="34">
        <f>AP1272-AT1272</f>
        <v>0</v>
      </c>
      <c r="AX1272" s="123">
        <f>AP1272/AJ1272</f>
        <v>0</v>
      </c>
    </row>
    <row r="1273" spans="27:50" x14ac:dyDescent="0.2">
      <c r="AA1273" s="173" t="s">
        <v>1183</v>
      </c>
      <c r="AB1273" s="95" t="s">
        <v>1184</v>
      </c>
      <c r="AC1273" s="96"/>
      <c r="AD1273" s="44">
        <v>0</v>
      </c>
      <c r="AE1273" s="43">
        <v>43150983.530000001</v>
      </c>
      <c r="AF1273" s="216">
        <v>0</v>
      </c>
      <c r="AG1273" s="216">
        <v>0</v>
      </c>
      <c r="AH1273" s="216">
        <v>0</v>
      </c>
      <c r="AI1273" s="136">
        <f t="shared" si="472"/>
        <v>43150983.530000001</v>
      </c>
      <c r="AJ1273" s="43">
        <f t="shared" si="473"/>
        <v>43150983.530000001</v>
      </c>
      <c r="AK1273" s="97">
        <v>0</v>
      </c>
      <c r="AL1273" s="115">
        <v>0</v>
      </c>
      <c r="AM1273" s="114">
        <v>0</v>
      </c>
      <c r="AN1273" s="97">
        <v>0</v>
      </c>
      <c r="AO1273" s="115">
        <v>0</v>
      </c>
      <c r="AP1273" s="44">
        <v>0</v>
      </c>
      <c r="AQ1273" s="44">
        <v>0</v>
      </c>
      <c r="AR1273" s="44">
        <v>0</v>
      </c>
      <c r="AS1273" s="44">
        <v>0</v>
      </c>
      <c r="AT1273" s="40">
        <f t="shared" si="474"/>
        <v>0</v>
      </c>
      <c r="AU1273" s="18">
        <f t="shared" si="475"/>
        <v>43150983.530000001</v>
      </c>
      <c r="AV1273" s="34">
        <f t="shared" si="476"/>
        <v>0</v>
      </c>
      <c r="AW1273" s="34">
        <f t="shared" si="477"/>
        <v>0</v>
      </c>
      <c r="AX1273" s="123">
        <f t="shared" si="478"/>
        <v>0</v>
      </c>
    </row>
    <row r="1274" spans="27:50" x14ac:dyDescent="0.2">
      <c r="AA1274" s="89"/>
      <c r="AB1274" s="91"/>
      <c r="AC1274" s="91"/>
      <c r="AD1274" s="18"/>
      <c r="AE1274" s="92"/>
      <c r="AF1274" s="92"/>
      <c r="AG1274" s="92"/>
      <c r="AH1274" s="92"/>
      <c r="AI1274" s="92"/>
      <c r="AJ1274" s="18"/>
      <c r="AK1274" s="98"/>
      <c r="AL1274" s="98"/>
      <c r="AM1274" s="98"/>
      <c r="AN1274" s="98"/>
      <c r="AO1274" s="98"/>
      <c r="AP1274" s="98"/>
      <c r="AQ1274" s="98"/>
      <c r="AR1274" s="98"/>
      <c r="AS1274" s="92"/>
      <c r="AT1274" s="30"/>
      <c r="AU1274" s="18"/>
      <c r="AV1274" s="18"/>
      <c r="AW1274" s="18"/>
      <c r="AX1274" s="92"/>
    </row>
    <row r="1275" spans="27:50" ht="25.5" x14ac:dyDescent="0.2">
      <c r="AA1275" s="93" t="s">
        <v>288</v>
      </c>
      <c r="AB1275" s="90" t="s">
        <v>812</v>
      </c>
      <c r="AC1275" s="91"/>
      <c r="AD1275" s="18"/>
      <c r="AE1275" s="92"/>
      <c r="AF1275" s="92"/>
      <c r="AG1275" s="92"/>
      <c r="AH1275" s="92"/>
      <c r="AI1275" s="92"/>
      <c r="AJ1275" s="18"/>
      <c r="AK1275" s="98"/>
      <c r="AL1275" s="98"/>
      <c r="AM1275" s="98"/>
      <c r="AN1275" s="98"/>
      <c r="AO1275" s="98"/>
      <c r="AP1275" s="98"/>
      <c r="AQ1275" s="98"/>
      <c r="AR1275" s="98"/>
      <c r="AS1275" s="98"/>
      <c r="AT1275" s="31"/>
      <c r="AU1275" s="18"/>
      <c r="AV1275" s="34"/>
      <c r="AW1275" s="18"/>
      <c r="AX1275" s="92"/>
    </row>
    <row r="1276" spans="27:50" x14ac:dyDescent="0.2">
      <c r="AA1276" s="94" t="s">
        <v>813</v>
      </c>
      <c r="AB1276" s="95" t="s">
        <v>793</v>
      </c>
      <c r="AC1276" s="96" t="s">
        <v>794</v>
      </c>
      <c r="AD1276" s="43">
        <v>57600000</v>
      </c>
      <c r="AE1276" s="96">
        <v>0</v>
      </c>
      <c r="AF1276" s="216">
        <v>0</v>
      </c>
      <c r="AG1276" s="216">
        <v>0</v>
      </c>
      <c r="AH1276" s="216">
        <v>0</v>
      </c>
      <c r="AI1276" s="136">
        <f t="shared" ref="AI1276:AI1277" si="479">AE1276-AF1276+AG1276-AH1276</f>
        <v>0</v>
      </c>
      <c r="AJ1276" s="43">
        <f t="shared" ref="AJ1276:AJ1277" si="480">AD1276+AI1276</f>
        <v>57600000</v>
      </c>
      <c r="AK1276" s="44">
        <v>0</v>
      </c>
      <c r="AL1276" s="44">
        <v>0</v>
      </c>
      <c r="AM1276" s="43">
        <v>49750000</v>
      </c>
      <c r="AN1276" s="44">
        <v>0</v>
      </c>
      <c r="AO1276" s="44">
        <v>0</v>
      </c>
      <c r="AP1276" s="43">
        <v>49750000</v>
      </c>
      <c r="AQ1276" s="43">
        <v>1900000</v>
      </c>
      <c r="AR1276" s="43">
        <v>9900000</v>
      </c>
      <c r="AS1276" s="43">
        <v>12913333</v>
      </c>
      <c r="AT1276" s="39">
        <f>AQ1276+AS1276</f>
        <v>14813333</v>
      </c>
      <c r="AU1276" s="110">
        <f>AJ1276-AM1276</f>
        <v>7850000</v>
      </c>
      <c r="AV1276" s="34">
        <f>AM1276-AP1276</f>
        <v>0</v>
      </c>
      <c r="AW1276" s="18">
        <f>AP1276-AT1276</f>
        <v>34936667</v>
      </c>
      <c r="AX1276" s="123">
        <f>AP1276/AJ1276</f>
        <v>0.86371527777777779</v>
      </c>
    </row>
    <row r="1277" spans="27:50" x14ac:dyDescent="0.2">
      <c r="AA1277" s="173" t="s">
        <v>1175</v>
      </c>
      <c r="AB1277" s="95" t="s">
        <v>1015</v>
      </c>
      <c r="AC1277" s="96"/>
      <c r="AD1277" s="44">
        <v>0</v>
      </c>
      <c r="AE1277" s="43">
        <v>6400000</v>
      </c>
      <c r="AF1277" s="216">
        <v>0</v>
      </c>
      <c r="AG1277" s="216">
        <v>0</v>
      </c>
      <c r="AH1277" s="216">
        <v>0</v>
      </c>
      <c r="AI1277" s="136">
        <f t="shared" si="479"/>
        <v>6400000</v>
      </c>
      <c r="AJ1277" s="43">
        <f t="shared" si="480"/>
        <v>6400000</v>
      </c>
      <c r="AK1277" s="44">
        <v>0</v>
      </c>
      <c r="AL1277" s="44">
        <v>0</v>
      </c>
      <c r="AM1277" s="43">
        <v>0</v>
      </c>
      <c r="AN1277" s="44">
        <v>0</v>
      </c>
      <c r="AO1277" s="44">
        <v>0</v>
      </c>
      <c r="AP1277" s="44">
        <v>0</v>
      </c>
      <c r="AQ1277" s="44">
        <v>0</v>
      </c>
      <c r="AR1277" s="44">
        <v>0</v>
      </c>
      <c r="AS1277" s="44">
        <v>0</v>
      </c>
      <c r="AT1277" s="135">
        <f>AQ1277+AS1277</f>
        <v>0</v>
      </c>
      <c r="AU1277" s="110">
        <f>AJ1277-AM1277</f>
        <v>6400000</v>
      </c>
      <c r="AV1277" s="34">
        <f>AM1277-AP1277</f>
        <v>0</v>
      </c>
      <c r="AW1277" s="34">
        <f>AP1277-AT1277</f>
        <v>0</v>
      </c>
      <c r="AX1277" s="123">
        <f>AP1277/AJ1277</f>
        <v>0</v>
      </c>
    </row>
    <row r="1278" spans="27:50" x14ac:dyDescent="0.2">
      <c r="AA1278" s="89"/>
      <c r="AB1278" s="91"/>
      <c r="AC1278" s="91"/>
      <c r="AD1278" s="18"/>
      <c r="AE1278" s="92"/>
      <c r="AF1278" s="92"/>
      <c r="AG1278" s="92"/>
      <c r="AH1278" s="92"/>
      <c r="AI1278" s="92"/>
      <c r="AJ1278" s="18"/>
      <c r="AK1278" s="98"/>
      <c r="AL1278" s="98"/>
      <c r="AM1278" s="98"/>
      <c r="AN1278" s="98"/>
      <c r="AO1278" s="98"/>
      <c r="AP1278" s="98"/>
      <c r="AQ1278" s="98"/>
      <c r="AR1278" s="98"/>
      <c r="AS1278" s="92"/>
      <c r="AT1278" s="30"/>
      <c r="AU1278" s="18"/>
      <c r="AV1278" s="18"/>
      <c r="AW1278" s="18"/>
      <c r="AX1278" s="92"/>
    </row>
    <row r="1279" spans="27:50" ht="25.5" x14ac:dyDescent="0.2">
      <c r="AA1279" s="93" t="s">
        <v>288</v>
      </c>
      <c r="AB1279" s="90" t="s">
        <v>814</v>
      </c>
      <c r="AC1279" s="91"/>
      <c r="AD1279" s="18"/>
      <c r="AE1279" s="92"/>
      <c r="AF1279" s="92"/>
      <c r="AG1279" s="92"/>
      <c r="AH1279" s="92"/>
      <c r="AI1279" s="92"/>
      <c r="AJ1279" s="18"/>
      <c r="AK1279" s="92"/>
      <c r="AL1279" s="92"/>
      <c r="AM1279" s="92"/>
      <c r="AN1279" s="92"/>
      <c r="AO1279" s="92"/>
      <c r="AP1279" s="98"/>
      <c r="AQ1279" s="98"/>
      <c r="AR1279" s="98"/>
      <c r="AS1279" s="98"/>
      <c r="AT1279" s="40"/>
      <c r="AU1279" s="18"/>
      <c r="AV1279" s="34"/>
      <c r="AW1279" s="18"/>
      <c r="AX1279" s="92"/>
    </row>
    <row r="1280" spans="27:50" x14ac:dyDescent="0.2">
      <c r="AA1280" s="94" t="s">
        <v>815</v>
      </c>
      <c r="AB1280" s="95" t="s">
        <v>793</v>
      </c>
      <c r="AC1280" s="96" t="s">
        <v>794</v>
      </c>
      <c r="AD1280" s="43">
        <v>414513482</v>
      </c>
      <c r="AE1280" s="96">
        <v>0</v>
      </c>
      <c r="AF1280" s="216">
        <v>0</v>
      </c>
      <c r="AG1280" s="216">
        <v>0</v>
      </c>
      <c r="AH1280" s="216">
        <v>0</v>
      </c>
      <c r="AI1280" s="136">
        <f t="shared" ref="AI1280:AI1283" si="481">AE1280-AF1280+AG1280-AH1280</f>
        <v>0</v>
      </c>
      <c r="AJ1280" s="43">
        <f t="shared" ref="AJ1280:AJ1283" si="482">AD1280+AI1280</f>
        <v>414513482</v>
      </c>
      <c r="AK1280" s="97">
        <v>0</v>
      </c>
      <c r="AL1280" s="18">
        <v>0</v>
      </c>
      <c r="AM1280" s="18">
        <v>406513482</v>
      </c>
      <c r="AN1280" s="92">
        <v>0</v>
      </c>
      <c r="AO1280" s="110">
        <v>0</v>
      </c>
      <c r="AP1280" s="110">
        <v>406513482</v>
      </c>
      <c r="AQ1280" s="43">
        <v>8700000</v>
      </c>
      <c r="AR1280" s="43">
        <v>25200000</v>
      </c>
      <c r="AS1280" s="43">
        <v>108076666</v>
      </c>
      <c r="AT1280" s="39">
        <f t="shared" ref="AT1280:AT1283" si="483">AQ1280+AS1280</f>
        <v>116776666</v>
      </c>
      <c r="AU1280" s="110">
        <f>AJ1280-AM1280</f>
        <v>8000000</v>
      </c>
      <c r="AV1280" s="34">
        <f>AM1280-AP1280</f>
        <v>0</v>
      </c>
      <c r="AW1280" s="18">
        <f>AP1280-AT1280</f>
        <v>289736816</v>
      </c>
      <c r="AX1280" s="123">
        <f>AP1280/AJ1280</f>
        <v>0.98070026586011017</v>
      </c>
    </row>
    <row r="1281" spans="27:50" x14ac:dyDescent="0.2">
      <c r="AA1281" s="173" t="s">
        <v>1176</v>
      </c>
      <c r="AB1281" s="95" t="s">
        <v>1015</v>
      </c>
      <c r="AC1281" s="96"/>
      <c r="AD1281" s="44">
        <v>0</v>
      </c>
      <c r="AE1281" s="43">
        <v>44300000</v>
      </c>
      <c r="AF1281" s="216">
        <v>0</v>
      </c>
      <c r="AG1281" s="216">
        <v>0</v>
      </c>
      <c r="AH1281" s="216">
        <v>0</v>
      </c>
      <c r="AI1281" s="136">
        <f>AE1281-AF1281+AG1281-AH1281</f>
        <v>44300000</v>
      </c>
      <c r="AJ1281" s="43">
        <f>AD1281+AI1281</f>
        <v>44300000</v>
      </c>
      <c r="AK1281" s="97">
        <v>0</v>
      </c>
      <c r="AL1281" s="34">
        <v>0</v>
      </c>
      <c r="AM1281" s="34">
        <v>0</v>
      </c>
      <c r="AN1281" s="98">
        <v>0</v>
      </c>
      <c r="AO1281" s="133">
        <v>0</v>
      </c>
      <c r="AP1281" s="133">
        <v>0</v>
      </c>
      <c r="AQ1281" s="44">
        <v>0</v>
      </c>
      <c r="AR1281" s="44">
        <v>0</v>
      </c>
      <c r="AS1281" s="44">
        <v>0</v>
      </c>
      <c r="AT1281" s="40">
        <f t="shared" si="483"/>
        <v>0</v>
      </c>
      <c r="AU1281" s="110">
        <f>AJ1281-AM1281</f>
        <v>44300000</v>
      </c>
      <c r="AV1281" s="34">
        <f>AM1281-AP1281</f>
        <v>0</v>
      </c>
      <c r="AW1281" s="34">
        <f>AP1281-AT1281</f>
        <v>0</v>
      </c>
      <c r="AX1281" s="123">
        <f>AP1281/AJ1281</f>
        <v>0</v>
      </c>
    </row>
    <row r="1282" spans="27:50" x14ac:dyDescent="0.2">
      <c r="AA1282" s="173" t="s">
        <v>1168</v>
      </c>
      <c r="AB1282" s="95" t="s">
        <v>1169</v>
      </c>
      <c r="AC1282" s="96"/>
      <c r="AD1282" s="44">
        <v>0</v>
      </c>
      <c r="AE1282" s="43">
        <v>1272607864.71</v>
      </c>
      <c r="AF1282" s="216">
        <v>0</v>
      </c>
      <c r="AG1282" s="216">
        <v>0</v>
      </c>
      <c r="AH1282" s="216">
        <v>0</v>
      </c>
      <c r="AI1282" s="136">
        <f t="shared" si="481"/>
        <v>1272607864.71</v>
      </c>
      <c r="AJ1282" s="43">
        <f t="shared" si="482"/>
        <v>1272607864.71</v>
      </c>
      <c r="AK1282" s="97">
        <v>0</v>
      </c>
      <c r="AL1282" s="34">
        <v>0</v>
      </c>
      <c r="AM1282" s="34">
        <v>0</v>
      </c>
      <c r="AN1282" s="98">
        <v>0</v>
      </c>
      <c r="AO1282" s="133">
        <v>0</v>
      </c>
      <c r="AP1282" s="133">
        <v>0</v>
      </c>
      <c r="AQ1282" s="44">
        <v>0</v>
      </c>
      <c r="AR1282" s="44">
        <v>0</v>
      </c>
      <c r="AS1282" s="44">
        <v>0</v>
      </c>
      <c r="AT1282" s="40">
        <f t="shared" si="483"/>
        <v>0</v>
      </c>
      <c r="AU1282" s="110">
        <f>AJ1282-AM1282</f>
        <v>1272607864.71</v>
      </c>
      <c r="AV1282" s="34">
        <f>AM1282-AP1282</f>
        <v>0</v>
      </c>
      <c r="AW1282" s="34">
        <f>AP1282-AT1282</f>
        <v>0</v>
      </c>
      <c r="AX1282" s="123">
        <f>AP1282/AJ1282</f>
        <v>0</v>
      </c>
    </row>
    <row r="1283" spans="27:50" x14ac:dyDescent="0.2">
      <c r="AA1283" s="173" t="s">
        <v>1182</v>
      </c>
      <c r="AB1283" s="95" t="s">
        <v>1181</v>
      </c>
      <c r="AC1283" s="96"/>
      <c r="AD1283" s="44">
        <v>0</v>
      </c>
      <c r="AE1283" s="43">
        <v>17636386</v>
      </c>
      <c r="AF1283" s="216">
        <v>0</v>
      </c>
      <c r="AG1283" s="216">
        <v>0</v>
      </c>
      <c r="AH1283" s="216">
        <v>0</v>
      </c>
      <c r="AI1283" s="136">
        <f t="shared" si="481"/>
        <v>17636386</v>
      </c>
      <c r="AJ1283" s="43">
        <f t="shared" si="482"/>
        <v>17636386</v>
      </c>
      <c r="AK1283" s="97">
        <v>0</v>
      </c>
      <c r="AL1283" s="34">
        <v>0</v>
      </c>
      <c r="AM1283" s="34">
        <v>0</v>
      </c>
      <c r="AN1283" s="98">
        <v>0</v>
      </c>
      <c r="AO1283" s="133">
        <v>0</v>
      </c>
      <c r="AP1283" s="133">
        <v>0</v>
      </c>
      <c r="AQ1283" s="44">
        <v>0</v>
      </c>
      <c r="AR1283" s="44">
        <v>0</v>
      </c>
      <c r="AS1283" s="44">
        <v>0</v>
      </c>
      <c r="AT1283" s="40">
        <f t="shared" si="483"/>
        <v>0</v>
      </c>
      <c r="AU1283" s="110">
        <f>AJ1283-AM1283</f>
        <v>17636386</v>
      </c>
      <c r="AV1283" s="34">
        <f>AM1283-AP1283</f>
        <v>0</v>
      </c>
      <c r="AW1283" s="34">
        <f>AP1283-AT1283</f>
        <v>0</v>
      </c>
      <c r="AX1283" s="123">
        <f>AP1283/AJ1283</f>
        <v>0</v>
      </c>
    </row>
    <row r="1284" spans="27:50" x14ac:dyDescent="0.2">
      <c r="AA1284" s="89"/>
      <c r="AB1284" s="91"/>
      <c r="AC1284" s="91"/>
      <c r="AD1284" s="18"/>
      <c r="AE1284" s="92"/>
      <c r="AF1284" s="92"/>
      <c r="AG1284" s="92"/>
      <c r="AH1284" s="92"/>
      <c r="AI1284" s="92"/>
      <c r="AJ1284" s="18"/>
      <c r="AK1284" s="98"/>
      <c r="AL1284" s="98"/>
      <c r="AM1284" s="98"/>
      <c r="AN1284" s="98"/>
      <c r="AO1284" s="98"/>
      <c r="AP1284" s="98"/>
      <c r="AQ1284" s="98"/>
      <c r="AR1284" s="98"/>
      <c r="AS1284" s="92"/>
      <c r="AT1284" s="30"/>
      <c r="AU1284" s="18"/>
      <c r="AV1284" s="18"/>
      <c r="AW1284" s="18"/>
      <c r="AX1284" s="92"/>
    </row>
    <row r="1285" spans="27:50" ht="25.5" x14ac:dyDescent="0.2">
      <c r="AA1285" s="93" t="s">
        <v>288</v>
      </c>
      <c r="AB1285" s="90" t="s">
        <v>816</v>
      </c>
      <c r="AC1285" s="91"/>
      <c r="AD1285" s="18"/>
      <c r="AE1285" s="92"/>
      <c r="AF1285" s="92"/>
      <c r="AG1285" s="92"/>
      <c r="AH1285" s="92"/>
      <c r="AI1285" s="92"/>
      <c r="AJ1285" s="18"/>
      <c r="AK1285" s="98"/>
      <c r="AL1285" s="98"/>
      <c r="AM1285" s="92"/>
      <c r="AN1285" s="92"/>
      <c r="AO1285" s="92"/>
      <c r="AP1285" s="92"/>
      <c r="AQ1285" s="92"/>
      <c r="AR1285" s="92"/>
      <c r="AS1285" s="92"/>
      <c r="AT1285" s="40"/>
      <c r="AU1285" s="18"/>
      <c r="AV1285" s="34"/>
      <c r="AW1285" s="18"/>
      <c r="AX1285" s="92"/>
    </row>
    <row r="1286" spans="27:50" x14ac:dyDescent="0.2">
      <c r="AA1286" s="94" t="s">
        <v>817</v>
      </c>
      <c r="AB1286" s="95" t="s">
        <v>793</v>
      </c>
      <c r="AC1286" s="96" t="s">
        <v>794</v>
      </c>
      <c r="AD1286" s="43">
        <v>76500000</v>
      </c>
      <c r="AE1286" s="96">
        <v>0</v>
      </c>
      <c r="AF1286" s="216">
        <v>0</v>
      </c>
      <c r="AG1286" s="216">
        <v>0</v>
      </c>
      <c r="AH1286" s="216">
        <v>0</v>
      </c>
      <c r="AI1286" s="136">
        <f t="shared" ref="AI1286:AI1289" si="484">AE1286-AF1286+AG1286-AH1286</f>
        <v>0</v>
      </c>
      <c r="AJ1286" s="43">
        <f t="shared" ref="AJ1286:AJ1289" si="485">AD1286+AI1286</f>
        <v>76500000</v>
      </c>
      <c r="AK1286" s="97">
        <v>0</v>
      </c>
      <c r="AL1286" s="133">
        <v>0</v>
      </c>
      <c r="AM1286" s="18">
        <v>76500000</v>
      </c>
      <c r="AN1286" s="34">
        <v>0</v>
      </c>
      <c r="AO1286" s="18">
        <v>0</v>
      </c>
      <c r="AP1286" s="18">
        <v>76500000</v>
      </c>
      <c r="AQ1286" s="43">
        <v>0</v>
      </c>
      <c r="AR1286" s="114">
        <v>8500000</v>
      </c>
      <c r="AS1286" s="114">
        <v>43130000</v>
      </c>
      <c r="AT1286" s="111">
        <f t="shared" ref="AT1286:AT1289" si="486">AQ1286+AS1286</f>
        <v>43130000</v>
      </c>
      <c r="AU1286" s="133">
        <f>AJ1286-AM1286</f>
        <v>0</v>
      </c>
      <c r="AV1286" s="34">
        <f>AM1286-AP1286</f>
        <v>0</v>
      </c>
      <c r="AW1286" s="18">
        <f>AP1286-AT1286</f>
        <v>33370000</v>
      </c>
      <c r="AX1286" s="123">
        <f>AP1286/AJ1286</f>
        <v>1</v>
      </c>
    </row>
    <row r="1287" spans="27:50" x14ac:dyDescent="0.2">
      <c r="AA1287" s="173" t="s">
        <v>1170</v>
      </c>
      <c r="AB1287" s="95" t="s">
        <v>1169</v>
      </c>
      <c r="AC1287" s="96"/>
      <c r="AD1287" s="44">
        <v>0</v>
      </c>
      <c r="AE1287" s="43">
        <v>221250000</v>
      </c>
      <c r="AF1287" s="216">
        <v>0</v>
      </c>
      <c r="AG1287" s="216">
        <v>0</v>
      </c>
      <c r="AH1287" s="216">
        <v>0</v>
      </c>
      <c r="AI1287" s="136">
        <f t="shared" si="484"/>
        <v>221250000</v>
      </c>
      <c r="AJ1287" s="43">
        <f t="shared" si="485"/>
        <v>221250000</v>
      </c>
      <c r="AK1287" s="97">
        <v>0</v>
      </c>
      <c r="AL1287" s="133">
        <v>0</v>
      </c>
      <c r="AM1287" s="34">
        <v>0</v>
      </c>
      <c r="AN1287" s="34">
        <v>0</v>
      </c>
      <c r="AO1287" s="34">
        <v>0</v>
      </c>
      <c r="AP1287" s="34">
        <v>0</v>
      </c>
      <c r="AQ1287" s="97">
        <v>0</v>
      </c>
      <c r="AR1287" s="115">
        <v>0</v>
      </c>
      <c r="AS1287" s="115">
        <v>0</v>
      </c>
      <c r="AT1287" s="135">
        <f t="shared" si="486"/>
        <v>0</v>
      </c>
      <c r="AU1287" s="18">
        <f>AJ1287-AM1287</f>
        <v>221250000</v>
      </c>
      <c r="AV1287" s="34">
        <f>AM1287-AP1287</f>
        <v>0</v>
      </c>
      <c r="AW1287" s="34">
        <f>AP1287-AT1287</f>
        <v>0</v>
      </c>
      <c r="AX1287" s="123">
        <f>AP1287/AJ1287</f>
        <v>0</v>
      </c>
    </row>
    <row r="1288" spans="27:50" x14ac:dyDescent="0.2">
      <c r="AA1288" s="173" t="s">
        <v>1192</v>
      </c>
      <c r="AB1288" s="95" t="s">
        <v>1193</v>
      </c>
      <c r="AC1288" s="96"/>
      <c r="AD1288" s="44">
        <v>0</v>
      </c>
      <c r="AE1288" s="43">
        <v>97859303.769999996</v>
      </c>
      <c r="AF1288" s="216">
        <v>0</v>
      </c>
      <c r="AG1288" s="216">
        <v>0</v>
      </c>
      <c r="AH1288" s="216">
        <v>0</v>
      </c>
      <c r="AI1288" s="136">
        <f>AE1288-AF1288+AG1288-AH1288</f>
        <v>97859303.769999996</v>
      </c>
      <c r="AJ1288" s="43">
        <f>AD1288+AI1288</f>
        <v>97859303.769999996</v>
      </c>
      <c r="AK1288" s="97">
        <v>0</v>
      </c>
      <c r="AL1288" s="133">
        <v>0</v>
      </c>
      <c r="AM1288" s="34">
        <v>0</v>
      </c>
      <c r="AN1288" s="34">
        <v>0</v>
      </c>
      <c r="AO1288" s="34">
        <v>0</v>
      </c>
      <c r="AP1288" s="34">
        <v>0</v>
      </c>
      <c r="AQ1288" s="97">
        <v>0</v>
      </c>
      <c r="AR1288" s="115">
        <v>0</v>
      </c>
      <c r="AS1288" s="115">
        <v>0</v>
      </c>
      <c r="AT1288" s="135">
        <f t="shared" si="486"/>
        <v>0</v>
      </c>
      <c r="AU1288" s="18">
        <f>AJ1288-AM1288</f>
        <v>97859303.769999996</v>
      </c>
      <c r="AV1288" s="34">
        <f>AM1288-AP1288</f>
        <v>0</v>
      </c>
      <c r="AW1288" s="34">
        <f>AP1288-AT1288</f>
        <v>0</v>
      </c>
      <c r="AX1288" s="123">
        <f>AP1288/AJ1288</f>
        <v>0</v>
      </c>
    </row>
    <row r="1289" spans="27:50" x14ac:dyDescent="0.2">
      <c r="AA1289" s="173" t="s">
        <v>1191</v>
      </c>
      <c r="AB1289" s="95" t="s">
        <v>1181</v>
      </c>
      <c r="AC1289" s="96"/>
      <c r="AD1289" s="44">
        <v>0</v>
      </c>
      <c r="AE1289" s="43">
        <v>52140696.289999999</v>
      </c>
      <c r="AF1289" s="216">
        <v>0</v>
      </c>
      <c r="AG1289" s="216">
        <v>0</v>
      </c>
      <c r="AH1289" s="216">
        <v>0</v>
      </c>
      <c r="AI1289" s="136">
        <f t="shared" si="484"/>
        <v>52140696.289999999</v>
      </c>
      <c r="AJ1289" s="43">
        <f t="shared" si="485"/>
        <v>52140696.289999999</v>
      </c>
      <c r="AK1289" s="97">
        <v>0</v>
      </c>
      <c r="AL1289" s="133">
        <v>0</v>
      </c>
      <c r="AM1289" s="34">
        <v>0</v>
      </c>
      <c r="AN1289" s="34">
        <v>0</v>
      </c>
      <c r="AO1289" s="34">
        <v>0</v>
      </c>
      <c r="AP1289" s="34">
        <v>0</v>
      </c>
      <c r="AQ1289" s="97">
        <v>0</v>
      </c>
      <c r="AR1289" s="115">
        <v>0</v>
      </c>
      <c r="AS1289" s="115">
        <v>0</v>
      </c>
      <c r="AT1289" s="135">
        <f t="shared" si="486"/>
        <v>0</v>
      </c>
      <c r="AU1289" s="18">
        <f>AJ1289-AM1289</f>
        <v>52140696.289999999</v>
      </c>
      <c r="AV1289" s="34">
        <f>AM1289-AP1289</f>
        <v>0</v>
      </c>
      <c r="AW1289" s="34">
        <f>AP1289-AT1289</f>
        <v>0</v>
      </c>
      <c r="AX1289" s="123">
        <f>AP1289/AJ1289</f>
        <v>0</v>
      </c>
    </row>
    <row r="1290" spans="27:50" x14ac:dyDescent="0.2">
      <c r="AA1290" s="89"/>
      <c r="AB1290" s="91"/>
      <c r="AC1290" s="91"/>
      <c r="AD1290" s="18"/>
      <c r="AE1290" s="92"/>
      <c r="AF1290" s="92"/>
      <c r="AG1290" s="92"/>
      <c r="AH1290" s="92"/>
      <c r="AI1290" s="92"/>
      <c r="AJ1290" s="18"/>
      <c r="AK1290" s="98"/>
      <c r="AL1290" s="98"/>
      <c r="AM1290" s="98"/>
      <c r="AN1290" s="98"/>
      <c r="AO1290" s="98"/>
      <c r="AP1290" s="98"/>
      <c r="AQ1290" s="98"/>
      <c r="AR1290" s="98"/>
      <c r="AS1290" s="92"/>
      <c r="AT1290" s="30"/>
      <c r="AU1290" s="18"/>
      <c r="AV1290" s="18"/>
      <c r="AW1290" s="18"/>
      <c r="AX1290" s="92"/>
    </row>
    <row r="1291" spans="27:50" ht="38.25" x14ac:dyDescent="0.2">
      <c r="AA1291" s="93" t="s">
        <v>288</v>
      </c>
      <c r="AB1291" s="90" t="s">
        <v>818</v>
      </c>
      <c r="AC1291" s="91"/>
      <c r="AD1291" s="18"/>
      <c r="AE1291" s="92"/>
      <c r="AF1291" s="92"/>
      <c r="AG1291" s="92"/>
      <c r="AH1291" s="92"/>
      <c r="AI1291" s="92"/>
      <c r="AJ1291" s="18"/>
      <c r="AK1291" s="98"/>
      <c r="AL1291" s="98"/>
      <c r="AM1291" s="92"/>
      <c r="AN1291" s="98"/>
      <c r="AO1291" s="92"/>
      <c r="AP1291" s="92"/>
      <c r="AQ1291" s="92"/>
      <c r="AR1291" s="92"/>
      <c r="AS1291" s="92"/>
      <c r="AT1291" s="40"/>
      <c r="AU1291" s="18"/>
      <c r="AV1291" s="18"/>
      <c r="AW1291" s="18"/>
      <c r="AX1291" s="92"/>
    </row>
    <row r="1292" spans="27:50" x14ac:dyDescent="0.2">
      <c r="AA1292" s="94" t="s">
        <v>819</v>
      </c>
      <c r="AB1292" s="95" t="s">
        <v>793</v>
      </c>
      <c r="AC1292" s="96" t="s">
        <v>794</v>
      </c>
      <c r="AD1292" s="43">
        <v>150000000</v>
      </c>
      <c r="AE1292" s="96">
        <v>0</v>
      </c>
      <c r="AF1292" s="216">
        <v>0</v>
      </c>
      <c r="AG1292" s="216">
        <v>0</v>
      </c>
      <c r="AH1292" s="216">
        <v>0</v>
      </c>
      <c r="AI1292" s="136">
        <f t="shared" ref="AI1292:AI1293" si="487">AE1292-AF1292+AG1292-AH1292</f>
        <v>0</v>
      </c>
      <c r="AJ1292" s="43">
        <f t="shared" ref="AJ1292:AJ1293" si="488">AD1292+AI1292</f>
        <v>150000000</v>
      </c>
      <c r="AK1292" s="44">
        <v>0</v>
      </c>
      <c r="AL1292" s="43">
        <v>0</v>
      </c>
      <c r="AM1292" s="43">
        <v>140800000</v>
      </c>
      <c r="AN1292" s="44">
        <v>0</v>
      </c>
      <c r="AO1292" s="43">
        <v>0</v>
      </c>
      <c r="AP1292" s="43">
        <v>140800000</v>
      </c>
      <c r="AQ1292" s="43">
        <v>0</v>
      </c>
      <c r="AR1292" s="43">
        <v>7733333</v>
      </c>
      <c r="AS1292" s="43">
        <v>21650000</v>
      </c>
      <c r="AT1292" s="39">
        <f t="shared" ref="AT1292:AT1293" si="489">AQ1292+AS1292</f>
        <v>21650000</v>
      </c>
      <c r="AU1292" s="18">
        <f>AJ1292-AM1292</f>
        <v>9200000</v>
      </c>
      <c r="AV1292" s="34">
        <f>AM1292-AP1292</f>
        <v>0</v>
      </c>
      <c r="AW1292" s="18">
        <f>AP1292-AT1292</f>
        <v>119150000</v>
      </c>
      <c r="AX1292" s="123">
        <f>AP1292/AJ1292</f>
        <v>0.93866666666666665</v>
      </c>
    </row>
    <row r="1293" spans="27:50" x14ac:dyDescent="0.2">
      <c r="AA1293" s="173" t="s">
        <v>1177</v>
      </c>
      <c r="AB1293" s="95" t="s">
        <v>1015</v>
      </c>
      <c r="AC1293" s="96"/>
      <c r="AD1293" s="43">
        <v>0</v>
      </c>
      <c r="AE1293" s="43">
        <v>8000000</v>
      </c>
      <c r="AF1293" s="216">
        <v>0</v>
      </c>
      <c r="AG1293" s="216">
        <v>0</v>
      </c>
      <c r="AH1293" s="216">
        <v>0</v>
      </c>
      <c r="AI1293" s="136">
        <f t="shared" si="487"/>
        <v>8000000</v>
      </c>
      <c r="AJ1293" s="43">
        <f t="shared" si="488"/>
        <v>8000000</v>
      </c>
      <c r="AK1293" s="44">
        <v>0</v>
      </c>
      <c r="AL1293" s="44">
        <v>0</v>
      </c>
      <c r="AM1293" s="43">
        <v>0</v>
      </c>
      <c r="AN1293" s="44">
        <v>0</v>
      </c>
      <c r="AO1293" s="43">
        <v>0</v>
      </c>
      <c r="AP1293" s="44">
        <v>0</v>
      </c>
      <c r="AQ1293" s="44">
        <v>0</v>
      </c>
      <c r="AR1293" s="44">
        <v>0</v>
      </c>
      <c r="AS1293" s="44">
        <v>0</v>
      </c>
      <c r="AT1293" s="40">
        <f t="shared" si="489"/>
        <v>0</v>
      </c>
      <c r="AU1293" s="18">
        <f>AJ1293-AM1293</f>
        <v>8000000</v>
      </c>
      <c r="AV1293" s="34">
        <f>AM1293-AP1293</f>
        <v>0</v>
      </c>
      <c r="AW1293" s="34">
        <f>AP1293-AT1293</f>
        <v>0</v>
      </c>
      <c r="AX1293" s="123">
        <f>AP1293/AJ1293</f>
        <v>0</v>
      </c>
    </row>
    <row r="1294" spans="27:50" ht="25.5" x14ac:dyDescent="0.2">
      <c r="AA1294" s="93" t="s">
        <v>288</v>
      </c>
      <c r="AB1294" s="90" t="s">
        <v>820</v>
      </c>
      <c r="AC1294" s="91"/>
      <c r="AD1294" s="18"/>
      <c r="AE1294" s="92"/>
      <c r="AF1294" s="92"/>
      <c r="AG1294" s="92"/>
      <c r="AH1294" s="92"/>
      <c r="AI1294" s="92"/>
      <c r="AJ1294" s="18"/>
      <c r="AK1294" s="34"/>
      <c r="AL1294" s="18"/>
      <c r="AM1294" s="18"/>
      <c r="AN1294" s="34"/>
      <c r="AO1294" s="18"/>
      <c r="AP1294" s="18"/>
      <c r="AQ1294" s="18"/>
      <c r="AR1294" s="18"/>
      <c r="AS1294" s="18"/>
      <c r="AT1294" s="39"/>
      <c r="AU1294" s="18"/>
      <c r="AV1294" s="34"/>
      <c r="AW1294" s="18"/>
      <c r="AX1294" s="92"/>
    </row>
    <row r="1295" spans="27:50" x14ac:dyDescent="0.2">
      <c r="AA1295" s="94" t="s">
        <v>821</v>
      </c>
      <c r="AB1295" s="95" t="s">
        <v>233</v>
      </c>
      <c r="AC1295" s="96" t="s">
        <v>58</v>
      </c>
      <c r="AD1295" s="43">
        <v>144000000</v>
      </c>
      <c r="AE1295" s="96">
        <v>0</v>
      </c>
      <c r="AF1295" s="216">
        <v>0</v>
      </c>
      <c r="AG1295" s="216">
        <v>0</v>
      </c>
      <c r="AH1295" s="216">
        <v>0</v>
      </c>
      <c r="AI1295" s="136">
        <f t="shared" ref="AI1295:AI1297" si="490">AE1295-AF1295+AG1295-AH1295</f>
        <v>0</v>
      </c>
      <c r="AJ1295" s="43">
        <f t="shared" ref="AJ1295:AJ1297" si="491">AD1295+AI1295</f>
        <v>144000000</v>
      </c>
      <c r="AK1295" s="44">
        <v>0</v>
      </c>
      <c r="AL1295" s="44">
        <v>0</v>
      </c>
      <c r="AM1295" s="43">
        <v>144000000</v>
      </c>
      <c r="AN1295" s="44">
        <v>0</v>
      </c>
      <c r="AO1295" s="44">
        <v>0</v>
      </c>
      <c r="AP1295" s="43">
        <v>144000000</v>
      </c>
      <c r="AQ1295" s="43">
        <v>12000000</v>
      </c>
      <c r="AR1295" s="43">
        <v>24000000</v>
      </c>
      <c r="AS1295" s="43">
        <v>60400001</v>
      </c>
      <c r="AT1295" s="39">
        <f t="shared" ref="AT1295:AT1297" si="492">AQ1295+AS1295</f>
        <v>72400001</v>
      </c>
      <c r="AU1295" s="34">
        <f>AJ1295-AM1295</f>
        <v>0</v>
      </c>
      <c r="AV1295" s="34">
        <f>AM1295-AP1295</f>
        <v>0</v>
      </c>
      <c r="AW1295" s="18">
        <f>AP1295-AT1295</f>
        <v>71599999</v>
      </c>
      <c r="AX1295" s="123">
        <f>AP1295/AJ1295</f>
        <v>1</v>
      </c>
    </row>
    <row r="1296" spans="27:50" x14ac:dyDescent="0.2">
      <c r="AA1296" s="94" t="s">
        <v>822</v>
      </c>
      <c r="AB1296" s="95" t="s">
        <v>793</v>
      </c>
      <c r="AC1296" s="96" t="s">
        <v>794</v>
      </c>
      <c r="AD1296" s="43">
        <v>72000000</v>
      </c>
      <c r="AE1296" s="96">
        <v>0</v>
      </c>
      <c r="AF1296" s="216">
        <v>0</v>
      </c>
      <c r="AG1296" s="216">
        <v>0</v>
      </c>
      <c r="AH1296" s="216">
        <v>0</v>
      </c>
      <c r="AI1296" s="136">
        <f t="shared" si="490"/>
        <v>0</v>
      </c>
      <c r="AJ1296" s="43">
        <f t="shared" si="491"/>
        <v>72000000</v>
      </c>
      <c r="AK1296" s="44">
        <v>0</v>
      </c>
      <c r="AL1296" s="44">
        <v>0</v>
      </c>
      <c r="AM1296" s="43">
        <v>68500000</v>
      </c>
      <c r="AN1296" s="44">
        <v>0</v>
      </c>
      <c r="AO1296" s="44">
        <v>0</v>
      </c>
      <c r="AP1296" s="43">
        <v>68500000</v>
      </c>
      <c r="AQ1296" s="43">
        <v>0</v>
      </c>
      <c r="AR1296" s="43">
        <v>8000000</v>
      </c>
      <c r="AS1296" s="43">
        <v>34650000</v>
      </c>
      <c r="AT1296" s="39">
        <f t="shared" si="492"/>
        <v>34650000</v>
      </c>
      <c r="AU1296" s="18">
        <f>AJ1296-AM1296</f>
        <v>3500000</v>
      </c>
      <c r="AV1296" s="34">
        <f>AM1296-AP1296</f>
        <v>0</v>
      </c>
      <c r="AW1296" s="18">
        <f>AP1296-AT1296</f>
        <v>33850000</v>
      </c>
      <c r="AX1296" s="123">
        <f>AP1296/AJ1296</f>
        <v>0.95138888888888884</v>
      </c>
    </row>
    <row r="1297" spans="27:50" x14ac:dyDescent="0.2">
      <c r="AA1297" s="173" t="s">
        <v>1178</v>
      </c>
      <c r="AB1297" s="95" t="s">
        <v>1179</v>
      </c>
      <c r="AC1297" s="96"/>
      <c r="AD1297" s="44">
        <v>0</v>
      </c>
      <c r="AE1297" s="43">
        <v>79500000</v>
      </c>
      <c r="AF1297" s="216">
        <v>0</v>
      </c>
      <c r="AG1297" s="216">
        <v>0</v>
      </c>
      <c r="AH1297" s="216">
        <v>0</v>
      </c>
      <c r="AI1297" s="136">
        <f t="shared" si="490"/>
        <v>79500000</v>
      </c>
      <c r="AJ1297" s="43">
        <f t="shared" si="491"/>
        <v>79500000</v>
      </c>
      <c r="AK1297" s="44">
        <v>0</v>
      </c>
      <c r="AL1297" s="44">
        <v>0</v>
      </c>
      <c r="AM1297" s="43">
        <v>0</v>
      </c>
      <c r="AN1297" s="44">
        <v>0</v>
      </c>
      <c r="AO1297" s="44">
        <v>0</v>
      </c>
      <c r="AP1297" s="44">
        <v>0</v>
      </c>
      <c r="AQ1297" s="44">
        <v>0</v>
      </c>
      <c r="AR1297" s="44">
        <v>0</v>
      </c>
      <c r="AS1297" s="44">
        <v>0</v>
      </c>
      <c r="AT1297" s="40">
        <f t="shared" si="492"/>
        <v>0</v>
      </c>
      <c r="AU1297" s="18">
        <f>AJ1297-AM1297</f>
        <v>79500000</v>
      </c>
      <c r="AV1297" s="34">
        <f>AM1297-AP1297</f>
        <v>0</v>
      </c>
      <c r="AW1297" s="34">
        <f>AP1297-AT1297</f>
        <v>0</v>
      </c>
      <c r="AX1297" s="123">
        <f>AP1297/AJ1297</f>
        <v>0</v>
      </c>
    </row>
    <row r="1298" spans="27:50" ht="25.5" x14ac:dyDescent="0.2">
      <c r="AA1298" s="241" t="s">
        <v>288</v>
      </c>
      <c r="AB1298" s="138" t="s">
        <v>805</v>
      </c>
      <c r="AC1298" s="96"/>
      <c r="AD1298" s="44"/>
      <c r="AE1298" s="43"/>
      <c r="AF1298" s="96"/>
      <c r="AG1298" s="96"/>
      <c r="AH1298" s="96"/>
      <c r="AI1298" s="96"/>
      <c r="AJ1298" s="43"/>
      <c r="AK1298" s="44"/>
      <c r="AL1298" s="44"/>
      <c r="AM1298" s="43"/>
      <c r="AN1298" s="44"/>
      <c r="AO1298" s="44"/>
      <c r="AP1298" s="44"/>
      <c r="AQ1298" s="44"/>
      <c r="AR1298" s="44"/>
      <c r="AS1298" s="44"/>
      <c r="AT1298" s="40"/>
      <c r="AU1298" s="18"/>
      <c r="AV1298" s="34"/>
      <c r="AW1298" s="34"/>
      <c r="AX1298" s="123"/>
    </row>
    <row r="1299" spans="27:50" x14ac:dyDescent="0.2">
      <c r="AA1299" s="173" t="s">
        <v>1194</v>
      </c>
      <c r="AB1299" s="95" t="s">
        <v>1193</v>
      </c>
      <c r="AC1299" s="96"/>
      <c r="AD1299" s="44">
        <v>0</v>
      </c>
      <c r="AE1299" s="43">
        <v>135118963.86000001</v>
      </c>
      <c r="AF1299" s="216">
        <v>0</v>
      </c>
      <c r="AG1299" s="216">
        <v>0</v>
      </c>
      <c r="AH1299" s="216">
        <v>0</v>
      </c>
      <c r="AI1299" s="136">
        <f>AE1299-AF1299+AG1299-AH1299</f>
        <v>135118963.86000001</v>
      </c>
      <c r="AJ1299" s="43">
        <f>AD1299+AI1299</f>
        <v>135118963.86000001</v>
      </c>
      <c r="AK1299" s="44">
        <v>0</v>
      </c>
      <c r="AL1299" s="44">
        <v>0</v>
      </c>
      <c r="AM1299" s="43">
        <v>0</v>
      </c>
      <c r="AN1299" s="44">
        <v>0</v>
      </c>
      <c r="AO1299" s="44">
        <v>0</v>
      </c>
      <c r="AP1299" s="44">
        <v>0</v>
      </c>
      <c r="AQ1299" s="44">
        <v>0</v>
      </c>
      <c r="AR1299" s="44">
        <v>0</v>
      </c>
      <c r="AS1299" s="44">
        <v>0</v>
      </c>
      <c r="AT1299" s="40">
        <f t="shared" ref="AT1299" si="493">AQ1299+AS1299</f>
        <v>0</v>
      </c>
      <c r="AU1299" s="18">
        <f>AJ1299-AM1299</f>
        <v>135118963.86000001</v>
      </c>
      <c r="AV1299" s="34">
        <f>AM1299-AP1299</f>
        <v>0</v>
      </c>
      <c r="AW1299" s="34">
        <f>AP1299-AT1299</f>
        <v>0</v>
      </c>
      <c r="AX1299" s="123">
        <f>AP1299/AJ1299</f>
        <v>0</v>
      </c>
    </row>
    <row r="1300" spans="27:50" ht="38.25" x14ac:dyDescent="0.2">
      <c r="AA1300" s="240" t="s">
        <v>288</v>
      </c>
      <c r="AB1300" s="138" t="s">
        <v>912</v>
      </c>
      <c r="AC1300" s="96"/>
      <c r="AD1300" s="44"/>
      <c r="AE1300" s="96"/>
      <c r="AF1300" s="96"/>
      <c r="AG1300" s="96"/>
      <c r="AH1300" s="96"/>
      <c r="AI1300" s="96"/>
      <c r="AJ1300" s="43"/>
      <c r="AK1300" s="44"/>
      <c r="AL1300" s="44"/>
      <c r="AM1300" s="44"/>
      <c r="AN1300" s="97"/>
      <c r="AO1300" s="44"/>
      <c r="AP1300" s="44"/>
      <c r="AQ1300" s="97"/>
      <c r="AR1300" s="96"/>
      <c r="AS1300" s="97"/>
      <c r="AT1300" s="40"/>
      <c r="AU1300" s="43"/>
      <c r="AV1300" s="44"/>
      <c r="AW1300" s="44"/>
      <c r="AX1300" s="32"/>
    </row>
    <row r="1301" spans="27:50" x14ac:dyDescent="0.2">
      <c r="AA1301" s="94" t="s">
        <v>913</v>
      </c>
      <c r="AB1301" s="95" t="s">
        <v>233</v>
      </c>
      <c r="AC1301" s="96"/>
      <c r="AD1301" s="44">
        <v>0</v>
      </c>
      <c r="AE1301" s="96">
        <v>0</v>
      </c>
      <c r="AF1301" s="96">
        <v>0</v>
      </c>
      <c r="AG1301" s="43">
        <v>136150000</v>
      </c>
      <c r="AH1301" s="96"/>
      <c r="AI1301" s="136">
        <f>AE1301-AF1301+AG1301-AH1301</f>
        <v>136150000</v>
      </c>
      <c r="AJ1301" s="43">
        <f>AD1301+AI1301</f>
        <v>136150000</v>
      </c>
      <c r="AK1301" s="44">
        <v>0</v>
      </c>
      <c r="AL1301" s="115">
        <v>0</v>
      </c>
      <c r="AM1301" s="114">
        <v>94724710</v>
      </c>
      <c r="AN1301" s="97">
        <v>0</v>
      </c>
      <c r="AO1301" s="43">
        <v>0</v>
      </c>
      <c r="AP1301" s="43">
        <v>94724710</v>
      </c>
      <c r="AQ1301" s="43">
        <v>0</v>
      </c>
      <c r="AR1301" s="43">
        <v>3500000</v>
      </c>
      <c r="AS1301" s="43">
        <v>9100000</v>
      </c>
      <c r="AT1301" s="39">
        <f t="shared" ref="AT1301" si="494">AQ1301+AS1301</f>
        <v>9100000</v>
      </c>
      <c r="AU1301" s="110">
        <f>AJ1301-AM1301</f>
        <v>41425290</v>
      </c>
      <c r="AV1301" s="133">
        <f>AM1301-AP1301</f>
        <v>0</v>
      </c>
      <c r="AW1301" s="18">
        <f>AP1301-AT1301</f>
        <v>85624710</v>
      </c>
      <c r="AX1301" s="123">
        <f>AP1301/AJ1301</f>
        <v>0.69573786265148729</v>
      </c>
    </row>
    <row r="1302" spans="27:50" ht="25.5" x14ac:dyDescent="0.2">
      <c r="AA1302" s="240" t="s">
        <v>288</v>
      </c>
      <c r="AB1302" s="138" t="s">
        <v>1285</v>
      </c>
      <c r="AC1302" s="96"/>
      <c r="AD1302" s="44"/>
      <c r="AE1302" s="96"/>
      <c r="AF1302" s="96"/>
      <c r="AG1302" s="43"/>
      <c r="AH1302" s="96"/>
      <c r="AI1302" s="136"/>
      <c r="AJ1302" s="43"/>
      <c r="AK1302" s="44"/>
      <c r="AL1302" s="115"/>
      <c r="AM1302" s="114"/>
      <c r="AN1302" s="97"/>
      <c r="AO1302" s="43"/>
      <c r="AP1302" s="43"/>
      <c r="AQ1302" s="43"/>
      <c r="AR1302" s="43"/>
      <c r="AS1302" s="43"/>
      <c r="AT1302" s="39"/>
      <c r="AU1302" s="110"/>
      <c r="AV1302" s="133"/>
      <c r="AW1302" s="18"/>
      <c r="AX1302" s="123"/>
    </row>
    <row r="1303" spans="27:50" x14ac:dyDescent="0.2">
      <c r="AA1303" s="94" t="s">
        <v>1286</v>
      </c>
      <c r="AB1303" s="95" t="s">
        <v>1015</v>
      </c>
      <c r="AC1303" s="96"/>
      <c r="AD1303" s="44">
        <v>0</v>
      </c>
      <c r="AE1303" s="96">
        <v>0</v>
      </c>
      <c r="AF1303" s="96">
        <v>0</v>
      </c>
      <c r="AG1303" s="43">
        <v>151006500</v>
      </c>
      <c r="AH1303" s="96">
        <v>0</v>
      </c>
      <c r="AI1303" s="136">
        <f>AE1303-AF1303+AG1303-AH1303</f>
        <v>151006500</v>
      </c>
      <c r="AJ1303" s="43">
        <f>AD1303+AI1303</f>
        <v>151006500</v>
      </c>
      <c r="AK1303" s="44">
        <v>0</v>
      </c>
      <c r="AL1303" s="115">
        <v>0</v>
      </c>
      <c r="AM1303" s="114">
        <v>0</v>
      </c>
      <c r="AN1303" s="97">
        <v>0</v>
      </c>
      <c r="AO1303" s="43">
        <v>0</v>
      </c>
      <c r="AP1303" s="43">
        <v>0</v>
      </c>
      <c r="AQ1303" s="43">
        <v>0</v>
      </c>
      <c r="AR1303" s="43">
        <v>0</v>
      </c>
      <c r="AS1303" s="44">
        <v>0</v>
      </c>
      <c r="AT1303" s="40">
        <f t="shared" ref="AT1303" si="495">AQ1303+AS1303</f>
        <v>0</v>
      </c>
      <c r="AU1303" s="110">
        <f>AJ1303-AM1303</f>
        <v>151006500</v>
      </c>
      <c r="AV1303" s="133">
        <f>AM1303-AP1303</f>
        <v>0</v>
      </c>
      <c r="AW1303" s="34">
        <f>AP1303-AT1303</f>
        <v>0</v>
      </c>
      <c r="AX1303" s="123">
        <f>AP1303/AJ1303</f>
        <v>0</v>
      </c>
    </row>
    <row r="1304" spans="27:50" x14ac:dyDescent="0.2">
      <c r="AA1304" s="89"/>
      <c r="AB1304" s="91"/>
      <c r="AC1304" s="91"/>
      <c r="AD1304" s="18"/>
      <c r="AE1304" s="92"/>
      <c r="AF1304" s="92"/>
      <c r="AG1304" s="92"/>
      <c r="AH1304" s="92"/>
      <c r="AI1304" s="92"/>
      <c r="AJ1304" s="18"/>
      <c r="AK1304" s="98"/>
      <c r="AL1304" s="98"/>
      <c r="AM1304" s="98"/>
      <c r="AN1304" s="98"/>
      <c r="AO1304" s="98"/>
      <c r="AP1304" s="98"/>
      <c r="AQ1304" s="98"/>
      <c r="AR1304" s="98"/>
      <c r="AS1304" s="92"/>
      <c r="AT1304" s="30"/>
      <c r="AU1304" s="18"/>
      <c r="AV1304" s="18"/>
      <c r="AW1304" s="18"/>
      <c r="AX1304" s="92"/>
    </row>
    <row r="1305" spans="27:50" x14ac:dyDescent="0.2">
      <c r="AA1305" s="89"/>
      <c r="AB1305" s="279" t="s">
        <v>1274</v>
      </c>
      <c r="AC1305" s="91"/>
      <c r="AD1305" s="18"/>
      <c r="AE1305" s="92"/>
      <c r="AF1305" s="92"/>
      <c r="AG1305" s="92"/>
      <c r="AH1305" s="92"/>
      <c r="AI1305" s="92"/>
      <c r="AJ1305" s="18"/>
      <c r="AK1305" s="98"/>
      <c r="AL1305" s="98"/>
      <c r="AM1305" s="98"/>
      <c r="AN1305" s="98"/>
      <c r="AO1305" s="98"/>
      <c r="AP1305" s="98"/>
      <c r="AQ1305" s="98"/>
      <c r="AR1305" s="98"/>
      <c r="AS1305" s="92"/>
      <c r="AT1305" s="30"/>
      <c r="AU1305" s="18"/>
      <c r="AV1305" s="18"/>
      <c r="AW1305" s="18"/>
      <c r="AX1305" s="92"/>
    </row>
    <row r="1306" spans="27:50" x14ac:dyDescent="0.2">
      <c r="AA1306" s="89"/>
      <c r="AB1306" s="90" t="s">
        <v>199</v>
      </c>
      <c r="AC1306" s="91"/>
      <c r="AD1306" s="18"/>
      <c r="AE1306" s="92"/>
      <c r="AF1306" s="92"/>
      <c r="AG1306" s="92"/>
      <c r="AH1306" s="92"/>
      <c r="AI1306" s="92"/>
      <c r="AJ1306" s="18"/>
      <c r="AK1306" s="98"/>
      <c r="AL1306" s="98"/>
      <c r="AM1306" s="98"/>
      <c r="AN1306" s="98"/>
      <c r="AO1306" s="98"/>
      <c r="AP1306" s="98"/>
      <c r="AQ1306" s="98"/>
      <c r="AR1306" s="98"/>
      <c r="AS1306" s="92"/>
      <c r="AT1306" s="30"/>
      <c r="AU1306" s="18"/>
      <c r="AV1306" s="18"/>
      <c r="AW1306" s="18"/>
      <c r="AX1306" s="92"/>
    </row>
    <row r="1307" spans="27:50" x14ac:dyDescent="0.2">
      <c r="AA1307" s="170" t="s">
        <v>288</v>
      </c>
      <c r="AB1307" s="165" t="s">
        <v>1164</v>
      </c>
      <c r="AC1307" s="237"/>
      <c r="AD1307" s="44"/>
      <c r="AE1307" s="96"/>
      <c r="AF1307" s="96"/>
      <c r="AG1307" s="43"/>
      <c r="AH1307" s="96"/>
      <c r="AI1307" s="136"/>
      <c r="AJ1307" s="43"/>
      <c r="AK1307" s="44"/>
      <c r="AL1307" s="115"/>
      <c r="AM1307" s="114"/>
      <c r="AN1307" s="97"/>
      <c r="AO1307" s="43"/>
      <c r="AP1307" s="43"/>
      <c r="AQ1307" s="43"/>
      <c r="AR1307" s="96"/>
      <c r="AS1307" s="97"/>
      <c r="AT1307" s="135"/>
      <c r="AU1307" s="110"/>
      <c r="AV1307" s="133"/>
      <c r="AW1307" s="18"/>
      <c r="AX1307" s="123"/>
    </row>
    <row r="1308" spans="27:50" x14ac:dyDescent="0.2">
      <c r="AA1308" s="166" t="s">
        <v>1165</v>
      </c>
      <c r="AB1308" s="167" t="s">
        <v>1015</v>
      </c>
      <c r="AC1308" s="237"/>
      <c r="AD1308" s="44">
        <v>0</v>
      </c>
      <c r="AE1308" s="43">
        <v>400000000</v>
      </c>
      <c r="AF1308" s="216">
        <v>0</v>
      </c>
      <c r="AG1308" s="168">
        <v>198993500</v>
      </c>
      <c r="AH1308" s="216">
        <v>0</v>
      </c>
      <c r="AI1308" s="136">
        <f>AE1308-AF1308+AG1308-AH1308</f>
        <v>598993500</v>
      </c>
      <c r="AJ1308" s="43">
        <f>AD1308+AI1308</f>
        <v>598993500</v>
      </c>
      <c r="AK1308" s="44">
        <v>0</v>
      </c>
      <c r="AL1308" s="43">
        <v>400000000</v>
      </c>
      <c r="AM1308" s="43">
        <v>400000000</v>
      </c>
      <c r="AN1308" s="97">
        <v>0</v>
      </c>
      <c r="AO1308" s="44">
        <v>0</v>
      </c>
      <c r="AP1308" s="44">
        <v>0</v>
      </c>
      <c r="AQ1308" s="44">
        <v>0</v>
      </c>
      <c r="AR1308" s="96">
        <v>0</v>
      </c>
      <c r="AS1308" s="97">
        <v>0</v>
      </c>
      <c r="AT1308" s="40">
        <f t="shared" ref="AT1308" si="496">AQ1308+AS1308</f>
        <v>0</v>
      </c>
      <c r="AU1308" s="110">
        <f>AJ1308-AM1308</f>
        <v>198993500</v>
      </c>
      <c r="AV1308" s="18">
        <f>AM1308-AP1308</f>
        <v>400000000</v>
      </c>
      <c r="AW1308" s="34">
        <f>AP1308-AT1308</f>
        <v>0</v>
      </c>
      <c r="AX1308" s="123">
        <f>AP1308/AJ1308</f>
        <v>0</v>
      </c>
    </row>
    <row r="1309" spans="27:50" x14ac:dyDescent="0.2">
      <c r="AA1309" s="93" t="s">
        <v>288</v>
      </c>
      <c r="AB1309" s="90" t="s">
        <v>782</v>
      </c>
      <c r="AC1309" s="91"/>
      <c r="AD1309" s="18"/>
      <c r="AE1309" s="92"/>
      <c r="AF1309" s="92"/>
      <c r="AG1309" s="92"/>
      <c r="AH1309" s="92"/>
      <c r="AI1309" s="92"/>
      <c r="AJ1309" s="18"/>
      <c r="AK1309" s="98"/>
      <c r="AL1309" s="98"/>
      <c r="AM1309" s="98"/>
      <c r="AN1309" s="98"/>
      <c r="AO1309" s="98"/>
      <c r="AP1309" s="98"/>
      <c r="AQ1309" s="98"/>
      <c r="AR1309" s="98"/>
      <c r="AS1309" s="92"/>
      <c r="AT1309" s="30"/>
      <c r="AU1309" s="18"/>
      <c r="AV1309" s="18"/>
      <c r="AW1309" s="18"/>
      <c r="AX1309" s="92"/>
    </row>
    <row r="1310" spans="27:50" ht="25.5" x14ac:dyDescent="0.2">
      <c r="AA1310" s="94" t="s">
        <v>783</v>
      </c>
      <c r="AB1310" s="95" t="s">
        <v>784</v>
      </c>
      <c r="AC1310" s="96" t="s">
        <v>368</v>
      </c>
      <c r="AD1310" s="43">
        <v>40000000</v>
      </c>
      <c r="AE1310" s="96">
        <v>0</v>
      </c>
      <c r="AF1310" s="216">
        <v>0</v>
      </c>
      <c r="AG1310" s="216">
        <v>0</v>
      </c>
      <c r="AH1310" s="216">
        <v>0</v>
      </c>
      <c r="AI1310" s="136">
        <f>AE1310-AF1310+AG1310-AH1310</f>
        <v>0</v>
      </c>
      <c r="AJ1310" s="43">
        <f>AD1310+AI1310</f>
        <v>40000000</v>
      </c>
      <c r="AK1310" s="97">
        <v>0</v>
      </c>
      <c r="AL1310" s="34">
        <v>0</v>
      </c>
      <c r="AM1310" s="137">
        <v>0</v>
      </c>
      <c r="AN1310" s="97">
        <v>0</v>
      </c>
      <c r="AO1310" s="97">
        <v>0</v>
      </c>
      <c r="AP1310" s="97">
        <v>0</v>
      </c>
      <c r="AQ1310" s="97">
        <v>0</v>
      </c>
      <c r="AR1310" s="97">
        <v>0</v>
      </c>
      <c r="AS1310" s="97">
        <v>0</v>
      </c>
      <c r="AT1310" s="135">
        <f t="shared" ref="AT1310:AT1312" si="497">AQ1310+AS1310</f>
        <v>0</v>
      </c>
      <c r="AU1310" s="110">
        <f>AJ1310-AM1310</f>
        <v>40000000</v>
      </c>
      <c r="AV1310" s="133">
        <f>AM1310-AP1310</f>
        <v>0</v>
      </c>
      <c r="AW1310" s="133">
        <f>AP1310-AT1310</f>
        <v>0</v>
      </c>
      <c r="AX1310" s="123">
        <f>AP1310/AJ1310</f>
        <v>0</v>
      </c>
    </row>
    <row r="1311" spans="27:50" ht="25.5" x14ac:dyDescent="0.2">
      <c r="AA1311" s="94" t="s">
        <v>785</v>
      </c>
      <c r="AB1311" s="242" t="s">
        <v>786</v>
      </c>
      <c r="AC1311" s="96" t="s">
        <v>258</v>
      </c>
      <c r="AD1311" s="43">
        <v>2438425656.1900001</v>
      </c>
      <c r="AE1311" s="96">
        <v>0</v>
      </c>
      <c r="AF1311" s="216">
        <v>0</v>
      </c>
      <c r="AG1311" s="216">
        <v>0</v>
      </c>
      <c r="AH1311" s="216">
        <v>0</v>
      </c>
      <c r="AI1311" s="136">
        <f t="shared" ref="AI1311:AI1312" si="498">AE1311-AF1311+AG1311-AH1311</f>
        <v>0</v>
      </c>
      <c r="AJ1311" s="43">
        <f t="shared" ref="AJ1311:AJ1312" si="499">AD1311+AI1311</f>
        <v>2438425656.1900001</v>
      </c>
      <c r="AK1311" s="44">
        <v>0</v>
      </c>
      <c r="AL1311" s="114">
        <v>0</v>
      </c>
      <c r="AM1311" s="114">
        <v>55000000</v>
      </c>
      <c r="AN1311" s="92">
        <v>0</v>
      </c>
      <c r="AO1311" s="147">
        <v>0</v>
      </c>
      <c r="AP1311" s="18">
        <v>55000000</v>
      </c>
      <c r="AQ1311" s="43">
        <v>0</v>
      </c>
      <c r="AR1311" s="18">
        <v>5500000</v>
      </c>
      <c r="AS1311" s="43">
        <v>22000000</v>
      </c>
      <c r="AT1311" s="39">
        <f t="shared" si="497"/>
        <v>22000000</v>
      </c>
      <c r="AU1311" s="110">
        <f>AJ1311-AM1311</f>
        <v>2383425656.1900001</v>
      </c>
      <c r="AV1311" s="133">
        <f>AM1311-AP1311</f>
        <v>0</v>
      </c>
      <c r="AW1311" s="18">
        <f>AP1311-AT1311</f>
        <v>33000000</v>
      </c>
      <c r="AX1311" s="123">
        <f>AP1311/AJ1311</f>
        <v>2.2555536954912372E-2</v>
      </c>
    </row>
    <row r="1312" spans="27:50" ht="25.5" x14ac:dyDescent="0.2">
      <c r="AA1312" s="166" t="s">
        <v>1197</v>
      </c>
      <c r="AB1312" s="242" t="s">
        <v>1198</v>
      </c>
      <c r="AC1312" s="96"/>
      <c r="AD1312" s="43">
        <v>0</v>
      </c>
      <c r="AE1312" s="43">
        <v>57159458.270000003</v>
      </c>
      <c r="AF1312" s="216">
        <v>0</v>
      </c>
      <c r="AG1312" s="216">
        <v>0</v>
      </c>
      <c r="AH1312" s="216">
        <v>0</v>
      </c>
      <c r="AI1312" s="136">
        <f t="shared" si="498"/>
        <v>57159458.270000003</v>
      </c>
      <c r="AJ1312" s="43">
        <f t="shared" si="499"/>
        <v>57159458.270000003</v>
      </c>
      <c r="AK1312" s="44">
        <v>0</v>
      </c>
      <c r="AL1312" s="115">
        <v>0</v>
      </c>
      <c r="AM1312" s="34">
        <v>0</v>
      </c>
      <c r="AN1312" s="98">
        <v>0</v>
      </c>
      <c r="AO1312" s="145">
        <v>0</v>
      </c>
      <c r="AP1312" s="34">
        <v>0</v>
      </c>
      <c r="AQ1312" s="97">
        <v>0</v>
      </c>
      <c r="AR1312" s="34">
        <v>0</v>
      </c>
      <c r="AS1312" s="44">
        <v>0</v>
      </c>
      <c r="AT1312" s="40">
        <f t="shared" si="497"/>
        <v>0</v>
      </c>
      <c r="AU1312" s="110">
        <f>AJ1312-AM1312</f>
        <v>57159458.270000003</v>
      </c>
      <c r="AV1312" s="133">
        <f>AM1312-AP1312</f>
        <v>0</v>
      </c>
      <c r="AW1312" s="133">
        <f>AP1312-AT1312</f>
        <v>0</v>
      </c>
      <c r="AX1312" s="123">
        <f>AP1312/AJ1312</f>
        <v>0</v>
      </c>
    </row>
    <row r="1313" spans="2:50" ht="38.25" x14ac:dyDescent="0.2">
      <c r="AA1313" s="240" t="s">
        <v>288</v>
      </c>
      <c r="AB1313" s="138" t="s">
        <v>1186</v>
      </c>
      <c r="AC1313" s="96"/>
      <c r="AD1313" s="44"/>
      <c r="AE1313" s="96"/>
      <c r="AF1313" s="96"/>
      <c r="AG1313" s="96"/>
      <c r="AH1313" s="96"/>
      <c r="AI1313" s="96"/>
      <c r="AJ1313" s="43"/>
      <c r="AK1313" s="44"/>
      <c r="AL1313" s="44"/>
      <c r="AM1313" s="34"/>
      <c r="AN1313" s="34"/>
      <c r="AO1313" s="34"/>
      <c r="AP1313" s="44"/>
      <c r="AQ1313" s="44"/>
      <c r="AR1313" s="44"/>
      <c r="AS1313" s="44"/>
      <c r="AT1313" s="135"/>
      <c r="AU1313" s="133"/>
      <c r="AV1313" s="133"/>
      <c r="AW1313" s="133"/>
      <c r="AX1313" s="123"/>
    </row>
    <row r="1314" spans="2:50" x14ac:dyDescent="0.2">
      <c r="AA1314" s="173" t="s">
        <v>1187</v>
      </c>
      <c r="AB1314" s="95" t="s">
        <v>1188</v>
      </c>
      <c r="AC1314" s="96"/>
      <c r="AD1314" s="44">
        <v>0</v>
      </c>
      <c r="AE1314" s="43">
        <v>350000000</v>
      </c>
      <c r="AF1314" s="216">
        <v>0</v>
      </c>
      <c r="AG1314" s="216">
        <v>0</v>
      </c>
      <c r="AH1314" s="168">
        <v>350000000</v>
      </c>
      <c r="AI1314" s="136">
        <f>AE1314-AF1314+AG1314-AH1314</f>
        <v>0</v>
      </c>
      <c r="AJ1314" s="43">
        <f>AD1314+AI1314</f>
        <v>0</v>
      </c>
      <c r="AK1314" s="44">
        <v>0</v>
      </c>
      <c r="AL1314" s="44">
        <v>0</v>
      </c>
      <c r="AM1314" s="34">
        <v>0</v>
      </c>
      <c r="AN1314" s="34">
        <v>0</v>
      </c>
      <c r="AO1314" s="34">
        <v>0</v>
      </c>
      <c r="AP1314" s="44">
        <v>0</v>
      </c>
      <c r="AQ1314" s="44">
        <v>0</v>
      </c>
      <c r="AR1314" s="44">
        <v>0</v>
      </c>
      <c r="AS1314" s="44">
        <v>0</v>
      </c>
      <c r="AT1314" s="135">
        <f t="shared" ref="AT1314" si="500">AQ1314+AS1314</f>
        <v>0</v>
      </c>
      <c r="AU1314" s="18">
        <f>AJ1314-AM1314</f>
        <v>0</v>
      </c>
      <c r="AV1314" s="34">
        <f>AM1314-AP1314</f>
        <v>0</v>
      </c>
      <c r="AW1314" s="133">
        <f>AP1314-AT1314</f>
        <v>0</v>
      </c>
      <c r="AX1314" s="123">
        <v>0</v>
      </c>
    </row>
    <row r="1315" spans="2:50" x14ac:dyDescent="0.2">
      <c r="AA1315" s="166"/>
      <c r="AB1315" s="242"/>
      <c r="AC1315" s="96"/>
      <c r="AD1315" s="43"/>
      <c r="AE1315" s="43"/>
      <c r="AF1315" s="216"/>
      <c r="AG1315" s="216"/>
      <c r="AH1315" s="216"/>
      <c r="AI1315" s="136"/>
      <c r="AJ1315" s="43"/>
      <c r="AK1315" s="44"/>
      <c r="AL1315" s="115"/>
      <c r="AM1315" s="34"/>
      <c r="AN1315" s="98"/>
      <c r="AO1315" s="145"/>
      <c r="AP1315" s="34"/>
      <c r="AQ1315" s="97"/>
      <c r="AR1315" s="34"/>
      <c r="AS1315" s="44"/>
      <c r="AT1315" s="40"/>
      <c r="AU1315" s="110"/>
      <c r="AV1315" s="133"/>
      <c r="AW1315" s="133"/>
      <c r="AX1315" s="123"/>
    </row>
    <row r="1316" spans="2:50" x14ac:dyDescent="0.2">
      <c r="AA1316" s="166"/>
      <c r="AB1316" s="280" t="s">
        <v>1275</v>
      </c>
      <c r="AC1316" s="96"/>
      <c r="AD1316" s="43"/>
      <c r="AE1316" s="43"/>
      <c r="AF1316" s="216"/>
      <c r="AG1316" s="216"/>
      <c r="AH1316" s="216"/>
      <c r="AI1316" s="136"/>
      <c r="AJ1316" s="43"/>
      <c r="AK1316" s="44"/>
      <c r="AL1316" s="115"/>
      <c r="AM1316" s="34"/>
      <c r="AN1316" s="98"/>
      <c r="AO1316" s="145"/>
      <c r="AP1316" s="34"/>
      <c r="AQ1316" s="97"/>
      <c r="AR1316" s="34"/>
      <c r="AS1316" s="44"/>
      <c r="AT1316" s="40"/>
      <c r="AU1316" s="110"/>
      <c r="AV1316" s="133"/>
      <c r="AW1316" s="133"/>
      <c r="AX1316" s="123"/>
    </row>
    <row r="1317" spans="2:50" ht="18.75" customHeight="1" x14ac:dyDescent="0.2">
      <c r="AA1317" s="94" t="s">
        <v>798</v>
      </c>
      <c r="AB1317" s="95" t="s">
        <v>799</v>
      </c>
      <c r="AC1317" s="96" t="s">
        <v>368</v>
      </c>
      <c r="AD1317" s="43">
        <v>20000000</v>
      </c>
      <c r="AE1317" s="96">
        <v>0</v>
      </c>
      <c r="AF1317" s="216">
        <v>0</v>
      </c>
      <c r="AG1317" s="216">
        <v>0</v>
      </c>
      <c r="AH1317" s="216">
        <v>0</v>
      </c>
      <c r="AI1317" s="136">
        <f t="shared" ref="AI1317:AI1318" si="501">AE1317-AF1317+AG1317-AH1317</f>
        <v>0</v>
      </c>
      <c r="AJ1317" s="43">
        <f t="shared" ref="AJ1317:AJ1318" si="502">AD1317+AI1317</f>
        <v>20000000</v>
      </c>
      <c r="AK1317" s="44">
        <v>0</v>
      </c>
      <c r="AL1317" s="44">
        <v>0</v>
      </c>
      <c r="AM1317" s="44">
        <v>0</v>
      </c>
      <c r="AN1317" s="97">
        <v>0</v>
      </c>
      <c r="AO1317" s="44">
        <v>0</v>
      </c>
      <c r="AP1317" s="44">
        <v>0</v>
      </c>
      <c r="AQ1317" s="97">
        <v>0</v>
      </c>
      <c r="AR1317" s="97">
        <v>0</v>
      </c>
      <c r="AS1317" s="97">
        <v>0</v>
      </c>
      <c r="AT1317" s="135">
        <f t="shared" ref="AT1317:AT1318" si="503">AQ1317+AS1317</f>
        <v>0</v>
      </c>
      <c r="AU1317" s="110">
        <f t="shared" ref="AU1317:AU1318" si="504">AJ1317-AM1317</f>
        <v>20000000</v>
      </c>
      <c r="AV1317" s="34">
        <f t="shared" ref="AV1317:AV1318" si="505">AM1317-AP1317</f>
        <v>0</v>
      </c>
      <c r="AW1317" s="34">
        <f t="shared" ref="AW1317:AW1318" si="506">AP1317-AT1317</f>
        <v>0</v>
      </c>
      <c r="AX1317" s="123">
        <f t="shared" ref="AX1317:AX1318" si="507">AP1317/AJ1317</f>
        <v>0</v>
      </c>
    </row>
    <row r="1318" spans="2:50" x14ac:dyDescent="0.2">
      <c r="AA1318" s="94" t="s">
        <v>800</v>
      </c>
      <c r="AB1318" s="95" t="s">
        <v>801</v>
      </c>
      <c r="AC1318" s="96" t="s">
        <v>802</v>
      </c>
      <c r="AD1318" s="43">
        <v>300000000</v>
      </c>
      <c r="AE1318" s="96">
        <v>0</v>
      </c>
      <c r="AF1318" s="216">
        <v>0</v>
      </c>
      <c r="AG1318" s="216">
        <v>0</v>
      </c>
      <c r="AH1318" s="216">
        <v>0</v>
      </c>
      <c r="AI1318" s="136">
        <f t="shared" si="501"/>
        <v>0</v>
      </c>
      <c r="AJ1318" s="43">
        <f t="shared" si="502"/>
        <v>300000000</v>
      </c>
      <c r="AK1318" s="115">
        <v>0</v>
      </c>
      <c r="AL1318" s="76">
        <v>0</v>
      </c>
      <c r="AM1318" s="18">
        <v>266450000</v>
      </c>
      <c r="AN1318" s="92">
        <v>0</v>
      </c>
      <c r="AO1318" s="18">
        <v>0</v>
      </c>
      <c r="AP1318" s="18">
        <v>266450000</v>
      </c>
      <c r="AQ1318" s="114">
        <v>5000000</v>
      </c>
      <c r="AR1318" s="114">
        <v>6866667</v>
      </c>
      <c r="AS1318" s="114">
        <v>261450000</v>
      </c>
      <c r="AT1318" s="111">
        <f t="shared" si="503"/>
        <v>266450000</v>
      </c>
      <c r="AU1318" s="110">
        <f t="shared" si="504"/>
        <v>33550000</v>
      </c>
      <c r="AV1318" s="34">
        <f t="shared" si="505"/>
        <v>0</v>
      </c>
      <c r="AW1318" s="34">
        <f t="shared" si="506"/>
        <v>0</v>
      </c>
      <c r="AX1318" s="123">
        <f t="shared" si="507"/>
        <v>0.88816666666666666</v>
      </c>
    </row>
    <row r="1319" spans="2:50" x14ac:dyDescent="0.2">
      <c r="AA1319" s="89"/>
      <c r="AB1319" s="91"/>
      <c r="AC1319" s="91"/>
      <c r="AD1319" s="18"/>
      <c r="AE1319" s="92"/>
      <c r="AF1319" s="92"/>
      <c r="AG1319" s="92"/>
      <c r="AH1319" s="92"/>
      <c r="AI1319" s="92"/>
      <c r="AJ1319" s="92"/>
      <c r="AK1319" s="98"/>
      <c r="AL1319" s="92"/>
      <c r="AM1319" s="92"/>
      <c r="AN1319" s="92"/>
      <c r="AO1319" s="92"/>
      <c r="AP1319" s="92"/>
      <c r="AQ1319" s="98"/>
      <c r="AR1319" s="92"/>
      <c r="AS1319" s="92"/>
      <c r="AT1319" s="92"/>
      <c r="AU1319" s="92"/>
      <c r="AV1319" s="92"/>
      <c r="AW1319" s="92"/>
      <c r="AX1319" s="92"/>
    </row>
    <row r="1320" spans="2:50" s="50" customFormat="1" x14ac:dyDescent="0.2">
      <c r="B1320" s="77"/>
      <c r="C1320" s="77"/>
      <c r="D1320" s="77"/>
      <c r="E1320" s="77"/>
      <c r="F1320" s="77"/>
      <c r="G1320" s="77"/>
      <c r="H1320" s="77"/>
      <c r="I1320" s="77"/>
      <c r="J1320" s="77"/>
      <c r="K1320" s="77"/>
      <c r="L1320" s="77"/>
      <c r="M1320" s="77"/>
      <c r="N1320" s="77"/>
      <c r="O1320" s="77"/>
      <c r="P1320" s="77"/>
      <c r="Q1320" s="77"/>
      <c r="R1320" s="77"/>
      <c r="S1320" s="77"/>
      <c r="T1320" s="77"/>
      <c r="U1320" s="77"/>
      <c r="V1320" s="77"/>
      <c r="W1320" s="77"/>
      <c r="X1320" s="77"/>
      <c r="Y1320" s="77"/>
      <c r="Z1320" s="77"/>
      <c r="AA1320" s="46"/>
      <c r="AB1320" s="47" t="s">
        <v>833</v>
      </c>
      <c r="AC1320" s="47"/>
      <c r="AD1320" s="48">
        <f t="shared" ref="AD1320:AW1320" si="508">SUM(AD1228:AD1319)</f>
        <v>260924476092</v>
      </c>
      <c r="AE1320" s="48">
        <f t="shared" si="508"/>
        <v>18437721256.830002</v>
      </c>
      <c r="AF1320" s="49">
        <f t="shared" si="508"/>
        <v>0</v>
      </c>
      <c r="AG1320" s="48">
        <f t="shared" si="508"/>
        <v>6022720240</v>
      </c>
      <c r="AH1320" s="48">
        <f t="shared" si="508"/>
        <v>6022720240</v>
      </c>
      <c r="AI1320" s="48">
        <f t="shared" si="508"/>
        <v>18437721256.830002</v>
      </c>
      <c r="AJ1320" s="48">
        <f t="shared" si="508"/>
        <v>279362197348.82996</v>
      </c>
      <c r="AK1320" s="49">
        <f t="shared" si="508"/>
        <v>0</v>
      </c>
      <c r="AL1320" s="48">
        <f t="shared" si="508"/>
        <v>2002363876</v>
      </c>
      <c r="AM1320" s="48">
        <f t="shared" si="508"/>
        <v>225138291556</v>
      </c>
      <c r="AN1320" s="48">
        <f t="shared" si="508"/>
        <v>0</v>
      </c>
      <c r="AO1320" s="48">
        <f t="shared" si="508"/>
        <v>18757754853.720001</v>
      </c>
      <c r="AP1320" s="48">
        <f t="shared" si="508"/>
        <v>136377212013.05</v>
      </c>
      <c r="AQ1320" s="48">
        <f t="shared" si="508"/>
        <v>457585729</v>
      </c>
      <c r="AR1320" s="48">
        <f t="shared" si="508"/>
        <v>18816387307.050003</v>
      </c>
      <c r="AS1320" s="48">
        <f t="shared" si="508"/>
        <v>130896563419.38</v>
      </c>
      <c r="AT1320" s="48">
        <f t="shared" si="508"/>
        <v>131354149148.38</v>
      </c>
      <c r="AU1320" s="48">
        <f t="shared" si="508"/>
        <v>54223905792.829994</v>
      </c>
      <c r="AV1320" s="48">
        <f t="shared" si="508"/>
        <v>88761079542.949997</v>
      </c>
      <c r="AW1320" s="48">
        <f t="shared" si="508"/>
        <v>5023062864.6700001</v>
      </c>
      <c r="AX1320" s="24">
        <f>AP1320/AJ1320</f>
        <v>0.48817346551280333</v>
      </c>
    </row>
    <row r="1325" spans="2:50" ht="13.5" thickBot="1" x14ac:dyDescent="0.25">
      <c r="AB1325" s="152"/>
    </row>
    <row r="1326" spans="2:50" ht="15.75" x14ac:dyDescent="0.2">
      <c r="AB1326" s="153" t="s">
        <v>914</v>
      </c>
    </row>
    <row r="1327" spans="2:50" x14ac:dyDescent="0.2">
      <c r="AB1327" s="154" t="s">
        <v>916</v>
      </c>
    </row>
    <row r="1328" spans="2:50" x14ac:dyDescent="0.2">
      <c r="AB1328" s="154" t="s">
        <v>917</v>
      </c>
    </row>
    <row r="1332" spans="31:31" x14ac:dyDescent="0.2">
      <c r="AE1332" s="281"/>
    </row>
  </sheetData>
  <mergeCells count="23">
    <mergeCell ref="AJ7:AJ8"/>
    <mergeCell ref="A2:AW2"/>
    <mergeCell ref="A3:AW3"/>
    <mergeCell ref="A4:AW4"/>
    <mergeCell ref="A5:AW5"/>
    <mergeCell ref="A7:A9"/>
    <mergeCell ref="B7:B9"/>
    <mergeCell ref="AA7:AA9"/>
    <mergeCell ref="AB7:AB9"/>
    <mergeCell ref="AC7:AC9"/>
    <mergeCell ref="AD7:AD8"/>
    <mergeCell ref="AE7:AE8"/>
    <mergeCell ref="AF7:AF8"/>
    <mergeCell ref="AG7:AG8"/>
    <mergeCell ref="AH7:AH8"/>
    <mergeCell ref="AI7:AI8"/>
    <mergeCell ref="AX7:AX8"/>
    <mergeCell ref="AK7:AM7"/>
    <mergeCell ref="AN7:AP7"/>
    <mergeCell ref="AQ7:AS7"/>
    <mergeCell ref="AU7:AU8"/>
    <mergeCell ref="AV7:AV8"/>
    <mergeCell ref="AW7:AW8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90EC-C524-41DC-B7B3-77A5E03C1326}">
  <dimension ref="A1:AZ1375"/>
  <sheetViews>
    <sheetView zoomScale="80" zoomScaleNormal="80" workbookViewId="0">
      <pane xSplit="29" ySplit="10" topLeftCell="AJ11" activePane="bottomRight" state="frozen"/>
      <selection pane="topRight" activeCell="AD1" sqref="AD1"/>
      <selection pane="bottomLeft" activeCell="A11" sqref="A11"/>
      <selection pane="bottomRight" activeCell="AM11" sqref="AM11"/>
    </sheetView>
  </sheetViews>
  <sheetFormatPr baseColWidth="10" defaultColWidth="9.140625" defaultRowHeight="12.75" x14ac:dyDescent="0.2"/>
  <cols>
    <col min="1" max="1" width="7" style="33" customWidth="1"/>
    <col min="2" max="2" width="38.42578125" style="51" hidden="1" customWidth="1"/>
    <col min="3" max="3" width="27.7109375" style="51" hidden="1" customWidth="1"/>
    <col min="4" max="4" width="18.7109375" style="51" hidden="1" customWidth="1"/>
    <col min="5" max="5" width="13.85546875" style="51" hidden="1" customWidth="1"/>
    <col min="6" max="6" width="14.42578125" style="51" hidden="1" customWidth="1"/>
    <col min="7" max="7" width="10.85546875" style="51" hidden="1" customWidth="1"/>
    <col min="8" max="8" width="9.85546875" style="51" hidden="1" customWidth="1"/>
    <col min="9" max="9" width="23" style="51" hidden="1" customWidth="1"/>
    <col min="10" max="10" width="14.5703125" style="51" hidden="1" customWidth="1"/>
    <col min="11" max="11" width="18.85546875" style="51" hidden="1" customWidth="1"/>
    <col min="12" max="12" width="12" style="51" hidden="1" customWidth="1"/>
    <col min="13" max="13" width="16.85546875" style="51" hidden="1" customWidth="1"/>
    <col min="14" max="14" width="20.5703125" style="51" hidden="1" customWidth="1"/>
    <col min="15" max="15" width="22.7109375" style="51" hidden="1" customWidth="1"/>
    <col min="16" max="16" width="29" style="51" hidden="1" customWidth="1"/>
    <col min="17" max="17" width="20" style="51" hidden="1" customWidth="1"/>
    <col min="18" max="19" width="23.5703125" style="51" hidden="1" customWidth="1"/>
    <col min="20" max="20" width="27.140625" style="51" hidden="1" customWidth="1"/>
    <col min="21" max="21" width="25.5703125" style="51" hidden="1" customWidth="1"/>
    <col min="22" max="22" width="18.85546875" style="51" hidden="1" customWidth="1"/>
    <col min="23" max="23" width="18.5703125" style="51" hidden="1" customWidth="1"/>
    <col min="24" max="24" width="20.85546875" style="51" hidden="1" customWidth="1"/>
    <col min="25" max="26" width="29.7109375" style="51" hidden="1" customWidth="1"/>
    <col min="27" max="27" width="37.5703125" style="99" customWidth="1"/>
    <col min="28" max="28" width="60.140625" style="51" customWidth="1"/>
    <col min="29" max="29" width="60.7109375" style="51" hidden="1" customWidth="1"/>
    <col min="30" max="30" width="23.42578125" style="33" hidden="1" customWidth="1"/>
    <col min="31" max="31" width="22.5703125" style="33" hidden="1" customWidth="1"/>
    <col min="32" max="32" width="20.7109375" style="33" hidden="1" customWidth="1"/>
    <col min="33" max="33" width="22" style="33" hidden="1" customWidth="1"/>
    <col min="34" max="34" width="27.85546875" style="33" hidden="1" customWidth="1"/>
    <col min="35" max="35" width="22.140625" style="33" hidden="1" customWidth="1"/>
    <col min="36" max="36" width="26" style="33" customWidth="1"/>
    <col min="37" max="37" width="24.140625" style="33" customWidth="1"/>
    <col min="38" max="39" width="27.7109375" style="33" customWidth="1"/>
    <col min="40" max="40" width="20.7109375" style="33" customWidth="1"/>
    <col min="41" max="41" width="22.42578125" style="33" customWidth="1"/>
    <col min="42" max="42" width="23.42578125" style="33" customWidth="1"/>
    <col min="43" max="43" width="20.7109375" style="33" customWidth="1"/>
    <col min="44" max="44" width="22.28515625" style="33" customWidth="1"/>
    <col min="45" max="45" width="23.7109375" style="33" customWidth="1"/>
    <col min="46" max="46" width="22.28515625" style="33" customWidth="1"/>
    <col min="47" max="47" width="23" style="33" customWidth="1"/>
    <col min="48" max="48" width="23.42578125" style="33" customWidth="1"/>
    <col min="49" max="49" width="24.140625" style="33" customWidth="1"/>
    <col min="50" max="50" width="12.140625" style="33" customWidth="1"/>
    <col min="51" max="281" width="9.140625" style="33"/>
    <col min="282" max="283" width="0" style="33" hidden="1" customWidth="1"/>
    <col min="284" max="284" width="29.42578125" style="33" customWidth="1"/>
    <col min="285" max="285" width="75.7109375" style="33" customWidth="1"/>
    <col min="286" max="286" width="0" style="33" hidden="1" customWidth="1"/>
    <col min="287" max="305" width="20.7109375" style="33" customWidth="1"/>
    <col min="306" max="306" width="12.140625" style="33" customWidth="1"/>
    <col min="307" max="537" width="9.140625" style="33"/>
    <col min="538" max="539" width="0" style="33" hidden="1" customWidth="1"/>
    <col min="540" max="540" width="29.42578125" style="33" customWidth="1"/>
    <col min="541" max="541" width="75.7109375" style="33" customWidth="1"/>
    <col min="542" max="542" width="0" style="33" hidden="1" customWidth="1"/>
    <col min="543" max="561" width="20.7109375" style="33" customWidth="1"/>
    <col min="562" max="562" width="12.140625" style="33" customWidth="1"/>
    <col min="563" max="793" width="9.140625" style="33"/>
    <col min="794" max="795" width="0" style="33" hidden="1" customWidth="1"/>
    <col min="796" max="796" width="29.42578125" style="33" customWidth="1"/>
    <col min="797" max="797" width="75.7109375" style="33" customWidth="1"/>
    <col min="798" max="798" width="0" style="33" hidden="1" customWidth="1"/>
    <col min="799" max="817" width="20.7109375" style="33" customWidth="1"/>
    <col min="818" max="818" width="12.140625" style="33" customWidth="1"/>
    <col min="819" max="1049" width="9.140625" style="33"/>
    <col min="1050" max="1051" width="0" style="33" hidden="1" customWidth="1"/>
    <col min="1052" max="1052" width="29.42578125" style="33" customWidth="1"/>
    <col min="1053" max="1053" width="75.7109375" style="33" customWidth="1"/>
    <col min="1054" max="1054" width="0" style="33" hidden="1" customWidth="1"/>
    <col min="1055" max="1073" width="20.7109375" style="33" customWidth="1"/>
    <col min="1074" max="1074" width="12.140625" style="33" customWidth="1"/>
    <col min="1075" max="1305" width="9.140625" style="33"/>
    <col min="1306" max="1307" width="0" style="33" hidden="1" customWidth="1"/>
    <col min="1308" max="1308" width="29.42578125" style="33" customWidth="1"/>
    <col min="1309" max="1309" width="75.7109375" style="33" customWidth="1"/>
    <col min="1310" max="1310" width="0" style="33" hidden="1" customWidth="1"/>
    <col min="1311" max="1329" width="20.7109375" style="33" customWidth="1"/>
    <col min="1330" max="1330" width="12.140625" style="33" customWidth="1"/>
    <col min="1331" max="1561" width="9.140625" style="33"/>
    <col min="1562" max="1563" width="0" style="33" hidden="1" customWidth="1"/>
    <col min="1564" max="1564" width="29.42578125" style="33" customWidth="1"/>
    <col min="1565" max="1565" width="75.7109375" style="33" customWidth="1"/>
    <col min="1566" max="1566" width="0" style="33" hidden="1" customWidth="1"/>
    <col min="1567" max="1585" width="20.7109375" style="33" customWidth="1"/>
    <col min="1586" max="1586" width="12.140625" style="33" customWidth="1"/>
    <col min="1587" max="1817" width="9.140625" style="33"/>
    <col min="1818" max="1819" width="0" style="33" hidden="1" customWidth="1"/>
    <col min="1820" max="1820" width="29.42578125" style="33" customWidth="1"/>
    <col min="1821" max="1821" width="75.7109375" style="33" customWidth="1"/>
    <col min="1822" max="1822" width="0" style="33" hidden="1" customWidth="1"/>
    <col min="1823" max="1841" width="20.7109375" style="33" customWidth="1"/>
    <col min="1842" max="1842" width="12.140625" style="33" customWidth="1"/>
    <col min="1843" max="2073" width="9.140625" style="33"/>
    <col min="2074" max="2075" width="0" style="33" hidden="1" customWidth="1"/>
    <col min="2076" max="2076" width="29.42578125" style="33" customWidth="1"/>
    <col min="2077" max="2077" width="75.7109375" style="33" customWidth="1"/>
    <col min="2078" max="2078" width="0" style="33" hidden="1" customWidth="1"/>
    <col min="2079" max="2097" width="20.7109375" style="33" customWidth="1"/>
    <col min="2098" max="2098" width="12.140625" style="33" customWidth="1"/>
    <col min="2099" max="2329" width="9.140625" style="33"/>
    <col min="2330" max="2331" width="0" style="33" hidden="1" customWidth="1"/>
    <col min="2332" max="2332" width="29.42578125" style="33" customWidth="1"/>
    <col min="2333" max="2333" width="75.7109375" style="33" customWidth="1"/>
    <col min="2334" max="2334" width="0" style="33" hidden="1" customWidth="1"/>
    <col min="2335" max="2353" width="20.7109375" style="33" customWidth="1"/>
    <col min="2354" max="2354" width="12.140625" style="33" customWidth="1"/>
    <col min="2355" max="2585" width="9.140625" style="33"/>
    <col min="2586" max="2587" width="0" style="33" hidden="1" customWidth="1"/>
    <col min="2588" max="2588" width="29.42578125" style="33" customWidth="1"/>
    <col min="2589" max="2589" width="75.7109375" style="33" customWidth="1"/>
    <col min="2590" max="2590" width="0" style="33" hidden="1" customWidth="1"/>
    <col min="2591" max="2609" width="20.7109375" style="33" customWidth="1"/>
    <col min="2610" max="2610" width="12.140625" style="33" customWidth="1"/>
    <col min="2611" max="2841" width="9.140625" style="33"/>
    <col min="2842" max="2843" width="0" style="33" hidden="1" customWidth="1"/>
    <col min="2844" max="2844" width="29.42578125" style="33" customWidth="1"/>
    <col min="2845" max="2845" width="75.7109375" style="33" customWidth="1"/>
    <col min="2846" max="2846" width="0" style="33" hidden="1" customWidth="1"/>
    <col min="2847" max="2865" width="20.7109375" style="33" customWidth="1"/>
    <col min="2866" max="2866" width="12.140625" style="33" customWidth="1"/>
    <col min="2867" max="3097" width="9.140625" style="33"/>
    <col min="3098" max="3099" width="0" style="33" hidden="1" customWidth="1"/>
    <col min="3100" max="3100" width="29.42578125" style="33" customWidth="1"/>
    <col min="3101" max="3101" width="75.7109375" style="33" customWidth="1"/>
    <col min="3102" max="3102" width="0" style="33" hidden="1" customWidth="1"/>
    <col min="3103" max="3121" width="20.7109375" style="33" customWidth="1"/>
    <col min="3122" max="3122" width="12.140625" style="33" customWidth="1"/>
    <col min="3123" max="3353" width="9.140625" style="33"/>
    <col min="3354" max="3355" width="0" style="33" hidden="1" customWidth="1"/>
    <col min="3356" max="3356" width="29.42578125" style="33" customWidth="1"/>
    <col min="3357" max="3357" width="75.7109375" style="33" customWidth="1"/>
    <col min="3358" max="3358" width="0" style="33" hidden="1" customWidth="1"/>
    <col min="3359" max="3377" width="20.7109375" style="33" customWidth="1"/>
    <col min="3378" max="3378" width="12.140625" style="33" customWidth="1"/>
    <col min="3379" max="3609" width="9.140625" style="33"/>
    <col min="3610" max="3611" width="0" style="33" hidden="1" customWidth="1"/>
    <col min="3612" max="3612" width="29.42578125" style="33" customWidth="1"/>
    <col min="3613" max="3613" width="75.7109375" style="33" customWidth="1"/>
    <col min="3614" max="3614" width="0" style="33" hidden="1" customWidth="1"/>
    <col min="3615" max="3633" width="20.7109375" style="33" customWidth="1"/>
    <col min="3634" max="3634" width="12.140625" style="33" customWidth="1"/>
    <col min="3635" max="3865" width="9.140625" style="33"/>
    <col min="3866" max="3867" width="0" style="33" hidden="1" customWidth="1"/>
    <col min="3868" max="3868" width="29.42578125" style="33" customWidth="1"/>
    <col min="3869" max="3869" width="75.7109375" style="33" customWidth="1"/>
    <col min="3870" max="3870" width="0" style="33" hidden="1" customWidth="1"/>
    <col min="3871" max="3889" width="20.7109375" style="33" customWidth="1"/>
    <col min="3890" max="3890" width="12.140625" style="33" customWidth="1"/>
    <col min="3891" max="4121" width="9.140625" style="33"/>
    <col min="4122" max="4123" width="0" style="33" hidden="1" customWidth="1"/>
    <col min="4124" max="4124" width="29.42578125" style="33" customWidth="1"/>
    <col min="4125" max="4125" width="75.7109375" style="33" customWidth="1"/>
    <col min="4126" max="4126" width="0" style="33" hidden="1" customWidth="1"/>
    <col min="4127" max="4145" width="20.7109375" style="33" customWidth="1"/>
    <col min="4146" max="4146" width="12.140625" style="33" customWidth="1"/>
    <col min="4147" max="4377" width="9.140625" style="33"/>
    <col min="4378" max="4379" width="0" style="33" hidden="1" customWidth="1"/>
    <col min="4380" max="4380" width="29.42578125" style="33" customWidth="1"/>
    <col min="4381" max="4381" width="75.7109375" style="33" customWidth="1"/>
    <col min="4382" max="4382" width="0" style="33" hidden="1" customWidth="1"/>
    <col min="4383" max="4401" width="20.7109375" style="33" customWidth="1"/>
    <col min="4402" max="4402" width="12.140625" style="33" customWidth="1"/>
    <col min="4403" max="4633" width="9.140625" style="33"/>
    <col min="4634" max="4635" width="0" style="33" hidden="1" customWidth="1"/>
    <col min="4636" max="4636" width="29.42578125" style="33" customWidth="1"/>
    <col min="4637" max="4637" width="75.7109375" style="33" customWidth="1"/>
    <col min="4638" max="4638" width="0" style="33" hidden="1" customWidth="1"/>
    <col min="4639" max="4657" width="20.7109375" style="33" customWidth="1"/>
    <col min="4658" max="4658" width="12.140625" style="33" customWidth="1"/>
    <col min="4659" max="4889" width="9.140625" style="33"/>
    <col min="4890" max="4891" width="0" style="33" hidden="1" customWidth="1"/>
    <col min="4892" max="4892" width="29.42578125" style="33" customWidth="1"/>
    <col min="4893" max="4893" width="75.7109375" style="33" customWidth="1"/>
    <col min="4894" max="4894" width="0" style="33" hidden="1" customWidth="1"/>
    <col min="4895" max="4913" width="20.7109375" style="33" customWidth="1"/>
    <col min="4914" max="4914" width="12.140625" style="33" customWidth="1"/>
    <col min="4915" max="5145" width="9.140625" style="33"/>
    <col min="5146" max="5147" width="0" style="33" hidden="1" customWidth="1"/>
    <col min="5148" max="5148" width="29.42578125" style="33" customWidth="1"/>
    <col min="5149" max="5149" width="75.7109375" style="33" customWidth="1"/>
    <col min="5150" max="5150" width="0" style="33" hidden="1" customWidth="1"/>
    <col min="5151" max="5169" width="20.7109375" style="33" customWidth="1"/>
    <col min="5170" max="5170" width="12.140625" style="33" customWidth="1"/>
    <col min="5171" max="5401" width="9.140625" style="33"/>
    <col min="5402" max="5403" width="0" style="33" hidden="1" customWidth="1"/>
    <col min="5404" max="5404" width="29.42578125" style="33" customWidth="1"/>
    <col min="5405" max="5405" width="75.7109375" style="33" customWidth="1"/>
    <col min="5406" max="5406" width="0" style="33" hidden="1" customWidth="1"/>
    <col min="5407" max="5425" width="20.7109375" style="33" customWidth="1"/>
    <col min="5426" max="5426" width="12.140625" style="33" customWidth="1"/>
    <col min="5427" max="5657" width="9.140625" style="33"/>
    <col min="5658" max="5659" width="0" style="33" hidden="1" customWidth="1"/>
    <col min="5660" max="5660" width="29.42578125" style="33" customWidth="1"/>
    <col min="5661" max="5661" width="75.7109375" style="33" customWidth="1"/>
    <col min="5662" max="5662" width="0" style="33" hidden="1" customWidth="1"/>
    <col min="5663" max="5681" width="20.7109375" style="33" customWidth="1"/>
    <col min="5682" max="5682" width="12.140625" style="33" customWidth="1"/>
    <col min="5683" max="5913" width="9.140625" style="33"/>
    <col min="5914" max="5915" width="0" style="33" hidden="1" customWidth="1"/>
    <col min="5916" max="5916" width="29.42578125" style="33" customWidth="1"/>
    <col min="5917" max="5917" width="75.7109375" style="33" customWidth="1"/>
    <col min="5918" max="5918" width="0" style="33" hidden="1" customWidth="1"/>
    <col min="5919" max="5937" width="20.7109375" style="33" customWidth="1"/>
    <col min="5938" max="5938" width="12.140625" style="33" customWidth="1"/>
    <col min="5939" max="6169" width="9.140625" style="33"/>
    <col min="6170" max="6171" width="0" style="33" hidden="1" customWidth="1"/>
    <col min="6172" max="6172" width="29.42578125" style="33" customWidth="1"/>
    <col min="6173" max="6173" width="75.7109375" style="33" customWidth="1"/>
    <col min="6174" max="6174" width="0" style="33" hidden="1" customWidth="1"/>
    <col min="6175" max="6193" width="20.7109375" style="33" customWidth="1"/>
    <col min="6194" max="6194" width="12.140625" style="33" customWidth="1"/>
    <col min="6195" max="6425" width="9.140625" style="33"/>
    <col min="6426" max="6427" width="0" style="33" hidden="1" customWidth="1"/>
    <col min="6428" max="6428" width="29.42578125" style="33" customWidth="1"/>
    <col min="6429" max="6429" width="75.7109375" style="33" customWidth="1"/>
    <col min="6430" max="6430" width="0" style="33" hidden="1" customWidth="1"/>
    <col min="6431" max="6449" width="20.7109375" style="33" customWidth="1"/>
    <col min="6450" max="6450" width="12.140625" style="33" customWidth="1"/>
    <col min="6451" max="6681" width="9.140625" style="33"/>
    <col min="6682" max="6683" width="0" style="33" hidden="1" customWidth="1"/>
    <col min="6684" max="6684" width="29.42578125" style="33" customWidth="1"/>
    <col min="6685" max="6685" width="75.7109375" style="33" customWidth="1"/>
    <col min="6686" max="6686" width="0" style="33" hidden="1" customWidth="1"/>
    <col min="6687" max="6705" width="20.7109375" style="33" customWidth="1"/>
    <col min="6706" max="6706" width="12.140625" style="33" customWidth="1"/>
    <col min="6707" max="6937" width="9.140625" style="33"/>
    <col min="6938" max="6939" width="0" style="33" hidden="1" customWidth="1"/>
    <col min="6940" max="6940" width="29.42578125" style="33" customWidth="1"/>
    <col min="6941" max="6941" width="75.7109375" style="33" customWidth="1"/>
    <col min="6942" max="6942" width="0" style="33" hidden="1" customWidth="1"/>
    <col min="6943" max="6961" width="20.7109375" style="33" customWidth="1"/>
    <col min="6962" max="6962" width="12.140625" style="33" customWidth="1"/>
    <col min="6963" max="7193" width="9.140625" style="33"/>
    <col min="7194" max="7195" width="0" style="33" hidden="1" customWidth="1"/>
    <col min="7196" max="7196" width="29.42578125" style="33" customWidth="1"/>
    <col min="7197" max="7197" width="75.7109375" style="33" customWidth="1"/>
    <col min="7198" max="7198" width="0" style="33" hidden="1" customWidth="1"/>
    <col min="7199" max="7217" width="20.7109375" style="33" customWidth="1"/>
    <col min="7218" max="7218" width="12.140625" style="33" customWidth="1"/>
    <col min="7219" max="7449" width="9.140625" style="33"/>
    <col min="7450" max="7451" width="0" style="33" hidden="1" customWidth="1"/>
    <col min="7452" max="7452" width="29.42578125" style="33" customWidth="1"/>
    <col min="7453" max="7453" width="75.7109375" style="33" customWidth="1"/>
    <col min="7454" max="7454" width="0" style="33" hidden="1" customWidth="1"/>
    <col min="7455" max="7473" width="20.7109375" style="33" customWidth="1"/>
    <col min="7474" max="7474" width="12.140625" style="33" customWidth="1"/>
    <col min="7475" max="7705" width="9.140625" style="33"/>
    <col min="7706" max="7707" width="0" style="33" hidden="1" customWidth="1"/>
    <col min="7708" max="7708" width="29.42578125" style="33" customWidth="1"/>
    <col min="7709" max="7709" width="75.7109375" style="33" customWidth="1"/>
    <col min="7710" max="7710" width="0" style="33" hidden="1" customWidth="1"/>
    <col min="7711" max="7729" width="20.7109375" style="33" customWidth="1"/>
    <col min="7730" max="7730" width="12.140625" style="33" customWidth="1"/>
    <col min="7731" max="7961" width="9.140625" style="33"/>
    <col min="7962" max="7963" width="0" style="33" hidden="1" customWidth="1"/>
    <col min="7964" max="7964" width="29.42578125" style="33" customWidth="1"/>
    <col min="7965" max="7965" width="75.7109375" style="33" customWidth="1"/>
    <col min="7966" max="7966" width="0" style="33" hidden="1" customWidth="1"/>
    <col min="7967" max="7985" width="20.7109375" style="33" customWidth="1"/>
    <col min="7986" max="7986" width="12.140625" style="33" customWidth="1"/>
    <col min="7987" max="8217" width="9.140625" style="33"/>
    <col min="8218" max="8219" width="0" style="33" hidden="1" customWidth="1"/>
    <col min="8220" max="8220" width="29.42578125" style="33" customWidth="1"/>
    <col min="8221" max="8221" width="75.7109375" style="33" customWidth="1"/>
    <col min="8222" max="8222" width="0" style="33" hidden="1" customWidth="1"/>
    <col min="8223" max="8241" width="20.7109375" style="33" customWidth="1"/>
    <col min="8242" max="8242" width="12.140625" style="33" customWidth="1"/>
    <col min="8243" max="8473" width="9.140625" style="33"/>
    <col min="8474" max="8475" width="0" style="33" hidden="1" customWidth="1"/>
    <col min="8476" max="8476" width="29.42578125" style="33" customWidth="1"/>
    <col min="8477" max="8477" width="75.7109375" style="33" customWidth="1"/>
    <col min="8478" max="8478" width="0" style="33" hidden="1" customWidth="1"/>
    <col min="8479" max="8497" width="20.7109375" style="33" customWidth="1"/>
    <col min="8498" max="8498" width="12.140625" style="33" customWidth="1"/>
    <col min="8499" max="8729" width="9.140625" style="33"/>
    <col min="8730" max="8731" width="0" style="33" hidden="1" customWidth="1"/>
    <col min="8732" max="8732" width="29.42578125" style="33" customWidth="1"/>
    <col min="8733" max="8733" width="75.7109375" style="33" customWidth="1"/>
    <col min="8734" max="8734" width="0" style="33" hidden="1" customWidth="1"/>
    <col min="8735" max="8753" width="20.7109375" style="33" customWidth="1"/>
    <col min="8754" max="8754" width="12.140625" style="33" customWidth="1"/>
    <col min="8755" max="8985" width="9.140625" style="33"/>
    <col min="8986" max="8987" width="0" style="33" hidden="1" customWidth="1"/>
    <col min="8988" max="8988" width="29.42578125" style="33" customWidth="1"/>
    <col min="8989" max="8989" width="75.7109375" style="33" customWidth="1"/>
    <col min="8990" max="8990" width="0" style="33" hidden="1" customWidth="1"/>
    <col min="8991" max="9009" width="20.7109375" style="33" customWidth="1"/>
    <col min="9010" max="9010" width="12.140625" style="33" customWidth="1"/>
    <col min="9011" max="9241" width="9.140625" style="33"/>
    <col min="9242" max="9243" width="0" style="33" hidden="1" customWidth="1"/>
    <col min="9244" max="9244" width="29.42578125" style="33" customWidth="1"/>
    <col min="9245" max="9245" width="75.7109375" style="33" customWidth="1"/>
    <col min="9246" max="9246" width="0" style="33" hidden="1" customWidth="1"/>
    <col min="9247" max="9265" width="20.7109375" style="33" customWidth="1"/>
    <col min="9266" max="9266" width="12.140625" style="33" customWidth="1"/>
    <col min="9267" max="9497" width="9.140625" style="33"/>
    <col min="9498" max="9499" width="0" style="33" hidden="1" customWidth="1"/>
    <col min="9500" max="9500" width="29.42578125" style="33" customWidth="1"/>
    <col min="9501" max="9501" width="75.7109375" style="33" customWidth="1"/>
    <col min="9502" max="9502" width="0" style="33" hidden="1" customWidth="1"/>
    <col min="9503" max="9521" width="20.7109375" style="33" customWidth="1"/>
    <col min="9522" max="9522" width="12.140625" style="33" customWidth="1"/>
    <col min="9523" max="9753" width="9.140625" style="33"/>
    <col min="9754" max="9755" width="0" style="33" hidden="1" customWidth="1"/>
    <col min="9756" max="9756" width="29.42578125" style="33" customWidth="1"/>
    <col min="9757" max="9757" width="75.7109375" style="33" customWidth="1"/>
    <col min="9758" max="9758" width="0" style="33" hidden="1" customWidth="1"/>
    <col min="9759" max="9777" width="20.7109375" style="33" customWidth="1"/>
    <col min="9778" max="9778" width="12.140625" style="33" customWidth="1"/>
    <col min="9779" max="10009" width="9.140625" style="33"/>
    <col min="10010" max="10011" width="0" style="33" hidden="1" customWidth="1"/>
    <col min="10012" max="10012" width="29.42578125" style="33" customWidth="1"/>
    <col min="10013" max="10013" width="75.7109375" style="33" customWidth="1"/>
    <col min="10014" max="10014" width="0" style="33" hidden="1" customWidth="1"/>
    <col min="10015" max="10033" width="20.7109375" style="33" customWidth="1"/>
    <col min="10034" max="10034" width="12.140625" style="33" customWidth="1"/>
    <col min="10035" max="10265" width="9.140625" style="33"/>
    <col min="10266" max="10267" width="0" style="33" hidden="1" customWidth="1"/>
    <col min="10268" max="10268" width="29.42578125" style="33" customWidth="1"/>
    <col min="10269" max="10269" width="75.7109375" style="33" customWidth="1"/>
    <col min="10270" max="10270" width="0" style="33" hidden="1" customWidth="1"/>
    <col min="10271" max="10289" width="20.7109375" style="33" customWidth="1"/>
    <col min="10290" max="10290" width="12.140625" style="33" customWidth="1"/>
    <col min="10291" max="10521" width="9.140625" style="33"/>
    <col min="10522" max="10523" width="0" style="33" hidden="1" customWidth="1"/>
    <col min="10524" max="10524" width="29.42578125" style="33" customWidth="1"/>
    <col min="10525" max="10525" width="75.7109375" style="33" customWidth="1"/>
    <col min="10526" max="10526" width="0" style="33" hidden="1" customWidth="1"/>
    <col min="10527" max="10545" width="20.7109375" style="33" customWidth="1"/>
    <col min="10546" max="10546" width="12.140625" style="33" customWidth="1"/>
    <col min="10547" max="10777" width="9.140625" style="33"/>
    <col min="10778" max="10779" width="0" style="33" hidden="1" customWidth="1"/>
    <col min="10780" max="10780" width="29.42578125" style="33" customWidth="1"/>
    <col min="10781" max="10781" width="75.7109375" style="33" customWidth="1"/>
    <col min="10782" max="10782" width="0" style="33" hidden="1" customWidth="1"/>
    <col min="10783" max="10801" width="20.7109375" style="33" customWidth="1"/>
    <col min="10802" max="10802" width="12.140625" style="33" customWidth="1"/>
    <col min="10803" max="11033" width="9.140625" style="33"/>
    <col min="11034" max="11035" width="0" style="33" hidden="1" customWidth="1"/>
    <col min="11036" max="11036" width="29.42578125" style="33" customWidth="1"/>
    <col min="11037" max="11037" width="75.7109375" style="33" customWidth="1"/>
    <col min="11038" max="11038" width="0" style="33" hidden="1" customWidth="1"/>
    <col min="11039" max="11057" width="20.7109375" style="33" customWidth="1"/>
    <col min="11058" max="11058" width="12.140625" style="33" customWidth="1"/>
    <col min="11059" max="11289" width="9.140625" style="33"/>
    <col min="11290" max="11291" width="0" style="33" hidden="1" customWidth="1"/>
    <col min="11292" max="11292" width="29.42578125" style="33" customWidth="1"/>
    <col min="11293" max="11293" width="75.7109375" style="33" customWidth="1"/>
    <col min="11294" max="11294" width="0" style="33" hidden="1" customWidth="1"/>
    <col min="11295" max="11313" width="20.7109375" style="33" customWidth="1"/>
    <col min="11314" max="11314" width="12.140625" style="33" customWidth="1"/>
    <col min="11315" max="11545" width="9.140625" style="33"/>
    <col min="11546" max="11547" width="0" style="33" hidden="1" customWidth="1"/>
    <col min="11548" max="11548" width="29.42578125" style="33" customWidth="1"/>
    <col min="11549" max="11549" width="75.7109375" style="33" customWidth="1"/>
    <col min="11550" max="11550" width="0" style="33" hidden="1" customWidth="1"/>
    <col min="11551" max="11569" width="20.7109375" style="33" customWidth="1"/>
    <col min="11570" max="11570" width="12.140625" style="33" customWidth="1"/>
    <col min="11571" max="11801" width="9.140625" style="33"/>
    <col min="11802" max="11803" width="0" style="33" hidden="1" customWidth="1"/>
    <col min="11804" max="11804" width="29.42578125" style="33" customWidth="1"/>
    <col min="11805" max="11805" width="75.7109375" style="33" customWidth="1"/>
    <col min="11806" max="11806" width="0" style="33" hidden="1" customWidth="1"/>
    <col min="11807" max="11825" width="20.7109375" style="33" customWidth="1"/>
    <col min="11826" max="11826" width="12.140625" style="33" customWidth="1"/>
    <col min="11827" max="12057" width="9.140625" style="33"/>
    <col min="12058" max="12059" width="0" style="33" hidden="1" customWidth="1"/>
    <col min="12060" max="12060" width="29.42578125" style="33" customWidth="1"/>
    <col min="12061" max="12061" width="75.7109375" style="33" customWidth="1"/>
    <col min="12062" max="12062" width="0" style="33" hidden="1" customWidth="1"/>
    <col min="12063" max="12081" width="20.7109375" style="33" customWidth="1"/>
    <col min="12082" max="12082" width="12.140625" style="33" customWidth="1"/>
    <col min="12083" max="12313" width="9.140625" style="33"/>
    <col min="12314" max="12315" width="0" style="33" hidden="1" customWidth="1"/>
    <col min="12316" max="12316" width="29.42578125" style="33" customWidth="1"/>
    <col min="12317" max="12317" width="75.7109375" style="33" customWidth="1"/>
    <col min="12318" max="12318" width="0" style="33" hidden="1" customWidth="1"/>
    <col min="12319" max="12337" width="20.7109375" style="33" customWidth="1"/>
    <col min="12338" max="12338" width="12.140625" style="33" customWidth="1"/>
    <col min="12339" max="12569" width="9.140625" style="33"/>
    <col min="12570" max="12571" width="0" style="33" hidden="1" customWidth="1"/>
    <col min="12572" max="12572" width="29.42578125" style="33" customWidth="1"/>
    <col min="12573" max="12573" width="75.7109375" style="33" customWidth="1"/>
    <col min="12574" max="12574" width="0" style="33" hidden="1" customWidth="1"/>
    <col min="12575" max="12593" width="20.7109375" style="33" customWidth="1"/>
    <col min="12594" max="12594" width="12.140625" style="33" customWidth="1"/>
    <col min="12595" max="12825" width="9.140625" style="33"/>
    <col min="12826" max="12827" width="0" style="33" hidden="1" customWidth="1"/>
    <col min="12828" max="12828" width="29.42578125" style="33" customWidth="1"/>
    <col min="12829" max="12829" width="75.7109375" style="33" customWidth="1"/>
    <col min="12830" max="12830" width="0" style="33" hidden="1" customWidth="1"/>
    <col min="12831" max="12849" width="20.7109375" style="33" customWidth="1"/>
    <col min="12850" max="12850" width="12.140625" style="33" customWidth="1"/>
    <col min="12851" max="13081" width="9.140625" style="33"/>
    <col min="13082" max="13083" width="0" style="33" hidden="1" customWidth="1"/>
    <col min="13084" max="13084" width="29.42578125" style="33" customWidth="1"/>
    <col min="13085" max="13085" width="75.7109375" style="33" customWidth="1"/>
    <col min="13086" max="13086" width="0" style="33" hidden="1" customWidth="1"/>
    <col min="13087" max="13105" width="20.7109375" style="33" customWidth="1"/>
    <col min="13106" max="13106" width="12.140625" style="33" customWidth="1"/>
    <col min="13107" max="13337" width="9.140625" style="33"/>
    <col min="13338" max="13339" width="0" style="33" hidden="1" customWidth="1"/>
    <col min="13340" max="13340" width="29.42578125" style="33" customWidth="1"/>
    <col min="13341" max="13341" width="75.7109375" style="33" customWidth="1"/>
    <col min="13342" max="13342" width="0" style="33" hidden="1" customWidth="1"/>
    <col min="13343" max="13361" width="20.7109375" style="33" customWidth="1"/>
    <col min="13362" max="13362" width="12.140625" style="33" customWidth="1"/>
    <col min="13363" max="13593" width="9.140625" style="33"/>
    <col min="13594" max="13595" width="0" style="33" hidden="1" customWidth="1"/>
    <col min="13596" max="13596" width="29.42578125" style="33" customWidth="1"/>
    <col min="13597" max="13597" width="75.7109375" style="33" customWidth="1"/>
    <col min="13598" max="13598" width="0" style="33" hidden="1" customWidth="1"/>
    <col min="13599" max="13617" width="20.7109375" style="33" customWidth="1"/>
    <col min="13618" max="13618" width="12.140625" style="33" customWidth="1"/>
    <col min="13619" max="13849" width="9.140625" style="33"/>
    <col min="13850" max="13851" width="0" style="33" hidden="1" customWidth="1"/>
    <col min="13852" max="13852" width="29.42578125" style="33" customWidth="1"/>
    <col min="13853" max="13853" width="75.7109375" style="33" customWidth="1"/>
    <col min="13854" max="13854" width="0" style="33" hidden="1" customWidth="1"/>
    <col min="13855" max="13873" width="20.7109375" style="33" customWidth="1"/>
    <col min="13874" max="13874" width="12.140625" style="33" customWidth="1"/>
    <col min="13875" max="14105" width="9.140625" style="33"/>
    <col min="14106" max="14107" width="0" style="33" hidden="1" customWidth="1"/>
    <col min="14108" max="14108" width="29.42578125" style="33" customWidth="1"/>
    <col min="14109" max="14109" width="75.7109375" style="33" customWidth="1"/>
    <col min="14110" max="14110" width="0" style="33" hidden="1" customWidth="1"/>
    <col min="14111" max="14129" width="20.7109375" style="33" customWidth="1"/>
    <col min="14130" max="14130" width="12.140625" style="33" customWidth="1"/>
    <col min="14131" max="14361" width="9.140625" style="33"/>
    <col min="14362" max="14363" width="0" style="33" hidden="1" customWidth="1"/>
    <col min="14364" max="14364" width="29.42578125" style="33" customWidth="1"/>
    <col min="14365" max="14365" width="75.7109375" style="33" customWidth="1"/>
    <col min="14366" max="14366" width="0" style="33" hidden="1" customWidth="1"/>
    <col min="14367" max="14385" width="20.7109375" style="33" customWidth="1"/>
    <col min="14386" max="14386" width="12.140625" style="33" customWidth="1"/>
    <col min="14387" max="14617" width="9.140625" style="33"/>
    <col min="14618" max="14619" width="0" style="33" hidden="1" customWidth="1"/>
    <col min="14620" max="14620" width="29.42578125" style="33" customWidth="1"/>
    <col min="14621" max="14621" width="75.7109375" style="33" customWidth="1"/>
    <col min="14622" max="14622" width="0" style="33" hidden="1" customWidth="1"/>
    <col min="14623" max="14641" width="20.7109375" style="33" customWidth="1"/>
    <col min="14642" max="14642" width="12.140625" style="33" customWidth="1"/>
    <col min="14643" max="14873" width="9.140625" style="33"/>
    <col min="14874" max="14875" width="0" style="33" hidden="1" customWidth="1"/>
    <col min="14876" max="14876" width="29.42578125" style="33" customWidth="1"/>
    <col min="14877" max="14877" width="75.7109375" style="33" customWidth="1"/>
    <col min="14878" max="14878" width="0" style="33" hidden="1" customWidth="1"/>
    <col min="14879" max="14897" width="20.7109375" style="33" customWidth="1"/>
    <col min="14898" max="14898" width="12.140625" style="33" customWidth="1"/>
    <col min="14899" max="15129" width="9.140625" style="33"/>
    <col min="15130" max="15131" width="0" style="33" hidden="1" customWidth="1"/>
    <col min="15132" max="15132" width="29.42578125" style="33" customWidth="1"/>
    <col min="15133" max="15133" width="75.7109375" style="33" customWidth="1"/>
    <col min="15134" max="15134" width="0" style="33" hidden="1" customWidth="1"/>
    <col min="15135" max="15153" width="20.7109375" style="33" customWidth="1"/>
    <col min="15154" max="15154" width="12.140625" style="33" customWidth="1"/>
    <col min="15155" max="15385" width="9.140625" style="33"/>
    <col min="15386" max="15387" width="0" style="33" hidden="1" customWidth="1"/>
    <col min="15388" max="15388" width="29.42578125" style="33" customWidth="1"/>
    <col min="15389" max="15389" width="75.7109375" style="33" customWidth="1"/>
    <col min="15390" max="15390" width="0" style="33" hidden="1" customWidth="1"/>
    <col min="15391" max="15409" width="20.7109375" style="33" customWidth="1"/>
    <col min="15410" max="15410" width="12.140625" style="33" customWidth="1"/>
    <col min="15411" max="15641" width="9.140625" style="33"/>
    <col min="15642" max="15643" width="0" style="33" hidden="1" customWidth="1"/>
    <col min="15644" max="15644" width="29.42578125" style="33" customWidth="1"/>
    <col min="15645" max="15645" width="75.7109375" style="33" customWidth="1"/>
    <col min="15646" max="15646" width="0" style="33" hidden="1" customWidth="1"/>
    <col min="15647" max="15665" width="20.7109375" style="33" customWidth="1"/>
    <col min="15666" max="15666" width="12.140625" style="33" customWidth="1"/>
    <col min="15667" max="15897" width="9.140625" style="33"/>
    <col min="15898" max="15899" width="0" style="33" hidden="1" customWidth="1"/>
    <col min="15900" max="15900" width="29.42578125" style="33" customWidth="1"/>
    <col min="15901" max="15901" width="75.7109375" style="33" customWidth="1"/>
    <col min="15902" max="15902" width="0" style="33" hidden="1" customWidth="1"/>
    <col min="15903" max="15921" width="20.7109375" style="33" customWidth="1"/>
    <col min="15922" max="15922" width="12.140625" style="33" customWidth="1"/>
    <col min="15923" max="16153" width="9.140625" style="33"/>
    <col min="16154" max="16155" width="0" style="33" hidden="1" customWidth="1"/>
    <col min="16156" max="16156" width="29.42578125" style="33" customWidth="1"/>
    <col min="16157" max="16157" width="75.7109375" style="33" customWidth="1"/>
    <col min="16158" max="16158" width="0" style="33" hidden="1" customWidth="1"/>
    <col min="16159" max="16177" width="20.7109375" style="33" customWidth="1"/>
    <col min="16178" max="16178" width="12.140625" style="33" customWidth="1"/>
    <col min="16179" max="16384" width="9.140625" style="33"/>
  </cols>
  <sheetData>
    <row r="1" spans="1:50" s="1" customFormat="1" x14ac:dyDescent="0.2">
      <c r="AA1" s="2"/>
      <c r="AB1" s="3"/>
    </row>
    <row r="2" spans="1:50" s="4" customFormat="1" ht="20.25" x14ac:dyDescent="0.3">
      <c r="A2" s="339" t="s">
        <v>0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</row>
    <row r="3" spans="1:50" s="4" customFormat="1" ht="20.25" x14ac:dyDescent="0.3">
      <c r="A3" s="339" t="s">
        <v>1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</row>
    <row r="4" spans="1:50" s="4" customFormat="1" ht="20.25" x14ac:dyDescent="0.3">
      <c r="A4" s="339" t="s">
        <v>915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</row>
    <row r="5" spans="1:50" s="4" customFormat="1" ht="20.25" x14ac:dyDescent="0.3">
      <c r="A5" s="339" t="s">
        <v>1299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 s="339"/>
      <c r="AU5" s="339"/>
      <c r="AV5" s="339"/>
      <c r="AW5" s="339"/>
    </row>
    <row r="6" spans="1:50" s="4" customFormat="1" ht="16.5" customHeight="1" x14ac:dyDescent="0.3">
      <c r="A6" s="289"/>
      <c r="B6" s="289"/>
      <c r="C6" s="289"/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  <c r="R6" s="289"/>
      <c r="S6" s="289"/>
      <c r="T6" s="289"/>
      <c r="U6" s="289"/>
      <c r="V6" s="289"/>
      <c r="W6" s="289"/>
      <c r="X6" s="289"/>
      <c r="Y6" s="289"/>
      <c r="Z6" s="289"/>
      <c r="AA6" s="6"/>
      <c r="AB6" s="7"/>
      <c r="AC6" s="289"/>
      <c r="AD6" s="8"/>
      <c r="AE6" s="8"/>
      <c r="AF6" s="8"/>
      <c r="AG6" s="8"/>
      <c r="AH6" s="8"/>
      <c r="AI6" s="8"/>
      <c r="AJ6" s="8"/>
      <c r="AK6" s="184"/>
      <c r="AL6" s="8"/>
      <c r="AP6" s="8"/>
      <c r="AR6" s="8"/>
      <c r="AS6" s="8"/>
      <c r="AT6" s="8"/>
      <c r="AU6" s="8"/>
      <c r="AV6" s="8"/>
      <c r="AW6" s="297"/>
    </row>
    <row r="7" spans="1:50" s="4" customFormat="1" ht="16.5" customHeight="1" x14ac:dyDescent="0.2">
      <c r="A7" s="340" t="s">
        <v>3</v>
      </c>
      <c r="B7" s="341" t="s">
        <v>4</v>
      </c>
      <c r="C7" s="290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  <c r="AA7" s="342" t="s">
        <v>5</v>
      </c>
      <c r="AB7" s="337" t="s">
        <v>6</v>
      </c>
      <c r="AC7" s="337" t="s">
        <v>7</v>
      </c>
      <c r="AD7" s="342" t="s">
        <v>8</v>
      </c>
      <c r="AE7" s="342" t="s">
        <v>9</v>
      </c>
      <c r="AF7" s="337" t="s">
        <v>10</v>
      </c>
      <c r="AG7" s="337" t="s">
        <v>11</v>
      </c>
      <c r="AH7" s="337" t="s">
        <v>12</v>
      </c>
      <c r="AI7" s="337" t="s">
        <v>13</v>
      </c>
      <c r="AJ7" s="337" t="s">
        <v>14</v>
      </c>
      <c r="AK7" s="338" t="s">
        <v>15</v>
      </c>
      <c r="AL7" s="338"/>
      <c r="AM7" s="338"/>
      <c r="AN7" s="338" t="s">
        <v>16</v>
      </c>
      <c r="AO7" s="338"/>
      <c r="AP7" s="338"/>
      <c r="AQ7" s="338" t="s">
        <v>17</v>
      </c>
      <c r="AR7" s="338"/>
      <c r="AS7" s="338"/>
      <c r="AT7" s="288"/>
      <c r="AU7" s="337" t="s">
        <v>18</v>
      </c>
      <c r="AV7" s="337" t="s">
        <v>19</v>
      </c>
      <c r="AW7" s="337" t="s">
        <v>20</v>
      </c>
      <c r="AX7" s="337" t="s">
        <v>21</v>
      </c>
    </row>
    <row r="8" spans="1:50" s="4" customFormat="1" ht="30" customHeight="1" x14ac:dyDescent="0.2">
      <c r="A8" s="340"/>
      <c r="B8" s="341"/>
      <c r="C8" s="290" t="s">
        <v>949</v>
      </c>
      <c r="D8" s="290" t="s">
        <v>950</v>
      </c>
      <c r="E8" s="290" t="s">
        <v>951</v>
      </c>
      <c r="F8" s="290" t="s">
        <v>952</v>
      </c>
      <c r="G8" s="290" t="s">
        <v>919</v>
      </c>
      <c r="H8" s="290" t="s">
        <v>920</v>
      </c>
      <c r="I8" s="290" t="s">
        <v>929</v>
      </c>
      <c r="J8" s="290" t="s">
        <v>930</v>
      </c>
      <c r="K8" s="290" t="s">
        <v>921</v>
      </c>
      <c r="L8" s="290" t="s">
        <v>922</v>
      </c>
      <c r="M8" s="290" t="s">
        <v>923</v>
      </c>
      <c r="N8" s="290" t="s">
        <v>924</v>
      </c>
      <c r="O8" s="290" t="s">
        <v>925</v>
      </c>
      <c r="P8" s="290" t="s">
        <v>926</v>
      </c>
      <c r="Q8" s="290" t="s">
        <v>927</v>
      </c>
      <c r="R8" s="290" t="s">
        <v>928</v>
      </c>
      <c r="S8" s="290" t="s">
        <v>953</v>
      </c>
      <c r="T8" s="290" t="s">
        <v>954</v>
      </c>
      <c r="U8" s="290" t="s">
        <v>955</v>
      </c>
      <c r="V8" s="290" t="s">
        <v>956</v>
      </c>
      <c r="W8" s="290" t="s">
        <v>957</v>
      </c>
      <c r="X8" s="290" t="s">
        <v>931</v>
      </c>
      <c r="Y8" s="290"/>
      <c r="Z8" s="290"/>
      <c r="AA8" s="342"/>
      <c r="AB8" s="337"/>
      <c r="AC8" s="337"/>
      <c r="AD8" s="342"/>
      <c r="AE8" s="342"/>
      <c r="AF8" s="337"/>
      <c r="AG8" s="337"/>
      <c r="AH8" s="337"/>
      <c r="AI8" s="337"/>
      <c r="AJ8" s="337"/>
      <c r="AK8" s="287" t="s">
        <v>22</v>
      </c>
      <c r="AL8" s="287" t="s">
        <v>23</v>
      </c>
      <c r="AM8" s="287" t="s">
        <v>24</v>
      </c>
      <c r="AN8" s="287" t="s">
        <v>25</v>
      </c>
      <c r="AO8" s="287" t="s">
        <v>26</v>
      </c>
      <c r="AP8" s="287" t="s">
        <v>27</v>
      </c>
      <c r="AQ8" s="287" t="s">
        <v>28</v>
      </c>
      <c r="AR8" s="287" t="s">
        <v>29</v>
      </c>
      <c r="AS8" s="287" t="s">
        <v>30</v>
      </c>
      <c r="AT8" s="287" t="s">
        <v>31</v>
      </c>
      <c r="AU8" s="337"/>
      <c r="AV8" s="337"/>
      <c r="AW8" s="337"/>
      <c r="AX8" s="337"/>
    </row>
    <row r="9" spans="1:50" s="4" customFormat="1" ht="18" customHeight="1" x14ac:dyDescent="0.2">
      <c r="A9" s="340"/>
      <c r="B9" s="341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342"/>
      <c r="AB9" s="337"/>
      <c r="AC9" s="337"/>
      <c r="AD9" s="288">
        <v>1</v>
      </c>
      <c r="AE9" s="11"/>
      <c r="AF9" s="12"/>
      <c r="AG9" s="12"/>
      <c r="AH9" s="12"/>
      <c r="AI9" s="287">
        <v>2</v>
      </c>
      <c r="AJ9" s="288" t="s">
        <v>32</v>
      </c>
      <c r="AK9" s="288"/>
      <c r="AL9" s="288"/>
      <c r="AM9" s="288">
        <v>5</v>
      </c>
      <c r="AN9" s="288"/>
      <c r="AO9" s="288"/>
      <c r="AP9" s="288">
        <v>7</v>
      </c>
      <c r="AQ9" s="288"/>
      <c r="AR9" s="288"/>
      <c r="AS9" s="288">
        <v>9</v>
      </c>
      <c r="AT9" s="288"/>
      <c r="AU9" s="288" t="s">
        <v>33</v>
      </c>
      <c r="AV9" s="288" t="s">
        <v>34</v>
      </c>
      <c r="AW9" s="288" t="s">
        <v>35</v>
      </c>
      <c r="AX9" s="13" t="s">
        <v>36</v>
      </c>
    </row>
    <row r="10" spans="1:50" s="14" customForma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6"/>
      <c r="AB10" s="17"/>
      <c r="AC10" s="17"/>
      <c r="AD10" s="18"/>
      <c r="AE10" s="18"/>
      <c r="AF10" s="17"/>
      <c r="AG10" s="18">
        <f>AH11-AG11</f>
        <v>0</v>
      </c>
      <c r="AH10" s="18"/>
      <c r="AI10" s="17"/>
      <c r="AJ10" s="18"/>
      <c r="AK10" s="18"/>
      <c r="AL10" s="17"/>
      <c r="AM10" s="18"/>
      <c r="AN10" s="18"/>
      <c r="AO10" s="17"/>
      <c r="AP10" s="18"/>
      <c r="AQ10" s="18"/>
      <c r="AR10" s="17"/>
      <c r="AS10" s="18"/>
      <c r="AT10" s="18"/>
      <c r="AU10" s="18"/>
      <c r="AV10" s="17"/>
      <c r="AW10" s="18"/>
      <c r="AX10" s="18"/>
    </row>
    <row r="11" spans="1:50" s="25" customFormat="1" ht="18.75" customHeight="1" x14ac:dyDescent="0.2">
      <c r="A11" s="19" t="s">
        <v>37</v>
      </c>
      <c r="B11" s="19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20">
        <v>2</v>
      </c>
      <c r="AB11" s="21" t="s">
        <v>38</v>
      </c>
      <c r="AC11" s="22" t="s">
        <v>37</v>
      </c>
      <c r="AD11" s="22">
        <f t="shared" ref="AD11:AS11" si="0">AD12+AD163+AD191</f>
        <v>1017611726826</v>
      </c>
      <c r="AE11" s="22">
        <f t="shared" si="0"/>
        <v>235338892695.65005</v>
      </c>
      <c r="AF11" s="23">
        <f t="shared" si="0"/>
        <v>0</v>
      </c>
      <c r="AG11" s="22">
        <f t="shared" si="0"/>
        <v>141745641988.78</v>
      </c>
      <c r="AH11" s="22">
        <f t="shared" si="0"/>
        <v>141745641988.78003</v>
      </c>
      <c r="AI11" s="22">
        <f t="shared" si="0"/>
        <v>235338892695.64999</v>
      </c>
      <c r="AJ11" s="22">
        <f t="shared" si="0"/>
        <v>1252950619521.6499</v>
      </c>
      <c r="AK11" s="22">
        <f t="shared" si="0"/>
        <v>2104814564.3299999</v>
      </c>
      <c r="AL11" s="22">
        <f t="shared" si="0"/>
        <v>68177434335.270004</v>
      </c>
      <c r="AM11" s="22">
        <f t="shared" si="0"/>
        <v>819944904769.95996</v>
      </c>
      <c r="AN11" s="22">
        <f t="shared" si="0"/>
        <v>1587628254.6700001</v>
      </c>
      <c r="AO11" s="22">
        <f t="shared" si="0"/>
        <v>77919251726.209991</v>
      </c>
      <c r="AP11" s="22">
        <f t="shared" si="0"/>
        <v>687093617132.22998</v>
      </c>
      <c r="AQ11" s="22">
        <f t="shared" si="0"/>
        <v>2021138513.9500003</v>
      </c>
      <c r="AR11" s="22">
        <f t="shared" si="0"/>
        <v>56777989914.429993</v>
      </c>
      <c r="AS11" s="22">
        <f t="shared" si="0"/>
        <v>504087152749.71997</v>
      </c>
      <c r="AT11" s="22">
        <f>AQ11+AS11</f>
        <v>506108291263.66998</v>
      </c>
      <c r="AU11" s="22">
        <f>AU12+AU163+AU191</f>
        <v>433005714751.69006</v>
      </c>
      <c r="AV11" s="22">
        <f>AV12+AV163+AV191</f>
        <v>132851287637.73003</v>
      </c>
      <c r="AW11" s="22">
        <f>AW12+AW163+AW191</f>
        <v>180985325868.56003</v>
      </c>
      <c r="AX11" s="24">
        <f t="shared" ref="AX11:AX20" si="1">AP11/AJ11</f>
        <v>0.54838044407093056</v>
      </c>
    </row>
    <row r="12" spans="1:50" s="25" customFormat="1" ht="18.75" customHeight="1" x14ac:dyDescent="0.2">
      <c r="A12" s="19" t="s">
        <v>37</v>
      </c>
      <c r="B12" s="19" t="s">
        <v>37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26" t="s">
        <v>39</v>
      </c>
      <c r="AB12" s="21" t="s">
        <v>40</v>
      </c>
      <c r="AC12" s="22" t="s">
        <v>37</v>
      </c>
      <c r="AD12" s="22">
        <f>AD13+AD86+AD101+AD149+AD143</f>
        <v>180471642183</v>
      </c>
      <c r="AE12" s="22">
        <f t="shared" ref="AE12:AW12" si="2">AE13+AE86+AE101+AE149+AE143</f>
        <v>698388543.49000001</v>
      </c>
      <c r="AF12" s="23">
        <f t="shared" si="2"/>
        <v>0</v>
      </c>
      <c r="AG12" s="22">
        <f t="shared" si="2"/>
        <v>9674251568.7199993</v>
      </c>
      <c r="AH12" s="22">
        <f t="shared" si="2"/>
        <v>9674251568.7200012</v>
      </c>
      <c r="AI12" s="22">
        <f t="shared" si="2"/>
        <v>698388543.49000049</v>
      </c>
      <c r="AJ12" s="22">
        <f t="shared" si="2"/>
        <v>181170030726.48999</v>
      </c>
      <c r="AK12" s="23">
        <f t="shared" si="2"/>
        <v>0</v>
      </c>
      <c r="AL12" s="22">
        <f t="shared" si="2"/>
        <v>7908145295.9200001</v>
      </c>
      <c r="AM12" s="22">
        <f t="shared" si="2"/>
        <v>127296472374.06</v>
      </c>
      <c r="AN12" s="22">
        <f t="shared" si="2"/>
        <v>42000000</v>
      </c>
      <c r="AO12" s="22">
        <f t="shared" si="2"/>
        <v>8079444540.9300003</v>
      </c>
      <c r="AP12" s="22">
        <f t="shared" si="2"/>
        <v>126142685131.03999</v>
      </c>
      <c r="AQ12" s="22">
        <f t="shared" si="2"/>
        <v>216002910.5</v>
      </c>
      <c r="AR12" s="22">
        <f t="shared" si="2"/>
        <v>8811185840.8599987</v>
      </c>
      <c r="AS12" s="22">
        <f t="shared" si="2"/>
        <v>116173586681.64</v>
      </c>
      <c r="AT12" s="22">
        <f t="shared" si="2"/>
        <v>116389589592.14</v>
      </c>
      <c r="AU12" s="22">
        <f t="shared" si="2"/>
        <v>53873558352.429993</v>
      </c>
      <c r="AV12" s="22">
        <f t="shared" si="2"/>
        <v>1153787243.02</v>
      </c>
      <c r="AW12" s="22">
        <f t="shared" si="2"/>
        <v>9753095538.8999996</v>
      </c>
      <c r="AX12" s="24">
        <f t="shared" si="1"/>
        <v>0.69626684184580145</v>
      </c>
    </row>
    <row r="13" spans="1:50" s="25" customFormat="1" ht="18.75" customHeight="1" x14ac:dyDescent="0.2">
      <c r="A13" s="19" t="s">
        <v>41</v>
      </c>
      <c r="B13" s="19" t="s">
        <v>42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26" t="s">
        <v>43</v>
      </c>
      <c r="AB13" s="21" t="s">
        <v>44</v>
      </c>
      <c r="AC13" s="22" t="s">
        <v>37</v>
      </c>
      <c r="AD13" s="22">
        <f>AD14</f>
        <v>38718257195.5</v>
      </c>
      <c r="AE13" s="23">
        <f t="shared" ref="AE13:AW13" si="3">AE14</f>
        <v>0</v>
      </c>
      <c r="AF13" s="23">
        <f t="shared" si="3"/>
        <v>0</v>
      </c>
      <c r="AG13" s="22">
        <f t="shared" si="3"/>
        <v>172000000</v>
      </c>
      <c r="AH13" s="22">
        <f t="shared" si="3"/>
        <v>1554500000</v>
      </c>
      <c r="AI13" s="22">
        <f t="shared" si="3"/>
        <v>-1382500000</v>
      </c>
      <c r="AJ13" s="22">
        <f>AJ14</f>
        <v>37335757195.5</v>
      </c>
      <c r="AK13" s="23">
        <f t="shared" si="3"/>
        <v>0</v>
      </c>
      <c r="AL13" s="22">
        <f t="shared" si="3"/>
        <v>2419676940</v>
      </c>
      <c r="AM13" s="22">
        <f t="shared" si="3"/>
        <v>20429094069</v>
      </c>
      <c r="AN13" s="23">
        <f t="shared" si="3"/>
        <v>0</v>
      </c>
      <c r="AO13" s="22">
        <f t="shared" si="3"/>
        <v>2422396814</v>
      </c>
      <c r="AP13" s="22">
        <f t="shared" si="3"/>
        <v>20429094069</v>
      </c>
      <c r="AQ13" s="268">
        <f t="shared" si="3"/>
        <v>0</v>
      </c>
      <c r="AR13" s="22">
        <f t="shared" si="3"/>
        <v>2327240758</v>
      </c>
      <c r="AS13" s="22">
        <f t="shared" si="3"/>
        <v>20271670811</v>
      </c>
      <c r="AT13" s="22">
        <f t="shared" ref="AT13" si="4">AQ13+AS13</f>
        <v>20271670811</v>
      </c>
      <c r="AU13" s="22">
        <f t="shared" si="3"/>
        <v>16906663126.5</v>
      </c>
      <c r="AV13" s="23">
        <f t="shared" si="3"/>
        <v>0</v>
      </c>
      <c r="AW13" s="22">
        <f t="shared" si="3"/>
        <v>157423258</v>
      </c>
      <c r="AX13" s="24">
        <f t="shared" si="1"/>
        <v>0.54717235174923073</v>
      </c>
    </row>
    <row r="14" spans="1:50" ht="18.75" customHeight="1" x14ac:dyDescent="0.2">
      <c r="A14" s="27" t="s">
        <v>41</v>
      </c>
      <c r="B14" s="27" t="s">
        <v>42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8" t="s">
        <v>45</v>
      </c>
      <c r="AB14" s="29" t="s">
        <v>46</v>
      </c>
      <c r="AC14" s="30" t="s">
        <v>37</v>
      </c>
      <c r="AD14" s="30">
        <f>AD15+AD42+AD70</f>
        <v>38718257195.5</v>
      </c>
      <c r="AE14" s="31">
        <f t="shared" ref="AE14:AW14" si="5">AE15+AE42+AE70</f>
        <v>0</v>
      </c>
      <c r="AF14" s="31">
        <f t="shared" si="5"/>
        <v>0</v>
      </c>
      <c r="AG14" s="30">
        <f>AG15+AG42+AG70</f>
        <v>172000000</v>
      </c>
      <c r="AH14" s="30">
        <f t="shared" si="5"/>
        <v>1554500000</v>
      </c>
      <c r="AI14" s="30">
        <f>AI15+AI42+AI70</f>
        <v>-1382500000</v>
      </c>
      <c r="AJ14" s="30">
        <f t="shared" si="5"/>
        <v>37335757195.5</v>
      </c>
      <c r="AK14" s="31">
        <f t="shared" si="5"/>
        <v>0</v>
      </c>
      <c r="AL14" s="30">
        <f t="shared" si="5"/>
        <v>2419676940</v>
      </c>
      <c r="AM14" s="30">
        <f t="shared" si="5"/>
        <v>20429094069</v>
      </c>
      <c r="AN14" s="31">
        <f t="shared" si="5"/>
        <v>0</v>
      </c>
      <c r="AO14" s="30">
        <f t="shared" si="5"/>
        <v>2422396814</v>
      </c>
      <c r="AP14" s="30">
        <f t="shared" si="5"/>
        <v>20429094069</v>
      </c>
      <c r="AQ14" s="172">
        <f t="shared" si="5"/>
        <v>0</v>
      </c>
      <c r="AR14" s="30">
        <f t="shared" si="5"/>
        <v>2327240758</v>
      </c>
      <c r="AS14" s="30">
        <f t="shared" si="5"/>
        <v>20271670811</v>
      </c>
      <c r="AT14" s="30">
        <f>AQ14+AS14</f>
        <v>20271670811</v>
      </c>
      <c r="AU14" s="30">
        <f t="shared" si="5"/>
        <v>16906663126.5</v>
      </c>
      <c r="AV14" s="31">
        <f t="shared" si="5"/>
        <v>0</v>
      </c>
      <c r="AW14" s="30">
        <f t="shared" si="5"/>
        <v>157423258</v>
      </c>
      <c r="AX14" s="32">
        <f t="shared" si="1"/>
        <v>0.54717235174923073</v>
      </c>
    </row>
    <row r="15" spans="1:50" ht="18.75" customHeight="1" x14ac:dyDescent="0.2">
      <c r="A15" s="27" t="s">
        <v>41</v>
      </c>
      <c r="B15" s="27" t="s">
        <v>42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8" t="s">
        <v>47</v>
      </c>
      <c r="AB15" s="29" t="s">
        <v>48</v>
      </c>
      <c r="AC15" s="30" t="s">
        <v>37</v>
      </c>
      <c r="AD15" s="30">
        <f>AD16+AD39</f>
        <v>25931861921.5</v>
      </c>
      <c r="AE15" s="31">
        <f t="shared" ref="AE15:AW15" si="6">AE16+AE39</f>
        <v>0</v>
      </c>
      <c r="AF15" s="31">
        <f t="shared" si="6"/>
        <v>0</v>
      </c>
      <c r="AG15" s="30">
        <f t="shared" si="6"/>
        <v>100000000</v>
      </c>
      <c r="AH15" s="30">
        <f t="shared" si="6"/>
        <v>782000000</v>
      </c>
      <c r="AI15" s="30">
        <f t="shared" si="6"/>
        <v>-682000000</v>
      </c>
      <c r="AJ15" s="30">
        <f t="shared" si="6"/>
        <v>25249861921.5</v>
      </c>
      <c r="AK15" s="31">
        <f t="shared" si="6"/>
        <v>0</v>
      </c>
      <c r="AL15" s="30">
        <f t="shared" si="6"/>
        <v>1728346582</v>
      </c>
      <c r="AM15" s="30">
        <f t="shared" si="6"/>
        <v>14171964055</v>
      </c>
      <c r="AN15" s="31">
        <f t="shared" si="6"/>
        <v>0</v>
      </c>
      <c r="AO15" s="30">
        <f t="shared" si="6"/>
        <v>1728346582</v>
      </c>
      <c r="AP15" s="30">
        <f t="shared" si="6"/>
        <v>14171964055</v>
      </c>
      <c r="AQ15" s="31">
        <f t="shared" si="6"/>
        <v>0</v>
      </c>
      <c r="AR15" s="30">
        <f t="shared" si="6"/>
        <v>1646783056</v>
      </c>
      <c r="AS15" s="30">
        <f t="shared" si="6"/>
        <v>14047385343</v>
      </c>
      <c r="AT15" s="30">
        <f t="shared" ref="AT15:AT38" si="7">AQ15+AS15</f>
        <v>14047385343</v>
      </c>
      <c r="AU15" s="30">
        <f t="shared" si="6"/>
        <v>11077897866.5</v>
      </c>
      <c r="AV15" s="31">
        <f t="shared" si="6"/>
        <v>0</v>
      </c>
      <c r="AW15" s="30">
        <f t="shared" si="6"/>
        <v>124578712</v>
      </c>
      <c r="AX15" s="32">
        <f t="shared" si="1"/>
        <v>0.56126897244268559</v>
      </c>
    </row>
    <row r="16" spans="1:50" ht="18.75" customHeight="1" x14ac:dyDescent="0.2">
      <c r="A16" s="27" t="s">
        <v>49</v>
      </c>
      <c r="B16" s="27" t="s">
        <v>50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8" t="s">
        <v>51</v>
      </c>
      <c r="AB16" s="29" t="s">
        <v>52</v>
      </c>
      <c r="AC16" s="30" t="s">
        <v>37</v>
      </c>
      <c r="AD16" s="30">
        <f>AD17+AD20+AD21+AD22+AD23++AD24+AD27+AD30+AD37+AD38</f>
        <v>25908449467.5</v>
      </c>
      <c r="AE16" s="31">
        <f t="shared" ref="AE16:AW16" si="8">AE17+AE20+AE21+AE22+AE23++AE24+AE27+AE30+AE37+AE38</f>
        <v>0</v>
      </c>
      <c r="AF16" s="31">
        <f t="shared" si="8"/>
        <v>0</v>
      </c>
      <c r="AG16" s="30">
        <f t="shared" si="8"/>
        <v>100000000</v>
      </c>
      <c r="AH16" s="30">
        <f>AH17+AH20+AH21+AH22+AH23++AH24+AH27+AH30+AH37+AH38</f>
        <v>782000000</v>
      </c>
      <c r="AI16" s="30">
        <f t="shared" si="8"/>
        <v>-682000000</v>
      </c>
      <c r="AJ16" s="30">
        <f t="shared" si="8"/>
        <v>25226449467.5</v>
      </c>
      <c r="AK16" s="31">
        <f t="shared" si="8"/>
        <v>0</v>
      </c>
      <c r="AL16" s="30">
        <f t="shared" si="8"/>
        <v>1728346582</v>
      </c>
      <c r="AM16" s="30">
        <f t="shared" si="8"/>
        <v>14171964055</v>
      </c>
      <c r="AN16" s="31">
        <f t="shared" si="8"/>
        <v>0</v>
      </c>
      <c r="AO16" s="30">
        <f t="shared" si="8"/>
        <v>1728346582</v>
      </c>
      <c r="AP16" s="30">
        <f t="shared" si="8"/>
        <v>14171964055</v>
      </c>
      <c r="AQ16" s="31">
        <f t="shared" si="8"/>
        <v>0</v>
      </c>
      <c r="AR16" s="30">
        <f t="shared" si="8"/>
        <v>1646783056</v>
      </c>
      <c r="AS16" s="30">
        <f t="shared" si="8"/>
        <v>14047385343</v>
      </c>
      <c r="AT16" s="30">
        <f t="shared" si="7"/>
        <v>14047385343</v>
      </c>
      <c r="AU16" s="30">
        <f t="shared" si="8"/>
        <v>11054485412.5</v>
      </c>
      <c r="AV16" s="31">
        <f t="shared" si="8"/>
        <v>0</v>
      </c>
      <c r="AW16" s="30">
        <f t="shared" si="8"/>
        <v>124578712</v>
      </c>
      <c r="AX16" s="32">
        <f t="shared" si="1"/>
        <v>0.56178988142022013</v>
      </c>
    </row>
    <row r="17" spans="1:50" ht="18.75" customHeight="1" x14ac:dyDescent="0.2">
      <c r="A17" s="27" t="s">
        <v>41</v>
      </c>
      <c r="B17" s="27" t="s">
        <v>42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8" t="s">
        <v>53</v>
      </c>
      <c r="AB17" s="29" t="s">
        <v>54</v>
      </c>
      <c r="AC17" s="30" t="s">
        <v>37</v>
      </c>
      <c r="AD17" s="30">
        <f>AD18+AD19</f>
        <v>19589756868.5</v>
      </c>
      <c r="AE17" s="31">
        <f t="shared" ref="AE17:AW17" si="9">AE18+AE19</f>
        <v>0</v>
      </c>
      <c r="AF17" s="31">
        <f t="shared" si="9"/>
        <v>0</v>
      </c>
      <c r="AG17" s="31">
        <f t="shared" si="9"/>
        <v>0</v>
      </c>
      <c r="AH17" s="30">
        <f t="shared" si="9"/>
        <v>450000000</v>
      </c>
      <c r="AI17" s="30">
        <f t="shared" si="9"/>
        <v>-450000000</v>
      </c>
      <c r="AJ17" s="30">
        <f t="shared" si="9"/>
        <v>19139756868.5</v>
      </c>
      <c r="AK17" s="31">
        <f t="shared" si="9"/>
        <v>0</v>
      </c>
      <c r="AL17" s="30">
        <f t="shared" si="9"/>
        <v>1549591900</v>
      </c>
      <c r="AM17" s="30">
        <f t="shared" si="9"/>
        <v>12118196858</v>
      </c>
      <c r="AN17" s="31">
        <f t="shared" si="9"/>
        <v>0</v>
      </c>
      <c r="AO17" s="30">
        <f t="shared" si="9"/>
        <v>1549591900</v>
      </c>
      <c r="AP17" s="30">
        <f t="shared" si="9"/>
        <v>12118196858</v>
      </c>
      <c r="AQ17" s="31">
        <f t="shared" si="9"/>
        <v>0</v>
      </c>
      <c r="AR17" s="30">
        <f t="shared" si="9"/>
        <v>1490673264</v>
      </c>
      <c r="AS17" s="30">
        <f t="shared" si="9"/>
        <v>12059072222</v>
      </c>
      <c r="AT17" s="30">
        <f t="shared" si="7"/>
        <v>12059072222</v>
      </c>
      <c r="AU17" s="30">
        <f t="shared" si="9"/>
        <v>7021560010.5</v>
      </c>
      <c r="AV17" s="31">
        <f t="shared" si="9"/>
        <v>0</v>
      </c>
      <c r="AW17" s="30">
        <f t="shared" si="9"/>
        <v>59124636</v>
      </c>
      <c r="AX17" s="32">
        <f t="shared" si="1"/>
        <v>0.6331426747611405</v>
      </c>
    </row>
    <row r="18" spans="1:50" ht="18.75" customHeight="1" x14ac:dyDescent="0.2">
      <c r="A18" s="14" t="s">
        <v>55</v>
      </c>
      <c r="B18" s="15" t="s">
        <v>56</v>
      </c>
      <c r="C18" s="15"/>
      <c r="D18" s="15" t="s">
        <v>40</v>
      </c>
      <c r="E18" s="15"/>
      <c r="F18" s="15"/>
      <c r="G18" s="15" t="s">
        <v>41</v>
      </c>
      <c r="H18" s="15"/>
      <c r="I18" s="15" t="s">
        <v>936</v>
      </c>
      <c r="J18" s="15"/>
      <c r="K18" s="15" t="s">
        <v>932</v>
      </c>
      <c r="L18" s="15"/>
      <c r="M18" s="15" t="s">
        <v>933</v>
      </c>
      <c r="N18" s="15"/>
      <c r="O18" s="15" t="s">
        <v>938</v>
      </c>
      <c r="P18" s="15"/>
      <c r="Q18" s="15" t="s">
        <v>939</v>
      </c>
      <c r="R18" s="15"/>
      <c r="S18" s="15" t="s">
        <v>940</v>
      </c>
      <c r="T18" s="15">
        <v>0</v>
      </c>
      <c r="U18" s="15">
        <v>0</v>
      </c>
      <c r="V18" s="15">
        <v>0</v>
      </c>
      <c r="W18" s="15">
        <v>0</v>
      </c>
      <c r="X18" s="15" t="s">
        <v>937</v>
      </c>
      <c r="Y18" s="15"/>
      <c r="Z18" s="15"/>
      <c r="AA18" s="16" t="s">
        <v>57</v>
      </c>
      <c r="AB18" s="17" t="s">
        <v>54</v>
      </c>
      <c r="AC18" s="17" t="s">
        <v>58</v>
      </c>
      <c r="AD18" s="18">
        <v>18005571308.5</v>
      </c>
      <c r="AE18" s="34">
        <v>0</v>
      </c>
      <c r="AF18" s="34">
        <v>0</v>
      </c>
      <c r="AG18" s="34">
        <v>0</v>
      </c>
      <c r="AH18" s="18">
        <f>100000000+350000000</f>
        <v>450000000</v>
      </c>
      <c r="AI18" s="18">
        <f>AE18-AF18+AG18-AH18</f>
        <v>-450000000</v>
      </c>
      <c r="AJ18" s="18">
        <f>AD18+AI18</f>
        <v>17555571308.5</v>
      </c>
      <c r="AK18" s="34">
        <v>0</v>
      </c>
      <c r="AL18" s="18">
        <v>1445631792</v>
      </c>
      <c r="AM18" s="18">
        <v>11217859658</v>
      </c>
      <c r="AN18" s="34">
        <v>0</v>
      </c>
      <c r="AO18" s="18">
        <v>1445631792</v>
      </c>
      <c r="AP18" s="18">
        <v>11217859658</v>
      </c>
      <c r="AQ18" s="34">
        <v>0</v>
      </c>
      <c r="AR18" s="18">
        <v>1386713156</v>
      </c>
      <c r="AS18" s="18">
        <v>11158735022</v>
      </c>
      <c r="AT18" s="39">
        <f t="shared" si="7"/>
        <v>11158735022</v>
      </c>
      <c r="AU18" s="18">
        <f t="shared" ref="AU18:AU38" si="10">AJ18-AM18</f>
        <v>6337711650.5</v>
      </c>
      <c r="AV18" s="34">
        <f t="shared" ref="AV18:AV38" si="11">AM18-AP18</f>
        <v>0</v>
      </c>
      <c r="AW18" s="18">
        <f t="shared" ref="AW18:AW38" si="12">AP18-AT18</f>
        <v>59124636</v>
      </c>
      <c r="AX18" s="32">
        <f t="shared" si="1"/>
        <v>0.63899143245589352</v>
      </c>
    </row>
    <row r="19" spans="1:50" ht="18.75" customHeight="1" x14ac:dyDescent="0.2">
      <c r="A19" s="14" t="s">
        <v>55</v>
      </c>
      <c r="B19" s="15" t="s">
        <v>56</v>
      </c>
      <c r="C19" s="15"/>
      <c r="D19" s="15" t="s">
        <v>40</v>
      </c>
      <c r="E19" s="15"/>
      <c r="F19" s="15"/>
      <c r="G19" s="15" t="s">
        <v>41</v>
      </c>
      <c r="H19" s="15"/>
      <c r="I19" s="15" t="s">
        <v>941</v>
      </c>
      <c r="J19" s="15"/>
      <c r="K19" s="15" t="s">
        <v>932</v>
      </c>
      <c r="L19" s="15"/>
      <c r="M19" s="15" t="s">
        <v>933</v>
      </c>
      <c r="N19" s="15"/>
      <c r="O19" s="15" t="s">
        <v>938</v>
      </c>
      <c r="P19" s="15"/>
      <c r="Q19" s="15" t="s">
        <v>939</v>
      </c>
      <c r="R19" s="15"/>
      <c r="S19" s="15" t="s">
        <v>940</v>
      </c>
      <c r="T19" s="15">
        <v>0</v>
      </c>
      <c r="U19" s="15">
        <v>0</v>
      </c>
      <c r="V19" s="15">
        <v>0</v>
      </c>
      <c r="W19" s="15">
        <v>0</v>
      </c>
      <c r="X19" s="15" t="s">
        <v>937</v>
      </c>
      <c r="Y19" s="15"/>
      <c r="Z19" s="15"/>
      <c r="AA19" s="16" t="s">
        <v>59</v>
      </c>
      <c r="AB19" s="17" t="s">
        <v>60</v>
      </c>
      <c r="AC19" s="17" t="s">
        <v>61</v>
      </c>
      <c r="AD19" s="18">
        <v>1584185560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18">
        <v>1584185560</v>
      </c>
      <c r="AK19" s="34">
        <v>0</v>
      </c>
      <c r="AL19" s="18">
        <v>103960108</v>
      </c>
      <c r="AM19" s="18">
        <v>900337200</v>
      </c>
      <c r="AN19" s="34">
        <v>0</v>
      </c>
      <c r="AO19" s="18">
        <v>103960108</v>
      </c>
      <c r="AP19" s="18">
        <v>900337200</v>
      </c>
      <c r="AQ19" s="34">
        <v>0</v>
      </c>
      <c r="AR19" s="18">
        <v>103960108</v>
      </c>
      <c r="AS19" s="18">
        <v>900337200</v>
      </c>
      <c r="AT19" s="39">
        <f t="shared" si="7"/>
        <v>900337200</v>
      </c>
      <c r="AU19" s="18">
        <f t="shared" si="10"/>
        <v>683848360</v>
      </c>
      <c r="AV19" s="34">
        <f t="shared" si="11"/>
        <v>0</v>
      </c>
      <c r="AW19" s="34">
        <f t="shared" si="12"/>
        <v>0</v>
      </c>
      <c r="AX19" s="32">
        <f t="shared" si="1"/>
        <v>0.56832811933975713</v>
      </c>
    </row>
    <row r="20" spans="1:50" ht="18.75" customHeight="1" x14ac:dyDescent="0.2">
      <c r="A20" s="14" t="s">
        <v>49</v>
      </c>
      <c r="B20" s="15" t="s">
        <v>50</v>
      </c>
      <c r="C20" s="15"/>
      <c r="D20" s="15" t="s">
        <v>40</v>
      </c>
      <c r="E20" s="15"/>
      <c r="F20" s="15"/>
      <c r="G20" s="15" t="s">
        <v>41</v>
      </c>
      <c r="H20" s="15"/>
      <c r="I20" s="15" t="s">
        <v>936</v>
      </c>
      <c r="J20" s="15"/>
      <c r="K20" s="15" t="s">
        <v>932</v>
      </c>
      <c r="L20" s="15"/>
      <c r="M20" s="15" t="s">
        <v>933</v>
      </c>
      <c r="N20" s="15"/>
      <c r="O20" s="15" t="s">
        <v>938</v>
      </c>
      <c r="P20" s="15"/>
      <c r="Q20" s="15" t="s">
        <v>939</v>
      </c>
      <c r="R20" s="15"/>
      <c r="S20" s="15" t="s">
        <v>940</v>
      </c>
      <c r="T20" s="15">
        <v>0</v>
      </c>
      <c r="U20" s="15">
        <v>0</v>
      </c>
      <c r="V20" s="15">
        <v>0</v>
      </c>
      <c r="W20" s="15">
        <v>0</v>
      </c>
      <c r="X20" s="15" t="s">
        <v>937</v>
      </c>
      <c r="Y20" s="15"/>
      <c r="Z20" s="15"/>
      <c r="AA20" s="16" t="s">
        <v>62</v>
      </c>
      <c r="AB20" s="17" t="s">
        <v>63</v>
      </c>
      <c r="AC20" s="17" t="s">
        <v>58</v>
      </c>
      <c r="AD20" s="18">
        <v>398412895</v>
      </c>
      <c r="AE20" s="34">
        <v>0</v>
      </c>
      <c r="AF20" s="34">
        <v>0</v>
      </c>
      <c r="AG20" s="18">
        <v>100000000</v>
      </c>
      <c r="AH20" s="34">
        <v>0</v>
      </c>
      <c r="AI20" s="18">
        <f>AE20-AF20+AG20-AH20</f>
        <v>100000000</v>
      </c>
      <c r="AJ20" s="18">
        <f>AD20+AI20</f>
        <v>498412895</v>
      </c>
      <c r="AK20" s="34">
        <v>0</v>
      </c>
      <c r="AL20" s="18">
        <v>33948379</v>
      </c>
      <c r="AM20" s="18">
        <v>258130156</v>
      </c>
      <c r="AN20" s="34">
        <v>0</v>
      </c>
      <c r="AO20" s="18">
        <v>33948379</v>
      </c>
      <c r="AP20" s="18">
        <v>258130156</v>
      </c>
      <c r="AQ20" s="34">
        <v>0</v>
      </c>
      <c r="AR20" s="18">
        <v>26790792</v>
      </c>
      <c r="AS20" s="18">
        <v>250972569</v>
      </c>
      <c r="AT20" s="39">
        <f t="shared" si="7"/>
        <v>250972569</v>
      </c>
      <c r="AU20" s="18">
        <f t="shared" si="10"/>
        <v>240282739</v>
      </c>
      <c r="AV20" s="34">
        <f t="shared" si="11"/>
        <v>0</v>
      </c>
      <c r="AW20" s="18">
        <f t="shared" si="12"/>
        <v>7157587</v>
      </c>
      <c r="AX20" s="32">
        <f t="shared" si="1"/>
        <v>0.51790424884572861</v>
      </c>
    </row>
    <row r="21" spans="1:50" ht="18.75" customHeight="1" x14ac:dyDescent="0.2">
      <c r="A21" s="14" t="s">
        <v>49</v>
      </c>
      <c r="B21" s="15" t="s">
        <v>50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6" t="s">
        <v>64</v>
      </c>
      <c r="AB21" s="17" t="s">
        <v>65</v>
      </c>
      <c r="AC21" s="17" t="s">
        <v>58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40">
        <f t="shared" si="7"/>
        <v>0</v>
      </c>
      <c r="AU21" s="34">
        <f t="shared" si="10"/>
        <v>0</v>
      </c>
      <c r="AV21" s="34">
        <f t="shared" si="11"/>
        <v>0</v>
      </c>
      <c r="AW21" s="34">
        <f t="shared" si="12"/>
        <v>0</v>
      </c>
      <c r="AX21" s="32">
        <v>0</v>
      </c>
    </row>
    <row r="22" spans="1:50" ht="18.75" customHeight="1" x14ac:dyDescent="0.2">
      <c r="A22" s="14" t="s">
        <v>49</v>
      </c>
      <c r="B22" s="15" t="s">
        <v>50</v>
      </c>
      <c r="C22" s="15"/>
      <c r="D22" s="15" t="s">
        <v>40</v>
      </c>
      <c r="E22" s="15"/>
      <c r="F22" s="15"/>
      <c r="G22" s="15" t="s">
        <v>41</v>
      </c>
      <c r="H22" s="15"/>
      <c r="I22" s="15" t="s">
        <v>936</v>
      </c>
      <c r="J22" s="15"/>
      <c r="K22" s="15" t="s">
        <v>932</v>
      </c>
      <c r="L22" s="15"/>
      <c r="M22" s="15" t="s">
        <v>933</v>
      </c>
      <c r="N22" s="15"/>
      <c r="O22" s="15" t="s">
        <v>938</v>
      </c>
      <c r="P22" s="15"/>
      <c r="Q22" s="15" t="s">
        <v>939</v>
      </c>
      <c r="R22" s="15"/>
      <c r="S22" s="15" t="s">
        <v>940</v>
      </c>
      <c r="T22" s="15">
        <v>0</v>
      </c>
      <c r="U22" s="15">
        <v>0</v>
      </c>
      <c r="V22" s="15">
        <v>0</v>
      </c>
      <c r="W22" s="15">
        <v>0</v>
      </c>
      <c r="X22" s="15" t="s">
        <v>937</v>
      </c>
      <c r="Y22" s="15"/>
      <c r="Z22" s="15"/>
      <c r="AA22" s="16" t="s">
        <v>66</v>
      </c>
      <c r="AB22" s="17" t="s">
        <v>67</v>
      </c>
      <c r="AC22" s="17" t="s">
        <v>58</v>
      </c>
      <c r="AD22" s="18">
        <v>13303349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18">
        <v>13303349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40">
        <f t="shared" si="7"/>
        <v>0</v>
      </c>
      <c r="AU22" s="18">
        <f t="shared" si="10"/>
        <v>13303349</v>
      </c>
      <c r="AV22" s="34">
        <f t="shared" si="11"/>
        <v>0</v>
      </c>
      <c r="AW22" s="34">
        <f t="shared" si="12"/>
        <v>0</v>
      </c>
      <c r="AX22" s="32">
        <f t="shared" ref="AX22:AX37" si="13">AP22/AJ22</f>
        <v>0</v>
      </c>
    </row>
    <row r="23" spans="1:50" ht="18.75" customHeight="1" x14ac:dyDescent="0.2">
      <c r="A23" s="14" t="s">
        <v>49</v>
      </c>
      <c r="B23" s="15" t="s">
        <v>50</v>
      </c>
      <c r="C23" s="15"/>
      <c r="D23" s="15" t="s">
        <v>40</v>
      </c>
      <c r="E23" s="15"/>
      <c r="F23" s="15"/>
      <c r="G23" s="15" t="s">
        <v>41</v>
      </c>
      <c r="H23" s="15"/>
      <c r="I23" s="15" t="s">
        <v>936</v>
      </c>
      <c r="J23" s="15"/>
      <c r="K23" s="15" t="s">
        <v>932</v>
      </c>
      <c r="L23" s="15"/>
      <c r="M23" s="15" t="s">
        <v>933</v>
      </c>
      <c r="N23" s="15"/>
      <c r="O23" s="15" t="s">
        <v>938</v>
      </c>
      <c r="P23" s="15"/>
      <c r="Q23" s="15" t="s">
        <v>939</v>
      </c>
      <c r="R23" s="15"/>
      <c r="S23" s="15" t="s">
        <v>940</v>
      </c>
      <c r="T23" s="15">
        <v>0</v>
      </c>
      <c r="U23" s="15">
        <v>0</v>
      </c>
      <c r="V23" s="15">
        <v>0</v>
      </c>
      <c r="W23" s="15">
        <v>0</v>
      </c>
      <c r="X23" s="15" t="s">
        <v>937</v>
      </c>
      <c r="Y23" s="15"/>
      <c r="Z23" s="15"/>
      <c r="AA23" s="16" t="s">
        <v>68</v>
      </c>
      <c r="AB23" s="17" t="s">
        <v>69</v>
      </c>
      <c r="AC23" s="17" t="s">
        <v>58</v>
      </c>
      <c r="AD23" s="18">
        <v>37582851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18">
        <v>37582851</v>
      </c>
      <c r="AK23" s="34">
        <v>0</v>
      </c>
      <c r="AL23" s="18">
        <v>2767804</v>
      </c>
      <c r="AM23" s="18">
        <v>22781156</v>
      </c>
      <c r="AN23" s="34">
        <v>0</v>
      </c>
      <c r="AO23" s="18">
        <v>2767804</v>
      </c>
      <c r="AP23" s="18">
        <v>22781156</v>
      </c>
      <c r="AQ23" s="34">
        <v>0</v>
      </c>
      <c r="AR23" s="18">
        <v>0</v>
      </c>
      <c r="AS23" s="18">
        <v>20013352</v>
      </c>
      <c r="AT23" s="39">
        <f t="shared" si="7"/>
        <v>20013352</v>
      </c>
      <c r="AU23" s="18">
        <f t="shared" si="10"/>
        <v>14801695</v>
      </c>
      <c r="AV23" s="34">
        <f t="shared" si="11"/>
        <v>0</v>
      </c>
      <c r="AW23" s="18">
        <f t="shared" si="12"/>
        <v>2767804</v>
      </c>
      <c r="AX23" s="32">
        <f t="shared" si="13"/>
        <v>0.60615827149462398</v>
      </c>
    </row>
    <row r="24" spans="1:50" ht="18.75" customHeight="1" x14ac:dyDescent="0.2">
      <c r="A24" s="27" t="s">
        <v>49</v>
      </c>
      <c r="B24" s="27" t="s">
        <v>50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8" t="s">
        <v>70</v>
      </c>
      <c r="AB24" s="29" t="s">
        <v>71</v>
      </c>
      <c r="AC24" s="30" t="s">
        <v>37</v>
      </c>
      <c r="AD24" s="30">
        <f>AD25+AD26</f>
        <v>1845616015</v>
      </c>
      <c r="AE24" s="31">
        <f t="shared" ref="AE24:AS24" si="14">AE25+AE26</f>
        <v>0</v>
      </c>
      <c r="AF24" s="31">
        <f t="shared" si="14"/>
        <v>0</v>
      </c>
      <c r="AG24" s="31">
        <f t="shared" si="14"/>
        <v>0</v>
      </c>
      <c r="AH24" s="30">
        <f t="shared" si="14"/>
        <v>140000000</v>
      </c>
      <c r="AI24" s="30">
        <f t="shared" si="14"/>
        <v>-140000000</v>
      </c>
      <c r="AJ24" s="30">
        <f t="shared" si="14"/>
        <v>1705616015</v>
      </c>
      <c r="AK24" s="31">
        <f t="shared" si="14"/>
        <v>0</v>
      </c>
      <c r="AL24" s="30">
        <f t="shared" si="14"/>
        <v>3259724</v>
      </c>
      <c r="AM24" s="30">
        <f t="shared" si="14"/>
        <v>806591847</v>
      </c>
      <c r="AN24" s="31">
        <f t="shared" si="14"/>
        <v>0</v>
      </c>
      <c r="AO24" s="30">
        <f t="shared" si="14"/>
        <v>3259724</v>
      </c>
      <c r="AP24" s="30">
        <f t="shared" si="14"/>
        <v>806591847</v>
      </c>
      <c r="AQ24" s="31">
        <f t="shared" si="14"/>
        <v>0</v>
      </c>
      <c r="AR24" s="30">
        <f t="shared" si="14"/>
        <v>2996331</v>
      </c>
      <c r="AS24" s="30">
        <f t="shared" si="14"/>
        <v>763519268</v>
      </c>
      <c r="AT24" s="30">
        <f t="shared" si="7"/>
        <v>763519268</v>
      </c>
      <c r="AU24" s="176">
        <f t="shared" si="10"/>
        <v>899024168</v>
      </c>
      <c r="AV24" s="177">
        <f t="shared" si="11"/>
        <v>0</v>
      </c>
      <c r="AW24" s="176">
        <f t="shared" si="12"/>
        <v>43072579</v>
      </c>
      <c r="AX24" s="32">
        <f t="shared" si="13"/>
        <v>0.47290353743541741</v>
      </c>
    </row>
    <row r="25" spans="1:50" ht="18.75" customHeight="1" x14ac:dyDescent="0.2">
      <c r="A25" s="14" t="s">
        <v>55</v>
      </c>
      <c r="B25" s="15" t="s">
        <v>56</v>
      </c>
      <c r="C25" s="15"/>
      <c r="D25" s="15" t="s">
        <v>40</v>
      </c>
      <c r="E25" s="15"/>
      <c r="F25" s="15"/>
      <c r="G25" s="15" t="s">
        <v>41</v>
      </c>
      <c r="H25" s="15"/>
      <c r="I25" s="15" t="s">
        <v>936</v>
      </c>
      <c r="J25" s="15"/>
      <c r="K25" s="15" t="s">
        <v>932</v>
      </c>
      <c r="L25" s="15"/>
      <c r="M25" s="15" t="s">
        <v>933</v>
      </c>
      <c r="N25" s="15"/>
      <c r="O25" s="15" t="s">
        <v>938</v>
      </c>
      <c r="P25" s="15"/>
      <c r="Q25" s="15" t="s">
        <v>939</v>
      </c>
      <c r="R25" s="15"/>
      <c r="S25" s="15" t="s">
        <v>940</v>
      </c>
      <c r="T25" s="15">
        <v>0</v>
      </c>
      <c r="U25" s="15">
        <v>0</v>
      </c>
      <c r="V25" s="15">
        <v>0</v>
      </c>
      <c r="W25" s="15">
        <v>0</v>
      </c>
      <c r="X25" s="15" t="s">
        <v>937</v>
      </c>
      <c r="Y25" s="15"/>
      <c r="Z25" s="15"/>
      <c r="AA25" s="16" t="s">
        <v>72</v>
      </c>
      <c r="AB25" s="17" t="s">
        <v>71</v>
      </c>
      <c r="AC25" s="17" t="s">
        <v>58</v>
      </c>
      <c r="AD25" s="18">
        <v>1777683059</v>
      </c>
      <c r="AE25" s="34">
        <v>0</v>
      </c>
      <c r="AF25" s="34">
        <v>0</v>
      </c>
      <c r="AG25" s="34">
        <v>0</v>
      </c>
      <c r="AH25" s="18">
        <v>140000000</v>
      </c>
      <c r="AI25" s="18">
        <f>AE25-AF25+AG25-AH25</f>
        <v>-140000000</v>
      </c>
      <c r="AJ25" s="18">
        <f>AD25+AI25</f>
        <v>1637683059</v>
      </c>
      <c r="AK25" s="34">
        <v>0</v>
      </c>
      <c r="AL25" s="18">
        <v>3259724</v>
      </c>
      <c r="AM25" s="18">
        <v>754910862</v>
      </c>
      <c r="AN25" s="34">
        <v>0</v>
      </c>
      <c r="AO25" s="18">
        <v>3259724</v>
      </c>
      <c r="AP25" s="18">
        <v>754910862</v>
      </c>
      <c r="AQ25" s="34">
        <v>0</v>
      </c>
      <c r="AR25" s="18">
        <v>2996331</v>
      </c>
      <c r="AS25" s="18">
        <v>754647469</v>
      </c>
      <c r="AT25" s="39">
        <f t="shared" si="7"/>
        <v>754647469</v>
      </c>
      <c r="AU25" s="18">
        <f t="shared" si="10"/>
        <v>882772197</v>
      </c>
      <c r="AV25" s="34">
        <f t="shared" si="11"/>
        <v>0</v>
      </c>
      <c r="AW25" s="34">
        <f t="shared" si="12"/>
        <v>263393</v>
      </c>
      <c r="AX25" s="32">
        <f t="shared" si="13"/>
        <v>0.46096273503675539</v>
      </c>
    </row>
    <row r="26" spans="1:50" ht="18.75" customHeight="1" x14ac:dyDescent="0.2">
      <c r="A26" s="14" t="s">
        <v>55</v>
      </c>
      <c r="B26" s="15" t="s">
        <v>56</v>
      </c>
      <c r="C26" s="15"/>
      <c r="D26" s="15" t="s">
        <v>40</v>
      </c>
      <c r="E26" s="15"/>
      <c r="F26" s="15"/>
      <c r="G26" s="15" t="s">
        <v>41</v>
      </c>
      <c r="H26" s="15"/>
      <c r="I26" s="15" t="s">
        <v>941</v>
      </c>
      <c r="J26" s="15"/>
      <c r="K26" s="15" t="s">
        <v>932</v>
      </c>
      <c r="L26" s="15"/>
      <c r="M26" s="15" t="s">
        <v>933</v>
      </c>
      <c r="N26" s="15"/>
      <c r="O26" s="15" t="s">
        <v>938</v>
      </c>
      <c r="P26" s="15"/>
      <c r="Q26" s="15" t="s">
        <v>939</v>
      </c>
      <c r="R26" s="15"/>
      <c r="S26" s="15" t="s">
        <v>940</v>
      </c>
      <c r="T26" s="15">
        <v>0</v>
      </c>
      <c r="U26" s="15">
        <v>0</v>
      </c>
      <c r="V26" s="15">
        <v>0</v>
      </c>
      <c r="W26" s="15">
        <v>0</v>
      </c>
      <c r="X26" s="15" t="s">
        <v>937</v>
      </c>
      <c r="Y26" s="15"/>
      <c r="Z26" s="15"/>
      <c r="AA26" s="16" t="s">
        <v>73</v>
      </c>
      <c r="AB26" s="17" t="s">
        <v>74</v>
      </c>
      <c r="AC26" s="17" t="s">
        <v>61</v>
      </c>
      <c r="AD26" s="18">
        <v>67932956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18">
        <v>67932956</v>
      </c>
      <c r="AK26" s="34">
        <v>0</v>
      </c>
      <c r="AL26" s="34">
        <v>0</v>
      </c>
      <c r="AM26" s="18">
        <v>51680985</v>
      </c>
      <c r="AN26" s="34">
        <v>0</v>
      </c>
      <c r="AO26" s="18">
        <v>0</v>
      </c>
      <c r="AP26" s="18">
        <v>51680985</v>
      </c>
      <c r="AQ26" s="34">
        <v>0</v>
      </c>
      <c r="AR26" s="18">
        <v>0</v>
      </c>
      <c r="AS26" s="18">
        <v>8871799</v>
      </c>
      <c r="AT26" s="40">
        <f t="shared" si="7"/>
        <v>8871799</v>
      </c>
      <c r="AU26" s="18">
        <f t="shared" si="10"/>
        <v>16251971</v>
      </c>
      <c r="AV26" s="34">
        <f t="shared" si="11"/>
        <v>0</v>
      </c>
      <c r="AW26" s="18">
        <f t="shared" si="12"/>
        <v>42809186</v>
      </c>
      <c r="AX26" s="32">
        <f t="shared" si="13"/>
        <v>0.7607645543938939</v>
      </c>
    </row>
    <row r="27" spans="1:50" ht="18.75" customHeight="1" x14ac:dyDescent="0.2">
      <c r="A27" s="27" t="s">
        <v>49</v>
      </c>
      <c r="B27" s="27" t="s">
        <v>50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8" t="s">
        <v>75</v>
      </c>
      <c r="AB27" s="29" t="s">
        <v>76</v>
      </c>
      <c r="AC27" s="30" t="s">
        <v>37</v>
      </c>
      <c r="AD27" s="30">
        <f>AD28+AD29</f>
        <v>592992922</v>
      </c>
      <c r="AE27" s="31">
        <f t="shared" ref="AE27:AS27" si="15">AE28+AE29</f>
        <v>0</v>
      </c>
      <c r="AF27" s="31">
        <f t="shared" si="15"/>
        <v>0</v>
      </c>
      <c r="AG27" s="31">
        <f t="shared" si="15"/>
        <v>0</v>
      </c>
      <c r="AH27" s="31">
        <f t="shared" si="15"/>
        <v>0</v>
      </c>
      <c r="AI27" s="31">
        <f t="shared" si="15"/>
        <v>0</v>
      </c>
      <c r="AJ27" s="30">
        <f t="shared" si="15"/>
        <v>592992922</v>
      </c>
      <c r="AK27" s="31">
        <f t="shared" si="15"/>
        <v>0</v>
      </c>
      <c r="AL27" s="30">
        <f t="shared" si="15"/>
        <v>50964712</v>
      </c>
      <c r="AM27" s="30">
        <f t="shared" si="15"/>
        <v>400478264</v>
      </c>
      <c r="AN27" s="31">
        <f t="shared" si="15"/>
        <v>0</v>
      </c>
      <c r="AO27" s="30">
        <f t="shared" si="15"/>
        <v>50964712</v>
      </c>
      <c r="AP27" s="30">
        <f t="shared" si="15"/>
        <v>400478264</v>
      </c>
      <c r="AQ27" s="31">
        <f t="shared" si="15"/>
        <v>0</v>
      </c>
      <c r="AR27" s="30">
        <f t="shared" si="15"/>
        <v>50964712</v>
      </c>
      <c r="AS27" s="30">
        <f t="shared" si="15"/>
        <v>400478264</v>
      </c>
      <c r="AT27" s="30">
        <f t="shared" si="7"/>
        <v>400478264</v>
      </c>
      <c r="AU27" s="176">
        <f t="shared" si="10"/>
        <v>192514658</v>
      </c>
      <c r="AV27" s="177">
        <f t="shared" si="11"/>
        <v>0</v>
      </c>
      <c r="AW27" s="177">
        <f t="shared" si="12"/>
        <v>0</v>
      </c>
      <c r="AX27" s="32">
        <f t="shared" si="13"/>
        <v>0.6753508332768936</v>
      </c>
    </row>
    <row r="28" spans="1:50" ht="18.75" customHeight="1" x14ac:dyDescent="0.2">
      <c r="A28" s="14" t="s">
        <v>55</v>
      </c>
      <c r="B28" s="15" t="s">
        <v>56</v>
      </c>
      <c r="C28" s="15"/>
      <c r="D28" s="15" t="s">
        <v>40</v>
      </c>
      <c r="E28" s="15"/>
      <c r="F28" s="15"/>
      <c r="G28" s="15" t="s">
        <v>41</v>
      </c>
      <c r="H28" s="15"/>
      <c r="I28" s="15" t="s">
        <v>936</v>
      </c>
      <c r="J28" s="15"/>
      <c r="K28" s="15" t="s">
        <v>932</v>
      </c>
      <c r="L28" s="15"/>
      <c r="M28" s="15" t="s">
        <v>933</v>
      </c>
      <c r="N28" s="15"/>
      <c r="O28" s="15" t="s">
        <v>938</v>
      </c>
      <c r="P28" s="15"/>
      <c r="Q28" s="15" t="s">
        <v>939</v>
      </c>
      <c r="R28" s="15"/>
      <c r="S28" s="15" t="s">
        <v>940</v>
      </c>
      <c r="T28" s="15">
        <v>0</v>
      </c>
      <c r="U28" s="15">
        <v>0</v>
      </c>
      <c r="V28" s="15">
        <v>0</v>
      </c>
      <c r="W28" s="15">
        <v>0</v>
      </c>
      <c r="X28" s="15" t="s">
        <v>937</v>
      </c>
      <c r="Y28" s="15"/>
      <c r="Z28" s="15"/>
      <c r="AA28" s="16" t="s">
        <v>77</v>
      </c>
      <c r="AB28" s="17" t="s">
        <v>76</v>
      </c>
      <c r="AC28" s="17" t="s">
        <v>58</v>
      </c>
      <c r="AD28" s="18">
        <v>546787511</v>
      </c>
      <c r="AE28" s="34">
        <v>0</v>
      </c>
      <c r="AF28" s="34">
        <v>0</v>
      </c>
      <c r="AG28" s="34">
        <v>0</v>
      </c>
      <c r="AH28" s="34">
        <v>0</v>
      </c>
      <c r="AI28" s="34">
        <v>0</v>
      </c>
      <c r="AJ28" s="18">
        <v>546787511</v>
      </c>
      <c r="AK28" s="34">
        <v>0</v>
      </c>
      <c r="AL28" s="18">
        <v>46121192</v>
      </c>
      <c r="AM28" s="18">
        <v>369770344</v>
      </c>
      <c r="AN28" s="34">
        <v>0</v>
      </c>
      <c r="AO28" s="18">
        <v>46121192</v>
      </c>
      <c r="AP28" s="18">
        <v>369770344</v>
      </c>
      <c r="AQ28" s="34">
        <v>0</v>
      </c>
      <c r="AR28" s="18">
        <v>46121192</v>
      </c>
      <c r="AS28" s="18">
        <v>369770344</v>
      </c>
      <c r="AT28" s="39">
        <f t="shared" si="7"/>
        <v>369770344</v>
      </c>
      <c r="AU28" s="18">
        <f t="shared" si="10"/>
        <v>177017167</v>
      </c>
      <c r="AV28" s="34">
        <f t="shared" si="11"/>
        <v>0</v>
      </c>
      <c r="AW28" s="34">
        <f t="shared" si="12"/>
        <v>0</v>
      </c>
      <c r="AX28" s="32">
        <f t="shared" si="13"/>
        <v>0.67625967411680699</v>
      </c>
    </row>
    <row r="29" spans="1:50" ht="18.75" customHeight="1" x14ac:dyDescent="0.2">
      <c r="A29" s="14" t="s">
        <v>55</v>
      </c>
      <c r="B29" s="15" t="s">
        <v>56</v>
      </c>
      <c r="C29" s="15"/>
      <c r="D29" s="15" t="s">
        <v>40</v>
      </c>
      <c r="E29" s="15"/>
      <c r="F29" s="15"/>
      <c r="G29" s="15" t="s">
        <v>41</v>
      </c>
      <c r="H29" s="15"/>
      <c r="I29" s="15" t="s">
        <v>941</v>
      </c>
      <c r="J29" s="15"/>
      <c r="K29" s="15" t="s">
        <v>932</v>
      </c>
      <c r="L29" s="15"/>
      <c r="M29" s="15" t="s">
        <v>933</v>
      </c>
      <c r="N29" s="15"/>
      <c r="O29" s="15" t="s">
        <v>938</v>
      </c>
      <c r="P29" s="15"/>
      <c r="Q29" s="15" t="s">
        <v>939</v>
      </c>
      <c r="R29" s="15"/>
      <c r="S29" s="15" t="s">
        <v>940</v>
      </c>
      <c r="T29" s="15">
        <v>0</v>
      </c>
      <c r="U29" s="15">
        <v>0</v>
      </c>
      <c r="V29" s="15">
        <v>0</v>
      </c>
      <c r="W29" s="15">
        <v>0</v>
      </c>
      <c r="X29" s="15" t="s">
        <v>937</v>
      </c>
      <c r="Y29" s="15"/>
      <c r="Z29" s="15"/>
      <c r="AA29" s="16" t="s">
        <v>78</v>
      </c>
      <c r="AB29" s="17" t="s">
        <v>79</v>
      </c>
      <c r="AC29" s="17" t="s">
        <v>58</v>
      </c>
      <c r="AD29" s="18">
        <v>46205411</v>
      </c>
      <c r="AE29" s="34">
        <v>0</v>
      </c>
      <c r="AF29" s="34">
        <v>0</v>
      </c>
      <c r="AG29" s="34">
        <v>0</v>
      </c>
      <c r="AH29" s="34">
        <v>0</v>
      </c>
      <c r="AI29" s="34">
        <v>0</v>
      </c>
      <c r="AJ29" s="18">
        <v>46205411</v>
      </c>
      <c r="AK29" s="34">
        <v>0</v>
      </c>
      <c r="AL29" s="34">
        <v>4843520</v>
      </c>
      <c r="AM29" s="18">
        <v>30707920</v>
      </c>
      <c r="AN29" s="34">
        <v>0</v>
      </c>
      <c r="AO29" s="18">
        <v>4843520</v>
      </c>
      <c r="AP29" s="18">
        <v>30707920</v>
      </c>
      <c r="AQ29" s="34">
        <v>0</v>
      </c>
      <c r="AR29" s="18">
        <v>4843520</v>
      </c>
      <c r="AS29" s="18">
        <v>30707920</v>
      </c>
      <c r="AT29" s="39">
        <f t="shared" si="7"/>
        <v>30707920</v>
      </c>
      <c r="AU29" s="18">
        <f t="shared" si="10"/>
        <v>15497491</v>
      </c>
      <c r="AV29" s="34">
        <f t="shared" si="11"/>
        <v>0</v>
      </c>
      <c r="AW29" s="34">
        <f t="shared" si="12"/>
        <v>0</v>
      </c>
      <c r="AX29" s="32">
        <f t="shared" si="13"/>
        <v>0.66459575481321875</v>
      </c>
    </row>
    <row r="30" spans="1:50" ht="18.75" customHeight="1" x14ac:dyDescent="0.2">
      <c r="A30" s="27" t="s">
        <v>49</v>
      </c>
      <c r="B30" s="27" t="s">
        <v>50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8" t="s">
        <v>80</v>
      </c>
      <c r="AB30" s="29" t="s">
        <v>81</v>
      </c>
      <c r="AC30" s="30" t="s">
        <v>37</v>
      </c>
      <c r="AD30" s="30">
        <f>AD31+AD34</f>
        <v>3301831967</v>
      </c>
      <c r="AE30" s="31">
        <f t="shared" ref="AE30:AS30" si="16">AE31+AE34</f>
        <v>0</v>
      </c>
      <c r="AF30" s="31">
        <f t="shared" si="16"/>
        <v>0</v>
      </c>
      <c r="AG30" s="31">
        <f t="shared" si="16"/>
        <v>0</v>
      </c>
      <c r="AH30" s="30">
        <f t="shared" si="16"/>
        <v>120000000</v>
      </c>
      <c r="AI30" s="30">
        <f t="shared" si="16"/>
        <v>-120000000</v>
      </c>
      <c r="AJ30" s="30">
        <f t="shared" si="16"/>
        <v>3181831967</v>
      </c>
      <c r="AK30" s="31">
        <f t="shared" si="16"/>
        <v>0</v>
      </c>
      <c r="AL30" s="30">
        <f t="shared" si="16"/>
        <v>87814063</v>
      </c>
      <c r="AM30" s="30">
        <f t="shared" si="16"/>
        <v>565785774</v>
      </c>
      <c r="AN30" s="31">
        <f t="shared" si="16"/>
        <v>0</v>
      </c>
      <c r="AO30" s="30">
        <f t="shared" si="16"/>
        <v>87814063</v>
      </c>
      <c r="AP30" s="30">
        <f t="shared" si="16"/>
        <v>565785774</v>
      </c>
      <c r="AQ30" s="31">
        <f t="shared" si="16"/>
        <v>0</v>
      </c>
      <c r="AR30" s="30">
        <f t="shared" si="16"/>
        <v>75357957</v>
      </c>
      <c r="AS30" s="30">
        <f t="shared" si="16"/>
        <v>553329668</v>
      </c>
      <c r="AT30" s="39">
        <f t="shared" si="7"/>
        <v>553329668</v>
      </c>
      <c r="AU30" s="18">
        <f t="shared" si="10"/>
        <v>2616046193</v>
      </c>
      <c r="AV30" s="34">
        <f t="shared" si="11"/>
        <v>0</v>
      </c>
      <c r="AW30" s="18">
        <f t="shared" si="12"/>
        <v>12456106</v>
      </c>
      <c r="AX30" s="32">
        <f t="shared" si="13"/>
        <v>0.17781761572200586</v>
      </c>
    </row>
    <row r="31" spans="1:50" ht="18.75" customHeight="1" x14ac:dyDescent="0.2">
      <c r="A31" s="27" t="s">
        <v>49</v>
      </c>
      <c r="B31" s="27" t="s">
        <v>50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8" t="s">
        <v>82</v>
      </c>
      <c r="AB31" s="29" t="s">
        <v>83</v>
      </c>
      <c r="AC31" s="30" t="s">
        <v>37</v>
      </c>
      <c r="AD31" s="30">
        <f>AD32+AD33</f>
        <v>2120123016</v>
      </c>
      <c r="AE31" s="31">
        <f t="shared" ref="AE31:AS31" si="17">AE32+AE33</f>
        <v>0</v>
      </c>
      <c r="AF31" s="31">
        <f t="shared" si="17"/>
        <v>0</v>
      </c>
      <c r="AG31" s="31">
        <f t="shared" si="17"/>
        <v>0</v>
      </c>
      <c r="AH31" s="31">
        <f t="shared" si="17"/>
        <v>0</v>
      </c>
      <c r="AI31" s="31">
        <f t="shared" si="17"/>
        <v>0</v>
      </c>
      <c r="AJ31" s="30">
        <f t="shared" si="17"/>
        <v>2120123016</v>
      </c>
      <c r="AK31" s="31">
        <f t="shared" si="17"/>
        <v>0</v>
      </c>
      <c r="AL31" s="30">
        <f t="shared" si="17"/>
        <v>21385864</v>
      </c>
      <c r="AM31" s="30">
        <f t="shared" si="17"/>
        <v>96767115</v>
      </c>
      <c r="AN31" s="31">
        <f t="shared" si="17"/>
        <v>0</v>
      </c>
      <c r="AO31" s="30">
        <f>AO32+AO33</f>
        <v>21385864</v>
      </c>
      <c r="AP31" s="30">
        <f t="shared" si="17"/>
        <v>96767115</v>
      </c>
      <c r="AQ31" s="31">
        <f t="shared" si="17"/>
        <v>0</v>
      </c>
      <c r="AR31" s="30">
        <f t="shared" si="17"/>
        <v>19026891</v>
      </c>
      <c r="AS31" s="30">
        <f t="shared" si="17"/>
        <v>94408142</v>
      </c>
      <c r="AT31" s="39">
        <f t="shared" si="7"/>
        <v>94408142</v>
      </c>
      <c r="AU31" s="18">
        <f t="shared" si="10"/>
        <v>2023355901</v>
      </c>
      <c r="AV31" s="34">
        <f t="shared" si="11"/>
        <v>0</v>
      </c>
      <c r="AW31" s="34">
        <f t="shared" si="12"/>
        <v>2358973</v>
      </c>
      <c r="AX31" s="32">
        <f t="shared" si="13"/>
        <v>4.5642217111801782E-2</v>
      </c>
    </row>
    <row r="32" spans="1:50" ht="18.75" customHeight="1" x14ac:dyDescent="0.2">
      <c r="A32" s="14" t="s">
        <v>55</v>
      </c>
      <c r="B32" s="15" t="s">
        <v>56</v>
      </c>
      <c r="C32" s="15"/>
      <c r="D32" s="15" t="s">
        <v>40</v>
      </c>
      <c r="E32" s="15"/>
      <c r="F32" s="15"/>
      <c r="G32" s="15" t="s">
        <v>41</v>
      </c>
      <c r="H32" s="15"/>
      <c r="I32" s="15" t="s">
        <v>941</v>
      </c>
      <c r="J32" s="15"/>
      <c r="K32" s="15" t="s">
        <v>932</v>
      </c>
      <c r="L32" s="15"/>
      <c r="M32" s="15" t="s">
        <v>933</v>
      </c>
      <c r="N32" s="15"/>
      <c r="O32" s="15" t="s">
        <v>938</v>
      </c>
      <c r="P32" s="15"/>
      <c r="Q32" s="15" t="s">
        <v>939</v>
      </c>
      <c r="R32" s="15"/>
      <c r="S32" s="15" t="s">
        <v>940</v>
      </c>
      <c r="T32" s="15">
        <v>0</v>
      </c>
      <c r="U32" s="15">
        <v>0</v>
      </c>
      <c r="V32" s="15">
        <v>0</v>
      </c>
      <c r="W32" s="15">
        <v>0</v>
      </c>
      <c r="X32" s="15" t="s">
        <v>937</v>
      </c>
      <c r="Y32" s="15"/>
      <c r="Z32" s="15"/>
      <c r="AA32" s="16" t="s">
        <v>84</v>
      </c>
      <c r="AB32" s="17" t="s">
        <v>85</v>
      </c>
      <c r="AC32" s="17" t="s">
        <v>61</v>
      </c>
      <c r="AD32" s="18">
        <v>151225079</v>
      </c>
      <c r="AE32" s="34">
        <v>0</v>
      </c>
      <c r="AF32" s="34">
        <v>0</v>
      </c>
      <c r="AG32" s="34">
        <v>0</v>
      </c>
      <c r="AH32" s="34">
        <v>0</v>
      </c>
      <c r="AI32" s="34">
        <v>0</v>
      </c>
      <c r="AJ32" s="18">
        <v>151225079</v>
      </c>
      <c r="AK32" s="34">
        <v>0</v>
      </c>
      <c r="AL32" s="34">
        <v>0</v>
      </c>
      <c r="AM32" s="18">
        <v>15507957</v>
      </c>
      <c r="AN32" s="34">
        <v>0</v>
      </c>
      <c r="AO32" s="18">
        <v>0</v>
      </c>
      <c r="AP32" s="18">
        <v>15507957</v>
      </c>
      <c r="AQ32" s="34">
        <v>0</v>
      </c>
      <c r="AR32" s="18">
        <v>0</v>
      </c>
      <c r="AS32" s="18">
        <v>15507957</v>
      </c>
      <c r="AT32" s="39">
        <f t="shared" si="7"/>
        <v>15507957</v>
      </c>
      <c r="AU32" s="18">
        <f t="shared" si="10"/>
        <v>135717122</v>
      </c>
      <c r="AV32" s="34">
        <f t="shared" si="11"/>
        <v>0</v>
      </c>
      <c r="AW32" s="34">
        <f t="shared" si="12"/>
        <v>0</v>
      </c>
      <c r="AX32" s="32">
        <f t="shared" si="13"/>
        <v>0.10254884376684636</v>
      </c>
    </row>
    <row r="33" spans="1:50" ht="18.75" customHeight="1" x14ac:dyDescent="0.2">
      <c r="A33" s="14" t="s">
        <v>55</v>
      </c>
      <c r="B33" s="15" t="s">
        <v>56</v>
      </c>
      <c r="C33" s="15"/>
      <c r="D33" s="15" t="s">
        <v>40</v>
      </c>
      <c r="E33" s="15"/>
      <c r="F33" s="15"/>
      <c r="G33" s="15" t="s">
        <v>41</v>
      </c>
      <c r="H33" s="15"/>
      <c r="I33" s="15" t="s">
        <v>936</v>
      </c>
      <c r="J33" s="15"/>
      <c r="K33" s="15" t="s">
        <v>932</v>
      </c>
      <c r="L33" s="15"/>
      <c r="M33" s="15" t="s">
        <v>933</v>
      </c>
      <c r="N33" s="15"/>
      <c r="O33" s="15" t="s">
        <v>938</v>
      </c>
      <c r="P33" s="15"/>
      <c r="Q33" s="15" t="s">
        <v>939</v>
      </c>
      <c r="R33" s="15"/>
      <c r="S33" s="15" t="s">
        <v>940</v>
      </c>
      <c r="T33" s="15">
        <v>0</v>
      </c>
      <c r="U33" s="15">
        <v>0</v>
      </c>
      <c r="V33" s="15">
        <v>0</v>
      </c>
      <c r="W33" s="15">
        <v>0</v>
      </c>
      <c r="X33" s="15" t="s">
        <v>937</v>
      </c>
      <c r="Y33" s="15"/>
      <c r="Z33" s="15"/>
      <c r="AA33" s="16" t="s">
        <v>86</v>
      </c>
      <c r="AB33" s="17" t="s">
        <v>83</v>
      </c>
      <c r="AC33" s="17" t="s">
        <v>58</v>
      </c>
      <c r="AD33" s="18">
        <v>1968897937</v>
      </c>
      <c r="AE33" s="34">
        <v>0</v>
      </c>
      <c r="AF33" s="34">
        <v>0</v>
      </c>
      <c r="AG33" s="34">
        <v>0</v>
      </c>
      <c r="AH33" s="34">
        <v>0</v>
      </c>
      <c r="AI33" s="34">
        <v>0</v>
      </c>
      <c r="AJ33" s="18">
        <v>1968897937</v>
      </c>
      <c r="AK33" s="34">
        <v>0</v>
      </c>
      <c r="AL33" s="18">
        <v>21385864</v>
      </c>
      <c r="AM33" s="18">
        <v>81259158</v>
      </c>
      <c r="AN33" s="34">
        <v>0</v>
      </c>
      <c r="AO33" s="18">
        <v>21385864</v>
      </c>
      <c r="AP33" s="18">
        <v>81259158</v>
      </c>
      <c r="AQ33" s="34">
        <v>0</v>
      </c>
      <c r="AR33" s="18">
        <v>19026891</v>
      </c>
      <c r="AS33" s="18">
        <v>78900185</v>
      </c>
      <c r="AT33" s="39">
        <f t="shared" si="7"/>
        <v>78900185</v>
      </c>
      <c r="AU33" s="18">
        <f t="shared" si="10"/>
        <v>1887638779</v>
      </c>
      <c r="AV33" s="34">
        <f t="shared" si="11"/>
        <v>0</v>
      </c>
      <c r="AW33" s="34">
        <f t="shared" si="12"/>
        <v>2358973</v>
      </c>
      <c r="AX33" s="32">
        <f t="shared" si="13"/>
        <v>4.1271391712571034E-2</v>
      </c>
    </row>
    <row r="34" spans="1:50" ht="18.75" customHeight="1" x14ac:dyDescent="0.2">
      <c r="A34" s="27" t="s">
        <v>49</v>
      </c>
      <c r="B34" s="27" t="s">
        <v>50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8" t="s">
        <v>87</v>
      </c>
      <c r="AB34" s="29" t="s">
        <v>88</v>
      </c>
      <c r="AC34" s="30" t="s">
        <v>37</v>
      </c>
      <c r="AD34" s="30">
        <f>AD35+AD36</f>
        <v>1181708951</v>
      </c>
      <c r="AE34" s="31">
        <f t="shared" ref="AE34:AS34" si="18">AE35+AE36</f>
        <v>0</v>
      </c>
      <c r="AF34" s="31">
        <f t="shared" si="18"/>
        <v>0</v>
      </c>
      <c r="AG34" s="31">
        <f t="shared" si="18"/>
        <v>0</v>
      </c>
      <c r="AH34" s="30">
        <f t="shared" si="18"/>
        <v>120000000</v>
      </c>
      <c r="AI34" s="30">
        <f t="shared" si="18"/>
        <v>-120000000</v>
      </c>
      <c r="AJ34" s="30">
        <f t="shared" si="18"/>
        <v>1061708951</v>
      </c>
      <c r="AK34" s="31">
        <f t="shared" si="18"/>
        <v>0</v>
      </c>
      <c r="AL34" s="30">
        <f t="shared" si="18"/>
        <v>66428199</v>
      </c>
      <c r="AM34" s="30">
        <f t="shared" si="18"/>
        <v>469018659</v>
      </c>
      <c r="AN34" s="31">
        <f t="shared" si="18"/>
        <v>0</v>
      </c>
      <c r="AO34" s="30">
        <f t="shared" si="18"/>
        <v>66428199</v>
      </c>
      <c r="AP34" s="30">
        <f t="shared" si="18"/>
        <v>469018659</v>
      </c>
      <c r="AQ34" s="31">
        <f t="shared" si="18"/>
        <v>0</v>
      </c>
      <c r="AR34" s="30">
        <f t="shared" si="18"/>
        <v>56331066</v>
      </c>
      <c r="AS34" s="30">
        <f t="shared" si="18"/>
        <v>458921526</v>
      </c>
      <c r="AT34" s="30">
        <f t="shared" si="7"/>
        <v>458921526</v>
      </c>
      <c r="AU34" s="176">
        <f t="shared" si="10"/>
        <v>592690292</v>
      </c>
      <c r="AV34" s="177">
        <f t="shared" si="11"/>
        <v>0</v>
      </c>
      <c r="AW34" s="176">
        <f t="shared" si="12"/>
        <v>10097133</v>
      </c>
      <c r="AX34" s="32">
        <f t="shared" si="13"/>
        <v>0.44175822249425495</v>
      </c>
    </row>
    <row r="35" spans="1:50" ht="18.75" customHeight="1" x14ac:dyDescent="0.2">
      <c r="A35" s="35" t="s">
        <v>55</v>
      </c>
      <c r="B35" s="36" t="s">
        <v>56</v>
      </c>
      <c r="C35" s="36"/>
      <c r="D35" s="36" t="s">
        <v>40</v>
      </c>
      <c r="E35" s="36"/>
      <c r="F35" s="36"/>
      <c r="G35" s="36" t="s">
        <v>41</v>
      </c>
      <c r="H35" s="36"/>
      <c r="I35" s="36" t="s">
        <v>936</v>
      </c>
      <c r="J35" s="36"/>
      <c r="K35" s="36" t="s">
        <v>932</v>
      </c>
      <c r="L35" s="36"/>
      <c r="M35" s="36" t="s">
        <v>933</v>
      </c>
      <c r="N35" s="36"/>
      <c r="O35" s="36" t="s">
        <v>938</v>
      </c>
      <c r="P35" s="36"/>
      <c r="Q35" s="36" t="s">
        <v>939</v>
      </c>
      <c r="R35" s="36"/>
      <c r="S35" s="36" t="s">
        <v>940</v>
      </c>
      <c r="T35" s="36">
        <v>0</v>
      </c>
      <c r="U35" s="36">
        <v>0</v>
      </c>
      <c r="V35" s="36">
        <v>0</v>
      </c>
      <c r="W35" s="36">
        <v>0</v>
      </c>
      <c r="X35" s="36" t="s">
        <v>937</v>
      </c>
      <c r="Y35" s="36"/>
      <c r="Z35" s="36"/>
      <c r="AA35" s="37" t="s">
        <v>89</v>
      </c>
      <c r="AB35" s="38" t="s">
        <v>88</v>
      </c>
      <c r="AC35" s="38" t="s">
        <v>58</v>
      </c>
      <c r="AD35" s="39">
        <v>1110945455</v>
      </c>
      <c r="AE35" s="40">
        <v>0</v>
      </c>
      <c r="AF35" s="40">
        <v>0</v>
      </c>
      <c r="AG35" s="40">
        <v>0</v>
      </c>
      <c r="AH35" s="39">
        <v>120000000</v>
      </c>
      <c r="AI35" s="18">
        <f>AE35-AF35+AG35-AH35</f>
        <v>-120000000</v>
      </c>
      <c r="AJ35" s="18">
        <f>AD35+AI35</f>
        <v>990945455</v>
      </c>
      <c r="AK35" s="40">
        <v>0</v>
      </c>
      <c r="AL35" s="39">
        <v>59027777</v>
      </c>
      <c r="AM35" s="39">
        <v>441160155</v>
      </c>
      <c r="AN35" s="40">
        <v>0</v>
      </c>
      <c r="AO35" s="39">
        <v>59027777</v>
      </c>
      <c r="AP35" s="39">
        <v>441160155</v>
      </c>
      <c r="AQ35" s="40">
        <v>0</v>
      </c>
      <c r="AR35" s="18">
        <v>48930644</v>
      </c>
      <c r="AS35" s="39">
        <v>431063022</v>
      </c>
      <c r="AT35" s="39">
        <f t="shared" si="7"/>
        <v>431063022</v>
      </c>
      <c r="AU35" s="18">
        <f t="shared" si="10"/>
        <v>549785300</v>
      </c>
      <c r="AV35" s="34">
        <f t="shared" si="11"/>
        <v>0</v>
      </c>
      <c r="AW35" s="18">
        <f t="shared" si="12"/>
        <v>10097133</v>
      </c>
      <c r="AX35" s="32">
        <f t="shared" si="13"/>
        <v>0.4451911583771278</v>
      </c>
    </row>
    <row r="36" spans="1:50" ht="18.75" customHeight="1" x14ac:dyDescent="0.2">
      <c r="A36" s="14" t="s">
        <v>55</v>
      </c>
      <c r="B36" s="15" t="s">
        <v>56</v>
      </c>
      <c r="C36" s="15"/>
      <c r="D36" s="15" t="s">
        <v>40</v>
      </c>
      <c r="E36" s="15"/>
      <c r="F36" s="15"/>
      <c r="G36" s="15" t="s">
        <v>41</v>
      </c>
      <c r="H36" s="15"/>
      <c r="I36" s="15" t="s">
        <v>941</v>
      </c>
      <c r="J36" s="15"/>
      <c r="K36" s="15" t="s">
        <v>932</v>
      </c>
      <c r="L36" s="15"/>
      <c r="M36" s="15" t="s">
        <v>933</v>
      </c>
      <c r="N36" s="15"/>
      <c r="O36" s="15" t="s">
        <v>938</v>
      </c>
      <c r="P36" s="15"/>
      <c r="Q36" s="15" t="s">
        <v>939</v>
      </c>
      <c r="R36" s="15"/>
      <c r="S36" s="15" t="s">
        <v>940</v>
      </c>
      <c r="T36" s="15">
        <v>0</v>
      </c>
      <c r="U36" s="15">
        <v>0</v>
      </c>
      <c r="V36" s="15">
        <v>0</v>
      </c>
      <c r="W36" s="15">
        <v>0</v>
      </c>
      <c r="X36" s="15" t="s">
        <v>937</v>
      </c>
      <c r="Y36" s="15"/>
      <c r="Z36" s="15"/>
      <c r="AA36" s="16" t="s">
        <v>90</v>
      </c>
      <c r="AB36" s="17" t="s">
        <v>91</v>
      </c>
      <c r="AC36" s="17" t="s">
        <v>61</v>
      </c>
      <c r="AD36" s="18">
        <v>70763496</v>
      </c>
      <c r="AE36" s="34">
        <v>0</v>
      </c>
      <c r="AF36" s="34">
        <v>0</v>
      </c>
      <c r="AG36" s="34">
        <v>0</v>
      </c>
      <c r="AH36" s="34">
        <v>0</v>
      </c>
      <c r="AI36" s="34">
        <v>0</v>
      </c>
      <c r="AJ36" s="18">
        <v>70763496</v>
      </c>
      <c r="AK36" s="34">
        <v>0</v>
      </c>
      <c r="AL36" s="40">
        <v>7400422</v>
      </c>
      <c r="AM36" s="18">
        <v>27858504</v>
      </c>
      <c r="AN36" s="34">
        <v>0</v>
      </c>
      <c r="AO36" s="39">
        <v>7400422</v>
      </c>
      <c r="AP36" s="18">
        <v>27858504</v>
      </c>
      <c r="AQ36" s="34">
        <v>0</v>
      </c>
      <c r="AR36" s="18">
        <v>7400422</v>
      </c>
      <c r="AS36" s="18">
        <v>27858504</v>
      </c>
      <c r="AT36" s="39">
        <f t="shared" si="7"/>
        <v>27858504</v>
      </c>
      <c r="AU36" s="18">
        <f t="shared" si="10"/>
        <v>42904992</v>
      </c>
      <c r="AV36" s="34">
        <f t="shared" si="11"/>
        <v>0</v>
      </c>
      <c r="AW36" s="34">
        <f t="shared" si="12"/>
        <v>0</v>
      </c>
      <c r="AX36" s="32">
        <f t="shared" si="13"/>
        <v>0.39368467606518481</v>
      </c>
    </row>
    <row r="37" spans="1:50" ht="18.75" customHeight="1" x14ac:dyDescent="0.2">
      <c r="A37" s="14" t="s">
        <v>49</v>
      </c>
      <c r="B37" s="15" t="s">
        <v>50</v>
      </c>
      <c r="C37" s="15"/>
      <c r="D37" s="15" t="s">
        <v>40</v>
      </c>
      <c r="E37" s="15"/>
      <c r="F37" s="15"/>
      <c r="G37" s="15" t="s">
        <v>41</v>
      </c>
      <c r="H37" s="15"/>
      <c r="I37" s="15" t="s">
        <v>936</v>
      </c>
      <c r="J37" s="15"/>
      <c r="K37" s="15" t="s">
        <v>932</v>
      </c>
      <c r="L37" s="15"/>
      <c r="M37" s="15" t="s">
        <v>933</v>
      </c>
      <c r="N37" s="15"/>
      <c r="O37" s="15" t="s">
        <v>938</v>
      </c>
      <c r="P37" s="15"/>
      <c r="Q37" s="15" t="s">
        <v>939</v>
      </c>
      <c r="R37" s="15"/>
      <c r="S37" s="15" t="s">
        <v>940</v>
      </c>
      <c r="T37" s="15">
        <v>0</v>
      </c>
      <c r="U37" s="15">
        <v>0</v>
      </c>
      <c r="V37" s="15">
        <v>0</v>
      </c>
      <c r="W37" s="15">
        <v>0</v>
      </c>
      <c r="X37" s="15" t="s">
        <v>937</v>
      </c>
      <c r="Y37" s="15"/>
      <c r="Z37" s="15"/>
      <c r="AA37" s="16" t="s">
        <v>92</v>
      </c>
      <c r="AB37" s="17" t="s">
        <v>93</v>
      </c>
      <c r="AC37" s="17" t="s">
        <v>58</v>
      </c>
      <c r="AD37" s="18">
        <v>128952600</v>
      </c>
      <c r="AE37" s="34">
        <v>0</v>
      </c>
      <c r="AF37" s="34">
        <v>0</v>
      </c>
      <c r="AG37" s="34">
        <v>0</v>
      </c>
      <c r="AH37" s="18">
        <v>72000000</v>
      </c>
      <c r="AI37" s="18">
        <f>AE37-AF37+AG37-AH37</f>
        <v>-72000000</v>
      </c>
      <c r="AJ37" s="18">
        <f>AD37+AI37</f>
        <v>56952600</v>
      </c>
      <c r="AK37" s="34">
        <v>0</v>
      </c>
      <c r="AL37" s="40">
        <v>0</v>
      </c>
      <c r="AM37" s="34">
        <v>0</v>
      </c>
      <c r="AN37" s="34">
        <v>0</v>
      </c>
      <c r="AO37" s="40">
        <v>0</v>
      </c>
      <c r="AP37" s="34">
        <v>0</v>
      </c>
      <c r="AQ37" s="34">
        <v>0</v>
      </c>
      <c r="AR37" s="34">
        <v>0</v>
      </c>
      <c r="AS37" s="34">
        <v>0</v>
      </c>
      <c r="AT37" s="40">
        <f t="shared" si="7"/>
        <v>0</v>
      </c>
      <c r="AU37" s="18">
        <f t="shared" si="10"/>
        <v>56952600</v>
      </c>
      <c r="AV37" s="34">
        <f t="shared" si="11"/>
        <v>0</v>
      </c>
      <c r="AW37" s="34">
        <f t="shared" si="12"/>
        <v>0</v>
      </c>
      <c r="AX37" s="32">
        <f t="shared" si="13"/>
        <v>0</v>
      </c>
    </row>
    <row r="38" spans="1:50" ht="18.75" customHeight="1" x14ac:dyDescent="0.2">
      <c r="A38" s="35" t="s">
        <v>49</v>
      </c>
      <c r="B38" s="36" t="s">
        <v>50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7" t="s">
        <v>94</v>
      </c>
      <c r="AB38" s="38" t="s">
        <v>95</v>
      </c>
      <c r="AC38" s="38" t="s">
        <v>56</v>
      </c>
      <c r="AD38" s="40">
        <v>0</v>
      </c>
      <c r="AE38" s="40">
        <v>0</v>
      </c>
      <c r="AF38" s="40">
        <v>0</v>
      </c>
      <c r="AG38" s="40">
        <v>0</v>
      </c>
      <c r="AH38" s="40">
        <v>0</v>
      </c>
      <c r="AI38" s="40">
        <v>0</v>
      </c>
      <c r="AJ38" s="40">
        <v>0</v>
      </c>
      <c r="AK38" s="40">
        <v>0</v>
      </c>
      <c r="AL38" s="40">
        <f>AM38-ABRIL!AM38</f>
        <v>0</v>
      </c>
      <c r="AM38" s="40">
        <v>0</v>
      </c>
      <c r="AN38" s="40">
        <v>0</v>
      </c>
      <c r="AO38" s="40">
        <f>AP38-ABRIL!AP38</f>
        <v>0</v>
      </c>
      <c r="AP38" s="40">
        <v>0</v>
      </c>
      <c r="AQ38" s="40">
        <v>0</v>
      </c>
      <c r="AR38" s="34">
        <f>AS38-ABRIL!AS38</f>
        <v>0</v>
      </c>
      <c r="AS38" s="40">
        <v>0</v>
      </c>
      <c r="AT38" s="40">
        <f t="shared" si="7"/>
        <v>0</v>
      </c>
      <c r="AU38" s="34">
        <f t="shared" si="10"/>
        <v>0</v>
      </c>
      <c r="AV38" s="34">
        <f t="shared" si="11"/>
        <v>0</v>
      </c>
      <c r="AW38" s="34">
        <f t="shared" si="12"/>
        <v>0</v>
      </c>
      <c r="AX38" s="32">
        <v>0</v>
      </c>
    </row>
    <row r="39" spans="1:50" s="25" customFormat="1" ht="18.75" customHeight="1" x14ac:dyDescent="0.2">
      <c r="A39" s="19" t="s">
        <v>49</v>
      </c>
      <c r="B39" s="19" t="s">
        <v>50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26" t="s">
        <v>96</v>
      </c>
      <c r="AB39" s="21" t="s">
        <v>97</v>
      </c>
      <c r="AC39" s="22" t="s">
        <v>37</v>
      </c>
      <c r="AD39" s="22">
        <f>AD40</f>
        <v>23412454</v>
      </c>
      <c r="AE39" s="23">
        <f t="shared" ref="AE39:AW40" si="19">AE40</f>
        <v>0</v>
      </c>
      <c r="AF39" s="23">
        <f t="shared" si="19"/>
        <v>0</v>
      </c>
      <c r="AG39" s="23">
        <f t="shared" si="19"/>
        <v>0</v>
      </c>
      <c r="AH39" s="23">
        <f t="shared" si="19"/>
        <v>0</v>
      </c>
      <c r="AI39" s="23">
        <f t="shared" si="19"/>
        <v>0</v>
      </c>
      <c r="AJ39" s="22">
        <f t="shared" si="19"/>
        <v>23412454</v>
      </c>
      <c r="AK39" s="23">
        <f t="shared" si="19"/>
        <v>0</v>
      </c>
      <c r="AL39" s="23">
        <f t="shared" si="19"/>
        <v>0</v>
      </c>
      <c r="AM39" s="23">
        <f t="shared" si="19"/>
        <v>0</v>
      </c>
      <c r="AN39" s="23">
        <f t="shared" si="19"/>
        <v>0</v>
      </c>
      <c r="AO39" s="23">
        <f t="shared" si="19"/>
        <v>0</v>
      </c>
      <c r="AP39" s="23">
        <f t="shared" si="19"/>
        <v>0</v>
      </c>
      <c r="AQ39" s="23">
        <f t="shared" si="19"/>
        <v>0</v>
      </c>
      <c r="AR39" s="23">
        <f t="shared" si="19"/>
        <v>0</v>
      </c>
      <c r="AS39" s="23">
        <f t="shared" si="19"/>
        <v>0</v>
      </c>
      <c r="AT39" s="23">
        <f>AQ39+AS39</f>
        <v>0</v>
      </c>
      <c r="AU39" s="22">
        <f t="shared" si="19"/>
        <v>23412454</v>
      </c>
      <c r="AV39" s="23">
        <f t="shared" si="19"/>
        <v>0</v>
      </c>
      <c r="AW39" s="23">
        <f t="shared" si="19"/>
        <v>0</v>
      </c>
      <c r="AX39" s="24">
        <f t="shared" ref="AX39:AX104" si="20">AP39/AJ39</f>
        <v>0</v>
      </c>
    </row>
    <row r="40" spans="1:50" ht="18.75" customHeight="1" x14ac:dyDescent="0.2">
      <c r="A40" s="27" t="s">
        <v>55</v>
      </c>
      <c r="B40" s="27" t="s">
        <v>56</v>
      </c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8" t="s">
        <v>98</v>
      </c>
      <c r="AB40" s="29" t="s">
        <v>99</v>
      </c>
      <c r="AC40" s="30" t="s">
        <v>37</v>
      </c>
      <c r="AD40" s="30">
        <f>AD41</f>
        <v>23412454</v>
      </c>
      <c r="AE40" s="31">
        <f t="shared" si="19"/>
        <v>0</v>
      </c>
      <c r="AF40" s="31">
        <f t="shared" si="19"/>
        <v>0</v>
      </c>
      <c r="AG40" s="31">
        <f t="shared" si="19"/>
        <v>0</v>
      </c>
      <c r="AH40" s="31">
        <f t="shared" si="19"/>
        <v>0</v>
      </c>
      <c r="AI40" s="31">
        <f t="shared" si="19"/>
        <v>0</v>
      </c>
      <c r="AJ40" s="30">
        <f t="shared" si="19"/>
        <v>23412454</v>
      </c>
      <c r="AK40" s="31">
        <f t="shared" si="19"/>
        <v>0</v>
      </c>
      <c r="AL40" s="31">
        <f t="shared" si="19"/>
        <v>0</v>
      </c>
      <c r="AM40" s="31">
        <f t="shared" si="19"/>
        <v>0</v>
      </c>
      <c r="AN40" s="31">
        <f t="shared" si="19"/>
        <v>0</v>
      </c>
      <c r="AO40" s="31">
        <f t="shared" si="19"/>
        <v>0</v>
      </c>
      <c r="AP40" s="31">
        <f t="shared" si="19"/>
        <v>0</v>
      </c>
      <c r="AQ40" s="31">
        <f t="shared" si="19"/>
        <v>0</v>
      </c>
      <c r="AR40" s="31">
        <f t="shared" si="19"/>
        <v>0</v>
      </c>
      <c r="AS40" s="31">
        <f t="shared" si="19"/>
        <v>0</v>
      </c>
      <c r="AT40" s="31">
        <f t="shared" ref="AT40:AT41" si="21">AQ40+AS40</f>
        <v>0</v>
      </c>
      <c r="AU40" s="18">
        <f>AJ40-AM40</f>
        <v>23412454</v>
      </c>
      <c r="AV40" s="34">
        <f>AM40-AP40</f>
        <v>0</v>
      </c>
      <c r="AW40" s="34">
        <f>AP40-AT40</f>
        <v>0</v>
      </c>
      <c r="AX40" s="32">
        <f t="shared" si="20"/>
        <v>0</v>
      </c>
    </row>
    <row r="41" spans="1:50" ht="18.75" customHeight="1" x14ac:dyDescent="0.2">
      <c r="A41" s="14" t="s">
        <v>55</v>
      </c>
      <c r="B41" s="15" t="s">
        <v>56</v>
      </c>
      <c r="C41" s="15"/>
      <c r="D41" s="15" t="s">
        <v>40</v>
      </c>
      <c r="E41" s="15"/>
      <c r="F41" s="15"/>
      <c r="G41" s="15" t="s">
        <v>41</v>
      </c>
      <c r="H41" s="15"/>
      <c r="I41" s="15" t="s">
        <v>936</v>
      </c>
      <c r="J41" s="15"/>
      <c r="K41" s="15" t="s">
        <v>932</v>
      </c>
      <c r="L41" s="15"/>
      <c r="M41" s="15" t="s">
        <v>933</v>
      </c>
      <c r="N41" s="15"/>
      <c r="O41" s="15" t="s">
        <v>938</v>
      </c>
      <c r="P41" s="15"/>
      <c r="Q41" s="15" t="s">
        <v>939</v>
      </c>
      <c r="R41" s="15"/>
      <c r="S41" s="15" t="s">
        <v>940</v>
      </c>
      <c r="T41" s="15">
        <v>0</v>
      </c>
      <c r="U41" s="15">
        <v>0</v>
      </c>
      <c r="V41" s="15">
        <v>0</v>
      </c>
      <c r="W41" s="15">
        <v>0</v>
      </c>
      <c r="X41" s="15" t="s">
        <v>937</v>
      </c>
      <c r="Y41" s="15"/>
      <c r="Z41" s="15"/>
      <c r="AA41" s="16" t="s">
        <v>100</v>
      </c>
      <c r="AB41" s="17" t="s">
        <v>101</v>
      </c>
      <c r="AC41" s="17" t="s">
        <v>58</v>
      </c>
      <c r="AD41" s="18">
        <v>23412454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18">
        <v>23412454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1">
        <f t="shared" si="21"/>
        <v>0</v>
      </c>
      <c r="AU41" s="18">
        <f>AJ41-AM41</f>
        <v>23412454</v>
      </c>
      <c r="AV41" s="34">
        <f>AM41-AP41</f>
        <v>0</v>
      </c>
      <c r="AW41" s="34">
        <f>AP41-AT41</f>
        <v>0</v>
      </c>
      <c r="AX41" s="32">
        <f t="shared" si="20"/>
        <v>0</v>
      </c>
    </row>
    <row r="42" spans="1:50" s="25" customFormat="1" ht="18.75" customHeight="1" x14ac:dyDescent="0.2">
      <c r="A42" s="19" t="s">
        <v>49</v>
      </c>
      <c r="B42" s="19" t="s">
        <v>50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6" t="s">
        <v>102</v>
      </c>
      <c r="AB42" s="21" t="s">
        <v>103</v>
      </c>
      <c r="AC42" s="22" t="s">
        <v>37</v>
      </c>
      <c r="AD42" s="22">
        <f>AD43+AD46+AD49+AD52+AD55+AD58+AD61+AD64+AD67</f>
        <v>9938807657</v>
      </c>
      <c r="AE42" s="23">
        <f t="shared" ref="AE42:AW42" si="22">AE43+AE46+AE49+AE52+AE55+AE58+AE61+AE64+AE67</f>
        <v>0</v>
      </c>
      <c r="AF42" s="23">
        <f t="shared" si="22"/>
        <v>0</v>
      </c>
      <c r="AG42" s="23">
        <f>AG43+AG46+AG49+AG52+AG55+AG58+AG61+AG64+AG67</f>
        <v>0</v>
      </c>
      <c r="AH42" s="22">
        <f>AH43+AH46+AH49+AH52+AH55+AH58+AH61+AH64+AH67</f>
        <v>460500000</v>
      </c>
      <c r="AI42" s="22">
        <f t="shared" si="22"/>
        <v>-460500000</v>
      </c>
      <c r="AJ42" s="22">
        <f t="shared" si="22"/>
        <v>9478307657</v>
      </c>
      <c r="AK42" s="23">
        <f t="shared" si="22"/>
        <v>0</v>
      </c>
      <c r="AL42" s="22">
        <f t="shared" si="22"/>
        <v>590091353</v>
      </c>
      <c r="AM42" s="22">
        <f t="shared" si="22"/>
        <v>5300783405</v>
      </c>
      <c r="AN42" s="23">
        <f t="shared" si="22"/>
        <v>0</v>
      </c>
      <c r="AO42" s="22">
        <f t="shared" si="22"/>
        <v>590091353</v>
      </c>
      <c r="AP42" s="22">
        <f t="shared" si="22"/>
        <v>5300783405</v>
      </c>
      <c r="AQ42" s="23">
        <f t="shared" si="22"/>
        <v>0</v>
      </c>
      <c r="AR42" s="22">
        <f t="shared" si="22"/>
        <v>590091353</v>
      </c>
      <c r="AS42" s="22">
        <f t="shared" si="22"/>
        <v>5300783405</v>
      </c>
      <c r="AT42" s="22">
        <f>AQ42+AS42</f>
        <v>5300783405</v>
      </c>
      <c r="AU42" s="22">
        <f t="shared" si="22"/>
        <v>4177524252</v>
      </c>
      <c r="AV42" s="23">
        <f t="shared" si="22"/>
        <v>0</v>
      </c>
      <c r="AW42" s="23">
        <f t="shared" si="22"/>
        <v>0</v>
      </c>
      <c r="AX42" s="24">
        <f t="shared" si="20"/>
        <v>0.55925420410733562</v>
      </c>
    </row>
    <row r="43" spans="1:50" ht="18.75" customHeight="1" x14ac:dyDescent="0.2">
      <c r="A43" s="27" t="s">
        <v>49</v>
      </c>
      <c r="B43" s="27" t="s">
        <v>50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8" t="s">
        <v>104</v>
      </c>
      <c r="AB43" s="29" t="s">
        <v>105</v>
      </c>
      <c r="AC43" s="30" t="s">
        <v>37</v>
      </c>
      <c r="AD43" s="30">
        <f>AD44+AD45</f>
        <v>2694944550</v>
      </c>
      <c r="AE43" s="31">
        <f t="shared" ref="AE43:AS43" si="23">AE44+AE45</f>
        <v>0</v>
      </c>
      <c r="AF43" s="31">
        <f t="shared" si="23"/>
        <v>0</v>
      </c>
      <c r="AG43" s="31">
        <f t="shared" si="23"/>
        <v>0</v>
      </c>
      <c r="AH43" s="30">
        <f t="shared" si="23"/>
        <v>170000000</v>
      </c>
      <c r="AI43" s="30">
        <f t="shared" si="23"/>
        <v>-170000000</v>
      </c>
      <c r="AJ43" s="30">
        <f t="shared" si="23"/>
        <v>2524944550</v>
      </c>
      <c r="AK43" s="31">
        <f t="shared" si="23"/>
        <v>0</v>
      </c>
      <c r="AL43" s="30">
        <f t="shared" si="23"/>
        <v>204671000</v>
      </c>
      <c r="AM43" s="30">
        <f t="shared" si="23"/>
        <v>1382178900</v>
      </c>
      <c r="AN43" s="31">
        <f t="shared" si="23"/>
        <v>0</v>
      </c>
      <c r="AO43" s="30">
        <f t="shared" si="23"/>
        <v>204671000</v>
      </c>
      <c r="AP43" s="30">
        <f t="shared" si="23"/>
        <v>1382178900</v>
      </c>
      <c r="AQ43" s="31">
        <f t="shared" si="23"/>
        <v>0</v>
      </c>
      <c r="AR43" s="30">
        <f t="shared" si="23"/>
        <v>204671000</v>
      </c>
      <c r="AS43" s="30">
        <f t="shared" si="23"/>
        <v>1382178900</v>
      </c>
      <c r="AT43" s="30">
        <f t="shared" ref="AT43:AT69" si="24">AQ43+AS43</f>
        <v>1382178900</v>
      </c>
      <c r="AU43" s="18">
        <f t="shared" ref="AU43:AU69" si="25">AJ43-AM43</f>
        <v>1142765650</v>
      </c>
      <c r="AV43" s="34">
        <f t="shared" ref="AV43:AV69" si="26">AM43-AP43</f>
        <v>0</v>
      </c>
      <c r="AW43" s="34">
        <f t="shared" ref="AW43:AW69" si="27">AP43-AT43</f>
        <v>0</v>
      </c>
      <c r="AX43" s="32">
        <f t="shared" si="20"/>
        <v>0.54740960549014828</v>
      </c>
    </row>
    <row r="44" spans="1:50" ht="18.75" customHeight="1" x14ac:dyDescent="0.2">
      <c r="A44" s="14" t="s">
        <v>55</v>
      </c>
      <c r="B44" s="15" t="s">
        <v>56</v>
      </c>
      <c r="C44" s="15"/>
      <c r="D44" s="15" t="s">
        <v>40</v>
      </c>
      <c r="E44" s="15"/>
      <c r="F44" s="15"/>
      <c r="G44" s="15" t="s">
        <v>41</v>
      </c>
      <c r="H44" s="15"/>
      <c r="I44" s="15" t="s">
        <v>936</v>
      </c>
      <c r="J44" s="15"/>
      <c r="K44" s="15" t="s">
        <v>932</v>
      </c>
      <c r="L44" s="15"/>
      <c r="M44" s="15" t="s">
        <v>933</v>
      </c>
      <c r="N44" s="15"/>
      <c r="O44" s="15" t="s">
        <v>938</v>
      </c>
      <c r="P44" s="15"/>
      <c r="Q44" s="15" t="s">
        <v>939</v>
      </c>
      <c r="R44" s="15"/>
      <c r="S44" s="15" t="s">
        <v>940</v>
      </c>
      <c r="T44" s="15">
        <v>0</v>
      </c>
      <c r="U44" s="15">
        <v>0</v>
      </c>
      <c r="V44" s="15">
        <v>0</v>
      </c>
      <c r="W44" s="15">
        <v>0</v>
      </c>
      <c r="X44" s="15" t="s">
        <v>937</v>
      </c>
      <c r="Y44" s="15"/>
      <c r="Z44" s="15"/>
      <c r="AA44" s="16" t="s">
        <v>106</v>
      </c>
      <c r="AB44" s="17" t="s">
        <v>105</v>
      </c>
      <c r="AC44" s="17" t="s">
        <v>58</v>
      </c>
      <c r="AD44" s="18">
        <v>2434081998</v>
      </c>
      <c r="AE44" s="34">
        <v>0</v>
      </c>
      <c r="AF44" s="34">
        <v>0</v>
      </c>
      <c r="AG44" s="34">
        <v>0</v>
      </c>
      <c r="AH44" s="18">
        <f>70000000+100000000</f>
        <v>170000000</v>
      </c>
      <c r="AI44" s="18">
        <f>AE44-AF44+AG44-AH44</f>
        <v>-170000000</v>
      </c>
      <c r="AJ44" s="18">
        <f>AD44+AI44</f>
        <v>2264081998</v>
      </c>
      <c r="AK44" s="34">
        <v>0</v>
      </c>
      <c r="AL44" s="18">
        <v>191095800</v>
      </c>
      <c r="AM44" s="18">
        <v>1270053700</v>
      </c>
      <c r="AN44" s="34">
        <v>0</v>
      </c>
      <c r="AO44" s="18">
        <v>191095800</v>
      </c>
      <c r="AP44" s="18">
        <v>1270053700</v>
      </c>
      <c r="AQ44" s="34">
        <v>0</v>
      </c>
      <c r="AR44" s="18">
        <v>191095800</v>
      </c>
      <c r="AS44" s="18">
        <v>1270053700</v>
      </c>
      <c r="AT44" s="39">
        <f t="shared" si="24"/>
        <v>1270053700</v>
      </c>
      <c r="AU44" s="18">
        <f t="shared" si="25"/>
        <v>994028298</v>
      </c>
      <c r="AV44" s="34">
        <f t="shared" si="26"/>
        <v>0</v>
      </c>
      <c r="AW44" s="34">
        <f t="shared" si="27"/>
        <v>0</v>
      </c>
      <c r="AX44" s="32">
        <f t="shared" si="20"/>
        <v>0.56095746581701322</v>
      </c>
    </row>
    <row r="45" spans="1:50" ht="27" customHeight="1" x14ac:dyDescent="0.2">
      <c r="A45" s="14" t="s">
        <v>55</v>
      </c>
      <c r="B45" s="15" t="s">
        <v>56</v>
      </c>
      <c r="C45" s="15"/>
      <c r="D45" s="15" t="s">
        <v>40</v>
      </c>
      <c r="E45" s="15"/>
      <c r="F45" s="15"/>
      <c r="G45" s="15" t="s">
        <v>41</v>
      </c>
      <c r="H45" s="15"/>
      <c r="I45" s="15" t="s">
        <v>941</v>
      </c>
      <c r="J45" s="15"/>
      <c r="K45" s="15" t="s">
        <v>932</v>
      </c>
      <c r="L45" s="15"/>
      <c r="M45" s="15" t="s">
        <v>933</v>
      </c>
      <c r="N45" s="15"/>
      <c r="O45" s="15" t="s">
        <v>938</v>
      </c>
      <c r="P45" s="15"/>
      <c r="Q45" s="15" t="s">
        <v>939</v>
      </c>
      <c r="R45" s="15"/>
      <c r="S45" s="15" t="s">
        <v>940</v>
      </c>
      <c r="T45" s="15">
        <v>0</v>
      </c>
      <c r="U45" s="15">
        <v>0</v>
      </c>
      <c r="V45" s="15">
        <v>0</v>
      </c>
      <c r="W45" s="15">
        <v>0</v>
      </c>
      <c r="X45" s="15" t="s">
        <v>937</v>
      </c>
      <c r="Y45" s="15"/>
      <c r="Z45" s="15"/>
      <c r="AA45" s="16" t="s">
        <v>107</v>
      </c>
      <c r="AB45" s="17" t="s">
        <v>108</v>
      </c>
      <c r="AC45" s="17" t="s">
        <v>61</v>
      </c>
      <c r="AD45" s="18">
        <v>260862552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18">
        <v>260862552</v>
      </c>
      <c r="AK45" s="34">
        <v>0</v>
      </c>
      <c r="AL45" s="18">
        <v>13575200</v>
      </c>
      <c r="AM45" s="18">
        <v>112125200</v>
      </c>
      <c r="AN45" s="34">
        <v>0</v>
      </c>
      <c r="AO45" s="18">
        <v>13575200</v>
      </c>
      <c r="AP45" s="18">
        <v>112125200</v>
      </c>
      <c r="AQ45" s="34">
        <v>0</v>
      </c>
      <c r="AR45" s="18">
        <v>13575200</v>
      </c>
      <c r="AS45" s="18">
        <v>112125200</v>
      </c>
      <c r="AT45" s="39">
        <f t="shared" si="24"/>
        <v>112125200</v>
      </c>
      <c r="AU45" s="18">
        <f t="shared" si="25"/>
        <v>148737352</v>
      </c>
      <c r="AV45" s="34">
        <f t="shared" si="26"/>
        <v>0</v>
      </c>
      <c r="AW45" s="34">
        <f t="shared" si="27"/>
        <v>0</v>
      </c>
      <c r="AX45" s="32">
        <f t="shared" si="20"/>
        <v>0.42982482207718337</v>
      </c>
    </row>
    <row r="46" spans="1:50" ht="18.75" customHeight="1" x14ac:dyDescent="0.2">
      <c r="A46" s="27" t="s">
        <v>49</v>
      </c>
      <c r="B46" s="27" t="s">
        <v>50</v>
      </c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8" t="s">
        <v>109</v>
      </c>
      <c r="AB46" s="29" t="s">
        <v>110</v>
      </c>
      <c r="AC46" s="30" t="s">
        <v>37</v>
      </c>
      <c r="AD46" s="30">
        <f>AD47+AD48</f>
        <v>1966170915</v>
      </c>
      <c r="AE46" s="31">
        <f t="shared" ref="AE46:AS46" si="28">AE47+AE48</f>
        <v>0</v>
      </c>
      <c r="AF46" s="31">
        <f t="shared" si="28"/>
        <v>0</v>
      </c>
      <c r="AG46" s="31">
        <f t="shared" si="28"/>
        <v>0</v>
      </c>
      <c r="AH46" s="31">
        <f t="shared" si="28"/>
        <v>0</v>
      </c>
      <c r="AI46" s="31">
        <f t="shared" si="28"/>
        <v>0</v>
      </c>
      <c r="AJ46" s="30">
        <f t="shared" si="28"/>
        <v>1966170915</v>
      </c>
      <c r="AK46" s="31">
        <f t="shared" si="28"/>
        <v>0</v>
      </c>
      <c r="AL46" s="30">
        <f t="shared" si="28"/>
        <v>147928300</v>
      </c>
      <c r="AM46" s="30">
        <f t="shared" si="28"/>
        <v>1005851900</v>
      </c>
      <c r="AN46" s="31">
        <f t="shared" si="28"/>
        <v>0</v>
      </c>
      <c r="AO46" s="30">
        <f t="shared" si="28"/>
        <v>147928300</v>
      </c>
      <c r="AP46" s="30">
        <f t="shared" si="28"/>
        <v>1005851900</v>
      </c>
      <c r="AQ46" s="31">
        <f t="shared" si="28"/>
        <v>0</v>
      </c>
      <c r="AR46" s="30">
        <f t="shared" si="28"/>
        <v>147928300</v>
      </c>
      <c r="AS46" s="109">
        <f t="shared" si="28"/>
        <v>1005851900</v>
      </c>
      <c r="AT46" s="39">
        <f t="shared" si="24"/>
        <v>1005851900</v>
      </c>
      <c r="AU46" s="18">
        <f t="shared" si="25"/>
        <v>960319015</v>
      </c>
      <c r="AV46" s="34">
        <f t="shared" si="26"/>
        <v>0</v>
      </c>
      <c r="AW46" s="34">
        <f t="shared" si="27"/>
        <v>0</v>
      </c>
      <c r="AX46" s="32">
        <f t="shared" si="20"/>
        <v>0.51157907602351038</v>
      </c>
    </row>
    <row r="47" spans="1:50" ht="18.75" customHeight="1" x14ac:dyDescent="0.2">
      <c r="A47" s="35" t="s">
        <v>55</v>
      </c>
      <c r="B47" s="36" t="s">
        <v>56</v>
      </c>
      <c r="C47" s="36"/>
      <c r="D47" s="36" t="s">
        <v>40</v>
      </c>
      <c r="E47" s="36"/>
      <c r="F47" s="36"/>
      <c r="G47" s="36" t="s">
        <v>41</v>
      </c>
      <c r="H47" s="36"/>
      <c r="I47" s="36" t="s">
        <v>936</v>
      </c>
      <c r="J47" s="36"/>
      <c r="K47" s="36" t="s">
        <v>932</v>
      </c>
      <c r="L47" s="36"/>
      <c r="M47" s="36" t="s">
        <v>933</v>
      </c>
      <c r="N47" s="36"/>
      <c r="O47" s="36" t="s">
        <v>938</v>
      </c>
      <c r="P47" s="36"/>
      <c r="Q47" s="36" t="s">
        <v>939</v>
      </c>
      <c r="R47" s="36"/>
      <c r="S47" s="36" t="s">
        <v>940</v>
      </c>
      <c r="T47" s="36">
        <v>0</v>
      </c>
      <c r="U47" s="36">
        <v>0</v>
      </c>
      <c r="V47" s="36">
        <v>0</v>
      </c>
      <c r="W47" s="36">
        <v>0</v>
      </c>
      <c r="X47" s="36" t="s">
        <v>937</v>
      </c>
      <c r="Y47" s="36"/>
      <c r="Z47" s="36"/>
      <c r="AA47" s="37" t="s">
        <v>111</v>
      </c>
      <c r="AB47" s="38" t="s">
        <v>110</v>
      </c>
      <c r="AC47" s="38" t="s">
        <v>58</v>
      </c>
      <c r="AD47" s="39">
        <v>1757106683</v>
      </c>
      <c r="AE47" s="40">
        <v>0</v>
      </c>
      <c r="AF47" s="40">
        <v>0</v>
      </c>
      <c r="AG47" s="40">
        <v>0</v>
      </c>
      <c r="AH47" s="40">
        <v>0</v>
      </c>
      <c r="AI47" s="40">
        <v>0</v>
      </c>
      <c r="AJ47" s="39">
        <v>1757106683</v>
      </c>
      <c r="AK47" s="40">
        <v>0</v>
      </c>
      <c r="AL47" s="39">
        <v>138312400</v>
      </c>
      <c r="AM47" s="39">
        <v>926423100</v>
      </c>
      <c r="AN47" s="40">
        <v>0</v>
      </c>
      <c r="AO47" s="18">
        <v>138312400</v>
      </c>
      <c r="AP47" s="39">
        <v>926423100</v>
      </c>
      <c r="AQ47" s="40">
        <v>0</v>
      </c>
      <c r="AR47" s="39">
        <v>138312400</v>
      </c>
      <c r="AS47" s="111">
        <v>926423100</v>
      </c>
      <c r="AT47" s="39">
        <f t="shared" si="24"/>
        <v>926423100</v>
      </c>
      <c r="AU47" s="18">
        <f t="shared" si="25"/>
        <v>830683583</v>
      </c>
      <c r="AV47" s="34">
        <f t="shared" si="26"/>
        <v>0</v>
      </c>
      <c r="AW47" s="34">
        <f t="shared" si="27"/>
        <v>0</v>
      </c>
      <c r="AX47" s="32">
        <f t="shared" si="20"/>
        <v>0.52724351285163262</v>
      </c>
    </row>
    <row r="48" spans="1:50" ht="18.75" customHeight="1" x14ac:dyDescent="0.2">
      <c r="A48" s="14" t="s">
        <v>55</v>
      </c>
      <c r="B48" s="15" t="s">
        <v>56</v>
      </c>
      <c r="C48" s="15"/>
      <c r="D48" s="15" t="s">
        <v>40</v>
      </c>
      <c r="E48" s="15"/>
      <c r="F48" s="15"/>
      <c r="G48" s="15" t="s">
        <v>41</v>
      </c>
      <c r="H48" s="15"/>
      <c r="I48" s="15" t="s">
        <v>941</v>
      </c>
      <c r="J48" s="15"/>
      <c r="K48" s="15" t="s">
        <v>932</v>
      </c>
      <c r="L48" s="15"/>
      <c r="M48" s="15" t="s">
        <v>933</v>
      </c>
      <c r="N48" s="15"/>
      <c r="O48" s="15" t="s">
        <v>938</v>
      </c>
      <c r="P48" s="15"/>
      <c r="Q48" s="15" t="s">
        <v>939</v>
      </c>
      <c r="R48" s="15"/>
      <c r="S48" s="15" t="s">
        <v>940</v>
      </c>
      <c r="T48" s="15">
        <v>0</v>
      </c>
      <c r="U48" s="15">
        <v>0</v>
      </c>
      <c r="V48" s="15">
        <v>0</v>
      </c>
      <c r="W48" s="15">
        <v>0</v>
      </c>
      <c r="X48" s="15" t="s">
        <v>937</v>
      </c>
      <c r="Y48" s="15"/>
      <c r="Z48" s="15"/>
      <c r="AA48" s="16" t="s">
        <v>112</v>
      </c>
      <c r="AB48" s="17" t="s">
        <v>113</v>
      </c>
      <c r="AC48" s="17" t="s">
        <v>61</v>
      </c>
      <c r="AD48" s="18">
        <v>209064232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18">
        <v>209064232</v>
      </c>
      <c r="AK48" s="34">
        <v>0</v>
      </c>
      <c r="AL48" s="39">
        <v>9615900</v>
      </c>
      <c r="AM48" s="18">
        <v>79428800</v>
      </c>
      <c r="AN48" s="34">
        <v>0</v>
      </c>
      <c r="AO48" s="18">
        <v>9615900</v>
      </c>
      <c r="AP48" s="18">
        <v>79428800</v>
      </c>
      <c r="AQ48" s="34">
        <v>0</v>
      </c>
      <c r="AR48" s="39">
        <v>9615900</v>
      </c>
      <c r="AS48" s="110">
        <v>79428800</v>
      </c>
      <c r="AT48" s="39">
        <f t="shared" si="24"/>
        <v>79428800</v>
      </c>
      <c r="AU48" s="18">
        <f t="shared" si="25"/>
        <v>129635432</v>
      </c>
      <c r="AV48" s="34">
        <f t="shared" si="26"/>
        <v>0</v>
      </c>
      <c r="AW48" s="34">
        <f t="shared" si="27"/>
        <v>0</v>
      </c>
      <c r="AX48" s="32">
        <f t="shared" si="20"/>
        <v>0.37992534275303486</v>
      </c>
    </row>
    <row r="49" spans="1:50" ht="18.75" customHeight="1" x14ac:dyDescent="0.2">
      <c r="A49" s="27" t="s">
        <v>49</v>
      </c>
      <c r="B49" s="27" t="s">
        <v>50</v>
      </c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8" t="s">
        <v>114</v>
      </c>
      <c r="AB49" s="29" t="s">
        <v>115</v>
      </c>
      <c r="AC49" s="30" t="s">
        <v>37</v>
      </c>
      <c r="AD49" s="30">
        <f>AD50+AD51</f>
        <v>2387025947</v>
      </c>
      <c r="AE49" s="31">
        <f t="shared" ref="AE49:AS49" si="29">AE50+AE51</f>
        <v>0</v>
      </c>
      <c r="AF49" s="31">
        <f t="shared" si="29"/>
        <v>0</v>
      </c>
      <c r="AG49" s="31">
        <f t="shared" si="29"/>
        <v>0</v>
      </c>
      <c r="AH49" s="31">
        <f t="shared" si="29"/>
        <v>0</v>
      </c>
      <c r="AI49" s="31">
        <f t="shared" si="29"/>
        <v>0</v>
      </c>
      <c r="AJ49" s="30">
        <f t="shared" si="29"/>
        <v>2387025947</v>
      </c>
      <c r="AK49" s="31">
        <f t="shared" si="29"/>
        <v>0</v>
      </c>
      <c r="AL49" s="30">
        <f t="shared" si="29"/>
        <v>59557853</v>
      </c>
      <c r="AM49" s="30">
        <f t="shared" si="29"/>
        <v>1652163505</v>
      </c>
      <c r="AN49" s="31">
        <f t="shared" si="29"/>
        <v>0</v>
      </c>
      <c r="AO49" s="30">
        <f t="shared" si="29"/>
        <v>59557853</v>
      </c>
      <c r="AP49" s="30">
        <f t="shared" si="29"/>
        <v>1652163505</v>
      </c>
      <c r="AQ49" s="31">
        <f t="shared" si="29"/>
        <v>0</v>
      </c>
      <c r="AR49" s="30">
        <f t="shared" si="29"/>
        <v>59557853</v>
      </c>
      <c r="AS49" s="30">
        <f t="shared" si="29"/>
        <v>1652163505</v>
      </c>
      <c r="AT49" s="39">
        <f t="shared" si="24"/>
        <v>1652163505</v>
      </c>
      <c r="AU49" s="18">
        <f t="shared" si="25"/>
        <v>734862442</v>
      </c>
      <c r="AV49" s="34">
        <f t="shared" si="26"/>
        <v>0</v>
      </c>
      <c r="AW49" s="34">
        <f t="shared" si="27"/>
        <v>0</v>
      </c>
      <c r="AX49" s="32">
        <f t="shared" si="20"/>
        <v>0.69214308586650652</v>
      </c>
    </row>
    <row r="50" spans="1:50" ht="18.75" customHeight="1" x14ac:dyDescent="0.2">
      <c r="A50" s="14" t="s">
        <v>55</v>
      </c>
      <c r="B50" s="15" t="s">
        <v>56</v>
      </c>
      <c r="C50" s="15"/>
      <c r="D50" s="15" t="s">
        <v>40</v>
      </c>
      <c r="E50" s="15"/>
      <c r="F50" s="15"/>
      <c r="G50" s="15" t="s">
        <v>41</v>
      </c>
      <c r="H50" s="15"/>
      <c r="I50" s="15" t="s">
        <v>936</v>
      </c>
      <c r="J50" s="15"/>
      <c r="K50" s="15" t="s">
        <v>932</v>
      </c>
      <c r="L50" s="15"/>
      <c r="M50" s="15" t="s">
        <v>933</v>
      </c>
      <c r="N50" s="15"/>
      <c r="O50" s="15" t="s">
        <v>938</v>
      </c>
      <c r="P50" s="15"/>
      <c r="Q50" s="15" t="s">
        <v>939</v>
      </c>
      <c r="R50" s="15"/>
      <c r="S50" s="15" t="s">
        <v>940</v>
      </c>
      <c r="T50" s="15">
        <v>0</v>
      </c>
      <c r="U50" s="15">
        <v>0</v>
      </c>
      <c r="V50" s="15">
        <v>0</v>
      </c>
      <c r="W50" s="15">
        <v>0</v>
      </c>
      <c r="X50" s="15" t="s">
        <v>937</v>
      </c>
      <c r="Y50" s="15"/>
      <c r="Z50" s="15"/>
      <c r="AA50" s="16" t="s">
        <v>116</v>
      </c>
      <c r="AB50" s="17" t="s">
        <v>115</v>
      </c>
      <c r="AC50" s="17" t="s">
        <v>58</v>
      </c>
      <c r="AD50" s="18">
        <v>2208060292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18">
        <v>2208060292</v>
      </c>
      <c r="AK50" s="34">
        <v>0</v>
      </c>
      <c r="AL50" s="18">
        <v>59224731</v>
      </c>
      <c r="AM50" s="18">
        <v>1568597107</v>
      </c>
      <c r="AN50" s="34">
        <v>0</v>
      </c>
      <c r="AO50" s="18">
        <v>59224731</v>
      </c>
      <c r="AP50" s="18">
        <v>1568597107</v>
      </c>
      <c r="AQ50" s="34">
        <v>0</v>
      </c>
      <c r="AR50" s="39">
        <v>59224731</v>
      </c>
      <c r="AS50" s="110">
        <v>1568597107</v>
      </c>
      <c r="AT50" s="39">
        <f t="shared" si="24"/>
        <v>1568597107</v>
      </c>
      <c r="AU50" s="18">
        <f t="shared" si="25"/>
        <v>639463185</v>
      </c>
      <c r="AV50" s="34">
        <f t="shared" si="26"/>
        <v>0</v>
      </c>
      <c r="AW50" s="34">
        <f t="shared" si="27"/>
        <v>0</v>
      </c>
      <c r="AX50" s="32">
        <f t="shared" si="20"/>
        <v>0.71039595824587198</v>
      </c>
    </row>
    <row r="51" spans="1:50" ht="18.75" customHeight="1" x14ac:dyDescent="0.2">
      <c r="A51" s="14" t="s">
        <v>55</v>
      </c>
      <c r="B51" s="15" t="s">
        <v>56</v>
      </c>
      <c r="C51" s="15"/>
      <c r="D51" s="15" t="s">
        <v>40</v>
      </c>
      <c r="E51" s="15"/>
      <c r="F51" s="15"/>
      <c r="G51" s="15" t="s">
        <v>41</v>
      </c>
      <c r="H51" s="15"/>
      <c r="I51" s="15" t="s">
        <v>941</v>
      </c>
      <c r="J51" s="15"/>
      <c r="K51" s="15" t="s">
        <v>932</v>
      </c>
      <c r="L51" s="15"/>
      <c r="M51" s="15" t="s">
        <v>933</v>
      </c>
      <c r="N51" s="15"/>
      <c r="O51" s="15" t="s">
        <v>938</v>
      </c>
      <c r="P51" s="15"/>
      <c r="Q51" s="15" t="s">
        <v>939</v>
      </c>
      <c r="R51" s="15"/>
      <c r="S51" s="15" t="s">
        <v>940</v>
      </c>
      <c r="T51" s="15">
        <v>0</v>
      </c>
      <c r="U51" s="15">
        <v>0</v>
      </c>
      <c r="V51" s="15">
        <v>0</v>
      </c>
      <c r="W51" s="15">
        <v>0</v>
      </c>
      <c r="X51" s="15" t="s">
        <v>937</v>
      </c>
      <c r="Y51" s="15"/>
      <c r="Z51" s="15"/>
      <c r="AA51" s="16" t="s">
        <v>117</v>
      </c>
      <c r="AB51" s="17" t="s">
        <v>115</v>
      </c>
      <c r="AC51" s="17" t="s">
        <v>61</v>
      </c>
      <c r="AD51" s="18">
        <v>178965655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18">
        <v>178965655</v>
      </c>
      <c r="AK51" s="34">
        <v>0</v>
      </c>
      <c r="AL51" s="18">
        <v>333122</v>
      </c>
      <c r="AM51" s="18">
        <v>83566398</v>
      </c>
      <c r="AN51" s="34">
        <v>0</v>
      </c>
      <c r="AO51" s="18">
        <v>333122</v>
      </c>
      <c r="AP51" s="18">
        <v>83566398</v>
      </c>
      <c r="AQ51" s="34">
        <v>0</v>
      </c>
      <c r="AR51" s="39">
        <v>333122</v>
      </c>
      <c r="AS51" s="110">
        <v>83566398</v>
      </c>
      <c r="AT51" s="39">
        <f t="shared" si="24"/>
        <v>83566398</v>
      </c>
      <c r="AU51" s="18">
        <f t="shared" si="25"/>
        <v>95399257</v>
      </c>
      <c r="AV51" s="34">
        <f t="shared" si="26"/>
        <v>0</v>
      </c>
      <c r="AW51" s="34">
        <f t="shared" si="27"/>
        <v>0</v>
      </c>
      <c r="AX51" s="32">
        <f t="shared" si="20"/>
        <v>0.46694097814466134</v>
      </c>
    </row>
    <row r="52" spans="1:50" ht="18.75" customHeight="1" x14ac:dyDescent="0.2">
      <c r="A52" s="27" t="s">
        <v>49</v>
      </c>
      <c r="B52" s="27" t="s">
        <v>50</v>
      </c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8" t="s">
        <v>118</v>
      </c>
      <c r="AB52" s="29" t="s">
        <v>119</v>
      </c>
      <c r="AC52" s="30" t="s">
        <v>37</v>
      </c>
      <c r="AD52" s="30">
        <f>AD53+AD54</f>
        <v>1154194065</v>
      </c>
      <c r="AE52" s="31">
        <f t="shared" ref="AE52:AS52" si="30">AE53+AE54</f>
        <v>0</v>
      </c>
      <c r="AF52" s="31">
        <f t="shared" si="30"/>
        <v>0</v>
      </c>
      <c r="AG52" s="31">
        <f t="shared" si="30"/>
        <v>0</v>
      </c>
      <c r="AH52" s="30">
        <f t="shared" si="30"/>
        <v>153000000</v>
      </c>
      <c r="AI52" s="30">
        <f t="shared" si="30"/>
        <v>-153000000</v>
      </c>
      <c r="AJ52" s="30">
        <f t="shared" si="30"/>
        <v>1001194065</v>
      </c>
      <c r="AK52" s="31">
        <f t="shared" si="30"/>
        <v>0</v>
      </c>
      <c r="AL52" s="30">
        <f t="shared" si="30"/>
        <v>72633400</v>
      </c>
      <c r="AM52" s="30">
        <f t="shared" si="30"/>
        <v>512443900</v>
      </c>
      <c r="AN52" s="31">
        <f t="shared" si="30"/>
        <v>0</v>
      </c>
      <c r="AO52" s="30">
        <f t="shared" si="30"/>
        <v>72633400</v>
      </c>
      <c r="AP52" s="30">
        <f t="shared" si="30"/>
        <v>512443900</v>
      </c>
      <c r="AQ52" s="31">
        <f t="shared" si="30"/>
        <v>0</v>
      </c>
      <c r="AR52" s="30">
        <f t="shared" si="30"/>
        <v>72633400</v>
      </c>
      <c r="AS52" s="30">
        <f t="shared" si="30"/>
        <v>512443900</v>
      </c>
      <c r="AT52" s="30">
        <f t="shared" si="24"/>
        <v>512443900</v>
      </c>
      <c r="AU52" s="18">
        <f t="shared" si="25"/>
        <v>488750165</v>
      </c>
      <c r="AV52" s="34">
        <f t="shared" si="26"/>
        <v>0</v>
      </c>
      <c r="AW52" s="34">
        <f t="shared" si="27"/>
        <v>0</v>
      </c>
      <c r="AX52" s="32">
        <f t="shared" si="20"/>
        <v>0.51183273844117327</v>
      </c>
    </row>
    <row r="53" spans="1:50" ht="18.75" customHeight="1" x14ac:dyDescent="0.2">
      <c r="A53" s="14" t="s">
        <v>55</v>
      </c>
      <c r="B53" s="15" t="s">
        <v>56</v>
      </c>
      <c r="C53" s="15"/>
      <c r="D53" s="15" t="s">
        <v>40</v>
      </c>
      <c r="E53" s="15"/>
      <c r="F53" s="15"/>
      <c r="G53" s="15" t="s">
        <v>41</v>
      </c>
      <c r="H53" s="15"/>
      <c r="I53" s="15" t="s">
        <v>936</v>
      </c>
      <c r="J53" s="15"/>
      <c r="K53" s="15" t="s">
        <v>932</v>
      </c>
      <c r="L53" s="15"/>
      <c r="M53" s="15" t="s">
        <v>933</v>
      </c>
      <c r="N53" s="15"/>
      <c r="O53" s="15" t="s">
        <v>938</v>
      </c>
      <c r="P53" s="15"/>
      <c r="Q53" s="15" t="s">
        <v>939</v>
      </c>
      <c r="R53" s="15"/>
      <c r="S53" s="15" t="s">
        <v>940</v>
      </c>
      <c r="T53" s="15">
        <v>0</v>
      </c>
      <c r="U53" s="15">
        <v>0</v>
      </c>
      <c r="V53" s="15">
        <v>0</v>
      </c>
      <c r="W53" s="15">
        <v>0</v>
      </c>
      <c r="X53" s="15" t="s">
        <v>937</v>
      </c>
      <c r="Y53" s="15"/>
      <c r="Z53" s="15"/>
      <c r="AA53" s="16" t="s">
        <v>120</v>
      </c>
      <c r="AB53" s="17" t="s">
        <v>119</v>
      </c>
      <c r="AC53" s="17" t="s">
        <v>58</v>
      </c>
      <c r="AD53" s="18">
        <v>1088978427</v>
      </c>
      <c r="AE53" s="34">
        <v>0</v>
      </c>
      <c r="AF53" s="34">
        <v>0</v>
      </c>
      <c r="AG53" s="34">
        <v>0</v>
      </c>
      <c r="AH53" s="18">
        <f>79000000+24000000+50000000</f>
        <v>153000000</v>
      </c>
      <c r="AI53" s="18">
        <f>AE53-AF53+AG53-AH53</f>
        <v>-153000000</v>
      </c>
      <c r="AJ53" s="18">
        <f>AD53+AI53</f>
        <v>935978427</v>
      </c>
      <c r="AK53" s="34">
        <v>0</v>
      </c>
      <c r="AL53" s="18">
        <v>67806400</v>
      </c>
      <c r="AM53" s="18">
        <v>471777200</v>
      </c>
      <c r="AN53" s="34">
        <v>0</v>
      </c>
      <c r="AO53" s="18">
        <v>67806400</v>
      </c>
      <c r="AP53" s="18">
        <v>471777200</v>
      </c>
      <c r="AQ53" s="34">
        <v>0</v>
      </c>
      <c r="AR53" s="39">
        <v>67806400</v>
      </c>
      <c r="AS53" s="110">
        <v>471777200</v>
      </c>
      <c r="AT53" s="39">
        <v>582007627</v>
      </c>
      <c r="AU53" s="18">
        <f t="shared" si="25"/>
        <v>464201227</v>
      </c>
      <c r="AV53" s="34">
        <f t="shared" si="26"/>
        <v>0</v>
      </c>
      <c r="AW53" s="18">
        <f t="shared" si="27"/>
        <v>-110230427</v>
      </c>
      <c r="AX53" s="32">
        <f t="shared" si="20"/>
        <v>0.50404708740151338</v>
      </c>
    </row>
    <row r="54" spans="1:50" ht="28.5" customHeight="1" x14ac:dyDescent="0.2">
      <c r="A54" s="14" t="s">
        <v>55</v>
      </c>
      <c r="B54" s="15" t="s">
        <v>56</v>
      </c>
      <c r="C54" s="15"/>
      <c r="D54" s="15" t="s">
        <v>40</v>
      </c>
      <c r="E54" s="15"/>
      <c r="F54" s="15"/>
      <c r="G54" s="15" t="s">
        <v>41</v>
      </c>
      <c r="H54" s="15"/>
      <c r="I54" s="15" t="s">
        <v>941</v>
      </c>
      <c r="J54" s="15"/>
      <c r="K54" s="15" t="s">
        <v>932</v>
      </c>
      <c r="L54" s="15"/>
      <c r="M54" s="15" t="s">
        <v>933</v>
      </c>
      <c r="N54" s="15"/>
      <c r="O54" s="15" t="s">
        <v>938</v>
      </c>
      <c r="P54" s="15"/>
      <c r="Q54" s="15" t="s">
        <v>939</v>
      </c>
      <c r="R54" s="15"/>
      <c r="S54" s="15" t="s">
        <v>940</v>
      </c>
      <c r="T54" s="15">
        <v>0</v>
      </c>
      <c r="U54" s="15">
        <v>0</v>
      </c>
      <c r="V54" s="15">
        <v>0</v>
      </c>
      <c r="W54" s="15">
        <v>0</v>
      </c>
      <c r="X54" s="15" t="s">
        <v>937</v>
      </c>
      <c r="Y54" s="15"/>
      <c r="Z54" s="15"/>
      <c r="AA54" s="16" t="s">
        <v>121</v>
      </c>
      <c r="AB54" s="17" t="s">
        <v>122</v>
      </c>
      <c r="AC54" s="17" t="s">
        <v>61</v>
      </c>
      <c r="AD54" s="18">
        <v>65215638</v>
      </c>
      <c r="AE54" s="34">
        <v>0</v>
      </c>
      <c r="AF54" s="34">
        <v>0</v>
      </c>
      <c r="AG54" s="34">
        <v>0</v>
      </c>
      <c r="AH54" s="34">
        <v>0</v>
      </c>
      <c r="AI54" s="34">
        <v>0</v>
      </c>
      <c r="AJ54" s="18">
        <v>65215638</v>
      </c>
      <c r="AK54" s="34">
        <v>0</v>
      </c>
      <c r="AL54" s="18">
        <v>4827000</v>
      </c>
      <c r="AM54" s="18">
        <v>40666700</v>
      </c>
      <c r="AN54" s="34">
        <v>0</v>
      </c>
      <c r="AO54" s="18">
        <v>4827000</v>
      </c>
      <c r="AP54" s="18">
        <v>40666700</v>
      </c>
      <c r="AQ54" s="34">
        <v>0</v>
      </c>
      <c r="AR54" s="39">
        <v>4827000</v>
      </c>
      <c r="AS54" s="18">
        <v>40666700</v>
      </c>
      <c r="AT54" s="39">
        <v>29375938</v>
      </c>
      <c r="AU54" s="18">
        <f t="shared" si="25"/>
        <v>24548938</v>
      </c>
      <c r="AV54" s="34">
        <f t="shared" si="26"/>
        <v>0</v>
      </c>
      <c r="AW54" s="18">
        <f t="shared" si="27"/>
        <v>11290762</v>
      </c>
      <c r="AX54" s="32">
        <f t="shared" si="20"/>
        <v>0.62357283079864989</v>
      </c>
    </row>
    <row r="55" spans="1:50" ht="18.75" customHeight="1" x14ac:dyDescent="0.2">
      <c r="A55" s="27" t="s">
        <v>49</v>
      </c>
      <c r="B55" s="27" t="s">
        <v>50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8" t="s">
        <v>123</v>
      </c>
      <c r="AB55" s="29" t="s">
        <v>124</v>
      </c>
      <c r="AC55" s="30" t="s">
        <v>37</v>
      </c>
      <c r="AD55" s="30">
        <f>AD56+AD57</f>
        <v>308515529</v>
      </c>
      <c r="AE55" s="31">
        <f t="shared" ref="AE55:AS55" si="31">AE56+AE57</f>
        <v>0</v>
      </c>
      <c r="AF55" s="31">
        <f t="shared" si="31"/>
        <v>0</v>
      </c>
      <c r="AG55" s="31">
        <f t="shared" si="31"/>
        <v>0</v>
      </c>
      <c r="AH55" s="30">
        <f t="shared" si="31"/>
        <v>37500000</v>
      </c>
      <c r="AI55" s="30">
        <f t="shared" si="31"/>
        <v>-37500000</v>
      </c>
      <c r="AJ55" s="30">
        <f t="shared" si="31"/>
        <v>271015529</v>
      </c>
      <c r="AK55" s="31">
        <f t="shared" si="31"/>
        <v>0</v>
      </c>
      <c r="AL55" s="30">
        <f t="shared" si="31"/>
        <v>14457500</v>
      </c>
      <c r="AM55" s="30">
        <f t="shared" si="31"/>
        <v>107245700</v>
      </c>
      <c r="AN55" s="31">
        <f t="shared" si="31"/>
        <v>0</v>
      </c>
      <c r="AO55" s="30">
        <f t="shared" si="31"/>
        <v>14457500</v>
      </c>
      <c r="AP55" s="30">
        <f t="shared" si="31"/>
        <v>107245700</v>
      </c>
      <c r="AQ55" s="31">
        <f t="shared" si="31"/>
        <v>0</v>
      </c>
      <c r="AR55" s="30">
        <f t="shared" si="31"/>
        <v>14457500</v>
      </c>
      <c r="AS55" s="30">
        <f t="shared" si="31"/>
        <v>107245700</v>
      </c>
      <c r="AT55" s="30">
        <f t="shared" si="24"/>
        <v>107245700</v>
      </c>
      <c r="AU55" s="18">
        <f t="shared" si="25"/>
        <v>163769829</v>
      </c>
      <c r="AV55" s="34">
        <f t="shared" si="26"/>
        <v>0</v>
      </c>
      <c r="AW55" s="34">
        <f t="shared" si="27"/>
        <v>0</v>
      </c>
      <c r="AX55" s="32">
        <f t="shared" si="20"/>
        <v>0.39571791474723944</v>
      </c>
    </row>
    <row r="56" spans="1:50" ht="18.75" customHeight="1" x14ac:dyDescent="0.2">
      <c r="A56" s="35" t="s">
        <v>55</v>
      </c>
      <c r="B56" s="36" t="s">
        <v>56</v>
      </c>
      <c r="C56" s="36"/>
      <c r="D56" s="36" t="s">
        <v>40</v>
      </c>
      <c r="E56" s="36"/>
      <c r="F56" s="36"/>
      <c r="G56" s="36" t="s">
        <v>41</v>
      </c>
      <c r="H56" s="36"/>
      <c r="I56" s="36" t="s">
        <v>936</v>
      </c>
      <c r="J56" s="36"/>
      <c r="K56" s="36" t="s">
        <v>932</v>
      </c>
      <c r="L56" s="36"/>
      <c r="M56" s="36" t="s">
        <v>933</v>
      </c>
      <c r="N56" s="36"/>
      <c r="O56" s="36" t="s">
        <v>938</v>
      </c>
      <c r="P56" s="36"/>
      <c r="Q56" s="36" t="s">
        <v>939</v>
      </c>
      <c r="R56" s="36"/>
      <c r="S56" s="36" t="s">
        <v>940</v>
      </c>
      <c r="T56" s="36">
        <v>0</v>
      </c>
      <c r="U56" s="36">
        <v>0</v>
      </c>
      <c r="V56" s="36">
        <v>0</v>
      </c>
      <c r="W56" s="36">
        <v>0</v>
      </c>
      <c r="X56" s="36" t="s">
        <v>937</v>
      </c>
      <c r="Y56" s="36"/>
      <c r="Z56" s="36"/>
      <c r="AA56" s="37" t="s">
        <v>125</v>
      </c>
      <c r="AB56" s="38" t="s">
        <v>124</v>
      </c>
      <c r="AC56" s="38" t="s">
        <v>58</v>
      </c>
      <c r="AD56" s="39">
        <v>299999998</v>
      </c>
      <c r="AE56" s="40">
        <v>0</v>
      </c>
      <c r="AF56" s="40">
        <v>0</v>
      </c>
      <c r="AG56" s="40">
        <v>0</v>
      </c>
      <c r="AH56" s="39">
        <v>37500000</v>
      </c>
      <c r="AI56" s="18">
        <f>AE56-AF56+AG56-AH56</f>
        <v>-37500000</v>
      </c>
      <c r="AJ56" s="18">
        <f>AD56+AI56</f>
        <v>262499998</v>
      </c>
      <c r="AK56" s="40">
        <v>0</v>
      </c>
      <c r="AL56" s="39">
        <v>13888300</v>
      </c>
      <c r="AM56" s="39">
        <v>102411000</v>
      </c>
      <c r="AN56" s="40">
        <v>0</v>
      </c>
      <c r="AO56" s="18">
        <v>13888300</v>
      </c>
      <c r="AP56" s="39">
        <v>102411000</v>
      </c>
      <c r="AQ56" s="40">
        <v>0</v>
      </c>
      <c r="AR56" s="39">
        <v>13888300</v>
      </c>
      <c r="AS56" s="111">
        <v>102411000</v>
      </c>
      <c r="AT56" s="39">
        <f t="shared" si="24"/>
        <v>102411000</v>
      </c>
      <c r="AU56" s="18">
        <f t="shared" si="25"/>
        <v>160088998</v>
      </c>
      <c r="AV56" s="34">
        <f t="shared" si="26"/>
        <v>0</v>
      </c>
      <c r="AW56" s="34">
        <f t="shared" si="27"/>
        <v>0</v>
      </c>
      <c r="AX56" s="32">
        <f t="shared" si="20"/>
        <v>0.39013714582961634</v>
      </c>
    </row>
    <row r="57" spans="1:50" ht="26.25" customHeight="1" x14ac:dyDescent="0.2">
      <c r="A57" s="35" t="s">
        <v>55</v>
      </c>
      <c r="B57" s="36" t="s">
        <v>56</v>
      </c>
      <c r="C57" s="36"/>
      <c r="D57" s="36" t="s">
        <v>40</v>
      </c>
      <c r="E57" s="36"/>
      <c r="F57" s="36"/>
      <c r="G57" s="36" t="s">
        <v>41</v>
      </c>
      <c r="H57" s="36"/>
      <c r="I57" s="36" t="s">
        <v>941</v>
      </c>
      <c r="J57" s="36"/>
      <c r="K57" s="36" t="s">
        <v>932</v>
      </c>
      <c r="L57" s="36"/>
      <c r="M57" s="36" t="s">
        <v>933</v>
      </c>
      <c r="N57" s="36"/>
      <c r="O57" s="36" t="s">
        <v>938</v>
      </c>
      <c r="P57" s="36"/>
      <c r="Q57" s="36" t="s">
        <v>939</v>
      </c>
      <c r="R57" s="36"/>
      <c r="S57" s="36" t="s">
        <v>940</v>
      </c>
      <c r="T57" s="36">
        <v>0</v>
      </c>
      <c r="U57" s="36">
        <v>0</v>
      </c>
      <c r="V57" s="36">
        <v>0</v>
      </c>
      <c r="W57" s="36">
        <v>0</v>
      </c>
      <c r="X57" s="36" t="s">
        <v>937</v>
      </c>
      <c r="Y57" s="36"/>
      <c r="Z57" s="36"/>
      <c r="AA57" s="37" t="s">
        <v>126</v>
      </c>
      <c r="AB57" s="38" t="s">
        <v>127</v>
      </c>
      <c r="AC57" s="38" t="s">
        <v>61</v>
      </c>
      <c r="AD57" s="39">
        <v>8515531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39">
        <v>8515531</v>
      </c>
      <c r="AK57" s="40">
        <v>0</v>
      </c>
      <c r="AL57" s="39">
        <v>569200</v>
      </c>
      <c r="AM57" s="39">
        <v>4834700</v>
      </c>
      <c r="AN57" s="40">
        <v>0</v>
      </c>
      <c r="AO57" s="18">
        <v>569200</v>
      </c>
      <c r="AP57" s="39">
        <v>4834700</v>
      </c>
      <c r="AQ57" s="40">
        <v>0</v>
      </c>
      <c r="AR57" s="39">
        <v>569200</v>
      </c>
      <c r="AS57" s="39">
        <v>4834700</v>
      </c>
      <c r="AT57" s="39">
        <f t="shared" si="24"/>
        <v>4834700</v>
      </c>
      <c r="AU57" s="18">
        <f t="shared" si="25"/>
        <v>3680831</v>
      </c>
      <c r="AV57" s="34">
        <f t="shared" si="26"/>
        <v>0</v>
      </c>
      <c r="AW57" s="34">
        <f t="shared" si="27"/>
        <v>0</v>
      </c>
      <c r="AX57" s="32">
        <f t="shared" si="20"/>
        <v>0.5677508542919989</v>
      </c>
    </row>
    <row r="58" spans="1:50" ht="18.75" customHeight="1" x14ac:dyDescent="0.2">
      <c r="A58" s="27" t="s">
        <v>49</v>
      </c>
      <c r="B58" s="27" t="s">
        <v>50</v>
      </c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8" t="s">
        <v>128</v>
      </c>
      <c r="AB58" s="29" t="s">
        <v>129</v>
      </c>
      <c r="AC58" s="30" t="s">
        <v>37</v>
      </c>
      <c r="AD58" s="30">
        <f>AD59+AD60</f>
        <v>865645548</v>
      </c>
      <c r="AE58" s="31">
        <f t="shared" ref="AE58:AS58" si="32">AE59+AE60</f>
        <v>0</v>
      </c>
      <c r="AF58" s="31">
        <f t="shared" si="32"/>
        <v>0</v>
      </c>
      <c r="AG58" s="31">
        <f t="shared" si="32"/>
        <v>0</v>
      </c>
      <c r="AH58" s="30">
        <f t="shared" si="32"/>
        <v>100000000</v>
      </c>
      <c r="AI58" s="30">
        <f t="shared" si="32"/>
        <v>-100000000</v>
      </c>
      <c r="AJ58" s="30">
        <f t="shared" si="32"/>
        <v>765645548</v>
      </c>
      <c r="AK58" s="31">
        <f t="shared" si="32"/>
        <v>0</v>
      </c>
      <c r="AL58" s="30">
        <f t="shared" si="32"/>
        <v>54476500</v>
      </c>
      <c r="AM58" s="30">
        <f t="shared" si="32"/>
        <v>384338700</v>
      </c>
      <c r="AN58" s="31">
        <f t="shared" si="32"/>
        <v>0</v>
      </c>
      <c r="AO58" s="30">
        <f t="shared" si="32"/>
        <v>54476500</v>
      </c>
      <c r="AP58" s="30">
        <f t="shared" si="32"/>
        <v>384338700</v>
      </c>
      <c r="AQ58" s="31">
        <f t="shared" si="32"/>
        <v>0</v>
      </c>
      <c r="AR58" s="30">
        <f t="shared" si="32"/>
        <v>54476500</v>
      </c>
      <c r="AS58" s="30">
        <f t="shared" si="32"/>
        <v>384338700</v>
      </c>
      <c r="AT58" s="30">
        <f t="shared" si="24"/>
        <v>384338700</v>
      </c>
      <c r="AU58" s="176">
        <f t="shared" si="25"/>
        <v>381306848</v>
      </c>
      <c r="AV58" s="34">
        <f t="shared" si="26"/>
        <v>0</v>
      </c>
      <c r="AW58" s="34">
        <f t="shared" si="27"/>
        <v>0</v>
      </c>
      <c r="AX58" s="32">
        <f t="shared" si="20"/>
        <v>0.50197993184177703</v>
      </c>
    </row>
    <row r="59" spans="1:50" ht="18.75" customHeight="1" x14ac:dyDescent="0.2">
      <c r="A59" s="14" t="s">
        <v>55</v>
      </c>
      <c r="B59" s="15" t="s">
        <v>56</v>
      </c>
      <c r="C59" s="15"/>
      <c r="D59" s="15" t="s">
        <v>40</v>
      </c>
      <c r="E59" s="15"/>
      <c r="F59" s="15"/>
      <c r="G59" s="15" t="s">
        <v>41</v>
      </c>
      <c r="H59" s="15"/>
      <c r="I59" s="15" t="s">
        <v>936</v>
      </c>
      <c r="J59" s="15"/>
      <c r="K59" s="15" t="s">
        <v>932</v>
      </c>
      <c r="L59" s="15"/>
      <c r="M59" s="15" t="s">
        <v>933</v>
      </c>
      <c r="N59" s="15"/>
      <c r="O59" s="15" t="s">
        <v>938</v>
      </c>
      <c r="P59" s="15"/>
      <c r="Q59" s="15" t="s">
        <v>939</v>
      </c>
      <c r="R59" s="15"/>
      <c r="S59" s="15" t="s">
        <v>940</v>
      </c>
      <c r="T59" s="15">
        <v>0</v>
      </c>
      <c r="U59" s="15">
        <v>0</v>
      </c>
      <c r="V59" s="15">
        <v>0</v>
      </c>
      <c r="W59" s="15">
        <v>0</v>
      </c>
      <c r="X59" s="15" t="s">
        <v>937</v>
      </c>
      <c r="Y59" s="15"/>
      <c r="Z59" s="15"/>
      <c r="AA59" s="16" t="s">
        <v>130</v>
      </c>
      <c r="AB59" s="17" t="s">
        <v>129</v>
      </c>
      <c r="AC59" s="17" t="s">
        <v>58</v>
      </c>
      <c r="AD59" s="18">
        <v>816733820</v>
      </c>
      <c r="AE59" s="34">
        <v>0</v>
      </c>
      <c r="AF59" s="34">
        <v>0</v>
      </c>
      <c r="AG59" s="34">
        <v>0</v>
      </c>
      <c r="AH59" s="18">
        <v>100000000</v>
      </c>
      <c r="AI59" s="18">
        <f>AE59-AF59+AG59-AH59</f>
        <v>-100000000</v>
      </c>
      <c r="AJ59" s="18">
        <f>AD59+AI59</f>
        <v>716733820</v>
      </c>
      <c r="AK59" s="34">
        <v>0</v>
      </c>
      <c r="AL59" s="18">
        <v>50856200</v>
      </c>
      <c r="AM59" s="18">
        <v>353839000</v>
      </c>
      <c r="AN59" s="34">
        <v>0</v>
      </c>
      <c r="AO59" s="18">
        <v>50856200</v>
      </c>
      <c r="AP59" s="18">
        <v>353839000</v>
      </c>
      <c r="AQ59" s="34">
        <v>0</v>
      </c>
      <c r="AR59" s="39">
        <v>50856200</v>
      </c>
      <c r="AS59" s="18">
        <v>353839000</v>
      </c>
      <c r="AT59" s="39">
        <f t="shared" si="24"/>
        <v>353839000</v>
      </c>
      <c r="AU59" s="18">
        <f t="shared" si="25"/>
        <v>362894820</v>
      </c>
      <c r="AV59" s="34">
        <f t="shared" si="26"/>
        <v>0</v>
      </c>
      <c r="AW59" s="34">
        <f t="shared" si="27"/>
        <v>0</v>
      </c>
      <c r="AX59" s="32">
        <f t="shared" si="20"/>
        <v>0.49368257800364435</v>
      </c>
    </row>
    <row r="60" spans="1:50" ht="18.75" customHeight="1" x14ac:dyDescent="0.2">
      <c r="A60" s="14" t="s">
        <v>55</v>
      </c>
      <c r="B60" s="15" t="s">
        <v>56</v>
      </c>
      <c r="C60" s="15"/>
      <c r="D60" s="15" t="s">
        <v>40</v>
      </c>
      <c r="E60" s="15"/>
      <c r="F60" s="15"/>
      <c r="G60" s="15" t="s">
        <v>41</v>
      </c>
      <c r="H60" s="15"/>
      <c r="I60" s="15" t="s">
        <v>941</v>
      </c>
      <c r="J60" s="15"/>
      <c r="K60" s="15" t="s">
        <v>932</v>
      </c>
      <c r="L60" s="15"/>
      <c r="M60" s="15" t="s">
        <v>933</v>
      </c>
      <c r="N60" s="15"/>
      <c r="O60" s="15" t="s">
        <v>938</v>
      </c>
      <c r="P60" s="15"/>
      <c r="Q60" s="15" t="s">
        <v>939</v>
      </c>
      <c r="R60" s="15"/>
      <c r="S60" s="15" t="s">
        <v>940</v>
      </c>
      <c r="T60" s="15">
        <v>0</v>
      </c>
      <c r="U60" s="15">
        <v>0</v>
      </c>
      <c r="V60" s="15">
        <v>0</v>
      </c>
      <c r="W60" s="15">
        <v>0</v>
      </c>
      <c r="X60" s="15" t="s">
        <v>937</v>
      </c>
      <c r="Y60" s="15"/>
      <c r="Z60" s="15"/>
      <c r="AA60" s="16" t="s">
        <v>131</v>
      </c>
      <c r="AB60" s="17" t="s">
        <v>129</v>
      </c>
      <c r="AC60" s="17" t="s">
        <v>61</v>
      </c>
      <c r="AD60" s="18">
        <v>48911728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18">
        <v>48911728</v>
      </c>
      <c r="AK60" s="34">
        <v>0</v>
      </c>
      <c r="AL60" s="18">
        <v>3620300</v>
      </c>
      <c r="AM60" s="18">
        <v>30499700</v>
      </c>
      <c r="AN60" s="34">
        <v>0</v>
      </c>
      <c r="AO60" s="18">
        <v>3620300</v>
      </c>
      <c r="AP60" s="18">
        <v>30499700</v>
      </c>
      <c r="AQ60" s="34">
        <v>0</v>
      </c>
      <c r="AR60" s="39">
        <v>3620300</v>
      </c>
      <c r="AS60" s="192">
        <v>30499700</v>
      </c>
      <c r="AT60" s="39">
        <f t="shared" si="24"/>
        <v>30499700</v>
      </c>
      <c r="AU60" s="18">
        <f t="shared" si="25"/>
        <v>18412028</v>
      </c>
      <c r="AV60" s="34">
        <f t="shared" si="26"/>
        <v>0</v>
      </c>
      <c r="AW60" s="34">
        <f t="shared" si="27"/>
        <v>0</v>
      </c>
      <c r="AX60" s="32">
        <f t="shared" si="20"/>
        <v>0.62356619254997492</v>
      </c>
    </row>
    <row r="61" spans="1:50" ht="18.75" customHeight="1" x14ac:dyDescent="0.2">
      <c r="A61" s="27" t="s">
        <v>49</v>
      </c>
      <c r="B61" s="27" t="s">
        <v>50</v>
      </c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8" t="s">
        <v>132</v>
      </c>
      <c r="AB61" s="29" t="s">
        <v>133</v>
      </c>
      <c r="AC61" s="30" t="s">
        <v>37</v>
      </c>
      <c r="AD61" s="30">
        <f>AD62+AD63</f>
        <v>144274257</v>
      </c>
      <c r="AE61" s="31">
        <f t="shared" ref="AE61:AS61" si="33">AE62+AE63</f>
        <v>0</v>
      </c>
      <c r="AF61" s="31">
        <f t="shared" si="33"/>
        <v>0</v>
      </c>
      <c r="AG61" s="31">
        <f t="shared" si="33"/>
        <v>0</v>
      </c>
      <c r="AH61" s="31">
        <f t="shared" si="33"/>
        <v>0</v>
      </c>
      <c r="AI61" s="31">
        <f t="shared" si="33"/>
        <v>0</v>
      </c>
      <c r="AJ61" s="30">
        <f t="shared" si="33"/>
        <v>144274257</v>
      </c>
      <c r="AK61" s="31">
        <f t="shared" si="33"/>
        <v>0</v>
      </c>
      <c r="AL61" s="30">
        <f t="shared" si="33"/>
        <v>9096700</v>
      </c>
      <c r="AM61" s="30">
        <f t="shared" si="33"/>
        <v>64174600</v>
      </c>
      <c r="AN61" s="31">
        <f t="shared" si="33"/>
        <v>0</v>
      </c>
      <c r="AO61" s="30">
        <f t="shared" si="33"/>
        <v>9096700</v>
      </c>
      <c r="AP61" s="30">
        <f t="shared" si="33"/>
        <v>64174600</v>
      </c>
      <c r="AQ61" s="31">
        <f t="shared" si="33"/>
        <v>0</v>
      </c>
      <c r="AR61" s="30">
        <f t="shared" si="33"/>
        <v>9096700</v>
      </c>
      <c r="AS61" s="30">
        <f t="shared" si="33"/>
        <v>64174600</v>
      </c>
      <c r="AT61" s="30">
        <f t="shared" si="24"/>
        <v>64174600</v>
      </c>
      <c r="AU61" s="176">
        <f t="shared" si="25"/>
        <v>80099657</v>
      </c>
      <c r="AV61" s="34">
        <f t="shared" si="26"/>
        <v>0</v>
      </c>
      <c r="AW61" s="34">
        <f t="shared" si="27"/>
        <v>0</v>
      </c>
      <c r="AX61" s="32">
        <f t="shared" si="20"/>
        <v>0.44480977642463271</v>
      </c>
    </row>
    <row r="62" spans="1:50" ht="18.75" customHeight="1" x14ac:dyDescent="0.2">
      <c r="A62" s="14" t="s">
        <v>55</v>
      </c>
      <c r="B62" s="15" t="s">
        <v>56</v>
      </c>
      <c r="C62" s="15"/>
      <c r="D62" s="15" t="s">
        <v>40</v>
      </c>
      <c r="E62" s="15"/>
      <c r="F62" s="15"/>
      <c r="G62" s="15" t="s">
        <v>41</v>
      </c>
      <c r="H62" s="15"/>
      <c r="I62" s="15" t="s">
        <v>936</v>
      </c>
      <c r="J62" s="15"/>
      <c r="K62" s="15" t="s">
        <v>932</v>
      </c>
      <c r="L62" s="15"/>
      <c r="M62" s="15" t="s">
        <v>933</v>
      </c>
      <c r="N62" s="15"/>
      <c r="O62" s="15" t="s">
        <v>938</v>
      </c>
      <c r="P62" s="15"/>
      <c r="Q62" s="15" t="s">
        <v>939</v>
      </c>
      <c r="R62" s="15"/>
      <c r="S62" s="15" t="s">
        <v>940</v>
      </c>
      <c r="T62" s="15">
        <v>0</v>
      </c>
      <c r="U62" s="15">
        <v>0</v>
      </c>
      <c r="V62" s="15">
        <v>0</v>
      </c>
      <c r="W62" s="15">
        <v>0</v>
      </c>
      <c r="X62" s="15" t="s">
        <v>937</v>
      </c>
      <c r="Y62" s="15"/>
      <c r="Z62" s="15"/>
      <c r="AA62" s="16" t="s">
        <v>134</v>
      </c>
      <c r="AB62" s="17" t="s">
        <v>133</v>
      </c>
      <c r="AC62" s="17" t="s">
        <v>58</v>
      </c>
      <c r="AD62" s="18">
        <v>136122303</v>
      </c>
      <c r="AE62" s="34">
        <v>0</v>
      </c>
      <c r="AF62" s="34">
        <v>0</v>
      </c>
      <c r="AG62" s="34">
        <v>0</v>
      </c>
      <c r="AH62" s="34">
        <v>0</v>
      </c>
      <c r="AI62" s="34">
        <v>0</v>
      </c>
      <c r="AJ62" s="18">
        <v>136122303</v>
      </c>
      <c r="AK62" s="34">
        <v>0</v>
      </c>
      <c r="AL62" s="18">
        <v>8492600</v>
      </c>
      <c r="AM62" s="18">
        <v>59086000</v>
      </c>
      <c r="AN62" s="34">
        <v>0</v>
      </c>
      <c r="AO62" s="18">
        <v>8492600</v>
      </c>
      <c r="AP62" s="18">
        <v>59086000</v>
      </c>
      <c r="AQ62" s="34">
        <v>0</v>
      </c>
      <c r="AR62" s="39">
        <v>8492600</v>
      </c>
      <c r="AS62" s="18">
        <v>59086000</v>
      </c>
      <c r="AT62" s="39">
        <f t="shared" si="24"/>
        <v>59086000</v>
      </c>
      <c r="AU62" s="18">
        <f t="shared" si="25"/>
        <v>77036303</v>
      </c>
      <c r="AV62" s="34">
        <f t="shared" si="26"/>
        <v>0</v>
      </c>
      <c r="AW62" s="34">
        <f t="shared" si="27"/>
        <v>0</v>
      </c>
      <c r="AX62" s="32">
        <f t="shared" si="20"/>
        <v>0.43406553296413153</v>
      </c>
    </row>
    <row r="63" spans="1:50" ht="18.75" customHeight="1" x14ac:dyDescent="0.2">
      <c r="A63" s="14" t="s">
        <v>55</v>
      </c>
      <c r="B63" s="15" t="s">
        <v>56</v>
      </c>
      <c r="C63" s="15"/>
      <c r="D63" s="15" t="s">
        <v>40</v>
      </c>
      <c r="E63" s="15"/>
      <c r="F63" s="15"/>
      <c r="G63" s="15" t="s">
        <v>41</v>
      </c>
      <c r="H63" s="15"/>
      <c r="I63" s="15" t="s">
        <v>941</v>
      </c>
      <c r="J63" s="15"/>
      <c r="K63" s="15" t="s">
        <v>932</v>
      </c>
      <c r="L63" s="15"/>
      <c r="M63" s="15" t="s">
        <v>933</v>
      </c>
      <c r="N63" s="15"/>
      <c r="O63" s="15" t="s">
        <v>938</v>
      </c>
      <c r="P63" s="15"/>
      <c r="Q63" s="15" t="s">
        <v>939</v>
      </c>
      <c r="R63" s="15"/>
      <c r="S63" s="15" t="s">
        <v>940</v>
      </c>
      <c r="T63" s="15">
        <v>0</v>
      </c>
      <c r="U63" s="15">
        <v>0</v>
      </c>
      <c r="V63" s="15">
        <v>0</v>
      </c>
      <c r="W63" s="15">
        <v>0</v>
      </c>
      <c r="X63" s="15" t="s">
        <v>937</v>
      </c>
      <c r="Y63" s="15"/>
      <c r="Z63" s="15"/>
      <c r="AA63" s="16" t="s">
        <v>135</v>
      </c>
      <c r="AB63" s="17" t="s">
        <v>136</v>
      </c>
      <c r="AC63" s="17" t="s">
        <v>61</v>
      </c>
      <c r="AD63" s="18">
        <v>8151954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18">
        <v>8151954</v>
      </c>
      <c r="AK63" s="34">
        <v>0</v>
      </c>
      <c r="AL63" s="18">
        <v>604100</v>
      </c>
      <c r="AM63" s="18">
        <v>5088600</v>
      </c>
      <c r="AN63" s="34">
        <v>0</v>
      </c>
      <c r="AO63" s="18">
        <v>604100</v>
      </c>
      <c r="AP63" s="18">
        <v>5088600</v>
      </c>
      <c r="AQ63" s="34">
        <v>0</v>
      </c>
      <c r="AR63" s="39">
        <v>604100</v>
      </c>
      <c r="AS63" s="18">
        <v>5088600</v>
      </c>
      <c r="AT63" s="39">
        <f t="shared" si="24"/>
        <v>5088600</v>
      </c>
      <c r="AU63" s="18">
        <f t="shared" si="25"/>
        <v>3063354</v>
      </c>
      <c r="AV63" s="34">
        <f t="shared" si="26"/>
        <v>0</v>
      </c>
      <c r="AW63" s="34">
        <f t="shared" si="27"/>
        <v>0</v>
      </c>
      <c r="AX63" s="32">
        <f t="shared" si="20"/>
        <v>0.62421843891660822</v>
      </c>
    </row>
    <row r="64" spans="1:50" ht="18.75" customHeight="1" x14ac:dyDescent="0.2">
      <c r="A64" s="27" t="s">
        <v>49</v>
      </c>
      <c r="B64" s="27" t="s">
        <v>50</v>
      </c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8" t="s">
        <v>137</v>
      </c>
      <c r="AB64" s="29" t="s">
        <v>138</v>
      </c>
      <c r="AC64" s="30" t="s">
        <v>37</v>
      </c>
      <c r="AD64" s="30">
        <f>AD65+AD66</f>
        <v>144274257</v>
      </c>
      <c r="AE64" s="31">
        <f t="shared" ref="AE64:AS64" si="34">AE65+AE66</f>
        <v>0</v>
      </c>
      <c r="AF64" s="31">
        <f t="shared" si="34"/>
        <v>0</v>
      </c>
      <c r="AG64" s="31">
        <f t="shared" si="34"/>
        <v>0</v>
      </c>
      <c r="AH64" s="31">
        <f t="shared" si="34"/>
        <v>0</v>
      </c>
      <c r="AI64" s="31">
        <f t="shared" si="34"/>
        <v>0</v>
      </c>
      <c r="AJ64" s="30">
        <f t="shared" si="34"/>
        <v>144274257</v>
      </c>
      <c r="AK64" s="31">
        <f t="shared" si="34"/>
        <v>0</v>
      </c>
      <c r="AL64" s="30">
        <f t="shared" si="34"/>
        <v>9096700</v>
      </c>
      <c r="AM64" s="30">
        <f t="shared" si="34"/>
        <v>64174600</v>
      </c>
      <c r="AN64" s="31">
        <f t="shared" si="34"/>
        <v>0</v>
      </c>
      <c r="AO64" s="30">
        <f t="shared" si="34"/>
        <v>9096700</v>
      </c>
      <c r="AP64" s="30">
        <f t="shared" si="34"/>
        <v>64174600</v>
      </c>
      <c r="AQ64" s="31">
        <f t="shared" si="34"/>
        <v>0</v>
      </c>
      <c r="AR64" s="30">
        <f t="shared" si="34"/>
        <v>9096700</v>
      </c>
      <c r="AS64" s="30">
        <f t="shared" si="34"/>
        <v>64174600</v>
      </c>
      <c r="AT64" s="30">
        <f t="shared" si="24"/>
        <v>64174600</v>
      </c>
      <c r="AU64" s="83">
        <f t="shared" si="25"/>
        <v>80099657</v>
      </c>
      <c r="AV64" s="34">
        <f t="shared" si="26"/>
        <v>0</v>
      </c>
      <c r="AW64" s="34">
        <f t="shared" si="27"/>
        <v>0</v>
      </c>
      <c r="AX64" s="32">
        <f t="shared" si="20"/>
        <v>0.44480977642463271</v>
      </c>
    </row>
    <row r="65" spans="1:50" ht="18.75" customHeight="1" x14ac:dyDescent="0.2">
      <c r="A65" s="14" t="s">
        <v>55</v>
      </c>
      <c r="B65" s="15" t="s">
        <v>56</v>
      </c>
      <c r="C65" s="15"/>
      <c r="D65" s="15" t="s">
        <v>40</v>
      </c>
      <c r="E65" s="15"/>
      <c r="F65" s="15"/>
      <c r="G65" s="15" t="s">
        <v>41</v>
      </c>
      <c r="H65" s="15"/>
      <c r="I65" s="15" t="s">
        <v>936</v>
      </c>
      <c r="J65" s="15"/>
      <c r="K65" s="15" t="s">
        <v>932</v>
      </c>
      <c r="L65" s="15"/>
      <c r="M65" s="15" t="s">
        <v>933</v>
      </c>
      <c r="N65" s="15"/>
      <c r="O65" s="15" t="s">
        <v>938</v>
      </c>
      <c r="P65" s="15"/>
      <c r="Q65" s="15" t="s">
        <v>939</v>
      </c>
      <c r="R65" s="15"/>
      <c r="S65" s="15" t="s">
        <v>940</v>
      </c>
      <c r="T65" s="15">
        <v>0</v>
      </c>
      <c r="U65" s="15">
        <v>0</v>
      </c>
      <c r="V65" s="15">
        <v>0</v>
      </c>
      <c r="W65" s="15">
        <v>0</v>
      </c>
      <c r="X65" s="15" t="s">
        <v>937</v>
      </c>
      <c r="Y65" s="15"/>
      <c r="Z65" s="15"/>
      <c r="AA65" s="16" t="s">
        <v>139</v>
      </c>
      <c r="AB65" s="17" t="s">
        <v>138</v>
      </c>
      <c r="AC65" s="17" t="s">
        <v>58</v>
      </c>
      <c r="AD65" s="18">
        <v>136122303</v>
      </c>
      <c r="AE65" s="34">
        <v>0</v>
      </c>
      <c r="AF65" s="34">
        <v>0</v>
      </c>
      <c r="AG65" s="34">
        <v>0</v>
      </c>
      <c r="AH65" s="34">
        <v>0</v>
      </c>
      <c r="AI65" s="34">
        <v>0</v>
      </c>
      <c r="AJ65" s="18">
        <v>136122303</v>
      </c>
      <c r="AK65" s="34">
        <v>0</v>
      </c>
      <c r="AL65" s="18">
        <v>8492600</v>
      </c>
      <c r="AM65" s="18">
        <v>59086000</v>
      </c>
      <c r="AN65" s="34">
        <v>0</v>
      </c>
      <c r="AO65" s="18">
        <v>8492600</v>
      </c>
      <c r="AP65" s="18">
        <v>59086000</v>
      </c>
      <c r="AQ65" s="34">
        <v>0</v>
      </c>
      <c r="AR65" s="39">
        <v>8492600</v>
      </c>
      <c r="AS65" s="18">
        <v>59086000</v>
      </c>
      <c r="AT65" s="39">
        <f t="shared" si="24"/>
        <v>59086000</v>
      </c>
      <c r="AU65" s="18">
        <f t="shared" si="25"/>
        <v>77036303</v>
      </c>
      <c r="AV65" s="34">
        <f t="shared" si="26"/>
        <v>0</v>
      </c>
      <c r="AW65" s="34">
        <f t="shared" si="27"/>
        <v>0</v>
      </c>
      <c r="AX65" s="32">
        <f t="shared" si="20"/>
        <v>0.43406553296413153</v>
      </c>
    </row>
    <row r="66" spans="1:50" ht="18.75" customHeight="1" x14ac:dyDescent="0.2">
      <c r="A66" s="14" t="s">
        <v>55</v>
      </c>
      <c r="B66" s="15" t="s">
        <v>56</v>
      </c>
      <c r="C66" s="15"/>
      <c r="D66" s="15" t="s">
        <v>40</v>
      </c>
      <c r="E66" s="15"/>
      <c r="F66" s="15"/>
      <c r="G66" s="15" t="s">
        <v>41</v>
      </c>
      <c r="H66" s="15"/>
      <c r="I66" s="15" t="s">
        <v>941</v>
      </c>
      <c r="J66" s="15"/>
      <c r="K66" s="15" t="s">
        <v>932</v>
      </c>
      <c r="L66" s="15"/>
      <c r="M66" s="15" t="s">
        <v>933</v>
      </c>
      <c r="N66" s="15"/>
      <c r="O66" s="15" t="s">
        <v>938</v>
      </c>
      <c r="P66" s="15"/>
      <c r="Q66" s="15" t="s">
        <v>939</v>
      </c>
      <c r="R66" s="15"/>
      <c r="S66" s="15" t="s">
        <v>940</v>
      </c>
      <c r="T66" s="15">
        <v>0</v>
      </c>
      <c r="U66" s="15">
        <v>0</v>
      </c>
      <c r="V66" s="15">
        <v>0</v>
      </c>
      <c r="W66" s="15">
        <v>0</v>
      </c>
      <c r="X66" s="15" t="s">
        <v>937</v>
      </c>
      <c r="Y66" s="15"/>
      <c r="Z66" s="15"/>
      <c r="AA66" s="16" t="s">
        <v>140</v>
      </c>
      <c r="AB66" s="17" t="s">
        <v>141</v>
      </c>
      <c r="AC66" s="17" t="s">
        <v>61</v>
      </c>
      <c r="AD66" s="18">
        <v>8151954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18">
        <v>8151954</v>
      </c>
      <c r="AK66" s="34">
        <v>0</v>
      </c>
      <c r="AL66" s="18">
        <v>604100</v>
      </c>
      <c r="AM66" s="18">
        <v>5088600</v>
      </c>
      <c r="AN66" s="34">
        <v>0</v>
      </c>
      <c r="AO66" s="18">
        <v>604100</v>
      </c>
      <c r="AP66" s="18">
        <v>5088600</v>
      </c>
      <c r="AQ66" s="34">
        <v>0</v>
      </c>
      <c r="AR66" s="39">
        <v>604100</v>
      </c>
      <c r="AS66" s="18">
        <v>5088600</v>
      </c>
      <c r="AT66" s="39">
        <f t="shared" si="24"/>
        <v>5088600</v>
      </c>
      <c r="AU66" s="18">
        <f t="shared" si="25"/>
        <v>3063354</v>
      </c>
      <c r="AV66" s="34">
        <f t="shared" si="26"/>
        <v>0</v>
      </c>
      <c r="AW66" s="34">
        <f t="shared" si="27"/>
        <v>0</v>
      </c>
      <c r="AX66" s="32">
        <f t="shared" si="20"/>
        <v>0.62421843891660822</v>
      </c>
    </row>
    <row r="67" spans="1:50" ht="18.75" customHeight="1" x14ac:dyDescent="0.2">
      <c r="A67" s="27" t="s">
        <v>55</v>
      </c>
      <c r="B67" s="27" t="s">
        <v>56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8" t="s">
        <v>142</v>
      </c>
      <c r="AB67" s="29" t="s">
        <v>143</v>
      </c>
      <c r="AC67" s="30" t="s">
        <v>37</v>
      </c>
      <c r="AD67" s="30">
        <f>AD68+AD69</f>
        <v>273762589</v>
      </c>
      <c r="AE67" s="31">
        <f t="shared" ref="AE67:AS67" si="35">AE68+AE69</f>
        <v>0</v>
      </c>
      <c r="AF67" s="31">
        <f t="shared" si="35"/>
        <v>0</v>
      </c>
      <c r="AG67" s="31">
        <f t="shared" si="35"/>
        <v>0</v>
      </c>
      <c r="AH67" s="31">
        <f t="shared" si="35"/>
        <v>0</v>
      </c>
      <c r="AI67" s="31">
        <f t="shared" si="35"/>
        <v>0</v>
      </c>
      <c r="AJ67" s="30">
        <f t="shared" si="35"/>
        <v>273762589</v>
      </c>
      <c r="AK67" s="31">
        <f t="shared" si="35"/>
        <v>0</v>
      </c>
      <c r="AL67" s="30">
        <f t="shared" si="35"/>
        <v>18173400</v>
      </c>
      <c r="AM67" s="30">
        <f t="shared" si="35"/>
        <v>128211600</v>
      </c>
      <c r="AN67" s="31">
        <f t="shared" si="35"/>
        <v>0</v>
      </c>
      <c r="AO67" s="30">
        <f t="shared" si="35"/>
        <v>18173400</v>
      </c>
      <c r="AP67" s="30">
        <f t="shared" si="35"/>
        <v>128211600</v>
      </c>
      <c r="AQ67" s="31">
        <f t="shared" si="35"/>
        <v>0</v>
      </c>
      <c r="AR67" s="30">
        <f t="shared" si="35"/>
        <v>18173400</v>
      </c>
      <c r="AS67" s="30">
        <f t="shared" si="35"/>
        <v>128211600</v>
      </c>
      <c r="AT67" s="30">
        <f t="shared" si="24"/>
        <v>128211600</v>
      </c>
      <c r="AU67" s="176">
        <f t="shared" si="25"/>
        <v>145550989</v>
      </c>
      <c r="AV67" s="34">
        <f t="shared" si="26"/>
        <v>0</v>
      </c>
      <c r="AW67" s="34">
        <f t="shared" si="27"/>
        <v>0</v>
      </c>
      <c r="AX67" s="32">
        <f t="shared" si="20"/>
        <v>0.46833133945851163</v>
      </c>
    </row>
    <row r="68" spans="1:50" ht="18.75" customHeight="1" x14ac:dyDescent="0.2">
      <c r="A68" s="35" t="s">
        <v>55</v>
      </c>
      <c r="B68" s="36" t="s">
        <v>56</v>
      </c>
      <c r="C68" s="36"/>
      <c r="D68" s="36" t="s">
        <v>40</v>
      </c>
      <c r="E68" s="36"/>
      <c r="F68" s="36"/>
      <c r="G68" s="36" t="s">
        <v>41</v>
      </c>
      <c r="H68" s="36"/>
      <c r="I68" s="36" t="s">
        <v>936</v>
      </c>
      <c r="J68" s="36"/>
      <c r="K68" s="36" t="s">
        <v>932</v>
      </c>
      <c r="L68" s="36"/>
      <c r="M68" s="36" t="s">
        <v>933</v>
      </c>
      <c r="N68" s="36"/>
      <c r="O68" s="36" t="s">
        <v>938</v>
      </c>
      <c r="P68" s="36"/>
      <c r="Q68" s="36" t="s">
        <v>939</v>
      </c>
      <c r="R68" s="36"/>
      <c r="S68" s="36" t="s">
        <v>940</v>
      </c>
      <c r="T68" s="36">
        <v>0</v>
      </c>
      <c r="U68" s="36">
        <v>0</v>
      </c>
      <c r="V68" s="36">
        <v>0</v>
      </c>
      <c r="W68" s="36">
        <v>0</v>
      </c>
      <c r="X68" s="36" t="s">
        <v>937</v>
      </c>
      <c r="Y68" s="36"/>
      <c r="Z68" s="36"/>
      <c r="AA68" s="37" t="s">
        <v>144</v>
      </c>
      <c r="AB68" s="38" t="s">
        <v>145</v>
      </c>
      <c r="AC68" s="38" t="s">
        <v>58</v>
      </c>
      <c r="AD68" s="39">
        <v>257458680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  <c r="AJ68" s="39">
        <v>257458680</v>
      </c>
      <c r="AK68" s="40">
        <v>0</v>
      </c>
      <c r="AL68" s="39">
        <v>16966000</v>
      </c>
      <c r="AM68" s="39">
        <v>118041200</v>
      </c>
      <c r="AN68" s="40">
        <v>0</v>
      </c>
      <c r="AO68" s="18">
        <v>16966000</v>
      </c>
      <c r="AP68" s="39">
        <v>118041200</v>
      </c>
      <c r="AQ68" s="40">
        <v>0</v>
      </c>
      <c r="AR68" s="39">
        <v>16966000</v>
      </c>
      <c r="AS68" s="39">
        <v>118041200</v>
      </c>
      <c r="AT68" s="39">
        <f t="shared" si="24"/>
        <v>118041200</v>
      </c>
      <c r="AU68" s="18">
        <f t="shared" si="25"/>
        <v>139417480</v>
      </c>
      <c r="AV68" s="34">
        <f t="shared" si="26"/>
        <v>0</v>
      </c>
      <c r="AW68" s="34">
        <f t="shared" si="27"/>
        <v>0</v>
      </c>
      <c r="AX68" s="32">
        <f t="shared" si="20"/>
        <v>0.45848599860762124</v>
      </c>
    </row>
    <row r="69" spans="1:50" ht="31.5" customHeight="1" x14ac:dyDescent="0.2">
      <c r="A69" s="14" t="s">
        <v>55</v>
      </c>
      <c r="B69" s="15" t="s">
        <v>56</v>
      </c>
      <c r="C69" s="15"/>
      <c r="D69" s="15" t="s">
        <v>40</v>
      </c>
      <c r="E69" s="15"/>
      <c r="F69" s="15"/>
      <c r="G69" s="15" t="s">
        <v>41</v>
      </c>
      <c r="H69" s="15"/>
      <c r="I69" s="15" t="s">
        <v>941</v>
      </c>
      <c r="J69" s="15"/>
      <c r="K69" s="15" t="s">
        <v>932</v>
      </c>
      <c r="L69" s="15"/>
      <c r="M69" s="15" t="s">
        <v>933</v>
      </c>
      <c r="N69" s="15"/>
      <c r="O69" s="15" t="s">
        <v>938</v>
      </c>
      <c r="P69" s="15"/>
      <c r="Q69" s="15" t="s">
        <v>939</v>
      </c>
      <c r="R69" s="15"/>
      <c r="S69" s="15" t="s">
        <v>940</v>
      </c>
      <c r="T69" s="15">
        <v>0</v>
      </c>
      <c r="U69" s="15">
        <v>0</v>
      </c>
      <c r="V69" s="15">
        <v>0</v>
      </c>
      <c r="W69" s="15">
        <v>0</v>
      </c>
      <c r="X69" s="15" t="s">
        <v>937</v>
      </c>
      <c r="Y69" s="15"/>
      <c r="Z69" s="15"/>
      <c r="AA69" s="16" t="s">
        <v>146</v>
      </c>
      <c r="AB69" s="17" t="s">
        <v>147</v>
      </c>
      <c r="AC69" s="17" t="s">
        <v>61</v>
      </c>
      <c r="AD69" s="18">
        <v>16303909</v>
      </c>
      <c r="AE69" s="34">
        <v>0</v>
      </c>
      <c r="AF69" s="34">
        <v>0</v>
      </c>
      <c r="AG69" s="34">
        <v>0</v>
      </c>
      <c r="AH69" s="34">
        <v>0</v>
      </c>
      <c r="AI69" s="34">
        <v>0</v>
      </c>
      <c r="AJ69" s="18">
        <v>16303909</v>
      </c>
      <c r="AK69" s="34">
        <v>0</v>
      </c>
      <c r="AL69" s="39">
        <v>1207400</v>
      </c>
      <c r="AM69" s="18">
        <v>10170400</v>
      </c>
      <c r="AN69" s="34">
        <v>0</v>
      </c>
      <c r="AO69" s="18">
        <v>1207400</v>
      </c>
      <c r="AP69" s="18">
        <v>10170400</v>
      </c>
      <c r="AQ69" s="34">
        <v>0</v>
      </c>
      <c r="AR69" s="39">
        <v>1207400</v>
      </c>
      <c r="AS69" s="18">
        <v>10170400</v>
      </c>
      <c r="AT69" s="39">
        <f t="shared" si="24"/>
        <v>10170400</v>
      </c>
      <c r="AU69" s="18">
        <f t="shared" si="25"/>
        <v>6133509</v>
      </c>
      <c r="AV69" s="34">
        <f t="shared" si="26"/>
        <v>0</v>
      </c>
      <c r="AW69" s="34">
        <f t="shared" si="27"/>
        <v>0</v>
      </c>
      <c r="AX69" s="32">
        <f t="shared" si="20"/>
        <v>0.62380132273800104</v>
      </c>
    </row>
    <row r="70" spans="1:50" s="25" customFormat="1" ht="18.75" customHeight="1" x14ac:dyDescent="0.2">
      <c r="A70" s="19" t="s">
        <v>49</v>
      </c>
      <c r="B70" s="19" t="s">
        <v>50</v>
      </c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26" t="s">
        <v>148</v>
      </c>
      <c r="AB70" s="21" t="s">
        <v>149</v>
      </c>
      <c r="AC70" s="22" t="s">
        <v>37</v>
      </c>
      <c r="AD70" s="22">
        <f>AD71+AD81+AD82+AD83+AD84+AD85</f>
        <v>2847587617</v>
      </c>
      <c r="AE70" s="23">
        <f t="shared" ref="AE70:AW70" si="36">AE71+AE81+AE82+AE83+AE84+AE85</f>
        <v>0</v>
      </c>
      <c r="AF70" s="23">
        <f t="shared" si="36"/>
        <v>0</v>
      </c>
      <c r="AG70" s="22">
        <f>AG71+AG81+AG82+AG83+AG84+AG85</f>
        <v>72000000</v>
      </c>
      <c r="AH70" s="22">
        <f>AH71+AH81+AH82+AH83+AH84+AH85</f>
        <v>312000000</v>
      </c>
      <c r="AI70" s="22">
        <f t="shared" si="36"/>
        <v>-240000000</v>
      </c>
      <c r="AJ70" s="22">
        <f>AJ71+AJ81+AJ82+AJ83+AJ84+AJ85</f>
        <v>2607587617</v>
      </c>
      <c r="AK70" s="23">
        <f t="shared" si="36"/>
        <v>0</v>
      </c>
      <c r="AL70" s="22">
        <f t="shared" si="36"/>
        <v>101239005</v>
      </c>
      <c r="AM70" s="22">
        <f t="shared" si="36"/>
        <v>956346609</v>
      </c>
      <c r="AN70" s="23">
        <f t="shared" si="36"/>
        <v>0</v>
      </c>
      <c r="AO70" s="22">
        <f t="shared" si="36"/>
        <v>103958879</v>
      </c>
      <c r="AP70" s="22">
        <f t="shared" si="36"/>
        <v>956346609</v>
      </c>
      <c r="AQ70" s="23">
        <f t="shared" si="36"/>
        <v>0</v>
      </c>
      <c r="AR70" s="22">
        <f t="shared" si="36"/>
        <v>90366349</v>
      </c>
      <c r="AS70" s="22">
        <f t="shared" si="36"/>
        <v>923502063</v>
      </c>
      <c r="AT70" s="22">
        <f t="shared" si="36"/>
        <v>923502063</v>
      </c>
      <c r="AU70" s="22">
        <f t="shared" si="36"/>
        <v>1651241008</v>
      </c>
      <c r="AV70" s="23">
        <f t="shared" si="36"/>
        <v>0</v>
      </c>
      <c r="AW70" s="22">
        <f t="shared" si="36"/>
        <v>32844546</v>
      </c>
      <c r="AX70" s="24">
        <f t="shared" si="20"/>
        <v>0.36675531160109814</v>
      </c>
    </row>
    <row r="71" spans="1:50" ht="18.75" customHeight="1" x14ac:dyDescent="0.2">
      <c r="A71" s="27" t="s">
        <v>49</v>
      </c>
      <c r="B71" s="27" t="s">
        <v>50</v>
      </c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8" t="s">
        <v>150</v>
      </c>
      <c r="AB71" s="29" t="s">
        <v>81</v>
      </c>
      <c r="AC71" s="30" t="s">
        <v>37</v>
      </c>
      <c r="AD71" s="30">
        <f>AD72+AD75+AD78</f>
        <v>2386452170</v>
      </c>
      <c r="AE71" s="31">
        <f t="shared" ref="AE71:AS71" si="37">AE72+AE75+AE78</f>
        <v>0</v>
      </c>
      <c r="AF71" s="31">
        <f t="shared" si="37"/>
        <v>0</v>
      </c>
      <c r="AG71" s="31">
        <f t="shared" si="37"/>
        <v>0</v>
      </c>
      <c r="AH71" s="30">
        <f t="shared" si="37"/>
        <v>312000000</v>
      </c>
      <c r="AI71" s="30">
        <f t="shared" si="37"/>
        <v>-312000000</v>
      </c>
      <c r="AJ71" s="30">
        <f t="shared" si="37"/>
        <v>2074452170</v>
      </c>
      <c r="AK71" s="31">
        <f t="shared" si="37"/>
        <v>0</v>
      </c>
      <c r="AL71" s="30">
        <f t="shared" si="37"/>
        <v>53979476</v>
      </c>
      <c r="AM71" s="30">
        <f t="shared" si="37"/>
        <v>620684976</v>
      </c>
      <c r="AN71" s="31">
        <f t="shared" si="37"/>
        <v>0</v>
      </c>
      <c r="AO71" s="30">
        <f t="shared" si="37"/>
        <v>56699350</v>
      </c>
      <c r="AP71" s="30">
        <f t="shared" si="37"/>
        <v>620684976</v>
      </c>
      <c r="AQ71" s="31">
        <f t="shared" si="37"/>
        <v>0</v>
      </c>
      <c r="AR71" s="30">
        <f t="shared" si="37"/>
        <v>52762107</v>
      </c>
      <c r="AS71" s="30">
        <f t="shared" si="37"/>
        <v>616747733</v>
      </c>
      <c r="AT71" s="30">
        <f t="shared" ref="AT71:AT93" si="38">AQ71+AS71</f>
        <v>616747733</v>
      </c>
      <c r="AU71" s="176">
        <f t="shared" ref="AU71:AU85" si="39">AJ71-AM71</f>
        <v>1453767194</v>
      </c>
      <c r="AV71" s="34">
        <f t="shared" ref="AV71:AV85" si="40">AM71-AP71</f>
        <v>0</v>
      </c>
      <c r="AW71" s="18">
        <f t="shared" ref="AW71:AW85" si="41">AP71-AT71</f>
        <v>3937243</v>
      </c>
      <c r="AX71" s="32">
        <f t="shared" si="20"/>
        <v>0.29920428389534764</v>
      </c>
    </row>
    <row r="72" spans="1:50" ht="18.75" customHeight="1" x14ac:dyDescent="0.2">
      <c r="A72" s="27" t="s">
        <v>49</v>
      </c>
      <c r="B72" s="27" t="s">
        <v>50</v>
      </c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8" t="s">
        <v>151</v>
      </c>
      <c r="AB72" s="29" t="s">
        <v>152</v>
      </c>
      <c r="AC72" s="30" t="s">
        <v>37</v>
      </c>
      <c r="AD72" s="30">
        <f>AD73+AD74</f>
        <v>1664997140</v>
      </c>
      <c r="AE72" s="31">
        <f t="shared" ref="AE72:AS72" si="42">AE73+AE74</f>
        <v>0</v>
      </c>
      <c r="AF72" s="31">
        <f t="shared" si="42"/>
        <v>0</v>
      </c>
      <c r="AG72" s="31">
        <f t="shared" si="42"/>
        <v>0</v>
      </c>
      <c r="AH72" s="31">
        <f t="shared" si="42"/>
        <v>0</v>
      </c>
      <c r="AI72" s="31">
        <f t="shared" si="42"/>
        <v>0</v>
      </c>
      <c r="AJ72" s="30">
        <f t="shared" si="42"/>
        <v>1664997140</v>
      </c>
      <c r="AK72" s="31">
        <f t="shared" si="42"/>
        <v>0</v>
      </c>
      <c r="AL72" s="30">
        <f t="shared" si="42"/>
        <v>35113753</v>
      </c>
      <c r="AM72" s="30">
        <f t="shared" si="42"/>
        <v>366536894</v>
      </c>
      <c r="AN72" s="31">
        <f t="shared" si="42"/>
        <v>0</v>
      </c>
      <c r="AO72" s="30">
        <f t="shared" si="42"/>
        <v>37833627</v>
      </c>
      <c r="AP72" s="30">
        <f t="shared" si="42"/>
        <v>366536894</v>
      </c>
      <c r="AQ72" s="31">
        <f t="shared" si="42"/>
        <v>0</v>
      </c>
      <c r="AR72" s="30">
        <f t="shared" si="42"/>
        <v>33896384</v>
      </c>
      <c r="AS72" s="30">
        <f t="shared" si="42"/>
        <v>362599651</v>
      </c>
      <c r="AT72" s="30">
        <f t="shared" si="38"/>
        <v>362599651</v>
      </c>
      <c r="AU72" s="176">
        <f t="shared" si="39"/>
        <v>1298460246</v>
      </c>
      <c r="AV72" s="34">
        <f t="shared" si="40"/>
        <v>0</v>
      </c>
      <c r="AW72" s="18">
        <f t="shared" si="41"/>
        <v>3937243</v>
      </c>
      <c r="AX72" s="32">
        <f t="shared" si="20"/>
        <v>0.22014265682162074</v>
      </c>
    </row>
    <row r="73" spans="1:50" ht="18.75" customHeight="1" x14ac:dyDescent="0.2">
      <c r="A73" s="14" t="s">
        <v>55</v>
      </c>
      <c r="B73" s="15" t="s">
        <v>56</v>
      </c>
      <c r="C73" s="15"/>
      <c r="D73" s="15" t="s">
        <v>40</v>
      </c>
      <c r="E73" s="15"/>
      <c r="F73" s="15"/>
      <c r="G73" s="15" t="s">
        <v>41</v>
      </c>
      <c r="H73" s="15"/>
      <c r="I73" s="15" t="s">
        <v>936</v>
      </c>
      <c r="J73" s="15"/>
      <c r="K73" s="15" t="s">
        <v>932</v>
      </c>
      <c r="L73" s="15"/>
      <c r="M73" s="15" t="s">
        <v>933</v>
      </c>
      <c r="N73" s="15"/>
      <c r="O73" s="15" t="s">
        <v>938</v>
      </c>
      <c r="P73" s="15"/>
      <c r="Q73" s="15" t="s">
        <v>939</v>
      </c>
      <c r="R73" s="15"/>
      <c r="S73" s="15" t="s">
        <v>940</v>
      </c>
      <c r="T73" s="15">
        <v>0</v>
      </c>
      <c r="U73" s="15">
        <v>0</v>
      </c>
      <c r="V73" s="15">
        <v>0</v>
      </c>
      <c r="W73" s="15">
        <v>0</v>
      </c>
      <c r="X73" s="15" t="s">
        <v>937</v>
      </c>
      <c r="Y73" s="15"/>
      <c r="Z73" s="15"/>
      <c r="AA73" s="16" t="s">
        <v>153</v>
      </c>
      <c r="AB73" s="17" t="s">
        <v>152</v>
      </c>
      <c r="AC73" s="17" t="s">
        <v>58</v>
      </c>
      <c r="AD73" s="18">
        <v>1564997140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18">
        <v>1564997140</v>
      </c>
      <c r="AK73" s="34">
        <v>0</v>
      </c>
      <c r="AL73" s="18">
        <v>25000427</v>
      </c>
      <c r="AM73" s="18">
        <v>325579325</v>
      </c>
      <c r="AN73" s="34">
        <v>0</v>
      </c>
      <c r="AO73" s="18">
        <v>25000427</v>
      </c>
      <c r="AP73" s="18">
        <v>325579325</v>
      </c>
      <c r="AQ73" s="34">
        <v>0</v>
      </c>
      <c r="AR73" s="18">
        <v>21063184</v>
      </c>
      <c r="AS73" s="18">
        <v>321642082</v>
      </c>
      <c r="AT73" s="39">
        <f t="shared" si="38"/>
        <v>321642082</v>
      </c>
      <c r="AU73" s="18">
        <f t="shared" si="39"/>
        <v>1239417815</v>
      </c>
      <c r="AV73" s="34">
        <f t="shared" si="40"/>
        <v>0</v>
      </c>
      <c r="AW73" s="18">
        <f t="shared" si="41"/>
        <v>3937243</v>
      </c>
      <c r="AX73" s="32">
        <f t="shared" si="20"/>
        <v>0.20803828753322834</v>
      </c>
    </row>
    <row r="74" spans="1:50" ht="18.75" customHeight="1" x14ac:dyDescent="0.2">
      <c r="A74" s="35" t="s">
        <v>55</v>
      </c>
      <c r="B74" s="36" t="s">
        <v>56</v>
      </c>
      <c r="C74" s="36"/>
      <c r="D74" s="36" t="s">
        <v>40</v>
      </c>
      <c r="E74" s="36"/>
      <c r="F74" s="36"/>
      <c r="G74" s="36" t="s">
        <v>41</v>
      </c>
      <c r="H74" s="36"/>
      <c r="I74" s="36" t="s">
        <v>941</v>
      </c>
      <c r="J74" s="36"/>
      <c r="K74" s="36" t="s">
        <v>932</v>
      </c>
      <c r="L74" s="36"/>
      <c r="M74" s="36" t="s">
        <v>933</v>
      </c>
      <c r="N74" s="36"/>
      <c r="O74" s="36" t="s">
        <v>938</v>
      </c>
      <c r="P74" s="36"/>
      <c r="Q74" s="36" t="s">
        <v>939</v>
      </c>
      <c r="R74" s="36"/>
      <c r="S74" s="36" t="s">
        <v>940</v>
      </c>
      <c r="T74" s="36">
        <v>0</v>
      </c>
      <c r="U74" s="36">
        <v>0</v>
      </c>
      <c r="V74" s="36">
        <v>0</v>
      </c>
      <c r="W74" s="36">
        <v>0</v>
      </c>
      <c r="X74" s="36" t="s">
        <v>937</v>
      </c>
      <c r="Y74" s="36"/>
      <c r="Z74" s="36"/>
      <c r="AA74" s="37" t="s">
        <v>154</v>
      </c>
      <c r="AB74" s="38" t="s">
        <v>155</v>
      </c>
      <c r="AC74" s="38" t="s">
        <v>61</v>
      </c>
      <c r="AD74" s="39">
        <v>100000000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39">
        <v>100000000</v>
      </c>
      <c r="AK74" s="40">
        <v>0</v>
      </c>
      <c r="AL74" s="40">
        <v>10113326</v>
      </c>
      <c r="AM74" s="39">
        <v>40957569</v>
      </c>
      <c r="AN74" s="40">
        <v>0</v>
      </c>
      <c r="AO74" s="39">
        <v>12833200</v>
      </c>
      <c r="AP74" s="39">
        <v>40957569</v>
      </c>
      <c r="AQ74" s="40">
        <v>0</v>
      </c>
      <c r="AR74" s="18">
        <v>12833200</v>
      </c>
      <c r="AS74" s="39">
        <v>40957569</v>
      </c>
      <c r="AT74" s="40">
        <f t="shared" si="38"/>
        <v>40957569</v>
      </c>
      <c r="AU74" s="18">
        <f t="shared" si="39"/>
        <v>59042431</v>
      </c>
      <c r="AV74" s="34">
        <f t="shared" si="40"/>
        <v>0</v>
      </c>
      <c r="AW74" s="34">
        <f t="shared" si="41"/>
        <v>0</v>
      </c>
      <c r="AX74" s="32">
        <f t="shared" si="20"/>
        <v>0.40957568999999999</v>
      </c>
    </row>
    <row r="75" spans="1:50" ht="18.75" customHeight="1" x14ac:dyDescent="0.2">
      <c r="A75" s="27" t="s">
        <v>49</v>
      </c>
      <c r="B75" s="27" t="s">
        <v>50</v>
      </c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8" t="s">
        <v>156</v>
      </c>
      <c r="AB75" s="29" t="s">
        <v>157</v>
      </c>
      <c r="AC75" s="30" t="s">
        <v>37</v>
      </c>
      <c r="AD75" s="30">
        <f>AD76+AD77</f>
        <v>608504027</v>
      </c>
      <c r="AE75" s="31">
        <f t="shared" ref="AE75:AS75" si="43">AE76+AE77</f>
        <v>0</v>
      </c>
      <c r="AF75" s="31">
        <f t="shared" si="43"/>
        <v>0</v>
      </c>
      <c r="AG75" s="31">
        <f t="shared" si="43"/>
        <v>0</v>
      </c>
      <c r="AH75" s="30">
        <f t="shared" si="43"/>
        <v>312000000</v>
      </c>
      <c r="AI75" s="30">
        <f t="shared" si="43"/>
        <v>-312000000</v>
      </c>
      <c r="AJ75" s="30">
        <f t="shared" si="43"/>
        <v>296504027</v>
      </c>
      <c r="AK75" s="31">
        <f t="shared" si="43"/>
        <v>0</v>
      </c>
      <c r="AL75" s="30">
        <f t="shared" si="43"/>
        <v>12116988</v>
      </c>
      <c r="AM75" s="30">
        <f t="shared" si="43"/>
        <v>203542056</v>
      </c>
      <c r="AN75" s="31">
        <f t="shared" si="43"/>
        <v>0</v>
      </c>
      <c r="AO75" s="30">
        <f t="shared" si="43"/>
        <v>12116988</v>
      </c>
      <c r="AP75" s="30">
        <f t="shared" si="43"/>
        <v>203542056</v>
      </c>
      <c r="AQ75" s="31">
        <f t="shared" si="43"/>
        <v>0</v>
      </c>
      <c r="AR75" s="30">
        <f t="shared" si="43"/>
        <v>12116988</v>
      </c>
      <c r="AS75" s="30">
        <f t="shared" si="43"/>
        <v>203542056</v>
      </c>
      <c r="AT75" s="30">
        <f t="shared" si="38"/>
        <v>203542056</v>
      </c>
      <c r="AU75" s="18">
        <f t="shared" si="39"/>
        <v>92961971</v>
      </c>
      <c r="AV75" s="34">
        <f t="shared" si="40"/>
        <v>0</v>
      </c>
      <c r="AW75" s="34">
        <f t="shared" si="41"/>
        <v>0</v>
      </c>
      <c r="AX75" s="32">
        <f t="shared" si="20"/>
        <v>0.68647315876084203</v>
      </c>
    </row>
    <row r="76" spans="1:50" ht="18.75" customHeight="1" x14ac:dyDescent="0.2">
      <c r="A76" s="14" t="s">
        <v>55</v>
      </c>
      <c r="B76" s="15" t="s">
        <v>56</v>
      </c>
      <c r="C76" s="15"/>
      <c r="D76" s="15" t="s">
        <v>40</v>
      </c>
      <c r="E76" s="15"/>
      <c r="F76" s="15"/>
      <c r="G76" s="15" t="s">
        <v>41</v>
      </c>
      <c r="H76" s="15"/>
      <c r="I76" s="15" t="s">
        <v>936</v>
      </c>
      <c r="J76" s="15"/>
      <c r="K76" s="15" t="s">
        <v>932</v>
      </c>
      <c r="L76" s="15"/>
      <c r="M76" s="15" t="s">
        <v>933</v>
      </c>
      <c r="N76" s="15"/>
      <c r="O76" s="15" t="s">
        <v>938</v>
      </c>
      <c r="P76" s="15"/>
      <c r="Q76" s="15" t="s">
        <v>939</v>
      </c>
      <c r="R76" s="15"/>
      <c r="S76" s="15" t="s">
        <v>940</v>
      </c>
      <c r="T76" s="15">
        <v>0</v>
      </c>
      <c r="U76" s="15">
        <v>0</v>
      </c>
      <c r="V76" s="15">
        <v>0</v>
      </c>
      <c r="W76" s="15">
        <v>0</v>
      </c>
      <c r="X76" s="15" t="s">
        <v>937</v>
      </c>
      <c r="Y76" s="15"/>
      <c r="Z76" s="15"/>
      <c r="AA76" s="16" t="s">
        <v>158</v>
      </c>
      <c r="AB76" s="17" t="s">
        <v>157</v>
      </c>
      <c r="AC76" s="17" t="s">
        <v>58</v>
      </c>
      <c r="AD76" s="18">
        <v>600000000</v>
      </c>
      <c r="AE76" s="34">
        <v>0</v>
      </c>
      <c r="AF76" s="34">
        <v>0</v>
      </c>
      <c r="AG76" s="34">
        <v>0</v>
      </c>
      <c r="AH76" s="18">
        <f>12000000+300000000</f>
        <v>312000000</v>
      </c>
      <c r="AI76" s="18">
        <f>AE76-AF76+AG76-AH76</f>
        <v>-312000000</v>
      </c>
      <c r="AJ76" s="18">
        <f>AD76+AI76</f>
        <v>288000000</v>
      </c>
      <c r="AK76" s="34">
        <v>0</v>
      </c>
      <c r="AL76" s="18">
        <v>12116988</v>
      </c>
      <c r="AM76" s="18">
        <v>203542056</v>
      </c>
      <c r="AN76" s="34">
        <v>0</v>
      </c>
      <c r="AO76" s="18">
        <v>12116988</v>
      </c>
      <c r="AP76" s="18">
        <v>203542056</v>
      </c>
      <c r="AQ76" s="34">
        <v>0</v>
      </c>
      <c r="AR76" s="18">
        <v>12116988</v>
      </c>
      <c r="AS76" s="18">
        <v>203542056</v>
      </c>
      <c r="AT76" s="30">
        <f t="shared" si="38"/>
        <v>203542056</v>
      </c>
      <c r="AU76" s="18">
        <f t="shared" si="39"/>
        <v>84457944</v>
      </c>
      <c r="AV76" s="34">
        <f t="shared" si="40"/>
        <v>0</v>
      </c>
      <c r="AW76" s="34">
        <f t="shared" si="41"/>
        <v>0</v>
      </c>
      <c r="AX76" s="32">
        <f t="shared" si="20"/>
        <v>0.70674325000000005</v>
      </c>
    </row>
    <row r="77" spans="1:50" ht="18.75" customHeight="1" x14ac:dyDescent="0.2">
      <c r="A77" s="14" t="s">
        <v>55</v>
      </c>
      <c r="B77" s="15" t="s">
        <v>56</v>
      </c>
      <c r="C77" s="15"/>
      <c r="D77" s="15" t="s">
        <v>40</v>
      </c>
      <c r="E77" s="15"/>
      <c r="F77" s="15"/>
      <c r="G77" s="15" t="s">
        <v>41</v>
      </c>
      <c r="H77" s="15"/>
      <c r="I77" s="15" t="s">
        <v>941</v>
      </c>
      <c r="J77" s="15"/>
      <c r="K77" s="15" t="s">
        <v>932</v>
      </c>
      <c r="L77" s="15"/>
      <c r="M77" s="15" t="s">
        <v>933</v>
      </c>
      <c r="N77" s="15"/>
      <c r="O77" s="15" t="s">
        <v>938</v>
      </c>
      <c r="P77" s="15"/>
      <c r="Q77" s="15" t="s">
        <v>939</v>
      </c>
      <c r="R77" s="15"/>
      <c r="S77" s="15" t="s">
        <v>940</v>
      </c>
      <c r="T77" s="15">
        <v>0</v>
      </c>
      <c r="U77" s="15">
        <v>0</v>
      </c>
      <c r="V77" s="15">
        <v>0</v>
      </c>
      <c r="W77" s="15">
        <v>0</v>
      </c>
      <c r="X77" s="15" t="s">
        <v>937</v>
      </c>
      <c r="Y77" s="15"/>
      <c r="Z77" s="15"/>
      <c r="AA77" s="16" t="s">
        <v>159</v>
      </c>
      <c r="AB77" s="17" t="s">
        <v>160</v>
      </c>
      <c r="AC77" s="17" t="s">
        <v>61</v>
      </c>
      <c r="AD77" s="18">
        <v>8504027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18">
        <v>8504027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18">
        <v>0</v>
      </c>
      <c r="AS77" s="34">
        <v>0</v>
      </c>
      <c r="AT77" s="31">
        <f t="shared" si="38"/>
        <v>0</v>
      </c>
      <c r="AU77" s="18">
        <f t="shared" si="39"/>
        <v>8504027</v>
      </c>
      <c r="AV77" s="34">
        <f t="shared" si="40"/>
        <v>0</v>
      </c>
      <c r="AW77" s="34">
        <f t="shared" si="41"/>
        <v>0</v>
      </c>
      <c r="AX77" s="32">
        <f t="shared" si="20"/>
        <v>0</v>
      </c>
    </row>
    <row r="78" spans="1:50" ht="18.75" customHeight="1" x14ac:dyDescent="0.2">
      <c r="A78" s="27" t="s">
        <v>49</v>
      </c>
      <c r="B78" s="27" t="s">
        <v>50</v>
      </c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8" t="s">
        <v>161</v>
      </c>
      <c r="AB78" s="29" t="s">
        <v>162</v>
      </c>
      <c r="AC78" s="30" t="s">
        <v>37</v>
      </c>
      <c r="AD78" s="30">
        <f>AD79+AD80</f>
        <v>112951003</v>
      </c>
      <c r="AE78" s="31">
        <f t="shared" ref="AE78:AS78" si="44">AE79+AE80</f>
        <v>0</v>
      </c>
      <c r="AF78" s="31">
        <f t="shared" si="44"/>
        <v>0</v>
      </c>
      <c r="AG78" s="31">
        <f t="shared" si="44"/>
        <v>0</v>
      </c>
      <c r="AH78" s="31">
        <f t="shared" si="44"/>
        <v>0</v>
      </c>
      <c r="AI78" s="31">
        <f t="shared" si="44"/>
        <v>0</v>
      </c>
      <c r="AJ78" s="30">
        <f>AJ79+AJ80</f>
        <v>112951003</v>
      </c>
      <c r="AK78" s="31">
        <f t="shared" si="44"/>
        <v>0</v>
      </c>
      <c r="AL78" s="30">
        <f t="shared" si="44"/>
        <v>6748735</v>
      </c>
      <c r="AM78" s="30">
        <f t="shared" si="44"/>
        <v>50606026</v>
      </c>
      <c r="AN78" s="31">
        <f t="shared" si="44"/>
        <v>0</v>
      </c>
      <c r="AO78" s="30">
        <f t="shared" si="44"/>
        <v>6748735</v>
      </c>
      <c r="AP78" s="30">
        <f t="shared" si="44"/>
        <v>50606026</v>
      </c>
      <c r="AQ78" s="31">
        <f t="shared" si="44"/>
        <v>0</v>
      </c>
      <c r="AR78" s="30">
        <f>AR79+AR80</f>
        <v>6748735</v>
      </c>
      <c r="AS78" s="30">
        <f t="shared" si="44"/>
        <v>50606026</v>
      </c>
      <c r="AT78" s="30">
        <f t="shared" si="38"/>
        <v>50606026</v>
      </c>
      <c r="AU78" s="176">
        <f t="shared" si="39"/>
        <v>62344977</v>
      </c>
      <c r="AV78" s="177">
        <f t="shared" si="40"/>
        <v>0</v>
      </c>
      <c r="AW78" s="177">
        <f t="shared" si="41"/>
        <v>0</v>
      </c>
      <c r="AX78" s="32">
        <f t="shared" si="20"/>
        <v>0.44803520691179699</v>
      </c>
    </row>
    <row r="79" spans="1:50" ht="18.75" customHeight="1" x14ac:dyDescent="0.2">
      <c r="A79" s="14" t="s">
        <v>55</v>
      </c>
      <c r="B79" s="15" t="s">
        <v>56</v>
      </c>
      <c r="C79" s="15"/>
      <c r="D79" s="15" t="s">
        <v>40</v>
      </c>
      <c r="E79" s="15"/>
      <c r="F79" s="15"/>
      <c r="G79" s="15" t="s">
        <v>41</v>
      </c>
      <c r="H79" s="15"/>
      <c r="I79" s="15" t="s">
        <v>936</v>
      </c>
      <c r="J79" s="15"/>
      <c r="K79" s="15" t="s">
        <v>932</v>
      </c>
      <c r="L79" s="15"/>
      <c r="M79" s="15" t="s">
        <v>933</v>
      </c>
      <c r="N79" s="15"/>
      <c r="O79" s="15" t="s">
        <v>938</v>
      </c>
      <c r="P79" s="15"/>
      <c r="Q79" s="15" t="s">
        <v>939</v>
      </c>
      <c r="R79" s="15"/>
      <c r="S79" s="15" t="s">
        <v>940</v>
      </c>
      <c r="T79" s="15">
        <v>0</v>
      </c>
      <c r="U79" s="15">
        <v>0</v>
      </c>
      <c r="V79" s="15">
        <v>0</v>
      </c>
      <c r="W79" s="15">
        <v>0</v>
      </c>
      <c r="X79" s="15" t="s">
        <v>937</v>
      </c>
      <c r="Y79" s="15"/>
      <c r="Z79" s="15"/>
      <c r="AA79" s="16" t="s">
        <v>163</v>
      </c>
      <c r="AB79" s="17" t="s">
        <v>162</v>
      </c>
      <c r="AC79" s="17" t="s">
        <v>58</v>
      </c>
      <c r="AD79" s="18">
        <v>104149973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18">
        <v>104149973</v>
      </c>
      <c r="AK79" s="34">
        <v>0</v>
      </c>
      <c r="AL79" s="18">
        <v>5826159</v>
      </c>
      <c r="AM79" s="18">
        <v>47098537</v>
      </c>
      <c r="AN79" s="34">
        <v>0</v>
      </c>
      <c r="AO79" s="18">
        <v>5826159</v>
      </c>
      <c r="AP79" s="18">
        <v>47098537</v>
      </c>
      <c r="AQ79" s="34">
        <v>0</v>
      </c>
      <c r="AR79" s="18">
        <v>5826159</v>
      </c>
      <c r="AS79" s="18">
        <v>47098537</v>
      </c>
      <c r="AT79" s="39">
        <f t="shared" si="38"/>
        <v>47098537</v>
      </c>
      <c r="AU79" s="18">
        <f t="shared" si="39"/>
        <v>57051436</v>
      </c>
      <c r="AV79" s="34">
        <f t="shared" si="40"/>
        <v>0</v>
      </c>
      <c r="AW79" s="34">
        <f t="shared" si="41"/>
        <v>0</v>
      </c>
      <c r="AX79" s="32">
        <f t="shared" si="20"/>
        <v>0.45221842736339452</v>
      </c>
    </row>
    <row r="80" spans="1:50" ht="18.75" customHeight="1" x14ac:dyDescent="0.2">
      <c r="A80" s="14" t="s">
        <v>55</v>
      </c>
      <c r="B80" s="15" t="s">
        <v>56</v>
      </c>
      <c r="C80" s="15"/>
      <c r="D80" s="15" t="s">
        <v>40</v>
      </c>
      <c r="E80" s="15"/>
      <c r="F80" s="15"/>
      <c r="G80" s="15" t="s">
        <v>41</v>
      </c>
      <c r="H80" s="15"/>
      <c r="I80" s="15" t="s">
        <v>941</v>
      </c>
      <c r="J80" s="15"/>
      <c r="K80" s="15" t="s">
        <v>932</v>
      </c>
      <c r="L80" s="15"/>
      <c r="M80" s="15" t="s">
        <v>933</v>
      </c>
      <c r="N80" s="15"/>
      <c r="O80" s="15" t="s">
        <v>938</v>
      </c>
      <c r="P80" s="15"/>
      <c r="Q80" s="15" t="s">
        <v>939</v>
      </c>
      <c r="R80" s="15"/>
      <c r="S80" s="15" t="s">
        <v>940</v>
      </c>
      <c r="T80" s="15">
        <v>0</v>
      </c>
      <c r="U80" s="15">
        <v>0</v>
      </c>
      <c r="V80" s="15">
        <v>0</v>
      </c>
      <c r="W80" s="15">
        <v>0</v>
      </c>
      <c r="X80" s="15" t="s">
        <v>937</v>
      </c>
      <c r="Y80" s="15"/>
      <c r="Z80" s="15"/>
      <c r="AA80" s="16" t="s">
        <v>164</v>
      </c>
      <c r="AB80" s="17" t="s">
        <v>165</v>
      </c>
      <c r="AC80" s="17" t="s">
        <v>61</v>
      </c>
      <c r="AD80" s="18">
        <v>8801030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18">
        <v>8801030</v>
      </c>
      <c r="AK80" s="34">
        <v>0</v>
      </c>
      <c r="AL80" s="34">
        <v>922576</v>
      </c>
      <c r="AM80" s="34">
        <v>3507489</v>
      </c>
      <c r="AN80" s="34">
        <v>0</v>
      </c>
      <c r="AO80" s="18">
        <v>922576</v>
      </c>
      <c r="AP80" s="18">
        <v>3507489</v>
      </c>
      <c r="AQ80" s="34">
        <v>0</v>
      </c>
      <c r="AR80" s="18">
        <v>922576</v>
      </c>
      <c r="AS80" s="18">
        <v>3507489</v>
      </c>
      <c r="AT80" s="39">
        <f t="shared" si="38"/>
        <v>3507489</v>
      </c>
      <c r="AU80" s="18">
        <f t="shared" si="39"/>
        <v>5293541</v>
      </c>
      <c r="AV80" s="34">
        <f t="shared" si="40"/>
        <v>0</v>
      </c>
      <c r="AW80" s="34">
        <f t="shared" si="41"/>
        <v>0</v>
      </c>
      <c r="AX80" s="32">
        <f t="shared" si="20"/>
        <v>0.3985316491365215</v>
      </c>
    </row>
    <row r="81" spans="1:50" ht="29.25" customHeight="1" x14ac:dyDescent="0.2">
      <c r="A81" s="14" t="s">
        <v>49</v>
      </c>
      <c r="B81" s="15" t="s">
        <v>50</v>
      </c>
      <c r="C81" s="15"/>
      <c r="D81" s="15" t="s">
        <v>40</v>
      </c>
      <c r="E81" s="15"/>
      <c r="F81" s="15"/>
      <c r="G81" s="15" t="s">
        <v>41</v>
      </c>
      <c r="H81" s="15"/>
      <c r="I81" s="15" t="s">
        <v>936</v>
      </c>
      <c r="J81" s="15"/>
      <c r="K81" s="15" t="s">
        <v>932</v>
      </c>
      <c r="L81" s="15"/>
      <c r="M81" s="15" t="s">
        <v>933</v>
      </c>
      <c r="N81" s="15"/>
      <c r="O81" s="15" t="s">
        <v>938</v>
      </c>
      <c r="P81" s="15"/>
      <c r="Q81" s="15" t="s">
        <v>939</v>
      </c>
      <c r="R81" s="15"/>
      <c r="S81" s="15" t="s">
        <v>940</v>
      </c>
      <c r="T81" s="15">
        <v>0</v>
      </c>
      <c r="U81" s="15">
        <v>0</v>
      </c>
      <c r="V81" s="15">
        <v>0</v>
      </c>
      <c r="W81" s="15">
        <v>0</v>
      </c>
      <c r="X81" s="15" t="s">
        <v>937</v>
      </c>
      <c r="Y81" s="15"/>
      <c r="Z81" s="15"/>
      <c r="AA81" s="16" t="s">
        <v>166</v>
      </c>
      <c r="AB81" s="17" t="s">
        <v>167</v>
      </c>
      <c r="AC81" s="17" t="s">
        <v>56</v>
      </c>
      <c r="AD81" s="18">
        <v>60643852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18">
        <v>60643852</v>
      </c>
      <c r="AK81" s="34">
        <v>0</v>
      </c>
      <c r="AL81" s="34">
        <v>19252016</v>
      </c>
      <c r="AM81" s="34">
        <v>38504032</v>
      </c>
      <c r="AN81" s="34">
        <v>0</v>
      </c>
      <c r="AO81" s="18">
        <v>19252016</v>
      </c>
      <c r="AP81" s="18">
        <v>38504032</v>
      </c>
      <c r="AQ81" s="34">
        <v>0</v>
      </c>
      <c r="AR81" s="34">
        <v>19252016</v>
      </c>
      <c r="AS81" s="34">
        <v>19252016</v>
      </c>
      <c r="AT81" s="40">
        <f t="shared" si="38"/>
        <v>19252016</v>
      </c>
      <c r="AU81" s="18">
        <f t="shared" si="39"/>
        <v>22139820</v>
      </c>
      <c r="AV81" s="34">
        <f t="shared" si="40"/>
        <v>0</v>
      </c>
      <c r="AW81" s="18">
        <f t="shared" si="41"/>
        <v>19252016</v>
      </c>
      <c r="AX81" s="32">
        <f t="shared" si="20"/>
        <v>0.63492061816917567</v>
      </c>
    </row>
    <row r="82" spans="1:50" ht="18.75" customHeight="1" x14ac:dyDescent="0.2">
      <c r="A82" s="35" t="s">
        <v>49</v>
      </c>
      <c r="B82" s="36" t="s">
        <v>50</v>
      </c>
      <c r="C82" s="36"/>
      <c r="D82" s="36" t="s">
        <v>40</v>
      </c>
      <c r="E82" s="36"/>
      <c r="F82" s="36"/>
      <c r="G82" s="36" t="s">
        <v>41</v>
      </c>
      <c r="H82" s="36"/>
      <c r="I82" s="36" t="s">
        <v>936</v>
      </c>
      <c r="J82" s="36"/>
      <c r="K82" s="36" t="s">
        <v>932</v>
      </c>
      <c r="L82" s="36"/>
      <c r="M82" s="36" t="s">
        <v>933</v>
      </c>
      <c r="N82" s="36"/>
      <c r="O82" s="36" t="s">
        <v>938</v>
      </c>
      <c r="P82" s="36"/>
      <c r="Q82" s="36" t="s">
        <v>939</v>
      </c>
      <c r="R82" s="36"/>
      <c r="S82" s="36" t="s">
        <v>940</v>
      </c>
      <c r="T82" s="36">
        <v>0</v>
      </c>
      <c r="U82" s="36">
        <v>0</v>
      </c>
      <c r="V82" s="36">
        <v>0</v>
      </c>
      <c r="W82" s="36">
        <v>0</v>
      </c>
      <c r="X82" s="36" t="s">
        <v>937</v>
      </c>
      <c r="Y82" s="36"/>
      <c r="Z82" s="36"/>
      <c r="AA82" s="37" t="s">
        <v>168</v>
      </c>
      <c r="AB82" s="38" t="s">
        <v>169</v>
      </c>
      <c r="AC82" s="38" t="s">
        <v>56</v>
      </c>
      <c r="AD82" s="39">
        <v>15160962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39">
        <v>15160962</v>
      </c>
      <c r="AK82" s="40">
        <v>0</v>
      </c>
      <c r="AL82" s="40">
        <v>0</v>
      </c>
      <c r="AM82" s="40">
        <v>7219506</v>
      </c>
      <c r="AN82" s="40">
        <v>0</v>
      </c>
      <c r="AO82" s="34">
        <v>0</v>
      </c>
      <c r="AP82" s="39">
        <v>7219506</v>
      </c>
      <c r="AQ82" s="40">
        <v>0</v>
      </c>
      <c r="AR82" s="40">
        <v>0</v>
      </c>
      <c r="AS82" s="39">
        <v>7219506</v>
      </c>
      <c r="AT82" s="39">
        <f t="shared" si="38"/>
        <v>7219506</v>
      </c>
      <c r="AU82" s="18">
        <f t="shared" si="39"/>
        <v>7941456</v>
      </c>
      <c r="AV82" s="34">
        <f t="shared" si="40"/>
        <v>0</v>
      </c>
      <c r="AW82" s="34">
        <f t="shared" si="41"/>
        <v>0</v>
      </c>
      <c r="AX82" s="32">
        <f t="shared" si="20"/>
        <v>0.47619049503586908</v>
      </c>
    </row>
    <row r="83" spans="1:50" ht="18.75" customHeight="1" x14ac:dyDescent="0.2">
      <c r="A83" s="14" t="s">
        <v>55</v>
      </c>
      <c r="B83" s="15" t="s">
        <v>56</v>
      </c>
      <c r="C83" s="15"/>
      <c r="D83" s="15" t="s">
        <v>40</v>
      </c>
      <c r="E83" s="15"/>
      <c r="F83" s="15"/>
      <c r="G83" s="15" t="s">
        <v>41</v>
      </c>
      <c r="H83" s="15"/>
      <c r="I83" s="15" t="s">
        <v>936</v>
      </c>
      <c r="J83" s="15"/>
      <c r="K83" s="15" t="s">
        <v>932</v>
      </c>
      <c r="L83" s="15"/>
      <c r="M83" s="15" t="s">
        <v>933</v>
      </c>
      <c r="N83" s="15"/>
      <c r="O83" s="15" t="s">
        <v>938</v>
      </c>
      <c r="P83" s="15"/>
      <c r="Q83" s="15" t="s">
        <v>939</v>
      </c>
      <c r="R83" s="15"/>
      <c r="S83" s="15" t="s">
        <v>940</v>
      </c>
      <c r="T83" s="15">
        <v>0</v>
      </c>
      <c r="U83" s="15">
        <v>0</v>
      </c>
      <c r="V83" s="15">
        <v>0</v>
      </c>
      <c r="W83" s="15">
        <v>0</v>
      </c>
      <c r="X83" s="15" t="s">
        <v>937</v>
      </c>
      <c r="Y83" s="15"/>
      <c r="Z83" s="15"/>
      <c r="AA83" s="16" t="s">
        <v>170</v>
      </c>
      <c r="AB83" s="17" t="s">
        <v>171</v>
      </c>
      <c r="AC83" s="17" t="s">
        <v>58</v>
      </c>
      <c r="AD83" s="18">
        <v>35475597</v>
      </c>
      <c r="AE83" s="34">
        <v>0</v>
      </c>
      <c r="AF83" s="34">
        <v>0</v>
      </c>
      <c r="AG83" s="34">
        <v>0</v>
      </c>
      <c r="AH83" s="34">
        <v>0</v>
      </c>
      <c r="AI83" s="34">
        <v>0</v>
      </c>
      <c r="AJ83" s="18">
        <v>35475597</v>
      </c>
      <c r="AK83" s="34">
        <v>0</v>
      </c>
      <c r="AL83" s="34">
        <v>0</v>
      </c>
      <c r="AM83" s="34">
        <v>16248708</v>
      </c>
      <c r="AN83" s="34">
        <v>0</v>
      </c>
      <c r="AO83" s="34">
        <v>0</v>
      </c>
      <c r="AP83" s="18">
        <v>16248708</v>
      </c>
      <c r="AQ83" s="34">
        <v>0</v>
      </c>
      <c r="AR83" s="34">
        <v>0</v>
      </c>
      <c r="AS83" s="18">
        <v>16248708</v>
      </c>
      <c r="AT83" s="39">
        <f t="shared" si="38"/>
        <v>16248708</v>
      </c>
      <c r="AU83" s="18">
        <f t="shared" si="39"/>
        <v>19226889</v>
      </c>
      <c r="AV83" s="34">
        <f t="shared" si="40"/>
        <v>0</v>
      </c>
      <c r="AW83" s="34">
        <f t="shared" si="41"/>
        <v>0</v>
      </c>
      <c r="AX83" s="32">
        <f t="shared" si="20"/>
        <v>0.45802493471780054</v>
      </c>
    </row>
    <row r="84" spans="1:50" ht="18.75" customHeight="1" x14ac:dyDescent="0.2">
      <c r="A84" s="35" t="s">
        <v>55</v>
      </c>
      <c r="B84" s="36" t="s">
        <v>56</v>
      </c>
      <c r="C84" s="36"/>
      <c r="D84" s="36" t="s">
        <v>40</v>
      </c>
      <c r="E84" s="36"/>
      <c r="F84" s="36"/>
      <c r="G84" s="36" t="s">
        <v>41</v>
      </c>
      <c r="H84" s="36"/>
      <c r="I84" s="36" t="s">
        <v>936</v>
      </c>
      <c r="J84" s="36"/>
      <c r="K84" s="36" t="s">
        <v>932</v>
      </c>
      <c r="L84" s="36"/>
      <c r="M84" s="36" t="s">
        <v>933</v>
      </c>
      <c r="N84" s="36"/>
      <c r="O84" s="36" t="s">
        <v>938</v>
      </c>
      <c r="P84" s="36"/>
      <c r="Q84" s="36" t="s">
        <v>939</v>
      </c>
      <c r="R84" s="36"/>
      <c r="S84" s="36" t="s">
        <v>940</v>
      </c>
      <c r="T84" s="36">
        <v>0</v>
      </c>
      <c r="U84" s="36">
        <v>0</v>
      </c>
      <c r="V84" s="36">
        <v>0</v>
      </c>
      <c r="W84" s="36">
        <v>0</v>
      </c>
      <c r="X84" s="36" t="s">
        <v>937</v>
      </c>
      <c r="Y84" s="36"/>
      <c r="Z84" s="36"/>
      <c r="AA84" s="37" t="s">
        <v>172</v>
      </c>
      <c r="AB84" s="38" t="s">
        <v>173</v>
      </c>
      <c r="AC84" s="38" t="s">
        <v>58</v>
      </c>
      <c r="AD84" s="39">
        <v>49855036</v>
      </c>
      <c r="AE84" s="40">
        <v>0</v>
      </c>
      <c r="AF84" s="40">
        <v>0</v>
      </c>
      <c r="AG84" s="39">
        <v>72000000</v>
      </c>
      <c r="AI84" s="18">
        <f>AE84-AF84+AG84-AH84</f>
        <v>72000000</v>
      </c>
      <c r="AJ84" s="18">
        <f>AD84+AI84</f>
        <v>121855036</v>
      </c>
      <c r="AK84" s="40">
        <v>0</v>
      </c>
      <c r="AL84" s="39">
        <v>9655287</v>
      </c>
      <c r="AM84" s="39">
        <v>76932941</v>
      </c>
      <c r="AN84" s="40">
        <v>0</v>
      </c>
      <c r="AO84" s="18">
        <v>9655287</v>
      </c>
      <c r="AP84" s="39">
        <v>76932941</v>
      </c>
      <c r="AQ84" s="40">
        <v>0</v>
      </c>
      <c r="AR84" s="40">
        <v>0</v>
      </c>
      <c r="AS84" s="39">
        <v>67277654</v>
      </c>
      <c r="AT84" s="39">
        <f t="shared" si="38"/>
        <v>67277654</v>
      </c>
      <c r="AU84" s="18">
        <f t="shared" si="39"/>
        <v>44922095</v>
      </c>
      <c r="AV84" s="34">
        <f t="shared" si="40"/>
        <v>0</v>
      </c>
      <c r="AW84" s="18">
        <f t="shared" si="41"/>
        <v>9655287</v>
      </c>
      <c r="AX84" s="32">
        <f t="shared" si="20"/>
        <v>0.63134806344811223</v>
      </c>
    </row>
    <row r="85" spans="1:50" ht="18.75" customHeight="1" x14ac:dyDescent="0.2">
      <c r="A85" s="14" t="s">
        <v>55</v>
      </c>
      <c r="B85" s="15" t="s">
        <v>56</v>
      </c>
      <c r="C85" s="15"/>
      <c r="D85" s="15" t="s">
        <v>40</v>
      </c>
      <c r="E85" s="15"/>
      <c r="F85" s="15"/>
      <c r="G85" s="15" t="s">
        <v>41</v>
      </c>
      <c r="H85" s="15"/>
      <c r="I85" s="15" t="s">
        <v>936</v>
      </c>
      <c r="J85" s="15"/>
      <c r="K85" s="15" t="s">
        <v>932</v>
      </c>
      <c r="L85" s="15"/>
      <c r="M85" s="15" t="s">
        <v>933</v>
      </c>
      <c r="N85" s="15"/>
      <c r="O85" s="15" t="s">
        <v>938</v>
      </c>
      <c r="P85" s="15"/>
      <c r="Q85" s="15" t="s">
        <v>942</v>
      </c>
      <c r="R85" s="15"/>
      <c r="S85" s="15" t="s">
        <v>940</v>
      </c>
      <c r="T85" s="15">
        <v>0</v>
      </c>
      <c r="U85" s="15">
        <v>0</v>
      </c>
      <c r="V85" s="15">
        <v>0</v>
      </c>
      <c r="W85" s="15">
        <v>0</v>
      </c>
      <c r="X85" s="15" t="s">
        <v>937</v>
      </c>
      <c r="Y85" s="15"/>
      <c r="Z85" s="15"/>
      <c r="AA85" s="16" t="s">
        <v>174</v>
      </c>
      <c r="AB85" s="17" t="s">
        <v>175</v>
      </c>
      <c r="AC85" s="17" t="s">
        <v>58</v>
      </c>
      <c r="AD85" s="18">
        <v>300000000</v>
      </c>
      <c r="AE85" s="34">
        <v>0</v>
      </c>
      <c r="AF85" s="34">
        <v>0</v>
      </c>
      <c r="AG85" s="34">
        <v>0</v>
      </c>
      <c r="AH85" s="34">
        <v>0</v>
      </c>
      <c r="AI85" s="34">
        <v>0</v>
      </c>
      <c r="AJ85" s="18">
        <v>300000000</v>
      </c>
      <c r="AK85" s="34">
        <v>0</v>
      </c>
      <c r="AL85" s="18">
        <v>18352226</v>
      </c>
      <c r="AM85" s="18">
        <v>196756446</v>
      </c>
      <c r="AN85" s="34">
        <v>0</v>
      </c>
      <c r="AO85" s="18">
        <v>18352226</v>
      </c>
      <c r="AP85" s="18">
        <v>196756446</v>
      </c>
      <c r="AQ85" s="34">
        <v>0</v>
      </c>
      <c r="AR85" s="18">
        <v>18352226</v>
      </c>
      <c r="AS85" s="18">
        <v>196756446</v>
      </c>
      <c r="AT85" s="39">
        <f t="shared" si="38"/>
        <v>196756446</v>
      </c>
      <c r="AU85" s="18">
        <f t="shared" si="39"/>
        <v>103243554</v>
      </c>
      <c r="AV85" s="34">
        <f t="shared" si="40"/>
        <v>0</v>
      </c>
      <c r="AW85" s="34">
        <f t="shared" si="41"/>
        <v>0</v>
      </c>
      <c r="AX85" s="32">
        <f t="shared" si="20"/>
        <v>0.65585481999999995</v>
      </c>
    </row>
    <row r="86" spans="1:50" s="25" customFormat="1" ht="18.75" customHeight="1" x14ac:dyDescent="0.2">
      <c r="A86" s="19" t="s">
        <v>55</v>
      </c>
      <c r="B86" s="19" t="s">
        <v>56</v>
      </c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26" t="s">
        <v>176</v>
      </c>
      <c r="AB86" s="21" t="s">
        <v>177</v>
      </c>
      <c r="AC86" s="22" t="s">
        <v>37</v>
      </c>
      <c r="AD86" s="22">
        <f>AD87</f>
        <v>23932782621</v>
      </c>
      <c r="AE86" s="23">
        <f t="shared" ref="AE86:AW86" si="45">AE87</f>
        <v>0</v>
      </c>
      <c r="AF86" s="23">
        <f t="shared" si="45"/>
        <v>0</v>
      </c>
      <c r="AG86" s="22">
        <f t="shared" si="45"/>
        <v>5440495322</v>
      </c>
      <c r="AH86" s="22">
        <f t="shared" si="45"/>
        <v>2887500000</v>
      </c>
      <c r="AI86" s="22">
        <f>AI87</f>
        <v>2552995322</v>
      </c>
      <c r="AJ86" s="22">
        <f t="shared" si="45"/>
        <v>26485777943</v>
      </c>
      <c r="AK86" s="23">
        <f t="shared" si="45"/>
        <v>0</v>
      </c>
      <c r="AL86" s="22">
        <f t="shared" si="45"/>
        <v>1463845886.99</v>
      </c>
      <c r="AM86" s="22">
        <f t="shared" si="45"/>
        <v>22688294207.830002</v>
      </c>
      <c r="AN86" s="22">
        <f t="shared" si="45"/>
        <v>42000000</v>
      </c>
      <c r="AO86" s="22">
        <f t="shared" si="45"/>
        <v>1629125258</v>
      </c>
      <c r="AP86" s="22">
        <f t="shared" si="45"/>
        <v>21538587497.810001</v>
      </c>
      <c r="AQ86" s="108">
        <f t="shared" si="45"/>
        <v>216002910.5</v>
      </c>
      <c r="AR86" s="22">
        <f t="shared" si="45"/>
        <v>2088471311.8899999</v>
      </c>
      <c r="AS86" s="22">
        <f t="shared" si="45"/>
        <v>11852288350.639999</v>
      </c>
      <c r="AT86" s="22">
        <f t="shared" si="38"/>
        <v>12068291261.139999</v>
      </c>
      <c r="AU86" s="22">
        <f t="shared" si="45"/>
        <v>3797483735.1700001</v>
      </c>
      <c r="AV86" s="22">
        <f t="shared" si="45"/>
        <v>1149706710.02</v>
      </c>
      <c r="AW86" s="22">
        <f t="shared" si="45"/>
        <v>9470296236.6700001</v>
      </c>
      <c r="AX86" s="24">
        <f t="shared" si="20"/>
        <v>0.81321332317152095</v>
      </c>
    </row>
    <row r="87" spans="1:50" s="25" customFormat="1" ht="18.75" customHeight="1" x14ac:dyDescent="0.2">
      <c r="A87" s="19" t="s">
        <v>55</v>
      </c>
      <c r="B87" s="19" t="s">
        <v>56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26" t="s">
        <v>178</v>
      </c>
      <c r="AB87" s="21" t="s">
        <v>179</v>
      </c>
      <c r="AC87" s="22" t="s">
        <v>37</v>
      </c>
      <c r="AD87" s="22">
        <f t="shared" ref="AD87:AS87" si="46">AD88+AD94</f>
        <v>23932782621</v>
      </c>
      <c r="AE87" s="23">
        <f t="shared" si="46"/>
        <v>0</v>
      </c>
      <c r="AF87" s="23">
        <f t="shared" si="46"/>
        <v>0</v>
      </c>
      <c r="AG87" s="22">
        <f t="shared" si="46"/>
        <v>5440495322</v>
      </c>
      <c r="AH87" s="22">
        <f t="shared" si="46"/>
        <v>2887500000</v>
      </c>
      <c r="AI87" s="22">
        <f t="shared" si="46"/>
        <v>2552995322</v>
      </c>
      <c r="AJ87" s="22">
        <f t="shared" si="46"/>
        <v>26485777943</v>
      </c>
      <c r="AK87" s="23">
        <f t="shared" si="46"/>
        <v>0</v>
      </c>
      <c r="AL87" s="22">
        <f t="shared" si="46"/>
        <v>1463845886.99</v>
      </c>
      <c r="AM87" s="22">
        <f t="shared" si="46"/>
        <v>22688294207.830002</v>
      </c>
      <c r="AN87" s="22">
        <f t="shared" si="46"/>
        <v>42000000</v>
      </c>
      <c r="AO87" s="22">
        <f t="shared" si="46"/>
        <v>1629125258</v>
      </c>
      <c r="AP87" s="22">
        <f t="shared" si="46"/>
        <v>21538587497.810001</v>
      </c>
      <c r="AQ87" s="108">
        <f t="shared" si="46"/>
        <v>216002910.5</v>
      </c>
      <c r="AR87" s="22">
        <f t="shared" si="46"/>
        <v>2088471311.8899999</v>
      </c>
      <c r="AS87" s="22">
        <f t="shared" si="46"/>
        <v>11852288350.639999</v>
      </c>
      <c r="AT87" s="22">
        <f t="shared" si="38"/>
        <v>12068291261.139999</v>
      </c>
      <c r="AU87" s="22">
        <f>AU88+AU94</f>
        <v>3797483735.1700001</v>
      </c>
      <c r="AV87" s="22">
        <f>AV88+AV94</f>
        <v>1149706710.02</v>
      </c>
      <c r="AW87" s="22">
        <f>AW88+AW94</f>
        <v>9470296236.6700001</v>
      </c>
      <c r="AX87" s="24">
        <f t="shared" si="20"/>
        <v>0.81321332317152095</v>
      </c>
    </row>
    <row r="88" spans="1:50" s="25" customFormat="1" ht="18.75" customHeight="1" x14ac:dyDescent="0.2">
      <c r="A88" s="19" t="s">
        <v>55</v>
      </c>
      <c r="B88" s="19" t="s">
        <v>56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26" t="s">
        <v>180</v>
      </c>
      <c r="AB88" s="21" t="s">
        <v>181</v>
      </c>
      <c r="AC88" s="22" t="s">
        <v>37</v>
      </c>
      <c r="AD88" s="22">
        <f>AD89+AD90+AD91+AD92+AD93</f>
        <v>918000000</v>
      </c>
      <c r="AE88" s="22">
        <f t="shared" ref="AE88:AW88" si="47">AE89+AE90+AE91+AE92+AE93</f>
        <v>0</v>
      </c>
      <c r="AF88" s="22">
        <f t="shared" si="47"/>
        <v>0</v>
      </c>
      <c r="AG88" s="22">
        <f t="shared" si="47"/>
        <v>746500000</v>
      </c>
      <c r="AH88" s="22">
        <f t="shared" si="47"/>
        <v>297500000</v>
      </c>
      <c r="AI88" s="22">
        <f t="shared" si="47"/>
        <v>449000000</v>
      </c>
      <c r="AJ88" s="22">
        <f t="shared" si="47"/>
        <v>1367000000</v>
      </c>
      <c r="AK88" s="22">
        <f t="shared" si="47"/>
        <v>0</v>
      </c>
      <c r="AL88" s="22">
        <f t="shared" si="47"/>
        <v>320744860</v>
      </c>
      <c r="AM88" s="22">
        <f t="shared" si="47"/>
        <v>1093826291</v>
      </c>
      <c r="AN88" s="23">
        <f t="shared" si="47"/>
        <v>0</v>
      </c>
      <c r="AO88" s="22">
        <f t="shared" si="47"/>
        <v>58133098</v>
      </c>
      <c r="AP88" s="22">
        <f t="shared" si="47"/>
        <v>676104060.39999998</v>
      </c>
      <c r="AQ88" s="22">
        <f t="shared" si="47"/>
        <v>18502066.5</v>
      </c>
      <c r="AR88" s="22">
        <f t="shared" si="47"/>
        <v>158397582.88999999</v>
      </c>
      <c r="AS88" s="22">
        <f t="shared" si="47"/>
        <v>328858705.18000001</v>
      </c>
      <c r="AT88" s="22">
        <f t="shared" si="47"/>
        <v>347360771.68000001</v>
      </c>
      <c r="AU88" s="22">
        <f t="shared" si="47"/>
        <v>273173709</v>
      </c>
      <c r="AV88" s="22">
        <f t="shared" si="47"/>
        <v>417722230.60000002</v>
      </c>
      <c r="AW88" s="22">
        <f t="shared" si="47"/>
        <v>328743288.71999997</v>
      </c>
      <c r="AX88" s="24">
        <f t="shared" si="20"/>
        <v>0.49458965647403069</v>
      </c>
    </row>
    <row r="89" spans="1:50" ht="29.25" customHeight="1" x14ac:dyDescent="0.2">
      <c r="A89" s="35" t="s">
        <v>55</v>
      </c>
      <c r="B89" s="36" t="s">
        <v>56</v>
      </c>
      <c r="C89" s="36"/>
      <c r="D89" s="36" t="s">
        <v>40</v>
      </c>
      <c r="E89" s="36"/>
      <c r="F89" s="36"/>
      <c r="G89" s="36" t="s">
        <v>41</v>
      </c>
      <c r="H89" s="36"/>
      <c r="I89" s="36" t="s">
        <v>936</v>
      </c>
      <c r="J89" s="36"/>
      <c r="K89" s="36" t="s">
        <v>932</v>
      </c>
      <c r="L89" s="36"/>
      <c r="M89" s="36" t="s">
        <v>933</v>
      </c>
      <c r="N89" s="36"/>
      <c r="O89" s="36" t="s">
        <v>938</v>
      </c>
      <c r="P89" s="36"/>
      <c r="Q89" s="36" t="s">
        <v>942</v>
      </c>
      <c r="R89" s="36"/>
      <c r="S89" s="36" t="s">
        <v>940</v>
      </c>
      <c r="T89" s="36">
        <v>0</v>
      </c>
      <c r="U89" s="36">
        <v>0</v>
      </c>
      <c r="V89" s="36">
        <v>0</v>
      </c>
      <c r="W89" s="36">
        <v>0</v>
      </c>
      <c r="X89" s="36" t="s">
        <v>937</v>
      </c>
      <c r="Y89" s="36"/>
      <c r="Z89" s="36"/>
      <c r="AA89" s="37" t="s">
        <v>182</v>
      </c>
      <c r="AB89" s="38" t="s">
        <v>183</v>
      </c>
      <c r="AC89" s="38" t="s">
        <v>58</v>
      </c>
      <c r="AD89" s="39">
        <v>50000000</v>
      </c>
      <c r="AE89" s="40">
        <v>0</v>
      </c>
      <c r="AF89" s="40">
        <v>0</v>
      </c>
      <c r="AG89" s="39">
        <v>70000000</v>
      </c>
      <c r="AH89" s="40">
        <v>0</v>
      </c>
      <c r="AI89" s="18">
        <f>AE89-AF89+AG89-AH89</f>
        <v>70000000</v>
      </c>
      <c r="AJ89" s="18">
        <f>AD89+AI89</f>
        <v>120000000</v>
      </c>
      <c r="AK89" s="40">
        <v>0</v>
      </c>
      <c r="AL89" s="40">
        <v>0</v>
      </c>
      <c r="AM89" s="39">
        <v>50000000</v>
      </c>
      <c r="AN89" s="40">
        <v>0</v>
      </c>
      <c r="AO89" s="39">
        <v>0</v>
      </c>
      <c r="AP89" s="39">
        <v>28980000</v>
      </c>
      <c r="AQ89" s="40">
        <v>0</v>
      </c>
      <c r="AR89" s="40">
        <v>0</v>
      </c>
      <c r="AS89" s="40">
        <v>0</v>
      </c>
      <c r="AT89" s="31">
        <f t="shared" si="38"/>
        <v>0</v>
      </c>
      <c r="AU89" s="18">
        <f>AJ89-AM89</f>
        <v>70000000</v>
      </c>
      <c r="AV89" s="18">
        <f>AM89-AP89</f>
        <v>21020000</v>
      </c>
      <c r="AW89" s="18">
        <f>AP89-AT89</f>
        <v>28980000</v>
      </c>
      <c r="AX89" s="32">
        <f t="shared" si="20"/>
        <v>0.24149999999999999</v>
      </c>
    </row>
    <row r="90" spans="1:50" ht="32.25" customHeight="1" x14ac:dyDescent="0.2">
      <c r="A90" s="14" t="s">
        <v>55</v>
      </c>
      <c r="B90" s="15" t="s">
        <v>56</v>
      </c>
      <c r="C90" s="15"/>
      <c r="D90" s="15" t="s">
        <v>40</v>
      </c>
      <c r="E90" s="15"/>
      <c r="F90" s="15"/>
      <c r="G90" s="15" t="s">
        <v>41</v>
      </c>
      <c r="H90" s="15"/>
      <c r="I90" s="15" t="s">
        <v>936</v>
      </c>
      <c r="J90" s="15"/>
      <c r="K90" s="15" t="s">
        <v>932</v>
      </c>
      <c r="L90" s="15"/>
      <c r="M90" s="15" t="s">
        <v>933</v>
      </c>
      <c r="N90" s="15"/>
      <c r="O90" s="15" t="s">
        <v>938</v>
      </c>
      <c r="P90" s="15"/>
      <c r="Q90" s="15" t="s">
        <v>942</v>
      </c>
      <c r="R90" s="15"/>
      <c r="S90" s="15" t="s">
        <v>940</v>
      </c>
      <c r="T90" s="15">
        <v>0</v>
      </c>
      <c r="U90" s="15">
        <v>0</v>
      </c>
      <c r="V90" s="15">
        <v>0</v>
      </c>
      <c r="W90" s="15">
        <v>0</v>
      </c>
      <c r="X90" s="15" t="s">
        <v>937</v>
      </c>
      <c r="Y90" s="15"/>
      <c r="Z90" s="15"/>
      <c r="AA90" s="16" t="s">
        <v>184</v>
      </c>
      <c r="AB90" s="17" t="s">
        <v>185</v>
      </c>
      <c r="AC90" s="17" t="s">
        <v>58</v>
      </c>
      <c r="AD90" s="18">
        <v>758000000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18">
        <v>758000000</v>
      </c>
      <c r="AK90" s="34">
        <v>0</v>
      </c>
      <c r="AL90" s="39">
        <v>10744860</v>
      </c>
      <c r="AM90" s="18">
        <v>733826291</v>
      </c>
      <c r="AN90" s="34">
        <v>0</v>
      </c>
      <c r="AO90" s="18">
        <v>58133098</v>
      </c>
      <c r="AP90" s="18">
        <v>647124060.39999998</v>
      </c>
      <c r="AQ90" s="18">
        <v>18502066.5</v>
      </c>
      <c r="AR90" s="18">
        <v>158397582.88999999</v>
      </c>
      <c r="AS90" s="18">
        <v>328858705.18000001</v>
      </c>
      <c r="AT90" s="39">
        <f t="shared" si="38"/>
        <v>347360771.68000001</v>
      </c>
      <c r="AU90" s="18">
        <f>AJ90-AM90</f>
        <v>24173709</v>
      </c>
      <c r="AV90" s="18">
        <f>AM90-AP90</f>
        <v>86702230.600000024</v>
      </c>
      <c r="AW90" s="18">
        <f>AP90-AT90</f>
        <v>299763288.71999997</v>
      </c>
      <c r="AX90" s="32">
        <f t="shared" si="20"/>
        <v>0.85372567335092342</v>
      </c>
    </row>
    <row r="91" spans="1:50" ht="23.25" customHeight="1" x14ac:dyDescent="0.2">
      <c r="A91" s="14" t="s">
        <v>55</v>
      </c>
      <c r="B91" s="15" t="s">
        <v>56</v>
      </c>
      <c r="C91" s="15"/>
      <c r="D91" s="15" t="s">
        <v>40</v>
      </c>
      <c r="E91" s="15"/>
      <c r="F91" s="15"/>
      <c r="G91" s="15" t="s">
        <v>41</v>
      </c>
      <c r="H91" s="15"/>
      <c r="I91" s="15" t="s">
        <v>936</v>
      </c>
      <c r="J91" s="15"/>
      <c r="K91" s="15" t="s">
        <v>932</v>
      </c>
      <c r="L91" s="15"/>
      <c r="M91" s="15" t="s">
        <v>933</v>
      </c>
      <c r="N91" s="15"/>
      <c r="O91" s="15" t="s">
        <v>938</v>
      </c>
      <c r="P91" s="15"/>
      <c r="Q91" s="15" t="s">
        <v>942</v>
      </c>
      <c r="R91" s="15"/>
      <c r="S91" s="15" t="s">
        <v>940</v>
      </c>
      <c r="T91" s="15">
        <v>0</v>
      </c>
      <c r="U91" s="15">
        <v>0</v>
      </c>
      <c r="V91" s="15">
        <v>0</v>
      </c>
      <c r="W91" s="15">
        <v>0</v>
      </c>
      <c r="X91" s="15" t="s">
        <v>937</v>
      </c>
      <c r="Y91" s="15"/>
      <c r="Z91" s="15"/>
      <c r="AA91" s="16" t="s">
        <v>186</v>
      </c>
      <c r="AB91" s="17" t="s">
        <v>187</v>
      </c>
      <c r="AC91" s="17" t="s">
        <v>58</v>
      </c>
      <c r="AD91" s="18">
        <v>110000000</v>
      </c>
      <c r="AE91" s="34">
        <v>0</v>
      </c>
      <c r="AF91" s="34">
        <v>0</v>
      </c>
      <c r="AG91" s="18">
        <v>300000000</v>
      </c>
      <c r="AH91" s="34">
        <v>0</v>
      </c>
      <c r="AI91" s="18">
        <f>AE91-AF91+AG91-AH91</f>
        <v>300000000</v>
      </c>
      <c r="AJ91" s="18">
        <f>AD91+AI91</f>
        <v>410000000</v>
      </c>
      <c r="AK91" s="34">
        <v>0</v>
      </c>
      <c r="AL91" s="39">
        <v>310000000</v>
      </c>
      <c r="AM91" s="18">
        <v>310000000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1">
        <f t="shared" si="38"/>
        <v>0</v>
      </c>
      <c r="AU91" s="18">
        <f>AJ91-AM91</f>
        <v>100000000</v>
      </c>
      <c r="AV91" s="18">
        <f>AM91-AP91</f>
        <v>310000000</v>
      </c>
      <c r="AW91" s="34">
        <f>AP91-AT91</f>
        <v>0</v>
      </c>
      <c r="AX91" s="32">
        <f t="shared" si="20"/>
        <v>0</v>
      </c>
    </row>
    <row r="92" spans="1:50" ht="39" customHeight="1" x14ac:dyDescent="0.2">
      <c r="A92" s="14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41" t="s">
        <v>1269</v>
      </c>
      <c r="AB92" s="17" t="s">
        <v>1267</v>
      </c>
      <c r="AC92" s="17"/>
      <c r="AD92" s="34">
        <v>0</v>
      </c>
      <c r="AE92" s="34">
        <v>0</v>
      </c>
      <c r="AF92" s="34">
        <v>0</v>
      </c>
      <c r="AG92" s="18">
        <v>37500000</v>
      </c>
      <c r="AH92" s="18">
        <v>37500000</v>
      </c>
      <c r="AI92" s="18">
        <f>AE92-AF92+AG92-AH92</f>
        <v>0</v>
      </c>
      <c r="AJ92" s="34">
        <f>AD92+AI92</f>
        <v>0</v>
      </c>
      <c r="AK92" s="34">
        <v>0</v>
      </c>
      <c r="AL92" s="40"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1">
        <f t="shared" si="38"/>
        <v>0</v>
      </c>
      <c r="AU92" s="34">
        <f t="shared" ref="AU92:AU93" si="48">AJ92-AM92</f>
        <v>0</v>
      </c>
      <c r="AV92" s="34">
        <f t="shared" ref="AV92:AV93" si="49">AM92-AP92</f>
        <v>0</v>
      </c>
      <c r="AW92" s="34">
        <f t="shared" ref="AW92:AW93" si="50">AP92-AT92</f>
        <v>0</v>
      </c>
      <c r="AX92" s="32">
        <v>0</v>
      </c>
    </row>
    <row r="93" spans="1:50" ht="31.5" customHeight="1" x14ac:dyDescent="0.2">
      <c r="A93" s="14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41" t="s">
        <v>1270</v>
      </c>
      <c r="AB93" s="17" t="s">
        <v>1268</v>
      </c>
      <c r="AC93" s="17"/>
      <c r="AD93" s="34">
        <v>0</v>
      </c>
      <c r="AE93" s="34">
        <v>0</v>
      </c>
      <c r="AF93" s="34">
        <v>0</v>
      </c>
      <c r="AG93" s="39">
        <f>260000000+79000000</f>
        <v>339000000</v>
      </c>
      <c r="AH93" s="18">
        <v>260000000</v>
      </c>
      <c r="AI93" s="18">
        <f t="shared" ref="AI93" si="51">AE93-AF93+AG93-AH93</f>
        <v>79000000</v>
      </c>
      <c r="AJ93" s="18">
        <f t="shared" ref="AJ93" si="52">AD93+AI93</f>
        <v>79000000</v>
      </c>
      <c r="AK93" s="34">
        <v>0</v>
      </c>
      <c r="AL93" s="40">
        <v>0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1">
        <f t="shared" si="38"/>
        <v>0</v>
      </c>
      <c r="AU93" s="18">
        <f t="shared" si="48"/>
        <v>79000000</v>
      </c>
      <c r="AV93" s="34">
        <f t="shared" si="49"/>
        <v>0</v>
      </c>
      <c r="AW93" s="34">
        <f t="shared" si="50"/>
        <v>0</v>
      </c>
      <c r="AX93" s="32">
        <f t="shared" si="20"/>
        <v>0</v>
      </c>
    </row>
    <row r="94" spans="1:50" s="25" customFormat="1" ht="18.75" customHeight="1" x14ac:dyDescent="0.2">
      <c r="A94" s="19" t="s">
        <v>55</v>
      </c>
      <c r="B94" s="19" t="s">
        <v>56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26" t="s">
        <v>188</v>
      </c>
      <c r="AB94" s="21" t="s">
        <v>189</v>
      </c>
      <c r="AC94" s="22" t="s">
        <v>56</v>
      </c>
      <c r="AD94" s="22">
        <f>SUM(AD95:AD100)</f>
        <v>23014782621</v>
      </c>
      <c r="AE94" s="23">
        <f t="shared" ref="AE94:AW94" si="53">SUM(AE95:AE100)</f>
        <v>0</v>
      </c>
      <c r="AF94" s="23">
        <f t="shared" si="53"/>
        <v>0</v>
      </c>
      <c r="AG94" s="22">
        <f>SUM(AG95:AG100)</f>
        <v>4693995322</v>
      </c>
      <c r="AH94" s="22">
        <f>SUM(AH95:AH100)</f>
        <v>2590000000</v>
      </c>
      <c r="AI94" s="22">
        <f>SUM(AI95:AI100)</f>
        <v>2103995322</v>
      </c>
      <c r="AJ94" s="22">
        <f>SUM(AJ95:AJ100)</f>
        <v>25118777943</v>
      </c>
      <c r="AK94" s="23">
        <f t="shared" si="53"/>
        <v>0</v>
      </c>
      <c r="AL94" s="22">
        <f t="shared" si="53"/>
        <v>1143101026.99</v>
      </c>
      <c r="AM94" s="22">
        <f t="shared" si="53"/>
        <v>21594467916.830002</v>
      </c>
      <c r="AN94" s="22">
        <f t="shared" si="53"/>
        <v>42000000</v>
      </c>
      <c r="AO94" s="22">
        <f t="shared" si="53"/>
        <v>1570992160</v>
      </c>
      <c r="AP94" s="22">
        <f t="shared" si="53"/>
        <v>20862483437.41</v>
      </c>
      <c r="AQ94" s="22">
        <f t="shared" si="53"/>
        <v>197500844</v>
      </c>
      <c r="AR94" s="22">
        <f t="shared" si="53"/>
        <v>1930073729</v>
      </c>
      <c r="AS94" s="22">
        <f t="shared" si="53"/>
        <v>11523429645.459999</v>
      </c>
      <c r="AT94" s="22">
        <f>AQ94+AS94</f>
        <v>11720930489.459999</v>
      </c>
      <c r="AU94" s="22">
        <f t="shared" si="53"/>
        <v>3524310026.1700001</v>
      </c>
      <c r="AV94" s="22">
        <f t="shared" si="53"/>
        <v>731984479.42000008</v>
      </c>
      <c r="AW94" s="22">
        <f t="shared" si="53"/>
        <v>9141552947.9500008</v>
      </c>
      <c r="AX94" s="24">
        <f t="shared" si="20"/>
        <v>0.83055328108523185</v>
      </c>
    </row>
    <row r="95" spans="1:50" ht="18.75" customHeight="1" x14ac:dyDescent="0.2">
      <c r="A95" s="14" t="s">
        <v>55</v>
      </c>
      <c r="B95" s="15" t="s">
        <v>56</v>
      </c>
      <c r="C95" s="15"/>
      <c r="D95" s="15" t="s">
        <v>40</v>
      </c>
      <c r="E95" s="15"/>
      <c r="F95" s="15"/>
      <c r="G95" s="15" t="s">
        <v>41</v>
      </c>
      <c r="H95" s="15"/>
      <c r="I95" s="15" t="s">
        <v>936</v>
      </c>
      <c r="J95" s="15"/>
      <c r="K95" s="15" t="s">
        <v>932</v>
      </c>
      <c r="L95" s="15"/>
      <c r="M95" s="15" t="s">
        <v>933</v>
      </c>
      <c r="N95" s="15"/>
      <c r="O95" s="15" t="s">
        <v>938</v>
      </c>
      <c r="P95" s="15"/>
      <c r="Q95" s="15" t="s">
        <v>942</v>
      </c>
      <c r="R95" s="15"/>
      <c r="S95" s="15" t="s">
        <v>940</v>
      </c>
      <c r="T95" s="15">
        <v>0</v>
      </c>
      <c r="U95" s="15">
        <v>0</v>
      </c>
      <c r="V95" s="15">
        <v>0</v>
      </c>
      <c r="W95" s="15">
        <v>0</v>
      </c>
      <c r="X95" s="15" t="s">
        <v>937</v>
      </c>
      <c r="Y95" s="15"/>
      <c r="Z95" s="15"/>
      <c r="AA95" s="16" t="s">
        <v>190</v>
      </c>
      <c r="AB95" s="17" t="s">
        <v>191</v>
      </c>
      <c r="AC95" s="17" t="s">
        <v>58</v>
      </c>
      <c r="AD95" s="18">
        <v>200000000</v>
      </c>
      <c r="AE95" s="34">
        <v>0</v>
      </c>
      <c r="AF95" s="34">
        <v>0</v>
      </c>
      <c r="AG95" s="34">
        <v>0</v>
      </c>
      <c r="AH95" s="18">
        <f>90000000+20000000</f>
        <v>110000000</v>
      </c>
      <c r="AI95" s="18">
        <f>AE95-AF95+AG95-AH95</f>
        <v>-110000000</v>
      </c>
      <c r="AJ95" s="18">
        <f>AD95+AI95</f>
        <v>90000000</v>
      </c>
      <c r="AK95" s="34">
        <v>0</v>
      </c>
      <c r="AL95" s="34">
        <v>0</v>
      </c>
      <c r="AM95" s="18">
        <v>77224700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1">
        <f t="shared" ref="AT95:AT116" si="54">AQ95+AS95</f>
        <v>0</v>
      </c>
      <c r="AU95" s="18">
        <f t="shared" ref="AU95:AU100" si="55">AJ95-AM95</f>
        <v>12775300</v>
      </c>
      <c r="AV95" s="18">
        <f t="shared" ref="AV95:AV100" si="56">AM95-AP95</f>
        <v>77224700</v>
      </c>
      <c r="AW95" s="34">
        <f t="shared" ref="AW95:AW100" si="57">AP95-AT95</f>
        <v>0</v>
      </c>
      <c r="AX95" s="32">
        <f t="shared" si="20"/>
        <v>0</v>
      </c>
    </row>
    <row r="96" spans="1:50" ht="27.75" customHeight="1" x14ac:dyDescent="0.2">
      <c r="A96" s="35" t="s">
        <v>55</v>
      </c>
      <c r="B96" s="36" t="s">
        <v>56</v>
      </c>
      <c r="C96" s="36"/>
      <c r="D96" s="36" t="s">
        <v>40</v>
      </c>
      <c r="E96" s="36"/>
      <c r="F96" s="36"/>
      <c r="G96" s="36" t="s">
        <v>41</v>
      </c>
      <c r="H96" s="36"/>
      <c r="I96" s="36" t="s">
        <v>936</v>
      </c>
      <c r="J96" s="36"/>
      <c r="K96" s="36" t="s">
        <v>932</v>
      </c>
      <c r="L96" s="36"/>
      <c r="M96" s="36" t="s">
        <v>933</v>
      </c>
      <c r="N96" s="36"/>
      <c r="O96" s="36" t="s">
        <v>938</v>
      </c>
      <c r="P96" s="36"/>
      <c r="Q96" s="36" t="s">
        <v>942</v>
      </c>
      <c r="R96" s="36"/>
      <c r="S96" s="36" t="s">
        <v>940</v>
      </c>
      <c r="T96" s="36">
        <v>0</v>
      </c>
      <c r="U96" s="36">
        <v>0</v>
      </c>
      <c r="V96" s="36">
        <v>0</v>
      </c>
      <c r="W96" s="36">
        <v>0</v>
      </c>
      <c r="X96" s="36" t="s">
        <v>937</v>
      </c>
      <c r="Y96" s="36"/>
      <c r="Z96" s="36"/>
      <c r="AA96" s="37" t="s">
        <v>192</v>
      </c>
      <c r="AB96" s="38" t="s">
        <v>193</v>
      </c>
      <c r="AC96" s="38" t="s">
        <v>58</v>
      </c>
      <c r="AD96" s="39">
        <v>1740000000</v>
      </c>
      <c r="AE96" s="40">
        <v>0</v>
      </c>
      <c r="AF96" s="40">
        <v>0</v>
      </c>
      <c r="AG96" s="39">
        <f>200000000+37500000</f>
        <v>237500000</v>
      </c>
      <c r="AH96" s="39">
        <v>490000000</v>
      </c>
      <c r="AI96" s="18">
        <f>AE96-AF96+AG96-AH96</f>
        <v>-252500000</v>
      </c>
      <c r="AJ96" s="18">
        <f>AD96+AI96</f>
        <v>1487500000</v>
      </c>
      <c r="AK96" s="40">
        <v>0</v>
      </c>
      <c r="AL96" s="18">
        <v>66459345</v>
      </c>
      <c r="AM96" s="39">
        <v>1151396255</v>
      </c>
      <c r="AN96" s="40">
        <v>0</v>
      </c>
      <c r="AO96" s="18">
        <v>266459345</v>
      </c>
      <c r="AP96" s="39">
        <v>1151096255</v>
      </c>
      <c r="AQ96" s="40">
        <v>0</v>
      </c>
      <c r="AR96" s="18">
        <v>231472384</v>
      </c>
      <c r="AS96" s="39">
        <v>666109194.91999996</v>
      </c>
      <c r="AT96" s="30">
        <f t="shared" si="54"/>
        <v>666109194.91999996</v>
      </c>
      <c r="AU96" s="18">
        <f t="shared" si="55"/>
        <v>336103745</v>
      </c>
      <c r="AV96" s="18">
        <f t="shared" si="56"/>
        <v>300000</v>
      </c>
      <c r="AW96" s="18">
        <f t="shared" si="57"/>
        <v>484987060.08000004</v>
      </c>
      <c r="AX96" s="32">
        <f t="shared" si="20"/>
        <v>0.77384622184873952</v>
      </c>
    </row>
    <row r="97" spans="1:50" ht="27.75" customHeight="1" x14ac:dyDescent="0.2">
      <c r="A97" s="35" t="s">
        <v>55</v>
      </c>
      <c r="B97" s="36" t="s">
        <v>56</v>
      </c>
      <c r="C97" s="36"/>
      <c r="D97" s="36" t="s">
        <v>40</v>
      </c>
      <c r="E97" s="36"/>
      <c r="F97" s="36"/>
      <c r="G97" s="36" t="s">
        <v>41</v>
      </c>
      <c r="H97" s="36"/>
      <c r="I97" s="36" t="s">
        <v>936</v>
      </c>
      <c r="J97" s="36"/>
      <c r="K97" s="36" t="s">
        <v>932</v>
      </c>
      <c r="L97" s="36"/>
      <c r="M97" s="36" t="s">
        <v>933</v>
      </c>
      <c r="N97" s="36"/>
      <c r="O97" s="36" t="s">
        <v>938</v>
      </c>
      <c r="P97" s="36"/>
      <c r="Q97" s="36" t="s">
        <v>942</v>
      </c>
      <c r="R97" s="36"/>
      <c r="S97" s="36" t="s">
        <v>940</v>
      </c>
      <c r="T97" s="36">
        <v>0</v>
      </c>
      <c r="U97" s="36">
        <v>0</v>
      </c>
      <c r="V97" s="36">
        <v>0</v>
      </c>
      <c r="W97" s="36">
        <v>0</v>
      </c>
      <c r="X97" s="36" t="s">
        <v>937</v>
      </c>
      <c r="Y97" s="36"/>
      <c r="Z97" s="36"/>
      <c r="AA97" s="37" t="s">
        <v>194</v>
      </c>
      <c r="AB97" s="38" t="s">
        <v>195</v>
      </c>
      <c r="AC97" s="38" t="s">
        <v>58</v>
      </c>
      <c r="AD97" s="39">
        <v>3623000000</v>
      </c>
      <c r="AE97" s="40">
        <v>0</v>
      </c>
      <c r="AF97" s="40">
        <v>0</v>
      </c>
      <c r="AG97" s="33">
        <v>260000000</v>
      </c>
      <c r="AH97" s="39">
        <v>10000000</v>
      </c>
      <c r="AI97" s="18">
        <f>AE97-AF97+AG97-AH97</f>
        <v>250000000</v>
      </c>
      <c r="AJ97" s="18">
        <f>AD97+AI97</f>
        <v>3873000000</v>
      </c>
      <c r="AK97" s="40">
        <v>0</v>
      </c>
      <c r="AL97" s="18">
        <v>93128408</v>
      </c>
      <c r="AM97" s="39">
        <v>3647971763</v>
      </c>
      <c r="AN97" s="40">
        <v>0</v>
      </c>
      <c r="AO97" s="18">
        <v>306123087</v>
      </c>
      <c r="AP97" s="39">
        <v>3633281960</v>
      </c>
      <c r="AQ97" s="40">
        <v>0</v>
      </c>
      <c r="AR97" s="18">
        <v>109769501</v>
      </c>
      <c r="AS97" s="39">
        <v>3262083724</v>
      </c>
      <c r="AT97" s="30">
        <f t="shared" si="54"/>
        <v>3262083724</v>
      </c>
      <c r="AU97" s="18">
        <f t="shared" si="55"/>
        <v>225028237</v>
      </c>
      <c r="AV97" s="18">
        <f t="shared" si="56"/>
        <v>14689803</v>
      </c>
      <c r="AW97" s="18">
        <f t="shared" si="57"/>
        <v>371198236</v>
      </c>
      <c r="AX97" s="32">
        <f t="shared" si="20"/>
        <v>0.93810533436612442</v>
      </c>
    </row>
    <row r="98" spans="1:50" ht="25.5" customHeight="1" x14ac:dyDescent="0.2">
      <c r="A98" s="14" t="s">
        <v>55</v>
      </c>
      <c r="B98" s="15" t="s">
        <v>56</v>
      </c>
      <c r="C98" s="15"/>
      <c r="D98" s="15" t="s">
        <v>40</v>
      </c>
      <c r="E98" s="15"/>
      <c r="F98" s="15"/>
      <c r="G98" s="15" t="s">
        <v>41</v>
      </c>
      <c r="H98" s="15"/>
      <c r="I98" s="15" t="s">
        <v>936</v>
      </c>
      <c r="J98" s="15"/>
      <c r="K98" s="15" t="s">
        <v>932</v>
      </c>
      <c r="L98" s="15"/>
      <c r="M98" s="15" t="s">
        <v>933</v>
      </c>
      <c r="N98" s="15"/>
      <c r="O98" s="15" t="s">
        <v>938</v>
      </c>
      <c r="P98" s="15"/>
      <c r="Q98" s="15" t="s">
        <v>942</v>
      </c>
      <c r="R98" s="15"/>
      <c r="S98" s="15" t="s">
        <v>940</v>
      </c>
      <c r="T98" s="15">
        <v>0</v>
      </c>
      <c r="U98" s="15">
        <v>0</v>
      </c>
      <c r="V98" s="15">
        <v>0</v>
      </c>
      <c r="W98" s="15">
        <v>0</v>
      </c>
      <c r="X98" s="15" t="s">
        <v>937</v>
      </c>
      <c r="Y98" s="15"/>
      <c r="Z98" s="15"/>
      <c r="AA98" s="134" t="s">
        <v>196</v>
      </c>
      <c r="AB98" s="70" t="s">
        <v>197</v>
      </c>
      <c r="AC98" s="17" t="s">
        <v>58</v>
      </c>
      <c r="AD98" s="18">
        <v>17003782621</v>
      </c>
      <c r="AE98" s="34">
        <v>0</v>
      </c>
      <c r="AF98" s="34">
        <v>0</v>
      </c>
      <c r="AG98" s="18">
        <f>1580000000+150000000+300000000+34200000+795800000+880000000</f>
        <v>3740000000</v>
      </c>
      <c r="AH98" s="18">
        <f>1000000000+450000000+300000000+34200000+195800000</f>
        <v>1980000000</v>
      </c>
      <c r="AI98" s="18">
        <f>AE98-AF98+AG98-AH98</f>
        <v>1760000000</v>
      </c>
      <c r="AJ98" s="18">
        <f>AD98+AI98</f>
        <v>18763782621</v>
      </c>
      <c r="AK98" s="133">
        <v>0</v>
      </c>
      <c r="AL98" s="18">
        <v>960580255.99000001</v>
      </c>
      <c r="AM98" s="110">
        <v>16553488588.33</v>
      </c>
      <c r="AN98" s="18">
        <v>42000000</v>
      </c>
      <c r="AO98" s="18">
        <v>941795474</v>
      </c>
      <c r="AP98" s="18">
        <v>15921320779.91</v>
      </c>
      <c r="AQ98" s="18">
        <v>193969973</v>
      </c>
      <c r="AR98" s="18">
        <v>1551483415</v>
      </c>
      <c r="AS98" s="18">
        <v>7505411260.04</v>
      </c>
      <c r="AT98" s="30">
        <f t="shared" si="54"/>
        <v>7699381233.04</v>
      </c>
      <c r="AU98" s="18">
        <f t="shared" si="55"/>
        <v>2210294032.6700001</v>
      </c>
      <c r="AV98" s="18">
        <f t="shared" si="56"/>
        <v>632167808.42000008</v>
      </c>
      <c r="AW98" s="18">
        <f t="shared" si="57"/>
        <v>8221939546.8699999</v>
      </c>
      <c r="AX98" s="32">
        <f t="shared" si="20"/>
        <v>0.84851338887774252</v>
      </c>
    </row>
    <row r="99" spans="1:50" ht="18.75" customHeight="1" x14ac:dyDescent="0.2">
      <c r="A99" s="14" t="s">
        <v>55</v>
      </c>
      <c r="B99" s="15" t="s">
        <v>56</v>
      </c>
      <c r="C99" s="15"/>
      <c r="D99" s="15" t="s">
        <v>40</v>
      </c>
      <c r="E99" s="15"/>
      <c r="F99" s="15"/>
      <c r="G99" s="15" t="s">
        <v>41</v>
      </c>
      <c r="H99" s="15"/>
      <c r="I99" s="15" t="s">
        <v>936</v>
      </c>
      <c r="J99" s="15"/>
      <c r="K99" s="15" t="s">
        <v>932</v>
      </c>
      <c r="L99" s="15"/>
      <c r="M99" s="15" t="s">
        <v>933</v>
      </c>
      <c r="N99" s="15"/>
      <c r="O99" s="15" t="s">
        <v>938</v>
      </c>
      <c r="P99" s="15"/>
      <c r="Q99" s="15" t="s">
        <v>942</v>
      </c>
      <c r="R99" s="15"/>
      <c r="S99" s="15" t="s">
        <v>940</v>
      </c>
      <c r="T99" s="15">
        <v>0</v>
      </c>
      <c r="U99" s="15">
        <v>0</v>
      </c>
      <c r="V99" s="15">
        <v>0</v>
      </c>
      <c r="W99" s="15">
        <v>0</v>
      </c>
      <c r="X99" s="15" t="s">
        <v>937</v>
      </c>
      <c r="Y99" s="15"/>
      <c r="Z99" s="15"/>
      <c r="AA99" s="16" t="s">
        <v>198</v>
      </c>
      <c r="AB99" s="17" t="s">
        <v>199</v>
      </c>
      <c r="AC99" s="17" t="s">
        <v>58</v>
      </c>
      <c r="AD99" s="18">
        <v>348000000</v>
      </c>
      <c r="AE99" s="34">
        <v>0</v>
      </c>
      <c r="AF99" s="34">
        <v>0</v>
      </c>
      <c r="AG99" s="18">
        <v>456495322</v>
      </c>
      <c r="AH99" s="34">
        <v>0</v>
      </c>
      <c r="AI99" s="18">
        <f>AE99-AF99+AG99-AH99</f>
        <v>456495322</v>
      </c>
      <c r="AJ99" s="18">
        <f>AD99+AI99</f>
        <v>804495322</v>
      </c>
      <c r="AK99" s="34">
        <v>0</v>
      </c>
      <c r="AL99" s="18">
        <v>0</v>
      </c>
      <c r="AM99" s="110">
        <v>85000000</v>
      </c>
      <c r="AN99" s="34">
        <v>0</v>
      </c>
      <c r="AO99" s="18">
        <v>35000000</v>
      </c>
      <c r="AP99" s="18">
        <v>85000000</v>
      </c>
      <c r="AQ99" s="34">
        <v>0</v>
      </c>
      <c r="AR99" s="18">
        <v>20466667</v>
      </c>
      <c r="AS99" s="18">
        <v>29999996</v>
      </c>
      <c r="AT99" s="30">
        <f t="shared" si="54"/>
        <v>29999996</v>
      </c>
      <c r="AU99" s="18">
        <f t="shared" si="55"/>
        <v>719495322</v>
      </c>
      <c r="AV99" s="34">
        <f t="shared" si="56"/>
        <v>0</v>
      </c>
      <c r="AW99" s="18">
        <f t="shared" si="57"/>
        <v>55000004</v>
      </c>
      <c r="AX99" s="32">
        <f t="shared" si="20"/>
        <v>0.10565630113135699</v>
      </c>
    </row>
    <row r="100" spans="1:50" ht="18.75" customHeight="1" x14ac:dyDescent="0.2">
      <c r="A100" s="14" t="s">
        <v>55</v>
      </c>
      <c r="B100" s="15" t="s">
        <v>56</v>
      </c>
      <c r="C100" s="15"/>
      <c r="D100" s="15" t="s">
        <v>40</v>
      </c>
      <c r="E100" s="15"/>
      <c r="F100" s="15"/>
      <c r="G100" s="15" t="s">
        <v>41</v>
      </c>
      <c r="H100" s="15"/>
      <c r="I100" s="15" t="s">
        <v>936</v>
      </c>
      <c r="J100" s="15"/>
      <c r="K100" s="15" t="s">
        <v>932</v>
      </c>
      <c r="L100" s="15"/>
      <c r="M100" s="15" t="s">
        <v>933</v>
      </c>
      <c r="N100" s="15"/>
      <c r="O100" s="15" t="s">
        <v>938</v>
      </c>
      <c r="P100" s="15"/>
      <c r="Q100" s="15" t="s">
        <v>942</v>
      </c>
      <c r="R100" s="15"/>
      <c r="S100" s="15" t="s">
        <v>940</v>
      </c>
      <c r="T100" s="15">
        <v>0</v>
      </c>
      <c r="U100" s="15">
        <v>0</v>
      </c>
      <c r="V100" s="15">
        <v>0</v>
      </c>
      <c r="W100" s="15">
        <v>0</v>
      </c>
      <c r="X100" s="15" t="s">
        <v>937</v>
      </c>
      <c r="Y100" s="15"/>
      <c r="Z100" s="15"/>
      <c r="AA100" s="16" t="s">
        <v>200</v>
      </c>
      <c r="AB100" s="17" t="s">
        <v>201</v>
      </c>
      <c r="AC100" s="17" t="s">
        <v>58</v>
      </c>
      <c r="AD100" s="18">
        <v>100000000</v>
      </c>
      <c r="AE100" s="34">
        <v>0</v>
      </c>
      <c r="AF100" s="34">
        <v>0</v>
      </c>
      <c r="AG100" s="34">
        <v>0</v>
      </c>
      <c r="AH100" s="34">
        <v>0</v>
      </c>
      <c r="AI100" s="34">
        <v>0</v>
      </c>
      <c r="AJ100" s="18">
        <v>100000000</v>
      </c>
      <c r="AK100" s="34">
        <v>0</v>
      </c>
      <c r="AL100" s="18">
        <v>22933018</v>
      </c>
      <c r="AM100" s="110">
        <v>79386610.5</v>
      </c>
      <c r="AN100" s="34">
        <v>0</v>
      </c>
      <c r="AO100" s="18">
        <v>21614254</v>
      </c>
      <c r="AP100" s="18">
        <v>71784442.5</v>
      </c>
      <c r="AQ100" s="34">
        <v>3530871</v>
      </c>
      <c r="AR100" s="18">
        <v>16881762</v>
      </c>
      <c r="AS100" s="18">
        <v>59825470.5</v>
      </c>
      <c r="AT100" s="30">
        <f t="shared" si="54"/>
        <v>63356341.5</v>
      </c>
      <c r="AU100" s="18">
        <f t="shared" si="55"/>
        <v>20613389.5</v>
      </c>
      <c r="AV100" s="18">
        <f t="shared" si="56"/>
        <v>7602168</v>
      </c>
      <c r="AW100" s="18">
        <f t="shared" si="57"/>
        <v>8428101</v>
      </c>
      <c r="AX100" s="32">
        <f t="shared" si="20"/>
        <v>0.71784442500000001</v>
      </c>
    </row>
    <row r="101" spans="1:50" s="25" customFormat="1" ht="18.75" customHeight="1" x14ac:dyDescent="0.2">
      <c r="A101" s="19" t="s">
        <v>37</v>
      </c>
      <c r="B101" s="19" t="s">
        <v>37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26" t="s">
        <v>868</v>
      </c>
      <c r="AB101" s="21" t="s">
        <v>202</v>
      </c>
      <c r="AC101" s="22" t="s">
        <v>37</v>
      </c>
      <c r="AD101" s="22">
        <f t="shared" ref="AD101:AS101" si="58">AD102+AD123+AD139</f>
        <v>113142608950</v>
      </c>
      <c r="AE101" s="23">
        <f t="shared" si="58"/>
        <v>432574880.49000001</v>
      </c>
      <c r="AF101" s="23">
        <f t="shared" si="58"/>
        <v>0</v>
      </c>
      <c r="AG101" s="22">
        <f t="shared" si="58"/>
        <v>3634200000</v>
      </c>
      <c r="AH101" s="22">
        <f t="shared" si="58"/>
        <v>5232251568.7200003</v>
      </c>
      <c r="AI101" s="22">
        <f t="shared" si="58"/>
        <v>-1165476688.2299995</v>
      </c>
      <c r="AJ101" s="22">
        <f t="shared" si="58"/>
        <v>111977132261.76999</v>
      </c>
      <c r="AK101" s="23">
        <f t="shared" si="58"/>
        <v>0</v>
      </c>
      <c r="AL101" s="22">
        <f t="shared" si="58"/>
        <v>3947510075.9299998</v>
      </c>
      <c r="AM101" s="22">
        <f t="shared" si="58"/>
        <v>79289843259.729996</v>
      </c>
      <c r="AN101" s="23">
        <f t="shared" si="58"/>
        <v>0</v>
      </c>
      <c r="AO101" s="22">
        <f t="shared" si="58"/>
        <v>3950810075.9299998</v>
      </c>
      <c r="AP101" s="22">
        <f t="shared" si="58"/>
        <v>79288942577.729996</v>
      </c>
      <c r="AQ101" s="23">
        <f t="shared" si="58"/>
        <v>0</v>
      </c>
      <c r="AR101" s="22">
        <f t="shared" si="58"/>
        <v>4376838484.9699993</v>
      </c>
      <c r="AS101" s="22">
        <f t="shared" si="58"/>
        <v>79222093940.5</v>
      </c>
      <c r="AT101" s="22">
        <f t="shared" si="54"/>
        <v>79222093940.5</v>
      </c>
      <c r="AU101" s="22">
        <f>AU102+AU123+AU139</f>
        <v>32687289002.039997</v>
      </c>
      <c r="AV101" s="22">
        <f>AV102+AV123+AV139</f>
        <v>900682</v>
      </c>
      <c r="AW101" s="22">
        <f>AW102+AW123+AW139</f>
        <v>66848637.229999997</v>
      </c>
      <c r="AX101" s="24">
        <f t="shared" si="20"/>
        <v>0.70808156072773409</v>
      </c>
    </row>
    <row r="102" spans="1:50" s="25" customFormat="1" ht="18.75" customHeight="1" x14ac:dyDescent="0.2">
      <c r="A102" s="19" t="s">
        <v>55</v>
      </c>
      <c r="B102" s="19" t="s">
        <v>56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26" t="s">
        <v>869</v>
      </c>
      <c r="AB102" s="21" t="s">
        <v>203</v>
      </c>
      <c r="AC102" s="22" t="s">
        <v>37</v>
      </c>
      <c r="AD102" s="22">
        <f t="shared" ref="AD102:AS102" si="59">AD103+AD117</f>
        <v>70789582622</v>
      </c>
      <c r="AE102" s="22">
        <f t="shared" si="59"/>
        <v>2649057.39</v>
      </c>
      <c r="AF102" s="23">
        <f t="shared" si="59"/>
        <v>0</v>
      </c>
      <c r="AG102" s="22">
        <f t="shared" si="59"/>
        <v>3450200000</v>
      </c>
      <c r="AH102" s="23">
        <f t="shared" si="59"/>
        <v>0</v>
      </c>
      <c r="AI102" s="22">
        <f t="shared" si="59"/>
        <v>3452849057.3900003</v>
      </c>
      <c r="AJ102" s="22">
        <f t="shared" si="59"/>
        <v>74242431679.389999</v>
      </c>
      <c r="AK102" s="23">
        <f t="shared" si="59"/>
        <v>0</v>
      </c>
      <c r="AL102" s="22">
        <f t="shared" si="59"/>
        <v>1627757304.75</v>
      </c>
      <c r="AM102" s="22">
        <f t="shared" si="59"/>
        <v>59772096363.199997</v>
      </c>
      <c r="AN102" s="23">
        <f t="shared" si="59"/>
        <v>0</v>
      </c>
      <c r="AO102" s="22">
        <f t="shared" si="59"/>
        <v>1627757304.75</v>
      </c>
      <c r="AP102" s="22">
        <f t="shared" si="59"/>
        <v>59772096363.199997</v>
      </c>
      <c r="AQ102" s="23">
        <f t="shared" si="59"/>
        <v>0</v>
      </c>
      <c r="AR102" s="22">
        <f t="shared" si="59"/>
        <v>1627757304.75</v>
      </c>
      <c r="AS102" s="22">
        <f t="shared" si="59"/>
        <v>59772096363.199997</v>
      </c>
      <c r="AT102" s="22">
        <f t="shared" si="54"/>
        <v>59772096363.199997</v>
      </c>
      <c r="AU102" s="22">
        <f>AU103+AU117</f>
        <v>14470335316.190001</v>
      </c>
      <c r="AV102" s="23">
        <f>AV103+AV117</f>
        <v>0</v>
      </c>
      <c r="AW102" s="23">
        <f>AW103+AW117</f>
        <v>0</v>
      </c>
      <c r="AX102" s="24">
        <f t="shared" si="20"/>
        <v>0.80509346220394573</v>
      </c>
    </row>
    <row r="103" spans="1:50" s="25" customFormat="1" ht="18.75" customHeight="1" x14ac:dyDescent="0.2">
      <c r="A103" s="19" t="s">
        <v>55</v>
      </c>
      <c r="B103" s="19" t="s">
        <v>56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26" t="s">
        <v>870</v>
      </c>
      <c r="AB103" s="21" t="s">
        <v>204</v>
      </c>
      <c r="AC103" s="22" t="s">
        <v>56</v>
      </c>
      <c r="AD103" s="22">
        <f>AD104</f>
        <v>34789582622</v>
      </c>
      <c r="AE103" s="22">
        <f t="shared" ref="AE103:AW103" si="60">AE104</f>
        <v>2649057.39</v>
      </c>
      <c r="AF103" s="23">
        <f t="shared" si="60"/>
        <v>0</v>
      </c>
      <c r="AG103" s="22">
        <f>AG104</f>
        <v>3450200000</v>
      </c>
      <c r="AH103" s="23">
        <f t="shared" si="60"/>
        <v>0</v>
      </c>
      <c r="AI103" s="22">
        <f t="shared" si="60"/>
        <v>3452849057.3900003</v>
      </c>
      <c r="AJ103" s="22">
        <f t="shared" si="60"/>
        <v>38242431679.389999</v>
      </c>
      <c r="AK103" s="23">
        <f t="shared" si="60"/>
        <v>0</v>
      </c>
      <c r="AL103" s="22">
        <f t="shared" si="60"/>
        <v>1627757304.75</v>
      </c>
      <c r="AM103" s="22">
        <f t="shared" si="60"/>
        <v>32324751661.200001</v>
      </c>
      <c r="AN103" s="23">
        <f t="shared" si="60"/>
        <v>0</v>
      </c>
      <c r="AO103" s="22">
        <f t="shared" si="60"/>
        <v>1627757304.75</v>
      </c>
      <c r="AP103" s="22">
        <f t="shared" si="60"/>
        <v>32324751661.200001</v>
      </c>
      <c r="AQ103" s="23">
        <f t="shared" si="60"/>
        <v>0</v>
      </c>
      <c r="AR103" s="22">
        <f t="shared" si="60"/>
        <v>1627757304.75</v>
      </c>
      <c r="AS103" s="22">
        <f t="shared" si="60"/>
        <v>32324751661.200001</v>
      </c>
      <c r="AT103" s="22">
        <f t="shared" si="54"/>
        <v>32324751661.200001</v>
      </c>
      <c r="AU103" s="22">
        <f t="shared" si="60"/>
        <v>5917680018.1900005</v>
      </c>
      <c r="AV103" s="23">
        <f t="shared" si="60"/>
        <v>0</v>
      </c>
      <c r="AW103" s="23">
        <f t="shared" si="60"/>
        <v>0</v>
      </c>
      <c r="AX103" s="24">
        <f t="shared" si="20"/>
        <v>0.84525879348359501</v>
      </c>
    </row>
    <row r="104" spans="1:50" ht="28.5" customHeight="1" x14ac:dyDescent="0.2">
      <c r="A104" s="27" t="s">
        <v>55</v>
      </c>
      <c r="B104" s="27" t="s">
        <v>56</v>
      </c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101" t="s">
        <v>871</v>
      </c>
      <c r="AB104" s="38" t="s">
        <v>205</v>
      </c>
      <c r="AC104" s="30" t="s">
        <v>56</v>
      </c>
      <c r="AD104" s="30">
        <f t="shared" ref="AD104:AF104" si="61">SUM(AD105:AD115)</f>
        <v>34789582622</v>
      </c>
      <c r="AE104" s="30">
        <f t="shared" si="61"/>
        <v>2649057.39</v>
      </c>
      <c r="AF104" s="31">
        <f t="shared" si="61"/>
        <v>0</v>
      </c>
      <c r="AG104" s="30">
        <f>SUM(AG105:AG116)</f>
        <v>3450200000</v>
      </c>
      <c r="AH104" s="31">
        <f t="shared" ref="AH104:AW104" si="62">SUM(AH105:AH116)</f>
        <v>0</v>
      </c>
      <c r="AI104" s="30">
        <f t="shared" si="62"/>
        <v>3452849057.3900003</v>
      </c>
      <c r="AJ104" s="30">
        <f t="shared" si="62"/>
        <v>38242431679.389999</v>
      </c>
      <c r="AK104" s="31">
        <f t="shared" si="62"/>
        <v>0</v>
      </c>
      <c r="AL104" s="30">
        <f t="shared" si="62"/>
        <v>1627757304.75</v>
      </c>
      <c r="AM104" s="30">
        <f t="shared" si="62"/>
        <v>32324751661.200001</v>
      </c>
      <c r="AN104" s="31">
        <f t="shared" si="62"/>
        <v>0</v>
      </c>
      <c r="AO104" s="30">
        <f t="shared" si="62"/>
        <v>1627757304.75</v>
      </c>
      <c r="AP104" s="30">
        <f t="shared" si="62"/>
        <v>32324751661.200001</v>
      </c>
      <c r="AQ104" s="31">
        <f t="shared" si="62"/>
        <v>0</v>
      </c>
      <c r="AR104" s="30">
        <f t="shared" si="62"/>
        <v>1627757304.75</v>
      </c>
      <c r="AS104" s="30">
        <f t="shared" si="62"/>
        <v>32324751661.200001</v>
      </c>
      <c r="AT104" s="30">
        <f t="shared" si="62"/>
        <v>32324751661.200001</v>
      </c>
      <c r="AU104" s="30">
        <f t="shared" si="62"/>
        <v>5917680018.1900005</v>
      </c>
      <c r="AV104" s="31">
        <f t="shared" si="62"/>
        <v>0</v>
      </c>
      <c r="AW104" s="31">
        <f t="shared" si="62"/>
        <v>0</v>
      </c>
      <c r="AX104" s="32">
        <f t="shared" si="20"/>
        <v>0.84525879348359501</v>
      </c>
    </row>
    <row r="105" spans="1:50" ht="18.75" customHeight="1" x14ac:dyDescent="0.2">
      <c r="A105" s="35" t="s">
        <v>55</v>
      </c>
      <c r="B105" s="36" t="s">
        <v>56</v>
      </c>
      <c r="C105" s="36"/>
      <c r="D105" s="36" t="s">
        <v>40</v>
      </c>
      <c r="E105" s="36"/>
      <c r="F105" s="36"/>
      <c r="G105" s="36" t="s">
        <v>41</v>
      </c>
      <c r="H105" s="36"/>
      <c r="I105" s="36" t="s">
        <v>936</v>
      </c>
      <c r="J105" s="36"/>
      <c r="K105" s="36" t="s">
        <v>932</v>
      </c>
      <c r="L105" s="36"/>
      <c r="M105" s="36" t="s">
        <v>933</v>
      </c>
      <c r="N105" s="36"/>
      <c r="O105" s="36" t="s">
        <v>938</v>
      </c>
      <c r="P105" s="36"/>
      <c r="Q105" s="36" t="s">
        <v>942</v>
      </c>
      <c r="R105" s="36"/>
      <c r="S105" s="36" t="s">
        <v>940</v>
      </c>
      <c r="T105" s="36">
        <v>0</v>
      </c>
      <c r="U105" s="36">
        <v>0</v>
      </c>
      <c r="V105" s="36">
        <v>0</v>
      </c>
      <c r="W105" s="36">
        <v>0</v>
      </c>
      <c r="X105" s="36" t="s">
        <v>937</v>
      </c>
      <c r="Y105" s="36"/>
      <c r="Z105" s="36"/>
      <c r="AA105" s="101" t="s">
        <v>872</v>
      </c>
      <c r="AB105" s="38" t="s">
        <v>206</v>
      </c>
      <c r="AC105" s="38" t="s">
        <v>58</v>
      </c>
      <c r="AD105" s="39">
        <v>2500000000</v>
      </c>
      <c r="AE105" s="40">
        <v>0</v>
      </c>
      <c r="AF105" s="40">
        <v>0</v>
      </c>
      <c r="AG105" s="39">
        <v>80000000</v>
      </c>
      <c r="AH105" s="40">
        <v>0</v>
      </c>
      <c r="AI105" s="18">
        <f>AE105-AF105+AG105-AH105</f>
        <v>80000000</v>
      </c>
      <c r="AJ105" s="18">
        <f>AD105+AI105</f>
        <v>2580000000</v>
      </c>
      <c r="AK105" s="40">
        <v>0</v>
      </c>
      <c r="AL105" s="39">
        <v>208333333</v>
      </c>
      <c r="AM105" s="39">
        <v>1458333331</v>
      </c>
      <c r="AN105" s="40">
        <v>0</v>
      </c>
      <c r="AO105" s="39">
        <v>208333333</v>
      </c>
      <c r="AP105" s="39">
        <v>1458333331</v>
      </c>
      <c r="AQ105" s="40">
        <v>0</v>
      </c>
      <c r="AR105" s="39">
        <f>AS105-JULIO!AS105</f>
        <v>208333333</v>
      </c>
      <c r="AS105" s="39">
        <v>1458333331</v>
      </c>
      <c r="AT105" s="39">
        <f t="shared" si="54"/>
        <v>1458333331</v>
      </c>
      <c r="AU105" s="18">
        <f t="shared" ref="AU105:AU116" si="63">AJ105-AM105</f>
        <v>1121666669</v>
      </c>
      <c r="AV105" s="34">
        <f t="shared" ref="AV105:AV116" si="64">AM105-AP105</f>
        <v>0</v>
      </c>
      <c r="AW105" s="34">
        <f t="shared" ref="AW105:AW116" si="65">AP105-AT105</f>
        <v>0</v>
      </c>
      <c r="AX105" s="32">
        <f t="shared" ref="AX105:AX135" si="66">AP105/AJ105</f>
        <v>0.56524547713178297</v>
      </c>
    </row>
    <row r="106" spans="1:50" ht="18.75" customHeight="1" x14ac:dyDescent="0.2">
      <c r="A106" s="14" t="s">
        <v>55</v>
      </c>
      <c r="B106" s="15" t="s">
        <v>56</v>
      </c>
      <c r="C106" s="15"/>
      <c r="D106" s="15" t="s">
        <v>40</v>
      </c>
      <c r="E106" s="15"/>
      <c r="F106" s="15"/>
      <c r="G106" s="15" t="s">
        <v>41</v>
      </c>
      <c r="H106" s="15"/>
      <c r="I106" s="15" t="s">
        <v>936</v>
      </c>
      <c r="J106" s="15"/>
      <c r="K106" s="15" t="s">
        <v>932</v>
      </c>
      <c r="L106" s="15"/>
      <c r="M106" s="15" t="s">
        <v>933</v>
      </c>
      <c r="N106" s="15"/>
      <c r="O106" s="15" t="s">
        <v>938</v>
      </c>
      <c r="P106" s="15"/>
      <c r="Q106" s="15" t="s">
        <v>942</v>
      </c>
      <c r="R106" s="15"/>
      <c r="S106" s="15" t="s">
        <v>940</v>
      </c>
      <c r="T106" s="15">
        <v>0</v>
      </c>
      <c r="U106" s="15">
        <v>0</v>
      </c>
      <c r="V106" s="15">
        <v>0</v>
      </c>
      <c r="W106" s="15">
        <v>0</v>
      </c>
      <c r="X106" s="15" t="s">
        <v>937</v>
      </c>
      <c r="Y106" s="15"/>
      <c r="Z106" s="15"/>
      <c r="AA106" s="41" t="s">
        <v>873</v>
      </c>
      <c r="AB106" s="17" t="s">
        <v>207</v>
      </c>
      <c r="AC106" s="17" t="s">
        <v>58</v>
      </c>
      <c r="AD106" s="18">
        <v>3557080000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18">
        <v>3557080000</v>
      </c>
      <c r="AK106" s="34">
        <v>0</v>
      </c>
      <c r="AL106" s="39">
        <v>296423333</v>
      </c>
      <c r="AM106" s="18">
        <v>2371386664</v>
      </c>
      <c r="AN106" s="34">
        <v>0</v>
      </c>
      <c r="AO106" s="18">
        <v>296423333</v>
      </c>
      <c r="AP106" s="18">
        <v>2371386664</v>
      </c>
      <c r="AQ106" s="34">
        <v>0</v>
      </c>
      <c r="AR106" s="39">
        <f>AS106-JULIO!AS106</f>
        <v>296423333</v>
      </c>
      <c r="AS106" s="18">
        <v>2371386664</v>
      </c>
      <c r="AT106" s="39">
        <f t="shared" si="54"/>
        <v>2371386664</v>
      </c>
      <c r="AU106" s="18">
        <f t="shared" si="63"/>
        <v>1185693336</v>
      </c>
      <c r="AV106" s="34">
        <f t="shared" si="64"/>
        <v>0</v>
      </c>
      <c r="AW106" s="34">
        <f t="shared" si="65"/>
        <v>0</v>
      </c>
      <c r="AX106" s="32">
        <f t="shared" si="66"/>
        <v>0.66666666591698809</v>
      </c>
    </row>
    <row r="107" spans="1:50" ht="18.75" customHeight="1" x14ac:dyDescent="0.2">
      <c r="A107" s="35" t="s">
        <v>55</v>
      </c>
      <c r="B107" s="36" t="s">
        <v>56</v>
      </c>
      <c r="C107" s="36"/>
      <c r="D107" s="36" t="s">
        <v>40</v>
      </c>
      <c r="E107" s="36"/>
      <c r="F107" s="36"/>
      <c r="G107" s="36" t="s">
        <v>41</v>
      </c>
      <c r="H107" s="36"/>
      <c r="I107" s="36" t="s">
        <v>936</v>
      </c>
      <c r="J107" s="36"/>
      <c r="K107" s="36" t="s">
        <v>932</v>
      </c>
      <c r="L107" s="36"/>
      <c r="M107" s="36" t="s">
        <v>933</v>
      </c>
      <c r="N107" s="36"/>
      <c r="O107" s="36" t="s">
        <v>938</v>
      </c>
      <c r="P107" s="36"/>
      <c r="Q107" s="36" t="s">
        <v>942</v>
      </c>
      <c r="R107" s="36"/>
      <c r="S107" s="36" t="s">
        <v>940</v>
      </c>
      <c r="T107" s="36">
        <v>0</v>
      </c>
      <c r="U107" s="36">
        <v>0</v>
      </c>
      <c r="V107" s="36">
        <v>0</v>
      </c>
      <c r="W107" s="36">
        <v>0</v>
      </c>
      <c r="X107" s="36" t="s">
        <v>937</v>
      </c>
      <c r="Y107" s="36"/>
      <c r="Z107" s="36"/>
      <c r="AA107" s="101" t="s">
        <v>874</v>
      </c>
      <c r="AB107" s="38" t="s">
        <v>208</v>
      </c>
      <c r="AC107" s="38" t="s">
        <v>58</v>
      </c>
      <c r="AD107" s="39">
        <v>2747397800</v>
      </c>
      <c r="AE107" s="40">
        <v>0</v>
      </c>
      <c r="AF107" s="40">
        <v>0</v>
      </c>
      <c r="AG107" s="40">
        <v>0</v>
      </c>
      <c r="AH107" s="40">
        <v>0</v>
      </c>
      <c r="AI107" s="40">
        <v>0</v>
      </c>
      <c r="AJ107" s="39">
        <v>2747397800</v>
      </c>
      <c r="AK107" s="40">
        <v>0</v>
      </c>
      <c r="AL107" s="39">
        <v>228949817</v>
      </c>
      <c r="AM107" s="39">
        <v>1831598536</v>
      </c>
      <c r="AN107" s="40">
        <v>0</v>
      </c>
      <c r="AO107" s="18">
        <v>228949817</v>
      </c>
      <c r="AP107" s="39">
        <v>1831598536</v>
      </c>
      <c r="AQ107" s="40">
        <v>0</v>
      </c>
      <c r="AR107" s="39">
        <f>AS107-JULIO!AS107</f>
        <v>228949817</v>
      </c>
      <c r="AS107" s="39">
        <v>1831598536</v>
      </c>
      <c r="AT107" s="39">
        <f t="shared" si="54"/>
        <v>1831598536</v>
      </c>
      <c r="AU107" s="18">
        <f t="shared" si="63"/>
        <v>915799264</v>
      </c>
      <c r="AV107" s="34">
        <f t="shared" si="64"/>
        <v>0</v>
      </c>
      <c r="AW107" s="34">
        <f t="shared" si="65"/>
        <v>0</v>
      </c>
      <c r="AX107" s="32">
        <f t="shared" si="66"/>
        <v>0.66666666763728211</v>
      </c>
    </row>
    <row r="108" spans="1:50" ht="18.75" customHeight="1" x14ac:dyDescent="0.2">
      <c r="A108" s="14" t="s">
        <v>55</v>
      </c>
      <c r="B108" s="15" t="s">
        <v>56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41" t="s">
        <v>875</v>
      </c>
      <c r="AB108" s="17" t="s">
        <v>209</v>
      </c>
      <c r="AC108" s="17" t="s">
        <v>58</v>
      </c>
      <c r="AD108" s="18">
        <v>1627586535</v>
      </c>
      <c r="AE108" s="34">
        <v>0</v>
      </c>
      <c r="AF108" s="34">
        <v>0</v>
      </c>
      <c r="AG108" s="34">
        <v>0</v>
      </c>
      <c r="AH108" s="34">
        <v>0</v>
      </c>
      <c r="AI108" s="34">
        <v>0</v>
      </c>
      <c r="AJ108" s="18">
        <v>1627586535</v>
      </c>
      <c r="AK108" s="34">
        <v>0</v>
      </c>
      <c r="AL108" s="39">
        <v>189916790</v>
      </c>
      <c r="AM108" s="18">
        <v>996284902</v>
      </c>
      <c r="AN108" s="34">
        <v>0</v>
      </c>
      <c r="AO108" s="18">
        <v>189916790</v>
      </c>
      <c r="AP108" s="18">
        <v>996284902</v>
      </c>
      <c r="AQ108" s="34">
        <v>0</v>
      </c>
      <c r="AR108" s="39">
        <f>AS108-JULIO!AS108</f>
        <v>189916790</v>
      </c>
      <c r="AS108" s="18">
        <v>996284902</v>
      </c>
      <c r="AT108" s="39">
        <f t="shared" si="54"/>
        <v>996284902</v>
      </c>
      <c r="AU108" s="18">
        <f t="shared" si="63"/>
        <v>631301633</v>
      </c>
      <c r="AV108" s="34">
        <f t="shared" si="64"/>
        <v>0</v>
      </c>
      <c r="AW108" s="34">
        <f t="shared" si="65"/>
        <v>0</v>
      </c>
      <c r="AX108" s="32">
        <f t="shared" si="66"/>
        <v>0.61212407486524212</v>
      </c>
    </row>
    <row r="109" spans="1:50" ht="18.75" customHeight="1" x14ac:dyDescent="0.2">
      <c r="A109" s="14" t="s">
        <v>55</v>
      </c>
      <c r="B109" s="15" t="s">
        <v>56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41" t="s">
        <v>876</v>
      </c>
      <c r="AB109" s="17" t="s">
        <v>210</v>
      </c>
      <c r="AC109" s="17" t="s">
        <v>58</v>
      </c>
      <c r="AD109" s="18">
        <v>4565923897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18">
        <v>4565923897</v>
      </c>
      <c r="AK109" s="34">
        <v>0</v>
      </c>
      <c r="AL109" s="39">
        <v>327228762.75</v>
      </c>
      <c r="AM109" s="18">
        <v>4518699260.1999998</v>
      </c>
      <c r="AN109" s="34">
        <v>0</v>
      </c>
      <c r="AO109" s="18">
        <v>327228762.75</v>
      </c>
      <c r="AP109" s="18">
        <v>4518699260.1999998</v>
      </c>
      <c r="AQ109" s="34">
        <v>0</v>
      </c>
      <c r="AR109" s="39">
        <f>AS109-JULIO!AS109</f>
        <v>327228762.75</v>
      </c>
      <c r="AS109" s="18">
        <v>4518699260.1999998</v>
      </c>
      <c r="AT109" s="39">
        <f t="shared" si="54"/>
        <v>4518699260.1999998</v>
      </c>
      <c r="AU109" s="18">
        <f t="shared" si="63"/>
        <v>47224636.800000191</v>
      </c>
      <c r="AV109" s="34">
        <f t="shared" si="64"/>
        <v>0</v>
      </c>
      <c r="AW109" s="34">
        <f t="shared" si="65"/>
        <v>0</v>
      </c>
      <c r="AX109" s="32">
        <f t="shared" si="66"/>
        <v>0.9896571563904013</v>
      </c>
    </row>
    <row r="110" spans="1:50" ht="18.75" customHeight="1" x14ac:dyDescent="0.2">
      <c r="A110" s="35" t="s">
        <v>55</v>
      </c>
      <c r="B110" s="36" t="s">
        <v>56</v>
      </c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101" t="s">
        <v>877</v>
      </c>
      <c r="AB110" s="38" t="s">
        <v>211</v>
      </c>
      <c r="AC110" s="38" t="s">
        <v>58</v>
      </c>
      <c r="AD110" s="39">
        <v>5174713749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  <c r="AJ110" s="39">
        <v>5174713749</v>
      </c>
      <c r="AK110" s="40">
        <v>0</v>
      </c>
      <c r="AL110" s="39">
        <v>370859264</v>
      </c>
      <c r="AM110" s="39">
        <v>5121192492</v>
      </c>
      <c r="AN110" s="40">
        <v>0</v>
      </c>
      <c r="AO110" s="18">
        <v>370859264</v>
      </c>
      <c r="AP110" s="39">
        <v>5121192492</v>
      </c>
      <c r="AQ110" s="40">
        <v>0</v>
      </c>
      <c r="AR110" s="39">
        <f>AS110-JULIO!AS110</f>
        <v>370859264</v>
      </c>
      <c r="AS110" s="39">
        <v>5121192492</v>
      </c>
      <c r="AT110" s="39">
        <f t="shared" si="54"/>
        <v>5121192492</v>
      </c>
      <c r="AU110" s="18">
        <f t="shared" si="63"/>
        <v>53521257</v>
      </c>
      <c r="AV110" s="34">
        <f t="shared" si="64"/>
        <v>0</v>
      </c>
      <c r="AW110" s="34">
        <f t="shared" si="65"/>
        <v>0</v>
      </c>
      <c r="AX110" s="32">
        <f t="shared" si="66"/>
        <v>0.989657156009771</v>
      </c>
    </row>
    <row r="111" spans="1:50" ht="18.75" customHeight="1" x14ac:dyDescent="0.2">
      <c r="A111" s="35" t="s">
        <v>55</v>
      </c>
      <c r="B111" s="36" t="s">
        <v>56</v>
      </c>
      <c r="C111" s="36"/>
      <c r="D111" s="36" t="s">
        <v>40</v>
      </c>
      <c r="E111" s="36"/>
      <c r="F111" s="36"/>
      <c r="G111" s="36" t="s">
        <v>41</v>
      </c>
      <c r="H111" s="36"/>
      <c r="I111" s="36" t="s">
        <v>936</v>
      </c>
      <c r="J111" s="36"/>
      <c r="K111" s="36" t="s">
        <v>932</v>
      </c>
      <c r="L111" s="36"/>
      <c r="M111" s="36" t="s">
        <v>933</v>
      </c>
      <c r="N111" s="36"/>
      <c r="O111" s="36" t="s">
        <v>943</v>
      </c>
      <c r="P111" s="36"/>
      <c r="Q111" s="36" t="s">
        <v>939</v>
      </c>
      <c r="R111" s="36"/>
      <c r="S111" s="36" t="s">
        <v>940</v>
      </c>
      <c r="T111" s="36">
        <v>0</v>
      </c>
      <c r="U111" s="36">
        <v>0</v>
      </c>
      <c r="V111" s="36">
        <v>0</v>
      </c>
      <c r="W111" s="36">
        <v>0</v>
      </c>
      <c r="X111" s="36" t="s">
        <v>937</v>
      </c>
      <c r="Y111" s="36"/>
      <c r="Z111" s="36"/>
      <c r="AA111" s="101" t="s">
        <v>878</v>
      </c>
      <c r="AB111" s="38" t="s">
        <v>212</v>
      </c>
      <c r="AC111" s="38" t="s">
        <v>58</v>
      </c>
      <c r="AD111" s="39">
        <v>286350464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39">
        <v>286350464</v>
      </c>
      <c r="AK111" s="40">
        <v>0</v>
      </c>
      <c r="AL111" s="40">
        <v>0</v>
      </c>
      <c r="AM111" s="40">
        <v>0</v>
      </c>
      <c r="AN111" s="40">
        <v>0</v>
      </c>
      <c r="AO111" s="34">
        <v>0</v>
      </c>
      <c r="AP111" s="40">
        <v>0</v>
      </c>
      <c r="AQ111" s="40">
        <v>0</v>
      </c>
      <c r="AR111" s="40">
        <f>AS111-JULIO!AS111</f>
        <v>0</v>
      </c>
      <c r="AS111" s="40">
        <v>0</v>
      </c>
      <c r="AT111" s="40">
        <f t="shared" si="54"/>
        <v>0</v>
      </c>
      <c r="AU111" s="18">
        <f t="shared" si="63"/>
        <v>286350464</v>
      </c>
      <c r="AV111" s="34">
        <f t="shared" si="64"/>
        <v>0</v>
      </c>
      <c r="AW111" s="34">
        <f t="shared" si="65"/>
        <v>0</v>
      </c>
      <c r="AX111" s="32">
        <f t="shared" si="66"/>
        <v>0</v>
      </c>
    </row>
    <row r="112" spans="1:50" ht="18.75" customHeight="1" x14ac:dyDescent="0.2">
      <c r="A112" s="14" t="s">
        <v>55</v>
      </c>
      <c r="B112" s="15" t="s">
        <v>56</v>
      </c>
      <c r="C112" s="15"/>
      <c r="D112" s="15" t="s">
        <v>40</v>
      </c>
      <c r="E112" s="15"/>
      <c r="F112" s="15"/>
      <c r="G112" s="15" t="s">
        <v>41</v>
      </c>
      <c r="H112" s="15"/>
      <c r="I112" s="15" t="s">
        <v>936</v>
      </c>
      <c r="J112" s="15"/>
      <c r="K112" s="15" t="s">
        <v>932</v>
      </c>
      <c r="L112" s="15"/>
      <c r="M112" s="15" t="s">
        <v>933</v>
      </c>
      <c r="N112" s="15"/>
      <c r="O112" s="15" t="s">
        <v>943</v>
      </c>
      <c r="P112" s="15"/>
      <c r="Q112" s="15" t="s">
        <v>939</v>
      </c>
      <c r="R112" s="15"/>
      <c r="S112" s="15" t="s">
        <v>940</v>
      </c>
      <c r="T112" s="15">
        <v>0</v>
      </c>
      <c r="U112" s="15">
        <v>0</v>
      </c>
      <c r="V112" s="15">
        <v>0</v>
      </c>
      <c r="W112" s="15">
        <v>0</v>
      </c>
      <c r="X112" s="15" t="s">
        <v>937</v>
      </c>
      <c r="Y112" s="15"/>
      <c r="Z112" s="15"/>
      <c r="AA112" s="41" t="s">
        <v>879</v>
      </c>
      <c r="AB112" s="17" t="s">
        <v>213</v>
      </c>
      <c r="AC112" s="17" t="s">
        <v>58</v>
      </c>
      <c r="AD112" s="18">
        <v>3748529000</v>
      </c>
      <c r="AE112" s="34">
        <v>0</v>
      </c>
      <c r="AF112" s="34">
        <v>0</v>
      </c>
      <c r="AG112" s="18">
        <v>1630200000</v>
      </c>
      <c r="AH112" s="34">
        <v>0</v>
      </c>
      <c r="AI112" s="18">
        <f>AE112-AF112+AG112-AH112</f>
        <v>1630200000</v>
      </c>
      <c r="AJ112" s="18">
        <f>AD112+AI112</f>
        <v>5378729000</v>
      </c>
      <c r="AK112" s="34">
        <v>0</v>
      </c>
      <c r="AL112" s="40">
        <v>0</v>
      </c>
      <c r="AM112" s="18">
        <v>3816841919</v>
      </c>
      <c r="AN112" s="34">
        <v>0</v>
      </c>
      <c r="AO112" s="34">
        <v>0</v>
      </c>
      <c r="AP112" s="18">
        <v>3816841919</v>
      </c>
      <c r="AQ112" s="34">
        <v>0</v>
      </c>
      <c r="AR112" s="40">
        <f>AS112-JULIO!AS112</f>
        <v>0</v>
      </c>
      <c r="AS112" s="18">
        <v>3816841919</v>
      </c>
      <c r="AT112" s="39">
        <f t="shared" si="54"/>
        <v>3816841919</v>
      </c>
      <c r="AU112" s="18">
        <f t="shared" si="63"/>
        <v>1561887081</v>
      </c>
      <c r="AV112" s="34">
        <f t="shared" si="64"/>
        <v>0</v>
      </c>
      <c r="AW112" s="34">
        <f t="shared" si="65"/>
        <v>0</v>
      </c>
      <c r="AX112" s="32">
        <f t="shared" si="66"/>
        <v>0.70961781472909302</v>
      </c>
    </row>
    <row r="113" spans="1:50" ht="18.75" customHeight="1" x14ac:dyDescent="0.2">
      <c r="A113" s="35" t="s">
        <v>55</v>
      </c>
      <c r="B113" s="36" t="s">
        <v>56</v>
      </c>
      <c r="C113" s="36"/>
      <c r="D113" s="36" t="s">
        <v>40</v>
      </c>
      <c r="E113" s="36"/>
      <c r="F113" s="36"/>
      <c r="G113" s="36" t="s">
        <v>41</v>
      </c>
      <c r="H113" s="36"/>
      <c r="I113" s="36" t="s">
        <v>936</v>
      </c>
      <c r="J113" s="36"/>
      <c r="K113" s="36" t="s">
        <v>932</v>
      </c>
      <c r="L113" s="36"/>
      <c r="M113" s="36" t="s">
        <v>933</v>
      </c>
      <c r="N113" s="36"/>
      <c r="O113" s="36" t="s">
        <v>943</v>
      </c>
      <c r="P113" s="36"/>
      <c r="Q113" s="36" t="s">
        <v>944</v>
      </c>
      <c r="R113" s="36"/>
      <c r="S113" s="36" t="s">
        <v>940</v>
      </c>
      <c r="T113" s="36">
        <v>0</v>
      </c>
      <c r="U113" s="36">
        <v>0</v>
      </c>
      <c r="V113" s="36">
        <v>0</v>
      </c>
      <c r="W113" s="36">
        <v>0</v>
      </c>
      <c r="X113" s="36" t="s">
        <v>937</v>
      </c>
      <c r="Y113" s="36"/>
      <c r="Z113" s="36"/>
      <c r="AA113" s="101" t="s">
        <v>880</v>
      </c>
      <c r="AB113" s="38" t="s">
        <v>214</v>
      </c>
      <c r="AC113" s="38" t="s">
        <v>58</v>
      </c>
      <c r="AD113" s="39">
        <v>80525000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39">
        <v>80525000</v>
      </c>
      <c r="AK113" s="40">
        <v>0</v>
      </c>
      <c r="AL113" s="40">
        <v>0</v>
      </c>
      <c r="AM113" s="39">
        <v>80525000</v>
      </c>
      <c r="AN113" s="40">
        <v>0</v>
      </c>
      <c r="AO113" s="34">
        <v>0</v>
      </c>
      <c r="AP113" s="39">
        <v>80525000</v>
      </c>
      <c r="AQ113" s="40">
        <v>0</v>
      </c>
      <c r="AR113" s="40">
        <f>AS113-JULIO!AS113</f>
        <v>0</v>
      </c>
      <c r="AS113" s="39">
        <v>80525000</v>
      </c>
      <c r="AT113" s="39">
        <f t="shared" si="54"/>
        <v>80525000</v>
      </c>
      <c r="AU113" s="34">
        <f t="shared" si="63"/>
        <v>0</v>
      </c>
      <c r="AV113" s="34">
        <f t="shared" si="64"/>
        <v>0</v>
      </c>
      <c r="AW113" s="34">
        <f t="shared" si="65"/>
        <v>0</v>
      </c>
      <c r="AX113" s="32">
        <f t="shared" si="66"/>
        <v>1</v>
      </c>
    </row>
    <row r="114" spans="1:50" ht="18.75" customHeight="1" x14ac:dyDescent="0.2">
      <c r="A114" s="14" t="s">
        <v>55</v>
      </c>
      <c r="B114" s="15" t="s">
        <v>56</v>
      </c>
      <c r="C114" s="15"/>
      <c r="D114" s="15" t="s">
        <v>40</v>
      </c>
      <c r="E114" s="15"/>
      <c r="F114" s="15"/>
      <c r="G114" s="15" t="s">
        <v>41</v>
      </c>
      <c r="H114" s="15"/>
      <c r="I114" s="15" t="s">
        <v>936</v>
      </c>
      <c r="J114" s="15"/>
      <c r="K114" s="15" t="s">
        <v>932</v>
      </c>
      <c r="L114" s="15"/>
      <c r="M114" s="15" t="s">
        <v>933</v>
      </c>
      <c r="N114" s="15"/>
      <c r="O114" s="15" t="s">
        <v>945</v>
      </c>
      <c r="P114" s="15"/>
      <c r="Q114" s="15" t="s">
        <v>944</v>
      </c>
      <c r="R114" s="15"/>
      <c r="S114" s="15" t="s">
        <v>940</v>
      </c>
      <c r="T114" s="15">
        <v>0</v>
      </c>
      <c r="U114" s="15">
        <v>0</v>
      </c>
      <c r="V114" s="15">
        <v>0</v>
      </c>
      <c r="W114" s="15">
        <v>0</v>
      </c>
      <c r="X114" s="15" t="s">
        <v>937</v>
      </c>
      <c r="Y114" s="15"/>
      <c r="Z114" s="15"/>
      <c r="AA114" s="41" t="s">
        <v>881</v>
      </c>
      <c r="AB114" s="17" t="s">
        <v>214</v>
      </c>
      <c r="AC114" s="17" t="s">
        <v>215</v>
      </c>
      <c r="AD114" s="18">
        <v>10351476177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18">
        <v>10351476177</v>
      </c>
      <c r="AK114" s="34">
        <v>0</v>
      </c>
      <c r="AL114" s="40">
        <v>0</v>
      </c>
      <c r="AM114" s="39">
        <v>10351476177</v>
      </c>
      <c r="AN114" s="34">
        <v>0</v>
      </c>
      <c r="AO114" s="34">
        <v>0</v>
      </c>
      <c r="AP114" s="18">
        <v>10351476177</v>
      </c>
      <c r="AQ114" s="34">
        <v>0</v>
      </c>
      <c r="AR114" s="40">
        <f>AS114-JULIO!AS114</f>
        <v>0</v>
      </c>
      <c r="AS114" s="18">
        <v>10351476177</v>
      </c>
      <c r="AT114" s="39">
        <f t="shared" si="54"/>
        <v>10351476177</v>
      </c>
      <c r="AU114" s="34">
        <f t="shared" si="63"/>
        <v>0</v>
      </c>
      <c r="AV114" s="34">
        <f t="shared" si="64"/>
        <v>0</v>
      </c>
      <c r="AW114" s="34">
        <f t="shared" si="65"/>
        <v>0</v>
      </c>
      <c r="AX114" s="32">
        <f t="shared" si="66"/>
        <v>1</v>
      </c>
    </row>
    <row r="115" spans="1:50" ht="26.25" customHeight="1" x14ac:dyDescent="0.2">
      <c r="A115" s="14" t="s">
        <v>55</v>
      </c>
      <c r="B115" s="15" t="s">
        <v>56</v>
      </c>
      <c r="C115" s="15"/>
      <c r="D115" s="15" t="s">
        <v>40</v>
      </c>
      <c r="E115" s="15"/>
      <c r="F115" s="15"/>
      <c r="G115" s="15" t="s">
        <v>41</v>
      </c>
      <c r="H115" s="15"/>
      <c r="I115" s="15" t="s">
        <v>936</v>
      </c>
      <c r="J115" s="15"/>
      <c r="K115" s="15" t="s">
        <v>932</v>
      </c>
      <c r="L115" s="15"/>
      <c r="M115" s="15" t="s">
        <v>933</v>
      </c>
      <c r="N115" s="15"/>
      <c r="O115" s="15" t="s">
        <v>946</v>
      </c>
      <c r="P115" s="15"/>
      <c r="Q115" s="15" t="s">
        <v>944</v>
      </c>
      <c r="R115" s="15"/>
      <c r="S115" s="15" t="s">
        <v>940</v>
      </c>
      <c r="T115" s="15">
        <v>0</v>
      </c>
      <c r="U115" s="15">
        <v>0</v>
      </c>
      <c r="V115" s="15">
        <v>0</v>
      </c>
      <c r="W115" s="15">
        <v>0</v>
      </c>
      <c r="X115" s="15" t="s">
        <v>937</v>
      </c>
      <c r="Y115" s="15"/>
      <c r="Z115" s="15"/>
      <c r="AA115" s="41" t="s">
        <v>882</v>
      </c>
      <c r="AB115" s="17" t="s">
        <v>205</v>
      </c>
      <c r="AC115" s="17" t="s">
        <v>216</v>
      </c>
      <c r="AD115" s="18">
        <v>150000000</v>
      </c>
      <c r="AE115" s="18">
        <v>2649057.39</v>
      </c>
      <c r="AF115" s="34">
        <v>0</v>
      </c>
      <c r="AG115" s="34">
        <v>0</v>
      </c>
      <c r="AH115" s="34">
        <v>0</v>
      </c>
      <c r="AI115" s="18">
        <f>AE115-AF115+AG115-AH115</f>
        <v>2649057.39</v>
      </c>
      <c r="AJ115" s="18">
        <f>AD115+AI115</f>
        <v>152649057.38999999</v>
      </c>
      <c r="AK115" s="34">
        <v>0</v>
      </c>
      <c r="AL115" s="39">
        <v>6046005</v>
      </c>
      <c r="AM115" s="39">
        <v>38413380</v>
      </c>
      <c r="AN115" s="34">
        <v>0</v>
      </c>
      <c r="AO115" s="18">
        <v>6046005</v>
      </c>
      <c r="AP115" s="18">
        <v>38413380</v>
      </c>
      <c r="AQ115" s="34">
        <v>0</v>
      </c>
      <c r="AR115" s="39">
        <f>AS115-JULIO!AS115</f>
        <v>6046005</v>
      </c>
      <c r="AS115" s="18">
        <v>38413380</v>
      </c>
      <c r="AT115" s="39">
        <f t="shared" si="54"/>
        <v>38413380</v>
      </c>
      <c r="AU115" s="18">
        <f t="shared" si="63"/>
        <v>114235677.38999999</v>
      </c>
      <c r="AV115" s="34">
        <f t="shared" si="64"/>
        <v>0</v>
      </c>
      <c r="AW115" s="34">
        <f t="shared" si="65"/>
        <v>0</v>
      </c>
      <c r="AX115" s="32">
        <f t="shared" si="66"/>
        <v>0.25164505210050814</v>
      </c>
    </row>
    <row r="116" spans="1:50" ht="26.25" customHeight="1" x14ac:dyDescent="0.2">
      <c r="A116" s="14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41" t="s">
        <v>984</v>
      </c>
      <c r="AB116" s="42" t="s">
        <v>985</v>
      </c>
      <c r="AC116" s="17"/>
      <c r="AD116" s="34">
        <v>0</v>
      </c>
      <c r="AE116" s="34">
        <v>0</v>
      </c>
      <c r="AF116" s="34">
        <v>0</v>
      </c>
      <c r="AG116" s="18">
        <f>700000000+1040000000</f>
        <v>1740000000</v>
      </c>
      <c r="AH116" s="34">
        <v>0</v>
      </c>
      <c r="AI116" s="18">
        <f>AE116-AF116+AG116-AH116</f>
        <v>1740000000</v>
      </c>
      <c r="AJ116" s="18">
        <f>AD116+AI116</f>
        <v>1740000000</v>
      </c>
      <c r="AK116" s="34">
        <v>0</v>
      </c>
      <c r="AL116" s="40">
        <v>0</v>
      </c>
      <c r="AM116" s="39">
        <v>1740000000</v>
      </c>
      <c r="AN116" s="34">
        <v>0</v>
      </c>
      <c r="AO116" s="34">
        <v>0</v>
      </c>
      <c r="AP116" s="18">
        <v>1740000000</v>
      </c>
      <c r="AQ116" s="34">
        <v>0</v>
      </c>
      <c r="AR116" s="40">
        <f>AS116-JULIO!AS116</f>
        <v>0</v>
      </c>
      <c r="AS116" s="18">
        <v>1740000000</v>
      </c>
      <c r="AT116" s="39">
        <f t="shared" si="54"/>
        <v>1740000000</v>
      </c>
      <c r="AU116" s="34">
        <f t="shared" si="63"/>
        <v>0</v>
      </c>
      <c r="AV116" s="34">
        <f t="shared" si="64"/>
        <v>0</v>
      </c>
      <c r="AW116" s="34">
        <f t="shared" si="65"/>
        <v>0</v>
      </c>
      <c r="AX116" s="32">
        <f t="shared" si="66"/>
        <v>1</v>
      </c>
    </row>
    <row r="117" spans="1:50" s="25" customFormat="1" ht="18.75" customHeight="1" x14ac:dyDescent="0.2">
      <c r="A117" s="19" t="s">
        <v>55</v>
      </c>
      <c r="B117" s="19" t="s">
        <v>56</v>
      </c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26" t="s">
        <v>883</v>
      </c>
      <c r="AB117" s="21" t="s">
        <v>217</v>
      </c>
      <c r="AC117" s="22" t="s">
        <v>37</v>
      </c>
      <c r="AD117" s="22">
        <f>AD118</f>
        <v>36000000000</v>
      </c>
      <c r="AE117" s="23">
        <f t="shared" ref="AE117:AW119" si="67">AE118</f>
        <v>0</v>
      </c>
      <c r="AF117" s="23">
        <f t="shared" si="67"/>
        <v>0</v>
      </c>
      <c r="AG117" s="23">
        <f t="shared" si="67"/>
        <v>0</v>
      </c>
      <c r="AH117" s="23">
        <f t="shared" si="67"/>
        <v>0</v>
      </c>
      <c r="AI117" s="23">
        <f t="shared" si="67"/>
        <v>0</v>
      </c>
      <c r="AJ117" s="22">
        <f t="shared" si="67"/>
        <v>36000000000</v>
      </c>
      <c r="AK117" s="23">
        <f t="shared" si="67"/>
        <v>0</v>
      </c>
      <c r="AL117" s="23">
        <f t="shared" si="67"/>
        <v>0</v>
      </c>
      <c r="AM117" s="22">
        <f t="shared" si="67"/>
        <v>27447344702</v>
      </c>
      <c r="AN117" s="23">
        <f t="shared" si="67"/>
        <v>0</v>
      </c>
      <c r="AO117" s="23">
        <f t="shared" si="67"/>
        <v>0</v>
      </c>
      <c r="AP117" s="22">
        <f t="shared" si="67"/>
        <v>27447344702</v>
      </c>
      <c r="AQ117" s="23">
        <f t="shared" si="67"/>
        <v>0</v>
      </c>
      <c r="AR117" s="23">
        <f t="shared" si="67"/>
        <v>0</v>
      </c>
      <c r="AS117" s="22">
        <f t="shared" si="67"/>
        <v>27447344702</v>
      </c>
      <c r="AT117" s="22">
        <f>AQ117+AS117</f>
        <v>27447344702</v>
      </c>
      <c r="AU117" s="22">
        <f t="shared" si="67"/>
        <v>8552655298</v>
      </c>
      <c r="AV117" s="23">
        <f t="shared" si="67"/>
        <v>0</v>
      </c>
      <c r="AW117" s="23">
        <f t="shared" si="67"/>
        <v>0</v>
      </c>
      <c r="AX117" s="24">
        <f t="shared" si="66"/>
        <v>0.76242624172222218</v>
      </c>
    </row>
    <row r="118" spans="1:50" ht="18.75" customHeight="1" x14ac:dyDescent="0.2">
      <c r="A118" s="27" t="s">
        <v>55</v>
      </c>
      <c r="B118" s="27" t="s">
        <v>56</v>
      </c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8" t="s">
        <v>218</v>
      </c>
      <c r="AB118" s="29" t="s">
        <v>219</v>
      </c>
      <c r="AC118" s="30" t="s">
        <v>37</v>
      </c>
      <c r="AD118" s="30">
        <f>AD119</f>
        <v>36000000000</v>
      </c>
      <c r="AE118" s="31">
        <f t="shared" si="67"/>
        <v>0</v>
      </c>
      <c r="AF118" s="31">
        <f t="shared" si="67"/>
        <v>0</v>
      </c>
      <c r="AG118" s="31">
        <f t="shared" si="67"/>
        <v>0</v>
      </c>
      <c r="AH118" s="31">
        <f t="shared" si="67"/>
        <v>0</v>
      </c>
      <c r="AI118" s="31">
        <f t="shared" si="67"/>
        <v>0</v>
      </c>
      <c r="AJ118" s="30">
        <f t="shared" si="67"/>
        <v>36000000000</v>
      </c>
      <c r="AK118" s="31">
        <f t="shared" si="67"/>
        <v>0</v>
      </c>
      <c r="AL118" s="31">
        <f t="shared" si="67"/>
        <v>0</v>
      </c>
      <c r="AM118" s="30">
        <f t="shared" si="67"/>
        <v>27447344702</v>
      </c>
      <c r="AN118" s="31">
        <f t="shared" si="67"/>
        <v>0</v>
      </c>
      <c r="AO118" s="31">
        <f t="shared" si="67"/>
        <v>0</v>
      </c>
      <c r="AP118" s="30">
        <f t="shared" si="67"/>
        <v>27447344702</v>
      </c>
      <c r="AQ118" s="31">
        <f t="shared" si="67"/>
        <v>0</v>
      </c>
      <c r="AR118" s="31">
        <f t="shared" si="67"/>
        <v>0</v>
      </c>
      <c r="AS118" s="30">
        <f t="shared" si="67"/>
        <v>27447344702</v>
      </c>
      <c r="AT118" s="30">
        <f t="shared" ref="AT118:AT122" si="68">AQ118+AS118</f>
        <v>27447344702</v>
      </c>
      <c r="AU118" s="18">
        <f>AJ118-AM118</f>
        <v>8552655298</v>
      </c>
      <c r="AV118" s="34">
        <f>AM118-AP118</f>
        <v>0</v>
      </c>
      <c r="AW118" s="34">
        <f>AP118-AT118</f>
        <v>0</v>
      </c>
      <c r="AX118" s="32">
        <f t="shared" si="66"/>
        <v>0.76242624172222218</v>
      </c>
    </row>
    <row r="119" spans="1:50" ht="22.5" customHeight="1" x14ac:dyDescent="0.2">
      <c r="A119" s="27" t="s">
        <v>55</v>
      </c>
      <c r="B119" s="27" t="s">
        <v>56</v>
      </c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8" t="s">
        <v>220</v>
      </c>
      <c r="AB119" s="29" t="s">
        <v>221</v>
      </c>
      <c r="AC119" s="30" t="s">
        <v>37</v>
      </c>
      <c r="AD119" s="30">
        <f>AD120</f>
        <v>36000000000</v>
      </c>
      <c r="AE119" s="31">
        <f t="shared" si="67"/>
        <v>0</v>
      </c>
      <c r="AF119" s="31">
        <f t="shared" si="67"/>
        <v>0</v>
      </c>
      <c r="AG119" s="31">
        <f t="shared" si="67"/>
        <v>0</v>
      </c>
      <c r="AH119" s="31">
        <f t="shared" si="67"/>
        <v>0</v>
      </c>
      <c r="AI119" s="31">
        <f t="shared" si="67"/>
        <v>0</v>
      </c>
      <c r="AJ119" s="30">
        <f t="shared" si="67"/>
        <v>36000000000</v>
      </c>
      <c r="AK119" s="31">
        <f t="shared" si="67"/>
        <v>0</v>
      </c>
      <c r="AL119" s="31">
        <f t="shared" si="67"/>
        <v>0</v>
      </c>
      <c r="AM119" s="30">
        <f t="shared" si="67"/>
        <v>27447344702</v>
      </c>
      <c r="AN119" s="31">
        <f t="shared" si="67"/>
        <v>0</v>
      </c>
      <c r="AO119" s="31">
        <f t="shared" si="67"/>
        <v>0</v>
      </c>
      <c r="AP119" s="30">
        <f t="shared" si="67"/>
        <v>27447344702</v>
      </c>
      <c r="AQ119" s="31">
        <f t="shared" si="67"/>
        <v>0</v>
      </c>
      <c r="AR119" s="31">
        <f t="shared" si="67"/>
        <v>0</v>
      </c>
      <c r="AS119" s="30">
        <f t="shared" si="67"/>
        <v>27447344702</v>
      </c>
      <c r="AT119" s="30">
        <f t="shared" si="68"/>
        <v>27447344702</v>
      </c>
      <c r="AU119" s="18">
        <f>AJ119-AM119</f>
        <v>8552655298</v>
      </c>
      <c r="AV119" s="34">
        <f>AM119-AP119</f>
        <v>0</v>
      </c>
      <c r="AW119" s="34">
        <f>AP119-AT119</f>
        <v>0</v>
      </c>
      <c r="AX119" s="32">
        <f t="shared" si="66"/>
        <v>0.76242624172222218</v>
      </c>
    </row>
    <row r="120" spans="1:50" ht="27" customHeight="1" x14ac:dyDescent="0.2">
      <c r="A120" s="27" t="s">
        <v>55</v>
      </c>
      <c r="B120" s="27" t="s">
        <v>56</v>
      </c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8" t="s">
        <v>222</v>
      </c>
      <c r="AB120" s="29" t="s">
        <v>223</v>
      </c>
      <c r="AC120" s="30" t="s">
        <v>37</v>
      </c>
      <c r="AD120" s="30">
        <f>AD121+AD122</f>
        <v>36000000000</v>
      </c>
      <c r="AE120" s="31">
        <f t="shared" ref="AE120:AS120" si="69">AE121+AE122</f>
        <v>0</v>
      </c>
      <c r="AF120" s="31">
        <f t="shared" si="69"/>
        <v>0</v>
      </c>
      <c r="AG120" s="31">
        <f t="shared" si="69"/>
        <v>0</v>
      </c>
      <c r="AH120" s="31">
        <f t="shared" si="69"/>
        <v>0</v>
      </c>
      <c r="AI120" s="31">
        <f t="shared" si="69"/>
        <v>0</v>
      </c>
      <c r="AJ120" s="30">
        <f t="shared" si="69"/>
        <v>36000000000</v>
      </c>
      <c r="AK120" s="31">
        <f t="shared" si="69"/>
        <v>0</v>
      </c>
      <c r="AL120" s="31">
        <f t="shared" si="69"/>
        <v>0</v>
      </c>
      <c r="AM120" s="30">
        <f t="shared" si="69"/>
        <v>27447344702</v>
      </c>
      <c r="AN120" s="31">
        <f t="shared" si="69"/>
        <v>0</v>
      </c>
      <c r="AO120" s="31">
        <f t="shared" si="69"/>
        <v>0</v>
      </c>
      <c r="AP120" s="30">
        <f t="shared" si="69"/>
        <v>27447344702</v>
      </c>
      <c r="AQ120" s="31">
        <f t="shared" si="69"/>
        <v>0</v>
      </c>
      <c r="AR120" s="31">
        <f t="shared" si="69"/>
        <v>0</v>
      </c>
      <c r="AS120" s="30">
        <f t="shared" si="69"/>
        <v>27447344702</v>
      </c>
      <c r="AT120" s="30">
        <f t="shared" si="68"/>
        <v>27447344702</v>
      </c>
      <c r="AU120" s="18">
        <f>AJ120-AM120</f>
        <v>8552655298</v>
      </c>
      <c r="AV120" s="34">
        <f>AM120-AP120</f>
        <v>0</v>
      </c>
      <c r="AW120" s="34">
        <f>AP120-AT120</f>
        <v>0</v>
      </c>
      <c r="AX120" s="32">
        <f t="shared" si="66"/>
        <v>0.76242624172222218</v>
      </c>
    </row>
    <row r="121" spans="1:50" ht="18.75" customHeight="1" x14ac:dyDescent="0.2">
      <c r="A121" s="14" t="s">
        <v>55</v>
      </c>
      <c r="B121" s="15" t="s">
        <v>56</v>
      </c>
      <c r="C121" s="15"/>
      <c r="D121" s="15" t="s">
        <v>40</v>
      </c>
      <c r="E121" s="15"/>
      <c r="F121" s="15"/>
      <c r="G121" s="15" t="s">
        <v>41</v>
      </c>
      <c r="H121" s="15"/>
      <c r="I121" s="15" t="s">
        <v>936</v>
      </c>
      <c r="J121" s="15"/>
      <c r="K121" s="15" t="s">
        <v>932</v>
      </c>
      <c r="L121" s="15"/>
      <c r="M121" s="15" t="s">
        <v>933</v>
      </c>
      <c r="N121" s="15"/>
      <c r="O121" s="15" t="s">
        <v>943</v>
      </c>
      <c r="P121" s="15"/>
      <c r="Q121" s="15" t="s">
        <v>939</v>
      </c>
      <c r="R121" s="15"/>
      <c r="S121" s="15" t="s">
        <v>940</v>
      </c>
      <c r="T121" s="15">
        <v>0</v>
      </c>
      <c r="U121" s="15">
        <v>0</v>
      </c>
      <c r="V121" s="15">
        <v>0</v>
      </c>
      <c r="W121" s="15">
        <v>0</v>
      </c>
      <c r="X121" s="15" t="s">
        <v>937</v>
      </c>
      <c r="Y121" s="15"/>
      <c r="Z121" s="15"/>
      <c r="AA121" s="16" t="s">
        <v>224</v>
      </c>
      <c r="AB121" s="17" t="s">
        <v>225</v>
      </c>
      <c r="AC121" s="17" t="s">
        <v>226</v>
      </c>
      <c r="AD121" s="18">
        <v>35280000000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18">
        <v>35280000000</v>
      </c>
      <c r="AK121" s="34">
        <v>0</v>
      </c>
      <c r="AL121" s="34">
        <v>0</v>
      </c>
      <c r="AM121" s="18">
        <v>27277483561</v>
      </c>
      <c r="AN121" s="34">
        <v>0</v>
      </c>
      <c r="AO121" s="34">
        <v>0</v>
      </c>
      <c r="AP121" s="18">
        <v>27277483561</v>
      </c>
      <c r="AQ121" s="34">
        <v>0</v>
      </c>
      <c r="AR121" s="34">
        <f>AS121-JULIO!AS121</f>
        <v>0</v>
      </c>
      <c r="AS121" s="18">
        <v>27277483561</v>
      </c>
      <c r="AT121" s="39">
        <f t="shared" si="68"/>
        <v>27277483561</v>
      </c>
      <c r="AU121" s="18">
        <f>AJ121-AM121</f>
        <v>8002516439</v>
      </c>
      <c r="AV121" s="34">
        <f>AM121-AP121</f>
        <v>0</v>
      </c>
      <c r="AW121" s="34">
        <f>AP121-AT121</f>
        <v>0</v>
      </c>
      <c r="AX121" s="32">
        <f t="shared" si="66"/>
        <v>0.77317130274943313</v>
      </c>
    </row>
    <row r="122" spans="1:50" ht="18.75" customHeight="1" x14ac:dyDescent="0.2">
      <c r="A122" s="14" t="s">
        <v>55</v>
      </c>
      <c r="B122" s="15" t="s">
        <v>56</v>
      </c>
      <c r="C122" s="15"/>
      <c r="D122" s="15" t="s">
        <v>40</v>
      </c>
      <c r="E122" s="15"/>
      <c r="F122" s="15"/>
      <c r="G122" s="15" t="s">
        <v>41</v>
      </c>
      <c r="H122" s="15"/>
      <c r="I122" s="15" t="s">
        <v>936</v>
      </c>
      <c r="J122" s="15"/>
      <c r="K122" s="15" t="s">
        <v>932</v>
      </c>
      <c r="L122" s="15"/>
      <c r="M122" s="15" t="s">
        <v>933</v>
      </c>
      <c r="N122" s="15"/>
      <c r="O122" s="15" t="s">
        <v>943</v>
      </c>
      <c r="P122" s="15"/>
      <c r="Q122" s="15" t="s">
        <v>939</v>
      </c>
      <c r="R122" s="15"/>
      <c r="S122" s="15" t="s">
        <v>940</v>
      </c>
      <c r="T122" s="15">
        <v>0</v>
      </c>
      <c r="U122" s="15">
        <v>0</v>
      </c>
      <c r="V122" s="15">
        <v>0</v>
      </c>
      <c r="W122" s="15">
        <v>0</v>
      </c>
      <c r="X122" s="15" t="s">
        <v>937</v>
      </c>
      <c r="Y122" s="15"/>
      <c r="Z122" s="15"/>
      <c r="AA122" s="16" t="s">
        <v>227</v>
      </c>
      <c r="AB122" s="17" t="s">
        <v>228</v>
      </c>
      <c r="AC122" s="17" t="s">
        <v>226</v>
      </c>
      <c r="AD122" s="18">
        <v>720000000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18">
        <v>720000000</v>
      </c>
      <c r="AK122" s="34">
        <v>0</v>
      </c>
      <c r="AL122" s="34">
        <v>0</v>
      </c>
      <c r="AM122" s="18">
        <v>169861141</v>
      </c>
      <c r="AN122" s="34">
        <v>0</v>
      </c>
      <c r="AO122" s="34">
        <v>0</v>
      </c>
      <c r="AP122" s="18">
        <v>169861141</v>
      </c>
      <c r="AQ122" s="34">
        <v>0</v>
      </c>
      <c r="AR122" s="34">
        <f>AS122-JULIO!AS122</f>
        <v>0</v>
      </c>
      <c r="AS122" s="18">
        <v>169861141</v>
      </c>
      <c r="AT122" s="39">
        <f t="shared" si="68"/>
        <v>169861141</v>
      </c>
      <c r="AU122" s="18">
        <f>AJ122-AM122</f>
        <v>550138859</v>
      </c>
      <c r="AV122" s="34">
        <f>AM122-AP122</f>
        <v>0</v>
      </c>
      <c r="AW122" s="34">
        <f>AP122-AT122</f>
        <v>0</v>
      </c>
      <c r="AX122" s="32">
        <f t="shared" si="66"/>
        <v>0.23591825138888889</v>
      </c>
    </row>
    <row r="123" spans="1:50" s="25" customFormat="1" ht="18.75" customHeight="1" x14ac:dyDescent="0.2">
      <c r="A123" s="19" t="s">
        <v>55</v>
      </c>
      <c r="B123" s="19" t="s">
        <v>56</v>
      </c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26" t="s">
        <v>884</v>
      </c>
      <c r="AB123" s="21" t="s">
        <v>229</v>
      </c>
      <c r="AC123" s="22" t="s">
        <v>56</v>
      </c>
      <c r="AD123" s="22">
        <f>AD124</f>
        <v>42253026328</v>
      </c>
      <c r="AE123" s="22">
        <f t="shared" ref="AE123:AW123" si="70">AE124</f>
        <v>429925823.10000002</v>
      </c>
      <c r="AF123" s="23">
        <f t="shared" si="70"/>
        <v>0</v>
      </c>
      <c r="AG123" s="22">
        <f t="shared" si="70"/>
        <v>184000000</v>
      </c>
      <c r="AH123" s="22">
        <f t="shared" si="70"/>
        <v>5232251568.7200003</v>
      </c>
      <c r="AI123" s="22">
        <f t="shared" si="70"/>
        <v>-4618325745.6199999</v>
      </c>
      <c r="AJ123" s="22">
        <f t="shared" si="70"/>
        <v>37634700582.379997</v>
      </c>
      <c r="AK123" s="23">
        <f t="shared" si="70"/>
        <v>0</v>
      </c>
      <c r="AL123" s="22">
        <f t="shared" si="70"/>
        <v>2314697593.3399997</v>
      </c>
      <c r="AM123" s="22">
        <f t="shared" si="70"/>
        <v>19460150850.41</v>
      </c>
      <c r="AN123" s="23">
        <f t="shared" si="70"/>
        <v>0</v>
      </c>
      <c r="AO123" s="22">
        <f t="shared" si="70"/>
        <v>2314697593.3399997</v>
      </c>
      <c r="AP123" s="22">
        <f t="shared" si="70"/>
        <v>19460150168.41</v>
      </c>
      <c r="AQ123" s="22">
        <f t="shared" si="70"/>
        <v>0</v>
      </c>
      <c r="AR123" s="22">
        <f t="shared" si="70"/>
        <v>2739975676.4399996</v>
      </c>
      <c r="AS123" s="22">
        <f t="shared" si="70"/>
        <v>19394520376.41</v>
      </c>
      <c r="AT123" s="22">
        <f>AQ123+AS123</f>
        <v>19394520376.41</v>
      </c>
      <c r="AU123" s="22">
        <f t="shared" si="70"/>
        <v>18174549731.969997</v>
      </c>
      <c r="AV123" s="23">
        <f t="shared" si="70"/>
        <v>682</v>
      </c>
      <c r="AW123" s="22">
        <f t="shared" si="70"/>
        <v>65629792</v>
      </c>
      <c r="AX123" s="24">
        <f t="shared" si="66"/>
        <v>0.51707997851113374</v>
      </c>
    </row>
    <row r="124" spans="1:50" ht="18.75" customHeight="1" x14ac:dyDescent="0.2">
      <c r="A124" s="27" t="s">
        <v>55</v>
      </c>
      <c r="B124" s="27" t="s">
        <v>56</v>
      </c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8" t="s">
        <v>885</v>
      </c>
      <c r="AB124" s="29" t="s">
        <v>230</v>
      </c>
      <c r="AC124" s="30" t="s">
        <v>56</v>
      </c>
      <c r="AD124" s="30">
        <f>AD125+AD131+AD134+AD136+AD137+AD138</f>
        <v>42253026328</v>
      </c>
      <c r="AE124" s="30">
        <f t="shared" ref="AE124:AS124" si="71">AE125+AE131+AE134+AE136+AE137+AE138</f>
        <v>429925823.10000002</v>
      </c>
      <c r="AF124" s="31">
        <f t="shared" si="71"/>
        <v>0</v>
      </c>
      <c r="AG124" s="30">
        <f t="shared" si="71"/>
        <v>184000000</v>
      </c>
      <c r="AH124" s="30">
        <f t="shared" si="71"/>
        <v>5232251568.7200003</v>
      </c>
      <c r="AI124" s="30">
        <f t="shared" si="71"/>
        <v>-4618325745.6199999</v>
      </c>
      <c r="AJ124" s="30">
        <f t="shared" si="71"/>
        <v>37634700582.379997</v>
      </c>
      <c r="AK124" s="31">
        <f t="shared" si="71"/>
        <v>0</v>
      </c>
      <c r="AL124" s="30">
        <f t="shared" si="71"/>
        <v>2314697593.3399997</v>
      </c>
      <c r="AM124" s="30">
        <f t="shared" si="71"/>
        <v>19460150850.41</v>
      </c>
      <c r="AN124" s="31">
        <f t="shared" si="71"/>
        <v>0</v>
      </c>
      <c r="AO124" s="30">
        <f t="shared" si="71"/>
        <v>2314697593.3399997</v>
      </c>
      <c r="AP124" s="30">
        <f t="shared" si="71"/>
        <v>19460150168.41</v>
      </c>
      <c r="AQ124" s="30">
        <f t="shared" si="71"/>
        <v>0</v>
      </c>
      <c r="AR124" s="30">
        <f t="shared" si="71"/>
        <v>2739975676.4399996</v>
      </c>
      <c r="AS124" s="30">
        <f t="shared" si="71"/>
        <v>19394520376.41</v>
      </c>
      <c r="AT124" s="30">
        <f t="shared" ref="AT124:AT138" si="72">AQ124+AS124</f>
        <v>19394520376.41</v>
      </c>
      <c r="AU124" s="18">
        <f>AJ124-AM124</f>
        <v>18174549731.969997</v>
      </c>
      <c r="AV124" s="34">
        <f>AM124-AP124</f>
        <v>682</v>
      </c>
      <c r="AW124" s="18">
        <f>AP124-AT124</f>
        <v>65629792</v>
      </c>
      <c r="AX124" s="32">
        <f t="shared" si="66"/>
        <v>0.51707997851113374</v>
      </c>
    </row>
    <row r="125" spans="1:50" ht="18.75" customHeight="1" x14ac:dyDescent="0.2">
      <c r="A125" s="27" t="s">
        <v>55</v>
      </c>
      <c r="B125" s="27" t="s">
        <v>56</v>
      </c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8" t="s">
        <v>886</v>
      </c>
      <c r="AB125" s="29" t="s">
        <v>231</v>
      </c>
      <c r="AC125" s="30" t="s">
        <v>56</v>
      </c>
      <c r="AD125" s="30">
        <f>AD126</f>
        <v>40897026328</v>
      </c>
      <c r="AE125" s="30">
        <f>AE126</f>
        <v>429925823.10000002</v>
      </c>
      <c r="AF125" s="31">
        <f t="shared" ref="AF125:AS125" si="73">AF126</f>
        <v>0</v>
      </c>
      <c r="AG125" s="31">
        <f t="shared" si="73"/>
        <v>0</v>
      </c>
      <c r="AH125" s="30">
        <f t="shared" si="73"/>
        <v>5232251568.7200003</v>
      </c>
      <c r="AI125" s="30">
        <f t="shared" si="73"/>
        <v>-4802325745.6199999</v>
      </c>
      <c r="AJ125" s="30">
        <f t="shared" si="73"/>
        <v>36094700582.379997</v>
      </c>
      <c r="AK125" s="31">
        <f t="shared" si="73"/>
        <v>0</v>
      </c>
      <c r="AL125" s="30">
        <f t="shared" si="73"/>
        <v>2267362710.5999999</v>
      </c>
      <c r="AM125" s="30">
        <f t="shared" si="73"/>
        <v>18721216290.599998</v>
      </c>
      <c r="AN125" s="31">
        <f t="shared" si="73"/>
        <v>0</v>
      </c>
      <c r="AO125" s="30">
        <f t="shared" si="73"/>
        <v>2267362710.5999999</v>
      </c>
      <c r="AP125" s="30">
        <f t="shared" si="73"/>
        <v>18721216290.599998</v>
      </c>
      <c r="AQ125" s="31">
        <f t="shared" si="73"/>
        <v>0</v>
      </c>
      <c r="AR125" s="113">
        <f t="shared" si="73"/>
        <v>2697264233.6999998</v>
      </c>
      <c r="AS125" s="113">
        <f t="shared" si="73"/>
        <v>18682536770.599998</v>
      </c>
      <c r="AT125" s="30">
        <f t="shared" si="72"/>
        <v>18682536770.599998</v>
      </c>
      <c r="AU125" s="18">
        <f>AJ125-AM125</f>
        <v>17373484291.779999</v>
      </c>
      <c r="AV125" s="34">
        <f>AM125-AP125</f>
        <v>0</v>
      </c>
      <c r="AW125" s="18">
        <f>AP125-AT125</f>
        <v>38679520</v>
      </c>
      <c r="AX125" s="32">
        <f t="shared" si="66"/>
        <v>0.51866938881712055</v>
      </c>
    </row>
    <row r="126" spans="1:50" ht="29.25" customHeight="1" x14ac:dyDescent="0.2">
      <c r="A126" s="27" t="s">
        <v>55</v>
      </c>
      <c r="B126" s="27" t="s">
        <v>56</v>
      </c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8" t="s">
        <v>887</v>
      </c>
      <c r="AB126" s="29" t="s">
        <v>232</v>
      </c>
      <c r="AC126" s="30" t="s">
        <v>37</v>
      </c>
      <c r="AD126" s="30">
        <f>AD127+AD128+AD129+AD130</f>
        <v>40897026328</v>
      </c>
      <c r="AE126" s="30">
        <f t="shared" ref="AE126:AW126" si="74">AE127+AE128+AE129+AE130</f>
        <v>429925823.10000002</v>
      </c>
      <c r="AF126" s="31">
        <f t="shared" si="74"/>
        <v>0</v>
      </c>
      <c r="AG126" s="31">
        <f t="shared" si="74"/>
        <v>0</v>
      </c>
      <c r="AH126" s="30">
        <f t="shared" si="74"/>
        <v>5232251568.7200003</v>
      </c>
      <c r="AI126" s="30">
        <f t="shared" si="74"/>
        <v>-4802325745.6199999</v>
      </c>
      <c r="AJ126" s="30">
        <f t="shared" si="74"/>
        <v>36094700582.379997</v>
      </c>
      <c r="AK126" s="31">
        <f t="shared" si="74"/>
        <v>0</v>
      </c>
      <c r="AL126" s="30">
        <f t="shared" si="74"/>
        <v>2267362710.5999999</v>
      </c>
      <c r="AM126" s="30">
        <f t="shared" si="74"/>
        <v>18721216290.599998</v>
      </c>
      <c r="AN126" s="31">
        <f t="shared" si="74"/>
        <v>0</v>
      </c>
      <c r="AO126" s="30">
        <f t="shared" si="74"/>
        <v>2267362710.5999999</v>
      </c>
      <c r="AP126" s="30">
        <f t="shared" si="74"/>
        <v>18721216290.599998</v>
      </c>
      <c r="AQ126" s="31">
        <f t="shared" si="74"/>
        <v>0</v>
      </c>
      <c r="AR126" s="30">
        <f t="shared" si="74"/>
        <v>2697264233.6999998</v>
      </c>
      <c r="AS126" s="30">
        <f t="shared" si="74"/>
        <v>18682536770.599998</v>
      </c>
      <c r="AT126" s="30">
        <f t="shared" si="74"/>
        <v>18682536770.599998</v>
      </c>
      <c r="AU126" s="30">
        <f t="shared" si="74"/>
        <v>17373484291.779999</v>
      </c>
      <c r="AV126" s="31">
        <f t="shared" si="74"/>
        <v>0</v>
      </c>
      <c r="AW126" s="30">
        <f t="shared" si="74"/>
        <v>38679520</v>
      </c>
      <c r="AX126" s="32">
        <f t="shared" si="66"/>
        <v>0.51866938881712055</v>
      </c>
    </row>
    <row r="127" spans="1:50" ht="18.75" customHeight="1" x14ac:dyDescent="0.2">
      <c r="A127" s="14" t="s">
        <v>55</v>
      </c>
      <c r="B127" s="15" t="s">
        <v>56</v>
      </c>
      <c r="C127" s="15"/>
      <c r="D127" s="15" t="s">
        <v>40</v>
      </c>
      <c r="E127" s="15"/>
      <c r="F127" s="15"/>
      <c r="G127" s="15" t="s">
        <v>41</v>
      </c>
      <c r="H127" s="15"/>
      <c r="I127" s="15" t="s">
        <v>936</v>
      </c>
      <c r="J127" s="15"/>
      <c r="K127" s="15" t="s">
        <v>932</v>
      </c>
      <c r="L127" s="15"/>
      <c r="M127" s="15" t="s">
        <v>933</v>
      </c>
      <c r="N127" s="15"/>
      <c r="O127" s="15" t="s">
        <v>938</v>
      </c>
      <c r="P127" s="15"/>
      <c r="Q127" s="15" t="s">
        <v>939</v>
      </c>
      <c r="R127" s="15"/>
      <c r="S127" s="15" t="s">
        <v>940</v>
      </c>
      <c r="T127" s="15">
        <v>0</v>
      </c>
      <c r="U127" s="15">
        <v>0</v>
      </c>
      <c r="V127" s="15">
        <v>0</v>
      </c>
      <c r="W127" s="15">
        <v>0</v>
      </c>
      <c r="X127" s="15" t="s">
        <v>937</v>
      </c>
      <c r="Y127" s="15"/>
      <c r="Z127" s="15"/>
      <c r="AA127" s="41" t="s">
        <v>888</v>
      </c>
      <c r="AB127" s="17" t="s">
        <v>233</v>
      </c>
      <c r="AC127" s="17" t="s">
        <v>58</v>
      </c>
      <c r="AD127" s="18">
        <v>28000000000</v>
      </c>
      <c r="AE127" s="34">
        <v>0</v>
      </c>
      <c r="AF127" s="34">
        <v>0</v>
      </c>
      <c r="AG127" s="34">
        <v>0</v>
      </c>
      <c r="AH127" s="18">
        <f>900000000+80000000+2830200000+365556246.72+1056495322</f>
        <v>5232251568.7200003</v>
      </c>
      <c r="AI127" s="18">
        <f>AE127-AF127+AG127-AH127</f>
        <v>-5232251568.7200003</v>
      </c>
      <c r="AJ127" s="18">
        <f>AD127+AI127</f>
        <v>22767748431.279999</v>
      </c>
      <c r="AK127" s="34">
        <v>0</v>
      </c>
      <c r="AL127" s="18">
        <v>1877376940</v>
      </c>
      <c r="AM127" s="18">
        <v>6632654415.8999996</v>
      </c>
      <c r="AN127" s="34">
        <v>0</v>
      </c>
      <c r="AO127" s="18">
        <v>1877376940</v>
      </c>
      <c r="AP127" s="18">
        <v>6632654415.8999996</v>
      </c>
      <c r="AQ127" s="34">
        <v>0</v>
      </c>
      <c r="AR127" s="18">
        <f>AS127-JULIO!AS127</f>
        <v>1877352640</v>
      </c>
      <c r="AS127" s="18">
        <v>6632630115.8999996</v>
      </c>
      <c r="AT127" s="39">
        <f t="shared" si="72"/>
        <v>6632630115.8999996</v>
      </c>
      <c r="AU127" s="18">
        <f t="shared" ref="AU127:AU138" si="75">AJ127-AM127</f>
        <v>16135094015.379999</v>
      </c>
      <c r="AV127" s="34">
        <f t="shared" ref="AV127:AV138" si="76">AM127-AP127</f>
        <v>0</v>
      </c>
      <c r="AW127" s="18">
        <f t="shared" ref="AW127:AW138" si="77">AP127-AT127</f>
        <v>24300</v>
      </c>
      <c r="AX127" s="32">
        <f t="shared" si="66"/>
        <v>0.2913179770902411</v>
      </c>
    </row>
    <row r="128" spans="1:50" ht="28.5" customHeight="1" x14ac:dyDescent="0.2">
      <c r="A128" s="4" t="s">
        <v>55</v>
      </c>
      <c r="B128" s="4" t="s">
        <v>56</v>
      </c>
      <c r="C128" s="4"/>
      <c r="D128" s="4" t="s">
        <v>40</v>
      </c>
      <c r="E128" s="4"/>
      <c r="F128" s="4"/>
      <c r="G128" s="4" t="s">
        <v>41</v>
      </c>
      <c r="H128" s="4"/>
      <c r="I128" s="4" t="s">
        <v>936</v>
      </c>
      <c r="J128" s="4"/>
      <c r="K128" s="4" t="s">
        <v>932</v>
      </c>
      <c r="L128" s="4"/>
      <c r="M128" s="4" t="s">
        <v>933</v>
      </c>
      <c r="N128" s="4"/>
      <c r="O128" s="4" t="s">
        <v>938</v>
      </c>
      <c r="P128" s="4"/>
      <c r="Q128" s="4" t="s">
        <v>939</v>
      </c>
      <c r="R128" s="4"/>
      <c r="S128" s="4" t="s">
        <v>940</v>
      </c>
      <c r="T128" s="4">
        <v>0</v>
      </c>
      <c r="U128" s="4">
        <v>0</v>
      </c>
      <c r="V128" s="4">
        <v>0</v>
      </c>
      <c r="W128" s="4">
        <v>0</v>
      </c>
      <c r="X128" s="4" t="s">
        <v>937</v>
      </c>
      <c r="Y128" s="4"/>
      <c r="Z128" s="4"/>
      <c r="AA128" s="41" t="s">
        <v>889</v>
      </c>
      <c r="AB128" s="42" t="s">
        <v>234</v>
      </c>
      <c r="AC128" s="43" t="s">
        <v>235</v>
      </c>
      <c r="AD128" s="43">
        <v>10000000000</v>
      </c>
      <c r="AE128" s="44">
        <v>0</v>
      </c>
      <c r="AF128" s="44">
        <v>0</v>
      </c>
      <c r="AG128" s="44">
        <v>0</v>
      </c>
      <c r="AH128" s="44">
        <v>0</v>
      </c>
      <c r="AI128" s="44">
        <v>0</v>
      </c>
      <c r="AJ128" s="43">
        <v>10000000000</v>
      </c>
      <c r="AK128" s="44">
        <v>0</v>
      </c>
      <c r="AL128" s="18">
        <v>0</v>
      </c>
      <c r="AM128" s="43">
        <v>10000000000</v>
      </c>
      <c r="AN128" s="44">
        <v>0</v>
      </c>
      <c r="AO128" s="44">
        <v>0</v>
      </c>
      <c r="AP128" s="43">
        <v>10000000000</v>
      </c>
      <c r="AQ128" s="44">
        <v>0</v>
      </c>
      <c r="AR128" s="34">
        <f>AS128-JULIO!AS128</f>
        <v>0</v>
      </c>
      <c r="AS128" s="114">
        <v>10000000000</v>
      </c>
      <c r="AT128" s="39">
        <f t="shared" si="72"/>
        <v>10000000000</v>
      </c>
      <c r="AU128" s="34">
        <f t="shared" si="75"/>
        <v>0</v>
      </c>
      <c r="AV128" s="34">
        <f t="shared" si="76"/>
        <v>0</v>
      </c>
      <c r="AW128" s="34">
        <f t="shared" si="77"/>
        <v>0</v>
      </c>
      <c r="AX128" s="32">
        <f t="shared" si="66"/>
        <v>1</v>
      </c>
    </row>
    <row r="129" spans="1:50" ht="27" customHeight="1" x14ac:dyDescent="0.2">
      <c r="A129" s="4" t="s">
        <v>55</v>
      </c>
      <c r="B129" s="4" t="s">
        <v>56</v>
      </c>
      <c r="C129" s="4"/>
      <c r="D129" s="4" t="s">
        <v>40</v>
      </c>
      <c r="E129" s="4"/>
      <c r="F129" s="4"/>
      <c r="G129" s="4" t="s">
        <v>41</v>
      </c>
      <c r="H129" s="4"/>
      <c r="I129" s="4" t="s">
        <v>936</v>
      </c>
      <c r="J129" s="4"/>
      <c r="K129" s="4" t="s">
        <v>932</v>
      </c>
      <c r="L129" s="4"/>
      <c r="M129" s="4" t="s">
        <v>933</v>
      </c>
      <c r="N129" s="4"/>
      <c r="O129" s="4" t="s">
        <v>938</v>
      </c>
      <c r="P129" s="4"/>
      <c r="Q129" s="4" t="s">
        <v>939</v>
      </c>
      <c r="R129" s="4"/>
      <c r="S129" s="4" t="s">
        <v>940</v>
      </c>
      <c r="T129" s="4">
        <v>0</v>
      </c>
      <c r="U129" s="4">
        <v>0</v>
      </c>
      <c r="V129" s="4">
        <v>0</v>
      </c>
      <c r="W129" s="4">
        <v>0</v>
      </c>
      <c r="X129" s="4" t="s">
        <v>937</v>
      </c>
      <c r="Y129" s="4"/>
      <c r="Z129" s="4"/>
      <c r="AA129" s="41" t="s">
        <v>890</v>
      </c>
      <c r="AB129" s="42" t="s">
        <v>236</v>
      </c>
      <c r="AC129" s="38" t="s">
        <v>237</v>
      </c>
      <c r="AD129" s="39">
        <v>2897026328</v>
      </c>
      <c r="AE129" s="40">
        <v>0</v>
      </c>
      <c r="AF129" s="40">
        <v>0</v>
      </c>
      <c r="AG129" s="40">
        <v>0</v>
      </c>
      <c r="AH129" s="40">
        <v>0</v>
      </c>
      <c r="AI129" s="40">
        <v>0</v>
      </c>
      <c r="AJ129" s="39">
        <v>2897026328</v>
      </c>
      <c r="AK129" s="40">
        <v>0</v>
      </c>
      <c r="AL129" s="18">
        <v>389985770.60000002</v>
      </c>
      <c r="AM129" s="39">
        <v>1658636051.5999999</v>
      </c>
      <c r="AN129" s="40">
        <v>0</v>
      </c>
      <c r="AO129" s="39">
        <v>389985770.60000002</v>
      </c>
      <c r="AP129" s="39">
        <v>1658636051.5999999</v>
      </c>
      <c r="AQ129" s="40">
        <v>0</v>
      </c>
      <c r="AR129" s="18">
        <f>AS129-JULIO!AS129</f>
        <v>389985770.5999999</v>
      </c>
      <c r="AS129" s="39">
        <v>1619980831.5999999</v>
      </c>
      <c r="AT129" s="39">
        <f t="shared" si="72"/>
        <v>1619980831.5999999</v>
      </c>
      <c r="AU129" s="18">
        <f t="shared" si="75"/>
        <v>1238390276.4000001</v>
      </c>
      <c r="AV129" s="34">
        <f t="shared" si="76"/>
        <v>0</v>
      </c>
      <c r="AW129" s="18">
        <f t="shared" si="77"/>
        <v>38655220</v>
      </c>
      <c r="AX129" s="32">
        <f t="shared" si="66"/>
        <v>0.57253054125506031</v>
      </c>
    </row>
    <row r="130" spans="1:50" ht="27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1" t="s">
        <v>994</v>
      </c>
      <c r="AB130" s="42" t="s">
        <v>995</v>
      </c>
      <c r="AC130" s="38"/>
      <c r="AD130" s="39">
        <v>0</v>
      </c>
      <c r="AE130" s="39">
        <v>429925823.10000002</v>
      </c>
      <c r="AF130" s="40">
        <v>0</v>
      </c>
      <c r="AG130" s="40">
        <v>0</v>
      </c>
      <c r="AH130" s="40">
        <v>0</v>
      </c>
      <c r="AI130" s="18">
        <f>AE130-AF130+AG130-AH130</f>
        <v>429925823.10000002</v>
      </c>
      <c r="AJ130" s="18">
        <f>AD130+AI130</f>
        <v>429925823.10000002</v>
      </c>
      <c r="AK130" s="40">
        <v>0</v>
      </c>
      <c r="AL130" s="18">
        <v>0</v>
      </c>
      <c r="AM130" s="39">
        <v>429925823.10000002</v>
      </c>
      <c r="AN130" s="40">
        <v>0</v>
      </c>
      <c r="AO130" s="40">
        <v>0</v>
      </c>
      <c r="AP130" s="40">
        <v>429925823.10000002</v>
      </c>
      <c r="AQ130" s="40">
        <v>0</v>
      </c>
      <c r="AR130" s="18">
        <f>AS130-JULIO!AS130</f>
        <v>429925823.10000002</v>
      </c>
      <c r="AS130" s="40">
        <v>429925823.10000002</v>
      </c>
      <c r="AT130" s="30">
        <f t="shared" si="72"/>
        <v>429925823.10000002</v>
      </c>
      <c r="AU130" s="34">
        <f t="shared" si="75"/>
        <v>0</v>
      </c>
      <c r="AV130" s="34">
        <f t="shared" si="76"/>
        <v>0</v>
      </c>
      <c r="AW130" s="34">
        <f t="shared" si="77"/>
        <v>0</v>
      </c>
      <c r="AX130" s="32">
        <f t="shared" si="66"/>
        <v>1</v>
      </c>
    </row>
    <row r="131" spans="1:50" ht="18.75" customHeight="1" x14ac:dyDescent="0.2">
      <c r="A131" s="27" t="s">
        <v>55</v>
      </c>
      <c r="B131" s="27" t="s">
        <v>56</v>
      </c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8" t="s">
        <v>891</v>
      </c>
      <c r="AB131" s="29" t="s">
        <v>238</v>
      </c>
      <c r="AC131" s="30" t="s">
        <v>37</v>
      </c>
      <c r="AD131" s="30">
        <f>AD132+AD133</f>
        <v>1000000000</v>
      </c>
      <c r="AE131" s="31">
        <f t="shared" ref="AE131:AS131" si="78">AE132+AE133</f>
        <v>0</v>
      </c>
      <c r="AF131" s="31">
        <f t="shared" si="78"/>
        <v>0</v>
      </c>
      <c r="AG131" s="31">
        <f t="shared" si="78"/>
        <v>0</v>
      </c>
      <c r="AH131" s="31">
        <f t="shared" si="78"/>
        <v>0</v>
      </c>
      <c r="AI131" s="31">
        <f t="shared" si="78"/>
        <v>0</v>
      </c>
      <c r="AJ131" s="30">
        <f t="shared" si="78"/>
        <v>1000000000</v>
      </c>
      <c r="AK131" s="31">
        <f t="shared" si="78"/>
        <v>0</v>
      </c>
      <c r="AL131" s="109">
        <f t="shared" si="78"/>
        <v>25877003.739999998</v>
      </c>
      <c r="AM131" s="109">
        <f t="shared" si="78"/>
        <v>412105510.81</v>
      </c>
      <c r="AN131" s="31">
        <f t="shared" si="78"/>
        <v>0</v>
      </c>
      <c r="AO131" s="109">
        <f t="shared" si="78"/>
        <v>25877003.739999998</v>
      </c>
      <c r="AP131" s="109">
        <f t="shared" si="78"/>
        <v>412105510.81</v>
      </c>
      <c r="AQ131" s="31">
        <f t="shared" si="78"/>
        <v>0</v>
      </c>
      <c r="AR131" s="109">
        <f t="shared" si="78"/>
        <v>19998292.739999998</v>
      </c>
      <c r="AS131" s="109">
        <f t="shared" si="78"/>
        <v>406226799.81</v>
      </c>
      <c r="AT131" s="30">
        <f t="shared" si="72"/>
        <v>406226799.81</v>
      </c>
      <c r="AU131" s="176">
        <f t="shared" si="75"/>
        <v>587894489.19000006</v>
      </c>
      <c r="AV131" s="34">
        <f t="shared" si="76"/>
        <v>0</v>
      </c>
      <c r="AW131" s="18">
        <f t="shared" si="77"/>
        <v>5878711</v>
      </c>
      <c r="AX131" s="32">
        <f t="shared" si="66"/>
        <v>0.41210551081000002</v>
      </c>
    </row>
    <row r="132" spans="1:50" ht="18.75" customHeight="1" x14ac:dyDescent="0.2">
      <c r="A132" s="4" t="s">
        <v>55</v>
      </c>
      <c r="B132" s="4" t="s">
        <v>56</v>
      </c>
      <c r="C132" s="4"/>
      <c r="D132" s="4" t="s">
        <v>40</v>
      </c>
      <c r="E132" s="4"/>
      <c r="F132" s="4"/>
      <c r="G132" s="4" t="s">
        <v>41</v>
      </c>
      <c r="H132" s="4"/>
      <c r="I132" s="4" t="s">
        <v>936</v>
      </c>
      <c r="J132" s="4"/>
      <c r="K132" s="4" t="s">
        <v>932</v>
      </c>
      <c r="L132" s="4"/>
      <c r="M132" s="4" t="s">
        <v>933</v>
      </c>
      <c r="N132" s="4"/>
      <c r="O132" s="4" t="s">
        <v>938</v>
      </c>
      <c r="P132" s="4"/>
      <c r="Q132" s="4" t="s">
        <v>939</v>
      </c>
      <c r="R132" s="4"/>
      <c r="S132" s="4" t="s">
        <v>940</v>
      </c>
      <c r="T132" s="4">
        <v>0</v>
      </c>
      <c r="U132" s="4">
        <v>0</v>
      </c>
      <c r="V132" s="4">
        <v>0</v>
      </c>
      <c r="W132" s="4">
        <v>0</v>
      </c>
      <c r="X132" s="4" t="s">
        <v>937</v>
      </c>
      <c r="Y132" s="4"/>
      <c r="Z132" s="4"/>
      <c r="AA132" s="41" t="s">
        <v>893</v>
      </c>
      <c r="AB132" s="42" t="s">
        <v>233</v>
      </c>
      <c r="AC132" s="43" t="s">
        <v>58</v>
      </c>
      <c r="AD132" s="43">
        <v>500000000</v>
      </c>
      <c r="AE132" s="44">
        <v>0</v>
      </c>
      <c r="AF132" s="44">
        <v>0</v>
      </c>
      <c r="AG132" s="44">
        <v>0</v>
      </c>
      <c r="AH132" s="44">
        <v>0</v>
      </c>
      <c r="AI132" s="44">
        <v>0</v>
      </c>
      <c r="AJ132" s="43">
        <v>500000000</v>
      </c>
      <c r="AK132" s="44">
        <v>0</v>
      </c>
      <c r="AL132" s="114">
        <v>1840292.74</v>
      </c>
      <c r="AM132" s="43">
        <v>16449546.810000001</v>
      </c>
      <c r="AN132" s="44">
        <v>0</v>
      </c>
      <c r="AO132" s="43">
        <v>1840292.74</v>
      </c>
      <c r="AP132" s="43">
        <v>16449546.810000001</v>
      </c>
      <c r="AQ132" s="44">
        <v>0</v>
      </c>
      <c r="AR132" s="43">
        <v>1840292.74</v>
      </c>
      <c r="AS132" s="43">
        <v>16449546.810000001</v>
      </c>
      <c r="AT132" s="39">
        <f t="shared" si="72"/>
        <v>16449546.810000001</v>
      </c>
      <c r="AU132" s="18">
        <f t="shared" si="75"/>
        <v>483550453.19</v>
      </c>
      <c r="AV132" s="34">
        <f t="shared" si="76"/>
        <v>0</v>
      </c>
      <c r="AW132" s="18">
        <f t="shared" si="77"/>
        <v>0</v>
      </c>
      <c r="AX132" s="32">
        <f t="shared" si="66"/>
        <v>3.289909362E-2</v>
      </c>
    </row>
    <row r="133" spans="1:50" ht="18.75" customHeight="1" x14ac:dyDescent="0.2">
      <c r="A133" s="4" t="s">
        <v>55</v>
      </c>
      <c r="B133" s="4" t="s">
        <v>56</v>
      </c>
      <c r="C133" s="4"/>
      <c r="D133" s="4" t="s">
        <v>40</v>
      </c>
      <c r="E133" s="4"/>
      <c r="F133" s="4"/>
      <c r="G133" s="4" t="s">
        <v>41</v>
      </c>
      <c r="H133" s="4"/>
      <c r="I133" s="4" t="s">
        <v>936</v>
      </c>
      <c r="J133" s="4"/>
      <c r="K133" s="4" t="s">
        <v>932</v>
      </c>
      <c r="L133" s="4"/>
      <c r="M133" s="4" t="s">
        <v>933</v>
      </c>
      <c r="N133" s="4"/>
      <c r="O133" s="4" t="s">
        <v>938</v>
      </c>
      <c r="P133" s="4"/>
      <c r="Q133" s="4" t="s">
        <v>939</v>
      </c>
      <c r="R133" s="4"/>
      <c r="S133" s="4" t="s">
        <v>940</v>
      </c>
      <c r="T133" s="4">
        <v>0</v>
      </c>
      <c r="U133" s="4">
        <v>0</v>
      </c>
      <c r="V133" s="4">
        <v>0</v>
      </c>
      <c r="W133" s="4">
        <v>0</v>
      </c>
      <c r="X133" s="4" t="s">
        <v>937</v>
      </c>
      <c r="Y133" s="4"/>
      <c r="Z133" s="4"/>
      <c r="AA133" s="41" t="s">
        <v>892</v>
      </c>
      <c r="AB133" s="42" t="s">
        <v>239</v>
      </c>
      <c r="AC133" s="43" t="s">
        <v>240</v>
      </c>
      <c r="AD133" s="43">
        <v>500000000</v>
      </c>
      <c r="AE133" s="44">
        <v>0</v>
      </c>
      <c r="AF133" s="44">
        <v>0</v>
      </c>
      <c r="AG133" s="44">
        <v>0</v>
      </c>
      <c r="AH133" s="44">
        <v>0</v>
      </c>
      <c r="AI133" s="44">
        <v>0</v>
      </c>
      <c r="AJ133" s="43">
        <v>500000000</v>
      </c>
      <c r="AK133" s="44">
        <v>0</v>
      </c>
      <c r="AL133" s="114">
        <v>24036711</v>
      </c>
      <c r="AM133" s="114">
        <v>395655964</v>
      </c>
      <c r="AN133" s="44">
        <v>0</v>
      </c>
      <c r="AO133" s="114">
        <v>24036711</v>
      </c>
      <c r="AP133" s="114">
        <v>395655964</v>
      </c>
      <c r="AQ133" s="44">
        <v>0</v>
      </c>
      <c r="AR133" s="114">
        <v>18158000</v>
      </c>
      <c r="AS133" s="114">
        <v>389777253</v>
      </c>
      <c r="AT133" s="39">
        <f t="shared" si="72"/>
        <v>389777253</v>
      </c>
      <c r="AU133" s="18">
        <f t="shared" si="75"/>
        <v>104344036</v>
      </c>
      <c r="AV133" s="34">
        <f t="shared" si="76"/>
        <v>0</v>
      </c>
      <c r="AW133" s="34">
        <f t="shared" si="77"/>
        <v>5878711</v>
      </c>
      <c r="AX133" s="32">
        <f t="shared" si="66"/>
        <v>0.79131192800000005</v>
      </c>
    </row>
    <row r="134" spans="1:50" ht="18.75" customHeight="1" x14ac:dyDescent="0.2">
      <c r="A134" s="27" t="s">
        <v>55</v>
      </c>
      <c r="B134" s="27" t="s">
        <v>56</v>
      </c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8" t="s">
        <v>894</v>
      </c>
      <c r="AB134" s="29" t="s">
        <v>241</v>
      </c>
      <c r="AC134" s="30" t="s">
        <v>37</v>
      </c>
      <c r="AD134" s="30">
        <f>AD135</f>
        <v>80000000</v>
      </c>
      <c r="AE134" s="31">
        <f t="shared" ref="AE134:AS134" si="79">AE135</f>
        <v>0</v>
      </c>
      <c r="AF134" s="31">
        <f t="shared" si="79"/>
        <v>0</v>
      </c>
      <c r="AG134" s="30">
        <f t="shared" si="79"/>
        <v>160000000</v>
      </c>
      <c r="AH134" s="31">
        <f t="shared" si="79"/>
        <v>0</v>
      </c>
      <c r="AI134" s="30">
        <f t="shared" si="79"/>
        <v>160000000</v>
      </c>
      <c r="AJ134" s="30">
        <f t="shared" si="79"/>
        <v>240000000</v>
      </c>
      <c r="AK134" s="31">
        <f t="shared" si="79"/>
        <v>0</v>
      </c>
      <c r="AL134" s="30">
        <f t="shared" si="79"/>
        <v>18170520</v>
      </c>
      <c r="AM134" s="109">
        <f t="shared" si="79"/>
        <v>130507350</v>
      </c>
      <c r="AN134" s="31">
        <f t="shared" si="79"/>
        <v>0</v>
      </c>
      <c r="AO134" s="109">
        <f t="shared" si="79"/>
        <v>18170520</v>
      </c>
      <c r="AP134" s="109">
        <f t="shared" si="79"/>
        <v>130507350</v>
      </c>
      <c r="AQ134" s="31">
        <f t="shared" si="79"/>
        <v>0</v>
      </c>
      <c r="AR134" s="172">
        <f t="shared" si="79"/>
        <v>22713150</v>
      </c>
      <c r="AS134" s="109">
        <f t="shared" si="79"/>
        <v>130507350</v>
      </c>
      <c r="AT134" s="30">
        <f t="shared" si="72"/>
        <v>130507350</v>
      </c>
      <c r="AU134" s="176">
        <f t="shared" si="75"/>
        <v>109492650</v>
      </c>
      <c r="AV134" s="34">
        <f t="shared" si="76"/>
        <v>0</v>
      </c>
      <c r="AW134" s="34">
        <f t="shared" si="77"/>
        <v>0</v>
      </c>
      <c r="AX134" s="32">
        <f t="shared" si="66"/>
        <v>0.54378062500000002</v>
      </c>
    </row>
    <row r="135" spans="1:50" ht="18.75" customHeight="1" x14ac:dyDescent="0.2">
      <c r="A135" s="4" t="s">
        <v>55</v>
      </c>
      <c r="B135" s="4" t="s">
        <v>56</v>
      </c>
      <c r="C135" s="4"/>
      <c r="D135" s="4" t="s">
        <v>40</v>
      </c>
      <c r="E135" s="4"/>
      <c r="F135" s="4"/>
      <c r="G135" s="4" t="s">
        <v>41</v>
      </c>
      <c r="H135" s="4"/>
      <c r="I135" s="4" t="s">
        <v>936</v>
      </c>
      <c r="J135" s="4"/>
      <c r="K135" s="4" t="s">
        <v>932</v>
      </c>
      <c r="L135" s="4"/>
      <c r="M135" s="4" t="s">
        <v>933</v>
      </c>
      <c r="N135" s="4"/>
      <c r="O135" s="4" t="s">
        <v>938</v>
      </c>
      <c r="P135" s="4"/>
      <c r="Q135" s="4" t="s">
        <v>939</v>
      </c>
      <c r="R135" s="4"/>
      <c r="S135" s="4" t="s">
        <v>940</v>
      </c>
      <c r="T135" s="4">
        <v>0</v>
      </c>
      <c r="U135" s="4">
        <v>0</v>
      </c>
      <c r="V135" s="4">
        <v>0</v>
      </c>
      <c r="W135" s="4">
        <v>0</v>
      </c>
      <c r="X135" s="4" t="s">
        <v>937</v>
      </c>
      <c r="Y135" s="4"/>
      <c r="Z135" s="4"/>
      <c r="AA135" s="41" t="s">
        <v>895</v>
      </c>
      <c r="AB135" s="42" t="s">
        <v>242</v>
      </c>
      <c r="AC135" s="43" t="s">
        <v>58</v>
      </c>
      <c r="AD135" s="43">
        <v>80000000</v>
      </c>
      <c r="AE135" s="44">
        <v>0</v>
      </c>
      <c r="AF135" s="44">
        <v>0</v>
      </c>
      <c r="AG135" s="43">
        <v>160000000</v>
      </c>
      <c r="AH135" s="44">
        <v>0</v>
      </c>
      <c r="AI135" s="18">
        <f>AE135-AF135+AG135-AH135</f>
        <v>160000000</v>
      </c>
      <c r="AJ135" s="18">
        <f>AD135+AI135</f>
        <v>240000000</v>
      </c>
      <c r="AK135" s="44">
        <v>0</v>
      </c>
      <c r="AL135" s="43">
        <v>18170520</v>
      </c>
      <c r="AM135" s="114">
        <v>130507350</v>
      </c>
      <c r="AN135" s="44">
        <v>0</v>
      </c>
      <c r="AO135" s="114">
        <v>18170520</v>
      </c>
      <c r="AP135" s="114">
        <v>130507350</v>
      </c>
      <c r="AQ135" s="44">
        <v>0</v>
      </c>
      <c r="AR135" s="115">
        <v>22713150</v>
      </c>
      <c r="AS135" s="114">
        <v>130507350</v>
      </c>
      <c r="AT135" s="39">
        <f t="shared" si="72"/>
        <v>130507350</v>
      </c>
      <c r="AU135" s="18">
        <f t="shared" si="75"/>
        <v>109492650</v>
      </c>
      <c r="AV135" s="34">
        <f t="shared" si="76"/>
        <v>0</v>
      </c>
      <c r="AW135" s="34">
        <f t="shared" si="77"/>
        <v>0</v>
      </c>
      <c r="AX135" s="32">
        <f t="shared" si="66"/>
        <v>0.54378062500000002</v>
      </c>
    </row>
    <row r="136" spans="1:50" ht="18.75" customHeight="1" x14ac:dyDescent="0.2">
      <c r="A136" s="4" t="s">
        <v>55</v>
      </c>
      <c r="B136" s="4" t="s">
        <v>56</v>
      </c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1" t="s">
        <v>896</v>
      </c>
      <c r="AB136" s="42" t="s">
        <v>243</v>
      </c>
      <c r="AC136" s="43" t="s">
        <v>58</v>
      </c>
      <c r="AD136" s="44">
        <v>0</v>
      </c>
      <c r="AE136" s="44">
        <v>0</v>
      </c>
      <c r="AF136" s="44">
        <v>0</v>
      </c>
      <c r="AG136" s="44">
        <v>0</v>
      </c>
      <c r="AH136" s="44">
        <v>0</v>
      </c>
      <c r="AI136" s="44">
        <v>0</v>
      </c>
      <c r="AJ136" s="44">
        <v>0</v>
      </c>
      <c r="AK136" s="44">
        <v>0</v>
      </c>
      <c r="AL136" s="43">
        <v>0</v>
      </c>
      <c r="AM136" s="44">
        <v>0</v>
      </c>
      <c r="AN136" s="44">
        <v>0</v>
      </c>
      <c r="AO136" s="44">
        <v>0</v>
      </c>
      <c r="AP136" s="44">
        <v>0</v>
      </c>
      <c r="AQ136" s="44">
        <v>0</v>
      </c>
      <c r="AR136" s="44">
        <v>0</v>
      </c>
      <c r="AS136" s="44">
        <v>0</v>
      </c>
      <c r="AT136" s="40">
        <f t="shared" si="72"/>
        <v>0</v>
      </c>
      <c r="AU136" s="34">
        <f t="shared" si="75"/>
        <v>0</v>
      </c>
      <c r="AV136" s="34">
        <f t="shared" si="76"/>
        <v>0</v>
      </c>
      <c r="AW136" s="34">
        <f t="shared" si="77"/>
        <v>0</v>
      </c>
      <c r="AX136" s="32">
        <v>0</v>
      </c>
    </row>
    <row r="137" spans="1:50" ht="18.75" customHeight="1" x14ac:dyDescent="0.2">
      <c r="A137" s="4" t="s">
        <v>55</v>
      </c>
      <c r="B137" s="4" t="s">
        <v>56</v>
      </c>
      <c r="C137" s="4"/>
      <c r="D137" s="4" t="s">
        <v>40</v>
      </c>
      <c r="E137" s="4"/>
      <c r="F137" s="4"/>
      <c r="G137" s="4" t="s">
        <v>41</v>
      </c>
      <c r="H137" s="4"/>
      <c r="I137" s="4" t="s">
        <v>936</v>
      </c>
      <c r="J137" s="4"/>
      <c r="K137" s="4" t="s">
        <v>932</v>
      </c>
      <c r="L137" s="4"/>
      <c r="M137" s="4" t="s">
        <v>933</v>
      </c>
      <c r="N137" s="4"/>
      <c r="O137" s="4" t="s">
        <v>938</v>
      </c>
      <c r="P137" s="4"/>
      <c r="Q137" s="4" t="s">
        <v>939</v>
      </c>
      <c r="R137" s="4"/>
      <c r="S137" s="4" t="s">
        <v>940</v>
      </c>
      <c r="T137" s="4">
        <v>0</v>
      </c>
      <c r="U137" s="4">
        <v>0</v>
      </c>
      <c r="V137" s="4">
        <v>0</v>
      </c>
      <c r="W137" s="4">
        <v>0</v>
      </c>
      <c r="X137" s="4" t="s">
        <v>937</v>
      </c>
      <c r="Y137" s="4"/>
      <c r="Z137" s="4"/>
      <c r="AA137" s="41" t="s">
        <v>897</v>
      </c>
      <c r="AB137" s="42" t="s">
        <v>244</v>
      </c>
      <c r="AC137" s="43" t="s">
        <v>58</v>
      </c>
      <c r="AD137" s="43">
        <v>10000000</v>
      </c>
      <c r="AE137" s="44">
        <v>0</v>
      </c>
      <c r="AF137" s="44">
        <v>0</v>
      </c>
      <c r="AG137" s="43">
        <v>24000000</v>
      </c>
      <c r="AH137" s="44">
        <v>0</v>
      </c>
      <c r="AI137" s="18">
        <f>AE137-AF137+AG137-AH137</f>
        <v>24000000</v>
      </c>
      <c r="AJ137" s="18">
        <f>AD137+AI137</f>
        <v>34000000</v>
      </c>
      <c r="AK137" s="44">
        <v>0</v>
      </c>
      <c r="AL137" s="43">
        <v>0</v>
      </c>
      <c r="AM137" s="43">
        <v>11657223</v>
      </c>
      <c r="AN137" s="44">
        <v>0</v>
      </c>
      <c r="AO137" s="44">
        <v>0</v>
      </c>
      <c r="AP137" s="43">
        <v>11657223</v>
      </c>
      <c r="AQ137" s="44">
        <v>0</v>
      </c>
      <c r="AR137" s="44">
        <v>0</v>
      </c>
      <c r="AS137" s="43">
        <v>11657223</v>
      </c>
      <c r="AT137" s="39">
        <f t="shared" si="72"/>
        <v>11657223</v>
      </c>
      <c r="AU137" s="18">
        <f t="shared" si="75"/>
        <v>22342777</v>
      </c>
      <c r="AV137" s="34">
        <f t="shared" si="76"/>
        <v>0</v>
      </c>
      <c r="AW137" s="34">
        <f t="shared" si="77"/>
        <v>0</v>
      </c>
      <c r="AX137" s="32">
        <f t="shared" ref="AX137:AX143" si="80">AP137/AJ137</f>
        <v>0.34285949999999998</v>
      </c>
    </row>
    <row r="138" spans="1:50" ht="18.75" customHeight="1" x14ac:dyDescent="0.2">
      <c r="A138" s="4" t="s">
        <v>55</v>
      </c>
      <c r="B138" s="4" t="s">
        <v>56</v>
      </c>
      <c r="C138" s="4"/>
      <c r="D138" s="4" t="s">
        <v>40</v>
      </c>
      <c r="E138" s="4"/>
      <c r="F138" s="4"/>
      <c r="G138" s="4" t="s">
        <v>41</v>
      </c>
      <c r="H138" s="4"/>
      <c r="I138" s="4" t="s">
        <v>936</v>
      </c>
      <c r="J138" s="4"/>
      <c r="K138" s="4" t="s">
        <v>932</v>
      </c>
      <c r="L138" s="4"/>
      <c r="M138" s="4" t="s">
        <v>933</v>
      </c>
      <c r="N138" s="4"/>
      <c r="O138" s="4" t="s">
        <v>938</v>
      </c>
      <c r="P138" s="4"/>
      <c r="Q138" s="4" t="s">
        <v>942</v>
      </c>
      <c r="R138" s="4"/>
      <c r="S138" s="4" t="s">
        <v>940</v>
      </c>
      <c r="T138" s="4">
        <v>0</v>
      </c>
      <c r="U138" s="4">
        <v>0</v>
      </c>
      <c r="V138" s="4">
        <v>0</v>
      </c>
      <c r="W138" s="4">
        <v>0</v>
      </c>
      <c r="X138" s="4" t="s">
        <v>937</v>
      </c>
      <c r="Y138" s="4"/>
      <c r="Z138" s="4"/>
      <c r="AA138" s="41" t="s">
        <v>898</v>
      </c>
      <c r="AB138" s="42" t="s">
        <v>245</v>
      </c>
      <c r="AC138" s="43" t="s">
        <v>58</v>
      </c>
      <c r="AD138" s="43">
        <v>266000000</v>
      </c>
      <c r="AE138" s="44">
        <v>0</v>
      </c>
      <c r="AF138" s="44">
        <v>0</v>
      </c>
      <c r="AG138" s="44">
        <v>0</v>
      </c>
      <c r="AH138" s="44">
        <v>0</v>
      </c>
      <c r="AI138" s="44">
        <v>0</v>
      </c>
      <c r="AJ138" s="43">
        <v>266000000</v>
      </c>
      <c r="AK138" s="44">
        <v>0</v>
      </c>
      <c r="AL138" s="43">
        <v>3287359</v>
      </c>
      <c r="AM138" s="43">
        <v>184664476</v>
      </c>
      <c r="AN138" s="44">
        <v>0</v>
      </c>
      <c r="AO138" s="43">
        <v>3287359</v>
      </c>
      <c r="AP138" s="43">
        <v>184663794</v>
      </c>
      <c r="AQ138" s="44">
        <v>0</v>
      </c>
      <c r="AR138" s="43">
        <v>0</v>
      </c>
      <c r="AS138" s="114">
        <v>163592233</v>
      </c>
      <c r="AT138" s="39">
        <f t="shared" si="72"/>
        <v>163592233</v>
      </c>
      <c r="AU138" s="18">
        <f t="shared" si="75"/>
        <v>81335524</v>
      </c>
      <c r="AV138" s="34">
        <f t="shared" si="76"/>
        <v>682</v>
      </c>
      <c r="AW138" s="18">
        <f t="shared" si="77"/>
        <v>21071561</v>
      </c>
      <c r="AX138" s="32">
        <f t="shared" si="80"/>
        <v>0.69422478947368416</v>
      </c>
    </row>
    <row r="139" spans="1:50" s="25" customFormat="1" ht="18.75" customHeight="1" x14ac:dyDescent="0.2">
      <c r="A139" s="19" t="s">
        <v>55</v>
      </c>
      <c r="B139" s="19" t="s">
        <v>56</v>
      </c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26" t="s">
        <v>899</v>
      </c>
      <c r="AB139" s="21" t="s">
        <v>246</v>
      </c>
      <c r="AC139" s="22" t="s">
        <v>37</v>
      </c>
      <c r="AD139" s="22">
        <f>AD140</f>
        <v>100000000</v>
      </c>
      <c r="AE139" s="23">
        <f t="shared" ref="AE139:AW139" si="81">AE140</f>
        <v>0</v>
      </c>
      <c r="AF139" s="23">
        <f t="shared" si="81"/>
        <v>0</v>
      </c>
      <c r="AG139" s="23">
        <f t="shared" si="81"/>
        <v>0</v>
      </c>
      <c r="AH139" s="23">
        <f t="shared" si="81"/>
        <v>0</v>
      </c>
      <c r="AI139" s="23">
        <f t="shared" si="81"/>
        <v>0</v>
      </c>
      <c r="AJ139" s="22">
        <f t="shared" si="81"/>
        <v>100000000</v>
      </c>
      <c r="AK139" s="23">
        <f t="shared" si="81"/>
        <v>0</v>
      </c>
      <c r="AL139" s="22">
        <f t="shared" si="81"/>
        <v>5055177.84</v>
      </c>
      <c r="AM139" s="22">
        <f t="shared" si="81"/>
        <v>57596046.119999997</v>
      </c>
      <c r="AN139" s="23">
        <f t="shared" si="81"/>
        <v>0</v>
      </c>
      <c r="AO139" s="22">
        <f t="shared" si="81"/>
        <v>8355177.8399999999</v>
      </c>
      <c r="AP139" s="22">
        <f t="shared" si="81"/>
        <v>56696046.119999997</v>
      </c>
      <c r="AQ139" s="23">
        <f t="shared" si="81"/>
        <v>0</v>
      </c>
      <c r="AR139" s="22">
        <f t="shared" si="81"/>
        <v>9105503.7799999993</v>
      </c>
      <c r="AS139" s="22">
        <f t="shared" si="81"/>
        <v>55477200.890000001</v>
      </c>
      <c r="AT139" s="22">
        <f>AQ139+AS139</f>
        <v>55477200.890000001</v>
      </c>
      <c r="AU139" s="22">
        <f t="shared" si="81"/>
        <v>42403953.880000003</v>
      </c>
      <c r="AV139" s="22">
        <f t="shared" si="81"/>
        <v>900000</v>
      </c>
      <c r="AW139" s="22">
        <f t="shared" si="81"/>
        <v>1218845.2299999967</v>
      </c>
      <c r="AX139" s="24">
        <f t="shared" si="80"/>
        <v>0.56696046119999999</v>
      </c>
    </row>
    <row r="140" spans="1:50" ht="18.75" customHeight="1" x14ac:dyDescent="0.2">
      <c r="A140" s="27" t="s">
        <v>55</v>
      </c>
      <c r="B140" s="27" t="s">
        <v>56</v>
      </c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8" t="s">
        <v>900</v>
      </c>
      <c r="AB140" s="29" t="s">
        <v>247</v>
      </c>
      <c r="AC140" s="30" t="s">
        <v>37</v>
      </c>
      <c r="AD140" s="30">
        <f>AD141+AD142</f>
        <v>100000000</v>
      </c>
      <c r="AE140" s="31">
        <f t="shared" ref="AE140:AS140" si="82">AE141+AE142</f>
        <v>0</v>
      </c>
      <c r="AF140" s="31">
        <f t="shared" si="82"/>
        <v>0</v>
      </c>
      <c r="AG140" s="31">
        <f t="shared" si="82"/>
        <v>0</v>
      </c>
      <c r="AH140" s="31">
        <f t="shared" si="82"/>
        <v>0</v>
      </c>
      <c r="AI140" s="31">
        <f t="shared" si="82"/>
        <v>0</v>
      </c>
      <c r="AJ140" s="30">
        <f t="shared" si="82"/>
        <v>100000000</v>
      </c>
      <c r="AK140" s="31">
        <f t="shared" si="82"/>
        <v>0</v>
      </c>
      <c r="AL140" s="30">
        <f t="shared" si="82"/>
        <v>5055177.84</v>
      </c>
      <c r="AM140" s="30">
        <f t="shared" si="82"/>
        <v>57596046.119999997</v>
      </c>
      <c r="AN140" s="31">
        <f t="shared" si="82"/>
        <v>0</v>
      </c>
      <c r="AO140" s="30">
        <f t="shared" si="82"/>
        <v>8355177.8399999999</v>
      </c>
      <c r="AP140" s="30">
        <f t="shared" si="82"/>
        <v>56696046.119999997</v>
      </c>
      <c r="AQ140" s="31">
        <f t="shared" si="82"/>
        <v>0</v>
      </c>
      <c r="AR140" s="30">
        <f t="shared" si="82"/>
        <v>9105503.7799999993</v>
      </c>
      <c r="AS140" s="30">
        <f t="shared" si="82"/>
        <v>55477200.890000001</v>
      </c>
      <c r="AT140" s="30">
        <f t="shared" ref="AT140:AT142" si="83">AQ140+AS140</f>
        <v>55477200.890000001</v>
      </c>
      <c r="AU140" s="18">
        <f>AJ140-AM140</f>
        <v>42403953.880000003</v>
      </c>
      <c r="AV140" s="110">
        <f>AM140-AP140</f>
        <v>900000</v>
      </c>
      <c r="AW140" s="18">
        <f>AP140-AT140</f>
        <v>1218845.2299999967</v>
      </c>
      <c r="AX140" s="32">
        <f t="shared" si="80"/>
        <v>0.56696046119999999</v>
      </c>
    </row>
    <row r="141" spans="1:50" ht="18.75" customHeight="1" x14ac:dyDescent="0.2">
      <c r="A141" s="4" t="s">
        <v>55</v>
      </c>
      <c r="B141" s="4" t="s">
        <v>56</v>
      </c>
      <c r="C141" s="4"/>
      <c r="D141" s="4" t="s">
        <v>40</v>
      </c>
      <c r="E141" s="4"/>
      <c r="F141" s="4"/>
      <c r="G141" s="4" t="s">
        <v>41</v>
      </c>
      <c r="H141" s="4"/>
      <c r="I141" s="4" t="s">
        <v>936</v>
      </c>
      <c r="J141" s="4"/>
      <c r="K141" s="4" t="s">
        <v>932</v>
      </c>
      <c r="L141" s="4"/>
      <c r="M141" s="4" t="s">
        <v>933</v>
      </c>
      <c r="N141" s="4"/>
      <c r="O141" s="4" t="s">
        <v>938</v>
      </c>
      <c r="P141" s="4"/>
      <c r="Q141" s="4" t="s">
        <v>942</v>
      </c>
      <c r="R141" s="4"/>
      <c r="S141" s="4" t="s">
        <v>940</v>
      </c>
      <c r="T141" s="4">
        <v>0</v>
      </c>
      <c r="U141" s="4">
        <v>0</v>
      </c>
      <c r="V141" s="4">
        <v>0</v>
      </c>
      <c r="W141" s="4">
        <v>0</v>
      </c>
      <c r="X141" s="4" t="s">
        <v>937</v>
      </c>
      <c r="Y141" s="4"/>
      <c r="Z141" s="4"/>
      <c r="AA141" s="41" t="s">
        <v>901</v>
      </c>
      <c r="AB141" s="42" t="s">
        <v>248</v>
      </c>
      <c r="AC141" s="43" t="s">
        <v>58</v>
      </c>
      <c r="AD141" s="43">
        <v>70000000</v>
      </c>
      <c r="AE141" s="44">
        <v>0</v>
      </c>
      <c r="AF141" s="44">
        <v>0</v>
      </c>
      <c r="AG141" s="44">
        <v>0</v>
      </c>
      <c r="AH141" s="44">
        <v>0</v>
      </c>
      <c r="AI141" s="44">
        <v>0</v>
      </c>
      <c r="AJ141" s="43">
        <v>70000000</v>
      </c>
      <c r="AK141" s="44">
        <v>0</v>
      </c>
      <c r="AL141" s="43">
        <v>5055177.84</v>
      </c>
      <c r="AM141" s="43">
        <v>57596046.119999997</v>
      </c>
      <c r="AN141" s="44">
        <v>0</v>
      </c>
      <c r="AO141" s="43">
        <v>8355177.8399999999</v>
      </c>
      <c r="AP141" s="43">
        <v>56696046.119999997</v>
      </c>
      <c r="AQ141" s="44">
        <v>0</v>
      </c>
      <c r="AR141" s="43">
        <v>9105503.7799999993</v>
      </c>
      <c r="AS141" s="43">
        <v>55477200.890000001</v>
      </c>
      <c r="AT141" s="30">
        <f t="shared" si="83"/>
        <v>55477200.890000001</v>
      </c>
      <c r="AU141" s="18">
        <f>AJ141-AM141</f>
        <v>12403953.880000003</v>
      </c>
      <c r="AV141" s="110">
        <f>AM141-AP141</f>
        <v>900000</v>
      </c>
      <c r="AW141" s="18">
        <f>AP141-AT141</f>
        <v>1218845.2299999967</v>
      </c>
      <c r="AX141" s="32">
        <f t="shared" si="80"/>
        <v>0.80994351599999992</v>
      </c>
    </row>
    <row r="142" spans="1:50" ht="18.75" customHeight="1" x14ac:dyDescent="0.2">
      <c r="A142" s="4" t="s">
        <v>55</v>
      </c>
      <c r="B142" s="4" t="s">
        <v>56</v>
      </c>
      <c r="C142" s="4"/>
      <c r="D142" s="4" t="s">
        <v>40</v>
      </c>
      <c r="E142" s="4"/>
      <c r="F142" s="4"/>
      <c r="G142" s="4" t="s">
        <v>41</v>
      </c>
      <c r="H142" s="4"/>
      <c r="I142" s="4" t="s">
        <v>936</v>
      </c>
      <c r="J142" s="4"/>
      <c r="K142" s="4" t="s">
        <v>932</v>
      </c>
      <c r="L142" s="4"/>
      <c r="M142" s="4" t="s">
        <v>933</v>
      </c>
      <c r="N142" s="4"/>
      <c r="O142" s="4" t="s">
        <v>938</v>
      </c>
      <c r="P142" s="4"/>
      <c r="Q142" s="4" t="s">
        <v>942</v>
      </c>
      <c r="R142" s="4"/>
      <c r="S142" s="4" t="s">
        <v>940</v>
      </c>
      <c r="T142" s="4">
        <v>0</v>
      </c>
      <c r="U142" s="4">
        <v>0</v>
      </c>
      <c r="V142" s="4">
        <v>0</v>
      </c>
      <c r="W142" s="4">
        <v>0</v>
      </c>
      <c r="X142" s="4" t="s">
        <v>937</v>
      </c>
      <c r="Y142" s="4"/>
      <c r="Z142" s="4"/>
      <c r="AA142" s="41" t="s">
        <v>902</v>
      </c>
      <c r="AB142" s="42" t="s">
        <v>249</v>
      </c>
      <c r="AC142" s="43" t="s">
        <v>58</v>
      </c>
      <c r="AD142" s="43">
        <v>30000000</v>
      </c>
      <c r="AE142" s="44">
        <v>0</v>
      </c>
      <c r="AF142" s="44">
        <v>0</v>
      </c>
      <c r="AG142" s="44">
        <v>0</v>
      </c>
      <c r="AH142" s="44">
        <v>0</v>
      </c>
      <c r="AI142" s="44">
        <v>0</v>
      </c>
      <c r="AJ142" s="43">
        <v>30000000</v>
      </c>
      <c r="AK142" s="44">
        <v>0</v>
      </c>
      <c r="AL142" s="44">
        <v>0</v>
      </c>
      <c r="AM142" s="44">
        <v>0</v>
      </c>
      <c r="AN142" s="44">
        <v>0</v>
      </c>
      <c r="AO142" s="44">
        <v>0</v>
      </c>
      <c r="AP142" s="44">
        <v>0</v>
      </c>
      <c r="AQ142" s="44">
        <v>0</v>
      </c>
      <c r="AR142" s="44">
        <v>0</v>
      </c>
      <c r="AS142" s="44">
        <v>0</v>
      </c>
      <c r="AT142" s="31">
        <f t="shared" si="83"/>
        <v>0</v>
      </c>
      <c r="AU142" s="18">
        <f>AJ142-AM142</f>
        <v>30000000</v>
      </c>
      <c r="AV142" s="34">
        <f>AM142-AP142</f>
        <v>0</v>
      </c>
      <c r="AW142" s="34">
        <f>AP142-AT142</f>
        <v>0</v>
      </c>
      <c r="AX142" s="32">
        <f t="shared" si="80"/>
        <v>0</v>
      </c>
    </row>
    <row r="143" spans="1:50" s="201" customFormat="1" ht="18.75" customHeight="1" x14ac:dyDescent="0.2">
      <c r="A143" s="199"/>
      <c r="B143" s="199"/>
      <c r="C143" s="199"/>
      <c r="D143" s="199"/>
      <c r="E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293" t="s">
        <v>996</v>
      </c>
      <c r="AB143" s="294" t="s">
        <v>997</v>
      </c>
      <c r="AC143" s="295"/>
      <c r="AD143" s="49">
        <f>AD148</f>
        <v>0</v>
      </c>
      <c r="AE143" s="48">
        <f>AE148+AE147</f>
        <v>265813663</v>
      </c>
      <c r="AF143" s="48">
        <f t="shared" ref="AF143:AW143" si="84">AF148+AF147</f>
        <v>0</v>
      </c>
      <c r="AG143" s="48">
        <f t="shared" si="84"/>
        <v>365556246.72000003</v>
      </c>
      <c r="AH143" s="48">
        <f t="shared" si="84"/>
        <v>0</v>
      </c>
      <c r="AI143" s="48">
        <f t="shared" si="84"/>
        <v>631369909.72000003</v>
      </c>
      <c r="AJ143" s="48">
        <f t="shared" si="84"/>
        <v>631369909.72000003</v>
      </c>
      <c r="AK143" s="48">
        <f t="shared" si="84"/>
        <v>0</v>
      </c>
      <c r="AL143" s="48">
        <f t="shared" si="84"/>
        <v>58477107</v>
      </c>
      <c r="AM143" s="48">
        <f t="shared" si="84"/>
        <v>317717437</v>
      </c>
      <c r="AN143" s="48">
        <f t="shared" si="84"/>
        <v>0</v>
      </c>
      <c r="AO143" s="48">
        <f t="shared" si="84"/>
        <v>58477107</v>
      </c>
      <c r="AP143" s="48">
        <f t="shared" si="84"/>
        <v>317717437</v>
      </c>
      <c r="AQ143" s="48">
        <f t="shared" si="84"/>
        <v>0</v>
      </c>
      <c r="AR143" s="48">
        <f t="shared" si="84"/>
        <v>0</v>
      </c>
      <c r="AS143" s="48">
        <f t="shared" si="84"/>
        <v>259240330</v>
      </c>
      <c r="AT143" s="48">
        <f t="shared" si="84"/>
        <v>259240330</v>
      </c>
      <c r="AU143" s="48">
        <f t="shared" si="84"/>
        <v>313652472.72000003</v>
      </c>
      <c r="AV143" s="48">
        <f t="shared" si="84"/>
        <v>0</v>
      </c>
      <c r="AW143" s="48">
        <f t="shared" si="84"/>
        <v>58477107</v>
      </c>
      <c r="AX143" s="24">
        <f t="shared" si="80"/>
        <v>0.50321916218798157</v>
      </c>
    </row>
    <row r="144" spans="1:50" ht="18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166" t="s">
        <v>998</v>
      </c>
      <c r="AB144" s="167" t="s">
        <v>999</v>
      </c>
      <c r="AC144" s="168"/>
      <c r="AD144" s="44"/>
      <c r="AE144" s="44"/>
      <c r="AF144" s="44"/>
      <c r="AG144" s="44"/>
      <c r="AH144" s="44"/>
      <c r="AI144" s="44"/>
      <c r="AJ144" s="43"/>
      <c r="AK144" s="44"/>
      <c r="AL144" s="44"/>
      <c r="AM144" s="44"/>
      <c r="AN144" s="44"/>
      <c r="AO144" s="43"/>
      <c r="AP144" s="43"/>
      <c r="AQ144" s="44"/>
      <c r="AR144" s="44"/>
      <c r="AS144" s="44"/>
      <c r="AT144" s="31"/>
      <c r="AU144" s="18"/>
      <c r="AV144" s="34"/>
      <c r="AW144" s="18"/>
      <c r="AX144" s="32"/>
    </row>
    <row r="145" spans="1:50" ht="18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166" t="s">
        <v>1000</v>
      </c>
      <c r="AB145" s="167" t="s">
        <v>1001</v>
      </c>
      <c r="AC145" s="168"/>
      <c r="AD145" s="44"/>
      <c r="AE145" s="44"/>
      <c r="AF145" s="44"/>
      <c r="AG145" s="44"/>
      <c r="AH145" s="44"/>
      <c r="AI145" s="44"/>
      <c r="AJ145" s="43"/>
      <c r="AK145" s="44"/>
      <c r="AL145" s="44"/>
      <c r="AM145" s="44"/>
      <c r="AN145" s="44"/>
      <c r="AO145" s="43"/>
      <c r="AP145" s="43"/>
      <c r="AQ145" s="44"/>
      <c r="AR145" s="44"/>
      <c r="AS145" s="44"/>
      <c r="AT145" s="31"/>
      <c r="AU145" s="18"/>
      <c r="AV145" s="34"/>
      <c r="AW145" s="18"/>
      <c r="AX145" s="32"/>
    </row>
    <row r="146" spans="1:50" ht="18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166" t="s">
        <v>1002</v>
      </c>
      <c r="AB146" s="167" t="s">
        <v>1003</v>
      </c>
      <c r="AC146" s="168"/>
      <c r="AD146" s="44"/>
      <c r="AE146" s="44"/>
      <c r="AF146" s="44"/>
      <c r="AG146" s="44"/>
      <c r="AH146" s="44"/>
      <c r="AI146" s="44"/>
      <c r="AJ146" s="43"/>
      <c r="AK146" s="44"/>
      <c r="AL146" s="44"/>
      <c r="AM146" s="44"/>
      <c r="AN146" s="44"/>
      <c r="AO146" s="43"/>
      <c r="AP146" s="43"/>
      <c r="AQ146" s="44"/>
      <c r="AR146" s="44"/>
      <c r="AS146" s="44"/>
      <c r="AT146" s="31"/>
      <c r="AU146" s="18"/>
      <c r="AV146" s="34"/>
      <c r="AW146" s="18"/>
      <c r="AX146" s="32"/>
    </row>
    <row r="147" spans="1:50" ht="18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166" t="s">
        <v>1315</v>
      </c>
      <c r="AB147" s="167" t="s">
        <v>1316</v>
      </c>
      <c r="AC147" s="161"/>
      <c r="AD147" s="18">
        <v>0</v>
      </c>
      <c r="AE147" s="34">
        <v>0</v>
      </c>
      <c r="AF147" s="34">
        <v>0</v>
      </c>
      <c r="AG147" s="18">
        <v>365556246.72000003</v>
      </c>
      <c r="AH147" s="44"/>
      <c r="AI147" s="18">
        <f>AE147-AF147+AG147-AH147</f>
        <v>365556246.72000003</v>
      </c>
      <c r="AJ147" s="18">
        <f>AD147+AI147</f>
        <v>365556246.72000003</v>
      </c>
      <c r="AK147" s="44">
        <v>0</v>
      </c>
      <c r="AL147" s="43">
        <v>58477107</v>
      </c>
      <c r="AM147" s="43">
        <v>58477107</v>
      </c>
      <c r="AN147" s="44">
        <v>0</v>
      </c>
      <c r="AO147" s="43">
        <v>58477107</v>
      </c>
      <c r="AP147" s="43">
        <v>58477107</v>
      </c>
      <c r="AQ147" s="44">
        <v>0</v>
      </c>
      <c r="AR147" s="44">
        <v>0</v>
      </c>
      <c r="AS147" s="44">
        <v>0</v>
      </c>
      <c r="AT147" s="30">
        <f t="shared" ref="AT147" si="85">AQ147+AS147</f>
        <v>0</v>
      </c>
      <c r="AU147" s="18">
        <f>AJ147-AM147</f>
        <v>307079139.72000003</v>
      </c>
      <c r="AV147" s="34">
        <f>AM147-AP147</f>
        <v>0</v>
      </c>
      <c r="AW147" s="18">
        <f>AP147-AT147</f>
        <v>58477107</v>
      </c>
      <c r="AX147" s="32">
        <f t="shared" ref="AX147:AX152" si="86">AP147/AJ147</f>
        <v>0.15996746745457993</v>
      </c>
    </row>
    <row r="148" spans="1:50" ht="18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166" t="s">
        <v>1004</v>
      </c>
      <c r="AB148" s="167" t="s">
        <v>1005</v>
      </c>
      <c r="AC148" s="168"/>
      <c r="AD148" s="44">
        <v>0</v>
      </c>
      <c r="AE148" s="43">
        <v>265813663</v>
      </c>
      <c r="AF148" s="44">
        <v>0</v>
      </c>
      <c r="AG148" s="44">
        <v>0</v>
      </c>
      <c r="AH148" s="44">
        <v>0</v>
      </c>
      <c r="AI148" s="18">
        <f>AE148-AF148+AG148-AH148</f>
        <v>265813663</v>
      </c>
      <c r="AJ148" s="18">
        <f>AD148+AI148</f>
        <v>265813663</v>
      </c>
      <c r="AK148" s="44">
        <v>0</v>
      </c>
      <c r="AL148" s="43">
        <v>0</v>
      </c>
      <c r="AM148" s="43">
        <v>259240330</v>
      </c>
      <c r="AN148" s="44">
        <v>0</v>
      </c>
      <c r="AO148" s="43">
        <v>0</v>
      </c>
      <c r="AP148" s="43">
        <v>259240330</v>
      </c>
      <c r="AQ148" s="44">
        <v>0</v>
      </c>
      <c r="AR148" s="44">
        <v>0</v>
      </c>
      <c r="AS148" s="44">
        <v>259240330</v>
      </c>
      <c r="AT148" s="30">
        <f t="shared" ref="AT148" si="87">AQ148+AS148</f>
        <v>259240330</v>
      </c>
      <c r="AU148" s="18">
        <f>AJ148-AM148</f>
        <v>6573333</v>
      </c>
      <c r="AV148" s="34">
        <f>AM148-AP148</f>
        <v>0</v>
      </c>
      <c r="AW148" s="18">
        <f>AP148-AT148</f>
        <v>0</v>
      </c>
      <c r="AX148" s="32">
        <f t="shared" si="86"/>
        <v>0.97527089869718242</v>
      </c>
    </row>
    <row r="149" spans="1:50" s="25" customFormat="1" ht="27.75" customHeight="1" x14ac:dyDescent="0.2">
      <c r="A149" s="19" t="s">
        <v>55</v>
      </c>
      <c r="B149" s="19" t="s">
        <v>56</v>
      </c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7" t="s">
        <v>903</v>
      </c>
      <c r="AB149" s="198" t="s">
        <v>250</v>
      </c>
      <c r="AC149" s="22" t="s">
        <v>37</v>
      </c>
      <c r="AD149" s="22">
        <f>AD150+AD154+AD159+AD152</f>
        <v>4677993416.5</v>
      </c>
      <c r="AE149" s="23">
        <f t="shared" ref="AE149:AK149" si="88">AE150+AE154+AE159+AE152</f>
        <v>0</v>
      </c>
      <c r="AF149" s="23">
        <f t="shared" si="88"/>
        <v>0</v>
      </c>
      <c r="AG149" s="22">
        <f>AG150+AG154+AG159+AG152+AG153</f>
        <v>62000000</v>
      </c>
      <c r="AH149" s="22">
        <f t="shared" ref="AH149:AJ149" si="89">AH150+AH154+AH159+AH152+AH153</f>
        <v>0</v>
      </c>
      <c r="AI149" s="22">
        <f t="shared" si="89"/>
        <v>62000000</v>
      </c>
      <c r="AJ149" s="22">
        <f t="shared" si="89"/>
        <v>4739993416.5</v>
      </c>
      <c r="AK149" s="23">
        <f t="shared" si="88"/>
        <v>0</v>
      </c>
      <c r="AL149" s="22">
        <f>AL150+AL154+AL159+AL152+AL153</f>
        <v>18635286</v>
      </c>
      <c r="AM149" s="22">
        <f t="shared" ref="AM149:AW149" si="90">AM150+AM154+AM159+AM152+AM153</f>
        <v>4571523400.5</v>
      </c>
      <c r="AN149" s="22">
        <f t="shared" si="90"/>
        <v>0</v>
      </c>
      <c r="AO149" s="22">
        <f t="shared" si="90"/>
        <v>18635286</v>
      </c>
      <c r="AP149" s="22">
        <f t="shared" si="90"/>
        <v>4568343549.5</v>
      </c>
      <c r="AQ149" s="23">
        <f t="shared" si="90"/>
        <v>0</v>
      </c>
      <c r="AR149" s="22">
        <f t="shared" si="90"/>
        <v>18635286</v>
      </c>
      <c r="AS149" s="22">
        <f t="shared" si="90"/>
        <v>4568293249.5</v>
      </c>
      <c r="AT149" s="22">
        <f t="shared" si="90"/>
        <v>4568293249.5</v>
      </c>
      <c r="AU149" s="22">
        <f t="shared" si="90"/>
        <v>168470016</v>
      </c>
      <c r="AV149" s="22">
        <f t="shared" si="90"/>
        <v>3179851</v>
      </c>
      <c r="AW149" s="22">
        <f t="shared" si="90"/>
        <v>50300</v>
      </c>
      <c r="AX149" s="24">
        <f t="shared" si="86"/>
        <v>0.96378689759304648</v>
      </c>
    </row>
    <row r="150" spans="1:50" ht="18.75" customHeight="1" x14ac:dyDescent="0.2">
      <c r="A150" s="27" t="s">
        <v>55</v>
      </c>
      <c r="B150" s="27" t="s">
        <v>56</v>
      </c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8" t="s">
        <v>904</v>
      </c>
      <c r="AB150" s="29" t="s">
        <v>251</v>
      </c>
      <c r="AC150" s="30" t="s">
        <v>37</v>
      </c>
      <c r="AD150" s="30">
        <f>AD151</f>
        <v>50000000</v>
      </c>
      <c r="AE150" s="31">
        <f t="shared" ref="AE150:AW150" si="91">AE151</f>
        <v>0</v>
      </c>
      <c r="AF150" s="31">
        <f t="shared" si="91"/>
        <v>0</v>
      </c>
      <c r="AG150" s="31">
        <f t="shared" si="91"/>
        <v>0</v>
      </c>
      <c r="AH150" s="31">
        <f t="shared" si="91"/>
        <v>0</v>
      </c>
      <c r="AI150" s="31">
        <f t="shared" si="91"/>
        <v>0</v>
      </c>
      <c r="AJ150" s="30">
        <f>AJ151</f>
        <v>50000000</v>
      </c>
      <c r="AK150" s="31">
        <f t="shared" si="91"/>
        <v>0</v>
      </c>
      <c r="AL150" s="31">
        <f t="shared" si="91"/>
        <v>0</v>
      </c>
      <c r="AM150" s="31">
        <f t="shared" si="91"/>
        <v>0</v>
      </c>
      <c r="AN150" s="31">
        <f t="shared" si="91"/>
        <v>0</v>
      </c>
      <c r="AO150" s="31">
        <f t="shared" si="91"/>
        <v>0</v>
      </c>
      <c r="AP150" s="31">
        <f t="shared" si="91"/>
        <v>0</v>
      </c>
      <c r="AQ150" s="31">
        <f t="shared" si="91"/>
        <v>0</v>
      </c>
      <c r="AR150" s="31">
        <f t="shared" si="91"/>
        <v>0</v>
      </c>
      <c r="AS150" s="31">
        <f t="shared" si="91"/>
        <v>0</v>
      </c>
      <c r="AT150" s="40">
        <f t="shared" si="91"/>
        <v>0</v>
      </c>
      <c r="AU150" s="30">
        <f t="shared" si="91"/>
        <v>50000000</v>
      </c>
      <c r="AV150" s="31">
        <f t="shared" si="91"/>
        <v>0</v>
      </c>
      <c r="AW150" s="31">
        <f t="shared" si="91"/>
        <v>0</v>
      </c>
      <c r="AX150" s="32">
        <f t="shared" si="86"/>
        <v>0</v>
      </c>
    </row>
    <row r="151" spans="1:50" ht="18.75" customHeight="1" x14ac:dyDescent="0.2">
      <c r="A151" s="4" t="s">
        <v>55</v>
      </c>
      <c r="B151" s="4" t="s">
        <v>56</v>
      </c>
      <c r="C151" s="4"/>
      <c r="D151" s="4" t="s">
        <v>40</v>
      </c>
      <c r="E151" s="4"/>
      <c r="F151" s="4"/>
      <c r="G151" s="4" t="s">
        <v>41</v>
      </c>
      <c r="H151" s="4"/>
      <c r="I151" s="4" t="s">
        <v>936</v>
      </c>
      <c r="J151" s="4"/>
      <c r="K151" s="4" t="s">
        <v>932</v>
      </c>
      <c r="L151" s="4"/>
      <c r="M151" s="4" t="s">
        <v>933</v>
      </c>
      <c r="N151" s="4"/>
      <c r="O151" s="4" t="s">
        <v>938</v>
      </c>
      <c r="P151" s="4"/>
      <c r="Q151" s="4" t="s">
        <v>942</v>
      </c>
      <c r="R151" s="4"/>
      <c r="S151" s="4" t="s">
        <v>940</v>
      </c>
      <c r="T151" s="4">
        <v>0</v>
      </c>
      <c r="U151" s="4">
        <v>0</v>
      </c>
      <c r="V151" s="4">
        <v>0</v>
      </c>
      <c r="W151" s="4">
        <v>0</v>
      </c>
      <c r="X151" s="4" t="s">
        <v>937</v>
      </c>
      <c r="Y151" s="4"/>
      <c r="Z151" s="4"/>
      <c r="AA151" s="41" t="s">
        <v>905</v>
      </c>
      <c r="AB151" s="42" t="s">
        <v>252</v>
      </c>
      <c r="AC151" s="43" t="s">
        <v>58</v>
      </c>
      <c r="AD151" s="43">
        <v>50000000</v>
      </c>
      <c r="AE151" s="44">
        <v>0</v>
      </c>
      <c r="AF151" s="44">
        <v>0</v>
      </c>
      <c r="AG151" s="44">
        <v>0</v>
      </c>
      <c r="AH151" s="44">
        <v>0</v>
      </c>
      <c r="AI151" s="44">
        <v>0</v>
      </c>
      <c r="AJ151" s="43">
        <v>50000000</v>
      </c>
      <c r="AK151" s="44">
        <v>0</v>
      </c>
      <c r="AL151" s="44">
        <v>0</v>
      </c>
      <c r="AM151" s="44">
        <v>0</v>
      </c>
      <c r="AN151" s="44">
        <v>0</v>
      </c>
      <c r="AO151" s="44">
        <v>0</v>
      </c>
      <c r="AP151" s="44">
        <v>0</v>
      </c>
      <c r="AQ151" s="44">
        <v>0</v>
      </c>
      <c r="AR151" s="44">
        <v>0</v>
      </c>
      <c r="AS151" s="44">
        <v>0</v>
      </c>
      <c r="AT151" s="40">
        <f t="shared" ref="AT151:AT169" si="92">AQ151+AS151</f>
        <v>0</v>
      </c>
      <c r="AU151" s="18">
        <f t="shared" ref="AU151:AU162" si="93">AJ151-AM151</f>
        <v>50000000</v>
      </c>
      <c r="AV151" s="34">
        <f t="shared" ref="AV151:AV162" si="94">AM151-AP151</f>
        <v>0</v>
      </c>
      <c r="AW151" s="34">
        <f t="shared" ref="AW151:AW162" si="95">AP151-AT151</f>
        <v>0</v>
      </c>
      <c r="AX151" s="32">
        <f t="shared" si="86"/>
        <v>0</v>
      </c>
    </row>
    <row r="152" spans="1:50" ht="18.75" customHeight="1" x14ac:dyDescent="0.2">
      <c r="A152" s="4" t="s">
        <v>55</v>
      </c>
      <c r="B152" s="4" t="s">
        <v>56</v>
      </c>
      <c r="C152" s="4"/>
      <c r="D152" s="4" t="s">
        <v>40</v>
      </c>
      <c r="E152" s="4"/>
      <c r="F152" s="4"/>
      <c r="G152" s="4" t="s">
        <v>41</v>
      </c>
      <c r="H152" s="4"/>
      <c r="I152" s="4" t="s">
        <v>936</v>
      </c>
      <c r="J152" s="4"/>
      <c r="K152" s="4" t="s">
        <v>932</v>
      </c>
      <c r="L152" s="4"/>
      <c r="M152" s="4" t="s">
        <v>933</v>
      </c>
      <c r="N152" s="4"/>
      <c r="O152" s="4" t="s">
        <v>938</v>
      </c>
      <c r="P152" s="4"/>
      <c r="Q152" s="4" t="s">
        <v>942</v>
      </c>
      <c r="R152" s="4"/>
      <c r="S152" s="4" t="s">
        <v>940</v>
      </c>
      <c r="T152" s="4">
        <v>0</v>
      </c>
      <c r="U152" s="4">
        <v>0</v>
      </c>
      <c r="V152" s="4">
        <v>0</v>
      </c>
      <c r="W152" s="4">
        <v>0</v>
      </c>
      <c r="X152" s="4" t="s">
        <v>937</v>
      </c>
      <c r="Y152" s="4"/>
      <c r="Z152" s="4"/>
      <c r="AA152" s="41" t="s">
        <v>867</v>
      </c>
      <c r="AB152" s="42" t="s">
        <v>253</v>
      </c>
      <c r="AC152" s="43" t="s">
        <v>58</v>
      </c>
      <c r="AD152" s="43">
        <v>50000000</v>
      </c>
      <c r="AE152" s="44">
        <v>0</v>
      </c>
      <c r="AF152" s="44">
        <v>0</v>
      </c>
      <c r="AG152" s="44">
        <v>0</v>
      </c>
      <c r="AH152" s="44">
        <v>0</v>
      </c>
      <c r="AI152" s="44">
        <v>0</v>
      </c>
      <c r="AJ152" s="43">
        <v>50000000</v>
      </c>
      <c r="AK152" s="44">
        <v>0</v>
      </c>
      <c r="AL152" s="44">
        <v>0</v>
      </c>
      <c r="AM152" s="43">
        <v>662900</v>
      </c>
      <c r="AN152" s="115">
        <v>0</v>
      </c>
      <c r="AO152" s="44">
        <v>0</v>
      </c>
      <c r="AP152" s="43">
        <v>662890</v>
      </c>
      <c r="AQ152" s="44">
        <v>0</v>
      </c>
      <c r="AR152" s="44">
        <v>0</v>
      </c>
      <c r="AS152" s="43">
        <v>612590</v>
      </c>
      <c r="AT152" s="39">
        <f t="shared" si="92"/>
        <v>612590</v>
      </c>
      <c r="AU152" s="18">
        <f t="shared" si="93"/>
        <v>49337100</v>
      </c>
      <c r="AV152" s="110">
        <f t="shared" si="94"/>
        <v>10</v>
      </c>
      <c r="AW152" s="18">
        <f t="shared" si="95"/>
        <v>50300</v>
      </c>
      <c r="AX152" s="32">
        <f t="shared" si="86"/>
        <v>1.32578E-2</v>
      </c>
    </row>
    <row r="153" spans="1:50" ht="18.75" customHeight="1" x14ac:dyDescent="0.2">
      <c r="A153" s="4" t="s">
        <v>55</v>
      </c>
      <c r="B153" s="4" t="s">
        <v>56</v>
      </c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1" t="s">
        <v>866</v>
      </c>
      <c r="AB153" s="42" t="s">
        <v>254</v>
      </c>
      <c r="AC153" s="43" t="s">
        <v>58</v>
      </c>
      <c r="AD153" s="44">
        <v>0</v>
      </c>
      <c r="AE153" s="44">
        <v>0</v>
      </c>
      <c r="AF153" s="44">
        <v>0</v>
      </c>
      <c r="AG153" s="43">
        <f>10000000+12000000</f>
        <v>22000000</v>
      </c>
      <c r="AH153" s="44">
        <v>0</v>
      </c>
      <c r="AI153" s="18">
        <f>AE153-AF153+AG153-AH153</f>
        <v>22000000</v>
      </c>
      <c r="AJ153" s="18">
        <f>AD153+AI153</f>
        <v>22000000</v>
      </c>
      <c r="AK153" s="44">
        <v>0</v>
      </c>
      <c r="AL153" s="43">
        <v>244455</v>
      </c>
      <c r="AM153" s="43">
        <v>8717218</v>
      </c>
      <c r="AN153" s="44">
        <v>0</v>
      </c>
      <c r="AO153" s="44">
        <v>244455</v>
      </c>
      <c r="AP153" s="43">
        <v>5537377</v>
      </c>
      <c r="AQ153" s="44">
        <v>0</v>
      </c>
      <c r="AR153" s="44">
        <v>244455</v>
      </c>
      <c r="AS153" s="43">
        <v>5537377</v>
      </c>
      <c r="AT153" s="39">
        <f t="shared" si="92"/>
        <v>5537377</v>
      </c>
      <c r="AU153" s="18">
        <f t="shared" si="93"/>
        <v>13282782</v>
      </c>
      <c r="AV153" s="18">
        <f t="shared" si="94"/>
        <v>3179841</v>
      </c>
      <c r="AW153" s="34">
        <f t="shared" si="95"/>
        <v>0</v>
      </c>
      <c r="AX153" s="32">
        <v>0</v>
      </c>
    </row>
    <row r="154" spans="1:50" ht="18.75" customHeight="1" x14ac:dyDescent="0.2">
      <c r="A154" s="27" t="s">
        <v>55</v>
      </c>
      <c r="B154" s="27" t="s">
        <v>56</v>
      </c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8" t="s">
        <v>865</v>
      </c>
      <c r="AB154" s="29" t="s">
        <v>255</v>
      </c>
      <c r="AC154" s="30" t="s">
        <v>37</v>
      </c>
      <c r="AD154" s="30">
        <f>AD155+AD158</f>
        <v>4527993416.5</v>
      </c>
      <c r="AE154" s="31">
        <f t="shared" ref="AE154:AS154" si="96">AE155+AE158</f>
        <v>0</v>
      </c>
      <c r="AF154" s="31">
        <f t="shared" si="96"/>
        <v>0</v>
      </c>
      <c r="AG154" s="30">
        <f t="shared" si="96"/>
        <v>40000000</v>
      </c>
      <c r="AH154" s="31">
        <f t="shared" si="96"/>
        <v>0</v>
      </c>
      <c r="AI154" s="18">
        <f>AE154-AF154+AG154-AH154</f>
        <v>40000000</v>
      </c>
      <c r="AJ154" s="18">
        <f>AD154+AI154</f>
        <v>4567993416.5</v>
      </c>
      <c r="AK154" s="31">
        <f t="shared" si="96"/>
        <v>0</v>
      </c>
      <c r="AL154" s="30">
        <f t="shared" si="96"/>
        <v>18390831</v>
      </c>
      <c r="AM154" s="30">
        <f t="shared" si="96"/>
        <v>4561893282.5</v>
      </c>
      <c r="AN154" s="31">
        <f t="shared" si="96"/>
        <v>0</v>
      </c>
      <c r="AO154" s="30">
        <f t="shared" si="96"/>
        <v>18390831</v>
      </c>
      <c r="AP154" s="30">
        <f t="shared" si="96"/>
        <v>4561893282.5</v>
      </c>
      <c r="AQ154" s="31">
        <f t="shared" si="96"/>
        <v>0</v>
      </c>
      <c r="AR154" s="30">
        <f t="shared" si="96"/>
        <v>18390831</v>
      </c>
      <c r="AS154" s="30">
        <f t="shared" si="96"/>
        <v>4561893282.5</v>
      </c>
      <c r="AT154" s="39">
        <f t="shared" si="92"/>
        <v>4561893282.5</v>
      </c>
      <c r="AU154" s="18">
        <f t="shared" si="93"/>
        <v>6100134</v>
      </c>
      <c r="AV154" s="34">
        <f t="shared" si="94"/>
        <v>0</v>
      </c>
      <c r="AW154" s="34">
        <f t="shared" si="95"/>
        <v>0</v>
      </c>
      <c r="AX154" s="32">
        <f t="shared" ref="AX154:AX189" si="97">AP154/AJ154</f>
        <v>0.99866459220848136</v>
      </c>
    </row>
    <row r="155" spans="1:50" ht="18.75" customHeight="1" x14ac:dyDescent="0.2">
      <c r="A155" s="27" t="s">
        <v>55</v>
      </c>
      <c r="B155" s="27" t="s">
        <v>56</v>
      </c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8" t="s">
        <v>864</v>
      </c>
      <c r="AB155" s="29" t="s">
        <v>256</v>
      </c>
      <c r="AC155" s="30" t="s">
        <v>37</v>
      </c>
      <c r="AD155" s="30">
        <f>AD156+AD157</f>
        <v>4477993416.5</v>
      </c>
      <c r="AE155" s="31">
        <f t="shared" ref="AE155:AS155" si="98">AE156+AE157</f>
        <v>0</v>
      </c>
      <c r="AF155" s="31">
        <f t="shared" si="98"/>
        <v>0</v>
      </c>
      <c r="AG155" s="31">
        <f t="shared" si="98"/>
        <v>0</v>
      </c>
      <c r="AH155" s="31">
        <f t="shared" si="98"/>
        <v>0</v>
      </c>
      <c r="AI155" s="31">
        <f t="shared" si="98"/>
        <v>0</v>
      </c>
      <c r="AJ155" s="30">
        <f t="shared" si="98"/>
        <v>4477993416.5</v>
      </c>
      <c r="AK155" s="31">
        <f t="shared" si="98"/>
        <v>0</v>
      </c>
      <c r="AL155" s="30">
        <f t="shared" si="98"/>
        <v>0</v>
      </c>
      <c r="AM155" s="30">
        <f t="shared" si="98"/>
        <v>4477993416.5</v>
      </c>
      <c r="AN155" s="31">
        <f t="shared" si="98"/>
        <v>0</v>
      </c>
      <c r="AO155" s="31">
        <f t="shared" si="98"/>
        <v>0</v>
      </c>
      <c r="AP155" s="30">
        <f t="shared" si="98"/>
        <v>4477993416.5</v>
      </c>
      <c r="AQ155" s="31">
        <f t="shared" si="98"/>
        <v>0</v>
      </c>
      <c r="AR155" s="31">
        <f t="shared" si="98"/>
        <v>0</v>
      </c>
      <c r="AS155" s="30">
        <f t="shared" si="98"/>
        <v>4477993416.5</v>
      </c>
      <c r="AT155" s="39">
        <f t="shared" si="92"/>
        <v>4477993416.5</v>
      </c>
      <c r="AU155" s="34">
        <f t="shared" si="93"/>
        <v>0</v>
      </c>
      <c r="AV155" s="34">
        <f t="shared" si="94"/>
        <v>0</v>
      </c>
      <c r="AW155" s="34">
        <f t="shared" si="95"/>
        <v>0</v>
      </c>
      <c r="AX155" s="32">
        <f t="shared" si="97"/>
        <v>1</v>
      </c>
    </row>
    <row r="156" spans="1:50" ht="18.75" customHeight="1" x14ac:dyDescent="0.2">
      <c r="A156" s="4" t="s">
        <v>55</v>
      </c>
      <c r="B156" s="4" t="s">
        <v>56</v>
      </c>
      <c r="C156" s="4"/>
      <c r="D156" s="4" t="s">
        <v>40</v>
      </c>
      <c r="E156" s="4"/>
      <c r="F156" s="4"/>
      <c r="G156" s="4" t="s">
        <v>41</v>
      </c>
      <c r="H156" s="4"/>
      <c r="I156" s="4" t="s">
        <v>936</v>
      </c>
      <c r="J156" s="4"/>
      <c r="K156" s="4" t="s">
        <v>932</v>
      </c>
      <c r="L156" s="4"/>
      <c r="M156" s="4" t="s">
        <v>933</v>
      </c>
      <c r="N156" s="4"/>
      <c r="O156" s="4" t="s">
        <v>938</v>
      </c>
      <c r="P156" s="4"/>
      <c r="Q156" s="4" t="s">
        <v>942</v>
      </c>
      <c r="R156" s="4"/>
      <c r="S156" s="4" t="s">
        <v>940</v>
      </c>
      <c r="T156" s="4">
        <v>0</v>
      </c>
      <c r="U156" s="4">
        <v>0</v>
      </c>
      <c r="V156" s="4">
        <v>0</v>
      </c>
      <c r="W156" s="4">
        <v>0</v>
      </c>
      <c r="X156" s="4" t="s">
        <v>937</v>
      </c>
      <c r="Y156" s="4"/>
      <c r="Z156" s="4"/>
      <c r="AA156" s="41" t="s">
        <v>863</v>
      </c>
      <c r="AB156" s="42" t="s">
        <v>233</v>
      </c>
      <c r="AC156" s="43" t="s">
        <v>58</v>
      </c>
      <c r="AD156" s="43">
        <v>3177230763</v>
      </c>
      <c r="AE156" s="44">
        <v>0</v>
      </c>
      <c r="AF156" s="44">
        <v>0</v>
      </c>
      <c r="AG156" s="44">
        <v>0</v>
      </c>
      <c r="AH156" s="44">
        <v>0</v>
      </c>
      <c r="AI156" s="44">
        <v>0</v>
      </c>
      <c r="AJ156" s="43">
        <v>3177230763</v>
      </c>
      <c r="AK156" s="44">
        <v>0</v>
      </c>
      <c r="AL156" s="43">
        <v>0</v>
      </c>
      <c r="AM156" s="43">
        <v>3177230763</v>
      </c>
      <c r="AN156" s="44">
        <v>0</v>
      </c>
      <c r="AO156" s="44">
        <v>0</v>
      </c>
      <c r="AP156" s="43">
        <v>3177230763</v>
      </c>
      <c r="AQ156" s="44">
        <v>0</v>
      </c>
      <c r="AR156" s="44">
        <v>0</v>
      </c>
      <c r="AS156" s="43">
        <v>3177230763</v>
      </c>
      <c r="AT156" s="39">
        <f t="shared" si="92"/>
        <v>3177230763</v>
      </c>
      <c r="AU156" s="34">
        <f t="shared" si="93"/>
        <v>0</v>
      </c>
      <c r="AV156" s="34">
        <f t="shared" si="94"/>
        <v>0</v>
      </c>
      <c r="AW156" s="34">
        <f t="shared" si="95"/>
        <v>0</v>
      </c>
      <c r="AX156" s="32">
        <f t="shared" si="97"/>
        <v>1</v>
      </c>
    </row>
    <row r="157" spans="1:50" ht="18.75" customHeight="1" x14ac:dyDescent="0.2">
      <c r="A157" s="4" t="s">
        <v>55</v>
      </c>
      <c r="B157" s="4" t="s">
        <v>56</v>
      </c>
      <c r="C157" s="4"/>
      <c r="D157" s="4" t="s">
        <v>40</v>
      </c>
      <c r="E157" s="4"/>
      <c r="F157" s="4"/>
      <c r="G157" s="4" t="s">
        <v>41</v>
      </c>
      <c r="H157" s="4"/>
      <c r="I157" s="4" t="s">
        <v>936</v>
      </c>
      <c r="J157" s="4"/>
      <c r="K157" s="4" t="s">
        <v>932</v>
      </c>
      <c r="L157" s="4"/>
      <c r="M157" s="4" t="s">
        <v>933</v>
      </c>
      <c r="N157" s="4"/>
      <c r="O157" s="4" t="s">
        <v>938</v>
      </c>
      <c r="P157" s="4"/>
      <c r="Q157" s="4" t="s">
        <v>942</v>
      </c>
      <c r="R157" s="4"/>
      <c r="S157" s="4" t="s">
        <v>940</v>
      </c>
      <c r="T157" s="4">
        <v>0</v>
      </c>
      <c r="U157" s="4">
        <v>0</v>
      </c>
      <c r="V157" s="4">
        <v>0</v>
      </c>
      <c r="W157" s="4">
        <v>0</v>
      </c>
      <c r="X157" s="4" t="s">
        <v>937</v>
      </c>
      <c r="Y157" s="4"/>
      <c r="Z157" s="4"/>
      <c r="AA157" s="41" t="s">
        <v>862</v>
      </c>
      <c r="AB157" s="42" t="s">
        <v>257</v>
      </c>
      <c r="AC157" s="43" t="s">
        <v>258</v>
      </c>
      <c r="AD157" s="43">
        <v>1300762653.5</v>
      </c>
      <c r="AE157" s="44">
        <v>0</v>
      </c>
      <c r="AF157" s="44">
        <v>0</v>
      </c>
      <c r="AG157" s="44">
        <v>0</v>
      </c>
      <c r="AH157" s="44">
        <v>0</v>
      </c>
      <c r="AI157" s="44">
        <v>0</v>
      </c>
      <c r="AJ157" s="43">
        <v>1300762653.5</v>
      </c>
      <c r="AK157" s="44">
        <v>0</v>
      </c>
      <c r="AL157" s="43">
        <v>0</v>
      </c>
      <c r="AM157" s="43">
        <v>1300762653.5</v>
      </c>
      <c r="AN157" s="44">
        <v>0</v>
      </c>
      <c r="AO157" s="44">
        <v>0</v>
      </c>
      <c r="AP157" s="43">
        <v>1300762653.5</v>
      </c>
      <c r="AQ157" s="44">
        <v>0</v>
      </c>
      <c r="AR157" s="44">
        <v>0</v>
      </c>
      <c r="AS157" s="43">
        <v>1300762653.5</v>
      </c>
      <c r="AT157" s="39">
        <f t="shared" si="92"/>
        <v>1300762653.5</v>
      </c>
      <c r="AU157" s="34">
        <f t="shared" si="93"/>
        <v>0</v>
      </c>
      <c r="AV157" s="34">
        <f t="shared" si="94"/>
        <v>0</v>
      </c>
      <c r="AW157" s="34">
        <f t="shared" si="95"/>
        <v>0</v>
      </c>
      <c r="AX157" s="32">
        <f t="shared" si="97"/>
        <v>1</v>
      </c>
    </row>
    <row r="158" spans="1:50" ht="18.75" customHeight="1" x14ac:dyDescent="0.2">
      <c r="A158" s="4" t="s">
        <v>55</v>
      </c>
      <c r="B158" s="4" t="s">
        <v>56</v>
      </c>
      <c r="C158" s="4"/>
      <c r="D158" s="4" t="s">
        <v>40</v>
      </c>
      <c r="E158" s="4"/>
      <c r="F158" s="4"/>
      <c r="G158" s="4" t="s">
        <v>41</v>
      </c>
      <c r="H158" s="4"/>
      <c r="I158" s="4" t="s">
        <v>936</v>
      </c>
      <c r="J158" s="4"/>
      <c r="K158" s="4" t="s">
        <v>932</v>
      </c>
      <c r="L158" s="4"/>
      <c r="M158" s="4" t="s">
        <v>933</v>
      </c>
      <c r="N158" s="4"/>
      <c r="O158" s="4" t="s">
        <v>938</v>
      </c>
      <c r="P158" s="4"/>
      <c r="Q158" s="4" t="s">
        <v>942</v>
      </c>
      <c r="R158" s="4"/>
      <c r="S158" s="4" t="s">
        <v>940</v>
      </c>
      <c r="T158" s="4">
        <v>0</v>
      </c>
      <c r="U158" s="4">
        <v>0</v>
      </c>
      <c r="V158" s="4">
        <v>0</v>
      </c>
      <c r="W158" s="4">
        <v>0</v>
      </c>
      <c r="X158" s="4" t="s">
        <v>937</v>
      </c>
      <c r="Y158" s="4"/>
      <c r="Z158" s="4"/>
      <c r="AA158" s="41" t="s">
        <v>861</v>
      </c>
      <c r="AB158" s="42" t="s">
        <v>259</v>
      </c>
      <c r="AC158" s="43" t="s">
        <v>58</v>
      </c>
      <c r="AD158" s="43">
        <v>50000000</v>
      </c>
      <c r="AE158" s="44">
        <v>0</v>
      </c>
      <c r="AF158" s="44">
        <v>0</v>
      </c>
      <c r="AG158" s="43">
        <f>20000000+20000000</f>
        <v>40000000</v>
      </c>
      <c r="AH158" s="44">
        <v>0</v>
      </c>
      <c r="AI158" s="18">
        <f>AE158-AF158+AG158-AH158</f>
        <v>40000000</v>
      </c>
      <c r="AJ158" s="18">
        <f>AD158+AI158</f>
        <v>90000000</v>
      </c>
      <c r="AK158" s="44">
        <v>0</v>
      </c>
      <c r="AL158" s="43">
        <v>18390831</v>
      </c>
      <c r="AM158" s="43">
        <v>83899866</v>
      </c>
      <c r="AN158" s="44">
        <v>0</v>
      </c>
      <c r="AO158" s="44">
        <v>18390831</v>
      </c>
      <c r="AP158" s="43">
        <v>83899866</v>
      </c>
      <c r="AQ158" s="44">
        <v>0</v>
      </c>
      <c r="AR158" s="44">
        <v>18390831</v>
      </c>
      <c r="AS158" s="43">
        <v>83899866</v>
      </c>
      <c r="AT158" s="39">
        <f t="shared" si="92"/>
        <v>83899866</v>
      </c>
      <c r="AU158" s="18">
        <f t="shared" si="93"/>
        <v>6100134</v>
      </c>
      <c r="AV158" s="34">
        <f t="shared" si="94"/>
        <v>0</v>
      </c>
      <c r="AW158" s="34">
        <f t="shared" si="95"/>
        <v>0</v>
      </c>
      <c r="AX158" s="32">
        <f t="shared" si="97"/>
        <v>0.93222073333333333</v>
      </c>
    </row>
    <row r="159" spans="1:50" ht="18.75" customHeight="1" x14ac:dyDescent="0.2">
      <c r="A159" s="27" t="s">
        <v>55</v>
      </c>
      <c r="B159" s="27" t="s">
        <v>56</v>
      </c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8" t="s">
        <v>860</v>
      </c>
      <c r="AB159" s="29" t="s">
        <v>260</v>
      </c>
      <c r="AC159" s="30" t="s">
        <v>37</v>
      </c>
      <c r="AD159" s="30">
        <f>AD160+AD162</f>
        <v>50000000</v>
      </c>
      <c r="AE159" s="31">
        <f t="shared" ref="AE159:AS159" si="99">AE160+AE162</f>
        <v>0</v>
      </c>
      <c r="AF159" s="31">
        <f t="shared" si="99"/>
        <v>0</v>
      </c>
      <c r="AG159" s="31">
        <f t="shared" si="99"/>
        <v>0</v>
      </c>
      <c r="AH159" s="31">
        <f t="shared" si="99"/>
        <v>0</v>
      </c>
      <c r="AI159" s="31">
        <f t="shared" si="99"/>
        <v>0</v>
      </c>
      <c r="AJ159" s="30">
        <f t="shared" si="99"/>
        <v>50000000</v>
      </c>
      <c r="AK159" s="31">
        <f t="shared" si="99"/>
        <v>0</v>
      </c>
      <c r="AL159" s="172">
        <f t="shared" si="99"/>
        <v>0</v>
      </c>
      <c r="AM159" s="109">
        <f t="shared" si="99"/>
        <v>250000</v>
      </c>
      <c r="AN159" s="31">
        <f t="shared" si="99"/>
        <v>0</v>
      </c>
      <c r="AO159" s="172">
        <f t="shared" si="99"/>
        <v>0</v>
      </c>
      <c r="AP159" s="109">
        <f t="shared" si="99"/>
        <v>250000</v>
      </c>
      <c r="AQ159" s="31">
        <f t="shared" si="99"/>
        <v>0</v>
      </c>
      <c r="AR159" s="31">
        <f t="shared" si="99"/>
        <v>0</v>
      </c>
      <c r="AS159" s="30">
        <f t="shared" si="99"/>
        <v>250000</v>
      </c>
      <c r="AT159" s="39">
        <f t="shared" si="92"/>
        <v>250000</v>
      </c>
      <c r="AU159" s="176">
        <f t="shared" si="93"/>
        <v>49750000</v>
      </c>
      <c r="AV159" s="34">
        <f t="shared" si="94"/>
        <v>0</v>
      </c>
      <c r="AW159" s="34">
        <f t="shared" si="95"/>
        <v>0</v>
      </c>
      <c r="AX159" s="32">
        <f t="shared" si="97"/>
        <v>5.0000000000000001E-3</v>
      </c>
    </row>
    <row r="160" spans="1:50" ht="18.75" customHeight="1" x14ac:dyDescent="0.2">
      <c r="A160" s="27" t="s">
        <v>55</v>
      </c>
      <c r="B160" s="27" t="s">
        <v>56</v>
      </c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8" t="s">
        <v>859</v>
      </c>
      <c r="AB160" s="29" t="s">
        <v>261</v>
      </c>
      <c r="AC160" s="30" t="s">
        <v>37</v>
      </c>
      <c r="AD160" s="30">
        <f>AD161</f>
        <v>10000000</v>
      </c>
      <c r="AE160" s="31">
        <f t="shared" ref="AE160:AS160" si="100">AE161</f>
        <v>0</v>
      </c>
      <c r="AF160" s="31">
        <f t="shared" si="100"/>
        <v>0</v>
      </c>
      <c r="AG160" s="31">
        <f t="shared" si="100"/>
        <v>0</v>
      </c>
      <c r="AH160" s="31">
        <f t="shared" si="100"/>
        <v>0</v>
      </c>
      <c r="AI160" s="31">
        <f t="shared" si="100"/>
        <v>0</v>
      </c>
      <c r="AJ160" s="30">
        <f t="shared" si="100"/>
        <v>10000000</v>
      </c>
      <c r="AK160" s="31">
        <f t="shared" si="100"/>
        <v>0</v>
      </c>
      <c r="AL160" s="172">
        <f t="shared" si="100"/>
        <v>0</v>
      </c>
      <c r="AM160" s="109">
        <f t="shared" si="100"/>
        <v>250000</v>
      </c>
      <c r="AN160" s="31">
        <f t="shared" si="100"/>
        <v>0</v>
      </c>
      <c r="AO160" s="172">
        <f t="shared" si="100"/>
        <v>0</v>
      </c>
      <c r="AP160" s="109">
        <f t="shared" si="100"/>
        <v>250000</v>
      </c>
      <c r="AQ160" s="31">
        <f t="shared" si="100"/>
        <v>0</v>
      </c>
      <c r="AR160" s="31">
        <f t="shared" si="100"/>
        <v>0</v>
      </c>
      <c r="AS160" s="30">
        <f t="shared" si="100"/>
        <v>250000</v>
      </c>
      <c r="AT160" s="39">
        <f t="shared" si="92"/>
        <v>250000</v>
      </c>
      <c r="AU160" s="176">
        <f t="shared" si="93"/>
        <v>9750000</v>
      </c>
      <c r="AV160" s="34">
        <f t="shared" si="94"/>
        <v>0</v>
      </c>
      <c r="AW160" s="34">
        <f t="shared" si="95"/>
        <v>0</v>
      </c>
      <c r="AX160" s="32">
        <f t="shared" si="97"/>
        <v>2.5000000000000001E-2</v>
      </c>
    </row>
    <row r="161" spans="1:50" ht="18.75" customHeight="1" x14ac:dyDescent="0.2">
      <c r="A161" s="4" t="s">
        <v>55</v>
      </c>
      <c r="B161" s="4" t="s">
        <v>56</v>
      </c>
      <c r="C161" s="4"/>
      <c r="D161" s="4" t="s">
        <v>40</v>
      </c>
      <c r="E161" s="4"/>
      <c r="F161" s="4"/>
      <c r="G161" s="4" t="s">
        <v>41</v>
      </c>
      <c r="H161" s="4"/>
      <c r="I161" s="4" t="s">
        <v>936</v>
      </c>
      <c r="J161" s="4"/>
      <c r="K161" s="4" t="s">
        <v>932</v>
      </c>
      <c r="L161" s="4"/>
      <c r="M161" s="4" t="s">
        <v>933</v>
      </c>
      <c r="N161" s="4"/>
      <c r="O161" s="4" t="s">
        <v>938</v>
      </c>
      <c r="P161" s="4"/>
      <c r="Q161" s="4" t="s">
        <v>942</v>
      </c>
      <c r="R161" s="4"/>
      <c r="S161" s="4" t="s">
        <v>940</v>
      </c>
      <c r="T161" s="4">
        <v>0</v>
      </c>
      <c r="U161" s="4">
        <v>0</v>
      </c>
      <c r="V161" s="4">
        <v>0</v>
      </c>
      <c r="W161" s="4">
        <v>0</v>
      </c>
      <c r="X161" s="4" t="s">
        <v>937</v>
      </c>
      <c r="Y161" s="4"/>
      <c r="Z161" s="4"/>
      <c r="AA161" s="41" t="s">
        <v>858</v>
      </c>
      <c r="AB161" s="42" t="s">
        <v>262</v>
      </c>
      <c r="AC161" s="43" t="s">
        <v>58</v>
      </c>
      <c r="AD161" s="43">
        <v>10000000</v>
      </c>
      <c r="AE161" s="44">
        <v>0</v>
      </c>
      <c r="AF161" s="44">
        <v>0</v>
      </c>
      <c r="AG161" s="44">
        <v>0</v>
      </c>
      <c r="AH161" s="44">
        <v>0</v>
      </c>
      <c r="AI161" s="44">
        <v>0</v>
      </c>
      <c r="AJ161" s="43">
        <v>10000000</v>
      </c>
      <c r="AK161" s="44">
        <v>0</v>
      </c>
      <c r="AL161" s="115">
        <v>0</v>
      </c>
      <c r="AM161" s="114">
        <v>250000</v>
      </c>
      <c r="AN161" s="44">
        <v>0</v>
      </c>
      <c r="AO161" s="115">
        <v>0</v>
      </c>
      <c r="AP161" s="114">
        <v>250000</v>
      </c>
      <c r="AQ161" s="44">
        <v>0</v>
      </c>
      <c r="AR161" s="44">
        <v>0</v>
      </c>
      <c r="AS161" s="43">
        <v>250000</v>
      </c>
      <c r="AT161" s="39">
        <f t="shared" si="92"/>
        <v>250000</v>
      </c>
      <c r="AU161" s="18">
        <f t="shared" si="93"/>
        <v>9750000</v>
      </c>
      <c r="AV161" s="34">
        <f t="shared" si="94"/>
        <v>0</v>
      </c>
      <c r="AW161" s="34">
        <f t="shared" si="95"/>
        <v>0</v>
      </c>
      <c r="AX161" s="32">
        <f t="shared" si="97"/>
        <v>2.5000000000000001E-2</v>
      </c>
    </row>
    <row r="162" spans="1:50" ht="18.75" customHeight="1" x14ac:dyDescent="0.2">
      <c r="A162" s="4" t="s">
        <v>55</v>
      </c>
      <c r="B162" s="4" t="s">
        <v>56</v>
      </c>
      <c r="C162" s="4"/>
      <c r="D162" s="4" t="s">
        <v>40</v>
      </c>
      <c r="E162" s="4"/>
      <c r="F162" s="4"/>
      <c r="G162" s="4" t="s">
        <v>41</v>
      </c>
      <c r="H162" s="4"/>
      <c r="I162" s="4" t="s">
        <v>936</v>
      </c>
      <c r="J162" s="4"/>
      <c r="K162" s="4" t="s">
        <v>932</v>
      </c>
      <c r="L162" s="4"/>
      <c r="M162" s="4" t="s">
        <v>933</v>
      </c>
      <c r="N162" s="4"/>
      <c r="O162" s="4" t="s">
        <v>938</v>
      </c>
      <c r="P162" s="4"/>
      <c r="Q162" s="4" t="s">
        <v>942</v>
      </c>
      <c r="R162" s="4"/>
      <c r="S162" s="4" t="s">
        <v>940</v>
      </c>
      <c r="T162" s="4">
        <v>0</v>
      </c>
      <c r="U162" s="4">
        <v>0</v>
      </c>
      <c r="V162" s="4">
        <v>0</v>
      </c>
      <c r="W162" s="4">
        <v>0</v>
      </c>
      <c r="X162" s="4" t="s">
        <v>937</v>
      </c>
      <c r="Y162" s="4"/>
      <c r="Z162" s="4"/>
      <c r="AA162" s="41" t="s">
        <v>857</v>
      </c>
      <c r="AB162" s="42" t="s">
        <v>263</v>
      </c>
      <c r="AC162" s="43" t="s">
        <v>58</v>
      </c>
      <c r="AD162" s="43">
        <v>40000000</v>
      </c>
      <c r="AE162" s="44">
        <v>0</v>
      </c>
      <c r="AF162" s="44">
        <v>0</v>
      </c>
      <c r="AG162" s="44">
        <v>0</v>
      </c>
      <c r="AH162" s="44">
        <v>0</v>
      </c>
      <c r="AI162" s="44">
        <v>0</v>
      </c>
      <c r="AJ162" s="43">
        <v>40000000</v>
      </c>
      <c r="AK162" s="44">
        <v>0</v>
      </c>
      <c r="AL162" s="44">
        <v>0</v>
      </c>
      <c r="AM162" s="44">
        <v>0</v>
      </c>
      <c r="AN162" s="44">
        <v>0</v>
      </c>
      <c r="AO162" s="44">
        <v>0</v>
      </c>
      <c r="AP162" s="44">
        <v>0</v>
      </c>
      <c r="AQ162" s="44">
        <v>0</v>
      </c>
      <c r="AR162" s="44">
        <v>0</v>
      </c>
      <c r="AS162" s="44">
        <v>0</v>
      </c>
      <c r="AT162" s="40">
        <f t="shared" si="92"/>
        <v>0</v>
      </c>
      <c r="AU162" s="18">
        <f t="shared" si="93"/>
        <v>40000000</v>
      </c>
      <c r="AV162" s="34">
        <f t="shared" si="94"/>
        <v>0</v>
      </c>
      <c r="AW162" s="34">
        <f t="shared" si="95"/>
        <v>0</v>
      </c>
      <c r="AX162" s="32">
        <f t="shared" si="97"/>
        <v>0</v>
      </c>
    </row>
    <row r="163" spans="1:50" s="25" customFormat="1" ht="18.75" customHeight="1" x14ac:dyDescent="0.2">
      <c r="A163" s="19" t="s">
        <v>49</v>
      </c>
      <c r="B163" s="19" t="s">
        <v>50</v>
      </c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26" t="s">
        <v>856</v>
      </c>
      <c r="AB163" s="21" t="s">
        <v>264</v>
      </c>
      <c r="AC163" s="22" t="s">
        <v>37</v>
      </c>
      <c r="AD163" s="22">
        <f>AD164</f>
        <v>58452467165</v>
      </c>
      <c r="AE163" s="22">
        <f t="shared" ref="AE163:AW163" si="101">AE164</f>
        <v>5987472683.25</v>
      </c>
      <c r="AF163" s="23">
        <f t="shared" si="101"/>
        <v>0</v>
      </c>
      <c r="AG163" s="23">
        <f t="shared" si="101"/>
        <v>0</v>
      </c>
      <c r="AH163" s="23">
        <f t="shared" si="101"/>
        <v>0</v>
      </c>
      <c r="AI163" s="22">
        <f t="shared" si="101"/>
        <v>5987472683.25</v>
      </c>
      <c r="AJ163" s="22">
        <f>AJ164</f>
        <v>64439939848.25</v>
      </c>
      <c r="AK163" s="23">
        <f t="shared" si="101"/>
        <v>0</v>
      </c>
      <c r="AL163" s="22">
        <f t="shared" si="101"/>
        <v>912170109.63</v>
      </c>
      <c r="AM163" s="22">
        <f t="shared" si="101"/>
        <v>22064595560.149998</v>
      </c>
      <c r="AN163" s="23">
        <f t="shared" si="101"/>
        <v>0</v>
      </c>
      <c r="AO163" s="22">
        <f t="shared" si="101"/>
        <v>793403394.63</v>
      </c>
      <c r="AP163" s="22">
        <f t="shared" si="101"/>
        <v>21680145428.18</v>
      </c>
      <c r="AQ163" s="23">
        <f t="shared" si="101"/>
        <v>0</v>
      </c>
      <c r="AR163" s="22">
        <f t="shared" si="101"/>
        <v>929169845.88</v>
      </c>
      <c r="AS163" s="22">
        <f t="shared" si="101"/>
        <v>21580053126.32</v>
      </c>
      <c r="AT163" s="22">
        <f t="shared" si="92"/>
        <v>21580053126.32</v>
      </c>
      <c r="AU163" s="22">
        <f t="shared" si="101"/>
        <v>42375344288.100006</v>
      </c>
      <c r="AV163" s="108">
        <f t="shared" si="101"/>
        <v>384450131.97000003</v>
      </c>
      <c r="AW163" s="22">
        <f t="shared" si="101"/>
        <v>100092301.8599999</v>
      </c>
      <c r="AX163" s="24">
        <f t="shared" si="97"/>
        <v>0.33643956650541118</v>
      </c>
    </row>
    <row r="164" spans="1:50" s="25" customFormat="1" ht="18.75" customHeight="1" x14ac:dyDescent="0.2">
      <c r="A164" s="19" t="s">
        <v>55</v>
      </c>
      <c r="B164" s="19" t="s">
        <v>56</v>
      </c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26" t="s">
        <v>855</v>
      </c>
      <c r="AB164" s="21" t="s">
        <v>265</v>
      </c>
      <c r="AC164" s="22" t="s">
        <v>37</v>
      </c>
      <c r="AD164" s="22">
        <f>AD165+AD175+AD180+AD170+AD179</f>
        <v>58452467165</v>
      </c>
      <c r="AE164" s="22">
        <f t="shared" ref="AE164:AW164" si="102">AE165+AE175+AE180+AE170+AE179</f>
        <v>5987472683.25</v>
      </c>
      <c r="AF164" s="23">
        <f t="shared" si="102"/>
        <v>0</v>
      </c>
      <c r="AG164" s="23">
        <f t="shared" si="102"/>
        <v>0</v>
      </c>
      <c r="AH164" s="23">
        <f t="shared" si="102"/>
        <v>0</v>
      </c>
      <c r="AI164" s="22">
        <f t="shared" si="102"/>
        <v>5987472683.25</v>
      </c>
      <c r="AJ164" s="22">
        <f t="shared" si="102"/>
        <v>64439939848.25</v>
      </c>
      <c r="AK164" s="22">
        <f t="shared" si="102"/>
        <v>0</v>
      </c>
      <c r="AL164" s="22">
        <f t="shared" si="102"/>
        <v>912170109.63</v>
      </c>
      <c r="AM164" s="22">
        <f t="shared" si="102"/>
        <v>22064595560.149998</v>
      </c>
      <c r="AN164" s="23">
        <f t="shared" si="102"/>
        <v>0</v>
      </c>
      <c r="AO164" s="22">
        <f t="shared" si="102"/>
        <v>793403394.63</v>
      </c>
      <c r="AP164" s="22">
        <f t="shared" si="102"/>
        <v>21680145428.18</v>
      </c>
      <c r="AQ164" s="23">
        <f t="shared" si="102"/>
        <v>0</v>
      </c>
      <c r="AR164" s="22">
        <f t="shared" si="102"/>
        <v>929169845.88</v>
      </c>
      <c r="AS164" s="22">
        <f t="shared" si="102"/>
        <v>21580053126.32</v>
      </c>
      <c r="AT164" s="22">
        <f t="shared" si="102"/>
        <v>21580053126.32</v>
      </c>
      <c r="AU164" s="22">
        <f t="shared" si="102"/>
        <v>42375344288.100006</v>
      </c>
      <c r="AV164" s="22">
        <f t="shared" si="102"/>
        <v>384450131.97000003</v>
      </c>
      <c r="AW164" s="22">
        <f t="shared" si="102"/>
        <v>100092301.8599999</v>
      </c>
      <c r="AX164" s="24">
        <f t="shared" si="97"/>
        <v>0.33643956650541118</v>
      </c>
    </row>
    <row r="165" spans="1:50" s="25" customFormat="1" ht="18.75" customHeight="1" x14ac:dyDescent="0.2">
      <c r="A165" s="19" t="s">
        <v>37</v>
      </c>
      <c r="B165" s="19" t="s">
        <v>37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26" t="s">
        <v>854</v>
      </c>
      <c r="AB165" s="21" t="s">
        <v>266</v>
      </c>
      <c r="AC165" s="22" t="s">
        <v>37</v>
      </c>
      <c r="AD165" s="22">
        <f>AD166</f>
        <v>28000000000.57</v>
      </c>
      <c r="AE165" s="23">
        <f t="shared" ref="AE165:AW168" si="103">AE166</f>
        <v>0</v>
      </c>
      <c r="AF165" s="23">
        <f t="shared" si="103"/>
        <v>0</v>
      </c>
      <c r="AG165" s="23">
        <f t="shared" si="103"/>
        <v>0</v>
      </c>
      <c r="AH165" s="23">
        <f t="shared" si="103"/>
        <v>0</v>
      </c>
      <c r="AI165" s="23">
        <f t="shared" si="103"/>
        <v>0</v>
      </c>
      <c r="AJ165" s="22">
        <f t="shared" si="103"/>
        <v>28000000000.57</v>
      </c>
      <c r="AK165" s="23">
        <f t="shared" si="103"/>
        <v>0</v>
      </c>
      <c r="AL165" s="22">
        <f t="shared" si="103"/>
        <v>24771618</v>
      </c>
      <c r="AM165" s="22">
        <f t="shared" si="103"/>
        <v>10573914576.959999</v>
      </c>
      <c r="AN165" s="23">
        <f t="shared" si="103"/>
        <v>0</v>
      </c>
      <c r="AO165" s="22">
        <f t="shared" si="103"/>
        <v>24771618</v>
      </c>
      <c r="AP165" s="22">
        <f t="shared" si="103"/>
        <v>10573914576.959999</v>
      </c>
      <c r="AQ165" s="23">
        <f t="shared" si="103"/>
        <v>0</v>
      </c>
      <c r="AR165" s="22">
        <f t="shared" si="103"/>
        <v>24771618</v>
      </c>
      <c r="AS165" s="22">
        <f t="shared" si="103"/>
        <v>10573914576.959999</v>
      </c>
      <c r="AT165" s="22">
        <f t="shared" si="92"/>
        <v>10573914576.959999</v>
      </c>
      <c r="AU165" s="22">
        <f t="shared" si="103"/>
        <v>17426085423.610001</v>
      </c>
      <c r="AV165" s="23">
        <f t="shared" si="103"/>
        <v>0</v>
      </c>
      <c r="AW165" s="23">
        <f t="shared" si="103"/>
        <v>0</v>
      </c>
      <c r="AX165" s="24">
        <f t="shared" si="97"/>
        <v>0.37763980631231231</v>
      </c>
    </row>
    <row r="166" spans="1:50" ht="18.75" customHeight="1" x14ac:dyDescent="0.2">
      <c r="A166" s="27" t="s">
        <v>37</v>
      </c>
      <c r="B166" s="27" t="s">
        <v>37</v>
      </c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8" t="s">
        <v>853</v>
      </c>
      <c r="AB166" s="29" t="s">
        <v>267</v>
      </c>
      <c r="AC166" s="30" t="s">
        <v>37</v>
      </c>
      <c r="AD166" s="30">
        <f>AD167</f>
        <v>28000000000.57</v>
      </c>
      <c r="AE166" s="31">
        <f t="shared" si="103"/>
        <v>0</v>
      </c>
      <c r="AF166" s="31">
        <f t="shared" si="103"/>
        <v>0</v>
      </c>
      <c r="AG166" s="31">
        <f t="shared" si="103"/>
        <v>0</v>
      </c>
      <c r="AH166" s="31">
        <f t="shared" si="103"/>
        <v>0</v>
      </c>
      <c r="AI166" s="31">
        <f t="shared" si="103"/>
        <v>0</v>
      </c>
      <c r="AJ166" s="30">
        <f t="shared" si="103"/>
        <v>28000000000.57</v>
      </c>
      <c r="AK166" s="31">
        <f t="shared" si="103"/>
        <v>0</v>
      </c>
      <c r="AL166" s="30">
        <f t="shared" si="103"/>
        <v>24771618</v>
      </c>
      <c r="AM166" s="30">
        <f t="shared" si="103"/>
        <v>10573914576.959999</v>
      </c>
      <c r="AN166" s="31">
        <f t="shared" si="103"/>
        <v>0</v>
      </c>
      <c r="AO166" s="30">
        <f t="shared" si="103"/>
        <v>24771618</v>
      </c>
      <c r="AP166" s="30">
        <f t="shared" si="103"/>
        <v>10573914576.959999</v>
      </c>
      <c r="AQ166" s="31">
        <f t="shared" si="103"/>
        <v>0</v>
      </c>
      <c r="AR166" s="30">
        <f t="shared" si="103"/>
        <v>24771618</v>
      </c>
      <c r="AS166" s="30">
        <f t="shared" si="103"/>
        <v>10573914576.959999</v>
      </c>
      <c r="AT166" s="30">
        <f t="shared" si="92"/>
        <v>10573914576.959999</v>
      </c>
      <c r="AU166" s="18">
        <f>AJ166-AM166</f>
        <v>17426085423.610001</v>
      </c>
      <c r="AV166" s="34">
        <f>AM166-AP166</f>
        <v>0</v>
      </c>
      <c r="AW166" s="34">
        <f>AP166-AT166</f>
        <v>0</v>
      </c>
      <c r="AX166" s="32">
        <f t="shared" si="97"/>
        <v>0.37763980631231231</v>
      </c>
    </row>
    <row r="167" spans="1:50" ht="18.75" customHeight="1" x14ac:dyDescent="0.2">
      <c r="A167" s="27" t="s">
        <v>37</v>
      </c>
      <c r="B167" s="27" t="s">
        <v>37</v>
      </c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8" t="s">
        <v>852</v>
      </c>
      <c r="AB167" s="29" t="s">
        <v>268</v>
      </c>
      <c r="AC167" s="30" t="s">
        <v>37</v>
      </c>
      <c r="AD167" s="30">
        <f>AD168</f>
        <v>28000000000.57</v>
      </c>
      <c r="AE167" s="31">
        <f t="shared" si="103"/>
        <v>0</v>
      </c>
      <c r="AF167" s="31">
        <f t="shared" si="103"/>
        <v>0</v>
      </c>
      <c r="AG167" s="31">
        <f t="shared" si="103"/>
        <v>0</v>
      </c>
      <c r="AH167" s="31">
        <f t="shared" si="103"/>
        <v>0</v>
      </c>
      <c r="AI167" s="31">
        <f t="shared" si="103"/>
        <v>0</v>
      </c>
      <c r="AJ167" s="30">
        <f t="shared" si="103"/>
        <v>28000000000.57</v>
      </c>
      <c r="AK167" s="31">
        <f t="shared" si="103"/>
        <v>0</v>
      </c>
      <c r="AL167" s="30">
        <f t="shared" si="103"/>
        <v>24771618</v>
      </c>
      <c r="AM167" s="30">
        <f t="shared" si="103"/>
        <v>10573914576.959999</v>
      </c>
      <c r="AN167" s="31">
        <f t="shared" si="103"/>
        <v>0</v>
      </c>
      <c r="AO167" s="30">
        <f t="shared" si="103"/>
        <v>24771618</v>
      </c>
      <c r="AP167" s="30">
        <f t="shared" si="103"/>
        <v>10573914576.959999</v>
      </c>
      <c r="AQ167" s="31">
        <f t="shared" si="103"/>
        <v>0</v>
      </c>
      <c r="AR167" s="30">
        <f t="shared" si="103"/>
        <v>24771618</v>
      </c>
      <c r="AS167" s="30">
        <f t="shared" si="103"/>
        <v>10573914576.959999</v>
      </c>
      <c r="AT167" s="30">
        <f t="shared" si="92"/>
        <v>10573914576.959999</v>
      </c>
      <c r="AU167" s="18">
        <f>AJ167-AM167</f>
        <v>17426085423.610001</v>
      </c>
      <c r="AV167" s="34">
        <f>AM167-AP167</f>
        <v>0</v>
      </c>
      <c r="AW167" s="34">
        <f>AP167-AT167</f>
        <v>0</v>
      </c>
      <c r="AX167" s="32">
        <f t="shared" si="97"/>
        <v>0.37763980631231231</v>
      </c>
    </row>
    <row r="168" spans="1:50" ht="18.75" customHeight="1" x14ac:dyDescent="0.2">
      <c r="A168" s="27" t="s">
        <v>37</v>
      </c>
      <c r="B168" s="27" t="s">
        <v>37</v>
      </c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8" t="s">
        <v>851</v>
      </c>
      <c r="AB168" s="29" t="s">
        <v>269</v>
      </c>
      <c r="AC168" s="30" t="s">
        <v>37</v>
      </c>
      <c r="AD168" s="30">
        <f>AD169</f>
        <v>28000000000.57</v>
      </c>
      <c r="AE168" s="31">
        <f t="shared" si="103"/>
        <v>0</v>
      </c>
      <c r="AF168" s="31">
        <f t="shared" si="103"/>
        <v>0</v>
      </c>
      <c r="AG168" s="31">
        <f t="shared" si="103"/>
        <v>0</v>
      </c>
      <c r="AH168" s="31">
        <f t="shared" si="103"/>
        <v>0</v>
      </c>
      <c r="AI168" s="31">
        <f t="shared" si="103"/>
        <v>0</v>
      </c>
      <c r="AJ168" s="30">
        <f t="shared" si="103"/>
        <v>28000000000.57</v>
      </c>
      <c r="AK168" s="31">
        <f t="shared" si="103"/>
        <v>0</v>
      </c>
      <c r="AL168" s="30">
        <f t="shared" si="103"/>
        <v>24771618</v>
      </c>
      <c r="AM168" s="30">
        <f t="shared" si="103"/>
        <v>10573914576.959999</v>
      </c>
      <c r="AN168" s="31">
        <f t="shared" si="103"/>
        <v>0</v>
      </c>
      <c r="AO168" s="30">
        <f t="shared" si="103"/>
        <v>24771618</v>
      </c>
      <c r="AP168" s="30">
        <f t="shared" si="103"/>
        <v>10573914576.959999</v>
      </c>
      <c r="AQ168" s="31">
        <f t="shared" si="103"/>
        <v>0</v>
      </c>
      <c r="AR168" s="30">
        <f t="shared" si="103"/>
        <v>24771618</v>
      </c>
      <c r="AS168" s="30">
        <f t="shared" si="103"/>
        <v>10573914576.959999</v>
      </c>
      <c r="AT168" s="30">
        <f t="shared" si="92"/>
        <v>10573914576.959999</v>
      </c>
      <c r="AU168" s="18">
        <f>AJ168-AM168</f>
        <v>17426085423.610001</v>
      </c>
      <c r="AV168" s="34">
        <f>AM168-AP168</f>
        <v>0</v>
      </c>
      <c r="AW168" s="34">
        <f>AP168-AT168</f>
        <v>0</v>
      </c>
      <c r="AX168" s="32">
        <f t="shared" si="97"/>
        <v>0.37763980631231231</v>
      </c>
    </row>
    <row r="169" spans="1:50" ht="18.75" customHeight="1" x14ac:dyDescent="0.2">
      <c r="A169" s="4" t="s">
        <v>55</v>
      </c>
      <c r="B169" s="4" t="s">
        <v>56</v>
      </c>
      <c r="C169" s="4"/>
      <c r="D169" s="4" t="s">
        <v>947</v>
      </c>
      <c r="E169" s="4"/>
      <c r="F169" s="4"/>
      <c r="G169" s="4" t="s">
        <v>41</v>
      </c>
      <c r="H169" s="4"/>
      <c r="I169" s="4" t="s">
        <v>936</v>
      </c>
      <c r="J169" s="4"/>
      <c r="K169" s="4" t="s">
        <v>932</v>
      </c>
      <c r="L169" s="4"/>
      <c r="M169" s="4" t="s">
        <v>933</v>
      </c>
      <c r="N169" s="4"/>
      <c r="O169" s="4" t="s">
        <v>934</v>
      </c>
      <c r="P169" s="4"/>
      <c r="Q169" s="4" t="s">
        <v>935</v>
      </c>
      <c r="R169" s="4"/>
      <c r="S169" s="4" t="s">
        <v>940</v>
      </c>
      <c r="T169" s="4">
        <v>0</v>
      </c>
      <c r="U169" s="4">
        <v>0</v>
      </c>
      <c r="V169" s="4">
        <v>0</v>
      </c>
      <c r="W169" s="4"/>
      <c r="X169" s="4" t="s">
        <v>937</v>
      </c>
      <c r="Y169" s="4"/>
      <c r="Z169" s="4"/>
      <c r="AA169" s="41" t="s">
        <v>850</v>
      </c>
      <c r="AB169" s="42" t="s">
        <v>269</v>
      </c>
      <c r="AC169" s="43" t="s">
        <v>58</v>
      </c>
      <c r="AD169" s="43">
        <v>28000000000.57</v>
      </c>
      <c r="AE169" s="44">
        <v>0</v>
      </c>
      <c r="AF169" s="44">
        <v>0</v>
      </c>
      <c r="AG169" s="44">
        <v>0</v>
      </c>
      <c r="AH169" s="44">
        <v>0</v>
      </c>
      <c r="AI169" s="44">
        <v>0</v>
      </c>
      <c r="AJ169" s="43">
        <v>28000000000.57</v>
      </c>
      <c r="AK169" s="44">
        <v>0</v>
      </c>
      <c r="AL169" s="43">
        <v>24771618</v>
      </c>
      <c r="AM169" s="43">
        <v>10573914576.959999</v>
      </c>
      <c r="AN169" s="44">
        <v>0</v>
      </c>
      <c r="AO169" s="43">
        <v>24771618</v>
      </c>
      <c r="AP169" s="43">
        <v>10573914576.959999</v>
      </c>
      <c r="AQ169" s="44">
        <v>0</v>
      </c>
      <c r="AR169" s="44">
        <v>24771618</v>
      </c>
      <c r="AS169" s="43">
        <v>10573914576.959999</v>
      </c>
      <c r="AT169" s="39">
        <f t="shared" si="92"/>
        <v>10573914576.959999</v>
      </c>
      <c r="AU169" s="18">
        <f>AJ169-AM169</f>
        <v>17426085423.610001</v>
      </c>
      <c r="AV169" s="34">
        <f>AM169-AP169</f>
        <v>0</v>
      </c>
      <c r="AW169" s="34">
        <f>AP169-AT169</f>
        <v>0</v>
      </c>
      <c r="AX169" s="32">
        <f t="shared" si="97"/>
        <v>0.37763980631231231</v>
      </c>
    </row>
    <row r="170" spans="1:50" s="25" customFormat="1" ht="18.75" customHeight="1" x14ac:dyDescent="0.2">
      <c r="A170" s="19" t="s">
        <v>37</v>
      </c>
      <c r="B170" s="19" t="s">
        <v>37</v>
      </c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26" t="s">
        <v>270</v>
      </c>
      <c r="AB170" s="21" t="s">
        <v>271</v>
      </c>
      <c r="AC170" s="22" t="s">
        <v>37</v>
      </c>
      <c r="AD170" s="22">
        <f>AD171</f>
        <v>21500000000</v>
      </c>
      <c r="AE170" s="23">
        <f t="shared" ref="AE170:AW173" si="104">AE171</f>
        <v>0</v>
      </c>
      <c r="AF170" s="23">
        <f t="shared" si="104"/>
        <v>0</v>
      </c>
      <c r="AG170" s="23">
        <f t="shared" si="104"/>
        <v>0</v>
      </c>
      <c r="AH170" s="23">
        <f t="shared" si="104"/>
        <v>0</v>
      </c>
      <c r="AI170" s="23">
        <f t="shared" si="104"/>
        <v>0</v>
      </c>
      <c r="AJ170" s="22">
        <f t="shared" si="104"/>
        <v>21500000000</v>
      </c>
      <c r="AK170" s="23">
        <f t="shared" si="104"/>
        <v>0</v>
      </c>
      <c r="AL170" s="22">
        <f t="shared" si="104"/>
        <v>260257111.94</v>
      </c>
      <c r="AM170" s="22">
        <f t="shared" si="104"/>
        <v>8314548920.9300003</v>
      </c>
      <c r="AN170" s="23">
        <f t="shared" si="104"/>
        <v>0</v>
      </c>
      <c r="AO170" s="22">
        <f t="shared" si="104"/>
        <v>260257111.94</v>
      </c>
      <c r="AP170" s="22">
        <f t="shared" si="104"/>
        <v>8314548920.9300003</v>
      </c>
      <c r="AQ170" s="23">
        <f t="shared" si="104"/>
        <v>0</v>
      </c>
      <c r="AR170" s="22">
        <f t="shared" si="104"/>
        <v>260257111.94</v>
      </c>
      <c r="AS170" s="22">
        <f t="shared" si="104"/>
        <v>8314548920.9300003</v>
      </c>
      <c r="AT170" s="22">
        <f t="shared" si="104"/>
        <v>8314548920.9300003</v>
      </c>
      <c r="AU170" s="22">
        <f t="shared" si="104"/>
        <v>13185451079.07</v>
      </c>
      <c r="AV170" s="23">
        <f t="shared" si="104"/>
        <v>0</v>
      </c>
      <c r="AW170" s="23">
        <f t="shared" si="104"/>
        <v>0</v>
      </c>
      <c r="AX170" s="24">
        <f t="shared" si="97"/>
        <v>0.38672320562465118</v>
      </c>
    </row>
    <row r="171" spans="1:50" ht="18.75" customHeight="1" x14ac:dyDescent="0.2">
      <c r="A171" s="27" t="s">
        <v>37</v>
      </c>
      <c r="B171" s="27" t="s">
        <v>37</v>
      </c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8" t="s">
        <v>849</v>
      </c>
      <c r="AB171" s="29" t="s">
        <v>272</v>
      </c>
      <c r="AC171" s="30" t="s">
        <v>56</v>
      </c>
      <c r="AD171" s="30">
        <f>AD172</f>
        <v>21500000000</v>
      </c>
      <c r="AE171" s="31">
        <f t="shared" si="104"/>
        <v>0</v>
      </c>
      <c r="AF171" s="31">
        <f t="shared" si="104"/>
        <v>0</v>
      </c>
      <c r="AG171" s="31">
        <f t="shared" si="104"/>
        <v>0</v>
      </c>
      <c r="AH171" s="31">
        <f t="shared" si="104"/>
        <v>0</v>
      </c>
      <c r="AI171" s="31">
        <f t="shared" si="104"/>
        <v>0</v>
      </c>
      <c r="AJ171" s="30">
        <f t="shared" si="104"/>
        <v>21500000000</v>
      </c>
      <c r="AK171" s="31">
        <f t="shared" si="104"/>
        <v>0</v>
      </c>
      <c r="AL171" s="30">
        <f t="shared" si="104"/>
        <v>260257111.94</v>
      </c>
      <c r="AM171" s="30">
        <f t="shared" si="104"/>
        <v>8314548920.9300003</v>
      </c>
      <c r="AN171" s="31">
        <f t="shared" si="104"/>
        <v>0</v>
      </c>
      <c r="AO171" s="30">
        <f t="shared" si="104"/>
        <v>260257111.94</v>
      </c>
      <c r="AP171" s="30">
        <f t="shared" si="104"/>
        <v>8314548920.9300003</v>
      </c>
      <c r="AQ171" s="31">
        <f t="shared" si="104"/>
        <v>0</v>
      </c>
      <c r="AR171" s="30">
        <f t="shared" si="104"/>
        <v>260257111.94</v>
      </c>
      <c r="AS171" s="30">
        <f t="shared" si="104"/>
        <v>8314548920.9300003</v>
      </c>
      <c r="AT171" s="30">
        <f t="shared" ref="AT171:AT174" si="105">AQ171+AS171</f>
        <v>8314548920.9300003</v>
      </c>
      <c r="AU171" s="18">
        <f>AJ171-AM171</f>
        <v>13185451079.07</v>
      </c>
      <c r="AV171" s="34">
        <f>AM171-AP171</f>
        <v>0</v>
      </c>
      <c r="AW171" s="34">
        <f>AP171-AT171</f>
        <v>0</v>
      </c>
      <c r="AX171" s="32">
        <f t="shared" si="97"/>
        <v>0.38672320562465118</v>
      </c>
    </row>
    <row r="172" spans="1:50" ht="18.75" customHeight="1" x14ac:dyDescent="0.2">
      <c r="A172" s="27" t="s">
        <v>37</v>
      </c>
      <c r="B172" s="27" t="s">
        <v>37</v>
      </c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8" t="s">
        <v>848</v>
      </c>
      <c r="AB172" s="29" t="s">
        <v>268</v>
      </c>
      <c r="AC172" s="30" t="s">
        <v>37</v>
      </c>
      <c r="AD172" s="30">
        <f>AD173</f>
        <v>21500000000</v>
      </c>
      <c r="AE172" s="31">
        <f t="shared" si="104"/>
        <v>0</v>
      </c>
      <c r="AF172" s="31">
        <f t="shared" si="104"/>
        <v>0</v>
      </c>
      <c r="AG172" s="31">
        <f t="shared" si="104"/>
        <v>0</v>
      </c>
      <c r="AH172" s="31">
        <f t="shared" si="104"/>
        <v>0</v>
      </c>
      <c r="AI172" s="31">
        <f t="shared" si="104"/>
        <v>0</v>
      </c>
      <c r="AJ172" s="30">
        <f t="shared" si="104"/>
        <v>21500000000</v>
      </c>
      <c r="AK172" s="31">
        <f t="shared" si="104"/>
        <v>0</v>
      </c>
      <c r="AL172" s="30">
        <f t="shared" si="104"/>
        <v>260257111.94</v>
      </c>
      <c r="AM172" s="30">
        <f t="shared" si="104"/>
        <v>8314548920.9300003</v>
      </c>
      <c r="AN172" s="31">
        <f t="shared" si="104"/>
        <v>0</v>
      </c>
      <c r="AO172" s="30">
        <f t="shared" si="104"/>
        <v>260257111.94</v>
      </c>
      <c r="AP172" s="30">
        <f t="shared" si="104"/>
        <v>8314548920.9300003</v>
      </c>
      <c r="AQ172" s="31">
        <f t="shared" si="104"/>
        <v>0</v>
      </c>
      <c r="AR172" s="30">
        <f t="shared" si="104"/>
        <v>260257111.94</v>
      </c>
      <c r="AS172" s="30">
        <f t="shared" si="104"/>
        <v>8314548920.9300003</v>
      </c>
      <c r="AT172" s="30">
        <f t="shared" si="105"/>
        <v>8314548920.9300003</v>
      </c>
      <c r="AU172" s="18">
        <f>AJ172-AM172</f>
        <v>13185451079.07</v>
      </c>
      <c r="AV172" s="34">
        <f>AM172-AP172</f>
        <v>0</v>
      </c>
      <c r="AW172" s="34">
        <f>AP172-AT172</f>
        <v>0</v>
      </c>
      <c r="AX172" s="32">
        <f t="shared" si="97"/>
        <v>0.38672320562465118</v>
      </c>
    </row>
    <row r="173" spans="1:50" ht="18.75" customHeight="1" x14ac:dyDescent="0.2">
      <c r="A173" s="27" t="s">
        <v>37</v>
      </c>
      <c r="B173" s="27" t="s">
        <v>37</v>
      </c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8" t="s">
        <v>847</v>
      </c>
      <c r="AB173" s="29" t="s">
        <v>269</v>
      </c>
      <c r="AC173" s="30" t="s">
        <v>37</v>
      </c>
      <c r="AD173" s="30">
        <f>AD174</f>
        <v>21500000000</v>
      </c>
      <c r="AE173" s="31">
        <f t="shared" si="104"/>
        <v>0</v>
      </c>
      <c r="AF173" s="31">
        <f t="shared" si="104"/>
        <v>0</v>
      </c>
      <c r="AG173" s="31">
        <f t="shared" si="104"/>
        <v>0</v>
      </c>
      <c r="AH173" s="31">
        <f t="shared" si="104"/>
        <v>0</v>
      </c>
      <c r="AI173" s="31">
        <f t="shared" si="104"/>
        <v>0</v>
      </c>
      <c r="AJ173" s="30">
        <f t="shared" si="104"/>
        <v>21500000000</v>
      </c>
      <c r="AK173" s="31">
        <f t="shared" si="104"/>
        <v>0</v>
      </c>
      <c r="AL173" s="30">
        <f t="shared" si="104"/>
        <v>260257111.94</v>
      </c>
      <c r="AM173" s="30">
        <f t="shared" si="104"/>
        <v>8314548920.9300003</v>
      </c>
      <c r="AN173" s="31">
        <f t="shared" si="104"/>
        <v>0</v>
      </c>
      <c r="AO173" s="30">
        <f t="shared" si="104"/>
        <v>260257111.94</v>
      </c>
      <c r="AP173" s="30">
        <f t="shared" si="104"/>
        <v>8314548920.9300003</v>
      </c>
      <c r="AQ173" s="31">
        <f t="shared" si="104"/>
        <v>0</v>
      </c>
      <c r="AR173" s="30">
        <f t="shared" si="104"/>
        <v>260257111.94</v>
      </c>
      <c r="AS173" s="30">
        <f t="shared" si="104"/>
        <v>8314548920.9300003</v>
      </c>
      <c r="AT173" s="30">
        <f t="shared" si="105"/>
        <v>8314548920.9300003</v>
      </c>
      <c r="AU173" s="18">
        <f>AJ173-AM173</f>
        <v>13185451079.07</v>
      </c>
      <c r="AV173" s="34">
        <f>AM173-AP173</f>
        <v>0</v>
      </c>
      <c r="AW173" s="34">
        <f>AP173-AT173</f>
        <v>0</v>
      </c>
      <c r="AX173" s="32">
        <f t="shared" si="97"/>
        <v>0.38672320562465118</v>
      </c>
    </row>
    <row r="174" spans="1:50" ht="18.75" customHeight="1" x14ac:dyDescent="0.2">
      <c r="A174" s="4" t="s">
        <v>55</v>
      </c>
      <c r="B174" s="4" t="s">
        <v>56</v>
      </c>
      <c r="C174" s="4"/>
      <c r="D174" s="4" t="s">
        <v>947</v>
      </c>
      <c r="E174" s="4"/>
      <c r="F174" s="4"/>
      <c r="G174" s="4" t="s">
        <v>41</v>
      </c>
      <c r="H174" s="4"/>
      <c r="I174" s="4" t="s">
        <v>936</v>
      </c>
      <c r="J174" s="4"/>
      <c r="K174" s="4" t="s">
        <v>932</v>
      </c>
      <c r="L174" s="4"/>
      <c r="M174" s="4" t="s">
        <v>933</v>
      </c>
      <c r="N174" s="4"/>
      <c r="O174" s="4" t="s">
        <v>934</v>
      </c>
      <c r="P174" s="4"/>
      <c r="Q174" s="4" t="s">
        <v>935</v>
      </c>
      <c r="R174" s="4"/>
      <c r="S174" s="4" t="s">
        <v>940</v>
      </c>
      <c r="T174" s="4">
        <v>0</v>
      </c>
      <c r="U174" s="4">
        <v>0</v>
      </c>
      <c r="V174" s="4">
        <v>0</v>
      </c>
      <c r="W174" s="4"/>
      <c r="X174" s="4" t="s">
        <v>937</v>
      </c>
      <c r="Y174" s="4"/>
      <c r="Z174" s="4"/>
      <c r="AA174" s="41" t="s">
        <v>846</v>
      </c>
      <c r="AB174" s="42" t="s">
        <v>269</v>
      </c>
      <c r="AC174" s="43" t="s">
        <v>58</v>
      </c>
      <c r="AD174" s="43">
        <v>21500000000</v>
      </c>
      <c r="AE174" s="44">
        <v>0</v>
      </c>
      <c r="AF174" s="44">
        <v>0</v>
      </c>
      <c r="AG174" s="44">
        <v>0</v>
      </c>
      <c r="AH174" s="44">
        <v>0</v>
      </c>
      <c r="AI174" s="44">
        <v>0</v>
      </c>
      <c r="AJ174" s="43">
        <v>21500000000</v>
      </c>
      <c r="AK174" s="44">
        <v>0</v>
      </c>
      <c r="AL174" s="43">
        <v>260257111.94</v>
      </c>
      <c r="AM174" s="43">
        <v>8314548920.9300003</v>
      </c>
      <c r="AN174" s="44">
        <v>0</v>
      </c>
      <c r="AO174" s="43">
        <v>260257111.94</v>
      </c>
      <c r="AP174" s="43">
        <v>8314548920.9300003</v>
      </c>
      <c r="AQ174" s="44">
        <v>0</v>
      </c>
      <c r="AR174" s="43">
        <v>260257111.94</v>
      </c>
      <c r="AS174" s="43">
        <v>8314548920.9300003</v>
      </c>
      <c r="AT174" s="39">
        <f t="shared" si="105"/>
        <v>8314548920.9300003</v>
      </c>
      <c r="AU174" s="18">
        <f>AJ174-AM174</f>
        <v>13185451079.07</v>
      </c>
      <c r="AV174" s="34">
        <f>AM174-AP174</f>
        <v>0</v>
      </c>
      <c r="AW174" s="34">
        <f>AP174-AT174</f>
        <v>0</v>
      </c>
      <c r="AX174" s="32">
        <f t="shared" si="97"/>
        <v>0.38672320562465118</v>
      </c>
    </row>
    <row r="175" spans="1:50" s="25" customFormat="1" ht="18.75" customHeight="1" x14ac:dyDescent="0.2">
      <c r="A175" s="19" t="s">
        <v>37</v>
      </c>
      <c r="B175" s="19" t="s">
        <v>37</v>
      </c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26" t="s">
        <v>273</v>
      </c>
      <c r="AB175" s="21" t="s">
        <v>274</v>
      </c>
      <c r="AC175" s="22" t="s">
        <v>37</v>
      </c>
      <c r="AD175" s="22">
        <f>AD176</f>
        <v>200000000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2">
        <f>AJ176</f>
        <v>200000000</v>
      </c>
      <c r="AK175" s="23">
        <f t="shared" ref="AK175:AW177" si="106">AK176</f>
        <v>0</v>
      </c>
      <c r="AL175" s="23">
        <f t="shared" si="106"/>
        <v>0</v>
      </c>
      <c r="AM175" s="23">
        <f t="shared" si="106"/>
        <v>0</v>
      </c>
      <c r="AN175" s="23">
        <f t="shared" si="106"/>
        <v>0</v>
      </c>
      <c r="AO175" s="23">
        <f t="shared" si="106"/>
        <v>0</v>
      </c>
      <c r="AP175" s="23">
        <f t="shared" si="106"/>
        <v>0</v>
      </c>
      <c r="AQ175" s="23">
        <f t="shared" si="106"/>
        <v>0</v>
      </c>
      <c r="AR175" s="23">
        <f t="shared" si="106"/>
        <v>0</v>
      </c>
      <c r="AS175" s="23">
        <f t="shared" si="106"/>
        <v>0</v>
      </c>
      <c r="AT175" s="23">
        <f t="shared" si="106"/>
        <v>0</v>
      </c>
      <c r="AU175" s="22">
        <f t="shared" si="106"/>
        <v>200000000</v>
      </c>
      <c r="AV175" s="23">
        <f t="shared" si="106"/>
        <v>0</v>
      </c>
      <c r="AW175" s="23">
        <f t="shared" si="106"/>
        <v>0</v>
      </c>
      <c r="AX175" s="24">
        <f t="shared" si="97"/>
        <v>0</v>
      </c>
    </row>
    <row r="176" spans="1:50" ht="18.75" customHeight="1" x14ac:dyDescent="0.2">
      <c r="A176" s="27" t="s">
        <v>37</v>
      </c>
      <c r="B176" s="27" t="s">
        <v>37</v>
      </c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8" t="s">
        <v>843</v>
      </c>
      <c r="AB176" s="29" t="s">
        <v>267</v>
      </c>
      <c r="AC176" s="30" t="s">
        <v>37</v>
      </c>
      <c r="AD176" s="30">
        <f>AD177</f>
        <v>200000000</v>
      </c>
      <c r="AE176" s="31">
        <v>0</v>
      </c>
      <c r="AF176" s="31">
        <v>0</v>
      </c>
      <c r="AG176" s="31">
        <v>0</v>
      </c>
      <c r="AH176" s="31">
        <v>0</v>
      </c>
      <c r="AI176" s="31">
        <v>0</v>
      </c>
      <c r="AJ176" s="30">
        <f t="shared" ref="AJ176:AJ177" si="107">AJ177</f>
        <v>200000000</v>
      </c>
      <c r="AK176" s="31">
        <f t="shared" si="106"/>
        <v>0</v>
      </c>
      <c r="AL176" s="31">
        <f t="shared" si="106"/>
        <v>0</v>
      </c>
      <c r="AM176" s="31">
        <f t="shared" si="106"/>
        <v>0</v>
      </c>
      <c r="AN176" s="31">
        <f t="shared" si="106"/>
        <v>0</v>
      </c>
      <c r="AO176" s="31">
        <f t="shared" si="106"/>
        <v>0</v>
      </c>
      <c r="AP176" s="31">
        <f t="shared" si="106"/>
        <v>0</v>
      </c>
      <c r="AQ176" s="31">
        <f t="shared" si="106"/>
        <v>0</v>
      </c>
      <c r="AR176" s="31">
        <f t="shared" si="106"/>
        <v>0</v>
      </c>
      <c r="AS176" s="31">
        <f t="shared" si="106"/>
        <v>0</v>
      </c>
      <c r="AT176" s="40">
        <f t="shared" si="106"/>
        <v>0</v>
      </c>
      <c r="AU176" s="30">
        <f t="shared" si="106"/>
        <v>200000000</v>
      </c>
      <c r="AV176" s="31">
        <f t="shared" si="106"/>
        <v>0</v>
      </c>
      <c r="AW176" s="31">
        <f t="shared" si="106"/>
        <v>0</v>
      </c>
      <c r="AX176" s="32">
        <f t="shared" si="97"/>
        <v>0</v>
      </c>
    </row>
    <row r="177" spans="1:50" ht="18.75" customHeight="1" x14ac:dyDescent="0.2">
      <c r="A177" s="27" t="s">
        <v>37</v>
      </c>
      <c r="B177" s="27" t="s">
        <v>37</v>
      </c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8" t="s">
        <v>845</v>
      </c>
      <c r="AB177" s="29" t="s">
        <v>268</v>
      </c>
      <c r="AC177" s="30" t="s">
        <v>37</v>
      </c>
      <c r="AD177" s="30">
        <f>AD178</f>
        <v>200000000</v>
      </c>
      <c r="AE177" s="31">
        <v>0</v>
      </c>
      <c r="AF177" s="31">
        <v>0</v>
      </c>
      <c r="AG177" s="31">
        <v>0</v>
      </c>
      <c r="AH177" s="31">
        <v>0</v>
      </c>
      <c r="AI177" s="31">
        <v>0</v>
      </c>
      <c r="AJ177" s="30">
        <f t="shared" si="107"/>
        <v>200000000</v>
      </c>
      <c r="AK177" s="31">
        <f t="shared" si="106"/>
        <v>0</v>
      </c>
      <c r="AL177" s="31">
        <f t="shared" si="106"/>
        <v>0</v>
      </c>
      <c r="AM177" s="31">
        <f t="shared" si="106"/>
        <v>0</v>
      </c>
      <c r="AN177" s="31">
        <f t="shared" si="106"/>
        <v>0</v>
      </c>
      <c r="AO177" s="31">
        <f t="shared" si="106"/>
        <v>0</v>
      </c>
      <c r="AP177" s="31">
        <f t="shared" si="106"/>
        <v>0</v>
      </c>
      <c r="AQ177" s="31">
        <f t="shared" si="106"/>
        <v>0</v>
      </c>
      <c r="AR177" s="31">
        <f t="shared" si="106"/>
        <v>0</v>
      </c>
      <c r="AS177" s="31">
        <f t="shared" si="106"/>
        <v>0</v>
      </c>
      <c r="AT177" s="40">
        <f t="shared" si="106"/>
        <v>0</v>
      </c>
      <c r="AU177" s="30">
        <f t="shared" si="106"/>
        <v>200000000</v>
      </c>
      <c r="AV177" s="31">
        <f t="shared" si="106"/>
        <v>0</v>
      </c>
      <c r="AW177" s="31">
        <f t="shared" si="106"/>
        <v>0</v>
      </c>
      <c r="AX177" s="32">
        <f t="shared" si="97"/>
        <v>0</v>
      </c>
    </row>
    <row r="178" spans="1:50" ht="18.75" customHeight="1" x14ac:dyDescent="0.2">
      <c r="A178" s="4" t="s">
        <v>55</v>
      </c>
      <c r="B178" s="4" t="s">
        <v>56</v>
      </c>
      <c r="C178" s="4"/>
      <c r="D178" s="4" t="s">
        <v>947</v>
      </c>
      <c r="E178" s="4"/>
      <c r="F178" s="4"/>
      <c r="G178" s="4" t="s">
        <v>41</v>
      </c>
      <c r="H178" s="4"/>
      <c r="I178" s="4" t="s">
        <v>936</v>
      </c>
      <c r="J178" s="4"/>
      <c r="K178" s="4" t="s">
        <v>932</v>
      </c>
      <c r="L178" s="4"/>
      <c r="M178" s="4" t="s">
        <v>933</v>
      </c>
      <c r="N178" s="4"/>
      <c r="O178" s="4" t="s">
        <v>934</v>
      </c>
      <c r="P178" s="4"/>
      <c r="Q178" s="4" t="s">
        <v>935</v>
      </c>
      <c r="R178" s="4"/>
      <c r="S178" s="4" t="s">
        <v>940</v>
      </c>
      <c r="T178" s="4">
        <v>0</v>
      </c>
      <c r="U178" s="4">
        <v>0</v>
      </c>
      <c r="V178" s="4">
        <v>0</v>
      </c>
      <c r="W178" s="4"/>
      <c r="X178" s="4" t="s">
        <v>937</v>
      </c>
      <c r="Y178" s="4"/>
      <c r="Z178" s="4"/>
      <c r="AA178" s="41" t="s">
        <v>844</v>
      </c>
      <c r="AB178" s="42" t="s">
        <v>269</v>
      </c>
      <c r="AC178" s="43" t="s">
        <v>58</v>
      </c>
      <c r="AD178" s="43">
        <v>200000000</v>
      </c>
      <c r="AE178" s="44">
        <v>0</v>
      </c>
      <c r="AF178" s="44">
        <v>0</v>
      </c>
      <c r="AG178" s="44">
        <v>0</v>
      </c>
      <c r="AH178" s="44">
        <v>0</v>
      </c>
      <c r="AI178" s="44">
        <v>0</v>
      </c>
      <c r="AJ178" s="43">
        <v>200000000</v>
      </c>
      <c r="AK178" s="44">
        <v>0</v>
      </c>
      <c r="AL178" s="44">
        <v>0</v>
      </c>
      <c r="AM178" s="44">
        <v>0</v>
      </c>
      <c r="AN178" s="44">
        <v>0</v>
      </c>
      <c r="AO178" s="44">
        <v>0</v>
      </c>
      <c r="AP178" s="44">
        <v>0</v>
      </c>
      <c r="AQ178" s="44">
        <v>0</v>
      </c>
      <c r="AR178" s="44">
        <v>0</v>
      </c>
      <c r="AS178" s="44">
        <v>0</v>
      </c>
      <c r="AT178" s="40">
        <f t="shared" ref="AT178:AT189" si="108">AQ178+AS178</f>
        <v>0</v>
      </c>
      <c r="AU178" s="18">
        <f>AJ178-AM178</f>
        <v>200000000</v>
      </c>
      <c r="AV178" s="34">
        <f>AM178-AP178</f>
        <v>0</v>
      </c>
      <c r="AW178" s="34">
        <f>AP178-AT178</f>
        <v>0</v>
      </c>
      <c r="AX178" s="32">
        <f t="shared" si="97"/>
        <v>0</v>
      </c>
    </row>
    <row r="179" spans="1:50" s="79" customFormat="1" ht="18.75" customHeight="1" x14ac:dyDescent="0.2">
      <c r="A179" s="117" t="s">
        <v>55</v>
      </c>
      <c r="B179" s="117" t="s">
        <v>56</v>
      </c>
      <c r="C179" s="117"/>
      <c r="D179" s="117" t="s">
        <v>947</v>
      </c>
      <c r="E179" s="117"/>
      <c r="F179" s="117"/>
      <c r="G179" s="117" t="s">
        <v>41</v>
      </c>
      <c r="H179" s="117"/>
      <c r="I179" s="117" t="s">
        <v>936</v>
      </c>
      <c r="J179" s="117"/>
      <c r="K179" s="117" t="s">
        <v>932</v>
      </c>
      <c r="L179" s="117"/>
      <c r="M179" s="117" t="s">
        <v>933</v>
      </c>
      <c r="N179" s="117"/>
      <c r="O179" s="117" t="s">
        <v>934</v>
      </c>
      <c r="P179" s="117"/>
      <c r="Q179" s="117" t="s">
        <v>935</v>
      </c>
      <c r="R179" s="117"/>
      <c r="S179" s="117" t="s">
        <v>940</v>
      </c>
      <c r="T179" s="117">
        <v>0</v>
      </c>
      <c r="U179" s="117">
        <v>0</v>
      </c>
      <c r="V179" s="117">
        <v>0</v>
      </c>
      <c r="W179" s="117"/>
      <c r="X179" s="117" t="s">
        <v>937</v>
      </c>
      <c r="Y179" s="117"/>
      <c r="Z179" s="117"/>
      <c r="AA179" s="81" t="s">
        <v>842</v>
      </c>
      <c r="AB179" s="82" t="s">
        <v>275</v>
      </c>
      <c r="AC179" s="83" t="s">
        <v>58</v>
      </c>
      <c r="AD179" s="83">
        <v>5000000000</v>
      </c>
      <c r="AE179" s="79">
        <f>5188937855.29+310221537.39</f>
        <v>5499159392.6800003</v>
      </c>
      <c r="AF179" s="118">
        <v>0</v>
      </c>
      <c r="AG179" s="118">
        <v>0</v>
      </c>
      <c r="AH179" s="118">
        <v>0</v>
      </c>
      <c r="AI179" s="18">
        <f t="shared" ref="AI179" si="109">AE179-AF179+AG179-AH179</f>
        <v>5499159392.6800003</v>
      </c>
      <c r="AJ179" s="176">
        <f>AD179+AI179</f>
        <v>10499159392.68</v>
      </c>
      <c r="AK179" s="118">
        <v>0</v>
      </c>
      <c r="AL179" s="119">
        <v>331283356.5</v>
      </c>
      <c r="AM179" s="119">
        <v>1573978956.4100001</v>
      </c>
      <c r="AN179" s="118">
        <v>0</v>
      </c>
      <c r="AO179" s="83">
        <v>212516641.5</v>
      </c>
      <c r="AP179" s="83">
        <v>1189528825.04</v>
      </c>
      <c r="AQ179" s="118">
        <v>0</v>
      </c>
      <c r="AR179" s="83">
        <v>334877656.14999998</v>
      </c>
      <c r="AS179" s="83">
        <v>1125773795.1800001</v>
      </c>
      <c r="AT179" s="147">
        <f t="shared" si="108"/>
        <v>1125773795.1800001</v>
      </c>
      <c r="AU179" s="119">
        <f>AJ179-AM179</f>
        <v>8925180436.2700005</v>
      </c>
      <c r="AV179" s="119">
        <f>AM179-AP179</f>
        <v>384450131.37000012</v>
      </c>
      <c r="AW179" s="83">
        <f>AP179-AT179</f>
        <v>63755029.859999895</v>
      </c>
      <c r="AX179" s="118">
        <f t="shared" si="97"/>
        <v>0.11329752988313882</v>
      </c>
    </row>
    <row r="180" spans="1:50" s="25" customFormat="1" ht="18.75" customHeight="1" x14ac:dyDescent="0.2">
      <c r="A180" s="19" t="s">
        <v>37</v>
      </c>
      <c r="B180" s="19" t="s">
        <v>37</v>
      </c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7" t="s">
        <v>841</v>
      </c>
      <c r="AB180" s="198" t="s">
        <v>276</v>
      </c>
      <c r="AC180" s="22" t="s">
        <v>37</v>
      </c>
      <c r="AD180" s="22">
        <f t="shared" ref="AD180:AS180" si="110">AD181+AD188</f>
        <v>3752467164.4300003</v>
      </c>
      <c r="AE180" s="22">
        <f t="shared" si="110"/>
        <v>488313290.56999999</v>
      </c>
      <c r="AF180" s="23">
        <f t="shared" si="110"/>
        <v>0</v>
      </c>
      <c r="AG180" s="23">
        <f t="shared" si="110"/>
        <v>0</v>
      </c>
      <c r="AH180" s="23">
        <f t="shared" si="110"/>
        <v>0</v>
      </c>
      <c r="AI180" s="22">
        <f t="shared" si="110"/>
        <v>488313290.56999999</v>
      </c>
      <c r="AJ180" s="22">
        <f t="shared" si="110"/>
        <v>4240780455.0000005</v>
      </c>
      <c r="AK180" s="23">
        <f t="shared" si="110"/>
        <v>0</v>
      </c>
      <c r="AL180" s="22">
        <f t="shared" si="110"/>
        <v>295858023.19</v>
      </c>
      <c r="AM180" s="22">
        <f t="shared" si="110"/>
        <v>1602153105.8499999</v>
      </c>
      <c r="AN180" s="23">
        <f t="shared" si="110"/>
        <v>0</v>
      </c>
      <c r="AO180" s="22">
        <f t="shared" si="110"/>
        <v>295858023.19</v>
      </c>
      <c r="AP180" s="22">
        <f t="shared" si="110"/>
        <v>1602153105.25</v>
      </c>
      <c r="AQ180" s="23">
        <f t="shared" si="110"/>
        <v>0</v>
      </c>
      <c r="AR180" s="22">
        <f t="shared" si="110"/>
        <v>309263459.78999996</v>
      </c>
      <c r="AS180" s="22">
        <f t="shared" si="110"/>
        <v>1565815833.25</v>
      </c>
      <c r="AT180" s="121">
        <f t="shared" si="108"/>
        <v>1565815833.25</v>
      </c>
      <c r="AU180" s="121">
        <f>AJ180-AM180</f>
        <v>2638627349.1500006</v>
      </c>
      <c r="AV180" s="122">
        <f>AM180-AP180</f>
        <v>0.59999990463256836</v>
      </c>
      <c r="AW180" s="121">
        <f>AP180-AT180</f>
        <v>36337272</v>
      </c>
      <c r="AX180" s="49">
        <f t="shared" si="97"/>
        <v>0.37779675751924768</v>
      </c>
    </row>
    <row r="181" spans="1:50" ht="18.75" customHeight="1" x14ac:dyDescent="0.2">
      <c r="A181" s="27" t="s">
        <v>37</v>
      </c>
      <c r="B181" s="27" t="s">
        <v>37</v>
      </c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8" t="s">
        <v>840</v>
      </c>
      <c r="AB181" s="29" t="s">
        <v>277</v>
      </c>
      <c r="AC181" s="30" t="s">
        <v>37</v>
      </c>
      <c r="AD181" s="30">
        <f t="shared" ref="AD181:AW181" si="111">AD182+AD183+AD184+AD185+AD187+AD186</f>
        <v>3552467164.4300003</v>
      </c>
      <c r="AE181" s="30">
        <f t="shared" si="111"/>
        <v>488313290.56999999</v>
      </c>
      <c r="AF181" s="31">
        <f t="shared" si="111"/>
        <v>0</v>
      </c>
      <c r="AG181" s="31">
        <f t="shared" si="111"/>
        <v>0</v>
      </c>
      <c r="AH181" s="31">
        <f t="shared" si="111"/>
        <v>0</v>
      </c>
      <c r="AI181" s="30">
        <f t="shared" si="111"/>
        <v>488313290.56999999</v>
      </c>
      <c r="AJ181" s="30">
        <f t="shared" si="111"/>
        <v>4040780455.0000005</v>
      </c>
      <c r="AK181" s="31">
        <f t="shared" si="111"/>
        <v>0</v>
      </c>
      <c r="AL181" s="30">
        <f t="shared" si="111"/>
        <v>295858023.19</v>
      </c>
      <c r="AM181" s="30">
        <f t="shared" si="111"/>
        <v>1602153105.8499999</v>
      </c>
      <c r="AN181" s="31">
        <f t="shared" si="111"/>
        <v>0</v>
      </c>
      <c r="AO181" s="30">
        <f t="shared" si="111"/>
        <v>295858023.19</v>
      </c>
      <c r="AP181" s="30">
        <f t="shared" si="111"/>
        <v>1602153105.25</v>
      </c>
      <c r="AQ181" s="31">
        <f t="shared" si="111"/>
        <v>0</v>
      </c>
      <c r="AR181" s="30">
        <f t="shared" si="111"/>
        <v>309263459.78999996</v>
      </c>
      <c r="AS181" s="30">
        <f t="shared" si="111"/>
        <v>1565815833.25</v>
      </c>
      <c r="AT181" s="30">
        <f t="shared" si="111"/>
        <v>1565815833.25</v>
      </c>
      <c r="AU181" s="30">
        <f t="shared" si="111"/>
        <v>2438627349.1500001</v>
      </c>
      <c r="AV181" s="30">
        <f t="shared" si="111"/>
        <v>0.60000002384185791</v>
      </c>
      <c r="AW181" s="30">
        <f t="shared" si="111"/>
        <v>36337272</v>
      </c>
      <c r="AX181" s="123">
        <f t="shared" si="97"/>
        <v>0.3964959549503661</v>
      </c>
    </row>
    <row r="182" spans="1:50" ht="18.75" customHeight="1" x14ac:dyDescent="0.2">
      <c r="A182" s="4" t="s">
        <v>55</v>
      </c>
      <c r="B182" s="4" t="s">
        <v>56</v>
      </c>
      <c r="C182" s="4"/>
      <c r="D182" s="4" t="s">
        <v>947</v>
      </c>
      <c r="E182" s="4"/>
      <c r="F182" s="4"/>
      <c r="G182" s="4" t="s">
        <v>41</v>
      </c>
      <c r="H182" s="4"/>
      <c r="I182" s="4" t="s">
        <v>936</v>
      </c>
      <c r="J182" s="4"/>
      <c r="K182" s="4" t="s">
        <v>932</v>
      </c>
      <c r="L182" s="4"/>
      <c r="M182" s="4" t="s">
        <v>933</v>
      </c>
      <c r="N182" s="4"/>
      <c r="O182" s="4" t="s">
        <v>934</v>
      </c>
      <c r="P182" s="4"/>
      <c r="Q182" s="4" t="s">
        <v>935</v>
      </c>
      <c r="R182" s="4"/>
      <c r="S182" s="4" t="s">
        <v>940</v>
      </c>
      <c r="T182" s="4">
        <v>0</v>
      </c>
      <c r="U182" s="4">
        <v>0</v>
      </c>
      <c r="V182" s="4">
        <v>0</v>
      </c>
      <c r="W182" s="4"/>
      <c r="X182" s="4" t="s">
        <v>937</v>
      </c>
      <c r="Y182" s="4"/>
      <c r="Z182" s="4"/>
      <c r="AA182" s="41" t="s">
        <v>839</v>
      </c>
      <c r="AB182" s="42" t="s">
        <v>233</v>
      </c>
      <c r="AC182" s="43" t="s">
        <v>58</v>
      </c>
      <c r="AD182" s="43">
        <v>530000000</v>
      </c>
      <c r="AE182" s="44">
        <v>0</v>
      </c>
      <c r="AF182" s="44">
        <v>0</v>
      </c>
      <c r="AG182" s="44">
        <v>0</v>
      </c>
      <c r="AH182" s="44">
        <v>0</v>
      </c>
      <c r="AI182" s="44">
        <v>0</v>
      </c>
      <c r="AJ182" s="43">
        <v>530000000</v>
      </c>
      <c r="AK182" s="44">
        <v>0</v>
      </c>
      <c r="AL182" s="44">
        <v>0</v>
      </c>
      <c r="AM182" s="44">
        <v>0</v>
      </c>
      <c r="AN182" s="44">
        <v>0</v>
      </c>
      <c r="AO182" s="44">
        <v>0</v>
      </c>
      <c r="AP182" s="44">
        <v>0</v>
      </c>
      <c r="AQ182" s="44">
        <v>0</v>
      </c>
      <c r="AR182" s="44">
        <v>0</v>
      </c>
      <c r="AS182" s="44">
        <v>0</v>
      </c>
      <c r="AT182" s="40">
        <f t="shared" si="108"/>
        <v>0</v>
      </c>
      <c r="AU182" s="18">
        <f t="shared" ref="AU182:AU189" si="112">AJ182-AM182</f>
        <v>530000000</v>
      </c>
      <c r="AV182" s="34">
        <f t="shared" ref="AV182:AV189" si="113">AM182-AP182</f>
        <v>0</v>
      </c>
      <c r="AW182" s="34">
        <f t="shared" ref="AW182:AW189" si="114">AP182-AT182</f>
        <v>0</v>
      </c>
      <c r="AX182" s="123">
        <f t="shared" si="97"/>
        <v>0</v>
      </c>
    </row>
    <row r="183" spans="1:50" s="150" customFormat="1" ht="18.75" customHeight="1" x14ac:dyDescent="0.2">
      <c r="A183" s="140" t="s">
        <v>55</v>
      </c>
      <c r="B183" s="140" t="s">
        <v>56</v>
      </c>
      <c r="C183" s="140"/>
      <c r="D183" s="140" t="s">
        <v>947</v>
      </c>
      <c r="E183" s="140"/>
      <c r="F183" s="140"/>
      <c r="G183" s="140" t="s">
        <v>41</v>
      </c>
      <c r="H183" s="140"/>
      <c r="I183" s="140" t="s">
        <v>936</v>
      </c>
      <c r="J183" s="140"/>
      <c r="K183" s="140" t="s">
        <v>932</v>
      </c>
      <c r="L183" s="140"/>
      <c r="M183" s="140" t="s">
        <v>933</v>
      </c>
      <c r="N183" s="140"/>
      <c r="O183" s="140" t="s">
        <v>934</v>
      </c>
      <c r="P183" s="140"/>
      <c r="Q183" s="140" t="s">
        <v>935</v>
      </c>
      <c r="R183" s="140"/>
      <c r="S183" s="140" t="s">
        <v>940</v>
      </c>
      <c r="T183" s="140">
        <v>0</v>
      </c>
      <c r="U183" s="140">
        <v>0</v>
      </c>
      <c r="V183" s="140">
        <v>0</v>
      </c>
      <c r="W183" s="140"/>
      <c r="X183" s="140" t="s">
        <v>937</v>
      </c>
      <c r="Y183" s="140"/>
      <c r="Z183" s="140"/>
      <c r="AA183" s="134" t="s">
        <v>838</v>
      </c>
      <c r="AB183" s="69" t="s">
        <v>278</v>
      </c>
      <c r="AC183" s="142" t="s">
        <v>253</v>
      </c>
      <c r="AD183" s="142">
        <v>600000000</v>
      </c>
      <c r="AE183" s="143">
        <v>0</v>
      </c>
      <c r="AF183" s="143">
        <v>0</v>
      </c>
      <c r="AG183" s="143">
        <v>0</v>
      </c>
      <c r="AH183" s="143">
        <v>0</v>
      </c>
      <c r="AI183" s="143">
        <v>0</v>
      </c>
      <c r="AJ183" s="142">
        <v>600000000</v>
      </c>
      <c r="AK183" s="143">
        <v>0</v>
      </c>
      <c r="AL183" s="143">
        <v>0</v>
      </c>
      <c r="AM183" s="142">
        <v>158326163</v>
      </c>
      <c r="AN183" s="143">
        <v>0</v>
      </c>
      <c r="AO183" s="143">
        <v>0</v>
      </c>
      <c r="AP183" s="142">
        <v>158326163</v>
      </c>
      <c r="AQ183" s="143">
        <v>0</v>
      </c>
      <c r="AR183" s="143">
        <v>0</v>
      </c>
      <c r="AS183" s="142">
        <v>158326163</v>
      </c>
      <c r="AT183" s="267">
        <f t="shared" si="108"/>
        <v>158326163</v>
      </c>
      <c r="AU183" s="147">
        <f t="shared" si="112"/>
        <v>441673837</v>
      </c>
      <c r="AV183" s="145">
        <f t="shared" si="113"/>
        <v>0</v>
      </c>
      <c r="AW183" s="145">
        <f t="shared" si="114"/>
        <v>0</v>
      </c>
      <c r="AX183" s="149">
        <f t="shared" si="97"/>
        <v>0.26387693833333331</v>
      </c>
    </row>
    <row r="184" spans="1:50" ht="25.5" customHeight="1" x14ac:dyDescent="0.2">
      <c r="A184" s="4" t="s">
        <v>55</v>
      </c>
      <c r="B184" s="4" t="s">
        <v>56</v>
      </c>
      <c r="C184" s="4"/>
      <c r="D184" s="4" t="s">
        <v>947</v>
      </c>
      <c r="E184" s="4"/>
      <c r="F184" s="4"/>
      <c r="G184" s="4" t="s">
        <v>41</v>
      </c>
      <c r="H184" s="4"/>
      <c r="I184" s="4" t="s">
        <v>936</v>
      </c>
      <c r="J184" s="4"/>
      <c r="K184" s="4" t="s">
        <v>932</v>
      </c>
      <c r="L184" s="4"/>
      <c r="M184" s="4" t="s">
        <v>933</v>
      </c>
      <c r="N184" s="4"/>
      <c r="O184" s="4" t="s">
        <v>934</v>
      </c>
      <c r="P184" s="4"/>
      <c r="Q184" s="4" t="s">
        <v>935</v>
      </c>
      <c r="R184" s="4"/>
      <c r="S184" s="4" t="s">
        <v>940</v>
      </c>
      <c r="T184" s="4">
        <v>0</v>
      </c>
      <c r="U184" s="4">
        <v>0</v>
      </c>
      <c r="V184" s="4">
        <v>0</v>
      </c>
      <c r="W184" s="4"/>
      <c r="X184" s="4" t="s">
        <v>937</v>
      </c>
      <c r="Y184" s="4"/>
      <c r="Z184" s="4"/>
      <c r="AA184" s="134" t="s">
        <v>837</v>
      </c>
      <c r="AB184" s="69" t="s">
        <v>279</v>
      </c>
      <c r="AC184" s="142" t="s">
        <v>253</v>
      </c>
      <c r="AD184" s="142">
        <v>961836799</v>
      </c>
      <c r="AE184" s="44">
        <v>0</v>
      </c>
      <c r="AF184" s="44">
        <v>0</v>
      </c>
      <c r="AG184" s="44">
        <v>0</v>
      </c>
      <c r="AH184" s="44">
        <v>0</v>
      </c>
      <c r="AI184" s="44">
        <v>0</v>
      </c>
      <c r="AJ184" s="43">
        <v>961836799</v>
      </c>
      <c r="AK184" s="44">
        <v>0</v>
      </c>
      <c r="AL184" s="43">
        <v>152696960</v>
      </c>
      <c r="AM184" s="43">
        <v>576404924.95000005</v>
      </c>
      <c r="AN184" s="44">
        <v>0</v>
      </c>
      <c r="AO184" s="43">
        <v>152696960</v>
      </c>
      <c r="AP184" s="43">
        <v>576404924.95000005</v>
      </c>
      <c r="AQ184" s="44">
        <v>0</v>
      </c>
      <c r="AR184" s="43">
        <v>152696960</v>
      </c>
      <c r="AS184" s="43">
        <v>540067652.95000005</v>
      </c>
      <c r="AT184" s="39">
        <f t="shared" si="108"/>
        <v>540067652.95000005</v>
      </c>
      <c r="AU184" s="18">
        <f t="shared" si="112"/>
        <v>385431874.04999995</v>
      </c>
      <c r="AV184" s="34">
        <f t="shared" si="113"/>
        <v>0</v>
      </c>
      <c r="AW184" s="18">
        <f t="shared" si="114"/>
        <v>36337272</v>
      </c>
      <c r="AX184" s="123">
        <f t="shared" si="97"/>
        <v>0.59927518426127513</v>
      </c>
    </row>
    <row r="185" spans="1:50" ht="18.75" customHeight="1" x14ac:dyDescent="0.2">
      <c r="A185" s="4" t="s">
        <v>55</v>
      </c>
      <c r="B185" s="4" t="s">
        <v>56</v>
      </c>
      <c r="C185" s="4"/>
      <c r="D185" s="4" t="s">
        <v>947</v>
      </c>
      <c r="E185" s="4"/>
      <c r="F185" s="4"/>
      <c r="G185" s="4" t="s">
        <v>41</v>
      </c>
      <c r="H185" s="4"/>
      <c r="I185" s="4" t="s">
        <v>936</v>
      </c>
      <c r="J185" s="4"/>
      <c r="K185" s="4" t="s">
        <v>932</v>
      </c>
      <c r="L185" s="4"/>
      <c r="M185" s="4" t="s">
        <v>933</v>
      </c>
      <c r="N185" s="4"/>
      <c r="O185" s="4" t="s">
        <v>934</v>
      </c>
      <c r="P185" s="4"/>
      <c r="Q185" s="4" t="s">
        <v>935</v>
      </c>
      <c r="R185" s="4"/>
      <c r="S185" s="4" t="s">
        <v>940</v>
      </c>
      <c r="T185" s="4">
        <v>0</v>
      </c>
      <c r="U185" s="4">
        <v>0</v>
      </c>
      <c r="V185" s="4">
        <v>0</v>
      </c>
      <c r="W185" s="4"/>
      <c r="X185" s="4" t="s">
        <v>937</v>
      </c>
      <c r="Y185" s="4"/>
      <c r="Z185" s="4"/>
      <c r="AA185" s="134" t="s">
        <v>836</v>
      </c>
      <c r="AB185" s="69" t="s">
        <v>239</v>
      </c>
      <c r="AC185" s="142" t="s">
        <v>240</v>
      </c>
      <c r="AD185" s="142">
        <v>1460630365.4300001</v>
      </c>
      <c r="AE185" s="44">
        <v>0</v>
      </c>
      <c r="AF185" s="44">
        <v>0</v>
      </c>
      <c r="AG185" s="44">
        <v>0</v>
      </c>
      <c r="AH185" s="44">
        <v>0</v>
      </c>
      <c r="AI185" s="44">
        <v>0</v>
      </c>
      <c r="AJ185" s="43">
        <v>1460630365.4300001</v>
      </c>
      <c r="AK185" s="44">
        <v>0</v>
      </c>
      <c r="AL185" s="43">
        <v>143161063.19</v>
      </c>
      <c r="AM185" s="43">
        <v>867422017.89999998</v>
      </c>
      <c r="AN185" s="44">
        <v>0</v>
      </c>
      <c r="AO185" s="43">
        <v>143161063.19</v>
      </c>
      <c r="AP185" s="43">
        <v>867422017.29999995</v>
      </c>
      <c r="AQ185" s="44">
        <v>0</v>
      </c>
      <c r="AR185" s="43">
        <v>156566499.78999999</v>
      </c>
      <c r="AS185" s="43">
        <v>867422017.29999995</v>
      </c>
      <c r="AT185" s="39">
        <f t="shared" si="108"/>
        <v>867422017.29999995</v>
      </c>
      <c r="AU185" s="18">
        <f t="shared" si="112"/>
        <v>593208347.53000009</v>
      </c>
      <c r="AV185" s="34">
        <f t="shared" si="113"/>
        <v>0.60000002384185791</v>
      </c>
      <c r="AW185" s="34">
        <f t="shared" si="114"/>
        <v>0</v>
      </c>
      <c r="AX185" s="123">
        <f t="shared" si="97"/>
        <v>0.59386826251872193</v>
      </c>
    </row>
    <row r="186" spans="1:50" ht="18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166" t="s">
        <v>1012</v>
      </c>
      <c r="AB186" s="167" t="s">
        <v>1013</v>
      </c>
      <c r="AC186" s="203"/>
      <c r="AD186" s="143">
        <v>0</v>
      </c>
      <c r="AE186" s="43">
        <v>69321334.879999995</v>
      </c>
      <c r="AF186" s="44"/>
      <c r="AG186" s="44"/>
      <c r="AH186" s="44"/>
      <c r="AI186" s="18">
        <f>AE186-AF186+AG186-AH186</f>
        <v>69321334.879999995</v>
      </c>
      <c r="AJ186" s="18">
        <f>AD186+AI186</f>
        <v>69321334.879999995</v>
      </c>
      <c r="AK186" s="44">
        <v>0</v>
      </c>
      <c r="AL186" s="44">
        <v>0</v>
      </c>
      <c r="AM186" s="44">
        <v>0</v>
      </c>
      <c r="AN186" s="44">
        <v>0</v>
      </c>
      <c r="AO186" s="44">
        <v>0</v>
      </c>
      <c r="AP186" s="44">
        <v>0</v>
      </c>
      <c r="AQ186" s="44">
        <v>0</v>
      </c>
      <c r="AR186" s="44">
        <v>0</v>
      </c>
      <c r="AS186" s="44">
        <v>0</v>
      </c>
      <c r="AT186" s="40">
        <f t="shared" si="108"/>
        <v>0</v>
      </c>
      <c r="AU186" s="18">
        <f t="shared" si="112"/>
        <v>69321334.879999995</v>
      </c>
      <c r="AV186" s="34">
        <f t="shared" si="113"/>
        <v>0</v>
      </c>
      <c r="AW186" s="34">
        <f t="shared" si="114"/>
        <v>0</v>
      </c>
      <c r="AX186" s="123">
        <f t="shared" si="97"/>
        <v>0</v>
      </c>
    </row>
    <row r="187" spans="1:50" ht="26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166" t="s">
        <v>1010</v>
      </c>
      <c r="AB187" s="167" t="s">
        <v>1011</v>
      </c>
      <c r="AC187" s="203"/>
      <c r="AD187" s="143">
        <v>0</v>
      </c>
      <c r="AE187" s="43">
        <v>418991955.69</v>
      </c>
      <c r="AF187" s="44">
        <v>0</v>
      </c>
      <c r="AG187" s="44">
        <v>0</v>
      </c>
      <c r="AH187" s="44">
        <v>0</v>
      </c>
      <c r="AI187" s="18">
        <f t="shared" ref="AI187" si="115">AE187-AF187+AG187-AH187</f>
        <v>418991955.69</v>
      </c>
      <c r="AJ187" s="18">
        <f t="shared" ref="AJ187" si="116">AD187+AI187</f>
        <v>418991955.69</v>
      </c>
      <c r="AK187" s="44">
        <v>0</v>
      </c>
      <c r="AL187" s="44">
        <v>0</v>
      </c>
      <c r="AM187" s="44">
        <v>0</v>
      </c>
      <c r="AN187" s="44">
        <v>0</v>
      </c>
      <c r="AO187" s="44">
        <v>0</v>
      </c>
      <c r="AP187" s="44">
        <v>0</v>
      </c>
      <c r="AQ187" s="44">
        <v>0</v>
      </c>
      <c r="AR187" s="44">
        <v>0</v>
      </c>
      <c r="AS187" s="44">
        <v>0</v>
      </c>
      <c r="AT187" s="40">
        <f t="shared" si="108"/>
        <v>0</v>
      </c>
      <c r="AU187" s="18">
        <f t="shared" si="112"/>
        <v>418991955.69</v>
      </c>
      <c r="AV187" s="34">
        <f t="shared" si="113"/>
        <v>0</v>
      </c>
      <c r="AW187" s="34">
        <f t="shared" si="114"/>
        <v>0</v>
      </c>
      <c r="AX187" s="123">
        <f t="shared" si="97"/>
        <v>0</v>
      </c>
    </row>
    <row r="188" spans="1:50" ht="18.75" customHeight="1" x14ac:dyDescent="0.2">
      <c r="A188" s="27" t="s">
        <v>37</v>
      </c>
      <c r="B188" s="27" t="s">
        <v>37</v>
      </c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04" t="s">
        <v>835</v>
      </c>
      <c r="AB188" s="205" t="s">
        <v>280</v>
      </c>
      <c r="AC188" s="187" t="s">
        <v>37</v>
      </c>
      <c r="AD188" s="187">
        <f>AD189</f>
        <v>200000000</v>
      </c>
      <c r="AE188" s="31">
        <f t="shared" ref="AE188:AS188" si="117">AE189</f>
        <v>0</v>
      </c>
      <c r="AF188" s="31">
        <f t="shared" si="117"/>
        <v>0</v>
      </c>
      <c r="AG188" s="31">
        <f t="shared" si="117"/>
        <v>0</v>
      </c>
      <c r="AH188" s="31">
        <f t="shared" si="117"/>
        <v>0</v>
      </c>
      <c r="AI188" s="31">
        <f t="shared" si="117"/>
        <v>0</v>
      </c>
      <c r="AJ188" s="30">
        <f t="shared" si="117"/>
        <v>200000000</v>
      </c>
      <c r="AK188" s="31">
        <f t="shared" si="117"/>
        <v>0</v>
      </c>
      <c r="AL188" s="31">
        <f t="shared" si="117"/>
        <v>0</v>
      </c>
      <c r="AM188" s="31">
        <f t="shared" si="117"/>
        <v>0</v>
      </c>
      <c r="AN188" s="31">
        <f t="shared" si="117"/>
        <v>0</v>
      </c>
      <c r="AO188" s="31">
        <f t="shared" si="117"/>
        <v>0</v>
      </c>
      <c r="AP188" s="31">
        <f t="shared" si="117"/>
        <v>0</v>
      </c>
      <c r="AQ188" s="31">
        <f t="shared" si="117"/>
        <v>0</v>
      </c>
      <c r="AR188" s="31">
        <f t="shared" si="117"/>
        <v>0</v>
      </c>
      <c r="AS188" s="31">
        <f t="shared" si="117"/>
        <v>0</v>
      </c>
      <c r="AT188" s="40">
        <f t="shared" si="108"/>
        <v>0</v>
      </c>
      <c r="AU188" s="18">
        <f t="shared" si="112"/>
        <v>200000000</v>
      </c>
      <c r="AV188" s="34">
        <f t="shared" si="113"/>
        <v>0</v>
      </c>
      <c r="AW188" s="34">
        <f t="shared" si="114"/>
        <v>0</v>
      </c>
      <c r="AX188" s="123">
        <f t="shared" si="97"/>
        <v>0</v>
      </c>
    </row>
    <row r="189" spans="1:50" s="150" customFormat="1" ht="18.75" customHeight="1" x14ac:dyDescent="0.2">
      <c r="A189" s="140" t="s">
        <v>55</v>
      </c>
      <c r="B189" s="140" t="s">
        <v>56</v>
      </c>
      <c r="C189" s="140"/>
      <c r="D189" s="140" t="s">
        <v>947</v>
      </c>
      <c r="E189" s="140"/>
      <c r="F189" s="140"/>
      <c r="G189" s="140" t="s">
        <v>41</v>
      </c>
      <c r="H189" s="140"/>
      <c r="I189" s="140" t="s">
        <v>936</v>
      </c>
      <c r="J189" s="140"/>
      <c r="K189" s="140" t="s">
        <v>932</v>
      </c>
      <c r="L189" s="140"/>
      <c r="M189" s="140" t="s">
        <v>933</v>
      </c>
      <c r="N189" s="140"/>
      <c r="O189" s="140" t="s">
        <v>934</v>
      </c>
      <c r="P189" s="140"/>
      <c r="Q189" s="140" t="s">
        <v>935</v>
      </c>
      <c r="R189" s="140"/>
      <c r="S189" s="140" t="s">
        <v>940</v>
      </c>
      <c r="T189" s="140">
        <v>0</v>
      </c>
      <c r="U189" s="140">
        <v>0</v>
      </c>
      <c r="V189" s="140">
        <v>0</v>
      </c>
      <c r="W189" s="140"/>
      <c r="X189" s="140" t="s">
        <v>937</v>
      </c>
      <c r="Y189" s="140"/>
      <c r="Z189" s="140"/>
      <c r="AA189" s="134" t="s">
        <v>834</v>
      </c>
      <c r="AB189" s="69" t="s">
        <v>281</v>
      </c>
      <c r="AC189" s="142" t="s">
        <v>253</v>
      </c>
      <c r="AD189" s="142">
        <v>200000000</v>
      </c>
      <c r="AE189" s="143">
        <v>0</v>
      </c>
      <c r="AF189" s="143">
        <v>0</v>
      </c>
      <c r="AG189" s="143">
        <v>0</v>
      </c>
      <c r="AH189" s="143">
        <v>0</v>
      </c>
      <c r="AI189" s="143">
        <v>0</v>
      </c>
      <c r="AJ189" s="142">
        <v>200000000</v>
      </c>
      <c r="AK189" s="143">
        <v>0</v>
      </c>
      <c r="AL189" s="143">
        <v>0</v>
      </c>
      <c r="AM189" s="143">
        <v>0</v>
      </c>
      <c r="AN189" s="143">
        <v>0</v>
      </c>
      <c r="AO189" s="143">
        <v>0</v>
      </c>
      <c r="AP189" s="143">
        <v>0</v>
      </c>
      <c r="AQ189" s="143">
        <v>0</v>
      </c>
      <c r="AR189" s="143">
        <v>0</v>
      </c>
      <c r="AS189" s="143">
        <v>0</v>
      </c>
      <c r="AT189" s="146">
        <f t="shared" si="108"/>
        <v>0</v>
      </c>
      <c r="AU189" s="147">
        <f t="shared" si="112"/>
        <v>200000000</v>
      </c>
      <c r="AV189" s="145">
        <f t="shared" si="113"/>
        <v>0</v>
      </c>
      <c r="AW189" s="145">
        <f t="shared" si="114"/>
        <v>0</v>
      </c>
      <c r="AX189" s="149">
        <f t="shared" si="97"/>
        <v>0</v>
      </c>
    </row>
    <row r="190" spans="1:50" ht="18.75" customHeight="1" x14ac:dyDescent="0.2">
      <c r="AA190" s="16"/>
      <c r="AB190" s="17"/>
      <c r="AC190" s="17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34"/>
      <c r="AT190" s="39"/>
      <c r="AU190" s="18"/>
      <c r="AV190" s="34"/>
      <c r="AW190" s="34"/>
      <c r="AX190" s="123"/>
    </row>
    <row r="191" spans="1:50" s="124" customFormat="1" ht="18.75" customHeigh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7" t="s">
        <v>282</v>
      </c>
      <c r="AB191" s="128" t="s">
        <v>283</v>
      </c>
      <c r="AC191" s="128"/>
      <c r="AD191" s="129">
        <f t="shared" ref="AD191:AS191" si="118">AD244+AD522+AD706+AD801+AD1073+AD1110+AD1162+AD1180+AD1220+AD1233+AD1250+AD1265+AD1363+AD1025</f>
        <v>778687617478</v>
      </c>
      <c r="AE191" s="129">
        <f t="shared" si="118"/>
        <v>228653031468.91006</v>
      </c>
      <c r="AF191" s="130">
        <f t="shared" si="118"/>
        <v>0</v>
      </c>
      <c r="AG191" s="129">
        <f t="shared" si="118"/>
        <v>132071390420.06</v>
      </c>
      <c r="AH191" s="129">
        <f t="shared" si="118"/>
        <v>132071390420.06001</v>
      </c>
      <c r="AI191" s="129">
        <f t="shared" si="118"/>
        <v>228653031468.91</v>
      </c>
      <c r="AJ191" s="129">
        <f t="shared" si="118"/>
        <v>1007340648946.91</v>
      </c>
      <c r="AK191" s="129">
        <f t="shared" si="118"/>
        <v>2104814564.3299999</v>
      </c>
      <c r="AL191" s="129">
        <f t="shared" si="118"/>
        <v>59357118929.720009</v>
      </c>
      <c r="AM191" s="129">
        <f t="shared" si="118"/>
        <v>670583836835.75</v>
      </c>
      <c r="AN191" s="129">
        <f t="shared" si="118"/>
        <v>1545628254.6700001</v>
      </c>
      <c r="AO191" s="129">
        <f t="shared" si="118"/>
        <v>69046403790.649994</v>
      </c>
      <c r="AP191" s="129">
        <f t="shared" si="118"/>
        <v>539270786573.00995</v>
      </c>
      <c r="AQ191" s="129">
        <f t="shared" si="118"/>
        <v>1805135603.4500003</v>
      </c>
      <c r="AR191" s="129">
        <f t="shared" si="118"/>
        <v>47037634227.689995</v>
      </c>
      <c r="AS191" s="129">
        <f t="shared" si="118"/>
        <v>366333512941.76001</v>
      </c>
      <c r="AT191" s="131">
        <f>AQ191+AS191</f>
        <v>368138648545.21002</v>
      </c>
      <c r="AU191" s="129">
        <f>AU244+AU522+AU706+AU801+AU1073+AU1110+AU1162+AU1180+AU1220+AU1233+AU1250+AU1265+AU1363+AU1025</f>
        <v>336756812111.16003</v>
      </c>
      <c r="AV191" s="129">
        <f>AV244+AV522+AV706+AV801+AV1073+AV1110+AV1162+AV1180+AV1220+AV1233+AV1250+AV1265+AV1363+AV1025</f>
        <v>131313050262.74002</v>
      </c>
      <c r="AW191" s="129">
        <f>AW244+AW522+AW706+AW801+AW1073+AW1110+AW1162+AW1180+AW1220+AW1233+AW1250+AW1265+AW1363+AW1025</f>
        <v>171132138027.80002</v>
      </c>
      <c r="AX191" s="132">
        <f>AP191/AJ191</f>
        <v>0.53534103596114402</v>
      </c>
    </row>
    <row r="192" spans="1:50" ht="18.75" customHeight="1" x14ac:dyDescent="0.2">
      <c r="AA192" s="16"/>
      <c r="AB192" s="17"/>
      <c r="AC192" s="17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</row>
    <row r="193" spans="1:50" s="25" customFormat="1" ht="18.75" customHeight="1" x14ac:dyDescent="0.2">
      <c r="A193" s="58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60"/>
      <c r="AB193" s="21" t="s">
        <v>284</v>
      </c>
      <c r="AC193" s="61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3"/>
    </row>
    <row r="194" spans="1:50" ht="18.75" customHeight="1" x14ac:dyDescent="0.2">
      <c r="A194" s="35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7"/>
      <c r="AB194" s="29" t="s">
        <v>285</v>
      </c>
      <c r="AC194" s="38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0"/>
      <c r="AU194" s="39"/>
      <c r="AV194" s="39"/>
      <c r="AW194" s="39"/>
      <c r="AX194" s="18"/>
    </row>
    <row r="195" spans="1:50" ht="18.75" customHeight="1" x14ac:dyDescent="0.2">
      <c r="A195" s="35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7"/>
      <c r="AB195" s="29" t="s">
        <v>286</v>
      </c>
      <c r="AC195" s="38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0"/>
      <c r="AU195" s="39"/>
      <c r="AV195" s="39"/>
      <c r="AW195" s="39"/>
      <c r="AX195" s="18"/>
    </row>
    <row r="196" spans="1:50" ht="18.75" customHeight="1" x14ac:dyDescent="0.2">
      <c r="A196" s="35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7"/>
      <c r="AB196" s="29" t="s">
        <v>179</v>
      </c>
      <c r="AC196" s="38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0"/>
      <c r="AU196" s="39"/>
      <c r="AV196" s="39"/>
      <c r="AW196" s="39"/>
      <c r="AX196" s="18"/>
    </row>
    <row r="197" spans="1:50" ht="18.75" customHeight="1" x14ac:dyDescent="0.2">
      <c r="A197" s="14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6"/>
      <c r="AB197" s="29" t="s">
        <v>181</v>
      </c>
      <c r="AC197" s="17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30"/>
      <c r="AU197" s="18"/>
      <c r="AV197" s="18"/>
      <c r="AW197" s="18"/>
      <c r="AX197" s="18"/>
    </row>
    <row r="198" spans="1:50" ht="18.75" customHeight="1" x14ac:dyDescent="0.2">
      <c r="A198" s="14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6"/>
      <c r="AB198" s="29" t="s">
        <v>287</v>
      </c>
      <c r="AC198" s="17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30"/>
      <c r="AU198" s="18"/>
      <c r="AV198" s="18"/>
      <c r="AW198" s="18"/>
      <c r="AX198" s="18"/>
    </row>
    <row r="199" spans="1:50" ht="25.5" x14ac:dyDescent="0.2">
      <c r="A199" s="35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28" t="s">
        <v>288</v>
      </c>
      <c r="AB199" s="29" t="s">
        <v>289</v>
      </c>
      <c r="AC199" s="38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0"/>
      <c r="AU199" s="39"/>
      <c r="AV199" s="39"/>
      <c r="AW199" s="39"/>
      <c r="AX199" s="18"/>
    </row>
    <row r="200" spans="1:50" ht="18.75" customHeight="1" x14ac:dyDescent="0.2">
      <c r="A200" s="14" t="s">
        <v>55</v>
      </c>
      <c r="B200" s="15" t="s">
        <v>56</v>
      </c>
      <c r="C200" s="15"/>
      <c r="D200" s="15"/>
      <c r="E200" s="15"/>
      <c r="F200" s="15"/>
      <c r="G200" s="15" t="s">
        <v>41</v>
      </c>
      <c r="H200" s="15"/>
      <c r="I200" s="15" t="s">
        <v>936</v>
      </c>
      <c r="J200" s="15"/>
      <c r="K200" s="15" t="s">
        <v>932</v>
      </c>
      <c r="L200" s="15"/>
      <c r="M200" s="15" t="s">
        <v>933</v>
      </c>
      <c r="N200" s="15"/>
      <c r="O200" s="15" t="s">
        <v>948</v>
      </c>
      <c r="P200" s="15"/>
      <c r="Q200" s="15" t="s">
        <v>942</v>
      </c>
      <c r="R200" s="15"/>
      <c r="S200" s="15" t="s">
        <v>940</v>
      </c>
      <c r="T200" s="15">
        <v>0</v>
      </c>
      <c r="U200" s="15">
        <v>0</v>
      </c>
      <c r="V200" s="15">
        <v>0</v>
      </c>
      <c r="W200" s="15"/>
      <c r="X200" s="15" t="s">
        <v>937</v>
      </c>
      <c r="Y200" s="15"/>
      <c r="Z200" s="15"/>
      <c r="AA200" s="16" t="s">
        <v>290</v>
      </c>
      <c r="AB200" s="17" t="s">
        <v>233</v>
      </c>
      <c r="AC200" s="17" t="s">
        <v>58</v>
      </c>
      <c r="AD200" s="18">
        <v>100000000</v>
      </c>
      <c r="AE200" s="34">
        <v>0</v>
      </c>
      <c r="AF200" s="34">
        <v>0</v>
      </c>
      <c r="AG200" s="34">
        <v>0</v>
      </c>
      <c r="AH200" s="18">
        <v>40000000</v>
      </c>
      <c r="AI200" s="18">
        <f>AE200-AF200+AG200-AH200</f>
        <v>-40000000</v>
      </c>
      <c r="AJ200" s="18">
        <f>AD200+AI200</f>
        <v>60000000</v>
      </c>
      <c r="AK200" s="34">
        <v>0</v>
      </c>
      <c r="AL200" s="18">
        <v>59063618</v>
      </c>
      <c r="AM200" s="18">
        <v>59063618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40">
        <f t="shared" ref="AT200" si="119">AQ200+AS200</f>
        <v>0</v>
      </c>
      <c r="AU200" s="18">
        <f>AJ200-AM200</f>
        <v>936382</v>
      </c>
      <c r="AV200" s="18">
        <f>AM200-AP200</f>
        <v>59063618</v>
      </c>
      <c r="AW200" s="34">
        <f>AP200-AT200</f>
        <v>0</v>
      </c>
      <c r="AX200" s="123">
        <f>AP200/AJ200</f>
        <v>0</v>
      </c>
    </row>
    <row r="201" spans="1:50" ht="18.75" customHeight="1" x14ac:dyDescent="0.2">
      <c r="A201" s="14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41" t="s">
        <v>288</v>
      </c>
      <c r="AB201" s="29" t="s">
        <v>291</v>
      </c>
      <c r="AC201" s="17"/>
      <c r="AD201" s="18"/>
      <c r="AE201" s="18"/>
      <c r="AF201" s="18"/>
      <c r="AG201" s="18"/>
      <c r="AH201" s="18"/>
      <c r="AI201" s="18"/>
      <c r="AJ201" s="18"/>
      <c r="AK201" s="18"/>
      <c r="AL201" s="18"/>
      <c r="AM201" s="34"/>
      <c r="AN201" s="34"/>
      <c r="AO201" s="34"/>
      <c r="AP201" s="34"/>
      <c r="AQ201" s="34"/>
      <c r="AR201" s="34"/>
      <c r="AS201" s="34"/>
      <c r="AT201" s="31"/>
      <c r="AU201" s="18"/>
      <c r="AV201" s="34"/>
      <c r="AW201" s="34"/>
      <c r="AX201" s="18"/>
    </row>
    <row r="202" spans="1:50" ht="18.75" customHeight="1" x14ac:dyDescent="0.2">
      <c r="A202" s="14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41" t="s">
        <v>1217</v>
      </c>
      <c r="AB202" s="38" t="s">
        <v>1015</v>
      </c>
      <c r="AC202" s="17"/>
      <c r="AD202" s="34">
        <v>0</v>
      </c>
      <c r="AE202" s="34">
        <v>0</v>
      </c>
      <c r="AF202" s="34">
        <v>0</v>
      </c>
      <c r="AG202" s="18">
        <v>1252674808</v>
      </c>
      <c r="AH202" s="34">
        <v>0</v>
      </c>
      <c r="AI202" s="18">
        <f>AE202-AF202+AG202-AH202</f>
        <v>1252674808</v>
      </c>
      <c r="AJ202" s="18">
        <f>AD202+AI202</f>
        <v>1252674808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40">
        <f t="shared" ref="AT202" si="120">AQ202+AS202</f>
        <v>0</v>
      </c>
      <c r="AU202" s="18">
        <f>AJ202-AM202</f>
        <v>1252674808</v>
      </c>
      <c r="AV202" s="34">
        <f>AM202-AP202</f>
        <v>0</v>
      </c>
      <c r="AW202" s="34">
        <f>AP202-AT202</f>
        <v>0</v>
      </c>
      <c r="AX202" s="123">
        <f>AP202/AJ202</f>
        <v>0</v>
      </c>
    </row>
    <row r="203" spans="1:50" ht="18.75" customHeight="1" x14ac:dyDescent="0.2">
      <c r="A203" s="14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28" t="s">
        <v>288</v>
      </c>
      <c r="AB203" s="29" t="s">
        <v>292</v>
      </c>
      <c r="AC203" s="17"/>
      <c r="AD203" s="18"/>
      <c r="AE203" s="34"/>
      <c r="AF203" s="34"/>
      <c r="AG203" s="34"/>
      <c r="AH203" s="34"/>
      <c r="AI203" s="34"/>
      <c r="AJ203" s="18"/>
      <c r="AK203" s="18"/>
      <c r="AL203" s="18"/>
      <c r="AM203" s="34"/>
      <c r="AN203" s="34"/>
      <c r="AO203" s="34"/>
      <c r="AP203" s="34"/>
      <c r="AQ203" s="34"/>
      <c r="AR203" s="34"/>
      <c r="AS203" s="34"/>
      <c r="AT203" s="31"/>
      <c r="AU203" s="18"/>
      <c r="AV203" s="34"/>
      <c r="AW203" s="34"/>
      <c r="AX203" s="18"/>
    </row>
    <row r="204" spans="1:50" ht="18.75" customHeight="1" x14ac:dyDescent="0.2">
      <c r="A204" s="14" t="s">
        <v>55</v>
      </c>
      <c r="B204" s="15" t="s">
        <v>56</v>
      </c>
      <c r="C204" s="15"/>
      <c r="D204" s="15"/>
      <c r="E204" s="15"/>
      <c r="F204" s="15"/>
      <c r="G204" s="15" t="s">
        <v>41</v>
      </c>
      <c r="H204" s="15"/>
      <c r="I204" s="15" t="s">
        <v>936</v>
      </c>
      <c r="J204" s="15"/>
      <c r="K204" s="15" t="s">
        <v>932</v>
      </c>
      <c r="L204" s="15"/>
      <c r="M204" s="15" t="s">
        <v>933</v>
      </c>
      <c r="N204" s="15"/>
      <c r="O204" s="15" t="s">
        <v>948</v>
      </c>
      <c r="P204" s="15"/>
      <c r="Q204" s="15" t="s">
        <v>942</v>
      </c>
      <c r="R204" s="15"/>
      <c r="S204" s="15" t="s">
        <v>940</v>
      </c>
      <c r="T204" s="15">
        <v>0</v>
      </c>
      <c r="U204" s="15">
        <v>0</v>
      </c>
      <c r="V204" s="15">
        <v>0</v>
      </c>
      <c r="W204" s="15"/>
      <c r="X204" s="15" t="s">
        <v>937</v>
      </c>
      <c r="Y204" s="15"/>
      <c r="Z204" s="15"/>
      <c r="AA204" s="16" t="s">
        <v>293</v>
      </c>
      <c r="AB204" s="17" t="s">
        <v>233</v>
      </c>
      <c r="AC204" s="161" t="s">
        <v>58</v>
      </c>
      <c r="AD204" s="18">
        <v>500000000</v>
      </c>
      <c r="AE204" s="34">
        <v>0</v>
      </c>
      <c r="AF204" s="34">
        <v>0</v>
      </c>
      <c r="AG204" s="18"/>
      <c r="AH204" s="34">
        <v>0</v>
      </c>
      <c r="AI204" s="34">
        <f t="shared" ref="AI204:AI205" si="121">AE204-AF204+AG204-AH204</f>
        <v>0</v>
      </c>
      <c r="AJ204" s="18">
        <f t="shared" ref="AJ204:AJ205" si="122">AD204+AI204</f>
        <v>500000000</v>
      </c>
      <c r="AK204" s="34">
        <v>0</v>
      </c>
      <c r="AL204" s="34">
        <v>0</v>
      </c>
      <c r="AM204" s="18">
        <v>500000000</v>
      </c>
      <c r="AN204" s="34">
        <v>0</v>
      </c>
      <c r="AO204" s="34">
        <v>0</v>
      </c>
      <c r="AP204" s="18">
        <v>500000000</v>
      </c>
      <c r="AQ204" s="34">
        <v>0</v>
      </c>
      <c r="AR204" s="34">
        <v>0</v>
      </c>
      <c r="AS204" s="34">
        <v>0</v>
      </c>
      <c r="AT204" s="40">
        <f t="shared" ref="AT204:AT205" si="123">AQ204+AS204</f>
        <v>0</v>
      </c>
      <c r="AU204" s="34">
        <f>AJ204-AM204</f>
        <v>0</v>
      </c>
      <c r="AV204" s="34">
        <f>AM204-AP204</f>
        <v>0</v>
      </c>
      <c r="AW204" s="18">
        <f>AP204-AT204</f>
        <v>500000000</v>
      </c>
      <c r="AX204" s="123">
        <f>AP204/AJ204</f>
        <v>1</v>
      </c>
    </row>
    <row r="205" spans="1:50" ht="18.75" customHeight="1" x14ac:dyDescent="0.2">
      <c r="A205" s="14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66" t="s">
        <v>1014</v>
      </c>
      <c r="AB205" s="167" t="s">
        <v>1015</v>
      </c>
      <c r="AC205" s="161"/>
      <c r="AD205" s="34">
        <v>0</v>
      </c>
      <c r="AE205" s="18">
        <v>3410000000</v>
      </c>
      <c r="AF205" s="34">
        <v>0</v>
      </c>
      <c r="AG205" s="34">
        <v>0</v>
      </c>
      <c r="AH205" s="18">
        <v>3410000000</v>
      </c>
      <c r="AI205" s="34">
        <f t="shared" si="121"/>
        <v>0</v>
      </c>
      <c r="AJ205" s="34">
        <f t="shared" si="122"/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0</v>
      </c>
      <c r="AS205" s="34">
        <v>0</v>
      </c>
      <c r="AT205" s="40">
        <f t="shared" si="123"/>
        <v>0</v>
      </c>
      <c r="AU205" s="34">
        <f>AJ205-AM205</f>
        <v>0</v>
      </c>
      <c r="AV205" s="34">
        <f>AM205-AP205</f>
        <v>0</v>
      </c>
      <c r="AW205" s="34">
        <f>AP205-AT205</f>
        <v>0</v>
      </c>
      <c r="AX205" s="123">
        <v>0</v>
      </c>
    </row>
    <row r="206" spans="1:50" ht="27" customHeight="1" x14ac:dyDescent="0.2">
      <c r="A206" s="14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69" t="s">
        <v>288</v>
      </c>
      <c r="AB206" s="163" t="s">
        <v>294</v>
      </c>
      <c r="AC206" s="17"/>
      <c r="AD206" s="18"/>
      <c r="AE206" s="34"/>
      <c r="AF206" s="34"/>
      <c r="AG206" s="34"/>
      <c r="AH206" s="34"/>
      <c r="AI206" s="34"/>
      <c r="AJ206" s="18"/>
      <c r="AK206" s="34"/>
      <c r="AL206" s="34"/>
      <c r="AM206" s="34"/>
      <c r="AN206" s="34"/>
      <c r="AO206" s="34"/>
      <c r="AP206" s="34"/>
      <c r="AQ206" s="34"/>
      <c r="AR206" s="34"/>
      <c r="AS206" s="34"/>
      <c r="AT206" s="31"/>
      <c r="AU206" s="18"/>
      <c r="AV206" s="34"/>
      <c r="AW206" s="34"/>
      <c r="AX206" s="18"/>
    </row>
    <row r="207" spans="1:50" ht="18.75" customHeight="1" x14ac:dyDescent="0.2">
      <c r="A207" s="14" t="s">
        <v>55</v>
      </c>
      <c r="B207" s="15" t="s">
        <v>56</v>
      </c>
      <c r="C207" s="15"/>
      <c r="D207" s="15"/>
      <c r="E207" s="15"/>
      <c r="F207" s="15"/>
      <c r="G207" s="15" t="s">
        <v>41</v>
      </c>
      <c r="H207" s="15"/>
      <c r="I207" s="15" t="s">
        <v>936</v>
      </c>
      <c r="J207" s="15"/>
      <c r="K207" s="15" t="s">
        <v>932</v>
      </c>
      <c r="L207" s="15"/>
      <c r="M207" s="15" t="s">
        <v>933</v>
      </c>
      <c r="N207" s="15"/>
      <c r="O207" s="15" t="s">
        <v>948</v>
      </c>
      <c r="P207" s="15"/>
      <c r="Q207" s="15" t="s">
        <v>942</v>
      </c>
      <c r="R207" s="15"/>
      <c r="S207" s="15" t="s">
        <v>940</v>
      </c>
      <c r="T207" s="15">
        <v>0</v>
      </c>
      <c r="U207" s="15">
        <v>0</v>
      </c>
      <c r="V207" s="15">
        <v>0</v>
      </c>
      <c r="W207" s="15"/>
      <c r="X207" s="15" t="s">
        <v>937</v>
      </c>
      <c r="Y207" s="15"/>
      <c r="Z207" s="15"/>
      <c r="AA207" s="16" t="s">
        <v>295</v>
      </c>
      <c r="AB207" s="17" t="s">
        <v>233</v>
      </c>
      <c r="AC207" s="17" t="s">
        <v>58</v>
      </c>
      <c r="AD207" s="18">
        <v>400000000</v>
      </c>
      <c r="AE207" s="34">
        <v>0</v>
      </c>
      <c r="AF207" s="34">
        <v>0</v>
      </c>
      <c r="AG207" s="34">
        <v>0</v>
      </c>
      <c r="AH207" s="34">
        <v>0</v>
      </c>
      <c r="AI207" s="34">
        <f>AE207-AF207+AG207-AH207</f>
        <v>0</v>
      </c>
      <c r="AJ207" s="18">
        <f>AD207+AI207</f>
        <v>400000000</v>
      </c>
      <c r="AK207" s="34">
        <v>0</v>
      </c>
      <c r="AL207" s="110">
        <v>0</v>
      </c>
      <c r="AM207" s="110">
        <v>181975926.59999999</v>
      </c>
      <c r="AN207" s="34">
        <v>0</v>
      </c>
      <c r="AO207" s="133">
        <v>0</v>
      </c>
      <c r="AP207" s="110">
        <v>175143459.59999999</v>
      </c>
      <c r="AQ207" s="18">
        <v>533333</v>
      </c>
      <c r="AR207" s="18">
        <v>10000000</v>
      </c>
      <c r="AS207" s="18">
        <v>91385636</v>
      </c>
      <c r="AT207" s="39">
        <f t="shared" ref="AT207" si="124">AQ207+AS207</f>
        <v>91918969</v>
      </c>
      <c r="AU207" s="18">
        <f>AJ207-AM207</f>
        <v>218024073.40000001</v>
      </c>
      <c r="AV207" s="110">
        <f>AM207-AP207</f>
        <v>6832467</v>
      </c>
      <c r="AW207" s="18">
        <f>AP207-AT207</f>
        <v>83224490.599999994</v>
      </c>
      <c r="AX207" s="123">
        <f>AP207/AJ207</f>
        <v>0.43785864899999999</v>
      </c>
    </row>
    <row r="208" spans="1:50" ht="18.75" customHeight="1" x14ac:dyDescent="0.2">
      <c r="A208" s="14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6"/>
      <c r="AB208" s="17"/>
      <c r="AC208" s="17"/>
      <c r="AD208" s="18"/>
      <c r="AE208" s="34"/>
      <c r="AF208" s="34"/>
      <c r="AG208" s="34"/>
      <c r="AH208" s="34"/>
      <c r="AI208" s="34"/>
      <c r="AJ208" s="18"/>
      <c r="AK208" s="34"/>
      <c r="AL208" s="34"/>
      <c r="AM208" s="34"/>
      <c r="AN208" s="34"/>
      <c r="AO208" s="34"/>
      <c r="AP208" s="34"/>
      <c r="AQ208" s="34"/>
      <c r="AR208" s="34"/>
      <c r="AS208" s="18"/>
      <c r="AT208" s="30"/>
      <c r="AU208" s="18"/>
      <c r="AV208" s="18"/>
      <c r="AW208" s="18"/>
      <c r="AX208" s="18"/>
    </row>
    <row r="209" spans="1:50" ht="18.75" customHeight="1" x14ac:dyDescent="0.2">
      <c r="A209" s="14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6"/>
      <c r="AB209" s="29" t="s">
        <v>189</v>
      </c>
      <c r="AC209" s="17"/>
      <c r="AD209" s="18"/>
      <c r="AE209" s="34"/>
      <c r="AF209" s="34"/>
      <c r="AG209" s="34"/>
      <c r="AH209" s="34"/>
      <c r="AI209" s="34"/>
      <c r="AJ209" s="18"/>
      <c r="AK209" s="34"/>
      <c r="AL209" s="34"/>
      <c r="AM209" s="34"/>
      <c r="AN209" s="34"/>
      <c r="AO209" s="34"/>
      <c r="AP209" s="34"/>
      <c r="AQ209" s="34"/>
      <c r="AR209" s="34"/>
      <c r="AS209" s="18"/>
      <c r="AT209" s="30"/>
      <c r="AU209" s="18"/>
      <c r="AV209" s="18"/>
      <c r="AW209" s="18"/>
      <c r="AX209" s="18"/>
    </row>
    <row r="210" spans="1:50" ht="18.75" customHeight="1" x14ac:dyDescent="0.2">
      <c r="A210" s="14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6"/>
      <c r="AB210" s="29" t="s">
        <v>191</v>
      </c>
      <c r="AC210" s="17"/>
      <c r="AD210" s="18"/>
      <c r="AE210" s="34"/>
      <c r="AF210" s="34"/>
      <c r="AG210" s="34"/>
      <c r="AH210" s="34"/>
      <c r="AI210" s="34"/>
      <c r="AJ210" s="18"/>
      <c r="AK210" s="34"/>
      <c r="AL210" s="34"/>
      <c r="AM210" s="34"/>
      <c r="AN210" s="34"/>
      <c r="AO210" s="34"/>
      <c r="AP210" s="34"/>
      <c r="AQ210" s="34"/>
      <c r="AR210" s="34"/>
      <c r="AS210" s="18"/>
      <c r="AT210" s="30"/>
      <c r="AU210" s="18"/>
      <c r="AV210" s="18"/>
      <c r="AW210" s="18"/>
      <c r="AX210" s="18"/>
    </row>
    <row r="211" spans="1:50" ht="18.75" customHeight="1" x14ac:dyDescent="0.2">
      <c r="A211" s="14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28" t="s">
        <v>288</v>
      </c>
      <c r="AB211" s="29" t="s">
        <v>296</v>
      </c>
      <c r="AC211" s="17"/>
      <c r="AD211" s="18"/>
      <c r="AE211" s="34"/>
      <c r="AF211" s="34"/>
      <c r="AG211" s="34"/>
      <c r="AH211" s="34"/>
      <c r="AI211" s="34"/>
      <c r="AJ211" s="18"/>
      <c r="AK211" s="34"/>
      <c r="AL211" s="34"/>
      <c r="AM211" s="34"/>
      <c r="AN211" s="34"/>
      <c r="AO211" s="34"/>
      <c r="AP211" s="34"/>
      <c r="AQ211" s="34"/>
      <c r="AR211" s="34"/>
      <c r="AS211" s="18"/>
      <c r="AT211" s="30"/>
      <c r="AU211" s="18"/>
      <c r="AV211" s="18"/>
      <c r="AW211" s="18"/>
      <c r="AX211" s="18"/>
    </row>
    <row r="212" spans="1:50" ht="18.75" customHeight="1" x14ac:dyDescent="0.2">
      <c r="A212" s="14" t="s">
        <v>55</v>
      </c>
      <c r="B212" s="15" t="s">
        <v>56</v>
      </c>
      <c r="C212" s="15"/>
      <c r="D212" s="15"/>
      <c r="E212" s="15"/>
      <c r="F212" s="15"/>
      <c r="G212" s="15" t="s">
        <v>41</v>
      </c>
      <c r="H212" s="15"/>
      <c r="I212" s="15" t="s">
        <v>936</v>
      </c>
      <c r="J212" s="15"/>
      <c r="K212" s="15" t="s">
        <v>932</v>
      </c>
      <c r="L212" s="15"/>
      <c r="M212" s="15" t="s">
        <v>933</v>
      </c>
      <c r="N212" s="15"/>
      <c r="O212" s="15" t="s">
        <v>948</v>
      </c>
      <c r="P212" s="15"/>
      <c r="Q212" s="15" t="s">
        <v>942</v>
      </c>
      <c r="R212" s="15"/>
      <c r="S212" s="15" t="s">
        <v>940</v>
      </c>
      <c r="T212" s="15">
        <v>0</v>
      </c>
      <c r="U212" s="15">
        <v>0</v>
      </c>
      <c r="V212" s="15">
        <v>0</v>
      </c>
      <c r="W212" s="15"/>
      <c r="X212" s="15" t="s">
        <v>937</v>
      </c>
      <c r="Y212" s="15"/>
      <c r="Z212" s="15"/>
      <c r="AA212" s="16" t="s">
        <v>297</v>
      </c>
      <c r="AB212" s="17" t="s">
        <v>233</v>
      </c>
      <c r="AC212" s="17" t="s">
        <v>58</v>
      </c>
      <c r="AD212" s="18">
        <v>200000000</v>
      </c>
      <c r="AE212" s="34">
        <v>0</v>
      </c>
      <c r="AF212" s="34">
        <v>0</v>
      </c>
      <c r="AG212" s="18">
        <f>40000000+20000000</f>
        <v>60000000</v>
      </c>
      <c r="AH212" s="34">
        <v>0</v>
      </c>
      <c r="AI212" s="18">
        <f>AE212-AF212+AG212-AH212</f>
        <v>60000000</v>
      </c>
      <c r="AJ212" s="18">
        <f>AD212+AI212</f>
        <v>260000000</v>
      </c>
      <c r="AK212" s="34">
        <v>0</v>
      </c>
      <c r="AL212" s="34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40">
        <f t="shared" ref="AT212" si="125">AQ212+AS212</f>
        <v>0</v>
      </c>
      <c r="AU212" s="18">
        <f>AJ212-AM212</f>
        <v>260000000</v>
      </c>
      <c r="AV212" s="34">
        <f>AM212-AP212</f>
        <v>0</v>
      </c>
      <c r="AW212" s="34">
        <f>AP212-AT212</f>
        <v>0</v>
      </c>
      <c r="AX212" s="123">
        <f>AP212/AJ212</f>
        <v>0</v>
      </c>
    </row>
    <row r="213" spans="1:50" ht="24" customHeight="1" x14ac:dyDescent="0.2">
      <c r="A213" s="14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6"/>
      <c r="AB213" s="29" t="s">
        <v>298</v>
      </c>
      <c r="AC213" s="17"/>
      <c r="AD213" s="18"/>
      <c r="AE213" s="34"/>
      <c r="AF213" s="34"/>
      <c r="AG213" s="34"/>
      <c r="AH213" s="34"/>
      <c r="AI213" s="34"/>
      <c r="AJ213" s="18"/>
      <c r="AK213" s="18"/>
      <c r="AL213" s="18"/>
      <c r="AM213" s="18"/>
      <c r="AN213" s="18"/>
      <c r="AO213" s="18"/>
      <c r="AP213" s="18"/>
      <c r="AQ213" s="18"/>
      <c r="AR213" s="18"/>
      <c r="AS213" s="34"/>
      <c r="AT213" s="31"/>
      <c r="AU213" s="18"/>
      <c r="AV213" s="18"/>
      <c r="AW213" s="18"/>
      <c r="AX213" s="18"/>
    </row>
    <row r="214" spans="1:50" ht="18.75" customHeight="1" x14ac:dyDescent="0.2">
      <c r="A214" s="14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28" t="s">
        <v>288</v>
      </c>
      <c r="AB214" s="29" t="s">
        <v>299</v>
      </c>
      <c r="AC214" s="17"/>
      <c r="AD214" s="18"/>
      <c r="AE214" s="34"/>
      <c r="AF214" s="34"/>
      <c r="AG214" s="34"/>
      <c r="AH214" s="34"/>
      <c r="AI214" s="34"/>
      <c r="AJ214" s="18"/>
      <c r="AK214" s="18"/>
      <c r="AL214" s="18"/>
      <c r="AM214" s="18"/>
      <c r="AN214" s="18"/>
      <c r="AO214" s="18"/>
      <c r="AP214" s="18"/>
      <c r="AQ214" s="18"/>
      <c r="AR214" s="18"/>
      <c r="AS214" s="34"/>
      <c r="AT214" s="31"/>
      <c r="AU214" s="18"/>
      <c r="AV214" s="18"/>
      <c r="AW214" s="18"/>
      <c r="AX214" s="18"/>
    </row>
    <row r="215" spans="1:50" ht="18.75" customHeight="1" x14ac:dyDescent="0.2">
      <c r="A215" s="14" t="s">
        <v>55</v>
      </c>
      <c r="B215" s="15" t="s">
        <v>56</v>
      </c>
      <c r="C215" s="15"/>
      <c r="D215" s="15"/>
      <c r="E215" s="15"/>
      <c r="F215" s="15"/>
      <c r="G215" s="15" t="s">
        <v>41</v>
      </c>
      <c r="H215" s="15"/>
      <c r="I215" s="15" t="s">
        <v>936</v>
      </c>
      <c r="J215" s="15"/>
      <c r="K215" s="15" t="s">
        <v>932</v>
      </c>
      <c r="L215" s="15"/>
      <c r="M215" s="15" t="s">
        <v>933</v>
      </c>
      <c r="N215" s="15"/>
      <c r="O215" s="15" t="s">
        <v>948</v>
      </c>
      <c r="P215" s="15"/>
      <c r="Q215" s="15" t="s">
        <v>942</v>
      </c>
      <c r="R215" s="15"/>
      <c r="S215" s="15" t="s">
        <v>940</v>
      </c>
      <c r="T215" s="15">
        <v>0</v>
      </c>
      <c r="U215" s="15">
        <v>0</v>
      </c>
      <c r="V215" s="15">
        <v>0</v>
      </c>
      <c r="W215" s="15"/>
      <c r="X215" s="15" t="s">
        <v>937</v>
      </c>
      <c r="Y215" s="15"/>
      <c r="Z215" s="15"/>
      <c r="AA215" s="16" t="s">
        <v>300</v>
      </c>
      <c r="AB215" s="17" t="s">
        <v>233</v>
      </c>
      <c r="AC215" s="17" t="s">
        <v>58</v>
      </c>
      <c r="AD215" s="18">
        <v>250000000</v>
      </c>
      <c r="AE215" s="34">
        <v>0</v>
      </c>
      <c r="AF215" s="34">
        <v>0</v>
      </c>
      <c r="AG215" s="18">
        <v>200000000</v>
      </c>
      <c r="AH215" s="34">
        <v>0</v>
      </c>
      <c r="AI215" s="18">
        <f>AE215-AF215+AG215-AH215</f>
        <v>200000000</v>
      </c>
      <c r="AJ215" s="18">
        <f>AD215+AI215</f>
        <v>450000000</v>
      </c>
      <c r="AK215" s="34">
        <v>0</v>
      </c>
      <c r="AL215" s="18">
        <v>52450000.670000002</v>
      </c>
      <c r="AM215" s="18">
        <v>322550000.67000002</v>
      </c>
      <c r="AN215" s="34">
        <v>0</v>
      </c>
      <c r="AO215" s="286">
        <v>30016666.670000002</v>
      </c>
      <c r="AP215" s="18">
        <v>269133333.67000002</v>
      </c>
      <c r="AQ215" s="18">
        <v>26016667</v>
      </c>
      <c r="AR215" s="18">
        <v>33566667</v>
      </c>
      <c r="AS215" s="18">
        <v>188550000</v>
      </c>
      <c r="AT215" s="39">
        <f t="shared" ref="AT215:AT230" si="126">AQ215+AS215</f>
        <v>214566667</v>
      </c>
      <c r="AU215" s="18">
        <f>AJ215-AM215</f>
        <v>127449999.32999998</v>
      </c>
      <c r="AV215" s="110">
        <f>AM215-AP215</f>
        <v>53416667</v>
      </c>
      <c r="AW215" s="110">
        <f>AP215-AT215</f>
        <v>54566666.670000017</v>
      </c>
      <c r="AX215" s="123">
        <f>AP215/AJ215</f>
        <v>0.5980740748222223</v>
      </c>
    </row>
    <row r="216" spans="1:50" ht="18.75" customHeight="1" x14ac:dyDescent="0.2">
      <c r="A216" s="14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28" t="s">
        <v>288</v>
      </c>
      <c r="AB216" s="29" t="s">
        <v>292</v>
      </c>
      <c r="AC216" s="17"/>
      <c r="AD216" s="18"/>
      <c r="AE216" s="34"/>
      <c r="AF216" s="34"/>
      <c r="AG216" s="34"/>
      <c r="AH216" s="34"/>
      <c r="AI216" s="34"/>
      <c r="AJ216" s="18"/>
      <c r="AK216" s="34"/>
      <c r="AL216" s="18"/>
      <c r="AM216" s="18"/>
      <c r="AN216" s="34"/>
      <c r="AO216" s="34"/>
      <c r="AP216" s="18"/>
      <c r="AQ216" s="18"/>
      <c r="AR216" s="18"/>
      <c r="AS216" s="34"/>
      <c r="AT216" s="31"/>
      <c r="AU216" s="18"/>
      <c r="AV216" s="18"/>
      <c r="AW216" s="18"/>
      <c r="AX216" s="18"/>
    </row>
    <row r="217" spans="1:50" ht="18.75" customHeight="1" x14ac:dyDescent="0.2">
      <c r="A217" s="35" t="s">
        <v>55</v>
      </c>
      <c r="B217" s="36" t="s">
        <v>56</v>
      </c>
      <c r="C217" s="36"/>
      <c r="D217" s="36"/>
      <c r="E217" s="36"/>
      <c r="F217" s="36"/>
      <c r="G217" s="36" t="s">
        <v>41</v>
      </c>
      <c r="H217" s="36"/>
      <c r="I217" s="36" t="s">
        <v>936</v>
      </c>
      <c r="J217" s="36"/>
      <c r="K217" s="36" t="s">
        <v>932</v>
      </c>
      <c r="L217" s="36"/>
      <c r="M217" s="36" t="s">
        <v>933</v>
      </c>
      <c r="N217" s="36"/>
      <c r="O217" s="36" t="s">
        <v>948</v>
      </c>
      <c r="P217" s="36"/>
      <c r="Q217" s="36" t="s">
        <v>942</v>
      </c>
      <c r="R217" s="36"/>
      <c r="S217" s="36" t="s">
        <v>940</v>
      </c>
      <c r="T217" s="36">
        <v>0</v>
      </c>
      <c r="U217" s="36">
        <v>0</v>
      </c>
      <c r="V217" s="36">
        <v>0</v>
      </c>
      <c r="W217" s="36"/>
      <c r="X217" s="36" t="s">
        <v>937</v>
      </c>
      <c r="Y217" s="36"/>
      <c r="Z217" s="36"/>
      <c r="AA217" s="37" t="s">
        <v>301</v>
      </c>
      <c r="AB217" s="38" t="s">
        <v>233</v>
      </c>
      <c r="AC217" s="38" t="s">
        <v>58</v>
      </c>
      <c r="AD217" s="39">
        <v>200000000</v>
      </c>
      <c r="AE217" s="40">
        <v>0</v>
      </c>
      <c r="AF217" s="40">
        <v>0</v>
      </c>
      <c r="AG217" s="18">
        <v>64995888</v>
      </c>
      <c r="AH217" s="40">
        <v>0</v>
      </c>
      <c r="AI217" s="18">
        <f t="shared" ref="AI217:AI218" si="127">AE217-AF217+AG217-AH217</f>
        <v>64995888</v>
      </c>
      <c r="AJ217" s="18">
        <f t="shared" ref="AJ217:AJ218" si="128">AD217+AI217</f>
        <v>264995888</v>
      </c>
      <c r="AK217" s="40">
        <v>0</v>
      </c>
      <c r="AL217" s="39">
        <v>14000000</v>
      </c>
      <c r="AM217" s="39">
        <v>135551269.00999999</v>
      </c>
      <c r="AN217" s="40">
        <v>0</v>
      </c>
      <c r="AO217" s="39">
        <v>22781005</v>
      </c>
      <c r="AP217" s="39">
        <v>117145208.08</v>
      </c>
      <c r="AQ217" s="40">
        <v>0</v>
      </c>
      <c r="AR217" s="39">
        <v>0</v>
      </c>
      <c r="AS217" s="39">
        <v>66600016</v>
      </c>
      <c r="AT217" s="39">
        <f t="shared" ref="AT217:AT220" si="129">AQ217+AS217</f>
        <v>66600016</v>
      </c>
      <c r="AU217" s="18">
        <f>AJ217-AM217</f>
        <v>129444618.99000001</v>
      </c>
      <c r="AV217" s="18">
        <f>AM217-AP217</f>
        <v>18406060.929999992</v>
      </c>
      <c r="AW217" s="18">
        <f>AP217-AT217</f>
        <v>50545192.079999998</v>
      </c>
      <c r="AX217" s="123">
        <f>AP217/AJ217</f>
        <v>0.44206424848373493</v>
      </c>
    </row>
    <row r="218" spans="1:50" ht="18.75" customHeight="1" x14ac:dyDescent="0.2">
      <c r="A218" s="35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101" t="s">
        <v>1234</v>
      </c>
      <c r="AB218" s="251" t="s">
        <v>1015</v>
      </c>
      <c r="AC218" s="38"/>
      <c r="AD218" s="40">
        <v>0</v>
      </c>
      <c r="AE218" s="40"/>
      <c r="AF218" s="40"/>
      <c r="AG218" s="18">
        <v>2307325192</v>
      </c>
      <c r="AH218" s="40">
        <v>0</v>
      </c>
      <c r="AI218" s="18">
        <f t="shared" si="127"/>
        <v>2307325192</v>
      </c>
      <c r="AJ218" s="18">
        <f t="shared" si="128"/>
        <v>2307325192</v>
      </c>
      <c r="AK218" s="40">
        <v>0</v>
      </c>
      <c r="AL218" s="39">
        <v>1859972061</v>
      </c>
      <c r="AM218" s="39">
        <v>1867972061</v>
      </c>
      <c r="AN218" s="40">
        <v>0</v>
      </c>
      <c r="AO218" s="40">
        <v>0</v>
      </c>
      <c r="AP218" s="40">
        <v>0</v>
      </c>
      <c r="AQ218" s="40">
        <v>0</v>
      </c>
      <c r="AR218" s="40">
        <v>0</v>
      </c>
      <c r="AS218" s="40">
        <v>0</v>
      </c>
      <c r="AT218" s="40">
        <f t="shared" si="129"/>
        <v>0</v>
      </c>
      <c r="AU218" s="18">
        <f>AJ218-AM218</f>
        <v>439353131</v>
      </c>
      <c r="AV218" s="18">
        <f>AM218-AP218</f>
        <v>1867972061</v>
      </c>
      <c r="AW218" s="34">
        <f>AP218-AT218</f>
        <v>0</v>
      </c>
      <c r="AX218" s="123">
        <f>AP218/AJ218</f>
        <v>0</v>
      </c>
    </row>
    <row r="219" spans="1:50" ht="26.25" customHeight="1" x14ac:dyDescent="0.2">
      <c r="A219" s="35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28" t="s">
        <v>288</v>
      </c>
      <c r="AB219" s="29" t="s">
        <v>298</v>
      </c>
      <c r="AC219" s="38"/>
      <c r="AD219" s="40"/>
      <c r="AE219" s="40"/>
      <c r="AF219" s="40"/>
      <c r="AG219" s="40"/>
      <c r="AH219" s="40"/>
      <c r="AI219" s="40"/>
      <c r="AJ219" s="39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>
        <f t="shared" si="129"/>
        <v>0</v>
      </c>
      <c r="AU219" s="34">
        <f>AJ219-AM219</f>
        <v>0</v>
      </c>
      <c r="AV219" s="34">
        <f>AM219-AP219</f>
        <v>0</v>
      </c>
      <c r="AW219" s="34">
        <f>AP219-AT219</f>
        <v>0</v>
      </c>
      <c r="AX219" s="123">
        <v>0</v>
      </c>
    </row>
    <row r="220" spans="1:50" ht="18.75" customHeight="1" x14ac:dyDescent="0.2">
      <c r="A220" s="35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101" t="s">
        <v>1218</v>
      </c>
      <c r="AB220" s="251" t="s">
        <v>233</v>
      </c>
      <c r="AC220" s="38"/>
      <c r="AD220" s="40">
        <v>0</v>
      </c>
      <c r="AE220" s="40">
        <v>0</v>
      </c>
      <c r="AF220" s="40">
        <v>0</v>
      </c>
      <c r="AG220" s="39">
        <v>4935004112</v>
      </c>
      <c r="AH220" s="40">
        <v>0</v>
      </c>
      <c r="AI220" s="18">
        <f>AE220-AF220+AG220-AH220</f>
        <v>4935004112</v>
      </c>
      <c r="AJ220" s="18">
        <f>AD220+AI220</f>
        <v>4935004112</v>
      </c>
      <c r="AK220" s="40">
        <v>0</v>
      </c>
      <c r="AL220" s="39">
        <v>0</v>
      </c>
      <c r="AM220" s="39">
        <v>4935004112</v>
      </c>
      <c r="AN220" s="40">
        <v>0</v>
      </c>
      <c r="AO220" s="39">
        <v>4933250584</v>
      </c>
      <c r="AP220" s="39">
        <v>4933250584</v>
      </c>
      <c r="AQ220" s="40">
        <v>0</v>
      </c>
      <c r="AR220" s="40">
        <v>0</v>
      </c>
      <c r="AS220" s="40">
        <v>0</v>
      </c>
      <c r="AT220" s="40">
        <f t="shared" si="129"/>
        <v>0</v>
      </c>
      <c r="AU220" s="34">
        <f>AJ220-AM220</f>
        <v>0</v>
      </c>
      <c r="AV220" s="18">
        <f>AM220-AP220</f>
        <v>1753528</v>
      </c>
      <c r="AW220" s="34">
        <f>AP220-AT220</f>
        <v>4933250584</v>
      </c>
      <c r="AX220" s="123">
        <f>AP220/AJ220</f>
        <v>0.99964467547337277</v>
      </c>
    </row>
    <row r="221" spans="1:50" ht="24.75" customHeight="1" x14ac:dyDescent="0.2">
      <c r="A221" s="14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28" t="s">
        <v>288</v>
      </c>
      <c r="AB221" s="29" t="s">
        <v>302</v>
      </c>
      <c r="AC221" s="17"/>
      <c r="AD221" s="18"/>
      <c r="AE221" s="34"/>
      <c r="AF221" s="34"/>
      <c r="AG221" s="34"/>
      <c r="AH221" s="34"/>
      <c r="AI221" s="34"/>
      <c r="AJ221" s="18"/>
      <c r="AK221" s="34"/>
      <c r="AL221" s="34"/>
      <c r="AM221" s="34"/>
      <c r="AN221" s="34"/>
      <c r="AO221" s="34"/>
      <c r="AP221" s="34"/>
      <c r="AQ221" s="34"/>
      <c r="AR221" s="34"/>
      <c r="AS221" s="34"/>
      <c r="AT221" s="31"/>
      <c r="AU221" s="18"/>
      <c r="AV221" s="34"/>
      <c r="AW221" s="34"/>
      <c r="AX221" s="18"/>
    </row>
    <row r="222" spans="1:50" ht="18.75" customHeight="1" x14ac:dyDescent="0.2">
      <c r="A222" s="14" t="s">
        <v>55</v>
      </c>
      <c r="B222" s="15" t="s">
        <v>56</v>
      </c>
      <c r="C222" s="15"/>
      <c r="D222" s="15"/>
      <c r="E222" s="15"/>
      <c r="F222" s="15"/>
      <c r="G222" s="15" t="s">
        <v>41</v>
      </c>
      <c r="H222" s="15"/>
      <c r="I222" s="15" t="s">
        <v>936</v>
      </c>
      <c r="J222" s="15"/>
      <c r="K222" s="15" t="s">
        <v>932</v>
      </c>
      <c r="L222" s="15"/>
      <c r="M222" s="15" t="s">
        <v>933</v>
      </c>
      <c r="N222" s="15"/>
      <c r="O222" s="15" t="s">
        <v>948</v>
      </c>
      <c r="P222" s="15"/>
      <c r="Q222" s="15" t="s">
        <v>942</v>
      </c>
      <c r="R222" s="15"/>
      <c r="S222" s="15" t="s">
        <v>940</v>
      </c>
      <c r="T222" s="15">
        <v>0</v>
      </c>
      <c r="U222" s="15">
        <v>0</v>
      </c>
      <c r="V222" s="15">
        <v>0</v>
      </c>
      <c r="W222" s="15"/>
      <c r="X222" s="15" t="s">
        <v>937</v>
      </c>
      <c r="Y222" s="15"/>
      <c r="Z222" s="15"/>
      <c r="AA222" s="16" t="s">
        <v>303</v>
      </c>
      <c r="AB222" s="17" t="s">
        <v>233</v>
      </c>
      <c r="AC222" s="17" t="s">
        <v>58</v>
      </c>
      <c r="AD222" s="18">
        <v>850000000</v>
      </c>
      <c r="AE222" s="34">
        <v>0</v>
      </c>
      <c r="AF222" s="34">
        <v>0</v>
      </c>
      <c r="AG222" s="34">
        <v>0</v>
      </c>
      <c r="AH222" s="34">
        <v>0</v>
      </c>
      <c r="AI222" s="34">
        <f>AE222-AF222+AG222-AH222</f>
        <v>0</v>
      </c>
      <c r="AJ222" s="18">
        <f>AD222+AI222</f>
        <v>850000000</v>
      </c>
      <c r="AK222" s="34">
        <v>0</v>
      </c>
      <c r="AL222" s="18">
        <v>104601000</v>
      </c>
      <c r="AM222" s="110">
        <v>758208711</v>
      </c>
      <c r="AN222" s="110">
        <v>18000000</v>
      </c>
      <c r="AO222" s="286">
        <v>0</v>
      </c>
      <c r="AP222" s="110">
        <v>634679430</v>
      </c>
      <c r="AQ222" s="18">
        <v>29366666</v>
      </c>
      <c r="AR222" s="18">
        <v>75610242</v>
      </c>
      <c r="AS222" s="18">
        <v>420424233.64999998</v>
      </c>
      <c r="AT222" s="39">
        <f t="shared" ref="AT222" si="130">AQ222+AS222</f>
        <v>449790899.64999998</v>
      </c>
      <c r="AU222" s="18">
        <f>AJ222-AM222</f>
        <v>91791289</v>
      </c>
      <c r="AV222" s="110">
        <f>AM222-AP222</f>
        <v>123529281</v>
      </c>
      <c r="AW222" s="110">
        <f>AP222-AT222</f>
        <v>184888530.35000002</v>
      </c>
      <c r="AX222" s="123">
        <f>AP222/AJ222</f>
        <v>0.74668168235294119</v>
      </c>
    </row>
    <row r="223" spans="1:50" ht="18.75" customHeight="1" x14ac:dyDescent="0.2">
      <c r="A223" s="35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28" t="s">
        <v>288</v>
      </c>
      <c r="AB223" s="29" t="s">
        <v>304</v>
      </c>
      <c r="AC223" s="38"/>
      <c r="AD223" s="39"/>
      <c r="AE223" s="40"/>
      <c r="AF223" s="40"/>
      <c r="AG223" s="40"/>
      <c r="AH223" s="40"/>
      <c r="AI223" s="40"/>
      <c r="AJ223" s="39"/>
      <c r="AK223" s="39"/>
      <c r="AL223" s="39"/>
      <c r="AM223" s="40"/>
      <c r="AN223" s="40"/>
      <c r="AO223" s="40"/>
      <c r="AP223" s="40"/>
      <c r="AQ223" s="40"/>
      <c r="AR223" s="40"/>
      <c r="AS223" s="40"/>
      <c r="AT223" s="31"/>
      <c r="AU223" s="39"/>
      <c r="AV223" s="40"/>
      <c r="AW223" s="40"/>
      <c r="AX223" s="18"/>
    </row>
    <row r="224" spans="1:50" ht="18.75" customHeight="1" x14ac:dyDescent="0.2">
      <c r="A224" s="14" t="s">
        <v>55</v>
      </c>
      <c r="B224" s="15" t="s">
        <v>56</v>
      </c>
      <c r="C224" s="15"/>
      <c r="D224" s="15"/>
      <c r="E224" s="15"/>
      <c r="F224" s="15"/>
      <c r="G224" s="15" t="s">
        <v>41</v>
      </c>
      <c r="H224" s="15"/>
      <c r="I224" s="15" t="s">
        <v>936</v>
      </c>
      <c r="J224" s="15"/>
      <c r="K224" s="15" t="s">
        <v>932</v>
      </c>
      <c r="L224" s="15"/>
      <c r="M224" s="15" t="s">
        <v>933</v>
      </c>
      <c r="N224" s="15"/>
      <c r="O224" s="15" t="s">
        <v>948</v>
      </c>
      <c r="P224" s="15"/>
      <c r="Q224" s="15" t="s">
        <v>942</v>
      </c>
      <c r="R224" s="15"/>
      <c r="S224" s="15" t="s">
        <v>940</v>
      </c>
      <c r="T224" s="15">
        <v>0</v>
      </c>
      <c r="U224" s="15">
        <v>0</v>
      </c>
      <c r="V224" s="15">
        <v>0</v>
      </c>
      <c r="W224" s="15"/>
      <c r="X224" s="15" t="s">
        <v>937</v>
      </c>
      <c r="Y224" s="15"/>
      <c r="Z224" s="15"/>
      <c r="AA224" s="16" t="s">
        <v>305</v>
      </c>
      <c r="AB224" s="17" t="s">
        <v>233</v>
      </c>
      <c r="AC224" s="17" t="s">
        <v>58</v>
      </c>
      <c r="AD224" s="18">
        <v>100000000</v>
      </c>
      <c r="AE224" s="34">
        <v>0</v>
      </c>
      <c r="AF224" s="34">
        <v>0</v>
      </c>
      <c r="AG224" s="34">
        <v>0</v>
      </c>
      <c r="AH224" s="34">
        <v>0</v>
      </c>
      <c r="AI224" s="34">
        <f>AE224-AF224+AG224-AH224</f>
        <v>0</v>
      </c>
      <c r="AJ224" s="18">
        <f>AD224+AI224</f>
        <v>100000000</v>
      </c>
      <c r="AK224" s="18">
        <v>0</v>
      </c>
      <c r="AL224" s="18">
        <v>36000000</v>
      </c>
      <c r="AM224" s="18">
        <v>36000000</v>
      </c>
      <c r="AN224" s="18">
        <v>0</v>
      </c>
      <c r="AO224" s="18">
        <v>36000000</v>
      </c>
      <c r="AP224" s="18">
        <v>36000000</v>
      </c>
      <c r="AQ224" s="34">
        <v>0</v>
      </c>
      <c r="AR224" s="34">
        <v>0</v>
      </c>
      <c r="AS224" s="34">
        <v>0</v>
      </c>
      <c r="AT224" s="40">
        <f t="shared" ref="AT224:AT226" si="131">AQ224+AS224</f>
        <v>0</v>
      </c>
      <c r="AU224" s="18">
        <f>AJ224-AM224</f>
        <v>64000000</v>
      </c>
      <c r="AV224" s="34">
        <f>AM224-AP224</f>
        <v>0</v>
      </c>
      <c r="AW224" s="18">
        <f>AP224-AT224</f>
        <v>36000000</v>
      </c>
      <c r="AX224" s="123">
        <f>AP224/AJ224</f>
        <v>0.36</v>
      </c>
    </row>
    <row r="225" spans="1:50" ht="40.5" customHeight="1" x14ac:dyDescent="0.2">
      <c r="A225" s="14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73" t="s">
        <v>288</v>
      </c>
      <c r="AB225" s="247" t="s">
        <v>958</v>
      </c>
      <c r="AC225" s="17"/>
      <c r="AD225" s="18"/>
      <c r="AE225" s="34"/>
      <c r="AF225" s="34"/>
      <c r="AG225" s="34"/>
      <c r="AH225" s="34"/>
      <c r="AI225" s="34"/>
      <c r="AJ225" s="18"/>
      <c r="AK225" s="34"/>
      <c r="AL225" s="34"/>
      <c r="AM225" s="34"/>
      <c r="AN225" s="34"/>
      <c r="AO225" s="34"/>
      <c r="AP225" s="34"/>
      <c r="AQ225" s="34"/>
      <c r="AR225" s="34"/>
      <c r="AS225" s="34"/>
      <c r="AT225" s="40"/>
      <c r="AU225" s="18"/>
      <c r="AV225" s="34"/>
      <c r="AW225" s="34"/>
      <c r="AX225" s="123"/>
    </row>
    <row r="226" spans="1:50" ht="30" customHeight="1" x14ac:dyDescent="0.2">
      <c r="A226" s="14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250" t="s">
        <v>765</v>
      </c>
      <c r="AB226" s="248" t="s">
        <v>233</v>
      </c>
      <c r="AC226" s="17"/>
      <c r="AD226" s="34">
        <v>0</v>
      </c>
      <c r="AE226" s="34">
        <v>0</v>
      </c>
      <c r="AF226" s="34">
        <v>0</v>
      </c>
      <c r="AG226" s="18">
        <v>200000000</v>
      </c>
      <c r="AH226" s="18">
        <v>200000000</v>
      </c>
      <c r="AI226" s="34">
        <f>AE226-AF226+AG226-AH226</f>
        <v>0</v>
      </c>
      <c r="AJ226" s="34">
        <f>AD226+AI226</f>
        <v>0</v>
      </c>
      <c r="AK226" s="34">
        <v>0</v>
      </c>
      <c r="AL226" s="34">
        <v>0</v>
      </c>
      <c r="AM226" s="34">
        <v>0</v>
      </c>
      <c r="AN226" s="34">
        <v>0</v>
      </c>
      <c r="AO226" s="34">
        <v>0</v>
      </c>
      <c r="AP226" s="34">
        <v>0</v>
      </c>
      <c r="AQ226" s="34">
        <v>0</v>
      </c>
      <c r="AR226" s="34">
        <v>0</v>
      </c>
      <c r="AS226" s="34">
        <v>0</v>
      </c>
      <c r="AT226" s="40">
        <f t="shared" si="131"/>
        <v>0</v>
      </c>
      <c r="AU226" s="34">
        <f>AJ226-AM226</f>
        <v>0</v>
      </c>
      <c r="AV226" s="34">
        <f>AM226-AP226</f>
        <v>0</v>
      </c>
      <c r="AW226" s="34">
        <f>AP226-AT226</f>
        <v>0</v>
      </c>
      <c r="AX226" s="123">
        <v>0</v>
      </c>
    </row>
    <row r="227" spans="1:50" ht="18.75" customHeight="1" x14ac:dyDescent="0.2">
      <c r="A227" s="35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28" t="s">
        <v>288</v>
      </c>
      <c r="AB227" s="249" t="s">
        <v>306</v>
      </c>
      <c r="AC227" s="38"/>
      <c r="AD227" s="39"/>
      <c r="AE227" s="40"/>
      <c r="AF227" s="40"/>
      <c r="AG227" s="40"/>
      <c r="AH227" s="40"/>
      <c r="AI227" s="40"/>
      <c r="AJ227" s="39"/>
      <c r="AK227" s="40"/>
      <c r="AL227" s="40"/>
      <c r="AM227" s="40"/>
      <c r="AN227" s="40"/>
      <c r="AO227" s="40"/>
      <c r="AP227" s="40"/>
      <c r="AQ227" s="40"/>
      <c r="AR227" s="40"/>
      <c r="AS227" s="39"/>
      <c r="AT227" s="30"/>
      <c r="AU227" s="39"/>
      <c r="AV227" s="39"/>
      <c r="AW227" s="40"/>
      <c r="AX227" s="18"/>
    </row>
    <row r="228" spans="1:50" ht="18.75" customHeight="1" x14ac:dyDescent="0.2">
      <c r="A228" s="14" t="s">
        <v>55</v>
      </c>
      <c r="B228" s="15" t="s">
        <v>56</v>
      </c>
      <c r="C228" s="15"/>
      <c r="D228" s="15"/>
      <c r="E228" s="15"/>
      <c r="F228" s="15"/>
      <c r="G228" s="15" t="s">
        <v>41</v>
      </c>
      <c r="H228" s="15"/>
      <c r="I228" s="15" t="s">
        <v>936</v>
      </c>
      <c r="J228" s="15"/>
      <c r="K228" s="15" t="s">
        <v>932</v>
      </c>
      <c r="L228" s="15"/>
      <c r="M228" s="15" t="s">
        <v>933</v>
      </c>
      <c r="N228" s="15"/>
      <c r="O228" s="15" t="s">
        <v>948</v>
      </c>
      <c r="P228" s="15"/>
      <c r="Q228" s="15" t="s">
        <v>942</v>
      </c>
      <c r="R228" s="15"/>
      <c r="S228" s="15" t="s">
        <v>940</v>
      </c>
      <c r="T228" s="15">
        <v>0</v>
      </c>
      <c r="U228" s="15">
        <v>0</v>
      </c>
      <c r="V228" s="15">
        <v>0</v>
      </c>
      <c r="W228" s="15"/>
      <c r="X228" s="15" t="s">
        <v>937</v>
      </c>
      <c r="Y228" s="15"/>
      <c r="Z228" s="15"/>
      <c r="AA228" s="16" t="s">
        <v>307</v>
      </c>
      <c r="AB228" s="17" t="s">
        <v>233</v>
      </c>
      <c r="AC228" s="17" t="s">
        <v>58</v>
      </c>
      <c r="AD228" s="18">
        <v>50000000</v>
      </c>
      <c r="AE228" s="34">
        <v>0</v>
      </c>
      <c r="AF228" s="34">
        <v>0</v>
      </c>
      <c r="AG228" s="34">
        <v>0</v>
      </c>
      <c r="AH228" s="34">
        <v>0</v>
      </c>
      <c r="AI228" s="34">
        <f>AE228-AF228+AG228-AH228</f>
        <v>0</v>
      </c>
      <c r="AJ228" s="18">
        <f>AD228+AI228</f>
        <v>50000000</v>
      </c>
      <c r="AK228" s="34">
        <v>0</v>
      </c>
      <c r="AL228" s="34">
        <v>0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40">
        <f t="shared" si="126"/>
        <v>0</v>
      </c>
      <c r="AU228" s="18">
        <f>AJ228-AM228</f>
        <v>50000000</v>
      </c>
      <c r="AV228" s="34">
        <f>AM228-AP228</f>
        <v>0</v>
      </c>
      <c r="AW228" s="34">
        <f>AP228-AT228</f>
        <v>0</v>
      </c>
      <c r="AX228" s="123">
        <f>AP228/AJ228</f>
        <v>0</v>
      </c>
    </row>
    <row r="229" spans="1:50" ht="18.75" customHeight="1" x14ac:dyDescent="0.2">
      <c r="A229" s="14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28" t="s">
        <v>288</v>
      </c>
      <c r="AB229" s="29" t="s">
        <v>308</v>
      </c>
      <c r="AC229" s="17"/>
      <c r="AD229" s="18"/>
      <c r="AE229" s="34"/>
      <c r="AF229" s="34"/>
      <c r="AG229" s="34"/>
      <c r="AH229" s="34"/>
      <c r="AI229" s="34"/>
      <c r="AJ229" s="18"/>
      <c r="AK229" s="34"/>
      <c r="AL229" s="34"/>
      <c r="AM229" s="34"/>
      <c r="AN229" s="34"/>
      <c r="AO229" s="34"/>
      <c r="AP229" s="34"/>
      <c r="AQ229" s="34"/>
      <c r="AR229" s="34"/>
      <c r="AS229" s="34"/>
      <c r="AT229" s="31"/>
      <c r="AU229" s="18"/>
      <c r="AV229" s="18"/>
      <c r="AW229" s="34"/>
      <c r="AX229" s="18"/>
    </row>
    <row r="230" spans="1:50" ht="18.75" customHeight="1" x14ac:dyDescent="0.2">
      <c r="A230" s="35" t="s">
        <v>55</v>
      </c>
      <c r="B230" s="36" t="s">
        <v>56</v>
      </c>
      <c r="C230" s="36"/>
      <c r="D230" s="36"/>
      <c r="E230" s="36"/>
      <c r="F230" s="36"/>
      <c r="G230" s="36" t="s">
        <v>41</v>
      </c>
      <c r="H230" s="36"/>
      <c r="I230" s="36" t="s">
        <v>936</v>
      </c>
      <c r="J230" s="36"/>
      <c r="K230" s="36" t="s">
        <v>932</v>
      </c>
      <c r="L230" s="36"/>
      <c r="M230" s="36" t="s">
        <v>933</v>
      </c>
      <c r="N230" s="36"/>
      <c r="O230" s="36" t="s">
        <v>948</v>
      </c>
      <c r="P230" s="36"/>
      <c r="Q230" s="36" t="s">
        <v>942</v>
      </c>
      <c r="R230" s="36"/>
      <c r="S230" s="36" t="s">
        <v>940</v>
      </c>
      <c r="T230" s="36">
        <v>0</v>
      </c>
      <c r="U230" s="36">
        <v>0</v>
      </c>
      <c r="V230" s="36">
        <v>0</v>
      </c>
      <c r="W230" s="36"/>
      <c r="X230" s="36" t="s">
        <v>937</v>
      </c>
      <c r="Y230" s="36"/>
      <c r="Z230" s="36"/>
      <c r="AA230" s="37" t="s">
        <v>309</v>
      </c>
      <c r="AB230" s="38" t="s">
        <v>233</v>
      </c>
      <c r="AC230" s="38" t="s">
        <v>58</v>
      </c>
      <c r="AD230" s="39">
        <v>50000000</v>
      </c>
      <c r="AE230" s="40">
        <v>0</v>
      </c>
      <c r="AF230" s="40">
        <v>0</v>
      </c>
      <c r="AG230" s="40">
        <v>0</v>
      </c>
      <c r="AH230" s="39">
        <v>20000000</v>
      </c>
      <c r="AI230" s="18">
        <f>AE230-AF230+AG230-AH230</f>
        <v>-20000000</v>
      </c>
      <c r="AJ230" s="18">
        <f>AD230+AI230</f>
        <v>30000000</v>
      </c>
      <c r="AK230" s="40">
        <v>0</v>
      </c>
      <c r="AL230" s="40">
        <v>0</v>
      </c>
      <c r="AM230" s="40">
        <v>0</v>
      </c>
      <c r="AN230" s="40">
        <v>0</v>
      </c>
      <c r="AO230" s="40">
        <v>0</v>
      </c>
      <c r="AP230" s="40">
        <v>0</v>
      </c>
      <c r="AQ230" s="40">
        <v>0</v>
      </c>
      <c r="AR230" s="40">
        <v>0</v>
      </c>
      <c r="AS230" s="40">
        <v>0</v>
      </c>
      <c r="AT230" s="40">
        <f t="shared" si="126"/>
        <v>0</v>
      </c>
      <c r="AU230" s="18">
        <f>AJ230-AM230</f>
        <v>30000000</v>
      </c>
      <c r="AV230" s="34">
        <f>AM230-AP230</f>
        <v>0</v>
      </c>
      <c r="AW230" s="34">
        <f>AP230-AT230</f>
        <v>0</v>
      </c>
      <c r="AX230" s="123">
        <f>AP230/AJ230</f>
        <v>0</v>
      </c>
    </row>
    <row r="231" spans="1:50" ht="18.75" customHeight="1" x14ac:dyDescent="0.2">
      <c r="A231" s="14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28" t="s">
        <v>288</v>
      </c>
      <c r="AB231" s="29" t="s">
        <v>310</v>
      </c>
      <c r="AC231" s="17"/>
      <c r="AD231" s="18"/>
      <c r="AE231" s="34"/>
      <c r="AF231" s="34"/>
      <c r="AG231" s="34"/>
      <c r="AH231" s="34"/>
      <c r="AI231" s="34"/>
      <c r="AJ231" s="18"/>
      <c r="AK231" s="18"/>
      <c r="AL231" s="18"/>
      <c r="AM231" s="18"/>
      <c r="AN231" s="18"/>
      <c r="AO231" s="18"/>
      <c r="AP231" s="18"/>
      <c r="AQ231" s="18"/>
      <c r="AR231" s="18"/>
      <c r="AS231" s="34"/>
      <c r="AT231" s="31"/>
      <c r="AU231" s="18"/>
      <c r="AV231" s="18"/>
      <c r="AW231" s="18"/>
      <c r="AX231" s="18"/>
    </row>
    <row r="232" spans="1:50" ht="18.75" customHeight="1" x14ac:dyDescent="0.2">
      <c r="A232" s="14" t="s">
        <v>55</v>
      </c>
      <c r="B232" s="15" t="s">
        <v>56</v>
      </c>
      <c r="C232" s="15"/>
      <c r="D232" s="15"/>
      <c r="E232" s="15"/>
      <c r="F232" s="15"/>
      <c r="G232" s="15" t="s">
        <v>41</v>
      </c>
      <c r="H232" s="15"/>
      <c r="I232" s="15" t="s">
        <v>936</v>
      </c>
      <c r="J232" s="15"/>
      <c r="K232" s="15" t="s">
        <v>932</v>
      </c>
      <c r="L232" s="15"/>
      <c r="M232" s="15" t="s">
        <v>933</v>
      </c>
      <c r="N232" s="15"/>
      <c r="O232" s="15" t="s">
        <v>948</v>
      </c>
      <c r="P232" s="15"/>
      <c r="Q232" s="15" t="s">
        <v>942</v>
      </c>
      <c r="R232" s="15"/>
      <c r="S232" s="15" t="s">
        <v>940</v>
      </c>
      <c r="T232" s="15">
        <v>0</v>
      </c>
      <c r="U232" s="15">
        <v>0</v>
      </c>
      <c r="V232" s="15">
        <v>0</v>
      </c>
      <c r="W232" s="15"/>
      <c r="X232" s="15" t="s">
        <v>937</v>
      </c>
      <c r="Y232" s="15"/>
      <c r="Z232" s="15"/>
      <c r="AA232" s="16" t="s">
        <v>311</v>
      </c>
      <c r="AB232" s="17" t="s">
        <v>233</v>
      </c>
      <c r="AC232" s="17" t="s">
        <v>58</v>
      </c>
      <c r="AD232" s="18">
        <v>1400000000</v>
      </c>
      <c r="AE232" s="34">
        <v>0</v>
      </c>
      <c r="AF232" s="34">
        <v>0</v>
      </c>
      <c r="AG232" s="34">
        <v>0</v>
      </c>
      <c r="AH232" s="34">
        <v>0</v>
      </c>
      <c r="AI232" s="18">
        <f t="shared" ref="AI232:AI233" si="132">AE232-AF232+AG232-AH232</f>
        <v>0</v>
      </c>
      <c r="AJ232" s="18">
        <f t="shared" ref="AJ232:AJ233" si="133">AD232+AI232</f>
        <v>1400000000</v>
      </c>
      <c r="AK232" s="34">
        <v>0</v>
      </c>
      <c r="AL232" s="18">
        <v>40833333</v>
      </c>
      <c r="AM232" s="18">
        <v>1309955399</v>
      </c>
      <c r="AN232" s="34">
        <v>0</v>
      </c>
      <c r="AO232" s="18">
        <v>104219476</v>
      </c>
      <c r="AP232" s="18">
        <v>1276180346</v>
      </c>
      <c r="AQ232" s="18">
        <v>0</v>
      </c>
      <c r="AR232" s="18">
        <v>129077947.95999999</v>
      </c>
      <c r="AS232" s="18">
        <v>364027946.95999998</v>
      </c>
      <c r="AT232" s="111">
        <f t="shared" ref="AT232:AT233" si="134">AQ232+AS232</f>
        <v>364027946.95999998</v>
      </c>
      <c r="AU232" s="18">
        <f>AJ232-AM232</f>
        <v>90044601</v>
      </c>
      <c r="AV232" s="110">
        <f>AM232-AP232</f>
        <v>33775053</v>
      </c>
      <c r="AW232" s="18">
        <f>AP232-AT232</f>
        <v>912152399.03999996</v>
      </c>
      <c r="AX232" s="123">
        <f>AP232/AJ232</f>
        <v>0.91155739000000002</v>
      </c>
    </row>
    <row r="233" spans="1:50" ht="18.75" customHeight="1" x14ac:dyDescent="0.2">
      <c r="A233" s="14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41" t="s">
        <v>1262</v>
      </c>
      <c r="AB233" s="42" t="s">
        <v>1015</v>
      </c>
      <c r="AC233" s="17"/>
      <c r="AD233" s="34">
        <v>0</v>
      </c>
      <c r="AE233" s="34">
        <v>0</v>
      </c>
      <c r="AF233" s="34">
        <v>0</v>
      </c>
      <c r="AG233" s="18">
        <v>200000000</v>
      </c>
      <c r="AH233" s="34"/>
      <c r="AI233" s="18">
        <f t="shared" si="132"/>
        <v>200000000</v>
      </c>
      <c r="AJ233" s="18">
        <f t="shared" si="133"/>
        <v>200000000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34">
        <v>0</v>
      </c>
      <c r="AS233" s="34">
        <v>0</v>
      </c>
      <c r="AT233" s="135">
        <f t="shared" si="134"/>
        <v>0</v>
      </c>
      <c r="AU233" s="18">
        <f>AJ233-AM233</f>
        <v>200000000</v>
      </c>
      <c r="AV233" s="110">
        <f>AM233-AP233</f>
        <v>0</v>
      </c>
      <c r="AW233" s="18">
        <f>AP233-AT233</f>
        <v>0</v>
      </c>
      <c r="AX233" s="123">
        <f>AP233/AJ233</f>
        <v>0</v>
      </c>
    </row>
    <row r="234" spans="1:50" ht="18.75" customHeight="1" x14ac:dyDescent="0.2">
      <c r="A234" s="35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7"/>
      <c r="AB234" s="29" t="s">
        <v>199</v>
      </c>
      <c r="AC234" s="38"/>
      <c r="AD234" s="39"/>
      <c r="AE234" s="40"/>
      <c r="AF234" s="40"/>
      <c r="AG234" s="40"/>
      <c r="AH234" s="40"/>
      <c r="AI234" s="40"/>
      <c r="AJ234" s="39"/>
      <c r="AK234" s="40"/>
      <c r="AL234" s="39"/>
      <c r="AM234" s="39"/>
      <c r="AN234" s="39"/>
      <c r="AO234" s="39"/>
      <c r="AP234" s="39"/>
      <c r="AQ234" s="40"/>
      <c r="AR234" s="40"/>
      <c r="AS234" s="40"/>
      <c r="AT234" s="31"/>
      <c r="AU234" s="39"/>
      <c r="AV234" s="39"/>
      <c r="AW234" s="39"/>
      <c r="AX234" s="18"/>
    </row>
    <row r="235" spans="1:50" ht="26.25" customHeight="1" x14ac:dyDescent="0.2">
      <c r="A235" s="14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28" t="s">
        <v>288</v>
      </c>
      <c r="AB235" s="29" t="s">
        <v>312</v>
      </c>
      <c r="AC235" s="17"/>
      <c r="AD235" s="18"/>
      <c r="AE235" s="34"/>
      <c r="AF235" s="34"/>
      <c r="AG235" s="34"/>
      <c r="AH235" s="34"/>
      <c r="AI235" s="34"/>
      <c r="AJ235" s="18"/>
      <c r="AK235" s="34"/>
      <c r="AL235" s="18"/>
      <c r="AM235" s="18"/>
      <c r="AN235" s="18"/>
      <c r="AO235" s="18"/>
      <c r="AP235" s="18"/>
      <c r="AQ235" s="34"/>
      <c r="AR235" s="34"/>
      <c r="AS235" s="34"/>
      <c r="AT235" s="31"/>
      <c r="AU235" s="18"/>
      <c r="AV235" s="18"/>
      <c r="AW235" s="18"/>
      <c r="AX235" s="18"/>
    </row>
    <row r="236" spans="1:50" ht="18.75" customHeight="1" x14ac:dyDescent="0.2">
      <c r="A236" s="14" t="s">
        <v>55</v>
      </c>
      <c r="B236" s="15" t="s">
        <v>56</v>
      </c>
      <c r="C236" s="15"/>
      <c r="D236" s="15"/>
      <c r="E236" s="15"/>
      <c r="F236" s="15"/>
      <c r="G236" s="15" t="s">
        <v>41</v>
      </c>
      <c r="H236" s="15"/>
      <c r="I236" s="15" t="s">
        <v>936</v>
      </c>
      <c r="J236" s="15"/>
      <c r="K236" s="15" t="s">
        <v>932</v>
      </c>
      <c r="L236" s="15"/>
      <c r="M236" s="15" t="s">
        <v>933</v>
      </c>
      <c r="N236" s="15"/>
      <c r="O236" s="15" t="s">
        <v>948</v>
      </c>
      <c r="P236" s="15"/>
      <c r="Q236" s="15" t="s">
        <v>942</v>
      </c>
      <c r="R236" s="15"/>
      <c r="S236" s="15" t="s">
        <v>940</v>
      </c>
      <c r="T236" s="15">
        <v>0</v>
      </c>
      <c r="U236" s="15">
        <v>0</v>
      </c>
      <c r="V236" s="15">
        <v>0</v>
      </c>
      <c r="W236" s="15"/>
      <c r="X236" s="15" t="s">
        <v>937</v>
      </c>
      <c r="Y236" s="15"/>
      <c r="Z236" s="15"/>
      <c r="AA236" s="16" t="s">
        <v>313</v>
      </c>
      <c r="AB236" s="17" t="s">
        <v>233</v>
      </c>
      <c r="AC236" s="17" t="s">
        <v>58</v>
      </c>
      <c r="AD236" s="18">
        <v>400000000</v>
      </c>
      <c r="AE236" s="34">
        <v>0</v>
      </c>
      <c r="AF236" s="34">
        <v>0</v>
      </c>
      <c r="AG236" s="34">
        <v>0</v>
      </c>
      <c r="AH236" s="18">
        <v>400000000</v>
      </c>
      <c r="AI236" s="18">
        <f>AE236-AF236+AG236-AH236</f>
        <v>-400000000</v>
      </c>
      <c r="AJ236" s="34">
        <f>AD236+AI236</f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0</v>
      </c>
      <c r="AR236" s="34">
        <v>0</v>
      </c>
      <c r="AS236" s="34">
        <v>0</v>
      </c>
      <c r="AT236" s="40">
        <f t="shared" ref="AT236" si="135">AQ236+AS236</f>
        <v>0</v>
      </c>
      <c r="AU236" s="18">
        <f>AJ236-AM236</f>
        <v>0</v>
      </c>
      <c r="AV236" s="34">
        <f>AM236-AP236</f>
        <v>0</v>
      </c>
      <c r="AW236" s="34">
        <f>AP236-AT236</f>
        <v>0</v>
      </c>
      <c r="AX236" s="123">
        <v>0</v>
      </c>
    </row>
    <row r="237" spans="1:50" ht="18.75" customHeight="1" x14ac:dyDescent="0.2">
      <c r="A237" s="14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6"/>
      <c r="AB237" s="17"/>
      <c r="AC237" s="17"/>
      <c r="AD237" s="18"/>
      <c r="AE237" s="34"/>
      <c r="AF237" s="34"/>
      <c r="AG237" s="34"/>
      <c r="AH237" s="18"/>
      <c r="AI237" s="18"/>
      <c r="AJ237" s="18"/>
      <c r="AK237" s="34"/>
      <c r="AL237" s="34"/>
      <c r="AM237" s="34"/>
      <c r="AN237" s="34"/>
      <c r="AO237" s="34"/>
      <c r="AP237" s="34"/>
      <c r="AQ237" s="34"/>
      <c r="AR237" s="34"/>
      <c r="AS237" s="34"/>
      <c r="AT237" s="40"/>
      <c r="AU237" s="18"/>
      <c r="AV237" s="34"/>
      <c r="AW237" s="34"/>
      <c r="AX237" s="123"/>
    </row>
    <row r="238" spans="1:50" ht="27" customHeight="1" x14ac:dyDescent="0.2">
      <c r="A238" s="14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73" t="s">
        <v>288</v>
      </c>
      <c r="AB238" s="74" t="s">
        <v>312</v>
      </c>
      <c r="AC238" s="17"/>
      <c r="AD238" s="18"/>
      <c r="AE238" s="34"/>
      <c r="AF238" s="34"/>
      <c r="AG238" s="34"/>
      <c r="AH238" s="18"/>
      <c r="AI238" s="18"/>
      <c r="AJ238" s="18"/>
      <c r="AK238" s="34"/>
      <c r="AL238" s="34"/>
      <c r="AM238" s="34"/>
      <c r="AN238" s="34"/>
      <c r="AO238" s="34"/>
      <c r="AP238" s="34"/>
      <c r="AQ238" s="34"/>
      <c r="AR238" s="34"/>
      <c r="AS238" s="34"/>
      <c r="AT238" s="40"/>
      <c r="AU238" s="18"/>
      <c r="AV238" s="34"/>
      <c r="AW238" s="34"/>
      <c r="AX238" s="123"/>
    </row>
    <row r="239" spans="1:50" ht="18.75" customHeight="1" x14ac:dyDescent="0.2">
      <c r="A239" s="14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41" t="s">
        <v>1240</v>
      </c>
      <c r="AB239" s="42" t="s">
        <v>233</v>
      </c>
      <c r="AC239" s="17"/>
      <c r="AD239" s="34">
        <v>0</v>
      </c>
      <c r="AE239" s="34">
        <v>0</v>
      </c>
      <c r="AF239" s="34">
        <v>0</v>
      </c>
      <c r="AG239" s="18">
        <v>400000000</v>
      </c>
      <c r="AH239" s="44">
        <v>0</v>
      </c>
      <c r="AI239" s="18">
        <f>AE239-AF239+AG239-AH239</f>
        <v>400000000</v>
      </c>
      <c r="AJ239" s="18">
        <f>AD239+AI239</f>
        <v>400000000</v>
      </c>
      <c r="AK239" s="34">
        <v>0</v>
      </c>
      <c r="AL239" s="34">
        <v>0</v>
      </c>
      <c r="AM239" s="18">
        <v>339281000</v>
      </c>
      <c r="AN239" s="34">
        <v>0</v>
      </c>
      <c r="AO239" s="34">
        <v>0</v>
      </c>
      <c r="AP239" s="18">
        <v>339281000</v>
      </c>
      <c r="AQ239" s="34">
        <v>0</v>
      </c>
      <c r="AR239" s="34">
        <v>0</v>
      </c>
      <c r="AS239" s="34">
        <v>0</v>
      </c>
      <c r="AT239" s="40">
        <f t="shared" ref="AT239" si="136">AQ239+AS239</f>
        <v>0</v>
      </c>
      <c r="AU239" s="18">
        <f>AJ239-AM239</f>
        <v>60719000</v>
      </c>
      <c r="AV239" s="34">
        <f>AM239-AP239</f>
        <v>0</v>
      </c>
      <c r="AW239" s="18">
        <f>AP239-AT239</f>
        <v>339281000</v>
      </c>
      <c r="AX239" s="123">
        <v>0</v>
      </c>
    </row>
    <row r="240" spans="1:50" ht="18.75" customHeight="1" x14ac:dyDescent="0.2">
      <c r="A240" s="14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70" t="s">
        <v>1016</v>
      </c>
      <c r="AB240" s="165" t="s">
        <v>997</v>
      </c>
      <c r="AC240" s="161"/>
      <c r="AD240" s="18"/>
      <c r="AE240" s="34"/>
      <c r="AF240" s="34"/>
      <c r="AG240" s="34"/>
      <c r="AH240" s="34"/>
      <c r="AI240" s="34"/>
      <c r="AJ240" s="18"/>
      <c r="AK240" s="34"/>
      <c r="AL240" s="34"/>
      <c r="AM240" s="34"/>
      <c r="AN240" s="34"/>
      <c r="AO240" s="34"/>
      <c r="AP240" s="34"/>
      <c r="AQ240" s="34"/>
      <c r="AR240" s="34"/>
      <c r="AS240" s="34"/>
      <c r="AT240" s="40"/>
      <c r="AU240" s="18"/>
      <c r="AV240" s="34"/>
      <c r="AW240" s="34"/>
      <c r="AX240" s="123"/>
    </row>
    <row r="241" spans="1:50" ht="18.75" customHeight="1" x14ac:dyDescent="0.2">
      <c r="A241" s="14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70" t="s">
        <v>1017</v>
      </c>
      <c r="AB241" s="165" t="s">
        <v>999</v>
      </c>
      <c r="AC241" s="161"/>
      <c r="AD241" s="18"/>
      <c r="AE241" s="34"/>
      <c r="AF241" s="34"/>
      <c r="AG241" s="34"/>
      <c r="AH241" s="34"/>
      <c r="AI241" s="34"/>
      <c r="AJ241" s="18"/>
      <c r="AK241" s="34"/>
      <c r="AL241" s="34"/>
      <c r="AM241" s="34"/>
      <c r="AN241" s="34"/>
      <c r="AO241" s="34"/>
      <c r="AP241" s="34"/>
      <c r="AQ241" s="34"/>
      <c r="AR241" s="34"/>
      <c r="AS241" s="34"/>
      <c r="AT241" s="40"/>
      <c r="AU241" s="18"/>
      <c r="AV241" s="34"/>
      <c r="AW241" s="34"/>
      <c r="AX241" s="123"/>
    </row>
    <row r="242" spans="1:50" ht="18.75" customHeight="1" x14ac:dyDescent="0.2">
      <c r="A242" s="14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70" t="s">
        <v>1018</v>
      </c>
      <c r="AB242" s="165" t="s">
        <v>1001</v>
      </c>
      <c r="AC242" s="161"/>
      <c r="AD242" s="18"/>
      <c r="AE242" s="34"/>
      <c r="AF242" s="34"/>
      <c r="AG242" s="34"/>
      <c r="AH242" s="34"/>
      <c r="AI242" s="34"/>
      <c r="AJ242" s="18"/>
      <c r="AK242" s="34"/>
      <c r="AL242" s="34"/>
      <c r="AM242" s="34"/>
      <c r="AN242" s="34"/>
      <c r="AO242" s="34"/>
      <c r="AP242" s="34"/>
      <c r="AQ242" s="34"/>
      <c r="AR242" s="34"/>
      <c r="AS242" s="34"/>
      <c r="AT242" s="40"/>
      <c r="AU242" s="18"/>
      <c r="AV242" s="34"/>
      <c r="AW242" s="34"/>
      <c r="AX242" s="123"/>
    </row>
    <row r="243" spans="1:50" ht="18.75" customHeight="1" x14ac:dyDescent="0.2">
      <c r="A243" s="14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66" t="s">
        <v>1019</v>
      </c>
      <c r="AB243" s="167" t="s">
        <v>1005</v>
      </c>
      <c r="AC243" s="161"/>
      <c r="AD243" s="34">
        <v>0</v>
      </c>
      <c r="AE243" s="18">
        <v>390355846.72000003</v>
      </c>
      <c r="AF243" s="34">
        <v>0</v>
      </c>
      <c r="AG243" s="34">
        <v>0</v>
      </c>
      <c r="AH243" s="34">
        <v>0</v>
      </c>
      <c r="AI243" s="18">
        <f>AE243-AF243+AG243-AH243</f>
        <v>390355846.72000003</v>
      </c>
      <c r="AJ243" s="18">
        <f>AD243+AI243</f>
        <v>390355846.72000003</v>
      </c>
      <c r="AK243" s="34">
        <v>0</v>
      </c>
      <c r="AL243" s="34">
        <v>0</v>
      </c>
      <c r="AM243" s="34">
        <v>0</v>
      </c>
      <c r="AN243" s="34">
        <v>0</v>
      </c>
      <c r="AO243" s="34">
        <v>0</v>
      </c>
      <c r="AP243" s="34">
        <v>0</v>
      </c>
      <c r="AQ243" s="34">
        <v>0</v>
      </c>
      <c r="AR243" s="34">
        <v>0</v>
      </c>
      <c r="AS243" s="34">
        <v>0</v>
      </c>
      <c r="AT243" s="40">
        <f t="shared" ref="AT243" si="137">AQ243+AS243</f>
        <v>0</v>
      </c>
      <c r="AU243" s="18">
        <f>AJ243-AM243</f>
        <v>390355846.72000003</v>
      </c>
      <c r="AV243" s="34">
        <f>AM243-AP243</f>
        <v>0</v>
      </c>
      <c r="AW243" s="34">
        <f>AP243-AT243</f>
        <v>0</v>
      </c>
      <c r="AX243" s="123">
        <f>AP243/AJ243</f>
        <v>0</v>
      </c>
    </row>
    <row r="244" spans="1:50" s="25" customFormat="1" ht="18.75" customHeight="1" x14ac:dyDescent="0.2">
      <c r="A244" s="64"/>
      <c r="B244" s="65"/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5"/>
      <c r="Z244" s="65"/>
      <c r="AA244" s="66"/>
      <c r="AB244" s="47" t="s">
        <v>314</v>
      </c>
      <c r="AC244" s="22" t="s">
        <v>315</v>
      </c>
      <c r="AD244" s="22">
        <f t="shared" ref="AD244:AW244" si="138">SUM(AD199:AD243)</f>
        <v>4500000000</v>
      </c>
      <c r="AE244" s="22">
        <f t="shared" si="138"/>
        <v>3800355846.7200003</v>
      </c>
      <c r="AF244" s="23">
        <f t="shared" si="138"/>
        <v>0</v>
      </c>
      <c r="AG244" s="22">
        <f t="shared" si="138"/>
        <v>9620000000</v>
      </c>
      <c r="AH244" s="22">
        <f t="shared" si="138"/>
        <v>4070000000</v>
      </c>
      <c r="AI244" s="22">
        <f t="shared" si="138"/>
        <v>9350355846.7199993</v>
      </c>
      <c r="AJ244" s="22">
        <f t="shared" si="138"/>
        <v>13850355846.719999</v>
      </c>
      <c r="AK244" s="23">
        <f t="shared" si="138"/>
        <v>0</v>
      </c>
      <c r="AL244" s="22">
        <f t="shared" si="138"/>
        <v>2166920012.6700001</v>
      </c>
      <c r="AM244" s="22">
        <f t="shared" si="138"/>
        <v>10445562097.279999</v>
      </c>
      <c r="AN244" s="22">
        <f t="shared" si="138"/>
        <v>18000000</v>
      </c>
      <c r="AO244" s="22">
        <f t="shared" si="138"/>
        <v>5126267731.6700001</v>
      </c>
      <c r="AP244" s="22">
        <f t="shared" si="138"/>
        <v>8280813361.3500004</v>
      </c>
      <c r="AQ244" s="22">
        <f t="shared" si="138"/>
        <v>55916666</v>
      </c>
      <c r="AR244" s="22">
        <f t="shared" si="138"/>
        <v>248254856.95999998</v>
      </c>
      <c r="AS244" s="22">
        <f t="shared" si="138"/>
        <v>1130987832.6099999</v>
      </c>
      <c r="AT244" s="22">
        <f t="shared" si="138"/>
        <v>1186904498.6099999</v>
      </c>
      <c r="AU244" s="22">
        <f t="shared" si="138"/>
        <v>3404793749.4400005</v>
      </c>
      <c r="AV244" s="22">
        <f t="shared" si="138"/>
        <v>2164748735.9300003</v>
      </c>
      <c r="AW244" s="22">
        <f t="shared" si="138"/>
        <v>7093908862.7400007</v>
      </c>
      <c r="AX244" s="24">
        <f>AP244/AJ244</f>
        <v>0.59787730026525188</v>
      </c>
    </row>
    <row r="245" spans="1:50" ht="18.75" customHeight="1" x14ac:dyDescent="0.2">
      <c r="A245" s="14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6"/>
      <c r="AB245" s="17"/>
      <c r="AC245" s="17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</row>
    <row r="246" spans="1:50" s="25" customFormat="1" ht="18.75" customHeight="1" x14ac:dyDescent="0.2">
      <c r="A246" s="64"/>
      <c r="B246" s="65"/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  <c r="AA246" s="66"/>
      <c r="AB246" s="21" t="s">
        <v>316</v>
      </c>
      <c r="AC246" s="67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</row>
    <row r="247" spans="1:50" ht="18.75" customHeight="1" x14ac:dyDescent="0.2">
      <c r="A247" s="14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6"/>
      <c r="AB247" s="29" t="s">
        <v>317</v>
      </c>
      <c r="AC247" s="17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30"/>
      <c r="AU247" s="18"/>
      <c r="AV247" s="18"/>
      <c r="AW247" s="18"/>
      <c r="AX247" s="18"/>
    </row>
    <row r="248" spans="1:50" ht="18.75" customHeight="1" x14ac:dyDescent="0.2">
      <c r="A248" s="14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6"/>
      <c r="AB248" s="29" t="s">
        <v>318</v>
      </c>
      <c r="AC248" s="17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30"/>
      <c r="AU248" s="18"/>
      <c r="AV248" s="18"/>
      <c r="AW248" s="18"/>
      <c r="AX248" s="18"/>
    </row>
    <row r="249" spans="1:50" ht="25.5" x14ac:dyDescent="0.2">
      <c r="A249" s="35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7"/>
      <c r="AB249" s="29" t="s">
        <v>319</v>
      </c>
      <c r="AC249" s="38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0"/>
      <c r="AU249" s="39"/>
      <c r="AV249" s="39"/>
      <c r="AW249" s="39"/>
      <c r="AX249" s="18"/>
    </row>
    <row r="250" spans="1:50" ht="18.75" customHeight="1" x14ac:dyDescent="0.2">
      <c r="A250" s="35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7"/>
      <c r="AB250" s="29" t="s">
        <v>320</v>
      </c>
      <c r="AC250" s="38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0"/>
      <c r="AU250" s="39"/>
      <c r="AV250" s="39"/>
      <c r="AW250" s="39"/>
      <c r="AX250" s="18"/>
    </row>
    <row r="251" spans="1:50" ht="18.75" customHeight="1" x14ac:dyDescent="0.2">
      <c r="A251" s="14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6"/>
      <c r="AB251" s="29" t="s">
        <v>46</v>
      </c>
      <c r="AC251" s="17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30"/>
      <c r="AU251" s="18"/>
      <c r="AV251" s="18"/>
      <c r="AW251" s="18"/>
      <c r="AX251" s="18"/>
    </row>
    <row r="252" spans="1:50" ht="18.75" customHeight="1" x14ac:dyDescent="0.2">
      <c r="A252" s="14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6"/>
      <c r="AB252" s="29" t="s">
        <v>48</v>
      </c>
      <c r="AC252" s="17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30"/>
      <c r="AU252" s="18"/>
      <c r="AV252" s="18"/>
      <c r="AW252" s="18"/>
      <c r="AX252" s="18"/>
    </row>
    <row r="253" spans="1:50" ht="18.75" customHeight="1" x14ac:dyDescent="0.2">
      <c r="A253" s="14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6"/>
      <c r="AB253" s="29" t="s">
        <v>52</v>
      </c>
      <c r="AC253" s="17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30"/>
      <c r="AU253" s="18"/>
      <c r="AV253" s="18"/>
      <c r="AW253" s="18"/>
      <c r="AX253" s="18"/>
    </row>
    <row r="254" spans="1:50" ht="18.75" customHeight="1" x14ac:dyDescent="0.2">
      <c r="AA254" s="28" t="s">
        <v>288</v>
      </c>
      <c r="AB254" s="29" t="s">
        <v>54</v>
      </c>
      <c r="AC254" s="17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30"/>
      <c r="AU254" s="18"/>
      <c r="AV254" s="18"/>
      <c r="AW254" s="18"/>
      <c r="AX254" s="18"/>
    </row>
    <row r="255" spans="1:50" ht="18.75" customHeight="1" x14ac:dyDescent="0.2">
      <c r="A255" s="4" t="s">
        <v>55</v>
      </c>
      <c r="B255" s="4" t="s">
        <v>56</v>
      </c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1" t="s">
        <v>321</v>
      </c>
      <c r="AB255" s="42" t="s">
        <v>322</v>
      </c>
      <c r="AC255" s="38" t="s">
        <v>58</v>
      </c>
      <c r="AD255" s="39">
        <v>1139356981</v>
      </c>
      <c r="AE255" s="40">
        <v>0</v>
      </c>
      <c r="AF255" s="40">
        <v>0</v>
      </c>
      <c r="AG255" s="40">
        <v>0</v>
      </c>
      <c r="AH255" s="40">
        <v>0</v>
      </c>
      <c r="AI255" s="34">
        <f>AE255-AF255+AG255-AH351</f>
        <v>0</v>
      </c>
      <c r="AJ255" s="18">
        <f>AD255+AI255</f>
        <v>1139356981</v>
      </c>
      <c r="AK255" s="40">
        <v>0</v>
      </c>
      <c r="AL255" s="39">
        <v>29299740</v>
      </c>
      <c r="AM255" s="39">
        <v>32249957</v>
      </c>
      <c r="AN255" s="40">
        <v>0</v>
      </c>
      <c r="AO255" s="39">
        <v>25665636</v>
      </c>
      <c r="AP255" s="39">
        <v>26344538</v>
      </c>
      <c r="AQ255" s="40">
        <v>0</v>
      </c>
      <c r="AR255" s="40">
        <v>25665636</v>
      </c>
      <c r="AS255" s="39">
        <v>26344538</v>
      </c>
      <c r="AT255" s="39">
        <f t="shared" ref="AT255:AT256" si="139">AQ255+AS255</f>
        <v>26344538</v>
      </c>
      <c r="AU255" s="18">
        <f>AJ255-AM255</f>
        <v>1107107024</v>
      </c>
      <c r="AV255" s="110">
        <f>AM255-AP255</f>
        <v>5905419</v>
      </c>
      <c r="AW255" s="34">
        <f>AP255-AT255</f>
        <v>0</v>
      </c>
      <c r="AX255" s="123">
        <f>AP255/AJ255</f>
        <v>2.3122286025647303E-2</v>
      </c>
    </row>
    <row r="256" spans="1:50" ht="18.75" customHeight="1" x14ac:dyDescent="0.2">
      <c r="A256" s="4" t="s">
        <v>55</v>
      </c>
      <c r="B256" s="4" t="s">
        <v>56</v>
      </c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211" t="s">
        <v>323</v>
      </c>
      <c r="AB256" s="212" t="s">
        <v>324</v>
      </c>
      <c r="AC256" s="244" t="s">
        <v>61</v>
      </c>
      <c r="AD256" s="244">
        <v>9000660718</v>
      </c>
      <c r="AE256" s="233">
        <v>0</v>
      </c>
      <c r="AF256" s="44">
        <v>0</v>
      </c>
      <c r="AG256" s="18">
        <v>0</v>
      </c>
      <c r="AH256" s="34">
        <v>0</v>
      </c>
      <c r="AI256" s="18">
        <f t="shared" ref="AI256" si="140">AE256-AF256+AG256-AH256</f>
        <v>0</v>
      </c>
      <c r="AJ256" s="18">
        <f t="shared" ref="AJ256" si="141">AD256+AI256</f>
        <v>9000660718</v>
      </c>
      <c r="AK256" s="44">
        <v>0</v>
      </c>
      <c r="AL256" s="39">
        <v>691413489</v>
      </c>
      <c r="AM256" s="43">
        <v>5449963408</v>
      </c>
      <c r="AN256" s="44">
        <v>0</v>
      </c>
      <c r="AO256" s="43">
        <v>691413489</v>
      </c>
      <c r="AP256" s="43">
        <v>5448945054</v>
      </c>
      <c r="AQ256" s="44">
        <v>0</v>
      </c>
      <c r="AR256" s="43">
        <v>691413489</v>
      </c>
      <c r="AS256" s="43">
        <v>5448945054</v>
      </c>
      <c r="AT256" s="39">
        <f t="shared" si="139"/>
        <v>5448945054</v>
      </c>
      <c r="AU256" s="18">
        <f>AJ256-AM256</f>
        <v>3550697310</v>
      </c>
      <c r="AV256" s="110">
        <f>AM256-AP256</f>
        <v>1018354</v>
      </c>
      <c r="AW256" s="34">
        <f>AP256-AT256</f>
        <v>0</v>
      </c>
      <c r="AX256" s="123">
        <f>AP256/AJ256</f>
        <v>0.60539389548401823</v>
      </c>
    </row>
    <row r="257" spans="1:50" x14ac:dyDescent="0.2">
      <c r="AA257" s="16"/>
      <c r="AB257" s="17"/>
      <c r="AC257" s="17"/>
      <c r="AD257" s="18"/>
      <c r="AE257" s="18"/>
      <c r="AF257" s="18"/>
      <c r="AG257" s="18"/>
      <c r="AH257" s="18"/>
      <c r="AI257" s="34"/>
      <c r="AW257" s="137"/>
    </row>
    <row r="258" spans="1:50" ht="18.75" customHeight="1" x14ac:dyDescent="0.2">
      <c r="AA258" s="28" t="s">
        <v>288</v>
      </c>
      <c r="AB258" s="29" t="s">
        <v>71</v>
      </c>
      <c r="AC258" s="17"/>
      <c r="AD258" s="18"/>
      <c r="AE258" s="34"/>
      <c r="AF258" s="34"/>
      <c r="AG258" s="34"/>
      <c r="AH258" s="34"/>
      <c r="AI258" s="34"/>
      <c r="AJ258" s="18"/>
      <c r="AK258" s="34"/>
      <c r="AL258" s="18"/>
      <c r="AM258" s="18"/>
      <c r="AN258" s="34"/>
      <c r="AO258" s="18"/>
      <c r="AP258" s="18"/>
      <c r="AQ258" s="34"/>
      <c r="AR258" s="18"/>
      <c r="AS258" s="18"/>
      <c r="AT258" s="30"/>
      <c r="AU258" s="18"/>
      <c r="AV258" s="18"/>
      <c r="AW258" s="34"/>
      <c r="AX258" s="18"/>
    </row>
    <row r="259" spans="1:50" ht="18.75" customHeight="1" x14ac:dyDescent="0.2">
      <c r="A259" s="4" t="s">
        <v>325</v>
      </c>
      <c r="B259" s="4" t="s">
        <v>326</v>
      </c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1" t="s">
        <v>327</v>
      </c>
      <c r="AB259" s="42" t="s">
        <v>328</v>
      </c>
      <c r="AC259" s="43" t="s">
        <v>61</v>
      </c>
      <c r="AD259" s="43">
        <v>391454539</v>
      </c>
      <c r="AE259" s="44">
        <v>0</v>
      </c>
      <c r="AF259" s="44">
        <v>0</v>
      </c>
      <c r="AG259" s="44">
        <v>0</v>
      </c>
      <c r="AH259" s="44">
        <v>0</v>
      </c>
      <c r="AI259" s="34">
        <f>AE259-AF259+AG259-AH355</f>
        <v>0</v>
      </c>
      <c r="AJ259" s="18">
        <f>AD259+AI259</f>
        <v>391454539</v>
      </c>
      <c r="AK259" s="44">
        <v>0</v>
      </c>
      <c r="AL259" s="43">
        <v>740133</v>
      </c>
      <c r="AM259" s="43">
        <v>336315322</v>
      </c>
      <c r="AN259" s="44">
        <v>0</v>
      </c>
      <c r="AO259" s="43">
        <v>740133</v>
      </c>
      <c r="AP259" s="43">
        <v>336315322</v>
      </c>
      <c r="AQ259" s="44">
        <v>0</v>
      </c>
      <c r="AR259" s="43">
        <v>740133</v>
      </c>
      <c r="AS259" s="43">
        <v>14957380</v>
      </c>
      <c r="AT259" s="39">
        <f t="shared" ref="AT259" si="142">AQ259+AS259</f>
        <v>14957380</v>
      </c>
      <c r="AU259" s="18">
        <f>AJ259-AM259</f>
        <v>55139217</v>
      </c>
      <c r="AV259" s="34">
        <f>AM259-AP259</f>
        <v>0</v>
      </c>
      <c r="AW259" s="18">
        <f>AP259-AT259</f>
        <v>321357942</v>
      </c>
      <c r="AX259" s="123">
        <f>AP259/AJ259</f>
        <v>0.85914273176942269</v>
      </c>
    </row>
    <row r="260" spans="1:50" ht="18.75" customHeight="1" x14ac:dyDescent="0.2">
      <c r="AA260" s="28" t="s">
        <v>288</v>
      </c>
      <c r="AB260" s="29" t="s">
        <v>76</v>
      </c>
      <c r="AC260" s="17"/>
      <c r="AD260" s="18"/>
      <c r="AE260" s="18"/>
      <c r="AF260" s="18"/>
      <c r="AG260" s="18"/>
      <c r="AH260" s="18"/>
      <c r="AI260" s="18"/>
      <c r="AJ260" s="18"/>
      <c r="AK260" s="34"/>
      <c r="AL260" s="18"/>
      <c r="AM260" s="18"/>
      <c r="AN260" s="34"/>
      <c r="AO260" s="18"/>
      <c r="AP260" s="18"/>
      <c r="AQ260" s="34"/>
      <c r="AR260" s="18"/>
      <c r="AS260" s="18"/>
      <c r="AT260" s="30"/>
      <c r="AU260" s="18"/>
      <c r="AV260" s="18"/>
      <c r="AW260" s="34"/>
      <c r="AX260" s="18"/>
    </row>
    <row r="261" spans="1:50" ht="18.75" customHeight="1" x14ac:dyDescent="0.2">
      <c r="A261" s="4" t="s">
        <v>325</v>
      </c>
      <c r="B261" s="4" t="s">
        <v>326</v>
      </c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1" t="s">
        <v>329</v>
      </c>
      <c r="AB261" s="42" t="s">
        <v>328</v>
      </c>
      <c r="AC261" s="43" t="s">
        <v>61</v>
      </c>
      <c r="AD261" s="43">
        <v>277293782</v>
      </c>
      <c r="AE261" s="44">
        <v>0</v>
      </c>
      <c r="AF261" s="44">
        <v>0</v>
      </c>
      <c r="AG261" s="44">
        <v>0</v>
      </c>
      <c r="AH261" s="44">
        <v>0</v>
      </c>
      <c r="AI261" s="44">
        <v>0</v>
      </c>
      <c r="AJ261" s="43">
        <v>277293782</v>
      </c>
      <c r="AK261" s="44">
        <v>0</v>
      </c>
      <c r="AL261" s="43">
        <v>49058405</v>
      </c>
      <c r="AM261" s="43">
        <v>175012029</v>
      </c>
      <c r="AN261" s="44">
        <v>0</v>
      </c>
      <c r="AO261" s="43">
        <v>49058405</v>
      </c>
      <c r="AP261" s="43">
        <v>175012029</v>
      </c>
      <c r="AQ261" s="44">
        <v>0</v>
      </c>
      <c r="AR261" s="43">
        <v>49058405</v>
      </c>
      <c r="AS261" s="43">
        <v>175012029</v>
      </c>
      <c r="AT261" s="39">
        <f t="shared" ref="AT261" si="143">AQ261+AS261</f>
        <v>175012029</v>
      </c>
      <c r="AU261" s="18">
        <f>AJ261-AM261</f>
        <v>102281753</v>
      </c>
      <c r="AV261" s="34">
        <f>AM261-AP261</f>
        <v>0</v>
      </c>
      <c r="AW261" s="34">
        <f>AP261-AT261</f>
        <v>0</v>
      </c>
      <c r="AX261" s="123">
        <f>AP261/AJ261</f>
        <v>0.63114299836698107</v>
      </c>
    </row>
    <row r="262" spans="1:50" ht="18.75" customHeight="1" x14ac:dyDescent="0.2">
      <c r="AA262" s="16"/>
      <c r="AB262" s="29" t="s">
        <v>81</v>
      </c>
      <c r="AC262" s="17"/>
      <c r="AD262" s="18"/>
      <c r="AE262" s="34"/>
      <c r="AF262" s="34"/>
      <c r="AG262" s="34"/>
      <c r="AH262" s="34"/>
      <c r="AI262" s="34"/>
      <c r="AJ262" s="18"/>
      <c r="AK262" s="34"/>
      <c r="AL262" s="18"/>
      <c r="AM262" s="18"/>
      <c r="AN262" s="34"/>
      <c r="AO262" s="18"/>
      <c r="AP262" s="18"/>
      <c r="AQ262" s="34"/>
      <c r="AR262" s="18"/>
      <c r="AS262" s="18"/>
      <c r="AT262" s="30"/>
      <c r="AU262" s="18"/>
      <c r="AV262" s="18"/>
      <c r="AW262" s="18"/>
      <c r="AX262" s="18"/>
    </row>
    <row r="263" spans="1:50" ht="18.75" customHeight="1" x14ac:dyDescent="0.2">
      <c r="AA263" s="28" t="s">
        <v>288</v>
      </c>
      <c r="AB263" s="29" t="s">
        <v>83</v>
      </c>
      <c r="AC263" s="17"/>
      <c r="AD263" s="18"/>
      <c r="AE263" s="34"/>
      <c r="AF263" s="34"/>
      <c r="AG263" s="34"/>
      <c r="AH263" s="34"/>
      <c r="AI263" s="34"/>
      <c r="AJ263" s="18"/>
      <c r="AK263" s="34"/>
      <c r="AL263" s="18"/>
      <c r="AM263" s="18"/>
      <c r="AN263" s="34"/>
      <c r="AO263" s="18"/>
      <c r="AP263" s="18"/>
      <c r="AQ263" s="34"/>
      <c r="AR263" s="18"/>
      <c r="AS263" s="18"/>
      <c r="AT263" s="30"/>
      <c r="AU263" s="18"/>
      <c r="AV263" s="18"/>
      <c r="AW263" s="18"/>
      <c r="AX263" s="18"/>
    </row>
    <row r="264" spans="1:50" ht="18.75" customHeight="1" x14ac:dyDescent="0.2">
      <c r="A264" s="4" t="s">
        <v>325</v>
      </c>
      <c r="B264" s="4" t="s">
        <v>326</v>
      </c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1" t="s">
        <v>330</v>
      </c>
      <c r="AB264" s="42" t="s">
        <v>328</v>
      </c>
      <c r="AC264" s="43" t="s">
        <v>61</v>
      </c>
      <c r="AD264" s="43">
        <v>863231353</v>
      </c>
      <c r="AE264" s="44">
        <v>0</v>
      </c>
      <c r="AF264" s="44">
        <v>0</v>
      </c>
      <c r="AG264" s="44">
        <v>0</v>
      </c>
      <c r="AH264" s="44">
        <v>0</v>
      </c>
      <c r="AI264" s="44">
        <v>0</v>
      </c>
      <c r="AJ264" s="43">
        <v>863231353</v>
      </c>
      <c r="AK264" s="44">
        <v>0</v>
      </c>
      <c r="AL264" s="43">
        <v>8860542</v>
      </c>
      <c r="AM264" s="43">
        <v>29695196</v>
      </c>
      <c r="AN264" s="44">
        <v>0</v>
      </c>
      <c r="AO264" s="43">
        <v>8860542</v>
      </c>
      <c r="AP264" s="43">
        <v>29695196</v>
      </c>
      <c r="AQ264" s="44">
        <v>0</v>
      </c>
      <c r="AR264" s="43">
        <v>8860542</v>
      </c>
      <c r="AS264" s="43">
        <v>29695196</v>
      </c>
      <c r="AT264" s="39">
        <f t="shared" ref="AT264" si="144">AQ264+AS264</f>
        <v>29695196</v>
      </c>
      <c r="AU264" s="18">
        <f>AJ264-AM264</f>
        <v>833536157</v>
      </c>
      <c r="AV264" s="34">
        <f>AM264-AP264</f>
        <v>0</v>
      </c>
      <c r="AW264" s="34">
        <f>AP264-AT264</f>
        <v>0</v>
      </c>
      <c r="AX264" s="123">
        <f>AP264/AJ264</f>
        <v>3.4400043391380385E-2</v>
      </c>
    </row>
    <row r="265" spans="1:50" ht="18.75" customHeight="1" x14ac:dyDescent="0.2">
      <c r="AA265" s="28" t="s">
        <v>288</v>
      </c>
      <c r="AB265" s="29" t="s">
        <v>88</v>
      </c>
      <c r="AC265" s="17"/>
      <c r="AD265" s="18"/>
      <c r="AE265" s="34"/>
      <c r="AF265" s="34"/>
      <c r="AG265" s="34"/>
      <c r="AH265" s="34"/>
      <c r="AI265" s="34"/>
      <c r="AJ265" s="18"/>
      <c r="AK265" s="18"/>
      <c r="AL265" s="18"/>
      <c r="AM265" s="18"/>
      <c r="AN265" s="18"/>
      <c r="AO265" s="18"/>
      <c r="AP265" s="18"/>
      <c r="AQ265" s="34"/>
      <c r="AR265" s="18"/>
      <c r="AS265" s="18"/>
      <c r="AT265" s="30"/>
      <c r="AU265" s="18"/>
      <c r="AV265" s="18"/>
      <c r="AW265" s="34"/>
      <c r="AX265" s="18"/>
    </row>
    <row r="266" spans="1:50" ht="18.75" customHeight="1" x14ac:dyDescent="0.2">
      <c r="A266" s="4" t="s">
        <v>325</v>
      </c>
      <c r="B266" s="4" t="s">
        <v>326</v>
      </c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1" t="s">
        <v>331</v>
      </c>
      <c r="AB266" s="42" t="s">
        <v>328</v>
      </c>
      <c r="AC266" s="43" t="s">
        <v>61</v>
      </c>
      <c r="AD266" s="43">
        <v>240951939</v>
      </c>
      <c r="AE266" s="44">
        <v>0</v>
      </c>
      <c r="AF266" s="44">
        <v>0</v>
      </c>
      <c r="AG266" s="44">
        <v>0</v>
      </c>
      <c r="AH266" s="44">
        <v>0</v>
      </c>
      <c r="AI266" s="44">
        <v>0</v>
      </c>
      <c r="AJ266" s="43">
        <v>240951939</v>
      </c>
      <c r="AK266" s="44">
        <v>0</v>
      </c>
      <c r="AL266" s="43">
        <v>5673272</v>
      </c>
      <c r="AM266" s="43">
        <v>59308628</v>
      </c>
      <c r="AN266" s="43">
        <v>0</v>
      </c>
      <c r="AO266" s="43">
        <v>5673272</v>
      </c>
      <c r="AP266" s="43">
        <v>59308628</v>
      </c>
      <c r="AQ266" s="44">
        <v>0</v>
      </c>
      <c r="AR266" s="43">
        <v>5673272</v>
      </c>
      <c r="AS266" s="43">
        <v>59308628</v>
      </c>
      <c r="AT266" s="39">
        <f t="shared" ref="AT266" si="145">AQ266+AS266</f>
        <v>59308628</v>
      </c>
      <c r="AU266" s="18">
        <f>AJ266-AM266</f>
        <v>181643311</v>
      </c>
      <c r="AV266" s="34">
        <f>AM266-AP266</f>
        <v>0</v>
      </c>
      <c r="AW266" s="34">
        <f>AP266-AT266</f>
        <v>0</v>
      </c>
      <c r="AX266" s="123">
        <f>AP266/AJ266</f>
        <v>0.24614297874564936</v>
      </c>
    </row>
    <row r="267" spans="1:50" ht="18.75" customHeight="1" x14ac:dyDescent="0.2">
      <c r="AA267" s="16"/>
      <c r="AB267" s="29" t="s">
        <v>103</v>
      </c>
      <c r="AC267" s="17"/>
      <c r="AD267" s="18"/>
      <c r="AE267" s="34"/>
      <c r="AF267" s="34"/>
      <c r="AG267" s="34"/>
      <c r="AH267" s="34"/>
      <c r="AI267" s="34"/>
      <c r="AJ267" s="18"/>
      <c r="AK267" s="34"/>
      <c r="AL267" s="18"/>
      <c r="AM267" s="18"/>
      <c r="AN267" s="18"/>
      <c r="AO267" s="18"/>
      <c r="AP267" s="18"/>
      <c r="AQ267" s="18"/>
      <c r="AR267" s="18"/>
      <c r="AS267" s="18"/>
      <c r="AT267" s="30"/>
      <c r="AU267" s="18"/>
      <c r="AV267" s="18"/>
      <c r="AW267" s="34"/>
      <c r="AX267" s="18"/>
    </row>
    <row r="268" spans="1:50" ht="18.75" customHeight="1" x14ac:dyDescent="0.2">
      <c r="AA268" s="28" t="s">
        <v>288</v>
      </c>
      <c r="AB268" s="29" t="s">
        <v>105</v>
      </c>
      <c r="AC268" s="17"/>
      <c r="AD268" s="18"/>
      <c r="AE268" s="34"/>
      <c r="AF268" s="34"/>
      <c r="AG268" s="34"/>
      <c r="AH268" s="34"/>
      <c r="AI268" s="34"/>
      <c r="AJ268" s="18"/>
      <c r="AK268" s="34"/>
      <c r="AL268" s="18"/>
      <c r="AM268" s="18"/>
      <c r="AN268" s="18"/>
      <c r="AO268" s="18"/>
      <c r="AP268" s="18"/>
      <c r="AQ268" s="18"/>
      <c r="AR268" s="18"/>
      <c r="AS268" s="18"/>
      <c r="AT268" s="30"/>
      <c r="AU268" s="18"/>
      <c r="AV268" s="18"/>
      <c r="AW268" s="34"/>
      <c r="AX268" s="18"/>
    </row>
    <row r="269" spans="1:50" ht="18.75" customHeight="1" x14ac:dyDescent="0.2">
      <c r="A269" s="4" t="s">
        <v>325</v>
      </c>
      <c r="B269" s="4" t="s">
        <v>326</v>
      </c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1" t="s">
        <v>332</v>
      </c>
      <c r="AB269" s="42" t="s">
        <v>328</v>
      </c>
      <c r="AC269" s="43" t="s">
        <v>61</v>
      </c>
      <c r="AD269" s="43">
        <v>1112875275</v>
      </c>
      <c r="AE269" s="44">
        <v>0</v>
      </c>
      <c r="AF269" s="44">
        <v>0</v>
      </c>
      <c r="AG269" s="44">
        <v>0</v>
      </c>
      <c r="AH269" s="44">
        <v>0</v>
      </c>
      <c r="AI269" s="44">
        <v>0</v>
      </c>
      <c r="AJ269" s="43">
        <v>1112875275</v>
      </c>
      <c r="AK269" s="44">
        <v>0</v>
      </c>
      <c r="AL269" s="43">
        <v>89432100</v>
      </c>
      <c r="AM269" s="43">
        <v>689740400</v>
      </c>
      <c r="AN269" s="44">
        <v>0</v>
      </c>
      <c r="AO269" s="43">
        <v>89830300</v>
      </c>
      <c r="AP269" s="43">
        <v>688470200</v>
      </c>
      <c r="AQ269" s="133">
        <v>0</v>
      </c>
      <c r="AR269" s="110">
        <v>89830300</v>
      </c>
      <c r="AS269" s="110">
        <v>688470200</v>
      </c>
      <c r="AT269" s="39">
        <f t="shared" ref="AT269" si="146">AQ269+AS269</f>
        <v>688470200</v>
      </c>
      <c r="AU269" s="18">
        <f>AJ269-AM269</f>
        <v>423134875</v>
      </c>
      <c r="AV269" s="110">
        <f>AM269-AP269</f>
        <v>1270200</v>
      </c>
      <c r="AW269" s="34">
        <f>AP269-AT269</f>
        <v>0</v>
      </c>
      <c r="AX269" s="123">
        <f>AP269/AJ269</f>
        <v>0.61864093440300394</v>
      </c>
    </row>
    <row r="270" spans="1:50" ht="18.75" customHeight="1" x14ac:dyDescent="0.2">
      <c r="AA270" s="28" t="s">
        <v>288</v>
      </c>
      <c r="AB270" s="29" t="s">
        <v>333</v>
      </c>
      <c r="AC270" s="17"/>
      <c r="AD270" s="18"/>
      <c r="AE270" s="34"/>
      <c r="AF270" s="34"/>
      <c r="AG270" s="34"/>
      <c r="AH270" s="34"/>
      <c r="AI270" s="34"/>
      <c r="AJ270" s="18"/>
      <c r="AK270" s="34"/>
      <c r="AL270" s="18"/>
      <c r="AM270" s="18"/>
      <c r="AN270" s="34"/>
      <c r="AO270" s="18"/>
      <c r="AP270" s="18"/>
      <c r="AQ270" s="133"/>
      <c r="AR270" s="110"/>
      <c r="AS270" s="110"/>
      <c r="AT270" s="40"/>
      <c r="AU270" s="18"/>
      <c r="AV270" s="110"/>
      <c r="AW270" s="34"/>
      <c r="AX270" s="18"/>
    </row>
    <row r="271" spans="1:50" ht="18.75" customHeight="1" x14ac:dyDescent="0.2">
      <c r="A271" s="4" t="s">
        <v>325</v>
      </c>
      <c r="B271" s="4" t="s">
        <v>326</v>
      </c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1" t="s">
        <v>334</v>
      </c>
      <c r="AB271" s="42" t="s">
        <v>328</v>
      </c>
      <c r="AC271" s="43" t="s">
        <v>61</v>
      </c>
      <c r="AD271" s="43">
        <v>785176343</v>
      </c>
      <c r="AE271" s="44">
        <v>0</v>
      </c>
      <c r="AF271" s="44">
        <v>0</v>
      </c>
      <c r="AG271" s="44">
        <v>0</v>
      </c>
      <c r="AH271" s="44">
        <v>0</v>
      </c>
      <c r="AI271" s="44">
        <v>0</v>
      </c>
      <c r="AJ271" s="43">
        <v>785176343</v>
      </c>
      <c r="AK271" s="44">
        <v>0</v>
      </c>
      <c r="AL271" s="43">
        <v>63646600</v>
      </c>
      <c r="AM271" s="43">
        <v>490526000</v>
      </c>
      <c r="AN271" s="44">
        <v>0</v>
      </c>
      <c r="AO271" s="43">
        <v>63957700</v>
      </c>
      <c r="AP271" s="43">
        <v>489533600</v>
      </c>
      <c r="AQ271" s="133">
        <v>0</v>
      </c>
      <c r="AR271" s="110">
        <v>63957700</v>
      </c>
      <c r="AS271" s="110">
        <v>489533600</v>
      </c>
      <c r="AT271" s="39">
        <f t="shared" ref="AT271" si="147">AQ271+AS271</f>
        <v>489533600</v>
      </c>
      <c r="AU271" s="18">
        <f>AJ271-AM271</f>
        <v>294650343</v>
      </c>
      <c r="AV271" s="110">
        <f>AM271-AP271</f>
        <v>992400</v>
      </c>
      <c r="AW271" s="34">
        <f>AP271-AT271</f>
        <v>0</v>
      </c>
      <c r="AX271" s="123">
        <f>AP271/AJ271</f>
        <v>0.62346962483560209</v>
      </c>
    </row>
    <row r="272" spans="1:50" ht="18.75" customHeight="1" x14ac:dyDescent="0.2">
      <c r="AA272" s="28" t="s">
        <v>288</v>
      </c>
      <c r="AB272" s="29" t="s">
        <v>115</v>
      </c>
      <c r="AC272" s="17"/>
      <c r="AD272" s="18"/>
      <c r="AE272" s="34"/>
      <c r="AF272" s="34"/>
      <c r="AG272" s="34"/>
      <c r="AH272" s="34"/>
      <c r="AI272" s="34"/>
      <c r="AJ272" s="18"/>
      <c r="AK272" s="34"/>
      <c r="AL272" s="18"/>
      <c r="AM272" s="18"/>
      <c r="AN272" s="34"/>
      <c r="AO272" s="18"/>
      <c r="AP272" s="18"/>
      <c r="AQ272" s="133"/>
      <c r="AR272" s="110"/>
      <c r="AS272" s="110"/>
      <c r="AT272" s="30"/>
      <c r="AU272" s="18"/>
      <c r="AV272" s="18"/>
      <c r="AW272" s="18"/>
      <c r="AX272" s="18"/>
    </row>
    <row r="273" spans="1:50" ht="18.75" customHeight="1" x14ac:dyDescent="0.2">
      <c r="A273" s="4" t="s">
        <v>325</v>
      </c>
      <c r="B273" s="4" t="s">
        <v>326</v>
      </c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1" t="s">
        <v>335</v>
      </c>
      <c r="AB273" s="42" t="s">
        <v>328</v>
      </c>
      <c r="AC273" s="43" t="s">
        <v>61</v>
      </c>
      <c r="AD273" s="43">
        <v>1074031411</v>
      </c>
      <c r="AE273" s="44">
        <v>0</v>
      </c>
      <c r="AF273" s="44">
        <v>0</v>
      </c>
      <c r="AG273" s="44">
        <v>0</v>
      </c>
      <c r="AH273" s="44">
        <v>0</v>
      </c>
      <c r="AI273" s="44">
        <v>0</v>
      </c>
      <c r="AJ273" s="43">
        <v>1074031411</v>
      </c>
      <c r="AK273" s="44">
        <v>0</v>
      </c>
      <c r="AL273" s="43">
        <v>31470238.969999999</v>
      </c>
      <c r="AM273" s="43">
        <v>780051798.16999996</v>
      </c>
      <c r="AN273" s="44">
        <v>0</v>
      </c>
      <c r="AO273" s="43">
        <v>49343908.149999999</v>
      </c>
      <c r="AP273" s="43">
        <v>772827078.22000003</v>
      </c>
      <c r="AQ273" s="115">
        <v>6808040.0199999996</v>
      </c>
      <c r="AR273" s="114">
        <v>42535868.130000003</v>
      </c>
      <c r="AS273" s="114">
        <v>766019038.20000005</v>
      </c>
      <c r="AT273" s="39">
        <f t="shared" ref="AT273" si="148">AQ273+AS273</f>
        <v>772827078.22000003</v>
      </c>
      <c r="AU273" s="18">
        <f>AJ273-AM273</f>
        <v>293979612.83000004</v>
      </c>
      <c r="AV273" s="34">
        <f>AM273-AP273</f>
        <v>7224719.9499999285</v>
      </c>
      <c r="AW273" s="34">
        <f>AP273-AT273</f>
        <v>0</v>
      </c>
      <c r="AX273" s="123">
        <f>AP273/AJ273</f>
        <v>0.71955724041668645</v>
      </c>
    </row>
    <row r="274" spans="1:50" ht="18.75" customHeight="1" x14ac:dyDescent="0.2">
      <c r="AA274" s="28" t="s">
        <v>288</v>
      </c>
      <c r="AB274" s="29" t="s">
        <v>119</v>
      </c>
      <c r="AC274" s="17"/>
      <c r="AD274" s="18"/>
      <c r="AE274" s="34"/>
      <c r="AF274" s="34"/>
      <c r="AG274" s="34"/>
      <c r="AH274" s="34"/>
      <c r="AI274" s="34"/>
      <c r="AJ274" s="18"/>
      <c r="AK274" s="18"/>
      <c r="AL274" s="18"/>
      <c r="AM274" s="18"/>
      <c r="AN274" s="34"/>
      <c r="AO274" s="18"/>
      <c r="AP274" s="18"/>
      <c r="AQ274" s="110"/>
      <c r="AR274" s="110"/>
      <c r="AS274" s="110"/>
      <c r="AT274" s="30"/>
      <c r="AU274" s="18"/>
      <c r="AV274" s="18"/>
      <c r="AW274" s="18"/>
      <c r="AX274" s="18"/>
    </row>
    <row r="275" spans="1:50" ht="18.75" customHeight="1" x14ac:dyDescent="0.2">
      <c r="A275" s="4" t="s">
        <v>325</v>
      </c>
      <c r="B275" s="4" t="s">
        <v>326</v>
      </c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1" t="s">
        <v>336</v>
      </c>
      <c r="AB275" s="42" t="s">
        <v>328</v>
      </c>
      <c r="AC275" s="43" t="s">
        <v>61</v>
      </c>
      <c r="AD275" s="43">
        <v>438243332</v>
      </c>
      <c r="AE275" s="44">
        <v>0</v>
      </c>
      <c r="AF275" s="44">
        <v>0</v>
      </c>
      <c r="AG275" s="44">
        <v>0</v>
      </c>
      <c r="AH275" s="44">
        <v>0</v>
      </c>
      <c r="AI275" s="44">
        <v>0</v>
      </c>
      <c r="AJ275" s="43">
        <v>438243332</v>
      </c>
      <c r="AK275" s="44">
        <v>0</v>
      </c>
      <c r="AL275" s="43">
        <v>30524500</v>
      </c>
      <c r="AM275" s="43">
        <v>246115700</v>
      </c>
      <c r="AN275" s="44">
        <v>0</v>
      </c>
      <c r="AO275" s="43">
        <v>30524500</v>
      </c>
      <c r="AP275" s="43">
        <v>246115700</v>
      </c>
      <c r="AQ275" s="133">
        <v>0</v>
      </c>
      <c r="AR275" s="110">
        <v>30524500</v>
      </c>
      <c r="AS275" s="110">
        <v>246115700</v>
      </c>
      <c r="AT275" s="39">
        <f t="shared" ref="AT275:AT289" si="149">AQ275+AS275</f>
        <v>246115700</v>
      </c>
      <c r="AU275" s="18">
        <f>AJ275-AM275</f>
        <v>192127632</v>
      </c>
      <c r="AV275" s="34">
        <f>AM275-AP275</f>
        <v>0</v>
      </c>
      <c r="AW275" s="34">
        <f>AP275-AT275</f>
        <v>0</v>
      </c>
      <c r="AX275" s="123">
        <f>AP275/AJ275</f>
        <v>0.56159599480226663</v>
      </c>
    </row>
    <row r="276" spans="1:50" ht="18.75" customHeight="1" x14ac:dyDescent="0.2">
      <c r="AA276" s="28" t="s">
        <v>288</v>
      </c>
      <c r="AB276" s="29" t="s">
        <v>124</v>
      </c>
      <c r="AC276" s="17"/>
      <c r="AD276" s="18"/>
      <c r="AE276" s="34"/>
      <c r="AF276" s="34"/>
      <c r="AG276" s="34"/>
      <c r="AH276" s="34"/>
      <c r="AI276" s="34"/>
      <c r="AJ276" s="18"/>
      <c r="AK276" s="34"/>
      <c r="AL276" s="18"/>
      <c r="AM276" s="18"/>
      <c r="AN276" s="34"/>
      <c r="AO276" s="18"/>
      <c r="AP276" s="18"/>
      <c r="AQ276" s="34"/>
      <c r="AR276" s="34"/>
      <c r="AS276" s="34"/>
      <c r="AT276" s="40">
        <f t="shared" si="149"/>
        <v>0</v>
      </c>
      <c r="AU276" s="18"/>
      <c r="AV276" s="18"/>
      <c r="AW276" s="34"/>
      <c r="AX276" s="18"/>
    </row>
    <row r="277" spans="1:50" ht="18.75" customHeight="1" x14ac:dyDescent="0.2">
      <c r="A277" s="4" t="s">
        <v>325</v>
      </c>
      <c r="B277" s="4" t="s">
        <v>326</v>
      </c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1" t="s">
        <v>337</v>
      </c>
      <c r="AB277" s="42" t="s">
        <v>328</v>
      </c>
      <c r="AC277" s="43" t="s">
        <v>61</v>
      </c>
      <c r="AD277" s="43">
        <v>46632075</v>
      </c>
      <c r="AE277" s="44">
        <v>0</v>
      </c>
      <c r="AF277" s="44">
        <v>0</v>
      </c>
      <c r="AG277" s="44">
        <v>0</v>
      </c>
      <c r="AH277" s="44">
        <v>0</v>
      </c>
      <c r="AI277" s="44">
        <v>0</v>
      </c>
      <c r="AJ277" s="43">
        <v>46632075</v>
      </c>
      <c r="AK277" s="44">
        <v>0</v>
      </c>
      <c r="AL277" s="43">
        <v>3867900</v>
      </c>
      <c r="AM277" s="43">
        <v>29269400</v>
      </c>
      <c r="AN277" s="44">
        <v>0</v>
      </c>
      <c r="AO277" s="43">
        <v>3867900</v>
      </c>
      <c r="AP277" s="43">
        <v>29269400</v>
      </c>
      <c r="AQ277" s="133">
        <v>0</v>
      </c>
      <c r="AR277" s="110">
        <v>3867900</v>
      </c>
      <c r="AS277" s="110">
        <v>29269400</v>
      </c>
      <c r="AT277" s="39">
        <f t="shared" si="149"/>
        <v>29269400</v>
      </c>
      <c r="AU277" s="18">
        <f>AJ277-AM277</f>
        <v>17362675</v>
      </c>
      <c r="AV277" s="34">
        <f>AM277-AP277</f>
        <v>0</v>
      </c>
      <c r="AW277" s="34">
        <f>AP277-AT277</f>
        <v>0</v>
      </c>
      <c r="AX277" s="123">
        <f>AP277/AJ277</f>
        <v>0.62766668650279878</v>
      </c>
    </row>
    <row r="278" spans="1:50" ht="18.75" customHeight="1" x14ac:dyDescent="0.2">
      <c r="AA278" s="28" t="s">
        <v>288</v>
      </c>
      <c r="AB278" s="29" t="s">
        <v>129</v>
      </c>
      <c r="AC278" s="17"/>
      <c r="AD278" s="18"/>
      <c r="AE278" s="34"/>
      <c r="AF278" s="34"/>
      <c r="AG278" s="34"/>
      <c r="AH278" s="34"/>
      <c r="AI278" s="34"/>
      <c r="AJ278" s="18"/>
      <c r="AK278" s="34"/>
      <c r="AL278" s="18"/>
      <c r="AM278" s="18"/>
      <c r="AN278" s="34"/>
      <c r="AO278" s="18"/>
      <c r="AP278" s="18"/>
      <c r="AQ278" s="133"/>
      <c r="AR278" s="110"/>
      <c r="AS278" s="110"/>
      <c r="AT278" s="40">
        <f t="shared" si="149"/>
        <v>0</v>
      </c>
      <c r="AU278" s="18"/>
      <c r="AV278" s="18"/>
      <c r="AW278" s="34"/>
      <c r="AX278" s="18"/>
    </row>
    <row r="279" spans="1:50" ht="18.75" customHeight="1" x14ac:dyDescent="0.2">
      <c r="A279" s="4" t="s">
        <v>325</v>
      </c>
      <c r="B279" s="4" t="s">
        <v>326</v>
      </c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1" t="s">
        <v>338</v>
      </c>
      <c r="AB279" s="42" t="s">
        <v>328</v>
      </c>
      <c r="AC279" s="43" t="s">
        <v>61</v>
      </c>
      <c r="AD279" s="43">
        <v>328682499</v>
      </c>
      <c r="AE279" s="44">
        <v>0</v>
      </c>
      <c r="AF279" s="44">
        <v>0</v>
      </c>
      <c r="AG279" s="44">
        <v>0</v>
      </c>
      <c r="AH279" s="44">
        <v>0</v>
      </c>
      <c r="AI279" s="44">
        <v>0</v>
      </c>
      <c r="AJ279" s="43">
        <v>328682499</v>
      </c>
      <c r="AK279" s="44">
        <v>0</v>
      </c>
      <c r="AL279" s="43">
        <v>22897300</v>
      </c>
      <c r="AM279" s="43">
        <v>184610400</v>
      </c>
      <c r="AN279" s="44">
        <v>0</v>
      </c>
      <c r="AO279" s="43">
        <v>22897300</v>
      </c>
      <c r="AP279" s="43">
        <v>184610400</v>
      </c>
      <c r="AQ279" s="133">
        <v>0</v>
      </c>
      <c r="AR279" s="110">
        <v>22897300</v>
      </c>
      <c r="AS279" s="110">
        <v>184610400</v>
      </c>
      <c r="AT279" s="39">
        <f t="shared" si="149"/>
        <v>184610400</v>
      </c>
      <c r="AU279" s="18">
        <f>AJ279-AM279</f>
        <v>144072099</v>
      </c>
      <c r="AV279" s="34">
        <f>AM279-AP279</f>
        <v>0</v>
      </c>
      <c r="AW279" s="34">
        <f>AP279-AT279</f>
        <v>0</v>
      </c>
      <c r="AX279" s="123">
        <f>AP279/AJ279</f>
        <v>0.56166787267855112</v>
      </c>
    </row>
    <row r="280" spans="1:50" ht="18.75" customHeight="1" x14ac:dyDescent="0.2">
      <c r="AA280" s="28" t="s">
        <v>288</v>
      </c>
      <c r="AB280" s="29" t="s">
        <v>133</v>
      </c>
      <c r="AC280" s="17"/>
      <c r="AD280" s="18"/>
      <c r="AE280" s="34"/>
      <c r="AF280" s="34"/>
      <c r="AG280" s="34"/>
      <c r="AH280" s="34"/>
      <c r="AI280" s="34"/>
      <c r="AJ280" s="18"/>
      <c r="AK280" s="34"/>
      <c r="AL280" s="18"/>
      <c r="AM280" s="18"/>
      <c r="AN280" s="34"/>
      <c r="AO280" s="18"/>
      <c r="AP280" s="18"/>
      <c r="AQ280" s="133"/>
      <c r="AR280" s="110"/>
      <c r="AS280" s="110"/>
      <c r="AT280" s="40">
        <f t="shared" si="149"/>
        <v>0</v>
      </c>
      <c r="AU280" s="18"/>
      <c r="AV280" s="18"/>
      <c r="AW280" s="34"/>
      <c r="AX280" s="18"/>
    </row>
    <row r="281" spans="1:50" ht="18.75" customHeight="1" x14ac:dyDescent="0.2">
      <c r="A281" s="4" t="s">
        <v>325</v>
      </c>
      <c r="B281" s="4" t="s">
        <v>326</v>
      </c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1" t="s">
        <v>339</v>
      </c>
      <c r="AB281" s="42" t="s">
        <v>328</v>
      </c>
      <c r="AC281" s="43" t="s">
        <v>61</v>
      </c>
      <c r="AD281" s="43">
        <v>54780417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3">
        <v>54780417</v>
      </c>
      <c r="AK281" s="44">
        <v>0</v>
      </c>
      <c r="AL281" s="43">
        <v>3827100</v>
      </c>
      <c r="AM281" s="43">
        <v>30867600</v>
      </c>
      <c r="AN281" s="44">
        <v>0</v>
      </c>
      <c r="AO281" s="43">
        <v>3827100</v>
      </c>
      <c r="AP281" s="43">
        <v>30867600</v>
      </c>
      <c r="AQ281" s="133">
        <v>0</v>
      </c>
      <c r="AR281" s="110">
        <v>3827100</v>
      </c>
      <c r="AS281" s="110">
        <v>30867600</v>
      </c>
      <c r="AT281" s="39">
        <f t="shared" si="149"/>
        <v>30867600</v>
      </c>
      <c r="AU281" s="18">
        <f>AJ281-AM281</f>
        <v>23912817</v>
      </c>
      <c r="AV281" s="34">
        <f>AM281-AP281</f>
        <v>0</v>
      </c>
      <c r="AW281" s="34">
        <f>AP281-AT281</f>
        <v>0</v>
      </c>
      <c r="AX281" s="123">
        <f>AP281/AJ281</f>
        <v>0.56347873365038459</v>
      </c>
    </row>
    <row r="282" spans="1:50" ht="18.75" customHeight="1" x14ac:dyDescent="0.2">
      <c r="AA282" s="28" t="s">
        <v>288</v>
      </c>
      <c r="AB282" s="29" t="s">
        <v>138</v>
      </c>
      <c r="AC282" s="17"/>
      <c r="AD282" s="18"/>
      <c r="AE282" s="34"/>
      <c r="AF282" s="34"/>
      <c r="AG282" s="34"/>
      <c r="AH282" s="34"/>
      <c r="AI282" s="34"/>
      <c r="AJ282" s="18"/>
      <c r="AK282" s="34"/>
      <c r="AL282" s="18"/>
      <c r="AM282" s="18"/>
      <c r="AN282" s="34"/>
      <c r="AO282" s="18"/>
      <c r="AP282" s="18"/>
      <c r="AQ282" s="133"/>
      <c r="AR282" s="110"/>
      <c r="AS282" s="110"/>
      <c r="AT282" s="40">
        <f t="shared" si="149"/>
        <v>0</v>
      </c>
      <c r="AU282" s="18"/>
      <c r="AV282" s="18"/>
      <c r="AW282" s="34"/>
      <c r="AX282" s="18"/>
    </row>
    <row r="283" spans="1:50" ht="18.75" customHeight="1" x14ac:dyDescent="0.2">
      <c r="A283" s="4" t="s">
        <v>325</v>
      </c>
      <c r="B283" s="4" t="s">
        <v>326</v>
      </c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1" t="s">
        <v>340</v>
      </c>
      <c r="AB283" s="42" t="s">
        <v>328</v>
      </c>
      <c r="AC283" s="43" t="s">
        <v>61</v>
      </c>
      <c r="AD283" s="43">
        <v>54780417</v>
      </c>
      <c r="AE283" s="44">
        <v>0</v>
      </c>
      <c r="AF283" s="44">
        <v>0</v>
      </c>
      <c r="AG283" s="44">
        <v>0</v>
      </c>
      <c r="AH283" s="44">
        <v>0</v>
      </c>
      <c r="AI283" s="44">
        <v>0</v>
      </c>
      <c r="AJ283" s="43">
        <v>54780417</v>
      </c>
      <c r="AK283" s="44">
        <v>0</v>
      </c>
      <c r="AL283" s="43">
        <v>3827100</v>
      </c>
      <c r="AM283" s="43">
        <v>30867600</v>
      </c>
      <c r="AN283" s="44">
        <v>0</v>
      </c>
      <c r="AO283" s="43">
        <v>3827100</v>
      </c>
      <c r="AP283" s="43">
        <v>30867600</v>
      </c>
      <c r="AQ283" s="133">
        <v>0</v>
      </c>
      <c r="AR283" s="110">
        <v>3827100</v>
      </c>
      <c r="AS283" s="110">
        <v>30867600</v>
      </c>
      <c r="AT283" s="39">
        <f t="shared" si="149"/>
        <v>30867600</v>
      </c>
      <c r="AU283" s="18">
        <f>AJ283-AM283</f>
        <v>23912817</v>
      </c>
      <c r="AV283" s="34">
        <f>AM283-AP283</f>
        <v>0</v>
      </c>
      <c r="AW283" s="34">
        <f>AP283-AT283</f>
        <v>0</v>
      </c>
      <c r="AX283" s="123">
        <f>AP283/AJ283</f>
        <v>0.56347873365038459</v>
      </c>
    </row>
    <row r="284" spans="1:50" ht="25.5" x14ac:dyDescent="0.2">
      <c r="AA284" s="28" t="s">
        <v>288</v>
      </c>
      <c r="AB284" s="29" t="s">
        <v>145</v>
      </c>
      <c r="AC284" s="17"/>
      <c r="AD284" s="18"/>
      <c r="AE284" s="34"/>
      <c r="AF284" s="34"/>
      <c r="AG284" s="34"/>
      <c r="AH284" s="34"/>
      <c r="AI284" s="34"/>
      <c r="AJ284" s="18"/>
      <c r="AK284" s="34"/>
      <c r="AL284" s="18"/>
      <c r="AM284" s="18"/>
      <c r="AN284" s="34"/>
      <c r="AO284" s="18"/>
      <c r="AP284" s="18"/>
      <c r="AQ284" s="34"/>
      <c r="AR284" s="34"/>
      <c r="AS284" s="34"/>
      <c r="AT284" s="40">
        <f t="shared" si="149"/>
        <v>0</v>
      </c>
      <c r="AU284" s="18"/>
      <c r="AV284" s="18"/>
      <c r="AW284" s="18"/>
      <c r="AX284" s="18"/>
    </row>
    <row r="285" spans="1:50" ht="18.75" customHeight="1" x14ac:dyDescent="0.2">
      <c r="A285" s="4" t="s">
        <v>325</v>
      </c>
      <c r="B285" s="4" t="s">
        <v>326</v>
      </c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1" t="s">
        <v>341</v>
      </c>
      <c r="AB285" s="42" t="s">
        <v>328</v>
      </c>
      <c r="AC285" s="43" t="s">
        <v>61</v>
      </c>
      <c r="AD285" s="43">
        <v>109560833</v>
      </c>
      <c r="AE285" s="44">
        <v>0</v>
      </c>
      <c r="AF285" s="44">
        <v>0</v>
      </c>
      <c r="AG285" s="44">
        <v>0</v>
      </c>
      <c r="AH285" s="44">
        <v>0</v>
      </c>
      <c r="AI285" s="44">
        <v>0</v>
      </c>
      <c r="AJ285" s="43">
        <v>109560833</v>
      </c>
      <c r="AK285" s="44">
        <v>0</v>
      </c>
      <c r="AL285" s="43">
        <v>7643500</v>
      </c>
      <c r="AM285" s="43">
        <v>61630900</v>
      </c>
      <c r="AN285" s="44">
        <v>0</v>
      </c>
      <c r="AO285" s="43">
        <v>7643500</v>
      </c>
      <c r="AP285" s="43">
        <v>61630900</v>
      </c>
      <c r="AQ285" s="34">
        <v>0</v>
      </c>
      <c r="AR285" s="110">
        <v>7643500</v>
      </c>
      <c r="AS285" s="110">
        <v>61630900</v>
      </c>
      <c r="AT285" s="39">
        <f t="shared" si="149"/>
        <v>61630900</v>
      </c>
      <c r="AU285" s="18">
        <f>AJ285-AM285</f>
        <v>47929933</v>
      </c>
      <c r="AV285" s="34">
        <f>AM285-AP285</f>
        <v>0</v>
      </c>
      <c r="AW285" s="34">
        <f>AP285-AT285</f>
        <v>0</v>
      </c>
      <c r="AX285" s="123">
        <f>AP285/AJ285</f>
        <v>0.56252675625421722</v>
      </c>
    </row>
    <row r="286" spans="1:50" ht="18.75" customHeight="1" x14ac:dyDescent="0.2">
      <c r="AA286" s="16"/>
      <c r="AB286" s="29" t="s">
        <v>149</v>
      </c>
      <c r="AC286" s="17"/>
      <c r="AD286" s="18"/>
      <c r="AE286" s="34"/>
      <c r="AF286" s="34"/>
      <c r="AG286" s="34"/>
      <c r="AH286" s="34"/>
      <c r="AI286" s="34"/>
      <c r="AJ286" s="18"/>
      <c r="AK286" s="34"/>
      <c r="AL286" s="18"/>
      <c r="AM286" s="18"/>
      <c r="AN286" s="34"/>
      <c r="AO286" s="18"/>
      <c r="AP286" s="18"/>
      <c r="AQ286" s="34"/>
      <c r="AR286" s="34"/>
      <c r="AS286" s="34"/>
      <c r="AT286" s="40"/>
      <c r="AU286" s="18"/>
      <c r="AV286" s="18"/>
      <c r="AW286" s="34"/>
      <c r="AX286" s="18"/>
    </row>
    <row r="287" spans="1:50" ht="18.75" customHeight="1" x14ac:dyDescent="0.2">
      <c r="AA287" s="16"/>
      <c r="AB287" s="29" t="s">
        <v>81</v>
      </c>
      <c r="AC287" s="17"/>
      <c r="AD287" s="18"/>
      <c r="AE287" s="34"/>
      <c r="AF287" s="34"/>
      <c r="AG287" s="34"/>
      <c r="AH287" s="34"/>
      <c r="AI287" s="34"/>
      <c r="AJ287" s="18"/>
      <c r="AK287" s="34"/>
      <c r="AL287" s="18"/>
      <c r="AM287" s="18"/>
      <c r="AN287" s="34"/>
      <c r="AO287" s="18"/>
      <c r="AP287" s="18"/>
      <c r="AQ287" s="34"/>
      <c r="AR287" s="34"/>
      <c r="AS287" s="34"/>
      <c r="AT287" s="40"/>
      <c r="AU287" s="18"/>
      <c r="AV287" s="18"/>
      <c r="AW287" s="34"/>
      <c r="AX287" s="18"/>
    </row>
    <row r="288" spans="1:50" ht="18.75" customHeight="1" x14ac:dyDescent="0.2">
      <c r="AA288" s="28" t="s">
        <v>288</v>
      </c>
      <c r="AB288" s="29" t="s">
        <v>152</v>
      </c>
      <c r="AC288" s="17"/>
      <c r="AD288" s="18"/>
      <c r="AE288" s="34"/>
      <c r="AF288" s="34"/>
      <c r="AG288" s="34"/>
      <c r="AH288" s="34"/>
      <c r="AI288" s="34"/>
      <c r="AJ288" s="18"/>
      <c r="AK288" s="34"/>
      <c r="AL288" s="18"/>
      <c r="AM288" s="18"/>
      <c r="AN288" s="34"/>
      <c r="AO288" s="18"/>
      <c r="AP288" s="18"/>
      <c r="AQ288" s="34"/>
      <c r="AR288" s="34"/>
      <c r="AS288" s="34"/>
      <c r="AT288" s="40"/>
      <c r="AU288" s="18"/>
      <c r="AV288" s="18"/>
      <c r="AW288" s="34"/>
      <c r="AX288" s="18"/>
    </row>
    <row r="289" spans="1:50" ht="18.75" customHeight="1" x14ac:dyDescent="0.2">
      <c r="A289" s="4" t="s">
        <v>325</v>
      </c>
      <c r="B289" s="4" t="s">
        <v>326</v>
      </c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1" t="s">
        <v>342</v>
      </c>
      <c r="AB289" s="42" t="s">
        <v>328</v>
      </c>
      <c r="AC289" s="43" t="s">
        <v>61</v>
      </c>
      <c r="AD289" s="43">
        <v>229777776</v>
      </c>
      <c r="AE289" s="44">
        <v>0</v>
      </c>
      <c r="AF289" s="44">
        <v>0</v>
      </c>
      <c r="AG289" s="44">
        <v>0</v>
      </c>
      <c r="AH289" s="44">
        <v>0</v>
      </c>
      <c r="AI289" s="44">
        <v>0</v>
      </c>
      <c r="AJ289" s="43">
        <v>229777776</v>
      </c>
      <c r="AK289" s="44">
        <v>0</v>
      </c>
      <c r="AL289" s="43">
        <v>8520073</v>
      </c>
      <c r="AM289" s="43">
        <v>93432387</v>
      </c>
      <c r="AN289" s="44">
        <v>0</v>
      </c>
      <c r="AO289" s="43">
        <v>8520073</v>
      </c>
      <c r="AP289" s="43">
        <v>93432387</v>
      </c>
      <c r="AQ289" s="34">
        <v>0</v>
      </c>
      <c r="AR289" s="133">
        <v>8520073</v>
      </c>
      <c r="AS289" s="110">
        <v>93432387</v>
      </c>
      <c r="AT289" s="39">
        <f t="shared" si="149"/>
        <v>93432387</v>
      </c>
      <c r="AU289" s="18">
        <f>AJ289-AM289</f>
        <v>136345389</v>
      </c>
      <c r="AV289" s="34">
        <f>AM289-AP289</f>
        <v>0</v>
      </c>
      <c r="AW289" s="34">
        <f>AP289-AT289</f>
        <v>0</v>
      </c>
      <c r="AX289" s="123">
        <f>AP289/AJ289</f>
        <v>0.40662064289455041</v>
      </c>
    </row>
    <row r="290" spans="1:50" ht="18.75" customHeight="1" x14ac:dyDescent="0.2">
      <c r="AA290" s="28" t="s">
        <v>288</v>
      </c>
      <c r="AB290" s="29" t="s">
        <v>343</v>
      </c>
      <c r="AC290" s="17"/>
      <c r="AD290" s="18"/>
      <c r="AE290" s="34"/>
      <c r="AF290" s="34"/>
      <c r="AG290" s="34"/>
      <c r="AH290" s="34"/>
      <c r="AI290" s="34"/>
      <c r="AJ290" s="18"/>
      <c r="AK290" s="34"/>
      <c r="AL290" s="18"/>
      <c r="AM290" s="18"/>
      <c r="AN290" s="34"/>
      <c r="AO290" s="18"/>
      <c r="AP290" s="18"/>
      <c r="AQ290" s="34"/>
      <c r="AR290" s="34"/>
      <c r="AS290" s="34"/>
      <c r="AT290" s="40"/>
      <c r="AU290" s="18"/>
      <c r="AV290" s="18"/>
      <c r="AW290" s="34"/>
      <c r="AX290" s="18"/>
    </row>
    <row r="291" spans="1:50" ht="18.75" customHeight="1" x14ac:dyDescent="0.2">
      <c r="A291" s="4" t="s">
        <v>325</v>
      </c>
      <c r="B291" s="4" t="s">
        <v>326</v>
      </c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1" t="s">
        <v>344</v>
      </c>
      <c r="AB291" s="42" t="s">
        <v>328</v>
      </c>
      <c r="AC291" s="43" t="s">
        <v>61</v>
      </c>
      <c r="AD291" s="43">
        <v>10000000</v>
      </c>
      <c r="AE291" s="44">
        <v>0</v>
      </c>
      <c r="AF291" s="44">
        <v>0</v>
      </c>
      <c r="AG291" s="44">
        <v>0</v>
      </c>
      <c r="AH291" s="44">
        <v>0</v>
      </c>
      <c r="AI291" s="44">
        <v>0</v>
      </c>
      <c r="AJ291" s="43">
        <v>10000000</v>
      </c>
      <c r="AK291" s="44">
        <v>0</v>
      </c>
      <c r="AL291" s="44">
        <v>0</v>
      </c>
      <c r="AM291" s="44">
        <v>0</v>
      </c>
      <c r="AN291" s="44">
        <v>0</v>
      </c>
      <c r="AO291" s="44">
        <v>0</v>
      </c>
      <c r="AP291" s="44">
        <v>0</v>
      </c>
      <c r="AQ291" s="34">
        <v>0</v>
      </c>
      <c r="AR291" s="34">
        <v>0</v>
      </c>
      <c r="AS291" s="34">
        <v>0</v>
      </c>
      <c r="AT291" s="40">
        <f t="shared" ref="AT291" si="150">AQ291+AS291</f>
        <v>0</v>
      </c>
      <c r="AU291" s="18">
        <f>AJ291-AM291</f>
        <v>10000000</v>
      </c>
      <c r="AV291" s="34">
        <f>AM291-AP291</f>
        <v>0</v>
      </c>
      <c r="AW291" s="34">
        <f>AP291-AT291</f>
        <v>0</v>
      </c>
      <c r="AX291" s="123">
        <f>AP291/AJ291</f>
        <v>0</v>
      </c>
    </row>
    <row r="292" spans="1:50" ht="18.75" customHeight="1" x14ac:dyDescent="0.2">
      <c r="AA292" s="28" t="s">
        <v>288</v>
      </c>
      <c r="AB292" s="29" t="s">
        <v>162</v>
      </c>
      <c r="AC292" s="17"/>
      <c r="AD292" s="18"/>
      <c r="AE292" s="34"/>
      <c r="AF292" s="34"/>
      <c r="AG292" s="34"/>
      <c r="AH292" s="34"/>
      <c r="AI292" s="34"/>
      <c r="AJ292" s="18"/>
      <c r="AK292" s="34"/>
      <c r="AL292" s="18"/>
      <c r="AM292" s="18"/>
      <c r="AN292" s="34"/>
      <c r="AO292" s="18"/>
      <c r="AP292" s="18"/>
      <c r="AQ292" s="34"/>
      <c r="AR292" s="34"/>
      <c r="AS292" s="34"/>
      <c r="AT292" s="40"/>
      <c r="AU292" s="18"/>
      <c r="AV292" s="18"/>
      <c r="AW292" s="34"/>
      <c r="AX292" s="18"/>
    </row>
    <row r="293" spans="1:50" ht="18.75" customHeight="1" x14ac:dyDescent="0.2">
      <c r="A293" s="4" t="s">
        <v>325</v>
      </c>
      <c r="B293" s="4" t="s">
        <v>326</v>
      </c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1" t="s">
        <v>345</v>
      </c>
      <c r="AB293" s="42" t="s">
        <v>328</v>
      </c>
      <c r="AC293" s="43" t="s">
        <v>61</v>
      </c>
      <c r="AD293" s="43">
        <v>31208419</v>
      </c>
      <c r="AE293" s="44">
        <v>0</v>
      </c>
      <c r="AF293" s="44">
        <v>0</v>
      </c>
      <c r="AG293" s="44">
        <v>0</v>
      </c>
      <c r="AH293" s="44">
        <v>0</v>
      </c>
      <c r="AI293" s="44">
        <v>0</v>
      </c>
      <c r="AJ293" s="43">
        <v>31208419</v>
      </c>
      <c r="AK293" s="44">
        <v>0</v>
      </c>
      <c r="AL293" s="43">
        <v>739045</v>
      </c>
      <c r="AM293" s="43">
        <v>7568617</v>
      </c>
      <c r="AN293" s="44">
        <v>0</v>
      </c>
      <c r="AO293" s="43">
        <v>739045</v>
      </c>
      <c r="AP293" s="43">
        <v>7568617</v>
      </c>
      <c r="AQ293" s="34">
        <v>0</v>
      </c>
      <c r="AR293" s="133">
        <v>739045</v>
      </c>
      <c r="AS293" s="110">
        <v>7568617</v>
      </c>
      <c r="AT293" s="39">
        <f t="shared" ref="AT293" si="151">AQ293+AS293</f>
        <v>7568617</v>
      </c>
      <c r="AU293" s="18">
        <f>AJ293-AM293</f>
        <v>23639802</v>
      </c>
      <c r="AV293" s="34">
        <f>AM293-AP293</f>
        <v>0</v>
      </c>
      <c r="AW293" s="34">
        <f>AP293-AT293</f>
        <v>0</v>
      </c>
      <c r="AX293" s="123">
        <f>AP293/AJ293</f>
        <v>0.24251843709224744</v>
      </c>
    </row>
    <row r="294" spans="1:50" ht="18.75" customHeight="1" x14ac:dyDescent="0.2">
      <c r="AA294" s="28" t="s">
        <v>288</v>
      </c>
      <c r="AB294" s="29" t="s">
        <v>346</v>
      </c>
      <c r="AC294" s="17"/>
      <c r="AD294" s="18"/>
      <c r="AE294" s="34"/>
      <c r="AF294" s="34"/>
      <c r="AG294" s="34"/>
      <c r="AH294" s="34"/>
      <c r="AI294" s="34"/>
      <c r="AJ294" s="18"/>
      <c r="AK294" s="34"/>
      <c r="AL294" s="18"/>
      <c r="AM294" s="18"/>
      <c r="AN294" s="34"/>
      <c r="AO294" s="18"/>
      <c r="AP294" s="18"/>
      <c r="AQ294" s="34"/>
      <c r="AR294" s="133"/>
      <c r="AS294" s="110"/>
      <c r="AT294" s="40"/>
      <c r="AU294" s="18"/>
      <c r="AV294" s="18"/>
      <c r="AW294" s="34"/>
      <c r="AX294" s="18"/>
    </row>
    <row r="295" spans="1:50" ht="18.75" customHeight="1" x14ac:dyDescent="0.2">
      <c r="A295" s="4" t="s">
        <v>325</v>
      </c>
      <c r="B295" s="4" t="s">
        <v>326</v>
      </c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1" t="s">
        <v>347</v>
      </c>
      <c r="AB295" s="42" t="s">
        <v>328</v>
      </c>
      <c r="AC295" s="43" t="s">
        <v>61</v>
      </c>
      <c r="AD295" s="43">
        <v>1108512330</v>
      </c>
      <c r="AE295" s="44">
        <v>0</v>
      </c>
      <c r="AF295" s="44">
        <v>0</v>
      </c>
      <c r="AG295" s="44">
        <v>0</v>
      </c>
      <c r="AH295" s="44">
        <v>0</v>
      </c>
      <c r="AI295" s="44">
        <v>0</v>
      </c>
      <c r="AJ295" s="43">
        <v>1108512330</v>
      </c>
      <c r="AK295" s="44">
        <v>0</v>
      </c>
      <c r="AL295" s="43">
        <v>68125931</v>
      </c>
      <c r="AM295" s="43">
        <v>576086879</v>
      </c>
      <c r="AN295" s="44">
        <v>0</v>
      </c>
      <c r="AO295" s="43">
        <v>68125931</v>
      </c>
      <c r="AP295" s="43">
        <v>575650883</v>
      </c>
      <c r="AQ295" s="34">
        <v>0</v>
      </c>
      <c r="AR295" s="133">
        <v>68125931</v>
      </c>
      <c r="AS295" s="110">
        <v>575650883</v>
      </c>
      <c r="AT295" s="39">
        <f t="shared" ref="AT295" si="152">AQ295+AS295</f>
        <v>575650883</v>
      </c>
      <c r="AU295" s="18">
        <f>AJ295-AM295</f>
        <v>532425451</v>
      </c>
      <c r="AV295" s="110">
        <f>AM295-AP295</f>
        <v>435996</v>
      </c>
      <c r="AW295" s="34">
        <f>AP295-AT295</f>
        <v>0</v>
      </c>
      <c r="AX295" s="123">
        <f>AP295/AJ295</f>
        <v>0.51930038793524291</v>
      </c>
    </row>
    <row r="296" spans="1:50" ht="18.75" customHeight="1" x14ac:dyDescent="0.2">
      <c r="AA296" s="16"/>
      <c r="AB296" s="29" t="s">
        <v>348</v>
      </c>
      <c r="AC296" s="17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34"/>
      <c r="AO296" s="18"/>
      <c r="AP296" s="18"/>
      <c r="AQ296" s="18"/>
      <c r="AR296" s="18"/>
      <c r="AS296" s="18"/>
      <c r="AT296" s="30"/>
      <c r="AU296" s="18"/>
      <c r="AV296" s="18"/>
      <c r="AW296" s="18"/>
      <c r="AX296" s="18"/>
    </row>
    <row r="297" spans="1:50" ht="18.75" customHeight="1" x14ac:dyDescent="0.2">
      <c r="AA297" s="16"/>
      <c r="AB297" s="29" t="s">
        <v>318</v>
      </c>
      <c r="AC297" s="17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34"/>
      <c r="AO297" s="18"/>
      <c r="AP297" s="18"/>
      <c r="AQ297" s="18"/>
      <c r="AR297" s="18"/>
      <c r="AS297" s="18"/>
      <c r="AT297" s="30"/>
      <c r="AU297" s="18"/>
      <c r="AV297" s="18"/>
      <c r="AW297" s="18"/>
      <c r="AX297" s="18"/>
    </row>
    <row r="298" spans="1:50" ht="25.5" x14ac:dyDescent="0.2">
      <c r="AA298" s="16"/>
      <c r="AB298" s="29" t="s">
        <v>319</v>
      </c>
      <c r="AC298" s="17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34"/>
      <c r="AO298" s="18"/>
      <c r="AP298" s="18"/>
      <c r="AQ298" s="18"/>
      <c r="AR298" s="18"/>
      <c r="AS298" s="18"/>
      <c r="AT298" s="30"/>
      <c r="AU298" s="18"/>
      <c r="AV298" s="18"/>
      <c r="AW298" s="18"/>
      <c r="AX298" s="18"/>
    </row>
    <row r="299" spans="1:50" ht="18.75" customHeight="1" x14ac:dyDescent="0.2">
      <c r="AA299" s="16"/>
      <c r="AB299" s="29" t="s">
        <v>320</v>
      </c>
      <c r="AC299" s="17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34"/>
      <c r="AO299" s="18"/>
      <c r="AP299" s="18"/>
      <c r="AQ299" s="18"/>
      <c r="AR299" s="18"/>
      <c r="AS299" s="18"/>
      <c r="AT299" s="30"/>
      <c r="AU299" s="18"/>
      <c r="AV299" s="18"/>
      <c r="AW299" s="18"/>
      <c r="AX299" s="18"/>
    </row>
    <row r="300" spans="1:50" ht="18.75" customHeight="1" x14ac:dyDescent="0.2">
      <c r="AA300" s="16"/>
      <c r="AB300" s="29" t="s">
        <v>46</v>
      </c>
      <c r="AC300" s="17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34"/>
      <c r="AO300" s="18"/>
      <c r="AP300" s="18"/>
      <c r="AQ300" s="18"/>
      <c r="AR300" s="18"/>
      <c r="AS300" s="18"/>
      <c r="AT300" s="30"/>
      <c r="AU300" s="18"/>
      <c r="AV300" s="18"/>
      <c r="AW300" s="18"/>
      <c r="AX300" s="18"/>
    </row>
    <row r="301" spans="1:50" ht="18.75" customHeight="1" x14ac:dyDescent="0.2">
      <c r="AA301" s="16"/>
      <c r="AB301" s="29" t="s">
        <v>48</v>
      </c>
      <c r="AC301" s="17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34"/>
      <c r="AO301" s="18"/>
      <c r="AP301" s="18"/>
      <c r="AQ301" s="18"/>
      <c r="AR301" s="18"/>
      <c r="AS301" s="18"/>
      <c r="AT301" s="30"/>
      <c r="AU301" s="18"/>
      <c r="AV301" s="18"/>
      <c r="AW301" s="18"/>
      <c r="AX301" s="18"/>
    </row>
    <row r="302" spans="1:50" ht="18.75" customHeight="1" x14ac:dyDescent="0.2">
      <c r="AA302" s="16"/>
      <c r="AB302" s="29" t="s">
        <v>52</v>
      </c>
      <c r="AC302" s="17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34"/>
      <c r="AO302" s="18"/>
      <c r="AP302" s="18"/>
      <c r="AQ302" s="18"/>
      <c r="AR302" s="18"/>
      <c r="AS302" s="18"/>
      <c r="AT302" s="30"/>
      <c r="AU302" s="18"/>
      <c r="AV302" s="18"/>
      <c r="AW302" s="18"/>
      <c r="AX302" s="18"/>
    </row>
    <row r="303" spans="1:50" ht="18.75" customHeight="1" x14ac:dyDescent="0.2">
      <c r="AA303" s="28" t="s">
        <v>288</v>
      </c>
      <c r="AB303" s="29" t="s">
        <v>54</v>
      </c>
      <c r="AC303" s="17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34"/>
      <c r="AO303" s="18"/>
      <c r="AP303" s="18"/>
      <c r="AQ303" s="18"/>
      <c r="AR303" s="18"/>
      <c r="AS303" s="18"/>
      <c r="AT303" s="30"/>
      <c r="AU303" s="18"/>
      <c r="AV303" s="18"/>
      <c r="AW303" s="18"/>
      <c r="AX303" s="18"/>
    </row>
    <row r="304" spans="1:50" ht="18.75" customHeight="1" x14ac:dyDescent="0.2">
      <c r="A304" s="4" t="s">
        <v>55</v>
      </c>
      <c r="B304" s="4" t="s">
        <v>56</v>
      </c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1" t="s">
        <v>323</v>
      </c>
      <c r="AB304" s="42" t="s">
        <v>324</v>
      </c>
      <c r="AC304" s="43" t="s">
        <v>61</v>
      </c>
      <c r="AD304" s="43">
        <v>111646949658</v>
      </c>
      <c r="AE304" s="44">
        <v>0</v>
      </c>
      <c r="AF304" s="44">
        <v>0</v>
      </c>
      <c r="AG304" s="244">
        <v>18397564.699999999</v>
      </c>
      <c r="AH304" s="43">
        <v>316940531.69999999</v>
      </c>
      <c r="AI304" s="18">
        <f t="shared" ref="AI304:AI306" si="153">AE304-AF304+AG304-AH304</f>
        <v>-298542967</v>
      </c>
      <c r="AJ304" s="18">
        <f t="shared" ref="AJ304:AJ306" si="154">AD304+AI304</f>
        <v>111348406691</v>
      </c>
      <c r="AK304" s="44">
        <v>0</v>
      </c>
      <c r="AL304" s="43">
        <v>5586118069.5</v>
      </c>
      <c r="AM304" s="43">
        <v>61156825787.5</v>
      </c>
      <c r="AN304" s="44">
        <v>0</v>
      </c>
      <c r="AO304" s="43">
        <v>5586118069.5</v>
      </c>
      <c r="AP304" s="43">
        <v>61151898376.5</v>
      </c>
      <c r="AQ304" s="44">
        <v>0</v>
      </c>
      <c r="AR304" s="43">
        <v>561132</v>
      </c>
      <c r="AS304" s="43">
        <v>55565780307</v>
      </c>
      <c r="AT304" s="253">
        <f t="shared" ref="AT304:AT306" si="155">AQ304+AS304</f>
        <v>55565780307</v>
      </c>
      <c r="AU304" s="18">
        <f>AJ304-AM304</f>
        <v>50191580903.5</v>
      </c>
      <c r="AV304" s="18">
        <f>AM304-AP304</f>
        <v>4927411</v>
      </c>
      <c r="AW304" s="18">
        <f>AP304-AT304</f>
        <v>5586118069.5</v>
      </c>
      <c r="AX304" s="123">
        <f>AP304/AJ304</f>
        <v>0.54919419319758211</v>
      </c>
    </row>
    <row r="305" spans="1:50" ht="18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173" t="s">
        <v>962</v>
      </c>
      <c r="AB305" s="42" t="s">
        <v>963</v>
      </c>
      <c r="AC305" s="43"/>
      <c r="AD305" s="44">
        <v>0</v>
      </c>
      <c r="AE305" s="44">
        <v>0</v>
      </c>
      <c r="AF305" s="44">
        <v>0</v>
      </c>
      <c r="AG305" s="43">
        <v>280746171.69999999</v>
      </c>
      <c r="AH305" s="44">
        <v>0</v>
      </c>
      <c r="AI305" s="18">
        <f t="shared" si="153"/>
        <v>280746171.69999999</v>
      </c>
      <c r="AJ305" s="18">
        <f t="shared" si="154"/>
        <v>280746171.69999999</v>
      </c>
      <c r="AK305" s="44">
        <v>0</v>
      </c>
      <c r="AL305" s="44">
        <v>0</v>
      </c>
      <c r="AM305" s="44">
        <v>0</v>
      </c>
      <c r="AN305" s="44">
        <v>0</v>
      </c>
      <c r="AO305" s="44">
        <v>0</v>
      </c>
      <c r="AP305" s="44">
        <v>0</v>
      </c>
      <c r="AQ305" s="44">
        <v>0</v>
      </c>
      <c r="AR305" s="44">
        <v>0</v>
      </c>
      <c r="AS305" s="44">
        <v>0</v>
      </c>
      <c r="AT305" s="275">
        <f t="shared" si="155"/>
        <v>0</v>
      </c>
      <c r="AU305" s="18">
        <f>AJ305-AM305</f>
        <v>280746171.69999999</v>
      </c>
      <c r="AV305" s="133">
        <f>AM305-AP305</f>
        <v>0</v>
      </c>
      <c r="AW305" s="34">
        <f>AP305-AT305</f>
        <v>0</v>
      </c>
      <c r="AX305" s="123">
        <f>AP305/AJ305</f>
        <v>0</v>
      </c>
    </row>
    <row r="306" spans="1:50" ht="26.2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245" t="s">
        <v>1199</v>
      </c>
      <c r="AB306" s="42" t="s">
        <v>1200</v>
      </c>
      <c r="AC306" s="43"/>
      <c r="AD306" s="44">
        <v>0</v>
      </c>
      <c r="AE306" s="43">
        <v>3259928918.5</v>
      </c>
      <c r="AF306" s="44">
        <v>0</v>
      </c>
      <c r="AG306" s="44">
        <v>0</v>
      </c>
      <c r="AH306" s="34">
        <v>0</v>
      </c>
      <c r="AI306" s="18">
        <f t="shared" si="153"/>
        <v>3259928918.5</v>
      </c>
      <c r="AJ306" s="18">
        <f t="shared" si="154"/>
        <v>3259928918.5</v>
      </c>
      <c r="AK306" s="44">
        <v>0</v>
      </c>
      <c r="AL306" s="43">
        <v>3259928918.5</v>
      </c>
      <c r="AM306" s="43">
        <v>3259928918.5</v>
      </c>
      <c r="AN306" s="43">
        <v>0</v>
      </c>
      <c r="AO306" s="43">
        <v>3259928918.5</v>
      </c>
      <c r="AP306" s="44">
        <v>3259928918.5</v>
      </c>
      <c r="AQ306" s="44">
        <v>0</v>
      </c>
      <c r="AR306" s="44">
        <v>0</v>
      </c>
      <c r="AS306" s="44">
        <v>0</v>
      </c>
      <c r="AT306" s="275">
        <f t="shared" si="155"/>
        <v>0</v>
      </c>
      <c r="AU306" s="18">
        <f>AJ306-AM306</f>
        <v>0</v>
      </c>
      <c r="AV306" s="133">
        <f>AM306-AP306</f>
        <v>0</v>
      </c>
      <c r="AW306" s="18">
        <f>AP306-AT306</f>
        <v>3259928918.5</v>
      </c>
      <c r="AX306" s="123">
        <f>AP306/AJ306</f>
        <v>1</v>
      </c>
    </row>
    <row r="307" spans="1:50" ht="18.75" customHeight="1" x14ac:dyDescent="0.2">
      <c r="AA307" s="28" t="s">
        <v>288</v>
      </c>
      <c r="AB307" s="29" t="s">
        <v>63</v>
      </c>
      <c r="AC307" s="17"/>
      <c r="AD307" s="18"/>
      <c r="AE307" s="34"/>
      <c r="AF307" s="34"/>
      <c r="AG307" s="34"/>
      <c r="AH307" s="34"/>
      <c r="AI307" s="34"/>
      <c r="AJ307" s="18"/>
      <c r="AK307" s="34"/>
      <c r="AL307" s="18"/>
      <c r="AM307" s="18"/>
      <c r="AN307" s="34"/>
      <c r="AO307" s="18"/>
      <c r="AP307" s="18"/>
      <c r="AQ307" s="18"/>
      <c r="AR307" s="34"/>
      <c r="AS307" s="18"/>
      <c r="AT307" s="30"/>
      <c r="AU307" s="18"/>
      <c r="AV307" s="34"/>
      <c r="AW307" s="34"/>
      <c r="AX307" s="18"/>
    </row>
    <row r="308" spans="1:50" ht="18.75" customHeight="1" x14ac:dyDescent="0.2">
      <c r="A308" s="4" t="s">
        <v>325</v>
      </c>
      <c r="B308" s="4" t="s">
        <v>326</v>
      </c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1" t="s">
        <v>349</v>
      </c>
      <c r="AB308" s="42" t="s">
        <v>328</v>
      </c>
      <c r="AC308" s="43" t="s">
        <v>61</v>
      </c>
      <c r="AD308" s="43">
        <v>1252925726</v>
      </c>
      <c r="AE308" s="44">
        <v>0</v>
      </c>
      <c r="AF308" s="44">
        <v>0</v>
      </c>
      <c r="AG308" s="44">
        <v>0</v>
      </c>
      <c r="AH308" s="44">
        <v>0</v>
      </c>
      <c r="AI308" s="34">
        <f>AE308-AF308+AG308-AH308</f>
        <v>0</v>
      </c>
      <c r="AJ308" s="18">
        <f>AD308+AI308</f>
        <v>1252925726</v>
      </c>
      <c r="AK308" s="44">
        <v>0</v>
      </c>
      <c r="AL308" s="43">
        <v>121934352</v>
      </c>
      <c r="AM308" s="43">
        <v>719500389</v>
      </c>
      <c r="AN308" s="44">
        <v>0</v>
      </c>
      <c r="AO308" s="43">
        <v>122052135</v>
      </c>
      <c r="AP308" s="43">
        <v>719500389</v>
      </c>
      <c r="AQ308" s="44">
        <v>0</v>
      </c>
      <c r="AR308" s="44">
        <v>117783</v>
      </c>
      <c r="AS308" s="43">
        <v>597566037</v>
      </c>
      <c r="AT308" s="39">
        <f t="shared" ref="AT308" si="156">AQ308+AS308</f>
        <v>597566037</v>
      </c>
      <c r="AU308" s="18">
        <f>AJ308-AM308</f>
        <v>533425337</v>
      </c>
      <c r="AV308" s="34">
        <f>AM308-AP308</f>
        <v>0</v>
      </c>
      <c r="AW308" s="34">
        <f>AP308-AT308</f>
        <v>121934352</v>
      </c>
      <c r="AX308" s="123">
        <f>AP308/AJ308</f>
        <v>0.57425621812158401</v>
      </c>
    </row>
    <row r="309" spans="1:50" ht="18.75" customHeight="1" x14ac:dyDescent="0.2">
      <c r="AA309" s="28" t="s">
        <v>288</v>
      </c>
      <c r="AB309" s="29" t="s">
        <v>67</v>
      </c>
      <c r="AC309" s="17"/>
      <c r="AD309" s="18"/>
      <c r="AE309" s="34"/>
      <c r="AF309" s="34"/>
      <c r="AG309" s="34"/>
      <c r="AH309" s="34"/>
      <c r="AI309" s="34"/>
      <c r="AJ309" s="18"/>
      <c r="AK309" s="34"/>
      <c r="AL309" s="18"/>
      <c r="AM309" s="18"/>
      <c r="AN309" s="34"/>
      <c r="AO309" s="18"/>
      <c r="AP309" s="18"/>
      <c r="AQ309" s="34"/>
      <c r="AR309" s="34"/>
      <c r="AS309" s="18"/>
      <c r="AT309" s="39"/>
      <c r="AU309" s="18"/>
      <c r="AV309" s="34"/>
      <c r="AW309" s="34"/>
      <c r="AX309" s="18"/>
    </row>
    <row r="310" spans="1:50" ht="18.75" customHeight="1" x14ac:dyDescent="0.2">
      <c r="A310" s="4" t="s">
        <v>325</v>
      </c>
      <c r="B310" s="4" t="s">
        <v>326</v>
      </c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1" t="s">
        <v>350</v>
      </c>
      <c r="AB310" s="42" t="s">
        <v>328</v>
      </c>
      <c r="AC310" s="43" t="s">
        <v>61</v>
      </c>
      <c r="AD310" s="43">
        <v>29846525</v>
      </c>
      <c r="AE310" s="44">
        <v>0</v>
      </c>
      <c r="AF310" s="44">
        <v>0</v>
      </c>
      <c r="AG310" s="44">
        <v>0</v>
      </c>
      <c r="AH310" s="44">
        <v>0</v>
      </c>
      <c r="AI310" s="34">
        <f>AE310-AF310+AG310-AH310</f>
        <v>0</v>
      </c>
      <c r="AJ310" s="18">
        <f>AD310+AI310</f>
        <v>29846525</v>
      </c>
      <c r="AK310" s="44">
        <v>0</v>
      </c>
      <c r="AL310" s="43">
        <v>2604261</v>
      </c>
      <c r="AM310" s="43">
        <v>17597469</v>
      </c>
      <c r="AN310" s="44">
        <v>0</v>
      </c>
      <c r="AO310" s="43">
        <v>2604261</v>
      </c>
      <c r="AP310" s="43">
        <v>17597469</v>
      </c>
      <c r="AQ310" s="44">
        <v>0</v>
      </c>
      <c r="AR310" s="44">
        <v>0</v>
      </c>
      <c r="AS310" s="43">
        <v>14993208</v>
      </c>
      <c r="AT310" s="39">
        <f t="shared" ref="AT310" si="157">AQ310+AS310</f>
        <v>14993208</v>
      </c>
      <c r="AU310" s="18">
        <f>AJ310-AM310</f>
        <v>12249056</v>
      </c>
      <c r="AV310" s="34">
        <f>AM310-AP310</f>
        <v>0</v>
      </c>
      <c r="AW310" s="34">
        <f>AP310-AT310</f>
        <v>2604261</v>
      </c>
      <c r="AX310" s="123">
        <f>AP310/AJ310</f>
        <v>0.58959858811034116</v>
      </c>
    </row>
    <row r="311" spans="1:50" ht="18.75" customHeight="1" x14ac:dyDescent="0.2">
      <c r="AA311" s="28" t="s">
        <v>288</v>
      </c>
      <c r="AB311" s="29" t="s">
        <v>69</v>
      </c>
      <c r="AC311" s="17"/>
      <c r="AD311" s="18"/>
      <c r="AE311" s="34"/>
      <c r="AF311" s="34"/>
      <c r="AG311" s="34"/>
      <c r="AH311" s="34"/>
      <c r="AI311" s="34"/>
      <c r="AJ311" s="18"/>
      <c r="AK311" s="34"/>
      <c r="AL311" s="18"/>
      <c r="AM311" s="18"/>
      <c r="AN311" s="34"/>
      <c r="AO311" s="18"/>
      <c r="AP311" s="18"/>
      <c r="AQ311" s="34"/>
      <c r="AR311" s="18"/>
      <c r="AS311" s="18"/>
      <c r="AT311" s="39"/>
      <c r="AU311" s="18"/>
      <c r="AV311" s="18"/>
      <c r="AW311" s="34"/>
      <c r="AX311" s="18"/>
    </row>
    <row r="312" spans="1:50" ht="18.75" customHeight="1" x14ac:dyDescent="0.2">
      <c r="A312" s="4" t="s">
        <v>325</v>
      </c>
      <c r="B312" s="4" t="s">
        <v>326</v>
      </c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1" t="s">
        <v>351</v>
      </c>
      <c r="AB312" s="42" t="s">
        <v>328</v>
      </c>
      <c r="AC312" s="43" t="s">
        <v>61</v>
      </c>
      <c r="AD312" s="43">
        <v>8723052</v>
      </c>
      <c r="AE312" s="44">
        <v>0</v>
      </c>
      <c r="AF312" s="44">
        <v>0</v>
      </c>
      <c r="AG312" s="43">
        <v>36194360</v>
      </c>
      <c r="AH312" s="44">
        <v>0</v>
      </c>
      <c r="AI312" s="18">
        <f>AE312-AF312+AG312-AH312</f>
        <v>36194360</v>
      </c>
      <c r="AJ312" s="18">
        <f>AD312+AI312</f>
        <v>44917412</v>
      </c>
      <c r="AK312" s="44">
        <v>0</v>
      </c>
      <c r="AL312" s="43">
        <v>4087834</v>
      </c>
      <c r="AM312" s="43">
        <v>27575108</v>
      </c>
      <c r="AN312" s="44">
        <v>0</v>
      </c>
      <c r="AO312" s="43">
        <v>4087834</v>
      </c>
      <c r="AP312" s="43">
        <v>27575108</v>
      </c>
      <c r="AQ312" s="44">
        <v>0</v>
      </c>
      <c r="AR312" s="43">
        <v>0</v>
      </c>
      <c r="AS312" s="43">
        <v>23487274</v>
      </c>
      <c r="AT312" s="39">
        <f t="shared" ref="AT312" si="158">AQ312+AS312</f>
        <v>23487274</v>
      </c>
      <c r="AU312" s="18">
        <f>AJ312-AM312</f>
        <v>17342304</v>
      </c>
      <c r="AV312" s="34">
        <f>AM312-AP312</f>
        <v>0</v>
      </c>
      <c r="AW312" s="34">
        <f>AP312-AT312</f>
        <v>4087834</v>
      </c>
      <c r="AX312" s="123">
        <f>AP312/AJ312</f>
        <v>0.61390687424288826</v>
      </c>
    </row>
    <row r="313" spans="1:50" ht="18.75" customHeight="1" x14ac:dyDescent="0.2">
      <c r="AA313" s="28" t="s">
        <v>288</v>
      </c>
      <c r="AB313" s="29" t="s">
        <v>71</v>
      </c>
      <c r="AC313" s="17"/>
      <c r="AD313" s="18"/>
      <c r="AE313" s="34"/>
      <c r="AF313" s="34"/>
      <c r="AG313" s="34"/>
      <c r="AH313" s="34"/>
      <c r="AI313" s="34"/>
      <c r="AJ313" s="18"/>
      <c r="AK313" s="34"/>
      <c r="AL313" s="18"/>
      <c r="AM313" s="18"/>
      <c r="AN313" s="34"/>
      <c r="AO313" s="18"/>
      <c r="AP313" s="18"/>
      <c r="AQ313" s="34"/>
      <c r="AR313" s="18"/>
      <c r="AS313" s="18"/>
      <c r="AT313" s="39"/>
      <c r="AU313" s="18"/>
      <c r="AV313" s="18"/>
      <c r="AW313" s="18"/>
      <c r="AX313" s="18"/>
    </row>
    <row r="314" spans="1:50" ht="18.75" customHeight="1" x14ac:dyDescent="0.2">
      <c r="A314" s="4" t="s">
        <v>325</v>
      </c>
      <c r="B314" s="4" t="s">
        <v>326</v>
      </c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1" t="s">
        <v>327</v>
      </c>
      <c r="AB314" s="42" t="s">
        <v>328</v>
      </c>
      <c r="AC314" s="43" t="s">
        <v>61</v>
      </c>
      <c r="AD314" s="43">
        <v>5466979223</v>
      </c>
      <c r="AE314" s="44">
        <v>0</v>
      </c>
      <c r="AF314" s="44">
        <v>0</v>
      </c>
      <c r="AG314" s="44">
        <v>0</v>
      </c>
      <c r="AH314" s="44">
        <v>0</v>
      </c>
      <c r="AI314" s="34">
        <f>AE314-AF314+AG314-AH314</f>
        <v>0</v>
      </c>
      <c r="AJ314" s="18">
        <f>AD314+AI314</f>
        <v>5466979223</v>
      </c>
      <c r="AK314" s="44">
        <v>0</v>
      </c>
      <c r="AL314" s="43">
        <v>0</v>
      </c>
      <c r="AM314" s="43">
        <v>4918621021</v>
      </c>
      <c r="AN314" s="44">
        <v>0</v>
      </c>
      <c r="AO314" s="43">
        <v>0</v>
      </c>
      <c r="AP314" s="43">
        <v>4918621021</v>
      </c>
      <c r="AQ314" s="44">
        <v>0</v>
      </c>
      <c r="AR314" s="44">
        <v>0</v>
      </c>
      <c r="AS314" s="43">
        <v>126907068</v>
      </c>
      <c r="AT314" s="39">
        <f t="shared" ref="AT314" si="159">AQ314+AS314</f>
        <v>126907068</v>
      </c>
      <c r="AU314" s="18">
        <f>AJ314-AM314</f>
        <v>548358202</v>
      </c>
      <c r="AV314" s="34">
        <f>AM314-AP314</f>
        <v>0</v>
      </c>
      <c r="AW314" s="18">
        <f>AP314-AT314</f>
        <v>4791713953</v>
      </c>
      <c r="AX314" s="123">
        <f>AP314/AJ314</f>
        <v>0.89969630766237141</v>
      </c>
    </row>
    <row r="315" spans="1:50" ht="18.75" customHeight="1" x14ac:dyDescent="0.2">
      <c r="AA315" s="28" t="s">
        <v>288</v>
      </c>
      <c r="AB315" s="29" t="s">
        <v>76</v>
      </c>
      <c r="AC315" s="17"/>
      <c r="AD315" s="18"/>
      <c r="AE315" s="34"/>
      <c r="AF315" s="34"/>
      <c r="AG315" s="34"/>
      <c r="AH315" s="34"/>
      <c r="AI315" s="34"/>
      <c r="AJ315" s="18"/>
      <c r="AK315" s="34"/>
      <c r="AL315" s="18"/>
      <c r="AM315" s="18"/>
      <c r="AN315" s="34"/>
      <c r="AO315" s="18"/>
      <c r="AP315" s="18"/>
      <c r="AQ315" s="18"/>
      <c r="AR315" s="34"/>
      <c r="AS315" s="18"/>
      <c r="AT315" s="39"/>
      <c r="AU315" s="18"/>
      <c r="AV315" s="18"/>
      <c r="AW315" s="34"/>
      <c r="AX315" s="18"/>
    </row>
    <row r="316" spans="1:50" ht="18.75" customHeight="1" x14ac:dyDescent="0.2">
      <c r="A316" s="4" t="s">
        <v>325</v>
      </c>
      <c r="B316" s="4" t="s">
        <v>326</v>
      </c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1" t="s">
        <v>329</v>
      </c>
      <c r="AB316" s="42" t="s">
        <v>328</v>
      </c>
      <c r="AC316" s="43" t="s">
        <v>61</v>
      </c>
      <c r="AD316" s="43">
        <v>3964855703</v>
      </c>
      <c r="AE316" s="44">
        <v>0</v>
      </c>
      <c r="AF316" s="44">
        <v>0</v>
      </c>
      <c r="AG316" s="44">
        <v>0</v>
      </c>
      <c r="AH316" s="44">
        <v>0</v>
      </c>
      <c r="AI316" s="34">
        <f>AE316-AF316+AG316-AH316</f>
        <v>0</v>
      </c>
      <c r="AJ316" s="18">
        <f>AD316+AI316</f>
        <v>3964855703</v>
      </c>
      <c r="AK316" s="44">
        <v>0</v>
      </c>
      <c r="AL316" s="43">
        <v>331830486</v>
      </c>
      <c r="AM316" s="43">
        <v>2405479043</v>
      </c>
      <c r="AN316" s="44">
        <v>0</v>
      </c>
      <c r="AO316" s="43">
        <v>331830486</v>
      </c>
      <c r="AP316" s="43">
        <v>2405479043</v>
      </c>
      <c r="AQ316" s="44">
        <v>0</v>
      </c>
      <c r="AR316" s="44">
        <v>0</v>
      </c>
      <c r="AS316" s="43">
        <v>2073648557</v>
      </c>
      <c r="AT316" s="39">
        <f t="shared" ref="AT316" si="160">AQ316+AS316</f>
        <v>2073648557</v>
      </c>
      <c r="AU316" s="18">
        <f>AJ316-AM316</f>
        <v>1559376660</v>
      </c>
      <c r="AV316" s="34">
        <f>AM316-AP316</f>
        <v>0</v>
      </c>
      <c r="AW316" s="34">
        <f>AP316-AT316</f>
        <v>331830486</v>
      </c>
      <c r="AX316" s="123">
        <f>AP316/AJ316</f>
        <v>0.60670027440844798</v>
      </c>
    </row>
    <row r="317" spans="1:50" ht="18.75" customHeight="1" x14ac:dyDescent="0.2">
      <c r="AA317" s="16"/>
      <c r="AB317" s="29" t="s">
        <v>81</v>
      </c>
      <c r="AC317" s="17"/>
      <c r="AD317" s="18"/>
      <c r="AE317" s="34"/>
      <c r="AF317" s="34"/>
      <c r="AG317" s="34"/>
      <c r="AH317" s="34"/>
      <c r="AI317" s="34"/>
      <c r="AJ317" s="18"/>
      <c r="AK317" s="34"/>
      <c r="AL317" s="18"/>
      <c r="AM317" s="18"/>
      <c r="AN317" s="34"/>
      <c r="AO317" s="18"/>
      <c r="AP317" s="18"/>
      <c r="AQ317" s="34"/>
      <c r="AR317" s="34"/>
      <c r="AS317" s="18"/>
      <c r="AT317" s="30"/>
      <c r="AU317" s="18"/>
      <c r="AV317" s="18"/>
      <c r="AW317" s="34"/>
      <c r="AX317" s="18"/>
    </row>
    <row r="318" spans="1:50" ht="18.75" customHeight="1" x14ac:dyDescent="0.2">
      <c r="AA318" s="28" t="s">
        <v>288</v>
      </c>
      <c r="AB318" s="29" t="s">
        <v>83</v>
      </c>
      <c r="AC318" s="17"/>
      <c r="AD318" s="18"/>
      <c r="AE318" s="34"/>
      <c r="AF318" s="34"/>
      <c r="AG318" s="34"/>
      <c r="AH318" s="34"/>
      <c r="AI318" s="34"/>
      <c r="AJ318" s="18"/>
      <c r="AK318" s="34"/>
      <c r="AL318" s="18"/>
      <c r="AM318" s="18"/>
      <c r="AN318" s="34"/>
      <c r="AO318" s="18"/>
      <c r="AP318" s="18"/>
      <c r="AQ318" s="34"/>
      <c r="AR318" s="34"/>
      <c r="AS318" s="18"/>
      <c r="AT318" s="30"/>
      <c r="AU318" s="18"/>
      <c r="AV318" s="18"/>
      <c r="AW318" s="34"/>
      <c r="AX318" s="18"/>
    </row>
    <row r="319" spans="1:50" ht="18.75" customHeight="1" x14ac:dyDescent="0.2">
      <c r="A319" s="4" t="s">
        <v>325</v>
      </c>
      <c r="B319" s="4" t="s">
        <v>326</v>
      </c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1" t="s">
        <v>330</v>
      </c>
      <c r="AB319" s="42" t="s">
        <v>328</v>
      </c>
      <c r="AC319" s="43" t="s">
        <v>61</v>
      </c>
      <c r="AD319" s="43">
        <v>11363953497</v>
      </c>
      <c r="AE319" s="44">
        <v>0</v>
      </c>
      <c r="AF319" s="44">
        <v>0</v>
      </c>
      <c r="AG319" s="44">
        <v>0</v>
      </c>
      <c r="AH319" s="44">
        <v>0</v>
      </c>
      <c r="AI319" s="34">
        <f>AE319-AF319+AG319-AH319</f>
        <v>0</v>
      </c>
      <c r="AJ319" s="18">
        <f>AD319+AI319</f>
        <v>11363953497</v>
      </c>
      <c r="AK319" s="44">
        <v>0</v>
      </c>
      <c r="AL319" s="43">
        <v>34840880</v>
      </c>
      <c r="AM319" s="43">
        <v>155934238</v>
      </c>
      <c r="AN319" s="44">
        <v>0</v>
      </c>
      <c r="AO319" s="43">
        <v>34840880</v>
      </c>
      <c r="AP319" s="43">
        <v>155934238</v>
      </c>
      <c r="AQ319" s="44">
        <v>0</v>
      </c>
      <c r="AR319" s="44">
        <v>0</v>
      </c>
      <c r="AS319" s="43">
        <v>121093358</v>
      </c>
      <c r="AT319" s="39">
        <f t="shared" ref="AT319" si="161">AQ319+AS319</f>
        <v>121093358</v>
      </c>
      <c r="AU319" s="18">
        <f>AJ319-AM319</f>
        <v>11208019259</v>
      </c>
      <c r="AV319" s="34">
        <f>AM319-AP319</f>
        <v>0</v>
      </c>
      <c r="AW319" s="18">
        <f>AP319-AT319</f>
        <v>34840880</v>
      </c>
      <c r="AX319" s="123">
        <f>AP319/AJ319</f>
        <v>1.3721829998790958E-2</v>
      </c>
    </row>
    <row r="320" spans="1:50" ht="18.75" customHeight="1" x14ac:dyDescent="0.2">
      <c r="AA320" s="28" t="s">
        <v>288</v>
      </c>
      <c r="AB320" s="29" t="s">
        <v>88</v>
      </c>
      <c r="AC320" s="17"/>
      <c r="AD320" s="18"/>
      <c r="AE320" s="34"/>
      <c r="AF320" s="34"/>
      <c r="AG320" s="34"/>
      <c r="AH320" s="34"/>
      <c r="AI320" s="34"/>
      <c r="AJ320" s="18"/>
      <c r="AK320" s="34"/>
      <c r="AL320" s="18"/>
      <c r="AM320" s="18"/>
      <c r="AN320" s="34"/>
      <c r="AO320" s="18"/>
      <c r="AP320" s="18"/>
      <c r="AQ320" s="34"/>
      <c r="AR320" s="18"/>
      <c r="AS320" s="18"/>
      <c r="AT320" s="30"/>
      <c r="AU320" s="18"/>
      <c r="AV320" s="18"/>
      <c r="AW320" s="18"/>
      <c r="AX320" s="18"/>
    </row>
    <row r="321" spans="1:50" ht="18.75" customHeight="1" x14ac:dyDescent="0.2">
      <c r="A321" s="4" t="s">
        <v>325</v>
      </c>
      <c r="B321" s="4" t="s">
        <v>326</v>
      </c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1" t="s">
        <v>331</v>
      </c>
      <c r="AB321" s="42" t="s">
        <v>328</v>
      </c>
      <c r="AC321" s="43" t="s">
        <v>61</v>
      </c>
      <c r="AD321" s="43">
        <v>5983405720</v>
      </c>
      <c r="AE321" s="44">
        <v>0</v>
      </c>
      <c r="AF321" s="44">
        <v>0</v>
      </c>
      <c r="AG321" s="44">
        <v>0</v>
      </c>
      <c r="AH321" s="44">
        <v>0</v>
      </c>
      <c r="AI321" s="34">
        <f>AE321-AF321+AG321-AH321</f>
        <v>0</v>
      </c>
      <c r="AJ321" s="18">
        <f>AD321+AI321</f>
        <v>5983405720</v>
      </c>
      <c r="AK321" s="44">
        <v>0</v>
      </c>
      <c r="AL321" s="44">
        <v>0</v>
      </c>
      <c r="AM321" s="43">
        <v>4225408</v>
      </c>
      <c r="AN321" s="44">
        <v>0</v>
      </c>
      <c r="AO321" s="44">
        <v>0</v>
      </c>
      <c r="AP321" s="43">
        <v>4225408</v>
      </c>
      <c r="AQ321" s="44">
        <v>0</v>
      </c>
      <c r="AR321" s="44">
        <v>0</v>
      </c>
      <c r="AS321" s="43">
        <v>4225408</v>
      </c>
      <c r="AT321" s="39">
        <f t="shared" ref="AT321" si="162">AQ321+AS321</f>
        <v>4225408</v>
      </c>
      <c r="AU321" s="18">
        <f>AJ321-AM321</f>
        <v>5979180312</v>
      </c>
      <c r="AV321" s="34">
        <f>AM321-AP321</f>
        <v>0</v>
      </c>
      <c r="AW321" s="34">
        <f>AP321-AT321</f>
        <v>0</v>
      </c>
      <c r="AX321" s="123">
        <f>AP321/AJ321</f>
        <v>7.0618777962461155E-4</v>
      </c>
    </row>
    <row r="322" spans="1:50" ht="18.75" customHeight="1" x14ac:dyDescent="0.2">
      <c r="AA322" s="16"/>
      <c r="AB322" s="29" t="s">
        <v>103</v>
      </c>
      <c r="AC322" s="17"/>
      <c r="AD322" s="18"/>
      <c r="AE322" s="34"/>
      <c r="AF322" s="34"/>
      <c r="AG322" s="34"/>
      <c r="AH322" s="34"/>
      <c r="AI322" s="34"/>
      <c r="AJ322" s="18"/>
      <c r="AK322" s="34"/>
      <c r="AL322" s="18"/>
      <c r="AM322" s="18"/>
      <c r="AN322" s="34"/>
      <c r="AO322" s="18"/>
      <c r="AP322" s="18"/>
      <c r="AQ322" s="18"/>
      <c r="AR322" s="18"/>
      <c r="AS322" s="18"/>
      <c r="AT322" s="30"/>
      <c r="AU322" s="18"/>
      <c r="AV322" s="18"/>
      <c r="AW322" s="34"/>
      <c r="AX322" s="18"/>
    </row>
    <row r="323" spans="1:50" ht="18.75" customHeight="1" x14ac:dyDescent="0.2">
      <c r="AA323" s="28" t="s">
        <v>288</v>
      </c>
      <c r="AB323" s="29" t="s">
        <v>352</v>
      </c>
      <c r="AC323" s="17"/>
      <c r="AD323" s="18"/>
      <c r="AE323" s="34"/>
      <c r="AF323" s="34"/>
      <c r="AG323" s="34"/>
      <c r="AH323" s="34"/>
      <c r="AI323" s="34"/>
      <c r="AJ323" s="18"/>
      <c r="AK323" s="34"/>
      <c r="AL323" s="18"/>
      <c r="AM323" s="18"/>
      <c r="AN323" s="34"/>
      <c r="AO323" s="18"/>
      <c r="AP323" s="18"/>
      <c r="AQ323" s="18"/>
      <c r="AR323" s="18"/>
      <c r="AS323" s="18"/>
      <c r="AT323" s="30"/>
      <c r="AU323" s="18"/>
      <c r="AV323" s="18"/>
      <c r="AW323" s="34"/>
      <c r="AX323" s="18"/>
    </row>
    <row r="324" spans="1:50" ht="18.75" customHeight="1" x14ac:dyDescent="0.2">
      <c r="A324" s="4" t="s">
        <v>325</v>
      </c>
      <c r="B324" s="4" t="s">
        <v>326</v>
      </c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1" t="s">
        <v>332</v>
      </c>
      <c r="AB324" s="42" t="s">
        <v>328</v>
      </c>
      <c r="AC324" s="43" t="s">
        <v>61</v>
      </c>
      <c r="AD324" s="43">
        <v>13134738179</v>
      </c>
      <c r="AE324" s="44">
        <v>0</v>
      </c>
      <c r="AF324" s="44">
        <v>0</v>
      </c>
      <c r="AG324" s="44">
        <v>0</v>
      </c>
      <c r="AH324" s="44">
        <v>0</v>
      </c>
      <c r="AI324" s="44">
        <v>0</v>
      </c>
      <c r="AJ324" s="43">
        <v>13134738179</v>
      </c>
      <c r="AK324" s="44">
        <v>0</v>
      </c>
      <c r="AL324" s="43">
        <v>802203609</v>
      </c>
      <c r="AM324" s="43">
        <v>6496229830.96</v>
      </c>
      <c r="AN324" s="44">
        <v>0</v>
      </c>
      <c r="AO324" s="43">
        <v>802203609</v>
      </c>
      <c r="AP324" s="43">
        <v>6496229830.96</v>
      </c>
      <c r="AQ324" s="44">
        <v>0</v>
      </c>
      <c r="AR324" s="43">
        <v>802203609</v>
      </c>
      <c r="AS324" s="43">
        <v>6496229830.96</v>
      </c>
      <c r="AT324" s="39">
        <f t="shared" ref="AT324" si="163">AQ324+AS324</f>
        <v>6496229830.96</v>
      </c>
      <c r="AU324" s="18">
        <f>AJ324-AM324</f>
        <v>6638508348.04</v>
      </c>
      <c r="AV324" s="34">
        <f>AM324-AP324</f>
        <v>0</v>
      </c>
      <c r="AW324" s="34">
        <f>AP324-AT324</f>
        <v>0</v>
      </c>
      <c r="AX324" s="123">
        <f>AP324/AJ324</f>
        <v>0.49458388453804597</v>
      </c>
    </row>
    <row r="325" spans="1:50" ht="18.75" customHeight="1" x14ac:dyDescent="0.2">
      <c r="AA325" s="28" t="s">
        <v>288</v>
      </c>
      <c r="AB325" s="29" t="s">
        <v>353</v>
      </c>
      <c r="AC325" s="17"/>
      <c r="AD325" s="18"/>
      <c r="AE325" s="34"/>
      <c r="AF325" s="34"/>
      <c r="AG325" s="34"/>
      <c r="AH325" s="34"/>
      <c r="AI325" s="34"/>
      <c r="AJ325" s="18"/>
      <c r="AK325" s="34"/>
      <c r="AL325" s="18"/>
      <c r="AM325" s="18"/>
      <c r="AN325" s="34"/>
      <c r="AO325" s="18"/>
      <c r="AP325" s="18"/>
      <c r="AQ325" s="34"/>
      <c r="AR325" s="18"/>
      <c r="AS325" s="18"/>
      <c r="AT325" s="30"/>
      <c r="AU325" s="18"/>
      <c r="AV325" s="18"/>
      <c r="AW325" s="34"/>
      <c r="AX325" s="18"/>
    </row>
    <row r="326" spans="1:50" ht="18.75" customHeight="1" x14ac:dyDescent="0.2">
      <c r="A326" s="4" t="s">
        <v>325</v>
      </c>
      <c r="B326" s="4" t="s">
        <v>326</v>
      </c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1" t="s">
        <v>334</v>
      </c>
      <c r="AB326" s="42" t="s">
        <v>328</v>
      </c>
      <c r="AC326" s="43" t="s">
        <v>61</v>
      </c>
      <c r="AD326" s="43">
        <v>9662336131</v>
      </c>
      <c r="AE326" s="44">
        <v>0</v>
      </c>
      <c r="AF326" s="44">
        <v>0</v>
      </c>
      <c r="AG326" s="44">
        <v>0</v>
      </c>
      <c r="AH326" s="44">
        <v>0</v>
      </c>
      <c r="AI326" s="44">
        <v>0</v>
      </c>
      <c r="AJ326" s="43">
        <v>9662336131</v>
      </c>
      <c r="AK326" s="44">
        <v>0</v>
      </c>
      <c r="AL326" s="43">
        <v>852337329</v>
      </c>
      <c r="AM326" s="43">
        <v>6700535672.04</v>
      </c>
      <c r="AN326" s="44">
        <v>0</v>
      </c>
      <c r="AO326" s="43">
        <v>852337329</v>
      </c>
      <c r="AP326" s="43">
        <v>6700535672.04</v>
      </c>
      <c r="AQ326" s="44">
        <v>0</v>
      </c>
      <c r="AR326" s="43">
        <v>852337329</v>
      </c>
      <c r="AS326" s="43">
        <v>6700535672.04</v>
      </c>
      <c r="AT326" s="39">
        <f t="shared" ref="AT326" si="164">AQ326+AS326</f>
        <v>6700535672.04</v>
      </c>
      <c r="AU326" s="18">
        <f>AJ326-AM326</f>
        <v>2961800458.96</v>
      </c>
      <c r="AV326" s="34">
        <f>AM326-AP326</f>
        <v>0</v>
      </c>
      <c r="AW326" s="34">
        <f>AP326-AT326</f>
        <v>0</v>
      </c>
      <c r="AX326" s="123">
        <f>AP326/AJ326</f>
        <v>0.69346952757547364</v>
      </c>
    </row>
    <row r="327" spans="1:50" ht="18.75" customHeight="1" x14ac:dyDescent="0.2">
      <c r="AA327" s="28" t="s">
        <v>288</v>
      </c>
      <c r="AB327" s="29" t="s">
        <v>354</v>
      </c>
      <c r="AC327" s="17"/>
      <c r="AD327" s="18"/>
      <c r="AE327" s="34"/>
      <c r="AF327" s="34"/>
      <c r="AG327" s="34"/>
      <c r="AH327" s="34"/>
      <c r="AI327" s="34"/>
      <c r="AJ327" s="18"/>
      <c r="AK327" s="34"/>
      <c r="AL327" s="18"/>
      <c r="AM327" s="18"/>
      <c r="AN327" s="34"/>
      <c r="AO327" s="18"/>
      <c r="AP327" s="18"/>
      <c r="AQ327" s="34"/>
      <c r="AR327" s="18"/>
      <c r="AS327" s="18"/>
      <c r="AT327" s="30"/>
      <c r="AU327" s="18"/>
      <c r="AV327" s="18"/>
      <c r="AW327" s="18"/>
      <c r="AX327" s="18"/>
    </row>
    <row r="328" spans="1:50" ht="18.75" customHeight="1" x14ac:dyDescent="0.2">
      <c r="A328" s="4" t="s">
        <v>325</v>
      </c>
      <c r="B328" s="4" t="s">
        <v>326</v>
      </c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1" t="s">
        <v>335</v>
      </c>
      <c r="AB328" s="42" t="s">
        <v>328</v>
      </c>
      <c r="AC328" s="43" t="s">
        <v>61</v>
      </c>
      <c r="AD328" s="43">
        <v>8037478566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3">
        <v>8037478566</v>
      </c>
      <c r="AK328" s="44">
        <v>0</v>
      </c>
      <c r="AL328" s="43">
        <v>839152874</v>
      </c>
      <c r="AM328" s="43">
        <v>7090786295</v>
      </c>
      <c r="AN328" s="44">
        <v>0</v>
      </c>
      <c r="AO328" s="43">
        <v>839152874</v>
      </c>
      <c r="AP328" s="43">
        <v>7090786295</v>
      </c>
      <c r="AQ328" s="44">
        <v>0</v>
      </c>
      <c r="AR328" s="43">
        <v>839152874</v>
      </c>
      <c r="AS328" s="43">
        <v>7090786295</v>
      </c>
      <c r="AT328" s="39">
        <f t="shared" ref="AT328" si="165">AQ328+AS328</f>
        <v>7090786295</v>
      </c>
      <c r="AU328" s="18">
        <f>AJ328-AM328</f>
        <v>946692271</v>
      </c>
      <c r="AV328" s="34">
        <f>AM328-AP328</f>
        <v>0</v>
      </c>
      <c r="AW328" s="34">
        <f>AP328-AT328</f>
        <v>0</v>
      </c>
      <c r="AX328" s="123">
        <f>AP328/AJ328</f>
        <v>0.8822152664885875</v>
      </c>
    </row>
    <row r="329" spans="1:50" ht="18.75" customHeight="1" x14ac:dyDescent="0.2">
      <c r="AA329" s="28" t="s">
        <v>288</v>
      </c>
      <c r="AB329" s="29" t="s">
        <v>119</v>
      </c>
      <c r="AC329" s="17"/>
      <c r="AD329" s="18"/>
      <c r="AE329" s="34"/>
      <c r="AF329" s="34"/>
      <c r="AG329" s="34"/>
      <c r="AH329" s="34"/>
      <c r="AI329" s="34"/>
      <c r="AJ329" s="18"/>
      <c r="AK329" s="34"/>
      <c r="AL329" s="18"/>
      <c r="AM329" s="18"/>
      <c r="AN329" s="34"/>
      <c r="AO329" s="18"/>
      <c r="AP329" s="18"/>
      <c r="AQ329" s="110"/>
      <c r="AR329" s="110"/>
      <c r="AS329" s="110"/>
      <c r="AT329" s="30"/>
      <c r="AU329" s="18"/>
      <c r="AV329" s="18"/>
      <c r="AW329" s="133"/>
      <c r="AX329" s="18"/>
    </row>
    <row r="330" spans="1:50" ht="18.75" customHeight="1" x14ac:dyDescent="0.2">
      <c r="A330" s="4" t="s">
        <v>325</v>
      </c>
      <c r="B330" s="4" t="s">
        <v>326</v>
      </c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1" t="s">
        <v>336</v>
      </c>
      <c r="AB330" s="42" t="s">
        <v>328</v>
      </c>
      <c r="AC330" s="43" t="s">
        <v>61</v>
      </c>
      <c r="AD330" s="43">
        <v>5595577790</v>
      </c>
      <c r="AE330" s="44">
        <v>0</v>
      </c>
      <c r="AF330" s="44">
        <v>0</v>
      </c>
      <c r="AG330" s="44">
        <v>0</v>
      </c>
      <c r="AH330" s="44">
        <v>0</v>
      </c>
      <c r="AI330" s="44">
        <v>0</v>
      </c>
      <c r="AJ330" s="43">
        <v>5595577790</v>
      </c>
      <c r="AK330" s="44">
        <v>0</v>
      </c>
      <c r="AL330" s="43">
        <v>396276000</v>
      </c>
      <c r="AM330" s="43">
        <v>3362916500</v>
      </c>
      <c r="AN330" s="44">
        <v>0</v>
      </c>
      <c r="AO330" s="43">
        <v>396276000</v>
      </c>
      <c r="AP330" s="43">
        <v>3362916500</v>
      </c>
      <c r="AQ330" s="114">
        <v>0</v>
      </c>
      <c r="AR330" s="114">
        <v>396276000</v>
      </c>
      <c r="AS330" s="114">
        <v>3362916500</v>
      </c>
      <c r="AT330" s="39">
        <f t="shared" ref="AT330" si="166">AQ330+AS330</f>
        <v>3362916500</v>
      </c>
      <c r="AU330" s="18">
        <f>AJ330-AM330</f>
        <v>2232661290</v>
      </c>
      <c r="AV330" s="34">
        <f>AM330-AP330</f>
        <v>0</v>
      </c>
      <c r="AW330" s="133">
        <f>AP330-AT330</f>
        <v>0</v>
      </c>
      <c r="AX330" s="123">
        <f>AP330/AJ330</f>
        <v>0.60099539783182965</v>
      </c>
    </row>
    <row r="331" spans="1:50" ht="18.75" customHeight="1" x14ac:dyDescent="0.2">
      <c r="AA331" s="28"/>
      <c r="AB331" s="29" t="s">
        <v>124</v>
      </c>
      <c r="AC331" s="17"/>
      <c r="AD331" s="18"/>
      <c r="AE331" s="34"/>
      <c r="AF331" s="34"/>
      <c r="AG331" s="34"/>
      <c r="AH331" s="34"/>
      <c r="AI331" s="34"/>
      <c r="AJ331" s="18"/>
      <c r="AK331" s="34"/>
      <c r="AL331" s="18"/>
      <c r="AM331" s="18"/>
      <c r="AN331" s="34"/>
      <c r="AO331" s="18"/>
      <c r="AP331" s="18"/>
      <c r="AQ331" s="110"/>
      <c r="AR331" s="110"/>
      <c r="AS331" s="110"/>
      <c r="AT331" s="31"/>
      <c r="AU331" s="18"/>
      <c r="AV331" s="18"/>
      <c r="AW331" s="18"/>
      <c r="AX331" s="18"/>
    </row>
    <row r="332" spans="1:50" ht="18.75" customHeight="1" x14ac:dyDescent="0.2">
      <c r="AA332" s="28" t="s">
        <v>288</v>
      </c>
      <c r="AB332" s="29" t="s">
        <v>129</v>
      </c>
      <c r="AC332" s="17"/>
      <c r="AD332" s="18"/>
      <c r="AE332" s="34"/>
      <c r="AF332" s="34"/>
      <c r="AG332" s="34"/>
      <c r="AH332" s="34"/>
      <c r="AI332" s="34"/>
      <c r="AJ332" s="18"/>
      <c r="AK332" s="34"/>
      <c r="AL332" s="18"/>
      <c r="AM332" s="18"/>
      <c r="AN332" s="34"/>
      <c r="AO332" s="18"/>
      <c r="AP332" s="18"/>
      <c r="AQ332" s="110"/>
      <c r="AR332" s="110"/>
      <c r="AS332" s="110"/>
      <c r="AT332" s="31"/>
      <c r="AU332" s="18"/>
      <c r="AV332" s="18"/>
      <c r="AW332" s="18"/>
      <c r="AX332" s="18"/>
    </row>
    <row r="333" spans="1:50" ht="18.75" customHeight="1" x14ac:dyDescent="0.2">
      <c r="A333" s="4" t="s">
        <v>325</v>
      </c>
      <c r="B333" s="4" t="s">
        <v>326</v>
      </c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1" t="s">
        <v>338</v>
      </c>
      <c r="AB333" s="42" t="s">
        <v>328</v>
      </c>
      <c r="AC333" s="43" t="s">
        <v>61</v>
      </c>
      <c r="AD333" s="43">
        <v>4197626620</v>
      </c>
      <c r="AE333" s="44">
        <v>0</v>
      </c>
      <c r="AF333" s="44">
        <v>0</v>
      </c>
      <c r="AG333" s="44">
        <v>0</v>
      </c>
      <c r="AH333" s="44">
        <v>0</v>
      </c>
      <c r="AI333" s="44">
        <v>0</v>
      </c>
      <c r="AJ333" s="43">
        <v>4197626620</v>
      </c>
      <c r="AK333" s="44">
        <v>0</v>
      </c>
      <c r="AL333" s="43">
        <v>297261200</v>
      </c>
      <c r="AM333" s="43">
        <v>2522539100</v>
      </c>
      <c r="AN333" s="44">
        <v>0</v>
      </c>
      <c r="AO333" s="43">
        <v>297261200</v>
      </c>
      <c r="AP333" s="43">
        <v>2522539100</v>
      </c>
      <c r="AQ333" s="115">
        <v>0</v>
      </c>
      <c r="AR333" s="114">
        <v>297261200</v>
      </c>
      <c r="AS333" s="114">
        <v>2522539100</v>
      </c>
      <c r="AT333" s="39">
        <f t="shared" ref="AT333" si="167">AQ333+AS333</f>
        <v>2522539100</v>
      </c>
      <c r="AU333" s="18">
        <f>AJ333-AM333</f>
        <v>1675087520</v>
      </c>
      <c r="AV333" s="34">
        <f>AM333-AP333</f>
        <v>0</v>
      </c>
      <c r="AW333" s="34">
        <f>AP333-AT333</f>
        <v>0</v>
      </c>
      <c r="AX333" s="123">
        <f>AP333/AJ333</f>
        <v>0.60094413542669978</v>
      </c>
    </row>
    <row r="334" spans="1:50" ht="18.75" customHeight="1" x14ac:dyDescent="0.2">
      <c r="AA334" s="28" t="s">
        <v>288</v>
      </c>
      <c r="AB334" s="29" t="s">
        <v>133</v>
      </c>
      <c r="AC334" s="17"/>
      <c r="AD334" s="18"/>
      <c r="AE334" s="34"/>
      <c r="AF334" s="34"/>
      <c r="AG334" s="34"/>
      <c r="AH334" s="34"/>
      <c r="AI334" s="34"/>
      <c r="AJ334" s="18"/>
      <c r="AK334" s="34"/>
      <c r="AL334" s="18"/>
      <c r="AM334" s="18"/>
      <c r="AN334" s="34"/>
      <c r="AO334" s="18"/>
      <c r="AP334" s="18"/>
      <c r="AQ334" s="133"/>
      <c r="AR334" s="110"/>
      <c r="AS334" s="110"/>
      <c r="AT334" s="31"/>
      <c r="AU334" s="18"/>
      <c r="AV334" s="18"/>
      <c r="AW334" s="34"/>
      <c r="AX334" s="18"/>
    </row>
    <row r="335" spans="1:50" ht="18.75" customHeight="1" x14ac:dyDescent="0.2">
      <c r="A335" s="4" t="s">
        <v>325</v>
      </c>
      <c r="B335" s="4" t="s">
        <v>326</v>
      </c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1" t="s">
        <v>339</v>
      </c>
      <c r="AB335" s="42" t="s">
        <v>328</v>
      </c>
      <c r="AC335" s="43" t="s">
        <v>61</v>
      </c>
      <c r="AD335" s="43">
        <v>701459880</v>
      </c>
      <c r="AE335" s="44">
        <v>0</v>
      </c>
      <c r="AF335" s="44">
        <v>0</v>
      </c>
      <c r="AG335" s="44">
        <v>0</v>
      </c>
      <c r="AH335" s="44">
        <v>0</v>
      </c>
      <c r="AI335" s="44">
        <v>0</v>
      </c>
      <c r="AJ335" s="43">
        <v>701459880</v>
      </c>
      <c r="AK335" s="44">
        <v>0</v>
      </c>
      <c r="AL335" s="43">
        <v>49677800</v>
      </c>
      <c r="AM335" s="43">
        <v>421656700</v>
      </c>
      <c r="AN335" s="44">
        <v>0</v>
      </c>
      <c r="AO335" s="43">
        <v>49677800</v>
      </c>
      <c r="AP335" s="43">
        <v>421656700</v>
      </c>
      <c r="AQ335" s="115">
        <v>0</v>
      </c>
      <c r="AR335" s="114">
        <v>49677800</v>
      </c>
      <c r="AS335" s="114">
        <v>421656700</v>
      </c>
      <c r="AT335" s="39">
        <f t="shared" ref="AT335" si="168">AQ335+AS335</f>
        <v>421656700</v>
      </c>
      <c r="AU335" s="18">
        <f>AJ335-AM335</f>
        <v>279803180</v>
      </c>
      <c r="AV335" s="34">
        <f>AM335-AP335</f>
        <v>0</v>
      </c>
      <c r="AW335" s="34">
        <f>AP335-AT335</f>
        <v>0</v>
      </c>
      <c r="AX335" s="123">
        <f>AP335/AJ335</f>
        <v>0.60111306722203417</v>
      </c>
    </row>
    <row r="336" spans="1:50" ht="18.75" customHeight="1" x14ac:dyDescent="0.2">
      <c r="AA336" s="28" t="s">
        <v>288</v>
      </c>
      <c r="AB336" s="29" t="s">
        <v>138</v>
      </c>
      <c r="AC336" s="17"/>
      <c r="AD336" s="18"/>
      <c r="AE336" s="34"/>
      <c r="AF336" s="34"/>
      <c r="AG336" s="34"/>
      <c r="AH336" s="34"/>
      <c r="AI336" s="34"/>
      <c r="AJ336" s="18"/>
      <c r="AK336" s="34"/>
      <c r="AL336" s="18"/>
      <c r="AM336" s="18"/>
      <c r="AN336" s="34"/>
      <c r="AO336" s="18"/>
      <c r="AP336" s="18"/>
      <c r="AQ336" s="133"/>
      <c r="AR336" s="110"/>
      <c r="AS336" s="110"/>
      <c r="AT336" s="31"/>
      <c r="AU336" s="18"/>
      <c r="AV336" s="18"/>
      <c r="AW336" s="34"/>
      <c r="AX336" s="18"/>
    </row>
    <row r="337" spans="1:50" ht="18.75" customHeight="1" x14ac:dyDescent="0.2">
      <c r="A337" s="4" t="s">
        <v>325</v>
      </c>
      <c r="B337" s="4" t="s">
        <v>326</v>
      </c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1" t="s">
        <v>340</v>
      </c>
      <c r="AB337" s="42" t="s">
        <v>328</v>
      </c>
      <c r="AC337" s="43" t="s">
        <v>61</v>
      </c>
      <c r="AD337" s="43">
        <v>701459880</v>
      </c>
      <c r="AE337" s="44">
        <v>0</v>
      </c>
      <c r="AF337" s="44">
        <v>0</v>
      </c>
      <c r="AG337" s="44">
        <v>0</v>
      </c>
      <c r="AH337" s="44">
        <v>0</v>
      </c>
      <c r="AI337" s="44">
        <v>0</v>
      </c>
      <c r="AJ337" s="43">
        <v>701459880</v>
      </c>
      <c r="AK337" s="44">
        <v>0</v>
      </c>
      <c r="AL337" s="43">
        <v>49677800</v>
      </c>
      <c r="AM337" s="43">
        <v>421656700</v>
      </c>
      <c r="AN337" s="44">
        <v>0</v>
      </c>
      <c r="AO337" s="43">
        <v>49677800</v>
      </c>
      <c r="AP337" s="43">
        <v>421656700</v>
      </c>
      <c r="AQ337" s="115">
        <v>0</v>
      </c>
      <c r="AR337" s="114">
        <v>49677800</v>
      </c>
      <c r="AS337" s="114">
        <v>421656700</v>
      </c>
      <c r="AT337" s="39">
        <f t="shared" ref="AT337:AT374" si="169">AQ337+AS337</f>
        <v>421656700</v>
      </c>
      <c r="AU337" s="18">
        <f>AJ337-AM337</f>
        <v>279803180</v>
      </c>
      <c r="AV337" s="34">
        <f>AM337-AP337</f>
        <v>0</v>
      </c>
      <c r="AW337" s="34">
        <f>AP337-AT337</f>
        <v>0</v>
      </c>
      <c r="AX337" s="123">
        <f>AP337/AJ337</f>
        <v>0.60111306722203417</v>
      </c>
    </row>
    <row r="338" spans="1:50" ht="25.5" x14ac:dyDescent="0.2">
      <c r="AA338" s="28" t="s">
        <v>288</v>
      </c>
      <c r="AB338" s="29" t="s">
        <v>145</v>
      </c>
      <c r="AC338" s="17"/>
      <c r="AD338" s="18"/>
      <c r="AE338" s="34"/>
      <c r="AF338" s="34"/>
      <c r="AG338" s="34"/>
      <c r="AH338" s="34"/>
      <c r="AI338" s="34"/>
      <c r="AJ338" s="18"/>
      <c r="AK338" s="34"/>
      <c r="AL338" s="18"/>
      <c r="AM338" s="18"/>
      <c r="AN338" s="34"/>
      <c r="AO338" s="18"/>
      <c r="AP338" s="18"/>
      <c r="AQ338" s="133"/>
      <c r="AR338" s="110"/>
      <c r="AS338" s="110"/>
      <c r="AT338" s="31"/>
      <c r="AU338" s="18"/>
      <c r="AV338" s="18"/>
      <c r="AW338" s="34"/>
      <c r="AX338" s="18"/>
    </row>
    <row r="339" spans="1:50" ht="18.75" customHeight="1" x14ac:dyDescent="0.2">
      <c r="A339" s="4" t="s">
        <v>325</v>
      </c>
      <c r="B339" s="4" t="s">
        <v>326</v>
      </c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1" t="s">
        <v>341</v>
      </c>
      <c r="AB339" s="42" t="s">
        <v>328</v>
      </c>
      <c r="AC339" s="43" t="s">
        <v>61</v>
      </c>
      <c r="AD339" s="43">
        <v>1400409285</v>
      </c>
      <c r="AE339" s="44">
        <v>0</v>
      </c>
      <c r="AF339" s="44">
        <v>0</v>
      </c>
      <c r="AG339" s="44">
        <v>0</v>
      </c>
      <c r="AH339" s="44">
        <v>0</v>
      </c>
      <c r="AI339" s="44">
        <v>0</v>
      </c>
      <c r="AJ339" s="43">
        <v>1400409285</v>
      </c>
      <c r="AK339" s="44">
        <v>0</v>
      </c>
      <c r="AL339" s="43">
        <v>99166900</v>
      </c>
      <c r="AM339" s="43">
        <v>841659500</v>
      </c>
      <c r="AN339" s="44">
        <v>0</v>
      </c>
      <c r="AO339" s="43">
        <v>99166900</v>
      </c>
      <c r="AP339" s="43">
        <v>841659500</v>
      </c>
      <c r="AQ339" s="115">
        <v>0</v>
      </c>
      <c r="AR339" s="114">
        <v>99166900</v>
      </c>
      <c r="AS339" s="114">
        <v>841659500</v>
      </c>
      <c r="AT339" s="39">
        <f t="shared" si="169"/>
        <v>841659500</v>
      </c>
      <c r="AU339" s="18">
        <f>AJ339-AM339</f>
        <v>558749785</v>
      </c>
      <c r="AV339" s="34">
        <f>AM339-AP339</f>
        <v>0</v>
      </c>
      <c r="AW339" s="34">
        <f>AP339-AT339</f>
        <v>0</v>
      </c>
      <c r="AX339" s="123">
        <f>AP339/AJ339</f>
        <v>0.60100965411693907</v>
      </c>
    </row>
    <row r="340" spans="1:50" ht="28.5" customHeight="1" x14ac:dyDescent="0.2">
      <c r="AA340" s="16"/>
      <c r="AB340" s="29" t="s">
        <v>149</v>
      </c>
      <c r="AC340" s="17"/>
      <c r="AD340" s="18"/>
      <c r="AE340" s="34"/>
      <c r="AF340" s="34"/>
      <c r="AG340" s="34"/>
      <c r="AH340" s="34"/>
      <c r="AI340" s="34"/>
      <c r="AJ340" s="18"/>
      <c r="AK340" s="34"/>
      <c r="AL340" s="18"/>
      <c r="AM340" s="18"/>
      <c r="AN340" s="34"/>
      <c r="AO340" s="18"/>
      <c r="AP340" s="18"/>
      <c r="AQ340" s="34"/>
      <c r="AR340" s="34"/>
      <c r="AS340" s="34"/>
      <c r="AT340" s="31"/>
      <c r="AU340" s="18"/>
      <c r="AV340" s="18"/>
      <c r="AW340" s="18"/>
      <c r="AX340" s="18"/>
    </row>
    <row r="341" spans="1:50" ht="18.75" customHeight="1" x14ac:dyDescent="0.2">
      <c r="AA341" s="16"/>
      <c r="AB341" s="29" t="s">
        <v>81</v>
      </c>
      <c r="AC341" s="17"/>
      <c r="AD341" s="18"/>
      <c r="AE341" s="34"/>
      <c r="AF341" s="34"/>
      <c r="AG341" s="34"/>
      <c r="AH341" s="34"/>
      <c r="AI341" s="34"/>
      <c r="AJ341" s="18"/>
      <c r="AK341" s="34"/>
      <c r="AL341" s="18"/>
      <c r="AM341" s="18"/>
      <c r="AN341" s="34"/>
      <c r="AO341" s="18"/>
      <c r="AP341" s="18"/>
      <c r="AQ341" s="34"/>
      <c r="AR341" s="34"/>
      <c r="AS341" s="34"/>
      <c r="AT341" s="31"/>
      <c r="AU341" s="18"/>
      <c r="AV341" s="18"/>
      <c r="AW341" s="18"/>
      <c r="AX341" s="18"/>
    </row>
    <row r="342" spans="1:50" ht="18.75" customHeight="1" x14ac:dyDescent="0.2">
      <c r="AA342" s="28" t="s">
        <v>288</v>
      </c>
      <c r="AB342" s="29" t="s">
        <v>152</v>
      </c>
      <c r="AC342" s="17"/>
      <c r="AD342" s="18"/>
      <c r="AE342" s="34"/>
      <c r="AF342" s="34"/>
      <c r="AG342" s="34"/>
      <c r="AH342" s="34"/>
      <c r="AI342" s="34"/>
      <c r="AJ342" s="18"/>
      <c r="AK342" s="34"/>
      <c r="AL342" s="18"/>
      <c r="AM342" s="18"/>
      <c r="AN342" s="34"/>
      <c r="AO342" s="18"/>
      <c r="AP342" s="18"/>
      <c r="AQ342" s="34"/>
      <c r="AR342" s="34"/>
      <c r="AS342" s="34"/>
      <c r="AT342" s="31"/>
      <c r="AU342" s="18"/>
      <c r="AV342" s="18"/>
      <c r="AW342" s="18"/>
      <c r="AX342" s="18"/>
    </row>
    <row r="343" spans="1:50" ht="18.75" customHeight="1" x14ac:dyDescent="0.2">
      <c r="A343" s="4" t="s">
        <v>325</v>
      </c>
      <c r="B343" s="4" t="s">
        <v>326</v>
      </c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1" t="s">
        <v>342</v>
      </c>
      <c r="AB343" s="42" t="s">
        <v>328</v>
      </c>
      <c r="AC343" s="43" t="s">
        <v>61</v>
      </c>
      <c r="AD343" s="43">
        <v>10068147601</v>
      </c>
      <c r="AE343" s="44">
        <v>0</v>
      </c>
      <c r="AF343" s="44">
        <v>0</v>
      </c>
      <c r="AG343" s="44">
        <v>0</v>
      </c>
      <c r="AH343" s="44">
        <v>0</v>
      </c>
      <c r="AI343" s="44">
        <v>0</v>
      </c>
      <c r="AJ343" s="43">
        <v>10068147601</v>
      </c>
      <c r="AK343" s="44">
        <v>0</v>
      </c>
      <c r="AL343" s="43">
        <v>10984899</v>
      </c>
      <c r="AM343" s="43">
        <v>8158444436</v>
      </c>
      <c r="AN343" s="44">
        <v>0</v>
      </c>
      <c r="AO343" s="43">
        <v>10984899</v>
      </c>
      <c r="AP343" s="43">
        <v>8158444436</v>
      </c>
      <c r="AQ343" s="44">
        <v>0</v>
      </c>
      <c r="AR343" s="114">
        <v>0</v>
      </c>
      <c r="AS343" s="114">
        <v>8147459537</v>
      </c>
      <c r="AT343" s="39">
        <f t="shared" ref="AT343" si="170">AQ343+AS343</f>
        <v>8147459537</v>
      </c>
      <c r="AU343" s="18">
        <f>AJ343-AM343</f>
        <v>1909703165</v>
      </c>
      <c r="AV343" s="34">
        <f>AM343-AP343</f>
        <v>0</v>
      </c>
      <c r="AW343" s="18">
        <f>AP343-AT343</f>
        <v>10984899</v>
      </c>
      <c r="AX343" s="123">
        <f>AP343/AJ343</f>
        <v>0.81032229157920543</v>
      </c>
    </row>
    <row r="344" spans="1:50" ht="18.75" customHeight="1" x14ac:dyDescent="0.2">
      <c r="AA344" s="28" t="s">
        <v>288</v>
      </c>
      <c r="AB344" s="29" t="s">
        <v>343</v>
      </c>
      <c r="AC344" s="17"/>
      <c r="AD344" s="18"/>
      <c r="AE344" s="34"/>
      <c r="AF344" s="34"/>
      <c r="AG344" s="34"/>
      <c r="AH344" s="34"/>
      <c r="AI344" s="34"/>
      <c r="AJ344" s="18"/>
      <c r="AK344" s="34"/>
      <c r="AL344" s="18"/>
      <c r="AM344" s="18"/>
      <c r="AN344" s="34"/>
      <c r="AO344" s="18"/>
      <c r="AP344" s="18"/>
      <c r="AQ344" s="34"/>
      <c r="AR344" s="34"/>
      <c r="AS344" s="34"/>
      <c r="AT344" s="31"/>
      <c r="AU344" s="18"/>
      <c r="AV344" s="18"/>
      <c r="AW344" s="34"/>
      <c r="AX344" s="18"/>
    </row>
    <row r="345" spans="1:50" ht="18.75" customHeight="1" x14ac:dyDescent="0.2">
      <c r="A345" s="4" t="s">
        <v>325</v>
      </c>
      <c r="B345" s="4" t="s">
        <v>326</v>
      </c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1" t="s">
        <v>344</v>
      </c>
      <c r="AB345" s="42" t="s">
        <v>328</v>
      </c>
      <c r="AC345" s="43" t="s">
        <v>61</v>
      </c>
      <c r="AD345" s="43">
        <v>10000000</v>
      </c>
      <c r="AE345" s="44">
        <v>0</v>
      </c>
      <c r="AF345" s="44">
        <v>0</v>
      </c>
      <c r="AG345" s="44">
        <v>0</v>
      </c>
      <c r="AH345" s="44">
        <v>0</v>
      </c>
      <c r="AI345" s="44">
        <v>0</v>
      </c>
      <c r="AJ345" s="43">
        <v>10000000</v>
      </c>
      <c r="AK345" s="44">
        <v>0</v>
      </c>
      <c r="AL345" s="44">
        <v>0</v>
      </c>
      <c r="AM345" s="44">
        <v>0</v>
      </c>
      <c r="AN345" s="44">
        <v>0</v>
      </c>
      <c r="AO345" s="44">
        <v>0</v>
      </c>
      <c r="AP345" s="44">
        <v>0</v>
      </c>
      <c r="AQ345" s="44">
        <v>0</v>
      </c>
      <c r="AR345" s="44">
        <v>0</v>
      </c>
      <c r="AS345" s="44">
        <v>0</v>
      </c>
      <c r="AT345" s="40">
        <f t="shared" ref="AT345" si="171">AQ345+AS345</f>
        <v>0</v>
      </c>
      <c r="AU345" s="18">
        <f>AJ345-AM345</f>
        <v>10000000</v>
      </c>
      <c r="AV345" s="34">
        <f>AM345-AP345</f>
        <v>0</v>
      </c>
      <c r="AW345" s="34">
        <f>AP345-AT345</f>
        <v>0</v>
      </c>
      <c r="AX345" s="123">
        <f>AP345/AJ345</f>
        <v>0</v>
      </c>
    </row>
    <row r="346" spans="1:50" ht="18.75" customHeight="1" x14ac:dyDescent="0.2">
      <c r="AA346" s="16"/>
      <c r="AB346" s="29" t="s">
        <v>355</v>
      </c>
      <c r="AC346" s="17"/>
      <c r="AD346" s="18"/>
      <c r="AE346" s="34"/>
      <c r="AF346" s="34"/>
      <c r="AG346" s="34"/>
      <c r="AH346" s="34"/>
      <c r="AI346" s="34"/>
      <c r="AJ346" s="18"/>
      <c r="AK346" s="18"/>
      <c r="AL346" s="34"/>
      <c r="AM346" s="18"/>
      <c r="AN346" s="18"/>
      <c r="AO346" s="18"/>
      <c r="AP346" s="18"/>
      <c r="AQ346" s="18"/>
      <c r="AR346" s="18"/>
      <c r="AS346" s="18"/>
      <c r="AT346" s="30"/>
      <c r="AU346" s="18"/>
      <c r="AV346" s="18"/>
      <c r="AW346" s="18"/>
      <c r="AX346" s="18"/>
    </row>
    <row r="347" spans="1:50" ht="18.75" customHeight="1" x14ac:dyDescent="0.2">
      <c r="AA347" s="16"/>
      <c r="AB347" s="29" t="s">
        <v>320</v>
      </c>
      <c r="AC347" s="17"/>
      <c r="AD347" s="18"/>
      <c r="AE347" s="34"/>
      <c r="AF347" s="34"/>
      <c r="AG347" s="34"/>
      <c r="AH347" s="34"/>
      <c r="AI347" s="34"/>
      <c r="AJ347" s="18"/>
      <c r="AK347" s="18"/>
      <c r="AL347" s="34"/>
      <c r="AM347" s="18"/>
      <c r="AN347" s="18"/>
      <c r="AO347" s="18"/>
      <c r="AP347" s="18"/>
      <c r="AQ347" s="18"/>
      <c r="AR347" s="18"/>
      <c r="AS347" s="18"/>
      <c r="AT347" s="30"/>
      <c r="AU347" s="18"/>
      <c r="AV347" s="18"/>
      <c r="AW347" s="18"/>
      <c r="AX347" s="18"/>
    </row>
    <row r="348" spans="1:50" ht="18.75" customHeight="1" x14ac:dyDescent="0.2">
      <c r="AA348" s="16"/>
      <c r="AB348" s="29" t="s">
        <v>46</v>
      </c>
      <c r="AC348" s="17"/>
      <c r="AD348" s="18"/>
      <c r="AE348" s="34"/>
      <c r="AF348" s="34"/>
      <c r="AG348" s="34"/>
      <c r="AH348" s="34"/>
      <c r="AI348" s="34"/>
      <c r="AJ348" s="18"/>
      <c r="AK348" s="18"/>
      <c r="AL348" s="34"/>
      <c r="AM348" s="18"/>
      <c r="AN348" s="18"/>
      <c r="AO348" s="18"/>
      <c r="AP348" s="18"/>
      <c r="AQ348" s="18"/>
      <c r="AR348" s="18"/>
      <c r="AS348" s="18"/>
      <c r="AT348" s="30"/>
      <c r="AU348" s="18"/>
      <c r="AV348" s="18"/>
      <c r="AW348" s="18"/>
      <c r="AX348" s="18"/>
    </row>
    <row r="349" spans="1:50" ht="18.75" customHeight="1" x14ac:dyDescent="0.2">
      <c r="AA349" s="16"/>
      <c r="AB349" s="29" t="s">
        <v>48</v>
      </c>
      <c r="AC349" s="17"/>
      <c r="AD349" s="18"/>
      <c r="AE349" s="34"/>
      <c r="AF349" s="34"/>
      <c r="AG349" s="34"/>
      <c r="AH349" s="34"/>
      <c r="AI349" s="34"/>
      <c r="AJ349" s="18"/>
      <c r="AK349" s="18"/>
      <c r="AL349" s="34"/>
      <c r="AM349" s="18"/>
      <c r="AN349" s="18"/>
      <c r="AO349" s="18"/>
      <c r="AP349" s="18"/>
      <c r="AQ349" s="18"/>
      <c r="AR349" s="18"/>
      <c r="AS349" s="18"/>
      <c r="AT349" s="30"/>
      <c r="AU349" s="18"/>
      <c r="AV349" s="18"/>
      <c r="AW349" s="18"/>
      <c r="AX349" s="18"/>
    </row>
    <row r="350" spans="1:50" ht="18.75" customHeight="1" x14ac:dyDescent="0.2">
      <c r="AA350" s="16"/>
      <c r="AB350" s="29" t="s">
        <v>52</v>
      </c>
      <c r="AC350" s="17"/>
      <c r="AD350" s="18"/>
      <c r="AE350" s="34"/>
      <c r="AF350" s="34"/>
      <c r="AG350" s="34"/>
      <c r="AH350" s="34"/>
      <c r="AI350" s="34"/>
      <c r="AJ350" s="18"/>
      <c r="AK350" s="18"/>
      <c r="AL350" s="34"/>
      <c r="AM350" s="18"/>
      <c r="AN350" s="18"/>
      <c r="AO350" s="18"/>
      <c r="AP350" s="18"/>
      <c r="AQ350" s="18"/>
      <c r="AR350" s="18"/>
      <c r="AS350" s="18"/>
      <c r="AT350" s="30"/>
      <c r="AU350" s="18"/>
      <c r="AV350" s="18"/>
      <c r="AW350" s="18"/>
      <c r="AX350" s="18"/>
    </row>
    <row r="351" spans="1:50" ht="18.75" customHeight="1" x14ac:dyDescent="0.2">
      <c r="AA351" s="28" t="s">
        <v>288</v>
      </c>
      <c r="AB351" s="29" t="s">
        <v>54</v>
      </c>
      <c r="AC351" s="17"/>
      <c r="AD351" s="18"/>
      <c r="AE351" s="34"/>
      <c r="AF351" s="34"/>
      <c r="AG351" s="34"/>
      <c r="AH351" s="34"/>
      <c r="AI351" s="34"/>
      <c r="AJ351" s="18"/>
      <c r="AK351" s="18"/>
      <c r="AL351" s="34"/>
      <c r="AM351" s="18"/>
      <c r="AN351" s="18"/>
      <c r="AO351" s="18"/>
      <c r="AP351" s="18"/>
      <c r="AQ351" s="18"/>
      <c r="AR351" s="18"/>
      <c r="AS351" s="18"/>
      <c r="AT351" s="30"/>
      <c r="AU351" s="18"/>
      <c r="AV351" s="18"/>
      <c r="AW351" s="18"/>
      <c r="AX351" s="18"/>
    </row>
    <row r="352" spans="1:50" ht="18.75" customHeight="1" x14ac:dyDescent="0.2">
      <c r="A352" s="4" t="s">
        <v>55</v>
      </c>
      <c r="B352" s="4" t="s">
        <v>56</v>
      </c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1" t="s">
        <v>323</v>
      </c>
      <c r="AB352" s="42" t="s">
        <v>324</v>
      </c>
      <c r="AC352" s="43" t="s">
        <v>61</v>
      </c>
      <c r="AD352" s="43">
        <v>10521612007</v>
      </c>
      <c r="AE352" s="44">
        <v>0</v>
      </c>
      <c r="AF352" s="44">
        <v>0</v>
      </c>
      <c r="AG352" s="44">
        <v>0</v>
      </c>
      <c r="AH352" s="137">
        <v>0</v>
      </c>
      <c r="AI352" s="44">
        <v>0</v>
      </c>
      <c r="AJ352" s="43">
        <v>10521612007</v>
      </c>
      <c r="AK352" s="44">
        <v>0</v>
      </c>
      <c r="AL352" s="44">
        <v>833928511</v>
      </c>
      <c r="AM352" s="43">
        <v>5390984886</v>
      </c>
      <c r="AN352" s="44">
        <v>0</v>
      </c>
      <c r="AO352" s="43">
        <v>833928511</v>
      </c>
      <c r="AP352" s="43">
        <v>5390984886</v>
      </c>
      <c r="AQ352" s="44">
        <v>0</v>
      </c>
      <c r="AR352" s="43">
        <v>833928511</v>
      </c>
      <c r="AS352" s="43">
        <v>5390984886</v>
      </c>
      <c r="AT352" s="39">
        <f t="shared" ref="AT352" si="172">AQ352+AS352</f>
        <v>5390984886</v>
      </c>
      <c r="AU352" s="18">
        <f>AJ352-AM352</f>
        <v>5130627121</v>
      </c>
      <c r="AV352" s="34">
        <f>AM352-AP352</f>
        <v>0</v>
      </c>
      <c r="AW352" s="34">
        <f>AP352-AT352</f>
        <v>0</v>
      </c>
      <c r="AX352" s="123">
        <f>AP352/AJ352</f>
        <v>0.51237252261472788</v>
      </c>
    </row>
    <row r="353" spans="1:50" x14ac:dyDescent="0.2">
      <c r="AA353" s="28" t="s">
        <v>288</v>
      </c>
      <c r="AB353" s="29" t="s">
        <v>63</v>
      </c>
      <c r="AC353" s="17"/>
      <c r="AD353" s="18"/>
      <c r="AE353" s="34"/>
      <c r="AF353" s="34"/>
      <c r="AG353" s="34"/>
      <c r="AH353" s="34"/>
      <c r="AI353" s="34"/>
      <c r="AJ353" s="18"/>
      <c r="AK353" s="34"/>
      <c r="AL353" s="18"/>
      <c r="AM353" s="18"/>
      <c r="AN353" s="34"/>
      <c r="AO353" s="18"/>
      <c r="AP353" s="18"/>
      <c r="AQ353" s="34"/>
      <c r="AR353" s="18"/>
      <c r="AS353" s="18"/>
      <c r="AT353" s="30"/>
      <c r="AU353" s="18"/>
      <c r="AV353" s="18"/>
      <c r="AW353" s="34"/>
      <c r="AX353" s="18"/>
    </row>
    <row r="354" spans="1:50" ht="18.75" customHeight="1" x14ac:dyDescent="0.2">
      <c r="A354" s="4" t="s">
        <v>325</v>
      </c>
      <c r="B354" s="4" t="s">
        <v>326</v>
      </c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1" t="s">
        <v>349</v>
      </c>
      <c r="AB354" s="42" t="s">
        <v>328</v>
      </c>
      <c r="AC354" s="43" t="s">
        <v>61</v>
      </c>
      <c r="AD354" s="43">
        <v>112494898</v>
      </c>
      <c r="AE354" s="44">
        <v>0</v>
      </c>
      <c r="AF354" s="44">
        <v>0</v>
      </c>
      <c r="AG354" s="44">
        <v>0</v>
      </c>
      <c r="AH354" s="44">
        <v>0</v>
      </c>
      <c r="AI354" s="44">
        <v>0</v>
      </c>
      <c r="AJ354" s="43">
        <v>112494898</v>
      </c>
      <c r="AK354" s="44">
        <v>0</v>
      </c>
      <c r="AL354" s="43">
        <v>16450737</v>
      </c>
      <c r="AM354" s="43">
        <v>95173691</v>
      </c>
      <c r="AN354" s="44">
        <v>0</v>
      </c>
      <c r="AO354" s="43">
        <v>16450737</v>
      </c>
      <c r="AP354" s="43">
        <v>95173691</v>
      </c>
      <c r="AQ354" s="44">
        <v>0</v>
      </c>
      <c r="AR354" s="43">
        <v>16450737</v>
      </c>
      <c r="AS354" s="43">
        <v>95173691</v>
      </c>
      <c r="AT354" s="39">
        <f t="shared" si="169"/>
        <v>95173691</v>
      </c>
      <c r="AU354" s="18">
        <f>AJ354-AM354</f>
        <v>17321207</v>
      </c>
      <c r="AV354" s="34">
        <f>AM354-AP354</f>
        <v>0</v>
      </c>
      <c r="AW354" s="34">
        <f>AP354-AT354</f>
        <v>0</v>
      </c>
      <c r="AX354" s="123">
        <f>AP354/AJ354</f>
        <v>0.84602673269680195</v>
      </c>
    </row>
    <row r="355" spans="1:50" ht="18.75" customHeight="1" x14ac:dyDescent="0.2">
      <c r="AA355" s="28" t="s">
        <v>288</v>
      </c>
      <c r="AB355" s="29" t="s">
        <v>71</v>
      </c>
      <c r="AC355" s="17"/>
      <c r="AD355" s="18"/>
      <c r="AE355" s="34"/>
      <c r="AF355" s="34"/>
      <c r="AG355" s="34"/>
      <c r="AH355" s="34"/>
      <c r="AI355" s="34"/>
      <c r="AJ355" s="18"/>
      <c r="AK355" s="34"/>
      <c r="AL355" s="18"/>
      <c r="AM355" s="18"/>
      <c r="AN355" s="34"/>
      <c r="AO355" s="18"/>
      <c r="AP355" s="18"/>
      <c r="AQ355" s="34"/>
      <c r="AR355" s="18"/>
      <c r="AS355" s="18"/>
      <c r="AT355" s="30"/>
      <c r="AU355" s="18"/>
      <c r="AV355" s="18"/>
      <c r="AW355" s="34"/>
      <c r="AX355" s="18"/>
    </row>
    <row r="356" spans="1:50" ht="18.75" customHeight="1" x14ac:dyDescent="0.2">
      <c r="A356" s="4" t="s">
        <v>325</v>
      </c>
      <c r="B356" s="4" t="s">
        <v>326</v>
      </c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1" t="s">
        <v>327</v>
      </c>
      <c r="AB356" s="42" t="s">
        <v>328</v>
      </c>
      <c r="AC356" s="43" t="s">
        <v>61</v>
      </c>
      <c r="AD356" s="43">
        <v>532969656</v>
      </c>
      <c r="AE356" s="44">
        <v>0</v>
      </c>
      <c r="AF356" s="44">
        <v>0</v>
      </c>
      <c r="AG356" s="44">
        <v>0</v>
      </c>
      <c r="AH356" s="44">
        <v>0</v>
      </c>
      <c r="AI356" s="44">
        <v>0</v>
      </c>
      <c r="AJ356" s="43">
        <v>532969656</v>
      </c>
      <c r="AK356" s="44">
        <v>0</v>
      </c>
      <c r="AL356" s="43">
        <v>0</v>
      </c>
      <c r="AM356" s="43">
        <v>463854444</v>
      </c>
      <c r="AN356" s="44">
        <v>0</v>
      </c>
      <c r="AO356" s="43">
        <v>0</v>
      </c>
      <c r="AP356" s="43">
        <v>463854444</v>
      </c>
      <c r="AQ356" s="44">
        <v>0</v>
      </c>
      <c r="AR356" s="44">
        <v>0</v>
      </c>
      <c r="AS356" s="43">
        <v>9342995</v>
      </c>
      <c r="AT356" s="39">
        <f t="shared" si="169"/>
        <v>9342995</v>
      </c>
      <c r="AU356" s="18">
        <f>AJ356-AM356</f>
        <v>69115212</v>
      </c>
      <c r="AV356" s="34">
        <f>AM356-AP356</f>
        <v>0</v>
      </c>
      <c r="AW356" s="18">
        <f>AP356-AT356</f>
        <v>454511449</v>
      </c>
      <c r="AX356" s="123">
        <f>AP356/AJ356</f>
        <v>0.87032054973125905</v>
      </c>
    </row>
    <row r="357" spans="1:50" ht="18.75" customHeight="1" x14ac:dyDescent="0.2">
      <c r="AA357" s="28" t="s">
        <v>288</v>
      </c>
      <c r="AB357" s="29" t="s">
        <v>76</v>
      </c>
      <c r="AC357" s="17"/>
      <c r="AD357" s="18"/>
      <c r="AE357" s="34"/>
      <c r="AF357" s="34"/>
      <c r="AG357" s="34"/>
      <c r="AH357" s="34"/>
      <c r="AI357" s="34"/>
      <c r="AJ357" s="18"/>
      <c r="AK357" s="34"/>
      <c r="AL357" s="18"/>
      <c r="AM357" s="18"/>
      <c r="AN357" s="34"/>
      <c r="AO357" s="18"/>
      <c r="AP357" s="18"/>
      <c r="AQ357" s="34"/>
      <c r="AR357" s="18"/>
      <c r="AS357" s="18"/>
      <c r="AT357" s="30"/>
      <c r="AU357" s="18"/>
      <c r="AV357" s="18"/>
      <c r="AW357" s="34"/>
      <c r="AX357" s="18"/>
    </row>
    <row r="358" spans="1:50" ht="18.75" customHeight="1" x14ac:dyDescent="0.2">
      <c r="A358" s="4" t="s">
        <v>325</v>
      </c>
      <c r="B358" s="4" t="s">
        <v>326</v>
      </c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1" t="s">
        <v>329</v>
      </c>
      <c r="AB358" s="42" t="s">
        <v>328</v>
      </c>
      <c r="AC358" s="43" t="s">
        <v>61</v>
      </c>
      <c r="AD358" s="43">
        <v>318686698</v>
      </c>
      <c r="AE358" s="44">
        <v>0</v>
      </c>
      <c r="AF358" s="44">
        <v>0</v>
      </c>
      <c r="AG358" s="44">
        <v>0</v>
      </c>
      <c r="AH358" s="44">
        <v>0</v>
      </c>
      <c r="AI358" s="44">
        <v>0</v>
      </c>
      <c r="AJ358" s="43">
        <v>318686698</v>
      </c>
      <c r="AK358" s="44">
        <v>0</v>
      </c>
      <c r="AL358" s="43">
        <v>29182076</v>
      </c>
      <c r="AM358" s="43">
        <v>202881179</v>
      </c>
      <c r="AN358" s="44">
        <v>0</v>
      </c>
      <c r="AO358" s="43">
        <v>29182076</v>
      </c>
      <c r="AP358" s="43">
        <v>202881179</v>
      </c>
      <c r="AQ358" s="44">
        <v>0</v>
      </c>
      <c r="AR358" s="43">
        <v>29182076</v>
      </c>
      <c r="AS358" s="43">
        <v>202881179</v>
      </c>
      <c r="AT358" s="39">
        <f t="shared" si="169"/>
        <v>202881179</v>
      </c>
      <c r="AU358" s="18">
        <f>AJ358-AM358</f>
        <v>115805519</v>
      </c>
      <c r="AV358" s="34">
        <f>AM358-AP358</f>
        <v>0</v>
      </c>
      <c r="AW358" s="34">
        <f>AP358-AT358</f>
        <v>0</v>
      </c>
      <c r="AX358" s="123">
        <f>AP358/AJ358</f>
        <v>0.63661640185559298</v>
      </c>
    </row>
    <row r="359" spans="1:50" ht="18.75" customHeight="1" x14ac:dyDescent="0.2">
      <c r="AA359" s="16"/>
      <c r="AB359" s="17"/>
      <c r="AC359" s="17"/>
      <c r="AD359" s="18"/>
      <c r="AE359" s="34"/>
      <c r="AF359" s="34"/>
      <c r="AG359" s="34"/>
      <c r="AH359" s="34"/>
      <c r="AI359" s="34"/>
      <c r="AJ359" s="18"/>
      <c r="AK359" s="18"/>
      <c r="AL359" s="18"/>
      <c r="AM359" s="18"/>
      <c r="AN359" s="34"/>
      <c r="AO359" s="18"/>
      <c r="AP359" s="18"/>
      <c r="AQ359" s="18"/>
      <c r="AR359" s="34"/>
      <c r="AS359" s="18"/>
      <c r="AT359" s="30"/>
      <c r="AU359" s="18"/>
      <c r="AV359" s="18"/>
      <c r="AW359" s="18"/>
      <c r="AX359" s="18"/>
    </row>
    <row r="360" spans="1:50" ht="18.75" customHeight="1" x14ac:dyDescent="0.2">
      <c r="AA360" s="16"/>
      <c r="AB360" s="29" t="s">
        <v>81</v>
      </c>
      <c r="AC360" s="17"/>
      <c r="AD360" s="18"/>
      <c r="AE360" s="34"/>
      <c r="AF360" s="34"/>
      <c r="AG360" s="34"/>
      <c r="AH360" s="34"/>
      <c r="AI360" s="34"/>
      <c r="AJ360" s="18"/>
      <c r="AK360" s="18"/>
      <c r="AL360" s="18"/>
      <c r="AM360" s="18"/>
      <c r="AN360" s="34"/>
      <c r="AO360" s="18"/>
      <c r="AP360" s="18"/>
      <c r="AQ360" s="18"/>
      <c r="AR360" s="34"/>
      <c r="AS360" s="18"/>
      <c r="AT360" s="30"/>
      <c r="AU360" s="18"/>
      <c r="AV360" s="18"/>
      <c r="AW360" s="18"/>
      <c r="AX360" s="18"/>
    </row>
    <row r="361" spans="1:50" ht="18.75" customHeight="1" x14ac:dyDescent="0.2">
      <c r="AA361" s="28" t="s">
        <v>288</v>
      </c>
      <c r="AB361" s="29" t="s">
        <v>83</v>
      </c>
      <c r="AC361" s="17"/>
      <c r="AD361" s="18"/>
      <c r="AE361" s="34"/>
      <c r="AF361" s="34"/>
      <c r="AG361" s="34"/>
      <c r="AH361" s="34"/>
      <c r="AI361" s="34"/>
      <c r="AJ361" s="18"/>
      <c r="AK361" s="18"/>
      <c r="AL361" s="18"/>
      <c r="AM361" s="18"/>
      <c r="AN361" s="34"/>
      <c r="AO361" s="18"/>
      <c r="AP361" s="18"/>
      <c r="AQ361" s="18"/>
      <c r="AR361" s="34"/>
      <c r="AS361" s="18"/>
      <c r="AT361" s="30"/>
      <c r="AU361" s="18"/>
      <c r="AV361" s="18"/>
      <c r="AW361" s="18"/>
      <c r="AX361" s="18"/>
    </row>
    <row r="362" spans="1:50" ht="18.75" customHeight="1" x14ac:dyDescent="0.2">
      <c r="A362" s="4" t="s">
        <v>325</v>
      </c>
      <c r="B362" s="4" t="s">
        <v>326</v>
      </c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1" t="s">
        <v>330</v>
      </c>
      <c r="AB362" s="42" t="s">
        <v>328</v>
      </c>
      <c r="AC362" s="43" t="s">
        <v>61</v>
      </c>
      <c r="AD362" s="43">
        <v>1177756920</v>
      </c>
      <c r="AE362" s="44">
        <v>0</v>
      </c>
      <c r="AF362" s="44">
        <v>0</v>
      </c>
      <c r="AG362" s="44">
        <v>0</v>
      </c>
      <c r="AH362" s="44">
        <v>0</v>
      </c>
      <c r="AI362" s="44">
        <v>0</v>
      </c>
      <c r="AJ362" s="43">
        <v>1177756920</v>
      </c>
      <c r="AK362" s="44">
        <v>0</v>
      </c>
      <c r="AL362" s="43">
        <v>3022815</v>
      </c>
      <c r="AM362" s="43">
        <v>20437772</v>
      </c>
      <c r="AN362" s="44">
        <v>0</v>
      </c>
      <c r="AO362" s="43">
        <v>3022815</v>
      </c>
      <c r="AP362" s="110">
        <v>20437772</v>
      </c>
      <c r="AQ362" s="34">
        <v>0</v>
      </c>
      <c r="AR362" s="18">
        <v>3022815</v>
      </c>
      <c r="AS362" s="110">
        <v>20437772</v>
      </c>
      <c r="AT362" s="39">
        <f t="shared" ref="AT362" si="173">AQ362+AS362</f>
        <v>20437772</v>
      </c>
      <c r="AU362" s="18">
        <f>AJ362-AM362</f>
        <v>1157319148</v>
      </c>
      <c r="AV362" s="34">
        <f>AM362-AP362</f>
        <v>0</v>
      </c>
      <c r="AW362" s="34">
        <f>AP362-AT362</f>
        <v>0</v>
      </c>
      <c r="AX362" s="123">
        <f>AP362/AJ362</f>
        <v>1.7353132597174636E-2</v>
      </c>
    </row>
    <row r="363" spans="1:50" ht="18.75" customHeight="1" x14ac:dyDescent="0.2">
      <c r="AA363" s="28" t="s">
        <v>288</v>
      </c>
      <c r="AB363" s="29" t="s">
        <v>88</v>
      </c>
      <c r="AC363" s="17"/>
      <c r="AD363" s="18"/>
      <c r="AE363" s="34"/>
      <c r="AF363" s="34"/>
      <c r="AG363" s="34"/>
      <c r="AH363" s="34"/>
      <c r="AI363" s="34"/>
      <c r="AJ363" s="18"/>
      <c r="AK363" s="34"/>
      <c r="AL363" s="34"/>
      <c r="AM363" s="18"/>
      <c r="AN363" s="34"/>
      <c r="AO363" s="34"/>
      <c r="AP363" s="18"/>
      <c r="AQ363" s="18"/>
      <c r="AR363" s="34"/>
      <c r="AS363" s="18"/>
      <c r="AT363" s="30"/>
      <c r="AU363" s="18"/>
      <c r="AV363" s="18"/>
      <c r="AW363" s="34"/>
      <c r="AX363" s="18"/>
    </row>
    <row r="364" spans="1:50" ht="18.75" customHeight="1" x14ac:dyDescent="0.2">
      <c r="A364" s="4" t="s">
        <v>325</v>
      </c>
      <c r="B364" s="4" t="s">
        <v>326</v>
      </c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1" t="s">
        <v>331</v>
      </c>
      <c r="AB364" s="42" t="s">
        <v>328</v>
      </c>
      <c r="AC364" s="43" t="s">
        <v>61</v>
      </c>
      <c r="AD364" s="43">
        <v>565323320</v>
      </c>
      <c r="AE364" s="44">
        <v>0</v>
      </c>
      <c r="AF364" s="44">
        <v>0</v>
      </c>
      <c r="AG364" s="44">
        <v>0</v>
      </c>
      <c r="AH364" s="44">
        <v>0</v>
      </c>
      <c r="AI364" s="44">
        <v>0</v>
      </c>
      <c r="AJ364" s="43">
        <v>565323320</v>
      </c>
      <c r="AK364" s="44">
        <v>0</v>
      </c>
      <c r="AL364" s="44">
        <v>0</v>
      </c>
      <c r="AM364" s="43">
        <v>1527575</v>
      </c>
      <c r="AN364" s="44">
        <v>0</v>
      </c>
      <c r="AO364" s="44">
        <v>0</v>
      </c>
      <c r="AP364" s="43">
        <v>1527575</v>
      </c>
      <c r="AQ364" s="44">
        <v>0</v>
      </c>
      <c r="AR364" s="44">
        <v>0</v>
      </c>
      <c r="AS364" s="43">
        <v>1527575</v>
      </c>
      <c r="AT364" s="39">
        <f t="shared" si="169"/>
        <v>1527575</v>
      </c>
      <c r="AU364" s="18">
        <f>AJ364-AM364</f>
        <v>563795745</v>
      </c>
      <c r="AV364" s="34">
        <f>AM364-AP364</f>
        <v>0</v>
      </c>
      <c r="AW364" s="34">
        <f>AP364-AT364</f>
        <v>0</v>
      </c>
      <c r="AX364" s="123">
        <f>AP364/AJ364</f>
        <v>2.7021262805857716E-3</v>
      </c>
    </row>
    <row r="365" spans="1:50" ht="18.75" customHeight="1" x14ac:dyDescent="0.2">
      <c r="AA365" s="16"/>
      <c r="AB365" s="17"/>
      <c r="AC365" s="17"/>
      <c r="AD365" s="18"/>
      <c r="AE365" s="34"/>
      <c r="AF365" s="34"/>
      <c r="AG365" s="34"/>
      <c r="AH365" s="34"/>
      <c r="AI365" s="34"/>
      <c r="AJ365" s="18"/>
      <c r="AK365" s="34"/>
      <c r="AL365" s="18"/>
      <c r="AM365" s="18"/>
      <c r="AN365" s="18"/>
      <c r="AO365" s="18"/>
      <c r="AP365" s="18"/>
      <c r="AQ365" s="34"/>
      <c r="AR365" s="18"/>
      <c r="AS365" s="18"/>
      <c r="AT365" s="30"/>
      <c r="AU365" s="18"/>
      <c r="AV365" s="18"/>
      <c r="AW365" s="18"/>
      <c r="AX365" s="18"/>
    </row>
    <row r="366" spans="1:50" ht="18.75" customHeight="1" x14ac:dyDescent="0.2">
      <c r="AA366" s="16"/>
      <c r="AB366" s="29" t="s">
        <v>103</v>
      </c>
      <c r="AC366" s="17"/>
      <c r="AD366" s="18"/>
      <c r="AE366" s="34"/>
      <c r="AF366" s="34"/>
      <c r="AG366" s="34"/>
      <c r="AH366" s="34"/>
      <c r="AI366" s="34"/>
      <c r="AJ366" s="18"/>
      <c r="AK366" s="34"/>
      <c r="AL366" s="18"/>
      <c r="AM366" s="18"/>
      <c r="AN366" s="18"/>
      <c r="AO366" s="18"/>
      <c r="AP366" s="18"/>
      <c r="AQ366" s="34"/>
      <c r="AR366" s="18"/>
      <c r="AS366" s="18"/>
      <c r="AT366" s="30"/>
      <c r="AU366" s="18"/>
      <c r="AV366" s="18"/>
      <c r="AW366" s="18"/>
      <c r="AX366" s="18"/>
    </row>
    <row r="367" spans="1:50" ht="24.75" customHeight="1" x14ac:dyDescent="0.2">
      <c r="AA367" s="28" t="s">
        <v>288</v>
      </c>
      <c r="AB367" s="29" t="s">
        <v>352</v>
      </c>
      <c r="AC367" s="17"/>
      <c r="AD367" s="18"/>
      <c r="AE367" s="34"/>
      <c r="AF367" s="34"/>
      <c r="AG367" s="34"/>
      <c r="AH367" s="34"/>
      <c r="AI367" s="34"/>
      <c r="AJ367" s="18"/>
      <c r="AK367" s="34"/>
      <c r="AL367" s="18"/>
      <c r="AM367" s="18"/>
      <c r="AN367" s="18"/>
      <c r="AO367" s="18"/>
      <c r="AP367" s="18"/>
      <c r="AQ367" s="34"/>
      <c r="AR367" s="18"/>
      <c r="AS367" s="18"/>
      <c r="AT367" s="39"/>
      <c r="AU367" s="18"/>
      <c r="AV367" s="18"/>
      <c r="AW367" s="18"/>
      <c r="AX367" s="18"/>
    </row>
    <row r="368" spans="1:50" ht="18.75" customHeight="1" x14ac:dyDescent="0.2">
      <c r="A368" s="4" t="s">
        <v>325</v>
      </c>
      <c r="B368" s="4" t="s">
        <v>326</v>
      </c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1" t="s">
        <v>332</v>
      </c>
      <c r="AB368" s="42" t="s">
        <v>328</v>
      </c>
      <c r="AC368" s="43" t="s">
        <v>61</v>
      </c>
      <c r="AD368" s="43">
        <v>1248245788</v>
      </c>
      <c r="AE368" s="44">
        <v>0</v>
      </c>
      <c r="AF368" s="44">
        <v>0</v>
      </c>
      <c r="AG368" s="44">
        <v>0</v>
      </c>
      <c r="AH368" s="44">
        <v>0</v>
      </c>
      <c r="AI368" s="44">
        <v>0</v>
      </c>
      <c r="AJ368" s="43">
        <v>1248245788</v>
      </c>
      <c r="AK368" s="44">
        <v>0</v>
      </c>
      <c r="AL368" s="43">
        <v>76003677</v>
      </c>
      <c r="AM368" s="43">
        <v>613242526.03999996</v>
      </c>
      <c r="AN368" s="44">
        <v>0</v>
      </c>
      <c r="AO368" s="43">
        <v>76003677</v>
      </c>
      <c r="AP368" s="43">
        <v>613242526.03999996</v>
      </c>
      <c r="AQ368" s="44">
        <v>0</v>
      </c>
      <c r="AR368" s="43">
        <v>76003677</v>
      </c>
      <c r="AS368" s="43">
        <v>613242526.03999996</v>
      </c>
      <c r="AT368" s="39">
        <f t="shared" ref="AT368" si="174">AQ368+AS368</f>
        <v>613242526.03999996</v>
      </c>
      <c r="AU368" s="18">
        <f>AJ368-AM368</f>
        <v>635003261.96000004</v>
      </c>
      <c r="AV368" s="34">
        <f>AM368-AP368</f>
        <v>0</v>
      </c>
      <c r="AW368" s="34">
        <f>AP368-AT368</f>
        <v>0</v>
      </c>
      <c r="AX368" s="123">
        <f>AP368/AJ368</f>
        <v>0.49128347312316345</v>
      </c>
    </row>
    <row r="369" spans="1:50" ht="18.75" customHeight="1" x14ac:dyDescent="0.2">
      <c r="AA369" s="28" t="s">
        <v>288</v>
      </c>
      <c r="AB369" s="29" t="s">
        <v>353</v>
      </c>
      <c r="AC369" s="17"/>
      <c r="AD369" s="18"/>
      <c r="AE369" s="34"/>
      <c r="AF369" s="34"/>
      <c r="AG369" s="34"/>
      <c r="AH369" s="34"/>
      <c r="AI369" s="34"/>
      <c r="AJ369" s="18"/>
      <c r="AK369" s="34"/>
      <c r="AL369" s="18"/>
      <c r="AM369" s="18"/>
      <c r="AN369" s="34"/>
      <c r="AO369" s="18"/>
      <c r="AP369" s="18"/>
      <c r="AQ369" s="18"/>
      <c r="AR369" s="18"/>
      <c r="AS369" s="18"/>
      <c r="AT369" s="39"/>
      <c r="AU369" s="18"/>
      <c r="AV369" s="18"/>
      <c r="AW369" s="34"/>
      <c r="AX369" s="18"/>
    </row>
    <row r="370" spans="1:50" ht="18.75" customHeight="1" x14ac:dyDescent="0.2">
      <c r="A370" s="4" t="s">
        <v>325</v>
      </c>
      <c r="B370" s="4" t="s">
        <v>326</v>
      </c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1" t="s">
        <v>334</v>
      </c>
      <c r="AB370" s="42" t="s">
        <v>328</v>
      </c>
      <c r="AC370" s="43" t="s">
        <v>61</v>
      </c>
      <c r="AD370" s="43">
        <v>918279775</v>
      </c>
      <c r="AE370" s="44">
        <v>0</v>
      </c>
      <c r="AF370" s="44">
        <v>0</v>
      </c>
      <c r="AG370" s="44">
        <v>0</v>
      </c>
      <c r="AH370" s="44">
        <v>0</v>
      </c>
      <c r="AI370" s="44">
        <v>0</v>
      </c>
      <c r="AJ370" s="43">
        <v>918279775</v>
      </c>
      <c r="AK370" s="44">
        <v>0</v>
      </c>
      <c r="AL370" s="43">
        <v>80753686</v>
      </c>
      <c r="AM370" s="43">
        <v>632287005.96000004</v>
      </c>
      <c r="AN370" s="44">
        <v>0</v>
      </c>
      <c r="AO370" s="43">
        <v>80753686</v>
      </c>
      <c r="AP370" s="43">
        <v>632287005.96000004</v>
      </c>
      <c r="AQ370" s="44">
        <v>0</v>
      </c>
      <c r="AR370" s="43">
        <v>80753686</v>
      </c>
      <c r="AS370" s="43">
        <v>632287005.96000004</v>
      </c>
      <c r="AT370" s="39">
        <f t="shared" si="169"/>
        <v>632287005.96000004</v>
      </c>
      <c r="AU370" s="18">
        <f>AJ370-AM370</f>
        <v>285992769.03999996</v>
      </c>
      <c r="AV370" s="34">
        <f>AM370-AP370</f>
        <v>0</v>
      </c>
      <c r="AW370" s="34">
        <f>AP370-AT370</f>
        <v>0</v>
      </c>
      <c r="AX370" s="123">
        <f>AP370/AJ370</f>
        <v>0.68855595339666498</v>
      </c>
    </row>
    <row r="371" spans="1:50" ht="18.75" customHeight="1" x14ac:dyDescent="0.2">
      <c r="AA371" s="28" t="s">
        <v>288</v>
      </c>
      <c r="AB371" s="29" t="s">
        <v>354</v>
      </c>
      <c r="AC371" s="17"/>
      <c r="AD371" s="18"/>
      <c r="AE371" s="34"/>
      <c r="AF371" s="34"/>
      <c r="AG371" s="34"/>
      <c r="AH371" s="34"/>
      <c r="AI371" s="34"/>
      <c r="AJ371" s="18"/>
      <c r="AK371" s="18"/>
      <c r="AL371" s="18"/>
      <c r="AM371" s="18"/>
      <c r="AN371" s="34"/>
      <c r="AO371" s="18"/>
      <c r="AP371" s="18"/>
      <c r="AQ371" s="34"/>
      <c r="AR371" s="18"/>
      <c r="AS371" s="18"/>
      <c r="AT371" s="39"/>
      <c r="AU371" s="18"/>
      <c r="AV371" s="18"/>
      <c r="AW371" s="34"/>
      <c r="AX371" s="18"/>
    </row>
    <row r="372" spans="1:50" ht="18.75" customHeight="1" x14ac:dyDescent="0.2">
      <c r="A372" s="4" t="s">
        <v>325</v>
      </c>
      <c r="B372" s="4" t="s">
        <v>326</v>
      </c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1" t="s">
        <v>335</v>
      </c>
      <c r="AB372" s="42" t="s">
        <v>328</v>
      </c>
      <c r="AC372" s="43" t="s">
        <v>61</v>
      </c>
      <c r="AD372" s="43">
        <v>956127578</v>
      </c>
      <c r="AE372" s="44">
        <v>0</v>
      </c>
      <c r="AF372" s="44">
        <v>0</v>
      </c>
      <c r="AG372" s="44">
        <v>0</v>
      </c>
      <c r="AH372" s="44">
        <v>0</v>
      </c>
      <c r="AI372" s="44">
        <v>0</v>
      </c>
      <c r="AJ372" s="43">
        <v>956127578</v>
      </c>
      <c r="AK372" s="44">
        <v>0</v>
      </c>
      <c r="AL372" s="43">
        <v>79395777</v>
      </c>
      <c r="AM372" s="43">
        <v>670240975</v>
      </c>
      <c r="AN372" s="44">
        <v>0</v>
      </c>
      <c r="AO372" s="43">
        <v>79395777</v>
      </c>
      <c r="AP372" s="43">
        <v>670240975</v>
      </c>
      <c r="AQ372" s="44">
        <v>0</v>
      </c>
      <c r="AR372" s="43">
        <v>79395777</v>
      </c>
      <c r="AS372" s="43">
        <v>670240975</v>
      </c>
      <c r="AT372" s="39">
        <f t="shared" si="169"/>
        <v>670240975</v>
      </c>
      <c r="AU372" s="18">
        <f>AJ372-AM372</f>
        <v>285886603</v>
      </c>
      <c r="AV372" s="34">
        <f>AM372-AP372</f>
        <v>0</v>
      </c>
      <c r="AW372" s="34">
        <f>AP372-AT372</f>
        <v>0</v>
      </c>
      <c r="AX372" s="123">
        <f>AP372/AJ372</f>
        <v>0.70099533830201899</v>
      </c>
    </row>
    <row r="373" spans="1:50" ht="18.75" customHeight="1" x14ac:dyDescent="0.2">
      <c r="AA373" s="28" t="s">
        <v>288</v>
      </c>
      <c r="AB373" s="29" t="s">
        <v>119</v>
      </c>
      <c r="AC373" s="17"/>
      <c r="AD373" s="18"/>
      <c r="AE373" s="34"/>
      <c r="AF373" s="34"/>
      <c r="AG373" s="34"/>
      <c r="AH373" s="34"/>
      <c r="AI373" s="34"/>
      <c r="AJ373" s="18"/>
      <c r="AK373" s="34"/>
      <c r="AL373" s="18"/>
      <c r="AM373" s="18"/>
      <c r="AN373" s="34"/>
      <c r="AO373" s="18"/>
      <c r="AP373" s="18"/>
      <c r="AQ373" s="18"/>
      <c r="AR373" s="18"/>
      <c r="AS373" s="18"/>
      <c r="AT373" s="39"/>
      <c r="AU373" s="18"/>
      <c r="AV373" s="18"/>
      <c r="AW373" s="34"/>
      <c r="AX373" s="18"/>
    </row>
    <row r="374" spans="1:50" ht="18.75" customHeight="1" x14ac:dyDescent="0.2">
      <c r="A374" s="4" t="s">
        <v>325</v>
      </c>
      <c r="B374" s="4" t="s">
        <v>326</v>
      </c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1" t="s">
        <v>336</v>
      </c>
      <c r="AB374" s="42" t="s">
        <v>328</v>
      </c>
      <c r="AC374" s="43" t="s">
        <v>61</v>
      </c>
      <c r="AD374" s="43">
        <v>527278620</v>
      </c>
      <c r="AE374" s="44">
        <v>0</v>
      </c>
      <c r="AF374" s="44">
        <v>0</v>
      </c>
      <c r="AG374" s="44">
        <v>0</v>
      </c>
      <c r="AH374" s="44">
        <v>0</v>
      </c>
      <c r="AI374" s="44">
        <v>0</v>
      </c>
      <c r="AJ374" s="43">
        <v>527278620</v>
      </c>
      <c r="AK374" s="44">
        <v>0</v>
      </c>
      <c r="AL374" s="43">
        <v>37685400</v>
      </c>
      <c r="AM374" s="43">
        <v>314198100</v>
      </c>
      <c r="AN374" s="44">
        <v>0</v>
      </c>
      <c r="AO374" s="43">
        <v>37685400</v>
      </c>
      <c r="AP374" s="43">
        <v>314198100</v>
      </c>
      <c r="AQ374" s="115">
        <v>0</v>
      </c>
      <c r="AR374" s="114">
        <v>37685400</v>
      </c>
      <c r="AS374" s="114">
        <v>314198100</v>
      </c>
      <c r="AT374" s="39">
        <f t="shared" si="169"/>
        <v>314198100</v>
      </c>
      <c r="AU374" s="18">
        <f>AJ374-AM374</f>
        <v>213080520</v>
      </c>
      <c r="AV374" s="34">
        <f>AM374-AP374</f>
        <v>0</v>
      </c>
      <c r="AW374" s="34">
        <f>AP374-AT374</f>
        <v>0</v>
      </c>
      <c r="AX374" s="123">
        <f>AP374/AJ374</f>
        <v>0.5958862887328904</v>
      </c>
    </row>
    <row r="375" spans="1:50" ht="18.75" customHeight="1" x14ac:dyDescent="0.2">
      <c r="AA375" s="28" t="s">
        <v>288</v>
      </c>
      <c r="AB375" s="29" t="s">
        <v>124</v>
      </c>
      <c r="AC375" s="17"/>
      <c r="AD375" s="18"/>
      <c r="AE375" s="34"/>
      <c r="AF375" s="34"/>
      <c r="AG375" s="34"/>
      <c r="AH375" s="34"/>
      <c r="AI375" s="34"/>
      <c r="AJ375" s="18"/>
      <c r="AK375" s="34"/>
      <c r="AL375" s="18"/>
      <c r="AM375" s="18"/>
      <c r="AN375" s="34"/>
      <c r="AO375" s="18"/>
      <c r="AP375" s="18"/>
      <c r="AQ375" s="34"/>
      <c r="AR375" s="34"/>
      <c r="AS375" s="34"/>
      <c r="AT375" s="40"/>
      <c r="AU375" s="18"/>
      <c r="AV375" s="18"/>
      <c r="AW375" s="18"/>
      <c r="AX375" s="18"/>
    </row>
    <row r="376" spans="1:50" ht="18.75" customHeight="1" x14ac:dyDescent="0.2">
      <c r="AA376" s="28" t="s">
        <v>288</v>
      </c>
      <c r="AB376" s="29" t="s">
        <v>129</v>
      </c>
      <c r="AC376" s="17"/>
      <c r="AD376" s="18"/>
      <c r="AE376" s="34"/>
      <c r="AF376" s="34"/>
      <c r="AG376" s="34"/>
      <c r="AH376" s="34"/>
      <c r="AI376" s="34"/>
      <c r="AJ376" s="18"/>
      <c r="AK376" s="34"/>
      <c r="AL376" s="18"/>
      <c r="AM376" s="18"/>
      <c r="AN376" s="34"/>
      <c r="AO376" s="18"/>
      <c r="AP376" s="18"/>
      <c r="AQ376" s="34"/>
      <c r="AR376" s="34"/>
      <c r="AS376" s="34"/>
      <c r="AT376" s="40"/>
      <c r="AU376" s="18"/>
      <c r="AV376" s="18"/>
      <c r="AW376" s="18"/>
      <c r="AX376" s="18"/>
    </row>
    <row r="377" spans="1:50" ht="18.75" customHeight="1" x14ac:dyDescent="0.2">
      <c r="A377" s="4" t="s">
        <v>325</v>
      </c>
      <c r="B377" s="4" t="s">
        <v>326</v>
      </c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1" t="s">
        <v>338</v>
      </c>
      <c r="AB377" s="42" t="s">
        <v>328</v>
      </c>
      <c r="AC377" s="43" t="s">
        <v>61</v>
      </c>
      <c r="AD377" s="43">
        <v>395516000</v>
      </c>
      <c r="AE377" s="44">
        <v>0</v>
      </c>
      <c r="AF377" s="44">
        <v>0</v>
      </c>
      <c r="AG377" s="44">
        <v>0</v>
      </c>
      <c r="AH377" s="44">
        <v>0</v>
      </c>
      <c r="AI377" s="44">
        <v>0</v>
      </c>
      <c r="AJ377" s="43">
        <v>395516000</v>
      </c>
      <c r="AK377" s="44">
        <v>0</v>
      </c>
      <c r="AL377" s="43">
        <v>28263200</v>
      </c>
      <c r="AM377" s="43">
        <v>235653200</v>
      </c>
      <c r="AN377" s="44">
        <v>0</v>
      </c>
      <c r="AO377" s="43">
        <v>28263200</v>
      </c>
      <c r="AP377" s="43">
        <v>235653200</v>
      </c>
      <c r="AQ377" s="115">
        <v>0</v>
      </c>
      <c r="AR377" s="114">
        <v>28263200</v>
      </c>
      <c r="AS377" s="114">
        <v>235653200</v>
      </c>
      <c r="AT377" s="39">
        <f t="shared" ref="AT377" si="175">AQ377+AS377</f>
        <v>235653200</v>
      </c>
      <c r="AU377" s="18">
        <f>AJ377-AM377</f>
        <v>159862800</v>
      </c>
      <c r="AV377" s="34">
        <f>AM377-AP377</f>
        <v>0</v>
      </c>
      <c r="AW377" s="34">
        <f>AP377-AT377</f>
        <v>0</v>
      </c>
      <c r="AX377" s="123">
        <f>AP377/AJ377</f>
        <v>0.59581205311542396</v>
      </c>
    </row>
    <row r="378" spans="1:50" ht="18.75" customHeight="1" x14ac:dyDescent="0.2">
      <c r="AA378" s="28" t="s">
        <v>288</v>
      </c>
      <c r="AB378" s="29" t="s">
        <v>133</v>
      </c>
      <c r="AC378" s="17"/>
      <c r="AD378" s="18"/>
      <c r="AE378" s="34"/>
      <c r="AF378" s="34"/>
      <c r="AG378" s="34"/>
      <c r="AH378" s="34"/>
      <c r="AI378" s="34"/>
      <c r="AJ378" s="18"/>
      <c r="AK378" s="34"/>
      <c r="AL378" s="18"/>
      <c r="AM378" s="18"/>
      <c r="AN378" s="34"/>
      <c r="AO378" s="18"/>
      <c r="AP378" s="18"/>
      <c r="AQ378" s="34"/>
      <c r="AR378" s="34"/>
      <c r="AS378" s="34"/>
      <c r="AT378" s="40"/>
      <c r="AU378" s="18"/>
      <c r="AV378" s="18"/>
      <c r="AW378" s="34"/>
      <c r="AX378" s="18"/>
    </row>
    <row r="379" spans="1:50" ht="18.75" customHeight="1" x14ac:dyDescent="0.2">
      <c r="A379" s="4" t="s">
        <v>325</v>
      </c>
      <c r="B379" s="4" t="s">
        <v>326</v>
      </c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1" t="s">
        <v>339</v>
      </c>
      <c r="AB379" s="42" t="s">
        <v>328</v>
      </c>
      <c r="AC379" s="43" t="s">
        <v>61</v>
      </c>
      <c r="AD379" s="43">
        <v>66047960</v>
      </c>
      <c r="AE379" s="44">
        <v>0</v>
      </c>
      <c r="AF379" s="44">
        <v>0</v>
      </c>
      <c r="AG379" s="44">
        <v>0</v>
      </c>
      <c r="AH379" s="44">
        <v>0</v>
      </c>
      <c r="AI379" s="44">
        <v>0</v>
      </c>
      <c r="AJ379" s="43">
        <v>66047960</v>
      </c>
      <c r="AK379" s="44">
        <v>0</v>
      </c>
      <c r="AL379" s="43">
        <v>4716900</v>
      </c>
      <c r="AM379" s="43">
        <v>39339100</v>
      </c>
      <c r="AN379" s="44">
        <v>0</v>
      </c>
      <c r="AO379" s="43">
        <v>4716900</v>
      </c>
      <c r="AP379" s="43">
        <v>39339100</v>
      </c>
      <c r="AQ379" s="115">
        <v>0</v>
      </c>
      <c r="AR379" s="114">
        <v>4716900</v>
      </c>
      <c r="AS379" s="114">
        <v>39339100</v>
      </c>
      <c r="AT379" s="39">
        <f t="shared" ref="AT379" si="176">AQ379+AS379</f>
        <v>39339100</v>
      </c>
      <c r="AU379" s="18">
        <f>AJ379-AM379</f>
        <v>26708860</v>
      </c>
      <c r="AV379" s="34">
        <f>AM379-AP379</f>
        <v>0</v>
      </c>
      <c r="AW379" s="34">
        <f>AP379-AT379</f>
        <v>0</v>
      </c>
      <c r="AX379" s="123">
        <f>AP379/AJ379</f>
        <v>0.59561415674306972</v>
      </c>
    </row>
    <row r="380" spans="1:50" ht="18.75" customHeight="1" x14ac:dyDescent="0.2">
      <c r="AA380" s="28" t="s">
        <v>288</v>
      </c>
      <c r="AB380" s="29" t="s">
        <v>138</v>
      </c>
      <c r="AC380" s="17"/>
      <c r="AD380" s="18"/>
      <c r="AE380" s="34"/>
      <c r="AF380" s="34"/>
      <c r="AG380" s="34"/>
      <c r="AH380" s="34"/>
      <c r="AI380" s="34"/>
      <c r="AJ380" s="18"/>
      <c r="AK380" s="34"/>
      <c r="AL380" s="18"/>
      <c r="AM380" s="18"/>
      <c r="AN380" s="34"/>
      <c r="AO380" s="18"/>
      <c r="AP380" s="18"/>
      <c r="AQ380" s="133"/>
      <c r="AR380" s="110"/>
      <c r="AS380" s="110"/>
      <c r="AT380" s="40"/>
      <c r="AU380" s="18"/>
      <c r="AV380" s="18"/>
      <c r="AW380" s="34"/>
      <c r="AX380" s="18"/>
    </row>
    <row r="381" spans="1:50" ht="18.75" customHeight="1" x14ac:dyDescent="0.2">
      <c r="A381" s="4" t="s">
        <v>325</v>
      </c>
      <c r="B381" s="4" t="s">
        <v>326</v>
      </c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1" t="s">
        <v>340</v>
      </c>
      <c r="AB381" s="42" t="s">
        <v>328</v>
      </c>
      <c r="AC381" s="43" t="s">
        <v>61</v>
      </c>
      <c r="AD381" s="43">
        <v>66047960</v>
      </c>
      <c r="AE381" s="44">
        <v>0</v>
      </c>
      <c r="AF381" s="44">
        <v>0</v>
      </c>
      <c r="AG381" s="44">
        <v>0</v>
      </c>
      <c r="AH381" s="44">
        <v>0</v>
      </c>
      <c r="AI381" s="44">
        <v>0</v>
      </c>
      <c r="AJ381" s="43">
        <v>66047960</v>
      </c>
      <c r="AK381" s="44">
        <v>0</v>
      </c>
      <c r="AL381" s="43">
        <v>4716900</v>
      </c>
      <c r="AM381" s="43">
        <v>39339100</v>
      </c>
      <c r="AN381" s="44">
        <v>0</v>
      </c>
      <c r="AO381" s="43">
        <v>4716900</v>
      </c>
      <c r="AP381" s="43">
        <v>39339100</v>
      </c>
      <c r="AQ381" s="115">
        <v>0</v>
      </c>
      <c r="AR381" s="114">
        <v>4716900</v>
      </c>
      <c r="AS381" s="114">
        <v>39339100</v>
      </c>
      <c r="AT381" s="39">
        <f t="shared" ref="AT381" si="177">AQ381+AS381</f>
        <v>39339100</v>
      </c>
      <c r="AU381" s="18">
        <f>AJ381-AM381</f>
        <v>26708860</v>
      </c>
      <c r="AV381" s="34">
        <f>AM381-AP381</f>
        <v>0</v>
      </c>
      <c r="AW381" s="34">
        <f>AP381-AT381</f>
        <v>0</v>
      </c>
      <c r="AX381" s="123">
        <f>AP381/AJ381</f>
        <v>0.59561415674306972</v>
      </c>
    </row>
    <row r="382" spans="1:50" ht="25.5" x14ac:dyDescent="0.2">
      <c r="AA382" s="28" t="s">
        <v>288</v>
      </c>
      <c r="AB382" s="29" t="s">
        <v>145</v>
      </c>
      <c r="AC382" s="17"/>
      <c r="AD382" s="18"/>
      <c r="AE382" s="34"/>
      <c r="AF382" s="34"/>
      <c r="AG382" s="34"/>
      <c r="AH382" s="34"/>
      <c r="AI382" s="34"/>
      <c r="AJ382" s="18"/>
      <c r="AK382" s="34"/>
      <c r="AL382" s="18"/>
      <c r="AM382" s="18"/>
      <c r="AN382" s="34"/>
      <c r="AO382" s="18"/>
      <c r="AP382" s="18"/>
      <c r="AQ382" s="133"/>
      <c r="AR382" s="110"/>
      <c r="AS382" s="110"/>
      <c r="AT382" s="40"/>
      <c r="AU382" s="18"/>
      <c r="AV382" s="18"/>
      <c r="AW382" s="34"/>
      <c r="AX382" s="18"/>
    </row>
    <row r="383" spans="1:50" ht="18.75" customHeight="1" x14ac:dyDescent="0.2">
      <c r="A383" s="4" t="s">
        <v>325</v>
      </c>
      <c r="B383" s="4" t="s">
        <v>326</v>
      </c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1" t="s">
        <v>341</v>
      </c>
      <c r="AB383" s="42" t="s">
        <v>328</v>
      </c>
      <c r="AC383" s="43" t="s">
        <v>61</v>
      </c>
      <c r="AD383" s="43">
        <v>131938455</v>
      </c>
      <c r="AE383" s="44">
        <v>0</v>
      </c>
      <c r="AF383" s="44">
        <v>0</v>
      </c>
      <c r="AG383" s="44">
        <v>0</v>
      </c>
      <c r="AH383" s="44">
        <v>0</v>
      </c>
      <c r="AI383" s="44">
        <v>0</v>
      </c>
      <c r="AJ383" s="43">
        <v>131938455</v>
      </c>
      <c r="AK383" s="44">
        <v>0</v>
      </c>
      <c r="AL383" s="43">
        <v>9427900</v>
      </c>
      <c r="AM383" s="43">
        <v>78613600</v>
      </c>
      <c r="AN383" s="44">
        <v>0</v>
      </c>
      <c r="AO383" s="43">
        <v>9427900</v>
      </c>
      <c r="AP383" s="43">
        <v>78613600</v>
      </c>
      <c r="AQ383" s="115">
        <v>0</v>
      </c>
      <c r="AR383" s="114">
        <v>9427900</v>
      </c>
      <c r="AS383" s="114">
        <v>78613600</v>
      </c>
      <c r="AT383" s="39">
        <f t="shared" ref="AT383" si="178">AQ383+AS383</f>
        <v>78613600</v>
      </c>
      <c r="AU383" s="18">
        <f>AJ383-AM383</f>
        <v>53324855</v>
      </c>
      <c r="AV383" s="34">
        <f>AM383-AP383</f>
        <v>0</v>
      </c>
      <c r="AW383" s="34">
        <f>AP383-AT383</f>
        <v>0</v>
      </c>
      <c r="AX383" s="123">
        <f>AP383/AJ383</f>
        <v>0.59583538400536828</v>
      </c>
    </row>
    <row r="384" spans="1:50" ht="18.75" customHeight="1" x14ac:dyDescent="0.2">
      <c r="AA384" s="16"/>
      <c r="AB384" s="17"/>
      <c r="AC384" s="17"/>
      <c r="AD384" s="18"/>
      <c r="AE384" s="34"/>
      <c r="AF384" s="34"/>
      <c r="AG384" s="34"/>
      <c r="AH384" s="34"/>
      <c r="AI384" s="34"/>
      <c r="AJ384" s="18"/>
      <c r="AK384" s="34"/>
      <c r="AL384" s="18"/>
      <c r="AM384" s="18"/>
      <c r="AN384" s="34"/>
      <c r="AO384" s="18"/>
      <c r="AP384" s="18"/>
      <c r="AQ384" s="34"/>
      <c r="AR384" s="34"/>
      <c r="AS384" s="34"/>
      <c r="AT384" s="40"/>
      <c r="AU384" s="18"/>
      <c r="AV384" s="18"/>
      <c r="AW384" s="18"/>
      <c r="AX384" s="18"/>
    </row>
    <row r="385" spans="1:50" ht="18.75" customHeight="1" x14ac:dyDescent="0.2">
      <c r="AA385" s="16"/>
      <c r="AB385" s="29" t="s">
        <v>149</v>
      </c>
      <c r="AC385" s="17"/>
      <c r="AD385" s="18"/>
      <c r="AE385" s="34"/>
      <c r="AF385" s="34"/>
      <c r="AG385" s="34"/>
      <c r="AH385" s="34"/>
      <c r="AI385" s="34"/>
      <c r="AJ385" s="18"/>
      <c r="AK385" s="34"/>
      <c r="AL385" s="18"/>
      <c r="AM385" s="18"/>
      <c r="AN385" s="34"/>
      <c r="AO385" s="18"/>
      <c r="AP385" s="18"/>
      <c r="AQ385" s="34"/>
      <c r="AR385" s="34"/>
      <c r="AS385" s="34"/>
      <c r="AT385" s="40"/>
      <c r="AU385" s="18"/>
      <c r="AV385" s="18"/>
      <c r="AW385" s="18"/>
      <c r="AX385" s="18"/>
    </row>
    <row r="386" spans="1:50" ht="18.75" customHeight="1" x14ac:dyDescent="0.2">
      <c r="AA386" s="16"/>
      <c r="AB386" s="29" t="s">
        <v>81</v>
      </c>
      <c r="AC386" s="17"/>
      <c r="AD386" s="18"/>
      <c r="AE386" s="34"/>
      <c r="AF386" s="34"/>
      <c r="AG386" s="34"/>
      <c r="AH386" s="34"/>
      <c r="AI386" s="34"/>
      <c r="AJ386" s="18"/>
      <c r="AK386" s="34"/>
      <c r="AL386" s="18"/>
      <c r="AM386" s="18"/>
      <c r="AN386" s="34"/>
      <c r="AO386" s="18"/>
      <c r="AP386" s="18"/>
      <c r="AQ386" s="34"/>
      <c r="AR386" s="34"/>
      <c r="AS386" s="34"/>
      <c r="AT386" s="40"/>
      <c r="AU386" s="18"/>
      <c r="AV386" s="18"/>
      <c r="AW386" s="18"/>
      <c r="AX386" s="18"/>
    </row>
    <row r="387" spans="1:50" ht="18.75" customHeight="1" x14ac:dyDescent="0.2">
      <c r="AA387" s="28" t="s">
        <v>288</v>
      </c>
      <c r="AB387" s="29" t="s">
        <v>152</v>
      </c>
      <c r="AC387" s="17"/>
      <c r="AD387" s="18"/>
      <c r="AE387" s="34"/>
      <c r="AF387" s="34"/>
      <c r="AG387" s="34"/>
      <c r="AH387" s="34"/>
      <c r="AI387" s="34"/>
      <c r="AJ387" s="18"/>
      <c r="AK387" s="34"/>
      <c r="AL387" s="18"/>
      <c r="AM387" s="18"/>
      <c r="AN387" s="34"/>
      <c r="AO387" s="18"/>
      <c r="AP387" s="18"/>
      <c r="AQ387" s="34"/>
      <c r="AR387" s="34"/>
      <c r="AS387" s="34"/>
      <c r="AT387" s="40"/>
      <c r="AU387" s="18"/>
      <c r="AV387" s="18"/>
      <c r="AW387" s="18"/>
      <c r="AX387" s="18"/>
    </row>
    <row r="388" spans="1:50" ht="18.75" customHeight="1" x14ac:dyDescent="0.2">
      <c r="A388" s="4" t="s">
        <v>325</v>
      </c>
      <c r="B388" s="4" t="s">
        <v>326</v>
      </c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1" t="s">
        <v>342</v>
      </c>
      <c r="AB388" s="42" t="s">
        <v>328</v>
      </c>
      <c r="AC388" s="43" t="s">
        <v>61</v>
      </c>
      <c r="AD388" s="43">
        <v>1121217736</v>
      </c>
      <c r="AE388" s="44">
        <v>0</v>
      </c>
      <c r="AF388" s="44">
        <v>0</v>
      </c>
      <c r="AG388" s="44">
        <v>0</v>
      </c>
      <c r="AH388" s="44">
        <v>0</v>
      </c>
      <c r="AI388" s="44">
        <v>0</v>
      </c>
      <c r="AJ388" s="43">
        <v>1121217736</v>
      </c>
      <c r="AK388" s="44">
        <v>0</v>
      </c>
      <c r="AL388" s="44">
        <v>601573</v>
      </c>
      <c r="AM388" s="43">
        <v>621940247</v>
      </c>
      <c r="AN388" s="44">
        <v>0</v>
      </c>
      <c r="AO388" s="44">
        <v>601573</v>
      </c>
      <c r="AP388" s="43">
        <v>621940247</v>
      </c>
      <c r="AQ388" s="44">
        <v>0</v>
      </c>
      <c r="AR388" s="115">
        <v>601573</v>
      </c>
      <c r="AS388" s="114">
        <v>621940247</v>
      </c>
      <c r="AT388" s="39">
        <f t="shared" ref="AT388" si="179">AQ388+AS388</f>
        <v>621940247</v>
      </c>
      <c r="AU388" s="18">
        <f>AJ388-AM388</f>
        <v>499277489</v>
      </c>
      <c r="AV388" s="34">
        <f>AM388-AP388</f>
        <v>0</v>
      </c>
      <c r="AW388" s="34">
        <f>AP388-AT388</f>
        <v>0</v>
      </c>
      <c r="AX388" s="123">
        <f>AP388/AJ388</f>
        <v>0.55470068571944176</v>
      </c>
    </row>
    <row r="389" spans="1:50" ht="18.75" customHeight="1" x14ac:dyDescent="0.2">
      <c r="AA389" s="28" t="s">
        <v>288</v>
      </c>
      <c r="AB389" s="29" t="s">
        <v>343</v>
      </c>
      <c r="AC389" s="17"/>
      <c r="AD389" s="18"/>
      <c r="AE389" s="34"/>
      <c r="AF389" s="34"/>
      <c r="AG389" s="34"/>
      <c r="AH389" s="34"/>
      <c r="AI389" s="34"/>
      <c r="AJ389" s="18"/>
      <c r="AK389" s="34"/>
      <c r="AL389" s="18"/>
      <c r="AM389" s="18"/>
      <c r="AN389" s="34"/>
      <c r="AO389" s="18"/>
      <c r="AP389" s="18"/>
      <c r="AQ389" s="18"/>
      <c r="AR389" s="18"/>
      <c r="AS389" s="18"/>
      <c r="AT389" s="39"/>
      <c r="AU389" s="18"/>
      <c r="AV389" s="18"/>
      <c r="AW389" s="34"/>
      <c r="AX389" s="18"/>
    </row>
    <row r="390" spans="1:50" ht="18.75" customHeight="1" x14ac:dyDescent="0.2">
      <c r="A390" s="4" t="s">
        <v>325</v>
      </c>
      <c r="B390" s="4" t="s">
        <v>326</v>
      </c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1" t="s">
        <v>344</v>
      </c>
      <c r="AB390" s="42" t="s">
        <v>328</v>
      </c>
      <c r="AC390" s="43" t="s">
        <v>61</v>
      </c>
      <c r="AD390" s="43">
        <v>10000000</v>
      </c>
      <c r="AE390" s="44">
        <v>0</v>
      </c>
      <c r="AF390" s="44">
        <v>0</v>
      </c>
      <c r="AG390" s="44">
        <v>0</v>
      </c>
      <c r="AH390" s="44">
        <v>0</v>
      </c>
      <c r="AI390" s="44">
        <v>0</v>
      </c>
      <c r="AJ390" s="43">
        <v>10000000</v>
      </c>
      <c r="AK390" s="44">
        <v>0</v>
      </c>
      <c r="AL390" s="44">
        <v>0</v>
      </c>
      <c r="AM390" s="44">
        <v>0</v>
      </c>
      <c r="AN390" s="44">
        <v>0</v>
      </c>
      <c r="AO390" s="44">
        <v>0</v>
      </c>
      <c r="AP390" s="44">
        <v>0</v>
      </c>
      <c r="AQ390" s="44">
        <v>0</v>
      </c>
      <c r="AR390" s="44">
        <v>0</v>
      </c>
      <c r="AS390" s="44">
        <v>0</v>
      </c>
      <c r="AT390" s="40">
        <f t="shared" ref="AT390:AT423" si="180">AQ390+AS390</f>
        <v>0</v>
      </c>
      <c r="AU390" s="18">
        <f>AJ390-AM390</f>
        <v>10000000</v>
      </c>
      <c r="AV390" s="34">
        <f>AM390-AP390</f>
        <v>0</v>
      </c>
      <c r="AW390" s="34">
        <f>AP390-AT390</f>
        <v>0</v>
      </c>
      <c r="AX390" s="123">
        <f>AP390/AJ390</f>
        <v>0</v>
      </c>
    </row>
    <row r="391" spans="1:50" ht="18.75" customHeight="1" x14ac:dyDescent="0.2">
      <c r="AA391" s="28" t="s">
        <v>288</v>
      </c>
      <c r="AB391" s="29" t="s">
        <v>162</v>
      </c>
      <c r="AC391" s="17"/>
      <c r="AD391" s="18"/>
      <c r="AE391" s="34"/>
      <c r="AF391" s="34"/>
      <c r="AG391" s="34"/>
      <c r="AH391" s="34"/>
      <c r="AI391" s="34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30"/>
      <c r="AU391" s="18"/>
      <c r="AV391" s="18"/>
      <c r="AW391" s="18"/>
      <c r="AX391" s="18"/>
    </row>
    <row r="392" spans="1:50" ht="18.75" customHeight="1" x14ac:dyDescent="0.2">
      <c r="AA392" s="16"/>
      <c r="AB392" s="17"/>
      <c r="AC392" s="17"/>
      <c r="AD392" s="18"/>
      <c r="AE392" s="34"/>
      <c r="AF392" s="34"/>
      <c r="AG392" s="34"/>
      <c r="AH392" s="34"/>
      <c r="AI392" s="34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30"/>
      <c r="AU392" s="18"/>
      <c r="AV392" s="18"/>
      <c r="AW392" s="18"/>
      <c r="AX392" s="18"/>
    </row>
    <row r="393" spans="1:50" ht="18.75" customHeight="1" x14ac:dyDescent="0.2">
      <c r="AA393" s="16"/>
      <c r="AB393" s="29" t="s">
        <v>356</v>
      </c>
      <c r="AC393" s="17"/>
      <c r="AD393" s="18"/>
      <c r="AE393" s="34"/>
      <c r="AF393" s="34"/>
      <c r="AG393" s="34"/>
      <c r="AH393" s="34"/>
      <c r="AI393" s="34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30"/>
      <c r="AU393" s="18"/>
      <c r="AV393" s="18"/>
      <c r="AW393" s="18"/>
      <c r="AX393" s="18"/>
    </row>
    <row r="394" spans="1:50" ht="18.75" customHeight="1" x14ac:dyDescent="0.2">
      <c r="AA394" s="16"/>
      <c r="AB394" s="29" t="s">
        <v>286</v>
      </c>
      <c r="AC394" s="17"/>
      <c r="AD394" s="18"/>
      <c r="AE394" s="34"/>
      <c r="AF394" s="34"/>
      <c r="AG394" s="34"/>
      <c r="AH394" s="34"/>
      <c r="AI394" s="34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30"/>
      <c r="AU394" s="18"/>
      <c r="AV394" s="18"/>
      <c r="AW394" s="18"/>
      <c r="AX394" s="18"/>
    </row>
    <row r="395" spans="1:50" ht="18.75" customHeight="1" x14ac:dyDescent="0.2">
      <c r="AA395" s="16"/>
      <c r="AB395" s="29" t="s">
        <v>179</v>
      </c>
      <c r="AC395" s="17"/>
      <c r="AD395" s="18"/>
      <c r="AE395" s="34"/>
      <c r="AF395" s="34"/>
      <c r="AG395" s="34"/>
      <c r="AH395" s="34"/>
      <c r="AI395" s="34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30"/>
      <c r="AU395" s="18"/>
      <c r="AV395" s="18"/>
      <c r="AW395" s="18"/>
      <c r="AX395" s="18"/>
    </row>
    <row r="396" spans="1:50" ht="18.75" customHeight="1" x14ac:dyDescent="0.2">
      <c r="AA396" s="16"/>
      <c r="AB396" s="29" t="s">
        <v>181</v>
      </c>
      <c r="AC396" s="17"/>
      <c r="AD396" s="18"/>
      <c r="AE396" s="34"/>
      <c r="AF396" s="34"/>
      <c r="AG396" s="34"/>
      <c r="AH396" s="34"/>
      <c r="AI396" s="34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30"/>
      <c r="AU396" s="18"/>
      <c r="AV396" s="18"/>
      <c r="AW396" s="18"/>
      <c r="AX396" s="18"/>
    </row>
    <row r="397" spans="1:50" ht="25.5" x14ac:dyDescent="0.2">
      <c r="AA397" s="16"/>
      <c r="AB397" s="29" t="s">
        <v>183</v>
      </c>
      <c r="AC397" s="17"/>
      <c r="AD397" s="18"/>
      <c r="AE397" s="34"/>
      <c r="AF397" s="34"/>
      <c r="AG397" s="34"/>
      <c r="AH397" s="34"/>
      <c r="AI397" s="34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30"/>
      <c r="AU397" s="18"/>
      <c r="AV397" s="18"/>
      <c r="AW397" s="18"/>
      <c r="AX397" s="18"/>
    </row>
    <row r="398" spans="1:50" ht="18.75" customHeight="1" x14ac:dyDescent="0.2">
      <c r="AA398" s="28" t="s">
        <v>288</v>
      </c>
      <c r="AB398" s="29" t="s">
        <v>320</v>
      </c>
      <c r="AC398" s="17"/>
      <c r="AD398" s="18"/>
      <c r="AE398" s="34"/>
      <c r="AF398" s="34"/>
      <c r="AG398" s="34"/>
      <c r="AH398" s="34"/>
      <c r="AI398" s="34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30"/>
      <c r="AU398" s="18"/>
      <c r="AV398" s="18"/>
      <c r="AW398" s="18"/>
      <c r="AX398" s="18"/>
    </row>
    <row r="399" spans="1:50" ht="18.75" customHeight="1" x14ac:dyDescent="0.2">
      <c r="A399" s="4" t="s">
        <v>55</v>
      </c>
      <c r="B399" s="4" t="s">
        <v>56</v>
      </c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1" t="s">
        <v>357</v>
      </c>
      <c r="AB399" s="42" t="s">
        <v>328</v>
      </c>
      <c r="AC399" s="43" t="s">
        <v>61</v>
      </c>
      <c r="AD399" s="43">
        <v>33040051</v>
      </c>
      <c r="AE399" s="44">
        <v>0</v>
      </c>
      <c r="AF399" s="44">
        <v>0</v>
      </c>
      <c r="AG399" s="44">
        <v>0</v>
      </c>
      <c r="AH399" s="44">
        <v>0</v>
      </c>
      <c r="AI399" s="44">
        <v>0</v>
      </c>
      <c r="AJ399" s="43">
        <v>33040051</v>
      </c>
      <c r="AK399" s="44">
        <v>0</v>
      </c>
      <c r="AL399" s="44">
        <v>0</v>
      </c>
      <c r="AM399" s="44">
        <v>0</v>
      </c>
      <c r="AN399" s="44">
        <v>0</v>
      </c>
      <c r="AO399" s="44">
        <v>0</v>
      </c>
      <c r="AP399" s="44">
        <v>0</v>
      </c>
      <c r="AQ399" s="44">
        <v>0</v>
      </c>
      <c r="AR399" s="44">
        <v>0</v>
      </c>
      <c r="AS399" s="44">
        <v>0</v>
      </c>
      <c r="AT399" s="40">
        <f t="shared" ref="AT399" si="181">AQ399+AS399</f>
        <v>0</v>
      </c>
      <c r="AU399" s="18">
        <f>AJ399-AM399</f>
        <v>33040051</v>
      </c>
      <c r="AV399" s="34">
        <f>AM399-AP399</f>
        <v>0</v>
      </c>
      <c r="AW399" s="34">
        <f>AP399-AT399</f>
        <v>0</v>
      </c>
      <c r="AX399" s="123">
        <f>AP399/AJ399</f>
        <v>0</v>
      </c>
    </row>
    <row r="400" spans="1:50" ht="18.75" customHeight="1" x14ac:dyDescent="0.2">
      <c r="AA400" s="16"/>
      <c r="AB400" s="17"/>
      <c r="AC400" s="17"/>
      <c r="AD400" s="18"/>
      <c r="AE400" s="34"/>
      <c r="AF400" s="34"/>
      <c r="AG400" s="34"/>
      <c r="AH400" s="34"/>
      <c r="AI400" s="34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31"/>
      <c r="AU400" s="18"/>
      <c r="AV400" s="18"/>
      <c r="AW400" s="34"/>
      <c r="AX400" s="18"/>
    </row>
    <row r="401" spans="1:50" ht="18.75" customHeight="1" x14ac:dyDescent="0.2">
      <c r="AA401" s="16"/>
      <c r="AB401" s="29" t="s">
        <v>187</v>
      </c>
      <c r="AC401" s="17"/>
      <c r="AD401" s="18"/>
      <c r="AE401" s="34"/>
      <c r="AF401" s="34"/>
      <c r="AG401" s="34"/>
      <c r="AH401" s="34"/>
      <c r="AI401" s="34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31"/>
      <c r="AU401" s="18"/>
      <c r="AV401" s="18"/>
      <c r="AW401" s="34"/>
      <c r="AX401" s="18"/>
    </row>
    <row r="402" spans="1:50" ht="25.5" x14ac:dyDescent="0.2">
      <c r="AA402" s="28" t="s">
        <v>288</v>
      </c>
      <c r="AB402" s="68" t="s">
        <v>358</v>
      </c>
      <c r="AC402" s="17"/>
      <c r="AD402" s="18"/>
      <c r="AE402" s="34"/>
      <c r="AF402" s="34"/>
      <c r="AG402" s="34"/>
      <c r="AH402" s="34"/>
      <c r="AI402" s="34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31"/>
      <c r="AU402" s="18"/>
      <c r="AV402" s="18"/>
      <c r="AW402" s="34"/>
      <c r="AX402" s="18"/>
    </row>
    <row r="403" spans="1:50" ht="18.75" customHeight="1" x14ac:dyDescent="0.2">
      <c r="AA403" s="41" t="s">
        <v>908</v>
      </c>
      <c r="AB403" s="69" t="s">
        <v>233</v>
      </c>
      <c r="AC403" s="17"/>
      <c r="AD403" s="34">
        <v>0</v>
      </c>
      <c r="AE403" s="34">
        <v>0</v>
      </c>
      <c r="AF403" s="34">
        <v>0</v>
      </c>
      <c r="AG403" s="18">
        <f>2000000000+68793982.7</f>
        <v>2068793982.7</v>
      </c>
      <c r="AH403" s="34">
        <v>0</v>
      </c>
      <c r="AI403" s="18">
        <f>AE403-AF403+AG403-AH403</f>
        <v>2068793982.7</v>
      </c>
      <c r="AJ403" s="18">
        <f>AD403+AI403</f>
        <v>2068793982.7</v>
      </c>
      <c r="AK403" s="34">
        <v>0</v>
      </c>
      <c r="AL403" s="44">
        <v>0</v>
      </c>
      <c r="AM403" s="18">
        <v>1998371566.72</v>
      </c>
      <c r="AN403" s="34">
        <v>0</v>
      </c>
      <c r="AO403" s="34">
        <v>0</v>
      </c>
      <c r="AP403" s="18">
        <v>1998371566.72</v>
      </c>
      <c r="AQ403" s="34">
        <v>0</v>
      </c>
      <c r="AR403" s="34">
        <v>0</v>
      </c>
      <c r="AS403" s="34">
        <v>0</v>
      </c>
      <c r="AT403" s="40">
        <f>AQ403+AS403</f>
        <v>0</v>
      </c>
      <c r="AU403" s="18">
        <f>AJ403-AM403</f>
        <v>70422415.980000019</v>
      </c>
      <c r="AV403" s="133">
        <f>AM403-AP403</f>
        <v>0</v>
      </c>
      <c r="AW403" s="18">
        <f>AP403-AT403</f>
        <v>1998371566.72</v>
      </c>
      <c r="AX403" s="123">
        <f>AP403/AJ403</f>
        <v>0.96595967671556593</v>
      </c>
    </row>
    <row r="404" spans="1:50" ht="24.75" customHeight="1" x14ac:dyDescent="0.2">
      <c r="A404" s="4" t="s">
        <v>55</v>
      </c>
      <c r="B404" s="4" t="s">
        <v>56</v>
      </c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134" t="s">
        <v>359</v>
      </c>
      <c r="AB404" s="69" t="s">
        <v>360</v>
      </c>
      <c r="AC404" s="43" t="s">
        <v>361</v>
      </c>
      <c r="AD404" s="43">
        <v>800000000</v>
      </c>
      <c r="AE404" s="44">
        <v>0</v>
      </c>
      <c r="AF404" s="44">
        <v>0</v>
      </c>
      <c r="AG404" s="44">
        <v>0</v>
      </c>
      <c r="AH404" s="44">
        <v>0</v>
      </c>
      <c r="AI404" s="34">
        <f t="shared" ref="AI404" si="182">AE404-AF404+AG404-AH404</f>
        <v>0</v>
      </c>
      <c r="AJ404" s="18">
        <f t="shared" ref="AJ404" si="183">AD404+AI404</f>
        <v>800000000</v>
      </c>
      <c r="AK404" s="44">
        <v>0</v>
      </c>
      <c r="AL404" s="44">
        <v>0</v>
      </c>
      <c r="AM404" s="43">
        <v>800000000</v>
      </c>
      <c r="AN404" s="44">
        <v>0</v>
      </c>
      <c r="AO404" s="44">
        <v>0</v>
      </c>
      <c r="AP404" s="43">
        <v>800000000</v>
      </c>
      <c r="AQ404" s="44">
        <v>0</v>
      </c>
      <c r="AR404" s="44">
        <v>0</v>
      </c>
      <c r="AS404" s="44">
        <v>0</v>
      </c>
      <c r="AT404" s="40">
        <f t="shared" ref="AT404" si="184">AQ404+AS404</f>
        <v>0</v>
      </c>
      <c r="AU404" s="34">
        <f>AJ404-AM404</f>
        <v>0</v>
      </c>
      <c r="AV404" s="133">
        <f>AM404-AP404</f>
        <v>0</v>
      </c>
      <c r="AW404" s="18">
        <f>AP404-AT404</f>
        <v>800000000</v>
      </c>
      <c r="AX404" s="123">
        <f>AP404/AJ404</f>
        <v>1</v>
      </c>
    </row>
    <row r="406" spans="1:50" ht="18.75" customHeight="1" x14ac:dyDescent="0.2">
      <c r="AA406" s="16"/>
      <c r="AB406" s="68" t="s">
        <v>189</v>
      </c>
      <c r="AC406" s="17"/>
      <c r="AD406" s="18"/>
      <c r="AE406" s="34"/>
      <c r="AF406" s="34"/>
      <c r="AG406" s="34"/>
      <c r="AH406" s="34"/>
      <c r="AI406" s="34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31"/>
      <c r="AU406" s="18"/>
      <c r="AV406" s="18"/>
      <c r="AW406" s="34"/>
      <c r="AX406" s="18"/>
    </row>
    <row r="407" spans="1:50" ht="18.75" customHeight="1" x14ac:dyDescent="0.2">
      <c r="D407" s="51">
        <f>AM12+AM163+AM191</f>
        <v>819944904769.95996</v>
      </c>
      <c r="AA407" s="16"/>
      <c r="AB407" s="68" t="s">
        <v>191</v>
      </c>
      <c r="AC407" s="17"/>
      <c r="AD407" s="18"/>
      <c r="AE407" s="34"/>
      <c r="AF407" s="34"/>
      <c r="AG407" s="34"/>
      <c r="AH407" s="34"/>
      <c r="AI407" s="34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31"/>
      <c r="AU407" s="18"/>
      <c r="AV407" s="18"/>
      <c r="AW407" s="34"/>
      <c r="AX407" s="18"/>
    </row>
    <row r="408" spans="1:50" ht="18.75" customHeight="1" x14ac:dyDescent="0.2">
      <c r="AA408" s="28" t="s">
        <v>288</v>
      </c>
      <c r="AB408" s="68" t="s">
        <v>362</v>
      </c>
      <c r="AC408" s="17"/>
      <c r="AD408" s="18"/>
      <c r="AE408" s="34"/>
      <c r="AF408" s="34"/>
      <c r="AG408" s="34"/>
      <c r="AH408" s="34"/>
      <c r="AI408" s="34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31"/>
      <c r="AU408" s="18"/>
      <c r="AV408" s="18"/>
      <c r="AW408" s="34"/>
      <c r="AX408" s="18"/>
    </row>
    <row r="409" spans="1:50" ht="18.75" customHeight="1" x14ac:dyDescent="0.2">
      <c r="A409" s="4" t="s">
        <v>55</v>
      </c>
      <c r="B409" s="4" t="s">
        <v>56</v>
      </c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1" t="s">
        <v>363</v>
      </c>
      <c r="AB409" s="69" t="s">
        <v>233</v>
      </c>
      <c r="AC409" s="43" t="s">
        <v>58</v>
      </c>
      <c r="AD409" s="43">
        <v>295200000</v>
      </c>
      <c r="AE409" s="44">
        <v>0</v>
      </c>
      <c r="AF409" s="44">
        <v>0</v>
      </c>
      <c r="AG409" s="44">
        <v>0</v>
      </c>
      <c r="AH409" s="44">
        <v>0</v>
      </c>
      <c r="AI409" s="34">
        <f t="shared" ref="AI409:AI414" si="185">AE409-AF409+AG409-AH409</f>
        <v>0</v>
      </c>
      <c r="AJ409" s="18">
        <f t="shared" ref="AJ409:AJ414" si="186">AD409+AI409</f>
        <v>295200000</v>
      </c>
      <c r="AK409" s="44">
        <v>0</v>
      </c>
      <c r="AL409" s="43">
        <v>115286653</v>
      </c>
      <c r="AM409" s="43">
        <v>233808278</v>
      </c>
      <c r="AN409" s="44">
        <v>0</v>
      </c>
      <c r="AO409" s="44">
        <v>0</v>
      </c>
      <c r="AP409" s="44">
        <v>0</v>
      </c>
      <c r="AQ409" s="44">
        <v>0</v>
      </c>
      <c r="AR409" s="44">
        <v>0</v>
      </c>
      <c r="AS409" s="44">
        <v>0</v>
      </c>
      <c r="AT409" s="40">
        <f t="shared" ref="AT409:AT414" si="187">AQ409+AS409</f>
        <v>0</v>
      </c>
      <c r="AU409" s="18">
        <f t="shared" ref="AU409:AU414" si="188">AJ409-AM409</f>
        <v>61391722</v>
      </c>
      <c r="AV409" s="18">
        <f t="shared" ref="AV409:AV414" si="189">AM409-AP409</f>
        <v>233808278</v>
      </c>
      <c r="AW409" s="34">
        <f t="shared" ref="AW409:AW414" si="190">AP409-AT409</f>
        <v>0</v>
      </c>
      <c r="AX409" s="123">
        <f t="shared" ref="AX409:AX414" si="191">AP409/AJ409</f>
        <v>0</v>
      </c>
    </row>
    <row r="410" spans="1:50" ht="18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1" t="s">
        <v>1263</v>
      </c>
      <c r="AB410" s="69" t="s">
        <v>1264</v>
      </c>
      <c r="AC410" s="43"/>
      <c r="AD410" s="43">
        <v>0</v>
      </c>
      <c r="AE410" s="44">
        <v>0</v>
      </c>
      <c r="AF410" s="44">
        <v>0</v>
      </c>
      <c r="AG410" s="43">
        <v>563696519</v>
      </c>
      <c r="AH410" s="43">
        <v>95676637</v>
      </c>
      <c r="AI410" s="18">
        <f t="shared" si="185"/>
        <v>468019882</v>
      </c>
      <c r="AJ410" s="18">
        <f t="shared" si="186"/>
        <v>468019882</v>
      </c>
      <c r="AK410" s="44">
        <v>0</v>
      </c>
      <c r="AL410" s="43">
        <v>0</v>
      </c>
      <c r="AM410" s="43">
        <v>245706286.99000001</v>
      </c>
      <c r="AN410" s="44">
        <v>0</v>
      </c>
      <c r="AO410" s="44">
        <v>0</v>
      </c>
      <c r="AP410" s="44">
        <v>0</v>
      </c>
      <c r="AQ410" s="44">
        <v>0</v>
      </c>
      <c r="AR410" s="44">
        <v>0</v>
      </c>
      <c r="AS410" s="44">
        <v>0</v>
      </c>
      <c r="AT410" s="40">
        <f t="shared" si="187"/>
        <v>0</v>
      </c>
      <c r="AU410" s="18">
        <f t="shared" si="188"/>
        <v>222313595.00999999</v>
      </c>
      <c r="AV410" s="18">
        <f t="shared" si="189"/>
        <v>245706286.99000001</v>
      </c>
      <c r="AW410" s="34">
        <f t="shared" si="190"/>
        <v>0</v>
      </c>
      <c r="AX410" s="123">
        <f t="shared" si="191"/>
        <v>0</v>
      </c>
    </row>
    <row r="411" spans="1:50" ht="18.75" customHeight="1" x14ac:dyDescent="0.2">
      <c r="A411" s="4" t="s">
        <v>55</v>
      </c>
      <c r="B411" s="4" t="s">
        <v>56</v>
      </c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1" t="s">
        <v>364</v>
      </c>
      <c r="AB411" s="69" t="s">
        <v>360</v>
      </c>
      <c r="AC411" s="43" t="s">
        <v>361</v>
      </c>
      <c r="AD411" s="43">
        <v>1948457402</v>
      </c>
      <c r="AE411" s="44">
        <v>0</v>
      </c>
      <c r="AF411" s="44">
        <v>0</v>
      </c>
      <c r="AG411" s="44">
        <v>0</v>
      </c>
      <c r="AH411" s="43">
        <v>1040144569</v>
      </c>
      <c r="AI411" s="34">
        <f t="shared" si="185"/>
        <v>-1040144569</v>
      </c>
      <c r="AJ411" s="18">
        <f t="shared" si="186"/>
        <v>908312833</v>
      </c>
      <c r="AK411" s="44">
        <v>0</v>
      </c>
      <c r="AL411" s="44">
        <v>0</v>
      </c>
      <c r="AM411" s="44">
        <v>0</v>
      </c>
      <c r="AN411" s="44">
        <v>0</v>
      </c>
      <c r="AO411" s="44">
        <v>0</v>
      </c>
      <c r="AP411" s="44">
        <v>0</v>
      </c>
      <c r="AQ411" s="44">
        <v>0</v>
      </c>
      <c r="AR411" s="44">
        <v>0</v>
      </c>
      <c r="AS411" s="44">
        <v>0</v>
      </c>
      <c r="AT411" s="40">
        <f t="shared" si="187"/>
        <v>0</v>
      </c>
      <c r="AU411" s="18">
        <f t="shared" si="188"/>
        <v>908312833</v>
      </c>
      <c r="AV411" s="18">
        <f t="shared" si="189"/>
        <v>0</v>
      </c>
      <c r="AW411" s="34">
        <f t="shared" si="190"/>
        <v>0</v>
      </c>
      <c r="AX411" s="123">
        <f t="shared" si="191"/>
        <v>0</v>
      </c>
    </row>
    <row r="412" spans="1:50" ht="18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245" t="s">
        <v>1206</v>
      </c>
      <c r="AB412" s="69" t="s">
        <v>1204</v>
      </c>
      <c r="AC412" s="43"/>
      <c r="AD412" s="44">
        <v>0</v>
      </c>
      <c r="AE412" s="43">
        <v>1243761503.24</v>
      </c>
      <c r="AF412" s="44">
        <v>0</v>
      </c>
      <c r="AG412" s="44">
        <v>0</v>
      </c>
      <c r="AH412" s="44">
        <v>0</v>
      </c>
      <c r="AI412" s="18">
        <f t="shared" si="185"/>
        <v>1243761503.24</v>
      </c>
      <c r="AJ412" s="18">
        <f t="shared" si="186"/>
        <v>1243761503.24</v>
      </c>
      <c r="AK412" s="44">
        <v>0</v>
      </c>
      <c r="AL412" s="44">
        <v>0</v>
      </c>
      <c r="AM412" s="44">
        <v>1243761503.24</v>
      </c>
      <c r="AN412" s="44">
        <v>0</v>
      </c>
      <c r="AO412" s="44">
        <v>0</v>
      </c>
      <c r="AP412" s="44">
        <v>0</v>
      </c>
      <c r="AQ412" s="44">
        <v>0</v>
      </c>
      <c r="AR412" s="44">
        <v>0</v>
      </c>
      <c r="AS412" s="44">
        <v>0</v>
      </c>
      <c r="AT412" s="40">
        <f t="shared" si="187"/>
        <v>0</v>
      </c>
      <c r="AU412" s="34">
        <f t="shared" si="188"/>
        <v>0</v>
      </c>
      <c r="AV412" s="18">
        <f t="shared" si="189"/>
        <v>1243761503.24</v>
      </c>
      <c r="AW412" s="34">
        <f t="shared" si="190"/>
        <v>0</v>
      </c>
      <c r="AX412" s="123">
        <f t="shared" si="191"/>
        <v>0</v>
      </c>
    </row>
    <row r="413" spans="1:50" ht="18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245" t="s">
        <v>1207</v>
      </c>
      <c r="AB413" s="69" t="s">
        <v>1208</v>
      </c>
      <c r="AC413" s="43"/>
      <c r="AD413" s="44">
        <v>0</v>
      </c>
      <c r="AE413" s="43">
        <v>33301512</v>
      </c>
      <c r="AF413" s="44">
        <v>0</v>
      </c>
      <c r="AG413" s="44">
        <v>0</v>
      </c>
      <c r="AH413" s="44">
        <v>0</v>
      </c>
      <c r="AI413" s="18">
        <f t="shared" si="185"/>
        <v>33301512</v>
      </c>
      <c r="AJ413" s="18">
        <f t="shared" si="186"/>
        <v>33301512</v>
      </c>
      <c r="AK413" s="44">
        <v>0</v>
      </c>
      <c r="AL413" s="43">
        <v>0</v>
      </c>
      <c r="AM413" s="43">
        <v>33301512</v>
      </c>
      <c r="AN413" s="44">
        <v>0</v>
      </c>
      <c r="AO413" s="44">
        <v>0</v>
      </c>
      <c r="AP413" s="43">
        <v>33301512</v>
      </c>
      <c r="AQ413" s="44">
        <v>0</v>
      </c>
      <c r="AR413" s="44">
        <v>0</v>
      </c>
      <c r="AS413" s="43">
        <v>33301512</v>
      </c>
      <c r="AT413" s="39">
        <f t="shared" si="187"/>
        <v>33301512</v>
      </c>
      <c r="AU413" s="34">
        <f t="shared" si="188"/>
        <v>0</v>
      </c>
      <c r="AV413" s="18">
        <f t="shared" si="189"/>
        <v>0</v>
      </c>
      <c r="AW413" s="34">
        <f t="shared" si="190"/>
        <v>0</v>
      </c>
      <c r="AX413" s="123">
        <f t="shared" si="191"/>
        <v>1</v>
      </c>
    </row>
    <row r="414" spans="1:50" ht="18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245" t="s">
        <v>1209</v>
      </c>
      <c r="AB414" s="69" t="s">
        <v>1271</v>
      </c>
      <c r="AC414" s="43"/>
      <c r="AD414" s="44">
        <v>0</v>
      </c>
      <c r="AE414" s="43">
        <v>299273185.5</v>
      </c>
      <c r="AF414" s="44">
        <v>0</v>
      </c>
      <c r="AG414" s="44">
        <v>0</v>
      </c>
      <c r="AH414" s="44">
        <v>0</v>
      </c>
      <c r="AI414" s="18">
        <f t="shared" si="185"/>
        <v>299273185.5</v>
      </c>
      <c r="AJ414" s="18">
        <f t="shared" si="186"/>
        <v>299273185.5</v>
      </c>
      <c r="AK414" s="44">
        <v>0</v>
      </c>
      <c r="AL414" s="43">
        <v>0</v>
      </c>
      <c r="AM414" s="43">
        <v>299273185.5</v>
      </c>
      <c r="AN414" s="44">
        <v>0</v>
      </c>
      <c r="AO414" s="44">
        <v>0</v>
      </c>
      <c r="AP414" s="43">
        <v>278223200</v>
      </c>
      <c r="AQ414" s="44">
        <v>0</v>
      </c>
      <c r="AR414" s="44">
        <v>0</v>
      </c>
      <c r="AS414" s="43">
        <v>124621932.45</v>
      </c>
      <c r="AT414" s="39">
        <f t="shared" si="187"/>
        <v>124621932.45</v>
      </c>
      <c r="AU414" s="34">
        <f t="shared" si="188"/>
        <v>0</v>
      </c>
      <c r="AV414" s="18">
        <f t="shared" si="189"/>
        <v>21049985.5</v>
      </c>
      <c r="AW414" s="18">
        <f t="shared" si="190"/>
        <v>153601267.55000001</v>
      </c>
      <c r="AX414" s="123">
        <f t="shared" si="191"/>
        <v>0.9296629751013894</v>
      </c>
    </row>
    <row r="415" spans="1:50" ht="18.75" customHeight="1" x14ac:dyDescent="0.2">
      <c r="AA415" s="28" t="s">
        <v>288</v>
      </c>
      <c r="AB415" s="68" t="s">
        <v>365</v>
      </c>
      <c r="AC415" s="17"/>
      <c r="AD415" s="18"/>
      <c r="AE415" s="34"/>
      <c r="AF415" s="34"/>
      <c r="AG415" s="34"/>
      <c r="AH415" s="34"/>
      <c r="AI415" s="34"/>
      <c r="AJ415" s="18"/>
      <c r="AK415" s="34"/>
      <c r="AL415" s="34"/>
      <c r="AM415" s="34"/>
      <c r="AN415" s="34"/>
      <c r="AO415" s="34"/>
      <c r="AP415" s="34"/>
      <c r="AQ415" s="34"/>
      <c r="AR415" s="34"/>
      <c r="AS415" s="34"/>
      <c r="AT415" s="40"/>
      <c r="AU415" s="18"/>
      <c r="AV415" s="18"/>
      <c r="AW415" s="18"/>
      <c r="AX415" s="18"/>
    </row>
    <row r="416" spans="1:50" ht="18.75" customHeight="1" x14ac:dyDescent="0.2">
      <c r="A416" s="4" t="s">
        <v>55</v>
      </c>
      <c r="B416" s="4" t="s">
        <v>56</v>
      </c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1" t="s">
        <v>366</v>
      </c>
      <c r="AB416" s="69" t="s">
        <v>367</v>
      </c>
      <c r="AC416" s="43" t="s">
        <v>368</v>
      </c>
      <c r="AD416" s="43">
        <v>229393430</v>
      </c>
      <c r="AE416" s="44">
        <v>0</v>
      </c>
      <c r="AF416" s="44">
        <v>0</v>
      </c>
      <c r="AG416" s="44">
        <v>0</v>
      </c>
      <c r="AH416" s="44">
        <v>0</v>
      </c>
      <c r="AI416" s="34">
        <f t="shared" ref="AI416:AI419" si="192">AE416-AF416+AG416-AH416</f>
        <v>0</v>
      </c>
      <c r="AJ416" s="18">
        <f t="shared" ref="AJ416:AJ419" si="193">AD416+AI416</f>
        <v>229393430</v>
      </c>
      <c r="AK416" s="44">
        <v>0</v>
      </c>
      <c r="AL416" s="44">
        <v>0</v>
      </c>
      <c r="AM416" s="44">
        <v>0</v>
      </c>
      <c r="AN416" s="44">
        <v>0</v>
      </c>
      <c r="AO416" s="44">
        <v>0</v>
      </c>
      <c r="AP416" s="44">
        <v>0</v>
      </c>
      <c r="AQ416" s="44">
        <v>0</v>
      </c>
      <c r="AR416" s="44">
        <v>0</v>
      </c>
      <c r="AS416" s="44">
        <v>0</v>
      </c>
      <c r="AT416" s="40">
        <f t="shared" si="180"/>
        <v>0</v>
      </c>
      <c r="AU416" s="18">
        <f>AJ416-AM416</f>
        <v>229393430</v>
      </c>
      <c r="AV416" s="34">
        <f>AM416-AP416</f>
        <v>0</v>
      </c>
      <c r="AW416" s="34">
        <f>AP416-AT416</f>
        <v>0</v>
      </c>
      <c r="AX416" s="123">
        <f>AP416/AJ416</f>
        <v>0</v>
      </c>
    </row>
    <row r="417" spans="1:50" ht="18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173" t="s">
        <v>1203</v>
      </c>
      <c r="AB417" s="69" t="s">
        <v>1204</v>
      </c>
      <c r="AC417" s="43"/>
      <c r="AD417" s="44">
        <v>0</v>
      </c>
      <c r="AE417" s="43">
        <v>500000000</v>
      </c>
      <c r="AF417" s="44">
        <v>0</v>
      </c>
      <c r="AG417" s="44">
        <v>0</v>
      </c>
      <c r="AH417" s="44">
        <v>0</v>
      </c>
      <c r="AI417" s="18">
        <f t="shared" si="192"/>
        <v>500000000</v>
      </c>
      <c r="AJ417" s="18">
        <f t="shared" si="193"/>
        <v>500000000</v>
      </c>
      <c r="AK417" s="44">
        <v>0</v>
      </c>
      <c r="AL417" s="44">
        <v>0</v>
      </c>
      <c r="AM417" s="44">
        <v>0</v>
      </c>
      <c r="AN417" s="44">
        <v>0</v>
      </c>
      <c r="AO417" s="44">
        <v>0</v>
      </c>
      <c r="AP417" s="44">
        <v>0</v>
      </c>
      <c r="AQ417" s="44">
        <v>0</v>
      </c>
      <c r="AR417" s="44">
        <v>0</v>
      </c>
      <c r="AS417" s="44">
        <v>0</v>
      </c>
      <c r="AT417" s="40">
        <f t="shared" si="180"/>
        <v>0</v>
      </c>
      <c r="AU417" s="18">
        <f>AJ417-AM417</f>
        <v>500000000</v>
      </c>
      <c r="AV417" s="34">
        <f>AM417-AP417</f>
        <v>0</v>
      </c>
      <c r="AW417" s="34">
        <f>AP417-AT417</f>
        <v>0</v>
      </c>
      <c r="AX417" s="123">
        <f>AP417/AJ417</f>
        <v>0</v>
      </c>
    </row>
    <row r="418" spans="1:50" ht="18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173" t="s">
        <v>1319</v>
      </c>
      <c r="AB418" s="69" t="s">
        <v>360</v>
      </c>
      <c r="AC418" s="43"/>
      <c r="AD418" s="44">
        <v>0</v>
      </c>
      <c r="AE418" s="43">
        <v>0</v>
      </c>
      <c r="AF418" s="44">
        <v>0</v>
      </c>
      <c r="AG418" s="43">
        <v>1040144569</v>
      </c>
      <c r="AH418" s="44">
        <v>0</v>
      </c>
      <c r="AI418" s="18">
        <f t="shared" si="192"/>
        <v>1040144569</v>
      </c>
      <c r="AJ418" s="18">
        <f t="shared" si="193"/>
        <v>1040144569</v>
      </c>
      <c r="AK418" s="44">
        <v>0</v>
      </c>
      <c r="AL418" s="44">
        <v>0</v>
      </c>
      <c r="AM418" s="44">
        <v>0</v>
      </c>
      <c r="AN418" s="44">
        <v>0</v>
      </c>
      <c r="AO418" s="44">
        <v>0</v>
      </c>
      <c r="AP418" s="44">
        <v>0</v>
      </c>
      <c r="AQ418" s="44">
        <v>0</v>
      </c>
      <c r="AR418" s="44">
        <v>0</v>
      </c>
      <c r="AS418" s="44">
        <v>0</v>
      </c>
      <c r="AT418" s="40">
        <f t="shared" si="180"/>
        <v>0</v>
      </c>
      <c r="AU418" s="18">
        <f>AJ418-AM418</f>
        <v>1040144569</v>
      </c>
      <c r="AV418" s="34">
        <f>AM418-AP418</f>
        <v>0</v>
      </c>
      <c r="AW418" s="34">
        <f>AP418-AT418</f>
        <v>0</v>
      </c>
      <c r="AX418" s="123">
        <f>AP418/AJ418</f>
        <v>0</v>
      </c>
    </row>
    <row r="419" spans="1:50" ht="18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173" t="s">
        <v>1320</v>
      </c>
      <c r="AB419" s="69" t="s">
        <v>1264</v>
      </c>
      <c r="AC419" s="43"/>
      <c r="AD419" s="44">
        <v>0</v>
      </c>
      <c r="AE419" s="43">
        <v>0</v>
      </c>
      <c r="AF419" s="44">
        <v>0</v>
      </c>
      <c r="AG419" s="43">
        <v>95676637</v>
      </c>
      <c r="AH419" s="44">
        <v>0</v>
      </c>
      <c r="AI419" s="18">
        <f t="shared" si="192"/>
        <v>95676637</v>
      </c>
      <c r="AJ419" s="18">
        <f t="shared" si="193"/>
        <v>95676637</v>
      </c>
      <c r="AK419" s="44">
        <v>0</v>
      </c>
      <c r="AL419" s="44">
        <v>0</v>
      </c>
      <c r="AM419" s="44">
        <v>0</v>
      </c>
      <c r="AN419" s="44">
        <v>0</v>
      </c>
      <c r="AO419" s="44">
        <v>0</v>
      </c>
      <c r="AP419" s="44">
        <v>0</v>
      </c>
      <c r="AQ419" s="44">
        <v>0</v>
      </c>
      <c r="AR419" s="44">
        <v>0</v>
      </c>
      <c r="AS419" s="44">
        <v>0</v>
      </c>
      <c r="AT419" s="40">
        <f t="shared" si="180"/>
        <v>0</v>
      </c>
      <c r="AU419" s="18">
        <f>AJ419-AM419</f>
        <v>95676637</v>
      </c>
      <c r="AV419" s="34">
        <f>AM419-AP419</f>
        <v>0</v>
      </c>
      <c r="AW419" s="34">
        <f>AP419-AT419</f>
        <v>0</v>
      </c>
      <c r="AX419" s="123">
        <f>AP419/AJ419</f>
        <v>0</v>
      </c>
    </row>
    <row r="420" spans="1:50" ht="18.75" customHeight="1" x14ac:dyDescent="0.2">
      <c r="AA420" s="28" t="s">
        <v>288</v>
      </c>
      <c r="AB420" s="68" t="s">
        <v>369</v>
      </c>
      <c r="AC420" s="17"/>
      <c r="AD420" s="18"/>
      <c r="AE420" s="34"/>
      <c r="AF420" s="34"/>
      <c r="AG420" s="34"/>
      <c r="AH420" s="34"/>
      <c r="AI420" s="34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40"/>
      <c r="AU420" s="18"/>
      <c r="AV420" s="18"/>
      <c r="AW420" s="18"/>
      <c r="AX420" s="18"/>
    </row>
    <row r="421" spans="1:50" ht="18.75" customHeight="1" x14ac:dyDescent="0.2">
      <c r="A421" s="4" t="s">
        <v>55</v>
      </c>
      <c r="B421" s="4" t="s">
        <v>56</v>
      </c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1" t="s">
        <v>370</v>
      </c>
      <c r="AB421" s="69" t="s">
        <v>233</v>
      </c>
      <c r="AC421" s="43" t="s">
        <v>58</v>
      </c>
      <c r="AD421" s="43">
        <v>209880000</v>
      </c>
      <c r="AE421" s="44">
        <v>0</v>
      </c>
      <c r="AF421" s="44">
        <v>0</v>
      </c>
      <c r="AG421" s="44">
        <v>0</v>
      </c>
      <c r="AH421" s="44">
        <v>0</v>
      </c>
      <c r="AI421" s="18">
        <f>AE421-AF421+AG421-AH421</f>
        <v>0</v>
      </c>
      <c r="AJ421" s="18">
        <f>AD421+AI421</f>
        <v>209880000</v>
      </c>
      <c r="AK421" s="44">
        <v>0</v>
      </c>
      <c r="AL421" s="44">
        <v>0</v>
      </c>
      <c r="AM421" s="43">
        <v>116000000</v>
      </c>
      <c r="AN421" s="44">
        <v>0</v>
      </c>
      <c r="AO421" s="43">
        <v>16800000</v>
      </c>
      <c r="AP421" s="43">
        <v>112800000</v>
      </c>
      <c r="AQ421" s="43">
        <v>2000000</v>
      </c>
      <c r="AR421" s="43">
        <v>12000000</v>
      </c>
      <c r="AS421" s="43">
        <v>69133331</v>
      </c>
      <c r="AT421" s="39">
        <f t="shared" si="180"/>
        <v>71133331</v>
      </c>
      <c r="AU421" s="18">
        <f>AJ421-AM421</f>
        <v>93880000</v>
      </c>
      <c r="AV421" s="18">
        <f>AM421-AP421</f>
        <v>3200000</v>
      </c>
      <c r="AW421" s="18">
        <f>AP421-AT421</f>
        <v>41666669</v>
      </c>
      <c r="AX421" s="123">
        <f>AP421/AJ421</f>
        <v>0.53744997141223561</v>
      </c>
    </row>
    <row r="422" spans="1:50" ht="18.75" customHeight="1" x14ac:dyDescent="0.2">
      <c r="AA422" s="28" t="s">
        <v>288</v>
      </c>
      <c r="AB422" s="68" t="s">
        <v>371</v>
      </c>
      <c r="AC422" s="17"/>
      <c r="AD422" s="18"/>
      <c r="AE422" s="34"/>
      <c r="AF422" s="34"/>
      <c r="AG422" s="34"/>
      <c r="AH422" s="34"/>
      <c r="AI422" s="34"/>
      <c r="AJ422" s="18"/>
      <c r="AK422" s="18"/>
      <c r="AL422" s="34"/>
      <c r="AM422" s="18"/>
      <c r="AN422" s="18"/>
      <c r="AO422" s="18"/>
      <c r="AP422" s="18"/>
      <c r="AQ422" s="18"/>
      <c r="AR422" s="18"/>
      <c r="AS422" s="18"/>
      <c r="AT422" s="40"/>
      <c r="AU422" s="18"/>
      <c r="AV422" s="18"/>
      <c r="AW422" s="18"/>
      <c r="AX422" s="18"/>
    </row>
    <row r="423" spans="1:50" ht="18.75" customHeight="1" x14ac:dyDescent="0.2">
      <c r="A423" s="4" t="s">
        <v>55</v>
      </c>
      <c r="B423" s="4" t="s">
        <v>56</v>
      </c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1" t="s">
        <v>372</v>
      </c>
      <c r="AB423" s="69" t="s">
        <v>233</v>
      </c>
      <c r="AC423" s="43" t="s">
        <v>58</v>
      </c>
      <c r="AD423" s="43">
        <v>290120000</v>
      </c>
      <c r="AE423" s="44">
        <v>0</v>
      </c>
      <c r="AF423" s="44">
        <v>0</v>
      </c>
      <c r="AG423" s="44">
        <v>0</v>
      </c>
      <c r="AH423" s="43">
        <f>169996000+20000000</f>
        <v>189996000</v>
      </c>
      <c r="AI423" s="18">
        <f>AE423-AF423+AG423-AH423</f>
        <v>-189996000</v>
      </c>
      <c r="AJ423" s="18">
        <f>AD423+AI423</f>
        <v>100124000</v>
      </c>
      <c r="AK423" s="44">
        <v>0</v>
      </c>
      <c r="AL423" s="44">
        <v>0</v>
      </c>
      <c r="AM423" s="43">
        <v>100124000</v>
      </c>
      <c r="AN423" s="44">
        <v>0</v>
      </c>
      <c r="AO423" s="44">
        <v>0</v>
      </c>
      <c r="AP423" s="44">
        <v>100124000</v>
      </c>
      <c r="AQ423" s="44">
        <v>0</v>
      </c>
      <c r="AR423" s="44">
        <v>0</v>
      </c>
      <c r="AS423" s="44">
        <v>0</v>
      </c>
      <c r="AT423" s="40">
        <f t="shared" si="180"/>
        <v>0</v>
      </c>
      <c r="AU423" s="18">
        <f>AJ423-AM423</f>
        <v>0</v>
      </c>
      <c r="AV423" s="34">
        <f>AM423-AP423</f>
        <v>0</v>
      </c>
      <c r="AW423" s="18">
        <f>AP423-AT423</f>
        <v>100124000</v>
      </c>
      <c r="AX423" s="123">
        <f>AP423/AJ423</f>
        <v>1</v>
      </c>
    </row>
    <row r="424" spans="1:50" ht="18.75" customHeight="1" x14ac:dyDescent="0.2">
      <c r="AA424" s="16"/>
      <c r="AB424" s="70"/>
      <c r="AC424" s="17"/>
      <c r="AD424" s="18"/>
      <c r="AE424" s="34"/>
      <c r="AF424" s="34"/>
      <c r="AG424" s="34"/>
      <c r="AH424" s="34"/>
      <c r="AI424" s="34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40"/>
      <c r="AU424" s="18"/>
      <c r="AV424" s="18"/>
      <c r="AW424" s="18"/>
      <c r="AX424" s="18"/>
    </row>
    <row r="425" spans="1:50" ht="38.25" x14ac:dyDescent="0.2">
      <c r="AA425" s="16"/>
      <c r="AB425" s="68" t="s">
        <v>373</v>
      </c>
      <c r="AC425" s="17"/>
      <c r="AD425" s="18"/>
      <c r="AE425" s="34"/>
      <c r="AF425" s="34"/>
      <c r="AG425" s="34"/>
      <c r="AH425" s="34"/>
      <c r="AI425" s="34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40"/>
      <c r="AU425" s="18"/>
      <c r="AV425" s="18"/>
      <c r="AW425" s="18"/>
      <c r="AX425" s="18"/>
    </row>
    <row r="426" spans="1:50" ht="25.5" x14ac:dyDescent="0.2">
      <c r="AA426" s="28"/>
      <c r="AB426" s="68" t="s">
        <v>374</v>
      </c>
      <c r="AC426" s="17"/>
      <c r="AD426" s="18"/>
      <c r="AE426" s="34"/>
      <c r="AF426" s="34"/>
      <c r="AG426" s="34"/>
      <c r="AH426" s="34"/>
      <c r="AI426" s="34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40"/>
      <c r="AU426" s="18"/>
      <c r="AV426" s="18"/>
      <c r="AW426" s="18"/>
      <c r="AX426" s="18"/>
    </row>
    <row r="427" spans="1:50" ht="25.5" x14ac:dyDescent="0.2">
      <c r="AA427" s="28" t="s">
        <v>288</v>
      </c>
      <c r="AB427" s="68" t="s">
        <v>375</v>
      </c>
      <c r="AC427" s="17"/>
      <c r="AD427" s="18"/>
      <c r="AE427" s="34"/>
      <c r="AF427" s="34"/>
      <c r="AG427" s="34"/>
      <c r="AH427" s="34"/>
      <c r="AI427" s="34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40"/>
      <c r="AU427" s="18"/>
      <c r="AV427" s="18"/>
      <c r="AW427" s="18"/>
      <c r="AX427" s="18"/>
    </row>
    <row r="428" spans="1:50" x14ac:dyDescent="0.2">
      <c r="A428" s="4" t="s">
        <v>55</v>
      </c>
      <c r="B428" s="4" t="s">
        <v>56</v>
      </c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1" t="s">
        <v>376</v>
      </c>
      <c r="AB428" s="69" t="s">
        <v>233</v>
      </c>
      <c r="AC428" s="43" t="s">
        <v>58</v>
      </c>
      <c r="AD428" s="43">
        <v>3416292195</v>
      </c>
      <c r="AE428" s="44">
        <v>0</v>
      </c>
      <c r="AF428" s="44">
        <v>0</v>
      </c>
      <c r="AG428" s="44">
        <v>0</v>
      </c>
      <c r="AH428" s="43">
        <v>94960977</v>
      </c>
      <c r="AI428" s="18">
        <f>AE428-AF428+AG428-AH428</f>
        <v>-94960977</v>
      </c>
      <c r="AJ428" s="18">
        <f>AD428+AI428</f>
        <v>3321331218</v>
      </c>
      <c r="AK428" s="44">
        <v>0</v>
      </c>
      <c r="AL428" s="44">
        <v>0</v>
      </c>
      <c r="AM428" s="43">
        <v>3321331218</v>
      </c>
      <c r="AN428" s="44">
        <v>0</v>
      </c>
      <c r="AO428" s="44">
        <v>0</v>
      </c>
      <c r="AP428" s="43">
        <v>3321331218</v>
      </c>
      <c r="AQ428" s="44">
        <v>0</v>
      </c>
      <c r="AR428" s="44">
        <v>0</v>
      </c>
      <c r="AS428" s="43">
        <v>21176441</v>
      </c>
      <c r="AT428" s="39">
        <f t="shared" ref="AT428" si="194">AQ428+AS428</f>
        <v>21176441</v>
      </c>
      <c r="AU428" s="18">
        <f>AJ428-AM428</f>
        <v>0</v>
      </c>
      <c r="AV428" s="133">
        <f>AM428-AP428</f>
        <v>0</v>
      </c>
      <c r="AW428" s="18">
        <f>AP428-AT428</f>
        <v>3300154777</v>
      </c>
      <c r="AX428" s="123">
        <f>AP428/AJ428</f>
        <v>1</v>
      </c>
    </row>
    <row r="429" spans="1:50" ht="18.75" customHeight="1" x14ac:dyDescent="0.2">
      <c r="AA429" s="28" t="s">
        <v>288</v>
      </c>
      <c r="AB429" s="29" t="s">
        <v>320</v>
      </c>
      <c r="AC429" s="17"/>
      <c r="AD429" s="18"/>
      <c r="AE429" s="34"/>
      <c r="AF429" s="34"/>
      <c r="AG429" s="34"/>
      <c r="AH429" s="34"/>
      <c r="AI429" s="34"/>
      <c r="AJ429" s="18"/>
      <c r="AK429" s="34"/>
      <c r="AL429" s="34"/>
      <c r="AM429" s="18"/>
      <c r="AN429" s="34"/>
      <c r="AO429" s="34"/>
      <c r="AP429" s="18"/>
      <c r="AQ429" s="34"/>
      <c r="AR429" s="34"/>
      <c r="AS429" s="34"/>
      <c r="AT429" s="40"/>
      <c r="AU429" s="18"/>
      <c r="AV429" s="18"/>
      <c r="AW429" s="18"/>
      <c r="AX429" s="18"/>
    </row>
    <row r="430" spans="1:50" ht="18.75" customHeight="1" x14ac:dyDescent="0.2">
      <c r="A430" s="4" t="s">
        <v>55</v>
      </c>
      <c r="B430" s="4" t="s">
        <v>56</v>
      </c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1" t="s">
        <v>377</v>
      </c>
      <c r="AB430" s="42" t="s">
        <v>328</v>
      </c>
      <c r="AC430" s="43" t="s">
        <v>61</v>
      </c>
      <c r="AD430" s="43">
        <v>10632000</v>
      </c>
      <c r="AE430" s="44">
        <v>0</v>
      </c>
      <c r="AF430" s="44">
        <v>0</v>
      </c>
      <c r="AG430" s="44">
        <v>0</v>
      </c>
      <c r="AH430" s="44">
        <v>0</v>
      </c>
      <c r="AI430" s="18">
        <f t="shared" ref="AI430:AI432" si="195">AE430-AF430+AG430-AH430</f>
        <v>0</v>
      </c>
      <c r="AJ430" s="18">
        <f t="shared" ref="AJ430:AJ432" si="196">AD430+AI430</f>
        <v>10632000</v>
      </c>
      <c r="AK430" s="44">
        <v>0</v>
      </c>
      <c r="AL430" s="44">
        <v>0</v>
      </c>
      <c r="AM430" s="44">
        <v>0</v>
      </c>
      <c r="AN430" s="44">
        <v>0</v>
      </c>
      <c r="AO430" s="44">
        <v>0</v>
      </c>
      <c r="AP430" s="44">
        <v>0</v>
      </c>
      <c r="AQ430" s="44">
        <v>0</v>
      </c>
      <c r="AR430" s="44">
        <v>0</v>
      </c>
      <c r="AS430" s="44">
        <v>0</v>
      </c>
      <c r="AT430" s="40">
        <f t="shared" ref="AT430:AT432" si="197">AQ430+AS430</f>
        <v>0</v>
      </c>
      <c r="AU430" s="18">
        <f>AJ430-AM430</f>
        <v>10632000</v>
      </c>
      <c r="AV430" s="34">
        <f>AM430-AP430</f>
        <v>0</v>
      </c>
      <c r="AW430" s="34">
        <f>AP430-AT430</f>
        <v>0</v>
      </c>
      <c r="AX430" s="123">
        <f>AP430/AJ430</f>
        <v>0</v>
      </c>
    </row>
    <row r="431" spans="1:50" ht="18.75" customHeight="1" x14ac:dyDescent="0.2">
      <c r="A431" s="4" t="s">
        <v>55</v>
      </c>
      <c r="B431" s="4" t="s">
        <v>56</v>
      </c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1" t="s">
        <v>378</v>
      </c>
      <c r="AB431" s="42" t="s">
        <v>379</v>
      </c>
      <c r="AC431" s="43" t="s">
        <v>380</v>
      </c>
      <c r="AD431" s="43">
        <v>2835585455</v>
      </c>
      <c r="AE431" s="44">
        <v>0</v>
      </c>
      <c r="AF431" s="44">
        <v>0</v>
      </c>
      <c r="AG431" s="44">
        <v>0</v>
      </c>
      <c r="AH431" s="44">
        <v>0</v>
      </c>
      <c r="AI431" s="18">
        <f t="shared" si="195"/>
        <v>0</v>
      </c>
      <c r="AJ431" s="18">
        <f t="shared" si="196"/>
        <v>2835585455</v>
      </c>
      <c r="AK431" s="44">
        <v>0</v>
      </c>
      <c r="AL431" s="43">
        <v>195589795</v>
      </c>
      <c r="AM431" s="43">
        <v>1253118235</v>
      </c>
      <c r="AN431" s="44">
        <v>0</v>
      </c>
      <c r="AO431" s="43">
        <v>195589795</v>
      </c>
      <c r="AP431" s="43">
        <v>1253118235</v>
      </c>
      <c r="AQ431" s="115">
        <v>0</v>
      </c>
      <c r="AR431" s="43">
        <v>195589795</v>
      </c>
      <c r="AS431" s="43">
        <v>1253118235</v>
      </c>
      <c r="AT431" s="39">
        <f t="shared" si="197"/>
        <v>1253118235</v>
      </c>
      <c r="AU431" s="18">
        <f>AJ431-AM431</f>
        <v>1582467220</v>
      </c>
      <c r="AV431" s="34">
        <f>AM431-AP431</f>
        <v>0</v>
      </c>
      <c r="AW431" s="18">
        <f>AP431-AT431</f>
        <v>0</v>
      </c>
      <c r="AX431" s="123">
        <f>AP431/AJ431</f>
        <v>0.44192575215476976</v>
      </c>
    </row>
    <row r="432" spans="1:50" ht="18.75" customHeight="1" x14ac:dyDescent="0.2">
      <c r="A432" s="4" t="s">
        <v>55</v>
      </c>
      <c r="B432" s="4" t="s">
        <v>56</v>
      </c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1" t="s">
        <v>381</v>
      </c>
      <c r="AB432" s="42" t="s">
        <v>382</v>
      </c>
      <c r="AC432" s="43" t="s">
        <v>383</v>
      </c>
      <c r="AD432" s="43">
        <v>1274304912</v>
      </c>
      <c r="AE432" s="44">
        <v>0</v>
      </c>
      <c r="AF432" s="44">
        <v>0</v>
      </c>
      <c r="AG432" s="44">
        <v>0</v>
      </c>
      <c r="AH432" s="43">
        <v>563696519</v>
      </c>
      <c r="AI432" s="18">
        <f t="shared" si="195"/>
        <v>-563696519</v>
      </c>
      <c r="AJ432" s="18">
        <f t="shared" si="196"/>
        <v>710608393</v>
      </c>
      <c r="AK432" s="44">
        <v>0</v>
      </c>
      <c r="AL432" s="44">
        <v>0</v>
      </c>
      <c r="AM432" s="44">
        <v>0</v>
      </c>
      <c r="AN432" s="44">
        <v>0</v>
      </c>
      <c r="AO432" s="44">
        <v>0</v>
      </c>
      <c r="AP432" s="44">
        <v>0</v>
      </c>
      <c r="AQ432" s="44">
        <v>0</v>
      </c>
      <c r="AR432" s="44">
        <v>0</v>
      </c>
      <c r="AS432" s="44">
        <v>0</v>
      </c>
      <c r="AT432" s="40">
        <f t="shared" si="197"/>
        <v>0</v>
      </c>
      <c r="AU432" s="18">
        <f>AJ432-AM432</f>
        <v>710608393</v>
      </c>
      <c r="AV432" s="34">
        <f>AM432-AP432</f>
        <v>0</v>
      </c>
      <c r="AW432" s="34">
        <f>AP432-AT432</f>
        <v>0</v>
      </c>
      <c r="AX432" s="123">
        <f>AP432/AJ432</f>
        <v>0</v>
      </c>
    </row>
    <row r="433" spans="1:50" ht="38.25" x14ac:dyDescent="0.2">
      <c r="AA433" s="28" t="s">
        <v>288</v>
      </c>
      <c r="AB433" s="29" t="s">
        <v>384</v>
      </c>
      <c r="AC433" s="17"/>
      <c r="AD433" s="18"/>
      <c r="AE433" s="34"/>
      <c r="AF433" s="34"/>
      <c r="AG433" s="34"/>
      <c r="AH433" s="34"/>
      <c r="AI433" s="34"/>
      <c r="AJ433" s="18"/>
      <c r="AK433" s="18"/>
      <c r="AL433" s="18"/>
      <c r="AM433" s="18"/>
      <c r="AN433" s="34"/>
      <c r="AO433" s="34"/>
      <c r="AP433" s="18"/>
      <c r="AQ433" s="18"/>
      <c r="AR433" s="18"/>
      <c r="AS433" s="18"/>
      <c r="AT433" s="39"/>
      <c r="AU433" s="18"/>
      <c r="AV433" s="18"/>
      <c r="AW433" s="18"/>
      <c r="AX433" s="18"/>
    </row>
    <row r="434" spans="1:50" ht="18.75" customHeight="1" x14ac:dyDescent="0.2">
      <c r="A434" s="4" t="s">
        <v>55</v>
      </c>
      <c r="B434" s="4" t="s">
        <v>56</v>
      </c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1" t="s">
        <v>385</v>
      </c>
      <c r="AB434" s="42" t="s">
        <v>233</v>
      </c>
      <c r="AC434" s="43" t="s">
        <v>58</v>
      </c>
      <c r="AD434" s="43">
        <v>9793380820</v>
      </c>
      <c r="AE434" s="44">
        <v>0</v>
      </c>
      <c r="AF434" s="44">
        <v>0</v>
      </c>
      <c r="AG434" s="44">
        <v>0</v>
      </c>
      <c r="AH434" s="43">
        <v>210000000</v>
      </c>
      <c r="AI434" s="18">
        <f t="shared" ref="AI434:AI440" si="198">AE434-AF434+AG434-AH434</f>
        <v>-210000000</v>
      </c>
      <c r="AJ434" s="18">
        <f t="shared" ref="AJ434:AJ440" si="199">AD434+AI434</f>
        <v>9583380820</v>
      </c>
      <c r="AK434" s="44">
        <v>0</v>
      </c>
      <c r="AL434" s="43">
        <v>33900000</v>
      </c>
      <c r="AM434" s="43">
        <v>8862003480.7999992</v>
      </c>
      <c r="AN434" s="44">
        <v>0</v>
      </c>
      <c r="AO434" s="43">
        <v>16650000</v>
      </c>
      <c r="AP434" s="43">
        <v>8844753480.7999992</v>
      </c>
      <c r="AQ434" s="43">
        <v>0</v>
      </c>
      <c r="AR434" s="43">
        <v>311543742.5</v>
      </c>
      <c r="AS434" s="43">
        <v>516111939.5</v>
      </c>
      <c r="AT434" s="39">
        <f t="shared" ref="AT434:AT441" si="200">AQ434+AS434</f>
        <v>516111939.5</v>
      </c>
      <c r="AU434" s="18">
        <f t="shared" ref="AU434:AU441" si="201">AJ434-AM434</f>
        <v>721377339.20000076</v>
      </c>
      <c r="AV434" s="18">
        <f t="shared" ref="AV434:AV441" si="202">AM434-AP434</f>
        <v>17250000</v>
      </c>
      <c r="AW434" s="110">
        <f t="shared" ref="AW434:AW441" si="203">AP434-AT434</f>
        <v>8328641541.2999992</v>
      </c>
      <c r="AX434" s="123">
        <f t="shared" ref="AX434:AX441" si="204">AP434/AJ434</f>
        <v>0.92292622477669617</v>
      </c>
    </row>
    <row r="435" spans="1:50" ht="18.75" customHeight="1" x14ac:dyDescent="0.2">
      <c r="A435" s="4" t="s">
        <v>55</v>
      </c>
      <c r="B435" s="4" t="s">
        <v>56</v>
      </c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1" t="s">
        <v>386</v>
      </c>
      <c r="AB435" s="42" t="s">
        <v>382</v>
      </c>
      <c r="AC435" s="43" t="s">
        <v>383</v>
      </c>
      <c r="AD435" s="43">
        <v>8000000000</v>
      </c>
      <c r="AE435" s="44">
        <v>0</v>
      </c>
      <c r="AF435" s="44">
        <v>0</v>
      </c>
      <c r="AG435" s="44">
        <v>0</v>
      </c>
      <c r="AH435" s="44">
        <v>0</v>
      </c>
      <c r="AI435" s="18">
        <f t="shared" si="198"/>
        <v>0</v>
      </c>
      <c r="AJ435" s="18">
        <f t="shared" si="199"/>
        <v>8000000000</v>
      </c>
      <c r="AK435" s="44">
        <v>0</v>
      </c>
      <c r="AL435" s="44">
        <v>0</v>
      </c>
      <c r="AM435" s="43">
        <v>8000000000</v>
      </c>
      <c r="AN435" s="44">
        <v>0</v>
      </c>
      <c r="AO435" s="44">
        <v>0</v>
      </c>
      <c r="AP435" s="43">
        <v>8000000000</v>
      </c>
      <c r="AQ435" s="44">
        <v>0</v>
      </c>
      <c r="AR435" s="44">
        <v>468949083.5</v>
      </c>
      <c r="AS435" s="44">
        <v>468949083.5</v>
      </c>
      <c r="AT435" s="40">
        <f t="shared" si="200"/>
        <v>468949083.5</v>
      </c>
      <c r="AU435" s="34">
        <f t="shared" si="201"/>
        <v>0</v>
      </c>
      <c r="AV435" s="34">
        <f t="shared" si="202"/>
        <v>0</v>
      </c>
      <c r="AW435" s="18">
        <f t="shared" si="203"/>
        <v>7531050916.5</v>
      </c>
      <c r="AX435" s="123">
        <f t="shared" si="204"/>
        <v>1</v>
      </c>
    </row>
    <row r="436" spans="1:50" ht="18.75" customHeight="1" x14ac:dyDescent="0.2">
      <c r="A436" s="4" t="s">
        <v>55</v>
      </c>
      <c r="B436" s="4" t="s">
        <v>56</v>
      </c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1" t="s">
        <v>387</v>
      </c>
      <c r="AB436" s="42" t="s">
        <v>388</v>
      </c>
      <c r="AC436" s="43" t="s">
        <v>389</v>
      </c>
      <c r="AD436" s="43">
        <v>951016677</v>
      </c>
      <c r="AE436" s="44">
        <v>0</v>
      </c>
      <c r="AF436" s="44">
        <v>0</v>
      </c>
      <c r="AG436" s="44">
        <v>0</v>
      </c>
      <c r="AH436" s="44">
        <v>0</v>
      </c>
      <c r="AI436" s="34">
        <f t="shared" si="198"/>
        <v>0</v>
      </c>
      <c r="AJ436" s="18">
        <f t="shared" si="199"/>
        <v>951016677</v>
      </c>
      <c r="AK436" s="44">
        <v>0</v>
      </c>
      <c r="AL436" s="44">
        <v>0</v>
      </c>
      <c r="AM436" s="43">
        <v>934080451</v>
      </c>
      <c r="AN436" s="44">
        <v>0</v>
      </c>
      <c r="AO436" s="44">
        <v>0</v>
      </c>
      <c r="AP436" s="43">
        <v>934080451</v>
      </c>
      <c r="AQ436" s="44">
        <v>0</v>
      </c>
      <c r="AR436" s="43">
        <v>0</v>
      </c>
      <c r="AS436" s="43">
        <v>934080451</v>
      </c>
      <c r="AT436" s="39">
        <f t="shared" si="200"/>
        <v>934080451</v>
      </c>
      <c r="AU436" s="18">
        <f t="shared" si="201"/>
        <v>16936226</v>
      </c>
      <c r="AV436" s="34">
        <f t="shared" si="202"/>
        <v>0</v>
      </c>
      <c r="AW436" s="34">
        <f t="shared" si="203"/>
        <v>0</v>
      </c>
      <c r="AX436" s="123">
        <f t="shared" si="204"/>
        <v>0.9821914521484254</v>
      </c>
    </row>
    <row r="437" spans="1:50" ht="18.75" customHeight="1" x14ac:dyDescent="0.2">
      <c r="A437" s="4" t="s">
        <v>55</v>
      </c>
      <c r="B437" s="4" t="s">
        <v>56</v>
      </c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1" t="s">
        <v>390</v>
      </c>
      <c r="AB437" s="42" t="s">
        <v>391</v>
      </c>
      <c r="AC437" s="43" t="s">
        <v>392</v>
      </c>
      <c r="AD437" s="43">
        <v>2011708314</v>
      </c>
      <c r="AE437" s="44">
        <v>0</v>
      </c>
      <c r="AF437" s="44">
        <v>0</v>
      </c>
      <c r="AG437" s="44">
        <v>0</v>
      </c>
      <c r="AH437" s="44">
        <v>0</v>
      </c>
      <c r="AI437" s="34">
        <f t="shared" si="198"/>
        <v>0</v>
      </c>
      <c r="AJ437" s="18">
        <f t="shared" si="199"/>
        <v>2011708314</v>
      </c>
      <c r="AK437" s="44">
        <v>0</v>
      </c>
      <c r="AL437" s="44">
        <v>0</v>
      </c>
      <c r="AM437" s="43">
        <v>1978725412.5</v>
      </c>
      <c r="AN437" s="44">
        <v>0</v>
      </c>
      <c r="AO437" s="44">
        <v>0</v>
      </c>
      <c r="AP437" s="43">
        <v>1978725412.5</v>
      </c>
      <c r="AQ437" s="44">
        <v>0</v>
      </c>
      <c r="AR437" s="43">
        <v>417231811.30000001</v>
      </c>
      <c r="AS437" s="43">
        <v>1257887878.8</v>
      </c>
      <c r="AT437" s="39">
        <f t="shared" si="200"/>
        <v>1257887878.8</v>
      </c>
      <c r="AU437" s="18">
        <f t="shared" si="201"/>
        <v>32982901.5</v>
      </c>
      <c r="AV437" s="34">
        <f t="shared" si="202"/>
        <v>0</v>
      </c>
      <c r="AW437" s="18">
        <f t="shared" si="203"/>
        <v>720837533.70000005</v>
      </c>
      <c r="AX437" s="123">
        <f t="shared" si="204"/>
        <v>0.98360453090019884</v>
      </c>
    </row>
    <row r="438" spans="1:50" ht="18.75" customHeight="1" x14ac:dyDescent="0.2">
      <c r="A438" s="4" t="s">
        <v>55</v>
      </c>
      <c r="B438" s="4" t="s">
        <v>56</v>
      </c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1" t="s">
        <v>393</v>
      </c>
      <c r="AB438" s="42" t="s">
        <v>394</v>
      </c>
      <c r="AC438" s="43" t="s">
        <v>368</v>
      </c>
      <c r="AD438" s="43">
        <v>64817304.240000002</v>
      </c>
      <c r="AE438" s="44">
        <v>0</v>
      </c>
      <c r="AF438" s="44">
        <v>0</v>
      </c>
      <c r="AG438" s="44">
        <v>0</v>
      </c>
      <c r="AH438" s="44">
        <v>0</v>
      </c>
      <c r="AI438" s="34">
        <f t="shared" si="198"/>
        <v>0</v>
      </c>
      <c r="AJ438" s="18">
        <f t="shared" si="199"/>
        <v>64817304.240000002</v>
      </c>
      <c r="AK438" s="44">
        <v>0</v>
      </c>
      <c r="AL438" s="44">
        <v>0</v>
      </c>
      <c r="AM438" s="43">
        <v>64817304.240000002</v>
      </c>
      <c r="AN438" s="44">
        <v>0</v>
      </c>
      <c r="AO438" s="44">
        <v>0</v>
      </c>
      <c r="AP438" s="43">
        <v>64817304.240000002</v>
      </c>
      <c r="AQ438" s="44">
        <v>0</v>
      </c>
      <c r="AR438" s="43">
        <v>0</v>
      </c>
      <c r="AS438" s="43">
        <v>64817304.240000002</v>
      </c>
      <c r="AT438" s="39">
        <f t="shared" si="200"/>
        <v>64817304.240000002</v>
      </c>
      <c r="AU438" s="34">
        <f t="shared" si="201"/>
        <v>0</v>
      </c>
      <c r="AV438" s="34">
        <f t="shared" si="202"/>
        <v>0</v>
      </c>
      <c r="AW438" s="34">
        <f t="shared" si="203"/>
        <v>0</v>
      </c>
      <c r="AX438" s="123">
        <f t="shared" si="204"/>
        <v>1</v>
      </c>
    </row>
    <row r="439" spans="1:50" ht="18.75" customHeight="1" x14ac:dyDescent="0.2">
      <c r="AA439" s="245" t="s">
        <v>1213</v>
      </c>
      <c r="AB439" s="42" t="s">
        <v>1214</v>
      </c>
      <c r="AC439" s="17"/>
      <c r="AD439" s="34">
        <v>0</v>
      </c>
      <c r="AE439" s="18">
        <v>437225610.45999998</v>
      </c>
      <c r="AF439" s="34">
        <v>0</v>
      </c>
      <c r="AG439" s="34">
        <v>0</v>
      </c>
      <c r="AH439" s="34">
        <v>0</v>
      </c>
      <c r="AI439" s="18">
        <f t="shared" si="198"/>
        <v>437225610.45999998</v>
      </c>
      <c r="AJ439" s="18">
        <f t="shared" si="199"/>
        <v>437225610.45999998</v>
      </c>
      <c r="AK439" s="44">
        <v>0</v>
      </c>
      <c r="AL439" s="44">
        <v>0</v>
      </c>
      <c r="AM439" s="43">
        <v>437225610.45999998</v>
      </c>
      <c r="AN439" s="44">
        <v>0</v>
      </c>
      <c r="AO439" s="44">
        <v>0</v>
      </c>
      <c r="AP439" s="43">
        <v>437225610.45999998</v>
      </c>
      <c r="AQ439" s="44">
        <v>0</v>
      </c>
      <c r="AR439" s="44">
        <v>218612805.19999999</v>
      </c>
      <c r="AS439" s="44">
        <v>437225610.45999998</v>
      </c>
      <c r="AT439" s="40">
        <f t="shared" si="200"/>
        <v>437225610.45999998</v>
      </c>
      <c r="AU439" s="34">
        <f t="shared" si="201"/>
        <v>0</v>
      </c>
      <c r="AV439" s="34">
        <f t="shared" si="202"/>
        <v>0</v>
      </c>
      <c r="AW439" s="34">
        <f t="shared" si="203"/>
        <v>0</v>
      </c>
      <c r="AX439" s="123">
        <f t="shared" si="204"/>
        <v>1</v>
      </c>
    </row>
    <row r="440" spans="1:50" ht="27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245" t="s">
        <v>1211</v>
      </c>
      <c r="AB440" s="42" t="s">
        <v>1212</v>
      </c>
      <c r="AC440" s="43"/>
      <c r="AD440" s="44">
        <v>0</v>
      </c>
      <c r="AE440" s="43">
        <v>17631990</v>
      </c>
      <c r="AF440" s="44">
        <v>0</v>
      </c>
      <c r="AG440" s="44">
        <v>0</v>
      </c>
      <c r="AH440" s="44">
        <v>0</v>
      </c>
      <c r="AI440" s="18">
        <f t="shared" si="198"/>
        <v>17631990</v>
      </c>
      <c r="AJ440" s="18">
        <f t="shared" si="199"/>
        <v>17631990</v>
      </c>
      <c r="AK440" s="44">
        <v>0</v>
      </c>
      <c r="AL440" s="44">
        <v>0</v>
      </c>
      <c r="AM440" s="43">
        <v>17631990</v>
      </c>
      <c r="AN440" s="44">
        <v>0</v>
      </c>
      <c r="AO440" s="44">
        <v>0</v>
      </c>
      <c r="AP440" s="43">
        <v>17631990</v>
      </c>
      <c r="AQ440" s="44">
        <v>0</v>
      </c>
      <c r="AR440" s="44">
        <v>8815995</v>
      </c>
      <c r="AS440" s="43">
        <v>17631990</v>
      </c>
      <c r="AT440" s="39">
        <f t="shared" si="200"/>
        <v>17631990</v>
      </c>
      <c r="AU440" s="34">
        <f t="shared" si="201"/>
        <v>0</v>
      </c>
      <c r="AV440" s="34">
        <f t="shared" si="202"/>
        <v>0</v>
      </c>
      <c r="AW440" s="34">
        <f t="shared" si="203"/>
        <v>0</v>
      </c>
      <c r="AX440" s="123">
        <f t="shared" si="204"/>
        <v>1</v>
      </c>
    </row>
    <row r="441" spans="1:50" ht="30" customHeight="1" x14ac:dyDescent="0.2">
      <c r="AA441" s="246" t="s">
        <v>1215</v>
      </c>
      <c r="AB441" s="42" t="s">
        <v>1216</v>
      </c>
      <c r="AC441" s="17"/>
      <c r="AD441" s="34">
        <v>0</v>
      </c>
      <c r="AE441" s="18">
        <v>288008146</v>
      </c>
      <c r="AF441" s="34">
        <v>0</v>
      </c>
      <c r="AG441" s="34">
        <v>0</v>
      </c>
      <c r="AH441" s="34">
        <v>0</v>
      </c>
      <c r="AI441" s="18">
        <f>AE441-AF441+AG441-AH441</f>
        <v>288008146</v>
      </c>
      <c r="AJ441" s="18">
        <f>AD441+AI441</f>
        <v>288008146</v>
      </c>
      <c r="AK441" s="44">
        <v>0</v>
      </c>
      <c r="AL441" s="44">
        <v>0</v>
      </c>
      <c r="AM441" s="43">
        <v>288008146</v>
      </c>
      <c r="AN441" s="44">
        <v>0</v>
      </c>
      <c r="AO441" s="44">
        <v>0</v>
      </c>
      <c r="AP441" s="43">
        <v>288008146</v>
      </c>
      <c r="AQ441" s="44">
        <v>0</v>
      </c>
      <c r="AR441" s="44">
        <v>144004073</v>
      </c>
      <c r="AS441" s="43">
        <v>288008146</v>
      </c>
      <c r="AT441" s="39">
        <f t="shared" si="200"/>
        <v>288008146</v>
      </c>
      <c r="AU441" s="34">
        <f t="shared" si="201"/>
        <v>0</v>
      </c>
      <c r="AV441" s="34">
        <f t="shared" si="202"/>
        <v>0</v>
      </c>
      <c r="AW441" s="18">
        <f t="shared" si="203"/>
        <v>0</v>
      </c>
      <c r="AX441" s="123">
        <f t="shared" si="204"/>
        <v>1</v>
      </c>
    </row>
    <row r="442" spans="1:50" ht="12.75" customHeight="1" x14ac:dyDescent="0.2">
      <c r="AA442" s="173"/>
      <c r="AB442" s="207"/>
      <c r="AC442" s="17"/>
      <c r="AD442" s="18"/>
      <c r="AE442" s="34"/>
      <c r="AF442" s="34"/>
      <c r="AG442" s="34"/>
      <c r="AH442" s="34"/>
      <c r="AI442" s="34"/>
      <c r="AJ442" s="18"/>
      <c r="AK442" s="18"/>
      <c r="AL442" s="18"/>
      <c r="AM442" s="18"/>
      <c r="AN442" s="34"/>
      <c r="AO442" s="34"/>
      <c r="AP442" s="18"/>
      <c r="AQ442" s="18"/>
      <c r="AR442" s="18"/>
      <c r="AS442" s="18"/>
      <c r="AT442" s="39"/>
      <c r="AU442" s="18"/>
      <c r="AV442" s="18"/>
      <c r="AW442" s="18"/>
      <c r="AX442" s="18"/>
    </row>
    <row r="443" spans="1:50" ht="25.5" x14ac:dyDescent="0.2">
      <c r="AA443" s="16"/>
      <c r="AB443" s="29" t="s">
        <v>195</v>
      </c>
      <c r="AC443" s="17"/>
      <c r="AD443" s="18"/>
      <c r="AE443" s="34"/>
      <c r="AF443" s="34"/>
      <c r="AG443" s="34"/>
      <c r="AH443" s="34"/>
      <c r="AI443" s="34"/>
      <c r="AJ443" s="18"/>
      <c r="AK443" s="18"/>
      <c r="AL443" s="18"/>
      <c r="AM443" s="18"/>
      <c r="AN443" s="34"/>
      <c r="AO443" s="34"/>
      <c r="AP443" s="18"/>
      <c r="AQ443" s="18"/>
      <c r="AR443" s="18"/>
      <c r="AS443" s="18"/>
      <c r="AT443" s="39"/>
      <c r="AU443" s="18"/>
      <c r="AV443" s="18"/>
      <c r="AW443" s="18"/>
      <c r="AX443" s="18"/>
    </row>
    <row r="444" spans="1:50" ht="18.75" customHeight="1" x14ac:dyDescent="0.2">
      <c r="AA444" s="28" t="s">
        <v>288</v>
      </c>
      <c r="AB444" s="29" t="s">
        <v>320</v>
      </c>
      <c r="AC444" s="17"/>
      <c r="AD444" s="18"/>
      <c r="AE444" s="34"/>
      <c r="AF444" s="34"/>
      <c r="AG444" s="34"/>
      <c r="AH444" s="34"/>
      <c r="AI444" s="34"/>
      <c r="AJ444" s="18"/>
      <c r="AK444" s="18"/>
      <c r="AL444" s="18"/>
      <c r="AM444" s="18"/>
      <c r="AN444" s="34"/>
      <c r="AO444" s="34"/>
      <c r="AP444" s="18"/>
      <c r="AQ444" s="18"/>
      <c r="AR444" s="18"/>
      <c r="AS444" s="18"/>
      <c r="AT444" s="39"/>
      <c r="AU444" s="18"/>
      <c r="AV444" s="18"/>
      <c r="AW444" s="18"/>
      <c r="AX444" s="18"/>
    </row>
    <row r="445" spans="1:50" ht="18.75" customHeight="1" x14ac:dyDescent="0.2">
      <c r="A445" s="4" t="s">
        <v>55</v>
      </c>
      <c r="B445" s="4" t="s">
        <v>56</v>
      </c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1" t="s">
        <v>395</v>
      </c>
      <c r="AB445" s="42" t="s">
        <v>233</v>
      </c>
      <c r="AC445" s="43" t="s">
        <v>58</v>
      </c>
      <c r="AD445" s="43">
        <v>77302510</v>
      </c>
      <c r="AE445" s="44">
        <v>0</v>
      </c>
      <c r="AF445" s="44">
        <v>0</v>
      </c>
      <c r="AG445" s="44">
        <v>0</v>
      </c>
      <c r="AH445" s="43">
        <v>736198</v>
      </c>
      <c r="AI445" s="18">
        <f>AE445-AF445+AG445-AH445</f>
        <v>-736198</v>
      </c>
      <c r="AJ445" s="18">
        <f>AD445+AI445</f>
        <v>76566312</v>
      </c>
      <c r="AK445" s="44">
        <v>0</v>
      </c>
      <c r="AL445" s="44">
        <v>0</v>
      </c>
      <c r="AM445" s="43">
        <v>76566312</v>
      </c>
      <c r="AN445" s="44">
        <v>0</v>
      </c>
      <c r="AO445" s="44">
        <v>0</v>
      </c>
      <c r="AP445" s="43">
        <v>76566312</v>
      </c>
      <c r="AQ445" s="43">
        <v>0</v>
      </c>
      <c r="AR445" s="43">
        <v>8052305</v>
      </c>
      <c r="AS445" s="43">
        <v>37202317</v>
      </c>
      <c r="AT445" s="39">
        <f t="shared" ref="AT445" si="205">AQ445+AS445</f>
        <v>37202317</v>
      </c>
      <c r="AU445" s="18">
        <f>AJ445-AM445</f>
        <v>0</v>
      </c>
      <c r="AV445" s="34">
        <f>AM445-AP445</f>
        <v>0</v>
      </c>
      <c r="AW445" s="18">
        <f>AP445-AT445</f>
        <v>39363995</v>
      </c>
      <c r="AX445" s="123">
        <f>AP445/AJ445</f>
        <v>1</v>
      </c>
    </row>
    <row r="446" spans="1:50" ht="18.75" customHeight="1" x14ac:dyDescent="0.2">
      <c r="AA446" s="16"/>
      <c r="AB446" s="17"/>
      <c r="AC446" s="17"/>
      <c r="AD446" s="18"/>
      <c r="AE446" s="34"/>
      <c r="AF446" s="34"/>
      <c r="AG446" s="34"/>
      <c r="AH446" s="34"/>
      <c r="AI446" s="34"/>
      <c r="AJ446" s="18"/>
      <c r="AK446" s="18"/>
      <c r="AL446" s="18"/>
      <c r="AM446" s="18"/>
      <c r="AN446" s="18"/>
      <c r="AO446" s="18"/>
      <c r="AP446" s="18"/>
      <c r="AQ446" s="34"/>
      <c r="AR446" s="34"/>
      <c r="AS446" s="34"/>
      <c r="AT446" s="40"/>
      <c r="AU446" s="18"/>
      <c r="AV446" s="18"/>
      <c r="AW446" s="18"/>
      <c r="AX446" s="18"/>
    </row>
    <row r="447" spans="1:50" ht="25.5" x14ac:dyDescent="0.2">
      <c r="AA447" s="16"/>
      <c r="AB447" s="29" t="s">
        <v>197</v>
      </c>
      <c r="AC447" s="17"/>
      <c r="AD447" s="18"/>
      <c r="AE447" s="34"/>
      <c r="AF447" s="34"/>
      <c r="AG447" s="34"/>
      <c r="AH447" s="34"/>
      <c r="AI447" s="34"/>
      <c r="AJ447" s="18"/>
      <c r="AK447" s="18"/>
      <c r="AL447" s="18"/>
      <c r="AM447" s="18"/>
      <c r="AN447" s="18"/>
      <c r="AO447" s="18"/>
      <c r="AP447" s="18"/>
      <c r="AQ447" s="34"/>
      <c r="AR447" s="34"/>
      <c r="AS447" s="34"/>
      <c r="AT447" s="40"/>
      <c r="AU447" s="18"/>
      <c r="AV447" s="18"/>
      <c r="AW447" s="18"/>
      <c r="AX447" s="18"/>
    </row>
    <row r="448" spans="1:50" ht="25.5" x14ac:dyDescent="0.2">
      <c r="AA448" s="28" t="s">
        <v>288</v>
      </c>
      <c r="AB448" s="29" t="s">
        <v>396</v>
      </c>
      <c r="AC448" s="17"/>
      <c r="AD448" s="18"/>
      <c r="AE448" s="34"/>
      <c r="AF448" s="34"/>
      <c r="AG448" s="34"/>
      <c r="AH448" s="34"/>
      <c r="AI448" s="34"/>
      <c r="AJ448" s="18"/>
      <c r="AK448" s="18"/>
      <c r="AL448" s="18"/>
      <c r="AM448" s="18"/>
      <c r="AN448" s="18"/>
      <c r="AO448" s="18"/>
      <c r="AP448" s="18"/>
      <c r="AQ448" s="34"/>
      <c r="AR448" s="34"/>
      <c r="AS448" s="34"/>
      <c r="AT448" s="40"/>
      <c r="AU448" s="18"/>
      <c r="AV448" s="18"/>
      <c r="AW448" s="18"/>
      <c r="AX448" s="18"/>
    </row>
    <row r="449" spans="1:50" ht="18.75" customHeight="1" x14ac:dyDescent="0.2">
      <c r="A449" s="4" t="s">
        <v>55</v>
      </c>
      <c r="B449" s="4" t="s">
        <v>56</v>
      </c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1" t="s">
        <v>397</v>
      </c>
      <c r="AB449" s="42" t="s">
        <v>328</v>
      </c>
      <c r="AC449" s="43" t="s">
        <v>61</v>
      </c>
      <c r="AD449" s="43">
        <v>838526678</v>
      </c>
      <c r="AE449" s="44">
        <v>0</v>
      </c>
      <c r="AF449" s="44">
        <v>0</v>
      </c>
      <c r="AG449" s="43">
        <v>27102938</v>
      </c>
      <c r="AH449" s="44">
        <v>0</v>
      </c>
      <c r="AI449" s="18">
        <f>AE449-AF449+AG449-AH449</f>
        <v>27102938</v>
      </c>
      <c r="AJ449" s="18">
        <f>AD449+AI449</f>
        <v>865629616</v>
      </c>
      <c r="AK449" s="44">
        <v>0</v>
      </c>
      <c r="AL449" s="44">
        <v>0</v>
      </c>
      <c r="AM449" s="43">
        <v>864293138.00999999</v>
      </c>
      <c r="AN449" s="44">
        <v>0</v>
      </c>
      <c r="AO449" s="44">
        <v>0</v>
      </c>
      <c r="AP449" s="43">
        <v>853521647</v>
      </c>
      <c r="AQ449" s="44">
        <v>0</v>
      </c>
      <c r="AR449" s="44">
        <v>0</v>
      </c>
      <c r="AS449" s="44">
        <v>0</v>
      </c>
      <c r="AT449" s="40">
        <f t="shared" ref="AT449" si="206">AQ449+AS449</f>
        <v>0</v>
      </c>
      <c r="AU449" s="18">
        <f>AJ449-AM449</f>
        <v>1336477.9900000095</v>
      </c>
      <c r="AV449" s="18">
        <f>AM449-AP449</f>
        <v>10771491.00999999</v>
      </c>
      <c r="AW449" s="18">
        <f>AP449-AT449</f>
        <v>853521647</v>
      </c>
      <c r="AX449" s="123">
        <f>AP449/AJ449</f>
        <v>0.98601252917390936</v>
      </c>
    </row>
    <row r="450" spans="1:50" ht="18.75" customHeight="1" x14ac:dyDescent="0.2">
      <c r="AA450" s="28" t="s">
        <v>288</v>
      </c>
      <c r="AB450" s="29" t="s">
        <v>320</v>
      </c>
      <c r="AC450" s="17"/>
      <c r="AD450" s="18"/>
      <c r="AE450" s="34"/>
      <c r="AF450" s="34"/>
      <c r="AG450" s="34"/>
      <c r="AH450" s="34"/>
      <c r="AI450" s="34"/>
      <c r="AJ450" s="18"/>
      <c r="AK450" s="18"/>
      <c r="AL450" s="18"/>
      <c r="AM450" s="18"/>
      <c r="AN450" s="34"/>
      <c r="AO450" s="18"/>
      <c r="AP450" s="18"/>
      <c r="AQ450" s="34"/>
      <c r="AR450" s="34"/>
      <c r="AS450" s="34"/>
      <c r="AT450" s="40"/>
      <c r="AU450" s="18"/>
      <c r="AV450" s="18"/>
      <c r="AW450" s="18"/>
      <c r="AX450" s="18"/>
    </row>
    <row r="451" spans="1:50" ht="18.75" customHeight="1" x14ac:dyDescent="0.2">
      <c r="A451" s="4" t="s">
        <v>55</v>
      </c>
      <c r="B451" s="4" t="s">
        <v>56</v>
      </c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1" t="s">
        <v>398</v>
      </c>
      <c r="AB451" s="42" t="s">
        <v>233</v>
      </c>
      <c r="AC451" s="43" t="s">
        <v>58</v>
      </c>
      <c r="AD451" s="43">
        <v>9048558947</v>
      </c>
      <c r="AE451" s="143">
        <v>0</v>
      </c>
      <c r="AF451" s="44">
        <v>0</v>
      </c>
      <c r="AG451" s="44">
        <v>0</v>
      </c>
      <c r="AH451" s="44">
        <v>0</v>
      </c>
      <c r="AI451" s="18">
        <f t="shared" ref="AI451:AI452" si="207">AE451-AF451+AG451-AH451</f>
        <v>0</v>
      </c>
      <c r="AJ451" s="18">
        <f t="shared" ref="AJ451:AJ452" si="208">AD451+AI451</f>
        <v>9048558947</v>
      </c>
      <c r="AK451" s="44">
        <v>0</v>
      </c>
      <c r="AL451" s="44">
        <v>0</v>
      </c>
      <c r="AM451" s="43">
        <v>9048558947</v>
      </c>
      <c r="AN451" s="44">
        <v>0</v>
      </c>
      <c r="AO451" s="44">
        <v>0</v>
      </c>
      <c r="AP451" s="43">
        <v>9001641826</v>
      </c>
      <c r="AQ451" s="44">
        <v>0</v>
      </c>
      <c r="AR451" s="43">
        <v>1144525764.78</v>
      </c>
      <c r="AS451" s="43">
        <v>5342131105.1199999</v>
      </c>
      <c r="AT451" s="39">
        <f t="shared" ref="AT451:AT454" si="209">AQ451+AS451</f>
        <v>5342131105.1199999</v>
      </c>
      <c r="AU451" s="34">
        <f>AJ451-AM451</f>
        <v>0</v>
      </c>
      <c r="AV451" s="18">
        <f>AM451-AP451</f>
        <v>46917121</v>
      </c>
      <c r="AW451" s="18">
        <f>AP451-AT451</f>
        <v>3659510720.8800001</v>
      </c>
      <c r="AX451" s="123">
        <f>AP451/AJ451</f>
        <v>0.99481496210890519</v>
      </c>
    </row>
    <row r="452" spans="1:50" ht="18.75" customHeight="1" x14ac:dyDescent="0.2">
      <c r="A452" s="4" t="s">
        <v>55</v>
      </c>
      <c r="B452" s="4" t="s">
        <v>56</v>
      </c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1" t="s">
        <v>399</v>
      </c>
      <c r="AB452" s="42" t="s">
        <v>382</v>
      </c>
      <c r="AC452" s="43" t="s">
        <v>383</v>
      </c>
      <c r="AD452" s="43">
        <v>1274304910</v>
      </c>
      <c r="AE452" s="143">
        <v>0</v>
      </c>
      <c r="AF452" s="44">
        <v>0</v>
      </c>
      <c r="AG452" s="44">
        <v>0</v>
      </c>
      <c r="AH452" s="44">
        <v>0</v>
      </c>
      <c r="AI452" s="18">
        <f t="shared" si="207"/>
        <v>0</v>
      </c>
      <c r="AJ452" s="18">
        <f t="shared" si="208"/>
        <v>1274304910</v>
      </c>
      <c r="AK452" s="44">
        <v>0</v>
      </c>
      <c r="AL452" s="44">
        <v>0</v>
      </c>
      <c r="AM452" s="43">
        <v>1274304910</v>
      </c>
      <c r="AN452" s="44">
        <v>0</v>
      </c>
      <c r="AO452" s="44">
        <v>0</v>
      </c>
      <c r="AP452" s="43">
        <v>1274304910</v>
      </c>
      <c r="AQ452" s="44">
        <v>0</v>
      </c>
      <c r="AR452" s="44">
        <v>0</v>
      </c>
      <c r="AS452" s="44">
        <v>0</v>
      </c>
      <c r="AT452" s="40">
        <f t="shared" si="209"/>
        <v>0</v>
      </c>
      <c r="AU452" s="34">
        <f>AJ452-AM452</f>
        <v>0</v>
      </c>
      <c r="AV452" s="34">
        <f>AM452-AP452</f>
        <v>0</v>
      </c>
      <c r="AW452" s="18">
        <f>AP452-AT452</f>
        <v>1274304910</v>
      </c>
      <c r="AX452" s="123">
        <f>AP452/AJ452</f>
        <v>1</v>
      </c>
    </row>
    <row r="453" spans="1:50" ht="18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1" t="s">
        <v>986</v>
      </c>
      <c r="AB453" s="42" t="s">
        <v>987</v>
      </c>
      <c r="AC453" s="43"/>
      <c r="AD453" s="44">
        <v>0</v>
      </c>
      <c r="AE453" s="143">
        <v>0</v>
      </c>
      <c r="AF453" s="44">
        <v>0</v>
      </c>
      <c r="AG453" s="43">
        <v>417383651.70999998</v>
      </c>
      <c r="AH453" s="44">
        <v>0</v>
      </c>
      <c r="AI453" s="18">
        <f>AE453-AF453+AG453-AH453</f>
        <v>417383651.70999998</v>
      </c>
      <c r="AJ453" s="18">
        <f>AD453+AI453</f>
        <v>417383651.70999998</v>
      </c>
      <c r="AK453" s="44">
        <v>0</v>
      </c>
      <c r="AL453" s="44">
        <v>0</v>
      </c>
      <c r="AM453" s="43">
        <v>417383651.70999998</v>
      </c>
      <c r="AN453" s="44">
        <v>0</v>
      </c>
      <c r="AO453" s="44">
        <v>0</v>
      </c>
      <c r="AP453" s="43">
        <v>417383651.70999998</v>
      </c>
      <c r="AQ453" s="44">
        <v>0</v>
      </c>
      <c r="AR453" s="44">
        <v>0</v>
      </c>
      <c r="AS453" s="44">
        <v>0</v>
      </c>
      <c r="AT453" s="40">
        <f t="shared" si="209"/>
        <v>0</v>
      </c>
      <c r="AU453" s="34">
        <f>AJ453-AM453</f>
        <v>0</v>
      </c>
      <c r="AV453" s="34">
        <f>AM453-AP453</f>
        <v>0</v>
      </c>
      <c r="AW453" s="18">
        <f>AP453-AT453</f>
        <v>417383651.70999998</v>
      </c>
      <c r="AX453" s="123">
        <f>AP453/AJ453</f>
        <v>1</v>
      </c>
    </row>
    <row r="454" spans="1:50" ht="18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166" t="s">
        <v>1020</v>
      </c>
      <c r="AB454" s="167" t="s">
        <v>1015</v>
      </c>
      <c r="AC454" s="168"/>
      <c r="AD454" s="44">
        <v>0</v>
      </c>
      <c r="AE454" s="142">
        <v>4862312815</v>
      </c>
      <c r="AF454" s="44"/>
      <c r="AG454" s="43"/>
      <c r="AH454" s="43">
        <v>1416953380</v>
      </c>
      <c r="AI454" s="18">
        <f>AE454-AF454+AG454-AH454</f>
        <v>3445359435</v>
      </c>
      <c r="AJ454" s="18">
        <f>AD454+AI454</f>
        <v>3445359435</v>
      </c>
      <c r="AK454" s="44">
        <v>0</v>
      </c>
      <c r="AL454" s="44">
        <v>3073770882</v>
      </c>
      <c r="AM454" s="43">
        <v>3073770882</v>
      </c>
      <c r="AN454" s="44">
        <v>0</v>
      </c>
      <c r="AO454" s="43">
        <v>2927988572</v>
      </c>
      <c r="AP454" s="43">
        <v>2927988572</v>
      </c>
      <c r="AQ454" s="44">
        <v>0</v>
      </c>
      <c r="AR454" s="44">
        <v>0</v>
      </c>
      <c r="AS454" s="44">
        <v>0</v>
      </c>
      <c r="AT454" s="40">
        <f t="shared" si="209"/>
        <v>0</v>
      </c>
      <c r="AU454" s="18">
        <f>AJ454-AM454</f>
        <v>371588553</v>
      </c>
      <c r="AV454" s="18">
        <f>AM454-AP454</f>
        <v>145782310</v>
      </c>
      <c r="AW454" s="18">
        <f>AP454-AT454</f>
        <v>2927988572</v>
      </c>
      <c r="AX454" s="123">
        <f>AP454/AJ454</f>
        <v>0.84983544597865734</v>
      </c>
    </row>
    <row r="455" spans="1:50" ht="18.75" customHeight="1" x14ac:dyDescent="0.2">
      <c r="AA455" s="169" t="s">
        <v>288</v>
      </c>
      <c r="AB455" s="163" t="s">
        <v>400</v>
      </c>
      <c r="AC455" s="17"/>
      <c r="AD455" s="18"/>
      <c r="AE455" s="145"/>
      <c r="AF455" s="34"/>
      <c r="AG455" s="34"/>
      <c r="AH455" s="34"/>
      <c r="AI455" s="34"/>
      <c r="AJ455" s="18"/>
      <c r="AK455" s="18"/>
      <c r="AL455" s="18"/>
      <c r="AM455" s="18"/>
      <c r="AN455" s="34"/>
      <c r="AO455" s="18"/>
      <c r="AP455" s="18"/>
      <c r="AQ455" s="34"/>
      <c r="AR455" s="34"/>
      <c r="AS455" s="34"/>
      <c r="AT455" s="40"/>
      <c r="AU455" s="18"/>
      <c r="AV455" s="18"/>
      <c r="AW455" s="18"/>
      <c r="AX455" s="18"/>
    </row>
    <row r="456" spans="1:50" ht="18.75" customHeight="1" x14ac:dyDescent="0.2">
      <c r="A456" s="4" t="s">
        <v>55</v>
      </c>
      <c r="B456" s="4" t="s">
        <v>56</v>
      </c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1" t="s">
        <v>401</v>
      </c>
      <c r="AB456" s="42" t="s">
        <v>233</v>
      </c>
      <c r="AC456" s="43" t="s">
        <v>58</v>
      </c>
      <c r="AD456" s="43">
        <v>1000000000</v>
      </c>
      <c r="AE456" s="143">
        <v>0</v>
      </c>
      <c r="AF456" s="44">
        <v>0</v>
      </c>
      <c r="AG456" s="43">
        <v>210000000</v>
      </c>
      <c r="AH456" s="44">
        <v>0</v>
      </c>
      <c r="AI456" s="18">
        <f>AE456-AF456+AG456-AH456</f>
        <v>210000000</v>
      </c>
      <c r="AJ456" s="18">
        <f>AD456+AI456</f>
        <v>1210000000</v>
      </c>
      <c r="AK456" s="44">
        <v>0</v>
      </c>
      <c r="AL456" s="43">
        <v>16833333</v>
      </c>
      <c r="AM456" s="43">
        <v>846783333</v>
      </c>
      <c r="AN456" s="43">
        <v>0</v>
      </c>
      <c r="AO456" s="43">
        <v>33713333</v>
      </c>
      <c r="AP456" s="43">
        <v>845463333</v>
      </c>
      <c r="AQ456" s="114">
        <v>8830000</v>
      </c>
      <c r="AR456" s="114">
        <v>94300000</v>
      </c>
      <c r="AS456" s="114">
        <v>574093333</v>
      </c>
      <c r="AT456" s="39">
        <f t="shared" ref="AT456:AT492" si="210">AQ456+AS456</f>
        <v>582923333</v>
      </c>
      <c r="AU456" s="110">
        <f>AJ456-AM456</f>
        <v>363216667</v>
      </c>
      <c r="AV456" s="110">
        <f>AM456-AP456</f>
        <v>1320000</v>
      </c>
      <c r="AW456" s="18">
        <f>AP456-AT456</f>
        <v>262540000</v>
      </c>
      <c r="AX456" s="123">
        <f>AP456/AJ456</f>
        <v>0.69873002727272726</v>
      </c>
    </row>
    <row r="457" spans="1:50" ht="18.75" customHeight="1" x14ac:dyDescent="0.2">
      <c r="AA457" s="16"/>
      <c r="AB457" s="17"/>
      <c r="AC457" s="17"/>
      <c r="AD457" s="18"/>
      <c r="AE457" s="145"/>
      <c r="AF457" s="34"/>
      <c r="AG457" s="34"/>
      <c r="AH457" s="34"/>
      <c r="AI457" s="34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30"/>
      <c r="AU457" s="18"/>
      <c r="AV457" s="18"/>
      <c r="AW457" s="18"/>
      <c r="AX457" s="18"/>
    </row>
    <row r="458" spans="1:50" ht="26.25" customHeight="1" x14ac:dyDescent="0.2">
      <c r="AA458" s="164" t="s">
        <v>288</v>
      </c>
      <c r="AB458" s="165" t="s">
        <v>964</v>
      </c>
      <c r="AC458" s="161"/>
      <c r="AD458" s="18"/>
      <c r="AE458" s="34"/>
      <c r="AF458" s="34"/>
      <c r="AG458" s="34"/>
      <c r="AH458" s="34"/>
      <c r="AI458" s="34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30"/>
      <c r="AU458" s="18"/>
      <c r="AV458" s="18"/>
      <c r="AW458" s="18"/>
      <c r="AX458" s="18"/>
    </row>
    <row r="459" spans="1:50" ht="18.75" customHeight="1" x14ac:dyDescent="0.2">
      <c r="AA459" s="166" t="s">
        <v>965</v>
      </c>
      <c r="AB459" s="167" t="s">
        <v>966</v>
      </c>
      <c r="AC459" s="161"/>
      <c r="AD459" s="34">
        <v>0</v>
      </c>
      <c r="AE459" s="34">
        <v>0</v>
      </c>
      <c r="AF459" s="34">
        <v>0</v>
      </c>
      <c r="AG459" s="18">
        <v>155990000</v>
      </c>
      <c r="AH459" s="34">
        <v>0</v>
      </c>
      <c r="AI459" s="18">
        <f>AE459-AF459+AG459-AH459</f>
        <v>155990000</v>
      </c>
      <c r="AJ459" s="18">
        <f>AD459+AI459</f>
        <v>155990000</v>
      </c>
      <c r="AK459" s="34">
        <v>0</v>
      </c>
      <c r="AL459" s="34">
        <v>155829436</v>
      </c>
      <c r="AM459" s="34">
        <v>155829436</v>
      </c>
      <c r="AN459" s="34">
        <v>0</v>
      </c>
      <c r="AO459" s="34">
        <v>0</v>
      </c>
      <c r="AP459" s="34">
        <v>0</v>
      </c>
      <c r="AQ459" s="34">
        <v>0</v>
      </c>
      <c r="AR459" s="34">
        <v>0</v>
      </c>
      <c r="AS459" s="34">
        <v>0</v>
      </c>
      <c r="AT459" s="40">
        <f t="shared" ref="AT459" si="211">AQ459+AS459</f>
        <v>0</v>
      </c>
      <c r="AU459" s="110">
        <f>AJ459-AM459</f>
        <v>160564</v>
      </c>
      <c r="AV459" s="133">
        <f>AM459-AP459</f>
        <v>155829436</v>
      </c>
      <c r="AW459" s="34">
        <f>AP459-AT459</f>
        <v>0</v>
      </c>
      <c r="AX459" s="123">
        <f>AP459/AJ459</f>
        <v>0</v>
      </c>
    </row>
    <row r="460" spans="1:50" ht="25.5" x14ac:dyDescent="0.2">
      <c r="AA460" s="28" t="s">
        <v>288</v>
      </c>
      <c r="AB460" s="29" t="s">
        <v>402</v>
      </c>
      <c r="AC460" s="17"/>
      <c r="AD460" s="18"/>
      <c r="AE460" s="34"/>
      <c r="AF460" s="34"/>
      <c r="AG460" s="34"/>
      <c r="AH460" s="34"/>
      <c r="AI460" s="34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30"/>
      <c r="AU460" s="18"/>
      <c r="AV460" s="18"/>
      <c r="AW460" s="18"/>
      <c r="AX460" s="18"/>
    </row>
    <row r="461" spans="1:50" ht="18.75" customHeight="1" x14ac:dyDescent="0.2">
      <c r="A461" s="4" t="s">
        <v>55</v>
      </c>
      <c r="B461" s="4" t="s">
        <v>56</v>
      </c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1" t="s">
        <v>403</v>
      </c>
      <c r="AB461" s="42" t="s">
        <v>233</v>
      </c>
      <c r="AC461" s="43" t="s">
        <v>58</v>
      </c>
      <c r="AD461" s="43">
        <v>206000002.94</v>
      </c>
      <c r="AE461" s="44">
        <v>0</v>
      </c>
      <c r="AF461" s="44">
        <v>0</v>
      </c>
      <c r="AG461" s="44">
        <v>0</v>
      </c>
      <c r="AH461" s="44">
        <v>0</v>
      </c>
      <c r="AI461" s="44">
        <v>0</v>
      </c>
      <c r="AJ461" s="43">
        <v>206000002.94</v>
      </c>
      <c r="AK461" s="44">
        <v>22156800</v>
      </c>
      <c r="AL461" s="115">
        <v>0</v>
      </c>
      <c r="AM461" s="114">
        <v>106224000</v>
      </c>
      <c r="AN461" s="44">
        <v>0</v>
      </c>
      <c r="AO461" s="115">
        <v>0</v>
      </c>
      <c r="AP461" s="114">
        <v>106224000</v>
      </c>
      <c r="AQ461" s="44">
        <v>0</v>
      </c>
      <c r="AR461" s="44">
        <v>0</v>
      </c>
      <c r="AS461" s="43">
        <v>106224000</v>
      </c>
      <c r="AT461" s="39">
        <f t="shared" ref="AT461" si="212">AQ461+AS461</f>
        <v>106224000</v>
      </c>
      <c r="AU461" s="18">
        <f>AJ461-AM461</f>
        <v>99776002.939999998</v>
      </c>
      <c r="AV461" s="34">
        <f>AM461-AP461</f>
        <v>0</v>
      </c>
      <c r="AW461" s="34">
        <f>AP461-AT461</f>
        <v>0</v>
      </c>
      <c r="AX461" s="123">
        <f>AP461/AJ461</f>
        <v>0.51565047807760966</v>
      </c>
    </row>
    <row r="462" spans="1:50" ht="18.75" customHeight="1" x14ac:dyDescent="0.2">
      <c r="AA462" s="28" t="s">
        <v>288</v>
      </c>
      <c r="AB462" s="29" t="s">
        <v>404</v>
      </c>
      <c r="AC462" s="17"/>
      <c r="AD462" s="18"/>
      <c r="AE462" s="34"/>
      <c r="AF462" s="34"/>
      <c r="AG462" s="34"/>
      <c r="AH462" s="34"/>
      <c r="AI462" s="34"/>
      <c r="AJ462" s="18"/>
      <c r="AK462" s="34"/>
      <c r="AL462" s="34"/>
      <c r="AM462" s="34"/>
      <c r="AN462" s="34"/>
      <c r="AO462" s="34"/>
      <c r="AP462" s="34"/>
      <c r="AQ462" s="34"/>
      <c r="AR462" s="34"/>
      <c r="AS462" s="34"/>
      <c r="AT462" s="31"/>
      <c r="AU462" s="18"/>
      <c r="AV462" s="34"/>
      <c r="AW462" s="133"/>
      <c r="AX462" s="18"/>
    </row>
    <row r="463" spans="1:50" ht="18.75" customHeight="1" x14ac:dyDescent="0.2">
      <c r="A463" s="4" t="s">
        <v>55</v>
      </c>
      <c r="B463" s="4" t="s">
        <v>56</v>
      </c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1" t="s">
        <v>405</v>
      </c>
      <c r="AB463" s="42" t="s">
        <v>233</v>
      </c>
      <c r="AC463" s="43" t="s">
        <v>58</v>
      </c>
      <c r="AD463" s="43">
        <v>50000000</v>
      </c>
      <c r="AE463" s="44">
        <v>0</v>
      </c>
      <c r="AF463" s="44">
        <v>0</v>
      </c>
      <c r="AG463" s="44">
        <v>0</v>
      </c>
      <c r="AH463" s="44">
        <v>0</v>
      </c>
      <c r="AI463" s="44">
        <v>0</v>
      </c>
      <c r="AJ463" s="43">
        <v>50000000</v>
      </c>
      <c r="AK463" s="44">
        <v>0</v>
      </c>
      <c r="AL463" s="44">
        <v>0</v>
      </c>
      <c r="AM463" s="43">
        <v>34682350</v>
      </c>
      <c r="AN463" s="44">
        <v>0</v>
      </c>
      <c r="AO463" s="44">
        <v>0</v>
      </c>
      <c r="AP463" s="44">
        <v>34682350</v>
      </c>
      <c r="AQ463" s="44">
        <v>0</v>
      </c>
      <c r="AR463" s="44">
        <v>0</v>
      </c>
      <c r="AS463" s="44">
        <v>0</v>
      </c>
      <c r="AT463" s="40">
        <f t="shared" si="210"/>
        <v>0</v>
      </c>
      <c r="AU463" s="18">
        <f>AJ463-AM463</f>
        <v>15317650</v>
      </c>
      <c r="AV463" s="34">
        <f>AM463-AP463</f>
        <v>0</v>
      </c>
      <c r="AW463" s="18">
        <f>AP463-AT463</f>
        <v>34682350</v>
      </c>
      <c r="AX463" s="123">
        <f>AP463/AJ463</f>
        <v>0.69364700000000001</v>
      </c>
    </row>
    <row r="464" spans="1:50" ht="18.75" customHeight="1" x14ac:dyDescent="0.2">
      <c r="AA464" s="28" t="s">
        <v>288</v>
      </c>
      <c r="AB464" s="29" t="s">
        <v>362</v>
      </c>
      <c r="AC464" s="17"/>
      <c r="AD464" s="18"/>
      <c r="AE464" s="34"/>
      <c r="AF464" s="34"/>
      <c r="AG464" s="34"/>
      <c r="AH464" s="34"/>
      <c r="AI464" s="34"/>
      <c r="AJ464" s="18"/>
      <c r="AK464" s="34"/>
      <c r="AL464" s="34"/>
      <c r="AM464" s="34"/>
      <c r="AN464" s="34"/>
      <c r="AO464" s="34"/>
      <c r="AP464" s="34"/>
      <c r="AQ464" s="34"/>
      <c r="AR464" s="34"/>
      <c r="AS464" s="34"/>
      <c r="AT464" s="31"/>
      <c r="AU464" s="18"/>
      <c r="AV464" s="34"/>
      <c r="AW464" s="133"/>
      <c r="AX464" s="18"/>
    </row>
    <row r="465" spans="1:50" ht="18.75" customHeight="1" x14ac:dyDescent="0.2">
      <c r="A465" s="4" t="s">
        <v>55</v>
      </c>
      <c r="B465" s="4" t="s">
        <v>56</v>
      </c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1" t="s">
        <v>406</v>
      </c>
      <c r="AB465" s="69" t="s">
        <v>379</v>
      </c>
      <c r="AC465" s="43" t="s">
        <v>380</v>
      </c>
      <c r="AD465" s="43">
        <v>155990000</v>
      </c>
      <c r="AE465" s="44">
        <v>0</v>
      </c>
      <c r="AF465" s="44">
        <v>0</v>
      </c>
      <c r="AG465" s="44">
        <v>0</v>
      </c>
      <c r="AH465" s="43">
        <v>155990000</v>
      </c>
      <c r="AI465" s="18">
        <f>AE465-AF465+AG465-AH465</f>
        <v>-155990000</v>
      </c>
      <c r="AJ465" s="34">
        <f>AD465+AI465</f>
        <v>0</v>
      </c>
      <c r="AK465" s="44">
        <v>0</v>
      </c>
      <c r="AL465" s="44">
        <v>0</v>
      </c>
      <c r="AM465" s="44">
        <v>0</v>
      </c>
      <c r="AN465" s="44">
        <v>0</v>
      </c>
      <c r="AO465" s="44">
        <v>0</v>
      </c>
      <c r="AP465" s="44">
        <v>0</v>
      </c>
      <c r="AQ465" s="44">
        <v>0</v>
      </c>
      <c r="AR465" s="44">
        <v>0</v>
      </c>
      <c r="AS465" s="44">
        <v>0</v>
      </c>
      <c r="AT465" s="40">
        <f t="shared" si="210"/>
        <v>0</v>
      </c>
      <c r="AU465" s="18">
        <f>AJ465-AM465</f>
        <v>0</v>
      </c>
      <c r="AV465" s="34">
        <f>AM465-AP465</f>
        <v>0</v>
      </c>
      <c r="AW465" s="133">
        <f>AP465-AT465</f>
        <v>0</v>
      </c>
      <c r="AX465" s="123">
        <v>0</v>
      </c>
    </row>
    <row r="466" spans="1:50" ht="18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73" t="s">
        <v>288</v>
      </c>
      <c r="AB466" s="82" t="s">
        <v>1321</v>
      </c>
      <c r="AC466" s="43"/>
      <c r="AD466" s="43"/>
      <c r="AE466" s="44"/>
      <c r="AF466" s="44"/>
      <c r="AG466" s="44"/>
      <c r="AH466" s="43"/>
      <c r="AI466" s="18"/>
      <c r="AJ466" s="3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0"/>
      <c r="AU466" s="18"/>
      <c r="AV466" s="34"/>
      <c r="AW466" s="133"/>
      <c r="AX466" s="123"/>
    </row>
    <row r="467" spans="1:50" ht="18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1" t="s">
        <v>1322</v>
      </c>
      <c r="AB467" s="69" t="s">
        <v>233</v>
      </c>
      <c r="AC467" s="43"/>
      <c r="AD467" s="43">
        <v>0</v>
      </c>
      <c r="AE467" s="44">
        <v>0</v>
      </c>
      <c r="AF467" s="44">
        <v>0</v>
      </c>
      <c r="AG467" s="43">
        <v>20000000</v>
      </c>
      <c r="AH467" s="43">
        <v>0</v>
      </c>
      <c r="AI467" s="18">
        <f>AE467-AF467+AG467-AH467</f>
        <v>20000000</v>
      </c>
      <c r="AJ467" s="18">
        <f>AD467+AI467</f>
        <v>20000000</v>
      </c>
      <c r="AK467" s="44">
        <v>0</v>
      </c>
      <c r="AL467" s="44">
        <v>0</v>
      </c>
      <c r="AM467" s="44">
        <v>0</v>
      </c>
      <c r="AN467" s="44">
        <v>0</v>
      </c>
      <c r="AO467" s="44">
        <v>0</v>
      </c>
      <c r="AP467" s="44">
        <v>0</v>
      </c>
      <c r="AQ467" s="44">
        <v>0</v>
      </c>
      <c r="AR467" s="44">
        <v>0</v>
      </c>
      <c r="AS467" s="44">
        <v>0</v>
      </c>
      <c r="AT467" s="40">
        <f t="shared" ref="AT467" si="213">AQ467+AS467</f>
        <v>0</v>
      </c>
      <c r="AU467" s="18">
        <f>AJ467-AM467</f>
        <v>20000000</v>
      </c>
      <c r="AV467" s="34">
        <f>AM467-AP467</f>
        <v>0</v>
      </c>
      <c r="AW467" s="133">
        <f>AP467-AT467</f>
        <v>0</v>
      </c>
      <c r="AX467" s="123">
        <v>0</v>
      </c>
    </row>
    <row r="468" spans="1:50" ht="18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73" t="s">
        <v>288</v>
      </c>
      <c r="AB468" s="82" t="s">
        <v>365</v>
      </c>
      <c r="AC468" s="43"/>
      <c r="AD468" s="43"/>
      <c r="AE468" s="44"/>
      <c r="AF468" s="44"/>
      <c r="AG468" s="44"/>
      <c r="AH468" s="43"/>
      <c r="AI468" s="18"/>
      <c r="AJ468" s="18"/>
      <c r="AK468" s="44"/>
      <c r="AL468" s="44"/>
      <c r="AM468" s="44"/>
      <c r="AN468" s="44"/>
      <c r="AO468" s="44"/>
      <c r="AP468" s="44"/>
      <c r="AQ468" s="44"/>
      <c r="AR468" s="44"/>
      <c r="AS468" s="44"/>
      <c r="AT468" s="40"/>
      <c r="AU468" s="18"/>
      <c r="AV468" s="34"/>
      <c r="AW468" s="133"/>
      <c r="AX468" s="123"/>
    </row>
    <row r="469" spans="1:50" ht="18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1" t="s">
        <v>988</v>
      </c>
      <c r="AB469" s="69" t="s">
        <v>978</v>
      </c>
      <c r="AC469" s="43"/>
      <c r="AD469" s="44">
        <v>0</v>
      </c>
      <c r="AE469" s="44">
        <v>0</v>
      </c>
      <c r="AF469" s="44">
        <v>0</v>
      </c>
      <c r="AG469" s="43">
        <v>1227570664.1400001</v>
      </c>
      <c r="AH469" s="43">
        <v>0</v>
      </c>
      <c r="AI469" s="18">
        <f>AE469-AF469+AG469-AH469</f>
        <v>1227570664.1400001</v>
      </c>
      <c r="AJ469" s="18">
        <f>AD469+AI469</f>
        <v>1227570664.1400001</v>
      </c>
      <c r="AK469" s="44">
        <v>0</v>
      </c>
      <c r="AL469" s="43">
        <v>217691215.96000001</v>
      </c>
      <c r="AM469" s="43">
        <v>690626434.63</v>
      </c>
      <c r="AN469" s="43">
        <v>0</v>
      </c>
      <c r="AO469" s="44">
        <v>0</v>
      </c>
      <c r="AP469" s="43">
        <v>472935217.25999999</v>
      </c>
      <c r="AQ469" s="44">
        <v>0</v>
      </c>
      <c r="AR469" s="44">
        <v>0</v>
      </c>
      <c r="AS469" s="43">
        <v>324849221</v>
      </c>
      <c r="AT469" s="40">
        <f t="shared" ref="AT469:AT470" si="214">AQ469+AS469</f>
        <v>324849221</v>
      </c>
      <c r="AU469" s="18">
        <f>AJ469-AM469</f>
        <v>536944229.51000011</v>
      </c>
      <c r="AV469" s="18">
        <f>AM469-AP469</f>
        <v>217691217.37</v>
      </c>
      <c r="AW469" s="18">
        <f>AP469-AT469</f>
        <v>148085996.25999999</v>
      </c>
      <c r="AX469" s="123">
        <v>0</v>
      </c>
    </row>
    <row r="470" spans="1:50" ht="18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1" t="s">
        <v>1298</v>
      </c>
      <c r="AB470" s="69" t="s">
        <v>978</v>
      </c>
      <c r="AC470" s="43"/>
      <c r="AD470" s="44"/>
      <c r="AE470" s="44">
        <v>0</v>
      </c>
      <c r="AF470" s="44">
        <v>0</v>
      </c>
      <c r="AG470" s="43">
        <v>60900682</v>
      </c>
      <c r="AH470" s="43"/>
      <c r="AI470" s="18">
        <f>AE470-AF470+AG470-AH470</f>
        <v>60900682</v>
      </c>
      <c r="AJ470" s="18">
        <f>AD470+AI470</f>
        <v>60900682</v>
      </c>
      <c r="AK470" s="44">
        <v>0</v>
      </c>
      <c r="AL470" s="44">
        <v>0</v>
      </c>
      <c r="AM470" s="43">
        <v>0</v>
      </c>
      <c r="AN470" s="43">
        <v>0</v>
      </c>
      <c r="AO470" s="44">
        <v>0</v>
      </c>
      <c r="AP470" s="44">
        <v>0</v>
      </c>
      <c r="AQ470" s="44">
        <v>0</v>
      </c>
      <c r="AR470" s="44">
        <v>0</v>
      </c>
      <c r="AS470" s="44">
        <v>0</v>
      </c>
      <c r="AT470" s="40">
        <f t="shared" si="214"/>
        <v>0</v>
      </c>
      <c r="AU470" s="18">
        <f>AJ470-AM470</f>
        <v>60900682</v>
      </c>
      <c r="AV470" s="34">
        <f>AM470-AP470</f>
        <v>0</v>
      </c>
      <c r="AW470" s="34">
        <f>AP470-AT470</f>
        <v>0</v>
      </c>
      <c r="AX470" s="123">
        <v>0</v>
      </c>
    </row>
    <row r="471" spans="1:50" ht="25.5" x14ac:dyDescent="0.2">
      <c r="AA471" s="28" t="s">
        <v>288</v>
      </c>
      <c r="AB471" s="29" t="s">
        <v>407</v>
      </c>
      <c r="AC471" s="17"/>
      <c r="AD471" s="18"/>
      <c r="AE471" s="34"/>
      <c r="AF471" s="34"/>
      <c r="AG471" s="34"/>
      <c r="AH471" s="34"/>
      <c r="AI471" s="34"/>
      <c r="AJ471" s="18"/>
      <c r="AK471" s="34"/>
      <c r="AL471" s="34"/>
      <c r="AM471" s="34"/>
      <c r="AN471" s="34"/>
      <c r="AO471" s="34"/>
      <c r="AP471" s="34"/>
      <c r="AQ471" s="34"/>
      <c r="AR471" s="34"/>
      <c r="AS471" s="34"/>
      <c r="AT471" s="31"/>
      <c r="AU471" s="18"/>
      <c r="AV471" s="34"/>
      <c r="AW471" s="133"/>
      <c r="AX471" s="18"/>
    </row>
    <row r="472" spans="1:50" ht="18.75" customHeight="1" x14ac:dyDescent="0.2">
      <c r="A472" s="4" t="s">
        <v>55</v>
      </c>
      <c r="B472" s="4" t="s">
        <v>56</v>
      </c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1" t="s">
        <v>408</v>
      </c>
      <c r="AB472" s="42" t="s">
        <v>233</v>
      </c>
      <c r="AC472" s="43" t="s">
        <v>58</v>
      </c>
      <c r="AD472" s="43">
        <v>126488672</v>
      </c>
      <c r="AE472" s="44">
        <v>0</v>
      </c>
      <c r="AF472" s="44">
        <v>0</v>
      </c>
      <c r="AG472" s="44">
        <v>0</v>
      </c>
      <c r="AH472" s="44">
        <v>0</v>
      </c>
      <c r="AI472" s="44">
        <v>0</v>
      </c>
      <c r="AJ472" s="43">
        <v>126488672</v>
      </c>
      <c r="AK472" s="44">
        <v>0</v>
      </c>
      <c r="AL472" s="44">
        <v>0</v>
      </c>
      <c r="AM472" s="43">
        <v>126488672</v>
      </c>
      <c r="AN472" s="44">
        <v>0</v>
      </c>
      <c r="AO472" s="44">
        <v>0</v>
      </c>
      <c r="AP472" s="43">
        <v>126488672</v>
      </c>
      <c r="AQ472" s="44">
        <v>0</v>
      </c>
      <c r="AR472" s="44">
        <v>0</v>
      </c>
      <c r="AS472" s="44">
        <v>0</v>
      </c>
      <c r="AT472" s="40">
        <f t="shared" ref="AT472:AT473" si="215">AQ472+AS472</f>
        <v>0</v>
      </c>
      <c r="AU472" s="34">
        <f>AJ472-AM472</f>
        <v>0</v>
      </c>
      <c r="AV472" s="34">
        <f>AM472-AP472</f>
        <v>0</v>
      </c>
      <c r="AW472" s="18">
        <f>AP472-AT472</f>
        <v>126488672</v>
      </c>
      <c r="AX472" s="123">
        <f>AP472/AJ472</f>
        <v>1</v>
      </c>
    </row>
    <row r="473" spans="1:50" ht="18.75" customHeight="1" x14ac:dyDescent="0.2">
      <c r="A473" s="4" t="s">
        <v>55</v>
      </c>
      <c r="B473" s="4" t="s">
        <v>56</v>
      </c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1" t="s">
        <v>409</v>
      </c>
      <c r="AB473" s="42" t="s">
        <v>379</v>
      </c>
      <c r="AC473" s="43" t="s">
        <v>380</v>
      </c>
      <c r="AD473" s="43">
        <v>373511328</v>
      </c>
      <c r="AE473" s="44">
        <v>0</v>
      </c>
      <c r="AF473" s="44">
        <v>0</v>
      </c>
      <c r="AG473" s="44">
        <v>0</v>
      </c>
      <c r="AH473" s="44">
        <v>0</v>
      </c>
      <c r="AI473" s="44">
        <v>0</v>
      </c>
      <c r="AJ473" s="43">
        <v>373511328</v>
      </c>
      <c r="AK473" s="44">
        <v>0</v>
      </c>
      <c r="AL473" s="44">
        <v>0</v>
      </c>
      <c r="AM473" s="43">
        <v>373511328</v>
      </c>
      <c r="AN473" s="44">
        <v>0</v>
      </c>
      <c r="AO473" s="44">
        <v>0</v>
      </c>
      <c r="AP473" s="43">
        <v>373511328</v>
      </c>
      <c r="AQ473" s="44">
        <v>0</v>
      </c>
      <c r="AR473" s="44">
        <v>0</v>
      </c>
      <c r="AS473" s="44">
        <v>0</v>
      </c>
      <c r="AT473" s="40">
        <f t="shared" si="215"/>
        <v>0</v>
      </c>
      <c r="AU473" s="34">
        <f>AJ473-AM473</f>
        <v>0</v>
      </c>
      <c r="AV473" s="34">
        <f>AM473-AP473</f>
        <v>0</v>
      </c>
      <c r="AW473" s="18">
        <f>AP473-AT473</f>
        <v>373511328</v>
      </c>
      <c r="AX473" s="123">
        <f>AP473/AJ473</f>
        <v>1</v>
      </c>
    </row>
    <row r="474" spans="1:50" ht="25.5" x14ac:dyDescent="0.2">
      <c r="AA474" s="28" t="s">
        <v>288</v>
      </c>
      <c r="AB474" s="29" t="s">
        <v>410</v>
      </c>
      <c r="AC474" s="17"/>
      <c r="AD474" s="18"/>
      <c r="AE474" s="145"/>
      <c r="AF474" s="34"/>
      <c r="AG474" s="34"/>
      <c r="AH474" s="34"/>
      <c r="AI474" s="34"/>
      <c r="AJ474" s="18"/>
      <c r="AK474" s="34"/>
      <c r="AL474" s="34"/>
      <c r="AM474" s="34"/>
      <c r="AN474" s="34"/>
      <c r="AO474" s="34"/>
      <c r="AP474" s="34"/>
      <c r="AQ474" s="34"/>
      <c r="AR474" s="34"/>
      <c r="AS474" s="34"/>
      <c r="AT474" s="31"/>
      <c r="AU474" s="18"/>
      <c r="AV474" s="34"/>
      <c r="AW474" s="18"/>
      <c r="AX474" s="18"/>
    </row>
    <row r="475" spans="1:50" ht="18.75" customHeight="1" x14ac:dyDescent="0.2">
      <c r="A475" s="4" t="s">
        <v>55</v>
      </c>
      <c r="B475" s="4" t="s">
        <v>56</v>
      </c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1" t="s">
        <v>411</v>
      </c>
      <c r="AB475" s="42" t="s">
        <v>412</v>
      </c>
      <c r="AC475" s="43" t="s">
        <v>380</v>
      </c>
      <c r="AD475" s="43">
        <v>6161937303</v>
      </c>
      <c r="AE475" s="143">
        <v>0</v>
      </c>
      <c r="AF475" s="44">
        <v>0</v>
      </c>
      <c r="AG475" s="44">
        <v>0</v>
      </c>
      <c r="AH475" s="44">
        <v>0</v>
      </c>
      <c r="AI475" s="44">
        <v>0</v>
      </c>
      <c r="AJ475" s="43">
        <v>6161937303</v>
      </c>
      <c r="AK475" s="43">
        <v>1317307558</v>
      </c>
      <c r="AL475" s="44">
        <v>0</v>
      </c>
      <c r="AM475" s="43">
        <v>4844629745</v>
      </c>
      <c r="AN475" s="44">
        <v>0</v>
      </c>
      <c r="AO475" s="44">
        <v>0</v>
      </c>
      <c r="AP475" s="43">
        <v>4844629745</v>
      </c>
      <c r="AQ475" s="43">
        <v>0</v>
      </c>
      <c r="AR475" s="44">
        <v>0</v>
      </c>
      <c r="AS475" s="43">
        <v>4844629745</v>
      </c>
      <c r="AT475" s="39">
        <f t="shared" ref="AT475:AT477" si="216">AQ475+AS475</f>
        <v>4844629745</v>
      </c>
      <c r="AU475" s="18">
        <f>AJ475-AM475</f>
        <v>1317307558</v>
      </c>
      <c r="AV475" s="34">
        <f>AM475-AP475</f>
        <v>0</v>
      </c>
      <c r="AW475" s="34">
        <f>AP475-AT475</f>
        <v>0</v>
      </c>
      <c r="AX475" s="123">
        <f>AP475/AJ475</f>
        <v>0.78621860411357058</v>
      </c>
    </row>
    <row r="476" spans="1:50" ht="18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1" t="s">
        <v>977</v>
      </c>
      <c r="AB476" s="42" t="s">
        <v>978</v>
      </c>
      <c r="AC476" s="43"/>
      <c r="AD476" s="43"/>
      <c r="AE476" s="142">
        <v>2137085601</v>
      </c>
      <c r="AF476" s="44">
        <v>0</v>
      </c>
      <c r="AG476" s="44">
        <v>0</v>
      </c>
      <c r="AH476" s="43">
        <v>1644954315.8499999</v>
      </c>
      <c r="AI476" s="18">
        <f>AE476-AF476+AG476-AH476</f>
        <v>492131285.1500001</v>
      </c>
      <c r="AJ476" s="18">
        <f>AD476+AI476</f>
        <v>492131285.1500001</v>
      </c>
      <c r="AK476" s="44">
        <v>0</v>
      </c>
      <c r="AL476" s="44">
        <v>0</v>
      </c>
      <c r="AM476" s="43">
        <v>492131285.14999998</v>
      </c>
      <c r="AN476" s="44">
        <v>0</v>
      </c>
      <c r="AO476" s="44">
        <v>0</v>
      </c>
      <c r="AP476" s="43">
        <v>423802091.47000003</v>
      </c>
      <c r="AQ476" s="43">
        <v>27189781.109999999</v>
      </c>
      <c r="AR476" s="43">
        <v>94333834.939999998</v>
      </c>
      <c r="AS476" s="43">
        <v>95652157.579999998</v>
      </c>
      <c r="AT476" s="39">
        <f t="shared" si="216"/>
        <v>122841938.69</v>
      </c>
      <c r="AU476" s="34">
        <f>AJ476-AM476</f>
        <v>0</v>
      </c>
      <c r="AV476" s="18">
        <f>AM476-AP476</f>
        <v>68329193.679999948</v>
      </c>
      <c r="AW476" s="18">
        <f>AP476-AT476</f>
        <v>300960152.78000003</v>
      </c>
      <c r="AX476" s="123">
        <f>AP476/AJ476</f>
        <v>0.86115657398376222</v>
      </c>
    </row>
    <row r="477" spans="1:50" ht="18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173" t="s">
        <v>1201</v>
      </c>
      <c r="AB477" s="42" t="s">
        <v>1202</v>
      </c>
      <c r="AC477" s="43"/>
      <c r="AD477" s="44">
        <v>0</v>
      </c>
      <c r="AE477" s="142">
        <v>60900682</v>
      </c>
      <c r="AF477" s="44"/>
      <c r="AG477" s="44"/>
      <c r="AH477" s="43">
        <v>60900682</v>
      </c>
      <c r="AI477" s="18">
        <f>AE477-AF477+AG477-AH477</f>
        <v>0</v>
      </c>
      <c r="AJ477" s="18">
        <f>AD477+AI477</f>
        <v>0</v>
      </c>
      <c r="AK477" s="44">
        <v>0</v>
      </c>
      <c r="AL477" s="44">
        <v>0</v>
      </c>
      <c r="AM477" s="43">
        <v>0</v>
      </c>
      <c r="AN477" s="44">
        <v>0</v>
      </c>
      <c r="AO477" s="44">
        <v>0</v>
      </c>
      <c r="AP477" s="43">
        <v>0</v>
      </c>
      <c r="AQ477" s="44">
        <v>0</v>
      </c>
      <c r="AR477" s="44">
        <v>0</v>
      </c>
      <c r="AS477" s="44">
        <v>0</v>
      </c>
      <c r="AT477" s="40">
        <f t="shared" si="216"/>
        <v>0</v>
      </c>
      <c r="AU477" s="34">
        <f>AJ477-AM477</f>
        <v>0</v>
      </c>
      <c r="AV477" s="18">
        <f>AM477-AP477</f>
        <v>0</v>
      </c>
      <c r="AW477" s="34">
        <f>AP477-AT477</f>
        <v>0</v>
      </c>
      <c r="AX477" s="123">
        <v>0</v>
      </c>
    </row>
    <row r="478" spans="1:50" ht="18.75" customHeight="1" x14ac:dyDescent="0.2">
      <c r="AA478" s="28" t="s">
        <v>288</v>
      </c>
      <c r="AB478" s="29" t="s">
        <v>320</v>
      </c>
      <c r="AC478" s="17"/>
      <c r="AD478" s="18"/>
      <c r="AE478" s="145"/>
      <c r="AF478" s="34"/>
      <c r="AG478" s="34"/>
      <c r="AH478" s="34"/>
      <c r="AI478" s="34"/>
      <c r="AJ478" s="18"/>
      <c r="AK478" s="18"/>
      <c r="AL478" s="18"/>
      <c r="AM478" s="18"/>
      <c r="AN478" s="18"/>
      <c r="AO478" s="18"/>
      <c r="AP478" s="18"/>
      <c r="AQ478" s="18"/>
      <c r="AR478" s="34"/>
      <c r="AS478" s="34"/>
      <c r="AT478" s="31"/>
      <c r="AU478" s="18"/>
      <c r="AV478" s="34"/>
      <c r="AW478" s="18"/>
      <c r="AX478" s="18"/>
    </row>
    <row r="479" spans="1:50" ht="18.75" customHeight="1" x14ac:dyDescent="0.2">
      <c r="A479" s="4" t="s">
        <v>37</v>
      </c>
      <c r="B479" s="4" t="s">
        <v>37</v>
      </c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1" t="s">
        <v>413</v>
      </c>
      <c r="AB479" s="42" t="s">
        <v>233</v>
      </c>
      <c r="AC479" s="43" t="s">
        <v>58</v>
      </c>
      <c r="AD479" s="43">
        <v>1212000000</v>
      </c>
      <c r="AE479" s="143">
        <v>0</v>
      </c>
      <c r="AF479" s="44">
        <v>0</v>
      </c>
      <c r="AG479" s="44">
        <v>0</v>
      </c>
      <c r="AH479" s="44">
        <v>0</v>
      </c>
      <c r="AI479" s="44">
        <v>0</v>
      </c>
      <c r="AJ479" s="43">
        <v>1212000000</v>
      </c>
      <c r="AK479" s="44">
        <v>0</v>
      </c>
      <c r="AL479" s="44">
        <v>0</v>
      </c>
      <c r="AM479" s="43">
        <v>1161315332</v>
      </c>
      <c r="AN479" s="44">
        <v>0</v>
      </c>
      <c r="AO479" s="44">
        <v>0</v>
      </c>
      <c r="AP479" s="43">
        <v>1161315332</v>
      </c>
      <c r="AQ479" s="44">
        <v>0</v>
      </c>
      <c r="AR479" s="43">
        <v>0</v>
      </c>
      <c r="AS479" s="43">
        <v>98352930</v>
      </c>
      <c r="AT479" s="39">
        <f t="shared" ref="AT479:AT480" si="217">AQ479+AS479</f>
        <v>98352930</v>
      </c>
      <c r="AU479" s="18">
        <f>AJ479-AM479</f>
        <v>50684668</v>
      </c>
      <c r="AV479" s="34">
        <f>AM479-AP479</f>
        <v>0</v>
      </c>
      <c r="AW479" s="18">
        <f>AP479-AT479</f>
        <v>1062962402</v>
      </c>
      <c r="AX479" s="123">
        <f>AP479/AJ479</f>
        <v>0.95818096699669963</v>
      </c>
    </row>
    <row r="480" spans="1:50" ht="18.75" customHeight="1" x14ac:dyDescent="0.2">
      <c r="A480" s="4" t="s">
        <v>55</v>
      </c>
      <c r="B480" s="4" t="s">
        <v>56</v>
      </c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1" t="s">
        <v>414</v>
      </c>
      <c r="AB480" s="42" t="s">
        <v>328</v>
      </c>
      <c r="AC480" s="43" t="s">
        <v>61</v>
      </c>
      <c r="AD480" s="43">
        <v>13807166550</v>
      </c>
      <c r="AE480" s="44">
        <v>0</v>
      </c>
      <c r="AF480" s="44">
        <v>0</v>
      </c>
      <c r="AG480" s="44">
        <v>0</v>
      </c>
      <c r="AH480" s="43">
        <f>23257108+31152316</f>
        <v>54409424</v>
      </c>
      <c r="AI480" s="18">
        <f>AE480-AF480+AG480-AH480</f>
        <v>-54409424</v>
      </c>
      <c r="AJ480" s="18">
        <f>AD480+AI480</f>
        <v>13752757126</v>
      </c>
      <c r="AK480" s="44">
        <v>0</v>
      </c>
      <c r="AL480" s="43">
        <v>0</v>
      </c>
      <c r="AM480" s="43">
        <v>13147919116</v>
      </c>
      <c r="AN480" s="44">
        <v>0</v>
      </c>
      <c r="AO480" s="43">
        <v>0</v>
      </c>
      <c r="AP480" s="43">
        <v>13147919116</v>
      </c>
      <c r="AQ480" s="44">
        <v>0</v>
      </c>
      <c r="AR480" s="43">
        <v>0</v>
      </c>
      <c r="AS480" s="43">
        <v>3422248161</v>
      </c>
      <c r="AT480" s="39">
        <f t="shared" si="217"/>
        <v>3422248161</v>
      </c>
      <c r="AU480" s="18">
        <f>AJ480-AM480</f>
        <v>604838010</v>
      </c>
      <c r="AV480" s="34">
        <f>AM480-AP480</f>
        <v>0</v>
      </c>
      <c r="AW480" s="18">
        <f>AP480-AT480</f>
        <v>9725670955</v>
      </c>
      <c r="AX480" s="123">
        <f>AP480/AJ480</f>
        <v>0.95602059976348053</v>
      </c>
    </row>
    <row r="481" spans="1:50" ht="38.25" x14ac:dyDescent="0.2">
      <c r="AA481" s="28" t="s">
        <v>288</v>
      </c>
      <c r="AB481" s="29" t="s">
        <v>415</v>
      </c>
      <c r="AC481" s="17"/>
      <c r="AD481" s="18"/>
      <c r="AE481" s="34"/>
      <c r="AF481" s="34"/>
      <c r="AG481" s="34"/>
      <c r="AH481" s="34"/>
      <c r="AI481" s="34"/>
      <c r="AJ481" s="18"/>
      <c r="AK481" s="34"/>
      <c r="AL481" s="34"/>
      <c r="AM481" s="18"/>
      <c r="AN481" s="18"/>
      <c r="AO481" s="18"/>
      <c r="AP481" s="18"/>
      <c r="AQ481" s="34"/>
      <c r="AR481" s="34"/>
      <c r="AS481" s="34"/>
      <c r="AT481" s="40"/>
      <c r="AU481" s="18"/>
      <c r="AV481" s="34"/>
      <c r="AW481" s="18"/>
      <c r="AX481" s="18"/>
    </row>
    <row r="482" spans="1:50" ht="18.75" customHeight="1" x14ac:dyDescent="0.2">
      <c r="A482" s="4" t="s">
        <v>55</v>
      </c>
      <c r="B482" s="4" t="s">
        <v>56</v>
      </c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1" t="s">
        <v>416</v>
      </c>
      <c r="AB482" s="42" t="s">
        <v>379</v>
      </c>
      <c r="AC482" s="43" t="s">
        <v>380</v>
      </c>
      <c r="AD482" s="43">
        <v>50000000</v>
      </c>
      <c r="AE482" s="44">
        <v>0</v>
      </c>
      <c r="AF482" s="44">
        <v>0</v>
      </c>
      <c r="AG482" s="44">
        <v>0</v>
      </c>
      <c r="AH482" s="44">
        <v>0</v>
      </c>
      <c r="AI482" s="44">
        <v>0</v>
      </c>
      <c r="AJ482" s="43">
        <v>50000000</v>
      </c>
      <c r="AK482" s="44">
        <v>0</v>
      </c>
      <c r="AL482" s="43">
        <v>0</v>
      </c>
      <c r="AM482" s="43">
        <v>50000000</v>
      </c>
      <c r="AN482" s="44">
        <v>0</v>
      </c>
      <c r="AO482" s="44">
        <v>0</v>
      </c>
      <c r="AP482" s="43">
        <v>50000000</v>
      </c>
      <c r="AQ482" s="44">
        <v>0</v>
      </c>
      <c r="AR482" s="44">
        <v>0</v>
      </c>
      <c r="AS482" s="44">
        <v>0</v>
      </c>
      <c r="AT482" s="40">
        <f t="shared" ref="AT482:AT484" si="218">AQ482+AS482</f>
        <v>0</v>
      </c>
      <c r="AU482" s="34">
        <f>AJ482-AM482</f>
        <v>0</v>
      </c>
      <c r="AV482" s="34">
        <f>AM482-AP482</f>
        <v>0</v>
      </c>
      <c r="AW482" s="18">
        <f>AP482-AT482</f>
        <v>50000000</v>
      </c>
      <c r="AX482" s="123">
        <f>AP482/AJ482</f>
        <v>1</v>
      </c>
    </row>
    <row r="483" spans="1:50" ht="18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173" t="s">
        <v>1205</v>
      </c>
      <c r="AB483" s="42" t="s">
        <v>1204</v>
      </c>
      <c r="AC483" s="43"/>
      <c r="AD483" s="44">
        <v>0</v>
      </c>
      <c r="AE483" s="43">
        <v>200000000</v>
      </c>
      <c r="AF483" s="44"/>
      <c r="AG483" s="44"/>
      <c r="AH483" s="44"/>
      <c r="AI483" s="18">
        <f>AE483-AF483+AG483-AH483</f>
        <v>200000000</v>
      </c>
      <c r="AJ483" s="18">
        <f>AD483+AI483</f>
        <v>200000000</v>
      </c>
      <c r="AK483" s="44">
        <v>0</v>
      </c>
      <c r="AL483" s="44">
        <v>0</v>
      </c>
      <c r="AM483" s="44">
        <v>0</v>
      </c>
      <c r="AN483" s="44">
        <v>0</v>
      </c>
      <c r="AO483" s="44">
        <v>0</v>
      </c>
      <c r="AP483" s="44">
        <v>0</v>
      </c>
      <c r="AQ483" s="44">
        <v>0</v>
      </c>
      <c r="AR483" s="44">
        <v>0</v>
      </c>
      <c r="AS483" s="44">
        <v>0</v>
      </c>
      <c r="AT483" s="40">
        <f t="shared" si="218"/>
        <v>0</v>
      </c>
      <c r="AU483" s="18">
        <f>AJ483-AM483</f>
        <v>200000000</v>
      </c>
      <c r="AV483" s="34">
        <f>AM483-AP483</f>
        <v>0</v>
      </c>
      <c r="AW483" s="34">
        <f>AP483-AT483</f>
        <v>0</v>
      </c>
      <c r="AX483" s="123">
        <f>AP483/AJ483</f>
        <v>0</v>
      </c>
    </row>
    <row r="484" spans="1:50" ht="18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173" t="s">
        <v>1297</v>
      </c>
      <c r="AB484" s="42" t="s">
        <v>328</v>
      </c>
      <c r="AC484" s="43"/>
      <c r="AD484" s="44"/>
      <c r="AE484" s="43">
        <v>0</v>
      </c>
      <c r="AF484" s="44">
        <v>0</v>
      </c>
      <c r="AG484" s="43">
        <v>31152316</v>
      </c>
      <c r="AH484" s="44">
        <v>0</v>
      </c>
      <c r="AI484" s="18">
        <f>AE484-AF484+AG484-AH484</f>
        <v>31152316</v>
      </c>
      <c r="AJ484" s="18">
        <f>AD484+AI484</f>
        <v>31152316</v>
      </c>
      <c r="AK484" s="44">
        <v>0</v>
      </c>
      <c r="AL484" s="43">
        <v>31152316</v>
      </c>
      <c r="AM484" s="43">
        <v>31152316</v>
      </c>
      <c r="AN484" s="44">
        <v>0</v>
      </c>
      <c r="AO484" s="44">
        <v>0</v>
      </c>
      <c r="AP484" s="44">
        <v>0</v>
      </c>
      <c r="AQ484" s="44">
        <v>0</v>
      </c>
      <c r="AR484" s="44">
        <v>0</v>
      </c>
      <c r="AS484" s="44">
        <v>0</v>
      </c>
      <c r="AT484" s="40">
        <f t="shared" si="218"/>
        <v>0</v>
      </c>
      <c r="AU484" s="18">
        <f>AJ484-AM484</f>
        <v>0</v>
      </c>
      <c r="AV484" s="18">
        <f>AM484-AP484</f>
        <v>31152316</v>
      </c>
      <c r="AW484" s="34">
        <f>AP484-AT484</f>
        <v>0</v>
      </c>
      <c r="AX484" s="123">
        <f>AP484/AJ484</f>
        <v>0</v>
      </c>
    </row>
    <row r="485" spans="1:50" ht="25.5" x14ac:dyDescent="0.2">
      <c r="AA485" s="28" t="s">
        <v>288</v>
      </c>
      <c r="AB485" s="29" t="s">
        <v>418</v>
      </c>
      <c r="AC485" s="17"/>
      <c r="AD485" s="18"/>
      <c r="AE485" s="34"/>
      <c r="AF485" s="34"/>
      <c r="AG485" s="34"/>
      <c r="AH485" s="34"/>
      <c r="AI485" s="34"/>
      <c r="AJ485" s="18"/>
      <c r="AK485" s="34"/>
      <c r="AL485" s="34"/>
      <c r="AM485" s="34"/>
      <c r="AN485" s="34"/>
      <c r="AO485" s="34"/>
      <c r="AP485" s="34"/>
      <c r="AQ485" s="34"/>
      <c r="AR485" s="34"/>
      <c r="AS485" s="34"/>
      <c r="AT485" s="40"/>
      <c r="AU485" s="18"/>
      <c r="AV485" s="34"/>
      <c r="AW485" s="34"/>
      <c r="AX485" s="18"/>
    </row>
    <row r="486" spans="1:50" x14ac:dyDescent="0.2">
      <c r="A486" s="4" t="s">
        <v>55</v>
      </c>
      <c r="B486" s="4" t="s">
        <v>56</v>
      </c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1" t="s">
        <v>419</v>
      </c>
      <c r="AB486" s="42" t="s">
        <v>233</v>
      </c>
      <c r="AC486" s="43" t="s">
        <v>58</v>
      </c>
      <c r="AD486" s="43">
        <v>200000000</v>
      </c>
      <c r="AE486" s="44">
        <v>0</v>
      </c>
      <c r="AF486" s="44">
        <v>0</v>
      </c>
      <c r="AG486" s="44">
        <v>0</v>
      </c>
      <c r="AH486" s="44">
        <v>0</v>
      </c>
      <c r="AI486" s="44">
        <v>0</v>
      </c>
      <c r="AJ486" s="43">
        <v>200000000</v>
      </c>
      <c r="AK486" s="44">
        <v>0</v>
      </c>
      <c r="AL486" s="43">
        <v>102089582</v>
      </c>
      <c r="AM486" s="43">
        <v>102089582</v>
      </c>
      <c r="AN486" s="44">
        <v>0</v>
      </c>
      <c r="AO486" s="43">
        <v>102089582</v>
      </c>
      <c r="AP486" s="43">
        <v>102089582</v>
      </c>
      <c r="AQ486" s="43">
        <v>0</v>
      </c>
      <c r="AR486" s="43">
        <v>101553680.63</v>
      </c>
      <c r="AS486" s="43">
        <v>101553680.63</v>
      </c>
      <c r="AT486" s="40">
        <f t="shared" si="210"/>
        <v>101553680.63</v>
      </c>
      <c r="AU486" s="18">
        <f>AJ486-AM486</f>
        <v>97910418</v>
      </c>
      <c r="AV486" s="34">
        <f>AM486-AP486</f>
        <v>0</v>
      </c>
      <c r="AW486" s="18">
        <f>AP486-AT486</f>
        <v>535901.37000000477</v>
      </c>
      <c r="AX486" s="123">
        <f>AP486/AJ486</f>
        <v>0.51044791</v>
      </c>
    </row>
    <row r="487" spans="1:50" ht="51" x14ac:dyDescent="0.2">
      <c r="AA487" s="28" t="s">
        <v>288</v>
      </c>
      <c r="AB487" s="29" t="s">
        <v>420</v>
      </c>
      <c r="AC487" s="17"/>
      <c r="AD487" s="18"/>
      <c r="AE487" s="34"/>
      <c r="AF487" s="34"/>
      <c r="AG487" s="34"/>
      <c r="AH487" s="34"/>
      <c r="AI487" s="34"/>
      <c r="AJ487" s="18"/>
      <c r="AK487" s="34"/>
      <c r="AL487" s="18"/>
      <c r="AM487" s="18"/>
      <c r="AN487" s="34"/>
      <c r="AO487" s="18"/>
      <c r="AP487" s="18"/>
      <c r="AQ487" s="18"/>
      <c r="AR487" s="18"/>
      <c r="AS487" s="18"/>
      <c r="AT487" s="40"/>
      <c r="AU487" s="18"/>
      <c r="AV487" s="18"/>
      <c r="AW487" s="18"/>
      <c r="AX487" s="18"/>
    </row>
    <row r="488" spans="1:50" x14ac:dyDescent="0.2">
      <c r="A488" s="4" t="s">
        <v>55</v>
      </c>
      <c r="B488" s="4" t="s">
        <v>56</v>
      </c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1" t="s">
        <v>421</v>
      </c>
      <c r="AB488" s="42" t="s">
        <v>328</v>
      </c>
      <c r="AC488" s="43" t="s">
        <v>61</v>
      </c>
      <c r="AD488" s="43">
        <v>501573828</v>
      </c>
      <c r="AE488" s="44">
        <v>0</v>
      </c>
      <c r="AF488" s="44">
        <v>0</v>
      </c>
      <c r="AG488" s="43">
        <v>280746171.69999999</v>
      </c>
      <c r="AH488" s="43">
        <f>3845830+18397564.7</f>
        <v>22243394.699999999</v>
      </c>
      <c r="AI488" s="18">
        <f>AE488-AF488+AG488-AH488</f>
        <v>258502777</v>
      </c>
      <c r="AJ488" s="18">
        <f>AD488+AI488</f>
        <v>760076605</v>
      </c>
      <c r="AK488" s="44">
        <v>0</v>
      </c>
      <c r="AL488" s="43">
        <v>-2800000</v>
      </c>
      <c r="AM488" s="43">
        <v>529200000</v>
      </c>
      <c r="AN488" s="44">
        <v>0</v>
      </c>
      <c r="AO488" s="44">
        <v>0</v>
      </c>
      <c r="AP488" s="43">
        <v>529200000</v>
      </c>
      <c r="AQ488" s="43">
        <v>109200000</v>
      </c>
      <c r="AR488" s="43">
        <v>61600000</v>
      </c>
      <c r="AS488" s="43">
        <v>275986666</v>
      </c>
      <c r="AT488" s="39">
        <f t="shared" si="210"/>
        <v>385186666</v>
      </c>
      <c r="AU488" s="18">
        <f>AJ488-AM488</f>
        <v>230876605</v>
      </c>
      <c r="AV488" s="18">
        <f>AM488-AP488</f>
        <v>0</v>
      </c>
      <c r="AW488" s="18">
        <f>AP488-AT488</f>
        <v>144013334</v>
      </c>
      <c r="AX488" s="123">
        <f>AP488/AJ488</f>
        <v>0.69624561066446722</v>
      </c>
    </row>
    <row r="489" spans="1:50" ht="25.5" x14ac:dyDescent="0.2">
      <c r="A489" s="4" t="s">
        <v>55</v>
      </c>
      <c r="B489" s="4" t="s">
        <v>56</v>
      </c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1" t="s">
        <v>422</v>
      </c>
      <c r="AB489" s="42" t="s">
        <v>423</v>
      </c>
      <c r="AC489" s="43" t="s">
        <v>424</v>
      </c>
      <c r="AD489" s="43">
        <v>370346171.69999999</v>
      </c>
      <c r="AE489" s="44">
        <v>0</v>
      </c>
      <c r="AF489" s="44">
        <v>0</v>
      </c>
      <c r="AG489" s="44">
        <v>0</v>
      </c>
      <c r="AH489" s="43">
        <v>280746171.69999999</v>
      </c>
      <c r="AI489" s="18">
        <f>AE489-AF489+AG489-AH489</f>
        <v>-280746171.69999999</v>
      </c>
      <c r="AJ489" s="18">
        <f>AD489+AI489</f>
        <v>89600000</v>
      </c>
      <c r="AK489" s="44">
        <v>0</v>
      </c>
      <c r="AL489" s="43">
        <v>0</v>
      </c>
      <c r="AM489" s="43">
        <v>89600000</v>
      </c>
      <c r="AN489" s="43">
        <v>0</v>
      </c>
      <c r="AO489" s="44">
        <v>0</v>
      </c>
      <c r="AP489" s="43">
        <v>89600000</v>
      </c>
      <c r="AQ489" s="43">
        <v>39200000</v>
      </c>
      <c r="AR489" s="43">
        <v>5600000</v>
      </c>
      <c r="AS489" s="43">
        <v>27066668</v>
      </c>
      <c r="AT489" s="39">
        <f t="shared" si="210"/>
        <v>66266668</v>
      </c>
      <c r="AU489" s="34">
        <f>AJ489-AM489</f>
        <v>0</v>
      </c>
      <c r="AV489" s="34">
        <f>AM489-AP489</f>
        <v>0</v>
      </c>
      <c r="AW489" s="18">
        <f>AP489-AT489</f>
        <v>23333332</v>
      </c>
      <c r="AX489" s="123">
        <f>AP489/AJ489</f>
        <v>1</v>
      </c>
    </row>
    <row r="490" spans="1:50" ht="18.75" customHeight="1" x14ac:dyDescent="0.2">
      <c r="AA490" s="28" t="s">
        <v>288</v>
      </c>
      <c r="AB490" s="29" t="s">
        <v>400</v>
      </c>
      <c r="AC490" s="17"/>
      <c r="AD490" s="18"/>
      <c r="AE490" s="34"/>
      <c r="AF490" s="34"/>
      <c r="AG490" s="34"/>
      <c r="AH490" s="34"/>
      <c r="AI490" s="34"/>
      <c r="AJ490" s="18"/>
      <c r="AK490" s="34"/>
      <c r="AL490" s="18"/>
      <c r="AM490" s="18"/>
      <c r="AN490" s="34"/>
      <c r="AO490" s="18"/>
      <c r="AP490" s="18"/>
      <c r="AQ490" s="34"/>
      <c r="AR490" s="34"/>
      <c r="AS490" s="34"/>
      <c r="AT490" s="40"/>
      <c r="AU490" s="18"/>
      <c r="AV490" s="18"/>
      <c r="AW490" s="18"/>
      <c r="AX490" s="18"/>
    </row>
    <row r="491" spans="1:50" ht="18.75" customHeight="1" x14ac:dyDescent="0.2">
      <c r="A491" s="4" t="s">
        <v>55</v>
      </c>
      <c r="B491" s="4" t="s">
        <v>56</v>
      </c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1" t="s">
        <v>425</v>
      </c>
      <c r="AB491" s="42" t="s">
        <v>233</v>
      </c>
      <c r="AC491" s="43" t="s">
        <v>58</v>
      </c>
      <c r="AD491" s="43">
        <v>318078211</v>
      </c>
      <c r="AE491" s="44">
        <v>0</v>
      </c>
      <c r="AF491" s="44">
        <v>0</v>
      </c>
      <c r="AG491" s="44">
        <v>0</v>
      </c>
      <c r="AH491" s="43">
        <v>68793982.700000003</v>
      </c>
      <c r="AI491" s="18">
        <f>AE491-AF491+AG491-AH491</f>
        <v>-68793982.700000003</v>
      </c>
      <c r="AJ491" s="18">
        <f>AD491+AI491</f>
        <v>249284228.30000001</v>
      </c>
      <c r="AK491" s="44">
        <v>0</v>
      </c>
      <c r="AL491" s="44">
        <v>0</v>
      </c>
      <c r="AM491" s="43">
        <v>217200000</v>
      </c>
      <c r="AN491" s="44">
        <v>0</v>
      </c>
      <c r="AO491" s="44">
        <v>0</v>
      </c>
      <c r="AP491" s="43">
        <v>217200000</v>
      </c>
      <c r="AQ491" s="44">
        <v>0</v>
      </c>
      <c r="AR491" s="114">
        <v>27150000</v>
      </c>
      <c r="AS491" s="114">
        <v>166006667</v>
      </c>
      <c r="AT491" s="39">
        <f t="shared" si="210"/>
        <v>166006667</v>
      </c>
      <c r="AU491" s="18">
        <f>AJ491-AM491</f>
        <v>32084228.300000012</v>
      </c>
      <c r="AV491" s="34">
        <f>AM491-AP491</f>
        <v>0</v>
      </c>
      <c r="AW491" s="18">
        <f>AP491-AT491</f>
        <v>51193333</v>
      </c>
      <c r="AX491" s="123">
        <f>AP491/AJ491</f>
        <v>0.8712945920453965</v>
      </c>
    </row>
    <row r="492" spans="1:50" ht="18.75" customHeight="1" x14ac:dyDescent="0.2">
      <c r="A492" s="4" t="s">
        <v>55</v>
      </c>
      <c r="B492" s="4" t="s">
        <v>56</v>
      </c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1" t="s">
        <v>426</v>
      </c>
      <c r="AB492" s="42" t="s">
        <v>427</v>
      </c>
      <c r="AC492" s="43" t="s">
        <v>428</v>
      </c>
      <c r="AD492" s="43">
        <v>12674978.119999999</v>
      </c>
      <c r="AE492" s="44">
        <v>0</v>
      </c>
      <c r="AF492" s="44">
        <v>0</v>
      </c>
      <c r="AG492" s="44">
        <v>0</v>
      </c>
      <c r="AH492" s="44">
        <v>0</v>
      </c>
      <c r="AI492" s="44">
        <v>0</v>
      </c>
      <c r="AJ492" s="43">
        <v>12674978.119999999</v>
      </c>
      <c r="AK492" s="44">
        <v>0</v>
      </c>
      <c r="AL492" s="44">
        <v>0</v>
      </c>
      <c r="AM492" s="44">
        <v>0</v>
      </c>
      <c r="AN492" s="44">
        <v>0</v>
      </c>
      <c r="AO492" s="44">
        <v>0</v>
      </c>
      <c r="AP492" s="44">
        <v>0</v>
      </c>
      <c r="AQ492" s="44">
        <v>0</v>
      </c>
      <c r="AR492" s="44">
        <v>0</v>
      </c>
      <c r="AS492" s="44">
        <v>0</v>
      </c>
      <c r="AT492" s="40">
        <f t="shared" si="210"/>
        <v>0</v>
      </c>
      <c r="AU492" s="18">
        <f>AJ492-AM492</f>
        <v>12674978.119999999</v>
      </c>
      <c r="AV492" s="34">
        <f>AM492-AP492</f>
        <v>0</v>
      </c>
      <c r="AW492" s="34">
        <f>AP492-AT492</f>
        <v>0</v>
      </c>
      <c r="AX492" s="123">
        <f>AP492/AJ492</f>
        <v>0</v>
      </c>
    </row>
    <row r="493" spans="1:50" ht="18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1"/>
      <c r="AB493" s="42"/>
      <c r="AC493" s="168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0"/>
      <c r="AU493" s="18"/>
      <c r="AV493" s="34"/>
      <c r="AW493" s="34"/>
      <c r="AX493" s="123"/>
    </row>
    <row r="494" spans="1:50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170" t="s">
        <v>1016</v>
      </c>
      <c r="AB494" s="170" t="s">
        <v>997</v>
      </c>
      <c r="AC494" s="168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0"/>
      <c r="AU494" s="18"/>
      <c r="AV494" s="34"/>
      <c r="AW494" s="34"/>
      <c r="AX494" s="123"/>
    </row>
    <row r="495" spans="1:50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170" t="s">
        <v>1017</v>
      </c>
      <c r="AB495" s="170" t="s">
        <v>999</v>
      </c>
      <c r="AC495" s="168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0"/>
      <c r="AU495" s="18"/>
      <c r="AV495" s="34"/>
      <c r="AW495" s="34"/>
      <c r="AX495" s="123"/>
    </row>
    <row r="496" spans="1:50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170" t="s">
        <v>1018</v>
      </c>
      <c r="AB496" s="170" t="s">
        <v>1001</v>
      </c>
      <c r="AC496" s="168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0"/>
      <c r="AU496" s="18"/>
      <c r="AV496" s="34"/>
      <c r="AW496" s="34"/>
      <c r="AX496" s="123"/>
    </row>
    <row r="497" spans="1:50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170" t="s">
        <v>1021</v>
      </c>
      <c r="AB497" s="165" t="s">
        <v>1003</v>
      </c>
      <c r="AC497" s="168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0"/>
      <c r="AU497" s="18"/>
      <c r="AV497" s="34"/>
      <c r="AW497" s="34"/>
      <c r="AX497" s="123"/>
    </row>
    <row r="498" spans="1:50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166" t="s">
        <v>1019</v>
      </c>
      <c r="AB498" s="167" t="s">
        <v>1005</v>
      </c>
      <c r="AC498" s="168"/>
      <c r="AD498" s="44">
        <v>0</v>
      </c>
      <c r="AE498" s="43">
        <v>289968755.39999998</v>
      </c>
      <c r="AF498" s="44">
        <v>0</v>
      </c>
      <c r="AG498" s="44">
        <v>0</v>
      </c>
      <c r="AH498" s="44">
        <v>0</v>
      </c>
      <c r="AI498" s="18">
        <f t="shared" ref="AI498:AI499" si="219">AE498-AF498+AG498-AH498</f>
        <v>289968755.39999998</v>
      </c>
      <c r="AJ498" s="18">
        <f t="shared" ref="AJ498:AJ499" si="220">AD498+AI498</f>
        <v>289968755.39999998</v>
      </c>
      <c r="AK498" s="44">
        <v>0</v>
      </c>
      <c r="AL498" s="44">
        <v>0</v>
      </c>
      <c r="AM498" s="43">
        <v>97697299.079999998</v>
      </c>
      <c r="AN498" s="44">
        <v>0</v>
      </c>
      <c r="AO498" s="44">
        <v>0</v>
      </c>
      <c r="AP498" s="43">
        <v>97697299.079999998</v>
      </c>
      <c r="AQ498" s="44">
        <v>0</v>
      </c>
      <c r="AR498" s="44">
        <v>0</v>
      </c>
      <c r="AS498" s="43">
        <v>2031817</v>
      </c>
      <c r="AT498" s="39">
        <f t="shared" ref="AT498:AT499" si="221">AQ498+AS498</f>
        <v>2031817</v>
      </c>
      <c r="AU498" s="18">
        <f>AJ498-AM498</f>
        <v>192271456.31999999</v>
      </c>
      <c r="AV498" s="34">
        <f>AM498-AP498</f>
        <v>0</v>
      </c>
      <c r="AW498" s="18">
        <f>AP498-AT498</f>
        <v>95665482.079999998</v>
      </c>
      <c r="AX498" s="123">
        <f>AP498/AJ498</f>
        <v>0.33692353834891831</v>
      </c>
    </row>
    <row r="499" spans="1:50" ht="25.5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166" t="s">
        <v>1022</v>
      </c>
      <c r="AB499" s="167" t="s">
        <v>1023</v>
      </c>
      <c r="AC499" s="168"/>
      <c r="AD499" s="44">
        <v>0</v>
      </c>
      <c r="AE499" s="43">
        <v>185022377.55000001</v>
      </c>
      <c r="AF499" s="44">
        <v>0</v>
      </c>
      <c r="AG499" s="44">
        <v>0</v>
      </c>
      <c r="AH499" s="44">
        <v>0</v>
      </c>
      <c r="AI499" s="18">
        <f t="shared" si="219"/>
        <v>185022377.55000001</v>
      </c>
      <c r="AJ499" s="18">
        <f t="shared" si="220"/>
        <v>185022377.55000001</v>
      </c>
      <c r="AK499" s="44">
        <v>0</v>
      </c>
      <c r="AL499" s="44">
        <v>0</v>
      </c>
      <c r="AM499" s="43">
        <v>185022377.55000001</v>
      </c>
      <c r="AN499" s="44">
        <v>0</v>
      </c>
      <c r="AO499" s="44">
        <v>0</v>
      </c>
      <c r="AP499" s="43">
        <v>185022377.55000001</v>
      </c>
      <c r="AQ499" s="44">
        <v>0</v>
      </c>
      <c r="AR499" s="44">
        <v>0</v>
      </c>
      <c r="AS499" s="43">
        <v>185022377.55000001</v>
      </c>
      <c r="AT499" s="39">
        <f t="shared" si="221"/>
        <v>185022377.55000001</v>
      </c>
      <c r="AU499" s="18">
        <f>AJ499-AM499</f>
        <v>0</v>
      </c>
      <c r="AV499" s="34">
        <f>AM499-AP499</f>
        <v>0</v>
      </c>
      <c r="AW499" s="34">
        <f>AP499-AT499</f>
        <v>0</v>
      </c>
      <c r="AX499" s="123">
        <f>AP499/AJ499</f>
        <v>1</v>
      </c>
    </row>
    <row r="500" spans="1:50" ht="18.75" customHeight="1" x14ac:dyDescent="0.2">
      <c r="AA500" s="16"/>
      <c r="AB500" s="17"/>
      <c r="AC500" s="17"/>
      <c r="AD500" s="18"/>
      <c r="AE500" s="34"/>
      <c r="AF500" s="34"/>
      <c r="AG500" s="34"/>
      <c r="AH500" s="34"/>
      <c r="AI500" s="34"/>
      <c r="AJ500" s="18"/>
      <c r="AK500" s="34"/>
      <c r="AL500" s="18"/>
      <c r="AM500" s="18"/>
      <c r="AN500" s="18"/>
      <c r="AO500" s="18"/>
      <c r="AP500" s="18"/>
      <c r="AQ500" s="18"/>
      <c r="AR500" s="18"/>
      <c r="AS500" s="18"/>
      <c r="AT500" s="40"/>
      <c r="AU500" s="18"/>
      <c r="AV500" s="18"/>
      <c r="AW500" s="18"/>
      <c r="AX500" s="18"/>
    </row>
    <row r="501" spans="1:50" ht="18.75" customHeight="1" x14ac:dyDescent="0.2">
      <c r="AA501" s="16"/>
      <c r="AB501" s="29" t="s">
        <v>429</v>
      </c>
      <c r="AC501" s="17"/>
      <c r="AD501" s="18"/>
      <c r="AE501" s="34"/>
      <c r="AF501" s="34"/>
      <c r="AG501" s="34"/>
      <c r="AH501" s="34"/>
      <c r="AI501" s="34"/>
      <c r="AJ501" s="18"/>
      <c r="AK501" s="34"/>
      <c r="AL501" s="18"/>
      <c r="AM501" s="18"/>
      <c r="AN501" s="18"/>
      <c r="AO501" s="18"/>
      <c r="AP501" s="18"/>
      <c r="AQ501" s="18"/>
      <c r="AR501" s="18"/>
      <c r="AS501" s="18"/>
      <c r="AT501" s="40"/>
      <c r="AU501" s="18"/>
      <c r="AV501" s="18"/>
      <c r="AW501" s="18"/>
      <c r="AX501" s="18"/>
    </row>
    <row r="502" spans="1:50" ht="18.75" customHeight="1" x14ac:dyDescent="0.2">
      <c r="AA502" s="16"/>
      <c r="AB502" s="29" t="s">
        <v>286</v>
      </c>
      <c r="AC502" s="17"/>
      <c r="AD502" s="18"/>
      <c r="AE502" s="34"/>
      <c r="AF502" s="34"/>
      <c r="AG502" s="34"/>
      <c r="AH502" s="34"/>
      <c r="AI502" s="34"/>
      <c r="AJ502" s="18"/>
      <c r="AK502" s="34"/>
      <c r="AL502" s="18"/>
      <c r="AM502" s="18"/>
      <c r="AN502" s="18"/>
      <c r="AO502" s="18"/>
      <c r="AP502" s="18"/>
      <c r="AQ502" s="18"/>
      <c r="AR502" s="18"/>
      <c r="AS502" s="18"/>
      <c r="AT502" s="40"/>
      <c r="AU502" s="18"/>
      <c r="AV502" s="18"/>
      <c r="AW502" s="18"/>
      <c r="AX502" s="18"/>
    </row>
    <row r="503" spans="1:50" ht="18.75" customHeight="1" x14ac:dyDescent="0.2">
      <c r="AA503" s="16"/>
      <c r="AB503" s="29" t="s">
        <v>179</v>
      </c>
      <c r="AC503" s="17"/>
      <c r="AD503" s="18"/>
      <c r="AE503" s="34"/>
      <c r="AF503" s="34"/>
      <c r="AG503" s="34"/>
      <c r="AH503" s="34"/>
      <c r="AI503" s="34"/>
      <c r="AJ503" s="18"/>
      <c r="AK503" s="34"/>
      <c r="AL503" s="18"/>
      <c r="AM503" s="18"/>
      <c r="AN503" s="18"/>
      <c r="AO503" s="18"/>
      <c r="AP503" s="18"/>
      <c r="AQ503" s="18"/>
      <c r="AR503" s="18"/>
      <c r="AS503" s="18"/>
      <c r="AT503" s="40"/>
      <c r="AU503" s="18"/>
      <c r="AV503" s="18"/>
      <c r="AW503" s="18"/>
      <c r="AX503" s="18"/>
    </row>
    <row r="504" spans="1:50" ht="18.75" customHeight="1" x14ac:dyDescent="0.2">
      <c r="AA504" s="16"/>
      <c r="AB504" s="29" t="s">
        <v>189</v>
      </c>
      <c r="AC504" s="17"/>
      <c r="AD504" s="18"/>
      <c r="AE504" s="34"/>
      <c r="AF504" s="34"/>
      <c r="AG504" s="34"/>
      <c r="AH504" s="34"/>
      <c r="AI504" s="34"/>
      <c r="AJ504" s="18"/>
      <c r="AK504" s="34"/>
      <c r="AL504" s="18"/>
      <c r="AM504" s="18"/>
      <c r="AN504" s="18"/>
      <c r="AO504" s="18"/>
      <c r="AP504" s="18"/>
      <c r="AQ504" s="18"/>
      <c r="AR504" s="18"/>
      <c r="AS504" s="18"/>
      <c r="AT504" s="40"/>
      <c r="AU504" s="18"/>
      <c r="AV504" s="18"/>
      <c r="AW504" s="18"/>
      <c r="AX504" s="18"/>
    </row>
    <row r="505" spans="1:50" ht="18.75" customHeight="1" x14ac:dyDescent="0.2">
      <c r="AA505" s="16"/>
      <c r="AB505" s="29" t="s">
        <v>199</v>
      </c>
      <c r="AC505" s="17"/>
      <c r="AD505" s="18"/>
      <c r="AE505" s="34"/>
      <c r="AF505" s="34"/>
      <c r="AG505" s="34"/>
      <c r="AH505" s="34"/>
      <c r="AI505" s="34"/>
      <c r="AJ505" s="18"/>
      <c r="AK505" s="34"/>
      <c r="AL505" s="18"/>
      <c r="AM505" s="18"/>
      <c r="AN505" s="18"/>
      <c r="AO505" s="18"/>
      <c r="AP505" s="18"/>
      <c r="AQ505" s="18"/>
      <c r="AR505" s="18"/>
      <c r="AS505" s="18"/>
      <c r="AT505" s="40"/>
      <c r="AU505" s="18"/>
      <c r="AV505" s="18"/>
      <c r="AW505" s="18"/>
      <c r="AX505" s="18"/>
    </row>
    <row r="506" spans="1:50" ht="25.5" x14ac:dyDescent="0.2">
      <c r="AA506" s="28" t="s">
        <v>288</v>
      </c>
      <c r="AB506" s="29" t="s">
        <v>418</v>
      </c>
      <c r="AC506" s="17"/>
      <c r="AD506" s="18"/>
      <c r="AE506" s="34"/>
      <c r="AF506" s="34"/>
      <c r="AG506" s="34"/>
      <c r="AH506" s="34"/>
      <c r="AI506" s="34"/>
      <c r="AJ506" s="18"/>
      <c r="AK506" s="34"/>
      <c r="AL506" s="18"/>
      <c r="AM506" s="18"/>
      <c r="AN506" s="18"/>
      <c r="AO506" s="18"/>
      <c r="AP506" s="18"/>
      <c r="AQ506" s="18"/>
      <c r="AR506" s="18"/>
      <c r="AS506" s="18"/>
      <c r="AT506" s="40"/>
      <c r="AU506" s="18"/>
      <c r="AV506" s="18"/>
      <c r="AW506" s="18"/>
      <c r="AX506" s="18"/>
    </row>
    <row r="507" spans="1:50" ht="18.75" customHeight="1" x14ac:dyDescent="0.2">
      <c r="A507" s="4" t="s">
        <v>55</v>
      </c>
      <c r="B507" s="4" t="s">
        <v>56</v>
      </c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1" t="s">
        <v>419</v>
      </c>
      <c r="AB507" s="42" t="s">
        <v>233</v>
      </c>
      <c r="AC507" s="43" t="s">
        <v>58</v>
      </c>
      <c r="AD507" s="43">
        <v>2364833525</v>
      </c>
      <c r="AE507" s="44">
        <v>0</v>
      </c>
      <c r="AF507" s="44">
        <v>0</v>
      </c>
      <c r="AG507" s="44">
        <v>0</v>
      </c>
      <c r="AH507" s="18">
        <v>1500000000</v>
      </c>
      <c r="AI507" s="18">
        <f>AE507-AF507+AG507-AH507</f>
        <v>-1500000000</v>
      </c>
      <c r="AJ507" s="18">
        <f>AD507+AI507</f>
        <v>864833525</v>
      </c>
      <c r="AK507" s="44">
        <v>0</v>
      </c>
      <c r="AL507" s="44">
        <v>0</v>
      </c>
      <c r="AM507" s="43">
        <v>864833525</v>
      </c>
      <c r="AN507" s="44">
        <v>0</v>
      </c>
      <c r="AO507" s="44">
        <v>66718850</v>
      </c>
      <c r="AP507" s="43">
        <v>864832420</v>
      </c>
      <c r="AQ507" s="44">
        <v>0</v>
      </c>
      <c r="AR507" s="43">
        <v>51572140</v>
      </c>
      <c r="AS507" s="43">
        <v>345530696</v>
      </c>
      <c r="AT507" s="39">
        <f t="shared" ref="AT507:AT510" si="222">AQ507+AS507</f>
        <v>345530696</v>
      </c>
      <c r="AU507" s="34">
        <f>AJ507-AM507</f>
        <v>0</v>
      </c>
      <c r="AV507" s="18">
        <f>AM507-AP507</f>
        <v>1105</v>
      </c>
      <c r="AW507" s="18">
        <f>AP507-AT507</f>
        <v>519301724</v>
      </c>
      <c r="AX507" s="123">
        <f>AP507/AJ507</f>
        <v>0.99999872229745024</v>
      </c>
    </row>
    <row r="508" spans="1:50" ht="18.75" customHeight="1" x14ac:dyDescent="0.2">
      <c r="A508" s="4" t="s">
        <v>55</v>
      </c>
      <c r="B508" s="4" t="s">
        <v>56</v>
      </c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1" t="s">
        <v>430</v>
      </c>
      <c r="AB508" s="42" t="s">
        <v>431</v>
      </c>
      <c r="AC508" s="43" t="s">
        <v>432</v>
      </c>
      <c r="AD508" s="43">
        <v>1269842288</v>
      </c>
      <c r="AE508" s="44">
        <v>0</v>
      </c>
      <c r="AF508" s="44">
        <v>0</v>
      </c>
      <c r="AG508" s="44">
        <v>0</v>
      </c>
      <c r="AH508" s="44">
        <v>0</v>
      </c>
      <c r="AI508" s="44">
        <v>0</v>
      </c>
      <c r="AJ508" s="43">
        <v>1269842288</v>
      </c>
      <c r="AK508" s="44">
        <v>0</v>
      </c>
      <c r="AL508" s="44">
        <v>0</v>
      </c>
      <c r="AM508" s="43">
        <v>1269842288</v>
      </c>
      <c r="AN508" s="44">
        <v>0</v>
      </c>
      <c r="AO508" s="43">
        <v>3800000</v>
      </c>
      <c r="AP508" s="43">
        <v>1269842288</v>
      </c>
      <c r="AQ508" s="43">
        <v>0</v>
      </c>
      <c r="AR508" s="43">
        <v>11352600</v>
      </c>
      <c r="AS508" s="43">
        <v>499307616</v>
      </c>
      <c r="AT508" s="39">
        <f t="shared" si="222"/>
        <v>499307616</v>
      </c>
      <c r="AU508" s="34">
        <f>AJ508-AM508</f>
        <v>0</v>
      </c>
      <c r="AV508" s="18">
        <f>AM508-AP508</f>
        <v>0</v>
      </c>
      <c r="AW508" s="18">
        <f>AP508-AT508</f>
        <v>770534672</v>
      </c>
      <c r="AX508" s="123">
        <f>AP508/AJ508</f>
        <v>1</v>
      </c>
    </row>
    <row r="509" spans="1:50" ht="18.75" customHeight="1" x14ac:dyDescent="0.2">
      <c r="A509" s="4" t="s">
        <v>55</v>
      </c>
      <c r="B509" s="4" t="s">
        <v>56</v>
      </c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1" t="s">
        <v>433</v>
      </c>
      <c r="AB509" s="42" t="s">
        <v>434</v>
      </c>
      <c r="AC509" s="43" t="s">
        <v>428</v>
      </c>
      <c r="AD509" s="43">
        <v>1185147617</v>
      </c>
      <c r="AE509" s="44">
        <v>0</v>
      </c>
      <c r="AF509" s="44">
        <v>0</v>
      </c>
      <c r="AG509" s="44">
        <v>0</v>
      </c>
      <c r="AH509" s="44">
        <v>0</v>
      </c>
      <c r="AI509" s="44">
        <v>0</v>
      </c>
      <c r="AJ509" s="43">
        <v>1185147617</v>
      </c>
      <c r="AK509" s="44">
        <v>0</v>
      </c>
      <c r="AL509" s="44">
        <v>0</v>
      </c>
      <c r="AM509" s="43">
        <v>799588657</v>
      </c>
      <c r="AN509" s="44">
        <v>0</v>
      </c>
      <c r="AO509" s="44">
        <v>411301873</v>
      </c>
      <c r="AP509" s="43">
        <v>799580047</v>
      </c>
      <c r="AQ509" s="44">
        <v>0</v>
      </c>
      <c r="AR509" s="44">
        <v>0</v>
      </c>
      <c r="AS509" s="44">
        <v>143528869</v>
      </c>
      <c r="AT509" s="39">
        <f t="shared" si="222"/>
        <v>143528869</v>
      </c>
      <c r="AU509" s="18">
        <f>AJ509-AM509</f>
        <v>385558960</v>
      </c>
      <c r="AV509" s="18">
        <f>AM509-AP509</f>
        <v>8610</v>
      </c>
      <c r="AW509" s="18">
        <f>AP509-AT509</f>
        <v>656051178</v>
      </c>
      <c r="AX509" s="123">
        <f>AP509/AJ509</f>
        <v>0.67466705035782892</v>
      </c>
    </row>
    <row r="510" spans="1:50" ht="18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166" t="s">
        <v>1024</v>
      </c>
      <c r="AB510" s="167" t="s">
        <v>1025</v>
      </c>
      <c r="AC510" s="168"/>
      <c r="AD510" s="44">
        <v>0</v>
      </c>
      <c r="AE510" s="43">
        <v>860456218.52999997</v>
      </c>
      <c r="AF510" s="44">
        <v>0</v>
      </c>
      <c r="AG510" s="44">
        <v>0</v>
      </c>
      <c r="AH510" s="44">
        <v>0</v>
      </c>
      <c r="AI510" s="18">
        <f>AE510-AF510+AG510-AH510</f>
        <v>860456218.52999997</v>
      </c>
      <c r="AJ510" s="18">
        <f>AD510+AI510</f>
        <v>860456218.52999997</v>
      </c>
      <c r="AK510" s="44">
        <v>0</v>
      </c>
      <c r="AL510" s="44">
        <v>0</v>
      </c>
      <c r="AM510" s="43">
        <v>374888075</v>
      </c>
      <c r="AN510" s="44">
        <v>0</v>
      </c>
      <c r="AO510" s="44">
        <v>374888075</v>
      </c>
      <c r="AP510" s="43">
        <v>374888075</v>
      </c>
      <c r="AQ510" s="44">
        <v>0</v>
      </c>
      <c r="AR510" s="44">
        <v>0</v>
      </c>
      <c r="AS510" s="44">
        <v>0</v>
      </c>
      <c r="AT510" s="39">
        <f t="shared" si="222"/>
        <v>0</v>
      </c>
      <c r="AU510" s="18">
        <f>AJ510-AM510</f>
        <v>485568143.52999997</v>
      </c>
      <c r="AV510" s="18">
        <f>AM510-AP510</f>
        <v>0</v>
      </c>
      <c r="AW510" s="18">
        <f>AP510-AT510</f>
        <v>374888075</v>
      </c>
      <c r="AX510" s="123">
        <f>AP510/AJ510</f>
        <v>0.43568524106950768</v>
      </c>
    </row>
    <row r="511" spans="1:50" ht="25.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208" t="s">
        <v>288</v>
      </c>
      <c r="AB511" s="209" t="s">
        <v>959</v>
      </c>
      <c r="AC511" s="43"/>
      <c r="AD511" s="43"/>
      <c r="AE511" s="44"/>
      <c r="AF511" s="44"/>
      <c r="AG511" s="44"/>
      <c r="AH511" s="44"/>
      <c r="AI511" s="44"/>
      <c r="AJ511" s="43"/>
      <c r="AK511" s="44"/>
      <c r="AL511" s="44"/>
      <c r="AM511" s="44"/>
      <c r="AN511" s="44"/>
      <c r="AO511" s="44"/>
      <c r="AP511" s="44"/>
      <c r="AQ511" s="44"/>
      <c r="AR511" s="44"/>
      <c r="AS511" s="44"/>
      <c r="AT511" s="40"/>
      <c r="AU511" s="18"/>
      <c r="AV511" s="34"/>
      <c r="AW511" s="34"/>
      <c r="AX511" s="123"/>
    </row>
    <row r="512" spans="1:50" ht="18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160" t="s">
        <v>960</v>
      </c>
      <c r="AB512" s="42" t="s">
        <v>961</v>
      </c>
      <c r="AC512" s="43"/>
      <c r="AD512" s="44">
        <v>0</v>
      </c>
      <c r="AE512" s="44">
        <v>0</v>
      </c>
      <c r="AF512" s="44">
        <v>0</v>
      </c>
      <c r="AG512" s="43">
        <v>1500000000</v>
      </c>
      <c r="AH512" s="44">
        <v>0</v>
      </c>
      <c r="AI512" s="18">
        <f>AE512-AF512+AG512-AH512</f>
        <v>1500000000</v>
      </c>
      <c r="AJ512" s="18">
        <f>AD512+AI512</f>
        <v>1500000000</v>
      </c>
      <c r="AK512" s="44">
        <v>0</v>
      </c>
      <c r="AL512" s="44">
        <v>0</v>
      </c>
      <c r="AM512" s="44">
        <v>0</v>
      </c>
      <c r="AN512" s="44">
        <v>0</v>
      </c>
      <c r="AO512" s="44">
        <v>0</v>
      </c>
      <c r="AP512" s="44">
        <v>0</v>
      </c>
      <c r="AQ512" s="44">
        <v>0</v>
      </c>
      <c r="AR512" s="44">
        <v>0</v>
      </c>
      <c r="AS512" s="44">
        <v>0</v>
      </c>
      <c r="AT512" s="40">
        <f t="shared" ref="AT512" si="223">AQ512+AS512</f>
        <v>0</v>
      </c>
      <c r="AU512" s="18">
        <f>AJ512-AM512</f>
        <v>1500000000</v>
      </c>
      <c r="AV512" s="34">
        <f>AM512-AP512</f>
        <v>0</v>
      </c>
      <c r="AW512" s="34">
        <f>AP512-AT512</f>
        <v>0</v>
      </c>
      <c r="AX512" s="123">
        <f>AP512/AJ512</f>
        <v>0</v>
      </c>
    </row>
    <row r="513" spans="1:50" ht="18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160"/>
      <c r="AB513" s="42"/>
      <c r="AC513" s="43"/>
      <c r="AD513" s="44"/>
      <c r="AE513" s="44"/>
      <c r="AF513" s="44"/>
      <c r="AG513" s="43"/>
      <c r="AH513" s="44"/>
      <c r="AI513" s="18"/>
      <c r="AJ513" s="18"/>
      <c r="AK513" s="44"/>
      <c r="AL513" s="44"/>
      <c r="AM513" s="44"/>
      <c r="AN513" s="44"/>
      <c r="AO513" s="44"/>
      <c r="AP513" s="44"/>
      <c r="AQ513" s="44"/>
      <c r="AR513" s="44"/>
      <c r="AS513" s="44"/>
      <c r="AT513" s="40"/>
      <c r="AU513" s="18"/>
      <c r="AV513" s="34"/>
      <c r="AW513" s="34"/>
      <c r="AX513" s="123"/>
    </row>
    <row r="514" spans="1:50" ht="18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166"/>
      <c r="AB514" s="165" t="s">
        <v>1026</v>
      </c>
      <c r="AC514" s="168"/>
      <c r="AD514" s="44"/>
      <c r="AE514" s="44"/>
      <c r="AF514" s="44"/>
      <c r="AG514" s="43"/>
      <c r="AH514" s="44"/>
      <c r="AI514" s="18"/>
      <c r="AJ514" s="18"/>
      <c r="AK514" s="44"/>
      <c r="AL514" s="44"/>
      <c r="AM514" s="44"/>
      <c r="AN514" s="44"/>
      <c r="AO514" s="44"/>
      <c r="AP514" s="44"/>
      <c r="AQ514" s="44"/>
      <c r="AR514" s="44"/>
      <c r="AS514" s="44"/>
      <c r="AT514" s="40"/>
      <c r="AU514" s="18"/>
      <c r="AV514" s="34"/>
      <c r="AW514" s="34"/>
      <c r="AX514" s="123"/>
    </row>
    <row r="515" spans="1:50" ht="25.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166" t="s">
        <v>991</v>
      </c>
      <c r="AB515" s="167" t="s">
        <v>992</v>
      </c>
      <c r="AC515" s="168"/>
      <c r="AD515" s="44">
        <v>0</v>
      </c>
      <c r="AE515" s="43">
        <v>720712175</v>
      </c>
      <c r="AF515" s="44">
        <v>0</v>
      </c>
      <c r="AG515" s="44">
        <v>0</v>
      </c>
      <c r="AH515" s="44">
        <v>0</v>
      </c>
      <c r="AI515" s="18">
        <f>AE515-AF515+AG515-AH515</f>
        <v>720712175</v>
      </c>
      <c r="AJ515" s="18">
        <f>AD515+AI515</f>
        <v>720712175</v>
      </c>
      <c r="AK515" s="44">
        <v>0</v>
      </c>
      <c r="AL515" s="44">
        <v>0</v>
      </c>
      <c r="AM515" s="44">
        <v>0</v>
      </c>
      <c r="AN515" s="44">
        <v>0</v>
      </c>
      <c r="AO515" s="44">
        <v>0</v>
      </c>
      <c r="AP515" s="44">
        <v>0</v>
      </c>
      <c r="AQ515" s="44">
        <v>0</v>
      </c>
      <c r="AR515" s="44">
        <v>0</v>
      </c>
      <c r="AS515" s="44">
        <v>0</v>
      </c>
      <c r="AT515" s="40">
        <f t="shared" ref="AT515" si="224">AQ515+AS515</f>
        <v>0</v>
      </c>
      <c r="AU515" s="18">
        <f>AJ515-AM515</f>
        <v>720712175</v>
      </c>
      <c r="AV515" s="34">
        <f>AM515-AP515</f>
        <v>0</v>
      </c>
      <c r="AW515" s="34">
        <f>AP515-AT515</f>
        <v>0</v>
      </c>
      <c r="AX515" s="123">
        <f>AP515/AJ515</f>
        <v>0</v>
      </c>
    </row>
    <row r="516" spans="1:50" ht="18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210"/>
      <c r="AB516" s="207"/>
      <c r="AC516" s="43"/>
      <c r="AD516" s="44"/>
      <c r="AE516" s="44"/>
      <c r="AF516" s="44"/>
      <c r="AG516" s="43"/>
      <c r="AH516" s="44"/>
      <c r="AI516" s="18"/>
      <c r="AJ516" s="18"/>
      <c r="AK516" s="44"/>
      <c r="AL516" s="44"/>
      <c r="AM516" s="44"/>
      <c r="AN516" s="44"/>
      <c r="AO516" s="44"/>
      <c r="AP516" s="44"/>
      <c r="AQ516" s="44"/>
      <c r="AR516" s="44"/>
      <c r="AS516" s="44"/>
      <c r="AT516" s="40"/>
      <c r="AU516" s="18"/>
      <c r="AV516" s="34"/>
      <c r="AW516" s="18"/>
      <c r="AX516" s="123"/>
    </row>
    <row r="517" spans="1:50" ht="18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170" t="s">
        <v>1016</v>
      </c>
      <c r="AB517" s="170" t="s">
        <v>997</v>
      </c>
      <c r="AC517" s="168"/>
      <c r="AD517" s="44"/>
      <c r="AE517" s="44"/>
      <c r="AF517" s="44"/>
      <c r="AG517" s="43"/>
      <c r="AH517" s="44"/>
      <c r="AI517" s="18"/>
      <c r="AJ517" s="18"/>
      <c r="AK517" s="44"/>
      <c r="AL517" s="44"/>
      <c r="AM517" s="44"/>
      <c r="AN517" s="44"/>
      <c r="AO517" s="44"/>
      <c r="AP517" s="44"/>
      <c r="AQ517" s="44"/>
      <c r="AR517" s="44"/>
      <c r="AS517" s="44"/>
      <c r="AT517" s="40"/>
      <c r="AU517" s="18"/>
      <c r="AV517" s="34"/>
      <c r="AW517" s="18"/>
      <c r="AX517" s="123"/>
    </row>
    <row r="518" spans="1:50" ht="18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170" t="s">
        <v>1017</v>
      </c>
      <c r="AB518" s="170" t="s">
        <v>999</v>
      </c>
      <c r="AC518" s="168"/>
      <c r="AD518" s="44"/>
      <c r="AE518" s="44"/>
      <c r="AF518" s="44"/>
      <c r="AG518" s="43"/>
      <c r="AH518" s="44"/>
      <c r="AI518" s="18"/>
      <c r="AJ518" s="18"/>
      <c r="AK518" s="44"/>
      <c r="AL518" s="44"/>
      <c r="AM518" s="44"/>
      <c r="AN518" s="44"/>
      <c r="AO518" s="44"/>
      <c r="AP518" s="44"/>
      <c r="AQ518" s="44"/>
      <c r="AR518" s="44"/>
      <c r="AS518" s="44"/>
      <c r="AT518" s="40"/>
      <c r="AU518" s="18"/>
      <c r="AV518" s="34"/>
      <c r="AW518" s="18"/>
      <c r="AX518" s="123"/>
    </row>
    <row r="519" spans="1:50" ht="18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170" t="s">
        <v>1018</v>
      </c>
      <c r="AB519" s="170" t="s">
        <v>1001</v>
      </c>
      <c r="AC519" s="168"/>
      <c r="AD519" s="44"/>
      <c r="AE519" s="44"/>
      <c r="AF519" s="44"/>
      <c r="AG519" s="43"/>
      <c r="AH519" s="44"/>
      <c r="AI519" s="18"/>
      <c r="AJ519" s="18"/>
      <c r="AK519" s="44"/>
      <c r="AL519" s="44"/>
      <c r="AM519" s="44"/>
      <c r="AN519" s="44"/>
      <c r="AO519" s="44"/>
      <c r="AP519" s="44"/>
      <c r="AQ519" s="44"/>
      <c r="AR519" s="44"/>
      <c r="AS519" s="44"/>
      <c r="AT519" s="40"/>
      <c r="AU519" s="18"/>
      <c r="AV519" s="34"/>
      <c r="AW519" s="18"/>
      <c r="AX519" s="123"/>
    </row>
    <row r="520" spans="1:50" ht="18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170" t="s">
        <v>1021</v>
      </c>
      <c r="AB520" s="165" t="s">
        <v>1003</v>
      </c>
      <c r="AC520" s="168"/>
      <c r="AD520" s="44"/>
      <c r="AE520" s="44"/>
      <c r="AF520" s="44"/>
      <c r="AG520" s="43"/>
      <c r="AH520" s="44"/>
      <c r="AI520" s="18"/>
      <c r="AJ520" s="18"/>
      <c r="AK520" s="44"/>
      <c r="AL520" s="44"/>
      <c r="AM520" s="44"/>
      <c r="AN520" s="44"/>
      <c r="AO520" s="44"/>
      <c r="AP520" s="44"/>
      <c r="AQ520" s="44"/>
      <c r="AR520" s="44"/>
      <c r="AS520" s="44"/>
      <c r="AT520" s="40"/>
      <c r="AU520" s="18"/>
      <c r="AV520" s="34"/>
      <c r="AW520" s="18"/>
      <c r="AX520" s="123"/>
    </row>
    <row r="521" spans="1:50" ht="18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166" t="s">
        <v>1027</v>
      </c>
      <c r="AB521" s="167" t="s">
        <v>1028</v>
      </c>
      <c r="AC521" s="168"/>
      <c r="AD521" s="44">
        <v>0</v>
      </c>
      <c r="AE521" s="43">
        <v>20398035</v>
      </c>
      <c r="AF521" s="44">
        <v>0</v>
      </c>
      <c r="AG521" s="44">
        <v>0</v>
      </c>
      <c r="AH521" s="44">
        <v>0</v>
      </c>
      <c r="AI521" s="18">
        <f>AE521-AF521+AG521-AH521</f>
        <v>20398035</v>
      </c>
      <c r="AJ521" s="18">
        <f>AD521+AI521</f>
        <v>20398035</v>
      </c>
      <c r="AK521" s="44">
        <v>0</v>
      </c>
      <c r="AL521" s="44">
        <v>0</v>
      </c>
      <c r="AM521" s="43">
        <v>20398035</v>
      </c>
      <c r="AN521" s="44">
        <v>0</v>
      </c>
      <c r="AO521" s="43">
        <v>0</v>
      </c>
      <c r="AP521" s="43">
        <v>20398035</v>
      </c>
      <c r="AQ521" s="44">
        <v>0</v>
      </c>
      <c r="AR521" s="43">
        <v>0</v>
      </c>
      <c r="AS521" s="43">
        <v>20398035</v>
      </c>
      <c r="AT521" s="39">
        <f t="shared" ref="AT521" si="225">AQ521+AS521</f>
        <v>20398035</v>
      </c>
      <c r="AU521" s="34">
        <f>AJ521-AM521</f>
        <v>0</v>
      </c>
      <c r="AV521" s="34">
        <f>AM521-AP521</f>
        <v>0</v>
      </c>
      <c r="AW521" s="34">
        <f>AP521-AT521</f>
        <v>0</v>
      </c>
      <c r="AX521" s="123">
        <f>AP521/AJ521</f>
        <v>1</v>
      </c>
    </row>
    <row r="522" spans="1:50" s="50" customFormat="1" ht="18.75" customHeight="1" x14ac:dyDescent="0.2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6"/>
      <c r="AB522" s="47" t="s">
        <v>435</v>
      </c>
      <c r="AC522" s="48"/>
      <c r="AD522" s="48">
        <f t="shared" ref="AD522:AW522" si="226">SUM(AD252:AD521)</f>
        <v>301961738926</v>
      </c>
      <c r="AE522" s="48">
        <f t="shared" si="226"/>
        <v>15415987525.18</v>
      </c>
      <c r="AF522" s="49">
        <f t="shared" si="226"/>
        <v>0</v>
      </c>
      <c r="AG522" s="48">
        <f>SUM(AG252:AG521)</f>
        <v>8034496227.6499996</v>
      </c>
      <c r="AH522" s="48">
        <f t="shared" si="226"/>
        <v>7717142782.6499987</v>
      </c>
      <c r="AI522" s="48">
        <f t="shared" si="226"/>
        <v>15733340970.179996</v>
      </c>
      <c r="AJ522" s="48">
        <f t="shared" si="226"/>
        <v>317695079896.18005</v>
      </c>
      <c r="AK522" s="48">
        <f t="shared" si="226"/>
        <v>1339464358</v>
      </c>
      <c r="AL522" s="48">
        <f t="shared" si="226"/>
        <v>19001142545.93</v>
      </c>
      <c r="AM522" s="48">
        <f t="shared" si="226"/>
        <v>198998956945.74997</v>
      </c>
      <c r="AN522" s="49">
        <f t="shared" si="226"/>
        <v>0</v>
      </c>
      <c r="AO522" s="48">
        <f t="shared" si="226"/>
        <v>19226406061.150002</v>
      </c>
      <c r="AP522" s="48">
        <f t="shared" si="226"/>
        <v>196534603592.00995</v>
      </c>
      <c r="AQ522" s="48">
        <f t="shared" si="226"/>
        <v>193227821.13</v>
      </c>
      <c r="AR522" s="48">
        <f t="shared" si="226"/>
        <v>9095077003.9799995</v>
      </c>
      <c r="AS522" s="48">
        <f t="shared" si="226"/>
        <v>134554522071.03001</v>
      </c>
      <c r="AT522" s="48">
        <f t="shared" si="226"/>
        <v>134747749892.16002</v>
      </c>
      <c r="AU522" s="48">
        <f t="shared" si="226"/>
        <v>118696122950.42999</v>
      </c>
      <c r="AV522" s="48">
        <f t="shared" si="226"/>
        <v>2464353353.7399998</v>
      </c>
      <c r="AW522" s="48">
        <f t="shared" si="226"/>
        <v>61786853699.849998</v>
      </c>
      <c r="AX522" s="24">
        <f>AP522/AJ522</f>
        <v>0.61862652596393919</v>
      </c>
    </row>
    <row r="523" spans="1:50" ht="18.75" customHeight="1" x14ac:dyDescent="0.2">
      <c r="AA523" s="16"/>
      <c r="AB523" s="17"/>
      <c r="AC523" s="17"/>
      <c r="AD523" s="18"/>
      <c r="AE523" s="34"/>
      <c r="AF523" s="34"/>
      <c r="AG523" s="34"/>
      <c r="AH523" s="34"/>
      <c r="AI523" s="34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</row>
    <row r="524" spans="1:50" s="25" customFormat="1" ht="18.75" customHeight="1" x14ac:dyDescent="0.2"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66"/>
      <c r="AB524" s="21" t="s">
        <v>436</v>
      </c>
      <c r="AC524" s="67"/>
      <c r="AD524" s="63"/>
      <c r="AE524" s="72"/>
      <c r="AF524" s="72"/>
      <c r="AG524" s="72"/>
      <c r="AH524" s="72"/>
      <c r="AI524" s="72"/>
      <c r="AJ524" s="63"/>
      <c r="AK524" s="63"/>
      <c r="AL524" s="63"/>
      <c r="AM524" s="63"/>
      <c r="AN524" s="63"/>
      <c r="AO524" s="63"/>
      <c r="AP524" s="63"/>
      <c r="AQ524" s="63"/>
      <c r="AR524" s="63"/>
      <c r="AS524" s="63"/>
      <c r="AT524" s="63"/>
      <c r="AU524" s="63"/>
      <c r="AV524" s="63"/>
      <c r="AW524" s="63"/>
      <c r="AX524" s="63"/>
    </row>
    <row r="525" spans="1:50" ht="18.75" customHeight="1" x14ac:dyDescent="0.2">
      <c r="AA525" s="16"/>
      <c r="AB525" s="29" t="s">
        <v>38</v>
      </c>
      <c r="AC525" s="17"/>
      <c r="AD525" s="18"/>
      <c r="AE525" s="34"/>
      <c r="AF525" s="34"/>
      <c r="AG525" s="34"/>
      <c r="AH525" s="34"/>
      <c r="AI525" s="34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</row>
    <row r="526" spans="1:50" ht="18.75" customHeight="1" x14ac:dyDescent="0.2">
      <c r="AA526" s="16"/>
      <c r="AB526" s="29" t="s">
        <v>285</v>
      </c>
      <c r="AC526" s="17"/>
      <c r="AD526" s="18"/>
      <c r="AE526" s="34"/>
      <c r="AF526" s="34"/>
      <c r="AG526" s="34"/>
      <c r="AH526" s="34"/>
      <c r="AI526" s="34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</row>
    <row r="527" spans="1:50" ht="18.75" customHeight="1" x14ac:dyDescent="0.2">
      <c r="AA527" s="16"/>
      <c r="AB527" s="29" t="s">
        <v>286</v>
      </c>
      <c r="AC527" s="17"/>
      <c r="AD527" s="18"/>
      <c r="AE527" s="34"/>
      <c r="AF527" s="34"/>
      <c r="AG527" s="34"/>
      <c r="AH527" s="34"/>
      <c r="AI527" s="34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</row>
    <row r="528" spans="1:50" ht="18.75" customHeight="1" x14ac:dyDescent="0.2">
      <c r="AA528" s="16"/>
      <c r="AB528" s="29" t="s">
        <v>179</v>
      </c>
      <c r="AC528" s="17"/>
      <c r="AD528" s="18"/>
      <c r="AE528" s="34"/>
      <c r="AF528" s="34"/>
      <c r="AG528" s="34"/>
      <c r="AH528" s="34"/>
      <c r="AI528" s="34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</row>
    <row r="529" spans="1:52" ht="18.75" customHeight="1" x14ac:dyDescent="0.2">
      <c r="AA529" s="16"/>
      <c r="AB529" s="29" t="s">
        <v>181</v>
      </c>
      <c r="AC529" s="17"/>
      <c r="AD529" s="18"/>
      <c r="AE529" s="34"/>
      <c r="AF529" s="34"/>
      <c r="AG529" s="34"/>
      <c r="AH529" s="34"/>
      <c r="AI529" s="34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</row>
    <row r="530" spans="1:52" ht="25.5" x14ac:dyDescent="0.2">
      <c r="AA530" s="16"/>
      <c r="AB530" s="29" t="s">
        <v>437</v>
      </c>
      <c r="AC530" s="17"/>
      <c r="AD530" s="18"/>
      <c r="AE530" s="34"/>
      <c r="AF530" s="34"/>
      <c r="AG530" s="34"/>
      <c r="AH530" s="34"/>
      <c r="AI530" s="34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</row>
    <row r="531" spans="1:52" s="150" customFormat="1" ht="18.75" customHeight="1" x14ac:dyDescent="0.2">
      <c r="A531" s="140" t="s">
        <v>55</v>
      </c>
      <c r="B531" s="140" t="s">
        <v>56</v>
      </c>
      <c r="C531" s="140"/>
      <c r="D531" s="140"/>
      <c r="E531" s="140"/>
      <c r="F531" s="140"/>
      <c r="G531" s="140"/>
      <c r="H531" s="140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X531" s="140"/>
      <c r="Y531" s="140"/>
      <c r="Z531" s="140"/>
      <c r="AA531" s="134" t="s">
        <v>438</v>
      </c>
      <c r="AB531" s="69" t="s">
        <v>439</v>
      </c>
      <c r="AC531" s="142" t="s">
        <v>428</v>
      </c>
      <c r="AD531" s="142">
        <v>43946996</v>
      </c>
      <c r="AE531" s="143">
        <v>0</v>
      </c>
      <c r="AF531" s="143">
        <v>0</v>
      </c>
      <c r="AG531" s="143">
        <v>0</v>
      </c>
      <c r="AH531" s="143">
        <v>0</v>
      </c>
      <c r="AI531" s="43">
        <f t="shared" ref="AI531:AI532" si="227">AE531-AF531+AG531-AH531</f>
        <v>0</v>
      </c>
      <c r="AJ531" s="142">
        <f t="shared" ref="AJ531:AJ532" si="228">AD531+AI531</f>
        <v>43946996</v>
      </c>
      <c r="AK531" s="143">
        <v>0</v>
      </c>
      <c r="AL531" s="143">
        <v>0</v>
      </c>
      <c r="AM531" s="142">
        <v>19720752</v>
      </c>
      <c r="AN531" s="143">
        <v>0</v>
      </c>
      <c r="AO531" s="142">
        <v>1054800</v>
      </c>
      <c r="AP531" s="142">
        <v>9684443</v>
      </c>
      <c r="AQ531" s="143">
        <v>0</v>
      </c>
      <c r="AR531" s="143">
        <v>2006443</v>
      </c>
      <c r="AS531" s="142">
        <v>2006443</v>
      </c>
      <c r="AT531" s="267">
        <f t="shared" ref="AT531" si="229">AQ531+AS531</f>
        <v>2006443</v>
      </c>
      <c r="AU531" s="147">
        <f>AJ531-AM531</f>
        <v>24226244</v>
      </c>
      <c r="AV531" s="147">
        <f>AM531-AP531</f>
        <v>10036309</v>
      </c>
      <c r="AW531" s="147">
        <f>AP531-AT531</f>
        <v>7678000</v>
      </c>
      <c r="AX531" s="149">
        <f>AP531/AJ531</f>
        <v>0.22036643869810807</v>
      </c>
    </row>
    <row r="532" spans="1:52" s="150" customFormat="1" ht="18.75" customHeight="1" x14ac:dyDescent="0.2">
      <c r="A532" s="140"/>
      <c r="B532" s="140"/>
      <c r="C532" s="140"/>
      <c r="D532" s="140"/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X532" s="140"/>
      <c r="Y532" s="140"/>
      <c r="Z532" s="140"/>
      <c r="AA532" s="134" t="s">
        <v>1331</v>
      </c>
      <c r="AB532" s="69" t="s">
        <v>1074</v>
      </c>
      <c r="AC532" s="142"/>
      <c r="AD532" s="142">
        <v>0</v>
      </c>
      <c r="AE532" s="143">
        <v>0</v>
      </c>
      <c r="AF532" s="143">
        <v>0</v>
      </c>
      <c r="AG532" s="142">
        <v>62000000</v>
      </c>
      <c r="AH532" s="143">
        <v>0</v>
      </c>
      <c r="AI532" s="43">
        <f t="shared" si="227"/>
        <v>62000000</v>
      </c>
      <c r="AJ532" s="142">
        <f t="shared" si="228"/>
        <v>62000000</v>
      </c>
      <c r="AK532" s="143">
        <v>0</v>
      </c>
      <c r="AL532" s="143">
        <v>0</v>
      </c>
      <c r="AM532" s="143">
        <v>0</v>
      </c>
      <c r="AN532" s="143">
        <v>0</v>
      </c>
      <c r="AO532" s="143">
        <v>0</v>
      </c>
      <c r="AP532" s="143">
        <v>0</v>
      </c>
      <c r="AQ532" s="143">
        <v>0</v>
      </c>
      <c r="AR532" s="143">
        <v>0</v>
      </c>
      <c r="AS532" s="143">
        <v>0</v>
      </c>
      <c r="AT532" s="146">
        <f t="shared" ref="AT532" si="230">AQ532+AS532</f>
        <v>0</v>
      </c>
      <c r="AU532" s="147">
        <f>AJ532-AM532</f>
        <v>62000000</v>
      </c>
      <c r="AV532" s="145">
        <f>AM532-AP532</f>
        <v>0</v>
      </c>
      <c r="AW532" s="147">
        <f>AP532-AT532</f>
        <v>0</v>
      </c>
      <c r="AX532" s="149">
        <f>AP532/AJ532</f>
        <v>0</v>
      </c>
    </row>
    <row r="533" spans="1:52" ht="43.5" customHeight="1" x14ac:dyDescent="0.2">
      <c r="AA533" s="28" t="s">
        <v>288</v>
      </c>
      <c r="AB533" s="29" t="s">
        <v>440</v>
      </c>
      <c r="AC533" s="17"/>
      <c r="AD533" s="18"/>
      <c r="AE533" s="34"/>
      <c r="AF533" s="34"/>
      <c r="AG533" s="34"/>
      <c r="AH533" s="34"/>
      <c r="AI533" s="34"/>
      <c r="AJ533" s="18"/>
      <c r="AK533" s="34"/>
      <c r="AL533" s="34"/>
      <c r="AM533" s="34"/>
      <c r="AN533" s="34"/>
      <c r="AO533" s="34"/>
      <c r="AP533" s="34"/>
      <c r="AQ533" s="34"/>
      <c r="AR533" s="34"/>
      <c r="AS533" s="34"/>
      <c r="AT533" s="40"/>
      <c r="AU533" s="18"/>
      <c r="AV533" s="34"/>
      <c r="AW533" s="18"/>
      <c r="AX533" s="18"/>
    </row>
    <row r="534" spans="1:52" ht="18.75" customHeight="1" x14ac:dyDescent="0.2">
      <c r="A534" s="4" t="s">
        <v>55</v>
      </c>
      <c r="B534" s="4" t="s">
        <v>56</v>
      </c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1" t="s">
        <v>441</v>
      </c>
      <c r="AB534" s="42" t="s">
        <v>439</v>
      </c>
      <c r="AC534" s="43" t="s">
        <v>428</v>
      </c>
      <c r="AD534" s="43">
        <v>3500000</v>
      </c>
      <c r="AE534" s="44">
        <v>0</v>
      </c>
      <c r="AF534" s="44">
        <v>0</v>
      </c>
      <c r="AG534" s="44">
        <v>0</v>
      </c>
      <c r="AH534" s="44">
        <v>0</v>
      </c>
      <c r="AI534" s="44">
        <v>0</v>
      </c>
      <c r="AJ534" s="43">
        <v>3500000</v>
      </c>
      <c r="AK534" s="44">
        <v>0</v>
      </c>
      <c r="AL534" s="44">
        <v>0</v>
      </c>
      <c r="AM534" s="44">
        <v>0</v>
      </c>
      <c r="AN534" s="44">
        <v>0</v>
      </c>
      <c r="AO534" s="44">
        <v>0</v>
      </c>
      <c r="AP534" s="44">
        <v>0</v>
      </c>
      <c r="AQ534" s="44">
        <v>0</v>
      </c>
      <c r="AR534" s="44">
        <v>0</v>
      </c>
      <c r="AS534" s="44">
        <v>0</v>
      </c>
      <c r="AT534" s="40">
        <f>AQ534+AS534</f>
        <v>0</v>
      </c>
      <c r="AU534" s="18">
        <f>AJ534-AM534</f>
        <v>3500000</v>
      </c>
      <c r="AV534" s="34">
        <f>AM534-AP534</f>
        <v>0</v>
      </c>
      <c r="AW534" s="34">
        <f>AP534-AT534</f>
        <v>0</v>
      </c>
      <c r="AX534" s="123">
        <f>AP534/AJ534</f>
        <v>0</v>
      </c>
    </row>
    <row r="535" spans="1:52" ht="18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73" t="s">
        <v>288</v>
      </c>
      <c r="AB535" s="74" t="s">
        <v>291</v>
      </c>
      <c r="AC535" s="43"/>
      <c r="AD535" s="43"/>
      <c r="AE535" s="44"/>
      <c r="AF535" s="44"/>
      <c r="AG535" s="44"/>
      <c r="AH535" s="44"/>
      <c r="AI535" s="44"/>
      <c r="AJ535" s="43"/>
      <c r="AK535" s="44"/>
      <c r="AL535" s="44"/>
      <c r="AM535" s="43"/>
      <c r="AN535" s="43"/>
      <c r="AO535" s="43"/>
      <c r="AP535" s="43"/>
      <c r="AQ535" s="44"/>
      <c r="AR535" s="44"/>
      <c r="AS535" s="44"/>
      <c r="AT535" s="40"/>
      <c r="AU535" s="43"/>
      <c r="AV535" s="44"/>
      <c r="AW535" s="44"/>
      <c r="AX535" s="43"/>
    </row>
    <row r="536" spans="1:52" ht="18.75" customHeight="1" x14ac:dyDescent="0.2">
      <c r="A536" s="4" t="s">
        <v>55</v>
      </c>
      <c r="B536" s="4" t="s">
        <v>56</v>
      </c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1" t="s">
        <v>442</v>
      </c>
      <c r="AB536" s="42" t="s">
        <v>439</v>
      </c>
      <c r="AC536" s="43" t="s">
        <v>428</v>
      </c>
      <c r="AD536" s="43">
        <v>105900000</v>
      </c>
      <c r="AE536" s="44">
        <v>0</v>
      </c>
      <c r="AF536" s="44">
        <v>0</v>
      </c>
      <c r="AG536" s="44">
        <v>0</v>
      </c>
      <c r="AH536" s="44">
        <v>0</v>
      </c>
      <c r="AI536" s="44">
        <v>0</v>
      </c>
      <c r="AJ536" s="43">
        <v>105900000</v>
      </c>
      <c r="AK536" s="44">
        <v>0</v>
      </c>
      <c r="AL536" s="44">
        <v>0</v>
      </c>
      <c r="AM536" s="43">
        <v>150434</v>
      </c>
      <c r="AN536" s="43">
        <v>0</v>
      </c>
      <c r="AO536" s="44">
        <v>0</v>
      </c>
      <c r="AP536" s="43">
        <v>150434</v>
      </c>
      <c r="AQ536" s="44">
        <v>0</v>
      </c>
      <c r="AR536" s="44">
        <v>150434</v>
      </c>
      <c r="AS536" s="44">
        <v>150434</v>
      </c>
      <c r="AT536" s="40">
        <f>AQ536+AS536</f>
        <v>150434</v>
      </c>
      <c r="AU536" s="18">
        <f>AJ536-AM536</f>
        <v>105749566</v>
      </c>
      <c r="AV536" s="34">
        <f>AM536-AP536</f>
        <v>0</v>
      </c>
      <c r="AW536" s="34">
        <f>AP536-AT536</f>
        <v>0</v>
      </c>
      <c r="AX536" s="123">
        <f>AP536/AJ536</f>
        <v>1.4205288007554297E-3</v>
      </c>
    </row>
    <row r="537" spans="1:52" ht="18.75" customHeight="1" x14ac:dyDescent="0.2">
      <c r="AA537" s="16"/>
      <c r="AB537" s="29" t="s">
        <v>189</v>
      </c>
      <c r="AC537" s="17"/>
      <c r="AD537" s="18"/>
      <c r="AE537" s="34"/>
      <c r="AF537" s="34"/>
      <c r="AG537" s="34"/>
      <c r="AH537" s="34"/>
      <c r="AI537" s="34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39"/>
      <c r="AU537" s="18"/>
      <c r="AV537" s="34"/>
      <c r="AW537" s="18"/>
      <c r="AX537" s="18"/>
    </row>
    <row r="538" spans="1:52" ht="18.75" customHeight="1" x14ac:dyDescent="0.2">
      <c r="AA538" s="16"/>
      <c r="AB538" s="29" t="s">
        <v>191</v>
      </c>
      <c r="AC538" s="17"/>
      <c r="AD538" s="18"/>
      <c r="AE538" s="34"/>
      <c r="AF538" s="34"/>
      <c r="AG538" s="34"/>
      <c r="AH538" s="34"/>
      <c r="AI538" s="34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39"/>
      <c r="AU538" s="18"/>
      <c r="AV538" s="34"/>
      <c r="AW538" s="18"/>
      <c r="AX538" s="18"/>
    </row>
    <row r="539" spans="1:52" ht="18.75" customHeight="1" x14ac:dyDescent="0.2">
      <c r="AA539" s="28" t="s">
        <v>288</v>
      </c>
      <c r="AB539" s="29" t="s">
        <v>443</v>
      </c>
      <c r="AC539" s="17"/>
      <c r="AD539" s="18"/>
      <c r="AE539" s="34"/>
      <c r="AF539" s="34"/>
      <c r="AG539" s="34"/>
      <c r="AH539" s="34"/>
      <c r="AI539" s="34"/>
      <c r="AJ539" s="147"/>
      <c r="AK539" s="18"/>
      <c r="AL539" s="18"/>
      <c r="AM539" s="18"/>
      <c r="AN539" s="18"/>
      <c r="AO539" s="18"/>
      <c r="AP539" s="18"/>
      <c r="AQ539" s="18"/>
      <c r="AR539" s="18"/>
      <c r="AS539" s="18"/>
      <c r="AT539" s="39"/>
      <c r="AU539" s="18"/>
      <c r="AV539" s="34"/>
      <c r="AW539" s="18"/>
      <c r="AX539" s="18"/>
    </row>
    <row r="540" spans="1:52" ht="18.75" customHeight="1" x14ac:dyDescent="0.2">
      <c r="A540" s="4" t="s">
        <v>55</v>
      </c>
      <c r="B540" s="4" t="s">
        <v>56</v>
      </c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1" t="s">
        <v>444</v>
      </c>
      <c r="AB540" s="42" t="s">
        <v>233</v>
      </c>
      <c r="AC540" s="43" t="s">
        <v>58</v>
      </c>
      <c r="AD540" s="43">
        <v>530557116</v>
      </c>
      <c r="AE540" s="44">
        <v>0</v>
      </c>
      <c r="AF540" s="44">
        <v>0</v>
      </c>
      <c r="AG540" s="44">
        <v>0</v>
      </c>
      <c r="AH540" s="43">
        <v>530557116</v>
      </c>
      <c r="AI540" s="43">
        <f>AE540-AF540+AG540-AH540</f>
        <v>-530557116</v>
      </c>
      <c r="AJ540" s="142">
        <f>AD540+AI540</f>
        <v>0</v>
      </c>
      <c r="AK540" s="44">
        <v>0</v>
      </c>
      <c r="AL540" s="44">
        <v>0</v>
      </c>
      <c r="AM540" s="44">
        <v>0</v>
      </c>
      <c r="AN540" s="44">
        <v>0</v>
      </c>
      <c r="AO540" s="44">
        <v>0</v>
      </c>
      <c r="AP540" s="44">
        <v>0</v>
      </c>
      <c r="AQ540" s="44">
        <v>0</v>
      </c>
      <c r="AR540" s="44">
        <v>0</v>
      </c>
      <c r="AS540" s="44">
        <v>0</v>
      </c>
      <c r="AT540" s="40">
        <f>AQ540+AS540</f>
        <v>0</v>
      </c>
      <c r="AU540" s="18">
        <f>AJ540-AM540</f>
        <v>0</v>
      </c>
      <c r="AV540" s="34">
        <f>AM540-AP540</f>
        <v>0</v>
      </c>
      <c r="AW540" s="34">
        <f>AP540-AT540</f>
        <v>0</v>
      </c>
      <c r="AX540" s="123">
        <v>0</v>
      </c>
    </row>
    <row r="541" spans="1:52" ht="18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1" t="s">
        <v>1233</v>
      </c>
      <c r="AB541" s="42" t="s">
        <v>453</v>
      </c>
      <c r="AC541" s="43"/>
      <c r="AD541" s="44">
        <v>0</v>
      </c>
      <c r="AE541" s="43">
        <v>11666787329</v>
      </c>
      <c r="AF541" s="44">
        <v>0</v>
      </c>
      <c r="AG541" s="44">
        <v>0</v>
      </c>
      <c r="AH541" s="44">
        <v>0</v>
      </c>
      <c r="AI541" s="43">
        <f>AE541-AF541+AG541-AH541</f>
        <v>11666787329</v>
      </c>
      <c r="AJ541" s="142">
        <f>AD541+AI541</f>
        <v>11666787329</v>
      </c>
      <c r="AK541" s="44">
        <v>0</v>
      </c>
      <c r="AL541" s="44">
        <v>0</v>
      </c>
      <c r="AM541" s="44">
        <v>0</v>
      </c>
      <c r="AN541" s="44">
        <v>0</v>
      </c>
      <c r="AO541" s="44">
        <v>0</v>
      </c>
      <c r="AP541" s="44">
        <v>0</v>
      </c>
      <c r="AQ541" s="44">
        <v>0</v>
      </c>
      <c r="AR541" s="44">
        <v>0</v>
      </c>
      <c r="AS541" s="44">
        <v>0</v>
      </c>
      <c r="AT541" s="40">
        <f>AQ541+AS541</f>
        <v>0</v>
      </c>
      <c r="AU541" s="18">
        <f>AJ541-AM541</f>
        <v>11666787329</v>
      </c>
      <c r="AV541" s="34">
        <f>AM541-AP541</f>
        <v>0</v>
      </c>
      <c r="AW541" s="34">
        <f>AP541-AT541</f>
        <v>0</v>
      </c>
      <c r="AX541" s="123">
        <f>AP541/AJ541</f>
        <v>0</v>
      </c>
      <c r="AZ541" s="257"/>
    </row>
    <row r="542" spans="1:52" ht="28.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1" t="s">
        <v>1317</v>
      </c>
      <c r="AB542" s="42" t="s">
        <v>1304</v>
      </c>
      <c r="AC542" s="43"/>
      <c r="AD542" s="44">
        <v>0</v>
      </c>
      <c r="AE542" s="43">
        <v>0</v>
      </c>
      <c r="AF542" s="44">
        <v>0</v>
      </c>
      <c r="AG542" s="43">
        <v>100000000</v>
      </c>
      <c r="AH542" s="44">
        <v>0</v>
      </c>
      <c r="AI542" s="43">
        <f>AE542-AF542+AG542-AH542</f>
        <v>100000000</v>
      </c>
      <c r="AJ542" s="142">
        <f>AD542+AI542</f>
        <v>100000000</v>
      </c>
      <c r="AK542" s="44">
        <v>0</v>
      </c>
      <c r="AL542" s="44">
        <v>0</v>
      </c>
      <c r="AM542" s="44">
        <v>0</v>
      </c>
      <c r="AN542" s="44">
        <v>0</v>
      </c>
      <c r="AO542" s="44">
        <v>0</v>
      </c>
      <c r="AP542" s="44">
        <v>0</v>
      </c>
      <c r="AQ542" s="44">
        <v>0</v>
      </c>
      <c r="AR542" s="44">
        <v>0</v>
      </c>
      <c r="AS542" s="44">
        <v>0</v>
      </c>
      <c r="AT542" s="40">
        <f>AQ542+AS542</f>
        <v>0</v>
      </c>
      <c r="AU542" s="18">
        <f>AJ542-AM542</f>
        <v>100000000</v>
      </c>
      <c r="AV542" s="34">
        <f>AM542-AP542</f>
        <v>0</v>
      </c>
      <c r="AW542" s="34">
        <f>AP542-AT542</f>
        <v>0</v>
      </c>
      <c r="AX542" s="123">
        <f>AP542/AJ542</f>
        <v>0</v>
      </c>
      <c r="AZ542" s="257"/>
    </row>
    <row r="543" spans="1:52" ht="18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73" t="s">
        <v>288</v>
      </c>
      <c r="AB543" s="74" t="s">
        <v>362</v>
      </c>
      <c r="AC543" s="43"/>
      <c r="AD543" s="44"/>
      <c r="AE543" s="44"/>
      <c r="AF543" s="44"/>
      <c r="AG543" s="44"/>
      <c r="AH543" s="44"/>
      <c r="AI543" s="44"/>
      <c r="AJ543" s="142"/>
      <c r="AK543" s="44"/>
      <c r="AL543" s="44"/>
      <c r="AM543" s="44"/>
      <c r="AN543" s="44"/>
      <c r="AO543" s="44"/>
      <c r="AP543" s="44"/>
      <c r="AQ543" s="44"/>
      <c r="AR543" s="44"/>
      <c r="AS543" s="44"/>
      <c r="AT543" s="40"/>
      <c r="AU543" s="18"/>
      <c r="AV543" s="34"/>
      <c r="AW543" s="34"/>
      <c r="AX543" s="123"/>
    </row>
    <row r="544" spans="1:52" ht="18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1" t="s">
        <v>975</v>
      </c>
      <c r="AB544" s="42" t="s">
        <v>453</v>
      </c>
      <c r="AC544" s="43"/>
      <c r="AD544" s="44">
        <v>0</v>
      </c>
      <c r="AE544" s="44">
        <v>0</v>
      </c>
      <c r="AF544" s="44">
        <v>0</v>
      </c>
      <c r="AG544" s="43">
        <v>11046667966</v>
      </c>
      <c r="AH544" s="44"/>
      <c r="AI544" s="43">
        <f>AE544-AF544+AG544-AH544</f>
        <v>11046667966</v>
      </c>
      <c r="AJ544" s="142">
        <f>AD544+AI544</f>
        <v>11046667966</v>
      </c>
      <c r="AK544" s="44">
        <v>0</v>
      </c>
      <c r="AL544" s="43">
        <v>0</v>
      </c>
      <c r="AM544" s="43">
        <v>10699323813</v>
      </c>
      <c r="AN544" s="44">
        <v>0</v>
      </c>
      <c r="AO544" s="43">
        <v>0</v>
      </c>
      <c r="AP544" s="43">
        <v>10699323813</v>
      </c>
      <c r="AQ544" s="44">
        <v>0</v>
      </c>
      <c r="AR544" s="44">
        <v>0</v>
      </c>
      <c r="AS544" s="44">
        <v>0</v>
      </c>
      <c r="AT544" s="40">
        <f>AQ544+AS544</f>
        <v>0</v>
      </c>
      <c r="AU544" s="18">
        <f>AJ544-AM544</f>
        <v>347344153</v>
      </c>
      <c r="AV544" s="34">
        <f>AM544-AP544</f>
        <v>0</v>
      </c>
      <c r="AW544" s="18">
        <f>AP544-AT544</f>
        <v>10699323813</v>
      </c>
      <c r="AX544" s="123">
        <f>AP544/AJ544</f>
        <v>0.96855665852643769</v>
      </c>
    </row>
    <row r="545" spans="1:50" ht="18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1" t="s">
        <v>363</v>
      </c>
      <c r="AB545" s="42" t="s">
        <v>233</v>
      </c>
      <c r="AC545" s="43"/>
      <c r="AD545" s="44">
        <v>0</v>
      </c>
      <c r="AE545" s="44">
        <v>0</v>
      </c>
      <c r="AF545" s="44">
        <v>0</v>
      </c>
      <c r="AG545" s="43">
        <v>2658700461.6999998</v>
      </c>
      <c r="AH545" s="44">
        <v>0</v>
      </c>
      <c r="AI545" s="43">
        <f t="shared" ref="AI545:AI546" si="231">AE545-AF545+AG545-AH545</f>
        <v>2658700461.6999998</v>
      </c>
      <c r="AJ545" s="142">
        <f t="shared" ref="AJ545:AJ546" si="232">AD545+AI545</f>
        <v>2658700461.6999998</v>
      </c>
      <c r="AK545" s="44">
        <v>0</v>
      </c>
      <c r="AL545" s="43">
        <v>2658700461.6999998</v>
      </c>
      <c r="AM545" s="43">
        <v>2658700461.6999998</v>
      </c>
      <c r="AN545" s="44">
        <v>0</v>
      </c>
      <c r="AO545" s="43">
        <v>2658700461.6999998</v>
      </c>
      <c r="AP545" s="43">
        <v>2658700461.6999998</v>
      </c>
      <c r="AQ545" s="44">
        <v>0</v>
      </c>
      <c r="AR545" s="43">
        <v>2658700461.6999998</v>
      </c>
      <c r="AS545" s="43">
        <v>2658700461.6999998</v>
      </c>
      <c r="AT545" s="39">
        <f t="shared" ref="AT545:AT546" si="233">AQ545+AS545</f>
        <v>2658700461.6999998</v>
      </c>
      <c r="AU545" s="34">
        <f t="shared" ref="AU545:AU546" si="234">AJ545-AM545</f>
        <v>0</v>
      </c>
      <c r="AV545" s="34">
        <f t="shared" ref="AV545:AV546" si="235">AM545-AP545</f>
        <v>0</v>
      </c>
      <c r="AW545" s="34">
        <f t="shared" ref="AW545:AW546" si="236">AP545-AT545</f>
        <v>0</v>
      </c>
      <c r="AX545" s="123">
        <f t="shared" ref="AX545:AX546" si="237">AP545/AJ545</f>
        <v>1</v>
      </c>
    </row>
    <row r="546" spans="1:50" ht="25.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1" t="s">
        <v>1301</v>
      </c>
      <c r="AB546" s="42" t="s">
        <v>1302</v>
      </c>
      <c r="AC546" s="43"/>
      <c r="AD546" s="44">
        <v>0</v>
      </c>
      <c r="AE546" s="44">
        <v>0</v>
      </c>
      <c r="AF546" s="44">
        <v>0</v>
      </c>
      <c r="AG546" s="43">
        <v>478121018</v>
      </c>
      <c r="AH546" s="44"/>
      <c r="AI546" s="43">
        <f t="shared" si="231"/>
        <v>478121018</v>
      </c>
      <c r="AJ546" s="142">
        <f t="shared" si="232"/>
        <v>478121018</v>
      </c>
      <c r="AK546" s="44">
        <v>0</v>
      </c>
      <c r="AL546" s="43">
        <v>463121018</v>
      </c>
      <c r="AM546" s="43">
        <v>463121018</v>
      </c>
      <c r="AN546" s="44">
        <v>73388550</v>
      </c>
      <c r="AO546" s="43">
        <v>389732468</v>
      </c>
      <c r="AP546" s="43">
        <v>389732468</v>
      </c>
      <c r="AQ546" s="44">
        <v>0</v>
      </c>
      <c r="AR546" s="43">
        <v>389732468</v>
      </c>
      <c r="AS546" s="43">
        <v>389732468</v>
      </c>
      <c r="AT546" s="39">
        <f t="shared" si="233"/>
        <v>389732468</v>
      </c>
      <c r="AU546" s="18">
        <f t="shared" si="234"/>
        <v>15000000</v>
      </c>
      <c r="AV546" s="18">
        <f t="shared" si="235"/>
        <v>73388550</v>
      </c>
      <c r="AW546" s="34">
        <f t="shared" si="236"/>
        <v>0</v>
      </c>
      <c r="AX546" s="123">
        <f t="shared" si="237"/>
        <v>0.81513351918781363</v>
      </c>
    </row>
    <row r="547" spans="1:50" ht="18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73" t="s">
        <v>288</v>
      </c>
      <c r="AB547" s="74" t="s">
        <v>296</v>
      </c>
      <c r="AC547" s="43"/>
      <c r="AD547" s="44"/>
      <c r="AE547" s="44"/>
      <c r="AF547" s="44"/>
      <c r="AG547" s="44"/>
      <c r="AH547" s="44"/>
      <c r="AI547" s="44"/>
      <c r="AJ547" s="142"/>
      <c r="AK547" s="44"/>
      <c r="AL547" s="44"/>
      <c r="AM547" s="44"/>
      <c r="AN547" s="44"/>
      <c r="AO547" s="44"/>
      <c r="AP547" s="44"/>
      <c r="AQ547" s="44"/>
      <c r="AR547" s="44"/>
      <c r="AS547" s="44"/>
      <c r="AT547" s="40"/>
      <c r="AU547" s="18"/>
      <c r="AV547" s="34"/>
      <c r="AW547" s="34"/>
      <c r="AX547" s="123"/>
    </row>
    <row r="548" spans="1:50" ht="18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1" t="s">
        <v>973</v>
      </c>
      <c r="AB548" s="42" t="s">
        <v>453</v>
      </c>
      <c r="AC548" s="43"/>
      <c r="AD548" s="44">
        <v>0</v>
      </c>
      <c r="AE548" s="43">
        <f>11046667966+38953332034</f>
        <v>50000000000</v>
      </c>
      <c r="AF548" s="44">
        <v>0</v>
      </c>
      <c r="AG548" s="44">
        <v>0</v>
      </c>
      <c r="AH548" s="43">
        <v>11046667966</v>
      </c>
      <c r="AI548" s="43">
        <f>AE548-AF548+AG548-AH548</f>
        <v>38953332034</v>
      </c>
      <c r="AJ548" s="142">
        <f>AD548+AI548</f>
        <v>38953332034</v>
      </c>
      <c r="AK548" s="44">
        <v>0</v>
      </c>
      <c r="AL548" s="44">
        <v>0</v>
      </c>
      <c r="AM548" s="44">
        <v>0</v>
      </c>
      <c r="AN548" s="44">
        <v>0</v>
      </c>
      <c r="AO548" s="44">
        <v>0</v>
      </c>
      <c r="AP548" s="44">
        <v>0</v>
      </c>
      <c r="AQ548" s="44">
        <v>0</v>
      </c>
      <c r="AR548" s="44">
        <v>0</v>
      </c>
      <c r="AS548" s="44">
        <v>0</v>
      </c>
      <c r="AT548" s="40">
        <f>AQ548+AS548</f>
        <v>0</v>
      </c>
      <c r="AU548" s="18">
        <f>AJ548-AM548</f>
        <v>38953332034</v>
      </c>
      <c r="AV548" s="34">
        <f>AM548-AP548</f>
        <v>0</v>
      </c>
      <c r="AW548" s="34">
        <f>AP548-AT548</f>
        <v>0</v>
      </c>
      <c r="AX548" s="123">
        <v>0</v>
      </c>
    </row>
    <row r="549" spans="1:50" ht="18.75" customHeight="1" x14ac:dyDescent="0.2">
      <c r="AA549" s="28" t="s">
        <v>288</v>
      </c>
      <c r="AB549" s="29" t="s">
        <v>445</v>
      </c>
      <c r="AC549" s="17"/>
      <c r="AD549" s="18"/>
      <c r="AE549" s="18"/>
      <c r="AF549" s="18"/>
      <c r="AG549" s="18"/>
      <c r="AH549" s="18"/>
      <c r="AI549" s="18"/>
      <c r="AJ549" s="147"/>
      <c r="AK549" s="34"/>
      <c r="AL549" s="34"/>
      <c r="AM549" s="34"/>
      <c r="AN549" s="34"/>
      <c r="AO549" s="34"/>
      <c r="AP549" s="34"/>
      <c r="AQ549" s="34"/>
      <c r="AR549" s="34"/>
      <c r="AS549" s="34"/>
      <c r="AT549" s="40"/>
      <c r="AU549" s="18"/>
      <c r="AV549" s="34"/>
      <c r="AW549" s="18"/>
      <c r="AX549" s="18"/>
    </row>
    <row r="550" spans="1:50" ht="18.75" customHeight="1" x14ac:dyDescent="0.2">
      <c r="A550" s="4" t="s">
        <v>55</v>
      </c>
      <c r="B550" s="4" t="s">
        <v>56</v>
      </c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1" t="s">
        <v>446</v>
      </c>
      <c r="AB550" s="42" t="s">
        <v>233</v>
      </c>
      <c r="AC550" s="43" t="s">
        <v>58</v>
      </c>
      <c r="AD550" s="43">
        <v>1315360000</v>
      </c>
      <c r="AE550" s="44">
        <v>0</v>
      </c>
      <c r="AF550" s="44">
        <v>0</v>
      </c>
      <c r="AG550" s="43">
        <f>24165016+458969140</f>
        <v>483134156</v>
      </c>
      <c r="AH550" s="43">
        <v>200000000</v>
      </c>
      <c r="AI550" s="43">
        <f>AE550-AF550+AG550-AH550</f>
        <v>283134156</v>
      </c>
      <c r="AJ550" s="142">
        <f>AD550+AI550</f>
        <v>1598494156</v>
      </c>
      <c r="AK550" s="44">
        <v>0</v>
      </c>
      <c r="AL550" s="114">
        <v>1588073772.8900001</v>
      </c>
      <c r="AM550" s="114">
        <v>1593208713</v>
      </c>
      <c r="AN550" s="44">
        <v>0</v>
      </c>
      <c r="AO550" s="114">
        <v>19030075.890000001</v>
      </c>
      <c r="AP550" s="114">
        <v>24165016</v>
      </c>
      <c r="AQ550" s="44">
        <v>0</v>
      </c>
      <c r="AR550" s="114">
        <v>0</v>
      </c>
      <c r="AS550" s="114">
        <v>5134940.1100000003</v>
      </c>
      <c r="AT550" s="111">
        <f>AQ550+AS550</f>
        <v>5134940.1100000003</v>
      </c>
      <c r="AU550" s="18">
        <f>AJ550-AM550</f>
        <v>5285443</v>
      </c>
      <c r="AV550" s="18">
        <f>AM550-AP550</f>
        <v>1569043697</v>
      </c>
      <c r="AW550" s="18">
        <f>AP550-AT550</f>
        <v>19030075.890000001</v>
      </c>
      <c r="AX550" s="123">
        <f>AP550/AJ550</f>
        <v>1.5117362743739678E-2</v>
      </c>
    </row>
    <row r="551" spans="1:50" ht="18.75" customHeight="1" x14ac:dyDescent="0.2">
      <c r="AA551" s="28" t="s">
        <v>288</v>
      </c>
      <c r="AB551" s="29" t="s">
        <v>447</v>
      </c>
      <c r="AC551" s="17"/>
      <c r="AD551" s="18"/>
      <c r="AE551" s="34"/>
      <c r="AF551" s="34"/>
      <c r="AG551" s="18"/>
      <c r="AH551" s="76"/>
      <c r="AI551" s="18"/>
      <c r="AJ551" s="18"/>
      <c r="AK551" s="34"/>
      <c r="AL551" s="34"/>
      <c r="AM551" s="34"/>
      <c r="AN551" s="34"/>
      <c r="AO551" s="34"/>
      <c r="AP551" s="34"/>
      <c r="AQ551" s="34"/>
      <c r="AR551" s="34"/>
      <c r="AS551" s="34"/>
      <c r="AT551" s="40"/>
      <c r="AU551" s="18"/>
      <c r="AV551" s="34"/>
      <c r="AW551" s="34"/>
      <c r="AX551" s="18"/>
    </row>
    <row r="552" spans="1:50" ht="18.75" customHeight="1" x14ac:dyDescent="0.2">
      <c r="A552" s="4" t="s">
        <v>55</v>
      </c>
      <c r="B552" s="4" t="s">
        <v>56</v>
      </c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1" t="s">
        <v>448</v>
      </c>
      <c r="AB552" s="42" t="s">
        <v>449</v>
      </c>
      <c r="AC552" s="43" t="s">
        <v>428</v>
      </c>
      <c r="AD552" s="43">
        <v>1568183063</v>
      </c>
      <c r="AE552" s="44">
        <v>0</v>
      </c>
      <c r="AF552" s="44">
        <v>0</v>
      </c>
      <c r="AG552" s="75">
        <v>0</v>
      </c>
      <c r="AH552" s="43">
        <v>1200000000</v>
      </c>
      <c r="AI552" s="43">
        <f>AE552-AF552+AG552-AH552</f>
        <v>-1200000000</v>
      </c>
      <c r="AJ552" s="43">
        <f>AD552+AI552</f>
        <v>368183063</v>
      </c>
      <c r="AK552" s="44">
        <v>0</v>
      </c>
      <c r="AL552" s="44">
        <v>0</v>
      </c>
      <c r="AM552" s="44">
        <v>0</v>
      </c>
      <c r="AN552" s="44">
        <v>0</v>
      </c>
      <c r="AO552" s="44">
        <v>0</v>
      </c>
      <c r="AP552" s="44">
        <v>0</v>
      </c>
      <c r="AQ552" s="44">
        <v>0</v>
      </c>
      <c r="AR552" s="44">
        <v>0</v>
      </c>
      <c r="AS552" s="44">
        <v>0</v>
      </c>
      <c r="AT552" s="40">
        <f t="shared" ref="AT552:AT644" si="238">AQ552+AS552</f>
        <v>0</v>
      </c>
      <c r="AU552" s="18">
        <f>AJ552-AM552</f>
        <v>368183063</v>
      </c>
      <c r="AV552" s="34">
        <f>AM552-AP552</f>
        <v>0</v>
      </c>
      <c r="AW552" s="34">
        <f>AP552-AT552</f>
        <v>0</v>
      </c>
      <c r="AX552" s="123">
        <f>AP552/AJ552</f>
        <v>0</v>
      </c>
    </row>
    <row r="553" spans="1:50" ht="18.75" customHeight="1" x14ac:dyDescent="0.2">
      <c r="A553" s="4" t="s">
        <v>55</v>
      </c>
      <c r="B553" s="4" t="s">
        <v>56</v>
      </c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1" t="s">
        <v>450</v>
      </c>
      <c r="AB553" s="42" t="s">
        <v>451</v>
      </c>
      <c r="AC553" s="43" t="s">
        <v>428</v>
      </c>
      <c r="AD553" s="43">
        <v>54121641</v>
      </c>
      <c r="AE553" s="44">
        <v>0</v>
      </c>
      <c r="AF553" s="44">
        <v>0</v>
      </c>
      <c r="AG553" s="75">
        <v>0</v>
      </c>
      <c r="AH553" s="75">
        <v>0</v>
      </c>
      <c r="AI553" s="44">
        <v>0</v>
      </c>
      <c r="AJ553" s="43">
        <v>54121641</v>
      </c>
      <c r="AK553" s="44">
        <v>0</v>
      </c>
      <c r="AL553" s="44">
        <v>0</v>
      </c>
      <c r="AM553" s="44">
        <v>0</v>
      </c>
      <c r="AN553" s="44">
        <v>0</v>
      </c>
      <c r="AO553" s="44">
        <v>0</v>
      </c>
      <c r="AP553" s="44">
        <v>0</v>
      </c>
      <c r="AQ553" s="44">
        <v>0</v>
      </c>
      <c r="AR553" s="44">
        <v>0</v>
      </c>
      <c r="AS553" s="44">
        <v>0</v>
      </c>
      <c r="AT553" s="40">
        <f t="shared" si="238"/>
        <v>0</v>
      </c>
      <c r="AU553" s="18">
        <f>AJ553-AM553</f>
        <v>54121641</v>
      </c>
      <c r="AV553" s="34">
        <f>AM553-AP553</f>
        <v>0</v>
      </c>
      <c r="AW553" s="34">
        <f>AP553-AT553</f>
        <v>0</v>
      </c>
      <c r="AX553" s="123">
        <f>AP553/AJ553</f>
        <v>0</v>
      </c>
    </row>
    <row r="554" spans="1:50" ht="18.75" customHeight="1" x14ac:dyDescent="0.2">
      <c r="A554" s="4" t="s">
        <v>55</v>
      </c>
      <c r="B554" s="4" t="s">
        <v>56</v>
      </c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1" t="s">
        <v>452</v>
      </c>
      <c r="AB554" s="42" t="s">
        <v>453</v>
      </c>
      <c r="AC554" s="43" t="s">
        <v>454</v>
      </c>
      <c r="AD554" s="43">
        <v>13500000000</v>
      </c>
      <c r="AE554" s="44">
        <v>0</v>
      </c>
      <c r="AF554" s="44">
        <v>0</v>
      </c>
      <c r="AG554" s="75">
        <v>0</v>
      </c>
      <c r="AH554" s="43">
        <v>10658999538</v>
      </c>
      <c r="AI554" s="43">
        <f>AE554-AF554+AG554-AH554</f>
        <v>-10658999538</v>
      </c>
      <c r="AJ554" s="43">
        <f>AD554+AI554</f>
        <v>2841000462</v>
      </c>
      <c r="AK554" s="44">
        <v>0</v>
      </c>
      <c r="AL554" s="44">
        <v>0</v>
      </c>
      <c r="AM554" s="44">
        <v>0</v>
      </c>
      <c r="AN554" s="44">
        <v>0</v>
      </c>
      <c r="AO554" s="44">
        <v>0</v>
      </c>
      <c r="AP554" s="44">
        <v>0</v>
      </c>
      <c r="AQ554" s="44">
        <v>0</v>
      </c>
      <c r="AR554" s="44">
        <v>0</v>
      </c>
      <c r="AS554" s="44">
        <v>0</v>
      </c>
      <c r="AT554" s="40">
        <f t="shared" si="238"/>
        <v>0</v>
      </c>
      <c r="AU554" s="18">
        <f>AJ554-AM554</f>
        <v>2841000462</v>
      </c>
      <c r="AV554" s="34">
        <f>AM554-AP554</f>
        <v>0</v>
      </c>
      <c r="AW554" s="34">
        <f>AP554-AT554</f>
        <v>0</v>
      </c>
      <c r="AX554" s="123">
        <f>AP554/AJ554</f>
        <v>0</v>
      </c>
    </row>
    <row r="555" spans="1:50" ht="18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166" t="s">
        <v>1035</v>
      </c>
      <c r="AB555" s="167" t="s">
        <v>1036</v>
      </c>
      <c r="AC555" s="168"/>
      <c r="AD555" s="43">
        <v>0</v>
      </c>
      <c r="AE555" s="43">
        <v>3208930754.3099999</v>
      </c>
      <c r="AF555" s="44">
        <v>0</v>
      </c>
      <c r="AG555" s="75">
        <v>0</v>
      </c>
      <c r="AH555" s="43">
        <v>0</v>
      </c>
      <c r="AI555" s="43">
        <f>AE555-AF555+AG555-AH555</f>
        <v>3208930754.3099999</v>
      </c>
      <c r="AJ555" s="43">
        <f>AD555+AI555</f>
        <v>3208930754.3099999</v>
      </c>
      <c r="AK555" s="44">
        <v>0</v>
      </c>
      <c r="AL555" s="44">
        <v>0</v>
      </c>
      <c r="AM555" s="44">
        <v>0</v>
      </c>
      <c r="AN555" s="44">
        <v>0</v>
      </c>
      <c r="AO555" s="44">
        <v>0</v>
      </c>
      <c r="AP555" s="44">
        <v>0</v>
      </c>
      <c r="AQ555" s="44">
        <v>0</v>
      </c>
      <c r="AR555" s="44">
        <v>0</v>
      </c>
      <c r="AS555" s="44">
        <v>0</v>
      </c>
      <c r="AT555" s="40">
        <f t="shared" si="238"/>
        <v>0</v>
      </c>
      <c r="AU555" s="18">
        <f>AJ555-AM555</f>
        <v>3208930754.3099999</v>
      </c>
      <c r="AV555" s="34">
        <f>AM555-AP555</f>
        <v>0</v>
      </c>
      <c r="AW555" s="34">
        <f>AP555-AT555</f>
        <v>0</v>
      </c>
      <c r="AX555" s="123">
        <f>AP555/AJ555</f>
        <v>0</v>
      </c>
    </row>
    <row r="556" spans="1:50" ht="18.75" customHeight="1" x14ac:dyDescent="0.2">
      <c r="AA556" s="169" t="s">
        <v>288</v>
      </c>
      <c r="AB556" s="163" t="s">
        <v>455</v>
      </c>
      <c r="AC556" s="17"/>
      <c r="AD556" s="18"/>
      <c r="AE556" s="34"/>
      <c r="AF556" s="34"/>
      <c r="AG556" s="76"/>
      <c r="AH556" s="18"/>
      <c r="AI556" s="18"/>
      <c r="AJ556" s="18"/>
      <c r="AK556" s="34"/>
      <c r="AL556" s="34"/>
      <c r="AM556" s="34"/>
      <c r="AN556" s="34"/>
      <c r="AO556" s="34"/>
      <c r="AP556" s="34"/>
      <c r="AQ556" s="34"/>
      <c r="AR556" s="34"/>
      <c r="AS556" s="34"/>
      <c r="AT556" s="40"/>
      <c r="AU556" s="18"/>
      <c r="AV556" s="34"/>
      <c r="AW556" s="34"/>
      <c r="AX556" s="18"/>
    </row>
    <row r="557" spans="1:50" ht="18.75" customHeight="1" x14ac:dyDescent="0.2">
      <c r="A557" s="4" t="s">
        <v>55</v>
      </c>
      <c r="B557" s="4" t="s">
        <v>56</v>
      </c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1" t="s">
        <v>456</v>
      </c>
      <c r="AB557" s="42" t="s">
        <v>233</v>
      </c>
      <c r="AC557" s="43" t="s">
        <v>58</v>
      </c>
      <c r="AD557" s="43">
        <v>1983597115.25</v>
      </c>
      <c r="AE557" s="44">
        <v>0</v>
      </c>
      <c r="AF557" s="44">
        <v>0</v>
      </c>
      <c r="AG557" s="43">
        <f>15401381+3051706945.3</f>
        <v>3067108326.3000002</v>
      </c>
      <c r="AH557" s="43">
        <v>547969140</v>
      </c>
      <c r="AI557" s="43">
        <f>AE557-AF557+AG557-AH557</f>
        <v>2519139186.3000002</v>
      </c>
      <c r="AJ557" s="43">
        <f>AD557+AI557</f>
        <v>4502736301.5500002</v>
      </c>
      <c r="AK557" s="44">
        <v>0</v>
      </c>
      <c r="AL557" s="43">
        <v>3751706945.3000002</v>
      </c>
      <c r="AM557" s="43">
        <v>3751706945.3000002</v>
      </c>
      <c r="AN557" s="44">
        <v>0</v>
      </c>
      <c r="AO557" s="43">
        <v>3751706945.3000002</v>
      </c>
      <c r="AP557" s="43">
        <v>3751706945.3000002</v>
      </c>
      <c r="AQ557" s="43">
        <v>0</v>
      </c>
      <c r="AR557" s="43">
        <v>3751706945.3000002</v>
      </c>
      <c r="AS557" s="44">
        <v>3751706945.3000002</v>
      </c>
      <c r="AT557" s="39">
        <f t="shared" si="238"/>
        <v>3751706945.3000002</v>
      </c>
      <c r="AU557" s="18">
        <f>AJ557-AM557</f>
        <v>751029356.25</v>
      </c>
      <c r="AV557" s="34">
        <f>AM557-AP557</f>
        <v>0</v>
      </c>
      <c r="AW557" s="34">
        <f>AP557-AT557</f>
        <v>0</v>
      </c>
      <c r="AX557" s="123">
        <f>AP557/AJ557</f>
        <v>0.83320600942332124</v>
      </c>
    </row>
    <row r="558" spans="1:50" ht="18.75" customHeight="1" x14ac:dyDescent="0.2">
      <c r="A558" s="4" t="s">
        <v>55</v>
      </c>
      <c r="B558" s="4" t="s">
        <v>56</v>
      </c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1" t="s">
        <v>457</v>
      </c>
      <c r="AB558" s="42" t="s">
        <v>458</v>
      </c>
      <c r="AC558" s="43" t="s">
        <v>454</v>
      </c>
      <c r="AD558" s="44">
        <v>0</v>
      </c>
      <c r="AE558" s="43">
        <v>14100000000</v>
      </c>
      <c r="AF558" s="44">
        <v>0</v>
      </c>
      <c r="AG558" s="43">
        <v>20296364215</v>
      </c>
      <c r="AH558" s="44">
        <v>0</v>
      </c>
      <c r="AI558" s="43">
        <f>AE558-AF558+AG558-AH558</f>
        <v>34396364215</v>
      </c>
      <c r="AJ558" s="43">
        <f>AD558+AI558</f>
        <v>34396364215</v>
      </c>
      <c r="AK558" s="44">
        <v>0</v>
      </c>
      <c r="AL558" s="43">
        <v>0</v>
      </c>
      <c r="AM558" s="43">
        <v>19256924334</v>
      </c>
      <c r="AN558" s="44">
        <v>0</v>
      </c>
      <c r="AO558" s="43">
        <v>0</v>
      </c>
      <c r="AP558" s="43">
        <v>19256924334</v>
      </c>
      <c r="AQ558" s="43">
        <v>141155301</v>
      </c>
      <c r="AR558" s="43">
        <v>0</v>
      </c>
      <c r="AS558" s="44">
        <v>0</v>
      </c>
      <c r="AT558" s="39">
        <f t="shared" si="238"/>
        <v>141155301</v>
      </c>
      <c r="AU558" s="18">
        <f>AJ558-AM558</f>
        <v>15139439881</v>
      </c>
      <c r="AV558" s="110">
        <f>AM558-AP558</f>
        <v>0</v>
      </c>
      <c r="AW558" s="18">
        <f>AP558-AT558</f>
        <v>19115769033</v>
      </c>
      <c r="AX558" s="123">
        <f>AP558/AJ558</f>
        <v>0.55985348374704669</v>
      </c>
    </row>
    <row r="559" spans="1:50" ht="18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1" t="s">
        <v>1300</v>
      </c>
      <c r="AB559" s="42" t="s">
        <v>1015</v>
      </c>
      <c r="AC559" s="43"/>
      <c r="AD559" s="44">
        <v>0</v>
      </c>
      <c r="AE559" s="43">
        <v>0</v>
      </c>
      <c r="AF559" s="44">
        <v>0</v>
      </c>
      <c r="AG559" s="43">
        <v>1743353380</v>
      </c>
      <c r="AH559" s="44">
        <v>0</v>
      </c>
      <c r="AI559" s="43">
        <f>AE559-AF559+AG559-AH559</f>
        <v>1743353380</v>
      </c>
      <c r="AJ559" s="43">
        <f>AD559+AI559</f>
        <v>1743353380</v>
      </c>
      <c r="AK559" s="44">
        <v>0</v>
      </c>
      <c r="AL559" s="43">
        <v>1727085164.7</v>
      </c>
      <c r="AM559" s="43">
        <v>1727085164.7</v>
      </c>
      <c r="AN559" s="44">
        <v>0</v>
      </c>
      <c r="AO559" s="43">
        <v>1727085164.7</v>
      </c>
      <c r="AP559" s="43">
        <v>1727085164.7</v>
      </c>
      <c r="AQ559" s="43">
        <v>70862658.420000002</v>
      </c>
      <c r="AR559" s="43">
        <v>1511204103.7</v>
      </c>
      <c r="AS559" s="44">
        <v>1511204103.7</v>
      </c>
      <c r="AT559" s="39">
        <f t="shared" ref="AT559" si="239">AQ559+AS559</f>
        <v>1582066762.1200001</v>
      </c>
      <c r="AU559" s="18">
        <f>AJ559-AM559</f>
        <v>16268215.299999952</v>
      </c>
      <c r="AV559" s="34">
        <f>AM559-AP559</f>
        <v>0</v>
      </c>
      <c r="AW559" s="18">
        <f>AP559-AT559</f>
        <v>145018402.57999992</v>
      </c>
      <c r="AX559" s="123">
        <f>AP559/AJ559</f>
        <v>0.99066843504786162</v>
      </c>
    </row>
    <row r="560" spans="1:50" ht="18.75" customHeight="1" x14ac:dyDescent="0.2">
      <c r="AA560" s="28" t="s">
        <v>288</v>
      </c>
      <c r="AB560" s="29" t="s">
        <v>459</v>
      </c>
      <c r="AC560" s="17"/>
      <c r="AD560" s="18"/>
      <c r="AE560" s="34"/>
      <c r="AF560" s="34"/>
      <c r="AG560" s="18"/>
      <c r="AH560" s="34"/>
      <c r="AI560" s="18"/>
      <c r="AJ560" s="18"/>
      <c r="AK560" s="34"/>
      <c r="AL560" s="34"/>
      <c r="AM560" s="18"/>
      <c r="AN560" s="34"/>
      <c r="AO560" s="34"/>
      <c r="AP560" s="18"/>
      <c r="AQ560" s="34"/>
      <c r="AR560" s="34"/>
      <c r="AS560" s="34"/>
      <c r="AT560" s="40"/>
      <c r="AU560" s="18"/>
      <c r="AV560" s="18"/>
      <c r="AW560" s="18"/>
      <c r="AX560" s="18"/>
    </row>
    <row r="561" spans="1:50" ht="18.75" customHeight="1" x14ac:dyDescent="0.2">
      <c r="A561" s="4" t="s">
        <v>55</v>
      </c>
      <c r="B561" s="4" t="s">
        <v>56</v>
      </c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1" t="s">
        <v>460</v>
      </c>
      <c r="AB561" s="42" t="s">
        <v>233</v>
      </c>
      <c r="AC561" s="43" t="s">
        <v>58</v>
      </c>
      <c r="AD561" s="43">
        <v>867728401</v>
      </c>
      <c r="AE561" s="44">
        <v>0</v>
      </c>
      <c r="AF561" s="44">
        <v>0</v>
      </c>
      <c r="AG561" s="44">
        <v>0</v>
      </c>
      <c r="AH561" s="44">
        <v>0</v>
      </c>
      <c r="AI561" s="44">
        <v>0</v>
      </c>
      <c r="AJ561" s="43">
        <v>867728401</v>
      </c>
      <c r="AK561" s="44">
        <v>0</v>
      </c>
      <c r="AL561" s="44">
        <v>0</v>
      </c>
      <c r="AM561" s="43">
        <v>829015863.20000005</v>
      </c>
      <c r="AN561" s="44">
        <v>0</v>
      </c>
      <c r="AO561" s="44">
        <v>0</v>
      </c>
      <c r="AP561" s="43">
        <v>829015863.20000005</v>
      </c>
      <c r="AQ561" s="44">
        <v>190259206.5</v>
      </c>
      <c r="AR561" s="43">
        <v>33910096.200000003</v>
      </c>
      <c r="AS561" s="43">
        <v>600083834.70000005</v>
      </c>
      <c r="AT561" s="39">
        <f t="shared" si="238"/>
        <v>790343041.20000005</v>
      </c>
      <c r="AU561" s="18">
        <f>AJ561-AM561</f>
        <v>38712537.799999952</v>
      </c>
      <c r="AV561" s="34">
        <f>AM561-AP561</f>
        <v>0</v>
      </c>
      <c r="AW561" s="18">
        <f>AP561-AT561</f>
        <v>38672822</v>
      </c>
      <c r="AX561" s="123">
        <f>AP561/AJ561</f>
        <v>0.95538634236774289</v>
      </c>
    </row>
    <row r="562" spans="1:50" ht="18.75" customHeight="1" x14ac:dyDescent="0.2">
      <c r="A562" s="4" t="s">
        <v>55</v>
      </c>
      <c r="B562" s="4" t="s">
        <v>56</v>
      </c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1" t="s">
        <v>461</v>
      </c>
      <c r="AB562" s="42" t="s">
        <v>462</v>
      </c>
      <c r="AC562" s="43" t="s">
        <v>428</v>
      </c>
      <c r="AD562" s="43">
        <v>208691582</v>
      </c>
      <c r="AE562" s="44">
        <v>0</v>
      </c>
      <c r="AF562" s="44">
        <v>0</v>
      </c>
      <c r="AG562" s="44">
        <v>0</v>
      </c>
      <c r="AH562" s="44">
        <v>0</v>
      </c>
      <c r="AI562" s="44">
        <v>0</v>
      </c>
      <c r="AJ562" s="43">
        <v>208691582</v>
      </c>
      <c r="AK562" s="44">
        <v>0</v>
      </c>
      <c r="AL562" s="44">
        <v>0</v>
      </c>
      <c r="AM562" s="44">
        <v>0</v>
      </c>
      <c r="AN562" s="44">
        <v>0</v>
      </c>
      <c r="AO562" s="44">
        <v>0</v>
      </c>
      <c r="AP562" s="44">
        <v>0</v>
      </c>
      <c r="AQ562" s="44">
        <v>0</v>
      </c>
      <c r="AR562" s="44">
        <v>0</v>
      </c>
      <c r="AS562" s="44">
        <v>0</v>
      </c>
      <c r="AT562" s="40">
        <f t="shared" si="238"/>
        <v>0</v>
      </c>
      <c r="AU562" s="18">
        <f>AJ562-AM562</f>
        <v>208691582</v>
      </c>
      <c r="AV562" s="34">
        <f>AM562-AP562</f>
        <v>0</v>
      </c>
      <c r="AW562" s="34">
        <f>AP562-AT562</f>
        <v>0</v>
      </c>
      <c r="AX562" s="123">
        <f>AP562/AJ562</f>
        <v>0</v>
      </c>
    </row>
    <row r="563" spans="1:50" ht="24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166" t="s">
        <v>1045</v>
      </c>
      <c r="AB563" s="167" t="s">
        <v>1044</v>
      </c>
      <c r="AC563" s="168"/>
      <c r="AD563" s="44">
        <v>0</v>
      </c>
      <c r="AE563" s="43">
        <v>439408481</v>
      </c>
      <c r="AF563" s="44">
        <v>0</v>
      </c>
      <c r="AG563" s="43">
        <v>1681878981.2</v>
      </c>
      <c r="AH563" s="44">
        <v>0</v>
      </c>
      <c r="AI563" s="43">
        <f>AE563-AF563+AG563-AH563</f>
        <v>2121287462.2</v>
      </c>
      <c r="AJ563" s="43">
        <f>AD563+AI563</f>
        <v>2121287462.2</v>
      </c>
      <c r="AK563" s="44">
        <v>0</v>
      </c>
      <c r="AL563" s="44">
        <v>0</v>
      </c>
      <c r="AM563" s="44">
        <v>0</v>
      </c>
      <c r="AN563" s="44">
        <v>0</v>
      </c>
      <c r="AO563" s="44">
        <v>0</v>
      </c>
      <c r="AP563" s="44">
        <v>0</v>
      </c>
      <c r="AQ563" s="44">
        <v>0</v>
      </c>
      <c r="AR563" s="44">
        <v>0</v>
      </c>
      <c r="AS563" s="44">
        <v>0</v>
      </c>
      <c r="AT563" s="40">
        <f t="shared" si="238"/>
        <v>0</v>
      </c>
      <c r="AU563" s="18">
        <f>AJ563-AM563</f>
        <v>2121287462.2</v>
      </c>
      <c r="AV563" s="34">
        <f>AM563-AP563</f>
        <v>0</v>
      </c>
      <c r="AW563" s="34">
        <f>AP563-AT563</f>
        <v>0</v>
      </c>
      <c r="AX563" s="123">
        <f>AP563/AJ563</f>
        <v>0</v>
      </c>
    </row>
    <row r="564" spans="1:50" ht="21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171" t="s">
        <v>288</v>
      </c>
      <c r="AB564" s="213" t="s">
        <v>1040</v>
      </c>
      <c r="AC564" s="168"/>
      <c r="AD564" s="44"/>
      <c r="AE564" s="44"/>
      <c r="AF564" s="44"/>
      <c r="AG564" s="44"/>
      <c r="AH564" s="44"/>
      <c r="AI564" s="44"/>
      <c r="AJ564" s="43"/>
      <c r="AK564" s="44"/>
      <c r="AL564" s="44"/>
      <c r="AM564" s="44"/>
      <c r="AN564" s="44"/>
      <c r="AO564" s="44"/>
      <c r="AP564" s="44"/>
      <c r="AQ564" s="44"/>
      <c r="AR564" s="44"/>
      <c r="AS564" s="44"/>
      <c r="AT564" s="40"/>
      <c r="AU564" s="18"/>
      <c r="AV564" s="34"/>
      <c r="AW564" s="34"/>
      <c r="AX564" s="123"/>
    </row>
    <row r="565" spans="1:50" ht="18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166" t="s">
        <v>1041</v>
      </c>
      <c r="AB565" s="167" t="s">
        <v>1015</v>
      </c>
      <c r="AC565" s="168"/>
      <c r="AD565" s="44">
        <v>0</v>
      </c>
      <c r="AE565" s="43">
        <v>117329833</v>
      </c>
      <c r="AF565" s="44">
        <v>0</v>
      </c>
      <c r="AG565" s="43">
        <v>8000000</v>
      </c>
      <c r="AH565" s="44">
        <v>0</v>
      </c>
      <c r="AI565" s="43">
        <f>AE565-AF565+AG565-AH565</f>
        <v>125329833</v>
      </c>
      <c r="AJ565" s="43">
        <f>AD565+AI565</f>
        <v>125329833</v>
      </c>
      <c r="AK565" s="44">
        <v>0</v>
      </c>
      <c r="AL565" s="43">
        <v>-11828761</v>
      </c>
      <c r="AM565" s="43">
        <v>64761400</v>
      </c>
      <c r="AN565" s="43">
        <v>0</v>
      </c>
      <c r="AO565" s="43">
        <v>64761400</v>
      </c>
      <c r="AP565" s="43">
        <v>64761400</v>
      </c>
      <c r="AQ565" s="44">
        <v>0</v>
      </c>
      <c r="AR565" s="44">
        <v>0</v>
      </c>
      <c r="AS565" s="44">
        <v>0</v>
      </c>
      <c r="AT565" s="40">
        <f t="shared" ref="AT565" si="240">AQ565+AS565</f>
        <v>0</v>
      </c>
      <c r="AU565" s="18">
        <f>AJ565-AM565</f>
        <v>60568433</v>
      </c>
      <c r="AV565" s="34">
        <f>AM565-AP565</f>
        <v>0</v>
      </c>
      <c r="AW565" s="34">
        <f>AP565-AT565</f>
        <v>64761400</v>
      </c>
      <c r="AX565" s="123">
        <f>AP565/AJ565</f>
        <v>0.51672772914330778</v>
      </c>
    </row>
    <row r="566" spans="1:50" ht="28.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229" t="s">
        <v>1303</v>
      </c>
      <c r="AB566" s="230" t="s">
        <v>1304</v>
      </c>
      <c r="AC566" s="168"/>
      <c r="AD566" s="44">
        <v>0</v>
      </c>
      <c r="AE566" s="43">
        <v>0</v>
      </c>
      <c r="AF566" s="44">
        <v>0</v>
      </c>
      <c r="AG566" s="43">
        <v>130000000</v>
      </c>
      <c r="AH566" s="44">
        <v>0</v>
      </c>
      <c r="AI566" s="43">
        <f>AE566-AF566+AG566-AH566</f>
        <v>130000000</v>
      </c>
      <c r="AJ566" s="43">
        <f>AD566+AI566</f>
        <v>130000000</v>
      </c>
      <c r="AK566" s="44">
        <v>0</v>
      </c>
      <c r="AL566" s="44">
        <v>0</v>
      </c>
      <c r="AM566" s="44">
        <v>0</v>
      </c>
      <c r="AN566" s="44">
        <v>0</v>
      </c>
      <c r="AO566" s="44">
        <v>0</v>
      </c>
      <c r="AP566" s="44">
        <v>0</v>
      </c>
      <c r="AQ566" s="44">
        <v>0</v>
      </c>
      <c r="AR566" s="44">
        <v>0</v>
      </c>
      <c r="AS566" s="44">
        <v>0</v>
      </c>
      <c r="AT566" s="40">
        <f t="shared" ref="AT566" si="241">AQ566+AS566</f>
        <v>0</v>
      </c>
      <c r="AU566" s="18">
        <f>AJ566-AM566</f>
        <v>130000000</v>
      </c>
      <c r="AV566" s="34">
        <f>AM566-AP566</f>
        <v>0</v>
      </c>
      <c r="AW566" s="34">
        <f>AP566-AT566</f>
        <v>0</v>
      </c>
      <c r="AX566" s="123">
        <f>AP566/AJ566</f>
        <v>0</v>
      </c>
    </row>
    <row r="567" spans="1:50" ht="22.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208" t="s">
        <v>288</v>
      </c>
      <c r="AB567" s="209" t="s">
        <v>463</v>
      </c>
      <c r="AC567" s="43"/>
      <c r="AD567" s="43"/>
      <c r="AE567" s="44"/>
      <c r="AF567" s="44"/>
      <c r="AG567" s="43"/>
      <c r="AH567" s="44"/>
      <c r="AI567" s="43"/>
      <c r="AJ567" s="142"/>
      <c r="AK567" s="44"/>
      <c r="AL567" s="44"/>
      <c r="AM567" s="44"/>
      <c r="AN567" s="44"/>
      <c r="AO567" s="44"/>
      <c r="AP567" s="44"/>
      <c r="AQ567" s="44"/>
      <c r="AR567" s="44"/>
      <c r="AS567" s="44"/>
      <c r="AT567" s="40"/>
      <c r="AU567" s="43"/>
      <c r="AV567" s="44"/>
      <c r="AW567" s="44"/>
      <c r="AX567" s="43"/>
    </row>
    <row r="568" spans="1:50" ht="18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134" t="s">
        <v>464</v>
      </c>
      <c r="AB568" s="17" t="s">
        <v>458</v>
      </c>
      <c r="AC568" s="43"/>
      <c r="AD568" s="44">
        <v>0</v>
      </c>
      <c r="AE568" s="44">
        <v>0</v>
      </c>
      <c r="AF568" s="44">
        <v>0</v>
      </c>
      <c r="AG568" s="43">
        <v>1555449996</v>
      </c>
      <c r="AH568" s="44">
        <v>0</v>
      </c>
      <c r="AI568" s="43">
        <f>AE568-AF568+AG568-AH568</f>
        <v>1555449996</v>
      </c>
      <c r="AJ568" s="142">
        <f>AD568+AI568</f>
        <v>1555449996</v>
      </c>
      <c r="AK568" s="44">
        <v>0</v>
      </c>
      <c r="AL568" s="44">
        <v>0</v>
      </c>
      <c r="AM568" s="44">
        <v>0</v>
      </c>
      <c r="AN568" s="44">
        <v>0</v>
      </c>
      <c r="AO568" s="44">
        <v>0</v>
      </c>
      <c r="AP568" s="44">
        <v>0</v>
      </c>
      <c r="AQ568" s="44">
        <v>0</v>
      </c>
      <c r="AR568" s="44">
        <v>0</v>
      </c>
      <c r="AS568" s="44">
        <v>0</v>
      </c>
      <c r="AT568" s="40">
        <f>AQ568+AS568</f>
        <v>0</v>
      </c>
      <c r="AU568" s="18">
        <f>AJ568-AM568</f>
        <v>1555449996</v>
      </c>
      <c r="AV568" s="34">
        <f>AM568-AP568</f>
        <v>0</v>
      </c>
      <c r="AW568" s="34">
        <f>AP568-AT568</f>
        <v>0</v>
      </c>
      <c r="AX568" s="123">
        <f>AP568/AJ568</f>
        <v>0</v>
      </c>
    </row>
    <row r="569" spans="1:50" ht="18.75" customHeight="1" x14ac:dyDescent="0.2">
      <c r="AA569" s="28" t="s">
        <v>288</v>
      </c>
      <c r="AB569" s="29" t="s">
        <v>465</v>
      </c>
      <c r="AC569" s="17"/>
      <c r="AD569" s="18"/>
      <c r="AE569" s="34"/>
      <c r="AF569" s="34"/>
      <c r="AG569" s="18"/>
      <c r="AH569" s="34"/>
      <c r="AI569" s="18"/>
      <c r="AJ569" s="147"/>
      <c r="AK569" s="34"/>
      <c r="AL569" s="34"/>
      <c r="AM569" s="34"/>
      <c r="AN569" s="34"/>
      <c r="AO569" s="34"/>
      <c r="AP569" s="34"/>
      <c r="AQ569" s="34"/>
      <c r="AR569" s="34"/>
      <c r="AS569" s="34"/>
      <c r="AT569" s="40"/>
      <c r="AU569" s="18"/>
      <c r="AV569" s="34"/>
      <c r="AW569" s="34"/>
      <c r="AX569" s="18"/>
    </row>
    <row r="570" spans="1:50" ht="18.75" customHeight="1" x14ac:dyDescent="0.2">
      <c r="A570" s="4" t="s">
        <v>55</v>
      </c>
      <c r="B570" s="4" t="s">
        <v>56</v>
      </c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1" t="s">
        <v>466</v>
      </c>
      <c r="AB570" s="42" t="s">
        <v>233</v>
      </c>
      <c r="AC570" s="43" t="s">
        <v>58</v>
      </c>
      <c r="AD570" s="44">
        <v>0</v>
      </c>
      <c r="AE570" s="44">
        <v>0</v>
      </c>
      <c r="AF570" s="44">
        <v>0</v>
      </c>
      <c r="AG570" s="43">
        <v>95000000</v>
      </c>
      <c r="AH570" s="44">
        <v>0</v>
      </c>
      <c r="AI570" s="43">
        <f>AE570-AF570+AG570-AH570</f>
        <v>95000000</v>
      </c>
      <c r="AJ570" s="142">
        <f>AD570+AI570</f>
        <v>95000000</v>
      </c>
      <c r="AK570" s="44">
        <v>0</v>
      </c>
      <c r="AL570" s="115">
        <v>0</v>
      </c>
      <c r="AM570" s="114">
        <v>94976390.849999994</v>
      </c>
      <c r="AN570" s="44">
        <v>0</v>
      </c>
      <c r="AO570" s="114">
        <v>0</v>
      </c>
      <c r="AP570" s="114">
        <v>94976390.849999994</v>
      </c>
      <c r="AQ570" s="44">
        <v>0</v>
      </c>
      <c r="AR570" s="44">
        <v>0</v>
      </c>
      <c r="AS570" s="44">
        <v>0</v>
      </c>
      <c r="AT570" s="40">
        <f>AQ570+AS570</f>
        <v>0</v>
      </c>
      <c r="AU570" s="18">
        <f>AJ570-AM570</f>
        <v>23609.15000000596</v>
      </c>
      <c r="AV570" s="34">
        <f>AM570-AP570</f>
        <v>0</v>
      </c>
      <c r="AW570" s="110">
        <f>AP570-AT570</f>
        <v>94976390.849999994</v>
      </c>
      <c r="AX570" s="123">
        <f>AP570/AJ570</f>
        <v>0.99975148263157887</v>
      </c>
    </row>
    <row r="571" spans="1:50" ht="18.75" customHeight="1" x14ac:dyDescent="0.2">
      <c r="AA571" s="16"/>
      <c r="AB571" s="29" t="s">
        <v>467</v>
      </c>
      <c r="AC571" s="17"/>
      <c r="AD571" s="34"/>
      <c r="AE571" s="34"/>
      <c r="AF571" s="34"/>
      <c r="AG571" s="18"/>
      <c r="AH571" s="34"/>
      <c r="AI571" s="18"/>
      <c r="AJ571" s="147"/>
      <c r="AK571" s="34"/>
      <c r="AL571" s="34"/>
      <c r="AM571" s="34"/>
      <c r="AN571" s="34"/>
      <c r="AO571" s="34"/>
      <c r="AP571" s="34"/>
      <c r="AQ571" s="34"/>
      <c r="AR571" s="34"/>
      <c r="AS571" s="34"/>
      <c r="AT571" s="40"/>
      <c r="AU571" s="18"/>
      <c r="AV571" s="34"/>
      <c r="AW571" s="34"/>
      <c r="AX571" s="18"/>
    </row>
    <row r="572" spans="1:50" ht="18.75" customHeight="1" x14ac:dyDescent="0.2">
      <c r="A572" s="4" t="s">
        <v>55</v>
      </c>
      <c r="B572" s="4" t="s">
        <v>56</v>
      </c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1" t="s">
        <v>468</v>
      </c>
      <c r="AB572" s="42" t="s">
        <v>458</v>
      </c>
      <c r="AC572" s="43" t="s">
        <v>454</v>
      </c>
      <c r="AD572" s="44">
        <v>0</v>
      </c>
      <c r="AE572" s="44">
        <v>0</v>
      </c>
      <c r="AF572" s="44">
        <v>0</v>
      </c>
      <c r="AG572" s="43">
        <v>1331864802</v>
      </c>
      <c r="AH572" s="44">
        <v>0</v>
      </c>
      <c r="AI572" s="43">
        <f>AE572-AF572+AG572-AH572</f>
        <v>1331864802</v>
      </c>
      <c r="AJ572" s="43">
        <f>AD572+AI572</f>
        <v>1331864802</v>
      </c>
      <c r="AK572" s="43">
        <v>0</v>
      </c>
      <c r="AL572" s="43">
        <v>-34101996</v>
      </c>
      <c r="AM572" s="43">
        <v>1200448717.8599999</v>
      </c>
      <c r="AN572" s="43">
        <v>0</v>
      </c>
      <c r="AO572" s="43">
        <v>180595241</v>
      </c>
      <c r="AP572" s="43">
        <v>180595241</v>
      </c>
      <c r="AQ572" s="44">
        <v>0</v>
      </c>
      <c r="AR572" s="44">
        <v>0</v>
      </c>
      <c r="AS572" s="44">
        <v>0</v>
      </c>
      <c r="AT572" s="40">
        <f>AQ572+AS572</f>
        <v>0</v>
      </c>
      <c r="AU572" s="18">
        <f>AJ572-AM572</f>
        <v>131416084.1400001</v>
      </c>
      <c r="AV572" s="18">
        <f>AM572-AP572</f>
        <v>1019853476.8599999</v>
      </c>
      <c r="AW572" s="18">
        <f>AP572-AT572</f>
        <v>180595241</v>
      </c>
      <c r="AX572" s="123">
        <f>AP572/AJ572</f>
        <v>0.13559577573399975</v>
      </c>
    </row>
    <row r="573" spans="1:50" ht="18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170" t="s">
        <v>288</v>
      </c>
      <c r="AB573" s="170" t="s">
        <v>970</v>
      </c>
      <c r="AC573" s="168"/>
      <c r="AD573" s="44"/>
      <c r="AE573" s="44"/>
      <c r="AF573" s="44"/>
      <c r="AG573" s="43"/>
      <c r="AH573" s="44"/>
      <c r="AI573" s="43"/>
      <c r="AJ573" s="43"/>
      <c r="AK573" s="44"/>
      <c r="AL573" s="44"/>
      <c r="AM573" s="44"/>
      <c r="AN573" s="44"/>
      <c r="AO573" s="44"/>
      <c r="AP573" s="44"/>
      <c r="AQ573" s="44"/>
      <c r="AR573" s="44"/>
      <c r="AS573" s="44"/>
      <c r="AT573" s="40"/>
      <c r="AU573" s="18"/>
      <c r="AV573" s="34"/>
      <c r="AW573" s="34"/>
      <c r="AX573" s="123"/>
    </row>
    <row r="574" spans="1:50" ht="18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166" t="s">
        <v>969</v>
      </c>
      <c r="AB574" s="166" t="s">
        <v>233</v>
      </c>
      <c r="AC574" s="168"/>
      <c r="AD574" s="44">
        <v>0</v>
      </c>
      <c r="AE574" s="44">
        <v>0</v>
      </c>
      <c r="AF574" s="44">
        <v>0</v>
      </c>
      <c r="AG574" s="43">
        <v>138279379</v>
      </c>
      <c r="AH574" s="43">
        <v>4993574</v>
      </c>
      <c r="AI574" s="43">
        <f>AE574-AF574+AG574-AH574</f>
        <v>133285805</v>
      </c>
      <c r="AJ574" s="43">
        <f>AD574+AI574</f>
        <v>133285805</v>
      </c>
      <c r="AK574" s="44">
        <v>0</v>
      </c>
      <c r="AL574" s="44">
        <v>0</v>
      </c>
      <c r="AM574" s="43">
        <v>133285804.41</v>
      </c>
      <c r="AN574" s="44">
        <v>0</v>
      </c>
      <c r="AO574" s="43">
        <v>0</v>
      </c>
      <c r="AP574" s="43">
        <v>133285804.41</v>
      </c>
      <c r="AQ574" s="44">
        <v>0</v>
      </c>
      <c r="AR574" s="44">
        <v>0</v>
      </c>
      <c r="AS574" s="44">
        <v>0</v>
      </c>
      <c r="AT574" s="40">
        <f>AQ574+AS574</f>
        <v>0</v>
      </c>
      <c r="AU574" s="18">
        <f>AJ574-AM574</f>
        <v>0.59000000357627869</v>
      </c>
      <c r="AV574" s="34">
        <f>AM574-AP574</f>
        <v>0</v>
      </c>
      <c r="AW574" s="18">
        <f>AP574-AT574</f>
        <v>133285804.41</v>
      </c>
      <c r="AX574" s="123">
        <f>AP574/AJ574</f>
        <v>0.99999999557342212</v>
      </c>
    </row>
    <row r="575" spans="1:50" ht="22.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166" t="s">
        <v>1042</v>
      </c>
      <c r="AB575" s="167" t="s">
        <v>1015</v>
      </c>
      <c r="AC575" s="168"/>
      <c r="AD575" s="44">
        <v>0</v>
      </c>
      <c r="AE575" s="43">
        <v>20000000</v>
      </c>
      <c r="AF575" s="44">
        <v>0</v>
      </c>
      <c r="AG575" s="43">
        <f>50000000+50000000</f>
        <v>100000000</v>
      </c>
      <c r="AH575" s="44">
        <v>0</v>
      </c>
      <c r="AI575" s="43">
        <f t="shared" ref="AI575:AI576" si="242">AE575-AF575+AG575-AH575</f>
        <v>120000000</v>
      </c>
      <c r="AJ575" s="43">
        <f t="shared" ref="AJ575:AJ576" si="243">AD575+AI575</f>
        <v>120000000</v>
      </c>
      <c r="AK575" s="44">
        <v>0</v>
      </c>
      <c r="AL575" s="44">
        <v>0</v>
      </c>
      <c r="AM575" s="44">
        <v>0</v>
      </c>
      <c r="AN575" s="44">
        <v>0</v>
      </c>
      <c r="AO575" s="44">
        <v>0</v>
      </c>
      <c r="AP575" s="44">
        <v>0</v>
      </c>
      <c r="AQ575" s="44">
        <v>0</v>
      </c>
      <c r="AR575" s="44">
        <v>0</v>
      </c>
      <c r="AS575" s="44">
        <v>0</v>
      </c>
      <c r="AT575" s="40">
        <f t="shared" ref="AT575:AT576" si="244">AQ575+AS575</f>
        <v>0</v>
      </c>
      <c r="AU575" s="18">
        <f>AJ575-AM575</f>
        <v>120000000</v>
      </c>
      <c r="AV575" s="34">
        <f>AM575-AP575</f>
        <v>0</v>
      </c>
      <c r="AW575" s="34">
        <f>AP575-AT575</f>
        <v>0</v>
      </c>
      <c r="AX575" s="123">
        <f>AP575/AJ575</f>
        <v>0</v>
      </c>
    </row>
    <row r="576" spans="1:50" ht="27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166" t="s">
        <v>1043</v>
      </c>
      <c r="AB576" s="167" t="s">
        <v>1044</v>
      </c>
      <c r="AC576" s="168"/>
      <c r="AD576" s="44">
        <v>0</v>
      </c>
      <c r="AE576" s="43">
        <v>2160000000</v>
      </c>
      <c r="AF576" s="44">
        <v>0</v>
      </c>
      <c r="AG576" s="44">
        <v>0</v>
      </c>
      <c r="AH576" s="43">
        <f>1681878981.2+478121018</f>
        <v>2159999999.1999998</v>
      </c>
      <c r="AI576" s="43">
        <f t="shared" si="242"/>
        <v>0.80000019073486328</v>
      </c>
      <c r="AJ576" s="43">
        <f t="shared" si="243"/>
        <v>0.80000019073486328</v>
      </c>
      <c r="AK576" s="44">
        <v>0</v>
      </c>
      <c r="AL576" s="44">
        <v>0</v>
      </c>
      <c r="AM576" s="44">
        <v>0</v>
      </c>
      <c r="AN576" s="44">
        <v>0</v>
      </c>
      <c r="AO576" s="44">
        <v>0</v>
      </c>
      <c r="AP576" s="44">
        <v>0</v>
      </c>
      <c r="AQ576" s="44">
        <v>0</v>
      </c>
      <c r="AR576" s="44">
        <v>0</v>
      </c>
      <c r="AS576" s="44">
        <v>0</v>
      </c>
      <c r="AT576" s="40">
        <f t="shared" si="244"/>
        <v>0</v>
      </c>
      <c r="AU576" s="18">
        <f>AJ576-AM576</f>
        <v>0.80000019073486328</v>
      </c>
      <c r="AV576" s="34">
        <f>AM576-AP576</f>
        <v>0</v>
      </c>
      <c r="AW576" s="34">
        <f>AP576-AT576</f>
        <v>0</v>
      </c>
      <c r="AX576" s="123">
        <f>AP576/AJ576</f>
        <v>0</v>
      </c>
    </row>
    <row r="577" spans="1:50" ht="27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229" t="s">
        <v>1305</v>
      </c>
      <c r="AB577" s="230" t="s">
        <v>1304</v>
      </c>
      <c r="AC577" s="168"/>
      <c r="AD577" s="44">
        <v>0</v>
      </c>
      <c r="AE577" s="43">
        <v>0</v>
      </c>
      <c r="AF577" s="44">
        <v>0</v>
      </c>
      <c r="AG577" s="43">
        <v>60000000</v>
      </c>
      <c r="AH577" s="43">
        <v>0</v>
      </c>
      <c r="AI577" s="43">
        <f t="shared" ref="AI577" si="245">AE577-AF577+AG577-AH577</f>
        <v>60000000</v>
      </c>
      <c r="AJ577" s="43">
        <f t="shared" ref="AJ577" si="246">AD577+AI577</f>
        <v>60000000</v>
      </c>
      <c r="AK577" s="44">
        <v>0</v>
      </c>
      <c r="AL577" s="44">
        <v>0</v>
      </c>
      <c r="AM577" s="44">
        <v>0</v>
      </c>
      <c r="AN577" s="44">
        <v>0</v>
      </c>
      <c r="AO577" s="44">
        <v>0</v>
      </c>
      <c r="AP577" s="44">
        <v>0</v>
      </c>
      <c r="AQ577" s="44">
        <v>0</v>
      </c>
      <c r="AR577" s="44">
        <v>0</v>
      </c>
      <c r="AS577" s="44">
        <v>0</v>
      </c>
      <c r="AT577" s="40">
        <f t="shared" ref="AT577" si="247">AQ577+AS577</f>
        <v>0</v>
      </c>
      <c r="AU577" s="18">
        <f>AJ577-AM577</f>
        <v>60000000</v>
      </c>
      <c r="AV577" s="34">
        <f>AM577-AP577</f>
        <v>0</v>
      </c>
      <c r="AW577" s="34">
        <f>AP577-AT577</f>
        <v>0</v>
      </c>
      <c r="AX577" s="123">
        <f>AP577/AJ577</f>
        <v>0</v>
      </c>
    </row>
    <row r="578" spans="1:50" ht="18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171" t="s">
        <v>288</v>
      </c>
      <c r="AB578" s="171" t="s">
        <v>971</v>
      </c>
      <c r="AC578" s="168"/>
      <c r="AD578" s="44"/>
      <c r="AE578" s="44"/>
      <c r="AF578" s="44"/>
      <c r="AG578" s="43"/>
      <c r="AH578" s="44"/>
      <c r="AI578" s="43"/>
      <c r="AJ578" s="43"/>
      <c r="AK578" s="44"/>
      <c r="AL578" s="44"/>
      <c r="AM578" s="44"/>
      <c r="AN578" s="44"/>
      <c r="AO578" s="44"/>
      <c r="AP578" s="44"/>
      <c r="AQ578" s="44"/>
      <c r="AR578" s="44"/>
      <c r="AS578" s="44"/>
      <c r="AT578" s="40"/>
      <c r="AU578" s="18"/>
      <c r="AV578" s="34"/>
      <c r="AW578" s="34"/>
      <c r="AX578" s="123"/>
    </row>
    <row r="579" spans="1:50" ht="18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166" t="s">
        <v>968</v>
      </c>
      <c r="AB579" s="166" t="s">
        <v>233</v>
      </c>
      <c r="AC579" s="168"/>
      <c r="AD579" s="44">
        <v>0</v>
      </c>
      <c r="AE579" s="44">
        <v>0</v>
      </c>
      <c r="AF579" s="44">
        <v>0</v>
      </c>
      <c r="AG579" s="43">
        <v>610000000</v>
      </c>
      <c r="AH579" s="44"/>
      <c r="AI579" s="43">
        <f>AE579-AF579+AG579-AH579</f>
        <v>610000000</v>
      </c>
      <c r="AJ579" s="43">
        <f>AD579+AI579</f>
        <v>610000000</v>
      </c>
      <c r="AK579" s="44">
        <v>0</v>
      </c>
      <c r="AL579" s="43">
        <v>397564929</v>
      </c>
      <c r="AM579" s="43">
        <v>439064929</v>
      </c>
      <c r="AN579" s="43">
        <v>0</v>
      </c>
      <c r="AO579" s="43">
        <v>39260000</v>
      </c>
      <c r="AP579" s="43">
        <v>53260000</v>
      </c>
      <c r="AQ579" s="43">
        <v>0</v>
      </c>
      <c r="AR579" s="43">
        <v>373333</v>
      </c>
      <c r="AS579" s="43">
        <v>373333</v>
      </c>
      <c r="AT579" s="39">
        <f>AQ579+AS579</f>
        <v>373333</v>
      </c>
      <c r="AU579" s="18">
        <f>AJ579-AM579</f>
        <v>170935071</v>
      </c>
      <c r="AV579" s="18">
        <f>AM579-AP579</f>
        <v>385804929</v>
      </c>
      <c r="AW579" s="18">
        <f>AP579-AT579</f>
        <v>52886667</v>
      </c>
      <c r="AX579" s="123">
        <f>AP579/AJ579</f>
        <v>8.7311475409836067E-2</v>
      </c>
    </row>
    <row r="580" spans="1:50" ht="18.75" customHeight="1" x14ac:dyDescent="0.2">
      <c r="AA580" s="169" t="s">
        <v>288</v>
      </c>
      <c r="AB580" s="205" t="s">
        <v>469</v>
      </c>
      <c r="AC580" s="17"/>
      <c r="AD580" s="18"/>
      <c r="AE580" s="18"/>
      <c r="AF580" s="18"/>
      <c r="AG580" s="18"/>
      <c r="AH580" s="34"/>
      <c r="AI580" s="18"/>
      <c r="AJ580" s="18"/>
      <c r="AK580" s="34"/>
      <c r="AL580" s="34"/>
      <c r="AM580" s="34"/>
      <c r="AN580" s="34"/>
      <c r="AO580" s="34"/>
      <c r="AP580" s="34"/>
      <c r="AQ580" s="34"/>
      <c r="AR580" s="34"/>
      <c r="AS580" s="34"/>
      <c r="AT580" s="40"/>
      <c r="AU580" s="18"/>
      <c r="AV580" s="34"/>
      <c r="AW580" s="18"/>
      <c r="AX580" s="18"/>
    </row>
    <row r="581" spans="1:50" ht="18.75" customHeight="1" x14ac:dyDescent="0.2">
      <c r="A581" s="4" t="s">
        <v>55</v>
      </c>
      <c r="B581" s="4" t="s">
        <v>56</v>
      </c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211" t="s">
        <v>470</v>
      </c>
      <c r="AB581" s="265" t="s">
        <v>233</v>
      </c>
      <c r="AC581" s="43" t="s">
        <v>58</v>
      </c>
      <c r="AD581" s="43">
        <v>128000000</v>
      </c>
      <c r="AE581" s="44">
        <v>0</v>
      </c>
      <c r="AF581" s="44">
        <v>0</v>
      </c>
      <c r="AG581" s="43">
        <v>89000000</v>
      </c>
      <c r="AH581" s="44">
        <v>0</v>
      </c>
      <c r="AI581" s="43">
        <f>AE581-AF581+AG581-AH581</f>
        <v>89000000</v>
      </c>
      <c r="AJ581" s="43">
        <f>AD581+AI581</f>
        <v>217000000</v>
      </c>
      <c r="AK581" s="44">
        <v>0</v>
      </c>
      <c r="AL581" s="44">
        <v>0</v>
      </c>
      <c r="AM581" s="44">
        <v>0</v>
      </c>
      <c r="AN581" s="44">
        <v>0</v>
      </c>
      <c r="AO581" s="44">
        <v>0</v>
      </c>
      <c r="AP581" s="44">
        <v>0</v>
      </c>
      <c r="AQ581" s="44">
        <v>0</v>
      </c>
      <c r="AR581" s="44">
        <v>0</v>
      </c>
      <c r="AS581" s="44">
        <v>0</v>
      </c>
      <c r="AT581" s="40">
        <f>AQ581+AS581</f>
        <v>0</v>
      </c>
      <c r="AU581" s="18">
        <f>AJ581-AM581</f>
        <v>217000000</v>
      </c>
      <c r="AV581" s="34">
        <f>AM581-AP581</f>
        <v>0</v>
      </c>
      <c r="AW581" s="34">
        <f>AP581-AT581</f>
        <v>0</v>
      </c>
      <c r="AX581" s="123">
        <f>AP581/AJ581</f>
        <v>0</v>
      </c>
    </row>
    <row r="582" spans="1:50" ht="28.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166" t="s">
        <v>1029</v>
      </c>
      <c r="AB582" s="266" t="s">
        <v>1030</v>
      </c>
      <c r="AC582" s="168"/>
      <c r="AD582" s="44">
        <v>0</v>
      </c>
      <c r="AE582" s="43">
        <v>451451337.30000001</v>
      </c>
      <c r="AF582" s="44">
        <v>0</v>
      </c>
      <c r="AG582" s="44">
        <v>0</v>
      </c>
      <c r="AH582" s="43">
        <v>451451337.30000001</v>
      </c>
      <c r="AI582" s="44">
        <f t="shared" ref="AI582:AI584" si="248">AE582-AF582+AG582-AH582</f>
        <v>0</v>
      </c>
      <c r="AJ582" s="44">
        <f t="shared" ref="AJ582:AJ584" si="249">AD582+AI582</f>
        <v>0</v>
      </c>
      <c r="AK582" s="44">
        <v>0</v>
      </c>
      <c r="AL582" s="44">
        <v>0</v>
      </c>
      <c r="AM582" s="44">
        <v>0</v>
      </c>
      <c r="AN582" s="44">
        <v>0</v>
      </c>
      <c r="AO582" s="44">
        <v>0</v>
      </c>
      <c r="AP582" s="44">
        <v>0</v>
      </c>
      <c r="AQ582" s="44">
        <v>0</v>
      </c>
      <c r="AR582" s="44">
        <v>0</v>
      </c>
      <c r="AS582" s="44">
        <v>0</v>
      </c>
      <c r="AT582" s="40">
        <f t="shared" ref="AT582:AT584" si="250">AQ582+AS582</f>
        <v>0</v>
      </c>
      <c r="AU582" s="34">
        <f>AJ582-AM582</f>
        <v>0</v>
      </c>
      <c r="AV582" s="34">
        <f>AM582-AP582</f>
        <v>0</v>
      </c>
      <c r="AW582" s="34">
        <f>AP582-AT582</f>
        <v>0</v>
      </c>
      <c r="AX582" s="123">
        <v>0</v>
      </c>
    </row>
    <row r="583" spans="1:50" ht="18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166" t="s">
        <v>1031</v>
      </c>
      <c r="AB583" s="266" t="s">
        <v>1032</v>
      </c>
      <c r="AC583" s="168"/>
      <c r="AD583" s="44">
        <v>0</v>
      </c>
      <c r="AE583" s="43">
        <v>700000000</v>
      </c>
      <c r="AF583" s="44">
        <v>0</v>
      </c>
      <c r="AG583" s="44">
        <v>0</v>
      </c>
      <c r="AH583" s="43">
        <v>700000000</v>
      </c>
      <c r="AI583" s="44">
        <f t="shared" si="248"/>
        <v>0</v>
      </c>
      <c r="AJ583" s="44">
        <f t="shared" si="249"/>
        <v>0</v>
      </c>
      <c r="AK583" s="44">
        <v>0</v>
      </c>
      <c r="AL583" s="44">
        <v>0</v>
      </c>
      <c r="AM583" s="44">
        <v>0</v>
      </c>
      <c r="AN583" s="44">
        <v>0</v>
      </c>
      <c r="AO583" s="44">
        <v>0</v>
      </c>
      <c r="AP583" s="44">
        <v>0</v>
      </c>
      <c r="AQ583" s="44">
        <v>0</v>
      </c>
      <c r="AR583" s="44">
        <v>0</v>
      </c>
      <c r="AS583" s="44">
        <v>0</v>
      </c>
      <c r="AT583" s="40">
        <f t="shared" si="250"/>
        <v>0</v>
      </c>
      <c r="AU583" s="34">
        <f>AJ583-AM583</f>
        <v>0</v>
      </c>
      <c r="AV583" s="34">
        <f>AM583-AP583</f>
        <v>0</v>
      </c>
      <c r="AW583" s="34">
        <f>AP583-AT583</f>
        <v>0</v>
      </c>
      <c r="AX583" s="123">
        <v>0</v>
      </c>
    </row>
    <row r="584" spans="1:50" ht="18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166" t="s">
        <v>1033</v>
      </c>
      <c r="AB584" s="167" t="s">
        <v>1034</v>
      </c>
      <c r="AC584" s="168"/>
      <c r="AD584" s="44">
        <v>0</v>
      </c>
      <c r="AE584" s="43">
        <v>1040743</v>
      </c>
      <c r="AF584" s="44">
        <v>0</v>
      </c>
      <c r="AG584" s="44">
        <v>0</v>
      </c>
      <c r="AH584" s="43">
        <v>1040743</v>
      </c>
      <c r="AI584" s="44">
        <f t="shared" si="248"/>
        <v>0</v>
      </c>
      <c r="AJ584" s="44">
        <f t="shared" si="249"/>
        <v>0</v>
      </c>
      <c r="AK584" s="44">
        <v>0</v>
      </c>
      <c r="AL584" s="44">
        <v>0</v>
      </c>
      <c r="AM584" s="44">
        <v>0</v>
      </c>
      <c r="AN584" s="44">
        <v>0</v>
      </c>
      <c r="AO584" s="44">
        <v>0</v>
      </c>
      <c r="AP584" s="44">
        <v>0</v>
      </c>
      <c r="AQ584" s="44">
        <v>0</v>
      </c>
      <c r="AR584" s="44">
        <v>0</v>
      </c>
      <c r="AS584" s="44">
        <v>0</v>
      </c>
      <c r="AT584" s="40">
        <f t="shared" si="250"/>
        <v>0</v>
      </c>
      <c r="AU584" s="34">
        <f>AJ584-AM584</f>
        <v>0</v>
      </c>
      <c r="AV584" s="34">
        <f>AM584-AP584</f>
        <v>0</v>
      </c>
      <c r="AW584" s="34">
        <f>AP584-AT584</f>
        <v>0</v>
      </c>
      <c r="AX584" s="123">
        <v>0</v>
      </c>
    </row>
    <row r="585" spans="1:50" ht="18.75" customHeight="1" x14ac:dyDescent="0.2">
      <c r="AA585" s="169" t="s">
        <v>288</v>
      </c>
      <c r="AB585" s="163" t="s">
        <v>471</v>
      </c>
      <c r="AC585" s="17"/>
      <c r="AD585" s="18"/>
      <c r="AE585" s="34"/>
      <c r="AF585" s="34"/>
      <c r="AG585" s="34"/>
      <c r="AH585" s="18"/>
      <c r="AI585" s="18"/>
      <c r="AJ585" s="18"/>
      <c r="AK585" s="34"/>
      <c r="AL585" s="34"/>
      <c r="AM585" s="34"/>
      <c r="AN585" s="34"/>
      <c r="AO585" s="34"/>
      <c r="AP585" s="34"/>
      <c r="AQ585" s="34"/>
      <c r="AR585" s="34"/>
      <c r="AS585" s="34"/>
      <c r="AT585" s="40"/>
      <c r="AU585" s="18"/>
      <c r="AV585" s="34"/>
      <c r="AW585" s="34"/>
      <c r="AX585" s="18"/>
    </row>
    <row r="586" spans="1:50" ht="18.75" customHeight="1" x14ac:dyDescent="0.2">
      <c r="A586" s="4" t="s">
        <v>55</v>
      </c>
      <c r="B586" s="4" t="s">
        <v>56</v>
      </c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1" t="s">
        <v>472</v>
      </c>
      <c r="AB586" s="42" t="s">
        <v>453</v>
      </c>
      <c r="AC586" s="43" t="s">
        <v>454</v>
      </c>
      <c r="AD586" s="43">
        <v>16500000000</v>
      </c>
      <c r="AE586" s="44">
        <v>0</v>
      </c>
      <c r="AF586" s="44">
        <v>0</v>
      </c>
      <c r="AG586" s="44">
        <v>0</v>
      </c>
      <c r="AH586" s="43">
        <v>16500000000</v>
      </c>
      <c r="AI586" s="43">
        <f>AE586-AF586+AG586-AH586</f>
        <v>-16500000000</v>
      </c>
      <c r="AJ586" s="44">
        <f>AD586+AI586</f>
        <v>0</v>
      </c>
      <c r="AK586" s="44">
        <v>0</v>
      </c>
      <c r="AL586" s="44">
        <v>0</v>
      </c>
      <c r="AM586" s="44">
        <v>0</v>
      </c>
      <c r="AN586" s="44">
        <v>0</v>
      </c>
      <c r="AO586" s="44">
        <v>0</v>
      </c>
      <c r="AP586" s="44">
        <v>0</v>
      </c>
      <c r="AQ586" s="44">
        <v>0</v>
      </c>
      <c r="AR586" s="44">
        <v>0</v>
      </c>
      <c r="AS586" s="44">
        <v>0</v>
      </c>
      <c r="AT586" s="40">
        <f>AQ586+AS586</f>
        <v>0</v>
      </c>
      <c r="AU586" s="34">
        <f>AJ586-AM586</f>
        <v>0</v>
      </c>
      <c r="AV586" s="34">
        <f>AM586-AP586</f>
        <v>0</v>
      </c>
      <c r="AW586" s="34">
        <f>AP586-AT586</f>
        <v>0</v>
      </c>
      <c r="AX586" s="123">
        <v>0</v>
      </c>
    </row>
    <row r="587" spans="1:50" ht="25.5" x14ac:dyDescent="0.2">
      <c r="AA587" s="28" t="s">
        <v>288</v>
      </c>
      <c r="AB587" s="29" t="s">
        <v>473</v>
      </c>
      <c r="AC587" s="17"/>
      <c r="AD587" s="18"/>
      <c r="AE587" s="18"/>
      <c r="AF587" s="18"/>
      <c r="AG587" s="18"/>
      <c r="AH587" s="18"/>
      <c r="AI587" s="18"/>
      <c r="AJ587" s="18"/>
      <c r="AK587" s="34"/>
      <c r="AL587" s="34"/>
      <c r="AM587" s="34"/>
      <c r="AN587" s="34"/>
      <c r="AO587" s="34"/>
      <c r="AP587" s="34"/>
      <c r="AQ587" s="18"/>
      <c r="AR587" s="18"/>
      <c r="AS587" s="18"/>
      <c r="AT587" s="40"/>
      <c r="AU587" s="18"/>
      <c r="AV587" s="34"/>
      <c r="AW587" s="34"/>
      <c r="AX587" s="18"/>
    </row>
    <row r="588" spans="1:50" ht="18.75" customHeight="1" x14ac:dyDescent="0.2">
      <c r="A588" s="4" t="s">
        <v>55</v>
      </c>
      <c r="B588" s="4" t="s">
        <v>56</v>
      </c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1" t="s">
        <v>474</v>
      </c>
      <c r="AB588" s="42" t="s">
        <v>233</v>
      </c>
      <c r="AC588" s="43" t="s">
        <v>58</v>
      </c>
      <c r="AD588" s="44">
        <v>0</v>
      </c>
      <c r="AE588" s="44">
        <v>0</v>
      </c>
      <c r="AF588" s="44">
        <v>0</v>
      </c>
      <c r="AG588" s="43">
        <v>22204778</v>
      </c>
      <c r="AH588" s="44">
        <v>0</v>
      </c>
      <c r="AI588" s="43">
        <f>AE588-AF588+AG588-AH588</f>
        <v>22204778</v>
      </c>
      <c r="AJ588" s="43">
        <f>AD588+AI588</f>
        <v>22204778</v>
      </c>
      <c r="AK588" s="44">
        <v>0</v>
      </c>
      <c r="AL588" s="44">
        <v>0</v>
      </c>
      <c r="AM588" s="44">
        <v>0</v>
      </c>
      <c r="AN588" s="44">
        <v>0</v>
      </c>
      <c r="AO588" s="44">
        <v>0</v>
      </c>
      <c r="AP588" s="44">
        <v>0</v>
      </c>
      <c r="AQ588" s="44">
        <v>0</v>
      </c>
      <c r="AR588" s="44">
        <v>0</v>
      </c>
      <c r="AS588" s="44">
        <v>0</v>
      </c>
      <c r="AT588" s="40">
        <f>AQ588+AS588</f>
        <v>0</v>
      </c>
      <c r="AU588" s="18">
        <f>AJ588-AM588</f>
        <v>22204778</v>
      </c>
      <c r="AV588" s="34">
        <f>AM588-AP588</f>
        <v>0</v>
      </c>
      <c r="AW588" s="34">
        <f>AP588-AT588</f>
        <v>0</v>
      </c>
      <c r="AX588" s="123">
        <f>AP588/AJ588</f>
        <v>0</v>
      </c>
    </row>
    <row r="589" spans="1:50" ht="18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1" t="s">
        <v>1279</v>
      </c>
      <c r="AB589" s="42" t="s">
        <v>1280</v>
      </c>
      <c r="AC589" s="168"/>
      <c r="AD589" s="44">
        <v>0</v>
      </c>
      <c r="AE589" s="44">
        <v>0</v>
      </c>
      <c r="AF589" s="44">
        <v>0</v>
      </c>
      <c r="AG589" s="43">
        <v>451451337.30000001</v>
      </c>
      <c r="AH589" s="44"/>
      <c r="AI589" s="43">
        <f t="shared" ref="AI589:AI593" si="251">AE589-AF589+AG589-AH589</f>
        <v>451451337.30000001</v>
      </c>
      <c r="AJ589" s="43">
        <f t="shared" ref="AJ589:AJ593" si="252">AD589+AI589</f>
        <v>451451337.30000001</v>
      </c>
      <c r="AK589" s="44">
        <v>0</v>
      </c>
      <c r="AL589" s="44">
        <v>0</v>
      </c>
      <c r="AM589" s="44">
        <v>0</v>
      </c>
      <c r="AN589" s="44">
        <v>0</v>
      </c>
      <c r="AO589" s="44">
        <v>0</v>
      </c>
      <c r="AP589" s="44">
        <v>0</v>
      </c>
      <c r="AQ589" s="44">
        <v>0</v>
      </c>
      <c r="AR589" s="44">
        <v>0</v>
      </c>
      <c r="AS589" s="44">
        <v>0</v>
      </c>
      <c r="AT589" s="40">
        <f t="shared" ref="AT589:AT592" si="253">AQ589+AS589</f>
        <v>0</v>
      </c>
      <c r="AU589" s="18">
        <f t="shared" ref="AU589:AU592" si="254">AJ589-AM589</f>
        <v>451451337.30000001</v>
      </c>
      <c r="AV589" s="34">
        <f t="shared" ref="AV589:AV592" si="255">AM589-AP589</f>
        <v>0</v>
      </c>
      <c r="AW589" s="34">
        <f t="shared" ref="AW589:AW592" si="256">AP589-AT589</f>
        <v>0</v>
      </c>
      <c r="AX589" s="123">
        <f t="shared" ref="AX589:AX592" si="257">AP589/AJ589</f>
        <v>0</v>
      </c>
    </row>
    <row r="590" spans="1:50" ht="18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1" t="s">
        <v>1281</v>
      </c>
      <c r="AB590" s="42" t="s">
        <v>1032</v>
      </c>
      <c r="AC590" s="168"/>
      <c r="AD590" s="44">
        <v>0</v>
      </c>
      <c r="AE590" s="44">
        <v>0</v>
      </c>
      <c r="AF590" s="44">
        <v>0</v>
      </c>
      <c r="AG590" s="43">
        <v>700000000</v>
      </c>
      <c r="AH590" s="44"/>
      <c r="AI590" s="43">
        <f t="shared" si="251"/>
        <v>700000000</v>
      </c>
      <c r="AJ590" s="43">
        <f t="shared" si="252"/>
        <v>700000000</v>
      </c>
      <c r="AK590" s="44">
        <v>0</v>
      </c>
      <c r="AL590" s="44">
        <v>0</v>
      </c>
      <c r="AM590" s="44">
        <v>0</v>
      </c>
      <c r="AN590" s="44">
        <v>0</v>
      </c>
      <c r="AO590" s="44">
        <v>0</v>
      </c>
      <c r="AP590" s="44">
        <v>0</v>
      </c>
      <c r="AQ590" s="44">
        <v>0</v>
      </c>
      <c r="AR590" s="44">
        <v>0</v>
      </c>
      <c r="AS590" s="44">
        <v>0</v>
      </c>
      <c r="AT590" s="40">
        <f t="shared" si="253"/>
        <v>0</v>
      </c>
      <c r="AU590" s="18">
        <f t="shared" si="254"/>
        <v>700000000</v>
      </c>
      <c r="AV590" s="34">
        <f t="shared" si="255"/>
        <v>0</v>
      </c>
      <c r="AW590" s="34">
        <f t="shared" si="256"/>
        <v>0</v>
      </c>
      <c r="AX590" s="123">
        <f t="shared" si="257"/>
        <v>0</v>
      </c>
    </row>
    <row r="591" spans="1:50" ht="29.2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1" t="s">
        <v>1282</v>
      </c>
      <c r="AB591" s="42" t="s">
        <v>1047</v>
      </c>
      <c r="AC591" s="168"/>
      <c r="AD591" s="44">
        <v>0</v>
      </c>
      <c r="AE591" s="44">
        <v>0</v>
      </c>
      <c r="AF591" s="44">
        <v>0</v>
      </c>
      <c r="AG591" s="43">
        <v>186255799.66</v>
      </c>
      <c r="AH591" s="44"/>
      <c r="AI591" s="43">
        <f t="shared" si="251"/>
        <v>186255799.66</v>
      </c>
      <c r="AJ591" s="43">
        <f t="shared" si="252"/>
        <v>186255799.66</v>
      </c>
      <c r="AK591" s="44">
        <v>0</v>
      </c>
      <c r="AL591" s="44">
        <v>0</v>
      </c>
      <c r="AM591" s="44">
        <v>0</v>
      </c>
      <c r="AN591" s="44">
        <v>0</v>
      </c>
      <c r="AO591" s="44">
        <v>0</v>
      </c>
      <c r="AP591" s="44">
        <v>0</v>
      </c>
      <c r="AQ591" s="44">
        <v>0</v>
      </c>
      <c r="AR591" s="44">
        <v>0</v>
      </c>
      <c r="AS591" s="44">
        <v>0</v>
      </c>
      <c r="AT591" s="40">
        <f t="shared" si="253"/>
        <v>0</v>
      </c>
      <c r="AU591" s="18">
        <f t="shared" si="254"/>
        <v>186255799.66</v>
      </c>
      <c r="AV591" s="34">
        <f t="shared" si="255"/>
        <v>0</v>
      </c>
      <c r="AW591" s="34">
        <f t="shared" si="256"/>
        <v>0</v>
      </c>
      <c r="AX591" s="123">
        <f t="shared" si="257"/>
        <v>0</v>
      </c>
    </row>
    <row r="592" spans="1:50" ht="18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1" t="s">
        <v>1283</v>
      </c>
      <c r="AB592" s="42" t="s">
        <v>1284</v>
      </c>
      <c r="AC592" s="168"/>
      <c r="AD592" s="44">
        <v>0</v>
      </c>
      <c r="AE592" s="44">
        <v>0</v>
      </c>
      <c r="AF592" s="44">
        <v>0</v>
      </c>
      <c r="AG592" s="43">
        <v>1040743</v>
      </c>
      <c r="AH592" s="44"/>
      <c r="AI592" s="43">
        <f t="shared" si="251"/>
        <v>1040743</v>
      </c>
      <c r="AJ592" s="43">
        <f t="shared" si="252"/>
        <v>1040743</v>
      </c>
      <c r="AK592" s="44">
        <v>0</v>
      </c>
      <c r="AL592" s="44">
        <v>0</v>
      </c>
      <c r="AM592" s="44">
        <v>0</v>
      </c>
      <c r="AN592" s="44">
        <v>0</v>
      </c>
      <c r="AO592" s="44">
        <v>0</v>
      </c>
      <c r="AP592" s="44">
        <v>0</v>
      </c>
      <c r="AQ592" s="44">
        <v>0</v>
      </c>
      <c r="AR592" s="44">
        <v>0</v>
      </c>
      <c r="AS592" s="44">
        <v>0</v>
      </c>
      <c r="AT592" s="40">
        <f t="shared" si="253"/>
        <v>0</v>
      </c>
      <c r="AU592" s="18">
        <f t="shared" si="254"/>
        <v>1040743</v>
      </c>
      <c r="AV592" s="34">
        <f t="shared" si="255"/>
        <v>0</v>
      </c>
      <c r="AW592" s="34">
        <f t="shared" si="256"/>
        <v>0</v>
      </c>
      <c r="AX592" s="123">
        <f t="shared" si="257"/>
        <v>0</v>
      </c>
    </row>
    <row r="593" spans="1:50" ht="27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166" t="s">
        <v>1046</v>
      </c>
      <c r="AB593" s="167" t="s">
        <v>1047</v>
      </c>
      <c r="AC593" s="168"/>
      <c r="AD593" s="44">
        <v>0</v>
      </c>
      <c r="AE593" s="43">
        <v>186255799.66</v>
      </c>
      <c r="AF593" s="44">
        <v>0</v>
      </c>
      <c r="AG593" s="44">
        <v>0</v>
      </c>
      <c r="AH593" s="43">
        <v>186255799.66</v>
      </c>
      <c r="AI593" s="43">
        <f t="shared" si="251"/>
        <v>0</v>
      </c>
      <c r="AJ593" s="43">
        <f t="shared" si="252"/>
        <v>0</v>
      </c>
      <c r="AK593" s="44">
        <v>0</v>
      </c>
      <c r="AL593" s="44">
        <v>0</v>
      </c>
      <c r="AM593" s="44">
        <v>0</v>
      </c>
      <c r="AN593" s="44">
        <v>0</v>
      </c>
      <c r="AO593" s="44">
        <v>0</v>
      </c>
      <c r="AP593" s="44">
        <v>0</v>
      </c>
      <c r="AQ593" s="44">
        <v>0</v>
      </c>
      <c r="AR593" s="44">
        <v>0</v>
      </c>
      <c r="AS593" s="44">
        <v>0</v>
      </c>
      <c r="AT593" s="40">
        <f>AQ593+AS593</f>
        <v>0</v>
      </c>
      <c r="AU593" s="34">
        <f>AJ593-AM593</f>
        <v>0</v>
      </c>
      <c r="AV593" s="34">
        <f>AM593-AP593</f>
        <v>0</v>
      </c>
      <c r="AW593" s="34">
        <f>AP593-AT593</f>
        <v>0</v>
      </c>
      <c r="AX593" s="123">
        <v>0</v>
      </c>
    </row>
    <row r="594" spans="1:50" ht="25.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171" t="s">
        <v>288</v>
      </c>
      <c r="AB594" s="213" t="s">
        <v>1037</v>
      </c>
      <c r="AC594" s="168"/>
      <c r="AD594" s="44"/>
      <c r="AE594" s="44"/>
      <c r="AF594" s="44"/>
      <c r="AG594" s="43"/>
      <c r="AH594" s="44"/>
      <c r="AI594" s="43"/>
      <c r="AJ594" s="43"/>
      <c r="AK594" s="44"/>
      <c r="AL594" s="44"/>
      <c r="AM594" s="44"/>
      <c r="AN594" s="44"/>
      <c r="AO594" s="44"/>
      <c r="AP594" s="44"/>
      <c r="AQ594" s="44"/>
      <c r="AR594" s="44"/>
      <c r="AS594" s="44"/>
      <c r="AT594" s="40"/>
      <c r="AU594" s="18"/>
      <c r="AV594" s="34"/>
      <c r="AW594" s="34"/>
      <c r="AX594" s="123"/>
    </row>
    <row r="595" spans="1:50" ht="28.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166" t="s">
        <v>1038</v>
      </c>
      <c r="AB595" s="167" t="s">
        <v>1039</v>
      </c>
      <c r="AC595" s="168"/>
      <c r="AD595" s="44">
        <v>0</v>
      </c>
      <c r="AE595" s="43">
        <v>266733201.66</v>
      </c>
      <c r="AF595" s="44">
        <v>0</v>
      </c>
      <c r="AG595" s="44">
        <v>0</v>
      </c>
      <c r="AH595" s="44">
        <v>0</v>
      </c>
      <c r="AI595" s="43">
        <f>AE595-AF595+AG595-AH595</f>
        <v>266733201.66</v>
      </c>
      <c r="AJ595" s="43">
        <f>AD595+AI595</f>
        <v>266733201.66</v>
      </c>
      <c r="AK595" s="44">
        <v>0</v>
      </c>
      <c r="AL595" s="44">
        <v>0</v>
      </c>
      <c r="AM595" s="44">
        <v>0</v>
      </c>
      <c r="AN595" s="44">
        <v>0</v>
      </c>
      <c r="AO595" s="44">
        <v>0</v>
      </c>
      <c r="AP595" s="44">
        <v>0</v>
      </c>
      <c r="AQ595" s="44">
        <v>0</v>
      </c>
      <c r="AR595" s="44">
        <v>0</v>
      </c>
      <c r="AS595" s="44">
        <v>0</v>
      </c>
      <c r="AT595" s="40">
        <f>AQ595+AS595</f>
        <v>0</v>
      </c>
      <c r="AU595" s="18">
        <f>AJ595-AM595</f>
        <v>266733201.66</v>
      </c>
      <c r="AV595" s="34">
        <f>AM595-AP595</f>
        <v>0</v>
      </c>
      <c r="AW595" s="34">
        <f>AP595-AT595</f>
        <v>0</v>
      </c>
      <c r="AX595" s="123">
        <f>AP595/AJ595</f>
        <v>0</v>
      </c>
    </row>
    <row r="596" spans="1:50" x14ac:dyDescent="0.2">
      <c r="AA596" s="162"/>
      <c r="AB596" s="163" t="s">
        <v>475</v>
      </c>
      <c r="AC596" s="17"/>
      <c r="AD596" s="34"/>
      <c r="AE596" s="34"/>
      <c r="AF596" s="34"/>
      <c r="AG596" s="18"/>
      <c r="AH596" s="34"/>
      <c r="AI596" s="18"/>
      <c r="AJ596" s="18"/>
      <c r="AK596" s="34"/>
      <c r="AL596" s="34"/>
      <c r="AM596" s="34"/>
      <c r="AN596" s="34"/>
      <c r="AO596" s="34"/>
      <c r="AP596" s="34"/>
      <c r="AQ596" s="34"/>
      <c r="AR596" s="34"/>
      <c r="AS596" s="34"/>
      <c r="AT596" s="40"/>
      <c r="AU596" s="18"/>
      <c r="AV596" s="34"/>
      <c r="AW596" s="18"/>
      <c r="AX596" s="18"/>
    </row>
    <row r="597" spans="1:50" x14ac:dyDescent="0.2">
      <c r="A597" s="4" t="s">
        <v>55</v>
      </c>
      <c r="B597" s="4" t="s">
        <v>56</v>
      </c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1" t="s">
        <v>476</v>
      </c>
      <c r="AB597" s="42" t="s">
        <v>458</v>
      </c>
      <c r="AC597" s="43" t="s">
        <v>454</v>
      </c>
      <c r="AD597" s="44">
        <v>0</v>
      </c>
      <c r="AE597" s="44">
        <v>0</v>
      </c>
      <c r="AF597" s="44">
        <v>0</v>
      </c>
      <c r="AG597" s="43">
        <v>3975320525</v>
      </c>
      <c r="AH597" s="44">
        <v>0</v>
      </c>
      <c r="AI597" s="43">
        <f>AE597-AF597+AG597-AH597</f>
        <v>3975320525</v>
      </c>
      <c r="AJ597" s="43">
        <f>AD597+AI597</f>
        <v>3975320525</v>
      </c>
      <c r="AK597" s="115">
        <v>0</v>
      </c>
      <c r="AL597" s="43">
        <v>-264962677</v>
      </c>
      <c r="AM597" s="114">
        <v>3461849211</v>
      </c>
      <c r="AN597" s="44">
        <v>0</v>
      </c>
      <c r="AO597" s="44">
        <v>3016988221</v>
      </c>
      <c r="AP597" s="44">
        <v>3461849211</v>
      </c>
      <c r="AQ597" s="44">
        <v>0</v>
      </c>
      <c r="AR597" s="44">
        <v>0</v>
      </c>
      <c r="AS597" s="44">
        <v>0</v>
      </c>
      <c r="AT597" s="40">
        <f>AQ597+AS597</f>
        <v>0</v>
      </c>
      <c r="AU597" s="18">
        <f>AJ597-AM597</f>
        <v>513471314</v>
      </c>
      <c r="AV597" s="110">
        <f>AM597-AP597</f>
        <v>0</v>
      </c>
      <c r="AW597" s="18">
        <f>AP597-AT597</f>
        <v>3461849211</v>
      </c>
      <c r="AX597" s="123">
        <f>AP597/AJ597</f>
        <v>0.87083524189536887</v>
      </c>
    </row>
    <row r="598" spans="1:50" ht="25.5" x14ac:dyDescent="0.2">
      <c r="AA598" s="28" t="s">
        <v>288</v>
      </c>
      <c r="AB598" s="29" t="s">
        <v>477</v>
      </c>
      <c r="AC598" s="17"/>
      <c r="AD598" s="18"/>
      <c r="AE598" s="18"/>
      <c r="AF598" s="18"/>
      <c r="AG598" s="18"/>
      <c r="AH598" s="18"/>
      <c r="AI598" s="18"/>
      <c r="AJ598" s="18"/>
      <c r="AK598" s="34"/>
      <c r="AL598" s="34"/>
      <c r="AM598" s="18"/>
      <c r="AN598" s="18"/>
      <c r="AO598" s="18"/>
      <c r="AP598" s="18"/>
      <c r="AQ598" s="34"/>
      <c r="AR598" s="34"/>
      <c r="AS598" s="34"/>
      <c r="AT598" s="40"/>
      <c r="AU598" s="18"/>
      <c r="AV598" s="18"/>
      <c r="AW598" s="18"/>
      <c r="AX598" s="18"/>
    </row>
    <row r="599" spans="1:50" x14ac:dyDescent="0.2">
      <c r="A599" s="4" t="s">
        <v>55</v>
      </c>
      <c r="B599" s="4" t="s">
        <v>56</v>
      </c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1" t="s">
        <v>478</v>
      </c>
      <c r="AB599" s="42" t="s">
        <v>233</v>
      </c>
      <c r="AC599" s="43" t="s">
        <v>58</v>
      </c>
      <c r="AD599" s="43">
        <v>389814494</v>
      </c>
      <c r="AE599" s="44">
        <v>0</v>
      </c>
      <c r="AF599" s="44">
        <v>0</v>
      </c>
      <c r="AG599" s="43">
        <v>50860045</v>
      </c>
      <c r="AH599" s="44">
        <v>0</v>
      </c>
      <c r="AI599" s="43">
        <f>AE599-AF599+AG599-AH599</f>
        <v>50860045</v>
      </c>
      <c r="AJ599" s="43">
        <f>AD599+AI599</f>
        <v>440674539</v>
      </c>
      <c r="AK599" s="44">
        <v>0</v>
      </c>
      <c r="AL599" s="44">
        <v>0</v>
      </c>
      <c r="AM599" s="43">
        <v>440674539</v>
      </c>
      <c r="AN599" s="44">
        <v>0</v>
      </c>
      <c r="AO599" s="44">
        <v>0</v>
      </c>
      <c r="AP599" s="43">
        <v>440674539</v>
      </c>
      <c r="AQ599" s="43">
        <v>0</v>
      </c>
      <c r="AR599" s="43">
        <v>9182247</v>
      </c>
      <c r="AS599" s="43">
        <v>305702683.25</v>
      </c>
      <c r="AT599" s="39">
        <f>AQ599+AS599</f>
        <v>305702683.25</v>
      </c>
      <c r="AU599" s="34">
        <f>AJ599-AM599</f>
        <v>0</v>
      </c>
      <c r="AV599" s="34">
        <f>AM599-AP599</f>
        <v>0</v>
      </c>
      <c r="AW599" s="18">
        <f>AP599-AT599</f>
        <v>134971855.75</v>
      </c>
      <c r="AX599" s="123">
        <f>AP599/AJ599</f>
        <v>1</v>
      </c>
    </row>
    <row r="600" spans="1:50" ht="25.5" x14ac:dyDescent="0.2">
      <c r="A600" s="4" t="s">
        <v>55</v>
      </c>
      <c r="B600" s="4" t="s">
        <v>56</v>
      </c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1" t="s">
        <v>479</v>
      </c>
      <c r="AB600" s="42" t="s">
        <v>480</v>
      </c>
      <c r="AC600" s="43" t="s">
        <v>368</v>
      </c>
      <c r="AD600" s="43">
        <v>88687399.159999996</v>
      </c>
      <c r="AE600" s="44">
        <v>0</v>
      </c>
      <c r="AF600" s="44">
        <v>0</v>
      </c>
      <c r="AG600" s="44">
        <v>0</v>
      </c>
      <c r="AH600" s="44">
        <v>0</v>
      </c>
      <c r="AI600" s="44">
        <v>0</v>
      </c>
      <c r="AJ600" s="142">
        <v>88687399.159999996</v>
      </c>
      <c r="AK600" s="44">
        <v>0</v>
      </c>
      <c r="AL600" s="44">
        <v>0</v>
      </c>
      <c r="AM600" s="43">
        <v>88687399</v>
      </c>
      <c r="AN600" s="44">
        <v>0</v>
      </c>
      <c r="AO600" s="44">
        <v>0</v>
      </c>
      <c r="AP600" s="43">
        <v>88687399</v>
      </c>
      <c r="AQ600" s="44">
        <v>0</v>
      </c>
      <c r="AR600" s="43">
        <v>17127987</v>
      </c>
      <c r="AS600" s="43">
        <v>82109841</v>
      </c>
      <c r="AT600" s="39">
        <f>AQ600+AS600</f>
        <v>82109841</v>
      </c>
      <c r="AU600" s="18">
        <f>AJ600-AM600</f>
        <v>0.15999999642372131</v>
      </c>
      <c r="AV600" s="34">
        <f>AM600-AP600</f>
        <v>0</v>
      </c>
      <c r="AW600" s="18">
        <f>AP600-AT600</f>
        <v>6577558</v>
      </c>
      <c r="AX600" s="123">
        <f>AP600/AJ600</f>
        <v>0.99999999819591057</v>
      </c>
    </row>
    <row r="601" spans="1:50" ht="25.5" x14ac:dyDescent="0.2">
      <c r="AA601" s="28" t="s">
        <v>288</v>
      </c>
      <c r="AB601" s="29" t="s">
        <v>481</v>
      </c>
      <c r="AC601" s="17"/>
      <c r="AD601" s="18"/>
      <c r="AE601" s="18"/>
      <c r="AF601" s="18"/>
      <c r="AG601" s="18"/>
      <c r="AH601" s="18"/>
      <c r="AI601" s="18"/>
      <c r="AJ601" s="147"/>
      <c r="AK601" s="34"/>
      <c r="AL601" s="34"/>
      <c r="AM601" s="18"/>
      <c r="AN601" s="34"/>
      <c r="AO601" s="18"/>
      <c r="AP601" s="18"/>
      <c r="AQ601" s="34"/>
      <c r="AR601" s="34"/>
      <c r="AS601" s="34"/>
      <c r="AT601" s="40"/>
      <c r="AU601" s="18"/>
      <c r="AV601" s="18"/>
      <c r="AW601" s="18"/>
      <c r="AX601" s="18"/>
    </row>
    <row r="602" spans="1:50" x14ac:dyDescent="0.2">
      <c r="A602" s="4" t="s">
        <v>55</v>
      </c>
      <c r="B602" s="4" t="s">
        <v>56</v>
      </c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1" t="s">
        <v>482</v>
      </c>
      <c r="AB602" s="42" t="s">
        <v>233</v>
      </c>
      <c r="AC602" s="43" t="s">
        <v>58</v>
      </c>
      <c r="AD602" s="43">
        <v>732098782</v>
      </c>
      <c r="AE602" s="44">
        <v>0</v>
      </c>
      <c r="AF602" s="44">
        <v>0</v>
      </c>
      <c r="AG602" s="43">
        <v>96486764</v>
      </c>
      <c r="AH602" s="44">
        <v>0</v>
      </c>
      <c r="AI602" s="43">
        <f>AE602-AF602+AG602-AH602</f>
        <v>96486764</v>
      </c>
      <c r="AJ602" s="142">
        <f>AD602+AI602</f>
        <v>828585546</v>
      </c>
      <c r="AK602" s="44">
        <v>0</v>
      </c>
      <c r="AL602" s="44">
        <v>0</v>
      </c>
      <c r="AM602" s="43">
        <v>828287647.5</v>
      </c>
      <c r="AN602" s="44">
        <v>0</v>
      </c>
      <c r="AO602" s="44">
        <v>0</v>
      </c>
      <c r="AP602" s="43">
        <v>828287647.5</v>
      </c>
      <c r="AQ602" s="44">
        <v>0</v>
      </c>
      <c r="AR602" s="43">
        <v>323061328.5</v>
      </c>
      <c r="AS602" s="43">
        <v>588667166.63999999</v>
      </c>
      <c r="AT602" s="39">
        <f>AQ602+AS602</f>
        <v>588667166.63999999</v>
      </c>
      <c r="AU602" s="18">
        <f>AJ602-AM602</f>
        <v>297898.5</v>
      </c>
      <c r="AV602" s="34">
        <f>AM602-AP602</f>
        <v>0</v>
      </c>
      <c r="AW602" s="18">
        <f>AP602-AT602</f>
        <v>239620480.86000001</v>
      </c>
      <c r="AX602" s="123">
        <f>AP602/AJ602</f>
        <v>0.99964047345329865</v>
      </c>
    </row>
    <row r="603" spans="1:50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1" t="s">
        <v>979</v>
      </c>
      <c r="AB603" s="42" t="s">
        <v>453</v>
      </c>
      <c r="AC603" s="43"/>
      <c r="AD603" s="44">
        <v>0</v>
      </c>
      <c r="AE603" s="43">
        <f>17804659196+8428553475</f>
        <v>26233212671</v>
      </c>
      <c r="AF603" s="44">
        <v>0</v>
      </c>
      <c r="AG603" s="44">
        <v>0</v>
      </c>
      <c r="AH603" s="44">
        <v>0</v>
      </c>
      <c r="AI603" s="43">
        <f>AE603-AF603+AG603-AH603</f>
        <v>26233212671</v>
      </c>
      <c r="AJ603" s="142">
        <f>AD603+AI603</f>
        <v>26233212671</v>
      </c>
      <c r="AK603" s="44">
        <v>0</v>
      </c>
      <c r="AL603" s="44">
        <v>0</v>
      </c>
      <c r="AM603" s="43">
        <v>17240785988</v>
      </c>
      <c r="AN603" s="43">
        <v>0</v>
      </c>
      <c r="AO603" s="43">
        <v>1662960260</v>
      </c>
      <c r="AP603" s="43">
        <v>13892593093</v>
      </c>
      <c r="AQ603" s="44">
        <v>0</v>
      </c>
      <c r="AR603" s="44">
        <v>0</v>
      </c>
      <c r="AS603" s="44">
        <v>0</v>
      </c>
      <c r="AT603" s="39">
        <f>AQ603+AS603</f>
        <v>0</v>
      </c>
      <c r="AU603" s="18">
        <f>AJ603-AM603</f>
        <v>8992426683</v>
      </c>
      <c r="AV603" s="18">
        <f>AM603-AP603</f>
        <v>3348192895</v>
      </c>
      <c r="AW603" s="18">
        <f>AP603-AT603</f>
        <v>13892593093</v>
      </c>
      <c r="AX603" s="40">
        <f>AP603/AJ603</f>
        <v>0.52958031741029676</v>
      </c>
    </row>
    <row r="604" spans="1:50" x14ac:dyDescent="0.2">
      <c r="AA604" s="28" t="s">
        <v>288</v>
      </c>
      <c r="AB604" s="29" t="s">
        <v>483</v>
      </c>
      <c r="AC604" s="17"/>
      <c r="AD604" s="18"/>
      <c r="AE604" s="34"/>
      <c r="AF604" s="34"/>
      <c r="AG604" s="18"/>
      <c r="AH604" s="34"/>
      <c r="AI604" s="18"/>
      <c r="AJ604" s="147"/>
      <c r="AK604" s="34"/>
      <c r="AL604" s="34"/>
      <c r="AM604" s="18"/>
      <c r="AN604" s="34"/>
      <c r="AO604" s="34"/>
      <c r="AP604" s="18"/>
      <c r="AQ604" s="34"/>
      <c r="AR604" s="34"/>
      <c r="AS604" s="34"/>
      <c r="AT604" s="40"/>
      <c r="AU604" s="18"/>
      <c r="AV604" s="34"/>
      <c r="AW604" s="18"/>
      <c r="AX604" s="18"/>
    </row>
    <row r="605" spans="1:50" x14ac:dyDescent="0.2">
      <c r="A605" s="4" t="s">
        <v>55</v>
      </c>
      <c r="B605" s="4" t="s">
        <v>56</v>
      </c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1" t="s">
        <v>484</v>
      </c>
      <c r="AB605" s="42" t="s">
        <v>233</v>
      </c>
      <c r="AC605" s="43" t="s">
        <v>58</v>
      </c>
      <c r="AD605" s="44">
        <v>0</v>
      </c>
      <c r="AE605" s="44">
        <v>0</v>
      </c>
      <c r="AF605" s="44">
        <v>0</v>
      </c>
      <c r="AG605" s="43">
        <f>60325921.15+40465552</f>
        <v>100791473.15000001</v>
      </c>
      <c r="AH605" s="44">
        <v>0</v>
      </c>
      <c r="AI605" s="43">
        <f>AE605-AF605+AG605-AH605</f>
        <v>100791473.15000001</v>
      </c>
      <c r="AJ605" s="142">
        <f>AD605+AI605</f>
        <v>100791473.15000001</v>
      </c>
      <c r="AK605" s="44">
        <v>0</v>
      </c>
      <c r="AL605" s="44">
        <v>0</v>
      </c>
      <c r="AM605" s="43">
        <v>100758121.22</v>
      </c>
      <c r="AN605" s="44">
        <v>0</v>
      </c>
      <c r="AO605" s="44">
        <v>0</v>
      </c>
      <c r="AP605" s="43">
        <v>100758121.22</v>
      </c>
      <c r="AQ605" s="44">
        <v>0</v>
      </c>
      <c r="AR605" s="44">
        <v>39818046.170000002</v>
      </c>
      <c r="AS605" s="44">
        <v>39818046.170000002</v>
      </c>
      <c r="AT605" s="40">
        <f>AQ605+AS605</f>
        <v>39818046.170000002</v>
      </c>
      <c r="AU605" s="18">
        <f>AJ605-AM605</f>
        <v>33351.930000007153</v>
      </c>
      <c r="AV605" s="34">
        <f>AM605-AP605</f>
        <v>0</v>
      </c>
      <c r="AW605" s="18">
        <f>AP605-AT605</f>
        <v>60940075.049999997</v>
      </c>
      <c r="AX605" s="123">
        <f>AP605/AJ605</f>
        <v>0.99966909968712958</v>
      </c>
    </row>
    <row r="606" spans="1:50" x14ac:dyDescent="0.2">
      <c r="AA606" s="28" t="s">
        <v>288</v>
      </c>
      <c r="AB606" s="29" t="s">
        <v>485</v>
      </c>
      <c r="AC606" s="17"/>
      <c r="AD606" s="18"/>
      <c r="AE606" s="34"/>
      <c r="AF606" s="34"/>
      <c r="AG606" s="18"/>
      <c r="AH606" s="34"/>
      <c r="AI606" s="18"/>
      <c r="AJ606" s="147"/>
      <c r="AK606" s="34"/>
      <c r="AL606" s="18"/>
      <c r="AM606" s="18"/>
      <c r="AN606" s="34"/>
      <c r="AO606" s="34"/>
      <c r="AP606" s="18"/>
      <c r="AQ606" s="34"/>
      <c r="AR606" s="34"/>
      <c r="AS606" s="34"/>
      <c r="AT606" s="40"/>
      <c r="AU606" s="18"/>
      <c r="AV606" s="34"/>
      <c r="AW606" s="34"/>
      <c r="AX606" s="18"/>
    </row>
    <row r="607" spans="1:50" x14ac:dyDescent="0.2">
      <c r="A607" s="4" t="s">
        <v>55</v>
      </c>
      <c r="B607" s="4" t="s">
        <v>56</v>
      </c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1" t="s">
        <v>972</v>
      </c>
      <c r="AB607" s="42" t="s">
        <v>233</v>
      </c>
      <c r="AC607" s="43" t="s">
        <v>58</v>
      </c>
      <c r="AD607" s="43">
        <v>530557116</v>
      </c>
      <c r="AE607" s="44">
        <v>0</v>
      </c>
      <c r="AF607" s="44">
        <v>0</v>
      </c>
      <c r="AG607" s="44">
        <v>0</v>
      </c>
      <c r="AH607" s="43">
        <v>530557116</v>
      </c>
      <c r="AI607" s="43">
        <f>AE607-AF607+AG607-AH607</f>
        <v>-530557116</v>
      </c>
      <c r="AJ607" s="142">
        <f>AD607+AI607</f>
        <v>0</v>
      </c>
      <c r="AK607" s="44">
        <v>0</v>
      </c>
      <c r="AL607" s="44">
        <v>0</v>
      </c>
      <c r="AM607" s="44">
        <v>0</v>
      </c>
      <c r="AN607" s="44">
        <v>0</v>
      </c>
      <c r="AO607" s="44">
        <v>0</v>
      </c>
      <c r="AP607" s="43">
        <v>0</v>
      </c>
      <c r="AQ607" s="44">
        <v>0</v>
      </c>
      <c r="AR607" s="44">
        <v>0</v>
      </c>
      <c r="AS607" s="44">
        <v>0</v>
      </c>
      <c r="AT607" s="40">
        <f>AQ607+AS607</f>
        <v>0</v>
      </c>
      <c r="AU607" s="18">
        <f>AJ607-AM607</f>
        <v>0</v>
      </c>
      <c r="AV607" s="34">
        <f>AM607-AP607</f>
        <v>0</v>
      </c>
      <c r="AW607" s="34">
        <f>AP607-AT607</f>
        <v>0</v>
      </c>
      <c r="AX607" s="123">
        <v>0</v>
      </c>
    </row>
    <row r="608" spans="1:50" ht="38.25" x14ac:dyDescent="0.2">
      <c r="AA608" s="16"/>
      <c r="AB608" s="29" t="s">
        <v>193</v>
      </c>
      <c r="AC608" s="17"/>
      <c r="AD608" s="18"/>
      <c r="AE608" s="34"/>
      <c r="AF608" s="34"/>
      <c r="AG608" s="18"/>
      <c r="AH608" s="18"/>
      <c r="AI608" s="18"/>
      <c r="AJ608" s="147"/>
      <c r="AK608" s="34"/>
      <c r="AL608" s="34"/>
      <c r="AM608" s="34"/>
      <c r="AN608" s="34"/>
      <c r="AO608" s="34"/>
      <c r="AP608" s="34"/>
      <c r="AQ608" s="34"/>
      <c r="AR608" s="34"/>
      <c r="AS608" s="34"/>
      <c r="AT608" s="40"/>
      <c r="AU608" s="18"/>
      <c r="AV608" s="34"/>
      <c r="AW608" s="18"/>
      <c r="AX608" s="18"/>
    </row>
    <row r="609" spans="1:50" ht="18.75" customHeight="1" x14ac:dyDescent="0.2">
      <c r="AA609" s="28" t="s">
        <v>288</v>
      </c>
      <c r="AB609" s="29" t="s">
        <v>487</v>
      </c>
      <c r="AC609" s="17"/>
      <c r="AD609" s="18"/>
      <c r="AE609" s="34"/>
      <c r="AF609" s="34"/>
      <c r="AG609" s="18"/>
      <c r="AH609" s="18"/>
      <c r="AI609" s="18"/>
      <c r="AJ609" s="147"/>
      <c r="AK609" s="34"/>
      <c r="AL609" s="34"/>
      <c r="AM609" s="34"/>
      <c r="AN609" s="34"/>
      <c r="AO609" s="34"/>
      <c r="AP609" s="34"/>
      <c r="AQ609" s="34"/>
      <c r="AR609" s="34"/>
      <c r="AS609" s="34"/>
      <c r="AT609" s="40"/>
      <c r="AU609" s="18"/>
      <c r="AV609" s="34"/>
      <c r="AW609" s="18"/>
      <c r="AX609" s="18"/>
    </row>
    <row r="610" spans="1:50" ht="18.75" customHeight="1" x14ac:dyDescent="0.2">
      <c r="A610" s="4" t="s">
        <v>55</v>
      </c>
      <c r="B610" s="4" t="s">
        <v>56</v>
      </c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1" t="s">
        <v>488</v>
      </c>
      <c r="AB610" s="42" t="s">
        <v>439</v>
      </c>
      <c r="AC610" s="43" t="s">
        <v>428</v>
      </c>
      <c r="AD610" s="43">
        <v>14800000000</v>
      </c>
      <c r="AE610" s="44">
        <v>0</v>
      </c>
      <c r="AF610" s="44">
        <v>0</v>
      </c>
      <c r="AG610" s="44">
        <v>0</v>
      </c>
      <c r="AH610" s="43">
        <f>265538240+219103236.8</f>
        <v>484641476.80000001</v>
      </c>
      <c r="AI610" s="43">
        <f>AE610-AF610+AG610-AH610</f>
        <v>-484641476.80000001</v>
      </c>
      <c r="AJ610" s="43">
        <f>AD610+AI610</f>
        <v>14315358523.200001</v>
      </c>
      <c r="AK610" s="44">
        <v>0</v>
      </c>
      <c r="AL610" s="114">
        <v>935606282</v>
      </c>
      <c r="AM610" s="114">
        <v>7186204700</v>
      </c>
      <c r="AN610" s="44">
        <v>0</v>
      </c>
      <c r="AO610" s="114">
        <v>935606282</v>
      </c>
      <c r="AP610" s="114">
        <v>7186204700</v>
      </c>
      <c r="AQ610" s="44">
        <v>0</v>
      </c>
      <c r="AR610" s="114">
        <v>935606282</v>
      </c>
      <c r="AS610" s="114">
        <v>7186204700</v>
      </c>
      <c r="AT610" s="111">
        <f t="shared" si="238"/>
        <v>7186204700</v>
      </c>
      <c r="AU610" s="18">
        <f t="shared" ref="AU610:AU615" si="258">AJ610-AM610</f>
        <v>7129153823.2000008</v>
      </c>
      <c r="AV610" s="34">
        <f t="shared" ref="AV610:AV615" si="259">AM610-AP610</f>
        <v>0</v>
      </c>
      <c r="AW610" s="34">
        <f t="shared" ref="AW610:AW615" si="260">AP610-AT610</f>
        <v>0</v>
      </c>
      <c r="AX610" s="123">
        <f t="shared" ref="AX610:AX615" si="261">AP610/AJ610</f>
        <v>0.50199264575551983</v>
      </c>
    </row>
    <row r="611" spans="1:50" ht="18.75" customHeight="1" x14ac:dyDescent="0.2">
      <c r="A611" s="4" t="s">
        <v>55</v>
      </c>
      <c r="B611" s="4" t="s">
        <v>56</v>
      </c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1" t="s">
        <v>489</v>
      </c>
      <c r="AB611" s="42" t="s">
        <v>490</v>
      </c>
      <c r="AC611" s="43" t="s">
        <v>368</v>
      </c>
      <c r="AD611" s="43">
        <v>28000000.199999999</v>
      </c>
      <c r="AE611" s="44">
        <v>0</v>
      </c>
      <c r="AF611" s="44">
        <v>0</v>
      </c>
      <c r="AG611" s="44">
        <v>0</v>
      </c>
      <c r="AH611" s="44">
        <v>0</v>
      </c>
      <c r="AI611" s="43">
        <f>AE611-AF611+AG611-AH611</f>
        <v>0</v>
      </c>
      <c r="AJ611" s="43">
        <f>AD611+AI611</f>
        <v>28000000.199999999</v>
      </c>
      <c r="AK611" s="44">
        <v>0</v>
      </c>
      <c r="AL611" s="114">
        <v>2166852</v>
      </c>
      <c r="AM611" s="114">
        <v>15806754</v>
      </c>
      <c r="AN611" s="44">
        <v>0</v>
      </c>
      <c r="AO611" s="114">
        <v>2166852</v>
      </c>
      <c r="AP611" s="114">
        <v>15806754</v>
      </c>
      <c r="AQ611" s="44">
        <v>0</v>
      </c>
      <c r="AR611" s="114">
        <v>2166852</v>
      </c>
      <c r="AS611" s="114">
        <v>15806754</v>
      </c>
      <c r="AT611" s="111">
        <f t="shared" si="238"/>
        <v>15806754</v>
      </c>
      <c r="AU611" s="18">
        <f t="shared" si="258"/>
        <v>12193246.199999999</v>
      </c>
      <c r="AV611" s="34">
        <f t="shared" si="259"/>
        <v>0</v>
      </c>
      <c r="AW611" s="34">
        <f t="shared" si="260"/>
        <v>0</v>
      </c>
      <c r="AX611" s="123">
        <f t="shared" si="261"/>
        <v>0.56452692453909337</v>
      </c>
    </row>
    <row r="612" spans="1:50" ht="18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166" t="s">
        <v>1073</v>
      </c>
      <c r="AB612" s="167" t="s">
        <v>1074</v>
      </c>
      <c r="AC612" s="168"/>
      <c r="AD612" s="44">
        <v>0</v>
      </c>
      <c r="AE612" s="43">
        <v>505000000</v>
      </c>
      <c r="AF612" s="44">
        <v>0</v>
      </c>
      <c r="AG612" s="44">
        <v>0</v>
      </c>
      <c r="AH612" s="44">
        <v>0</v>
      </c>
      <c r="AI612" s="43">
        <f t="shared" ref="AI612:AI614" si="262">AE612-AF612+AG612-AH612</f>
        <v>505000000</v>
      </c>
      <c r="AJ612" s="43">
        <f t="shared" ref="AJ612:AJ615" si="263">AD612+AI612</f>
        <v>505000000</v>
      </c>
      <c r="AK612" s="44">
        <v>0</v>
      </c>
      <c r="AL612" s="115">
        <v>0</v>
      </c>
      <c r="AM612" s="115">
        <v>0</v>
      </c>
      <c r="AN612" s="44">
        <v>0</v>
      </c>
      <c r="AO612" s="115">
        <v>0</v>
      </c>
      <c r="AP612" s="115">
        <v>0</v>
      </c>
      <c r="AQ612" s="44">
        <v>0</v>
      </c>
      <c r="AR612" s="115">
        <v>0</v>
      </c>
      <c r="AS612" s="115">
        <v>0</v>
      </c>
      <c r="AT612" s="135">
        <f t="shared" si="238"/>
        <v>0</v>
      </c>
      <c r="AU612" s="18">
        <f t="shared" si="258"/>
        <v>505000000</v>
      </c>
      <c r="AV612" s="34">
        <f t="shared" si="259"/>
        <v>0</v>
      </c>
      <c r="AW612" s="34">
        <f t="shared" si="260"/>
        <v>0</v>
      </c>
      <c r="AX612" s="123">
        <f t="shared" si="261"/>
        <v>0</v>
      </c>
    </row>
    <row r="613" spans="1:50" ht="18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166" t="s">
        <v>1075</v>
      </c>
      <c r="AB613" s="167" t="s">
        <v>1074</v>
      </c>
      <c r="AC613" s="168"/>
      <c r="AD613" s="44">
        <v>0</v>
      </c>
      <c r="AE613" s="43">
        <v>13000000</v>
      </c>
      <c r="AF613" s="44">
        <v>0</v>
      </c>
      <c r="AG613" s="44">
        <v>0</v>
      </c>
      <c r="AH613" s="44">
        <v>0</v>
      </c>
      <c r="AI613" s="43">
        <f t="shared" si="262"/>
        <v>13000000</v>
      </c>
      <c r="AJ613" s="43">
        <f t="shared" si="263"/>
        <v>13000000</v>
      </c>
      <c r="AK613" s="44">
        <v>0</v>
      </c>
      <c r="AL613" s="115">
        <v>0</v>
      </c>
      <c r="AM613" s="115">
        <v>0</v>
      </c>
      <c r="AN613" s="44">
        <v>0</v>
      </c>
      <c r="AO613" s="115">
        <v>0</v>
      </c>
      <c r="AP613" s="115">
        <v>0</v>
      </c>
      <c r="AQ613" s="44">
        <v>0</v>
      </c>
      <c r="AR613" s="115">
        <v>0</v>
      </c>
      <c r="AS613" s="115">
        <v>0</v>
      </c>
      <c r="AT613" s="135">
        <f t="shared" si="238"/>
        <v>0</v>
      </c>
      <c r="AU613" s="18">
        <f t="shared" si="258"/>
        <v>13000000</v>
      </c>
      <c r="AV613" s="34">
        <f t="shared" si="259"/>
        <v>0</v>
      </c>
      <c r="AW613" s="34">
        <f t="shared" si="260"/>
        <v>0</v>
      </c>
      <c r="AX613" s="123">
        <f t="shared" si="261"/>
        <v>0</v>
      </c>
    </row>
    <row r="614" spans="1:50" ht="18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166" t="s">
        <v>1076</v>
      </c>
      <c r="AB614" s="167" t="s">
        <v>1074</v>
      </c>
      <c r="AC614" s="168"/>
      <c r="AD614" s="44">
        <v>0</v>
      </c>
      <c r="AE614" s="43">
        <v>30358521.859999999</v>
      </c>
      <c r="AF614" s="44">
        <v>0</v>
      </c>
      <c r="AG614" s="44">
        <v>0</v>
      </c>
      <c r="AH614" s="44">
        <v>0</v>
      </c>
      <c r="AI614" s="43">
        <f t="shared" si="262"/>
        <v>30358521.859999999</v>
      </c>
      <c r="AJ614" s="43">
        <f t="shared" si="263"/>
        <v>30358521.859999999</v>
      </c>
      <c r="AK614" s="44">
        <v>0</v>
      </c>
      <c r="AL614" s="115">
        <v>0</v>
      </c>
      <c r="AM614" s="115">
        <v>0</v>
      </c>
      <c r="AN614" s="44">
        <v>0</v>
      </c>
      <c r="AO614" s="115">
        <v>0</v>
      </c>
      <c r="AP614" s="115">
        <v>0</v>
      </c>
      <c r="AQ614" s="44">
        <v>0</v>
      </c>
      <c r="AR614" s="115">
        <v>0</v>
      </c>
      <c r="AS614" s="115">
        <v>0</v>
      </c>
      <c r="AT614" s="135">
        <f t="shared" si="238"/>
        <v>0</v>
      </c>
      <c r="AU614" s="18">
        <f t="shared" si="258"/>
        <v>30358521.859999999</v>
      </c>
      <c r="AV614" s="34">
        <f t="shared" si="259"/>
        <v>0</v>
      </c>
      <c r="AW614" s="34">
        <f t="shared" si="260"/>
        <v>0</v>
      </c>
      <c r="AX614" s="123">
        <f t="shared" si="261"/>
        <v>0</v>
      </c>
    </row>
    <row r="615" spans="1:50" ht="18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166" t="s">
        <v>1077</v>
      </c>
      <c r="AB615" s="167" t="s">
        <v>1074</v>
      </c>
      <c r="AC615" s="168"/>
      <c r="AD615" s="44">
        <v>0</v>
      </c>
      <c r="AE615" s="43">
        <v>4485910634</v>
      </c>
      <c r="AF615" s="44">
        <v>0</v>
      </c>
      <c r="AG615" s="43">
        <v>524000000</v>
      </c>
      <c r="AH615" s="43">
        <v>1886000000</v>
      </c>
      <c r="AI615" s="43">
        <f>AE615-AF615+AG615-AH615</f>
        <v>3123910634</v>
      </c>
      <c r="AJ615" s="142">
        <f t="shared" si="263"/>
        <v>3123910634</v>
      </c>
      <c r="AK615" s="43">
        <v>0</v>
      </c>
      <c r="AL615" s="43">
        <v>5932516.4500000002</v>
      </c>
      <c r="AM615" s="43">
        <v>5932516.4500000002</v>
      </c>
      <c r="AN615" s="43">
        <v>0</v>
      </c>
      <c r="AO615" s="43">
        <v>5932516.4500000002</v>
      </c>
      <c r="AP615" s="43">
        <v>5932516.4500000002</v>
      </c>
      <c r="AQ615" s="43">
        <v>0</v>
      </c>
      <c r="AR615" s="43">
        <v>5932516.4500000002</v>
      </c>
      <c r="AS615" s="43">
        <v>5932516.4500000002</v>
      </c>
      <c r="AT615" s="135">
        <f t="shared" si="238"/>
        <v>5932516.4500000002</v>
      </c>
      <c r="AU615" s="18">
        <f t="shared" si="258"/>
        <v>3117978117.5500002</v>
      </c>
      <c r="AV615" s="34">
        <f t="shared" si="259"/>
        <v>0</v>
      </c>
      <c r="AW615" s="34">
        <f t="shared" si="260"/>
        <v>0</v>
      </c>
      <c r="AX615" s="123">
        <f t="shared" si="261"/>
        <v>1.8990672733821873E-3</v>
      </c>
    </row>
    <row r="616" spans="1:50" ht="25.5" x14ac:dyDescent="0.2">
      <c r="AA616" s="162"/>
      <c r="AB616" s="163" t="s">
        <v>195</v>
      </c>
      <c r="AC616" s="17"/>
      <c r="AD616" s="18"/>
      <c r="AE616" s="34"/>
      <c r="AF616" s="34"/>
      <c r="AG616" s="34"/>
      <c r="AH616" s="34"/>
      <c r="AI616" s="34"/>
      <c r="AJ616" s="18"/>
      <c r="AK616" s="34"/>
      <c r="AL616" s="18"/>
      <c r="AM616" s="18"/>
      <c r="AN616" s="34"/>
      <c r="AO616" s="18"/>
      <c r="AP616" s="18"/>
      <c r="AQ616" s="18"/>
      <c r="AR616" s="18"/>
      <c r="AS616" s="18"/>
      <c r="AT616" s="30"/>
      <c r="AU616" s="18"/>
      <c r="AV616" s="18"/>
      <c r="AW616" s="18"/>
      <c r="AX616" s="18"/>
    </row>
    <row r="617" spans="1:50" ht="18.75" customHeight="1" x14ac:dyDescent="0.2">
      <c r="AA617" s="28" t="s">
        <v>288</v>
      </c>
      <c r="AB617" s="29" t="s">
        <v>487</v>
      </c>
      <c r="AC617" s="17"/>
      <c r="AD617" s="18"/>
      <c r="AE617" s="34"/>
      <c r="AF617" s="34"/>
      <c r="AG617" s="34"/>
      <c r="AH617" s="34"/>
      <c r="AI617" s="34"/>
      <c r="AJ617" s="18"/>
      <c r="AK617" s="34"/>
      <c r="AL617" s="18"/>
      <c r="AM617" s="18"/>
      <c r="AN617" s="34"/>
      <c r="AO617" s="18"/>
      <c r="AP617" s="18"/>
      <c r="AQ617" s="18"/>
      <c r="AR617" s="18"/>
      <c r="AS617" s="18"/>
      <c r="AT617" s="30"/>
      <c r="AU617" s="18"/>
      <c r="AV617" s="18"/>
      <c r="AW617" s="18"/>
      <c r="AX617" s="18"/>
    </row>
    <row r="618" spans="1:50" ht="18.75" customHeight="1" x14ac:dyDescent="0.2">
      <c r="A618" s="4" t="s">
        <v>55</v>
      </c>
      <c r="B618" s="4" t="s">
        <v>56</v>
      </c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1" t="s">
        <v>491</v>
      </c>
      <c r="AB618" s="42" t="s">
        <v>490</v>
      </c>
      <c r="AC618" s="43" t="s">
        <v>368</v>
      </c>
      <c r="AD618" s="43">
        <v>192000000</v>
      </c>
      <c r="AE618" s="44">
        <v>0</v>
      </c>
      <c r="AF618" s="44">
        <v>0</v>
      </c>
      <c r="AG618" s="44">
        <v>0</v>
      </c>
      <c r="AH618" s="44">
        <v>0</v>
      </c>
      <c r="AI618" s="44">
        <v>0</v>
      </c>
      <c r="AJ618" s="43">
        <v>192000000</v>
      </c>
      <c r="AK618" s="44">
        <v>0</v>
      </c>
      <c r="AL618" s="44">
        <v>0</v>
      </c>
      <c r="AM618" s="43">
        <v>166971871</v>
      </c>
      <c r="AN618" s="44">
        <v>0</v>
      </c>
      <c r="AO618" s="44">
        <v>0</v>
      </c>
      <c r="AP618" s="43">
        <v>166971871</v>
      </c>
      <c r="AQ618" s="44">
        <v>0</v>
      </c>
      <c r="AR618" s="43">
        <v>15179261</v>
      </c>
      <c r="AS618" s="43">
        <v>90569591</v>
      </c>
      <c r="AT618" s="39">
        <f>AQ618+AS618</f>
        <v>90569591</v>
      </c>
      <c r="AU618" s="18">
        <f>AJ618-AM618</f>
        <v>25028129</v>
      </c>
      <c r="AV618" s="34">
        <f>AM618-AP618</f>
        <v>0</v>
      </c>
      <c r="AW618" s="18">
        <f>AP618-AT618</f>
        <v>76402280</v>
      </c>
      <c r="AX618" s="123">
        <f>AP618/AJ618</f>
        <v>0.86964516145833337</v>
      </c>
    </row>
    <row r="619" spans="1:50" ht="25.5" x14ac:dyDescent="0.2">
      <c r="AA619" s="16"/>
      <c r="AB619" s="29" t="s">
        <v>197</v>
      </c>
      <c r="AC619" s="17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34"/>
      <c r="AO619" s="34"/>
      <c r="AP619" s="18"/>
      <c r="AQ619" s="34"/>
      <c r="AR619" s="34"/>
      <c r="AS619" s="34"/>
      <c r="AT619" s="40"/>
      <c r="AU619" s="18"/>
      <c r="AV619" s="18"/>
      <c r="AW619" s="18"/>
      <c r="AX619" s="18"/>
    </row>
    <row r="620" spans="1:50" ht="17.25" customHeight="1" x14ac:dyDescent="0.2">
      <c r="AA620" s="170" t="s">
        <v>288</v>
      </c>
      <c r="AB620" s="165" t="s">
        <v>1048</v>
      </c>
      <c r="AC620" s="161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34"/>
      <c r="AO620" s="34"/>
      <c r="AP620" s="18"/>
      <c r="AQ620" s="34"/>
      <c r="AR620" s="34"/>
      <c r="AS620" s="34"/>
      <c r="AT620" s="40"/>
      <c r="AU620" s="18"/>
      <c r="AV620" s="18"/>
      <c r="AW620" s="18"/>
      <c r="AX620" s="18"/>
    </row>
    <row r="621" spans="1:50" ht="16.5" customHeight="1" x14ac:dyDescent="0.2">
      <c r="AA621" s="166" t="s">
        <v>1049</v>
      </c>
      <c r="AB621" s="167" t="s">
        <v>1015</v>
      </c>
      <c r="AC621" s="161"/>
      <c r="AD621" s="34">
        <v>0</v>
      </c>
      <c r="AE621" s="18">
        <v>40000000</v>
      </c>
      <c r="AF621" s="34">
        <v>0</v>
      </c>
      <c r="AG621" s="34">
        <v>0</v>
      </c>
      <c r="AH621" s="18">
        <v>40000000</v>
      </c>
      <c r="AI621" s="43">
        <f>AE621-AF621+AG621-AH621</f>
        <v>0</v>
      </c>
      <c r="AJ621" s="44">
        <f>AD621+AI621</f>
        <v>0</v>
      </c>
      <c r="AK621" s="34">
        <v>0</v>
      </c>
      <c r="AL621" s="34">
        <v>0</v>
      </c>
      <c r="AM621" s="34">
        <v>0</v>
      </c>
      <c r="AN621" s="34">
        <v>0</v>
      </c>
      <c r="AO621" s="34">
        <v>0</v>
      </c>
      <c r="AP621" s="34">
        <v>0</v>
      </c>
      <c r="AQ621" s="34">
        <v>0</v>
      </c>
      <c r="AR621" s="34">
        <v>0</v>
      </c>
      <c r="AS621" s="34">
        <v>0</v>
      </c>
      <c r="AT621" s="135">
        <f t="shared" ref="AT621" si="264">AQ621+AS621</f>
        <v>0</v>
      </c>
      <c r="AU621" s="34">
        <f>AJ621-AM621</f>
        <v>0</v>
      </c>
      <c r="AV621" s="34">
        <f>AM621-AP621</f>
        <v>0</v>
      </c>
      <c r="AW621" s="34">
        <f>AP621-AT621</f>
        <v>0</v>
      </c>
      <c r="AX621" s="123">
        <v>0</v>
      </c>
    </row>
    <row r="622" spans="1:50" ht="18.75" customHeight="1" x14ac:dyDescent="0.2">
      <c r="AA622" s="162"/>
      <c r="AB622" s="163" t="s">
        <v>492</v>
      </c>
      <c r="AC622" s="17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34"/>
      <c r="AO622" s="34"/>
      <c r="AP622" s="18"/>
      <c r="AQ622" s="34"/>
      <c r="AR622" s="34"/>
      <c r="AS622" s="34"/>
      <c r="AT622" s="40"/>
      <c r="AU622" s="18"/>
      <c r="AV622" s="18"/>
      <c r="AW622" s="18"/>
      <c r="AX622" s="18"/>
    </row>
    <row r="623" spans="1:50" ht="18.75" customHeight="1" x14ac:dyDescent="0.2">
      <c r="A623" s="4" t="s">
        <v>55</v>
      </c>
      <c r="B623" s="4" t="s">
        <v>56</v>
      </c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1" t="s">
        <v>493</v>
      </c>
      <c r="AB623" s="42" t="s">
        <v>233</v>
      </c>
      <c r="AC623" s="43" t="s">
        <v>58</v>
      </c>
      <c r="AD623" s="44">
        <v>0</v>
      </c>
      <c r="AE623" s="44">
        <v>0</v>
      </c>
      <c r="AF623" s="44">
        <v>0</v>
      </c>
      <c r="AG623" s="43">
        <v>503000000</v>
      </c>
      <c r="AH623" s="43">
        <v>21088294</v>
      </c>
      <c r="AI623" s="43">
        <f>AE623-AF623+AG623-AH623</f>
        <v>481911706</v>
      </c>
      <c r="AJ623" s="43">
        <f>AD623+AI623</f>
        <v>481911706</v>
      </c>
      <c r="AK623" s="44">
        <v>0</v>
      </c>
      <c r="AL623" s="44">
        <v>0</v>
      </c>
      <c r="AM623" s="43">
        <v>481911706</v>
      </c>
      <c r="AN623" s="44">
        <v>0</v>
      </c>
      <c r="AO623" s="44">
        <v>0</v>
      </c>
      <c r="AP623" s="43">
        <v>481911706</v>
      </c>
      <c r="AQ623" s="44">
        <v>0</v>
      </c>
      <c r="AR623" s="43">
        <v>97740442</v>
      </c>
      <c r="AS623" s="43">
        <v>296699326.60000002</v>
      </c>
      <c r="AT623" s="39">
        <f>AQ623+AS623</f>
        <v>296699326.60000002</v>
      </c>
      <c r="AU623" s="34">
        <f>AJ623-AM623</f>
        <v>0</v>
      </c>
      <c r="AV623" s="34">
        <f>AM623-AP623</f>
        <v>0</v>
      </c>
      <c r="AW623" s="18">
        <f>AP623-AT623</f>
        <v>185212379.39999998</v>
      </c>
      <c r="AX623" s="123">
        <f>AP623/AJ623</f>
        <v>1</v>
      </c>
    </row>
    <row r="624" spans="1:50" ht="18.75" customHeight="1" x14ac:dyDescent="0.2">
      <c r="AA624" s="28" t="s">
        <v>288</v>
      </c>
      <c r="AB624" s="29" t="s">
        <v>494</v>
      </c>
      <c r="AC624" s="17"/>
      <c r="AD624" s="18"/>
      <c r="AE624" s="34"/>
      <c r="AF624" s="34"/>
      <c r="AG624" s="18"/>
      <c r="AH624" s="34"/>
      <c r="AI624" s="18"/>
      <c r="AJ624" s="18"/>
      <c r="AK624" s="34"/>
      <c r="AL624" s="34"/>
      <c r="AM624" s="18"/>
      <c r="AN624" s="34"/>
      <c r="AO624" s="18"/>
      <c r="AP624" s="18"/>
      <c r="AQ624" s="34"/>
      <c r="AR624" s="34"/>
      <c r="AS624" s="34"/>
      <c r="AT624" s="40"/>
      <c r="AU624" s="34"/>
      <c r="AV624" s="34"/>
      <c r="AW624" s="18"/>
      <c r="AX624" s="18"/>
    </row>
    <row r="625" spans="1:50" ht="18.75" customHeight="1" x14ac:dyDescent="0.2">
      <c r="A625" s="4" t="s">
        <v>55</v>
      </c>
      <c r="B625" s="4" t="s">
        <v>56</v>
      </c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1" t="s">
        <v>495</v>
      </c>
      <c r="AB625" s="42" t="s">
        <v>233</v>
      </c>
      <c r="AC625" s="43" t="s">
        <v>58</v>
      </c>
      <c r="AD625" s="43">
        <v>100000000</v>
      </c>
      <c r="AE625" s="44">
        <v>0</v>
      </c>
      <c r="AF625" s="44">
        <v>0</v>
      </c>
      <c r="AG625" s="44">
        <v>0</v>
      </c>
      <c r="AH625" s="43">
        <v>30591703</v>
      </c>
      <c r="AI625" s="44">
        <f>AE625-AF625+AG625-AH625</f>
        <v>-30591703</v>
      </c>
      <c r="AJ625" s="43">
        <f>AD625+AI625</f>
        <v>69408297</v>
      </c>
      <c r="AK625" s="44">
        <v>0</v>
      </c>
      <c r="AL625" s="44">
        <v>0</v>
      </c>
      <c r="AM625" s="43">
        <v>69408297</v>
      </c>
      <c r="AN625" s="44">
        <v>0</v>
      </c>
      <c r="AO625" s="44">
        <v>0</v>
      </c>
      <c r="AP625" s="43">
        <v>69408297</v>
      </c>
      <c r="AQ625" s="43">
        <v>0</v>
      </c>
      <c r="AR625" s="44">
        <v>0</v>
      </c>
      <c r="AS625" s="43">
        <v>69408297</v>
      </c>
      <c r="AT625" s="39">
        <f>AQ625+AS625</f>
        <v>69408297</v>
      </c>
      <c r="AU625" s="34">
        <f>AJ625-AM625</f>
        <v>0</v>
      </c>
      <c r="AV625" s="34">
        <f>AM625-AP625</f>
        <v>0</v>
      </c>
      <c r="AW625" s="34">
        <f>AP625-AT625</f>
        <v>0</v>
      </c>
      <c r="AX625" s="123">
        <f>AP625/AJ625</f>
        <v>1</v>
      </c>
    </row>
    <row r="626" spans="1:50" ht="18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1" t="s">
        <v>976</v>
      </c>
      <c r="AB626" s="42" t="s">
        <v>449</v>
      </c>
      <c r="AC626" s="43"/>
      <c r="AD626" s="44">
        <v>0</v>
      </c>
      <c r="AE626" s="44">
        <v>0</v>
      </c>
      <c r="AF626" s="44">
        <v>0</v>
      </c>
      <c r="AG626" s="43">
        <v>1200000000</v>
      </c>
      <c r="AH626" s="44"/>
      <c r="AI626" s="43">
        <f>AE626-AF626+AG626-AH626</f>
        <v>1200000000</v>
      </c>
      <c r="AJ626" s="43">
        <f>AD626+AI626</f>
        <v>1200000000</v>
      </c>
      <c r="AK626" s="44">
        <v>0</v>
      </c>
      <c r="AL626" s="44">
        <v>0</v>
      </c>
      <c r="AM626" s="43">
        <v>1114130436</v>
      </c>
      <c r="AN626" s="44">
        <v>0</v>
      </c>
      <c r="AO626" s="44">
        <v>0</v>
      </c>
      <c r="AP626" s="43">
        <v>0</v>
      </c>
      <c r="AQ626" s="44">
        <v>0</v>
      </c>
      <c r="AR626" s="44">
        <v>0</v>
      </c>
      <c r="AS626" s="44">
        <v>0</v>
      </c>
      <c r="AT626" s="40">
        <f>AQ626+AS626</f>
        <v>0</v>
      </c>
      <c r="AU626" s="18">
        <f>AJ626-AM626</f>
        <v>85869564</v>
      </c>
      <c r="AV626" s="18">
        <f>AM626-AP626</f>
        <v>1114130436</v>
      </c>
      <c r="AW626" s="34">
        <f>AP626-AT626</f>
        <v>0</v>
      </c>
      <c r="AX626" s="123">
        <f>AP626/AJ626</f>
        <v>0</v>
      </c>
    </row>
    <row r="627" spans="1:50" ht="18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1" t="s">
        <v>288</v>
      </c>
      <c r="AB627" s="74" t="s">
        <v>463</v>
      </c>
      <c r="AC627" s="43"/>
      <c r="AD627" s="43"/>
      <c r="AE627" s="44"/>
      <c r="AF627" s="44"/>
      <c r="AG627" s="43"/>
      <c r="AH627" s="44"/>
      <c r="AI627" s="43"/>
      <c r="AJ627" s="43"/>
      <c r="AK627" s="44"/>
      <c r="AL627" s="44"/>
      <c r="AM627" s="43"/>
      <c r="AN627" s="44"/>
      <c r="AO627" s="44"/>
      <c r="AP627" s="43"/>
      <c r="AQ627" s="44"/>
      <c r="AR627" s="44"/>
      <c r="AS627" s="44"/>
      <c r="AT627" s="40"/>
      <c r="AU627" s="43"/>
      <c r="AV627" s="43"/>
      <c r="AW627" s="43"/>
      <c r="AX627" s="32"/>
    </row>
    <row r="628" spans="1:50" ht="18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139" t="s">
        <v>909</v>
      </c>
      <c r="AB628" s="42" t="s">
        <v>233</v>
      </c>
      <c r="AC628" s="43"/>
      <c r="AD628" s="44">
        <v>0</v>
      </c>
      <c r="AE628" s="44">
        <v>0</v>
      </c>
      <c r="AF628" s="44">
        <v>0</v>
      </c>
      <c r="AG628" s="43">
        <v>1556000000</v>
      </c>
      <c r="AH628" s="44">
        <v>0</v>
      </c>
      <c r="AI628" s="43">
        <f>AE628-AF628+AG628-AH628</f>
        <v>1556000000</v>
      </c>
      <c r="AJ628" s="43">
        <f>AD628+AI628</f>
        <v>1556000000</v>
      </c>
      <c r="AK628" s="44">
        <v>0</v>
      </c>
      <c r="AL628" s="44">
        <v>0</v>
      </c>
      <c r="AM628" s="43">
        <v>1555449996</v>
      </c>
      <c r="AN628" s="44">
        <v>0</v>
      </c>
      <c r="AO628" s="44">
        <v>0</v>
      </c>
      <c r="AP628" s="43">
        <v>1555449996</v>
      </c>
      <c r="AQ628" s="44">
        <v>0</v>
      </c>
      <c r="AR628" s="44">
        <f>AS628-MAYO!AS605</f>
        <v>0</v>
      </c>
      <c r="AS628" s="43">
        <v>1555449996</v>
      </c>
      <c r="AT628" s="39">
        <f>AQ628+AS628</f>
        <v>1555449996</v>
      </c>
      <c r="AU628" s="18">
        <f>AJ628-AM628</f>
        <v>550004</v>
      </c>
      <c r="AV628" s="34">
        <f>AM628-AP628</f>
        <v>0</v>
      </c>
      <c r="AW628" s="34">
        <f>AP628-AT628</f>
        <v>0</v>
      </c>
      <c r="AX628" s="123">
        <f>AP628/AJ628</f>
        <v>0.99964652699228795</v>
      </c>
    </row>
    <row r="629" spans="1:50" ht="26.2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170" t="s">
        <v>288</v>
      </c>
      <c r="AB629" s="165" t="s">
        <v>1050</v>
      </c>
      <c r="AC629" s="168"/>
      <c r="AD629" s="44"/>
      <c r="AE629" s="44"/>
      <c r="AF629" s="44"/>
      <c r="AG629" s="43"/>
      <c r="AH629" s="44"/>
      <c r="AI629" s="43"/>
      <c r="AJ629" s="43"/>
      <c r="AK629" s="44"/>
      <c r="AL629" s="44"/>
      <c r="AM629" s="43"/>
      <c r="AN629" s="44"/>
      <c r="AO629" s="44"/>
      <c r="AP629" s="43"/>
      <c r="AQ629" s="44"/>
      <c r="AR629" s="44"/>
      <c r="AS629" s="43"/>
      <c r="AT629" s="39"/>
      <c r="AU629" s="18"/>
      <c r="AV629" s="34"/>
      <c r="AW629" s="34"/>
      <c r="AX629" s="123"/>
    </row>
    <row r="630" spans="1:50" ht="18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166" t="s">
        <v>1051</v>
      </c>
      <c r="AB630" s="167" t="s">
        <v>1015</v>
      </c>
      <c r="AC630" s="168"/>
      <c r="AD630" s="44">
        <v>0</v>
      </c>
      <c r="AE630" s="43">
        <v>40000000</v>
      </c>
      <c r="AF630" s="44">
        <v>0</v>
      </c>
      <c r="AG630" s="44">
        <v>0</v>
      </c>
      <c r="AH630" s="43">
        <v>40000000</v>
      </c>
      <c r="AI630" s="44">
        <f>AE630-AF630+AG630-AH630</f>
        <v>0</v>
      </c>
      <c r="AJ630" s="44">
        <f>AD630+AI630</f>
        <v>0</v>
      </c>
      <c r="AK630" s="44">
        <v>0</v>
      </c>
      <c r="AL630" s="44">
        <v>0</v>
      </c>
      <c r="AM630" s="43">
        <v>0</v>
      </c>
      <c r="AN630" s="44">
        <v>0</v>
      </c>
      <c r="AO630" s="44">
        <v>0</v>
      </c>
      <c r="AP630" s="43">
        <v>0</v>
      </c>
      <c r="AQ630" s="44">
        <v>0</v>
      </c>
      <c r="AR630" s="44">
        <v>0</v>
      </c>
      <c r="AS630" s="44">
        <v>0</v>
      </c>
      <c r="AT630" s="135">
        <f t="shared" ref="AT630" si="265">AQ630+AS630</f>
        <v>0</v>
      </c>
      <c r="AU630" s="34">
        <f>AJ630-AM630</f>
        <v>0</v>
      </c>
      <c r="AV630" s="34">
        <f>AM630-AP630</f>
        <v>0</v>
      </c>
      <c r="AW630" s="34">
        <f>AP630-AT630</f>
        <v>0</v>
      </c>
      <c r="AX630" s="123">
        <v>0</v>
      </c>
    </row>
    <row r="631" spans="1:50" ht="18.75" customHeight="1" x14ac:dyDescent="0.2">
      <c r="AA631" s="169" t="s">
        <v>288</v>
      </c>
      <c r="AB631" s="163" t="s">
        <v>496</v>
      </c>
      <c r="AC631" s="17"/>
      <c r="AD631" s="34"/>
      <c r="AE631" s="34"/>
      <c r="AF631" s="34"/>
      <c r="AG631" s="18"/>
      <c r="AH631" s="34"/>
      <c r="AI631" s="18"/>
      <c r="AJ631" s="18"/>
      <c r="AK631" s="18"/>
      <c r="AL631" s="18"/>
      <c r="AM631" s="18"/>
      <c r="AN631" s="18"/>
      <c r="AO631" s="18"/>
      <c r="AP631" s="18"/>
      <c r="AQ631" s="34"/>
      <c r="AR631" s="34"/>
      <c r="AS631" s="34"/>
      <c r="AT631" s="40"/>
      <c r="AU631" s="18"/>
      <c r="AV631" s="18"/>
      <c r="AW631" s="18"/>
      <c r="AX631" s="18"/>
    </row>
    <row r="632" spans="1:50" ht="18.75" customHeight="1" x14ac:dyDescent="0.2">
      <c r="A632" s="4" t="s">
        <v>55</v>
      </c>
      <c r="B632" s="4" t="s">
        <v>56</v>
      </c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1" t="s">
        <v>497</v>
      </c>
      <c r="AB632" s="42" t="s">
        <v>233</v>
      </c>
      <c r="AC632" s="43" t="s">
        <v>58</v>
      </c>
      <c r="AD632" s="44">
        <v>0</v>
      </c>
      <c r="AE632" s="44">
        <v>0</v>
      </c>
      <c r="AF632" s="44">
        <v>0</v>
      </c>
      <c r="AG632" s="43">
        <f>91680424+36720621</f>
        <v>128401045</v>
      </c>
      <c r="AH632" s="43">
        <v>11419181</v>
      </c>
      <c r="AI632" s="43">
        <f>AE632-AF632+AG632-AH632</f>
        <v>116981864</v>
      </c>
      <c r="AJ632" s="43">
        <f>AD632+AI632</f>
        <v>116981864</v>
      </c>
      <c r="AK632" s="44">
        <v>0</v>
      </c>
      <c r="AL632" s="115">
        <v>0</v>
      </c>
      <c r="AM632" s="114">
        <v>116981864</v>
      </c>
      <c r="AN632" s="44">
        <v>0</v>
      </c>
      <c r="AO632" s="44">
        <v>0</v>
      </c>
      <c r="AP632" s="114">
        <v>116981864</v>
      </c>
      <c r="AQ632" s="44">
        <v>0</v>
      </c>
      <c r="AR632" s="43">
        <v>0</v>
      </c>
      <c r="AS632" s="114">
        <v>116981864</v>
      </c>
      <c r="AT632" s="39">
        <f>AQ632+AS632</f>
        <v>116981864</v>
      </c>
      <c r="AU632" s="34">
        <f>AJ632-AM632</f>
        <v>0</v>
      </c>
      <c r="AV632" s="34">
        <f>AM632-AP632</f>
        <v>0</v>
      </c>
      <c r="AW632" s="34">
        <f>AP632-AT632</f>
        <v>0</v>
      </c>
      <c r="AX632" s="123">
        <f>AP632/AJ632</f>
        <v>1</v>
      </c>
    </row>
    <row r="633" spans="1:50" ht="18.75" customHeight="1" x14ac:dyDescent="0.2">
      <c r="AA633" s="28" t="s">
        <v>288</v>
      </c>
      <c r="AB633" s="29" t="s">
        <v>498</v>
      </c>
      <c r="AC633" s="17"/>
      <c r="AD633" s="18"/>
      <c r="AE633" s="34"/>
      <c r="AF633" s="34"/>
      <c r="AG633" s="18"/>
      <c r="AH633" s="18"/>
      <c r="AI633" s="18"/>
      <c r="AJ633" s="18"/>
      <c r="AK633" s="34"/>
      <c r="AL633" s="34"/>
      <c r="AM633" s="34"/>
      <c r="AN633" s="34"/>
      <c r="AO633" s="34"/>
      <c r="AP633" s="34"/>
      <c r="AQ633" s="34"/>
      <c r="AR633" s="34"/>
      <c r="AS633" s="34"/>
      <c r="AT633" s="40"/>
      <c r="AU633" s="18"/>
      <c r="AV633" s="18"/>
      <c r="AW633" s="18"/>
      <c r="AX633" s="18"/>
    </row>
    <row r="634" spans="1:50" ht="18.75" customHeight="1" x14ac:dyDescent="0.2">
      <c r="A634" s="4" t="s">
        <v>55</v>
      </c>
      <c r="B634" s="4" t="s">
        <v>56</v>
      </c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1" t="s">
        <v>499</v>
      </c>
      <c r="AB634" s="42" t="s">
        <v>233</v>
      </c>
      <c r="AC634" s="43" t="s">
        <v>58</v>
      </c>
      <c r="AD634" s="43">
        <v>5000000000</v>
      </c>
      <c r="AE634" s="44">
        <v>0</v>
      </c>
      <c r="AF634" s="44">
        <v>0</v>
      </c>
      <c r="AG634" s="44">
        <v>0</v>
      </c>
      <c r="AH634" s="43">
        <f>2332895811.15+800401381+119719609</f>
        <v>3253016801.1500001</v>
      </c>
      <c r="AI634" s="43">
        <f>AE634-AF634+AG634-AH634</f>
        <v>-3253016801.1500001</v>
      </c>
      <c r="AJ634" s="142">
        <f>AD634+AI634</f>
        <v>1746983198.8499999</v>
      </c>
      <c r="AK634" s="44">
        <v>0</v>
      </c>
      <c r="AL634" s="115">
        <v>0</v>
      </c>
      <c r="AM634" s="114">
        <v>1746983198.74</v>
      </c>
      <c r="AN634" s="44">
        <v>0</v>
      </c>
      <c r="AO634" s="44">
        <v>0</v>
      </c>
      <c r="AP634" s="44">
        <v>1434700926</v>
      </c>
      <c r="AQ634" s="44">
        <v>0</v>
      </c>
      <c r="AR634" s="43">
        <v>0</v>
      </c>
      <c r="AS634" s="43">
        <v>1076025694.5</v>
      </c>
      <c r="AT634" s="39">
        <f>AQ634+AS634</f>
        <v>1076025694.5</v>
      </c>
      <c r="AU634" s="18">
        <f>AJ634-AM634</f>
        <v>0.1099998950958252</v>
      </c>
      <c r="AV634" s="18">
        <f>AM634-AP634</f>
        <v>312282272.74000001</v>
      </c>
      <c r="AW634" s="18">
        <f>AP634-AT634</f>
        <v>358675231.5</v>
      </c>
      <c r="AX634" s="123">
        <f>AP634/AJ634</f>
        <v>0.82124483334724208</v>
      </c>
    </row>
    <row r="635" spans="1:50" ht="18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166" t="s">
        <v>1052</v>
      </c>
      <c r="AB635" s="167" t="s">
        <v>1015</v>
      </c>
      <c r="AC635" s="168"/>
      <c r="AD635" s="44">
        <v>0</v>
      </c>
      <c r="AE635" s="43">
        <v>3500000000</v>
      </c>
      <c r="AF635" s="44"/>
      <c r="AG635" s="44"/>
      <c r="AH635" s="43">
        <f>769916142.32+86300000+1100000000</f>
        <v>1956216142.3200002</v>
      </c>
      <c r="AI635" s="43">
        <f>AE635-AF635+AG635-AH635</f>
        <v>1543783857.6799998</v>
      </c>
      <c r="AJ635" s="142">
        <f>AD635+AI635</f>
        <v>1543783857.6799998</v>
      </c>
      <c r="AK635" s="44">
        <v>0</v>
      </c>
      <c r="AL635" s="43">
        <v>870146004.86000001</v>
      </c>
      <c r="AM635" s="43">
        <v>870146004.86000001</v>
      </c>
      <c r="AN635" s="43">
        <v>17233333.329999998</v>
      </c>
      <c r="AO635" s="43">
        <v>199800000</v>
      </c>
      <c r="AP635" s="43">
        <v>199800000</v>
      </c>
      <c r="AQ635" s="44">
        <v>0</v>
      </c>
      <c r="AR635" s="44">
        <v>0</v>
      </c>
      <c r="AS635" s="44">
        <v>0</v>
      </c>
      <c r="AT635" s="135">
        <f t="shared" ref="AT635:AT636" si="266">AQ635+AS635</f>
        <v>0</v>
      </c>
      <c r="AU635" s="18">
        <f>AJ635-AM635</f>
        <v>673637852.81999981</v>
      </c>
      <c r="AV635" s="18">
        <f>AM635-AP635</f>
        <v>670346004.86000001</v>
      </c>
      <c r="AW635" s="18">
        <f>AP635-AT635</f>
        <v>199800000</v>
      </c>
      <c r="AX635" s="123">
        <f>AP635/AJ635</f>
        <v>0.12942226271251447</v>
      </c>
    </row>
    <row r="636" spans="1:50" ht="24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229" t="s">
        <v>1224</v>
      </c>
      <c r="AB636" s="230" t="s">
        <v>1055</v>
      </c>
      <c r="AC636" s="168"/>
      <c r="AD636" s="44">
        <v>0</v>
      </c>
      <c r="AE636" s="44">
        <v>0</v>
      </c>
      <c r="AF636" s="44">
        <v>0</v>
      </c>
      <c r="AG636" s="43">
        <v>769916142.32000005</v>
      </c>
      <c r="AH636" s="43">
        <v>290000000</v>
      </c>
      <c r="AI636" s="43">
        <f>AE636-AF636+AG636-AH636</f>
        <v>479916142.32000005</v>
      </c>
      <c r="AJ636" s="142">
        <f>AD636+AI636</f>
        <v>479916142.32000005</v>
      </c>
      <c r="AK636" s="44">
        <v>0</v>
      </c>
      <c r="AL636" s="43">
        <v>405227069</v>
      </c>
      <c r="AM636" s="43">
        <v>405227069</v>
      </c>
      <c r="AN636" s="44">
        <v>0</v>
      </c>
      <c r="AO636" s="44">
        <v>0</v>
      </c>
      <c r="AP636" s="44">
        <v>0</v>
      </c>
      <c r="AQ636" s="44">
        <v>0</v>
      </c>
      <c r="AR636" s="44">
        <v>0</v>
      </c>
      <c r="AS636" s="44">
        <v>0</v>
      </c>
      <c r="AT636" s="135">
        <f t="shared" si="266"/>
        <v>0</v>
      </c>
      <c r="AU636" s="18">
        <f>AJ636-AM636</f>
        <v>74689073.320000052</v>
      </c>
      <c r="AV636" s="18">
        <f>AM636-AP636</f>
        <v>405227069</v>
      </c>
      <c r="AW636" s="18">
        <f>AP636-AT636</f>
        <v>0</v>
      </c>
      <c r="AX636" s="123">
        <f>AP636/AJ636</f>
        <v>0</v>
      </c>
    </row>
    <row r="637" spans="1:50" ht="18.75" customHeight="1" x14ac:dyDescent="0.2">
      <c r="AA637" s="169" t="s">
        <v>288</v>
      </c>
      <c r="AB637" s="163" t="s">
        <v>483</v>
      </c>
      <c r="AC637" s="17"/>
      <c r="AD637" s="18"/>
      <c r="AE637" s="34"/>
      <c r="AF637" s="34"/>
      <c r="AG637" s="18"/>
      <c r="AH637" s="18"/>
      <c r="AI637" s="18"/>
      <c r="AJ637" s="147"/>
      <c r="AK637" s="34"/>
      <c r="AL637" s="34"/>
      <c r="AM637" s="34"/>
      <c r="AN637" s="34"/>
      <c r="AO637" s="34"/>
      <c r="AP637" s="34"/>
      <c r="AQ637" s="34"/>
      <c r="AR637" s="34"/>
      <c r="AS637" s="34"/>
      <c r="AT637" s="40"/>
      <c r="AU637" s="18"/>
      <c r="AV637" s="18"/>
      <c r="AW637" s="18"/>
      <c r="AX637" s="18"/>
    </row>
    <row r="638" spans="1:50" ht="18.75" customHeight="1" x14ac:dyDescent="0.2">
      <c r="A638" s="4" t="s">
        <v>55</v>
      </c>
      <c r="B638" s="4" t="s">
        <v>56</v>
      </c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1" t="s">
        <v>500</v>
      </c>
      <c r="AB638" s="42" t="s">
        <v>233</v>
      </c>
      <c r="AC638" s="43" t="s">
        <v>58</v>
      </c>
      <c r="AD638" s="44">
        <v>0</v>
      </c>
      <c r="AE638" s="44">
        <v>0</v>
      </c>
      <c r="AF638" s="44">
        <v>0</v>
      </c>
      <c r="AG638" s="43">
        <f>36519672</f>
        <v>36519672</v>
      </c>
      <c r="AH638" s="44">
        <v>0</v>
      </c>
      <c r="AI638" s="43">
        <f>AE638-AF638+AG638-AH638</f>
        <v>36519672</v>
      </c>
      <c r="AJ638" s="142">
        <f>AD638+AI638</f>
        <v>36519672</v>
      </c>
      <c r="AK638" s="44">
        <v>0</v>
      </c>
      <c r="AL638" s="44">
        <v>0</v>
      </c>
      <c r="AM638" s="43">
        <v>36519672</v>
      </c>
      <c r="AN638" s="44">
        <v>0</v>
      </c>
      <c r="AO638" s="44">
        <v>0</v>
      </c>
      <c r="AP638" s="43">
        <v>36519672</v>
      </c>
      <c r="AQ638" s="44">
        <v>0</v>
      </c>
      <c r="AR638" s="43">
        <v>0</v>
      </c>
      <c r="AS638" s="43">
        <v>36519672</v>
      </c>
      <c r="AT638" s="39">
        <f>AQ638+AS638</f>
        <v>36519672</v>
      </c>
      <c r="AU638" s="34">
        <f>AJ638-AM638</f>
        <v>0</v>
      </c>
      <c r="AV638" s="34">
        <f>AM638-AP638</f>
        <v>0</v>
      </c>
      <c r="AW638" s="34">
        <f>AP638-AT638</f>
        <v>0</v>
      </c>
      <c r="AX638" s="123">
        <f>AP638/AJ638</f>
        <v>1</v>
      </c>
    </row>
    <row r="639" spans="1:50" ht="18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1" t="s">
        <v>1278</v>
      </c>
      <c r="AB639" s="42" t="s">
        <v>1015</v>
      </c>
      <c r="AC639" s="43"/>
      <c r="AD639" s="44">
        <v>0</v>
      </c>
      <c r="AE639" s="44">
        <v>0</v>
      </c>
      <c r="AF639" s="44">
        <v>0</v>
      </c>
      <c r="AG639" s="43">
        <v>25000000</v>
      </c>
      <c r="AH639" s="44">
        <v>0</v>
      </c>
      <c r="AI639" s="43">
        <f>AE639-AF639+AG639-AH639</f>
        <v>25000000</v>
      </c>
      <c r="AJ639" s="142">
        <f>AD639+AI639</f>
        <v>25000000</v>
      </c>
      <c r="AK639" s="44">
        <v>0</v>
      </c>
      <c r="AL639" s="43">
        <v>25000000</v>
      </c>
      <c r="AM639" s="43">
        <v>25000000</v>
      </c>
      <c r="AN639" s="44">
        <v>0</v>
      </c>
      <c r="AO639" s="44">
        <v>0</v>
      </c>
      <c r="AP639" s="43">
        <v>0</v>
      </c>
      <c r="AQ639" s="44">
        <v>0</v>
      </c>
      <c r="AR639" s="44">
        <v>0</v>
      </c>
      <c r="AS639" s="44">
        <v>0</v>
      </c>
      <c r="AT639" s="40">
        <f>AQ639+AS639</f>
        <v>0</v>
      </c>
      <c r="AU639" s="34">
        <f>AJ639-AM639</f>
        <v>0</v>
      </c>
      <c r="AV639" s="18">
        <f>AM639-AP639</f>
        <v>25000000</v>
      </c>
      <c r="AW639" s="34">
        <f>AP639-AT639</f>
        <v>0</v>
      </c>
      <c r="AX639" s="123">
        <f>AP639/AJ639</f>
        <v>0</v>
      </c>
    </row>
    <row r="640" spans="1:50" ht="18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73" t="s">
        <v>1249</v>
      </c>
      <c r="AB640" s="74" t="s">
        <v>1265</v>
      </c>
      <c r="AC640" s="43"/>
      <c r="AD640" s="44"/>
      <c r="AE640" s="44"/>
      <c r="AF640" s="44"/>
      <c r="AG640" s="43"/>
      <c r="AH640" s="44"/>
      <c r="AI640" s="43"/>
      <c r="AJ640" s="142"/>
      <c r="AK640" s="44"/>
      <c r="AL640" s="44"/>
      <c r="AM640" s="43"/>
      <c r="AN640" s="44"/>
      <c r="AO640" s="44"/>
      <c r="AP640" s="43"/>
      <c r="AQ640" s="44"/>
      <c r="AR640" s="44"/>
      <c r="AS640" s="44"/>
      <c r="AT640" s="40"/>
      <c r="AU640" s="18"/>
      <c r="AV640" s="34"/>
      <c r="AW640" s="34"/>
      <c r="AX640" s="123"/>
    </row>
    <row r="641" spans="1:50" ht="18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1" t="s">
        <v>1266</v>
      </c>
      <c r="AB641" s="42" t="s">
        <v>1015</v>
      </c>
      <c r="AC641" s="43"/>
      <c r="AD641" s="44">
        <v>0</v>
      </c>
      <c r="AE641" s="44">
        <v>0</v>
      </c>
      <c r="AF641" s="44">
        <v>0</v>
      </c>
      <c r="AG641" s="43">
        <f>22000000+11300000</f>
        <v>33300000</v>
      </c>
      <c r="AH641" s="44"/>
      <c r="AI641" s="43">
        <f>AE641-AF641+AG641-AH641</f>
        <v>33300000</v>
      </c>
      <c r="AJ641" s="142">
        <f>AD641+AI641</f>
        <v>33300000</v>
      </c>
      <c r="AK641" s="43">
        <v>0</v>
      </c>
      <c r="AL641" s="43">
        <v>33295751.84</v>
      </c>
      <c r="AM641" s="43">
        <v>33295751.84</v>
      </c>
      <c r="AN641" s="43">
        <v>0</v>
      </c>
      <c r="AO641" s="44">
        <v>0</v>
      </c>
      <c r="AP641" s="44">
        <v>0</v>
      </c>
      <c r="AQ641" s="44">
        <v>0</v>
      </c>
      <c r="AR641" s="44">
        <v>0</v>
      </c>
      <c r="AS641" s="44">
        <v>0</v>
      </c>
      <c r="AT641" s="40">
        <f>AQ641+AS641</f>
        <v>0</v>
      </c>
      <c r="AU641" s="18">
        <f>AJ641-AM641</f>
        <v>4248.160000000149</v>
      </c>
      <c r="AV641" s="34">
        <f>AM641-AP641</f>
        <v>33295751.84</v>
      </c>
      <c r="AW641" s="34">
        <f>AP641-AT641</f>
        <v>0</v>
      </c>
      <c r="AX641" s="123">
        <f>AP641/AJ641</f>
        <v>0</v>
      </c>
    </row>
    <row r="642" spans="1:50" ht="18.75" customHeight="1" x14ac:dyDescent="0.2">
      <c r="AA642" s="28" t="s">
        <v>288</v>
      </c>
      <c r="AB642" s="29" t="s">
        <v>487</v>
      </c>
      <c r="AC642" s="17"/>
      <c r="AD642" s="18"/>
      <c r="AE642" s="34"/>
      <c r="AF642" s="34"/>
      <c r="AG642" s="18"/>
      <c r="AH642" s="18"/>
      <c r="AI642" s="18"/>
      <c r="AJ642" s="147"/>
      <c r="AK642" s="18"/>
      <c r="AL642" s="18"/>
      <c r="AM642" s="18"/>
      <c r="AN642" s="34"/>
      <c r="AO642" s="34"/>
      <c r="AP642" s="18"/>
      <c r="AQ642" s="18"/>
      <c r="AR642" s="18"/>
      <c r="AS642" s="18"/>
      <c r="AT642" s="39"/>
      <c r="AU642" s="18"/>
      <c r="AV642" s="18"/>
      <c r="AW642" s="18"/>
      <c r="AX642" s="18"/>
    </row>
    <row r="643" spans="1:50" ht="18.75" customHeight="1" x14ac:dyDescent="0.2">
      <c r="A643" s="4" t="s">
        <v>55</v>
      </c>
      <c r="B643" s="4" t="s">
        <v>56</v>
      </c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1" t="s">
        <v>501</v>
      </c>
      <c r="AB643" s="42" t="s">
        <v>439</v>
      </c>
      <c r="AC643" s="43" t="s">
        <v>428</v>
      </c>
      <c r="AD643" s="43">
        <v>4549743506</v>
      </c>
      <c r="AE643" s="44">
        <v>0</v>
      </c>
      <c r="AF643" s="44">
        <v>0</v>
      </c>
      <c r="AG643" s="43">
        <v>265538240</v>
      </c>
      <c r="AH643" s="44">
        <v>0</v>
      </c>
      <c r="AI643" s="43">
        <f>AE643-AF643+AG643-AH643</f>
        <v>265538240</v>
      </c>
      <c r="AJ643" s="142">
        <f>AD643+AI643</f>
        <v>4815281746</v>
      </c>
      <c r="AK643" s="44">
        <v>0</v>
      </c>
      <c r="AL643" s="43">
        <v>4950400</v>
      </c>
      <c r="AM643" s="43">
        <v>3884744180.8000002</v>
      </c>
      <c r="AN643" s="44">
        <v>0</v>
      </c>
      <c r="AO643" s="43">
        <v>28000000</v>
      </c>
      <c r="AP643" s="43">
        <v>3125383085.0300002</v>
      </c>
      <c r="AQ643" s="44">
        <v>0</v>
      </c>
      <c r="AR643" s="43">
        <v>186483278.38999999</v>
      </c>
      <c r="AS643" s="43">
        <v>890227204.96000004</v>
      </c>
      <c r="AT643" s="39">
        <f t="shared" si="238"/>
        <v>890227204.96000004</v>
      </c>
      <c r="AU643" s="18">
        <f>AJ643-AM643</f>
        <v>930537565.19999981</v>
      </c>
      <c r="AV643" s="110">
        <f>AM643-AP643</f>
        <v>759361095.76999998</v>
      </c>
      <c r="AW643" s="18">
        <f>AP643-AT643</f>
        <v>2235155880.0700002</v>
      </c>
      <c r="AX643" s="123">
        <f>AP643/AJ643</f>
        <v>0.64905508127872691</v>
      </c>
    </row>
    <row r="644" spans="1:50" ht="18.75" customHeight="1" x14ac:dyDescent="0.2">
      <c r="A644" s="4" t="s">
        <v>55</v>
      </c>
      <c r="B644" s="4" t="s">
        <v>56</v>
      </c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1" t="s">
        <v>502</v>
      </c>
      <c r="AB644" s="42" t="s">
        <v>490</v>
      </c>
      <c r="AC644" s="43" t="s">
        <v>368</v>
      </c>
      <c r="AD644" s="43">
        <v>104829219</v>
      </c>
      <c r="AE644" s="44">
        <v>0</v>
      </c>
      <c r="AF644" s="44">
        <v>0</v>
      </c>
      <c r="AG644" s="44">
        <v>0</v>
      </c>
      <c r="AH644" s="43">
        <v>53364831</v>
      </c>
      <c r="AI644" s="43">
        <f>AE644-AF644+AG644-AH644</f>
        <v>-53364831</v>
      </c>
      <c r="AJ644" s="142">
        <f>AD644+AI644</f>
        <v>51464388</v>
      </c>
      <c r="AK644" s="44">
        <v>0</v>
      </c>
      <c r="AL644" s="43">
        <v>2685496.28</v>
      </c>
      <c r="AM644" s="43">
        <v>51464387.640000001</v>
      </c>
      <c r="AN644" s="44">
        <v>0</v>
      </c>
      <c r="AO644" s="43">
        <v>2685496.28</v>
      </c>
      <c r="AP644" s="43">
        <v>51464387.640000001</v>
      </c>
      <c r="AQ644" s="44">
        <v>0</v>
      </c>
      <c r="AR644" s="43">
        <v>2685496.28</v>
      </c>
      <c r="AS644" s="43">
        <v>51464387.640000001</v>
      </c>
      <c r="AT644" s="39">
        <f t="shared" si="238"/>
        <v>51464387.640000001</v>
      </c>
      <c r="AU644" s="18">
        <f>AJ644-AM644</f>
        <v>0.35999999940395355</v>
      </c>
      <c r="AV644" s="34">
        <f>AM644-AP644</f>
        <v>0</v>
      </c>
      <c r="AW644" s="34">
        <f>AP644-AT644</f>
        <v>0</v>
      </c>
      <c r="AX644" s="123">
        <f>AP644/AJ644</f>
        <v>0.99999999300487163</v>
      </c>
    </row>
    <row r="645" spans="1:50" ht="18.75" customHeight="1" x14ac:dyDescent="0.2">
      <c r="AA645" s="28" t="s">
        <v>288</v>
      </c>
      <c r="AB645" s="29" t="s">
        <v>400</v>
      </c>
      <c r="AC645" s="17"/>
      <c r="AD645" s="18"/>
      <c r="AE645" s="34"/>
      <c r="AF645" s="34"/>
      <c r="AG645" s="18"/>
      <c r="AH645" s="18"/>
      <c r="AI645" s="18"/>
      <c r="AJ645" s="147"/>
      <c r="AK645" s="34"/>
      <c r="AL645" s="18"/>
      <c r="AM645" s="18"/>
      <c r="AN645" s="18"/>
      <c r="AO645" s="18"/>
      <c r="AP645" s="18"/>
      <c r="AQ645" s="18"/>
      <c r="AR645" s="18"/>
      <c r="AS645" s="18"/>
      <c r="AT645" s="39"/>
      <c r="AU645" s="18"/>
      <c r="AV645" s="18"/>
      <c r="AW645" s="18"/>
      <c r="AX645" s="18"/>
    </row>
    <row r="646" spans="1:50" ht="18.75" customHeight="1" x14ac:dyDescent="0.2">
      <c r="A646" s="4" t="s">
        <v>55</v>
      </c>
      <c r="B646" s="4" t="s">
        <v>56</v>
      </c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1" t="s">
        <v>401</v>
      </c>
      <c r="AB646" s="42" t="s">
        <v>233</v>
      </c>
      <c r="AC646" s="43" t="s">
        <v>58</v>
      </c>
      <c r="AD646" s="43">
        <v>2673811725</v>
      </c>
      <c r="AE646" s="44">
        <v>0</v>
      </c>
      <c r="AF646" s="44">
        <v>0</v>
      </c>
      <c r="AG646" s="43">
        <v>1500000000</v>
      </c>
      <c r="AH646" s="44">
        <v>0</v>
      </c>
      <c r="AI646" s="43">
        <f>AE646-AF646+AG646-AH646</f>
        <v>1500000000</v>
      </c>
      <c r="AJ646" s="43">
        <f>AD646+AI646</f>
        <v>4173811725</v>
      </c>
      <c r="AK646" s="44">
        <v>0</v>
      </c>
      <c r="AL646" s="43">
        <v>-14033333</v>
      </c>
      <c r="AM646" s="43">
        <v>4112900000</v>
      </c>
      <c r="AN646" s="44">
        <v>0</v>
      </c>
      <c r="AO646" s="43">
        <v>-18533333</v>
      </c>
      <c r="AP646" s="43">
        <v>4096400000</v>
      </c>
      <c r="AQ646" s="114">
        <v>163643333</v>
      </c>
      <c r="AR646" s="114">
        <v>537183334</v>
      </c>
      <c r="AS646" s="114">
        <v>2849353330</v>
      </c>
      <c r="AT646" s="111">
        <f t="shared" ref="AT646:AT675" si="267">AQ646+AS646</f>
        <v>3012996663</v>
      </c>
      <c r="AU646" s="18">
        <f>AJ646-AM646</f>
        <v>60911725</v>
      </c>
      <c r="AV646" s="110">
        <f>AM646-AP646</f>
        <v>16500000</v>
      </c>
      <c r="AW646" s="18">
        <f>AP646-AT646</f>
        <v>1083403337</v>
      </c>
      <c r="AX646" s="123">
        <f>AP646/AJ646</f>
        <v>0.98145299067125502</v>
      </c>
    </row>
    <row r="647" spans="1:50" ht="18.75" customHeight="1" x14ac:dyDescent="0.2">
      <c r="A647" s="4" t="s">
        <v>55</v>
      </c>
      <c r="B647" s="4" t="s">
        <v>56</v>
      </c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1" t="s">
        <v>503</v>
      </c>
      <c r="AB647" s="42" t="s">
        <v>439</v>
      </c>
      <c r="AC647" s="43" t="s">
        <v>428</v>
      </c>
      <c r="AD647" s="43">
        <v>1237500000</v>
      </c>
      <c r="AE647" s="44">
        <v>0</v>
      </c>
      <c r="AF647" s="44">
        <v>0</v>
      </c>
      <c r="AG647" s="44">
        <v>0</v>
      </c>
      <c r="AH647" s="44">
        <v>0</v>
      </c>
      <c r="AI647" s="44">
        <v>0</v>
      </c>
      <c r="AJ647" s="43">
        <v>1237500000</v>
      </c>
      <c r="AK647" s="43">
        <v>16500000</v>
      </c>
      <c r="AL647" s="43">
        <v>56333333.329999998</v>
      </c>
      <c r="AM647" s="43">
        <v>1138866666.3299999</v>
      </c>
      <c r="AN647" s="44">
        <v>0</v>
      </c>
      <c r="AO647" s="43">
        <v>35983333.329999998</v>
      </c>
      <c r="AP647" s="43">
        <v>1118516666.3299999</v>
      </c>
      <c r="AQ647" s="114">
        <v>61216667</v>
      </c>
      <c r="AR647" s="114">
        <v>132050000</v>
      </c>
      <c r="AS647" s="114">
        <v>743536668</v>
      </c>
      <c r="AT647" s="111">
        <f t="shared" si="267"/>
        <v>804753335</v>
      </c>
      <c r="AU647" s="18">
        <f>AJ647-AM647</f>
        <v>98633333.670000076</v>
      </c>
      <c r="AV647" s="110">
        <f>AM647-AP647</f>
        <v>20350000</v>
      </c>
      <c r="AW647" s="18">
        <f>AP647-AT647</f>
        <v>313763331.32999992</v>
      </c>
      <c r="AX647" s="123">
        <f>AP647/AJ647</f>
        <v>0.90385185157979797</v>
      </c>
    </row>
    <row r="648" spans="1:50" ht="23.2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166" t="s">
        <v>1053</v>
      </c>
      <c r="AB648" s="167" t="s">
        <v>1015</v>
      </c>
      <c r="AC648" s="168"/>
      <c r="AD648" s="44">
        <v>0</v>
      </c>
      <c r="AE648" s="43">
        <v>230083857.68000001</v>
      </c>
      <c r="AF648" s="44">
        <v>0</v>
      </c>
      <c r="AG648" s="43">
        <f>769916142.32+1100000000</f>
        <v>1869916142.3200002</v>
      </c>
      <c r="AH648" s="44">
        <v>0</v>
      </c>
      <c r="AI648" s="43">
        <f t="shared" ref="AI648:AI650" si="268">AE648-AF648+AG648-AH648</f>
        <v>2100000000.0000002</v>
      </c>
      <c r="AJ648" s="43">
        <f t="shared" ref="AJ648:AJ650" si="269">AD648+AI648</f>
        <v>2100000000.0000002</v>
      </c>
      <c r="AK648" s="44">
        <v>0</v>
      </c>
      <c r="AL648" s="43">
        <v>347490000.02999997</v>
      </c>
      <c r="AM648" s="43">
        <v>789823333.36000001</v>
      </c>
      <c r="AN648" s="43">
        <v>133793333.34</v>
      </c>
      <c r="AO648" s="43">
        <v>87166666.670000002</v>
      </c>
      <c r="AP648" s="43">
        <v>442166666.67000002</v>
      </c>
      <c r="AQ648" s="114">
        <v>17800000</v>
      </c>
      <c r="AR648" s="115">
        <v>32291668</v>
      </c>
      <c r="AS648" s="115">
        <v>37008335</v>
      </c>
      <c r="AT648" s="135">
        <f t="shared" si="267"/>
        <v>54808335</v>
      </c>
      <c r="AU648" s="18">
        <f>AJ648-AM648</f>
        <v>1310176666.6400003</v>
      </c>
      <c r="AV648" s="18">
        <f>AM648-AP648</f>
        <v>347656666.69</v>
      </c>
      <c r="AW648" s="18">
        <f>AP648-AT648</f>
        <v>387358331.67000002</v>
      </c>
      <c r="AX648" s="123">
        <f>AP648/AJ648</f>
        <v>0.21055555555714284</v>
      </c>
    </row>
    <row r="649" spans="1:50" ht="25.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214" t="s">
        <v>1054</v>
      </c>
      <c r="AB649" s="215" t="s">
        <v>1055</v>
      </c>
      <c r="AC649" s="168"/>
      <c r="AD649" s="44">
        <v>0</v>
      </c>
      <c r="AE649" s="43">
        <v>769916142.32000005</v>
      </c>
      <c r="AF649" s="44">
        <v>0</v>
      </c>
      <c r="AG649" s="44">
        <v>0</v>
      </c>
      <c r="AH649" s="43">
        <v>769916142.32000005</v>
      </c>
      <c r="AI649" s="44">
        <f t="shared" si="268"/>
        <v>0</v>
      </c>
      <c r="AJ649" s="44">
        <f t="shared" si="269"/>
        <v>0</v>
      </c>
      <c r="AK649" s="44">
        <v>0</v>
      </c>
      <c r="AL649" s="43">
        <f>AM649-JUNIO!AM630</f>
        <v>0</v>
      </c>
      <c r="AM649" s="44">
        <v>0</v>
      </c>
      <c r="AN649" s="44">
        <v>0</v>
      </c>
      <c r="AO649" s="44">
        <v>0</v>
      </c>
      <c r="AP649" s="44">
        <v>0</v>
      </c>
      <c r="AQ649" s="115">
        <v>0</v>
      </c>
      <c r="AR649" s="115">
        <v>0</v>
      </c>
      <c r="AS649" s="115">
        <v>0</v>
      </c>
      <c r="AT649" s="135">
        <f t="shared" si="267"/>
        <v>0</v>
      </c>
      <c r="AU649" s="34">
        <f>AJ649-AM649</f>
        <v>0</v>
      </c>
      <c r="AV649" s="34">
        <f>AM649-AP649</f>
        <v>0</v>
      </c>
      <c r="AW649" s="34">
        <f>AP649-AT649</f>
        <v>0</v>
      </c>
      <c r="AX649" s="123">
        <v>0</v>
      </c>
    </row>
    <row r="650" spans="1:50" ht="25.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166" t="s">
        <v>1078</v>
      </c>
      <c r="AB650" s="167" t="s">
        <v>1074</v>
      </c>
      <c r="AC650" s="168"/>
      <c r="AD650" s="44">
        <v>0</v>
      </c>
      <c r="AE650" s="43">
        <v>1200000000</v>
      </c>
      <c r="AF650" s="216">
        <v>0</v>
      </c>
      <c r="AG650" s="44">
        <v>0</v>
      </c>
      <c r="AH650" s="33">
        <v>86000000</v>
      </c>
      <c r="AI650" s="43">
        <f t="shared" si="268"/>
        <v>1114000000</v>
      </c>
      <c r="AJ650" s="142">
        <f t="shared" si="269"/>
        <v>1114000000</v>
      </c>
      <c r="AK650" s="43">
        <v>102233333.33</v>
      </c>
      <c r="AL650" s="43">
        <v>173516666.66999999</v>
      </c>
      <c r="AM650" s="43">
        <v>173516666.66999999</v>
      </c>
      <c r="AN650" s="44">
        <v>0</v>
      </c>
      <c r="AO650" s="44">
        <v>0</v>
      </c>
      <c r="AP650" s="44">
        <v>0</v>
      </c>
      <c r="AQ650" s="44">
        <v>0</v>
      </c>
      <c r="AR650" s="44">
        <v>0</v>
      </c>
      <c r="AS650" s="44">
        <v>0</v>
      </c>
      <c r="AT650" s="135">
        <f t="shared" si="267"/>
        <v>0</v>
      </c>
      <c r="AU650" s="18">
        <f>AJ650-AM650</f>
        <v>940483333.33000004</v>
      </c>
      <c r="AV650" s="18">
        <f>AM650-AP650</f>
        <v>173516666.66999999</v>
      </c>
      <c r="AW650" s="34">
        <f>AP650-AT650</f>
        <v>0</v>
      </c>
      <c r="AX650" s="123">
        <f>AP650/AJ650</f>
        <v>0</v>
      </c>
    </row>
    <row r="651" spans="1:50" ht="17.2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219"/>
      <c r="AB651" s="220"/>
      <c r="AC651" s="168"/>
      <c r="AD651" s="43"/>
      <c r="AE651" s="43"/>
      <c r="AF651" s="44"/>
      <c r="AG651" s="44"/>
      <c r="AH651" s="44"/>
      <c r="AI651" s="44"/>
      <c r="AJ651" s="43"/>
      <c r="AK651" s="44"/>
      <c r="AL651" s="43"/>
      <c r="AM651" s="43"/>
      <c r="AN651" s="43"/>
      <c r="AO651" s="43"/>
      <c r="AP651" s="43"/>
      <c r="AQ651" s="114"/>
      <c r="AR651" s="114"/>
      <c r="AS651" s="114"/>
      <c r="AT651" s="111"/>
      <c r="AU651" s="18"/>
      <c r="AV651" s="110"/>
      <c r="AW651" s="18"/>
      <c r="AX651" s="123"/>
    </row>
    <row r="652" spans="1:50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170" t="s">
        <v>1016</v>
      </c>
      <c r="AB652" s="170" t="s">
        <v>1068</v>
      </c>
      <c r="AC652" s="168"/>
      <c r="AD652" s="43"/>
      <c r="AE652" s="43"/>
      <c r="AF652" s="44"/>
      <c r="AG652" s="44"/>
      <c r="AH652" s="44"/>
      <c r="AI652" s="44"/>
      <c r="AJ652" s="43"/>
      <c r="AK652" s="44"/>
      <c r="AL652" s="43"/>
      <c r="AM652" s="43"/>
      <c r="AN652" s="43"/>
      <c r="AO652" s="43"/>
      <c r="AP652" s="43"/>
      <c r="AQ652" s="114"/>
      <c r="AR652" s="114"/>
      <c r="AS652" s="114"/>
      <c r="AT652" s="111"/>
      <c r="AU652" s="18"/>
      <c r="AV652" s="110"/>
      <c r="AW652" s="18"/>
      <c r="AX652" s="123"/>
    </row>
    <row r="653" spans="1:50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170" t="s">
        <v>1017</v>
      </c>
      <c r="AB653" s="170" t="s">
        <v>1069</v>
      </c>
      <c r="AC653" s="168"/>
      <c r="AD653" s="43"/>
      <c r="AE653" s="43"/>
      <c r="AF653" s="44"/>
      <c r="AG653" s="44"/>
      <c r="AH653" s="44"/>
      <c r="AI653" s="44"/>
      <c r="AJ653" s="43"/>
      <c r="AK653" s="44"/>
      <c r="AL653" s="43"/>
      <c r="AM653" s="43"/>
      <c r="AN653" s="43"/>
      <c r="AO653" s="43"/>
      <c r="AP653" s="43"/>
      <c r="AQ653" s="114"/>
      <c r="AR653" s="114"/>
      <c r="AS653" s="114"/>
      <c r="AT653" s="111"/>
      <c r="AU653" s="18"/>
      <c r="AV653" s="110"/>
      <c r="AW653" s="18"/>
      <c r="AX653" s="123"/>
    </row>
    <row r="654" spans="1:50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170" t="s">
        <v>1018</v>
      </c>
      <c r="AB654" s="170" t="s">
        <v>286</v>
      </c>
      <c r="AC654" s="168"/>
      <c r="AD654" s="43"/>
      <c r="AE654" s="43"/>
      <c r="AF654" s="44"/>
      <c r="AG654" s="44"/>
      <c r="AH654" s="44"/>
      <c r="AI654" s="44"/>
      <c r="AJ654" s="43"/>
      <c r="AK654" s="44"/>
      <c r="AL654" s="43"/>
      <c r="AM654" s="43"/>
      <c r="AN654" s="43"/>
      <c r="AO654" s="43"/>
      <c r="AP654" s="43"/>
      <c r="AQ654" s="114"/>
      <c r="AR654" s="114"/>
      <c r="AS654" s="114"/>
      <c r="AT654" s="111"/>
      <c r="AU654" s="18"/>
      <c r="AV654" s="110"/>
      <c r="AW654" s="18"/>
      <c r="AX654" s="123"/>
    </row>
    <row r="655" spans="1:50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170" t="s">
        <v>1021</v>
      </c>
      <c r="AB655" s="165" t="s">
        <v>1070</v>
      </c>
      <c r="AC655" s="168"/>
      <c r="AD655" s="43"/>
      <c r="AE655" s="43"/>
      <c r="AF655" s="44"/>
      <c r="AG655" s="44"/>
      <c r="AH655" s="44"/>
      <c r="AI655" s="44"/>
      <c r="AJ655" s="43"/>
      <c r="AK655" s="44"/>
      <c r="AL655" s="43"/>
      <c r="AM655" s="43"/>
      <c r="AN655" s="43"/>
      <c r="AO655" s="43"/>
      <c r="AP655" s="43"/>
      <c r="AQ655" s="114"/>
      <c r="AR655" s="114"/>
      <c r="AS655" s="114"/>
      <c r="AT655" s="111"/>
      <c r="AU655" s="18"/>
      <c r="AV655" s="110"/>
      <c r="AW655" s="18"/>
      <c r="AX655" s="123"/>
    </row>
    <row r="656" spans="1:50" ht="25.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166" t="s">
        <v>1019</v>
      </c>
      <c r="AB656" s="167" t="s">
        <v>1005</v>
      </c>
      <c r="AC656" s="168"/>
      <c r="AD656" s="44">
        <v>0</v>
      </c>
      <c r="AE656" s="217">
        <v>7731979438.25</v>
      </c>
      <c r="AF656" s="216">
        <v>0</v>
      </c>
      <c r="AG656" s="44">
        <v>0</v>
      </c>
      <c r="AH656" s="44">
        <v>0</v>
      </c>
      <c r="AI656" s="43">
        <f t="shared" ref="AI656:AI662" si="270">AE656-AF656+AG656-AH656</f>
        <v>7731979438.25</v>
      </c>
      <c r="AJ656" s="43">
        <f t="shared" ref="AJ656:AJ662" si="271">AD656+AI656</f>
        <v>7731979438.25</v>
      </c>
      <c r="AK656" s="44">
        <v>0</v>
      </c>
      <c r="AL656" s="44">
        <v>0</v>
      </c>
      <c r="AM656" s="43">
        <v>3593372598.2800002</v>
      </c>
      <c r="AN656" s="44">
        <v>0</v>
      </c>
      <c r="AO656" s="44">
        <v>0</v>
      </c>
      <c r="AP656" s="43">
        <v>3593372598.2800002</v>
      </c>
      <c r="AQ656" s="114">
        <v>187438618.86000001</v>
      </c>
      <c r="AR656" s="114">
        <v>240245048.41999999</v>
      </c>
      <c r="AS656" s="114">
        <v>1359089846.49</v>
      </c>
      <c r="AT656" s="111">
        <f t="shared" ref="AT656:AT662" si="272">AQ656+AS656</f>
        <v>1546528465.3499999</v>
      </c>
      <c r="AU656" s="18">
        <f t="shared" ref="AU656:AU662" si="273">AJ656-AM656</f>
        <v>4138606839.9699998</v>
      </c>
      <c r="AV656" s="34">
        <f t="shared" ref="AV656:AV662" si="274">AM656-AP656</f>
        <v>0</v>
      </c>
      <c r="AW656" s="18">
        <f t="shared" ref="AW656:AW662" si="275">AP656-AT656</f>
        <v>2046844132.9300003</v>
      </c>
      <c r="AX656" s="123">
        <f t="shared" ref="AX656:AX662" si="276">AP656/AJ656</f>
        <v>0.46474161331878788</v>
      </c>
    </row>
    <row r="657" spans="1:50" ht="25.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166" t="s">
        <v>1056</v>
      </c>
      <c r="AB657" s="167" t="s">
        <v>1057</v>
      </c>
      <c r="AC657" s="168"/>
      <c r="AD657" s="44">
        <v>0</v>
      </c>
      <c r="AE657" s="217">
        <v>427067817.00999999</v>
      </c>
      <c r="AF657" s="216">
        <v>0</v>
      </c>
      <c r="AG657" s="44">
        <v>0</v>
      </c>
      <c r="AH657" s="44">
        <v>0</v>
      </c>
      <c r="AI657" s="43">
        <f t="shared" si="270"/>
        <v>427067817.00999999</v>
      </c>
      <c r="AJ657" s="43">
        <f t="shared" si="271"/>
        <v>427067817.00999999</v>
      </c>
      <c r="AK657" s="44">
        <v>0</v>
      </c>
      <c r="AL657" s="44">
        <v>0</v>
      </c>
      <c r="AM657" s="43">
        <v>427067817.00999999</v>
      </c>
      <c r="AN657" s="44">
        <v>0</v>
      </c>
      <c r="AO657" s="44">
        <v>0</v>
      </c>
      <c r="AP657" s="43">
        <v>427067817.00999999</v>
      </c>
      <c r="AQ657" s="115">
        <v>0</v>
      </c>
      <c r="AR657" s="44">
        <v>0</v>
      </c>
      <c r="AS657" s="43">
        <v>425039138.57999998</v>
      </c>
      <c r="AT657" s="39">
        <f t="shared" si="272"/>
        <v>425039138.57999998</v>
      </c>
      <c r="AU657" s="34">
        <f t="shared" si="273"/>
        <v>0</v>
      </c>
      <c r="AV657" s="34">
        <f t="shared" si="274"/>
        <v>0</v>
      </c>
      <c r="AW657" s="18">
        <f t="shared" si="275"/>
        <v>2028678.4300000072</v>
      </c>
      <c r="AX657" s="123">
        <f t="shared" si="276"/>
        <v>1</v>
      </c>
    </row>
    <row r="658" spans="1:50" ht="25.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166" t="s">
        <v>1060</v>
      </c>
      <c r="AB658" s="167" t="s">
        <v>1061</v>
      </c>
      <c r="AC658" s="168"/>
      <c r="AD658" s="44">
        <v>0</v>
      </c>
      <c r="AE658" s="217">
        <v>255374883.63</v>
      </c>
      <c r="AF658" s="216">
        <v>0</v>
      </c>
      <c r="AG658" s="44">
        <v>0</v>
      </c>
      <c r="AH658" s="44">
        <v>0</v>
      </c>
      <c r="AI658" s="43">
        <f>AE658-AF658+AG658-AH658</f>
        <v>255374883.63</v>
      </c>
      <c r="AJ658" s="43">
        <f>AD658+AI658</f>
        <v>255374883.63</v>
      </c>
      <c r="AK658" s="44">
        <v>0</v>
      </c>
      <c r="AL658" s="44">
        <v>0</v>
      </c>
      <c r="AM658" s="43">
        <v>255374883.63</v>
      </c>
      <c r="AN658" s="44">
        <v>0</v>
      </c>
      <c r="AO658" s="44">
        <v>0</v>
      </c>
      <c r="AP658" s="43">
        <v>255374883.63</v>
      </c>
      <c r="AQ658" s="115">
        <v>0</v>
      </c>
      <c r="AR658" s="44">
        <v>0</v>
      </c>
      <c r="AS658" s="43">
        <v>254437726.47999999</v>
      </c>
      <c r="AT658" s="39">
        <f>AQ658+AS658</f>
        <v>254437726.47999999</v>
      </c>
      <c r="AU658" s="34">
        <f t="shared" si="273"/>
        <v>0</v>
      </c>
      <c r="AV658" s="34">
        <f t="shared" si="274"/>
        <v>0</v>
      </c>
      <c r="AW658" s="18">
        <f t="shared" si="275"/>
        <v>937157.15000000596</v>
      </c>
      <c r="AX658" s="123">
        <f t="shared" si="276"/>
        <v>1</v>
      </c>
    </row>
    <row r="659" spans="1:50" ht="25.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166" t="s">
        <v>1058</v>
      </c>
      <c r="AB659" s="167" t="s">
        <v>1059</v>
      </c>
      <c r="AC659" s="168"/>
      <c r="AD659" s="44">
        <v>0</v>
      </c>
      <c r="AE659" s="217">
        <v>4369426346.8800001</v>
      </c>
      <c r="AF659" s="216">
        <v>0</v>
      </c>
      <c r="AG659" s="44">
        <v>0</v>
      </c>
      <c r="AH659" s="44">
        <v>0</v>
      </c>
      <c r="AI659" s="43">
        <f t="shared" si="270"/>
        <v>4369426346.8800001</v>
      </c>
      <c r="AJ659" s="43">
        <f t="shared" si="271"/>
        <v>4369426346.8800001</v>
      </c>
      <c r="AK659" s="44">
        <v>0</v>
      </c>
      <c r="AL659" s="44">
        <v>0</v>
      </c>
      <c r="AM659" s="43">
        <v>2654728677.5599999</v>
      </c>
      <c r="AN659" s="44">
        <v>0</v>
      </c>
      <c r="AO659" s="44">
        <v>0</v>
      </c>
      <c r="AP659" s="43">
        <v>2654728677.5599999</v>
      </c>
      <c r="AQ659" s="115">
        <v>0</v>
      </c>
      <c r="AR659" s="44">
        <v>0</v>
      </c>
      <c r="AS659" s="43">
        <v>1839708049.6400001</v>
      </c>
      <c r="AT659" s="39">
        <f t="shared" si="272"/>
        <v>1839708049.6400001</v>
      </c>
      <c r="AU659" s="18">
        <f t="shared" si="273"/>
        <v>1714697669.3200002</v>
      </c>
      <c r="AV659" s="34">
        <f t="shared" si="274"/>
        <v>0</v>
      </c>
      <c r="AW659" s="18">
        <f t="shared" si="275"/>
        <v>815020627.91999984</v>
      </c>
      <c r="AX659" s="123">
        <f t="shared" si="276"/>
        <v>0.60756915595009753</v>
      </c>
    </row>
    <row r="660" spans="1:50" ht="25.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166" t="s">
        <v>1062</v>
      </c>
      <c r="AB660" s="167" t="s">
        <v>1063</v>
      </c>
      <c r="AC660" s="168"/>
      <c r="AD660" s="44">
        <v>0</v>
      </c>
      <c r="AE660" s="217">
        <v>116816300</v>
      </c>
      <c r="AF660" s="216">
        <v>0</v>
      </c>
      <c r="AG660" s="44">
        <v>0</v>
      </c>
      <c r="AH660" s="44">
        <v>0</v>
      </c>
      <c r="AI660" s="43">
        <f t="shared" si="270"/>
        <v>116816300</v>
      </c>
      <c r="AJ660" s="43">
        <f t="shared" si="271"/>
        <v>116816300</v>
      </c>
      <c r="AK660" s="44">
        <v>0</v>
      </c>
      <c r="AL660" s="44">
        <v>0</v>
      </c>
      <c r="AM660" s="43">
        <v>0</v>
      </c>
      <c r="AN660" s="44">
        <v>0</v>
      </c>
      <c r="AO660" s="44">
        <v>0</v>
      </c>
      <c r="AP660" s="43">
        <v>0</v>
      </c>
      <c r="AQ660" s="115">
        <v>0</v>
      </c>
      <c r="AR660" s="44">
        <v>0</v>
      </c>
      <c r="AS660" s="44">
        <v>0</v>
      </c>
      <c r="AT660" s="40">
        <f t="shared" si="272"/>
        <v>0</v>
      </c>
      <c r="AU660" s="18">
        <f t="shared" si="273"/>
        <v>116816300</v>
      </c>
      <c r="AV660" s="34">
        <f t="shared" si="274"/>
        <v>0</v>
      </c>
      <c r="AW660" s="34">
        <f t="shared" si="275"/>
        <v>0</v>
      </c>
      <c r="AX660" s="123">
        <f t="shared" si="276"/>
        <v>0</v>
      </c>
    </row>
    <row r="661" spans="1:50" ht="25.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166" t="s">
        <v>1064</v>
      </c>
      <c r="AB661" s="167" t="s">
        <v>1065</v>
      </c>
      <c r="AC661" s="168"/>
      <c r="AD661" s="44">
        <v>0</v>
      </c>
      <c r="AE661" s="217">
        <v>122396604.84999999</v>
      </c>
      <c r="AF661" s="216">
        <v>0</v>
      </c>
      <c r="AG661" s="44">
        <v>0</v>
      </c>
      <c r="AH661" s="44">
        <v>0</v>
      </c>
      <c r="AI661" s="43">
        <f t="shared" si="270"/>
        <v>122396604.84999999</v>
      </c>
      <c r="AJ661" s="43">
        <f t="shared" si="271"/>
        <v>122396604.84999999</v>
      </c>
      <c r="AK661" s="44">
        <v>0</v>
      </c>
      <c r="AL661" s="44">
        <v>0</v>
      </c>
      <c r="AM661" s="43">
        <v>122396604.84999999</v>
      </c>
      <c r="AN661" s="44">
        <v>0</v>
      </c>
      <c r="AO661" s="44">
        <v>0</v>
      </c>
      <c r="AP661" s="43">
        <v>122396604.84999999</v>
      </c>
      <c r="AQ661" s="115">
        <v>0</v>
      </c>
      <c r="AR661" s="44">
        <v>0</v>
      </c>
      <c r="AS661" s="43">
        <v>122396604.84999999</v>
      </c>
      <c r="AT661" s="39">
        <f t="shared" si="272"/>
        <v>122396604.84999999</v>
      </c>
      <c r="AU661" s="18">
        <f t="shared" si="273"/>
        <v>0</v>
      </c>
      <c r="AV661" s="34">
        <f t="shared" si="274"/>
        <v>0</v>
      </c>
      <c r="AW661" s="34">
        <f t="shared" si="275"/>
        <v>0</v>
      </c>
      <c r="AX661" s="123">
        <f t="shared" si="276"/>
        <v>1</v>
      </c>
    </row>
    <row r="662" spans="1:50" ht="25.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166" t="s">
        <v>1066</v>
      </c>
      <c r="AB662" s="167" t="s">
        <v>1067</v>
      </c>
      <c r="AC662" s="168"/>
      <c r="AD662" s="44">
        <v>0</v>
      </c>
      <c r="AE662" s="217">
        <v>256369955.99000001</v>
      </c>
      <c r="AF662" s="216">
        <v>0</v>
      </c>
      <c r="AG662" s="44">
        <v>0</v>
      </c>
      <c r="AH662" s="44">
        <v>0</v>
      </c>
      <c r="AI662" s="43">
        <f t="shared" si="270"/>
        <v>256369955.99000001</v>
      </c>
      <c r="AJ662" s="43">
        <f t="shared" si="271"/>
        <v>256369955.99000001</v>
      </c>
      <c r="AK662" s="44">
        <v>0</v>
      </c>
      <c r="AL662" s="44">
        <v>0</v>
      </c>
      <c r="AM662" s="43">
        <v>232210009.36000001</v>
      </c>
      <c r="AN662" s="44">
        <v>0</v>
      </c>
      <c r="AO662" s="44">
        <v>0</v>
      </c>
      <c r="AP662" s="43">
        <v>232210009.36000001</v>
      </c>
      <c r="AQ662" s="115">
        <v>0</v>
      </c>
      <c r="AR662" s="44">
        <v>0</v>
      </c>
      <c r="AS662" s="43">
        <v>232210009.36000001</v>
      </c>
      <c r="AT662" s="39">
        <f t="shared" si="272"/>
        <v>232210009.36000001</v>
      </c>
      <c r="AU662" s="18">
        <f t="shared" si="273"/>
        <v>24159946.629999995</v>
      </c>
      <c r="AV662" s="34">
        <f t="shared" si="274"/>
        <v>0</v>
      </c>
      <c r="AW662" s="34">
        <f t="shared" si="275"/>
        <v>0</v>
      </c>
      <c r="AX662" s="123">
        <f t="shared" si="276"/>
        <v>0.90576139650723198</v>
      </c>
    </row>
    <row r="663" spans="1:50" ht="18.75" customHeight="1" x14ac:dyDescent="0.2">
      <c r="AA663" s="162"/>
      <c r="AB663" s="163" t="s">
        <v>199</v>
      </c>
      <c r="AC663" s="17"/>
      <c r="AD663" s="18"/>
      <c r="AE663" s="34"/>
      <c r="AF663" s="34"/>
      <c r="AG663" s="34"/>
      <c r="AH663" s="34"/>
      <c r="AI663" s="34"/>
      <c r="AJ663" s="18"/>
      <c r="AK663" s="18"/>
      <c r="AL663" s="18"/>
      <c r="AM663" s="18"/>
      <c r="AN663" s="18"/>
      <c r="AO663" s="18"/>
      <c r="AP663" s="18"/>
      <c r="AQ663" s="34"/>
      <c r="AR663" s="34"/>
      <c r="AS663" s="34"/>
      <c r="AT663" s="40"/>
      <c r="AU663" s="18"/>
      <c r="AV663" s="18"/>
      <c r="AW663" s="18"/>
      <c r="AX663" s="18"/>
    </row>
    <row r="664" spans="1:50" ht="18.75" customHeight="1" x14ac:dyDescent="0.2">
      <c r="AA664" s="28" t="s">
        <v>288</v>
      </c>
      <c r="AB664" s="29" t="s">
        <v>1079</v>
      </c>
      <c r="AC664" s="17"/>
      <c r="AD664" s="18"/>
      <c r="AE664" s="34"/>
      <c r="AF664" s="34"/>
      <c r="AG664" s="34"/>
      <c r="AH664" s="34"/>
      <c r="AI664" s="34"/>
      <c r="AJ664" s="18"/>
      <c r="AK664" s="18"/>
      <c r="AL664" s="18"/>
      <c r="AM664" s="18"/>
      <c r="AN664" s="18"/>
      <c r="AO664" s="18"/>
      <c r="AP664" s="18"/>
      <c r="AQ664" s="34"/>
      <c r="AR664" s="34"/>
      <c r="AS664" s="34"/>
      <c r="AT664" s="40"/>
      <c r="AU664" s="18"/>
      <c r="AV664" s="18"/>
      <c r="AW664" s="18"/>
      <c r="AX664" s="18"/>
    </row>
    <row r="665" spans="1:50" ht="18.75" customHeight="1" x14ac:dyDescent="0.2">
      <c r="A665" s="4" t="s">
        <v>55</v>
      </c>
      <c r="B665" s="4" t="s">
        <v>56</v>
      </c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1" t="s">
        <v>505</v>
      </c>
      <c r="AB665" s="42" t="s">
        <v>439</v>
      </c>
      <c r="AC665" s="43" t="s">
        <v>428</v>
      </c>
      <c r="AD665" s="43">
        <v>1896134100.8599999</v>
      </c>
      <c r="AE665" s="44">
        <v>0</v>
      </c>
      <c r="AF665" s="44">
        <v>0</v>
      </c>
      <c r="AG665" s="44">
        <v>0</v>
      </c>
      <c r="AH665" s="44">
        <v>0</v>
      </c>
      <c r="AI665" s="44">
        <v>0</v>
      </c>
      <c r="AJ665" s="43">
        <v>1896134100.8599999</v>
      </c>
      <c r="AK665" s="44">
        <v>0</v>
      </c>
      <c r="AL665" s="43">
        <v>0</v>
      </c>
      <c r="AM665" s="114">
        <v>1827225023</v>
      </c>
      <c r="AN665" s="44">
        <v>0</v>
      </c>
      <c r="AO665" s="44">
        <v>0</v>
      </c>
      <c r="AP665" s="43">
        <v>1827225023</v>
      </c>
      <c r="AQ665" s="44">
        <v>0</v>
      </c>
      <c r="AR665" s="43">
        <v>509542278.64999998</v>
      </c>
      <c r="AS665" s="43">
        <v>509542278.64999998</v>
      </c>
      <c r="AT665" s="39">
        <f>AQ665+AS665</f>
        <v>509542278.64999998</v>
      </c>
      <c r="AU665" s="18">
        <f>AJ665-AM665</f>
        <v>68909077.859999895</v>
      </c>
      <c r="AV665" s="133">
        <f>AM665-AP665</f>
        <v>0</v>
      </c>
      <c r="AW665" s="18">
        <f>AP665-AT665</f>
        <v>1317682744.3499999</v>
      </c>
      <c r="AX665" s="123">
        <f>AP665/AJ665</f>
        <v>0.96365812005134766</v>
      </c>
    </row>
    <row r="666" spans="1:50" ht="18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214" t="s">
        <v>1080</v>
      </c>
      <c r="AB666" s="215" t="s">
        <v>1074</v>
      </c>
      <c r="AC666" s="168"/>
      <c r="AD666" s="44">
        <v>0</v>
      </c>
      <c r="AE666" s="43">
        <v>100000000</v>
      </c>
      <c r="AF666" s="44">
        <v>0</v>
      </c>
      <c r="AG666" s="44">
        <v>0</v>
      </c>
      <c r="AH666" s="44">
        <v>0</v>
      </c>
      <c r="AI666" s="43">
        <f>AE666-AF666+AG666-AH666</f>
        <v>100000000</v>
      </c>
      <c r="AJ666" s="43">
        <f>AD666+AI666</f>
        <v>100000000</v>
      </c>
      <c r="AK666" s="44">
        <v>0</v>
      </c>
      <c r="AL666" s="115">
        <v>0</v>
      </c>
      <c r="AM666" s="115">
        <v>0</v>
      </c>
      <c r="AN666" s="44">
        <v>0</v>
      </c>
      <c r="AO666" s="44">
        <v>0</v>
      </c>
      <c r="AP666" s="44">
        <v>0</v>
      </c>
      <c r="AQ666" s="44">
        <v>0</v>
      </c>
      <c r="AR666" s="44">
        <v>0</v>
      </c>
      <c r="AS666" s="44">
        <v>0</v>
      </c>
      <c r="AT666" s="40">
        <f t="shared" ref="AT666" si="277">AQ666+AS666</f>
        <v>0</v>
      </c>
      <c r="AU666" s="18">
        <f>AJ666-AM666</f>
        <v>100000000</v>
      </c>
      <c r="AV666" s="34">
        <f>AM666-AP666</f>
        <v>0</v>
      </c>
      <c r="AW666" s="34">
        <f>AP666-AT666</f>
        <v>0</v>
      </c>
      <c r="AX666" s="123">
        <f>AP666/AJ666</f>
        <v>0</v>
      </c>
    </row>
    <row r="667" spans="1:50" ht="18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170" t="s">
        <v>288</v>
      </c>
      <c r="AB667" s="165" t="s">
        <v>1084</v>
      </c>
      <c r="AC667" s="168"/>
      <c r="AD667" s="44"/>
      <c r="AE667" s="43"/>
      <c r="AF667" s="44"/>
      <c r="AG667" s="44"/>
      <c r="AH667" s="44"/>
      <c r="AI667" s="44"/>
      <c r="AJ667" s="43"/>
      <c r="AK667" s="44"/>
      <c r="AL667" s="115"/>
      <c r="AM667" s="115"/>
      <c r="AN667" s="44"/>
      <c r="AO667" s="44"/>
      <c r="AP667" s="44"/>
      <c r="AQ667" s="44"/>
      <c r="AR667" s="44"/>
      <c r="AS667" s="44"/>
      <c r="AT667" s="40"/>
      <c r="AU667" s="18"/>
      <c r="AV667" s="133"/>
      <c r="AW667" s="34"/>
      <c r="AX667" s="123"/>
    </row>
    <row r="668" spans="1:50" ht="18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166" t="s">
        <v>1085</v>
      </c>
      <c r="AB668" s="167" t="s">
        <v>1074</v>
      </c>
      <c r="AC668" s="168"/>
      <c r="AD668" s="44">
        <v>0</v>
      </c>
      <c r="AE668" s="43">
        <v>3115350000</v>
      </c>
      <c r="AF668" s="44">
        <v>0</v>
      </c>
      <c r="AG668" s="44">
        <v>0</v>
      </c>
      <c r="AH668" s="43">
        <f>466710000+2648640000</f>
        <v>3115350000</v>
      </c>
      <c r="AI668" s="43">
        <f>AE668-AF668+AG668-AH668</f>
        <v>0</v>
      </c>
      <c r="AJ668" s="142">
        <f>AD668+AI668</f>
        <v>0</v>
      </c>
      <c r="AK668" s="44">
        <v>0</v>
      </c>
      <c r="AL668" s="115">
        <v>0</v>
      </c>
      <c r="AM668" s="115">
        <v>0</v>
      </c>
      <c r="AN668" s="44">
        <v>0</v>
      </c>
      <c r="AO668" s="44">
        <v>0</v>
      </c>
      <c r="AP668" s="44">
        <v>0</v>
      </c>
      <c r="AQ668" s="44">
        <v>0</v>
      </c>
      <c r="AR668" s="44">
        <v>0</v>
      </c>
      <c r="AS668" s="44">
        <v>0</v>
      </c>
      <c r="AT668" s="40">
        <f t="shared" ref="AT668" si="278">AQ668+AS668</f>
        <v>0</v>
      </c>
      <c r="AU668" s="18">
        <f>AJ668-AM668</f>
        <v>0</v>
      </c>
      <c r="AV668" s="34">
        <f>AM668-AP668</f>
        <v>0</v>
      </c>
      <c r="AW668" s="34">
        <f>AP668-AT668</f>
        <v>0</v>
      </c>
      <c r="AX668" s="123">
        <v>0</v>
      </c>
    </row>
    <row r="669" spans="1:50" ht="18.75" customHeight="1" x14ac:dyDescent="0.2">
      <c r="AA669" s="169" t="s">
        <v>288</v>
      </c>
      <c r="AB669" s="163" t="s">
        <v>506</v>
      </c>
      <c r="AC669" s="17"/>
      <c r="AD669" s="18"/>
      <c r="AE669" s="34"/>
      <c r="AF669" s="34"/>
      <c r="AG669" s="34"/>
      <c r="AH669" s="34"/>
      <c r="AI669" s="34"/>
      <c r="AJ669" s="18"/>
      <c r="AK669" s="34"/>
      <c r="AL669" s="133"/>
      <c r="AM669" s="110"/>
      <c r="AN669" s="34"/>
      <c r="AO669" s="34"/>
      <c r="AP669" s="34"/>
      <c r="AQ669" s="34"/>
      <c r="AR669" s="34"/>
      <c r="AS669" s="34"/>
      <c r="AT669" s="40"/>
      <c r="AU669" s="18"/>
      <c r="AV669" s="34"/>
      <c r="AW669" s="18"/>
      <c r="AX669" s="18"/>
    </row>
    <row r="670" spans="1:50" ht="18.75" customHeight="1" x14ac:dyDescent="0.2">
      <c r="A670" s="4" t="s">
        <v>55</v>
      </c>
      <c r="B670" s="4" t="s">
        <v>56</v>
      </c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1" t="s">
        <v>507</v>
      </c>
      <c r="AB670" s="42" t="s">
        <v>439</v>
      </c>
      <c r="AC670" s="43" t="s">
        <v>428</v>
      </c>
      <c r="AD670" s="43">
        <v>6191009183.8000002</v>
      </c>
      <c r="AE670" s="44">
        <v>0</v>
      </c>
      <c r="AF670" s="44">
        <v>0</v>
      </c>
      <c r="AG670" s="44">
        <v>0</v>
      </c>
      <c r="AH670" s="43">
        <f>4680084481.8+76000000+907367029.2</f>
        <v>5663451511</v>
      </c>
      <c r="AI670" s="43">
        <f>AE670-AF670+AG670-AH670</f>
        <v>-5663451511</v>
      </c>
      <c r="AJ670" s="43">
        <f>AD670+AI670</f>
        <v>527557672.80000019</v>
      </c>
      <c r="AK670" s="44">
        <v>0</v>
      </c>
      <c r="AL670" s="115">
        <f>AM670-JUNIO!AM651</f>
        <v>0</v>
      </c>
      <c r="AM670" s="114">
        <v>527557672.80000001</v>
      </c>
      <c r="AN670" s="44">
        <v>0</v>
      </c>
      <c r="AO670" s="44">
        <v>0</v>
      </c>
      <c r="AP670" s="114">
        <v>527557672.80000001</v>
      </c>
      <c r="AQ670" s="44">
        <v>0</v>
      </c>
      <c r="AR670" s="44">
        <v>0</v>
      </c>
      <c r="AS670" s="43">
        <v>527557672.80000001</v>
      </c>
      <c r="AT670" s="39">
        <f>AQ670+AS670</f>
        <v>527557672.80000001</v>
      </c>
      <c r="AU670" s="34">
        <f>AJ670-AM670</f>
        <v>0</v>
      </c>
      <c r="AV670" s="34">
        <f>AM670-AP670</f>
        <v>0</v>
      </c>
      <c r="AW670" s="34">
        <f>AP670-AT670</f>
        <v>0</v>
      </c>
      <c r="AX670" s="123">
        <f>AP670/AJ670</f>
        <v>0.99999999999999967</v>
      </c>
    </row>
    <row r="671" spans="1:50" ht="18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166" t="s">
        <v>1081</v>
      </c>
      <c r="AB671" s="167" t="s">
        <v>1074</v>
      </c>
      <c r="AC671" s="168"/>
      <c r="AD671" s="43">
        <v>0</v>
      </c>
      <c r="AE671" s="43">
        <v>12071695000</v>
      </c>
      <c r="AF671" s="44">
        <v>0</v>
      </c>
      <c r="AG671" s="43">
        <v>2648640000</v>
      </c>
      <c r="AH671" s="44">
        <v>0</v>
      </c>
      <c r="AI671" s="43">
        <f>AE671-AF671+AG671-AH671</f>
        <v>14720335000</v>
      </c>
      <c r="AJ671" s="142">
        <f>AD671+AI671</f>
        <v>14720335000</v>
      </c>
      <c r="AK671" s="44">
        <v>0</v>
      </c>
      <c r="AL671" s="115">
        <f>AM671-JUNIO!AM652</f>
        <v>0</v>
      </c>
      <c r="AM671" s="43">
        <v>9684383100.0699997</v>
      </c>
      <c r="AN671" s="44">
        <v>0</v>
      </c>
      <c r="AO671" s="43">
        <v>1574894516</v>
      </c>
      <c r="AP671" s="43">
        <v>1974894457.9300001</v>
      </c>
      <c r="AQ671" s="44">
        <v>0</v>
      </c>
      <c r="AR671" s="44">
        <v>35773054.100000001</v>
      </c>
      <c r="AS671" s="44">
        <v>267397099.02000001</v>
      </c>
      <c r="AT671" s="111">
        <f t="shared" ref="AT671" si="279">AQ671+AS671</f>
        <v>267397099.02000001</v>
      </c>
      <c r="AU671" s="18">
        <f>AJ671-AM671</f>
        <v>5035951899.9300003</v>
      </c>
      <c r="AV671" s="18">
        <f>AM671-AP671</f>
        <v>7709488642.1399994</v>
      </c>
      <c r="AW671" s="18">
        <f>AP671-AT671</f>
        <v>1707497358.9100001</v>
      </c>
      <c r="AX671" s="123">
        <f>AP671/AJ671</f>
        <v>0.13416097241876629</v>
      </c>
    </row>
    <row r="672" spans="1:50" ht="18.75" customHeight="1" x14ac:dyDescent="0.2">
      <c r="AA672" s="169" t="s">
        <v>288</v>
      </c>
      <c r="AB672" s="163" t="s">
        <v>508</v>
      </c>
      <c r="AC672" s="17"/>
      <c r="AD672" s="18"/>
      <c r="AE672" s="34"/>
      <c r="AF672" s="34"/>
      <c r="AG672" s="34"/>
      <c r="AH672" s="34"/>
      <c r="AI672" s="34"/>
      <c r="AJ672" s="18"/>
      <c r="AK672" s="34"/>
      <c r="AL672" s="34"/>
      <c r="AM672" s="34"/>
      <c r="AN672" s="34"/>
      <c r="AO672" s="34"/>
      <c r="AP672" s="34"/>
      <c r="AQ672" s="34"/>
      <c r="AR672" s="34"/>
      <c r="AS672" s="34"/>
      <c r="AT672" s="40"/>
      <c r="AU672" s="18"/>
      <c r="AV672" s="34"/>
      <c r="AW672" s="18"/>
      <c r="AX672" s="18"/>
    </row>
    <row r="673" spans="1:50" ht="18.75" customHeight="1" x14ac:dyDescent="0.2">
      <c r="A673" s="4" t="s">
        <v>55</v>
      </c>
      <c r="B673" s="4" t="s">
        <v>56</v>
      </c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1" t="s">
        <v>509</v>
      </c>
      <c r="AB673" s="42" t="s">
        <v>439</v>
      </c>
      <c r="AC673" s="43" t="s">
        <v>428</v>
      </c>
      <c r="AD673" s="43">
        <v>9340881185.3400002</v>
      </c>
      <c r="AE673" s="44">
        <v>0</v>
      </c>
      <c r="AF673" s="44">
        <v>0</v>
      </c>
      <c r="AG673" s="43">
        <f>4680084481.8+1126470266</f>
        <v>5806554747.8000002</v>
      </c>
      <c r="AH673" s="44">
        <v>0</v>
      </c>
      <c r="AI673" s="43">
        <f>AE673-AF673+AG673-AH673</f>
        <v>5806554747.8000002</v>
      </c>
      <c r="AJ673" s="43">
        <f>AD673+AI673</f>
        <v>15147435933.139999</v>
      </c>
      <c r="AK673" s="44">
        <v>0</v>
      </c>
      <c r="AL673" s="44">
        <v>0</v>
      </c>
      <c r="AM673" s="43">
        <v>14938402085.66</v>
      </c>
      <c r="AN673" s="44">
        <v>0</v>
      </c>
      <c r="AO673" s="44">
        <v>0</v>
      </c>
      <c r="AP673" s="44">
        <v>14766414723.66</v>
      </c>
      <c r="AQ673" s="44">
        <v>0</v>
      </c>
      <c r="AR673" s="44">
        <v>0</v>
      </c>
      <c r="AS673" s="44">
        <v>0</v>
      </c>
      <c r="AT673" s="40">
        <f t="shared" si="267"/>
        <v>0</v>
      </c>
      <c r="AU673" s="18">
        <f>AJ673-AM673</f>
        <v>209033847.47999954</v>
      </c>
      <c r="AV673" s="18">
        <f>AM673-AP673</f>
        <v>171987362</v>
      </c>
      <c r="AW673" s="18">
        <f>AP673-AT673</f>
        <v>14766414723.66</v>
      </c>
      <c r="AX673" s="123">
        <f>AP673/AJ673</f>
        <v>0.97484582795650643</v>
      </c>
    </row>
    <row r="674" spans="1:50" ht="18.75" customHeight="1" x14ac:dyDescent="0.2">
      <c r="A674" s="4" t="s">
        <v>55</v>
      </c>
      <c r="B674" s="4" t="s">
        <v>56</v>
      </c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1" t="s">
        <v>510</v>
      </c>
      <c r="AB674" s="42" t="s">
        <v>490</v>
      </c>
      <c r="AC674" s="43" t="s">
        <v>368</v>
      </c>
      <c r="AD674" s="43">
        <v>659690762</v>
      </c>
      <c r="AE674" s="44">
        <v>0</v>
      </c>
      <c r="AF674" s="44">
        <v>0</v>
      </c>
      <c r="AG674" s="44">
        <v>0</v>
      </c>
      <c r="AH674" s="44">
        <v>0</v>
      </c>
      <c r="AI674" s="44">
        <v>0</v>
      </c>
      <c r="AJ674" s="43">
        <v>659690762</v>
      </c>
      <c r="AK674" s="44">
        <v>0</v>
      </c>
      <c r="AL674" s="44">
        <v>0</v>
      </c>
      <c r="AM674" s="43">
        <v>659690762</v>
      </c>
      <c r="AN674" s="44">
        <v>0</v>
      </c>
      <c r="AO674" s="44">
        <v>0</v>
      </c>
      <c r="AP674" s="44">
        <v>0</v>
      </c>
      <c r="AQ674" s="44">
        <v>0</v>
      </c>
      <c r="AR674" s="44">
        <v>0</v>
      </c>
      <c r="AS674" s="44">
        <v>0</v>
      </c>
      <c r="AT674" s="40">
        <f t="shared" si="267"/>
        <v>0</v>
      </c>
      <c r="AU674" s="18">
        <f>AJ674-AM674</f>
        <v>0</v>
      </c>
      <c r="AV674" s="18">
        <f>AM674-AP674</f>
        <v>659690762</v>
      </c>
      <c r="AW674" s="34">
        <f>AP674-AT674</f>
        <v>0</v>
      </c>
      <c r="AX674" s="123">
        <f>AP674/AJ674</f>
        <v>0</v>
      </c>
    </row>
    <row r="675" spans="1:50" ht="18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166" t="s">
        <v>1086</v>
      </c>
      <c r="AB675" s="167" t="s">
        <v>1074</v>
      </c>
      <c r="AC675" s="168"/>
      <c r="AD675" s="44">
        <v>0</v>
      </c>
      <c r="AE675" s="43">
        <v>7500000000</v>
      </c>
      <c r="AF675" s="44">
        <v>0</v>
      </c>
      <c r="AG675" s="44">
        <v>0</v>
      </c>
      <c r="AH675" s="43">
        <v>500000000</v>
      </c>
      <c r="AI675" s="43">
        <f>AE675-AF675+AG675-AH675</f>
        <v>7000000000</v>
      </c>
      <c r="AJ675" s="43">
        <f>AD675+AI675</f>
        <v>7000000000</v>
      </c>
      <c r="AK675" s="44">
        <v>0</v>
      </c>
      <c r="AL675" s="44">
        <f>AM675-JUNIO!AM656</f>
        <v>0</v>
      </c>
      <c r="AM675" s="43">
        <v>2000000000</v>
      </c>
      <c r="AN675" s="43">
        <v>0</v>
      </c>
      <c r="AO675" s="43">
        <v>1986726816</v>
      </c>
      <c r="AP675" s="43">
        <v>1998289237</v>
      </c>
      <c r="AQ675" s="44">
        <v>0</v>
      </c>
      <c r="AR675" s="44">
        <v>0</v>
      </c>
      <c r="AS675" s="44">
        <v>0</v>
      </c>
      <c r="AT675" s="135">
        <f t="shared" si="267"/>
        <v>0</v>
      </c>
      <c r="AU675" s="18">
        <f>AJ675-AM675</f>
        <v>5000000000</v>
      </c>
      <c r="AV675" s="18">
        <f>AM675-AP675</f>
        <v>1710763</v>
      </c>
      <c r="AW675" s="18">
        <f>AP675-AT675</f>
        <v>1998289237</v>
      </c>
      <c r="AX675" s="123">
        <f>AP675/AJ675</f>
        <v>0.28546989099999998</v>
      </c>
    </row>
    <row r="676" spans="1:50" ht="18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171" t="s">
        <v>288</v>
      </c>
      <c r="AB676" s="213" t="s">
        <v>1082</v>
      </c>
      <c r="AC676" s="168"/>
      <c r="AD676" s="44"/>
      <c r="AE676" s="44"/>
      <c r="AF676" s="44"/>
      <c r="AG676" s="44"/>
      <c r="AH676" s="44"/>
      <c r="AI676" s="44"/>
      <c r="AJ676" s="43"/>
      <c r="AK676" s="44"/>
      <c r="AL676" s="44"/>
      <c r="AM676" s="44"/>
      <c r="AN676" s="44"/>
      <c r="AO676" s="44"/>
      <c r="AP676" s="44"/>
      <c r="AQ676" s="44"/>
      <c r="AR676" s="44"/>
      <c r="AS676" s="44"/>
      <c r="AT676" s="40"/>
      <c r="AU676" s="18"/>
      <c r="AV676" s="34"/>
      <c r="AW676" s="34"/>
      <c r="AX676" s="123"/>
    </row>
    <row r="677" spans="1:50" ht="18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166" t="s">
        <v>1083</v>
      </c>
      <c r="AB677" s="167" t="s">
        <v>1074</v>
      </c>
      <c r="AC677" s="168"/>
      <c r="AD677" s="44">
        <v>0</v>
      </c>
      <c r="AE677" s="43">
        <v>926394000</v>
      </c>
      <c r="AF677" s="44">
        <v>0</v>
      </c>
      <c r="AG677" s="43">
        <f>1886000000+466710000</f>
        <v>2352710000</v>
      </c>
      <c r="AH677" s="44">
        <v>0</v>
      </c>
      <c r="AI677" s="43">
        <f>AE677-AF677+AG677-AH677</f>
        <v>3279104000</v>
      </c>
      <c r="AJ677" s="43">
        <f>AD677+AI677</f>
        <v>3279104000</v>
      </c>
      <c r="AK677" s="44">
        <v>0</v>
      </c>
      <c r="AL677" s="44">
        <v>0</v>
      </c>
      <c r="AM677" s="43">
        <v>3011575283</v>
      </c>
      <c r="AN677" s="43">
        <v>1285713038</v>
      </c>
      <c r="AO677" s="44">
        <v>0</v>
      </c>
      <c r="AP677" s="44">
        <v>0</v>
      </c>
      <c r="AQ677" s="44">
        <v>0</v>
      </c>
      <c r="AR677" s="44">
        <v>0</v>
      </c>
      <c r="AS677" s="44">
        <v>0</v>
      </c>
      <c r="AT677" s="135">
        <f t="shared" ref="AT677:AT678" si="280">AQ677+AS677</f>
        <v>0</v>
      </c>
      <c r="AU677" s="18">
        <f>AJ677-AM677</f>
        <v>267528717</v>
      </c>
      <c r="AV677" s="18">
        <f>AM677-AP677</f>
        <v>3011575283</v>
      </c>
      <c r="AW677" s="34">
        <f>AP677-AT677</f>
        <v>0</v>
      </c>
      <c r="AX677" s="123">
        <f>AP677/AJ677</f>
        <v>0</v>
      </c>
    </row>
    <row r="678" spans="1:50" ht="18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229" t="s">
        <v>1261</v>
      </c>
      <c r="AB678" s="230" t="s">
        <v>490</v>
      </c>
      <c r="AC678" s="168"/>
      <c r="AD678" s="44">
        <v>0</v>
      </c>
      <c r="AE678" s="43">
        <v>0</v>
      </c>
      <c r="AF678" s="44">
        <v>0</v>
      </c>
      <c r="AG678" s="43">
        <v>53364831</v>
      </c>
      <c r="AH678" s="44">
        <v>0</v>
      </c>
      <c r="AI678" s="43">
        <f>AE678-AF678+AG678-AH678</f>
        <v>53364831</v>
      </c>
      <c r="AJ678" s="43">
        <f>AD678+AI678</f>
        <v>53364831</v>
      </c>
      <c r="AK678" s="44">
        <v>0</v>
      </c>
      <c r="AL678" s="44">
        <v>0</v>
      </c>
      <c r="AM678" s="43">
        <v>53364831</v>
      </c>
      <c r="AN678" s="44">
        <v>0</v>
      </c>
      <c r="AO678" s="44">
        <v>0</v>
      </c>
      <c r="AP678" s="44">
        <v>0</v>
      </c>
      <c r="AQ678" s="44">
        <v>0</v>
      </c>
      <c r="AR678" s="44">
        <v>0</v>
      </c>
      <c r="AS678" s="44">
        <v>0</v>
      </c>
      <c r="AT678" s="135">
        <f t="shared" si="280"/>
        <v>0</v>
      </c>
      <c r="AU678" s="34">
        <f>AJ678-AM678</f>
        <v>0</v>
      </c>
      <c r="AV678" s="18">
        <f>AM678-AP678</f>
        <v>53364831</v>
      </c>
      <c r="AW678" s="34">
        <f>AP678-AT678</f>
        <v>0</v>
      </c>
      <c r="AX678" s="123">
        <f>AP678/AJ678</f>
        <v>0</v>
      </c>
    </row>
    <row r="679" spans="1:50" ht="18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206"/>
      <c r="AB679" s="207"/>
      <c r="AC679" s="43"/>
      <c r="AD679" s="44"/>
      <c r="AE679" s="44"/>
      <c r="AF679" s="44"/>
      <c r="AG679" s="44"/>
      <c r="AH679" s="44"/>
      <c r="AI679" s="44"/>
      <c r="AJ679" s="43"/>
      <c r="AK679" s="44"/>
      <c r="AL679" s="44"/>
      <c r="AM679" s="44"/>
      <c r="AN679" s="44"/>
      <c r="AO679" s="44"/>
      <c r="AP679" s="44"/>
      <c r="AQ679" s="44"/>
      <c r="AR679" s="44"/>
      <c r="AS679" s="44"/>
      <c r="AT679" s="40"/>
      <c r="AU679" s="34"/>
      <c r="AV679" s="34"/>
      <c r="AW679" s="34"/>
      <c r="AX679" s="123"/>
    </row>
    <row r="680" spans="1:50" ht="24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73" t="s">
        <v>288</v>
      </c>
      <c r="AB680" s="74" t="s">
        <v>197</v>
      </c>
      <c r="AC680" s="43"/>
      <c r="AD680" s="44"/>
      <c r="AE680" s="44"/>
      <c r="AF680" s="44"/>
      <c r="AG680" s="44"/>
      <c r="AH680" s="44"/>
      <c r="AI680" s="44"/>
      <c r="AJ680" s="43"/>
      <c r="AK680" s="44"/>
      <c r="AL680" s="44"/>
      <c r="AM680" s="44"/>
      <c r="AN680" s="44"/>
      <c r="AO680" s="44"/>
      <c r="AP680" s="44"/>
      <c r="AQ680" s="44"/>
      <c r="AR680" s="44"/>
      <c r="AS680" s="44"/>
      <c r="AT680" s="40"/>
      <c r="AU680" s="34"/>
      <c r="AV680" s="34"/>
      <c r="AW680" s="34"/>
      <c r="AX680" s="123"/>
    </row>
    <row r="681" spans="1:50" ht="18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159" t="s">
        <v>967</v>
      </c>
      <c r="AB681" s="42" t="s">
        <v>439</v>
      </c>
      <c r="AC681" s="43"/>
      <c r="AD681" s="44">
        <v>0</v>
      </c>
      <c r="AE681" s="44">
        <v>0</v>
      </c>
      <c r="AF681" s="44">
        <v>0</v>
      </c>
      <c r="AG681" s="43">
        <v>76000000</v>
      </c>
      <c r="AH681" s="44">
        <v>0</v>
      </c>
      <c r="AI681" s="43">
        <f>AE681-AF681+AG681-AH681</f>
        <v>76000000</v>
      </c>
      <c r="AJ681" s="43">
        <f>AD681+AI681</f>
        <v>76000000</v>
      </c>
      <c r="AK681" s="44">
        <v>0</v>
      </c>
      <c r="AL681" s="44">
        <v>0</v>
      </c>
      <c r="AM681" s="43">
        <v>76000000</v>
      </c>
      <c r="AN681" s="44">
        <v>0</v>
      </c>
      <c r="AO681" s="44">
        <v>0</v>
      </c>
      <c r="AP681" s="44">
        <v>0</v>
      </c>
      <c r="AQ681" s="44">
        <v>0</v>
      </c>
      <c r="AR681" s="44">
        <v>0</v>
      </c>
      <c r="AS681" s="44">
        <v>0</v>
      </c>
      <c r="AT681" s="40">
        <f t="shared" ref="AT681" si="281">AQ681+AS681</f>
        <v>0</v>
      </c>
      <c r="AU681" s="34">
        <f>AJ681-AM681</f>
        <v>0</v>
      </c>
      <c r="AV681" s="18">
        <f>AM681-AP681</f>
        <v>76000000</v>
      </c>
      <c r="AW681" s="34">
        <f>AP681-AT681</f>
        <v>0</v>
      </c>
      <c r="AX681" s="123">
        <f>AP681/AJ681</f>
        <v>0</v>
      </c>
    </row>
    <row r="682" spans="1:50" ht="25.5" x14ac:dyDescent="0.2">
      <c r="AA682" s="16"/>
      <c r="AB682" s="29" t="s">
        <v>511</v>
      </c>
      <c r="AC682" s="17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34"/>
      <c r="AR682" s="34"/>
      <c r="AS682" s="34"/>
      <c r="AT682" s="40"/>
      <c r="AU682" s="18"/>
      <c r="AV682" s="18"/>
      <c r="AW682" s="18"/>
      <c r="AX682" s="18"/>
    </row>
    <row r="683" spans="1:50" ht="18.75" customHeight="1" x14ac:dyDescent="0.2">
      <c r="AA683" s="16"/>
      <c r="AB683" s="29" t="s">
        <v>285</v>
      </c>
      <c r="AC683" s="17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30"/>
      <c r="AU683" s="18"/>
      <c r="AV683" s="18"/>
      <c r="AW683" s="18"/>
      <c r="AX683" s="18"/>
    </row>
    <row r="684" spans="1:50" ht="18.75" customHeight="1" x14ac:dyDescent="0.2">
      <c r="AA684" s="16"/>
      <c r="AB684" s="29" t="s">
        <v>286</v>
      </c>
      <c r="AC684" s="17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30"/>
      <c r="AU684" s="18"/>
      <c r="AV684" s="18"/>
      <c r="AW684" s="18"/>
      <c r="AX684" s="18"/>
    </row>
    <row r="685" spans="1:50" ht="18.75" customHeight="1" x14ac:dyDescent="0.2">
      <c r="AA685" s="16"/>
      <c r="AB685" s="29" t="s">
        <v>179</v>
      </c>
      <c r="AC685" s="17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30"/>
      <c r="AU685" s="18"/>
      <c r="AV685" s="18"/>
      <c r="AW685" s="18"/>
      <c r="AX685" s="18"/>
    </row>
    <row r="686" spans="1:50" ht="18.75" customHeight="1" x14ac:dyDescent="0.2">
      <c r="AA686" s="16"/>
      <c r="AB686" s="29" t="s">
        <v>189</v>
      </c>
      <c r="AC686" s="17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30"/>
      <c r="AU686" s="18"/>
      <c r="AV686" s="18"/>
      <c r="AW686" s="18"/>
      <c r="AX686" s="18"/>
    </row>
    <row r="687" spans="1:50" ht="18.75" customHeight="1" x14ac:dyDescent="0.2">
      <c r="AA687" s="16"/>
      <c r="AB687" s="29" t="s">
        <v>199</v>
      </c>
      <c r="AC687" s="17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30"/>
      <c r="AU687" s="18"/>
      <c r="AV687" s="18"/>
      <c r="AW687" s="18"/>
      <c r="AX687" s="18"/>
    </row>
    <row r="688" spans="1:50" ht="25.5" x14ac:dyDescent="0.2">
      <c r="AA688" s="28" t="s">
        <v>288</v>
      </c>
      <c r="AB688" s="29" t="s">
        <v>512</v>
      </c>
      <c r="AC688" s="17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30"/>
      <c r="AU688" s="18"/>
      <c r="AV688" s="18"/>
      <c r="AW688" s="18"/>
      <c r="AX688" s="18"/>
    </row>
    <row r="689" spans="1:50" ht="18.75" customHeight="1" x14ac:dyDescent="0.2">
      <c r="A689" s="4" t="s">
        <v>55</v>
      </c>
      <c r="B689" s="4" t="s">
        <v>56</v>
      </c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1" t="s">
        <v>513</v>
      </c>
      <c r="AB689" s="42" t="s">
        <v>233</v>
      </c>
      <c r="AC689" s="43" t="s">
        <v>58</v>
      </c>
      <c r="AD689" s="43">
        <v>331060322</v>
      </c>
      <c r="AE689" s="44">
        <v>0</v>
      </c>
      <c r="AF689" s="44">
        <v>0</v>
      </c>
      <c r="AG689" s="44">
        <v>0</v>
      </c>
      <c r="AH689" s="44">
        <v>0</v>
      </c>
      <c r="AI689" s="44">
        <v>0</v>
      </c>
      <c r="AJ689" s="43">
        <v>331060322</v>
      </c>
      <c r="AK689" s="44">
        <v>0</v>
      </c>
      <c r="AL689" s="43">
        <v>326730531</v>
      </c>
      <c r="AM689" s="43">
        <v>326730531</v>
      </c>
      <c r="AN689" s="44">
        <v>0</v>
      </c>
      <c r="AO689" s="44">
        <v>326730531</v>
      </c>
      <c r="AP689" s="44">
        <v>326730531</v>
      </c>
      <c r="AQ689" s="34">
        <v>0</v>
      </c>
      <c r="AR689" s="34">
        <v>326730531</v>
      </c>
      <c r="AS689" s="34">
        <v>326730531</v>
      </c>
      <c r="AT689" s="40">
        <f t="shared" ref="AT689:AT693" si="282">AQ689+AS689</f>
        <v>326730531</v>
      </c>
      <c r="AU689" s="18">
        <f>AJ689-AM689</f>
        <v>4329791</v>
      </c>
      <c r="AV689" s="34">
        <f>AM689-AP689</f>
        <v>0</v>
      </c>
      <c r="AW689" s="34">
        <f>AP689-AT689</f>
        <v>0</v>
      </c>
      <c r="AX689" s="123">
        <f>AP689/AJ689</f>
        <v>0.98692144388115466</v>
      </c>
    </row>
    <row r="690" spans="1:50" ht="18.75" customHeight="1" x14ac:dyDescent="0.2">
      <c r="A690" s="4" t="s">
        <v>55</v>
      </c>
      <c r="B690" s="4" t="s">
        <v>56</v>
      </c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1" t="s">
        <v>514</v>
      </c>
      <c r="AB690" s="42" t="s">
        <v>515</v>
      </c>
      <c r="AC690" s="43" t="s">
        <v>516</v>
      </c>
      <c r="AD690" s="43">
        <v>6887333116</v>
      </c>
      <c r="AE690" s="44">
        <v>0</v>
      </c>
      <c r="AF690" s="44">
        <v>0</v>
      </c>
      <c r="AG690" s="44">
        <v>0</v>
      </c>
      <c r="AH690" s="44">
        <v>0</v>
      </c>
      <c r="AI690" s="44">
        <v>0</v>
      </c>
      <c r="AJ690" s="43">
        <v>6887333116</v>
      </c>
      <c r="AK690" s="115">
        <v>646616873</v>
      </c>
      <c r="AL690" s="43">
        <v>268000000</v>
      </c>
      <c r="AM690" s="43">
        <v>4377543028</v>
      </c>
      <c r="AN690" s="114">
        <v>0</v>
      </c>
      <c r="AO690" s="114">
        <v>268000000</v>
      </c>
      <c r="AP690" s="114">
        <v>4377543028</v>
      </c>
      <c r="AQ690" s="18">
        <v>268000000</v>
      </c>
      <c r="AR690" s="110">
        <v>0</v>
      </c>
      <c r="AS690" s="110">
        <v>4109543028</v>
      </c>
      <c r="AT690" s="39">
        <f t="shared" si="282"/>
        <v>4377543028</v>
      </c>
      <c r="AU690" s="18">
        <f>AJ690-AM690</f>
        <v>2509790088</v>
      </c>
      <c r="AV690" s="34">
        <f>AM690-AP690</f>
        <v>0</v>
      </c>
      <c r="AW690" s="18">
        <f>AP690-AT690</f>
        <v>0</v>
      </c>
      <c r="AX690" s="123">
        <f>AP690/AJ690</f>
        <v>0.63559333551480279</v>
      </c>
    </row>
    <row r="691" spans="1:50" x14ac:dyDescent="0.2">
      <c r="A691" s="4" t="s">
        <v>55</v>
      </c>
      <c r="B691" s="4" t="s">
        <v>56</v>
      </c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1" t="s">
        <v>517</v>
      </c>
      <c r="AB691" s="42" t="s">
        <v>518</v>
      </c>
      <c r="AC691" s="43" t="s">
        <v>428</v>
      </c>
      <c r="AD691" s="43">
        <v>263626220</v>
      </c>
      <c r="AE691" s="44">
        <v>0</v>
      </c>
      <c r="AF691" s="44">
        <v>0</v>
      </c>
      <c r="AG691" s="44">
        <v>0</v>
      </c>
      <c r="AH691" s="44">
        <v>0</v>
      </c>
      <c r="AI691" s="44">
        <v>0</v>
      </c>
      <c r="AJ691" s="43">
        <v>263626220</v>
      </c>
      <c r="AK691" s="44">
        <v>0</v>
      </c>
      <c r="AL691" s="44">
        <v>0</v>
      </c>
      <c r="AM691" s="44">
        <v>0</v>
      </c>
      <c r="AN691" s="44">
        <v>0</v>
      </c>
      <c r="AO691" s="44">
        <v>0</v>
      </c>
      <c r="AP691" s="44">
        <v>0</v>
      </c>
      <c r="AQ691" s="34">
        <v>0</v>
      </c>
      <c r="AR691" s="34">
        <v>0</v>
      </c>
      <c r="AS691" s="34">
        <v>0</v>
      </c>
      <c r="AT691" s="40">
        <f t="shared" si="282"/>
        <v>0</v>
      </c>
      <c r="AU691" s="18">
        <f>AJ691-AM691</f>
        <v>263626220</v>
      </c>
      <c r="AV691" s="34">
        <f>AM691-AP691</f>
        <v>0</v>
      </c>
      <c r="AW691" s="34">
        <f>AP691-AT691</f>
        <v>0</v>
      </c>
      <c r="AX691" s="123">
        <f>AP691/AJ691</f>
        <v>0</v>
      </c>
    </row>
    <row r="692" spans="1:50" ht="25.5" x14ac:dyDescent="0.2">
      <c r="A692" s="4" t="s">
        <v>55</v>
      </c>
      <c r="B692" s="4" t="s">
        <v>56</v>
      </c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1" t="s">
        <v>519</v>
      </c>
      <c r="AB692" s="42" t="s">
        <v>520</v>
      </c>
      <c r="AC692" s="43" t="s">
        <v>368</v>
      </c>
      <c r="AD692" s="43">
        <v>6200094.4000000004</v>
      </c>
      <c r="AE692" s="44">
        <v>0</v>
      </c>
      <c r="AF692" s="44">
        <v>0</v>
      </c>
      <c r="AG692" s="44">
        <v>0</v>
      </c>
      <c r="AH692" s="44">
        <v>0</v>
      </c>
      <c r="AI692" s="44">
        <v>0</v>
      </c>
      <c r="AJ692" s="43">
        <v>6200094.4000000004</v>
      </c>
      <c r="AK692" s="44">
        <v>0</v>
      </c>
      <c r="AL692" s="44">
        <v>0</v>
      </c>
      <c r="AM692" s="44">
        <v>0</v>
      </c>
      <c r="AN692" s="44">
        <v>0</v>
      </c>
      <c r="AO692" s="44">
        <v>0</v>
      </c>
      <c r="AP692" s="44">
        <v>0</v>
      </c>
      <c r="AQ692" s="34">
        <v>0</v>
      </c>
      <c r="AR692" s="34">
        <v>0</v>
      </c>
      <c r="AS692" s="34">
        <v>0</v>
      </c>
      <c r="AT692" s="40">
        <f t="shared" si="282"/>
        <v>0</v>
      </c>
      <c r="AU692" s="18">
        <f>AJ692-AM692</f>
        <v>6200094.4000000004</v>
      </c>
      <c r="AV692" s="34">
        <f>AM692-AP692</f>
        <v>0</v>
      </c>
      <c r="AW692" s="34">
        <f>AP692-AT692</f>
        <v>0</v>
      </c>
      <c r="AX692" s="123">
        <f>AP692/AJ692</f>
        <v>0</v>
      </c>
    </row>
    <row r="693" spans="1:50" ht="25.5" x14ac:dyDescent="0.2">
      <c r="A693" s="4" t="s">
        <v>55</v>
      </c>
      <c r="B693" s="4" t="s">
        <v>56</v>
      </c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1" t="s">
        <v>521</v>
      </c>
      <c r="AB693" s="42" t="s">
        <v>522</v>
      </c>
      <c r="AC693" s="43" t="s">
        <v>368</v>
      </c>
      <c r="AD693" s="43">
        <v>112310609.13</v>
      </c>
      <c r="AE693" s="44">
        <v>0</v>
      </c>
      <c r="AF693" s="44">
        <v>0</v>
      </c>
      <c r="AG693" s="44">
        <v>0</v>
      </c>
      <c r="AH693" s="44">
        <v>0</v>
      </c>
      <c r="AI693" s="44">
        <v>0</v>
      </c>
      <c r="AJ693" s="43">
        <v>112310609.13</v>
      </c>
      <c r="AK693" s="44">
        <v>0</v>
      </c>
      <c r="AL693" s="44">
        <v>0</v>
      </c>
      <c r="AM693" s="44">
        <v>0</v>
      </c>
      <c r="AN693" s="44">
        <v>0</v>
      </c>
      <c r="AO693" s="44">
        <v>0</v>
      </c>
      <c r="AP693" s="44">
        <v>0</v>
      </c>
      <c r="AQ693" s="34">
        <v>0</v>
      </c>
      <c r="AR693" s="34">
        <v>0</v>
      </c>
      <c r="AS693" s="34">
        <v>0</v>
      </c>
      <c r="AT693" s="40">
        <f t="shared" si="282"/>
        <v>0</v>
      </c>
      <c r="AU693" s="18">
        <f>AJ693-AM693</f>
        <v>112310609.13</v>
      </c>
      <c r="AV693" s="34">
        <f>AM693-AP693</f>
        <v>0</v>
      </c>
      <c r="AW693" s="34">
        <f>AP693-AT693</f>
        <v>0</v>
      </c>
      <c r="AX693" s="123">
        <f>AP693/AJ693</f>
        <v>0</v>
      </c>
    </row>
    <row r="694" spans="1:50" ht="18.75" customHeight="1" x14ac:dyDescent="0.2">
      <c r="AA694" s="16"/>
      <c r="AB694" s="17"/>
      <c r="AC694" s="17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34"/>
      <c r="AR694" s="34"/>
      <c r="AS694" s="34"/>
      <c r="AT694" s="40"/>
      <c r="AU694" s="18"/>
      <c r="AV694" s="18"/>
      <c r="AW694" s="18"/>
      <c r="AX694" s="18"/>
    </row>
    <row r="695" spans="1:50" ht="18.75" customHeight="1" x14ac:dyDescent="0.2">
      <c r="AA695" s="16"/>
      <c r="AB695" s="29" t="s">
        <v>523</v>
      </c>
      <c r="AC695" s="17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34"/>
      <c r="AR695" s="34"/>
      <c r="AS695" s="34"/>
      <c r="AT695" s="40"/>
      <c r="AU695" s="18"/>
      <c r="AV695" s="18"/>
      <c r="AW695" s="18"/>
      <c r="AX695" s="18"/>
    </row>
    <row r="696" spans="1:50" ht="18.75" customHeight="1" x14ac:dyDescent="0.2">
      <c r="AA696" s="16"/>
      <c r="AB696" s="29" t="s">
        <v>285</v>
      </c>
      <c r="AC696" s="17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34"/>
      <c r="AR696" s="34"/>
      <c r="AS696" s="34"/>
      <c r="AT696" s="40"/>
      <c r="AU696" s="18"/>
      <c r="AV696" s="18"/>
      <c r="AW696" s="18"/>
      <c r="AX696" s="18"/>
    </row>
    <row r="697" spans="1:50" ht="18.75" customHeight="1" x14ac:dyDescent="0.2">
      <c r="AA697" s="16"/>
      <c r="AB697" s="29" t="s">
        <v>286</v>
      </c>
      <c r="AC697" s="17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34"/>
      <c r="AR697" s="34"/>
      <c r="AS697" s="34"/>
      <c r="AT697" s="40"/>
      <c r="AU697" s="18"/>
      <c r="AV697" s="18"/>
      <c r="AW697" s="18"/>
      <c r="AX697" s="18"/>
    </row>
    <row r="698" spans="1:50" ht="18.75" customHeight="1" x14ac:dyDescent="0.2">
      <c r="AA698" s="16"/>
      <c r="AB698" s="29" t="s">
        <v>179</v>
      </c>
      <c r="AC698" s="17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34"/>
      <c r="AR698" s="34"/>
      <c r="AS698" s="34"/>
      <c r="AT698" s="40"/>
      <c r="AU698" s="18"/>
      <c r="AV698" s="18"/>
      <c r="AW698" s="18"/>
      <c r="AX698" s="18"/>
    </row>
    <row r="699" spans="1:50" ht="18.75" customHeight="1" x14ac:dyDescent="0.2">
      <c r="AA699" s="16"/>
      <c r="AB699" s="29" t="s">
        <v>189</v>
      </c>
      <c r="AC699" s="17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34"/>
      <c r="AR699" s="34"/>
      <c r="AS699" s="34"/>
      <c r="AT699" s="40"/>
      <c r="AU699" s="18"/>
      <c r="AV699" s="18"/>
      <c r="AW699" s="18"/>
      <c r="AX699" s="18"/>
    </row>
    <row r="700" spans="1:50" ht="18.75" customHeight="1" x14ac:dyDescent="0.2">
      <c r="AA700" s="16"/>
      <c r="AB700" s="29" t="s">
        <v>191</v>
      </c>
      <c r="AC700" s="17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34"/>
      <c r="AR700" s="34"/>
      <c r="AS700" s="34"/>
      <c r="AT700" s="40"/>
      <c r="AU700" s="18"/>
      <c r="AV700" s="18"/>
      <c r="AW700" s="18"/>
      <c r="AX700" s="18"/>
    </row>
    <row r="701" spans="1:50" ht="18.75" customHeight="1" x14ac:dyDescent="0.2">
      <c r="AA701" s="28" t="s">
        <v>288</v>
      </c>
      <c r="AB701" s="29" t="s">
        <v>459</v>
      </c>
      <c r="AC701" s="17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34"/>
      <c r="AR701" s="34"/>
      <c r="AS701" s="34"/>
      <c r="AT701" s="40"/>
      <c r="AU701" s="18"/>
      <c r="AV701" s="18"/>
      <c r="AW701" s="18"/>
      <c r="AX701" s="18"/>
    </row>
    <row r="702" spans="1:50" ht="25.5" x14ac:dyDescent="0.2">
      <c r="A702" s="4" t="s">
        <v>55</v>
      </c>
      <c r="B702" s="4" t="s">
        <v>56</v>
      </c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1" t="s">
        <v>524</v>
      </c>
      <c r="AB702" s="42" t="s">
        <v>525</v>
      </c>
      <c r="AC702" s="43" t="s">
        <v>428</v>
      </c>
      <c r="AD702" s="43">
        <v>47990790</v>
      </c>
      <c r="AE702" s="44">
        <v>0</v>
      </c>
      <c r="AF702" s="44">
        <v>0</v>
      </c>
      <c r="AG702" s="44">
        <v>0</v>
      </c>
      <c r="AH702" s="44">
        <v>0</v>
      </c>
      <c r="AI702" s="44">
        <v>0</v>
      </c>
      <c r="AJ702" s="43">
        <v>47990790</v>
      </c>
      <c r="AK702" s="44">
        <v>0</v>
      </c>
      <c r="AL702" s="44">
        <v>0</v>
      </c>
      <c r="AM702" s="44">
        <v>0</v>
      </c>
      <c r="AN702" s="44">
        <v>0</v>
      </c>
      <c r="AO702" s="44">
        <v>0</v>
      </c>
      <c r="AP702" s="44">
        <v>0</v>
      </c>
      <c r="AQ702" s="34">
        <v>0</v>
      </c>
      <c r="AR702" s="34">
        <v>0</v>
      </c>
      <c r="AS702" s="34">
        <v>0</v>
      </c>
      <c r="AT702" s="40">
        <f t="shared" ref="AT702:AT704" si="283">AQ702+AS702</f>
        <v>0</v>
      </c>
      <c r="AU702" s="18">
        <f>AJ702-AM702</f>
        <v>47990790</v>
      </c>
      <c r="AV702" s="34">
        <f>AM702-AP702</f>
        <v>0</v>
      </c>
      <c r="AW702" s="34">
        <f>AP702-AT702</f>
        <v>0</v>
      </c>
      <c r="AX702" s="123">
        <f>AP702/AJ702</f>
        <v>0</v>
      </c>
    </row>
    <row r="703" spans="1:50" ht="25.5" x14ac:dyDescent="0.2">
      <c r="A703" s="4" t="s">
        <v>55</v>
      </c>
      <c r="B703" s="4" t="s">
        <v>56</v>
      </c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1" t="s">
        <v>526</v>
      </c>
      <c r="AB703" s="42" t="s">
        <v>527</v>
      </c>
      <c r="AC703" s="43" t="s">
        <v>428</v>
      </c>
      <c r="AD703" s="43">
        <v>1098509998.8599999</v>
      </c>
      <c r="AE703" s="44">
        <v>0</v>
      </c>
      <c r="AF703" s="44">
        <v>0</v>
      </c>
      <c r="AG703" s="44">
        <v>0</v>
      </c>
      <c r="AH703" s="44">
        <v>0</v>
      </c>
      <c r="AI703" s="44">
        <v>0</v>
      </c>
      <c r="AJ703" s="43">
        <v>1098509998.8599999</v>
      </c>
      <c r="AK703" s="44">
        <v>0</v>
      </c>
      <c r="AL703" s="44">
        <v>0</v>
      </c>
      <c r="AM703" s="44">
        <v>0</v>
      </c>
      <c r="AN703" s="44">
        <v>0</v>
      </c>
      <c r="AO703" s="44">
        <v>0</v>
      </c>
      <c r="AP703" s="44">
        <v>0</v>
      </c>
      <c r="AQ703" s="34">
        <v>0</v>
      </c>
      <c r="AR703" s="34">
        <v>0</v>
      </c>
      <c r="AS703" s="34">
        <v>0</v>
      </c>
      <c r="AT703" s="40">
        <f t="shared" si="283"/>
        <v>0</v>
      </c>
      <c r="AU703" s="18">
        <f>AJ703-AM703</f>
        <v>1098509998.8599999</v>
      </c>
      <c r="AV703" s="34">
        <f>AM703-AP703</f>
        <v>0</v>
      </c>
      <c r="AW703" s="34">
        <f>AP703-AT703</f>
        <v>0</v>
      </c>
      <c r="AX703" s="123">
        <f>AP703/AJ703</f>
        <v>0</v>
      </c>
    </row>
    <row r="704" spans="1:50" ht="25.5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173" t="s">
        <v>1071</v>
      </c>
      <c r="AB704" s="218" t="s">
        <v>1072</v>
      </c>
      <c r="AC704" s="43"/>
      <c r="AD704" s="44">
        <v>0</v>
      </c>
      <c r="AE704" s="43">
        <v>1788940976.47</v>
      </c>
      <c r="AF704" s="44">
        <v>0</v>
      </c>
      <c r="AG704" s="44">
        <v>0</v>
      </c>
      <c r="AH704" s="44">
        <v>0</v>
      </c>
      <c r="AI704" s="43">
        <f>AE704-AF704+AG704-AH704</f>
        <v>1788940976.47</v>
      </c>
      <c r="AJ704" s="43">
        <f>AD704+AI704</f>
        <v>1788940976.47</v>
      </c>
      <c r="AK704" s="44">
        <v>0</v>
      </c>
      <c r="AL704" s="43">
        <v>0</v>
      </c>
      <c r="AM704" s="43">
        <v>1070473875.92</v>
      </c>
      <c r="AN704" s="44">
        <v>0</v>
      </c>
      <c r="AO704" s="43">
        <v>0</v>
      </c>
      <c r="AP704" s="43">
        <v>1070473875.92</v>
      </c>
      <c r="AQ704" s="34">
        <v>0</v>
      </c>
      <c r="AR704" s="18">
        <v>342179932.19</v>
      </c>
      <c r="AS704" s="18">
        <v>342179932.19</v>
      </c>
      <c r="AT704" s="39">
        <f t="shared" si="283"/>
        <v>342179932.19</v>
      </c>
      <c r="AU704" s="18">
        <f>AJ704-AM704</f>
        <v>718467100.55000007</v>
      </c>
      <c r="AV704" s="34">
        <f>AM704-AP704</f>
        <v>0</v>
      </c>
      <c r="AW704" s="18">
        <f>AP704-AT704</f>
        <v>728293943.73000002</v>
      </c>
      <c r="AX704" s="123">
        <f>AP704/AJ704</f>
        <v>0.59838412222648951</v>
      </c>
    </row>
    <row r="705" spans="2:50" x14ac:dyDescent="0.2">
      <c r="AA705" s="16"/>
      <c r="AB705" s="17"/>
      <c r="AC705" s="17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30"/>
      <c r="AU705" s="18"/>
      <c r="AV705" s="18"/>
      <c r="AW705" s="18"/>
      <c r="AX705" s="18"/>
    </row>
    <row r="706" spans="2:50" s="50" customFormat="1" ht="18.75" customHeight="1" x14ac:dyDescent="0.2"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46"/>
      <c r="AB706" s="47" t="s">
        <v>528</v>
      </c>
      <c r="AC706" s="47"/>
      <c r="AD706" s="48">
        <f t="shared" ref="AD706:AW706" si="284">SUM(AD530:AD704)</f>
        <v>94071374538</v>
      </c>
      <c r="AE706" s="48">
        <f t="shared" si="284"/>
        <v>159147230628.87003</v>
      </c>
      <c r="AF706" s="49">
        <f t="shared" si="284"/>
        <v>0</v>
      </c>
      <c r="AG706" s="48">
        <f>SUM(AG530:AG704)</f>
        <v>70668194966.75</v>
      </c>
      <c r="AH706" s="48">
        <f t="shared" si="284"/>
        <v>62919548411.750008</v>
      </c>
      <c r="AI706" s="48">
        <f t="shared" si="284"/>
        <v>166895877183.87</v>
      </c>
      <c r="AJ706" s="48">
        <f t="shared" si="284"/>
        <v>260967251721.87</v>
      </c>
      <c r="AK706" s="48">
        <f t="shared" si="284"/>
        <v>765350206.33000004</v>
      </c>
      <c r="AL706" s="48">
        <f t="shared" si="284"/>
        <v>13718406428.050003</v>
      </c>
      <c r="AM706" s="48">
        <f t="shared" si="284"/>
        <v>134911919501.56999</v>
      </c>
      <c r="AN706" s="48">
        <f t="shared" si="284"/>
        <v>1510128254.6700001</v>
      </c>
      <c r="AO706" s="48">
        <f t="shared" si="284"/>
        <v>18947034714.32</v>
      </c>
      <c r="AP706" s="48">
        <f t="shared" si="284"/>
        <v>112944116037.99998</v>
      </c>
      <c r="AQ706" s="48">
        <f t="shared" si="284"/>
        <v>1100375784.7800002</v>
      </c>
      <c r="AR706" s="48">
        <f t="shared" si="284"/>
        <v>12138763868.050001</v>
      </c>
      <c r="AS706" s="48">
        <f t="shared" si="284"/>
        <v>35272410954.779999</v>
      </c>
      <c r="AT706" s="48">
        <f t="shared" si="284"/>
        <v>36372786739.559998</v>
      </c>
      <c r="AU706" s="48">
        <f t="shared" si="284"/>
        <v>126055332220.30003</v>
      </c>
      <c r="AV706" s="48">
        <f t="shared" si="284"/>
        <v>21967803463.57</v>
      </c>
      <c r="AW706" s="48">
        <f t="shared" si="284"/>
        <v>76571329298.440002</v>
      </c>
      <c r="AX706" s="24">
        <f>AP706/AJ706</f>
        <v>0.43279037999132541</v>
      </c>
    </row>
    <row r="707" spans="2:50" ht="18.75" customHeight="1" x14ac:dyDescent="0.2">
      <c r="AA707" s="16"/>
      <c r="AB707" s="17"/>
      <c r="AC707" s="17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</row>
    <row r="708" spans="2:50" s="25" customFormat="1" ht="18.75" customHeight="1" x14ac:dyDescent="0.2"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66"/>
      <c r="AB708" s="21" t="s">
        <v>529</v>
      </c>
      <c r="AC708" s="67"/>
      <c r="AD708" s="63"/>
      <c r="AE708" s="63"/>
      <c r="AF708" s="63"/>
      <c r="AG708" s="63"/>
      <c r="AH708" s="63"/>
      <c r="AI708" s="63"/>
      <c r="AJ708" s="63"/>
      <c r="AK708" s="63"/>
      <c r="AL708" s="63"/>
      <c r="AM708" s="63"/>
      <c r="AN708" s="63"/>
      <c r="AO708" s="63"/>
      <c r="AP708" s="63"/>
      <c r="AQ708" s="63"/>
      <c r="AR708" s="63"/>
      <c r="AS708" s="63"/>
      <c r="AT708" s="63"/>
      <c r="AU708" s="63"/>
      <c r="AV708" s="63"/>
      <c r="AW708" s="63"/>
      <c r="AX708" s="63"/>
    </row>
    <row r="709" spans="2:50" ht="18.75" customHeight="1" x14ac:dyDescent="0.2">
      <c r="AA709" s="16"/>
      <c r="AB709" s="29" t="s">
        <v>286</v>
      </c>
      <c r="AC709" s="17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</row>
    <row r="710" spans="2:50" ht="18.75" customHeight="1" x14ac:dyDescent="0.2">
      <c r="AA710" s="41" t="s">
        <v>1219</v>
      </c>
      <c r="AB710" s="29" t="s">
        <v>575</v>
      </c>
      <c r="AC710" s="17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</row>
    <row r="711" spans="2:50" ht="18.75" customHeight="1" x14ac:dyDescent="0.2">
      <c r="AA711" s="73" t="s">
        <v>288</v>
      </c>
      <c r="AB711" s="29" t="s">
        <v>1220</v>
      </c>
      <c r="AC711" s="17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</row>
    <row r="712" spans="2:50" ht="18.75" customHeight="1" x14ac:dyDescent="0.2">
      <c r="AA712" s="41" t="s">
        <v>1221</v>
      </c>
      <c r="AB712" s="38" t="s">
        <v>961</v>
      </c>
      <c r="AC712" s="17"/>
      <c r="AD712" s="34">
        <v>0</v>
      </c>
      <c r="AE712" s="34">
        <v>0</v>
      </c>
      <c r="AF712" s="34">
        <v>0</v>
      </c>
      <c r="AG712" s="18">
        <v>374200000</v>
      </c>
      <c r="AH712" s="34">
        <v>0</v>
      </c>
      <c r="AI712" s="43">
        <f>AE712-AF712+AG712-AH712</f>
        <v>374200000</v>
      </c>
      <c r="AJ712" s="43">
        <f>AD712+AI712</f>
        <v>374200000</v>
      </c>
      <c r="AK712" s="18">
        <v>0</v>
      </c>
      <c r="AL712" s="18">
        <f>AM712-JULIO!AM700</f>
        <v>11237851</v>
      </c>
      <c r="AM712" s="18">
        <v>151660808.72999999</v>
      </c>
      <c r="AN712" s="18">
        <v>0</v>
      </c>
      <c r="AO712" s="34">
        <v>0</v>
      </c>
      <c r="AP712" s="34">
        <v>0</v>
      </c>
      <c r="AQ712" s="34">
        <v>0</v>
      </c>
      <c r="AR712" s="34">
        <v>0</v>
      </c>
      <c r="AS712" s="34">
        <v>0</v>
      </c>
      <c r="AT712" s="40">
        <f t="shared" ref="AT712" si="285">AQ712+AS712</f>
        <v>0</v>
      </c>
      <c r="AU712" s="18">
        <f>AJ712-AM712</f>
        <v>222539191.27000001</v>
      </c>
      <c r="AV712" s="18">
        <f>AM712-AP712</f>
        <v>151660808.72999999</v>
      </c>
      <c r="AW712" s="34">
        <f>AP712-AT712</f>
        <v>0</v>
      </c>
      <c r="AX712" s="123">
        <f>AP712/AJ712</f>
        <v>0</v>
      </c>
    </row>
    <row r="713" spans="2:50" ht="18.75" customHeight="1" x14ac:dyDescent="0.2">
      <c r="AA713" s="73" t="s">
        <v>288</v>
      </c>
      <c r="AB713" s="29" t="s">
        <v>1306</v>
      </c>
      <c r="AC713" s="17"/>
      <c r="AD713" s="34"/>
      <c r="AE713" s="34"/>
      <c r="AF713" s="34"/>
      <c r="AG713" s="18"/>
      <c r="AH713" s="34"/>
      <c r="AI713" s="43"/>
      <c r="AJ713" s="43"/>
      <c r="AK713" s="18"/>
      <c r="AL713" s="18"/>
      <c r="AM713" s="18"/>
      <c r="AN713" s="18"/>
      <c r="AO713" s="18"/>
      <c r="AP713" s="18"/>
      <c r="AQ713" s="18"/>
      <c r="AR713" s="18"/>
      <c r="AS713" s="18"/>
      <c r="AT713" s="40"/>
      <c r="AU713" s="18"/>
      <c r="AV713" s="34"/>
      <c r="AW713" s="34"/>
      <c r="AX713" s="123"/>
    </row>
    <row r="714" spans="2:50" ht="18.75" customHeight="1" x14ac:dyDescent="0.2">
      <c r="AA714" s="41" t="s">
        <v>1307</v>
      </c>
      <c r="AB714" s="251" t="s">
        <v>1015</v>
      </c>
      <c r="AC714" s="17"/>
      <c r="AD714" s="34">
        <v>0</v>
      </c>
      <c r="AE714" s="34">
        <v>0</v>
      </c>
      <c r="AF714" s="34">
        <v>0</v>
      </c>
      <c r="AG714" s="18">
        <v>204000000</v>
      </c>
      <c r="AH714" s="34">
        <v>0</v>
      </c>
      <c r="AI714" s="43">
        <f>AE714-AF714+AG714-AH714</f>
        <v>204000000</v>
      </c>
      <c r="AJ714" s="43">
        <f>AD714+AI714</f>
        <v>204000000</v>
      </c>
      <c r="AK714" s="34">
        <v>0</v>
      </c>
      <c r="AL714" s="34">
        <v>0</v>
      </c>
      <c r="AM714" s="34">
        <v>0</v>
      </c>
      <c r="AN714" s="34">
        <v>0</v>
      </c>
      <c r="AO714" s="34">
        <v>0</v>
      </c>
      <c r="AP714" s="34">
        <v>0</v>
      </c>
      <c r="AQ714" s="34">
        <v>0</v>
      </c>
      <c r="AR714" s="34">
        <v>0</v>
      </c>
      <c r="AS714" s="34">
        <v>0</v>
      </c>
      <c r="AT714" s="40">
        <f t="shared" ref="AT714" si="286">AQ714+AS714</f>
        <v>0</v>
      </c>
      <c r="AU714" s="18">
        <f>AJ714-AM714</f>
        <v>204000000</v>
      </c>
      <c r="AV714" s="34">
        <f>AM714-AP714</f>
        <v>0</v>
      </c>
      <c r="AW714" s="34">
        <f>AP714-AT714</f>
        <v>0</v>
      </c>
      <c r="AX714" s="123">
        <f>AP714/AJ714</f>
        <v>0</v>
      </c>
    </row>
    <row r="715" spans="2:50" ht="30" customHeight="1" x14ac:dyDescent="0.2">
      <c r="AA715" s="73" t="s">
        <v>288</v>
      </c>
      <c r="AB715" s="29" t="s">
        <v>531</v>
      </c>
      <c r="AC715" s="17"/>
      <c r="AD715" s="34"/>
      <c r="AE715" s="34"/>
      <c r="AF715" s="34"/>
      <c r="AG715" s="18"/>
      <c r="AH715" s="34"/>
      <c r="AI715" s="43"/>
      <c r="AJ715" s="43"/>
      <c r="AK715" s="34"/>
      <c r="AL715" s="34"/>
      <c r="AM715" s="34"/>
      <c r="AN715" s="34"/>
      <c r="AO715" s="34"/>
      <c r="AP715" s="34"/>
      <c r="AQ715" s="34"/>
      <c r="AR715" s="34"/>
      <c r="AS715" s="34"/>
      <c r="AT715" s="40"/>
      <c r="AU715" s="18"/>
      <c r="AV715" s="34"/>
      <c r="AW715" s="34"/>
      <c r="AX715" s="123"/>
    </row>
    <row r="716" spans="2:50" ht="18.75" customHeight="1" x14ac:dyDescent="0.2">
      <c r="AA716" s="41" t="s">
        <v>1325</v>
      </c>
      <c r="AB716" s="251" t="s">
        <v>233</v>
      </c>
      <c r="AC716" s="17"/>
      <c r="AD716" s="34"/>
      <c r="AE716" s="34">
        <v>0</v>
      </c>
      <c r="AF716" s="34">
        <v>0</v>
      </c>
      <c r="AG716" s="18">
        <v>60000000</v>
      </c>
      <c r="AH716" s="34">
        <v>0</v>
      </c>
      <c r="AI716" s="43">
        <f>AE716-AF716+AG716-AH716</f>
        <v>60000000</v>
      </c>
      <c r="AJ716" s="43">
        <f>AD716+AI716</f>
        <v>60000000</v>
      </c>
      <c r="AK716" s="34">
        <v>0</v>
      </c>
      <c r="AL716" s="34">
        <v>0</v>
      </c>
      <c r="AM716" s="34">
        <v>0</v>
      </c>
      <c r="AN716" s="34">
        <v>0</v>
      </c>
      <c r="AO716" s="34">
        <v>0</v>
      </c>
      <c r="AP716" s="34">
        <v>0</v>
      </c>
      <c r="AQ716" s="34">
        <v>0</v>
      </c>
      <c r="AR716" s="34">
        <v>0</v>
      </c>
      <c r="AS716" s="34">
        <v>0</v>
      </c>
      <c r="AT716" s="40">
        <f t="shared" ref="AT716" si="287">AQ716+AS716</f>
        <v>0</v>
      </c>
      <c r="AU716" s="18">
        <f>AJ716-AM716</f>
        <v>60000000</v>
      </c>
      <c r="AV716" s="34">
        <f>AM716-AP716</f>
        <v>0</v>
      </c>
      <c r="AW716" s="34">
        <f>AP716-AT716</f>
        <v>0</v>
      </c>
      <c r="AX716" s="123">
        <f>AP716/AJ716</f>
        <v>0</v>
      </c>
    </row>
    <row r="717" spans="2:50" ht="27" customHeight="1" x14ac:dyDescent="0.2">
      <c r="AA717" s="41"/>
      <c r="AB717" s="29" t="s">
        <v>1248</v>
      </c>
      <c r="AC717" s="17"/>
      <c r="AD717" s="34"/>
      <c r="AE717" s="34"/>
      <c r="AF717" s="34"/>
      <c r="AG717" s="18"/>
      <c r="AH717" s="34"/>
      <c r="AI717" s="43"/>
      <c r="AJ717" s="43"/>
      <c r="AK717" s="34"/>
      <c r="AL717" s="34"/>
      <c r="AM717" s="34"/>
      <c r="AN717" s="34"/>
      <c r="AO717" s="34"/>
      <c r="AP717" s="34"/>
      <c r="AQ717" s="34"/>
      <c r="AR717" s="34"/>
      <c r="AS717" s="34"/>
      <c r="AT717" s="40"/>
      <c r="AU717" s="18"/>
      <c r="AV717" s="34"/>
      <c r="AW717" s="34"/>
      <c r="AX717" s="123"/>
    </row>
    <row r="718" spans="2:50" ht="18.75" customHeight="1" x14ac:dyDescent="0.2">
      <c r="AA718" s="41" t="s">
        <v>1308</v>
      </c>
      <c r="AB718" s="38" t="s">
        <v>1015</v>
      </c>
      <c r="AC718" s="17"/>
      <c r="AD718" s="34">
        <v>0</v>
      </c>
      <c r="AE718" s="34">
        <v>0</v>
      </c>
      <c r="AF718" s="34">
        <v>0</v>
      </c>
      <c r="AG718" s="18">
        <v>212000000</v>
      </c>
      <c r="AH718" s="34">
        <v>0</v>
      </c>
      <c r="AI718" s="43">
        <f>AE718-AF718+AG718-AH718</f>
        <v>212000000</v>
      </c>
      <c r="AJ718" s="43">
        <f>AD718+AI718</f>
        <v>212000000</v>
      </c>
      <c r="AK718" s="34">
        <v>0</v>
      </c>
      <c r="AL718" s="34">
        <v>0</v>
      </c>
      <c r="AM718" s="34">
        <v>0</v>
      </c>
      <c r="AN718" s="34">
        <v>0</v>
      </c>
      <c r="AO718" s="34">
        <v>0</v>
      </c>
      <c r="AP718" s="34">
        <v>0</v>
      </c>
      <c r="AQ718" s="34">
        <v>0</v>
      </c>
      <c r="AR718" s="34">
        <v>0</v>
      </c>
      <c r="AS718" s="34">
        <v>0</v>
      </c>
      <c r="AT718" s="40">
        <f t="shared" ref="AT718" si="288">AQ718+AS718</f>
        <v>0</v>
      </c>
      <c r="AU718" s="18">
        <f>AJ718-AM718</f>
        <v>212000000</v>
      </c>
      <c r="AV718" s="34">
        <f>AM718-AP718</f>
        <v>0</v>
      </c>
      <c r="AW718" s="34">
        <f>AP718-AT718</f>
        <v>0</v>
      </c>
      <c r="AX718" s="123">
        <f>AP718/AJ718</f>
        <v>0</v>
      </c>
    </row>
    <row r="719" spans="2:50" ht="18.75" customHeight="1" x14ac:dyDescent="0.2">
      <c r="AA719" s="16"/>
      <c r="AB719" s="29" t="s">
        <v>179</v>
      </c>
      <c r="AC719" s="17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</row>
    <row r="720" spans="2:50" ht="18.75" customHeight="1" x14ac:dyDescent="0.2">
      <c r="AA720" s="16"/>
      <c r="AB720" s="29" t="s">
        <v>181</v>
      </c>
      <c r="AC720" s="17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</row>
    <row r="721" spans="1:50" x14ac:dyDescent="0.2">
      <c r="AA721" s="16"/>
      <c r="AB721" s="29" t="s">
        <v>530</v>
      </c>
      <c r="AC721" s="17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30"/>
      <c r="AU721" s="18"/>
      <c r="AV721" s="18"/>
      <c r="AW721" s="18"/>
      <c r="AX721" s="18"/>
    </row>
    <row r="722" spans="1:50" ht="25.5" x14ac:dyDescent="0.2">
      <c r="AA722" s="28" t="s">
        <v>288</v>
      </c>
      <c r="AB722" s="29" t="s">
        <v>531</v>
      </c>
      <c r="AC722" s="17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30"/>
      <c r="AU722" s="18"/>
      <c r="AV722" s="18"/>
      <c r="AW722" s="18"/>
      <c r="AX722" s="18"/>
    </row>
    <row r="723" spans="1:50" x14ac:dyDescent="0.2">
      <c r="A723" s="4" t="s">
        <v>55</v>
      </c>
      <c r="B723" s="4" t="s">
        <v>56</v>
      </c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1" t="s">
        <v>532</v>
      </c>
      <c r="AB723" s="42" t="s">
        <v>233</v>
      </c>
      <c r="AC723" s="43" t="s">
        <v>58</v>
      </c>
      <c r="AD723" s="43">
        <v>40000000.659999996</v>
      </c>
      <c r="AE723" s="44">
        <v>0</v>
      </c>
      <c r="AF723" s="44">
        <v>0</v>
      </c>
      <c r="AG723" s="43">
        <v>250000000</v>
      </c>
      <c r="AH723" s="43">
        <v>70000000</v>
      </c>
      <c r="AI723" s="43">
        <f>AE723-AF723+AG723-AH723</f>
        <v>180000000</v>
      </c>
      <c r="AJ723" s="43">
        <f>AD723+AI723</f>
        <v>220000000.66</v>
      </c>
      <c r="AK723" s="44">
        <v>0</v>
      </c>
      <c r="AL723" s="43">
        <f>AM723-JULIO!AM705</f>
        <v>-12767877</v>
      </c>
      <c r="AM723" s="43">
        <v>179537520</v>
      </c>
      <c r="AN723" s="44">
        <v>0</v>
      </c>
      <c r="AO723" s="43">
        <v>123737520</v>
      </c>
      <c r="AP723" s="43">
        <v>179537520</v>
      </c>
      <c r="AQ723" s="34">
        <v>0</v>
      </c>
      <c r="AR723" s="34">
        <v>0</v>
      </c>
      <c r="AS723" s="34">
        <v>0</v>
      </c>
      <c r="AT723" s="40">
        <f t="shared" ref="AT723:AT725" si="289">AQ723+AS723</f>
        <v>0</v>
      </c>
      <c r="AU723" s="18">
        <f>AJ723-AM723</f>
        <v>40462480.659999996</v>
      </c>
      <c r="AV723" s="18">
        <f>AM723-AP723</f>
        <v>0</v>
      </c>
      <c r="AW723" s="18">
        <f>AP723-AT723</f>
        <v>179537520</v>
      </c>
      <c r="AX723" s="123">
        <f>AP723/AJ723</f>
        <v>0.81607963391539751</v>
      </c>
    </row>
    <row r="724" spans="1:50" ht="25.5" x14ac:dyDescent="0.2">
      <c r="AA724" s="28" t="s">
        <v>288</v>
      </c>
      <c r="AB724" s="29" t="s">
        <v>533</v>
      </c>
      <c r="AC724" s="17"/>
      <c r="AD724" s="18"/>
      <c r="AE724" s="34"/>
      <c r="AF724" s="34"/>
      <c r="AG724" s="34"/>
      <c r="AH724" s="34"/>
      <c r="AI724" s="34"/>
      <c r="AJ724" s="18"/>
      <c r="AK724" s="18"/>
      <c r="AL724" s="18"/>
      <c r="AM724" s="18"/>
      <c r="AN724" s="18"/>
      <c r="AO724" s="18"/>
      <c r="AP724" s="18"/>
      <c r="AQ724" s="34"/>
      <c r="AR724" s="34"/>
      <c r="AS724" s="34"/>
      <c r="AT724" s="40"/>
      <c r="AU724" s="18"/>
      <c r="AV724" s="18"/>
      <c r="AW724" s="18"/>
      <c r="AX724" s="123"/>
    </row>
    <row r="725" spans="1:50" x14ac:dyDescent="0.2">
      <c r="A725" s="4" t="s">
        <v>55</v>
      </c>
      <c r="B725" s="4" t="s">
        <v>56</v>
      </c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1" t="s">
        <v>534</v>
      </c>
      <c r="AB725" s="42" t="s">
        <v>233</v>
      </c>
      <c r="AC725" s="43" t="s">
        <v>58</v>
      </c>
      <c r="AD725" s="43">
        <v>100000000</v>
      </c>
      <c r="AE725" s="44">
        <v>0</v>
      </c>
      <c r="AF725" s="44">
        <v>0</v>
      </c>
      <c r="AG725" s="44">
        <v>0</v>
      </c>
      <c r="AH725" s="44">
        <v>0</v>
      </c>
      <c r="AI725" s="44">
        <v>0</v>
      </c>
      <c r="AJ725" s="43">
        <v>100000000</v>
      </c>
      <c r="AK725" s="44">
        <v>0</v>
      </c>
      <c r="AL725" s="44">
        <v>0</v>
      </c>
      <c r="AM725" s="43">
        <v>47672742</v>
      </c>
      <c r="AN725" s="44">
        <v>0</v>
      </c>
      <c r="AO725" s="43">
        <v>0</v>
      </c>
      <c r="AP725" s="43">
        <v>47672742</v>
      </c>
      <c r="AQ725" s="34">
        <v>0</v>
      </c>
      <c r="AR725" s="34">
        <v>0</v>
      </c>
      <c r="AS725" s="34">
        <v>0</v>
      </c>
      <c r="AT725" s="40">
        <f t="shared" si="289"/>
        <v>0</v>
      </c>
      <c r="AU725" s="18">
        <f>AJ725-AM725</f>
        <v>52327258</v>
      </c>
      <c r="AV725" s="34">
        <f>AM725-AP725</f>
        <v>0</v>
      </c>
      <c r="AW725" s="18">
        <f>AP725-AT725</f>
        <v>47672742</v>
      </c>
      <c r="AX725" s="123">
        <f>AP725/AJ725</f>
        <v>0.47672742000000001</v>
      </c>
    </row>
    <row r="726" spans="1:50" ht="25.5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73" t="s">
        <v>288</v>
      </c>
      <c r="AB726" s="74" t="s">
        <v>1257</v>
      </c>
      <c r="AC726" s="43"/>
      <c r="AD726" s="43"/>
      <c r="AE726" s="44"/>
      <c r="AF726" s="44"/>
      <c r="AG726" s="44"/>
      <c r="AH726" s="44"/>
      <c r="AI726" s="44"/>
      <c r="AJ726" s="43"/>
      <c r="AK726" s="44"/>
      <c r="AL726" s="44"/>
      <c r="AM726" s="43"/>
      <c r="AN726" s="44"/>
      <c r="AO726" s="44"/>
      <c r="AP726" s="44"/>
      <c r="AQ726" s="34"/>
      <c r="AR726" s="34"/>
      <c r="AS726" s="34"/>
      <c r="AT726" s="40"/>
      <c r="AU726" s="18"/>
      <c r="AV726" s="34"/>
      <c r="AW726" s="34"/>
      <c r="AX726" s="123"/>
    </row>
    <row r="727" spans="1:50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1" t="s">
        <v>1258</v>
      </c>
      <c r="AB727" s="42" t="s">
        <v>961</v>
      </c>
      <c r="AC727" s="43"/>
      <c r="AD727" s="43">
        <v>0</v>
      </c>
      <c r="AE727" s="44">
        <v>0</v>
      </c>
      <c r="AF727" s="44">
        <v>0</v>
      </c>
      <c r="AG727" s="43">
        <v>200000000</v>
      </c>
      <c r="AH727" s="43">
        <v>100000000</v>
      </c>
      <c r="AI727" s="43">
        <f>AE727-AF727+AG727-AH727</f>
        <v>100000000</v>
      </c>
      <c r="AJ727" s="142">
        <f>AD727+AI727</f>
        <v>100000000</v>
      </c>
      <c r="AK727" s="44">
        <v>0</v>
      </c>
      <c r="AL727" s="44">
        <v>0</v>
      </c>
      <c r="AM727" s="43">
        <v>0</v>
      </c>
      <c r="AN727" s="44">
        <v>0</v>
      </c>
      <c r="AO727" s="44">
        <v>0</v>
      </c>
      <c r="AP727" s="44">
        <v>0</v>
      </c>
      <c r="AQ727" s="34">
        <v>0</v>
      </c>
      <c r="AR727" s="34">
        <v>0</v>
      </c>
      <c r="AS727" s="34">
        <v>0</v>
      </c>
      <c r="AT727" s="40">
        <f t="shared" ref="AT727" si="290">AQ727+AS727</f>
        <v>0</v>
      </c>
      <c r="AU727" s="18">
        <f>AJ727-AM727</f>
        <v>100000000</v>
      </c>
      <c r="AV727" s="34">
        <f>AM727-AP727</f>
        <v>0</v>
      </c>
      <c r="AW727" s="34">
        <f>AP727-AT727</f>
        <v>0</v>
      </c>
      <c r="AX727" s="123">
        <f>AP727/AJ727</f>
        <v>0</v>
      </c>
    </row>
    <row r="728" spans="1:50" x14ac:dyDescent="0.2">
      <c r="AA728" s="16"/>
      <c r="AB728" s="17"/>
      <c r="AC728" s="17"/>
      <c r="AD728" s="18"/>
      <c r="AE728" s="34"/>
      <c r="AF728" s="34"/>
      <c r="AG728" s="34"/>
      <c r="AH728" s="34"/>
      <c r="AI728" s="34"/>
      <c r="AJ728" s="18"/>
      <c r="AK728" s="34"/>
      <c r="AL728" s="34"/>
      <c r="AM728" s="34"/>
      <c r="AN728" s="34"/>
      <c r="AO728" s="34"/>
      <c r="AP728" s="34"/>
      <c r="AQ728" s="18"/>
      <c r="AR728" s="18"/>
      <c r="AS728" s="18"/>
      <c r="AT728" s="31"/>
      <c r="AU728" s="18"/>
      <c r="AV728" s="34"/>
      <c r="AW728" s="34"/>
      <c r="AX728" s="18"/>
    </row>
    <row r="729" spans="1:50" ht="25.5" x14ac:dyDescent="0.2">
      <c r="AA729" s="16"/>
      <c r="AB729" s="29" t="s">
        <v>183</v>
      </c>
      <c r="AC729" s="17"/>
      <c r="AD729" s="18"/>
      <c r="AE729" s="34"/>
      <c r="AF729" s="34"/>
      <c r="AG729" s="34"/>
      <c r="AH729" s="34"/>
      <c r="AI729" s="34"/>
      <c r="AJ729" s="18"/>
      <c r="AK729" s="34"/>
      <c r="AL729" s="34"/>
      <c r="AM729" s="34"/>
      <c r="AN729" s="34"/>
      <c r="AO729" s="34"/>
      <c r="AP729" s="34"/>
      <c r="AQ729" s="18"/>
      <c r="AR729" s="18"/>
      <c r="AS729" s="18"/>
      <c r="AT729" s="31"/>
      <c r="AU729" s="18"/>
      <c r="AV729" s="34"/>
      <c r="AW729" s="34"/>
      <c r="AX729" s="18"/>
    </row>
    <row r="730" spans="1:50" ht="25.5" x14ac:dyDescent="0.2">
      <c r="AA730" s="28" t="s">
        <v>288</v>
      </c>
      <c r="AB730" s="29" t="s">
        <v>535</v>
      </c>
      <c r="AC730" s="17"/>
      <c r="AD730" s="18"/>
      <c r="AE730" s="34"/>
      <c r="AF730" s="34"/>
      <c r="AG730" s="34"/>
      <c r="AH730" s="34"/>
      <c r="AI730" s="34"/>
      <c r="AJ730" s="18"/>
      <c r="AK730" s="34"/>
      <c r="AL730" s="34"/>
      <c r="AM730" s="34"/>
      <c r="AN730" s="34"/>
      <c r="AO730" s="34"/>
      <c r="AP730" s="34"/>
      <c r="AQ730" s="18"/>
      <c r="AR730" s="18"/>
      <c r="AS730" s="18"/>
      <c r="AT730" s="31"/>
      <c r="AU730" s="18"/>
      <c r="AV730" s="34"/>
      <c r="AW730" s="34"/>
      <c r="AX730" s="18"/>
    </row>
    <row r="731" spans="1:50" x14ac:dyDescent="0.2">
      <c r="A731" s="4" t="s">
        <v>55</v>
      </c>
      <c r="B731" s="4" t="s">
        <v>56</v>
      </c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1" t="s">
        <v>536</v>
      </c>
      <c r="AB731" s="42" t="s">
        <v>233</v>
      </c>
      <c r="AC731" s="43" t="s">
        <v>58</v>
      </c>
      <c r="AD731" s="43">
        <v>246000000</v>
      </c>
      <c r="AE731" s="44">
        <v>0</v>
      </c>
      <c r="AF731" s="44">
        <v>0</v>
      </c>
      <c r="AG731" s="43">
        <v>200000000</v>
      </c>
      <c r="AH731" s="44">
        <v>0</v>
      </c>
      <c r="AI731" s="43">
        <f>AE731-AF731+AG731-AH731</f>
        <v>200000000</v>
      </c>
      <c r="AJ731" s="43">
        <f>AD731+AI731</f>
        <v>446000000</v>
      </c>
      <c r="AK731" s="44">
        <v>0</v>
      </c>
      <c r="AL731" s="44">
        <f>AM731-JULIO!AM713</f>
        <v>0</v>
      </c>
      <c r="AM731" s="43">
        <v>446000000</v>
      </c>
      <c r="AN731" s="44">
        <v>0</v>
      </c>
      <c r="AO731" s="44">
        <v>0</v>
      </c>
      <c r="AP731" s="43">
        <v>446000000</v>
      </c>
      <c r="AQ731" s="44">
        <v>0</v>
      </c>
      <c r="AR731" s="43">
        <v>122706535.76000001</v>
      </c>
      <c r="AS731" s="43">
        <v>122706535.76000001</v>
      </c>
      <c r="AT731" s="39">
        <f t="shared" ref="AT731:AT734" si="291">AQ731+AS731</f>
        <v>122706535.76000001</v>
      </c>
      <c r="AU731" s="18">
        <f>AJ731-AM731</f>
        <v>0</v>
      </c>
      <c r="AV731" s="34">
        <f>AM731-AP731</f>
        <v>0</v>
      </c>
      <c r="AW731" s="18">
        <f>AP731-AT731</f>
        <v>323293464.24000001</v>
      </c>
      <c r="AX731" s="123">
        <f>AP731/AJ731</f>
        <v>1</v>
      </c>
    </row>
    <row r="732" spans="1:50" x14ac:dyDescent="0.2">
      <c r="A732" s="4" t="s">
        <v>55</v>
      </c>
      <c r="B732" s="4" t="s">
        <v>56</v>
      </c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1" t="s">
        <v>537</v>
      </c>
      <c r="AB732" s="42" t="s">
        <v>538</v>
      </c>
      <c r="AC732" s="43" t="s">
        <v>253</v>
      </c>
      <c r="AD732" s="43">
        <v>603350727</v>
      </c>
      <c r="AE732" s="44">
        <v>0</v>
      </c>
      <c r="AF732" s="44">
        <v>0</v>
      </c>
      <c r="AG732" s="44">
        <v>0</v>
      </c>
      <c r="AH732" s="44">
        <v>0</v>
      </c>
      <c r="AI732" s="44">
        <v>0</v>
      </c>
      <c r="AJ732" s="43">
        <v>603350727</v>
      </c>
      <c r="AK732" s="44">
        <v>0</v>
      </c>
      <c r="AL732" s="44">
        <f>AM732-JULIO!AM714</f>
        <v>0</v>
      </c>
      <c r="AM732" s="43">
        <v>603350726</v>
      </c>
      <c r="AN732" s="44">
        <v>0</v>
      </c>
      <c r="AO732" s="44">
        <v>0</v>
      </c>
      <c r="AP732" s="43">
        <v>603350726</v>
      </c>
      <c r="AQ732" s="44">
        <v>0</v>
      </c>
      <c r="AR732" s="44">
        <v>0</v>
      </c>
      <c r="AS732" s="44">
        <v>0</v>
      </c>
      <c r="AT732" s="40">
        <f t="shared" si="291"/>
        <v>0</v>
      </c>
      <c r="AU732" s="18">
        <f>AJ732-AM732</f>
        <v>1</v>
      </c>
      <c r="AV732" s="34">
        <f>AM732-AP732</f>
        <v>0</v>
      </c>
      <c r="AW732" s="18">
        <f>AP732-AT732</f>
        <v>603350726</v>
      </c>
      <c r="AX732" s="123">
        <f>AP732/AJ732</f>
        <v>0.99999999834258924</v>
      </c>
    </row>
    <row r="733" spans="1:50" ht="25.5" x14ac:dyDescent="0.2">
      <c r="A733" s="4" t="s">
        <v>55</v>
      </c>
      <c r="B733" s="4" t="s">
        <v>56</v>
      </c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1" t="s">
        <v>539</v>
      </c>
      <c r="AB733" s="42" t="s">
        <v>540</v>
      </c>
      <c r="AC733" s="43" t="s">
        <v>253</v>
      </c>
      <c r="AD733" s="43">
        <v>850649274</v>
      </c>
      <c r="AE733" s="44">
        <v>0</v>
      </c>
      <c r="AF733" s="44">
        <v>0</v>
      </c>
      <c r="AG733" s="44">
        <v>0</v>
      </c>
      <c r="AH733" s="44">
        <v>0</v>
      </c>
      <c r="AI733" s="44">
        <v>0</v>
      </c>
      <c r="AJ733" s="43">
        <v>850649274</v>
      </c>
      <c r="AK733" s="44">
        <v>0</v>
      </c>
      <c r="AL733" s="44">
        <f>AM733-JULIO!AM715</f>
        <v>0</v>
      </c>
      <c r="AM733" s="43">
        <v>369641575.10000002</v>
      </c>
      <c r="AN733" s="44">
        <v>0</v>
      </c>
      <c r="AO733" s="44">
        <v>0</v>
      </c>
      <c r="AP733" s="43">
        <v>369641575.10000002</v>
      </c>
      <c r="AQ733" s="44">
        <v>0</v>
      </c>
      <c r="AR733" s="43">
        <v>113791210.2</v>
      </c>
      <c r="AS733" s="43">
        <v>113791210.2</v>
      </c>
      <c r="AT733" s="39">
        <f t="shared" si="291"/>
        <v>113791210.2</v>
      </c>
      <c r="AU733" s="18">
        <f>AJ733-AM733</f>
        <v>481007698.89999998</v>
      </c>
      <c r="AV733" s="18">
        <f>AM733-AP733</f>
        <v>0</v>
      </c>
      <c r="AW733" s="18">
        <f>AP733-AT733</f>
        <v>255850364.90000004</v>
      </c>
      <c r="AX733" s="123">
        <f>AP733/AJ733</f>
        <v>0.43454051675355926</v>
      </c>
    </row>
    <row r="734" spans="1:50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1" t="s">
        <v>1087</v>
      </c>
      <c r="AB734" s="42" t="s">
        <v>1015</v>
      </c>
      <c r="AC734" s="43"/>
      <c r="AD734" s="44">
        <v>0</v>
      </c>
      <c r="AE734" s="43">
        <v>800000000</v>
      </c>
      <c r="AF734" s="44">
        <v>0</v>
      </c>
      <c r="AG734" s="44">
        <v>0</v>
      </c>
      <c r="AH734" s="43">
        <v>166521000</v>
      </c>
      <c r="AI734" s="43">
        <f>AE734-AF734+AG734-AH734</f>
        <v>633479000</v>
      </c>
      <c r="AJ734" s="43">
        <f>AD734+AI734</f>
        <v>633479000</v>
      </c>
      <c r="AK734" s="44">
        <v>0</v>
      </c>
      <c r="AL734" s="44">
        <f>AM734-JULIO!AM716</f>
        <v>0</v>
      </c>
      <c r="AM734" s="44">
        <v>0</v>
      </c>
      <c r="AN734" s="44">
        <v>0</v>
      </c>
      <c r="AO734" s="44">
        <v>0</v>
      </c>
      <c r="AP734" s="44">
        <v>0</v>
      </c>
      <c r="AQ734" s="44">
        <v>0</v>
      </c>
      <c r="AR734" s="44">
        <v>0</v>
      </c>
      <c r="AS734" s="44">
        <v>0</v>
      </c>
      <c r="AT734" s="40">
        <f t="shared" si="291"/>
        <v>0</v>
      </c>
      <c r="AU734" s="18">
        <f>AJ734-AM734</f>
        <v>633479000</v>
      </c>
      <c r="AV734" s="34">
        <f>AM734-AP734</f>
        <v>0</v>
      </c>
      <c r="AW734" s="34">
        <f>AP734-AT734</f>
        <v>0</v>
      </c>
      <c r="AX734" s="123">
        <f>AP734/AJ734</f>
        <v>0</v>
      </c>
    </row>
    <row r="735" spans="1:50" ht="25.5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1" t="s">
        <v>1323</v>
      </c>
      <c r="AB735" s="42" t="s">
        <v>1324</v>
      </c>
      <c r="AC735" s="43"/>
      <c r="AD735" s="44">
        <v>0</v>
      </c>
      <c r="AE735" s="43">
        <v>0</v>
      </c>
      <c r="AF735" s="44">
        <v>0</v>
      </c>
      <c r="AG735" s="43">
        <v>443349582</v>
      </c>
      <c r="AH735" s="43">
        <v>0</v>
      </c>
      <c r="AI735" s="43">
        <f>AE735-AF735+AG735-AH735</f>
        <v>443349582</v>
      </c>
      <c r="AJ735" s="43">
        <f>AD735+AI735</f>
        <v>443349582</v>
      </c>
      <c r="AK735" s="44">
        <v>0</v>
      </c>
      <c r="AL735" s="44">
        <f>AM735-JULIO!AM717</f>
        <v>0</v>
      </c>
      <c r="AM735" s="44">
        <v>0</v>
      </c>
      <c r="AN735" s="44">
        <v>0</v>
      </c>
      <c r="AO735" s="44">
        <v>0</v>
      </c>
      <c r="AP735" s="44">
        <v>0</v>
      </c>
      <c r="AQ735" s="44">
        <v>0</v>
      </c>
      <c r="AR735" s="44">
        <v>0</v>
      </c>
      <c r="AS735" s="44">
        <v>0</v>
      </c>
      <c r="AT735" s="40">
        <f t="shared" ref="AT735" si="292">AQ735+AS735</f>
        <v>0</v>
      </c>
      <c r="AU735" s="18">
        <f>AJ735-AM735</f>
        <v>443349582</v>
      </c>
      <c r="AV735" s="34">
        <f>AM735-AP735</f>
        <v>0</v>
      </c>
      <c r="AW735" s="34">
        <f>AP735-AT735</f>
        <v>0</v>
      </c>
      <c r="AX735" s="123">
        <f>AP735/AJ735</f>
        <v>0</v>
      </c>
    </row>
    <row r="736" spans="1:50" ht="25.5" customHeight="1" x14ac:dyDescent="0.2">
      <c r="AA736" s="41"/>
      <c r="AB736" s="29" t="s">
        <v>1309</v>
      </c>
      <c r="AC736" s="17"/>
      <c r="AD736" s="34"/>
      <c r="AE736" s="34"/>
      <c r="AF736" s="34"/>
      <c r="AG736" s="292"/>
      <c r="AH736" s="137"/>
      <c r="AI736" s="43"/>
      <c r="AJ736" s="43"/>
      <c r="AK736" s="18"/>
      <c r="AL736" s="18"/>
      <c r="AM736" s="18"/>
      <c r="AN736" s="18"/>
      <c r="AO736" s="18"/>
      <c r="AP736" s="18"/>
      <c r="AQ736" s="18"/>
      <c r="AR736" s="18"/>
      <c r="AS736" s="18"/>
      <c r="AT736" s="40"/>
      <c r="AU736" s="18"/>
      <c r="AV736" s="34"/>
      <c r="AW736" s="34"/>
      <c r="AX736" s="123"/>
    </row>
    <row r="737" spans="1:50" ht="18.75" customHeight="1" x14ac:dyDescent="0.2">
      <c r="AA737" s="41" t="s">
        <v>1310</v>
      </c>
      <c r="AB737" s="38" t="s">
        <v>1015</v>
      </c>
      <c r="AC737" s="17"/>
      <c r="AD737" s="34">
        <v>0</v>
      </c>
      <c r="AE737" s="34"/>
      <c r="AF737" s="34"/>
      <c r="AG737" s="18">
        <v>50521000</v>
      </c>
      <c r="AH737" s="137">
        <v>0</v>
      </c>
      <c r="AI737" s="43">
        <f t="shared" ref="AI737:AI738" si="293">AE737-AF737+AG737-AH737</f>
        <v>50521000</v>
      </c>
      <c r="AJ737" s="43">
        <f t="shared" ref="AJ737:AJ738" si="294">AD737+AI737</f>
        <v>50521000</v>
      </c>
      <c r="AK737" s="44">
        <v>0</v>
      </c>
      <c r="AL737" s="44">
        <v>0</v>
      </c>
      <c r="AM737" s="44">
        <v>0</v>
      </c>
      <c r="AN737" s="44">
        <v>0</v>
      </c>
      <c r="AO737" s="44">
        <v>0</v>
      </c>
      <c r="AP737" s="44">
        <v>0</v>
      </c>
      <c r="AQ737" s="44">
        <v>0</v>
      </c>
      <c r="AR737" s="44">
        <v>0</v>
      </c>
      <c r="AS737" s="34">
        <v>0</v>
      </c>
      <c r="AT737" s="40">
        <f t="shared" ref="AT737:AT738" si="295">AQ737+AS737</f>
        <v>0</v>
      </c>
      <c r="AU737" s="18">
        <f t="shared" ref="AU737:AU738" si="296">AJ737-AM737</f>
        <v>50521000</v>
      </c>
      <c r="AV737" s="34">
        <f t="shared" ref="AV737:AV738" si="297">AM737-AP737</f>
        <v>0</v>
      </c>
      <c r="AW737" s="34">
        <f t="shared" ref="AW737:AW738" si="298">AP737-AT737</f>
        <v>0</v>
      </c>
      <c r="AX737" s="123">
        <f t="shared" ref="AX737:AX738" si="299">AP737/AJ737</f>
        <v>0</v>
      </c>
    </row>
    <row r="738" spans="1:50" ht="28.5" customHeight="1" x14ac:dyDescent="0.2">
      <c r="AA738" s="41" t="s">
        <v>1311</v>
      </c>
      <c r="AB738" s="251" t="s">
        <v>1312</v>
      </c>
      <c r="AC738" s="17"/>
      <c r="AD738" s="34">
        <v>0</v>
      </c>
      <c r="AE738" s="34"/>
      <c r="AF738" s="34"/>
      <c r="AG738" s="18">
        <v>18479000</v>
      </c>
      <c r="AH738" s="137"/>
      <c r="AI738" s="43">
        <f t="shared" si="293"/>
        <v>18479000</v>
      </c>
      <c r="AJ738" s="43">
        <f t="shared" si="294"/>
        <v>18479000</v>
      </c>
      <c r="AK738" s="44">
        <v>0</v>
      </c>
      <c r="AL738" s="44">
        <v>0</v>
      </c>
      <c r="AM738" s="44">
        <v>0</v>
      </c>
      <c r="AN738" s="44">
        <v>0</v>
      </c>
      <c r="AO738" s="44">
        <v>0</v>
      </c>
      <c r="AP738" s="44">
        <v>0</v>
      </c>
      <c r="AQ738" s="44">
        <v>0</v>
      </c>
      <c r="AR738" s="44">
        <v>0</v>
      </c>
      <c r="AS738" s="34">
        <v>0</v>
      </c>
      <c r="AT738" s="40">
        <f t="shared" si="295"/>
        <v>0</v>
      </c>
      <c r="AU738" s="18">
        <f t="shared" si="296"/>
        <v>18479000</v>
      </c>
      <c r="AV738" s="34">
        <f t="shared" si="297"/>
        <v>0</v>
      </c>
      <c r="AW738" s="34">
        <f t="shared" si="298"/>
        <v>0</v>
      </c>
      <c r="AX738" s="123">
        <f t="shared" si="299"/>
        <v>0</v>
      </c>
    </row>
    <row r="739" spans="1:50" x14ac:dyDescent="0.2">
      <c r="AA739" s="41"/>
      <c r="AB739" s="29" t="s">
        <v>1313</v>
      </c>
      <c r="AC739" s="17"/>
      <c r="AD739" s="34"/>
      <c r="AE739" s="34"/>
      <c r="AF739" s="34"/>
      <c r="AG739" s="18"/>
      <c r="AH739" s="137"/>
      <c r="AI739" s="43"/>
      <c r="AJ739" s="43"/>
      <c r="AK739" s="18"/>
      <c r="AL739" s="18"/>
      <c r="AM739" s="18"/>
      <c r="AN739" s="18"/>
      <c r="AO739" s="18"/>
      <c r="AP739" s="18"/>
      <c r="AQ739" s="18"/>
      <c r="AR739" s="18"/>
      <c r="AS739" s="34"/>
      <c r="AT739" s="40"/>
      <c r="AU739" s="18"/>
      <c r="AV739" s="34"/>
      <c r="AW739" s="34"/>
      <c r="AX739" s="123"/>
    </row>
    <row r="740" spans="1:50" ht="28.5" customHeight="1" x14ac:dyDescent="0.2">
      <c r="AA740" s="41" t="s">
        <v>1314</v>
      </c>
      <c r="AB740" s="251" t="s">
        <v>1312</v>
      </c>
      <c r="AC740" s="17"/>
      <c r="AD740" s="34">
        <v>0</v>
      </c>
      <c r="AE740" s="34"/>
      <c r="AF740" s="34"/>
      <c r="AG740" s="18">
        <v>25000000</v>
      </c>
      <c r="AH740" s="137"/>
      <c r="AI740" s="43">
        <f t="shared" ref="AI740" si="300">AE740-AF740+AG740-AH740</f>
        <v>25000000</v>
      </c>
      <c r="AJ740" s="43">
        <f t="shared" ref="AJ740" si="301">AD740+AI740</f>
        <v>25000000</v>
      </c>
      <c r="AK740" s="34">
        <v>0</v>
      </c>
      <c r="AL740" s="34">
        <v>0</v>
      </c>
      <c r="AM740" s="34">
        <v>0</v>
      </c>
      <c r="AN740" s="34">
        <v>0</v>
      </c>
      <c r="AO740" s="34">
        <v>0</v>
      </c>
      <c r="AP740" s="34">
        <v>0</v>
      </c>
      <c r="AQ740" s="34">
        <v>0</v>
      </c>
      <c r="AR740" s="34">
        <v>0</v>
      </c>
      <c r="AS740" s="34">
        <v>0</v>
      </c>
      <c r="AT740" s="40">
        <f t="shared" ref="AT740" si="302">AQ740+AS740</f>
        <v>0</v>
      </c>
      <c r="AU740" s="18">
        <f t="shared" ref="AU740" si="303">AJ740-AM740</f>
        <v>25000000</v>
      </c>
      <c r="AV740" s="34">
        <f t="shared" ref="AV740" si="304">AM740-AP740</f>
        <v>0</v>
      </c>
      <c r="AW740" s="34">
        <f t="shared" ref="AW740" si="305">AP740-AT740</f>
        <v>0</v>
      </c>
      <c r="AX740" s="123">
        <f t="shared" ref="AX740" si="306">AP740/AJ740</f>
        <v>0</v>
      </c>
    </row>
    <row r="741" spans="1:50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1"/>
      <c r="AB741" s="42"/>
      <c r="AC741" s="43"/>
      <c r="AD741" s="44"/>
      <c r="AE741" s="43"/>
      <c r="AF741" s="44"/>
      <c r="AG741" s="44"/>
      <c r="AH741" s="43"/>
      <c r="AI741" s="43"/>
      <c r="AJ741" s="43"/>
      <c r="AK741" s="44"/>
      <c r="AL741" s="44"/>
      <c r="AM741" s="44"/>
      <c r="AN741" s="44"/>
      <c r="AO741" s="44"/>
      <c r="AP741" s="44"/>
      <c r="AQ741" s="44"/>
      <c r="AR741" s="44"/>
      <c r="AS741" s="44"/>
      <c r="AT741" s="40"/>
      <c r="AU741" s="18"/>
      <c r="AV741" s="34"/>
      <c r="AW741" s="34"/>
      <c r="AX741" s="123"/>
    </row>
    <row r="742" spans="1:50" ht="25.5" x14ac:dyDescent="0.2">
      <c r="AA742" s="73" t="s">
        <v>288</v>
      </c>
      <c r="AB742" s="74" t="s">
        <v>1222</v>
      </c>
      <c r="AC742" s="17"/>
      <c r="AD742" s="34"/>
      <c r="AE742" s="34"/>
      <c r="AF742" s="34"/>
      <c r="AG742" s="34"/>
      <c r="AH742" s="34"/>
      <c r="AI742" s="34"/>
      <c r="AJ742" s="18"/>
      <c r="AK742" s="34"/>
      <c r="AL742" s="34"/>
      <c r="AM742" s="34"/>
      <c r="AN742" s="34"/>
      <c r="AO742" s="34"/>
      <c r="AP742" s="34"/>
      <c r="AQ742" s="34"/>
      <c r="AR742" s="34"/>
      <c r="AS742" s="18"/>
      <c r="AT742" s="30"/>
      <c r="AU742" s="18"/>
      <c r="AV742" s="34"/>
      <c r="AW742" s="18"/>
      <c r="AX742" s="18"/>
    </row>
    <row r="743" spans="1:50" x14ac:dyDescent="0.2">
      <c r="AA743" s="41" t="s">
        <v>1223</v>
      </c>
      <c r="AB743" s="42" t="s">
        <v>961</v>
      </c>
      <c r="AC743" s="17"/>
      <c r="AD743" s="34">
        <v>0</v>
      </c>
      <c r="AE743" s="34">
        <v>0</v>
      </c>
      <c r="AF743" s="34">
        <v>0</v>
      </c>
      <c r="AG743" s="18">
        <v>115200000</v>
      </c>
      <c r="AH743" s="34">
        <v>0</v>
      </c>
      <c r="AI743" s="43">
        <f>AE743-AF743+AG743-AH743</f>
        <v>115200000</v>
      </c>
      <c r="AJ743" s="43">
        <f>AD743+AI743</f>
        <v>115200000</v>
      </c>
      <c r="AK743" s="34">
        <v>0</v>
      </c>
      <c r="AL743" s="18">
        <f>AM743-JULIO!AM719</f>
        <v>-47356193</v>
      </c>
      <c r="AM743" s="34">
        <v>0</v>
      </c>
      <c r="AN743" s="34">
        <v>0</v>
      </c>
      <c r="AO743" s="34">
        <v>0</v>
      </c>
      <c r="AP743" s="34">
        <v>0</v>
      </c>
      <c r="AQ743" s="34">
        <v>0</v>
      </c>
      <c r="AR743" s="34">
        <v>0</v>
      </c>
      <c r="AS743" s="34">
        <v>0</v>
      </c>
      <c r="AT743" s="40">
        <f t="shared" ref="AT743" si="307">AQ743+AS743</f>
        <v>0</v>
      </c>
      <c r="AU743" s="18">
        <f>AJ743-AM743</f>
        <v>115200000</v>
      </c>
      <c r="AV743" s="34">
        <f>AM743-AP743</f>
        <v>0</v>
      </c>
      <c r="AW743" s="34">
        <f>AP743-AT743</f>
        <v>0</v>
      </c>
      <c r="AX743" s="123">
        <f>AP743/AJ743</f>
        <v>0</v>
      </c>
    </row>
    <row r="744" spans="1:50" ht="25.5" x14ac:dyDescent="0.2">
      <c r="AA744" s="41"/>
      <c r="AB744" s="74" t="s">
        <v>1326</v>
      </c>
      <c r="AC744" s="17"/>
      <c r="AD744" s="34"/>
      <c r="AE744" s="34"/>
      <c r="AF744" s="34"/>
      <c r="AG744" s="18"/>
      <c r="AH744" s="34"/>
      <c r="AI744" s="43"/>
      <c r="AJ744" s="43"/>
      <c r="AK744" s="34"/>
      <c r="AL744" s="34"/>
      <c r="AM744" s="34"/>
      <c r="AN744" s="34"/>
      <c r="AO744" s="34"/>
      <c r="AP744" s="34"/>
      <c r="AQ744" s="34"/>
      <c r="AR744" s="34"/>
      <c r="AS744" s="34"/>
      <c r="AT744" s="40"/>
      <c r="AU744" s="18"/>
      <c r="AV744" s="34"/>
      <c r="AW744" s="34"/>
      <c r="AX744" s="123"/>
    </row>
    <row r="745" spans="1:50" x14ac:dyDescent="0.2">
      <c r="AA745" s="73" t="s">
        <v>288</v>
      </c>
      <c r="AB745" s="74" t="s">
        <v>1327</v>
      </c>
      <c r="AC745" s="17"/>
      <c r="AD745" s="34"/>
      <c r="AE745" s="34"/>
      <c r="AF745" s="34"/>
      <c r="AG745" s="18"/>
      <c r="AH745" s="34"/>
      <c r="AI745" s="43"/>
      <c r="AJ745" s="43"/>
      <c r="AK745" s="34"/>
      <c r="AL745" s="34"/>
      <c r="AM745" s="34"/>
      <c r="AN745" s="34"/>
      <c r="AO745" s="34"/>
      <c r="AP745" s="34"/>
      <c r="AQ745" s="34"/>
      <c r="AR745" s="34"/>
      <c r="AS745" s="34"/>
      <c r="AT745" s="40"/>
      <c r="AU745" s="18"/>
      <c r="AV745" s="34"/>
      <c r="AW745" s="34"/>
      <c r="AX745" s="123"/>
    </row>
    <row r="746" spans="1:50" x14ac:dyDescent="0.2">
      <c r="AA746" s="41" t="s">
        <v>311</v>
      </c>
      <c r="AB746" s="42" t="s">
        <v>961</v>
      </c>
      <c r="AC746" s="17"/>
      <c r="AD746" s="34">
        <v>0</v>
      </c>
      <c r="AE746" s="34">
        <v>0</v>
      </c>
      <c r="AF746" s="34">
        <v>0</v>
      </c>
      <c r="AG746" s="18">
        <v>100000000</v>
      </c>
      <c r="AH746" s="34">
        <v>0</v>
      </c>
      <c r="AI746" s="43">
        <f>AE746-AF746+AG746-AH746</f>
        <v>100000000</v>
      </c>
      <c r="AJ746" s="142">
        <f>AD746+AI746</f>
        <v>100000000</v>
      </c>
      <c r="AK746" s="34">
        <v>0</v>
      </c>
      <c r="AL746" s="34">
        <v>0</v>
      </c>
      <c r="AM746" s="34">
        <v>0</v>
      </c>
      <c r="AN746" s="34">
        <v>0</v>
      </c>
      <c r="AO746" s="34">
        <v>0</v>
      </c>
      <c r="AP746" s="34">
        <v>0</v>
      </c>
      <c r="AQ746" s="34">
        <v>0</v>
      </c>
      <c r="AR746" s="34">
        <v>0</v>
      </c>
      <c r="AS746" s="34">
        <v>0</v>
      </c>
      <c r="AT746" s="40">
        <f t="shared" ref="AT746" si="308">AQ746+AS746</f>
        <v>0</v>
      </c>
      <c r="AU746" s="18">
        <f>AJ746-AM746</f>
        <v>100000000</v>
      </c>
      <c r="AV746" s="34">
        <f>AM746-AP746</f>
        <v>0</v>
      </c>
      <c r="AW746" s="34">
        <f>AP746-AT746</f>
        <v>0</v>
      </c>
      <c r="AX746" s="123">
        <f>AP746/AJ746</f>
        <v>0</v>
      </c>
    </row>
    <row r="747" spans="1:50" x14ac:dyDescent="0.2">
      <c r="AA747" s="16"/>
      <c r="AB747" s="29" t="s">
        <v>199</v>
      </c>
      <c r="AC747" s="17"/>
      <c r="AD747" s="18"/>
      <c r="AE747" s="34"/>
      <c r="AF747" s="34"/>
      <c r="AG747" s="34"/>
      <c r="AH747" s="34"/>
      <c r="AI747" s="34"/>
      <c r="AJ747" s="18"/>
      <c r="AK747" s="34"/>
      <c r="AL747" s="34"/>
      <c r="AM747" s="18"/>
      <c r="AN747" s="18"/>
      <c r="AO747" s="18"/>
      <c r="AP747" s="18"/>
      <c r="AQ747" s="18"/>
      <c r="AR747" s="18"/>
      <c r="AS747" s="18"/>
      <c r="AT747" s="30"/>
      <c r="AU747" s="18"/>
      <c r="AV747" s="34"/>
      <c r="AW747" s="18"/>
      <c r="AX747" s="18"/>
    </row>
    <row r="748" spans="1:50" ht="25.5" x14ac:dyDescent="0.2">
      <c r="AA748" s="28" t="s">
        <v>288</v>
      </c>
      <c r="AB748" s="29" t="s">
        <v>531</v>
      </c>
      <c r="AC748" s="17"/>
      <c r="AD748" s="18"/>
      <c r="AE748" s="34"/>
      <c r="AF748" s="34"/>
      <c r="AG748" s="34"/>
      <c r="AH748" s="34"/>
      <c r="AI748" s="34"/>
      <c r="AJ748" s="18"/>
      <c r="AK748" s="34"/>
      <c r="AL748" s="34"/>
      <c r="AM748" s="18"/>
      <c r="AN748" s="18"/>
      <c r="AO748" s="18"/>
      <c r="AP748" s="18"/>
      <c r="AQ748" s="18"/>
      <c r="AR748" s="18"/>
      <c r="AS748" s="18"/>
      <c r="AT748" s="30"/>
      <c r="AU748" s="18"/>
      <c r="AV748" s="34"/>
      <c r="AW748" s="18"/>
      <c r="AX748" s="18"/>
    </row>
    <row r="749" spans="1:50" x14ac:dyDescent="0.2">
      <c r="A749" s="4" t="s">
        <v>55</v>
      </c>
      <c r="B749" s="4" t="s">
        <v>56</v>
      </c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1" t="s">
        <v>541</v>
      </c>
      <c r="AB749" s="42" t="s">
        <v>233</v>
      </c>
      <c r="AC749" s="43" t="s">
        <v>58</v>
      </c>
      <c r="AD749" s="43">
        <v>190000000</v>
      </c>
      <c r="AE749" s="44">
        <v>0</v>
      </c>
      <c r="AF749" s="44">
        <v>0</v>
      </c>
      <c r="AG749" s="44">
        <v>0</v>
      </c>
      <c r="AH749" s="43">
        <v>60000000</v>
      </c>
      <c r="AI749" s="43">
        <f>AE749-AF749+AG749-AH749</f>
        <v>-60000000</v>
      </c>
      <c r="AJ749" s="43">
        <f>AD749+AI749</f>
        <v>130000000</v>
      </c>
      <c r="AK749" s="43">
        <v>0</v>
      </c>
      <c r="AL749" s="43">
        <v>8750000</v>
      </c>
      <c r="AM749" s="43">
        <v>96750000</v>
      </c>
      <c r="AN749" s="44">
        <v>0</v>
      </c>
      <c r="AO749" s="44">
        <v>0</v>
      </c>
      <c r="AP749" s="43">
        <v>88000000</v>
      </c>
      <c r="AQ749" s="43">
        <v>0</v>
      </c>
      <c r="AR749" s="43">
        <v>11000000</v>
      </c>
      <c r="AS749" s="43">
        <v>53433334</v>
      </c>
      <c r="AT749" s="39">
        <f t="shared" ref="AT749" si="309">AQ749+AS749</f>
        <v>53433334</v>
      </c>
      <c r="AU749" s="18">
        <f>AJ749-AM749</f>
        <v>33250000</v>
      </c>
      <c r="AV749" s="18">
        <f>AM749-AP749</f>
        <v>8750000</v>
      </c>
      <c r="AW749" s="18">
        <f>AP749-AT749</f>
        <v>34566666</v>
      </c>
      <c r="AX749" s="123">
        <f>AP749/AJ749</f>
        <v>0.67692307692307696</v>
      </c>
    </row>
    <row r="750" spans="1:50" x14ac:dyDescent="0.2">
      <c r="AA750" s="28" t="s">
        <v>288</v>
      </c>
      <c r="AB750" s="29" t="s">
        <v>542</v>
      </c>
      <c r="AC750" s="17"/>
      <c r="AD750" s="18"/>
      <c r="AE750" s="34"/>
      <c r="AF750" s="34"/>
      <c r="AG750" s="34"/>
      <c r="AH750" s="34"/>
      <c r="AI750" s="34"/>
      <c r="AJ750" s="18"/>
      <c r="AK750" s="34"/>
      <c r="AL750" s="34"/>
      <c r="AM750" s="34"/>
      <c r="AN750" s="34"/>
      <c r="AO750" s="34"/>
      <c r="AP750" s="34"/>
      <c r="AQ750" s="34"/>
      <c r="AR750" s="34"/>
      <c r="AS750" s="34"/>
      <c r="AT750" s="31"/>
      <c r="AU750" s="18"/>
      <c r="AV750" s="18"/>
      <c r="AW750" s="18"/>
      <c r="AX750" s="18"/>
    </row>
    <row r="751" spans="1:50" x14ac:dyDescent="0.2">
      <c r="A751" s="4" t="s">
        <v>55</v>
      </c>
      <c r="B751" s="4" t="s">
        <v>56</v>
      </c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1" t="s">
        <v>543</v>
      </c>
      <c r="AB751" s="42" t="s">
        <v>233</v>
      </c>
      <c r="AC751" s="43" t="s">
        <v>58</v>
      </c>
      <c r="AD751" s="43">
        <v>229000000</v>
      </c>
      <c r="AE751" s="44">
        <v>0</v>
      </c>
      <c r="AF751" s="44">
        <v>0</v>
      </c>
      <c r="AG751" s="44">
        <v>0</v>
      </c>
      <c r="AH751" s="43">
        <v>229000000</v>
      </c>
      <c r="AI751" s="43">
        <f>AE751-AF751+AG751-AH751</f>
        <v>-229000000</v>
      </c>
      <c r="AJ751" s="43">
        <f>AD751+AI751</f>
        <v>0</v>
      </c>
      <c r="AK751" s="44">
        <v>0</v>
      </c>
      <c r="AL751" s="44">
        <v>0</v>
      </c>
      <c r="AM751" s="44">
        <v>0</v>
      </c>
      <c r="AN751" s="44">
        <v>0</v>
      </c>
      <c r="AO751" s="44">
        <v>0</v>
      </c>
      <c r="AP751" s="44">
        <v>0</v>
      </c>
      <c r="AQ751" s="44">
        <v>0</v>
      </c>
      <c r="AR751" s="44">
        <v>0</v>
      </c>
      <c r="AS751" s="44">
        <v>0</v>
      </c>
      <c r="AT751" s="40">
        <f t="shared" ref="AT751" si="310">AQ751+AS751</f>
        <v>0</v>
      </c>
      <c r="AU751" s="34">
        <f>AJ751-AM751</f>
        <v>0</v>
      </c>
      <c r="AV751" s="34">
        <f>AM751-AP751</f>
        <v>0</v>
      </c>
      <c r="AW751" s="34">
        <f>AP751-AT751</f>
        <v>0</v>
      </c>
      <c r="AX751" s="123">
        <v>0</v>
      </c>
    </row>
    <row r="752" spans="1:50" ht="25.5" x14ac:dyDescent="0.2">
      <c r="AA752" s="28" t="s">
        <v>288</v>
      </c>
      <c r="AB752" s="29" t="s">
        <v>544</v>
      </c>
      <c r="AC752" s="17"/>
      <c r="AD752" s="18"/>
      <c r="AE752" s="34"/>
      <c r="AF752" s="34"/>
      <c r="AG752" s="34"/>
      <c r="AH752" s="34"/>
      <c r="AI752" s="34"/>
      <c r="AJ752" s="18"/>
      <c r="AK752" s="34"/>
      <c r="AL752" s="34"/>
      <c r="AM752" s="34"/>
      <c r="AN752" s="34"/>
      <c r="AO752" s="34"/>
      <c r="AP752" s="34"/>
      <c r="AQ752" s="34"/>
      <c r="AR752" s="34"/>
      <c r="AS752" s="34"/>
      <c r="AT752" s="31"/>
      <c r="AU752" s="34"/>
      <c r="AV752" s="34"/>
      <c r="AW752" s="34"/>
      <c r="AX752" s="18"/>
    </row>
    <row r="753" spans="1:50" x14ac:dyDescent="0.2">
      <c r="A753" s="4" t="s">
        <v>55</v>
      </c>
      <c r="B753" s="4" t="s">
        <v>56</v>
      </c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1" t="s">
        <v>545</v>
      </c>
      <c r="AB753" s="42" t="s">
        <v>233</v>
      </c>
      <c r="AC753" s="43" t="s">
        <v>58</v>
      </c>
      <c r="AD753" s="43">
        <v>150000000</v>
      </c>
      <c r="AE753" s="44">
        <v>0</v>
      </c>
      <c r="AF753" s="44">
        <v>0</v>
      </c>
      <c r="AG753" s="44">
        <v>0</v>
      </c>
      <c r="AH753" s="44">
        <v>0</v>
      </c>
      <c r="AI753" s="44">
        <v>0</v>
      </c>
      <c r="AJ753" s="43">
        <v>150000000</v>
      </c>
      <c r="AK753" s="44">
        <v>0</v>
      </c>
      <c r="AL753" s="43">
        <v>0</v>
      </c>
      <c r="AM753" s="43">
        <v>150000000</v>
      </c>
      <c r="AN753" s="44">
        <v>0</v>
      </c>
      <c r="AO753" s="44">
        <v>0</v>
      </c>
      <c r="AP753" s="43">
        <v>150000000</v>
      </c>
      <c r="AQ753" s="44">
        <v>0</v>
      </c>
      <c r="AR753" s="43">
        <v>5234910</v>
      </c>
      <c r="AS753" s="43">
        <v>95066430</v>
      </c>
      <c r="AT753" s="40">
        <f t="shared" ref="AT753" si="311">AQ753+AS753</f>
        <v>95066430</v>
      </c>
      <c r="AU753" s="34">
        <f>AJ753-AM753</f>
        <v>0</v>
      </c>
      <c r="AV753" s="34">
        <f>AM753-AP753</f>
        <v>0</v>
      </c>
      <c r="AW753" s="18">
        <f>AP753-AT753</f>
        <v>54933570</v>
      </c>
      <c r="AX753" s="123">
        <f>AP753/AJ753</f>
        <v>1</v>
      </c>
    </row>
    <row r="754" spans="1:50" ht="38.25" x14ac:dyDescent="0.2">
      <c r="AA754" s="28" t="s">
        <v>288</v>
      </c>
      <c r="AB754" s="29" t="s">
        <v>546</v>
      </c>
      <c r="AC754" s="17"/>
      <c r="AD754" s="18"/>
      <c r="AE754" s="34"/>
      <c r="AF754" s="34"/>
      <c r="AG754" s="34"/>
      <c r="AH754" s="34"/>
      <c r="AI754" s="34"/>
      <c r="AJ754" s="18"/>
      <c r="AK754" s="34"/>
      <c r="AL754" s="18"/>
      <c r="AM754" s="18"/>
      <c r="AN754" s="18"/>
      <c r="AO754" s="18"/>
      <c r="AP754" s="18"/>
      <c r="AQ754" s="18"/>
      <c r="AR754" s="18"/>
      <c r="AS754" s="18"/>
      <c r="AT754" s="30"/>
      <c r="AU754" s="18"/>
      <c r="AV754" s="18"/>
      <c r="AW754" s="18"/>
      <c r="AX754" s="18"/>
    </row>
    <row r="755" spans="1:50" x14ac:dyDescent="0.2">
      <c r="A755" s="4" t="s">
        <v>55</v>
      </c>
      <c r="B755" s="4" t="s">
        <v>56</v>
      </c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1" t="s">
        <v>547</v>
      </c>
      <c r="AB755" s="42" t="s">
        <v>233</v>
      </c>
      <c r="AC755" s="43" t="s">
        <v>58</v>
      </c>
      <c r="AD755" s="43">
        <v>80000000</v>
      </c>
      <c r="AE755" s="44">
        <v>0</v>
      </c>
      <c r="AF755" s="44">
        <v>0</v>
      </c>
      <c r="AG755" s="44">
        <v>0</v>
      </c>
      <c r="AH755" s="44">
        <v>0</v>
      </c>
      <c r="AI755" s="44">
        <v>0</v>
      </c>
      <c r="AJ755" s="43">
        <v>80000000</v>
      </c>
      <c r="AK755" s="44">
        <v>0</v>
      </c>
      <c r="AL755" s="44">
        <v>0</v>
      </c>
      <c r="AM755" s="43">
        <v>80000000</v>
      </c>
      <c r="AN755" s="44">
        <v>0</v>
      </c>
      <c r="AO755" s="44">
        <v>0</v>
      </c>
      <c r="AP755" s="110">
        <v>80000000</v>
      </c>
      <c r="AQ755" s="18">
        <v>0</v>
      </c>
      <c r="AR755" s="18">
        <v>12000000</v>
      </c>
      <c r="AS755" s="18">
        <v>54666666</v>
      </c>
      <c r="AT755" s="39">
        <f t="shared" ref="AT755:AT790" si="312">AQ755+AS755</f>
        <v>54666666</v>
      </c>
      <c r="AU755" s="34">
        <f>AJ755-AM755</f>
        <v>0</v>
      </c>
      <c r="AV755" s="34">
        <f>AM755-AP755</f>
        <v>0</v>
      </c>
      <c r="AW755" s="18">
        <f>AP755-AT755</f>
        <v>25333334</v>
      </c>
      <c r="AX755" s="123">
        <f>AP755/AJ755</f>
        <v>1</v>
      </c>
    </row>
    <row r="756" spans="1:50" ht="38.25" x14ac:dyDescent="0.2">
      <c r="AA756" s="28" t="s">
        <v>288</v>
      </c>
      <c r="AB756" s="29" t="s">
        <v>548</v>
      </c>
      <c r="AC756" s="17"/>
      <c r="AD756" s="18"/>
      <c r="AE756" s="34"/>
      <c r="AF756" s="34"/>
      <c r="AG756" s="34"/>
      <c r="AH756" s="34"/>
      <c r="AI756" s="34"/>
      <c r="AJ756" s="18"/>
      <c r="AK756" s="18"/>
      <c r="AL756" s="18"/>
      <c r="AM756" s="18"/>
      <c r="AN756" s="18"/>
      <c r="AO756" s="18"/>
      <c r="AP756" s="34"/>
      <c r="AQ756" s="34"/>
      <c r="AR756" s="34"/>
      <c r="AS756" s="34"/>
      <c r="AT756" s="40"/>
      <c r="AU756" s="18"/>
      <c r="AV756" s="18"/>
      <c r="AW756" s="18"/>
      <c r="AX756" s="18"/>
    </row>
    <row r="757" spans="1:50" x14ac:dyDescent="0.2">
      <c r="A757" s="4" t="s">
        <v>55</v>
      </c>
      <c r="B757" s="4" t="s">
        <v>56</v>
      </c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1" t="s">
        <v>549</v>
      </c>
      <c r="AB757" s="42" t="s">
        <v>233</v>
      </c>
      <c r="AC757" s="43" t="s">
        <v>58</v>
      </c>
      <c r="AD757" s="43">
        <v>40000000</v>
      </c>
      <c r="AE757" s="44">
        <v>0</v>
      </c>
      <c r="AF757" s="44">
        <v>0</v>
      </c>
      <c r="AG757" s="44">
        <v>0</v>
      </c>
      <c r="AH757" s="44">
        <v>0</v>
      </c>
      <c r="AI757" s="44">
        <v>0</v>
      </c>
      <c r="AJ757" s="43">
        <v>40000000</v>
      </c>
      <c r="AK757" s="44">
        <v>0</v>
      </c>
      <c r="AL757" s="43">
        <f>AM757-JULIO!AM730</f>
        <v>9990071</v>
      </c>
      <c r="AM757" s="43">
        <v>30989019</v>
      </c>
      <c r="AN757" s="44">
        <v>0</v>
      </c>
      <c r="AO757" s="43">
        <v>0</v>
      </c>
      <c r="AP757" s="18">
        <v>20998948</v>
      </c>
      <c r="AQ757" s="34">
        <v>0</v>
      </c>
      <c r="AR757" s="34">
        <v>0</v>
      </c>
      <c r="AS757" s="34">
        <v>0</v>
      </c>
      <c r="AT757" s="40">
        <f t="shared" si="312"/>
        <v>0</v>
      </c>
      <c r="AU757" s="18">
        <f>AJ757-AM757</f>
        <v>9010981</v>
      </c>
      <c r="AV757" s="18">
        <f>AM757-AP757</f>
        <v>9990071</v>
      </c>
      <c r="AW757" s="18">
        <f>AP757-AT757</f>
        <v>20998948</v>
      </c>
      <c r="AX757" s="123">
        <f>AP757/AJ757</f>
        <v>0.52497369999999999</v>
      </c>
    </row>
    <row r="758" spans="1:50" ht="25.5" x14ac:dyDescent="0.2">
      <c r="AA758" s="28" t="s">
        <v>288</v>
      </c>
      <c r="AB758" s="29" t="s">
        <v>550</v>
      </c>
      <c r="AC758" s="17"/>
      <c r="AD758" s="18"/>
      <c r="AE758" s="34"/>
      <c r="AF758" s="34"/>
      <c r="AG758" s="34"/>
      <c r="AH758" s="34"/>
      <c r="AI758" s="34"/>
      <c r="AJ758" s="18"/>
      <c r="AK758" s="34"/>
      <c r="AL758" s="18"/>
      <c r="AM758" s="18"/>
      <c r="AN758" s="34"/>
      <c r="AO758" s="34"/>
      <c r="AP758" s="34"/>
      <c r="AQ758" s="34"/>
      <c r="AR758" s="34"/>
      <c r="AS758" s="34"/>
      <c r="AT758" s="40"/>
      <c r="AU758" s="18"/>
      <c r="AV758" s="34"/>
      <c r="AW758" s="18"/>
      <c r="AX758" s="18"/>
    </row>
    <row r="759" spans="1:50" x14ac:dyDescent="0.2">
      <c r="A759" s="4" t="s">
        <v>55</v>
      </c>
      <c r="B759" s="4" t="s">
        <v>56</v>
      </c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1" t="s">
        <v>551</v>
      </c>
      <c r="AB759" s="42" t="s">
        <v>233</v>
      </c>
      <c r="AC759" s="43" t="s">
        <v>58</v>
      </c>
      <c r="AD759" s="43">
        <v>670000000</v>
      </c>
      <c r="AE759" s="44">
        <v>0</v>
      </c>
      <c r="AF759" s="44">
        <v>0</v>
      </c>
      <c r="AG759" s="43">
        <v>932000000</v>
      </c>
      <c r="AH759" s="43">
        <f>782000000+60000000</f>
        <v>842000000</v>
      </c>
      <c r="AI759" s="43">
        <f>AE759-AF759+AG759-AH759</f>
        <v>90000000</v>
      </c>
      <c r="AJ759" s="43">
        <f>AD759+AI759</f>
        <v>760000000</v>
      </c>
      <c r="AK759" s="44">
        <v>0</v>
      </c>
      <c r="AL759" s="43">
        <f>AM759-JULIO!AM732</f>
        <v>8050000</v>
      </c>
      <c r="AM759" s="43">
        <v>503129599</v>
      </c>
      <c r="AN759" s="44">
        <v>0</v>
      </c>
      <c r="AO759" s="43">
        <v>8050000</v>
      </c>
      <c r="AP759" s="18">
        <v>503129599</v>
      </c>
      <c r="AQ759" s="18">
        <v>4603847.7300000004</v>
      </c>
      <c r="AR759" s="18">
        <v>142790390</v>
      </c>
      <c r="AS759" s="18">
        <v>359720391</v>
      </c>
      <c r="AT759" s="39">
        <f t="shared" ref="AT759:AT763" si="313">AQ759+AS759</f>
        <v>364324238.73000002</v>
      </c>
      <c r="AU759" s="18">
        <f>AJ759-AM759</f>
        <v>256870401</v>
      </c>
      <c r="AV759" s="34">
        <f>AM759-AP759</f>
        <v>0</v>
      </c>
      <c r="AW759" s="18">
        <f>AP759-AT759</f>
        <v>138805360.26999998</v>
      </c>
      <c r="AX759" s="123">
        <f>AP759/AJ759</f>
        <v>0.66201263026315793</v>
      </c>
    </row>
    <row r="760" spans="1:50" x14ac:dyDescent="0.2">
      <c r="A760" s="4" t="s">
        <v>55</v>
      </c>
      <c r="B760" s="4" t="s">
        <v>56</v>
      </c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1" t="s">
        <v>552</v>
      </c>
      <c r="AB760" s="42" t="s">
        <v>382</v>
      </c>
      <c r="AC760" s="43" t="s">
        <v>383</v>
      </c>
      <c r="AD760" s="43">
        <v>120000000</v>
      </c>
      <c r="AE760" s="44">
        <v>0</v>
      </c>
      <c r="AF760" s="44">
        <v>0</v>
      </c>
      <c r="AG760" s="44">
        <v>0</v>
      </c>
      <c r="AH760" s="44">
        <v>0</v>
      </c>
      <c r="AI760" s="43">
        <f t="shared" ref="AI760:AI763" si="314">AE760-AF760+AG760-AH760</f>
        <v>0</v>
      </c>
      <c r="AJ760" s="43">
        <f t="shared" ref="AJ760:AJ763" si="315">AD760+AI760</f>
        <v>120000000</v>
      </c>
      <c r="AK760" s="44">
        <v>0</v>
      </c>
      <c r="AL760" s="44">
        <f>AM760-JULIO!AM733</f>
        <v>0</v>
      </c>
      <c r="AM760" s="43">
        <v>1886133</v>
      </c>
      <c r="AN760" s="44">
        <v>0</v>
      </c>
      <c r="AO760" s="43">
        <v>0</v>
      </c>
      <c r="AP760" s="18">
        <v>1886133</v>
      </c>
      <c r="AQ760" s="34">
        <v>0</v>
      </c>
      <c r="AR760" s="34">
        <v>0</v>
      </c>
      <c r="AS760" s="34">
        <v>0</v>
      </c>
      <c r="AT760" s="39">
        <f t="shared" si="313"/>
        <v>0</v>
      </c>
      <c r="AU760" s="18">
        <f>AJ760-AM760</f>
        <v>118113867</v>
      </c>
      <c r="AV760" s="34">
        <f>AM760-AP760</f>
        <v>0</v>
      </c>
      <c r="AW760" s="18">
        <f>AP760-AT760</f>
        <v>1886133</v>
      </c>
      <c r="AX760" s="123">
        <f>AP760/AJ760</f>
        <v>1.5717775E-2</v>
      </c>
    </row>
    <row r="761" spans="1:50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1" t="s">
        <v>1092</v>
      </c>
      <c r="AB761" s="42" t="s">
        <v>1095</v>
      </c>
      <c r="AC761" s="43"/>
      <c r="AD761" s="44">
        <v>0</v>
      </c>
      <c r="AE761" s="43">
        <v>28189.13</v>
      </c>
      <c r="AF761" s="44">
        <v>0</v>
      </c>
      <c r="AG761" s="44">
        <v>0</v>
      </c>
      <c r="AH761" s="44">
        <v>0</v>
      </c>
      <c r="AI761" s="43">
        <f t="shared" si="314"/>
        <v>28189.13</v>
      </c>
      <c r="AJ761" s="43">
        <f t="shared" si="315"/>
        <v>28189.13</v>
      </c>
      <c r="AK761" s="44">
        <v>0</v>
      </c>
      <c r="AL761" s="44">
        <f>AM761-JULIO!AM734</f>
        <v>0</v>
      </c>
      <c r="AM761" s="44">
        <v>28189.13</v>
      </c>
      <c r="AN761" s="44">
        <v>0</v>
      </c>
      <c r="AO761" s="44">
        <v>0</v>
      </c>
      <c r="AP761" s="34">
        <v>0</v>
      </c>
      <c r="AQ761" s="34">
        <v>0</v>
      </c>
      <c r="AR761" s="34">
        <v>0</v>
      </c>
      <c r="AS761" s="34">
        <v>0</v>
      </c>
      <c r="AT761" s="40">
        <f t="shared" si="313"/>
        <v>0</v>
      </c>
      <c r="AU761" s="34">
        <f>AJ761-AM761</f>
        <v>0</v>
      </c>
      <c r="AV761" s="18">
        <f>AM761-AP761</f>
        <v>28189.13</v>
      </c>
      <c r="AW761" s="34">
        <f>AP761-AT761</f>
        <v>0</v>
      </c>
      <c r="AX761" s="123">
        <f>AP761/AJ761</f>
        <v>0</v>
      </c>
    </row>
    <row r="762" spans="1:50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1" t="s">
        <v>1093</v>
      </c>
      <c r="AB762" s="42" t="s">
        <v>1096</v>
      </c>
      <c r="AC762" s="43"/>
      <c r="AD762" s="44">
        <v>0</v>
      </c>
      <c r="AE762" s="43">
        <v>5349132</v>
      </c>
      <c r="AF762" s="44">
        <v>0</v>
      </c>
      <c r="AG762" s="43">
        <v>5349132</v>
      </c>
      <c r="AH762" s="43">
        <v>5349132</v>
      </c>
      <c r="AI762" s="43">
        <f t="shared" si="314"/>
        <v>5349132</v>
      </c>
      <c r="AJ762" s="43">
        <f t="shared" si="315"/>
        <v>5349132</v>
      </c>
      <c r="AK762" s="44">
        <v>0</v>
      </c>
      <c r="AL762" s="44">
        <f>AM762-JULIO!AM735</f>
        <v>0</v>
      </c>
      <c r="AM762" s="44">
        <v>5349132</v>
      </c>
      <c r="AN762" s="44">
        <v>0</v>
      </c>
      <c r="AO762" s="44">
        <v>0</v>
      </c>
      <c r="AP762" s="34">
        <v>0</v>
      </c>
      <c r="AQ762" s="34">
        <v>0</v>
      </c>
      <c r="AR762" s="34">
        <v>0</v>
      </c>
      <c r="AS762" s="34">
        <v>0</v>
      </c>
      <c r="AT762" s="40">
        <f t="shared" si="313"/>
        <v>0</v>
      </c>
      <c r="AU762" s="34">
        <f>AJ762-AM762</f>
        <v>0</v>
      </c>
      <c r="AV762" s="18">
        <f>AM762-AP762</f>
        <v>5349132</v>
      </c>
      <c r="AW762" s="34">
        <f>AP762-AT762</f>
        <v>0</v>
      </c>
      <c r="AX762" s="123">
        <f>AP762/AJ762</f>
        <v>0</v>
      </c>
    </row>
    <row r="763" spans="1:50" ht="25.5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1" t="s">
        <v>1094</v>
      </c>
      <c r="AB763" s="42" t="s">
        <v>1097</v>
      </c>
      <c r="AC763" s="43"/>
      <c r="AD763" s="44">
        <v>0</v>
      </c>
      <c r="AE763" s="43">
        <v>11995542.140000001</v>
      </c>
      <c r="AF763" s="44">
        <v>0</v>
      </c>
      <c r="AG763" s="43">
        <v>11995542.140000001</v>
      </c>
      <c r="AH763" s="43">
        <v>11995542.140000001</v>
      </c>
      <c r="AI763" s="43">
        <f t="shared" si="314"/>
        <v>11995542.140000001</v>
      </c>
      <c r="AJ763" s="43">
        <f t="shared" si="315"/>
        <v>11995542.140000001</v>
      </c>
      <c r="AK763" s="44">
        <v>0</v>
      </c>
      <c r="AL763" s="44">
        <f>AM763-JULIO!AM736</f>
        <v>0</v>
      </c>
      <c r="AM763" s="44">
        <v>11995542.140000001</v>
      </c>
      <c r="AN763" s="44">
        <v>0</v>
      </c>
      <c r="AO763" s="44">
        <v>0</v>
      </c>
      <c r="AP763" s="34">
        <v>0</v>
      </c>
      <c r="AQ763" s="34">
        <v>0</v>
      </c>
      <c r="AR763" s="34">
        <v>0</v>
      </c>
      <c r="AS763" s="34">
        <v>0</v>
      </c>
      <c r="AT763" s="40">
        <f t="shared" si="313"/>
        <v>0</v>
      </c>
      <c r="AU763" s="34">
        <f>AJ763-AM763</f>
        <v>0</v>
      </c>
      <c r="AV763" s="18">
        <f>AM763-AP763</f>
        <v>11995542.140000001</v>
      </c>
      <c r="AW763" s="34">
        <f>AP763-AT763</f>
        <v>0</v>
      </c>
      <c r="AX763" s="123">
        <f>AP763/AJ763</f>
        <v>0</v>
      </c>
    </row>
    <row r="764" spans="1:50" ht="25.5" x14ac:dyDescent="0.2">
      <c r="AA764" s="28"/>
      <c r="AB764" s="29" t="s">
        <v>553</v>
      </c>
      <c r="AC764" s="17"/>
      <c r="AD764" s="18"/>
      <c r="AE764" s="34"/>
      <c r="AF764" s="34"/>
      <c r="AG764" s="34"/>
      <c r="AH764" s="34"/>
      <c r="AI764" s="34"/>
      <c r="AJ764" s="18"/>
      <c r="AK764" s="34"/>
      <c r="AL764" s="18"/>
      <c r="AM764" s="18"/>
      <c r="AN764" s="18"/>
      <c r="AO764" s="18"/>
      <c r="AP764" s="18"/>
      <c r="AQ764" s="18"/>
      <c r="AR764" s="18"/>
      <c r="AS764" s="18"/>
      <c r="AT764" s="30"/>
      <c r="AU764" s="18"/>
      <c r="AV764" s="18"/>
      <c r="AW764" s="18"/>
      <c r="AX764" s="18"/>
    </row>
    <row r="765" spans="1:50" x14ac:dyDescent="0.2">
      <c r="A765" s="4" t="s">
        <v>55</v>
      </c>
      <c r="B765" s="4" t="s">
        <v>56</v>
      </c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1" t="s">
        <v>554</v>
      </c>
      <c r="AB765" s="42" t="s">
        <v>233</v>
      </c>
      <c r="AC765" s="43" t="s">
        <v>58</v>
      </c>
      <c r="AD765" s="43">
        <v>200000000</v>
      </c>
      <c r="AE765" s="44">
        <v>0</v>
      </c>
      <c r="AF765" s="44">
        <v>0</v>
      </c>
      <c r="AG765" s="44">
        <v>0</v>
      </c>
      <c r="AH765" s="44">
        <v>0</v>
      </c>
      <c r="AI765" s="44">
        <v>0</v>
      </c>
      <c r="AJ765" s="43">
        <v>200000000</v>
      </c>
      <c r="AK765" s="44">
        <v>0</v>
      </c>
      <c r="AL765" s="43">
        <f>AM765-JULIO!AM738</f>
        <v>-4852479.2900000215</v>
      </c>
      <c r="AM765" s="43">
        <v>148017125.91999999</v>
      </c>
      <c r="AN765" s="44">
        <v>0</v>
      </c>
      <c r="AO765" s="43">
        <v>-4852479.29</v>
      </c>
      <c r="AP765" s="43">
        <v>148017125.91999999</v>
      </c>
      <c r="AQ765" s="44">
        <v>14187.71</v>
      </c>
      <c r="AR765" s="43">
        <v>18433333</v>
      </c>
      <c r="AS765" s="43">
        <v>103677566.20999999</v>
      </c>
      <c r="AT765" s="39">
        <f t="shared" si="312"/>
        <v>103691753.91999999</v>
      </c>
      <c r="AU765" s="18">
        <f>AJ765-AM765</f>
        <v>51982874.080000013</v>
      </c>
      <c r="AV765" s="34">
        <f>AM765-AP765</f>
        <v>0</v>
      </c>
      <c r="AW765" s="18">
        <f>AP765-AT765</f>
        <v>44325372</v>
      </c>
      <c r="AX765" s="123">
        <f>AP765/AJ765</f>
        <v>0.74008562959999991</v>
      </c>
    </row>
    <row r="766" spans="1:50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1" t="s">
        <v>1236</v>
      </c>
      <c r="AB766" s="42" t="s">
        <v>1015</v>
      </c>
      <c r="AC766" s="43"/>
      <c r="AD766" s="43">
        <v>0</v>
      </c>
      <c r="AE766" s="43">
        <v>200000000</v>
      </c>
      <c r="AF766" s="44">
        <v>0</v>
      </c>
      <c r="AG766" s="44">
        <v>0</v>
      </c>
      <c r="AH766" s="43">
        <v>145000000</v>
      </c>
      <c r="AI766" s="43">
        <f t="shared" ref="AI766" si="316">AE766-AF766+AG766-AH766</f>
        <v>55000000</v>
      </c>
      <c r="AJ766" s="43">
        <f t="shared" ref="AJ766" si="317">AD766+AI766</f>
        <v>55000000</v>
      </c>
      <c r="AK766" s="44">
        <v>0</v>
      </c>
      <c r="AL766" s="43">
        <f>AM766-JULIO!AM739</f>
        <v>7000000</v>
      </c>
      <c r="AM766" s="43">
        <v>17000000</v>
      </c>
      <c r="AN766" s="44">
        <v>0</v>
      </c>
      <c r="AO766" s="43">
        <v>7000000</v>
      </c>
      <c r="AP766" s="43">
        <v>17000000</v>
      </c>
      <c r="AQ766" s="44">
        <v>333333</v>
      </c>
      <c r="AR766" s="44">
        <v>0</v>
      </c>
      <c r="AS766" s="44">
        <v>0</v>
      </c>
      <c r="AT766" s="40">
        <f t="shared" si="312"/>
        <v>333333</v>
      </c>
      <c r="AU766" s="18">
        <f>AJ766-AM766</f>
        <v>38000000</v>
      </c>
      <c r="AV766" s="34">
        <f>AM766-AP766</f>
        <v>0</v>
      </c>
      <c r="AW766" s="18">
        <f>AP766-AT766</f>
        <v>16666667</v>
      </c>
      <c r="AX766" s="123">
        <f>AP766/AJ766</f>
        <v>0.30909090909090908</v>
      </c>
    </row>
    <row r="767" spans="1:50" ht="25.5" x14ac:dyDescent="0.2">
      <c r="AA767" s="28" t="s">
        <v>288</v>
      </c>
      <c r="AB767" s="29" t="s">
        <v>535</v>
      </c>
      <c r="AC767" s="17"/>
      <c r="AD767" s="18"/>
      <c r="AE767" s="34"/>
      <c r="AF767" s="34"/>
      <c r="AG767" s="34"/>
      <c r="AH767" s="34"/>
      <c r="AI767" s="34"/>
      <c r="AJ767" s="18"/>
      <c r="AK767" s="34"/>
      <c r="AL767" s="34"/>
      <c r="AM767" s="18"/>
      <c r="AN767" s="34"/>
      <c r="AO767" s="18"/>
      <c r="AP767" s="18"/>
      <c r="AQ767" s="34"/>
      <c r="AR767" s="18"/>
      <c r="AS767" s="18"/>
      <c r="AT767" s="30"/>
      <c r="AU767" s="18"/>
      <c r="AV767" s="18"/>
      <c r="AW767" s="18"/>
      <c r="AX767" s="18"/>
    </row>
    <row r="768" spans="1:50" x14ac:dyDescent="0.2">
      <c r="A768" s="4" t="s">
        <v>55</v>
      </c>
      <c r="B768" s="4" t="s">
        <v>56</v>
      </c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1" t="s">
        <v>555</v>
      </c>
      <c r="AB768" s="42" t="s">
        <v>233</v>
      </c>
      <c r="AC768" s="43" t="s">
        <v>58</v>
      </c>
      <c r="AD768" s="43">
        <v>1154000000</v>
      </c>
      <c r="AE768" s="44">
        <v>0</v>
      </c>
      <c r="AF768" s="44">
        <v>0</v>
      </c>
      <c r="AG768" s="43">
        <f>32000000+60000000</f>
        <v>92000000</v>
      </c>
      <c r="AH768" s="44">
        <v>0</v>
      </c>
      <c r="AI768" s="43">
        <f t="shared" ref="AI768:AI774" si="318">AE768-AF768+AG768-AH768</f>
        <v>92000000</v>
      </c>
      <c r="AJ768" s="43">
        <f t="shared" ref="AJ768:AJ774" si="319">AD768+AI768</f>
        <v>1246000000</v>
      </c>
      <c r="AK768" s="44">
        <v>0</v>
      </c>
      <c r="AL768" s="43">
        <f>AM768-JULIO!AM741</f>
        <v>26940000</v>
      </c>
      <c r="AM768" s="43">
        <v>1022078087</v>
      </c>
      <c r="AN768" s="44">
        <v>0</v>
      </c>
      <c r="AO768" s="43">
        <f>AP768-JULIO!AP741</f>
        <v>124306659</v>
      </c>
      <c r="AP768" s="43">
        <v>1017844754</v>
      </c>
      <c r="AQ768" s="43">
        <v>3600000</v>
      </c>
      <c r="AR768" s="43">
        <f>AS768-JULIO!AS741</f>
        <v>41842053</v>
      </c>
      <c r="AS768" s="43">
        <v>431052916</v>
      </c>
      <c r="AT768" s="39">
        <f t="shared" si="312"/>
        <v>434652916</v>
      </c>
      <c r="AU768" s="18">
        <f t="shared" ref="AU768:AU774" si="320">AJ768-AM768</f>
        <v>223921913</v>
      </c>
      <c r="AV768" s="18">
        <f t="shared" ref="AV768:AV774" si="321">AM768-AP768</f>
        <v>4233333</v>
      </c>
      <c r="AW768" s="18">
        <f t="shared" ref="AW768:AW774" si="322">AP768-AT768</f>
        <v>583191838</v>
      </c>
      <c r="AX768" s="123">
        <f t="shared" ref="AX768:AX773" si="323">AP768/AJ768</f>
        <v>0.81688985072231135</v>
      </c>
    </row>
    <row r="769" spans="1:50" ht="25.5" x14ac:dyDescent="0.2">
      <c r="A769" s="4" t="s">
        <v>55</v>
      </c>
      <c r="B769" s="4" t="s">
        <v>56</v>
      </c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1" t="s">
        <v>556</v>
      </c>
      <c r="AB769" s="42" t="s">
        <v>279</v>
      </c>
      <c r="AC769" s="43" t="s">
        <v>253</v>
      </c>
      <c r="AD769" s="43">
        <v>3243996468</v>
      </c>
      <c r="AE769" s="44">
        <v>0</v>
      </c>
      <c r="AF769" s="44">
        <v>0</v>
      </c>
      <c r="AG769" s="44">
        <v>0</v>
      </c>
      <c r="AH769" s="44">
        <v>0</v>
      </c>
      <c r="AI769" s="44">
        <f t="shared" si="318"/>
        <v>0</v>
      </c>
      <c r="AJ769" s="43">
        <f t="shared" si="319"/>
        <v>3243996468</v>
      </c>
      <c r="AK769" s="44">
        <v>0</v>
      </c>
      <c r="AL769" s="43">
        <f>AM769-JULIO!AM742</f>
        <v>5865440.3899998665</v>
      </c>
      <c r="AM769" s="43">
        <v>3109656205.5599999</v>
      </c>
      <c r="AN769" s="44">
        <v>0</v>
      </c>
      <c r="AO769" s="43">
        <f>AP769-JULIO!AP742</f>
        <v>5865440.3899998665</v>
      </c>
      <c r="AP769" s="43">
        <v>3109656205.5599999</v>
      </c>
      <c r="AQ769" s="43">
        <v>26006.39</v>
      </c>
      <c r="AR769" s="43">
        <f>AS769-JULIO!AS742</f>
        <v>112696534</v>
      </c>
      <c r="AS769" s="43">
        <v>1531389524.1700001</v>
      </c>
      <c r="AT769" s="39">
        <f t="shared" si="312"/>
        <v>1531415530.5600002</v>
      </c>
      <c r="AU769" s="18">
        <f t="shared" si="320"/>
        <v>134340262.44000006</v>
      </c>
      <c r="AV769" s="133">
        <f t="shared" si="321"/>
        <v>0</v>
      </c>
      <c r="AW769" s="18">
        <f t="shared" si="322"/>
        <v>1578240674.9999998</v>
      </c>
      <c r="AX769" s="123">
        <f t="shared" si="323"/>
        <v>0.9585880367734112</v>
      </c>
    </row>
    <row r="770" spans="1:50" ht="38.25" x14ac:dyDescent="0.2">
      <c r="A770" s="4" t="s">
        <v>55</v>
      </c>
      <c r="B770" s="4" t="s">
        <v>56</v>
      </c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1" t="s">
        <v>557</v>
      </c>
      <c r="AB770" s="42" t="s">
        <v>558</v>
      </c>
      <c r="AC770" s="43" t="s">
        <v>368</v>
      </c>
      <c r="AD770" s="43">
        <v>101429564.34</v>
      </c>
      <c r="AE770" s="44">
        <v>0</v>
      </c>
      <c r="AF770" s="44">
        <v>0</v>
      </c>
      <c r="AG770" s="44">
        <v>0</v>
      </c>
      <c r="AH770" s="44">
        <v>0</v>
      </c>
      <c r="AI770" s="44">
        <f t="shared" si="318"/>
        <v>0</v>
      </c>
      <c r="AJ770" s="43">
        <f t="shared" si="319"/>
        <v>101429564.34</v>
      </c>
      <c r="AK770" s="44">
        <v>0</v>
      </c>
      <c r="AL770" s="44">
        <f>AM770-JULIO!AM743</f>
        <v>0</v>
      </c>
      <c r="AM770" s="43">
        <v>40000000</v>
      </c>
      <c r="AN770" s="44">
        <v>0</v>
      </c>
      <c r="AO770" s="44">
        <f>AP770-JULIO!AP743</f>
        <v>0</v>
      </c>
      <c r="AP770" s="43">
        <v>40000000</v>
      </c>
      <c r="AQ770" s="44">
        <v>0</v>
      </c>
      <c r="AR770" s="44">
        <f>AS770-JULIO!AS743</f>
        <v>0</v>
      </c>
      <c r="AS770" s="44">
        <v>0</v>
      </c>
      <c r="AT770" s="40">
        <f t="shared" si="312"/>
        <v>0</v>
      </c>
      <c r="AU770" s="18">
        <f t="shared" si="320"/>
        <v>61429564.340000004</v>
      </c>
      <c r="AV770" s="34">
        <f t="shared" si="321"/>
        <v>0</v>
      </c>
      <c r="AW770" s="18">
        <f t="shared" si="322"/>
        <v>40000000</v>
      </c>
      <c r="AX770" s="123">
        <f t="shared" si="323"/>
        <v>0.39436233666465137</v>
      </c>
    </row>
    <row r="771" spans="1:50" ht="25.5" x14ac:dyDescent="0.2">
      <c r="A771" s="4" t="s">
        <v>55</v>
      </c>
      <c r="B771" s="4" t="s">
        <v>56</v>
      </c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1" t="s">
        <v>559</v>
      </c>
      <c r="AB771" s="42" t="s">
        <v>540</v>
      </c>
      <c r="AC771" s="43" t="s">
        <v>253</v>
      </c>
      <c r="AD771" s="43">
        <v>1690003316</v>
      </c>
      <c r="AE771" s="44">
        <v>0</v>
      </c>
      <c r="AF771" s="44">
        <v>0</v>
      </c>
      <c r="AG771" s="44">
        <v>0</v>
      </c>
      <c r="AH771" s="44">
        <v>0</v>
      </c>
      <c r="AI771" s="44">
        <f t="shared" si="318"/>
        <v>0</v>
      </c>
      <c r="AJ771" s="43">
        <f t="shared" si="319"/>
        <v>1690003316</v>
      </c>
      <c r="AK771" s="44">
        <v>0</v>
      </c>
      <c r="AL771" s="44">
        <f>AM771-JULIO!AM744</f>
        <v>0</v>
      </c>
      <c r="AM771" s="43">
        <v>1661510016</v>
      </c>
      <c r="AN771" s="43">
        <v>0</v>
      </c>
      <c r="AO771" s="44">
        <f>AP771-JULIO!AP744</f>
        <v>0</v>
      </c>
      <c r="AP771" s="43">
        <v>1661510016</v>
      </c>
      <c r="AQ771" s="34">
        <v>0</v>
      </c>
      <c r="AR771" s="43">
        <f>AS771-JULIO!AS744</f>
        <v>296010312</v>
      </c>
      <c r="AS771" s="18">
        <v>940537470</v>
      </c>
      <c r="AT771" s="39">
        <f t="shared" si="312"/>
        <v>940537470</v>
      </c>
      <c r="AU771" s="18">
        <f t="shared" si="320"/>
        <v>28493300</v>
      </c>
      <c r="AV771" s="34">
        <f t="shared" si="321"/>
        <v>0</v>
      </c>
      <c r="AW771" s="18">
        <f t="shared" si="322"/>
        <v>720972546</v>
      </c>
      <c r="AX771" s="123">
        <f t="shared" si="323"/>
        <v>0.98314009225293142</v>
      </c>
    </row>
    <row r="772" spans="1:50" ht="38.25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1" t="s">
        <v>1088</v>
      </c>
      <c r="AB772" s="42" t="s">
        <v>1089</v>
      </c>
      <c r="AC772" s="43"/>
      <c r="AD772" s="44">
        <v>0</v>
      </c>
      <c r="AE772" s="43">
        <v>56264221.140000001</v>
      </c>
      <c r="AF772" s="44">
        <v>0</v>
      </c>
      <c r="AG772" s="44">
        <v>0</v>
      </c>
      <c r="AH772" s="44">
        <v>0</v>
      </c>
      <c r="AI772" s="43">
        <f t="shared" si="318"/>
        <v>56264221.140000001</v>
      </c>
      <c r="AJ772" s="43">
        <f t="shared" si="319"/>
        <v>56264221.140000001</v>
      </c>
      <c r="AK772" s="44">
        <v>0</v>
      </c>
      <c r="AL772" s="44">
        <f>AM772-JULIO!AM745</f>
        <v>0</v>
      </c>
      <c r="AM772" s="44">
        <v>0</v>
      </c>
      <c r="AN772" s="44">
        <v>0</v>
      </c>
      <c r="AO772" s="44">
        <f>AP772-JULIO!AP745</f>
        <v>0</v>
      </c>
      <c r="AP772" s="44">
        <v>0</v>
      </c>
      <c r="AQ772" s="34">
        <v>0</v>
      </c>
      <c r="AR772" s="44">
        <f>AS772-JULIO!AS745</f>
        <v>0</v>
      </c>
      <c r="AS772" s="34">
        <v>0</v>
      </c>
      <c r="AT772" s="40">
        <f t="shared" si="312"/>
        <v>0</v>
      </c>
      <c r="AU772" s="18">
        <f t="shared" si="320"/>
        <v>56264221.140000001</v>
      </c>
      <c r="AV772" s="34">
        <f t="shared" si="321"/>
        <v>0</v>
      </c>
      <c r="AW772" s="34">
        <f t="shared" si="322"/>
        <v>0</v>
      </c>
      <c r="AX772" s="123">
        <f t="shared" si="323"/>
        <v>0</v>
      </c>
    </row>
    <row r="773" spans="1:50" ht="25.5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1" t="s">
        <v>1090</v>
      </c>
      <c r="AB773" s="42" t="s">
        <v>1011</v>
      </c>
      <c r="AC773" s="43"/>
      <c r="AD773" s="44">
        <v>0</v>
      </c>
      <c r="AE773" s="43">
        <v>1134339181.01</v>
      </c>
      <c r="AF773" s="44">
        <v>0</v>
      </c>
      <c r="AG773" s="44">
        <v>0</v>
      </c>
      <c r="AH773" s="43">
        <v>486828582</v>
      </c>
      <c r="AI773" s="43">
        <f t="shared" si="318"/>
        <v>647510599.00999999</v>
      </c>
      <c r="AJ773" s="43">
        <f t="shared" si="319"/>
        <v>647510599.00999999</v>
      </c>
      <c r="AK773" s="43">
        <v>0</v>
      </c>
      <c r="AL773" s="43">
        <f>AM773-JULIO!AM746</f>
        <v>14000000</v>
      </c>
      <c r="AM773" s="43">
        <v>217200008</v>
      </c>
      <c r="AN773" s="43">
        <v>0</v>
      </c>
      <c r="AO773" s="43">
        <f>AP773-JULIO!AP746</f>
        <v>208733341</v>
      </c>
      <c r="AP773" s="43">
        <v>208733341</v>
      </c>
      <c r="AQ773" s="34">
        <v>0</v>
      </c>
      <c r="AR773" s="44">
        <f>AS773-JULIO!AS746</f>
        <v>0</v>
      </c>
      <c r="AS773" s="18">
        <v>0</v>
      </c>
      <c r="AT773" s="40">
        <v>0</v>
      </c>
      <c r="AU773" s="18">
        <f t="shared" si="320"/>
        <v>430310591.00999999</v>
      </c>
      <c r="AV773" s="18">
        <f t="shared" si="321"/>
        <v>8466667</v>
      </c>
      <c r="AW773" s="34">
        <f t="shared" si="322"/>
        <v>208733341</v>
      </c>
      <c r="AX773" s="123">
        <f t="shared" si="323"/>
        <v>0.32236281741046274</v>
      </c>
    </row>
    <row r="774" spans="1:50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1" t="s">
        <v>1091</v>
      </c>
      <c r="AB774" s="42" t="s">
        <v>1015</v>
      </c>
      <c r="AC774" s="43"/>
      <c r="AD774" s="44">
        <v>0</v>
      </c>
      <c r="AE774" s="43">
        <v>300000000</v>
      </c>
      <c r="AF774" s="44">
        <v>0</v>
      </c>
      <c r="AG774" s="44">
        <v>0</v>
      </c>
      <c r="AH774" s="43">
        <v>300000000</v>
      </c>
      <c r="AI774" s="43">
        <f t="shared" si="318"/>
        <v>0</v>
      </c>
      <c r="AJ774" s="43">
        <f t="shared" si="319"/>
        <v>0</v>
      </c>
      <c r="AK774" s="44">
        <v>0</v>
      </c>
      <c r="AL774" s="43">
        <f>AM774-JULIO!AM747</f>
        <v>0</v>
      </c>
      <c r="AM774" s="43">
        <v>0</v>
      </c>
      <c r="AN774" s="44">
        <v>0</v>
      </c>
      <c r="AO774" s="44">
        <v>0</v>
      </c>
      <c r="AP774" s="44">
        <v>0</v>
      </c>
      <c r="AQ774" s="34">
        <v>0</v>
      </c>
      <c r="AR774" s="44">
        <f>AS774-JULIO!AS747</f>
        <v>0</v>
      </c>
      <c r="AS774" s="34">
        <v>0</v>
      </c>
      <c r="AT774" s="40">
        <v>0</v>
      </c>
      <c r="AU774" s="18">
        <f t="shared" si="320"/>
        <v>0</v>
      </c>
      <c r="AV774" s="34">
        <f t="shared" si="321"/>
        <v>0</v>
      </c>
      <c r="AW774" s="34">
        <f t="shared" si="322"/>
        <v>0</v>
      </c>
      <c r="AX774" s="123">
        <v>0</v>
      </c>
    </row>
    <row r="775" spans="1:50" ht="25.5" x14ac:dyDescent="0.2">
      <c r="AA775" s="28" t="s">
        <v>288</v>
      </c>
      <c r="AB775" s="29" t="s">
        <v>560</v>
      </c>
      <c r="AC775" s="17"/>
      <c r="AD775" s="18"/>
      <c r="AE775" s="34"/>
      <c r="AF775" s="34"/>
      <c r="AG775" s="34"/>
      <c r="AH775" s="34"/>
      <c r="AI775" s="34"/>
      <c r="AJ775" s="18"/>
      <c r="AK775" s="18"/>
      <c r="AL775" s="18"/>
      <c r="AM775" s="18"/>
      <c r="AN775" s="34"/>
      <c r="AO775" s="34"/>
      <c r="AP775" s="18"/>
      <c r="AQ775" s="34"/>
      <c r="AR775" s="34"/>
      <c r="AS775" s="34"/>
      <c r="AT775" s="40"/>
      <c r="AU775" s="18"/>
      <c r="AV775" s="18"/>
      <c r="AW775" s="18"/>
      <c r="AX775" s="18"/>
    </row>
    <row r="776" spans="1:50" x14ac:dyDescent="0.2">
      <c r="A776" s="4" t="s">
        <v>55</v>
      </c>
      <c r="B776" s="4" t="s">
        <v>56</v>
      </c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1" t="s">
        <v>561</v>
      </c>
      <c r="AB776" s="42" t="s">
        <v>233</v>
      </c>
      <c r="AC776" s="43" t="s">
        <v>58</v>
      </c>
      <c r="AD776" s="43">
        <v>510000000</v>
      </c>
      <c r="AE776" s="44">
        <v>0</v>
      </c>
      <c r="AF776" s="44">
        <v>0</v>
      </c>
      <c r="AG776" s="43">
        <v>20000000</v>
      </c>
      <c r="AH776" s="43">
        <v>10000000</v>
      </c>
      <c r="AI776" s="43">
        <f>AE776-AF776+AG776-AH776</f>
        <v>10000000</v>
      </c>
      <c r="AJ776" s="43">
        <f>AD776+AI776</f>
        <v>520000000</v>
      </c>
      <c r="AK776" s="44">
        <v>0</v>
      </c>
      <c r="AL776" s="43">
        <f>AM776-JULIO!AM749</f>
        <v>7500000</v>
      </c>
      <c r="AM776" s="43">
        <v>294942400</v>
      </c>
      <c r="AN776" s="44">
        <v>0</v>
      </c>
      <c r="AO776" s="44">
        <v>0</v>
      </c>
      <c r="AP776" s="114">
        <v>287442400</v>
      </c>
      <c r="AQ776" s="18">
        <v>4500000</v>
      </c>
      <c r="AR776" s="18">
        <v>16100000</v>
      </c>
      <c r="AS776" s="18">
        <v>103523333</v>
      </c>
      <c r="AT776" s="39">
        <f t="shared" ref="AT776:AT778" si="324">AQ776+AS776</f>
        <v>108023333</v>
      </c>
      <c r="AU776" s="18">
        <f>AJ776-AM776</f>
        <v>225057600</v>
      </c>
      <c r="AV776" s="18">
        <f>AM776-AP776</f>
        <v>7500000</v>
      </c>
      <c r="AW776" s="18">
        <f>AP776-AT776</f>
        <v>179419067</v>
      </c>
      <c r="AX776" s="123">
        <f>AP776/AJ776</f>
        <v>0.55277384615384617</v>
      </c>
    </row>
    <row r="777" spans="1:50" ht="18.75" customHeight="1" x14ac:dyDescent="0.2">
      <c r="A777" s="4" t="s">
        <v>55</v>
      </c>
      <c r="B777" s="4" t="s">
        <v>56</v>
      </c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1" t="s">
        <v>562</v>
      </c>
      <c r="AB777" s="42" t="s">
        <v>382</v>
      </c>
      <c r="AC777" s="43" t="s">
        <v>383</v>
      </c>
      <c r="AD777" s="43">
        <v>770000000</v>
      </c>
      <c r="AE777" s="44">
        <v>0</v>
      </c>
      <c r="AF777" s="44">
        <v>0</v>
      </c>
      <c r="AG777" s="44">
        <v>0</v>
      </c>
      <c r="AH777" s="44">
        <v>0</v>
      </c>
      <c r="AI777" s="44">
        <v>0</v>
      </c>
      <c r="AJ777" s="43">
        <v>770000000</v>
      </c>
      <c r="AK777" s="44">
        <v>0</v>
      </c>
      <c r="AL777" s="44">
        <f>AM777-JULIO!AM750</f>
        <v>0</v>
      </c>
      <c r="AM777" s="43">
        <v>718500000</v>
      </c>
      <c r="AN777" s="44">
        <v>0</v>
      </c>
      <c r="AO777" s="44">
        <v>0</v>
      </c>
      <c r="AP777" s="114">
        <v>718500000</v>
      </c>
      <c r="AQ777" s="34">
        <v>0</v>
      </c>
      <c r="AR777" s="18">
        <v>42000000</v>
      </c>
      <c r="AS777" s="18">
        <v>42000000</v>
      </c>
      <c r="AT777" s="39">
        <f t="shared" si="324"/>
        <v>42000000</v>
      </c>
      <c r="AU777" s="18">
        <f>AJ777-AM777</f>
        <v>51500000</v>
      </c>
      <c r="AV777" s="34">
        <f>AM777-AP777</f>
        <v>0</v>
      </c>
      <c r="AW777" s="18">
        <f>AP777-AT777</f>
        <v>676500000</v>
      </c>
      <c r="AX777" s="123">
        <f>AP777/AJ777</f>
        <v>0.93311688311688312</v>
      </c>
    </row>
    <row r="778" spans="1:50" ht="18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1" t="s">
        <v>1235</v>
      </c>
      <c r="AB778" s="42" t="s">
        <v>1015</v>
      </c>
      <c r="AC778" s="43"/>
      <c r="AD778" s="44">
        <v>0</v>
      </c>
      <c r="AE778" s="43">
        <v>25000000</v>
      </c>
      <c r="AF778" s="44">
        <v>0</v>
      </c>
      <c r="AG778" s="44">
        <v>0</v>
      </c>
      <c r="AH778" s="44">
        <v>0</v>
      </c>
      <c r="AI778" s="43">
        <f>AE778-AF778+AG778-AH778</f>
        <v>25000000</v>
      </c>
      <c r="AJ778" s="43">
        <f>AD778+AI778</f>
        <v>25000000</v>
      </c>
      <c r="AK778" s="44">
        <v>0</v>
      </c>
      <c r="AL778" s="44">
        <f>AM778-JULIO!AM751</f>
        <v>0</v>
      </c>
      <c r="AM778" s="44">
        <v>0</v>
      </c>
      <c r="AN778" s="44">
        <v>0</v>
      </c>
      <c r="AO778" s="44">
        <v>0</v>
      </c>
      <c r="AP778" s="114">
        <v>0</v>
      </c>
      <c r="AQ778" s="34">
        <v>0</v>
      </c>
      <c r="AR778" s="34">
        <v>0</v>
      </c>
      <c r="AS778" s="34">
        <v>0</v>
      </c>
      <c r="AT778" s="39">
        <f t="shared" si="324"/>
        <v>0</v>
      </c>
      <c r="AU778" s="18">
        <f>AJ778-AM778</f>
        <v>25000000</v>
      </c>
      <c r="AV778" s="133">
        <f>AM778-AP778</f>
        <v>0</v>
      </c>
      <c r="AW778" s="18">
        <f>AP778-AT778</f>
        <v>0</v>
      </c>
      <c r="AX778" s="123">
        <f>AP778/AJ778</f>
        <v>0</v>
      </c>
    </row>
    <row r="779" spans="1:50" ht="25.5" customHeight="1" x14ac:dyDescent="0.2">
      <c r="AA779" s="28" t="s">
        <v>288</v>
      </c>
      <c r="AB779" s="29" t="s">
        <v>563</v>
      </c>
      <c r="AC779" s="17"/>
      <c r="AD779" s="18"/>
      <c r="AE779" s="34"/>
      <c r="AF779" s="34"/>
      <c r="AG779" s="34"/>
      <c r="AH779" s="34"/>
      <c r="AI779" s="34"/>
      <c r="AJ779" s="18"/>
      <c r="AK779" s="18"/>
      <c r="AL779" s="18"/>
      <c r="AM779" s="18"/>
      <c r="AN779" s="18"/>
      <c r="AO779" s="18"/>
      <c r="AP779" s="110"/>
      <c r="AQ779" s="34"/>
      <c r="AR779" s="34"/>
      <c r="AS779" s="34"/>
      <c r="AT779" s="40"/>
      <c r="AU779" s="18"/>
      <c r="AV779" s="34"/>
      <c r="AW779" s="18"/>
      <c r="AX779" s="18"/>
    </row>
    <row r="780" spans="1:50" ht="18.75" customHeight="1" x14ac:dyDescent="0.2">
      <c r="A780" s="4" t="s">
        <v>55</v>
      </c>
      <c r="B780" s="4" t="s">
        <v>56</v>
      </c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1" t="s">
        <v>564</v>
      </c>
      <c r="AB780" s="42" t="s">
        <v>233</v>
      </c>
      <c r="AC780" s="43" t="s">
        <v>58</v>
      </c>
      <c r="AD780" s="43">
        <v>150000000</v>
      </c>
      <c r="AE780" s="44">
        <v>0</v>
      </c>
      <c r="AF780" s="44">
        <v>0</v>
      </c>
      <c r="AG780" s="43">
        <f>200000000+318600000</f>
        <v>518600000</v>
      </c>
      <c r="AH780" s="43">
        <v>173600000</v>
      </c>
      <c r="AI780" s="43">
        <f>AE780-AF780+AG780-AH780</f>
        <v>345000000</v>
      </c>
      <c r="AJ780" s="43">
        <f>AD780+AI780</f>
        <v>495000000</v>
      </c>
      <c r="AK780" s="44">
        <v>0</v>
      </c>
      <c r="AL780" s="44">
        <f>AM780-JULIO!AM753</f>
        <v>0</v>
      </c>
      <c r="AM780" s="43">
        <v>333119471</v>
      </c>
      <c r="AN780" s="43">
        <v>0</v>
      </c>
      <c r="AO780" s="43">
        <f>AP780-JULIO!AP753</f>
        <v>99242640</v>
      </c>
      <c r="AP780" s="43">
        <v>327642640</v>
      </c>
      <c r="AQ780" s="34">
        <v>0</v>
      </c>
      <c r="AR780" s="18">
        <v>21400000</v>
      </c>
      <c r="AS780" s="18">
        <v>86813333</v>
      </c>
      <c r="AT780" s="39">
        <f t="shared" ref="AT780:AT782" si="325">AQ780+AS780</f>
        <v>86813333</v>
      </c>
      <c r="AU780" s="18">
        <f>AJ780-AM780</f>
        <v>161880529</v>
      </c>
      <c r="AV780" s="18">
        <f>AM780-AP780</f>
        <v>5476831</v>
      </c>
      <c r="AW780" s="110">
        <f>AP780-AT780</f>
        <v>240829307</v>
      </c>
      <c r="AX780" s="123">
        <f>AP780/AJ780</f>
        <v>0.66190432323232318</v>
      </c>
    </row>
    <row r="781" spans="1:50" ht="18.75" customHeight="1" x14ac:dyDescent="0.2">
      <c r="A781" s="4" t="s">
        <v>55</v>
      </c>
      <c r="B781" s="4" t="s">
        <v>56</v>
      </c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1" t="s">
        <v>565</v>
      </c>
      <c r="AB781" s="42" t="s">
        <v>382</v>
      </c>
      <c r="AC781" s="43" t="s">
        <v>383</v>
      </c>
      <c r="AD781" s="43">
        <v>1110000000</v>
      </c>
      <c r="AE781" s="44">
        <v>0</v>
      </c>
      <c r="AF781" s="44">
        <v>0</v>
      </c>
      <c r="AG781" s="44">
        <v>0</v>
      </c>
      <c r="AH781" s="44">
        <v>0</v>
      </c>
      <c r="AI781" s="44">
        <v>0</v>
      </c>
      <c r="AJ781" s="43">
        <v>1110000000</v>
      </c>
      <c r="AK781" s="44">
        <v>0</v>
      </c>
      <c r="AL781" s="44">
        <v>0</v>
      </c>
      <c r="AM781" s="43">
        <v>1110000000</v>
      </c>
      <c r="AN781" s="43">
        <v>0</v>
      </c>
      <c r="AO781" s="43">
        <f>AP781-JULIO!AP754</f>
        <v>0</v>
      </c>
      <c r="AP781" s="43">
        <v>1016234191</v>
      </c>
      <c r="AQ781" s="34">
        <v>0</v>
      </c>
      <c r="AR781" s="18">
        <v>168434951</v>
      </c>
      <c r="AS781" s="18">
        <v>445306455</v>
      </c>
      <c r="AT781" s="39">
        <f t="shared" si="325"/>
        <v>445306455</v>
      </c>
      <c r="AU781" s="34">
        <f>AJ781-AM781</f>
        <v>0</v>
      </c>
      <c r="AV781" s="18">
        <f>AM781-AP781</f>
        <v>93765809</v>
      </c>
      <c r="AW781" s="110">
        <f>AP781-AT781</f>
        <v>570927736</v>
      </c>
      <c r="AX781" s="123">
        <f>AP781/AJ781</f>
        <v>0.9155262981981982</v>
      </c>
    </row>
    <row r="782" spans="1:50" ht="18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1" t="s">
        <v>1098</v>
      </c>
      <c r="AB782" s="42" t="s">
        <v>1015</v>
      </c>
      <c r="AC782" s="43"/>
      <c r="AD782" s="44">
        <v>0</v>
      </c>
      <c r="AE782" s="43">
        <v>326400000</v>
      </c>
      <c r="AF782" s="44">
        <v>0</v>
      </c>
      <c r="AG782" s="44">
        <v>0</v>
      </c>
      <c r="AH782" s="43">
        <v>326400000</v>
      </c>
      <c r="AI782" s="43">
        <f>AE782-AF782+AG782-AH782</f>
        <v>0</v>
      </c>
      <c r="AJ782" s="44">
        <f>AD782+AI782</f>
        <v>0</v>
      </c>
      <c r="AK782" s="44">
        <v>0</v>
      </c>
      <c r="AL782" s="44">
        <v>0</v>
      </c>
      <c r="AM782" s="44">
        <v>0</v>
      </c>
      <c r="AN782" s="44">
        <v>0</v>
      </c>
      <c r="AO782" s="44">
        <v>0</v>
      </c>
      <c r="AP782" s="44">
        <v>0</v>
      </c>
      <c r="AQ782" s="34">
        <v>0</v>
      </c>
      <c r="AR782" s="34">
        <v>0</v>
      </c>
      <c r="AS782" s="34">
        <v>0</v>
      </c>
      <c r="AT782" s="40">
        <f t="shared" si="325"/>
        <v>0</v>
      </c>
      <c r="AU782" s="18">
        <f>AJ782-AM782</f>
        <v>0</v>
      </c>
      <c r="AV782" s="34">
        <f>AM782-AP782</f>
        <v>0</v>
      </c>
      <c r="AW782" s="133">
        <f>AP782-AT782</f>
        <v>0</v>
      </c>
      <c r="AX782" s="123">
        <v>0</v>
      </c>
    </row>
    <row r="783" spans="1:50" ht="18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73" t="s">
        <v>288</v>
      </c>
      <c r="AB783" s="74" t="s">
        <v>1259</v>
      </c>
      <c r="AC783" s="43"/>
      <c r="AD783" s="43"/>
      <c r="AE783" s="43"/>
      <c r="AF783" s="44"/>
      <c r="AG783" s="44"/>
      <c r="AH783" s="44"/>
      <c r="AI783" s="43"/>
      <c r="AJ783" s="43"/>
      <c r="AK783" s="44"/>
      <c r="AL783" s="115"/>
      <c r="AM783" s="115"/>
      <c r="AN783" s="44"/>
      <c r="AO783" s="44"/>
      <c r="AP783" s="44"/>
      <c r="AQ783" s="34"/>
      <c r="AR783" s="34"/>
      <c r="AS783" s="34"/>
      <c r="AT783" s="40"/>
      <c r="AU783" s="18"/>
      <c r="AV783" s="34"/>
      <c r="AW783" s="133"/>
      <c r="AX783" s="123"/>
    </row>
    <row r="784" spans="1:50" ht="18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1" t="s">
        <v>1260</v>
      </c>
      <c r="AB784" s="42" t="s">
        <v>961</v>
      </c>
      <c r="AC784" s="43"/>
      <c r="AD784" s="44">
        <v>0</v>
      </c>
      <c r="AE784" s="44">
        <v>0</v>
      </c>
      <c r="AF784" s="44">
        <v>0</v>
      </c>
      <c r="AG784" s="43">
        <v>29000000</v>
      </c>
      <c r="AH784" s="43">
        <v>29000000</v>
      </c>
      <c r="AI784" s="44">
        <f>AE784-AF784+AG784-AH784</f>
        <v>0</v>
      </c>
      <c r="AJ784" s="44">
        <f>AD784+AI784</f>
        <v>0</v>
      </c>
      <c r="AK784" s="44">
        <v>0</v>
      </c>
      <c r="AL784" s="115">
        <v>0</v>
      </c>
      <c r="AM784" s="115">
        <v>0</v>
      </c>
      <c r="AN784" s="44">
        <v>0</v>
      </c>
      <c r="AO784" s="44">
        <v>0</v>
      </c>
      <c r="AP784" s="44">
        <v>0</v>
      </c>
      <c r="AQ784" s="34">
        <v>0</v>
      </c>
      <c r="AR784" s="34">
        <v>0</v>
      </c>
      <c r="AS784" s="34">
        <v>0</v>
      </c>
      <c r="AT784" s="40">
        <f t="shared" ref="AT784" si="326">AQ784+AS784</f>
        <v>0</v>
      </c>
      <c r="AU784" s="34">
        <f>AJ784-AM784</f>
        <v>0</v>
      </c>
      <c r="AV784" s="34">
        <f>AM784-AP784</f>
        <v>0</v>
      </c>
      <c r="AW784" s="133">
        <f>AP784-AT784</f>
        <v>0</v>
      </c>
      <c r="AX784" s="123">
        <v>0</v>
      </c>
    </row>
    <row r="785" spans="1:50" ht="18.75" customHeight="1" x14ac:dyDescent="0.2">
      <c r="AA785" s="28" t="s">
        <v>288</v>
      </c>
      <c r="AB785" s="29" t="s">
        <v>566</v>
      </c>
      <c r="AC785" s="17"/>
      <c r="AD785" s="18"/>
      <c r="AE785" s="34"/>
      <c r="AF785" s="34"/>
      <c r="AG785" s="34"/>
      <c r="AH785" s="34"/>
      <c r="AI785" s="34"/>
      <c r="AJ785" s="18"/>
      <c r="AK785" s="18"/>
      <c r="AL785" s="18"/>
      <c r="AM785" s="18"/>
      <c r="AN785" s="18"/>
      <c r="AO785" s="18"/>
      <c r="AP785" s="110"/>
      <c r="AQ785" s="18"/>
      <c r="AR785" s="18"/>
      <c r="AS785" s="18"/>
      <c r="AT785" s="30"/>
      <c r="AU785" s="18"/>
      <c r="AV785" s="18"/>
      <c r="AW785" s="18"/>
      <c r="AX785" s="18"/>
    </row>
    <row r="786" spans="1:50" ht="18.75" customHeight="1" x14ac:dyDescent="0.2">
      <c r="A786" s="4" t="s">
        <v>55</v>
      </c>
      <c r="B786" s="4" t="s">
        <v>56</v>
      </c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1" t="s">
        <v>567</v>
      </c>
      <c r="AB786" s="42" t="s">
        <v>233</v>
      </c>
      <c r="AC786" s="43" t="s">
        <v>58</v>
      </c>
      <c r="AD786" s="43">
        <v>771000000</v>
      </c>
      <c r="AE786" s="44">
        <v>0</v>
      </c>
      <c r="AF786" s="44">
        <v>0</v>
      </c>
      <c r="AG786" s="43">
        <v>29000000</v>
      </c>
      <c r="AH786" s="44">
        <v>0</v>
      </c>
      <c r="AI786" s="43">
        <f>AE786-AF786+AG786-AH786</f>
        <v>29000000</v>
      </c>
      <c r="AJ786" s="43">
        <f>AD786+AI786</f>
        <v>800000000</v>
      </c>
      <c r="AK786" s="44">
        <v>0</v>
      </c>
      <c r="AL786" s="43">
        <f>AM786-JULIO!AM759</f>
        <v>14222187.709999919</v>
      </c>
      <c r="AM786" s="43">
        <v>632008086.91999996</v>
      </c>
      <c r="AN786" s="43">
        <v>0</v>
      </c>
      <c r="AO786" s="114">
        <f>AP786-JULIO!AP759</f>
        <v>14222187.709999919</v>
      </c>
      <c r="AP786" s="114">
        <v>606353703.91999996</v>
      </c>
      <c r="AQ786" s="43">
        <v>14187.71</v>
      </c>
      <c r="AR786" s="43">
        <v>62308000</v>
      </c>
      <c r="AS786" s="43">
        <v>386576967.20999998</v>
      </c>
      <c r="AT786" s="39">
        <f t="shared" si="312"/>
        <v>386591154.91999996</v>
      </c>
      <c r="AU786" s="18">
        <f>AJ786-AM786</f>
        <v>167991913.08000004</v>
      </c>
      <c r="AV786" s="18">
        <f>AM786-AP786</f>
        <v>25654383</v>
      </c>
      <c r="AW786" s="18">
        <f>AP786-AT786</f>
        <v>219762549</v>
      </c>
      <c r="AX786" s="123">
        <f>AP786/AJ786</f>
        <v>0.75794212989999998</v>
      </c>
    </row>
    <row r="787" spans="1:50" ht="18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1" t="s">
        <v>567</v>
      </c>
      <c r="AB787" s="42" t="s">
        <v>1015</v>
      </c>
      <c r="AC787" s="43"/>
      <c r="AD787" s="44">
        <v>0</v>
      </c>
      <c r="AE787" s="43">
        <v>883600000</v>
      </c>
      <c r="AF787" s="44">
        <v>0</v>
      </c>
      <c r="AG787" s="44">
        <v>0</v>
      </c>
      <c r="AH787" s="44">
        <v>0</v>
      </c>
      <c r="AI787" s="43">
        <f>AE787-AF787+AG787-AH787</f>
        <v>883600000</v>
      </c>
      <c r="AJ787" s="43">
        <f>AD787+AI787</f>
        <v>883600000</v>
      </c>
      <c r="AK787" s="44">
        <v>0</v>
      </c>
      <c r="AL787" s="43">
        <f>AM787-JULIO!AM760</f>
        <v>156485096</v>
      </c>
      <c r="AM787" s="43">
        <v>770118511</v>
      </c>
      <c r="AN787" s="43">
        <v>10500000</v>
      </c>
      <c r="AO787" s="43">
        <f>AP787-JULIO!AP760</f>
        <v>41500000</v>
      </c>
      <c r="AP787" s="43">
        <v>101500000</v>
      </c>
      <c r="AQ787" s="44">
        <v>0</v>
      </c>
      <c r="AR787" s="44">
        <v>5299999</v>
      </c>
      <c r="AS787" s="43">
        <v>5299999</v>
      </c>
      <c r="AT787" s="39">
        <f t="shared" si="312"/>
        <v>5299999</v>
      </c>
      <c r="AU787" s="18">
        <f>AJ787-AM787</f>
        <v>113481489</v>
      </c>
      <c r="AV787" s="18">
        <f>AM787-AP787</f>
        <v>668618511</v>
      </c>
      <c r="AW787" s="18">
        <f>AP787-AT787</f>
        <v>96200001</v>
      </c>
      <c r="AX787" s="123">
        <f>AP787/AJ787</f>
        <v>0.11487098234495247</v>
      </c>
    </row>
    <row r="788" spans="1:50" ht="18.75" customHeight="1" x14ac:dyDescent="0.2">
      <c r="AA788" s="28" t="s">
        <v>288</v>
      </c>
      <c r="AB788" s="29" t="s">
        <v>568</v>
      </c>
      <c r="AC788" s="17"/>
      <c r="AD788" s="18"/>
      <c r="AE788" s="34"/>
      <c r="AF788" s="34"/>
      <c r="AG788" s="34"/>
      <c r="AH788" s="34"/>
      <c r="AI788" s="34"/>
      <c r="AJ788" s="18"/>
      <c r="AK788" s="34"/>
      <c r="AL788" s="18"/>
      <c r="AM788" s="18"/>
      <c r="AN788" s="18"/>
      <c r="AO788" s="110"/>
      <c r="AP788" s="110"/>
      <c r="AQ788" s="18"/>
      <c r="AR788" s="18"/>
      <c r="AS788" s="18"/>
      <c r="AT788" s="30"/>
      <c r="AU788" s="18"/>
      <c r="AV788" s="18"/>
      <c r="AW788" s="18"/>
      <c r="AX788" s="18"/>
    </row>
    <row r="789" spans="1:50" ht="18.75" customHeight="1" x14ac:dyDescent="0.2">
      <c r="A789" s="4" t="s">
        <v>55</v>
      </c>
      <c r="B789" s="4" t="s">
        <v>56</v>
      </c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1" t="s">
        <v>569</v>
      </c>
      <c r="AB789" s="42" t="s">
        <v>233</v>
      </c>
      <c r="AC789" s="43" t="s">
        <v>58</v>
      </c>
      <c r="AD789" s="43">
        <v>230000000</v>
      </c>
      <c r="AE789" s="44">
        <v>0</v>
      </c>
      <c r="AF789" s="44">
        <v>0</v>
      </c>
      <c r="AG789" s="44">
        <v>0</v>
      </c>
      <c r="AH789" s="44">
        <v>0</v>
      </c>
      <c r="AI789" s="44">
        <v>0</v>
      </c>
      <c r="AJ789" s="43">
        <v>230000000</v>
      </c>
      <c r="AK789" s="44">
        <v>0</v>
      </c>
      <c r="AL789" s="43">
        <f>AM789-JULIO!AM762</f>
        <v>0</v>
      </c>
      <c r="AM789" s="43">
        <v>220831290</v>
      </c>
      <c r="AN789" s="44">
        <v>0</v>
      </c>
      <c r="AO789" s="114">
        <f>AP789-JULIO!AP762</f>
        <v>40000000</v>
      </c>
      <c r="AP789" s="114">
        <v>220831290</v>
      </c>
      <c r="AQ789" s="34">
        <v>0</v>
      </c>
      <c r="AR789" s="18">
        <v>19166667</v>
      </c>
      <c r="AS789" s="18">
        <v>116133334</v>
      </c>
      <c r="AT789" s="39">
        <f t="shared" si="312"/>
        <v>116133334</v>
      </c>
      <c r="AU789" s="18">
        <f>AJ789-AM789</f>
        <v>9168710</v>
      </c>
      <c r="AV789" s="18">
        <f>AM789-AP789</f>
        <v>0</v>
      </c>
      <c r="AW789" s="18">
        <f>AP789-AT789</f>
        <v>104697956</v>
      </c>
      <c r="AX789" s="123">
        <f>AP789/AJ789</f>
        <v>0.96013604347826087</v>
      </c>
    </row>
    <row r="790" spans="1:50" ht="18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1" t="s">
        <v>1099</v>
      </c>
      <c r="AB790" s="42" t="s">
        <v>1015</v>
      </c>
      <c r="AC790" s="43"/>
      <c r="AD790" s="44">
        <v>0</v>
      </c>
      <c r="AE790" s="43">
        <v>65000000</v>
      </c>
      <c r="AF790" s="44">
        <v>0</v>
      </c>
      <c r="AG790" s="43">
        <v>25000000</v>
      </c>
      <c r="AH790" s="44">
        <v>0</v>
      </c>
      <c r="AI790" s="43">
        <f>AE790-AF790+AG790-AH790</f>
        <v>90000000</v>
      </c>
      <c r="AJ790" s="43">
        <f>AD790+AI790</f>
        <v>90000000</v>
      </c>
      <c r="AK790" s="44">
        <v>0</v>
      </c>
      <c r="AL790" s="44">
        <v>0</v>
      </c>
      <c r="AM790" s="44">
        <v>0</v>
      </c>
      <c r="AN790" s="44">
        <v>0</v>
      </c>
      <c r="AO790" s="115">
        <v>0</v>
      </c>
      <c r="AP790" s="115">
        <v>0</v>
      </c>
      <c r="AQ790" s="34">
        <v>0</v>
      </c>
      <c r="AR790" s="34">
        <v>0</v>
      </c>
      <c r="AS790" s="34">
        <v>0</v>
      </c>
      <c r="AT790" s="39">
        <f t="shared" si="312"/>
        <v>0</v>
      </c>
      <c r="AU790" s="18">
        <f>AJ790-AM790</f>
        <v>90000000</v>
      </c>
      <c r="AV790" s="34">
        <f>AM790-AP790</f>
        <v>0</v>
      </c>
      <c r="AW790" s="133">
        <f>AP790-AT790</f>
        <v>0</v>
      </c>
      <c r="AX790" s="123">
        <f>AP790/AJ790</f>
        <v>0</v>
      </c>
    </row>
    <row r="791" spans="1:50" ht="18.75" customHeight="1" x14ac:dyDescent="0.2">
      <c r="AA791" s="28" t="s">
        <v>288</v>
      </c>
      <c r="AB791" s="29" t="s">
        <v>570</v>
      </c>
      <c r="AC791" s="17"/>
      <c r="AD791" s="18"/>
      <c r="AE791" s="34"/>
      <c r="AF791" s="34"/>
      <c r="AG791" s="34"/>
      <c r="AH791" s="34"/>
      <c r="AI791" s="34"/>
      <c r="AJ791" s="18"/>
      <c r="AK791" s="34"/>
      <c r="AL791" s="18"/>
      <c r="AM791" s="18"/>
      <c r="AN791" s="34"/>
      <c r="AO791" s="110"/>
      <c r="AP791" s="110"/>
      <c r="AQ791" s="34"/>
      <c r="AR791" s="18"/>
      <c r="AS791" s="18"/>
      <c r="AT791" s="39"/>
      <c r="AU791" s="18"/>
      <c r="AV791" s="18"/>
      <c r="AW791" s="18"/>
      <c r="AX791" s="18"/>
    </row>
    <row r="792" spans="1:50" ht="18.75" customHeight="1" x14ac:dyDescent="0.2">
      <c r="A792" s="4" t="s">
        <v>55</v>
      </c>
      <c r="B792" s="4" t="s">
        <v>56</v>
      </c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1" t="s">
        <v>571</v>
      </c>
      <c r="AB792" s="42" t="s">
        <v>233</v>
      </c>
      <c r="AC792" s="43" t="s">
        <v>58</v>
      </c>
      <c r="AD792" s="43">
        <v>300000000</v>
      </c>
      <c r="AE792" s="44">
        <v>0</v>
      </c>
      <c r="AF792" s="44">
        <v>0</v>
      </c>
      <c r="AG792" s="44">
        <v>0</v>
      </c>
      <c r="AH792" s="44">
        <v>0</v>
      </c>
      <c r="AI792" s="44">
        <v>0</v>
      </c>
      <c r="AJ792" s="43">
        <v>300000000</v>
      </c>
      <c r="AK792" s="44">
        <v>0</v>
      </c>
      <c r="AL792" s="43">
        <f>AM792-JULIO!AM765</f>
        <v>38000000</v>
      </c>
      <c r="AM792" s="43">
        <v>166999999</v>
      </c>
      <c r="AN792" s="44">
        <v>0</v>
      </c>
      <c r="AO792" s="114">
        <f>AP792-JULIO!AP765</f>
        <v>26000000</v>
      </c>
      <c r="AP792" s="114">
        <v>154999999</v>
      </c>
      <c r="AQ792" s="34">
        <v>0</v>
      </c>
      <c r="AR792" s="18">
        <v>19000000</v>
      </c>
      <c r="AS792" s="18">
        <v>99483332</v>
      </c>
      <c r="AT792" s="39">
        <f t="shared" ref="AT792" si="327">AQ792+AS792</f>
        <v>99483332</v>
      </c>
      <c r="AU792" s="18">
        <f>AJ792-AM792</f>
        <v>133000001</v>
      </c>
      <c r="AV792" s="18">
        <f>AM792-AP792</f>
        <v>12000000</v>
      </c>
      <c r="AW792" s="18">
        <f>AP792-AT792</f>
        <v>55516667</v>
      </c>
      <c r="AX792" s="123">
        <f>AP792/AJ792</f>
        <v>0.51666666333333333</v>
      </c>
    </row>
    <row r="793" spans="1:50" ht="18.75" customHeight="1" x14ac:dyDescent="0.2">
      <c r="AA793" s="28" t="s">
        <v>288</v>
      </c>
      <c r="AB793" s="29" t="s">
        <v>400</v>
      </c>
      <c r="AC793" s="17"/>
      <c r="AD793" s="18"/>
      <c r="AE793" s="34"/>
      <c r="AF793" s="34"/>
      <c r="AG793" s="34"/>
      <c r="AH793" s="34"/>
      <c r="AI793" s="34"/>
      <c r="AJ793" s="18"/>
      <c r="AK793" s="34"/>
      <c r="AL793" s="18"/>
      <c r="AM793" s="18"/>
      <c r="AN793" s="34"/>
      <c r="AO793" s="110"/>
      <c r="AP793" s="110"/>
      <c r="AQ793" s="18"/>
      <c r="AR793" s="18"/>
      <c r="AS793" s="18"/>
      <c r="AT793" s="39"/>
      <c r="AU793" s="18"/>
      <c r="AV793" s="110"/>
      <c r="AW793" s="18"/>
      <c r="AX793" s="18"/>
    </row>
    <row r="794" spans="1:50" ht="18.75" customHeight="1" x14ac:dyDescent="0.2">
      <c r="A794" s="4" t="s">
        <v>55</v>
      </c>
      <c r="B794" s="4" t="s">
        <v>56</v>
      </c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1" t="s">
        <v>425</v>
      </c>
      <c r="AB794" s="42" t="s">
        <v>233</v>
      </c>
      <c r="AC794" s="43" t="s">
        <v>58</v>
      </c>
      <c r="AD794" s="43">
        <v>440000000</v>
      </c>
      <c r="AE794" s="44">
        <v>0</v>
      </c>
      <c r="AF794" s="44">
        <v>0</v>
      </c>
      <c r="AG794" s="43">
        <f>42000000+12000000</f>
        <v>54000000</v>
      </c>
      <c r="AH794" s="44">
        <v>0</v>
      </c>
      <c r="AI794" s="43">
        <f>AE794-AF794+AG794-AH794</f>
        <v>54000000</v>
      </c>
      <c r="AJ794" s="43">
        <f>AD794+AI794</f>
        <v>494000000</v>
      </c>
      <c r="AK794" s="44">
        <v>0</v>
      </c>
      <c r="AL794" s="43">
        <f>AM794-JULIO!AM767</f>
        <v>0</v>
      </c>
      <c r="AM794" s="43">
        <v>427900001</v>
      </c>
      <c r="AN794" s="44">
        <v>0</v>
      </c>
      <c r="AO794" s="114">
        <v>0</v>
      </c>
      <c r="AP794" s="114">
        <v>427900001</v>
      </c>
      <c r="AQ794" s="18">
        <v>6400000</v>
      </c>
      <c r="AR794" s="18">
        <v>64600000</v>
      </c>
      <c r="AS794" s="18">
        <v>273616667</v>
      </c>
      <c r="AT794" s="39">
        <f t="shared" ref="AT794:AT795" si="328">AQ794+AS794</f>
        <v>280016667</v>
      </c>
      <c r="AU794" s="18">
        <f>AJ794-AM794</f>
        <v>66099999</v>
      </c>
      <c r="AV794" s="133">
        <f>AM794-AP794</f>
        <v>0</v>
      </c>
      <c r="AW794" s="18">
        <f>AP794-AT794</f>
        <v>147883334</v>
      </c>
      <c r="AX794" s="123">
        <f>AP794/AJ794</f>
        <v>0.8661943340080972</v>
      </c>
    </row>
    <row r="795" spans="1:50" ht="18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1" t="s">
        <v>1256</v>
      </c>
      <c r="AB795" s="42" t="s">
        <v>1015</v>
      </c>
      <c r="AC795" s="43"/>
      <c r="AD795" s="44">
        <v>0</v>
      </c>
      <c r="AE795" s="44">
        <v>0</v>
      </c>
      <c r="AF795" s="44">
        <v>0</v>
      </c>
      <c r="AG795" s="43">
        <v>120000000</v>
      </c>
      <c r="AH795" s="44">
        <v>0</v>
      </c>
      <c r="AI795" s="43">
        <f>AE795-AF795+AG795-AH795</f>
        <v>120000000</v>
      </c>
      <c r="AJ795" s="43">
        <f>AD795+AI795</f>
        <v>120000000</v>
      </c>
      <c r="AK795" s="43">
        <v>0</v>
      </c>
      <c r="AL795" s="43">
        <f>AM795-JULIO!AM768</f>
        <v>2200000</v>
      </c>
      <c r="AM795" s="43">
        <v>44200000</v>
      </c>
      <c r="AN795" s="43">
        <v>0</v>
      </c>
      <c r="AO795" s="43">
        <f>AP795-JULIO!AP768</f>
        <v>35916667</v>
      </c>
      <c r="AP795" s="43">
        <v>35916667</v>
      </c>
      <c r="AQ795" s="34">
        <v>0</v>
      </c>
      <c r="AR795" s="34">
        <v>0</v>
      </c>
      <c r="AS795" s="34">
        <v>0</v>
      </c>
      <c r="AT795" s="40">
        <f t="shared" si="328"/>
        <v>0</v>
      </c>
      <c r="AU795" s="18">
        <f>AJ795-AM795</f>
        <v>75800000</v>
      </c>
      <c r="AV795" s="18">
        <f>AM795-AP795</f>
        <v>8283333</v>
      </c>
      <c r="AW795" s="18">
        <f>AP795-AT795</f>
        <v>35916667</v>
      </c>
      <c r="AX795" s="123">
        <f>AP795/AJ795</f>
        <v>0.29930555833333333</v>
      </c>
    </row>
    <row r="796" spans="1:50" ht="18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73" t="s">
        <v>1016</v>
      </c>
      <c r="AB796" s="74" t="s">
        <v>1068</v>
      </c>
      <c r="AC796" s="43"/>
      <c r="AD796" s="43"/>
      <c r="AE796" s="44"/>
      <c r="AF796" s="44"/>
      <c r="AG796" s="43"/>
      <c r="AH796" s="44"/>
      <c r="AI796" s="43"/>
      <c r="AJ796" s="43"/>
      <c r="AK796" s="44"/>
      <c r="AL796" s="43"/>
      <c r="AM796" s="43"/>
      <c r="AN796" s="44"/>
      <c r="AO796" s="115"/>
      <c r="AP796" s="115"/>
      <c r="AQ796" s="34"/>
      <c r="AR796" s="34"/>
      <c r="AS796" s="34"/>
      <c r="AT796" s="40"/>
      <c r="AU796" s="18"/>
      <c r="AV796" s="133"/>
      <c r="AW796" s="18"/>
      <c r="AX796" s="123"/>
    </row>
    <row r="797" spans="1:50" ht="18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73" t="s">
        <v>1017</v>
      </c>
      <c r="AB797" s="74" t="s">
        <v>1069</v>
      </c>
      <c r="AC797" s="43"/>
      <c r="AD797" s="43"/>
      <c r="AE797" s="44"/>
      <c r="AF797" s="44"/>
      <c r="AG797" s="43"/>
      <c r="AH797" s="44"/>
      <c r="AI797" s="43"/>
      <c r="AJ797" s="43"/>
      <c r="AK797" s="44"/>
      <c r="AL797" s="43"/>
      <c r="AM797" s="43"/>
      <c r="AN797" s="44"/>
      <c r="AO797" s="115"/>
      <c r="AP797" s="115"/>
      <c r="AQ797" s="34"/>
      <c r="AR797" s="34"/>
      <c r="AS797" s="34"/>
      <c r="AT797" s="40"/>
      <c r="AU797" s="18"/>
      <c r="AV797" s="133"/>
      <c r="AW797" s="18"/>
      <c r="AX797" s="123"/>
    </row>
    <row r="798" spans="1:50" ht="18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73" t="s">
        <v>1018</v>
      </c>
      <c r="AB798" s="74" t="s">
        <v>286</v>
      </c>
      <c r="AC798" s="43"/>
      <c r="AD798" s="43"/>
      <c r="AE798" s="44"/>
      <c r="AF798" s="44"/>
      <c r="AG798" s="43"/>
      <c r="AH798" s="44"/>
      <c r="AI798" s="43"/>
      <c r="AJ798" s="43"/>
      <c r="AK798" s="44"/>
      <c r="AL798" s="43"/>
      <c r="AM798" s="43"/>
      <c r="AN798" s="44"/>
      <c r="AO798" s="115"/>
      <c r="AP798" s="115"/>
      <c r="AQ798" s="34"/>
      <c r="AR798" s="34"/>
      <c r="AS798" s="34"/>
      <c r="AT798" s="40"/>
      <c r="AU798" s="18"/>
      <c r="AV798" s="133"/>
      <c r="AW798" s="18"/>
      <c r="AX798" s="123"/>
    </row>
    <row r="799" spans="1:50" ht="18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73" t="s">
        <v>1021</v>
      </c>
      <c r="AB799" s="74" t="s">
        <v>1070</v>
      </c>
      <c r="AC799" s="43"/>
      <c r="AD799" s="43"/>
      <c r="AE799" s="44"/>
      <c r="AF799" s="44"/>
      <c r="AG799" s="43"/>
      <c r="AH799" s="44"/>
      <c r="AI799" s="43"/>
      <c r="AJ799" s="43"/>
      <c r="AK799" s="44"/>
      <c r="AL799" s="43"/>
      <c r="AM799" s="43"/>
      <c r="AN799" s="44"/>
      <c r="AO799" s="115"/>
      <c r="AP799" s="115"/>
      <c r="AQ799" s="34"/>
      <c r="AR799" s="34"/>
      <c r="AS799" s="34"/>
      <c r="AT799" s="40"/>
      <c r="AU799" s="18"/>
      <c r="AV799" s="133"/>
      <c r="AW799" s="18"/>
      <c r="AX799" s="123"/>
    </row>
    <row r="800" spans="1:50" ht="18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1" t="s">
        <v>1019</v>
      </c>
      <c r="AB800" s="42" t="s">
        <v>1005</v>
      </c>
      <c r="AC800" s="43"/>
      <c r="AD800" s="44">
        <v>0</v>
      </c>
      <c r="AE800" s="43">
        <v>4577320</v>
      </c>
      <c r="AF800" s="44">
        <v>0</v>
      </c>
      <c r="AG800" s="44">
        <v>0</v>
      </c>
      <c r="AH800" s="44">
        <v>0</v>
      </c>
      <c r="AI800" s="43">
        <f>AE800-AF800+AG800-AH800</f>
        <v>4577320</v>
      </c>
      <c r="AJ800" s="43">
        <f>AD800+AI800</f>
        <v>4577320</v>
      </c>
      <c r="AK800" s="43">
        <v>0</v>
      </c>
      <c r="AL800" s="43">
        <f>AM800-JULIO!AM773</f>
        <v>4577320</v>
      </c>
      <c r="AM800" s="43">
        <v>4577320</v>
      </c>
      <c r="AN800" s="43">
        <v>0</v>
      </c>
      <c r="AO800" s="43">
        <v>4577320</v>
      </c>
      <c r="AP800" s="43">
        <v>4577320</v>
      </c>
      <c r="AQ800" s="34">
        <v>0</v>
      </c>
      <c r="AR800" s="18">
        <v>3697408</v>
      </c>
      <c r="AS800" s="18">
        <v>3697408</v>
      </c>
      <c r="AT800" s="40">
        <f t="shared" ref="AT800" si="329">AQ800+AS800</f>
        <v>3697408</v>
      </c>
      <c r="AU800" s="34">
        <f>AJ800-AM800</f>
        <v>0</v>
      </c>
      <c r="AV800" s="34">
        <f>AM800-AP800</f>
        <v>0</v>
      </c>
      <c r="AW800" s="18">
        <f>AP800-AT800</f>
        <v>879912</v>
      </c>
      <c r="AX800" s="123">
        <f>AP800/AJ800</f>
        <v>1</v>
      </c>
    </row>
    <row r="801" spans="1:50" s="50" customFormat="1" ht="18.75" customHeight="1" x14ac:dyDescent="0.2"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46"/>
      <c r="AB801" s="47" t="s">
        <v>572</v>
      </c>
      <c r="AC801" s="47"/>
      <c r="AD801" s="48">
        <f t="shared" ref="AD801:AW801" si="330">SUM(AD710:AD800)</f>
        <v>13989429350</v>
      </c>
      <c r="AE801" s="48">
        <f t="shared" si="330"/>
        <v>3812553585.4200001</v>
      </c>
      <c r="AF801" s="49">
        <f t="shared" si="330"/>
        <v>0</v>
      </c>
      <c r="AG801" s="48">
        <f t="shared" si="330"/>
        <v>4089694256.1399999</v>
      </c>
      <c r="AH801" s="48">
        <f t="shared" si="330"/>
        <v>2955694256.1400003</v>
      </c>
      <c r="AI801" s="48">
        <f t="shared" si="330"/>
        <v>4946553585.4200001</v>
      </c>
      <c r="AJ801" s="48">
        <f t="shared" si="330"/>
        <v>18935982935.419998</v>
      </c>
      <c r="AK801" s="49">
        <f t="shared" si="330"/>
        <v>0</v>
      </c>
      <c r="AL801" s="48">
        <f t="shared" si="330"/>
        <v>249841416.80999976</v>
      </c>
      <c r="AM801" s="48">
        <f t="shared" si="330"/>
        <v>13616649507.5</v>
      </c>
      <c r="AN801" s="48">
        <f t="shared" si="330"/>
        <v>10500000</v>
      </c>
      <c r="AO801" s="48">
        <f t="shared" si="330"/>
        <v>734299295.80999982</v>
      </c>
      <c r="AP801" s="48">
        <f t="shared" si="330"/>
        <v>12594876897.5</v>
      </c>
      <c r="AQ801" s="48">
        <f t="shared" si="330"/>
        <v>19491562.540000003</v>
      </c>
      <c r="AR801" s="48">
        <f t="shared" si="330"/>
        <v>1298512302.96</v>
      </c>
      <c r="AS801" s="48">
        <f t="shared" si="330"/>
        <v>5368492871.5500002</v>
      </c>
      <c r="AT801" s="48">
        <f t="shared" si="330"/>
        <v>5387984434.0900002</v>
      </c>
      <c r="AU801" s="48">
        <f t="shared" si="330"/>
        <v>5319333427.9200001</v>
      </c>
      <c r="AV801" s="48">
        <f t="shared" si="330"/>
        <v>1021772610</v>
      </c>
      <c r="AW801" s="48">
        <f t="shared" si="330"/>
        <v>7206892463.4099998</v>
      </c>
      <c r="AX801" s="24">
        <f>AP801/AJ801</f>
        <v>0.66512929064490878</v>
      </c>
    </row>
    <row r="802" spans="1:50" ht="18.75" customHeight="1" x14ac:dyDescent="0.2">
      <c r="AA802" s="16"/>
      <c r="AB802" s="17"/>
      <c r="AC802" s="17"/>
      <c r="AD802" s="18"/>
      <c r="AE802" s="34"/>
      <c r="AF802" s="34"/>
      <c r="AG802" s="34"/>
      <c r="AH802" s="34"/>
      <c r="AI802" s="34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</row>
    <row r="803" spans="1:50" s="25" customFormat="1" ht="18.75" customHeight="1" x14ac:dyDescent="0.2"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66"/>
      <c r="AB803" s="21" t="s">
        <v>573</v>
      </c>
      <c r="AC803" s="67"/>
      <c r="AD803" s="63"/>
      <c r="AE803" s="72"/>
      <c r="AF803" s="72"/>
      <c r="AG803" s="72"/>
      <c r="AH803" s="72"/>
      <c r="AI803" s="72"/>
      <c r="AJ803" s="63"/>
      <c r="AK803" s="63"/>
      <c r="AL803" s="63"/>
      <c r="AM803" s="63"/>
      <c r="AN803" s="63"/>
      <c r="AO803" s="63"/>
      <c r="AP803" s="63"/>
      <c r="AQ803" s="63"/>
      <c r="AR803" s="63"/>
      <c r="AS803" s="63"/>
      <c r="AT803" s="63"/>
      <c r="AU803" s="63"/>
      <c r="AV803" s="63"/>
      <c r="AW803" s="63"/>
      <c r="AX803" s="63"/>
    </row>
    <row r="804" spans="1:50" ht="18.75" customHeight="1" x14ac:dyDescent="0.2">
      <c r="AA804" s="16"/>
      <c r="AB804" s="29" t="s">
        <v>286</v>
      </c>
      <c r="AC804" s="17"/>
      <c r="AD804" s="18"/>
      <c r="AE804" s="34"/>
      <c r="AF804" s="34"/>
      <c r="AG804" s="34"/>
      <c r="AH804" s="34"/>
      <c r="AI804" s="34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</row>
    <row r="805" spans="1:50" ht="18.75" customHeight="1" x14ac:dyDescent="0.2">
      <c r="AA805" s="16"/>
      <c r="AB805" s="29" t="s">
        <v>574</v>
      </c>
      <c r="AC805" s="17"/>
      <c r="AD805" s="18"/>
      <c r="AE805" s="34"/>
      <c r="AF805" s="34"/>
      <c r="AG805" s="34"/>
      <c r="AH805" s="34"/>
      <c r="AI805" s="34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</row>
    <row r="806" spans="1:50" ht="18.75" customHeight="1" x14ac:dyDescent="0.2">
      <c r="AA806" s="16"/>
      <c r="AB806" s="29" t="s">
        <v>575</v>
      </c>
      <c r="AC806" s="17"/>
      <c r="AD806" s="18"/>
      <c r="AE806" s="34"/>
      <c r="AF806" s="34"/>
      <c r="AG806" s="34"/>
      <c r="AH806" s="34"/>
      <c r="AI806" s="34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</row>
    <row r="807" spans="1:50" ht="18.75" customHeight="1" x14ac:dyDescent="0.2">
      <c r="AA807" s="16"/>
      <c r="AB807" s="29" t="s">
        <v>576</v>
      </c>
      <c r="AC807" s="17"/>
      <c r="AD807" s="18"/>
      <c r="AE807" s="34"/>
      <c r="AF807" s="34"/>
      <c r="AG807" s="34"/>
      <c r="AH807" s="34"/>
      <c r="AI807" s="34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</row>
    <row r="808" spans="1:50" x14ac:dyDescent="0.2">
      <c r="AA808" s="16"/>
      <c r="AB808" s="29" t="s">
        <v>577</v>
      </c>
      <c r="AC808" s="17"/>
      <c r="AD808" s="18"/>
      <c r="AE808" s="34"/>
      <c r="AF808" s="34"/>
      <c r="AG808" s="34"/>
      <c r="AH808" s="34"/>
      <c r="AI808" s="34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</row>
    <row r="809" spans="1:50" ht="25.5" x14ac:dyDescent="0.2">
      <c r="AA809" s="16"/>
      <c r="AB809" s="29" t="s">
        <v>578</v>
      </c>
      <c r="AC809" s="17"/>
      <c r="AD809" s="18"/>
      <c r="AE809" s="34"/>
      <c r="AF809" s="34"/>
      <c r="AG809" s="34"/>
      <c r="AH809" s="34"/>
      <c r="AI809" s="34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30"/>
      <c r="AU809" s="18"/>
      <c r="AV809" s="18"/>
      <c r="AW809" s="18"/>
      <c r="AX809" s="18"/>
    </row>
    <row r="810" spans="1:50" ht="25.5" x14ac:dyDescent="0.2">
      <c r="AA810" s="16"/>
      <c r="AB810" s="29" t="s">
        <v>579</v>
      </c>
      <c r="AC810" s="17"/>
      <c r="AD810" s="18"/>
      <c r="AE810" s="34"/>
      <c r="AF810" s="34"/>
      <c r="AG810" s="34"/>
      <c r="AH810" s="34"/>
      <c r="AI810" s="34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30"/>
      <c r="AU810" s="18"/>
      <c r="AV810" s="18"/>
      <c r="AW810" s="18"/>
      <c r="AX810" s="18"/>
    </row>
    <row r="811" spans="1:50" x14ac:dyDescent="0.2">
      <c r="A811" s="4" t="s">
        <v>55</v>
      </c>
      <c r="B811" s="4" t="s">
        <v>56</v>
      </c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1" t="s">
        <v>580</v>
      </c>
      <c r="AB811" s="42" t="s">
        <v>233</v>
      </c>
      <c r="AC811" s="43" t="s">
        <v>58</v>
      </c>
      <c r="AD811" s="43">
        <v>50000000</v>
      </c>
      <c r="AE811" s="44">
        <v>0</v>
      </c>
      <c r="AF811" s="44">
        <v>0</v>
      </c>
      <c r="AG811" s="44">
        <v>0</v>
      </c>
      <c r="AH811" s="44">
        <v>0</v>
      </c>
      <c r="AI811" s="44">
        <v>0</v>
      </c>
      <c r="AJ811" s="43">
        <v>50000000</v>
      </c>
      <c r="AK811" s="44">
        <v>0</v>
      </c>
      <c r="AL811" s="44">
        <v>0</v>
      </c>
      <c r="AM811" s="44">
        <v>0</v>
      </c>
      <c r="AN811" s="44">
        <v>0</v>
      </c>
      <c r="AO811" s="44">
        <v>0</v>
      </c>
      <c r="AP811" s="44">
        <v>0</v>
      </c>
      <c r="AQ811" s="34">
        <v>0</v>
      </c>
      <c r="AR811" s="34">
        <v>0</v>
      </c>
      <c r="AS811" s="34">
        <v>0</v>
      </c>
      <c r="AT811" s="40">
        <f t="shared" ref="AT811:AT876" si="331">AQ811+AS811</f>
        <v>0</v>
      </c>
      <c r="AU811" s="18">
        <f>AJ811-AM811</f>
        <v>50000000</v>
      </c>
      <c r="AV811" s="133">
        <f>AM811-AP811</f>
        <v>0</v>
      </c>
      <c r="AW811" s="34">
        <f>AP811-AT811</f>
        <v>0</v>
      </c>
      <c r="AX811" s="123">
        <f>AP811/AJ811</f>
        <v>0</v>
      </c>
    </row>
    <row r="812" spans="1:50" ht="38.25" x14ac:dyDescent="0.2">
      <c r="AA812" s="28" t="s">
        <v>288</v>
      </c>
      <c r="AB812" s="29" t="s">
        <v>581</v>
      </c>
      <c r="AC812" s="17"/>
      <c r="AD812" s="18"/>
      <c r="AE812" s="18"/>
      <c r="AF812" s="18"/>
      <c r="AG812" s="18"/>
      <c r="AH812" s="18"/>
      <c r="AI812" s="18"/>
      <c r="AJ812" s="18"/>
      <c r="AK812" s="34"/>
      <c r="AL812" s="34"/>
      <c r="AM812" s="34"/>
      <c r="AN812" s="34"/>
      <c r="AO812" s="34"/>
      <c r="AP812" s="34"/>
      <c r="AQ812" s="34"/>
      <c r="AR812" s="34"/>
      <c r="AS812" s="34"/>
      <c r="AT812" s="40"/>
      <c r="AU812" s="18"/>
      <c r="AV812" s="34"/>
      <c r="AW812" s="34"/>
      <c r="AX812" s="18"/>
    </row>
    <row r="813" spans="1:50" x14ac:dyDescent="0.2">
      <c r="A813" s="4" t="s">
        <v>55</v>
      </c>
      <c r="B813" s="4" t="s">
        <v>56</v>
      </c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1" t="s">
        <v>582</v>
      </c>
      <c r="AB813" s="42" t="s">
        <v>233</v>
      </c>
      <c r="AC813" s="43" t="s">
        <v>58</v>
      </c>
      <c r="AD813" s="43">
        <v>75000000</v>
      </c>
      <c r="AE813" s="44">
        <v>0</v>
      </c>
      <c r="AF813" s="44">
        <v>0</v>
      </c>
      <c r="AG813" s="44">
        <v>0</v>
      </c>
      <c r="AH813" s="43">
        <v>75000000</v>
      </c>
      <c r="AI813" s="43">
        <f>AE813-AF813+AG813-AH813</f>
        <v>-75000000</v>
      </c>
      <c r="AJ813" s="44">
        <f>AD813+AI813</f>
        <v>0</v>
      </c>
      <c r="AK813" s="44">
        <v>0</v>
      </c>
      <c r="AL813" s="44">
        <v>0</v>
      </c>
      <c r="AM813" s="44">
        <v>0</v>
      </c>
      <c r="AN813" s="44">
        <v>0</v>
      </c>
      <c r="AO813" s="44">
        <v>0</v>
      </c>
      <c r="AP813" s="44">
        <v>0</v>
      </c>
      <c r="AQ813" s="34">
        <v>0</v>
      </c>
      <c r="AR813" s="34">
        <v>0</v>
      </c>
      <c r="AS813" s="34">
        <v>0</v>
      </c>
      <c r="AT813" s="40">
        <f t="shared" ref="AT813" si="332">AQ813+AS813</f>
        <v>0</v>
      </c>
      <c r="AU813" s="34">
        <f>AJ813-AM813</f>
        <v>0</v>
      </c>
      <c r="AV813" s="133">
        <f>AM813-AP813</f>
        <v>0</v>
      </c>
      <c r="AW813" s="34">
        <f>AP813-AT813</f>
        <v>0</v>
      </c>
      <c r="AX813" s="123">
        <v>0</v>
      </c>
    </row>
    <row r="814" spans="1:50" ht="25.5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73" t="s">
        <v>288</v>
      </c>
      <c r="AB814" s="74" t="s">
        <v>910</v>
      </c>
      <c r="AC814" s="43"/>
      <c r="AD814" s="43"/>
      <c r="AE814" s="44"/>
      <c r="AF814" s="44"/>
      <c r="AH814" s="43"/>
      <c r="AK814" s="44"/>
      <c r="AL814" s="44"/>
      <c r="AM814" s="44"/>
      <c r="AN814" s="44"/>
      <c r="AO814" s="44"/>
      <c r="AP814" s="44"/>
      <c r="AQ814" s="34"/>
      <c r="AR814" s="34"/>
      <c r="AS814" s="34"/>
      <c r="AT814" s="40"/>
      <c r="AU814" s="43"/>
      <c r="AV814" s="44"/>
      <c r="AW814" s="44"/>
      <c r="AX814" s="32"/>
    </row>
    <row r="815" spans="1:50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1" t="s">
        <v>911</v>
      </c>
      <c r="AB815" s="42" t="s">
        <v>233</v>
      </c>
      <c r="AC815" s="43"/>
      <c r="AD815" s="44">
        <v>0</v>
      </c>
      <c r="AE815" s="44">
        <v>0</v>
      </c>
      <c r="AF815" s="44">
        <v>0</v>
      </c>
      <c r="AG815" s="43">
        <f>31295090+46856431.35</f>
        <v>78151521.349999994</v>
      </c>
      <c r="AH815" s="44">
        <v>0</v>
      </c>
      <c r="AI815" s="43">
        <f>AE814-AF814+AG815-AH814</f>
        <v>78151521.349999994</v>
      </c>
      <c r="AJ815" s="43">
        <f>AD814+AI815</f>
        <v>78151521.349999994</v>
      </c>
      <c r="AK815" s="44">
        <v>0</v>
      </c>
      <c r="AL815" s="44">
        <v>0</v>
      </c>
      <c r="AM815" s="44">
        <v>0</v>
      </c>
      <c r="AN815" s="44">
        <v>0</v>
      </c>
      <c r="AO815" s="44">
        <v>0</v>
      </c>
      <c r="AP815" s="44">
        <v>0</v>
      </c>
      <c r="AQ815" s="34">
        <v>0</v>
      </c>
      <c r="AR815" s="34">
        <v>0</v>
      </c>
      <c r="AS815" s="34">
        <v>0</v>
      </c>
      <c r="AT815" s="40">
        <f t="shared" ref="AT815" si="333">AQ815+AS815</f>
        <v>0</v>
      </c>
      <c r="AU815" s="18">
        <f>AJ815-AM815</f>
        <v>78151521.349999994</v>
      </c>
      <c r="AV815" s="133">
        <f>AM815-AP815</f>
        <v>0</v>
      </c>
      <c r="AW815" s="34">
        <f>AP815-AT815</f>
        <v>0</v>
      </c>
      <c r="AX815" s="123">
        <f>AP815/AJ815</f>
        <v>0</v>
      </c>
    </row>
    <row r="816" spans="1:50" x14ac:dyDescent="0.2">
      <c r="AA816" s="16"/>
      <c r="AB816" s="17"/>
      <c r="AC816" s="17"/>
      <c r="AD816" s="18"/>
      <c r="AE816" s="34"/>
      <c r="AF816" s="34"/>
      <c r="AG816" s="34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30"/>
      <c r="AU816" s="18"/>
      <c r="AV816" s="18"/>
      <c r="AW816" s="18"/>
      <c r="AX816" s="18"/>
    </row>
    <row r="817" spans="1:50" x14ac:dyDescent="0.2">
      <c r="AA817" s="16"/>
      <c r="AB817" s="29" t="s">
        <v>179</v>
      </c>
      <c r="AC817" s="17"/>
      <c r="AD817" s="18"/>
      <c r="AE817" s="34"/>
      <c r="AF817" s="34"/>
      <c r="AG817" s="34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30"/>
      <c r="AU817" s="18"/>
      <c r="AV817" s="18"/>
      <c r="AW817" s="18"/>
      <c r="AX817" s="18"/>
    </row>
    <row r="818" spans="1:50" x14ac:dyDescent="0.2">
      <c r="AA818" s="16"/>
      <c r="AB818" s="29" t="s">
        <v>181</v>
      </c>
      <c r="AC818" s="17"/>
      <c r="AD818" s="18"/>
      <c r="AE818" s="34"/>
      <c r="AF818" s="34"/>
      <c r="AG818" s="34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30"/>
      <c r="AU818" s="18"/>
      <c r="AV818" s="18"/>
      <c r="AW818" s="18"/>
      <c r="AX818" s="18"/>
    </row>
    <row r="819" spans="1:50" ht="25.5" x14ac:dyDescent="0.2">
      <c r="AA819" s="16"/>
      <c r="AB819" s="29" t="s">
        <v>185</v>
      </c>
      <c r="AC819" s="17"/>
      <c r="AD819" s="18"/>
      <c r="AE819" s="34"/>
      <c r="AF819" s="34"/>
      <c r="AG819" s="34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30"/>
      <c r="AU819" s="18"/>
      <c r="AV819" s="18"/>
      <c r="AW819" s="18"/>
      <c r="AX819" s="18"/>
    </row>
    <row r="820" spans="1:50" ht="25.5" x14ac:dyDescent="0.2">
      <c r="AA820" s="28" t="s">
        <v>288</v>
      </c>
      <c r="AB820" s="29" t="s">
        <v>583</v>
      </c>
      <c r="AC820" s="17"/>
      <c r="AD820" s="18"/>
      <c r="AE820" s="34"/>
      <c r="AF820" s="34"/>
      <c r="AG820" s="34"/>
      <c r="AH820" s="18"/>
      <c r="AI820" s="18"/>
      <c r="AJ820" s="18"/>
      <c r="AK820" s="34"/>
      <c r="AL820" s="34"/>
      <c r="AM820" s="34"/>
      <c r="AN820" s="34"/>
      <c r="AO820" s="34"/>
      <c r="AP820" s="34"/>
      <c r="AQ820" s="18"/>
      <c r="AR820" s="18"/>
      <c r="AS820" s="18"/>
      <c r="AT820" s="30"/>
      <c r="AU820" s="18"/>
      <c r="AV820" s="18"/>
      <c r="AW820" s="18"/>
      <c r="AX820" s="18"/>
    </row>
    <row r="821" spans="1:50" x14ac:dyDescent="0.2">
      <c r="A821" s="4" t="s">
        <v>55</v>
      </c>
      <c r="B821" s="4" t="s">
        <v>56</v>
      </c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1" t="s">
        <v>584</v>
      </c>
      <c r="AB821" s="42" t="s">
        <v>233</v>
      </c>
      <c r="AC821" s="43" t="s">
        <v>58</v>
      </c>
      <c r="AD821" s="43">
        <v>50000000</v>
      </c>
      <c r="AE821" s="44">
        <v>0</v>
      </c>
      <c r="AF821" s="44">
        <v>0</v>
      </c>
      <c r="AG821" s="44">
        <v>0</v>
      </c>
      <c r="AH821" s="44">
        <v>0</v>
      </c>
      <c r="AI821" s="44">
        <v>0</v>
      </c>
      <c r="AJ821" s="43">
        <v>50000000</v>
      </c>
      <c r="AK821" s="44">
        <v>0</v>
      </c>
      <c r="AL821" s="43">
        <f>AM821-JUNIO!AM787</f>
        <v>0</v>
      </c>
      <c r="AM821" s="43">
        <v>43169856.109999999</v>
      </c>
      <c r="AN821" s="43">
        <v>0</v>
      </c>
      <c r="AO821" s="44">
        <v>0</v>
      </c>
      <c r="AP821" s="43">
        <v>43169856.109999999</v>
      </c>
      <c r="AQ821" s="43">
        <v>2662120</v>
      </c>
      <c r="AR821" s="43">
        <v>10356621.24</v>
      </c>
      <c r="AS821" s="43">
        <v>10356621.24</v>
      </c>
      <c r="AT821" s="40">
        <f t="shared" si="331"/>
        <v>13018741.24</v>
      </c>
      <c r="AU821" s="18">
        <f>AJ821-AM821</f>
        <v>6830143.8900000006</v>
      </c>
      <c r="AV821" s="34">
        <f>AM821-AP821</f>
        <v>0</v>
      </c>
      <c r="AW821" s="18">
        <f>AP821-AT821</f>
        <v>30151114.869999997</v>
      </c>
      <c r="AX821" s="123">
        <f>AP821/AJ821</f>
        <v>0.86339712219999998</v>
      </c>
    </row>
    <row r="822" spans="1:50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1"/>
      <c r="AB822" s="42"/>
      <c r="AC822" s="43"/>
      <c r="AD822" s="43"/>
      <c r="AE822" s="44"/>
      <c r="AF822" s="44"/>
      <c r="AG822" s="44"/>
      <c r="AH822" s="44"/>
      <c r="AI822" s="44"/>
      <c r="AJ822" s="43"/>
      <c r="AK822" s="44"/>
      <c r="AL822" s="44"/>
      <c r="AM822" s="43"/>
      <c r="AN822" s="43"/>
      <c r="AO822" s="44"/>
      <c r="AP822" s="43"/>
      <c r="AQ822" s="44"/>
      <c r="AR822" s="44"/>
      <c r="AS822" s="44"/>
      <c r="AT822" s="40"/>
      <c r="AU822" s="18"/>
      <c r="AV822" s="34"/>
      <c r="AW822" s="18"/>
      <c r="AX822" s="123"/>
    </row>
    <row r="823" spans="1:50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73" t="s">
        <v>288</v>
      </c>
      <c r="AB823" s="74" t="s">
        <v>643</v>
      </c>
      <c r="AC823" s="43"/>
      <c r="AD823" s="43"/>
      <c r="AE823" s="44"/>
      <c r="AF823" s="44"/>
      <c r="AG823" s="44"/>
      <c r="AH823" s="44"/>
      <c r="AI823" s="44"/>
      <c r="AJ823" s="43"/>
      <c r="AK823" s="44"/>
      <c r="AL823" s="44"/>
      <c r="AM823" s="43"/>
      <c r="AN823" s="43"/>
      <c r="AO823" s="44"/>
      <c r="AP823" s="43"/>
      <c r="AQ823" s="44"/>
      <c r="AR823" s="44"/>
      <c r="AS823" s="44"/>
      <c r="AT823" s="40"/>
      <c r="AU823" s="18"/>
      <c r="AV823" s="34"/>
      <c r="AW823" s="18"/>
      <c r="AX823" s="123"/>
    </row>
    <row r="824" spans="1:50" ht="25.5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1" t="s">
        <v>1332</v>
      </c>
      <c r="AB824" s="42" t="s">
        <v>1243</v>
      </c>
      <c r="AC824" s="43"/>
      <c r="AD824" s="43">
        <v>0</v>
      </c>
      <c r="AE824" s="44">
        <v>0</v>
      </c>
      <c r="AF824" s="44">
        <v>0</v>
      </c>
      <c r="AG824" s="43">
        <v>440517900</v>
      </c>
      <c r="AH824" s="44">
        <v>0</v>
      </c>
      <c r="AI824" s="43">
        <f>AE823-AF823+AG824-AH823</f>
        <v>440517900</v>
      </c>
      <c r="AJ824" s="43">
        <f>AD823+AI824</f>
        <v>440517900</v>
      </c>
      <c r="AK824" s="44">
        <v>0</v>
      </c>
      <c r="AL824" s="44">
        <v>0</v>
      </c>
      <c r="AM824" s="44">
        <v>0</v>
      </c>
      <c r="AN824" s="44">
        <v>0</v>
      </c>
      <c r="AO824" s="44">
        <v>0</v>
      </c>
      <c r="AP824" s="44">
        <v>0</v>
      </c>
      <c r="AQ824" s="44">
        <v>0</v>
      </c>
      <c r="AR824" s="44">
        <v>0</v>
      </c>
      <c r="AS824" s="44">
        <v>0</v>
      </c>
      <c r="AT824" s="40">
        <f t="shared" ref="AT824" si="334">AQ824+AS824</f>
        <v>0</v>
      </c>
      <c r="AU824" s="18">
        <f>AJ824-AM824</f>
        <v>440517900</v>
      </c>
      <c r="AV824" s="34">
        <f>AM824-AP824</f>
        <v>0</v>
      </c>
      <c r="AW824" s="18">
        <f>AP824-AT824</f>
        <v>0</v>
      </c>
      <c r="AX824" s="123">
        <f>AP824/AJ824</f>
        <v>0</v>
      </c>
    </row>
    <row r="825" spans="1:50" ht="25.5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73" t="s">
        <v>288</v>
      </c>
      <c r="AB825" s="74" t="s">
        <v>1241</v>
      </c>
      <c r="AC825" s="43"/>
      <c r="AD825" s="43"/>
      <c r="AE825" s="44"/>
      <c r="AF825" s="44"/>
      <c r="AG825" s="44"/>
      <c r="AH825" s="44"/>
      <c r="AI825" s="44"/>
      <c r="AJ825" s="43"/>
      <c r="AK825" s="44"/>
      <c r="AL825" s="44"/>
      <c r="AM825" s="43"/>
      <c r="AN825" s="43"/>
      <c r="AO825" s="44"/>
      <c r="AP825" s="44"/>
      <c r="AQ825" s="44"/>
      <c r="AR825" s="44"/>
      <c r="AS825" s="44"/>
      <c r="AT825" s="40"/>
      <c r="AU825" s="18"/>
      <c r="AV825" s="34"/>
      <c r="AW825" s="18"/>
      <c r="AX825" s="123"/>
    </row>
    <row r="826" spans="1:50" ht="25.5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1" t="s">
        <v>1242</v>
      </c>
      <c r="AB826" s="42" t="s">
        <v>1243</v>
      </c>
      <c r="AC826" s="43"/>
      <c r="AD826" s="44">
        <v>0</v>
      </c>
      <c r="AE826" s="44">
        <v>0</v>
      </c>
      <c r="AF826" s="44">
        <v>0</v>
      </c>
      <c r="AG826" s="43">
        <v>2905817258</v>
      </c>
      <c r="AH826" s="44">
        <v>0</v>
      </c>
      <c r="AI826" s="43">
        <f>AE825-AF825+AG826-AH825</f>
        <v>2905817258</v>
      </c>
      <c r="AJ826" s="43">
        <f>AD825+AI826</f>
        <v>2905817258</v>
      </c>
      <c r="AK826" s="44">
        <v>0</v>
      </c>
      <c r="AL826" s="43">
        <f>AM826-JULIO!AM797</f>
        <v>2237580250</v>
      </c>
      <c r="AM826" s="43">
        <v>2237580250</v>
      </c>
      <c r="AN826" s="44">
        <v>0</v>
      </c>
      <c r="AO826" s="44">
        <v>0</v>
      </c>
      <c r="AP826" s="44">
        <v>0</v>
      </c>
      <c r="AQ826" s="44">
        <v>0</v>
      </c>
      <c r="AR826" s="44">
        <v>0</v>
      </c>
      <c r="AS826" s="44">
        <v>0</v>
      </c>
      <c r="AT826" s="40">
        <f t="shared" ref="AT826:AT827" si="335">AQ826+AS826</f>
        <v>0</v>
      </c>
      <c r="AU826" s="18">
        <f t="shared" ref="AU826:AU827" si="336">AJ826-AM826</f>
        <v>668237008</v>
      </c>
      <c r="AV826" s="18">
        <f t="shared" ref="AV826:AV827" si="337">AM826-AP826</f>
        <v>2237580250</v>
      </c>
      <c r="AW826" s="34">
        <f t="shared" ref="AW826:AW827" si="338">AP826-AT826</f>
        <v>0</v>
      </c>
      <c r="AX826" s="123">
        <f t="shared" ref="AX826:AX827" si="339">AP826/AJ826</f>
        <v>0</v>
      </c>
    </row>
    <row r="827" spans="1:50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16" t="s">
        <v>1255</v>
      </c>
      <c r="AB827" s="42" t="s">
        <v>233</v>
      </c>
      <c r="AC827" s="43"/>
      <c r="AD827" s="44">
        <v>0</v>
      </c>
      <c r="AE827" s="44">
        <v>0</v>
      </c>
      <c r="AF827" s="44">
        <v>0</v>
      </c>
      <c r="AG827" s="43">
        <v>134254307</v>
      </c>
      <c r="AH827" s="44"/>
      <c r="AI827" s="43">
        <f>AE826-AF826+AG827-AH826</f>
        <v>134254307</v>
      </c>
      <c r="AJ827" s="43">
        <f>AD826+AI827</f>
        <v>134254307</v>
      </c>
      <c r="AK827" s="44">
        <v>0</v>
      </c>
      <c r="AL827" s="43">
        <f>AM827-JULIO!AM798</f>
        <v>0</v>
      </c>
      <c r="AM827" s="43">
        <v>134254307</v>
      </c>
      <c r="AN827" s="44">
        <v>0</v>
      </c>
      <c r="AO827" s="44">
        <v>0</v>
      </c>
      <c r="AP827" s="44">
        <v>0</v>
      </c>
      <c r="AQ827" s="44">
        <v>0</v>
      </c>
      <c r="AR827" s="44">
        <v>0</v>
      </c>
      <c r="AS827" s="44">
        <v>0</v>
      </c>
      <c r="AT827" s="40">
        <f t="shared" si="335"/>
        <v>0</v>
      </c>
      <c r="AU827" s="34">
        <f t="shared" si="336"/>
        <v>0</v>
      </c>
      <c r="AV827" s="18">
        <f t="shared" si="337"/>
        <v>134254307</v>
      </c>
      <c r="AW827" s="34">
        <f t="shared" si="338"/>
        <v>0</v>
      </c>
      <c r="AX827" s="123">
        <f t="shared" si="339"/>
        <v>0</v>
      </c>
    </row>
    <row r="828" spans="1:50" ht="38.25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73" t="s">
        <v>1249</v>
      </c>
      <c r="AB828" s="74" t="s">
        <v>1250</v>
      </c>
      <c r="AC828" s="43"/>
      <c r="AD828" s="44"/>
      <c r="AE828" s="44"/>
      <c r="AF828" s="44"/>
      <c r="AG828" s="43"/>
      <c r="AH828" s="44"/>
      <c r="AI828" s="43"/>
      <c r="AJ828" s="43"/>
      <c r="AK828" s="44"/>
      <c r="AL828" s="44"/>
      <c r="AM828" s="44"/>
      <c r="AN828" s="44"/>
      <c r="AO828" s="44"/>
      <c r="AP828" s="44"/>
      <c r="AQ828" s="44"/>
      <c r="AR828" s="44"/>
      <c r="AS828" s="44"/>
      <c r="AT828" s="40"/>
      <c r="AU828" s="18"/>
      <c r="AV828" s="34"/>
      <c r="AW828" s="34"/>
      <c r="AX828" s="123"/>
    </row>
    <row r="829" spans="1:50" ht="25.5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1" t="s">
        <v>1251</v>
      </c>
      <c r="AB829" s="42" t="s">
        <v>1243</v>
      </c>
      <c r="AC829" s="43"/>
      <c r="AD829" s="44">
        <v>0</v>
      </c>
      <c r="AE829" s="44">
        <v>0</v>
      </c>
      <c r="AF829" s="44">
        <v>0</v>
      </c>
      <c r="AG829" s="43">
        <v>65000000</v>
      </c>
      <c r="AH829" s="44">
        <v>0</v>
      </c>
      <c r="AI829" s="43">
        <f>AE828-AF828+AG829-AH828</f>
        <v>65000000</v>
      </c>
      <c r="AJ829" s="43">
        <f>AD828+AI829</f>
        <v>65000000</v>
      </c>
      <c r="AK829" s="44">
        <v>0</v>
      </c>
      <c r="AL829" s="44">
        <v>0</v>
      </c>
      <c r="AM829" s="44">
        <v>0</v>
      </c>
      <c r="AN829" s="44">
        <v>0</v>
      </c>
      <c r="AO829" s="44">
        <v>0</v>
      </c>
      <c r="AP829" s="44">
        <v>0</v>
      </c>
      <c r="AQ829" s="44">
        <v>0</v>
      </c>
      <c r="AR829" s="44">
        <v>0</v>
      </c>
      <c r="AS829" s="44">
        <v>0</v>
      </c>
      <c r="AT829" s="40">
        <f t="shared" ref="AT829" si="340">AQ829+AS829</f>
        <v>0</v>
      </c>
      <c r="AU829" s="18">
        <f t="shared" ref="AU829" si="341">AJ829-AM829</f>
        <v>65000000</v>
      </c>
      <c r="AV829" s="34">
        <f t="shared" ref="AV829" si="342">AM829-AP829</f>
        <v>0</v>
      </c>
      <c r="AW829" s="34">
        <f t="shared" ref="AW829" si="343">AP829-AT829</f>
        <v>0</v>
      </c>
      <c r="AX829" s="123">
        <f t="shared" ref="AX829" si="344">AP829/AJ829</f>
        <v>0</v>
      </c>
    </row>
    <row r="830" spans="1:50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73" t="s">
        <v>288</v>
      </c>
      <c r="AB830" s="74" t="s">
        <v>1244</v>
      </c>
      <c r="AC830" s="43"/>
      <c r="AD830" s="44"/>
      <c r="AE830" s="44"/>
      <c r="AF830" s="44"/>
      <c r="AG830" s="44"/>
      <c r="AH830" s="44"/>
      <c r="AI830" s="44"/>
      <c r="AJ830" s="43"/>
      <c r="AK830" s="44"/>
      <c r="AL830" s="44"/>
      <c r="AM830" s="43"/>
      <c r="AN830" s="43"/>
      <c r="AO830" s="44"/>
      <c r="AP830" s="44"/>
      <c r="AQ830" s="44"/>
      <c r="AR830" s="44"/>
      <c r="AS830" s="44"/>
      <c r="AT830" s="40"/>
      <c r="AU830" s="18"/>
      <c r="AV830" s="34"/>
      <c r="AW830" s="34"/>
      <c r="AX830" s="123"/>
    </row>
    <row r="831" spans="1:50" ht="25.5" x14ac:dyDescent="0.2">
      <c r="AA831" s="41" t="s">
        <v>1245</v>
      </c>
      <c r="AB831" s="42" t="s">
        <v>1243</v>
      </c>
      <c r="AC831" s="17"/>
      <c r="AD831" s="34">
        <v>0</v>
      </c>
      <c r="AE831" s="34">
        <v>0</v>
      </c>
      <c r="AF831" s="34">
        <v>0</v>
      </c>
      <c r="AG831" s="18">
        <v>350000000</v>
      </c>
      <c r="AH831" s="34">
        <v>0</v>
      </c>
      <c r="AI831" s="43">
        <f>AE830-AF830+AG831-AH830</f>
        <v>350000000</v>
      </c>
      <c r="AJ831" s="43">
        <f>AD830+AI831</f>
        <v>350000000</v>
      </c>
      <c r="AK831" s="18">
        <v>0</v>
      </c>
      <c r="AL831" s="18">
        <f>AM831-JULIO!AM802</f>
        <v>339872000</v>
      </c>
      <c r="AM831" s="18">
        <v>339872000</v>
      </c>
      <c r="AN831" s="18">
        <v>0</v>
      </c>
      <c r="AO831" s="34">
        <v>0</v>
      </c>
      <c r="AP831" s="34">
        <v>0</v>
      </c>
      <c r="AQ831" s="34">
        <v>0</v>
      </c>
      <c r="AR831" s="34">
        <v>0</v>
      </c>
      <c r="AS831" s="34">
        <v>0</v>
      </c>
      <c r="AT831" s="40">
        <f t="shared" ref="AT831" si="345">AQ831+AS831</f>
        <v>0</v>
      </c>
      <c r="AU831" s="18">
        <f t="shared" ref="AU831" si="346">AJ831-AM831</f>
        <v>10128000</v>
      </c>
      <c r="AV831" s="18">
        <f t="shared" ref="AV831" si="347">AM831-AP831</f>
        <v>339872000</v>
      </c>
      <c r="AW831" s="34">
        <f t="shared" ref="AW831" si="348">AP831-AT831</f>
        <v>0</v>
      </c>
      <c r="AX831" s="123">
        <f t="shared" ref="AX831" si="349">AP831/AJ831</f>
        <v>0</v>
      </c>
    </row>
    <row r="832" spans="1:50" ht="25.5" x14ac:dyDescent="0.2">
      <c r="AA832" s="73" t="s">
        <v>288</v>
      </c>
      <c r="AB832" s="74" t="s">
        <v>1246</v>
      </c>
      <c r="AC832" s="17"/>
      <c r="AD832" s="34"/>
      <c r="AE832" s="34"/>
      <c r="AF832" s="34"/>
      <c r="AG832" s="18"/>
      <c r="AH832" s="34"/>
      <c r="AI832" s="43"/>
      <c r="AJ832" s="43"/>
      <c r="AK832" s="34"/>
      <c r="AL832" s="34"/>
      <c r="AM832" s="34"/>
      <c r="AN832" s="34"/>
      <c r="AO832" s="34"/>
      <c r="AP832" s="34"/>
      <c r="AQ832" s="34"/>
      <c r="AR832" s="34"/>
      <c r="AS832" s="34"/>
      <c r="AT832" s="30"/>
      <c r="AU832" s="18"/>
      <c r="AV832" s="18"/>
      <c r="AW832" s="34"/>
      <c r="AX832" s="18"/>
    </row>
    <row r="833" spans="1:50" ht="25.5" x14ac:dyDescent="0.2">
      <c r="AA833" s="41" t="s">
        <v>1247</v>
      </c>
      <c r="AB833" s="42" t="s">
        <v>1243</v>
      </c>
      <c r="AC833" s="17"/>
      <c r="AD833" s="34">
        <v>0</v>
      </c>
      <c r="AE833" s="34">
        <v>0</v>
      </c>
      <c r="AF833" s="34">
        <v>0</v>
      </c>
      <c r="AG833" s="18">
        <v>1067000000</v>
      </c>
      <c r="AH833" s="34">
        <v>0</v>
      </c>
      <c r="AI833" s="43">
        <f>AE832-AF832+AG833-AH832</f>
        <v>1067000000</v>
      </c>
      <c r="AJ833" s="43">
        <f>AD832+AI833</f>
        <v>1067000000</v>
      </c>
      <c r="AK833" s="34">
        <v>0</v>
      </c>
      <c r="AL833" s="34">
        <v>0</v>
      </c>
      <c r="AM833" s="34">
        <v>0</v>
      </c>
      <c r="AN833" s="34">
        <v>0</v>
      </c>
      <c r="AO833" s="34">
        <v>0</v>
      </c>
      <c r="AP833" s="34">
        <v>0</v>
      </c>
      <c r="AQ833" s="34">
        <v>0</v>
      </c>
      <c r="AR833" s="34">
        <v>0</v>
      </c>
      <c r="AS833" s="34">
        <v>0</v>
      </c>
      <c r="AT833" s="40">
        <f t="shared" ref="AT833" si="350">AQ833+AS833</f>
        <v>0</v>
      </c>
      <c r="AU833" s="18">
        <f t="shared" ref="AU833" si="351">AJ833-AM833</f>
        <v>1067000000</v>
      </c>
      <c r="AV833" s="34">
        <f t="shared" ref="AV833" si="352">AM833-AP833</f>
        <v>0</v>
      </c>
      <c r="AW833" s="34">
        <f t="shared" ref="AW833" si="353">AP833-AT833</f>
        <v>0</v>
      </c>
      <c r="AX833" s="123">
        <f t="shared" ref="AX833" si="354">AP833/AJ833</f>
        <v>0</v>
      </c>
    </row>
    <row r="834" spans="1:50" x14ac:dyDescent="0.2">
      <c r="AA834" s="73" t="s">
        <v>288</v>
      </c>
      <c r="AB834" s="74" t="s">
        <v>635</v>
      </c>
      <c r="AC834" s="17"/>
      <c r="AD834" s="34"/>
      <c r="AE834" s="34"/>
      <c r="AF834" s="34"/>
      <c r="AG834" s="18"/>
      <c r="AH834" s="34"/>
      <c r="AI834" s="43"/>
      <c r="AJ834" s="43"/>
      <c r="AK834" s="34"/>
      <c r="AL834" s="34"/>
      <c r="AM834" s="34"/>
      <c r="AN834" s="34"/>
      <c r="AO834" s="34"/>
      <c r="AP834" s="34"/>
      <c r="AQ834" s="34"/>
      <c r="AR834" s="34"/>
      <c r="AS834" s="34"/>
      <c r="AT834" s="30"/>
      <c r="AU834" s="18"/>
      <c r="AV834" s="18"/>
      <c r="AW834" s="34"/>
      <c r="AX834" s="18"/>
    </row>
    <row r="835" spans="1:50" ht="25.5" x14ac:dyDescent="0.2">
      <c r="AA835" s="134" t="s">
        <v>1252</v>
      </c>
      <c r="AB835" s="42" t="s">
        <v>1243</v>
      </c>
      <c r="AC835" s="17"/>
      <c r="AD835" s="34">
        <v>0</v>
      </c>
      <c r="AE835" s="34">
        <v>0</v>
      </c>
      <c r="AF835" s="34">
        <v>0</v>
      </c>
      <c r="AG835" s="18">
        <v>148000000</v>
      </c>
      <c r="AH835" s="34"/>
      <c r="AI835" s="43">
        <f>AE834-AF834+AG835-AH834</f>
        <v>148000000</v>
      </c>
      <c r="AJ835" s="43">
        <f>AD834+AI835</f>
        <v>148000000</v>
      </c>
      <c r="AK835" s="34">
        <v>0</v>
      </c>
      <c r="AL835" s="34">
        <v>0</v>
      </c>
      <c r="AM835" s="34">
        <v>0</v>
      </c>
      <c r="AN835" s="34">
        <v>0</v>
      </c>
      <c r="AO835" s="34">
        <v>0</v>
      </c>
      <c r="AP835" s="34">
        <v>0</v>
      </c>
      <c r="AQ835" s="34">
        <v>0</v>
      </c>
      <c r="AR835" s="34">
        <v>0</v>
      </c>
      <c r="AS835" s="34">
        <v>0</v>
      </c>
      <c r="AT835" s="40">
        <f t="shared" ref="AT835" si="355">AQ835+AS835</f>
        <v>0</v>
      </c>
      <c r="AU835" s="18">
        <f t="shared" ref="AU835" si="356">AJ835-AM835</f>
        <v>148000000</v>
      </c>
      <c r="AV835" s="34">
        <f t="shared" ref="AV835" si="357">AM835-AP835</f>
        <v>0</v>
      </c>
      <c r="AW835" s="34">
        <f t="shared" ref="AW835" si="358">AP835-AT835</f>
        <v>0</v>
      </c>
      <c r="AX835" s="123">
        <f t="shared" ref="AX835" si="359">AP835/AJ835</f>
        <v>0</v>
      </c>
    </row>
    <row r="836" spans="1:50" ht="25.5" x14ac:dyDescent="0.2">
      <c r="AA836" s="81" t="s">
        <v>288</v>
      </c>
      <c r="AB836" s="74" t="s">
        <v>1248</v>
      </c>
      <c r="AC836" s="17"/>
      <c r="AD836" s="34"/>
      <c r="AE836" s="34"/>
      <c r="AF836" s="34"/>
      <c r="AG836" s="18"/>
      <c r="AH836" s="34"/>
      <c r="AI836" s="43"/>
      <c r="AJ836" s="43"/>
      <c r="AK836" s="34"/>
      <c r="AL836" s="34"/>
      <c r="AM836" s="34"/>
      <c r="AN836" s="34"/>
      <c r="AO836" s="34"/>
      <c r="AP836" s="34"/>
      <c r="AQ836" s="34"/>
      <c r="AR836" s="34"/>
      <c r="AS836" s="34"/>
      <c r="AT836" s="30"/>
      <c r="AU836" s="18"/>
      <c r="AV836" s="18"/>
      <c r="AW836" s="34"/>
      <c r="AX836" s="18"/>
    </row>
    <row r="837" spans="1:50" x14ac:dyDescent="0.2">
      <c r="AA837" s="134" t="s">
        <v>1254</v>
      </c>
      <c r="AB837" s="42" t="s">
        <v>961</v>
      </c>
      <c r="AC837" s="17"/>
      <c r="AD837" s="34">
        <v>0</v>
      </c>
      <c r="AE837" s="34">
        <v>0</v>
      </c>
      <c r="AF837" s="34">
        <v>0</v>
      </c>
      <c r="AG837" s="18">
        <v>54735904</v>
      </c>
      <c r="AH837" s="34">
        <v>0</v>
      </c>
      <c r="AI837" s="43">
        <f>AE836-AF836+AG837-AH836</f>
        <v>54735904</v>
      </c>
      <c r="AJ837" s="43">
        <f>AD836+AI837</f>
        <v>54735904</v>
      </c>
      <c r="AK837" s="34">
        <v>0</v>
      </c>
      <c r="AL837" s="18">
        <f>AM837-JULIO!AM808</f>
        <v>-5784766</v>
      </c>
      <c r="AM837" s="18">
        <v>24900000</v>
      </c>
      <c r="AN837" s="34">
        <v>0</v>
      </c>
      <c r="AO837" s="18">
        <v>24900000</v>
      </c>
      <c r="AP837" s="18">
        <v>24900000</v>
      </c>
      <c r="AQ837" s="34">
        <v>0</v>
      </c>
      <c r="AR837" s="34">
        <v>0</v>
      </c>
      <c r="AS837" s="34">
        <v>0</v>
      </c>
      <c r="AT837" s="40">
        <f t="shared" ref="AT837" si="360">AQ837+AS837</f>
        <v>0</v>
      </c>
      <c r="AU837" s="18">
        <f t="shared" ref="AU837" si="361">AJ837-AM837</f>
        <v>29835904</v>
      </c>
      <c r="AV837" s="18">
        <f t="shared" ref="AV837" si="362">AM837-AP837</f>
        <v>0</v>
      </c>
      <c r="AW837" s="18">
        <f t="shared" ref="AW837" si="363">AP837-AT837</f>
        <v>24900000</v>
      </c>
      <c r="AX837" s="123">
        <f t="shared" ref="AX837" si="364">AP837/AJ837</f>
        <v>0.45491164263953693</v>
      </c>
    </row>
    <row r="838" spans="1:50" x14ac:dyDescent="0.2">
      <c r="AA838" s="134"/>
      <c r="AB838" s="42"/>
      <c r="AC838" s="17"/>
      <c r="AD838" s="18"/>
      <c r="AE838" s="34"/>
      <c r="AF838" s="34"/>
      <c r="AG838" s="18"/>
      <c r="AH838" s="18"/>
      <c r="AI838" s="43"/>
      <c r="AJ838" s="43"/>
      <c r="AK838" s="18"/>
      <c r="AL838" s="18"/>
      <c r="AM838" s="18"/>
      <c r="AN838" s="18"/>
      <c r="AO838" s="18"/>
      <c r="AP838" s="18"/>
      <c r="AQ838" s="18"/>
      <c r="AR838" s="18"/>
      <c r="AS838" s="18"/>
      <c r="AT838" s="30"/>
      <c r="AU838" s="18"/>
      <c r="AV838" s="18"/>
      <c r="AW838" s="18"/>
      <c r="AX838" s="18"/>
    </row>
    <row r="839" spans="1:50" x14ac:dyDescent="0.2">
      <c r="AA839" s="16"/>
      <c r="AB839" s="29" t="s">
        <v>189</v>
      </c>
      <c r="AC839" s="17"/>
      <c r="AD839" s="18"/>
      <c r="AE839" s="34"/>
      <c r="AF839" s="34"/>
      <c r="AG839" s="34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30"/>
      <c r="AU839" s="18"/>
      <c r="AV839" s="18"/>
      <c r="AW839" s="18"/>
      <c r="AX839" s="18"/>
    </row>
    <row r="840" spans="1:50" ht="38.25" x14ac:dyDescent="0.2">
      <c r="AA840" s="16"/>
      <c r="AB840" s="29" t="s">
        <v>373</v>
      </c>
      <c r="AC840" s="17"/>
      <c r="AD840" s="18"/>
      <c r="AE840" s="34"/>
      <c r="AF840" s="34"/>
      <c r="AG840" s="34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30"/>
      <c r="AU840" s="18"/>
      <c r="AV840" s="18"/>
      <c r="AW840" s="18"/>
      <c r="AX840" s="18"/>
    </row>
    <row r="841" spans="1:50" ht="25.5" x14ac:dyDescent="0.2">
      <c r="AA841" s="73" t="s">
        <v>288</v>
      </c>
      <c r="AB841" s="29" t="s">
        <v>637</v>
      </c>
      <c r="AC841" s="17"/>
      <c r="AD841" s="18"/>
      <c r="AE841" s="34"/>
      <c r="AF841" s="34"/>
      <c r="AG841" s="34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30"/>
      <c r="AU841" s="18"/>
      <c r="AV841" s="18"/>
      <c r="AW841" s="18"/>
      <c r="AX841" s="18"/>
    </row>
    <row r="842" spans="1:50" x14ac:dyDescent="0.2">
      <c r="AA842" s="41" t="s">
        <v>1253</v>
      </c>
      <c r="AB842" s="38" t="s">
        <v>233</v>
      </c>
      <c r="AC842" s="17"/>
      <c r="AD842" s="18">
        <v>0</v>
      </c>
      <c r="AE842" s="34">
        <v>0</v>
      </c>
      <c r="AF842" s="34">
        <v>0</v>
      </c>
      <c r="AG842" s="18">
        <v>30000000</v>
      </c>
      <c r="AH842" s="18">
        <v>0</v>
      </c>
      <c r="AI842" s="43">
        <f>AE842-AF842+AG842-AH842</f>
        <v>30000000</v>
      </c>
      <c r="AJ842" s="43">
        <f>AD842+AI842</f>
        <v>30000000</v>
      </c>
      <c r="AK842" s="34">
        <v>0</v>
      </c>
      <c r="AL842" s="34">
        <v>0</v>
      </c>
      <c r="AM842" s="34">
        <v>0</v>
      </c>
      <c r="AN842" s="34">
        <v>0</v>
      </c>
      <c r="AO842" s="34">
        <v>0</v>
      </c>
      <c r="AP842" s="34">
        <v>0</v>
      </c>
      <c r="AQ842" s="34">
        <v>0</v>
      </c>
      <c r="AR842" s="34">
        <v>0</v>
      </c>
      <c r="AS842" s="34">
        <v>0</v>
      </c>
      <c r="AT842" s="40">
        <f t="shared" ref="AT842" si="365">AQ842+AS842</f>
        <v>0</v>
      </c>
      <c r="AU842" s="18">
        <f>AJ842-AM842</f>
        <v>30000000</v>
      </c>
      <c r="AV842" s="133">
        <f>AM842-AP842</f>
        <v>0</v>
      </c>
      <c r="AW842" s="18">
        <f>AP842-AT842</f>
        <v>0</v>
      </c>
      <c r="AX842" s="123">
        <f>AP842/AJ842</f>
        <v>0</v>
      </c>
    </row>
    <row r="843" spans="1:50" x14ac:dyDescent="0.2">
      <c r="AA843" s="16"/>
      <c r="AB843" s="29"/>
      <c r="AC843" s="17"/>
      <c r="AD843" s="18"/>
      <c r="AE843" s="34"/>
      <c r="AF843" s="34"/>
      <c r="AG843" s="34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30"/>
      <c r="AU843" s="18"/>
      <c r="AV843" s="18"/>
      <c r="AW843" s="18"/>
      <c r="AX843" s="18"/>
    </row>
    <row r="844" spans="1:50" ht="25.5" x14ac:dyDescent="0.2">
      <c r="AA844" s="28" t="s">
        <v>288</v>
      </c>
      <c r="AB844" s="29" t="s">
        <v>585</v>
      </c>
      <c r="AC844" s="17"/>
      <c r="AD844" s="18"/>
      <c r="AE844" s="34"/>
      <c r="AF844" s="34"/>
      <c r="AG844" s="34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30"/>
      <c r="AU844" s="18"/>
      <c r="AV844" s="18"/>
      <c r="AW844" s="18"/>
      <c r="AX844" s="18"/>
    </row>
    <row r="845" spans="1:50" x14ac:dyDescent="0.2">
      <c r="A845" s="4" t="s">
        <v>55</v>
      </c>
      <c r="B845" s="4" t="s">
        <v>56</v>
      </c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1" t="s">
        <v>586</v>
      </c>
      <c r="AB845" s="42" t="s">
        <v>233</v>
      </c>
      <c r="AC845" s="43" t="s">
        <v>58</v>
      </c>
      <c r="AD845" s="43">
        <v>165000000</v>
      </c>
      <c r="AE845" s="44">
        <v>0</v>
      </c>
      <c r="AF845" s="44">
        <v>0</v>
      </c>
      <c r="AG845" s="44">
        <v>0</v>
      </c>
      <c r="AH845" s="43">
        <v>22500000</v>
      </c>
      <c r="AI845" s="43">
        <f>AE845-AF845+AG845-AH845</f>
        <v>-22500000</v>
      </c>
      <c r="AJ845" s="43">
        <f>AD845+AI845</f>
        <v>142500000</v>
      </c>
      <c r="AK845" s="44">
        <v>0</v>
      </c>
      <c r="AL845" s="44">
        <v>0</v>
      </c>
      <c r="AM845" s="43">
        <v>142500000</v>
      </c>
      <c r="AN845" s="44">
        <v>0</v>
      </c>
      <c r="AO845" s="44">
        <v>0</v>
      </c>
      <c r="AP845" s="18">
        <v>142500000</v>
      </c>
      <c r="AQ845" s="34">
        <v>0</v>
      </c>
      <c r="AR845" s="34">
        <v>0</v>
      </c>
      <c r="AS845" s="34">
        <v>0</v>
      </c>
      <c r="AT845" s="40">
        <f t="shared" ref="AT845" si="366">AQ845+AS845</f>
        <v>0</v>
      </c>
      <c r="AU845" s="18">
        <f>AJ845-AM845</f>
        <v>0</v>
      </c>
      <c r="AV845" s="133">
        <f>AM845-AP845</f>
        <v>0</v>
      </c>
      <c r="AW845" s="18">
        <f>AP845-AT845</f>
        <v>142500000</v>
      </c>
      <c r="AX845" s="123">
        <f>AP845/AJ845</f>
        <v>1</v>
      </c>
    </row>
    <row r="846" spans="1:50" ht="25.5" x14ac:dyDescent="0.2">
      <c r="AA846" s="28" t="s">
        <v>288</v>
      </c>
      <c r="AB846" s="29" t="s">
        <v>587</v>
      </c>
      <c r="AC846" s="17"/>
      <c r="AD846" s="18"/>
      <c r="AE846" s="34"/>
      <c r="AF846" s="34"/>
      <c r="AG846" s="34"/>
      <c r="AH846" s="34"/>
      <c r="AI846" s="34"/>
      <c r="AJ846" s="18"/>
      <c r="AK846" s="18"/>
      <c r="AL846" s="18"/>
      <c r="AM846" s="18"/>
      <c r="AN846" s="34"/>
      <c r="AO846" s="34"/>
      <c r="AP846" s="18"/>
      <c r="AQ846" s="34"/>
      <c r="AR846" s="34"/>
      <c r="AS846" s="34"/>
      <c r="AT846" s="40"/>
      <c r="AU846" s="18"/>
      <c r="AV846" s="34"/>
      <c r="AW846" s="18"/>
      <c r="AX846" s="18"/>
    </row>
    <row r="847" spans="1:50" x14ac:dyDescent="0.2">
      <c r="A847" s="4" t="s">
        <v>55</v>
      </c>
      <c r="B847" s="4" t="s">
        <v>56</v>
      </c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1" t="s">
        <v>588</v>
      </c>
      <c r="AB847" s="42" t="s">
        <v>233</v>
      </c>
      <c r="AC847" s="43" t="s">
        <v>58</v>
      </c>
      <c r="AD847" s="43">
        <v>360000000</v>
      </c>
      <c r="AE847" s="44">
        <v>0</v>
      </c>
      <c r="AF847" s="44">
        <v>0</v>
      </c>
      <c r="AG847" s="44">
        <v>0</v>
      </c>
      <c r="AH847" s="44">
        <v>0</v>
      </c>
      <c r="AI847" s="44">
        <v>0</v>
      </c>
      <c r="AJ847" s="43">
        <v>360000000</v>
      </c>
      <c r="AK847" s="44">
        <v>0</v>
      </c>
      <c r="AL847" s="115">
        <v>0</v>
      </c>
      <c r="AM847" s="114">
        <v>320207103</v>
      </c>
      <c r="AN847" s="44">
        <v>0</v>
      </c>
      <c r="AO847" s="44">
        <v>0</v>
      </c>
      <c r="AP847" s="18">
        <v>320207103</v>
      </c>
      <c r="AQ847" s="34">
        <v>0</v>
      </c>
      <c r="AR847" s="18">
        <v>35578567</v>
      </c>
      <c r="AS847" s="18">
        <v>177892835</v>
      </c>
      <c r="AT847" s="39">
        <f t="shared" ref="AT847" si="367">AQ847+AS847</f>
        <v>177892835</v>
      </c>
      <c r="AU847" s="18">
        <f>AJ847-AM847</f>
        <v>39792897</v>
      </c>
      <c r="AV847" s="133">
        <f>AM847-AP847</f>
        <v>0</v>
      </c>
      <c r="AW847" s="18">
        <f>AP847-AT847</f>
        <v>142314268</v>
      </c>
      <c r="AX847" s="123">
        <f>AP847/AJ847</f>
        <v>0.88946417499999997</v>
      </c>
    </row>
    <row r="848" spans="1:50" ht="25.5" x14ac:dyDescent="0.2">
      <c r="AA848" s="28" t="s">
        <v>288</v>
      </c>
      <c r="AB848" s="29" t="s">
        <v>589</v>
      </c>
      <c r="AC848" s="17"/>
      <c r="AD848" s="18"/>
      <c r="AE848" s="34"/>
      <c r="AF848" s="34"/>
      <c r="AG848" s="34"/>
      <c r="AH848" s="34"/>
      <c r="AI848" s="34"/>
      <c r="AJ848" s="18"/>
      <c r="AK848" s="34"/>
      <c r="AL848" s="34"/>
      <c r="AM848" s="34"/>
      <c r="AN848" s="34"/>
      <c r="AO848" s="34"/>
      <c r="AP848" s="34"/>
      <c r="AQ848" s="34"/>
      <c r="AR848" s="34"/>
      <c r="AS848" s="34"/>
      <c r="AT848" s="40"/>
      <c r="AU848" s="18"/>
      <c r="AV848" s="18"/>
      <c r="AW848" s="34"/>
      <c r="AX848" s="18"/>
    </row>
    <row r="849" spans="1:50" x14ac:dyDescent="0.2">
      <c r="A849" s="4" t="s">
        <v>55</v>
      </c>
      <c r="B849" s="4" t="s">
        <v>56</v>
      </c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1" t="s">
        <v>590</v>
      </c>
      <c r="AB849" s="42" t="s">
        <v>233</v>
      </c>
      <c r="AC849" s="43" t="s">
        <v>58</v>
      </c>
      <c r="AD849" s="43">
        <v>2564591998.2600002</v>
      </c>
      <c r="AE849" s="44">
        <v>0</v>
      </c>
      <c r="AF849" s="44">
        <v>0</v>
      </c>
      <c r="AG849" s="44">
        <v>0</v>
      </c>
      <c r="AH849" s="43">
        <f>602281020+113189627.21</f>
        <v>715470647.21000004</v>
      </c>
      <c r="AI849" s="43">
        <f>AE849-AF849+AG849-AH849</f>
        <v>-715470647.21000004</v>
      </c>
      <c r="AJ849" s="43">
        <f>AD849+AI849</f>
        <v>1849121351.0500002</v>
      </c>
      <c r="AK849" s="44">
        <v>0</v>
      </c>
      <c r="AL849" s="44">
        <v>0</v>
      </c>
      <c r="AM849" s="44">
        <v>0</v>
      </c>
      <c r="AN849" s="44">
        <v>0</v>
      </c>
      <c r="AO849" s="44">
        <v>0</v>
      </c>
      <c r="AP849" s="34">
        <v>0</v>
      </c>
      <c r="AQ849" s="34">
        <v>0</v>
      </c>
      <c r="AR849" s="34">
        <v>0</v>
      </c>
      <c r="AS849" s="34">
        <v>0</v>
      </c>
      <c r="AT849" s="40">
        <f t="shared" ref="AT849:AT850" si="368">AQ849+AS849</f>
        <v>0</v>
      </c>
      <c r="AU849" s="18">
        <f>AJ849-AM849</f>
        <v>1849121351.0500002</v>
      </c>
      <c r="AV849" s="133">
        <f>AM849-AP849</f>
        <v>0</v>
      </c>
      <c r="AW849" s="34">
        <f>AP849-AT849</f>
        <v>0</v>
      </c>
      <c r="AX849" s="123">
        <f>AP849/AJ849</f>
        <v>0</v>
      </c>
    </row>
    <row r="850" spans="1:50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1" t="s">
        <v>1100</v>
      </c>
      <c r="AB850" s="42" t="s">
        <v>1015</v>
      </c>
      <c r="AC850" s="43"/>
      <c r="AD850" s="43">
        <v>0</v>
      </c>
      <c r="AE850" s="43">
        <v>40000000</v>
      </c>
      <c r="AF850" s="44"/>
      <c r="AG850" s="44"/>
      <c r="AH850" s="291">
        <v>40000000</v>
      </c>
      <c r="AI850" s="43">
        <f>AE850-AF850+AG850-AH850</f>
        <v>0</v>
      </c>
      <c r="AJ850" s="43">
        <f>AD850+AI850</f>
        <v>0</v>
      </c>
      <c r="AK850" s="44">
        <v>0</v>
      </c>
      <c r="AL850" s="44">
        <v>0</v>
      </c>
      <c r="AM850" s="44">
        <v>0</v>
      </c>
      <c r="AN850" s="44">
        <v>0</v>
      </c>
      <c r="AO850" s="44">
        <v>0</v>
      </c>
      <c r="AP850" s="34">
        <v>0</v>
      </c>
      <c r="AQ850" s="34">
        <v>0</v>
      </c>
      <c r="AR850" s="34">
        <v>0</v>
      </c>
      <c r="AS850" s="34">
        <v>0</v>
      </c>
      <c r="AT850" s="40">
        <f t="shared" si="368"/>
        <v>0</v>
      </c>
      <c r="AU850" s="18">
        <f>AJ850-AM850</f>
        <v>0</v>
      </c>
      <c r="AV850" s="133">
        <f>AM850-AP850</f>
        <v>0</v>
      </c>
      <c r="AW850" s="34">
        <f>AP850-AT850</f>
        <v>0</v>
      </c>
      <c r="AX850" s="123">
        <v>0</v>
      </c>
    </row>
    <row r="851" spans="1:50" x14ac:dyDescent="0.2">
      <c r="AA851" s="16"/>
      <c r="AB851" s="17"/>
      <c r="AC851" s="17"/>
      <c r="AD851" s="18"/>
      <c r="AE851" s="34"/>
      <c r="AF851" s="34"/>
      <c r="AG851" s="34"/>
      <c r="AH851" s="34"/>
      <c r="AI851" s="34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30"/>
      <c r="AU851" s="18"/>
      <c r="AV851" s="18"/>
      <c r="AW851" s="18"/>
      <c r="AX851" s="18"/>
    </row>
    <row r="852" spans="1:50" ht="25.5" x14ac:dyDescent="0.2">
      <c r="AA852" s="16"/>
      <c r="AB852" s="29" t="s">
        <v>197</v>
      </c>
      <c r="AC852" s="17"/>
      <c r="AD852" s="18"/>
      <c r="AE852" s="34"/>
      <c r="AF852" s="34"/>
      <c r="AG852" s="34"/>
      <c r="AH852" s="34"/>
      <c r="AI852" s="34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30"/>
      <c r="AU852" s="18"/>
      <c r="AV852" s="18"/>
      <c r="AW852" s="18"/>
      <c r="AX852" s="18"/>
    </row>
    <row r="853" spans="1:50" x14ac:dyDescent="0.2">
      <c r="AA853" s="28" t="s">
        <v>288</v>
      </c>
      <c r="AB853" s="29" t="s">
        <v>591</v>
      </c>
      <c r="AC853" s="17"/>
      <c r="AD853" s="18"/>
      <c r="AE853" s="34"/>
      <c r="AF853" s="34"/>
      <c r="AG853" s="34"/>
      <c r="AH853" s="34"/>
      <c r="AI853" s="34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30"/>
      <c r="AU853" s="18"/>
      <c r="AV853" s="18"/>
      <c r="AW853" s="18"/>
      <c r="AX853" s="18"/>
    </row>
    <row r="854" spans="1:50" x14ac:dyDescent="0.2">
      <c r="A854" s="4" t="s">
        <v>55</v>
      </c>
      <c r="B854" s="4" t="s">
        <v>56</v>
      </c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1" t="s">
        <v>592</v>
      </c>
      <c r="AB854" s="42" t="s">
        <v>233</v>
      </c>
      <c r="AC854" s="43" t="s">
        <v>58</v>
      </c>
      <c r="AD854" s="43">
        <v>458060751</v>
      </c>
      <c r="AE854" s="44">
        <v>0</v>
      </c>
      <c r="AF854" s="44">
        <v>0</v>
      </c>
      <c r="AG854" s="43">
        <v>118300000</v>
      </c>
      <c r="AH854" s="44">
        <v>0</v>
      </c>
      <c r="AI854" s="43">
        <f>AE854-AF854+AG854-AH854</f>
        <v>118300000</v>
      </c>
      <c r="AJ854" s="43">
        <f>AD854+AI854</f>
        <v>576360751</v>
      </c>
      <c r="AK854" s="44">
        <v>0</v>
      </c>
      <c r="AL854" s="43">
        <f>AM854-JULIO!AM825</f>
        <v>6300000</v>
      </c>
      <c r="AM854" s="43">
        <v>442260751</v>
      </c>
      <c r="AN854" s="44">
        <v>0</v>
      </c>
      <c r="AO854" s="43">
        <v>6300000</v>
      </c>
      <c r="AP854" s="43">
        <v>442260751</v>
      </c>
      <c r="AQ854" s="110">
        <v>31380000</v>
      </c>
      <c r="AR854" s="110">
        <v>60433333</v>
      </c>
      <c r="AS854" s="18">
        <v>259683335</v>
      </c>
      <c r="AT854" s="39">
        <f t="shared" ref="AT854" si="369">AQ854+AS854</f>
        <v>291063335</v>
      </c>
      <c r="AU854" s="18">
        <f>AJ854-AM854</f>
        <v>134100000</v>
      </c>
      <c r="AV854" s="133">
        <f>AM854-AP854</f>
        <v>0</v>
      </c>
      <c r="AW854" s="18">
        <f>AP854-AT854</f>
        <v>151197416</v>
      </c>
      <c r="AX854" s="123">
        <f>AP854/AJ854</f>
        <v>0.7673332200929136</v>
      </c>
    </row>
    <row r="855" spans="1:50" ht="25.5" x14ac:dyDescent="0.2">
      <c r="AA855" s="28" t="s">
        <v>288</v>
      </c>
      <c r="AB855" s="29" t="s">
        <v>593</v>
      </c>
      <c r="AC855" s="17"/>
      <c r="AD855" s="18"/>
      <c r="AE855" s="34"/>
      <c r="AF855" s="34"/>
      <c r="AG855" s="34"/>
      <c r="AH855" s="34"/>
      <c r="AI855" s="34"/>
      <c r="AJ855" s="18"/>
      <c r="AK855" s="34"/>
      <c r="AL855" s="18"/>
      <c r="AM855" s="18"/>
      <c r="AN855" s="34"/>
      <c r="AO855" s="34"/>
      <c r="AP855" s="18"/>
      <c r="AQ855" s="110"/>
      <c r="AR855" s="110"/>
      <c r="AS855" s="18"/>
      <c r="AT855" s="39"/>
      <c r="AU855" s="18"/>
      <c r="AV855" s="34"/>
      <c r="AW855" s="18"/>
      <c r="AX855" s="18"/>
    </row>
    <row r="856" spans="1:50" x14ac:dyDescent="0.2">
      <c r="A856" s="4" t="s">
        <v>55</v>
      </c>
      <c r="B856" s="4" t="s">
        <v>56</v>
      </c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1" t="s">
        <v>594</v>
      </c>
      <c r="AB856" s="42" t="s">
        <v>233</v>
      </c>
      <c r="AC856" s="43" t="s">
        <v>58</v>
      </c>
      <c r="AD856" s="43">
        <v>522500000</v>
      </c>
      <c r="AE856" s="44">
        <v>0</v>
      </c>
      <c r="AF856" s="44">
        <v>0</v>
      </c>
      <c r="AG856" s="43">
        <v>140000000</v>
      </c>
      <c r="AH856" s="43">
        <v>185000000</v>
      </c>
      <c r="AI856" s="43">
        <f>AE856-AF856+AG856-AH856</f>
        <v>-45000000</v>
      </c>
      <c r="AJ856" s="43">
        <f>AD856+AI856</f>
        <v>477500000</v>
      </c>
      <c r="AK856" s="44">
        <v>0</v>
      </c>
      <c r="AL856" s="43">
        <f>AM856-JULIO!AM827</f>
        <v>0</v>
      </c>
      <c r="AM856" s="43">
        <v>445416666.67000002</v>
      </c>
      <c r="AN856" s="43">
        <v>0</v>
      </c>
      <c r="AO856" s="44">
        <v>0</v>
      </c>
      <c r="AP856" s="43">
        <v>445416666.67000002</v>
      </c>
      <c r="AQ856" s="110">
        <v>16166667</v>
      </c>
      <c r="AR856" s="110">
        <v>52500000</v>
      </c>
      <c r="AS856" s="18">
        <v>285200001</v>
      </c>
      <c r="AT856" s="39">
        <f t="shared" ref="AT856" si="370">AQ856+AS856</f>
        <v>301366668</v>
      </c>
      <c r="AU856" s="18">
        <f>AJ856-AM856</f>
        <v>32083333.329999983</v>
      </c>
      <c r="AV856" s="34">
        <f>AM856-AP856</f>
        <v>0</v>
      </c>
      <c r="AW856" s="18">
        <f>AP856-AT856</f>
        <v>144049998.67000002</v>
      </c>
      <c r="AX856" s="123">
        <f>AP856/AJ856</f>
        <v>0.93280977313089009</v>
      </c>
    </row>
    <row r="857" spans="1:50" ht="25.5" x14ac:dyDescent="0.2">
      <c r="AA857" s="28" t="s">
        <v>288</v>
      </c>
      <c r="AB857" s="29" t="s">
        <v>583</v>
      </c>
      <c r="AC857" s="17"/>
      <c r="AD857" s="18"/>
      <c r="AE857" s="34"/>
      <c r="AF857" s="34"/>
      <c r="AG857" s="34"/>
      <c r="AH857" s="34"/>
      <c r="AI857" s="34"/>
      <c r="AJ857" s="18"/>
      <c r="AK857" s="18"/>
      <c r="AL857" s="18"/>
      <c r="AM857" s="18"/>
      <c r="AN857" s="34"/>
      <c r="AO857" s="34"/>
      <c r="AP857" s="18"/>
      <c r="AQ857" s="34"/>
      <c r="AR857" s="34"/>
      <c r="AS857" s="18"/>
      <c r="AT857" s="39"/>
      <c r="AU857" s="18"/>
      <c r="AV857" s="18"/>
      <c r="AW857" s="18"/>
      <c r="AX857" s="18"/>
    </row>
    <row r="858" spans="1:50" x14ac:dyDescent="0.2">
      <c r="A858" s="4" t="s">
        <v>55</v>
      </c>
      <c r="B858" s="4" t="s">
        <v>56</v>
      </c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1" t="s">
        <v>595</v>
      </c>
      <c r="AB858" s="42" t="s">
        <v>233</v>
      </c>
      <c r="AC858" s="43" t="s">
        <v>58</v>
      </c>
      <c r="AD858" s="43">
        <v>100000000</v>
      </c>
      <c r="AE858" s="44">
        <v>0</v>
      </c>
      <c r="AF858" s="44">
        <v>0</v>
      </c>
      <c r="AG858" s="44">
        <v>0</v>
      </c>
      <c r="AH858" s="44">
        <v>0</v>
      </c>
      <c r="AI858" s="44">
        <v>0</v>
      </c>
      <c r="AJ858" s="43">
        <v>100000000</v>
      </c>
      <c r="AK858" s="44">
        <v>0</v>
      </c>
      <c r="AL858" s="43">
        <f>AM858-JULIO!AM829</f>
        <v>0</v>
      </c>
      <c r="AM858" s="43">
        <v>54000000</v>
      </c>
      <c r="AN858" s="44">
        <v>0</v>
      </c>
      <c r="AO858" s="44">
        <v>0</v>
      </c>
      <c r="AP858" s="43">
        <v>54000000</v>
      </c>
      <c r="AQ858" s="18">
        <v>0</v>
      </c>
      <c r="AR858" s="34">
        <v>7415686.8099999996</v>
      </c>
      <c r="AS858" s="18">
        <v>23049019.809999999</v>
      </c>
      <c r="AT858" s="39">
        <f t="shared" ref="AT858" si="371">AQ858+AS858</f>
        <v>23049019.809999999</v>
      </c>
      <c r="AU858" s="18">
        <f>AJ858-AM858</f>
        <v>46000000</v>
      </c>
      <c r="AV858" s="34">
        <f>AM858-AP858</f>
        <v>0</v>
      </c>
      <c r="AW858" s="18">
        <f>AP858-AT858</f>
        <v>30950980.190000001</v>
      </c>
      <c r="AX858" s="123">
        <f>AP858/AJ858</f>
        <v>0.54</v>
      </c>
    </row>
    <row r="859" spans="1:50" ht="25.5" x14ac:dyDescent="0.2">
      <c r="AA859" s="28" t="s">
        <v>288</v>
      </c>
      <c r="AB859" s="29" t="s">
        <v>596</v>
      </c>
      <c r="AC859" s="17"/>
      <c r="AD859" s="18"/>
      <c r="AE859" s="34"/>
      <c r="AF859" s="34"/>
      <c r="AG859" s="34"/>
      <c r="AH859" s="34"/>
      <c r="AI859" s="34"/>
      <c r="AJ859" s="18"/>
      <c r="AK859" s="34"/>
      <c r="AL859" s="133"/>
      <c r="AM859" s="110"/>
      <c r="AN859" s="34"/>
      <c r="AO859" s="34"/>
      <c r="AP859" s="34"/>
      <c r="AQ859" s="34"/>
      <c r="AR859" s="34"/>
      <c r="AS859" s="18"/>
      <c r="AT859" s="39"/>
      <c r="AU859" s="18"/>
      <c r="AV859" s="34"/>
      <c r="AW859" s="18"/>
      <c r="AX859" s="18"/>
    </row>
    <row r="860" spans="1:50" x14ac:dyDescent="0.2">
      <c r="A860" s="4" t="s">
        <v>55</v>
      </c>
      <c r="B860" s="4" t="s">
        <v>56</v>
      </c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1" t="s">
        <v>597</v>
      </c>
      <c r="AB860" s="42" t="s">
        <v>233</v>
      </c>
      <c r="AC860" s="43" t="s">
        <v>58</v>
      </c>
      <c r="AD860" s="43">
        <v>279700000</v>
      </c>
      <c r="AE860" s="44">
        <v>0</v>
      </c>
      <c r="AF860" s="44">
        <v>0</v>
      </c>
      <c r="AG860" s="44">
        <v>0</v>
      </c>
      <c r="AH860" s="44">
        <v>0</v>
      </c>
      <c r="AI860" s="44">
        <v>0</v>
      </c>
      <c r="AJ860" s="43">
        <v>279700000</v>
      </c>
      <c r="AK860" s="44">
        <v>0</v>
      </c>
      <c r="AL860" s="43">
        <f>AM860-JULIO!AM831</f>
        <v>0</v>
      </c>
      <c r="AM860" s="114">
        <v>193600000</v>
      </c>
      <c r="AN860" s="44">
        <v>0</v>
      </c>
      <c r="AO860" s="43">
        <v>0</v>
      </c>
      <c r="AP860" s="114">
        <v>193600000</v>
      </c>
      <c r="AQ860" s="18">
        <v>5000000</v>
      </c>
      <c r="AR860" s="18">
        <v>21700000</v>
      </c>
      <c r="AS860" s="18">
        <v>124073333</v>
      </c>
      <c r="AT860" s="39">
        <f t="shared" ref="AT860" si="372">AQ860+AS860</f>
        <v>129073333</v>
      </c>
      <c r="AU860" s="18">
        <f>AJ860-AM860</f>
        <v>86100000</v>
      </c>
      <c r="AV860" s="133">
        <f>AM860-AP860</f>
        <v>0</v>
      </c>
      <c r="AW860" s="18">
        <f>AP860-AT860</f>
        <v>64526667</v>
      </c>
      <c r="AX860" s="123">
        <f>AP860/AJ860</f>
        <v>0.69217018233821948</v>
      </c>
    </row>
    <row r="861" spans="1:50" ht="38.25" x14ac:dyDescent="0.2">
      <c r="AA861" s="28" t="s">
        <v>288</v>
      </c>
      <c r="AB861" s="29" t="s">
        <v>598</v>
      </c>
      <c r="AC861" s="17"/>
      <c r="AD861" s="18"/>
      <c r="AE861" s="34"/>
      <c r="AF861" s="34"/>
      <c r="AG861" s="34"/>
      <c r="AH861" s="34"/>
      <c r="AI861" s="34"/>
      <c r="AJ861" s="18"/>
      <c r="AK861" s="34"/>
      <c r="AL861" s="34"/>
      <c r="AM861" s="18"/>
      <c r="AN861" s="18"/>
      <c r="AO861" s="18"/>
      <c r="AP861" s="18"/>
      <c r="AQ861" s="110"/>
      <c r="AR861" s="110"/>
      <c r="AS861" s="18"/>
      <c r="AT861" s="30"/>
      <c r="AU861" s="18"/>
      <c r="AV861" s="18"/>
      <c r="AW861" s="18"/>
      <c r="AX861" s="18"/>
    </row>
    <row r="862" spans="1:50" x14ac:dyDescent="0.2">
      <c r="A862" s="4" t="s">
        <v>55</v>
      </c>
      <c r="B862" s="4" t="s">
        <v>56</v>
      </c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1" t="s">
        <v>599</v>
      </c>
      <c r="AB862" s="42" t="s">
        <v>233</v>
      </c>
      <c r="AC862" s="43" t="s">
        <v>58</v>
      </c>
      <c r="AD862" s="43">
        <v>418000000</v>
      </c>
      <c r="AE862" s="44">
        <v>0</v>
      </c>
      <c r="AF862" s="44">
        <v>0</v>
      </c>
      <c r="AG862" s="43">
        <v>22500000</v>
      </c>
      <c r="AH862" s="43">
        <v>30000000</v>
      </c>
      <c r="AI862" s="142">
        <f>AE862-AF862+AG862-AH862</f>
        <v>-7500000</v>
      </c>
      <c r="AJ862" s="142">
        <f>AD862+AI862</f>
        <v>410500000</v>
      </c>
      <c r="AK862" s="44">
        <v>0</v>
      </c>
      <c r="AL862" s="43">
        <f>AM862-JULIO!AM833</f>
        <v>0</v>
      </c>
      <c r="AM862" s="43">
        <v>300000000</v>
      </c>
      <c r="AN862" s="44">
        <v>0</v>
      </c>
      <c r="AO862" s="44">
        <v>0</v>
      </c>
      <c r="AP862" s="43">
        <v>300000000</v>
      </c>
      <c r="AQ862" s="133">
        <v>0</v>
      </c>
      <c r="AR862" s="110">
        <v>39500000</v>
      </c>
      <c r="AS862" s="110">
        <v>225866670</v>
      </c>
      <c r="AT862" s="111">
        <f t="shared" si="331"/>
        <v>225866670</v>
      </c>
      <c r="AU862" s="18">
        <f>AJ862-AM862</f>
        <v>110500000</v>
      </c>
      <c r="AV862" s="133">
        <f>AM862-AP862</f>
        <v>0</v>
      </c>
      <c r="AW862" s="18">
        <f>AP862-AT862</f>
        <v>74133330</v>
      </c>
      <c r="AX862" s="123">
        <f>AP862/AJ862</f>
        <v>0.73081607795371495</v>
      </c>
    </row>
    <row r="863" spans="1:50" x14ac:dyDescent="0.2">
      <c r="AA863" s="28" t="s">
        <v>288</v>
      </c>
      <c r="AB863" s="29" t="s">
        <v>600</v>
      </c>
      <c r="AC863" s="17"/>
      <c r="AD863" s="18"/>
      <c r="AE863" s="34"/>
      <c r="AF863" s="34"/>
      <c r="AG863" s="34"/>
      <c r="AH863" s="34"/>
      <c r="AI863" s="34"/>
      <c r="AJ863" s="18"/>
      <c r="AK863" s="34"/>
      <c r="AL863" s="34"/>
      <c r="AM863" s="18"/>
      <c r="AN863" s="34"/>
      <c r="AO863" s="34"/>
      <c r="AP863" s="18"/>
      <c r="AQ863" s="34"/>
      <c r="AR863" s="34"/>
      <c r="AS863" s="34"/>
      <c r="AT863" s="40"/>
      <c r="AU863" s="18"/>
      <c r="AV863" s="18"/>
      <c r="AW863" s="18"/>
      <c r="AX863" s="18"/>
    </row>
    <row r="864" spans="1:50" s="150" customFormat="1" x14ac:dyDescent="0.2">
      <c r="A864" s="140" t="s">
        <v>55</v>
      </c>
      <c r="B864" s="140" t="s">
        <v>56</v>
      </c>
      <c r="C864" s="140"/>
      <c r="D864" s="140"/>
      <c r="E864" s="140"/>
      <c r="F864" s="140"/>
      <c r="G864" s="140"/>
      <c r="H864" s="140"/>
      <c r="I864" s="140"/>
      <c r="J864" s="140"/>
      <c r="K864" s="140"/>
      <c r="L864" s="140"/>
      <c r="M864" s="140"/>
      <c r="N864" s="140"/>
      <c r="O864" s="140"/>
      <c r="P864" s="140"/>
      <c r="Q864" s="140"/>
      <c r="R864" s="140"/>
      <c r="S864" s="140"/>
      <c r="T864" s="140"/>
      <c r="U864" s="140"/>
      <c r="V864" s="140"/>
      <c r="W864" s="140"/>
      <c r="X864" s="140"/>
      <c r="Y864" s="140"/>
      <c r="Z864" s="140"/>
      <c r="AA864" s="134" t="s">
        <v>601</v>
      </c>
      <c r="AB864" s="69" t="s">
        <v>233</v>
      </c>
      <c r="AC864" s="142" t="s">
        <v>58</v>
      </c>
      <c r="AD864" s="142">
        <v>337300000</v>
      </c>
      <c r="AE864" s="143">
        <v>0</v>
      </c>
      <c r="AF864" s="143">
        <v>0</v>
      </c>
      <c r="AG864" s="143">
        <v>0</v>
      </c>
      <c r="AH864" s="142">
        <f>31295090+46856431.35</f>
        <v>78151521.349999994</v>
      </c>
      <c r="AI864" s="142">
        <f>AE864-AF864+AG864-AH864</f>
        <v>-78151521.349999994</v>
      </c>
      <c r="AJ864" s="142">
        <f>AD864+AI864</f>
        <v>259148478.65000001</v>
      </c>
      <c r="AK864" s="143">
        <v>0</v>
      </c>
      <c r="AL864" s="43">
        <f>AM864-JULIO!AM835</f>
        <v>0</v>
      </c>
      <c r="AM864" s="144">
        <v>259148478.65000001</v>
      </c>
      <c r="AN864" s="143">
        <v>0</v>
      </c>
      <c r="AO864" s="143">
        <v>0</v>
      </c>
      <c r="AP864" s="142">
        <v>259148478.65000001</v>
      </c>
      <c r="AQ864" s="145">
        <v>0</v>
      </c>
      <c r="AR864" s="147">
        <v>25668003.940000001</v>
      </c>
      <c r="AS864" s="147">
        <v>108210718.52</v>
      </c>
      <c r="AT864" s="267">
        <f t="shared" ref="AT864" si="373">AQ864+AS864</f>
        <v>108210718.52</v>
      </c>
      <c r="AU864" s="145">
        <f>AJ864-AM864</f>
        <v>0</v>
      </c>
      <c r="AV864" s="175">
        <f>AM864-AP864</f>
        <v>0</v>
      </c>
      <c r="AW864" s="147">
        <f>AP864-AT864</f>
        <v>150937760.13</v>
      </c>
      <c r="AX864" s="149">
        <f>AP864/AJ864</f>
        <v>1</v>
      </c>
    </row>
    <row r="865" spans="1:50" ht="25.5" x14ac:dyDescent="0.2">
      <c r="AA865" s="28" t="s">
        <v>288</v>
      </c>
      <c r="AB865" s="29" t="s">
        <v>602</v>
      </c>
      <c r="AC865" s="17"/>
      <c r="AD865" s="18"/>
      <c r="AE865" s="18"/>
      <c r="AF865" s="18"/>
      <c r="AG865" s="18"/>
      <c r="AH865" s="18"/>
      <c r="AI865" s="18"/>
      <c r="AJ865" s="18"/>
      <c r="AK865" s="34"/>
      <c r="AL865" s="34"/>
      <c r="AM865" s="34"/>
      <c r="AN865" s="34"/>
      <c r="AO865" s="34"/>
      <c r="AP865" s="34"/>
      <c r="AQ865" s="34"/>
      <c r="AR865" s="34"/>
      <c r="AS865" s="34"/>
      <c r="AT865" s="40"/>
      <c r="AU865" s="18"/>
      <c r="AV865" s="18"/>
      <c r="AW865" s="18"/>
      <c r="AX865" s="18"/>
    </row>
    <row r="866" spans="1:50" x14ac:dyDescent="0.2">
      <c r="A866" s="4" t="s">
        <v>55</v>
      </c>
      <c r="B866" s="4" t="s">
        <v>56</v>
      </c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1" t="s">
        <v>603</v>
      </c>
      <c r="AB866" s="42" t="s">
        <v>233</v>
      </c>
      <c r="AC866" s="43" t="s">
        <v>58</v>
      </c>
      <c r="AD866" s="44">
        <v>0</v>
      </c>
      <c r="AE866" s="44">
        <v>0</v>
      </c>
      <c r="AF866" s="44">
        <v>0</v>
      </c>
      <c r="AG866" s="43">
        <v>4400000</v>
      </c>
      <c r="AH866" s="44">
        <v>0</v>
      </c>
      <c r="AI866" s="43">
        <f>AE866-AF866+AG866-AH866</f>
        <v>4400000</v>
      </c>
      <c r="AJ866" s="43">
        <f>AD866+AI866</f>
        <v>4400000</v>
      </c>
      <c r="AK866" s="44">
        <v>0</v>
      </c>
      <c r="AL866" s="44">
        <v>0</v>
      </c>
      <c r="AM866" s="44">
        <v>0</v>
      </c>
      <c r="AN866" s="44">
        <v>0</v>
      </c>
      <c r="AO866" s="44">
        <v>0</v>
      </c>
      <c r="AP866" s="44">
        <v>0</v>
      </c>
      <c r="AQ866" s="34">
        <v>0</v>
      </c>
      <c r="AR866" s="34">
        <v>0</v>
      </c>
      <c r="AS866" s="34">
        <v>0</v>
      </c>
      <c r="AT866" s="40">
        <f t="shared" ref="AT866" si="374">AQ866+AS866</f>
        <v>0</v>
      </c>
      <c r="AU866" s="18">
        <f>AJ866-AM866</f>
        <v>4400000</v>
      </c>
      <c r="AV866" s="133">
        <f>AM866-AP866</f>
        <v>0</v>
      </c>
      <c r="AW866" s="34">
        <f>AP866-AT866</f>
        <v>0</v>
      </c>
      <c r="AX866" s="123">
        <f>AP866/AJ866</f>
        <v>0</v>
      </c>
    </row>
    <row r="867" spans="1:50" ht="25.5" x14ac:dyDescent="0.2">
      <c r="AA867" s="28" t="s">
        <v>288</v>
      </c>
      <c r="AB867" s="29" t="s">
        <v>197</v>
      </c>
      <c r="AC867" s="17"/>
      <c r="AD867" s="34"/>
      <c r="AE867" s="34"/>
      <c r="AF867" s="34"/>
      <c r="AG867" s="18"/>
      <c r="AH867" s="34"/>
      <c r="AI867" s="18"/>
      <c r="AJ867" s="147"/>
      <c r="AK867" s="34"/>
      <c r="AL867" s="34"/>
      <c r="AM867" s="34"/>
      <c r="AN867" s="34"/>
      <c r="AO867" s="34"/>
      <c r="AP867" s="34"/>
      <c r="AQ867" s="34"/>
      <c r="AR867" s="34"/>
      <c r="AS867" s="34"/>
      <c r="AT867" s="40"/>
      <c r="AU867" s="18"/>
      <c r="AV867" s="34"/>
      <c r="AW867" s="34"/>
      <c r="AX867" s="18"/>
    </row>
    <row r="868" spans="1:50" x14ac:dyDescent="0.2">
      <c r="A868" s="4" t="s">
        <v>55</v>
      </c>
      <c r="B868" s="4" t="s">
        <v>56</v>
      </c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1" t="s">
        <v>604</v>
      </c>
      <c r="AB868" s="42" t="s">
        <v>233</v>
      </c>
      <c r="AC868" s="43" t="s">
        <v>58</v>
      </c>
      <c r="AD868" s="44">
        <v>0</v>
      </c>
      <c r="AE868" s="44">
        <v>0</v>
      </c>
      <c r="AF868" s="44">
        <v>0</v>
      </c>
      <c r="AG868" s="43">
        <f>88500000</f>
        <v>88500000</v>
      </c>
      <c r="AH868" s="43">
        <v>20700000</v>
      </c>
      <c r="AI868" s="43">
        <f>AE868-AF868+AG868-AH868</f>
        <v>67800000</v>
      </c>
      <c r="AJ868" s="142">
        <f>AD868+AI868</f>
        <v>67800000</v>
      </c>
      <c r="AK868" s="44">
        <v>0</v>
      </c>
      <c r="AL868" s="43">
        <f>AM868-JULIO!AM839</f>
        <v>-6719991</v>
      </c>
      <c r="AM868" s="43">
        <v>23280000</v>
      </c>
      <c r="AN868" s="44">
        <v>0</v>
      </c>
      <c r="AO868" s="43">
        <v>23280000</v>
      </c>
      <c r="AP868" s="44">
        <v>23280000</v>
      </c>
      <c r="AQ868" s="34">
        <v>0</v>
      </c>
      <c r="AR868" s="34">
        <v>0</v>
      </c>
      <c r="AS868" s="34">
        <v>0</v>
      </c>
      <c r="AT868" s="40">
        <f t="shared" ref="AT868:AT870" si="375">AQ868+AS868</f>
        <v>0</v>
      </c>
      <c r="AU868" s="18">
        <f>AJ868-AM868</f>
        <v>44520000</v>
      </c>
      <c r="AV868" s="34">
        <f>AM868-AP868</f>
        <v>0</v>
      </c>
      <c r="AW868" s="34">
        <f>AP868-AT868</f>
        <v>23280000</v>
      </c>
      <c r="AX868" s="123">
        <f>AP868/AJ868</f>
        <v>0.3433628318584071</v>
      </c>
    </row>
    <row r="869" spans="1:50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1" t="s">
        <v>1225</v>
      </c>
      <c r="AB869" s="42" t="s">
        <v>233</v>
      </c>
      <c r="AC869" s="43"/>
      <c r="AD869" s="44">
        <v>0</v>
      </c>
      <c r="AE869" s="44">
        <v>0</v>
      </c>
      <c r="AF869" s="44">
        <v>0</v>
      </c>
      <c r="AG869" s="43">
        <f>113189627.21+602281020</f>
        <v>715470647.21000004</v>
      </c>
      <c r="AH869" s="43"/>
      <c r="AI869" s="43">
        <f>AE869-AF869+AG869-AH869</f>
        <v>715470647.21000004</v>
      </c>
      <c r="AJ869" s="142">
        <f>AD869+AI869</f>
        <v>715470647.21000004</v>
      </c>
      <c r="AK869" s="44">
        <v>0</v>
      </c>
      <c r="AL869" s="43">
        <v>0</v>
      </c>
      <c r="AM869" s="43">
        <v>0</v>
      </c>
      <c r="AN869" s="44">
        <v>0</v>
      </c>
      <c r="AO869" s="44">
        <v>0</v>
      </c>
      <c r="AP869" s="44">
        <v>0</v>
      </c>
      <c r="AQ869" s="34">
        <v>0</v>
      </c>
      <c r="AR869" s="34">
        <v>0</v>
      </c>
      <c r="AS869" s="34">
        <v>0</v>
      </c>
      <c r="AT869" s="40">
        <f t="shared" ref="AT869" si="376">AQ869+AS869</f>
        <v>0</v>
      </c>
      <c r="AU869" s="18">
        <f>AJ869-AM869</f>
        <v>715470647.21000004</v>
      </c>
      <c r="AV869" s="34">
        <f>AM869-AP869</f>
        <v>0</v>
      </c>
      <c r="AW869" s="34">
        <f>AP869-AT869</f>
        <v>0</v>
      </c>
      <c r="AX869" s="123">
        <f>AP869/AJ869</f>
        <v>0</v>
      </c>
    </row>
    <row r="870" spans="1:50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1" t="s">
        <v>1318</v>
      </c>
      <c r="AB870" s="42" t="s">
        <v>1015</v>
      </c>
      <c r="AC870" s="43"/>
      <c r="AD870" s="44">
        <v>0</v>
      </c>
      <c r="AE870" s="44">
        <v>0</v>
      </c>
      <c r="AF870" s="44">
        <v>0</v>
      </c>
      <c r="AG870" s="43">
        <f>40000000</f>
        <v>40000000</v>
      </c>
      <c r="AH870" s="43"/>
      <c r="AI870" s="43">
        <f>AE870-AF870+AG870-AH870</f>
        <v>40000000</v>
      </c>
      <c r="AJ870" s="142">
        <f>AD870+AI870</f>
        <v>40000000</v>
      </c>
      <c r="AK870" s="44">
        <v>0</v>
      </c>
      <c r="AL870" s="44">
        <v>0</v>
      </c>
      <c r="AM870" s="44">
        <v>0</v>
      </c>
      <c r="AN870" s="44">
        <v>0</v>
      </c>
      <c r="AO870" s="44">
        <v>0</v>
      </c>
      <c r="AP870" s="44">
        <v>0</v>
      </c>
      <c r="AQ870" s="34">
        <v>0</v>
      </c>
      <c r="AR870" s="34">
        <v>0</v>
      </c>
      <c r="AS870" s="34">
        <v>0</v>
      </c>
      <c r="AT870" s="40">
        <f t="shared" si="375"/>
        <v>0</v>
      </c>
      <c r="AU870" s="18">
        <f>AJ870-AM870</f>
        <v>40000000</v>
      </c>
      <c r="AV870" s="133">
        <f>AM870-AP870</f>
        <v>0</v>
      </c>
      <c r="AW870" s="34">
        <f>AP870-AT870</f>
        <v>0</v>
      </c>
      <c r="AX870" s="123">
        <f>AP870/AJ870</f>
        <v>0</v>
      </c>
    </row>
    <row r="871" spans="1:50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1"/>
      <c r="AB871" s="42"/>
      <c r="AC871" s="43"/>
      <c r="AD871" s="44"/>
      <c r="AE871" s="44"/>
      <c r="AF871" s="44"/>
      <c r="AG871" s="43"/>
      <c r="AH871" s="43"/>
      <c r="AI871" s="43"/>
      <c r="AJ871" s="43"/>
      <c r="AK871" s="44"/>
      <c r="AL871" s="44"/>
      <c r="AM871" s="44"/>
      <c r="AN871" s="44"/>
      <c r="AO871" s="44"/>
      <c r="AP871" s="44"/>
      <c r="AQ871" s="34"/>
      <c r="AR871" s="34"/>
      <c r="AS871" s="34"/>
      <c r="AT871" s="40"/>
      <c r="AU871" s="18"/>
      <c r="AV871" s="133"/>
      <c r="AW871" s="34"/>
      <c r="AX871" s="123"/>
    </row>
    <row r="872" spans="1:50" ht="38.25" x14ac:dyDescent="0.2">
      <c r="AA872" s="28" t="s">
        <v>288</v>
      </c>
      <c r="AB872" s="29" t="s">
        <v>606</v>
      </c>
      <c r="AC872" s="17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30"/>
      <c r="AU872" s="18"/>
      <c r="AV872" s="34"/>
      <c r="AW872" s="18"/>
      <c r="AX872" s="18"/>
    </row>
    <row r="873" spans="1:50" x14ac:dyDescent="0.2">
      <c r="A873" s="4" t="s">
        <v>55</v>
      </c>
      <c r="B873" s="4" t="s">
        <v>56</v>
      </c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1" t="s">
        <v>607</v>
      </c>
      <c r="AB873" s="42" t="s">
        <v>233</v>
      </c>
      <c r="AC873" s="43" t="s">
        <v>58</v>
      </c>
      <c r="AD873" s="43">
        <v>859800000</v>
      </c>
      <c r="AE873" s="44">
        <v>0</v>
      </c>
      <c r="AF873" s="44">
        <v>0</v>
      </c>
      <c r="AG873" s="43">
        <f>300000000+313000000</f>
        <v>613000000</v>
      </c>
      <c r="AH873" s="43">
        <f>900000+258300000</f>
        <v>259200000</v>
      </c>
      <c r="AI873" s="43">
        <f>AE873-AF873+AG873-AH873</f>
        <v>353800000</v>
      </c>
      <c r="AJ873" s="43">
        <f>AD873+AI873</f>
        <v>1213600000</v>
      </c>
      <c r="AK873" s="44">
        <v>0</v>
      </c>
      <c r="AL873" s="43">
        <f>AM873-JULIO!AM843</f>
        <v>15166666.670000076</v>
      </c>
      <c r="AM873" s="43">
        <v>604610299.34000003</v>
      </c>
      <c r="AN873" s="44">
        <v>0</v>
      </c>
      <c r="AO873" s="43">
        <v>15166666.67</v>
      </c>
      <c r="AP873" s="43">
        <v>604610299.34000003</v>
      </c>
      <c r="AQ873" s="18">
        <v>0</v>
      </c>
      <c r="AR873" s="110">
        <v>80861635.400000006</v>
      </c>
      <c r="AS873" s="110">
        <v>422321636.39999998</v>
      </c>
      <c r="AT873" s="111">
        <f t="shared" si="331"/>
        <v>422321636.39999998</v>
      </c>
      <c r="AU873" s="18">
        <f>AJ873-AM873</f>
        <v>608989700.65999997</v>
      </c>
      <c r="AV873" s="34">
        <f>AM873-AP873</f>
        <v>0</v>
      </c>
      <c r="AW873" s="18">
        <f>AP873-AT873</f>
        <v>182288662.94000006</v>
      </c>
      <c r="AX873" s="123">
        <f>AP873/AJ873</f>
        <v>0.49819569820369153</v>
      </c>
    </row>
    <row r="874" spans="1:50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1" t="s">
        <v>1101</v>
      </c>
      <c r="AB874" s="42" t="s">
        <v>1015</v>
      </c>
      <c r="AC874" s="43"/>
      <c r="AD874" s="43">
        <v>0</v>
      </c>
      <c r="AE874" s="43">
        <v>25000000</v>
      </c>
      <c r="AF874" s="44">
        <v>0</v>
      </c>
      <c r="AG874" s="44">
        <v>0</v>
      </c>
      <c r="AH874" s="44">
        <v>0</v>
      </c>
      <c r="AI874" s="43">
        <f>AE874-AF874+AG874-AH874</f>
        <v>25000000</v>
      </c>
      <c r="AJ874" s="43">
        <f>AD874+AI874</f>
        <v>25000000</v>
      </c>
      <c r="AK874" s="44">
        <v>0</v>
      </c>
      <c r="AL874" s="44">
        <v>0</v>
      </c>
      <c r="AM874" s="44">
        <v>0</v>
      </c>
      <c r="AN874" s="44">
        <v>0</v>
      </c>
      <c r="AO874" s="44">
        <v>0</v>
      </c>
      <c r="AP874" s="44">
        <v>0</v>
      </c>
      <c r="AQ874" s="34">
        <v>0</v>
      </c>
      <c r="AR874" s="133">
        <v>0</v>
      </c>
      <c r="AS874" s="133">
        <v>0</v>
      </c>
      <c r="AT874" s="135">
        <f t="shared" si="331"/>
        <v>0</v>
      </c>
      <c r="AU874" s="18">
        <f>AJ874-AM874</f>
        <v>25000000</v>
      </c>
      <c r="AV874" s="34">
        <f>AM874-AP874</f>
        <v>0</v>
      </c>
      <c r="AW874" s="18">
        <f>AP874-AT874</f>
        <v>0</v>
      </c>
      <c r="AX874" s="123">
        <f>AP874/AJ874</f>
        <v>0</v>
      </c>
    </row>
    <row r="875" spans="1:50" ht="25.5" x14ac:dyDescent="0.2">
      <c r="AA875" s="28" t="s">
        <v>288</v>
      </c>
      <c r="AB875" s="29" t="s">
        <v>608</v>
      </c>
      <c r="AC875" s="17"/>
      <c r="AD875" s="18"/>
      <c r="AE875" s="34"/>
      <c r="AF875" s="34"/>
      <c r="AG875" s="34"/>
      <c r="AH875" s="18"/>
      <c r="AI875" s="18"/>
      <c r="AJ875" s="18"/>
      <c r="AK875" s="34"/>
      <c r="AL875" s="18"/>
      <c r="AM875" s="18"/>
      <c r="AN875" s="34"/>
      <c r="AO875" s="18"/>
      <c r="AP875" s="18"/>
      <c r="AQ875" s="34"/>
      <c r="AR875" s="34"/>
      <c r="AS875" s="34"/>
      <c r="AT875" s="40">
        <f t="shared" si="331"/>
        <v>0</v>
      </c>
      <c r="AU875" s="18"/>
      <c r="AV875" s="34"/>
      <c r="AW875" s="18"/>
      <c r="AX875" s="18"/>
    </row>
    <row r="876" spans="1:50" x14ac:dyDescent="0.2">
      <c r="A876" s="4" t="s">
        <v>55</v>
      </c>
      <c r="B876" s="4" t="s">
        <v>56</v>
      </c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1" t="s">
        <v>609</v>
      </c>
      <c r="AB876" s="42" t="s">
        <v>233</v>
      </c>
      <c r="AC876" s="43" t="s">
        <v>58</v>
      </c>
      <c r="AD876" s="43">
        <v>20000000</v>
      </c>
      <c r="AE876" s="44">
        <v>0</v>
      </c>
      <c r="AF876" s="44">
        <v>0</v>
      </c>
      <c r="AG876" s="44">
        <v>0</v>
      </c>
      <c r="AH876" s="44">
        <v>0</v>
      </c>
      <c r="AI876" s="43">
        <f>AE876-AF876+AG876-AH876</f>
        <v>0</v>
      </c>
      <c r="AJ876" s="43">
        <f>AD876+AI876</f>
        <v>20000000</v>
      </c>
      <c r="AK876" s="44">
        <v>0</v>
      </c>
      <c r="AL876" s="44">
        <v>0</v>
      </c>
      <c r="AM876" s="44">
        <v>0</v>
      </c>
      <c r="AN876" s="44">
        <v>0</v>
      </c>
      <c r="AO876" s="44">
        <f>AP876-'MARZO '!AP689</f>
        <v>0</v>
      </c>
      <c r="AP876" s="44">
        <v>0</v>
      </c>
      <c r="AQ876" s="34">
        <v>0</v>
      </c>
      <c r="AR876" s="34">
        <v>0</v>
      </c>
      <c r="AS876" s="34">
        <v>0</v>
      </c>
      <c r="AT876" s="40">
        <f t="shared" si="331"/>
        <v>0</v>
      </c>
      <c r="AU876" s="18">
        <f>AJ876-AM876</f>
        <v>20000000</v>
      </c>
      <c r="AV876" s="133">
        <f>AM876-AP876</f>
        <v>0</v>
      </c>
      <c r="AW876" s="34">
        <f>AP876-AT876</f>
        <v>0</v>
      </c>
      <c r="AX876" s="123">
        <f>AP876/AJ876</f>
        <v>0</v>
      </c>
    </row>
    <row r="877" spans="1:50" x14ac:dyDescent="0.2">
      <c r="AA877" s="28" t="s">
        <v>288</v>
      </c>
      <c r="AB877" s="29" t="s">
        <v>400</v>
      </c>
      <c r="AC877" s="17"/>
      <c r="AD877" s="18"/>
      <c r="AE877" s="34"/>
      <c r="AF877" s="34"/>
      <c r="AG877" s="34"/>
      <c r="AH877" s="34"/>
      <c r="AI877" s="34"/>
      <c r="AJ877" s="18"/>
      <c r="AK877" s="34"/>
      <c r="AL877" s="18"/>
      <c r="AM877" s="18"/>
      <c r="AN877" s="34"/>
      <c r="AO877" s="34"/>
      <c r="AP877" s="18"/>
      <c r="AQ877" s="34"/>
      <c r="AR877" s="34"/>
      <c r="AS877" s="34"/>
      <c r="AT877" s="40"/>
      <c r="AU877" s="18"/>
      <c r="AV877" s="34"/>
      <c r="AW877" s="18"/>
      <c r="AX877" s="18"/>
    </row>
    <row r="878" spans="1:50" x14ac:dyDescent="0.2">
      <c r="A878" s="4" t="s">
        <v>55</v>
      </c>
      <c r="B878" s="4" t="s">
        <v>56</v>
      </c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1" t="s">
        <v>610</v>
      </c>
      <c r="AB878" s="42" t="s">
        <v>233</v>
      </c>
      <c r="AC878" s="43" t="s">
        <v>58</v>
      </c>
      <c r="AD878" s="43">
        <v>379500000</v>
      </c>
      <c r="AE878" s="44">
        <v>0</v>
      </c>
      <c r="AF878" s="44">
        <v>0</v>
      </c>
      <c r="AG878" s="44">
        <v>0</v>
      </c>
      <c r="AH878" s="44">
        <v>0</v>
      </c>
      <c r="AI878" s="44">
        <v>0</v>
      </c>
      <c r="AJ878" s="43">
        <v>379500000</v>
      </c>
      <c r="AK878" s="44">
        <v>0</v>
      </c>
      <c r="AL878" s="43">
        <v>0</v>
      </c>
      <c r="AM878" s="43">
        <v>290666666.67000002</v>
      </c>
      <c r="AN878" s="44">
        <v>0</v>
      </c>
      <c r="AO878" s="44">
        <v>0</v>
      </c>
      <c r="AP878" s="43">
        <v>290666666.67000002</v>
      </c>
      <c r="AQ878" s="18">
        <v>0</v>
      </c>
      <c r="AR878" s="18">
        <v>39250000</v>
      </c>
      <c r="AS878" s="18">
        <v>197166667</v>
      </c>
      <c r="AT878" s="111">
        <f t="shared" ref="AT878" si="377">AQ878+AS878</f>
        <v>197166667</v>
      </c>
      <c r="AU878" s="18">
        <f>AJ878-AM878</f>
        <v>88833333.329999983</v>
      </c>
      <c r="AV878" s="133">
        <f>AM878-AP878</f>
        <v>0</v>
      </c>
      <c r="AW878" s="18">
        <f>AP878-AT878</f>
        <v>93499999.670000017</v>
      </c>
      <c r="AX878" s="123">
        <f>AP878/AJ878</f>
        <v>0.76592007027667985</v>
      </c>
    </row>
    <row r="879" spans="1:50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1" t="s">
        <v>288</v>
      </c>
      <c r="AB879" s="42"/>
      <c r="AC879" s="43"/>
      <c r="AD879" s="43"/>
      <c r="AE879" s="44"/>
      <c r="AF879" s="44"/>
      <c r="AG879" s="44"/>
      <c r="AH879" s="44"/>
      <c r="AI879" s="44"/>
      <c r="AJ879" s="43"/>
      <c r="AK879" s="44"/>
      <c r="AL879" s="43"/>
      <c r="AM879" s="43"/>
      <c r="AN879" s="44"/>
      <c r="AO879" s="44"/>
      <c r="AP879" s="43"/>
      <c r="AQ879" s="18"/>
      <c r="AR879" s="18"/>
      <c r="AS879" s="18"/>
      <c r="AT879" s="111"/>
      <c r="AU879" s="18"/>
      <c r="AV879" s="133"/>
      <c r="AW879" s="18"/>
      <c r="AX879" s="123"/>
    </row>
    <row r="880" spans="1:50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1" t="s">
        <v>1333</v>
      </c>
      <c r="AB880" s="42" t="s">
        <v>1334</v>
      </c>
      <c r="AC880" s="43"/>
      <c r="AD880" s="43">
        <v>0</v>
      </c>
      <c r="AE880" s="44">
        <v>0</v>
      </c>
      <c r="AF880" s="44">
        <v>0</v>
      </c>
      <c r="AG880" s="43">
        <v>1415207179.1400001</v>
      </c>
      <c r="AH880" s="44">
        <v>0</v>
      </c>
      <c r="AI880" s="43">
        <f>AE880-AF880+AG880-AH880</f>
        <v>1415207179.1400001</v>
      </c>
      <c r="AJ880" s="43">
        <f>AD880+AI880</f>
        <v>1415207179.1400001</v>
      </c>
      <c r="AK880" s="44">
        <v>0</v>
      </c>
      <c r="AL880" s="44">
        <v>0</v>
      </c>
      <c r="AM880" s="44">
        <v>0</v>
      </c>
      <c r="AN880" s="44"/>
      <c r="AO880" s="44">
        <v>0</v>
      </c>
      <c r="AP880" s="44">
        <v>0</v>
      </c>
      <c r="AQ880" s="34">
        <v>0</v>
      </c>
      <c r="AR880" s="34">
        <v>0</v>
      </c>
      <c r="AS880" s="34">
        <v>0</v>
      </c>
      <c r="AT880" s="135">
        <f t="shared" ref="AT880" si="378">AQ880+AS880</f>
        <v>0</v>
      </c>
      <c r="AU880" s="18">
        <f>AJ880-AM880</f>
        <v>1415207179.1400001</v>
      </c>
      <c r="AV880" s="133">
        <f>AM880-AP880</f>
        <v>0</v>
      </c>
      <c r="AW880" s="34">
        <f>AP880-AT880</f>
        <v>0</v>
      </c>
      <c r="AX880" s="123">
        <f>AP880/AJ880</f>
        <v>0</v>
      </c>
    </row>
    <row r="881" spans="1:50" x14ac:dyDescent="0.2">
      <c r="AA881" s="73" t="s">
        <v>288</v>
      </c>
      <c r="AB881" s="74" t="s">
        <v>292</v>
      </c>
      <c r="AC881" s="17"/>
      <c r="AD881" s="18"/>
      <c r="AE881" s="34"/>
      <c r="AF881" s="34"/>
      <c r="AG881" s="34"/>
      <c r="AH881" s="18"/>
      <c r="AI881" s="18"/>
      <c r="AJ881" s="18"/>
      <c r="AK881" s="34"/>
      <c r="AL881" s="34"/>
      <c r="AM881" s="34"/>
      <c r="AN881" s="34"/>
      <c r="AO881" s="34"/>
      <c r="AP881" s="34"/>
      <c r="AQ881" s="34"/>
      <c r="AR881" s="34"/>
      <c r="AS881" s="34"/>
      <c r="AT881" s="40"/>
      <c r="AU881" s="18"/>
      <c r="AV881" s="34"/>
      <c r="AW881" s="34"/>
      <c r="AX881" s="18"/>
    </row>
    <row r="882" spans="1:50" x14ac:dyDescent="0.2">
      <c r="AA882" s="41" t="s">
        <v>311</v>
      </c>
      <c r="AB882" s="42" t="s">
        <v>233</v>
      </c>
      <c r="AC882" s="17"/>
      <c r="AD882" s="18">
        <v>0</v>
      </c>
      <c r="AE882" s="34">
        <v>0</v>
      </c>
      <c r="AF882" s="34">
        <v>0</v>
      </c>
      <c r="AG882" s="18">
        <v>185000000</v>
      </c>
      <c r="AH882" s="18">
        <v>0</v>
      </c>
      <c r="AI882" s="43">
        <f>AE882-AF882+AG882-AH882</f>
        <v>185000000</v>
      </c>
      <c r="AJ882" s="43">
        <f>AD882+AI882</f>
        <v>185000000</v>
      </c>
      <c r="AK882" s="34">
        <v>0</v>
      </c>
      <c r="AL882" s="34">
        <v>0</v>
      </c>
      <c r="AM882" s="34">
        <v>0</v>
      </c>
      <c r="AN882" s="34">
        <v>0</v>
      </c>
      <c r="AO882" s="34">
        <v>0</v>
      </c>
      <c r="AP882" s="34">
        <v>0</v>
      </c>
      <c r="AQ882" s="34">
        <v>0</v>
      </c>
      <c r="AR882" s="34">
        <v>0</v>
      </c>
      <c r="AS882" s="34">
        <v>0</v>
      </c>
      <c r="AT882" s="135">
        <f t="shared" ref="AT882" si="379">AQ882+AS882</f>
        <v>0</v>
      </c>
      <c r="AU882" s="18">
        <f>AJ882-AM882</f>
        <v>185000000</v>
      </c>
      <c r="AV882" s="133">
        <f>AM882-AP882</f>
        <v>0</v>
      </c>
      <c r="AW882" s="34">
        <f>AP882-AT882</f>
        <v>0</v>
      </c>
      <c r="AX882" s="123">
        <f>AP882/AJ882</f>
        <v>0</v>
      </c>
    </row>
    <row r="883" spans="1:50" x14ac:dyDescent="0.2">
      <c r="AA883" s="16"/>
      <c r="AB883" s="17"/>
      <c r="AC883" s="17"/>
      <c r="AD883" s="18"/>
      <c r="AE883" s="34"/>
      <c r="AF883" s="34"/>
      <c r="AG883" s="34"/>
      <c r="AH883" s="18"/>
      <c r="AI883" s="18"/>
      <c r="AJ883" s="18"/>
      <c r="AK883" s="34"/>
      <c r="AL883" s="18"/>
      <c r="AM883" s="18"/>
      <c r="AN883" s="18"/>
      <c r="AO883" s="18"/>
      <c r="AP883" s="18"/>
      <c r="AQ883" s="34"/>
      <c r="AR883" s="34"/>
      <c r="AS883" s="34"/>
      <c r="AT883" s="40"/>
      <c r="AU883" s="18"/>
      <c r="AV883" s="34"/>
      <c r="AW883" s="18"/>
      <c r="AX883" s="18"/>
    </row>
    <row r="884" spans="1:50" x14ac:dyDescent="0.2">
      <c r="AA884" s="16"/>
      <c r="AB884" s="29" t="s">
        <v>199</v>
      </c>
      <c r="AC884" s="17"/>
      <c r="AD884" s="18"/>
      <c r="AE884" s="34"/>
      <c r="AF884" s="34"/>
      <c r="AG884" s="34"/>
      <c r="AH884" s="18"/>
      <c r="AI884" s="18"/>
      <c r="AJ884" s="18"/>
      <c r="AK884" s="34"/>
      <c r="AL884" s="18"/>
      <c r="AM884" s="18"/>
      <c r="AN884" s="18"/>
      <c r="AO884" s="18"/>
      <c r="AP884" s="18"/>
      <c r="AQ884" s="34"/>
      <c r="AR884" s="34"/>
      <c r="AS884" s="34"/>
      <c r="AT884" s="40"/>
      <c r="AU884" s="18"/>
      <c r="AV884" s="18"/>
      <c r="AW884" s="18"/>
      <c r="AX884" s="18"/>
    </row>
    <row r="885" spans="1:50" ht="38.25" x14ac:dyDescent="0.2">
      <c r="AA885" s="28" t="s">
        <v>288</v>
      </c>
      <c r="AB885" s="29" t="s">
        <v>611</v>
      </c>
      <c r="AC885" s="17"/>
      <c r="AD885" s="18"/>
      <c r="AE885" s="34"/>
      <c r="AF885" s="34"/>
      <c r="AG885" s="34"/>
      <c r="AH885" s="18"/>
      <c r="AI885" s="18"/>
      <c r="AJ885" s="18"/>
      <c r="AK885" s="34"/>
      <c r="AL885" s="18"/>
      <c r="AM885" s="18"/>
      <c r="AN885" s="18"/>
      <c r="AO885" s="18"/>
      <c r="AP885" s="18"/>
      <c r="AQ885" s="34"/>
      <c r="AR885" s="34"/>
      <c r="AS885" s="34"/>
      <c r="AT885" s="40"/>
      <c r="AU885" s="18"/>
      <c r="AV885" s="18"/>
      <c r="AW885" s="18"/>
      <c r="AX885" s="18"/>
    </row>
    <row r="886" spans="1:50" x14ac:dyDescent="0.2">
      <c r="A886" s="4" t="s">
        <v>55</v>
      </c>
      <c r="B886" s="4" t="s">
        <v>56</v>
      </c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1" t="s">
        <v>612</v>
      </c>
      <c r="AB886" s="42" t="s">
        <v>233</v>
      </c>
      <c r="AC886" s="43" t="s">
        <v>58</v>
      </c>
      <c r="AD886" s="43">
        <v>725000000</v>
      </c>
      <c r="AE886" s="44">
        <v>0</v>
      </c>
      <c r="AF886" s="44">
        <v>0</v>
      </c>
      <c r="AG886" s="43">
        <v>20700000</v>
      </c>
      <c r="AH886" s="43">
        <f>17000000+313000000</f>
        <v>330000000</v>
      </c>
      <c r="AI886" s="43">
        <f>AE886-AF886+AG886-AH886</f>
        <v>-309300000</v>
      </c>
      <c r="AJ886" s="43">
        <f>AD886+AI886</f>
        <v>415700000</v>
      </c>
      <c r="AK886" s="296">
        <v>0</v>
      </c>
      <c r="AL886" s="296">
        <v>0</v>
      </c>
      <c r="AM886" s="4">
        <v>415700000</v>
      </c>
      <c r="AN886" s="296">
        <v>0</v>
      </c>
      <c r="AO886" s="4">
        <v>18276393</v>
      </c>
      <c r="AP886" s="4">
        <v>175435308</v>
      </c>
      <c r="AQ886" s="4">
        <v>1645112</v>
      </c>
      <c r="AR886" s="4">
        <v>25844615</v>
      </c>
      <c r="AS886" s="4">
        <v>133616866</v>
      </c>
      <c r="AT886" s="111">
        <f t="shared" ref="AT886:AT887" si="380">AQ886+AS886</f>
        <v>135261978</v>
      </c>
      <c r="AU886" s="110">
        <f>AJ886-AM886</f>
        <v>0</v>
      </c>
      <c r="AV886" s="110">
        <f>AM886-AP886</f>
        <v>240264692</v>
      </c>
      <c r="AW886" s="18">
        <f>AP886-AT886</f>
        <v>40173330</v>
      </c>
      <c r="AX886" s="123">
        <f>AP886/AJ886</f>
        <v>0.42202383449603081</v>
      </c>
    </row>
    <row r="887" spans="1:50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1" t="s">
        <v>1102</v>
      </c>
      <c r="AB887" s="42" t="s">
        <v>1015</v>
      </c>
      <c r="AC887" s="43"/>
      <c r="AD887" s="44">
        <v>0</v>
      </c>
      <c r="AE887" s="43">
        <v>12000000</v>
      </c>
      <c r="AF887" s="44">
        <v>0</v>
      </c>
      <c r="AG887" s="44">
        <v>0</v>
      </c>
      <c r="AH887" s="44">
        <v>0</v>
      </c>
      <c r="AI887" s="43">
        <f>AE887-AF887+AG887-AH887</f>
        <v>12000000</v>
      </c>
      <c r="AJ887" s="43">
        <f>AD887+AI887</f>
        <v>12000000</v>
      </c>
      <c r="AK887" s="44">
        <v>0</v>
      </c>
      <c r="AL887" s="44">
        <v>0</v>
      </c>
      <c r="AM887" s="43">
        <v>2300000</v>
      </c>
      <c r="AN887" s="44">
        <v>0</v>
      </c>
      <c r="AO887" s="43">
        <v>2300000</v>
      </c>
      <c r="AP887" s="43">
        <v>2300000</v>
      </c>
      <c r="AQ887" s="18">
        <v>0</v>
      </c>
      <c r="AR887" s="18">
        <v>2300000</v>
      </c>
      <c r="AS887" s="18">
        <v>2300000</v>
      </c>
      <c r="AT887" s="39">
        <f t="shared" si="380"/>
        <v>2300000</v>
      </c>
      <c r="AU887" s="110">
        <f>AJ887-AM887</f>
        <v>9700000</v>
      </c>
      <c r="AV887" s="18">
        <f>AM887-AP887</f>
        <v>0</v>
      </c>
      <c r="AW887" s="34">
        <f>AP887-AT887</f>
        <v>0</v>
      </c>
      <c r="AX887" s="123">
        <f>AP887/AJ887</f>
        <v>0.19166666666666668</v>
      </c>
    </row>
    <row r="888" spans="1:50" x14ac:dyDescent="0.2">
      <c r="AA888" s="16"/>
      <c r="AB888" s="17"/>
      <c r="AC888" s="17"/>
      <c r="AD888" s="34"/>
      <c r="AE888" s="18"/>
      <c r="AF888" s="18"/>
      <c r="AG888" s="18"/>
      <c r="AH888" s="18"/>
      <c r="AI888" s="18"/>
      <c r="AJ888" s="18"/>
      <c r="AK888" s="34"/>
      <c r="AL888" s="34"/>
      <c r="AM888" s="34"/>
      <c r="AN888" s="18"/>
      <c r="AO888" s="18"/>
      <c r="AP888" s="18"/>
      <c r="AQ888" s="34"/>
      <c r="AR888" s="34"/>
      <c r="AS888" s="34"/>
      <c r="AT888" s="40"/>
      <c r="AU888" s="18"/>
      <c r="AV888" s="18"/>
      <c r="AW888" s="18"/>
      <c r="AX888" s="18"/>
    </row>
    <row r="889" spans="1:50" x14ac:dyDescent="0.2">
      <c r="AA889" s="73" t="s">
        <v>1016</v>
      </c>
      <c r="AB889" s="74" t="s">
        <v>1068</v>
      </c>
      <c r="AC889" s="17"/>
      <c r="AD889" s="34"/>
      <c r="AE889" s="18"/>
      <c r="AF889" s="18"/>
      <c r="AG889" s="18"/>
      <c r="AH889" s="18"/>
      <c r="AI889" s="18"/>
      <c r="AJ889" s="18"/>
      <c r="AK889" s="34"/>
      <c r="AL889" s="34"/>
      <c r="AM889" s="34"/>
      <c r="AN889" s="18"/>
      <c r="AO889" s="18"/>
      <c r="AP889" s="18"/>
      <c r="AQ889" s="34"/>
      <c r="AR889" s="34"/>
      <c r="AS889" s="34"/>
      <c r="AT889" s="40"/>
      <c r="AU889" s="18"/>
      <c r="AV889" s="18"/>
      <c r="AW889" s="18"/>
      <c r="AX889" s="18"/>
    </row>
    <row r="890" spans="1:50" x14ac:dyDescent="0.2">
      <c r="AA890" s="73" t="s">
        <v>1017</v>
      </c>
      <c r="AB890" s="74" t="s">
        <v>1069</v>
      </c>
      <c r="AC890" s="17"/>
      <c r="AD890" s="34"/>
      <c r="AE890" s="18"/>
      <c r="AF890" s="18"/>
      <c r="AG890" s="18"/>
      <c r="AH890" s="18"/>
      <c r="AI890" s="18"/>
      <c r="AJ890" s="18"/>
      <c r="AK890" s="34"/>
      <c r="AL890" s="34"/>
      <c r="AM890" s="34"/>
      <c r="AN890" s="18"/>
      <c r="AO890" s="18"/>
      <c r="AP890" s="18"/>
      <c r="AQ890" s="34"/>
      <c r="AR890" s="34"/>
      <c r="AS890" s="34"/>
      <c r="AT890" s="40"/>
      <c r="AU890" s="18"/>
      <c r="AV890" s="18"/>
      <c r="AW890" s="18"/>
      <c r="AX890" s="18"/>
    </row>
    <row r="891" spans="1:50" x14ac:dyDescent="0.2">
      <c r="AA891" s="73" t="s">
        <v>1018</v>
      </c>
      <c r="AB891" s="74" t="s">
        <v>286</v>
      </c>
      <c r="AC891" s="17"/>
      <c r="AD891" s="34"/>
      <c r="AE891" s="18"/>
      <c r="AF891" s="18"/>
      <c r="AG891" s="18"/>
      <c r="AH891" s="18"/>
      <c r="AI891" s="18"/>
      <c r="AJ891" s="18"/>
      <c r="AK891" s="34"/>
      <c r="AL891" s="34"/>
      <c r="AM891" s="34"/>
      <c r="AN891" s="18"/>
      <c r="AO891" s="18"/>
      <c r="AP891" s="18"/>
      <c r="AQ891" s="34"/>
      <c r="AR891" s="34"/>
      <c r="AS891" s="34"/>
      <c r="AT891" s="40"/>
      <c r="AU891" s="18"/>
      <c r="AV891" s="18"/>
      <c r="AW891" s="18"/>
      <c r="AX891" s="18"/>
    </row>
    <row r="892" spans="1:50" x14ac:dyDescent="0.2">
      <c r="AA892" s="73" t="s">
        <v>1021</v>
      </c>
      <c r="AB892" s="74" t="s">
        <v>1070</v>
      </c>
      <c r="AC892" s="17"/>
      <c r="AD892" s="34"/>
      <c r="AE892" s="18"/>
      <c r="AF892" s="18"/>
      <c r="AG892" s="18"/>
      <c r="AH892" s="18"/>
      <c r="AI892" s="18"/>
      <c r="AJ892" s="18"/>
      <c r="AK892" s="34"/>
      <c r="AL892" s="34"/>
      <c r="AM892" s="34"/>
      <c r="AN892" s="18"/>
      <c r="AO892" s="18"/>
      <c r="AP892" s="18"/>
      <c r="AQ892" s="34"/>
      <c r="AR892" s="34"/>
      <c r="AS892" s="34"/>
      <c r="AT892" s="40"/>
      <c r="AU892" s="18"/>
      <c r="AV892" s="18"/>
      <c r="AW892" s="18"/>
      <c r="AX892" s="18"/>
    </row>
    <row r="893" spans="1:50" s="150" customFormat="1" x14ac:dyDescent="0.2">
      <c r="B893" s="276"/>
      <c r="C893" s="276"/>
      <c r="D893" s="276"/>
      <c r="E893" s="276"/>
      <c r="F893" s="276"/>
      <c r="G893" s="276"/>
      <c r="H893" s="276"/>
      <c r="I893" s="276"/>
      <c r="J893" s="276"/>
      <c r="K893" s="276"/>
      <c r="L893" s="276"/>
      <c r="M893" s="276"/>
      <c r="N893" s="276"/>
      <c r="O893" s="276"/>
      <c r="P893" s="276"/>
      <c r="Q893" s="276"/>
      <c r="R893" s="276"/>
      <c r="S893" s="276"/>
      <c r="T893" s="276"/>
      <c r="U893" s="276"/>
      <c r="V893" s="276"/>
      <c r="W893" s="276"/>
      <c r="X893" s="276"/>
      <c r="Y893" s="276"/>
      <c r="Z893" s="276"/>
      <c r="AA893" s="139" t="s">
        <v>1019</v>
      </c>
      <c r="AB893" s="70" t="s">
        <v>1005</v>
      </c>
      <c r="AC893" s="70"/>
      <c r="AD893" s="145">
        <v>0</v>
      </c>
      <c r="AE893" s="147">
        <v>6986666</v>
      </c>
      <c r="AF893" s="145">
        <v>0</v>
      </c>
      <c r="AG893" s="145">
        <v>0</v>
      </c>
      <c r="AH893" s="145">
        <v>0</v>
      </c>
      <c r="AI893" s="142">
        <f>AE893-AF893+AG893-AH893</f>
        <v>6986666</v>
      </c>
      <c r="AJ893" s="142">
        <f>AD893+AI893</f>
        <v>6986666</v>
      </c>
      <c r="AK893" s="145">
        <v>0</v>
      </c>
      <c r="AL893" s="145">
        <v>0</v>
      </c>
      <c r="AM893" s="145">
        <v>0</v>
      </c>
      <c r="AN893" s="147">
        <v>0</v>
      </c>
      <c r="AO893" s="145">
        <v>0</v>
      </c>
      <c r="AP893" s="145">
        <v>0</v>
      </c>
      <c r="AQ893" s="145">
        <v>0</v>
      </c>
      <c r="AR893" s="145">
        <v>0</v>
      </c>
      <c r="AS893" s="145">
        <v>0</v>
      </c>
      <c r="AT893" s="277">
        <f t="shared" ref="AT893" si="381">AQ893+AS893</f>
        <v>0</v>
      </c>
      <c r="AU893" s="148">
        <f>AJ893-AM893</f>
        <v>6986666</v>
      </c>
      <c r="AV893" s="175">
        <f>AM893-AP893</f>
        <v>0</v>
      </c>
      <c r="AW893" s="145">
        <f>AP893-AT893</f>
        <v>0</v>
      </c>
      <c r="AX893" s="149">
        <f>AP893/AJ893</f>
        <v>0</v>
      </c>
    </row>
    <row r="894" spans="1:50" x14ac:dyDescent="0.2">
      <c r="AA894" s="16"/>
      <c r="AB894" s="17"/>
      <c r="AC894" s="17"/>
      <c r="AD894" s="18"/>
      <c r="AE894" s="18"/>
      <c r="AF894" s="18"/>
      <c r="AG894" s="18"/>
      <c r="AH894" s="18"/>
      <c r="AI894" s="18"/>
      <c r="AJ894" s="18"/>
      <c r="AK894" s="34"/>
      <c r="AL894" s="34"/>
      <c r="AM894" s="18"/>
      <c r="AN894" s="18"/>
      <c r="AO894" s="18"/>
      <c r="AP894" s="18"/>
      <c r="AQ894" s="34"/>
      <c r="AR894" s="34"/>
      <c r="AS894" s="34"/>
      <c r="AT894" s="40"/>
      <c r="AU894" s="18"/>
      <c r="AV894" s="18"/>
      <c r="AW894" s="18"/>
      <c r="AX894" s="18"/>
    </row>
    <row r="895" spans="1:50" ht="38.25" x14ac:dyDescent="0.2">
      <c r="AA895" s="16"/>
      <c r="AB895" s="29" t="s">
        <v>613</v>
      </c>
      <c r="AC895" s="17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30"/>
      <c r="AU895" s="18"/>
      <c r="AV895" s="18"/>
      <c r="AW895" s="18"/>
      <c r="AX895" s="18"/>
    </row>
    <row r="896" spans="1:50" x14ac:dyDescent="0.2">
      <c r="AA896" s="16"/>
      <c r="AB896" s="29" t="s">
        <v>614</v>
      </c>
      <c r="AC896" s="17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30"/>
      <c r="AU896" s="18"/>
      <c r="AV896" s="18"/>
      <c r="AW896" s="18"/>
      <c r="AX896" s="18"/>
    </row>
    <row r="897" spans="1:50" x14ac:dyDescent="0.2">
      <c r="AA897" s="16"/>
      <c r="AB897" s="29" t="s">
        <v>286</v>
      </c>
      <c r="AC897" s="17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30"/>
      <c r="AU897" s="18"/>
      <c r="AV897" s="18"/>
      <c r="AW897" s="18"/>
      <c r="AX897" s="18"/>
    </row>
    <row r="898" spans="1:50" x14ac:dyDescent="0.2">
      <c r="AA898" s="16"/>
      <c r="AB898" s="29" t="s">
        <v>574</v>
      </c>
      <c r="AC898" s="17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30"/>
      <c r="AU898" s="18"/>
      <c r="AV898" s="18"/>
      <c r="AW898" s="18"/>
      <c r="AX898" s="18"/>
    </row>
    <row r="899" spans="1:50" x14ac:dyDescent="0.2">
      <c r="AA899" s="16"/>
      <c r="AB899" s="29" t="s">
        <v>575</v>
      </c>
      <c r="AC899" s="17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30"/>
      <c r="AU899" s="18"/>
      <c r="AV899" s="18"/>
      <c r="AW899" s="18"/>
      <c r="AX899" s="18"/>
    </row>
    <row r="900" spans="1:50" x14ac:dyDescent="0.2">
      <c r="AA900" s="16"/>
      <c r="AB900" s="29" t="s">
        <v>576</v>
      </c>
      <c r="AC900" s="17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30"/>
      <c r="AU900" s="18"/>
      <c r="AV900" s="18"/>
      <c r="AW900" s="18"/>
      <c r="AX900" s="18"/>
    </row>
    <row r="901" spans="1:50" x14ac:dyDescent="0.2">
      <c r="AA901" s="16"/>
      <c r="AB901" s="29" t="s">
        <v>615</v>
      </c>
      <c r="AC901" s="17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30"/>
      <c r="AU901" s="18"/>
      <c r="AV901" s="18"/>
      <c r="AW901" s="18"/>
      <c r="AX901" s="18"/>
    </row>
    <row r="902" spans="1:50" ht="25.5" x14ac:dyDescent="0.2">
      <c r="AA902" s="16"/>
      <c r="AB902" s="29" t="s">
        <v>579</v>
      </c>
      <c r="AC902" s="17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30"/>
      <c r="AU902" s="18"/>
      <c r="AV902" s="18"/>
      <c r="AW902" s="18"/>
      <c r="AX902" s="18"/>
    </row>
    <row r="903" spans="1:50" ht="25.5" x14ac:dyDescent="0.2">
      <c r="AA903" s="41" t="s">
        <v>1229</v>
      </c>
      <c r="AB903" s="38" t="s">
        <v>1228</v>
      </c>
      <c r="AC903" s="17"/>
      <c r="AD903" s="34">
        <v>0</v>
      </c>
      <c r="AE903" s="34">
        <v>0</v>
      </c>
      <c r="AF903" s="34">
        <v>0</v>
      </c>
      <c r="AG903" s="18">
        <f>283500000+31000000+279000000</f>
        <v>593500000</v>
      </c>
      <c r="AH903" s="34">
        <v>0</v>
      </c>
      <c r="AI903" s="43">
        <f>AE903-AF903+AG903-AH903</f>
        <v>593500000</v>
      </c>
      <c r="AJ903" s="142">
        <f>AD903+AI903</f>
        <v>593500000</v>
      </c>
      <c r="AK903" s="34">
        <v>0</v>
      </c>
      <c r="AL903" s="34">
        <v>0</v>
      </c>
      <c r="AM903" s="18">
        <v>12188407.279999999</v>
      </c>
      <c r="AN903" s="34">
        <v>0</v>
      </c>
      <c r="AO903" s="34">
        <v>0</v>
      </c>
      <c r="AP903" s="18">
        <v>12188407.279999999</v>
      </c>
      <c r="AQ903" s="34">
        <v>0</v>
      </c>
      <c r="AR903" s="34">
        <v>0</v>
      </c>
      <c r="AS903" s="34">
        <v>0</v>
      </c>
      <c r="AT903" s="135">
        <f t="shared" ref="AT903" si="382">AQ903+AS903</f>
        <v>0</v>
      </c>
      <c r="AU903" s="110">
        <f>AJ903-AM903</f>
        <v>581311592.72000003</v>
      </c>
      <c r="AV903" s="133">
        <f>AM903-AP903</f>
        <v>0</v>
      </c>
      <c r="AW903" s="34">
        <f>AP903-AT903</f>
        <v>12188407.279999999</v>
      </c>
      <c r="AX903" s="123">
        <f>AP903/AJ903</f>
        <v>2.0536490783487783E-2</v>
      </c>
    </row>
    <row r="904" spans="1:50" ht="25.5" x14ac:dyDescent="0.2">
      <c r="AA904" s="28" t="s">
        <v>288</v>
      </c>
      <c r="AB904" s="29" t="s">
        <v>616</v>
      </c>
      <c r="AC904" s="17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34"/>
      <c r="AO904" s="34"/>
      <c r="AP904" s="18"/>
      <c r="AQ904" s="18"/>
      <c r="AR904" s="18"/>
      <c r="AS904" s="18"/>
      <c r="AT904" s="30"/>
      <c r="AU904" s="18"/>
      <c r="AV904" s="34"/>
      <c r="AW904" s="18"/>
      <c r="AX904" s="18"/>
    </row>
    <row r="905" spans="1:50" x14ac:dyDescent="0.2">
      <c r="A905" s="4" t="s">
        <v>55</v>
      </c>
      <c r="B905" s="4" t="s">
        <v>56</v>
      </c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1" t="s">
        <v>617</v>
      </c>
      <c r="AB905" s="42" t="s">
        <v>618</v>
      </c>
      <c r="AC905" s="43" t="s">
        <v>619</v>
      </c>
      <c r="AD905" s="43">
        <v>100000000</v>
      </c>
      <c r="AE905" s="44">
        <v>0</v>
      </c>
      <c r="AF905" s="44">
        <v>0</v>
      </c>
      <c r="AG905" s="43">
        <f>770000000+704534301</f>
        <v>1474534301</v>
      </c>
      <c r="AH905" s="137">
        <v>0</v>
      </c>
      <c r="AI905" s="43">
        <f>AE905-AF905+AG905-AH905</f>
        <v>1474534301</v>
      </c>
      <c r="AJ905" s="43">
        <f>AD905+AI905</f>
        <v>1574534301</v>
      </c>
      <c r="AK905" s="44">
        <v>0</v>
      </c>
      <c r="AL905" s="115">
        <f>AM905-JULIO!AM871</f>
        <v>0</v>
      </c>
      <c r="AM905" s="114">
        <v>1565609440</v>
      </c>
      <c r="AN905" s="44">
        <v>0</v>
      </c>
      <c r="AO905" s="44">
        <v>0</v>
      </c>
      <c r="AP905" s="43">
        <v>1565609440</v>
      </c>
      <c r="AQ905" s="44">
        <v>0</v>
      </c>
      <c r="AR905" s="44">
        <v>0</v>
      </c>
      <c r="AS905" s="43">
        <v>16631440</v>
      </c>
      <c r="AT905" s="39">
        <f t="shared" ref="AT905" si="383">AQ905+AS905</f>
        <v>16631440</v>
      </c>
      <c r="AU905" s="18">
        <f>AJ905-AM905</f>
        <v>8924861</v>
      </c>
      <c r="AV905" s="133">
        <f>AM905-AP905</f>
        <v>0</v>
      </c>
      <c r="AW905" s="18">
        <f>AP905-AT905</f>
        <v>1548978000</v>
      </c>
      <c r="AX905" s="123">
        <f>AP905/AJ905</f>
        <v>0.99433174558704007</v>
      </c>
    </row>
    <row r="906" spans="1:50" x14ac:dyDescent="0.2">
      <c r="AA906" s="16"/>
      <c r="AB906" s="17"/>
      <c r="AC906" s="17"/>
      <c r="AD906" s="18"/>
      <c r="AE906" s="34"/>
      <c r="AF906" s="34"/>
      <c r="AG906" s="34"/>
      <c r="AH906" s="34"/>
      <c r="AI906" s="34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30"/>
      <c r="AU906" s="18"/>
      <c r="AV906" s="18"/>
      <c r="AW906" s="18"/>
      <c r="AX906" s="18"/>
    </row>
    <row r="907" spans="1:50" x14ac:dyDescent="0.2">
      <c r="AA907" s="16"/>
      <c r="AB907" s="29" t="s">
        <v>620</v>
      </c>
      <c r="AC907" s="17"/>
      <c r="AD907" s="18"/>
      <c r="AE907" s="34"/>
      <c r="AF907" s="34"/>
      <c r="AG907" s="34"/>
      <c r="AH907" s="34"/>
      <c r="AI907" s="34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30"/>
      <c r="AU907" s="18"/>
      <c r="AV907" s="18"/>
      <c r="AW907" s="18"/>
      <c r="AX907" s="18"/>
    </row>
    <row r="908" spans="1:50" ht="25.5" x14ac:dyDescent="0.2">
      <c r="AA908" s="16"/>
      <c r="AB908" s="29" t="s">
        <v>621</v>
      </c>
      <c r="AC908" s="17"/>
      <c r="AD908" s="18"/>
      <c r="AE908" s="34"/>
      <c r="AF908" s="34"/>
      <c r="AG908" s="34"/>
      <c r="AH908" s="34"/>
      <c r="AI908" s="34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30"/>
      <c r="AU908" s="18"/>
      <c r="AV908" s="18"/>
      <c r="AW908" s="18"/>
      <c r="AX908" s="18"/>
    </row>
    <row r="909" spans="1:50" ht="25.5" x14ac:dyDescent="0.2">
      <c r="AA909" s="28" t="s">
        <v>288</v>
      </c>
      <c r="AB909" s="29" t="s">
        <v>616</v>
      </c>
      <c r="AC909" s="17"/>
      <c r="AD909" s="18"/>
      <c r="AE909" s="34"/>
      <c r="AF909" s="34"/>
      <c r="AG909" s="34"/>
      <c r="AH909" s="34"/>
      <c r="AI909" s="34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30"/>
      <c r="AU909" s="18"/>
      <c r="AV909" s="18"/>
      <c r="AW909" s="18"/>
      <c r="AX909" s="18"/>
    </row>
    <row r="910" spans="1:50" x14ac:dyDescent="0.2">
      <c r="A910" s="4" t="s">
        <v>55</v>
      </c>
      <c r="B910" s="4" t="s">
        <v>56</v>
      </c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1" t="s">
        <v>622</v>
      </c>
      <c r="AB910" s="42" t="s">
        <v>618</v>
      </c>
      <c r="AC910" s="43" t="s">
        <v>619</v>
      </c>
      <c r="AD910" s="43">
        <v>162000000</v>
      </c>
      <c r="AE910" s="44">
        <v>0</v>
      </c>
      <c r="AF910" s="44">
        <v>0</v>
      </c>
      <c r="AG910" s="43">
        <f>24729623+163270377</f>
        <v>188000000</v>
      </c>
      <c r="AH910" s="44">
        <v>0</v>
      </c>
      <c r="AI910" s="43">
        <f>AE910-AF910+AG910-AH910</f>
        <v>188000000</v>
      </c>
      <c r="AJ910" s="43">
        <f>AD910+AI910</f>
        <v>350000000</v>
      </c>
      <c r="AK910" s="44">
        <v>0</v>
      </c>
      <c r="AL910" s="44">
        <v>0</v>
      </c>
      <c r="AM910" s="43">
        <v>297576901</v>
      </c>
      <c r="AN910" s="43">
        <v>0</v>
      </c>
      <c r="AO910" s="43">
        <v>0</v>
      </c>
      <c r="AP910" s="43">
        <v>297576901</v>
      </c>
      <c r="AQ910" s="44">
        <v>0</v>
      </c>
      <c r="AR910" s="44">
        <v>0</v>
      </c>
      <c r="AS910" s="44">
        <v>0</v>
      </c>
      <c r="AT910" s="40">
        <f t="shared" ref="AT910" si="384">AQ910+AS910</f>
        <v>0</v>
      </c>
      <c r="AU910" s="18">
        <f>AJ910-AM910</f>
        <v>52423099</v>
      </c>
      <c r="AV910" s="133">
        <f>AM910-AP910</f>
        <v>0</v>
      </c>
      <c r="AW910" s="18">
        <f>AP910-AT910</f>
        <v>297576901</v>
      </c>
      <c r="AX910" s="123">
        <f>AP910/AJ910</f>
        <v>0.85021971714285716</v>
      </c>
    </row>
    <row r="911" spans="1:50" x14ac:dyDescent="0.2">
      <c r="AA911" s="16"/>
      <c r="AB911" s="17"/>
      <c r="AC911" s="17"/>
      <c r="AD911" s="18"/>
      <c r="AE911" s="34"/>
      <c r="AF911" s="34"/>
      <c r="AG911" s="34"/>
      <c r="AH911" s="34"/>
      <c r="AI911" s="34"/>
      <c r="AJ911" s="18"/>
      <c r="AK911" s="34"/>
      <c r="AL911" s="34"/>
      <c r="AM911" s="34"/>
      <c r="AN911" s="34"/>
      <c r="AO911" s="34"/>
      <c r="AP911" s="34"/>
      <c r="AQ911" s="34"/>
      <c r="AR911" s="34"/>
      <c r="AS911" s="34"/>
      <c r="AT911" s="31"/>
      <c r="AU911" s="18"/>
      <c r="AV911" s="18"/>
      <c r="AW911" s="18"/>
      <c r="AX911" s="18"/>
    </row>
    <row r="912" spans="1:50" x14ac:dyDescent="0.2">
      <c r="AA912" s="16"/>
      <c r="AB912" s="29" t="s">
        <v>623</v>
      </c>
      <c r="AC912" s="17"/>
      <c r="AD912" s="18"/>
      <c r="AE912" s="34"/>
      <c r="AF912" s="34"/>
      <c r="AG912" s="34"/>
      <c r="AH912" s="34"/>
      <c r="AI912" s="34"/>
      <c r="AJ912" s="18"/>
      <c r="AK912" s="34"/>
      <c r="AL912" s="34"/>
      <c r="AM912" s="34"/>
      <c r="AN912" s="34"/>
      <c r="AO912" s="34"/>
      <c r="AP912" s="34"/>
      <c r="AQ912" s="34"/>
      <c r="AR912" s="34"/>
      <c r="AS912" s="34"/>
      <c r="AT912" s="31"/>
      <c r="AU912" s="18"/>
      <c r="AV912" s="18"/>
      <c r="AW912" s="18"/>
      <c r="AX912" s="18"/>
    </row>
    <row r="913" spans="1:50" ht="25.5" x14ac:dyDescent="0.2">
      <c r="AA913" s="16"/>
      <c r="AB913" s="29" t="s">
        <v>624</v>
      </c>
      <c r="AC913" s="17"/>
      <c r="AD913" s="18"/>
      <c r="AE913" s="34"/>
      <c r="AF913" s="34"/>
      <c r="AG913" s="34"/>
      <c r="AH913" s="34"/>
      <c r="AI913" s="34"/>
      <c r="AJ913" s="18"/>
      <c r="AK913" s="34"/>
      <c r="AL913" s="34"/>
      <c r="AM913" s="34"/>
      <c r="AN913" s="34"/>
      <c r="AO913" s="34"/>
      <c r="AP913" s="34"/>
      <c r="AQ913" s="34"/>
      <c r="AR913" s="34"/>
      <c r="AS913" s="34"/>
      <c r="AT913" s="31"/>
      <c r="AU913" s="18"/>
      <c r="AV913" s="18"/>
      <c r="AW913" s="18"/>
      <c r="AX913" s="18"/>
    </row>
    <row r="914" spans="1:50" ht="25.5" x14ac:dyDescent="0.2">
      <c r="AA914" s="28" t="s">
        <v>288</v>
      </c>
      <c r="AB914" s="29" t="s">
        <v>616</v>
      </c>
      <c r="AC914" s="17"/>
      <c r="AD914" s="18"/>
      <c r="AE914" s="34"/>
      <c r="AF914" s="34"/>
      <c r="AG914" s="34"/>
      <c r="AH914" s="34"/>
      <c r="AI914" s="34"/>
      <c r="AJ914" s="18"/>
      <c r="AK914" s="34"/>
      <c r="AL914" s="34"/>
      <c r="AM914" s="34"/>
      <c r="AN914" s="34"/>
      <c r="AO914" s="34"/>
      <c r="AP914" s="34"/>
      <c r="AQ914" s="34"/>
      <c r="AR914" s="34"/>
      <c r="AS914" s="34"/>
      <c r="AT914" s="31"/>
      <c r="AU914" s="18"/>
      <c r="AV914" s="18"/>
      <c r="AW914" s="18"/>
      <c r="AX914" s="18"/>
    </row>
    <row r="915" spans="1:50" x14ac:dyDescent="0.2">
      <c r="A915" s="4" t="s">
        <v>55</v>
      </c>
      <c r="B915" s="4" t="s">
        <v>56</v>
      </c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1" t="s">
        <v>625</v>
      </c>
      <c r="AB915" s="42" t="s">
        <v>618</v>
      </c>
      <c r="AC915" s="43" t="s">
        <v>619</v>
      </c>
      <c r="AD915" s="43">
        <v>163270377</v>
      </c>
      <c r="AE915" s="44">
        <v>0</v>
      </c>
      <c r="AF915" s="44">
        <v>0</v>
      </c>
      <c r="AG915" s="44">
        <v>0</v>
      </c>
      <c r="AH915" s="43">
        <v>163270377</v>
      </c>
      <c r="AI915" s="43">
        <f>AE915-AF915+AG915-AH915</f>
        <v>-163270377</v>
      </c>
      <c r="AJ915" s="44">
        <f>AD915+AI915</f>
        <v>0</v>
      </c>
      <c r="AK915" s="44">
        <v>0</v>
      </c>
      <c r="AL915" s="44">
        <v>0</v>
      </c>
      <c r="AM915" s="44">
        <v>0</v>
      </c>
      <c r="AN915" s="44">
        <v>0</v>
      </c>
      <c r="AO915" s="44">
        <v>0</v>
      </c>
      <c r="AP915" s="44">
        <v>0</v>
      </c>
      <c r="AQ915" s="44">
        <v>0</v>
      </c>
      <c r="AR915" s="44">
        <v>0</v>
      </c>
      <c r="AS915" s="44">
        <v>0</v>
      </c>
      <c r="AT915" s="40">
        <f t="shared" ref="AT915" si="385">AQ915+AS915</f>
        <v>0</v>
      </c>
      <c r="AU915" s="34">
        <f>AJ915-AM915</f>
        <v>0</v>
      </c>
      <c r="AV915" s="133">
        <f>AM915-AP915</f>
        <v>0</v>
      </c>
      <c r="AW915" s="34">
        <f>AP915-AT915</f>
        <v>0</v>
      </c>
      <c r="AX915" s="123">
        <v>0</v>
      </c>
    </row>
    <row r="916" spans="1:50" x14ac:dyDescent="0.2">
      <c r="AA916" s="16"/>
      <c r="AB916" s="17"/>
      <c r="AC916" s="17"/>
      <c r="AD916" s="18"/>
      <c r="AE916" s="18"/>
      <c r="AF916" s="18"/>
      <c r="AG916" s="18"/>
      <c r="AH916" s="18"/>
      <c r="AI916" s="18"/>
      <c r="AJ916" s="18"/>
      <c r="AK916" s="34"/>
      <c r="AL916" s="34"/>
      <c r="AM916" s="34"/>
      <c r="AN916" s="34"/>
      <c r="AO916" s="34"/>
      <c r="AP916" s="34"/>
      <c r="AQ916" s="18"/>
      <c r="AR916" s="18"/>
      <c r="AS916" s="18"/>
      <c r="AT916" s="30"/>
      <c r="AU916" s="18"/>
      <c r="AV916" s="18"/>
      <c r="AW916" s="18"/>
      <c r="AX916" s="18"/>
    </row>
    <row r="917" spans="1:50" ht="25.5" x14ac:dyDescent="0.2">
      <c r="AA917" s="16"/>
      <c r="AB917" s="29" t="s">
        <v>626</v>
      </c>
      <c r="AC917" s="17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30"/>
      <c r="AU917" s="18"/>
      <c r="AV917" s="18"/>
      <c r="AW917" s="18"/>
      <c r="AX917" s="18"/>
    </row>
    <row r="918" spans="1:50" ht="25.5" x14ac:dyDescent="0.2">
      <c r="AA918" s="16"/>
      <c r="AB918" s="29" t="s">
        <v>627</v>
      </c>
      <c r="AC918" s="17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30"/>
      <c r="AU918" s="18"/>
      <c r="AV918" s="18"/>
      <c r="AW918" s="18"/>
      <c r="AX918" s="18"/>
    </row>
    <row r="919" spans="1:50" x14ac:dyDescent="0.2">
      <c r="AA919" s="16"/>
      <c r="AB919" s="29" t="s">
        <v>628</v>
      </c>
      <c r="AC919" s="17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30"/>
      <c r="AU919" s="18"/>
      <c r="AV919" s="18"/>
      <c r="AW919" s="18"/>
      <c r="AX919" s="18"/>
    </row>
    <row r="920" spans="1:50" x14ac:dyDescent="0.2">
      <c r="AA920" s="16"/>
      <c r="AB920" s="29" t="s">
        <v>629</v>
      </c>
      <c r="AC920" s="17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30"/>
      <c r="AU920" s="18"/>
      <c r="AV920" s="18"/>
      <c r="AW920" s="18"/>
      <c r="AX920" s="18"/>
    </row>
    <row r="921" spans="1:50" ht="25.5" x14ac:dyDescent="0.2">
      <c r="AA921" s="28" t="s">
        <v>288</v>
      </c>
      <c r="AB921" s="29" t="s">
        <v>616</v>
      </c>
      <c r="AC921" s="17"/>
      <c r="AD921" s="18"/>
      <c r="AE921" s="34"/>
      <c r="AF921" s="34"/>
      <c r="AG921" s="34"/>
      <c r="AH921" s="34"/>
      <c r="AI921" s="34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30"/>
      <c r="AU921" s="18"/>
      <c r="AV921" s="18"/>
      <c r="AW921" s="18"/>
      <c r="AX921" s="18"/>
    </row>
    <row r="922" spans="1:50" x14ac:dyDescent="0.2">
      <c r="A922" s="4" t="s">
        <v>55</v>
      </c>
      <c r="B922" s="4" t="s">
        <v>56</v>
      </c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1" t="s">
        <v>630</v>
      </c>
      <c r="AB922" s="42" t="s">
        <v>618</v>
      </c>
      <c r="AC922" s="43" t="s">
        <v>619</v>
      </c>
      <c r="AD922" s="43">
        <v>100000000</v>
      </c>
      <c r="AE922" s="44">
        <v>0</v>
      </c>
      <c r="AF922" s="44">
        <v>0</v>
      </c>
      <c r="AG922" s="43">
        <v>222721043</v>
      </c>
      <c r="AH922" s="43">
        <v>74931884</v>
      </c>
      <c r="AI922" s="43">
        <f>AE922-AF922+AG922-AH922</f>
        <v>147789159</v>
      </c>
      <c r="AJ922" s="43">
        <f>AD922+AI922</f>
        <v>247789159</v>
      </c>
      <c r="AK922" s="44">
        <v>0</v>
      </c>
      <c r="AL922" s="43">
        <v>0</v>
      </c>
      <c r="AM922" s="43">
        <v>17033100</v>
      </c>
      <c r="AN922" s="44">
        <v>0</v>
      </c>
      <c r="AO922" s="44">
        <v>0</v>
      </c>
      <c r="AP922" s="43">
        <v>17033100</v>
      </c>
      <c r="AQ922" s="44">
        <v>0</v>
      </c>
      <c r="AR922" s="43">
        <v>0</v>
      </c>
      <c r="AS922" s="43">
        <v>9627100</v>
      </c>
      <c r="AT922" s="39">
        <f t="shared" ref="AT922" si="386">AQ922+AS922</f>
        <v>9627100</v>
      </c>
      <c r="AU922" s="18">
        <f>AJ922-AM922</f>
        <v>230756059</v>
      </c>
      <c r="AV922" s="133">
        <f>AM922-AP922</f>
        <v>0</v>
      </c>
      <c r="AW922" s="18">
        <f>AP922-AT922</f>
        <v>7406000</v>
      </c>
      <c r="AX922" s="123">
        <f>AP922/AJ922</f>
        <v>6.8740295454168765E-2</v>
      </c>
    </row>
    <row r="923" spans="1:50" x14ac:dyDescent="0.2">
      <c r="AA923" s="16"/>
      <c r="AB923" s="17"/>
      <c r="AC923" s="17"/>
      <c r="AD923" s="18"/>
      <c r="AE923" s="34"/>
      <c r="AF923" s="34"/>
      <c r="AG923" s="34"/>
      <c r="AH923" s="34"/>
      <c r="AI923" s="34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30"/>
      <c r="AU923" s="18"/>
      <c r="AV923" s="18"/>
      <c r="AW923" s="18"/>
      <c r="AX923" s="18"/>
    </row>
    <row r="924" spans="1:50" x14ac:dyDescent="0.2">
      <c r="AA924" s="16"/>
      <c r="AB924" s="29" t="s">
        <v>631</v>
      </c>
      <c r="AC924" s="17"/>
      <c r="AD924" s="18"/>
      <c r="AE924" s="34"/>
      <c r="AF924" s="34"/>
      <c r="AG924" s="34"/>
      <c r="AH924" s="34"/>
      <c r="AI924" s="34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30"/>
      <c r="AU924" s="18"/>
      <c r="AV924" s="18"/>
      <c r="AW924" s="18"/>
      <c r="AX924" s="18"/>
    </row>
    <row r="925" spans="1:50" x14ac:dyDescent="0.2">
      <c r="AA925" s="16"/>
      <c r="AB925" s="29" t="s">
        <v>632</v>
      </c>
      <c r="AC925" s="17"/>
      <c r="AD925" s="18"/>
      <c r="AE925" s="34"/>
      <c r="AF925" s="34"/>
      <c r="AG925" s="34"/>
      <c r="AH925" s="34"/>
      <c r="AI925" s="34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30"/>
      <c r="AU925" s="18"/>
      <c r="AV925" s="18"/>
      <c r="AW925" s="18"/>
      <c r="AX925" s="18"/>
    </row>
    <row r="926" spans="1:50" x14ac:dyDescent="0.2">
      <c r="AA926" s="16"/>
      <c r="AB926" s="29" t="s">
        <v>633</v>
      </c>
      <c r="AC926" s="17"/>
      <c r="AD926" s="18"/>
      <c r="AE926" s="34"/>
      <c r="AF926" s="34"/>
      <c r="AG926" s="34"/>
      <c r="AH926" s="34"/>
      <c r="AI926" s="34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30"/>
      <c r="AU926" s="18"/>
      <c r="AV926" s="18"/>
      <c r="AW926" s="18"/>
      <c r="AX926" s="18"/>
    </row>
    <row r="927" spans="1:50" x14ac:dyDescent="0.2">
      <c r="AA927" s="16"/>
      <c r="AB927" s="29" t="s">
        <v>634</v>
      </c>
      <c r="AC927" s="17"/>
      <c r="AD927" s="18"/>
      <c r="AE927" s="34"/>
      <c r="AF927" s="34"/>
      <c r="AG927" s="34"/>
      <c r="AH927" s="34"/>
      <c r="AI927" s="34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30"/>
      <c r="AU927" s="18"/>
      <c r="AV927" s="18"/>
      <c r="AW927" s="18"/>
      <c r="AX927" s="18"/>
    </row>
    <row r="928" spans="1:50" x14ac:dyDescent="0.2">
      <c r="AA928" s="16"/>
      <c r="AB928" s="29" t="s">
        <v>635</v>
      </c>
      <c r="AC928" s="17"/>
      <c r="AD928" s="18"/>
      <c r="AE928" s="34"/>
      <c r="AF928" s="34"/>
      <c r="AG928" s="34"/>
      <c r="AH928" s="34"/>
      <c r="AI928" s="34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30"/>
      <c r="AU928" s="18"/>
      <c r="AV928" s="18"/>
      <c r="AW928" s="18"/>
      <c r="AX928" s="18"/>
    </row>
    <row r="929" spans="1:50" ht="25.5" x14ac:dyDescent="0.2">
      <c r="AA929" s="28" t="s">
        <v>288</v>
      </c>
      <c r="AB929" s="29" t="s">
        <v>616</v>
      </c>
      <c r="AC929" s="17"/>
      <c r="AD929" s="18"/>
      <c r="AE929" s="34"/>
      <c r="AF929" s="34"/>
      <c r="AG929" s="34"/>
      <c r="AH929" s="34"/>
      <c r="AI929" s="34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30"/>
      <c r="AU929" s="18"/>
      <c r="AV929" s="18"/>
      <c r="AW929" s="18"/>
      <c r="AX929" s="18"/>
    </row>
    <row r="930" spans="1:50" ht="18.75" customHeight="1" x14ac:dyDescent="0.2">
      <c r="A930" s="4" t="s">
        <v>55</v>
      </c>
      <c r="B930" s="4" t="s">
        <v>56</v>
      </c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1" t="s">
        <v>636</v>
      </c>
      <c r="AB930" s="42" t="s">
        <v>618</v>
      </c>
      <c r="AC930" s="43" t="s">
        <v>619</v>
      </c>
      <c r="AD930" s="43">
        <v>80000000</v>
      </c>
      <c r="AE930" s="44">
        <v>0</v>
      </c>
      <c r="AF930" s="44">
        <v>0</v>
      </c>
      <c r="AG930" s="44">
        <v>0</v>
      </c>
      <c r="AH930" s="44">
        <v>0</v>
      </c>
      <c r="AI930" s="44">
        <v>0</v>
      </c>
      <c r="AJ930" s="43">
        <v>80000000</v>
      </c>
      <c r="AK930" s="44">
        <v>0</v>
      </c>
      <c r="AL930" s="44">
        <v>0</v>
      </c>
      <c r="AM930" s="44">
        <v>0</v>
      </c>
      <c r="AN930" s="44">
        <v>0</v>
      </c>
      <c r="AO930" s="44">
        <v>0</v>
      </c>
      <c r="AP930" s="44">
        <v>0</v>
      </c>
      <c r="AQ930" s="44">
        <v>0</v>
      </c>
      <c r="AR930" s="44">
        <v>0</v>
      </c>
      <c r="AS930" s="44">
        <v>0</v>
      </c>
      <c r="AT930" s="40">
        <f t="shared" ref="AT930" si="387">AQ930+AS930</f>
        <v>0</v>
      </c>
      <c r="AU930" s="18">
        <f>AJ930-AM930</f>
        <v>80000000</v>
      </c>
      <c r="AV930" s="133">
        <f>AM930-AP930</f>
        <v>0</v>
      </c>
      <c r="AW930" s="34">
        <f>AP930-AT930</f>
        <v>0</v>
      </c>
      <c r="AX930" s="123">
        <f>AP930/AJ930</f>
        <v>0</v>
      </c>
    </row>
    <row r="931" spans="1:50" ht="18.75" customHeight="1" x14ac:dyDescent="0.2">
      <c r="AA931" s="16"/>
      <c r="AB931" s="17"/>
      <c r="AC931" s="17"/>
      <c r="AD931" s="18"/>
      <c r="AE931" s="34"/>
      <c r="AF931" s="34"/>
      <c r="AG931" s="34"/>
      <c r="AH931" s="34"/>
      <c r="AI931" s="34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30"/>
      <c r="AU931" s="18"/>
      <c r="AV931" s="18"/>
      <c r="AW931" s="18"/>
      <c r="AX931" s="18"/>
    </row>
    <row r="932" spans="1:50" ht="18.75" customHeight="1" x14ac:dyDescent="0.2">
      <c r="AA932" s="16"/>
      <c r="AB932" s="29" t="s">
        <v>179</v>
      </c>
      <c r="AC932" s="17"/>
      <c r="AD932" s="18"/>
      <c r="AE932" s="34"/>
      <c r="AF932" s="34"/>
      <c r="AG932" s="34"/>
      <c r="AH932" s="34"/>
      <c r="AI932" s="34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30"/>
      <c r="AU932" s="18"/>
      <c r="AV932" s="18"/>
      <c r="AW932" s="18"/>
      <c r="AX932" s="18"/>
    </row>
    <row r="933" spans="1:50" ht="18.75" customHeight="1" x14ac:dyDescent="0.2">
      <c r="AA933" s="16"/>
      <c r="AB933" s="29" t="s">
        <v>181</v>
      </c>
      <c r="AC933" s="17"/>
      <c r="AD933" s="18"/>
      <c r="AE933" s="34"/>
      <c r="AF933" s="34"/>
      <c r="AG933" s="34"/>
      <c r="AH933" s="34"/>
      <c r="AI933" s="34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30"/>
      <c r="AU933" s="18"/>
      <c r="AV933" s="18"/>
      <c r="AW933" s="18"/>
      <c r="AX933" s="18"/>
    </row>
    <row r="934" spans="1:50" ht="25.5" x14ac:dyDescent="0.2">
      <c r="AA934" s="16"/>
      <c r="AB934" s="29" t="s">
        <v>637</v>
      </c>
      <c r="AC934" s="17"/>
      <c r="AD934" s="18"/>
      <c r="AE934" s="34"/>
      <c r="AF934" s="34"/>
      <c r="AG934" s="34"/>
      <c r="AH934" s="34"/>
      <c r="AI934" s="34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30"/>
      <c r="AU934" s="18"/>
      <c r="AV934" s="18"/>
      <c r="AW934" s="18"/>
      <c r="AX934" s="18"/>
    </row>
    <row r="935" spans="1:50" ht="28.5" customHeight="1" x14ac:dyDescent="0.2">
      <c r="AA935" s="28" t="s">
        <v>288</v>
      </c>
      <c r="AB935" s="29" t="s">
        <v>637</v>
      </c>
      <c r="AC935" s="17"/>
      <c r="AD935" s="18"/>
      <c r="AE935" s="34"/>
      <c r="AF935" s="34"/>
      <c r="AG935" s="34"/>
      <c r="AH935" s="34"/>
      <c r="AI935" s="34"/>
      <c r="AJ935" s="18"/>
      <c r="AK935" s="34"/>
      <c r="AL935" s="34"/>
      <c r="AM935" s="18"/>
      <c r="AN935" s="18"/>
      <c r="AO935" s="18"/>
      <c r="AP935" s="18"/>
      <c r="AQ935" s="18"/>
      <c r="AR935" s="18"/>
      <c r="AS935" s="18"/>
      <c r="AT935" s="30"/>
      <c r="AU935" s="18"/>
      <c r="AV935" s="18"/>
      <c r="AW935" s="18"/>
      <c r="AX935" s="18"/>
    </row>
    <row r="936" spans="1:50" ht="27.75" customHeight="1" x14ac:dyDescent="0.2">
      <c r="AA936" s="101" t="s">
        <v>1227</v>
      </c>
      <c r="AB936" s="251" t="s">
        <v>1228</v>
      </c>
      <c r="AC936" s="17"/>
      <c r="AD936" s="34">
        <v>0</v>
      </c>
      <c r="AE936" s="34">
        <v>0</v>
      </c>
      <c r="AF936" s="34">
        <v>0</v>
      </c>
      <c r="AG936" s="18">
        <f>70000000+170000000+360000000+100000000</f>
        <v>700000000</v>
      </c>
      <c r="AH936" s="34">
        <v>0</v>
      </c>
      <c r="AI936" s="43">
        <f>AE936-AF936+AG936-AH936</f>
        <v>700000000</v>
      </c>
      <c r="AJ936" s="142">
        <f>AD936+AI936</f>
        <v>700000000</v>
      </c>
      <c r="AK936" s="34">
        <v>0</v>
      </c>
      <c r="AL936" s="34">
        <v>0</v>
      </c>
      <c r="AM936" s="18">
        <v>53999991</v>
      </c>
      <c r="AN936" s="34">
        <v>0</v>
      </c>
      <c r="AO936" s="34">
        <v>0</v>
      </c>
      <c r="AP936" s="18">
        <v>53999991</v>
      </c>
      <c r="AQ936" s="34">
        <v>0</v>
      </c>
      <c r="AR936" s="34">
        <v>0</v>
      </c>
      <c r="AS936" s="34">
        <v>0</v>
      </c>
      <c r="AT936" s="40">
        <f t="shared" ref="AT936" si="388">AQ936+AS936</f>
        <v>0</v>
      </c>
      <c r="AU936" s="18">
        <f>AJ936-AM936</f>
        <v>646000009</v>
      </c>
      <c r="AV936" s="34">
        <f>AM936-AP936</f>
        <v>0</v>
      </c>
      <c r="AW936" s="18">
        <f>AP936-AT936</f>
        <v>53999991</v>
      </c>
      <c r="AX936" s="123">
        <f>AP936/AJ936</f>
        <v>7.7142844285714288E-2</v>
      </c>
    </row>
    <row r="937" spans="1:50" ht="25.5" x14ac:dyDescent="0.2">
      <c r="AA937" s="28" t="s">
        <v>288</v>
      </c>
      <c r="AB937" s="29" t="s">
        <v>616</v>
      </c>
      <c r="AC937" s="17"/>
      <c r="AD937" s="18"/>
      <c r="AE937" s="34"/>
      <c r="AF937" s="34"/>
      <c r="AG937" s="34"/>
      <c r="AH937" s="34"/>
      <c r="AI937" s="34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30"/>
      <c r="AU937" s="18"/>
      <c r="AV937" s="34"/>
      <c r="AW937" s="18"/>
      <c r="AX937" s="18"/>
    </row>
    <row r="938" spans="1:50" ht="23.25" customHeight="1" x14ac:dyDescent="0.2">
      <c r="A938" s="4" t="s">
        <v>55</v>
      </c>
      <c r="B938" s="4" t="s">
        <v>56</v>
      </c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1" t="s">
        <v>639</v>
      </c>
      <c r="AB938" s="42" t="s">
        <v>618</v>
      </c>
      <c r="AC938" s="43" t="s">
        <v>619</v>
      </c>
      <c r="AD938" s="43">
        <v>1601743650</v>
      </c>
      <c r="AE938" s="44">
        <v>0</v>
      </c>
      <c r="AF938" s="44">
        <v>0</v>
      </c>
      <c r="AG938" s="44">
        <v>0</v>
      </c>
      <c r="AH938" s="43">
        <v>794729623</v>
      </c>
      <c r="AI938" s="43">
        <f>AE938-AF938+AG938-AH938</f>
        <v>-794729623</v>
      </c>
      <c r="AJ938" s="43">
        <f>AD938+AI938</f>
        <v>807014027</v>
      </c>
      <c r="AK938" s="44">
        <v>0</v>
      </c>
      <c r="AL938" s="43">
        <f>AM938-JULIO!AM904</f>
        <v>-242658449</v>
      </c>
      <c r="AM938" s="43">
        <v>557000000</v>
      </c>
      <c r="AN938" s="44">
        <v>0</v>
      </c>
      <c r="AO938" s="43">
        <v>557000000</v>
      </c>
      <c r="AP938" s="43">
        <v>557000000</v>
      </c>
      <c r="AQ938" s="44">
        <v>0</v>
      </c>
      <c r="AR938" s="44">
        <v>0</v>
      </c>
      <c r="AS938" s="44">
        <v>0</v>
      </c>
      <c r="AT938" s="40">
        <f t="shared" ref="AT938:AT939" si="389">AQ938+AS938</f>
        <v>0</v>
      </c>
      <c r="AU938" s="18">
        <f>AJ938-AM938</f>
        <v>250014027</v>
      </c>
      <c r="AV938" s="34">
        <f>AM938-AP938</f>
        <v>0</v>
      </c>
      <c r="AW938" s="18">
        <f>AP938-AT938</f>
        <v>557000000</v>
      </c>
      <c r="AX938" s="123">
        <f>AP938/AJ938</f>
        <v>0.69019865995464291</v>
      </c>
    </row>
    <row r="939" spans="1:50" ht="31.5" customHeight="1" x14ac:dyDescent="0.2">
      <c r="A939" s="4" t="s">
        <v>55</v>
      </c>
      <c r="B939" s="4" t="s">
        <v>56</v>
      </c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1" t="s">
        <v>640</v>
      </c>
      <c r="AB939" s="42" t="s">
        <v>641</v>
      </c>
      <c r="AC939" s="43" t="s">
        <v>642</v>
      </c>
      <c r="AD939" s="43">
        <v>20790000</v>
      </c>
      <c r="AE939" s="44">
        <v>0</v>
      </c>
      <c r="AF939" s="44">
        <v>0</v>
      </c>
      <c r="AG939" s="44">
        <v>0</v>
      </c>
      <c r="AH939" s="44">
        <v>0</v>
      </c>
      <c r="AI939" s="44">
        <v>0</v>
      </c>
      <c r="AJ939" s="43">
        <v>20790000</v>
      </c>
      <c r="AK939" s="44">
        <v>0</v>
      </c>
      <c r="AL939" s="44">
        <v>0</v>
      </c>
      <c r="AM939" s="44">
        <v>0</v>
      </c>
      <c r="AN939" s="44">
        <v>0</v>
      </c>
      <c r="AO939" s="44">
        <v>0</v>
      </c>
      <c r="AP939" s="44">
        <v>0</v>
      </c>
      <c r="AQ939" s="44">
        <v>0</v>
      </c>
      <c r="AR939" s="44">
        <v>0</v>
      </c>
      <c r="AS939" s="44">
        <v>0</v>
      </c>
      <c r="AT939" s="40">
        <f t="shared" si="389"/>
        <v>0</v>
      </c>
      <c r="AU939" s="18">
        <f>AJ939-AM939</f>
        <v>20790000</v>
      </c>
      <c r="AV939" s="133">
        <f>AM939-AP939</f>
        <v>0</v>
      </c>
      <c r="AW939" s="34">
        <f>AP939-AT939</f>
        <v>0</v>
      </c>
      <c r="AX939" s="123">
        <f>AP939/AJ939</f>
        <v>0</v>
      </c>
    </row>
    <row r="940" spans="1:50" ht="27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1"/>
      <c r="AB940" s="74" t="s">
        <v>1288</v>
      </c>
      <c r="AC940" s="43"/>
      <c r="AD940" s="43"/>
      <c r="AE940" s="44"/>
      <c r="AF940" s="44"/>
      <c r="AG940" s="44"/>
      <c r="AH940" s="44"/>
      <c r="AI940" s="44"/>
      <c r="AJ940" s="43"/>
      <c r="AK940" s="44"/>
      <c r="AL940" s="44"/>
      <c r="AM940" s="44"/>
      <c r="AN940" s="44"/>
      <c r="AO940" s="44"/>
      <c r="AP940" s="44"/>
      <c r="AQ940" s="44"/>
      <c r="AR940" s="44"/>
      <c r="AS940" s="44"/>
      <c r="AT940" s="40"/>
      <c r="AU940" s="18"/>
      <c r="AV940" s="133"/>
      <c r="AW940" s="34"/>
      <c r="AX940" s="123"/>
    </row>
    <row r="941" spans="1:50" ht="27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73" t="s">
        <v>288</v>
      </c>
      <c r="AB941" s="74" t="s">
        <v>1293</v>
      </c>
      <c r="AC941" s="43"/>
      <c r="AD941" s="43"/>
      <c r="AE941" s="44"/>
      <c r="AF941" s="44"/>
      <c r="AG941" s="44"/>
      <c r="AH941" s="44"/>
      <c r="AI941" s="44"/>
      <c r="AJ941" s="43"/>
      <c r="AK941" s="44"/>
      <c r="AL941" s="44"/>
      <c r="AM941" s="44"/>
      <c r="AN941" s="44"/>
      <c r="AO941" s="44"/>
      <c r="AP941" s="44"/>
      <c r="AQ941" s="44"/>
      <c r="AR941" s="44"/>
      <c r="AS941" s="44"/>
      <c r="AT941" s="40"/>
      <c r="AU941" s="18"/>
      <c r="AV941" s="133"/>
      <c r="AW941" s="34"/>
      <c r="AX941" s="123"/>
    </row>
    <row r="942" spans="1:50" ht="27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1" t="s">
        <v>1289</v>
      </c>
      <c r="AB942" s="42" t="s">
        <v>1290</v>
      </c>
      <c r="AC942" s="43"/>
      <c r="AD942" s="43">
        <v>0</v>
      </c>
      <c r="AE942" s="44">
        <v>0</v>
      </c>
      <c r="AF942" s="44">
        <v>0</v>
      </c>
      <c r="AG942" s="43">
        <v>424146000</v>
      </c>
      <c r="AH942" s="44">
        <v>0</v>
      </c>
      <c r="AI942" s="43">
        <f>AE942-AF942+AG942-AH942</f>
        <v>424146000</v>
      </c>
      <c r="AJ942" s="43">
        <f>AD942+AI942</f>
        <v>424146000</v>
      </c>
      <c r="AK942" s="44">
        <v>0</v>
      </c>
      <c r="AL942" s="44">
        <v>0</v>
      </c>
      <c r="AM942" s="44">
        <v>0</v>
      </c>
      <c r="AN942" s="44">
        <v>0</v>
      </c>
      <c r="AO942" s="44">
        <v>0</v>
      </c>
      <c r="AP942" s="44">
        <v>0</v>
      </c>
      <c r="AQ942" s="44">
        <v>0</v>
      </c>
      <c r="AR942" s="44">
        <v>0</v>
      </c>
      <c r="AS942" s="44">
        <v>0</v>
      </c>
      <c r="AT942" s="40">
        <f t="shared" ref="AT942" si="390">AQ942+AS942</f>
        <v>0</v>
      </c>
      <c r="AU942" s="18">
        <f>AJ942-AM942</f>
        <v>424146000</v>
      </c>
      <c r="AV942" s="133">
        <f>AM942-AP942</f>
        <v>0</v>
      </c>
      <c r="AW942" s="34">
        <f>AP942-AT942</f>
        <v>0</v>
      </c>
      <c r="AX942" s="123">
        <f>AP942/AJ942</f>
        <v>0</v>
      </c>
    </row>
    <row r="943" spans="1:50" ht="27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73" t="s">
        <v>288</v>
      </c>
      <c r="AB943" s="74" t="s">
        <v>637</v>
      </c>
      <c r="AC943" s="43"/>
      <c r="AD943" s="43"/>
      <c r="AE943" s="44"/>
      <c r="AF943" s="44"/>
      <c r="AG943" s="43"/>
      <c r="AH943" s="44"/>
      <c r="AI943" s="43"/>
      <c r="AJ943" s="43"/>
      <c r="AK943" s="44"/>
      <c r="AL943" s="44"/>
      <c r="AM943" s="44"/>
      <c r="AN943" s="44"/>
      <c r="AO943" s="44"/>
      <c r="AP943" s="44"/>
      <c r="AQ943" s="44"/>
      <c r="AR943" s="44"/>
      <c r="AS943" s="44"/>
      <c r="AT943" s="40"/>
      <c r="AU943" s="18"/>
      <c r="AV943" s="133"/>
      <c r="AW943" s="34"/>
      <c r="AX943" s="123"/>
    </row>
    <row r="944" spans="1:50" ht="26.2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1" t="s">
        <v>1291</v>
      </c>
      <c r="AB944" s="42" t="s">
        <v>1290</v>
      </c>
      <c r="AC944" s="43"/>
      <c r="AD944" s="43">
        <v>0</v>
      </c>
      <c r="AE944" s="44">
        <v>0</v>
      </c>
      <c r="AF944" s="44">
        <v>0</v>
      </c>
      <c r="AG944" s="43">
        <v>77854000</v>
      </c>
      <c r="AH944" s="44"/>
      <c r="AI944" s="43">
        <f>AE944-AF944+AG944-AH944</f>
        <v>77854000</v>
      </c>
      <c r="AJ944" s="43">
        <f>AD944+AI944</f>
        <v>77854000</v>
      </c>
      <c r="AK944" s="44">
        <v>0</v>
      </c>
      <c r="AL944" s="44">
        <v>0</v>
      </c>
      <c r="AM944" s="44">
        <v>0</v>
      </c>
      <c r="AN944" s="44">
        <v>0</v>
      </c>
      <c r="AO944" s="44">
        <v>0</v>
      </c>
      <c r="AP944" s="44">
        <v>0</v>
      </c>
      <c r="AQ944" s="44">
        <v>0</v>
      </c>
      <c r="AR944" s="44">
        <v>0</v>
      </c>
      <c r="AS944" s="44">
        <v>0</v>
      </c>
      <c r="AT944" s="40">
        <f t="shared" ref="AT944" si="391">AQ944+AS944</f>
        <v>0</v>
      </c>
      <c r="AU944" s="18">
        <f>AJ944-AM944</f>
        <v>77854000</v>
      </c>
      <c r="AV944" s="133">
        <f>AM944-AP944</f>
        <v>0</v>
      </c>
      <c r="AW944" s="34">
        <f>AP944-AT944</f>
        <v>0</v>
      </c>
      <c r="AX944" s="123">
        <f>AP944/AJ944</f>
        <v>0</v>
      </c>
    </row>
    <row r="945" spans="1:50" ht="18.75" customHeight="1" x14ac:dyDescent="0.2">
      <c r="AA945" s="73" t="s">
        <v>288</v>
      </c>
      <c r="AB945" s="74" t="s">
        <v>1294</v>
      </c>
      <c r="AC945" s="17"/>
      <c r="AD945" s="18"/>
      <c r="AE945" s="34"/>
      <c r="AF945" s="34"/>
      <c r="AG945" s="34"/>
      <c r="AH945" s="34"/>
      <c r="AI945" s="34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30"/>
      <c r="AU945" s="18"/>
      <c r="AV945" s="18"/>
      <c r="AW945" s="18"/>
      <c r="AX945" s="18"/>
    </row>
    <row r="946" spans="1:50" ht="26.25" customHeight="1" x14ac:dyDescent="0.2">
      <c r="AA946" s="41" t="s">
        <v>1335</v>
      </c>
      <c r="AB946" s="38" t="s">
        <v>1296</v>
      </c>
      <c r="AC946" s="17"/>
      <c r="AD946" s="18">
        <v>0</v>
      </c>
      <c r="AE946" s="34">
        <v>0</v>
      </c>
      <c r="AF946" s="34">
        <v>0</v>
      </c>
      <c r="AG946" s="18">
        <v>85000000</v>
      </c>
      <c r="AH946" s="34">
        <v>0</v>
      </c>
      <c r="AI946" s="43">
        <f>AE946-AF946+AG946-AH946</f>
        <v>85000000</v>
      </c>
      <c r="AJ946" s="142">
        <f>AD946+AI946</f>
        <v>85000000</v>
      </c>
      <c r="AK946" s="34">
        <v>0</v>
      </c>
      <c r="AL946" s="34">
        <v>0</v>
      </c>
      <c r="AM946" s="34">
        <v>0</v>
      </c>
      <c r="AN946" s="34">
        <v>0</v>
      </c>
      <c r="AO946" s="34">
        <v>0</v>
      </c>
      <c r="AP946" s="34">
        <v>0</v>
      </c>
      <c r="AQ946" s="34">
        <v>0</v>
      </c>
      <c r="AR946" s="34">
        <v>0</v>
      </c>
      <c r="AS946" s="34">
        <v>0</v>
      </c>
      <c r="AT946" s="40">
        <f t="shared" ref="AT946" si="392">AQ946+AS946</f>
        <v>0</v>
      </c>
      <c r="AU946" s="18">
        <f>AJ946-AM946</f>
        <v>85000000</v>
      </c>
      <c r="AV946" s="133">
        <f>AM946-AP946</f>
        <v>0</v>
      </c>
      <c r="AW946" s="34">
        <f>AP946-AT946</f>
        <v>0</v>
      </c>
      <c r="AX946" s="123">
        <f>AP946/AJ946</f>
        <v>0</v>
      </c>
    </row>
    <row r="947" spans="1:50" ht="26.25" customHeight="1" x14ac:dyDescent="0.2">
      <c r="AA947" s="28" t="s">
        <v>288</v>
      </c>
      <c r="AB947" s="29" t="s">
        <v>643</v>
      </c>
      <c r="AC947" s="17"/>
      <c r="AD947" s="18"/>
      <c r="AE947" s="34"/>
      <c r="AF947" s="34"/>
      <c r="AG947" s="34"/>
      <c r="AH947" s="34"/>
      <c r="AI947" s="34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30"/>
      <c r="AU947" s="18"/>
      <c r="AV947" s="18"/>
      <c r="AW947" s="18"/>
      <c r="AX947" s="18"/>
    </row>
    <row r="948" spans="1:50" x14ac:dyDescent="0.2">
      <c r="A948" s="4" t="s">
        <v>55</v>
      </c>
      <c r="B948" s="4" t="s">
        <v>56</v>
      </c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1" t="s">
        <v>644</v>
      </c>
      <c r="AB948" s="42" t="s">
        <v>618</v>
      </c>
      <c r="AC948" s="43" t="s">
        <v>619</v>
      </c>
      <c r="AD948" s="43">
        <v>530000000</v>
      </c>
      <c r="AE948" s="44">
        <v>0</v>
      </c>
      <c r="AF948" s="44">
        <v>0</v>
      </c>
      <c r="AG948" s="44">
        <v>0</v>
      </c>
      <c r="AH948" s="44">
        <v>0</v>
      </c>
      <c r="AI948" s="44">
        <v>0</v>
      </c>
      <c r="AJ948" s="43">
        <v>530000000</v>
      </c>
      <c r="AK948" s="44">
        <v>0</v>
      </c>
      <c r="AL948" s="43">
        <f>AM948-JULIO!AM914</f>
        <v>0</v>
      </c>
      <c r="AM948" s="43">
        <v>455933332</v>
      </c>
      <c r="AN948" s="44">
        <v>0</v>
      </c>
      <c r="AO948" s="43">
        <v>0</v>
      </c>
      <c r="AP948" s="43">
        <v>455933332</v>
      </c>
      <c r="AQ948" s="114">
        <v>5000000</v>
      </c>
      <c r="AR948" s="114">
        <v>52700000</v>
      </c>
      <c r="AS948" s="114">
        <v>330759996</v>
      </c>
      <c r="AT948" s="111">
        <f t="shared" ref="AT948:AT949" si="393">AQ948+AS948</f>
        <v>335759996</v>
      </c>
      <c r="AU948" s="18">
        <f>AJ948-AM948</f>
        <v>74066668</v>
      </c>
      <c r="AV948" s="133">
        <f>AM948-AP948</f>
        <v>0</v>
      </c>
      <c r="AW948" s="18">
        <f>AP948-AT948</f>
        <v>120173336</v>
      </c>
      <c r="AX948" s="123">
        <f>AP948/AJ948</f>
        <v>0.86025156981132078</v>
      </c>
    </row>
    <row r="949" spans="1:50" ht="25.5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1" t="s">
        <v>1103</v>
      </c>
      <c r="AB949" s="42" t="s">
        <v>1104</v>
      </c>
      <c r="AC949" s="43"/>
      <c r="AD949" s="43">
        <v>0</v>
      </c>
      <c r="AE949" s="43">
        <v>15774292916.77</v>
      </c>
      <c r="AF949" s="44">
        <v>0</v>
      </c>
      <c r="AG949" s="44">
        <v>0</v>
      </c>
      <c r="AH949" s="43">
        <f>101000000+4989317258+364000000+360000000+1955725079.14</f>
        <v>7770042337.1400003</v>
      </c>
      <c r="AI949" s="43">
        <f>AE949-AF949+AG949-AH949</f>
        <v>8004250579.6300001</v>
      </c>
      <c r="AJ949" s="43">
        <f>AD949+AI949</f>
        <v>8004250579.6300001</v>
      </c>
      <c r="AK949" s="44">
        <v>0</v>
      </c>
      <c r="AL949" s="43">
        <f>AM949-JULIO!AM915</f>
        <v>58916666.669999957</v>
      </c>
      <c r="AM949" s="43">
        <v>1100083333.3299999</v>
      </c>
      <c r="AN949" s="43">
        <v>7000000</v>
      </c>
      <c r="AO949" s="43">
        <v>51916666.670000002</v>
      </c>
      <c r="AP949" s="43">
        <v>1093083333.3299999</v>
      </c>
      <c r="AQ949" s="114">
        <v>26866667</v>
      </c>
      <c r="AR949" s="114">
        <v>140283334</v>
      </c>
      <c r="AS949" s="43">
        <v>268949997</v>
      </c>
      <c r="AT949" s="39">
        <f t="shared" si="393"/>
        <v>295816664</v>
      </c>
      <c r="AU949" s="18">
        <f>AJ949-AM949</f>
        <v>6904167246.3000002</v>
      </c>
      <c r="AV949" s="18">
        <f>AM949-AP949</f>
        <v>7000000</v>
      </c>
      <c r="AW949" s="18">
        <f>AP949-AT949</f>
        <v>797266669.32999992</v>
      </c>
      <c r="AX949" s="123">
        <f>AP949/AJ949</f>
        <v>0.13656285775357724</v>
      </c>
    </row>
    <row r="950" spans="1:50" ht="25.5" x14ac:dyDescent="0.2">
      <c r="AA950" s="28" t="s">
        <v>288</v>
      </c>
      <c r="AB950" s="29" t="s">
        <v>616</v>
      </c>
      <c r="AC950" s="17"/>
      <c r="AD950" s="18"/>
      <c r="AE950" s="34"/>
      <c r="AF950" s="34"/>
      <c r="AG950" s="34"/>
      <c r="AH950" s="34"/>
      <c r="AI950" s="34"/>
      <c r="AJ950" s="18"/>
      <c r="AK950" s="18"/>
      <c r="AL950" s="18"/>
      <c r="AM950" s="18"/>
      <c r="AN950" s="34"/>
      <c r="AO950" s="18"/>
      <c r="AP950" s="18"/>
      <c r="AQ950" s="18"/>
      <c r="AR950" s="18"/>
      <c r="AS950" s="18"/>
      <c r="AT950" s="30"/>
      <c r="AU950" s="18"/>
      <c r="AV950" s="18"/>
      <c r="AW950" s="18"/>
      <c r="AX950" s="18"/>
    </row>
    <row r="951" spans="1:50" x14ac:dyDescent="0.2">
      <c r="A951" s="4" t="s">
        <v>55</v>
      </c>
      <c r="B951" s="4" t="s">
        <v>56</v>
      </c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1" t="s">
        <v>645</v>
      </c>
      <c r="AB951" s="42" t="s">
        <v>618</v>
      </c>
      <c r="AC951" s="43" t="s">
        <v>619</v>
      </c>
      <c r="AD951" s="43">
        <v>2879425052</v>
      </c>
      <c r="AE951" s="44">
        <v>0</v>
      </c>
      <c r="AF951" s="44">
        <v>0</v>
      </c>
      <c r="AG951" s="44">
        <v>0</v>
      </c>
      <c r="AH951" s="43">
        <f>221572545+222721043</f>
        <v>444293588</v>
      </c>
      <c r="AI951" s="43">
        <f>AE951-AF951+AG951-AH951</f>
        <v>-444293588</v>
      </c>
      <c r="AJ951" s="43">
        <f>AD951+AI951</f>
        <v>2435131464</v>
      </c>
      <c r="AK951" s="43">
        <v>0</v>
      </c>
      <c r="AL951" s="43">
        <f>AM951-JULIO!AM917</f>
        <v>-22507717.109999895</v>
      </c>
      <c r="AM951" s="114">
        <v>1582453090.8800001</v>
      </c>
      <c r="AN951" s="115">
        <v>0</v>
      </c>
      <c r="AO951" s="43">
        <v>87100355</v>
      </c>
      <c r="AP951" s="43">
        <v>779179261</v>
      </c>
      <c r="AQ951" s="43">
        <v>0</v>
      </c>
      <c r="AR951" s="43">
        <v>87873122.569999993</v>
      </c>
      <c r="AS951" s="43">
        <v>126212905.52</v>
      </c>
      <c r="AT951" s="39">
        <f t="shared" ref="AT951:AT955" si="394">AQ951+AS951</f>
        <v>126212905.52</v>
      </c>
      <c r="AU951" s="18">
        <f>AJ951-AM951</f>
        <v>852678373.11999989</v>
      </c>
      <c r="AV951" s="110">
        <f>AM951-AP951</f>
        <v>803273829.88000011</v>
      </c>
      <c r="AW951" s="18">
        <f>AP951-AT951</f>
        <v>652966355.48000002</v>
      </c>
      <c r="AX951" s="123">
        <f>AP951/AJ951</f>
        <v>0.31997420776622187</v>
      </c>
    </row>
    <row r="952" spans="1:50" ht="25.5" x14ac:dyDescent="0.2">
      <c r="A952" s="4" t="s">
        <v>55</v>
      </c>
      <c r="B952" s="4" t="s">
        <v>56</v>
      </c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1" t="s">
        <v>646</v>
      </c>
      <c r="AB952" s="42" t="s">
        <v>647</v>
      </c>
      <c r="AC952" s="43" t="s">
        <v>642</v>
      </c>
      <c r="AD952" s="43">
        <v>404210000</v>
      </c>
      <c r="AE952" s="44">
        <v>0</v>
      </c>
      <c r="AF952" s="44">
        <v>0</v>
      </c>
      <c r="AG952" s="44">
        <v>0</v>
      </c>
      <c r="AH952" s="44">
        <v>0</v>
      </c>
      <c r="AI952" s="44">
        <f t="shared" ref="AI952:AI954" si="395">AE952-AF952+AG952-AH952</f>
        <v>0</v>
      </c>
      <c r="AJ952" s="43">
        <f t="shared" ref="AJ952:AJ954" si="396">AD952+AI952</f>
        <v>404210000</v>
      </c>
      <c r="AK952" s="44">
        <v>0</v>
      </c>
      <c r="AL952" s="43">
        <f>AM952-JULIO!AM918</f>
        <v>0</v>
      </c>
      <c r="AM952" s="114">
        <v>249600000</v>
      </c>
      <c r="AN952" s="115">
        <v>0</v>
      </c>
      <c r="AO952" s="43">
        <v>0</v>
      </c>
      <c r="AP952" s="43">
        <v>249600000</v>
      </c>
      <c r="AQ952" s="43">
        <v>0</v>
      </c>
      <c r="AR952" s="43">
        <v>18700000</v>
      </c>
      <c r="AS952" s="43">
        <v>159333516.63</v>
      </c>
      <c r="AT952" s="39">
        <f t="shared" si="394"/>
        <v>159333516.63</v>
      </c>
      <c r="AU952" s="18">
        <f>AJ952-AM952</f>
        <v>154610000</v>
      </c>
      <c r="AV952" s="133">
        <f>AM952-AP952</f>
        <v>0</v>
      </c>
      <c r="AW952" s="18">
        <f>AP952-AT952</f>
        <v>90266483.370000005</v>
      </c>
      <c r="AX952" s="123">
        <f>AP952/AJ952</f>
        <v>0.61750080403750529</v>
      </c>
    </row>
    <row r="953" spans="1:50" ht="25.5" x14ac:dyDescent="0.2">
      <c r="A953" s="4" t="s">
        <v>55</v>
      </c>
      <c r="B953" s="4" t="s">
        <v>56</v>
      </c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1" t="s">
        <v>648</v>
      </c>
      <c r="AB953" s="42" t="s">
        <v>649</v>
      </c>
      <c r="AC953" s="43" t="s">
        <v>650</v>
      </c>
      <c r="AD953" s="43">
        <v>425000000</v>
      </c>
      <c r="AE953" s="44">
        <v>0</v>
      </c>
      <c r="AF953" s="44">
        <v>0</v>
      </c>
      <c r="AG953" s="44">
        <v>0</v>
      </c>
      <c r="AH953" s="44">
        <v>0</v>
      </c>
      <c r="AI953" s="44">
        <f t="shared" si="395"/>
        <v>0</v>
      </c>
      <c r="AJ953" s="43">
        <f t="shared" si="396"/>
        <v>425000000</v>
      </c>
      <c r="AK953" s="44">
        <v>0</v>
      </c>
      <c r="AL953" s="43">
        <f>AM953-JULIO!AM919</f>
        <v>0</v>
      </c>
      <c r="AM953" s="114">
        <v>145600000</v>
      </c>
      <c r="AN953" s="114">
        <v>0</v>
      </c>
      <c r="AO953" s="43">
        <v>0</v>
      </c>
      <c r="AP953" s="43">
        <v>145600000</v>
      </c>
      <c r="AQ953" s="43">
        <v>3500000</v>
      </c>
      <c r="AR953" s="43">
        <v>14700000</v>
      </c>
      <c r="AS953" s="43">
        <v>95026668</v>
      </c>
      <c r="AT953" s="39">
        <f t="shared" si="394"/>
        <v>98526668</v>
      </c>
      <c r="AU953" s="18">
        <f>AJ953-AM953</f>
        <v>279400000</v>
      </c>
      <c r="AV953" s="133">
        <f>AM953-AP953</f>
        <v>0</v>
      </c>
      <c r="AW953" s="18">
        <f>AP953-AT953</f>
        <v>47073332</v>
      </c>
      <c r="AX953" s="123">
        <f>AP953/AJ953</f>
        <v>0.34258823529411764</v>
      </c>
    </row>
    <row r="954" spans="1:50" ht="25.5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1" t="s">
        <v>1105</v>
      </c>
      <c r="AB954" s="42" t="s">
        <v>1106</v>
      </c>
      <c r="AC954" s="43"/>
      <c r="AD954" s="44">
        <v>0</v>
      </c>
      <c r="AE954" s="43">
        <v>997743934.5</v>
      </c>
      <c r="AF954" s="44">
        <v>0</v>
      </c>
      <c r="AG954" s="44">
        <v>0</v>
      </c>
      <c r="AH954" s="43">
        <v>502000000</v>
      </c>
      <c r="AI954" s="43">
        <f t="shared" si="395"/>
        <v>495743934.5</v>
      </c>
      <c r="AJ954" s="43">
        <f t="shared" si="396"/>
        <v>495743934.5</v>
      </c>
      <c r="AK954" s="44">
        <v>0</v>
      </c>
      <c r="AL954" s="43">
        <f>AM954-JULIO!AM920</f>
        <v>0</v>
      </c>
      <c r="AM954" s="115">
        <v>0</v>
      </c>
      <c r="AN954" s="115">
        <v>0</v>
      </c>
      <c r="AO954" s="44">
        <v>0</v>
      </c>
      <c r="AP954" s="44">
        <v>0</v>
      </c>
      <c r="AQ954" s="44">
        <v>0</v>
      </c>
      <c r="AR954" s="44">
        <v>0</v>
      </c>
      <c r="AS954" s="44">
        <v>0</v>
      </c>
      <c r="AT954" s="40">
        <f t="shared" si="394"/>
        <v>0</v>
      </c>
      <c r="AU954" s="18">
        <f>AJ954-AM954</f>
        <v>495743934.5</v>
      </c>
      <c r="AV954" s="133">
        <f>AM954-AP954</f>
        <v>0</v>
      </c>
      <c r="AW954" s="34">
        <f>AP954-AT954</f>
        <v>0</v>
      </c>
      <c r="AX954" s="123">
        <f>AP954/AJ954</f>
        <v>0</v>
      </c>
    </row>
    <row r="955" spans="1:50" ht="25.5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1" t="s">
        <v>1107</v>
      </c>
      <c r="AB955" s="42" t="s">
        <v>1108</v>
      </c>
      <c r="AC955" s="43"/>
      <c r="AD955" s="44">
        <v>0</v>
      </c>
      <c r="AE955" s="43">
        <v>997743934.5</v>
      </c>
      <c r="AF955" s="44">
        <v>0</v>
      </c>
      <c r="AG955" s="44">
        <v>0</v>
      </c>
      <c r="AH955" s="44">
        <v>0</v>
      </c>
      <c r="AI955" s="43">
        <f>AE955-AF955+AG955-AH955</f>
        <v>997743934.5</v>
      </c>
      <c r="AJ955" s="43">
        <f>AD955+AI955</f>
        <v>997743934.5</v>
      </c>
      <c r="AK955" s="44">
        <v>0</v>
      </c>
      <c r="AL955" s="43">
        <f>AM955-JULIO!AM921</f>
        <v>0</v>
      </c>
      <c r="AM955" s="115">
        <v>0</v>
      </c>
      <c r="AN955" s="115">
        <v>0</v>
      </c>
      <c r="AO955" s="44">
        <v>0</v>
      </c>
      <c r="AP955" s="44">
        <v>0</v>
      </c>
      <c r="AQ955" s="44">
        <v>0</v>
      </c>
      <c r="AR955" s="44">
        <v>0</v>
      </c>
      <c r="AS955" s="44">
        <v>0</v>
      </c>
      <c r="AT955" s="40">
        <f t="shared" si="394"/>
        <v>0</v>
      </c>
      <c r="AU955" s="18">
        <f>AJ955-AM955</f>
        <v>997743934.5</v>
      </c>
      <c r="AV955" s="133">
        <f>AM955-AP955</f>
        <v>0</v>
      </c>
      <c r="AW955" s="34">
        <f>AP955-AT955</f>
        <v>0</v>
      </c>
      <c r="AX955" s="123">
        <f>AP955/AJ955</f>
        <v>0</v>
      </c>
    </row>
    <row r="956" spans="1:50" x14ac:dyDescent="0.2">
      <c r="AA956" s="16"/>
      <c r="AB956" s="17"/>
      <c r="AC956" s="17"/>
      <c r="AD956" s="18"/>
      <c r="AE956" s="34"/>
      <c r="AF956" s="34"/>
      <c r="AG956" s="34"/>
      <c r="AH956" s="34"/>
      <c r="AI956" s="34"/>
      <c r="AJ956" s="18"/>
      <c r="AK956" s="34"/>
      <c r="AL956" s="34"/>
      <c r="AM956" s="34"/>
      <c r="AN956" s="34"/>
      <c r="AO956" s="34"/>
      <c r="AP956" s="34"/>
      <c r="AQ956" s="18"/>
      <c r="AR956" s="18"/>
      <c r="AS956" s="18"/>
      <c r="AT956" s="30"/>
      <c r="AU956" s="18"/>
      <c r="AV956" s="18"/>
      <c r="AW956" s="18"/>
      <c r="AX956" s="18"/>
    </row>
    <row r="957" spans="1:50" x14ac:dyDescent="0.2">
      <c r="AA957" s="16"/>
      <c r="AB957" s="29" t="s">
        <v>199</v>
      </c>
      <c r="AC957" s="17"/>
      <c r="AD957" s="18"/>
      <c r="AE957" s="34"/>
      <c r="AF957" s="34"/>
      <c r="AG957" s="34"/>
      <c r="AH957" s="34"/>
      <c r="AI957" s="34"/>
      <c r="AJ957" s="18"/>
      <c r="AK957" s="34"/>
      <c r="AL957" s="34"/>
      <c r="AM957" s="34"/>
      <c r="AN957" s="34"/>
      <c r="AO957" s="34"/>
      <c r="AP957" s="34"/>
      <c r="AQ957" s="18"/>
      <c r="AR957" s="18"/>
      <c r="AS957" s="18"/>
      <c r="AT957" s="30"/>
      <c r="AU957" s="18"/>
      <c r="AV957" s="18"/>
      <c r="AW957" s="18"/>
      <c r="AX957" s="18"/>
    </row>
    <row r="958" spans="1:50" ht="25.5" x14ac:dyDescent="0.2">
      <c r="AA958" s="28" t="s">
        <v>288</v>
      </c>
      <c r="AB958" s="29" t="s">
        <v>616</v>
      </c>
      <c r="AC958" s="17"/>
      <c r="AD958" s="18"/>
      <c r="AE958" s="34"/>
      <c r="AF958" s="34"/>
      <c r="AG958" s="34"/>
      <c r="AH958" s="34"/>
      <c r="AI958" s="34"/>
      <c r="AJ958" s="18"/>
      <c r="AK958" s="34"/>
      <c r="AL958" s="34"/>
      <c r="AM958" s="34"/>
      <c r="AN958" s="34"/>
      <c r="AO958" s="34"/>
      <c r="AP958" s="34"/>
      <c r="AQ958" s="18"/>
      <c r="AR958" s="18"/>
      <c r="AS958" s="18"/>
      <c r="AT958" s="30"/>
      <c r="AU958" s="18"/>
      <c r="AV958" s="18"/>
      <c r="AW958" s="18"/>
      <c r="AX958" s="18"/>
    </row>
    <row r="959" spans="1:50" x14ac:dyDescent="0.2">
      <c r="A959" s="4" t="s">
        <v>55</v>
      </c>
      <c r="B959" s="4" t="s">
        <v>56</v>
      </c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134" t="s">
        <v>651</v>
      </c>
      <c r="AB959" s="42" t="s">
        <v>618</v>
      </c>
      <c r="AC959" s="43" t="s">
        <v>619</v>
      </c>
      <c r="AD959" s="43">
        <v>408029872</v>
      </c>
      <c r="AE959" s="44">
        <v>0</v>
      </c>
      <c r="AF959" s="44">
        <v>0</v>
      </c>
      <c r="AG959" s="44">
        <v>0</v>
      </c>
      <c r="AH959" s="43">
        <v>408029872</v>
      </c>
      <c r="AI959" s="43">
        <f>AE959-AF959+AG959-AH959</f>
        <v>-408029872</v>
      </c>
      <c r="AJ959" s="44">
        <f>AD959+AI959</f>
        <v>0</v>
      </c>
      <c r="AK959" s="44">
        <v>0</v>
      </c>
      <c r="AL959" s="44">
        <v>0</v>
      </c>
      <c r="AM959" s="44">
        <v>0</v>
      </c>
      <c r="AN959" s="44">
        <v>0</v>
      </c>
      <c r="AO959" s="44">
        <v>0</v>
      </c>
      <c r="AP959" s="44">
        <v>0</v>
      </c>
      <c r="AQ959" s="44">
        <v>0</v>
      </c>
      <c r="AR959" s="44">
        <v>0</v>
      </c>
      <c r="AS959" s="44">
        <v>0</v>
      </c>
      <c r="AT959" s="40">
        <f t="shared" ref="AT959:AT960" si="397">AQ959+AS959</f>
        <v>0</v>
      </c>
      <c r="AU959" s="34">
        <f>AJ959-AM959</f>
        <v>0</v>
      </c>
      <c r="AV959" s="133">
        <f>AM959-AP959</f>
        <v>0</v>
      </c>
      <c r="AW959" s="34">
        <f>AP959-AT959</f>
        <v>0</v>
      </c>
      <c r="AX959" s="123">
        <v>0</v>
      </c>
    </row>
    <row r="960" spans="1:50" ht="38.25" x14ac:dyDescent="0.2">
      <c r="A960" s="4" t="s">
        <v>55</v>
      </c>
      <c r="B960" s="4" t="s">
        <v>56</v>
      </c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1" t="s">
        <v>652</v>
      </c>
      <c r="AB960" s="42" t="s">
        <v>653</v>
      </c>
      <c r="AC960" s="43" t="s">
        <v>368</v>
      </c>
      <c r="AD960" s="43">
        <v>159146685.47999999</v>
      </c>
      <c r="AE960" s="44">
        <v>0</v>
      </c>
      <c r="AF960" s="44">
        <v>0</v>
      </c>
      <c r="AG960" s="44">
        <v>0</v>
      </c>
      <c r="AH960" s="44">
        <v>0</v>
      </c>
      <c r="AI960" s="44">
        <f>AE960-AF960+AG960-AH960</f>
        <v>0</v>
      </c>
      <c r="AJ960" s="43">
        <f>AD960+AI960</f>
        <v>159146685.47999999</v>
      </c>
      <c r="AK960" s="44">
        <v>0</v>
      </c>
      <c r="AL960" s="44">
        <v>0</v>
      </c>
      <c r="AM960" s="44">
        <v>0</v>
      </c>
      <c r="AN960" s="44">
        <v>0</v>
      </c>
      <c r="AO960" s="44">
        <v>0</v>
      </c>
      <c r="AP960" s="44">
        <v>0</v>
      </c>
      <c r="AQ960" s="44">
        <v>0</v>
      </c>
      <c r="AR960" s="44">
        <v>0</v>
      </c>
      <c r="AS960" s="44">
        <v>0</v>
      </c>
      <c r="AT960" s="40">
        <f t="shared" si="397"/>
        <v>0</v>
      </c>
      <c r="AU960" s="18">
        <f>AJ960-AM960</f>
        <v>159146685.47999999</v>
      </c>
      <c r="AV960" s="133">
        <f>AM960-AP960</f>
        <v>0</v>
      </c>
      <c r="AW960" s="34">
        <f>AP960-AT960</f>
        <v>0</v>
      </c>
      <c r="AX960" s="123">
        <f>AP960/AJ960</f>
        <v>0</v>
      </c>
    </row>
    <row r="961" spans="1:50" x14ac:dyDescent="0.2">
      <c r="AA961" s="41"/>
      <c r="AB961" s="42"/>
      <c r="AC961" s="17"/>
      <c r="AD961" s="18"/>
      <c r="AE961" s="34"/>
      <c r="AF961" s="34"/>
      <c r="AG961" s="34"/>
      <c r="AH961" s="34"/>
      <c r="AI961" s="34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30"/>
      <c r="AU961" s="18"/>
      <c r="AV961" s="18"/>
      <c r="AW961" s="18"/>
      <c r="AX961" s="18"/>
    </row>
    <row r="962" spans="1:50" x14ac:dyDescent="0.2">
      <c r="AA962" s="16"/>
      <c r="AB962" s="29" t="s">
        <v>654</v>
      </c>
      <c r="AC962" s="17"/>
      <c r="AD962" s="18"/>
      <c r="AE962" s="34"/>
      <c r="AF962" s="34"/>
      <c r="AG962" s="34"/>
      <c r="AH962" s="34"/>
      <c r="AI962" s="34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30"/>
      <c r="AU962" s="18"/>
      <c r="AV962" s="18"/>
      <c r="AW962" s="18"/>
      <c r="AX962" s="18"/>
    </row>
    <row r="963" spans="1:50" x14ac:dyDescent="0.2">
      <c r="AA963" s="16"/>
      <c r="AB963" s="29" t="s">
        <v>614</v>
      </c>
      <c r="AC963" s="17"/>
      <c r="AD963" s="18"/>
      <c r="AE963" s="34"/>
      <c r="AF963" s="34"/>
      <c r="AG963" s="34"/>
      <c r="AH963" s="34"/>
      <c r="AI963" s="34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30"/>
      <c r="AU963" s="18"/>
      <c r="AV963" s="18"/>
      <c r="AW963" s="18"/>
      <c r="AX963" s="18"/>
    </row>
    <row r="964" spans="1:50" x14ac:dyDescent="0.2">
      <c r="AA964" s="16"/>
      <c r="AB964" s="29" t="s">
        <v>286</v>
      </c>
      <c r="AC964" s="17"/>
      <c r="AD964" s="18"/>
      <c r="AE964" s="34"/>
      <c r="AF964" s="34"/>
      <c r="AG964" s="34"/>
      <c r="AH964" s="34"/>
      <c r="AI964" s="34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30"/>
      <c r="AU964" s="18"/>
      <c r="AV964" s="18"/>
      <c r="AW964" s="18"/>
      <c r="AX964" s="18"/>
    </row>
    <row r="965" spans="1:50" x14ac:dyDescent="0.2">
      <c r="AA965" s="16"/>
      <c r="AB965" s="29" t="s">
        <v>181</v>
      </c>
      <c r="AC965" s="17"/>
      <c r="AD965" s="18"/>
      <c r="AE965" s="34"/>
      <c r="AF965" s="34"/>
      <c r="AG965" s="34"/>
      <c r="AH965" s="34"/>
      <c r="AI965" s="34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30"/>
      <c r="AU965" s="18"/>
      <c r="AV965" s="18"/>
      <c r="AW965" s="18"/>
      <c r="AX965" s="18"/>
    </row>
    <row r="966" spans="1:50" ht="25.5" x14ac:dyDescent="0.2">
      <c r="AA966" s="16"/>
      <c r="AB966" s="29" t="s">
        <v>637</v>
      </c>
      <c r="AC966" s="17"/>
      <c r="AD966" s="18"/>
      <c r="AE966" s="34"/>
      <c r="AF966" s="34"/>
      <c r="AG966" s="34"/>
      <c r="AH966" s="34"/>
      <c r="AI966" s="34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30"/>
      <c r="AU966" s="18"/>
      <c r="AV966" s="18"/>
      <c r="AW966" s="18"/>
      <c r="AX966" s="18"/>
    </row>
    <row r="967" spans="1:50" ht="25.5" x14ac:dyDescent="0.2">
      <c r="AA967" s="28" t="s">
        <v>288</v>
      </c>
      <c r="AB967" s="29" t="s">
        <v>655</v>
      </c>
      <c r="AC967" s="17"/>
      <c r="AD967" s="18"/>
      <c r="AE967" s="34"/>
      <c r="AF967" s="34"/>
      <c r="AG967" s="34"/>
      <c r="AH967" s="34"/>
      <c r="AI967" s="34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30"/>
      <c r="AU967" s="18"/>
      <c r="AV967" s="18"/>
      <c r="AW967" s="18"/>
      <c r="AX967" s="18"/>
    </row>
    <row r="968" spans="1:50" x14ac:dyDescent="0.2">
      <c r="A968" s="4" t="s">
        <v>55</v>
      </c>
      <c r="B968" s="4" t="s">
        <v>56</v>
      </c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1" t="s">
        <v>656</v>
      </c>
      <c r="AB968" s="42" t="s">
        <v>233</v>
      </c>
      <c r="AC968" s="43" t="s">
        <v>58</v>
      </c>
      <c r="AD968" s="43">
        <v>800000000</v>
      </c>
      <c r="AE968" s="44">
        <v>0</v>
      </c>
      <c r="AF968" s="44">
        <v>0</v>
      </c>
      <c r="AG968" s="44">
        <v>0</v>
      </c>
      <c r="AH968" s="44">
        <v>0</v>
      </c>
      <c r="AI968" s="44">
        <v>0</v>
      </c>
      <c r="AJ968" s="43">
        <v>800000000</v>
      </c>
      <c r="AK968" s="44">
        <v>0</v>
      </c>
      <c r="AL968" s="43">
        <v>0</v>
      </c>
      <c r="AM968" s="43">
        <v>800000000</v>
      </c>
      <c r="AN968" s="44">
        <v>0</v>
      </c>
      <c r="AO968" s="44">
        <v>0</v>
      </c>
      <c r="AP968" s="44">
        <v>0</v>
      </c>
      <c r="AQ968" s="44">
        <v>0</v>
      </c>
      <c r="AR968" s="44">
        <v>0</v>
      </c>
      <c r="AS968" s="44">
        <v>0</v>
      </c>
      <c r="AT968" s="40">
        <f t="shared" ref="AT968" si="398">AQ968+AS968</f>
        <v>0</v>
      </c>
      <c r="AU968" s="34">
        <f>AJ968-AM968</f>
        <v>0</v>
      </c>
      <c r="AV968" s="18">
        <f>AM968-AP968</f>
        <v>800000000</v>
      </c>
      <c r="AW968" s="34">
        <f>AP968-AT968</f>
        <v>0</v>
      </c>
      <c r="AX968" s="123">
        <f>AP968/AJ968</f>
        <v>0</v>
      </c>
    </row>
    <row r="969" spans="1:50" ht="18.75" customHeight="1" x14ac:dyDescent="0.2">
      <c r="AA969" s="16"/>
      <c r="AB969" s="29" t="s">
        <v>189</v>
      </c>
      <c r="AC969" s="17"/>
      <c r="AD969" s="18"/>
      <c r="AE969" s="34"/>
      <c r="AF969" s="34"/>
      <c r="AG969" s="34"/>
      <c r="AH969" s="34"/>
      <c r="AI969" s="34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30"/>
      <c r="AU969" s="18"/>
      <c r="AV969" s="18"/>
      <c r="AW969" s="18"/>
      <c r="AX969" s="18"/>
    </row>
    <row r="970" spans="1:50" ht="38.25" x14ac:dyDescent="0.2">
      <c r="AA970" s="16"/>
      <c r="AB970" s="29" t="s">
        <v>193</v>
      </c>
      <c r="AC970" s="17"/>
      <c r="AD970" s="18"/>
      <c r="AE970" s="34"/>
      <c r="AF970" s="34"/>
      <c r="AG970" s="34"/>
      <c r="AH970" s="34"/>
      <c r="AI970" s="34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30"/>
      <c r="AU970" s="18"/>
      <c r="AV970" s="18"/>
      <c r="AW970" s="18"/>
      <c r="AX970" s="18"/>
    </row>
    <row r="971" spans="1:50" ht="25.5" x14ac:dyDescent="0.2">
      <c r="AA971" s="28" t="s">
        <v>288</v>
      </c>
      <c r="AB971" s="29" t="s">
        <v>616</v>
      </c>
      <c r="AC971" s="17"/>
      <c r="AD971" s="18"/>
      <c r="AE971" s="34"/>
      <c r="AF971" s="34"/>
      <c r="AG971" s="34"/>
      <c r="AH971" s="34"/>
      <c r="AI971" s="34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30"/>
      <c r="AU971" s="18"/>
      <c r="AV971" s="18"/>
      <c r="AW971" s="18"/>
      <c r="AX971" s="18"/>
    </row>
    <row r="972" spans="1:50" x14ac:dyDescent="0.2">
      <c r="A972" s="4" t="s">
        <v>37</v>
      </c>
      <c r="B972" s="4" t="s">
        <v>37</v>
      </c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1" t="s">
        <v>657</v>
      </c>
      <c r="AB972" s="42" t="s">
        <v>233</v>
      </c>
      <c r="AC972" s="43" t="s">
        <v>58</v>
      </c>
      <c r="AD972" s="43">
        <v>400000000</v>
      </c>
      <c r="AE972" s="44">
        <v>0</v>
      </c>
      <c r="AF972" s="44">
        <v>0</v>
      </c>
      <c r="AG972" s="44">
        <v>0</v>
      </c>
      <c r="AH972" s="44">
        <v>0</v>
      </c>
      <c r="AI972" s="44">
        <v>0</v>
      </c>
      <c r="AJ972" s="43">
        <v>400000000</v>
      </c>
      <c r="AK972" s="44">
        <v>0</v>
      </c>
      <c r="AL972" s="44">
        <v>0</v>
      </c>
      <c r="AM972" s="43">
        <v>399068768</v>
      </c>
      <c r="AN972" s="44">
        <v>0</v>
      </c>
      <c r="AO972" s="43">
        <v>0</v>
      </c>
      <c r="AP972" s="43">
        <v>399068768</v>
      </c>
      <c r="AQ972" s="44">
        <v>0</v>
      </c>
      <c r="AR972" s="43">
        <v>0</v>
      </c>
      <c r="AS972" s="43">
        <v>399068768</v>
      </c>
      <c r="AT972" s="39">
        <f t="shared" ref="AT972:AT973" si="399">AQ972+AS972</f>
        <v>399068768</v>
      </c>
      <c r="AU972" s="18">
        <f>AJ972-AM972</f>
        <v>931232</v>
      </c>
      <c r="AV972" s="34">
        <f>AM972-AP972</f>
        <v>0</v>
      </c>
      <c r="AW972" s="18">
        <f>AP972-AT972</f>
        <v>0</v>
      </c>
      <c r="AX972" s="123">
        <f>AP972/AJ972</f>
        <v>0.99767192000000005</v>
      </c>
    </row>
    <row r="973" spans="1:50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1" t="s">
        <v>1226</v>
      </c>
      <c r="AB973" s="42" t="s">
        <v>1110</v>
      </c>
      <c r="AC973" s="43"/>
      <c r="AD973" s="43">
        <v>0</v>
      </c>
      <c r="AE973" s="44">
        <v>0</v>
      </c>
      <c r="AF973" s="44">
        <v>0</v>
      </c>
      <c r="AG973" s="43">
        <v>502777408.16000003</v>
      </c>
      <c r="AH973" s="44">
        <v>0</v>
      </c>
      <c r="AI973" s="43">
        <f>AE973-AF973+AG973-AH973</f>
        <v>502777408.16000003</v>
      </c>
      <c r="AJ973" s="43">
        <f>AD973+AI973</f>
        <v>502777408.16000003</v>
      </c>
      <c r="AK973" s="44">
        <v>0</v>
      </c>
      <c r="AL973" s="43">
        <v>-4923</v>
      </c>
      <c r="AM973" s="43">
        <v>501784744</v>
      </c>
      <c r="AN973" s="44">
        <v>0</v>
      </c>
      <c r="AO973" s="43">
        <v>302434659</v>
      </c>
      <c r="AP973" s="43">
        <v>501784744</v>
      </c>
      <c r="AQ973" s="44">
        <v>27278536</v>
      </c>
      <c r="AR973" s="43">
        <v>77380175</v>
      </c>
      <c r="AS973" s="43">
        <v>172064817</v>
      </c>
      <c r="AT973" s="39">
        <f t="shared" si="399"/>
        <v>199343353</v>
      </c>
      <c r="AU973" s="18">
        <f>AJ973-AM973</f>
        <v>992664.16000002623</v>
      </c>
      <c r="AV973" s="18">
        <f>AM973-AP973</f>
        <v>0</v>
      </c>
      <c r="AW973" s="18">
        <f>AP973-AT973</f>
        <v>302441391</v>
      </c>
      <c r="AX973" s="123">
        <f>AP973/AJ973</f>
        <v>0.99802563889329698</v>
      </c>
    </row>
    <row r="974" spans="1:50" x14ac:dyDescent="0.2">
      <c r="AA974" s="16"/>
      <c r="AB974" s="17"/>
      <c r="AC974" s="17"/>
      <c r="AD974" s="18"/>
      <c r="AE974" s="34"/>
      <c r="AF974" s="34"/>
      <c r="AG974" s="34"/>
      <c r="AH974" s="34"/>
      <c r="AI974" s="34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30"/>
      <c r="AU974" s="18"/>
      <c r="AV974" s="34"/>
      <c r="AW974" s="34"/>
      <c r="AX974" s="18"/>
    </row>
    <row r="975" spans="1:50" ht="25.5" x14ac:dyDescent="0.2">
      <c r="AA975" s="16"/>
      <c r="AB975" s="29" t="s">
        <v>197</v>
      </c>
      <c r="AC975" s="17"/>
      <c r="AD975" s="18"/>
      <c r="AE975" s="34"/>
      <c r="AF975" s="34"/>
      <c r="AG975" s="34"/>
      <c r="AH975" s="34"/>
      <c r="AI975" s="34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30"/>
      <c r="AU975" s="18"/>
      <c r="AV975" s="34"/>
      <c r="AW975" s="34"/>
      <c r="AX975" s="18"/>
    </row>
    <row r="976" spans="1:50" ht="25.5" x14ac:dyDescent="0.2">
      <c r="AA976" s="28" t="s">
        <v>288</v>
      </c>
      <c r="AB976" s="29" t="s">
        <v>616</v>
      </c>
      <c r="AC976" s="17"/>
      <c r="AD976" s="18"/>
      <c r="AE976" s="34"/>
      <c r="AF976" s="34"/>
      <c r="AG976" s="34"/>
      <c r="AH976" s="34"/>
      <c r="AI976" s="34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30"/>
      <c r="AU976" s="18"/>
      <c r="AV976" s="34"/>
      <c r="AW976" s="34"/>
      <c r="AX976" s="18"/>
    </row>
    <row r="977" spans="1:50" x14ac:dyDescent="0.2">
      <c r="A977" s="4" t="s">
        <v>55</v>
      </c>
      <c r="B977" s="4" t="s">
        <v>56</v>
      </c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1" t="s">
        <v>658</v>
      </c>
      <c r="AB977" s="42" t="s">
        <v>233</v>
      </c>
      <c r="AC977" s="43" t="s">
        <v>58</v>
      </c>
      <c r="AD977" s="43">
        <v>80000001.5</v>
      </c>
      <c r="AE977" s="44">
        <v>0</v>
      </c>
      <c r="AF977" s="44">
        <v>0</v>
      </c>
      <c r="AG977" s="44">
        <v>0</v>
      </c>
      <c r="AH977" s="44">
        <v>0</v>
      </c>
      <c r="AI977" s="44">
        <v>0</v>
      </c>
      <c r="AJ977" s="43">
        <v>80000001.5</v>
      </c>
      <c r="AK977" s="43">
        <v>0</v>
      </c>
      <c r="AL977" s="43">
        <v>72000000</v>
      </c>
      <c r="AM977" s="43">
        <v>72000000</v>
      </c>
      <c r="AN977" s="43">
        <v>0</v>
      </c>
      <c r="AO977" s="44">
        <v>0</v>
      </c>
      <c r="AP977" s="44">
        <v>0</v>
      </c>
      <c r="AQ977" s="44">
        <v>0</v>
      </c>
      <c r="AR977" s="44">
        <v>0</v>
      </c>
      <c r="AS977" s="44">
        <v>0</v>
      </c>
      <c r="AT977" s="40">
        <f t="shared" ref="AT977:AT979" si="400">AQ977+AS977</f>
        <v>0</v>
      </c>
      <c r="AU977" s="18">
        <f>AJ977-AM977</f>
        <v>8000001.5</v>
      </c>
      <c r="AV977" s="18">
        <f>AM977-AP977</f>
        <v>72000000</v>
      </c>
      <c r="AW977" s="34">
        <f>AP977-AT977</f>
        <v>0</v>
      </c>
      <c r="AX977" s="123">
        <f>AP977/AJ977</f>
        <v>0</v>
      </c>
    </row>
    <row r="978" spans="1:50" ht="25.5" x14ac:dyDescent="0.2">
      <c r="A978" s="4" t="s">
        <v>55</v>
      </c>
      <c r="B978" s="4" t="s">
        <v>56</v>
      </c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1" t="s">
        <v>659</v>
      </c>
      <c r="AB978" s="42" t="s">
        <v>660</v>
      </c>
      <c r="AC978" s="43" t="s">
        <v>368</v>
      </c>
      <c r="AD978" s="43">
        <v>18064798.5</v>
      </c>
      <c r="AE978" s="44">
        <v>0</v>
      </c>
      <c r="AF978" s="44">
        <v>0</v>
      </c>
      <c r="AG978" s="44">
        <v>0</v>
      </c>
      <c r="AH978" s="44">
        <v>0</v>
      </c>
      <c r="AI978" s="44">
        <v>0</v>
      </c>
      <c r="AJ978" s="43">
        <v>18064798.5</v>
      </c>
      <c r="AK978" s="44">
        <v>0</v>
      </c>
      <c r="AL978" s="44">
        <v>0</v>
      </c>
      <c r="AM978" s="44">
        <v>0</v>
      </c>
      <c r="AN978" s="44">
        <v>0</v>
      </c>
      <c r="AO978" s="44">
        <v>0</v>
      </c>
      <c r="AP978" s="44">
        <v>0</v>
      </c>
      <c r="AQ978" s="44">
        <v>0</v>
      </c>
      <c r="AR978" s="44">
        <v>0</v>
      </c>
      <c r="AS978" s="44">
        <v>0</v>
      </c>
      <c r="AT978" s="40">
        <f t="shared" si="400"/>
        <v>0</v>
      </c>
      <c r="AU978" s="18">
        <f>AJ978-AM978</f>
        <v>18064798.5</v>
      </c>
      <c r="AV978" s="133">
        <f>AM978-AP978</f>
        <v>0</v>
      </c>
      <c r="AW978" s="34">
        <f>AP978-AT978</f>
        <v>0</v>
      </c>
      <c r="AX978" s="123">
        <f>AP978/AJ978</f>
        <v>0</v>
      </c>
    </row>
    <row r="979" spans="1:50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1" t="s">
        <v>1109</v>
      </c>
      <c r="AB979" s="42" t="s">
        <v>1110</v>
      </c>
      <c r="AC979" s="43"/>
      <c r="AD979" s="44">
        <v>0</v>
      </c>
      <c r="AE979" s="43">
        <v>502777408.16000003</v>
      </c>
      <c r="AF979" s="44">
        <v>0</v>
      </c>
      <c r="AG979" s="44">
        <v>0</v>
      </c>
      <c r="AH979" s="43">
        <v>502777408.16000003</v>
      </c>
      <c r="AI979" s="44">
        <f>AE979-AF979+AG979-AH979</f>
        <v>0</v>
      </c>
      <c r="AJ979" s="44">
        <f>AD979+AI979</f>
        <v>0</v>
      </c>
      <c r="AK979" s="44">
        <v>0</v>
      </c>
      <c r="AL979" s="44">
        <v>0</v>
      </c>
      <c r="AM979" s="44">
        <v>0</v>
      </c>
      <c r="AN979" s="44">
        <v>0</v>
      </c>
      <c r="AO979" s="44">
        <v>0</v>
      </c>
      <c r="AP979" s="44">
        <v>0</v>
      </c>
      <c r="AQ979" s="44">
        <v>0</v>
      </c>
      <c r="AR979" s="44">
        <v>0</v>
      </c>
      <c r="AS979" s="44">
        <v>0</v>
      </c>
      <c r="AT979" s="40">
        <f t="shared" si="400"/>
        <v>0</v>
      </c>
      <c r="AU979" s="34">
        <f>AJ979-AM979</f>
        <v>0</v>
      </c>
      <c r="AV979" s="133">
        <f>AM979-AP979</f>
        <v>0</v>
      </c>
      <c r="AW979" s="34">
        <f>AP979-AT979</f>
        <v>0</v>
      </c>
      <c r="AX979" s="123">
        <v>0</v>
      </c>
    </row>
    <row r="980" spans="1:50" x14ac:dyDescent="0.2">
      <c r="AA980" s="16"/>
      <c r="AB980" s="17"/>
      <c r="AC980" s="17"/>
      <c r="AD980" s="18"/>
      <c r="AE980" s="34"/>
      <c r="AF980" s="34"/>
      <c r="AG980" s="34"/>
      <c r="AH980" s="34"/>
      <c r="AI980" s="34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30"/>
      <c r="AU980" s="18"/>
      <c r="AV980" s="18"/>
      <c r="AW980" s="18"/>
      <c r="AX980" s="18"/>
    </row>
    <row r="981" spans="1:50" x14ac:dyDescent="0.2">
      <c r="AA981" s="16"/>
      <c r="AB981" s="29" t="s">
        <v>661</v>
      </c>
      <c r="AC981" s="17"/>
      <c r="AD981" s="18"/>
      <c r="AE981" s="34"/>
      <c r="AF981" s="34"/>
      <c r="AG981" s="34"/>
      <c r="AH981" s="34"/>
      <c r="AI981" s="34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30"/>
      <c r="AU981" s="18"/>
      <c r="AV981" s="18"/>
      <c r="AW981" s="18"/>
      <c r="AX981" s="18"/>
    </row>
    <row r="982" spans="1:50" x14ac:dyDescent="0.2">
      <c r="AA982" s="16"/>
      <c r="AB982" s="29" t="s">
        <v>614</v>
      </c>
      <c r="AC982" s="17"/>
      <c r="AD982" s="18"/>
      <c r="AE982" s="34"/>
      <c r="AF982" s="34"/>
      <c r="AG982" s="34"/>
      <c r="AH982" s="34"/>
      <c r="AI982" s="34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30"/>
      <c r="AU982" s="18"/>
      <c r="AV982" s="18"/>
      <c r="AW982" s="18"/>
      <c r="AX982" s="18"/>
    </row>
    <row r="983" spans="1:50" x14ac:dyDescent="0.2">
      <c r="AA983" s="16"/>
      <c r="AB983" s="29" t="s">
        <v>286</v>
      </c>
      <c r="AC983" s="17"/>
      <c r="AD983" s="18"/>
      <c r="AE983" s="34"/>
      <c r="AF983" s="34"/>
      <c r="AG983" s="34"/>
      <c r="AH983" s="34"/>
      <c r="AI983" s="34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30"/>
      <c r="AU983" s="18"/>
      <c r="AV983" s="18"/>
      <c r="AW983" s="18"/>
      <c r="AX983" s="18"/>
    </row>
    <row r="984" spans="1:50" x14ac:dyDescent="0.2">
      <c r="AA984" s="16"/>
      <c r="AB984" s="29" t="s">
        <v>179</v>
      </c>
      <c r="AC984" s="17"/>
      <c r="AD984" s="18"/>
      <c r="AE984" s="34"/>
      <c r="AF984" s="34"/>
      <c r="AG984" s="34"/>
      <c r="AH984" s="34"/>
      <c r="AI984" s="34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30"/>
      <c r="AU984" s="18"/>
      <c r="AV984" s="18"/>
      <c r="AW984" s="18"/>
      <c r="AX984" s="18"/>
    </row>
    <row r="985" spans="1:50" x14ac:dyDescent="0.2">
      <c r="AA985" s="16"/>
      <c r="AB985" s="29" t="s">
        <v>189</v>
      </c>
      <c r="AC985" s="17"/>
      <c r="AD985" s="18"/>
      <c r="AE985" s="34"/>
      <c r="AF985" s="34"/>
      <c r="AG985" s="34"/>
      <c r="AH985" s="34"/>
      <c r="AI985" s="34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30"/>
      <c r="AU985" s="18"/>
      <c r="AV985" s="18"/>
      <c r="AW985" s="18"/>
      <c r="AX985" s="18"/>
    </row>
    <row r="986" spans="1:50" ht="25.5" x14ac:dyDescent="0.2">
      <c r="AA986" s="16"/>
      <c r="AB986" s="29" t="s">
        <v>197</v>
      </c>
      <c r="AC986" s="17"/>
      <c r="AD986" s="18"/>
      <c r="AE986" s="34"/>
      <c r="AF986" s="34"/>
      <c r="AG986" s="34"/>
      <c r="AH986" s="34"/>
      <c r="AI986" s="34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30"/>
      <c r="AU986" s="18"/>
      <c r="AV986" s="18"/>
      <c r="AW986" s="18"/>
      <c r="AX986" s="18"/>
    </row>
    <row r="987" spans="1:50" x14ac:dyDescent="0.2">
      <c r="AA987" s="28" t="s">
        <v>288</v>
      </c>
      <c r="AB987" s="29" t="s">
        <v>591</v>
      </c>
      <c r="AC987" s="17"/>
      <c r="AD987" s="18"/>
      <c r="AE987" s="34"/>
      <c r="AF987" s="34"/>
      <c r="AG987" s="34"/>
      <c r="AH987" s="34"/>
      <c r="AI987" s="34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30"/>
      <c r="AU987" s="18"/>
      <c r="AV987" s="18"/>
      <c r="AW987" s="18"/>
      <c r="AX987" s="18"/>
    </row>
    <row r="988" spans="1:50" ht="25.5" x14ac:dyDescent="0.2">
      <c r="A988" s="4" t="s">
        <v>55</v>
      </c>
      <c r="B988" s="4" t="s">
        <v>56</v>
      </c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1" t="s">
        <v>662</v>
      </c>
      <c r="AB988" s="42" t="s">
        <v>1238</v>
      </c>
      <c r="AC988" s="43" t="s">
        <v>368</v>
      </c>
      <c r="AD988" s="43">
        <v>3179405.26</v>
      </c>
      <c r="AE988" s="44">
        <v>0</v>
      </c>
      <c r="AF988" s="44">
        <v>0</v>
      </c>
      <c r="AG988" s="44">
        <v>0</v>
      </c>
      <c r="AH988" s="44">
        <v>0</v>
      </c>
      <c r="AI988" s="44">
        <v>0</v>
      </c>
      <c r="AJ988" s="43">
        <v>3179405.26</v>
      </c>
      <c r="AK988" s="44">
        <v>0</v>
      </c>
      <c r="AL988" s="44">
        <v>0</v>
      </c>
      <c r="AM988" s="43">
        <v>1739249</v>
      </c>
      <c r="AN988" s="44">
        <v>0</v>
      </c>
      <c r="AO988" s="44">
        <v>0</v>
      </c>
      <c r="AP988" s="43">
        <v>1739249</v>
      </c>
      <c r="AQ988" s="44">
        <v>0</v>
      </c>
      <c r="AR988" s="44">
        <v>0</v>
      </c>
      <c r="AS988" s="44">
        <v>0</v>
      </c>
      <c r="AT988" s="40">
        <f t="shared" ref="AT988:AT989" si="401">AQ988+AS988</f>
        <v>0</v>
      </c>
      <c r="AU988" s="18">
        <f>AJ988-AM988</f>
        <v>1440156.2599999998</v>
      </c>
      <c r="AV988" s="133">
        <f>AM988-AP988</f>
        <v>0</v>
      </c>
      <c r="AW988" s="18">
        <f>AP988-AT988</f>
        <v>1739249</v>
      </c>
      <c r="AX988" s="123">
        <f>AP988/AJ988</f>
        <v>0.54703595728466525</v>
      </c>
    </row>
    <row r="989" spans="1:50" ht="25.5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1" t="s">
        <v>1111</v>
      </c>
      <c r="AB989" s="42" t="s">
        <v>1112</v>
      </c>
      <c r="AC989" s="43"/>
      <c r="AD989" s="44">
        <v>0</v>
      </c>
      <c r="AE989" s="43">
        <v>58361947.520000003</v>
      </c>
      <c r="AF989" s="44">
        <v>0</v>
      </c>
      <c r="AG989" s="44">
        <v>0</v>
      </c>
      <c r="AH989" s="44">
        <v>0</v>
      </c>
      <c r="AI989" s="43">
        <f>AE989-AF989+AG989-AH989</f>
        <v>58361947.520000003</v>
      </c>
      <c r="AJ989" s="43">
        <f>AD989+AI989</f>
        <v>58361947.520000003</v>
      </c>
      <c r="AK989" s="44">
        <v>0</v>
      </c>
      <c r="AL989" s="44">
        <v>0</v>
      </c>
      <c r="AM989" s="44">
        <v>0</v>
      </c>
      <c r="AN989" s="44">
        <v>0</v>
      </c>
      <c r="AO989" s="44">
        <v>0</v>
      </c>
      <c r="AP989" s="44">
        <v>0</v>
      </c>
      <c r="AQ989" s="44">
        <v>0</v>
      </c>
      <c r="AR989" s="44">
        <v>0</v>
      </c>
      <c r="AS989" s="44">
        <v>0</v>
      </c>
      <c r="AT989" s="40">
        <f t="shared" si="401"/>
        <v>0</v>
      </c>
      <c r="AU989" s="18">
        <f>AJ989-AM989</f>
        <v>58361947.520000003</v>
      </c>
      <c r="AV989" s="133">
        <f>AM989-AP989</f>
        <v>0</v>
      </c>
      <c r="AW989" s="34">
        <f>AP989-AT989</f>
        <v>0</v>
      </c>
      <c r="AX989" s="123">
        <f>AP989/AJ989</f>
        <v>0</v>
      </c>
    </row>
    <row r="990" spans="1:50" x14ac:dyDescent="0.2">
      <c r="AA990" s="16"/>
      <c r="AB990" s="17"/>
      <c r="AC990" s="17"/>
      <c r="AD990" s="18"/>
      <c r="AE990" s="34"/>
      <c r="AF990" s="34"/>
      <c r="AG990" s="34"/>
      <c r="AH990" s="34"/>
      <c r="AI990" s="34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30"/>
      <c r="AU990" s="18"/>
      <c r="AV990" s="18"/>
      <c r="AW990" s="18"/>
      <c r="AX990" s="18"/>
    </row>
    <row r="991" spans="1:50" ht="25.5" x14ac:dyDescent="0.2">
      <c r="AA991" s="16"/>
      <c r="AB991" s="29" t="s">
        <v>663</v>
      </c>
      <c r="AC991" s="17"/>
      <c r="AD991" s="18"/>
      <c r="AE991" s="34"/>
      <c r="AF991" s="34"/>
      <c r="AG991" s="34"/>
      <c r="AH991" s="34"/>
      <c r="AI991" s="34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30"/>
      <c r="AU991" s="18"/>
      <c r="AV991" s="18"/>
      <c r="AW991" s="18"/>
      <c r="AX991" s="18"/>
    </row>
    <row r="992" spans="1:50" x14ac:dyDescent="0.2">
      <c r="AA992" s="16"/>
      <c r="AB992" s="29" t="s">
        <v>614</v>
      </c>
      <c r="AC992" s="17"/>
      <c r="AD992" s="18"/>
      <c r="AE992" s="34"/>
      <c r="AF992" s="34"/>
      <c r="AG992" s="34"/>
      <c r="AH992" s="34"/>
      <c r="AI992" s="34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30"/>
      <c r="AU992" s="18"/>
      <c r="AV992" s="18"/>
      <c r="AW992" s="18"/>
      <c r="AX992" s="18"/>
    </row>
    <row r="993" spans="1:50" x14ac:dyDescent="0.2">
      <c r="AA993" s="16"/>
      <c r="AB993" s="29" t="s">
        <v>286</v>
      </c>
      <c r="AC993" s="17"/>
      <c r="AD993" s="18"/>
      <c r="AE993" s="34"/>
      <c r="AF993" s="34"/>
      <c r="AG993" s="34"/>
      <c r="AH993" s="34"/>
      <c r="AI993" s="34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30"/>
      <c r="AU993" s="18"/>
      <c r="AV993" s="18"/>
      <c r="AW993" s="18"/>
      <c r="AX993" s="18"/>
    </row>
    <row r="994" spans="1:50" ht="18.75" customHeight="1" x14ac:dyDescent="0.2">
      <c r="AA994" s="16"/>
      <c r="AB994" s="29" t="s">
        <v>664</v>
      </c>
      <c r="AC994" s="17"/>
      <c r="AD994" s="18"/>
      <c r="AE994" s="34"/>
      <c r="AF994" s="34"/>
      <c r="AG994" s="34"/>
      <c r="AH994" s="34"/>
      <c r="AI994" s="34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30"/>
      <c r="AU994" s="18"/>
      <c r="AV994" s="18"/>
      <c r="AW994" s="18"/>
      <c r="AX994" s="18"/>
    </row>
    <row r="995" spans="1:50" ht="18.75" customHeight="1" x14ac:dyDescent="0.2">
      <c r="AA995" s="16"/>
      <c r="AB995" s="29" t="s">
        <v>575</v>
      </c>
      <c r="AC995" s="17"/>
      <c r="AD995" s="18"/>
      <c r="AE995" s="34"/>
      <c r="AF995" s="34"/>
      <c r="AG995" s="34"/>
      <c r="AH995" s="34"/>
      <c r="AI995" s="34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30"/>
      <c r="AU995" s="18"/>
      <c r="AV995" s="18"/>
      <c r="AW995" s="18"/>
      <c r="AX995" s="18"/>
    </row>
    <row r="996" spans="1:50" ht="18.75" customHeight="1" x14ac:dyDescent="0.2">
      <c r="AA996" s="16"/>
      <c r="AB996" s="29" t="s">
        <v>631</v>
      </c>
      <c r="AC996" s="17"/>
      <c r="AD996" s="18"/>
      <c r="AE996" s="34"/>
      <c r="AF996" s="34"/>
      <c r="AG996" s="34"/>
      <c r="AH996" s="34"/>
      <c r="AI996" s="34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30"/>
      <c r="AU996" s="18"/>
      <c r="AV996" s="18"/>
      <c r="AW996" s="18"/>
      <c r="AX996" s="18"/>
    </row>
    <row r="997" spans="1:50" ht="18.75" customHeight="1" x14ac:dyDescent="0.2">
      <c r="AA997" s="16"/>
      <c r="AB997" s="29" t="s">
        <v>632</v>
      </c>
      <c r="AC997" s="17"/>
      <c r="AD997" s="18"/>
      <c r="AE997" s="34"/>
      <c r="AF997" s="34"/>
      <c r="AG997" s="34"/>
      <c r="AH997" s="34"/>
      <c r="AI997" s="34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30"/>
      <c r="AU997" s="18"/>
      <c r="AV997" s="18"/>
      <c r="AW997" s="18"/>
      <c r="AX997" s="18"/>
    </row>
    <row r="998" spans="1:50" ht="18.75" customHeight="1" x14ac:dyDescent="0.2">
      <c r="AA998" s="16"/>
      <c r="AB998" s="29" t="s">
        <v>633</v>
      </c>
      <c r="AC998" s="17"/>
      <c r="AD998" s="18"/>
      <c r="AE998" s="34"/>
      <c r="AF998" s="34"/>
      <c r="AG998" s="34"/>
      <c r="AH998" s="34"/>
      <c r="AI998" s="34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30"/>
      <c r="AU998" s="18"/>
      <c r="AV998" s="18"/>
      <c r="AW998" s="18"/>
      <c r="AX998" s="18"/>
    </row>
    <row r="999" spans="1:50" ht="18.75" customHeight="1" x14ac:dyDescent="0.2">
      <c r="AA999" s="16"/>
      <c r="AB999" s="29" t="s">
        <v>634</v>
      </c>
      <c r="AC999" s="17"/>
      <c r="AD999" s="18"/>
      <c r="AE999" s="34"/>
      <c r="AF999" s="34"/>
      <c r="AG999" s="34"/>
      <c r="AH999" s="34"/>
      <c r="AI999" s="34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30"/>
      <c r="AU999" s="18"/>
      <c r="AV999" s="18"/>
      <c r="AW999" s="18"/>
      <c r="AX999" s="18"/>
    </row>
    <row r="1000" spans="1:50" ht="18.75" customHeight="1" x14ac:dyDescent="0.2">
      <c r="AA1000" s="16"/>
      <c r="AB1000" s="29" t="s">
        <v>635</v>
      </c>
      <c r="AC1000" s="17"/>
      <c r="AD1000" s="18"/>
      <c r="AE1000" s="34"/>
      <c r="AF1000" s="34"/>
      <c r="AG1000" s="34"/>
      <c r="AH1000" s="34"/>
      <c r="AI1000" s="34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30"/>
      <c r="AU1000" s="18"/>
      <c r="AV1000" s="18"/>
      <c r="AW1000" s="18"/>
      <c r="AX1000" s="18"/>
    </row>
    <row r="1001" spans="1:50" ht="18.75" customHeight="1" x14ac:dyDescent="0.2">
      <c r="AA1001" s="28" t="s">
        <v>288</v>
      </c>
      <c r="AB1001" s="29" t="s">
        <v>665</v>
      </c>
      <c r="AC1001" s="17"/>
      <c r="AD1001" s="18"/>
      <c r="AE1001" s="34"/>
      <c r="AF1001" s="34"/>
      <c r="AG1001" s="34"/>
      <c r="AH1001" s="34"/>
      <c r="AI1001" s="34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30"/>
      <c r="AU1001" s="18"/>
      <c r="AV1001" s="18"/>
      <c r="AW1001" s="18"/>
      <c r="AX1001" s="18"/>
    </row>
    <row r="1002" spans="1:50" ht="18.75" customHeight="1" x14ac:dyDescent="0.2">
      <c r="A1002" s="4" t="s">
        <v>37</v>
      </c>
      <c r="B1002" s="4" t="s">
        <v>37</v>
      </c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1" t="s">
        <v>666</v>
      </c>
      <c r="AB1002" s="42" t="s">
        <v>233</v>
      </c>
      <c r="AC1002" s="43" t="s">
        <v>58</v>
      </c>
      <c r="AD1002" s="43">
        <v>22000000</v>
      </c>
      <c r="AE1002" s="44">
        <v>0</v>
      </c>
      <c r="AF1002" s="44">
        <v>0</v>
      </c>
      <c r="AG1002" s="44">
        <v>0</v>
      </c>
      <c r="AH1002" s="44">
        <v>0</v>
      </c>
      <c r="AI1002" s="44">
        <v>0</v>
      </c>
      <c r="AJ1002" s="43">
        <v>22000000</v>
      </c>
      <c r="AK1002" s="44">
        <v>0</v>
      </c>
      <c r="AL1002" s="44">
        <v>0</v>
      </c>
      <c r="AM1002" s="44">
        <v>0</v>
      </c>
      <c r="AN1002" s="44">
        <v>0</v>
      </c>
      <c r="AO1002" s="44">
        <v>0</v>
      </c>
      <c r="AP1002" s="44">
        <v>0</v>
      </c>
      <c r="AQ1002" s="44">
        <v>0</v>
      </c>
      <c r="AR1002" s="44">
        <v>0</v>
      </c>
      <c r="AS1002" s="44">
        <v>0</v>
      </c>
      <c r="AT1002" s="40">
        <f t="shared" ref="AT1002" si="402">AQ1002+AS1002</f>
        <v>0</v>
      </c>
      <c r="AU1002" s="18">
        <f>AJ1002-AM1002</f>
        <v>22000000</v>
      </c>
      <c r="AV1002" s="133">
        <f>AM1002-AP1002</f>
        <v>0</v>
      </c>
      <c r="AW1002" s="34">
        <f>AP1002-AT1002</f>
        <v>0</v>
      </c>
      <c r="AX1002" s="123">
        <f>AP1002/AJ1002</f>
        <v>0</v>
      </c>
    </row>
    <row r="1003" spans="1:50" ht="18.75" customHeight="1" x14ac:dyDescent="0.2">
      <c r="AA1003" s="16"/>
      <c r="AB1003" s="17"/>
      <c r="AC1003" s="17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30"/>
      <c r="AU1003" s="18"/>
      <c r="AV1003" s="34"/>
      <c r="AW1003" s="34"/>
      <c r="AX1003" s="18"/>
    </row>
    <row r="1004" spans="1:50" ht="18.75" customHeight="1" x14ac:dyDescent="0.2">
      <c r="AA1004" s="16"/>
      <c r="AB1004" s="29" t="s">
        <v>179</v>
      </c>
      <c r="AC1004" s="17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30"/>
      <c r="AU1004" s="18"/>
      <c r="AV1004" s="34"/>
      <c r="AW1004" s="34"/>
      <c r="AX1004" s="18"/>
    </row>
    <row r="1005" spans="1:50" ht="18.75" customHeight="1" x14ac:dyDescent="0.2">
      <c r="AA1005" s="16"/>
      <c r="AB1005" s="29" t="s">
        <v>181</v>
      </c>
      <c r="AC1005" s="17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30"/>
      <c r="AU1005" s="18"/>
      <c r="AV1005" s="34"/>
      <c r="AW1005" s="34"/>
      <c r="AX1005" s="18"/>
    </row>
    <row r="1006" spans="1:50" ht="25.5" x14ac:dyDescent="0.2">
      <c r="AA1006" s="16"/>
      <c r="AB1006" s="29" t="s">
        <v>183</v>
      </c>
      <c r="AC1006" s="17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30"/>
      <c r="AU1006" s="18"/>
      <c r="AV1006" s="34"/>
      <c r="AW1006" s="34"/>
      <c r="AX1006" s="18"/>
    </row>
    <row r="1007" spans="1:50" ht="18.75" customHeight="1" x14ac:dyDescent="0.2">
      <c r="AA1007" s="28" t="s">
        <v>288</v>
      </c>
      <c r="AB1007" s="29" t="s">
        <v>667</v>
      </c>
      <c r="AC1007" s="17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30"/>
      <c r="AU1007" s="18"/>
      <c r="AV1007" s="34"/>
      <c r="AW1007" s="34"/>
      <c r="AX1007" s="18"/>
    </row>
    <row r="1008" spans="1:50" ht="18.75" customHeight="1" x14ac:dyDescent="0.2">
      <c r="A1008" s="4" t="s">
        <v>668</v>
      </c>
      <c r="B1008" s="4" t="s">
        <v>669</v>
      </c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1" t="s">
        <v>670</v>
      </c>
      <c r="AB1008" s="42" t="s">
        <v>233</v>
      </c>
      <c r="AC1008" s="43" t="s">
        <v>58</v>
      </c>
      <c r="AD1008" s="43">
        <v>1000000000</v>
      </c>
      <c r="AE1008" s="44">
        <v>0</v>
      </c>
      <c r="AF1008" s="44">
        <v>0</v>
      </c>
      <c r="AG1008" s="44">
        <v>0</v>
      </c>
      <c r="AH1008" s="43">
        <v>557151874</v>
      </c>
      <c r="AI1008" s="43">
        <f>AE1008-AF1008+AG1008-AH1008</f>
        <v>-557151874</v>
      </c>
      <c r="AJ1008" s="43">
        <f>AD1008+AI1008</f>
        <v>442848126</v>
      </c>
      <c r="AK1008" s="44">
        <v>0</v>
      </c>
      <c r="AL1008" s="44">
        <v>0</v>
      </c>
      <c r="AM1008" s="44">
        <v>0</v>
      </c>
      <c r="AN1008" s="44">
        <v>0</v>
      </c>
      <c r="AO1008" s="44">
        <v>0</v>
      </c>
      <c r="AP1008" s="44">
        <v>0</v>
      </c>
      <c r="AQ1008" s="44">
        <v>0</v>
      </c>
      <c r="AR1008" s="44">
        <v>0</v>
      </c>
      <c r="AS1008" s="44">
        <v>0</v>
      </c>
      <c r="AT1008" s="40">
        <f t="shared" ref="AT1008" si="403">AQ1008+AS1008</f>
        <v>0</v>
      </c>
      <c r="AU1008" s="18">
        <f>AJ1008-AM1008</f>
        <v>442848126</v>
      </c>
      <c r="AV1008" s="133">
        <f>AM1008-AP1008</f>
        <v>0</v>
      </c>
      <c r="AW1008" s="34">
        <f>AP1008-AT1008</f>
        <v>0</v>
      </c>
      <c r="AX1008" s="123">
        <f>AP1008/AJ1008</f>
        <v>0</v>
      </c>
    </row>
    <row r="1009" spans="1:50" ht="18.75" customHeight="1" x14ac:dyDescent="0.2">
      <c r="AA1009" s="16"/>
      <c r="AB1009" s="17"/>
      <c r="AC1009" s="17"/>
      <c r="AD1009" s="18"/>
      <c r="AE1009" s="34"/>
      <c r="AF1009" s="34"/>
      <c r="AG1009" s="34"/>
      <c r="AH1009" s="34"/>
      <c r="AI1009" s="34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30"/>
      <c r="AU1009" s="18"/>
      <c r="AV1009" s="34"/>
      <c r="AW1009" s="34"/>
      <c r="AX1009" s="18"/>
    </row>
    <row r="1010" spans="1:50" ht="25.5" x14ac:dyDescent="0.2">
      <c r="AA1010" s="16"/>
      <c r="AB1010" s="29" t="s">
        <v>637</v>
      </c>
      <c r="AC1010" s="17"/>
      <c r="AD1010" s="18"/>
      <c r="AE1010" s="34"/>
      <c r="AF1010" s="34"/>
      <c r="AG1010" s="34"/>
      <c r="AH1010" s="34"/>
      <c r="AI1010" s="34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30"/>
      <c r="AU1010" s="18"/>
      <c r="AV1010" s="34"/>
      <c r="AW1010" s="34"/>
      <c r="AX1010" s="18"/>
    </row>
    <row r="1011" spans="1:50" ht="18.75" customHeight="1" x14ac:dyDescent="0.2">
      <c r="AA1011" s="28" t="s">
        <v>288</v>
      </c>
      <c r="AB1011" s="29" t="s">
        <v>667</v>
      </c>
      <c r="AC1011" s="17"/>
      <c r="AD1011" s="18"/>
      <c r="AE1011" s="34"/>
      <c r="AF1011" s="34"/>
      <c r="AG1011" s="34"/>
      <c r="AH1011" s="34"/>
      <c r="AI1011" s="34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30"/>
      <c r="AU1011" s="18"/>
      <c r="AV1011" s="34"/>
      <c r="AW1011" s="34"/>
      <c r="AX1011" s="18"/>
    </row>
    <row r="1012" spans="1:50" ht="18.75" customHeight="1" x14ac:dyDescent="0.2">
      <c r="A1012" s="4" t="s">
        <v>55</v>
      </c>
      <c r="B1012" s="4" t="s">
        <v>56</v>
      </c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1" t="s">
        <v>671</v>
      </c>
      <c r="AB1012" s="42" t="s">
        <v>233</v>
      </c>
      <c r="AC1012" s="43" t="s">
        <v>58</v>
      </c>
      <c r="AD1012" s="43">
        <v>856200000</v>
      </c>
      <c r="AE1012" s="44">
        <v>0</v>
      </c>
      <c r="AF1012" s="44">
        <v>0</v>
      </c>
      <c r="AG1012" s="43">
        <v>368161663</v>
      </c>
      <c r="AH1012" s="44">
        <v>0</v>
      </c>
      <c r="AI1012" s="43">
        <f>AE1012-AF1012+AG1012-AH1012</f>
        <v>368161663</v>
      </c>
      <c r="AJ1012" s="43">
        <f>AD1012+AI1012</f>
        <v>1224361663</v>
      </c>
      <c r="AK1012" s="44">
        <v>0</v>
      </c>
      <c r="AL1012" s="43">
        <f>AM1012-JULIO!AM978</f>
        <v>80109154</v>
      </c>
      <c r="AM1012" s="43">
        <v>221258793</v>
      </c>
      <c r="AN1012" s="44">
        <v>0</v>
      </c>
      <c r="AO1012" s="44">
        <v>100293000</v>
      </c>
      <c r="AP1012" s="44">
        <v>100293000</v>
      </c>
      <c r="AQ1012" s="44">
        <v>0</v>
      </c>
      <c r="AR1012" s="44">
        <v>0</v>
      </c>
      <c r="AS1012" s="44">
        <v>0</v>
      </c>
      <c r="AT1012" s="40">
        <f t="shared" ref="AT1012" si="404">AQ1012+AS1012</f>
        <v>0</v>
      </c>
      <c r="AU1012" s="18">
        <f>AJ1012-AM1012</f>
        <v>1003102870</v>
      </c>
      <c r="AV1012" s="18">
        <f>AM1012-AP1012</f>
        <v>120965793</v>
      </c>
      <c r="AW1012" s="18">
        <f>AP1012-AT1012</f>
        <v>100293000</v>
      </c>
      <c r="AX1012" s="123">
        <f>AP1012/AJ1012</f>
        <v>8.1914521689821967E-2</v>
      </c>
    </row>
    <row r="1013" spans="1:50" ht="18.75" customHeight="1" x14ac:dyDescent="0.2">
      <c r="AA1013" s="16"/>
      <c r="AB1013" s="17"/>
      <c r="AC1013" s="17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30"/>
      <c r="AU1013" s="18"/>
      <c r="AV1013" s="34"/>
      <c r="AW1013" s="34"/>
      <c r="AX1013" s="18"/>
    </row>
    <row r="1014" spans="1:50" ht="18.75" customHeight="1" x14ac:dyDescent="0.2">
      <c r="AA1014" s="16"/>
      <c r="AB1014" s="29" t="s">
        <v>189</v>
      </c>
      <c r="AC1014" s="17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30"/>
      <c r="AU1014" s="18"/>
      <c r="AV1014" s="34"/>
      <c r="AW1014" s="34"/>
      <c r="AX1014" s="18"/>
    </row>
    <row r="1015" spans="1:50" ht="25.5" x14ac:dyDescent="0.2">
      <c r="AA1015" s="16"/>
      <c r="AB1015" s="29" t="s">
        <v>197</v>
      </c>
      <c r="AC1015" s="17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30"/>
      <c r="AU1015" s="18"/>
      <c r="AV1015" s="34"/>
      <c r="AW1015" s="34"/>
      <c r="AX1015" s="18"/>
    </row>
    <row r="1016" spans="1:50" ht="18.75" customHeight="1" x14ac:dyDescent="0.2">
      <c r="AA1016" s="28" t="s">
        <v>288</v>
      </c>
      <c r="AB1016" s="29" t="s">
        <v>667</v>
      </c>
      <c r="AC1016" s="17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30"/>
      <c r="AU1016" s="18"/>
      <c r="AV1016" s="18"/>
      <c r="AW1016" s="18"/>
      <c r="AX1016" s="18"/>
    </row>
    <row r="1017" spans="1:50" ht="18.75" customHeight="1" x14ac:dyDescent="0.2">
      <c r="A1017" s="4" t="s">
        <v>55</v>
      </c>
      <c r="B1017" s="4" t="s">
        <v>56</v>
      </c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1" t="s">
        <v>672</v>
      </c>
      <c r="AB1017" s="42" t="s">
        <v>233</v>
      </c>
      <c r="AC1017" s="43" t="s">
        <v>58</v>
      </c>
      <c r="AD1017" s="43">
        <v>500000000</v>
      </c>
      <c r="AE1017" s="44">
        <v>0</v>
      </c>
      <c r="AF1017" s="44">
        <v>0</v>
      </c>
      <c r="AG1017" s="44">
        <v>0</v>
      </c>
      <c r="AH1017" s="44">
        <v>0</v>
      </c>
      <c r="AI1017" s="44">
        <v>0</v>
      </c>
      <c r="AJ1017" s="43">
        <v>500000000</v>
      </c>
      <c r="AK1017" s="44">
        <v>0</v>
      </c>
      <c r="AL1017" s="43">
        <f>AM1017-JULIO!AM983</f>
        <v>38500000</v>
      </c>
      <c r="AM1017" s="43">
        <v>264714243</v>
      </c>
      <c r="AN1017" s="44">
        <v>0</v>
      </c>
      <c r="AO1017" s="43">
        <v>38500000</v>
      </c>
      <c r="AP1017" s="114">
        <v>264714243</v>
      </c>
      <c r="AQ1017" s="43">
        <v>2333333</v>
      </c>
      <c r="AR1017" s="43">
        <v>15500000</v>
      </c>
      <c r="AS1017" s="43">
        <v>76400000</v>
      </c>
      <c r="AT1017" s="111">
        <f t="shared" ref="AT1017:AT1019" si="405">AQ1017+AS1017</f>
        <v>78733333</v>
      </c>
      <c r="AU1017" s="18">
        <f>AJ1017-AM1017</f>
        <v>235285757</v>
      </c>
      <c r="AV1017" s="34">
        <f>AM1017-AP1017</f>
        <v>0</v>
      </c>
      <c r="AW1017" s="18">
        <f>AP1017-AT1017</f>
        <v>185980910</v>
      </c>
      <c r="AX1017" s="123">
        <f>AP1017/AJ1017</f>
        <v>0.52942848600000003</v>
      </c>
    </row>
    <row r="1018" spans="1:50" ht="28.5" customHeight="1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1" t="s">
        <v>1113</v>
      </c>
      <c r="AB1018" s="42" t="s">
        <v>1114</v>
      </c>
      <c r="AC1018" s="43"/>
      <c r="AD1018" s="44">
        <v>0</v>
      </c>
      <c r="AE1018" s="43">
        <v>116018634.52</v>
      </c>
      <c r="AF1018" s="44">
        <v>0</v>
      </c>
      <c r="AG1018" s="44">
        <v>0</v>
      </c>
      <c r="AH1018" s="44">
        <v>0</v>
      </c>
      <c r="AI1018" s="43">
        <f t="shared" ref="AI1018:AI1019" si="406">AE1018-AF1018+AG1018-AH1018</f>
        <v>116018634.52</v>
      </c>
      <c r="AJ1018" s="43">
        <f t="shared" ref="AJ1018:AJ1019" si="407">AD1018+AI1018</f>
        <v>116018634.52</v>
      </c>
      <c r="AK1018" s="44">
        <v>0</v>
      </c>
      <c r="AL1018" s="43">
        <f>AM1018-JULIO!AM984</f>
        <v>58988757</v>
      </c>
      <c r="AM1018" s="43">
        <v>69755420</v>
      </c>
      <c r="AN1018" s="44">
        <v>0</v>
      </c>
      <c r="AO1018" s="43">
        <v>69755420</v>
      </c>
      <c r="AP1018" s="115">
        <v>69755420</v>
      </c>
      <c r="AQ1018" s="44">
        <v>0</v>
      </c>
      <c r="AR1018" s="44">
        <v>0</v>
      </c>
      <c r="AS1018" s="44">
        <v>0</v>
      </c>
      <c r="AT1018" s="135">
        <f t="shared" si="405"/>
        <v>0</v>
      </c>
      <c r="AU1018" s="18">
        <f>AJ1018-AM1018</f>
        <v>46263214.519999996</v>
      </c>
      <c r="AV1018" s="34">
        <f>AM1018-AP1018</f>
        <v>0</v>
      </c>
      <c r="AW1018" s="34">
        <f>AP1018-AT1018</f>
        <v>69755420</v>
      </c>
      <c r="AX1018" s="123">
        <f>AP1018/AJ1018</f>
        <v>0.60124324242046767</v>
      </c>
    </row>
    <row r="1019" spans="1:50" ht="25.5" customHeight="1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1" t="s">
        <v>1115</v>
      </c>
      <c r="AB1019" s="42" t="s">
        <v>1044</v>
      </c>
      <c r="AC1019" s="43"/>
      <c r="AD1019" s="44">
        <v>0</v>
      </c>
      <c r="AE1019" s="43">
        <v>90000000</v>
      </c>
      <c r="AF1019" s="44">
        <v>0</v>
      </c>
      <c r="AG1019" s="44">
        <v>0</v>
      </c>
      <c r="AH1019" s="44">
        <v>0</v>
      </c>
      <c r="AI1019" s="43">
        <f t="shared" si="406"/>
        <v>90000000</v>
      </c>
      <c r="AJ1019" s="43">
        <f t="shared" si="407"/>
        <v>90000000</v>
      </c>
      <c r="AK1019" s="44">
        <v>0</v>
      </c>
      <c r="AL1019" s="43">
        <f>AM1019-JULIO!AM985</f>
        <v>0</v>
      </c>
      <c r="AM1019" s="44">
        <v>0</v>
      </c>
      <c r="AN1019" s="44">
        <v>0</v>
      </c>
      <c r="AO1019" s="44">
        <v>0</v>
      </c>
      <c r="AP1019" s="115">
        <v>0</v>
      </c>
      <c r="AQ1019" s="44">
        <v>0</v>
      </c>
      <c r="AR1019" s="44">
        <v>0</v>
      </c>
      <c r="AS1019" s="44">
        <v>0</v>
      </c>
      <c r="AT1019" s="135">
        <f t="shared" si="405"/>
        <v>0</v>
      </c>
      <c r="AU1019" s="18">
        <f>AJ1019-AM1019</f>
        <v>90000000</v>
      </c>
      <c r="AV1019" s="133">
        <f>AM1019-AP1019</f>
        <v>0</v>
      </c>
      <c r="AW1019" s="34">
        <f>AP1019-AT1019</f>
        <v>0</v>
      </c>
      <c r="AX1019" s="123">
        <f>AP1019/AJ1019</f>
        <v>0</v>
      </c>
    </row>
    <row r="1020" spans="1:50" ht="18.75" customHeight="1" x14ac:dyDescent="0.2">
      <c r="AA1020" s="16"/>
      <c r="AB1020" s="17"/>
      <c r="AC1020" s="17"/>
      <c r="AD1020" s="18"/>
      <c r="AE1020" s="34"/>
      <c r="AF1020" s="34"/>
      <c r="AG1020" s="34"/>
      <c r="AH1020" s="34"/>
      <c r="AI1020" s="34"/>
      <c r="AJ1020" s="18"/>
      <c r="AK1020" s="18"/>
      <c r="AL1020" s="18"/>
      <c r="AM1020" s="18"/>
      <c r="AN1020" s="18"/>
      <c r="AO1020" s="18"/>
      <c r="AP1020" s="18"/>
      <c r="AQ1020" s="34"/>
      <c r="AR1020" s="34"/>
      <c r="AS1020" s="34"/>
      <c r="AT1020" s="31"/>
      <c r="AU1020" s="18"/>
      <c r="AV1020" s="18"/>
      <c r="AW1020" s="18"/>
      <c r="AX1020" s="18"/>
    </row>
    <row r="1021" spans="1:50" ht="18.75" customHeight="1" x14ac:dyDescent="0.2">
      <c r="AA1021" s="16"/>
      <c r="AB1021" s="29" t="s">
        <v>199</v>
      </c>
      <c r="AC1021" s="17"/>
      <c r="AD1021" s="18"/>
      <c r="AE1021" s="34"/>
      <c r="AF1021" s="34"/>
      <c r="AG1021" s="34"/>
      <c r="AH1021" s="34"/>
      <c r="AI1021" s="34"/>
      <c r="AJ1021" s="18"/>
      <c r="AK1021" s="18"/>
      <c r="AL1021" s="18"/>
      <c r="AM1021" s="18"/>
      <c r="AN1021" s="18"/>
      <c r="AO1021" s="18"/>
      <c r="AP1021" s="18"/>
      <c r="AQ1021" s="34"/>
      <c r="AR1021" s="34"/>
      <c r="AS1021" s="34"/>
      <c r="AT1021" s="31"/>
      <c r="AU1021" s="18"/>
      <c r="AV1021" s="18"/>
      <c r="AW1021" s="18"/>
      <c r="AX1021" s="18"/>
    </row>
    <row r="1022" spans="1:50" ht="18.75" customHeight="1" x14ac:dyDescent="0.2">
      <c r="AA1022" s="28" t="s">
        <v>288</v>
      </c>
      <c r="AB1022" s="29" t="s">
        <v>667</v>
      </c>
      <c r="AC1022" s="17"/>
      <c r="AD1022" s="18"/>
      <c r="AE1022" s="34"/>
      <c r="AF1022" s="34"/>
      <c r="AG1022" s="34"/>
      <c r="AH1022" s="34"/>
      <c r="AI1022" s="34"/>
      <c r="AJ1022" s="18"/>
      <c r="AK1022" s="18"/>
      <c r="AL1022" s="18"/>
      <c r="AM1022" s="18"/>
      <c r="AN1022" s="18"/>
      <c r="AO1022" s="18"/>
      <c r="AP1022" s="18"/>
      <c r="AQ1022" s="34"/>
      <c r="AR1022" s="34"/>
      <c r="AS1022" s="34"/>
      <c r="AT1022" s="31"/>
      <c r="AU1022" s="18"/>
      <c r="AV1022" s="18"/>
      <c r="AW1022" s="18"/>
      <c r="AX1022" s="18"/>
    </row>
    <row r="1023" spans="1:50" ht="18.75" customHeight="1" x14ac:dyDescent="0.2">
      <c r="A1023" s="4" t="s">
        <v>55</v>
      </c>
      <c r="B1023" s="4" t="s">
        <v>56</v>
      </c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1" t="s">
        <v>673</v>
      </c>
      <c r="AB1023" s="42" t="s">
        <v>233</v>
      </c>
      <c r="AC1023" s="43" t="s">
        <v>58</v>
      </c>
      <c r="AD1023" s="43">
        <v>121800000</v>
      </c>
      <c r="AE1023" s="44">
        <v>0</v>
      </c>
      <c r="AF1023" s="44">
        <v>0</v>
      </c>
      <c r="AG1023" s="44">
        <v>0</v>
      </c>
      <c r="AH1023" s="44">
        <v>0</v>
      </c>
      <c r="AI1023" s="44">
        <v>0</v>
      </c>
      <c r="AJ1023" s="43">
        <v>121800000</v>
      </c>
      <c r="AK1023" s="44">
        <v>0</v>
      </c>
      <c r="AL1023" s="43">
        <f>AM1023-JULIO!AM989</f>
        <v>3150000</v>
      </c>
      <c r="AM1023" s="43">
        <v>25200000</v>
      </c>
      <c r="AN1023" s="43">
        <v>0</v>
      </c>
      <c r="AO1023" s="43">
        <v>3150000</v>
      </c>
      <c r="AP1023" s="43">
        <v>25200000</v>
      </c>
      <c r="AQ1023" s="44">
        <v>0</v>
      </c>
      <c r="AR1023" s="43">
        <v>3150000</v>
      </c>
      <c r="AS1023" s="43">
        <v>25200000</v>
      </c>
      <c r="AT1023" s="39">
        <f t="shared" ref="AT1023" si="408">AQ1023+AS1023</f>
        <v>25200000</v>
      </c>
      <c r="AU1023" s="18">
        <f>AJ1023-AM1023</f>
        <v>96600000</v>
      </c>
      <c r="AV1023" s="133">
        <f>AM1023-AP1023</f>
        <v>0</v>
      </c>
      <c r="AW1023" s="34">
        <f>AP1023-AT1023</f>
        <v>0</v>
      </c>
      <c r="AX1023" s="123">
        <f>AP1023/AJ1023</f>
        <v>0.20689655172413793</v>
      </c>
    </row>
    <row r="1024" spans="1:50" ht="18.75" customHeight="1" x14ac:dyDescent="0.2">
      <c r="AA1024" s="16"/>
      <c r="AB1024" s="17"/>
      <c r="AC1024" s="17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34"/>
      <c r="AR1024" s="34"/>
      <c r="AS1024" s="34"/>
      <c r="AT1024" s="31"/>
      <c r="AU1024" s="18"/>
      <c r="AV1024" s="18"/>
      <c r="AW1024" s="18"/>
      <c r="AX1024" s="18"/>
    </row>
    <row r="1025" spans="1:50" s="50" customFormat="1" ht="18.75" customHeight="1" x14ac:dyDescent="0.2">
      <c r="B1025" s="77"/>
      <c r="C1025" s="77"/>
      <c r="D1025" s="77"/>
      <c r="E1025" s="77"/>
      <c r="F1025" s="77"/>
      <c r="G1025" s="77"/>
      <c r="H1025" s="77"/>
      <c r="I1025" s="77"/>
      <c r="J1025" s="77"/>
      <c r="K1025" s="77"/>
      <c r="L1025" s="77"/>
      <c r="M1025" s="77"/>
      <c r="N1025" s="77"/>
      <c r="O1025" s="77"/>
      <c r="P1025" s="77"/>
      <c r="Q1025" s="77"/>
      <c r="R1025" s="77"/>
      <c r="S1025" s="77"/>
      <c r="T1025" s="77"/>
      <c r="U1025" s="77"/>
      <c r="V1025" s="77"/>
      <c r="W1025" s="77"/>
      <c r="X1025" s="77"/>
      <c r="Y1025" s="77"/>
      <c r="Z1025" s="77"/>
      <c r="AA1025" s="46"/>
      <c r="AB1025" s="47" t="s">
        <v>674</v>
      </c>
      <c r="AC1025" s="47"/>
      <c r="AD1025" s="48">
        <f t="shared" ref="AD1025:AS1025" si="409">SUM(AD809:AD1024)</f>
        <v>18199312591</v>
      </c>
      <c r="AE1025" s="48">
        <f t="shared" si="409"/>
        <v>18620925441.970001</v>
      </c>
      <c r="AF1025" s="49">
        <f t="shared" si="409"/>
        <v>0</v>
      </c>
      <c r="AG1025" s="48">
        <f t="shared" si="409"/>
        <v>13273249131.860001</v>
      </c>
      <c r="AH1025" s="48">
        <f t="shared" si="409"/>
        <v>12973249131.860001</v>
      </c>
      <c r="AI1025" s="48">
        <f t="shared" si="409"/>
        <v>18920925441.970001</v>
      </c>
      <c r="AJ1025" s="48">
        <f t="shared" si="409"/>
        <v>37120238032.970001</v>
      </c>
      <c r="AK1025" s="49">
        <f t="shared" si="409"/>
        <v>0</v>
      </c>
      <c r="AL1025" s="48">
        <f t="shared" si="409"/>
        <v>2632907648.2300005</v>
      </c>
      <c r="AM1025" s="48">
        <f t="shared" si="409"/>
        <v>14666065190.93</v>
      </c>
      <c r="AN1025" s="48">
        <f t="shared" si="409"/>
        <v>7000000</v>
      </c>
      <c r="AO1025" s="48">
        <f t="shared" si="409"/>
        <v>1300373160.3399999</v>
      </c>
      <c r="AP1025" s="48">
        <f t="shared" si="409"/>
        <v>9910854319.0499992</v>
      </c>
      <c r="AQ1025" s="121">
        <f t="shared" si="409"/>
        <v>121832435</v>
      </c>
      <c r="AR1025" s="121">
        <f t="shared" si="409"/>
        <v>811695093.96000004</v>
      </c>
      <c r="AS1025" s="121">
        <f t="shared" si="409"/>
        <v>3649012911.1199999</v>
      </c>
      <c r="AT1025" s="108">
        <f>AQ1025+AS1025</f>
        <v>3770845346.1199999</v>
      </c>
      <c r="AU1025" s="48">
        <f>SUM(AU809:AU1024)</f>
        <v>22454172842.039997</v>
      </c>
      <c r="AV1025" s="48">
        <f>SUM(AV809:AV1024)</f>
        <v>4755210871.8800001</v>
      </c>
      <c r="AW1025" s="48">
        <f>SUM(AW809:AW1024)</f>
        <v>6140008972.9299994</v>
      </c>
      <c r="AX1025" s="24">
        <f>AP1025/AJ1025</f>
        <v>0.26699328571781328</v>
      </c>
    </row>
    <row r="1026" spans="1:50" s="79" customFormat="1" ht="18.75" customHeight="1" x14ac:dyDescent="0.2">
      <c r="B1026" s="80"/>
      <c r="C1026" s="80"/>
      <c r="D1026" s="80"/>
      <c r="E1026" s="80"/>
      <c r="F1026" s="80"/>
      <c r="G1026" s="80"/>
      <c r="H1026" s="80"/>
      <c r="I1026" s="80"/>
      <c r="J1026" s="80"/>
      <c r="K1026" s="80"/>
      <c r="L1026" s="80"/>
      <c r="M1026" s="80"/>
      <c r="N1026" s="80"/>
      <c r="O1026" s="80"/>
      <c r="P1026" s="80"/>
      <c r="Q1026" s="80"/>
      <c r="R1026" s="80"/>
      <c r="S1026" s="80"/>
      <c r="T1026" s="80"/>
      <c r="U1026" s="80"/>
      <c r="V1026" s="80"/>
      <c r="W1026" s="80"/>
      <c r="X1026" s="80"/>
      <c r="Y1026" s="80"/>
      <c r="Z1026" s="80"/>
      <c r="AA1026" s="81"/>
      <c r="AB1026" s="82"/>
      <c r="AC1026" s="82"/>
      <c r="AD1026" s="83"/>
      <c r="AE1026" s="83"/>
      <c r="AF1026" s="83"/>
      <c r="AG1026" s="83"/>
      <c r="AH1026" s="83"/>
      <c r="AI1026" s="83"/>
      <c r="AJ1026" s="83"/>
      <c r="AK1026" s="83"/>
      <c r="AL1026" s="83"/>
      <c r="AM1026" s="83"/>
      <c r="AN1026" s="83"/>
      <c r="AO1026" s="83"/>
      <c r="AP1026" s="83"/>
      <c r="AQ1026" s="83"/>
      <c r="AR1026" s="83"/>
      <c r="AS1026" s="83"/>
      <c r="AT1026" s="83"/>
      <c r="AU1026" s="83"/>
      <c r="AV1026" s="83"/>
      <c r="AW1026" s="83"/>
      <c r="AX1026" s="83"/>
    </row>
    <row r="1027" spans="1:50" s="25" customFormat="1" ht="18.75" customHeight="1" x14ac:dyDescent="0.2">
      <c r="B1027" s="71"/>
      <c r="C1027" s="71"/>
      <c r="D1027" s="71"/>
      <c r="E1027" s="71"/>
      <c r="F1027" s="71"/>
      <c r="G1027" s="71"/>
      <c r="H1027" s="71"/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71"/>
      <c r="T1027" s="71"/>
      <c r="U1027" s="71"/>
      <c r="V1027" s="71"/>
      <c r="W1027" s="71"/>
      <c r="X1027" s="71"/>
      <c r="Y1027" s="71"/>
      <c r="Z1027" s="71"/>
      <c r="AA1027" s="66"/>
      <c r="AB1027" s="21" t="s">
        <v>675</v>
      </c>
      <c r="AC1027" s="67"/>
      <c r="AD1027" s="63"/>
      <c r="AE1027" s="63"/>
      <c r="AF1027" s="63"/>
      <c r="AG1027" s="63"/>
      <c r="AH1027" s="63"/>
      <c r="AI1027" s="63"/>
      <c r="AJ1027" s="63"/>
      <c r="AK1027" s="63"/>
      <c r="AL1027" s="63"/>
      <c r="AM1027" s="63"/>
      <c r="AN1027" s="63"/>
      <c r="AO1027" s="63"/>
      <c r="AP1027" s="63"/>
      <c r="AQ1027" s="63"/>
      <c r="AR1027" s="63"/>
      <c r="AS1027" s="63"/>
      <c r="AT1027" s="63"/>
      <c r="AU1027" s="63"/>
      <c r="AV1027" s="63"/>
      <c r="AW1027" s="63"/>
      <c r="AX1027" s="63"/>
    </row>
    <row r="1028" spans="1:50" ht="18.75" customHeight="1" x14ac:dyDescent="0.2">
      <c r="AA1028" s="16"/>
      <c r="AB1028" s="29" t="s">
        <v>676</v>
      </c>
      <c r="AC1028" s="17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</row>
    <row r="1029" spans="1:50" ht="18.75" customHeight="1" x14ac:dyDescent="0.2">
      <c r="AA1029" s="16"/>
      <c r="AB1029" s="29" t="s">
        <v>286</v>
      </c>
      <c r="AC1029" s="17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</row>
    <row r="1030" spans="1:50" ht="18.75" customHeight="1" x14ac:dyDescent="0.2">
      <c r="AA1030" s="16"/>
      <c r="AB1030" s="29" t="s">
        <v>179</v>
      </c>
      <c r="AC1030" s="17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</row>
    <row r="1031" spans="1:50" ht="18.75" customHeight="1" x14ac:dyDescent="0.2">
      <c r="AA1031" s="16"/>
      <c r="AB1031" s="29" t="s">
        <v>181</v>
      </c>
      <c r="AC1031" s="17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</row>
    <row r="1032" spans="1:50" ht="18.75" customHeight="1" x14ac:dyDescent="0.2">
      <c r="AA1032" s="16"/>
      <c r="AB1032" s="29" t="s">
        <v>187</v>
      </c>
      <c r="AC1032" s="17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30"/>
      <c r="AU1032" s="18"/>
      <c r="AV1032" s="18"/>
      <c r="AW1032" s="18"/>
      <c r="AX1032" s="18"/>
    </row>
    <row r="1033" spans="1:50" ht="18.75" customHeight="1" x14ac:dyDescent="0.2">
      <c r="AA1033" s="28" t="s">
        <v>288</v>
      </c>
      <c r="AB1033" s="29" t="s">
        <v>292</v>
      </c>
      <c r="AC1033" s="17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30"/>
      <c r="AU1033" s="18"/>
      <c r="AV1033" s="18"/>
      <c r="AW1033" s="18"/>
      <c r="AX1033" s="18"/>
    </row>
    <row r="1034" spans="1:50" ht="18.75" customHeight="1" x14ac:dyDescent="0.2">
      <c r="A1034" s="4" t="s">
        <v>55</v>
      </c>
      <c r="B1034" s="4" t="s">
        <v>56</v>
      </c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1" t="s">
        <v>677</v>
      </c>
      <c r="AB1034" s="42" t="s">
        <v>233</v>
      </c>
      <c r="AC1034" s="43" t="s">
        <v>58</v>
      </c>
      <c r="AD1034" s="43">
        <v>10000000</v>
      </c>
      <c r="AE1034" s="44">
        <v>0</v>
      </c>
      <c r="AF1034" s="44">
        <v>0</v>
      </c>
      <c r="AG1034" s="44">
        <v>0</v>
      </c>
      <c r="AH1034" s="44">
        <v>0</v>
      </c>
      <c r="AI1034" s="44">
        <v>0</v>
      </c>
      <c r="AJ1034" s="43">
        <v>10000000</v>
      </c>
      <c r="AK1034" s="44">
        <v>0</v>
      </c>
      <c r="AL1034" s="44">
        <v>0</v>
      </c>
      <c r="AM1034" s="44">
        <v>0</v>
      </c>
      <c r="AN1034" s="44">
        <v>0</v>
      </c>
      <c r="AO1034" s="44">
        <v>0</v>
      </c>
      <c r="AP1034" s="44">
        <v>0</v>
      </c>
      <c r="AQ1034" s="44">
        <v>0</v>
      </c>
      <c r="AR1034" s="44">
        <v>0</v>
      </c>
      <c r="AS1034" s="44">
        <v>0</v>
      </c>
      <c r="AT1034" s="40">
        <f t="shared" ref="AT1034" si="410">AQ1034+AS1034</f>
        <v>0</v>
      </c>
      <c r="AU1034" s="18">
        <f>AJ1034-AM1034</f>
        <v>10000000</v>
      </c>
      <c r="AV1034" s="133">
        <f>AM1034-AP1034</f>
        <v>0</v>
      </c>
      <c r="AW1034" s="34">
        <f>AP1034-AT1034</f>
        <v>0</v>
      </c>
      <c r="AX1034" s="123">
        <f>AP1034/AJ1034</f>
        <v>0</v>
      </c>
    </row>
    <row r="1035" spans="1:50" ht="25.5" x14ac:dyDescent="0.2">
      <c r="AA1035" s="28" t="s">
        <v>288</v>
      </c>
      <c r="AB1035" s="29" t="s">
        <v>678</v>
      </c>
      <c r="AC1035" s="17"/>
      <c r="AD1035" s="18"/>
      <c r="AE1035" s="18"/>
      <c r="AF1035" s="18"/>
      <c r="AG1035" s="18"/>
      <c r="AH1035" s="18"/>
      <c r="AI1035" s="18"/>
      <c r="AJ1035" s="18"/>
      <c r="AK1035" s="34"/>
      <c r="AL1035" s="34"/>
      <c r="AM1035" s="34"/>
      <c r="AN1035" s="34"/>
      <c r="AO1035" s="34"/>
      <c r="AP1035" s="34"/>
      <c r="AQ1035" s="34"/>
      <c r="AR1035" s="34"/>
      <c r="AS1035" s="34"/>
      <c r="AT1035" s="40"/>
      <c r="AU1035" s="18"/>
      <c r="AV1035" s="34"/>
      <c r="AW1035" s="34"/>
      <c r="AX1035" s="18"/>
    </row>
    <row r="1036" spans="1:50" x14ac:dyDescent="0.2">
      <c r="A1036" s="4" t="s">
        <v>55</v>
      </c>
      <c r="B1036" s="4" t="s">
        <v>56</v>
      </c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1" t="s">
        <v>981</v>
      </c>
      <c r="AB1036" s="42" t="s">
        <v>233</v>
      </c>
      <c r="AC1036" s="43" t="s">
        <v>58</v>
      </c>
      <c r="AD1036" s="43">
        <v>14000000</v>
      </c>
      <c r="AE1036" s="44">
        <v>0</v>
      </c>
      <c r="AF1036" s="44">
        <v>0</v>
      </c>
      <c r="AG1036" s="44">
        <v>0</v>
      </c>
      <c r="AH1036" s="44">
        <v>0</v>
      </c>
      <c r="AI1036" s="44">
        <v>0</v>
      </c>
      <c r="AJ1036" s="43">
        <v>14000000</v>
      </c>
      <c r="AK1036" s="44">
        <v>0</v>
      </c>
      <c r="AL1036" s="44">
        <v>0</v>
      </c>
      <c r="AM1036" s="44">
        <v>0</v>
      </c>
      <c r="AN1036" s="44">
        <v>0</v>
      </c>
      <c r="AO1036" s="44">
        <v>0</v>
      </c>
      <c r="AP1036" s="44">
        <v>0</v>
      </c>
      <c r="AQ1036" s="44">
        <v>0</v>
      </c>
      <c r="AR1036" s="44">
        <v>0</v>
      </c>
      <c r="AS1036" s="44">
        <v>0</v>
      </c>
      <c r="AT1036" s="40">
        <f t="shared" ref="AT1036:AT1063" si="411">AQ1036+AS1036</f>
        <v>0</v>
      </c>
      <c r="AU1036" s="18">
        <f>AJ1036-AM1036</f>
        <v>14000000</v>
      </c>
      <c r="AV1036" s="133">
        <f>AM1036-AP1036</f>
        <v>0</v>
      </c>
      <c r="AW1036" s="34">
        <f>AP1036-AT1036</f>
        <v>0</v>
      </c>
      <c r="AX1036" s="123">
        <f>AP1036/AJ1036</f>
        <v>0</v>
      </c>
    </row>
    <row r="1037" spans="1:50" x14ac:dyDescent="0.2">
      <c r="AA1037" s="16"/>
      <c r="AB1037" s="17"/>
      <c r="AC1037" s="17"/>
      <c r="AD1037" s="18"/>
      <c r="AE1037" s="34"/>
      <c r="AF1037" s="34"/>
      <c r="AG1037" s="34"/>
      <c r="AH1037" s="34"/>
      <c r="AI1037" s="34"/>
      <c r="AJ1037" s="18"/>
      <c r="AK1037" s="34"/>
      <c r="AL1037" s="34"/>
      <c r="AM1037" s="34"/>
      <c r="AN1037" s="34"/>
      <c r="AO1037" s="34"/>
      <c r="AP1037" s="34"/>
      <c r="AQ1037" s="18"/>
      <c r="AR1037" s="18"/>
      <c r="AS1037" s="18"/>
      <c r="AT1037" s="30"/>
      <c r="AU1037" s="18"/>
      <c r="AV1037" s="18"/>
      <c r="AW1037" s="18"/>
      <c r="AX1037" s="18"/>
    </row>
    <row r="1038" spans="1:50" x14ac:dyDescent="0.2">
      <c r="AA1038" s="16"/>
      <c r="AB1038" s="29" t="s">
        <v>189</v>
      </c>
      <c r="AC1038" s="17"/>
      <c r="AD1038" s="18"/>
      <c r="AE1038" s="34"/>
      <c r="AF1038" s="34"/>
      <c r="AG1038" s="34"/>
      <c r="AH1038" s="34"/>
      <c r="AI1038" s="34"/>
      <c r="AJ1038" s="18"/>
      <c r="AK1038" s="34"/>
      <c r="AL1038" s="34"/>
      <c r="AM1038" s="34"/>
      <c r="AN1038" s="34"/>
      <c r="AO1038" s="34"/>
      <c r="AP1038" s="34"/>
      <c r="AQ1038" s="18"/>
      <c r="AR1038" s="18"/>
      <c r="AS1038" s="18"/>
      <c r="AT1038" s="30"/>
      <c r="AU1038" s="18"/>
      <c r="AV1038" s="18"/>
      <c r="AW1038" s="18"/>
      <c r="AX1038" s="18"/>
    </row>
    <row r="1039" spans="1:50" ht="25.5" x14ac:dyDescent="0.2">
      <c r="AA1039" s="16"/>
      <c r="AB1039" s="29" t="s">
        <v>197</v>
      </c>
      <c r="AC1039" s="17"/>
      <c r="AD1039" s="18"/>
      <c r="AE1039" s="34"/>
      <c r="AF1039" s="34"/>
      <c r="AG1039" s="34"/>
      <c r="AH1039" s="34"/>
      <c r="AI1039" s="34"/>
      <c r="AJ1039" s="18"/>
      <c r="AK1039" s="34"/>
      <c r="AL1039" s="34"/>
      <c r="AM1039" s="34"/>
      <c r="AN1039" s="34"/>
      <c r="AO1039" s="34"/>
      <c r="AP1039" s="34"/>
      <c r="AQ1039" s="18"/>
      <c r="AR1039" s="18"/>
      <c r="AS1039" s="18"/>
      <c r="AT1039" s="30"/>
      <c r="AU1039" s="18"/>
      <c r="AV1039" s="18"/>
      <c r="AW1039" s="18"/>
      <c r="AX1039" s="18"/>
    </row>
    <row r="1040" spans="1:50" x14ac:dyDescent="0.2">
      <c r="AA1040" s="28" t="s">
        <v>288</v>
      </c>
      <c r="AB1040" s="29" t="s">
        <v>292</v>
      </c>
      <c r="AC1040" s="17"/>
      <c r="AD1040" s="18"/>
      <c r="AE1040" s="34"/>
      <c r="AF1040" s="34"/>
      <c r="AG1040" s="34"/>
      <c r="AH1040" s="34"/>
      <c r="AI1040" s="34"/>
      <c r="AJ1040" s="18"/>
      <c r="AK1040" s="34"/>
      <c r="AL1040" s="34"/>
      <c r="AM1040" s="34"/>
      <c r="AN1040" s="34"/>
      <c r="AO1040" s="34"/>
      <c r="AP1040" s="34"/>
      <c r="AQ1040" s="18"/>
      <c r="AR1040" s="18"/>
      <c r="AS1040" s="18"/>
      <c r="AT1040" s="30"/>
      <c r="AU1040" s="18"/>
      <c r="AV1040" s="18"/>
      <c r="AW1040" s="18"/>
      <c r="AX1040" s="18"/>
    </row>
    <row r="1041" spans="1:50" x14ac:dyDescent="0.2">
      <c r="A1041" s="4" t="s">
        <v>55</v>
      </c>
      <c r="B1041" s="4" t="s">
        <v>56</v>
      </c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1" t="s">
        <v>680</v>
      </c>
      <c r="AB1041" s="42" t="s">
        <v>233</v>
      </c>
      <c r="AC1041" s="43" t="s">
        <v>58</v>
      </c>
      <c r="AD1041" s="43">
        <v>90000000</v>
      </c>
      <c r="AE1041" s="44">
        <v>0</v>
      </c>
      <c r="AF1041" s="44">
        <v>0</v>
      </c>
      <c r="AG1041" s="44">
        <v>0</v>
      </c>
      <c r="AH1041" s="44">
        <v>0</v>
      </c>
      <c r="AI1041" s="44">
        <v>0</v>
      </c>
      <c r="AJ1041" s="43">
        <v>90000000</v>
      </c>
      <c r="AK1041" s="44">
        <v>0</v>
      </c>
      <c r="AL1041" s="44">
        <v>0</v>
      </c>
      <c r="AM1041" s="44">
        <v>0</v>
      </c>
      <c r="AN1041" s="44">
        <v>0</v>
      </c>
      <c r="AO1041" s="44">
        <v>0</v>
      </c>
      <c r="AP1041" s="44">
        <v>0</v>
      </c>
      <c r="AQ1041" s="44">
        <v>0</v>
      </c>
      <c r="AR1041" s="44">
        <v>0</v>
      </c>
      <c r="AS1041" s="44">
        <v>0</v>
      </c>
      <c r="AT1041" s="40">
        <f t="shared" ref="AT1041" si="412">AQ1041+AS1041</f>
        <v>0</v>
      </c>
      <c r="AU1041" s="18">
        <f>AJ1041-AM1041</f>
        <v>90000000</v>
      </c>
      <c r="AV1041" s="133">
        <f>AM1041-AP1041</f>
        <v>0</v>
      </c>
      <c r="AW1041" s="34">
        <f>AP1041-AT1041</f>
        <v>0</v>
      </c>
      <c r="AX1041" s="123">
        <f>AP1041/AJ1041</f>
        <v>0</v>
      </c>
    </row>
    <row r="1042" spans="1:50" ht="25.5" x14ac:dyDescent="0.2">
      <c r="AA1042" s="28" t="s">
        <v>288</v>
      </c>
      <c r="AB1042" s="29" t="s">
        <v>678</v>
      </c>
      <c r="AC1042" s="17"/>
      <c r="AD1042" s="18"/>
      <c r="AE1042" s="34"/>
      <c r="AF1042" s="34"/>
      <c r="AG1042" s="34"/>
      <c r="AH1042" s="34"/>
      <c r="AI1042" s="34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30"/>
      <c r="AU1042" s="18"/>
      <c r="AV1042" s="18"/>
      <c r="AW1042" s="18"/>
      <c r="AX1042" s="18"/>
    </row>
    <row r="1043" spans="1:50" x14ac:dyDescent="0.2">
      <c r="A1043" s="4" t="s">
        <v>55</v>
      </c>
      <c r="B1043" s="4" t="s">
        <v>56</v>
      </c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1" t="s">
        <v>681</v>
      </c>
      <c r="AB1043" s="42" t="s">
        <v>233</v>
      </c>
      <c r="AC1043" s="43" t="s">
        <v>58</v>
      </c>
      <c r="AD1043" s="43">
        <v>4085500000</v>
      </c>
      <c r="AE1043" s="44">
        <v>0</v>
      </c>
      <c r="AF1043" s="44">
        <v>0</v>
      </c>
      <c r="AG1043" s="43">
        <v>2080000000</v>
      </c>
      <c r="AH1043" s="43">
        <f>1800000000+1856300000+210000000+60000000</f>
        <v>3926300000</v>
      </c>
      <c r="AI1043" s="43">
        <f>AE1043-AF1043+AG1043-AH1043</f>
        <v>-1846300000</v>
      </c>
      <c r="AJ1043" s="43">
        <f>AD1043+AI1043</f>
        <v>2239200000</v>
      </c>
      <c r="AK1043" s="44">
        <v>0</v>
      </c>
      <c r="AL1043" s="43">
        <v>207400000</v>
      </c>
      <c r="AM1043" s="43">
        <v>1458500000</v>
      </c>
      <c r="AN1043" s="43">
        <v>0</v>
      </c>
      <c r="AO1043" s="43">
        <v>160150000</v>
      </c>
      <c r="AP1043" s="43">
        <v>1393750000</v>
      </c>
      <c r="AQ1043" s="43">
        <v>7166667</v>
      </c>
      <c r="AR1043" s="43">
        <v>147828000</v>
      </c>
      <c r="AS1043" s="43">
        <v>741844532.33000004</v>
      </c>
      <c r="AT1043" s="111">
        <f t="shared" ref="AT1043" si="413">AQ1043+AS1043</f>
        <v>749011199.33000004</v>
      </c>
      <c r="AU1043" s="18">
        <f>AJ1043-AM1043</f>
        <v>780700000</v>
      </c>
      <c r="AV1043" s="110">
        <f>AM1043-AP1043</f>
        <v>64750000</v>
      </c>
      <c r="AW1043" s="18">
        <f>AP1043-AT1043</f>
        <v>644738800.66999996</v>
      </c>
      <c r="AX1043" s="123">
        <f>AP1043/AJ1043</f>
        <v>0.62243211861379066</v>
      </c>
    </row>
    <row r="1044" spans="1:50" ht="25.5" x14ac:dyDescent="0.2">
      <c r="AA1044" s="28" t="s">
        <v>288</v>
      </c>
      <c r="AB1044" s="29" t="s">
        <v>682</v>
      </c>
      <c r="AC1044" s="17"/>
      <c r="AD1044" s="18"/>
      <c r="AE1044" s="34"/>
      <c r="AF1044" s="34"/>
      <c r="AG1044" s="34"/>
      <c r="AH1044" s="34"/>
      <c r="AI1044" s="34"/>
      <c r="AJ1044" s="18"/>
      <c r="AK1044" s="34"/>
      <c r="AL1044" s="18"/>
      <c r="AM1044" s="18"/>
      <c r="AN1044" s="18"/>
      <c r="AO1044" s="18"/>
      <c r="AP1044" s="18"/>
      <c r="AQ1044" s="18"/>
      <c r="AR1044" s="18"/>
      <c r="AS1044" s="18"/>
      <c r="AT1044" s="31"/>
      <c r="AU1044" s="18"/>
      <c r="AV1044" s="18"/>
      <c r="AW1044" s="18"/>
      <c r="AX1044" s="18"/>
    </row>
    <row r="1045" spans="1:50" x14ac:dyDescent="0.2">
      <c r="A1045" s="4" t="s">
        <v>55</v>
      </c>
      <c r="B1045" s="4" t="s">
        <v>56</v>
      </c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1" t="s">
        <v>683</v>
      </c>
      <c r="AB1045" s="42" t="s">
        <v>233</v>
      </c>
      <c r="AC1045" s="43" t="s">
        <v>58</v>
      </c>
      <c r="AD1045" s="43">
        <v>467600000</v>
      </c>
      <c r="AE1045" s="44">
        <v>0</v>
      </c>
      <c r="AF1045" s="44">
        <v>0</v>
      </c>
      <c r="AG1045" s="43">
        <f>2580000000+60000000</f>
        <v>2640000000</v>
      </c>
      <c r="AH1045" s="43">
        <v>2240000000</v>
      </c>
      <c r="AI1045" s="43">
        <f>AE1045-AF1045+AG1045-AH1045</f>
        <v>400000000</v>
      </c>
      <c r="AJ1045" s="43">
        <f>AD1045+AI1045</f>
        <v>867600000</v>
      </c>
      <c r="AK1045" s="44">
        <v>0</v>
      </c>
      <c r="AL1045" s="43">
        <v>69500000</v>
      </c>
      <c r="AM1045" s="43">
        <v>631500000</v>
      </c>
      <c r="AN1045" s="44">
        <v>0</v>
      </c>
      <c r="AO1045" s="43">
        <v>59000000</v>
      </c>
      <c r="AP1045" s="43">
        <v>561500000</v>
      </c>
      <c r="AQ1045" s="43">
        <v>26983333</v>
      </c>
      <c r="AR1045" s="43">
        <v>73200000</v>
      </c>
      <c r="AS1045" s="43">
        <v>335783333</v>
      </c>
      <c r="AT1045" s="111">
        <f t="shared" ref="AT1045" si="414">AQ1045+AS1045</f>
        <v>362766666</v>
      </c>
      <c r="AU1045" s="18">
        <f>AJ1045-AM1045</f>
        <v>236100000</v>
      </c>
      <c r="AV1045" s="110">
        <f>AM1045-AP1045</f>
        <v>70000000</v>
      </c>
      <c r="AW1045" s="18">
        <f>AP1045-AT1045</f>
        <v>198733334</v>
      </c>
      <c r="AX1045" s="123">
        <f>AP1045/AJ1045</f>
        <v>0.64718764407561091</v>
      </c>
    </row>
    <row r="1046" spans="1:50" ht="25.5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73" t="s">
        <v>288</v>
      </c>
      <c r="AB1046" s="74" t="s">
        <v>197</v>
      </c>
      <c r="AC1046" s="43"/>
      <c r="AD1046" s="43"/>
      <c r="AE1046" s="44"/>
      <c r="AF1046" s="44"/>
      <c r="AG1046" s="43"/>
      <c r="AH1046" s="43"/>
      <c r="AI1046" s="43"/>
      <c r="AJ1046" s="43"/>
      <c r="AK1046" s="44"/>
      <c r="AL1046" s="44"/>
      <c r="AM1046" s="43"/>
      <c r="AN1046" s="44"/>
      <c r="AO1046" s="44"/>
      <c r="AP1046" s="43"/>
      <c r="AQ1046" s="44"/>
      <c r="AR1046" s="114"/>
      <c r="AS1046" s="114"/>
      <c r="AT1046" s="111"/>
      <c r="AU1046" s="18"/>
      <c r="AV1046" s="110"/>
      <c r="AW1046" s="18"/>
      <c r="AX1046" s="123"/>
    </row>
    <row r="1047" spans="1:50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1" t="s">
        <v>305</v>
      </c>
      <c r="AB1047" s="42" t="s">
        <v>233</v>
      </c>
      <c r="AC1047" s="43"/>
      <c r="AD1047" s="44">
        <v>0</v>
      </c>
      <c r="AE1047" s="44">
        <v>0</v>
      </c>
      <c r="AF1047" s="44">
        <v>0</v>
      </c>
      <c r="AG1047" s="43">
        <f>1800000000+1620000000</f>
        <v>3420000000</v>
      </c>
      <c r="AH1047" s="259">
        <v>0</v>
      </c>
      <c r="AI1047" s="43">
        <f>AE1047-AF1047+AG1047-AH1047</f>
        <v>3420000000</v>
      </c>
      <c r="AJ1047" s="43">
        <f>AD1047+AI1047</f>
        <v>3420000000</v>
      </c>
      <c r="AK1047" s="44">
        <v>0</v>
      </c>
      <c r="AL1047" s="44">
        <v>0</v>
      </c>
      <c r="AM1047" s="43">
        <v>2919988003</v>
      </c>
      <c r="AN1047" s="44">
        <v>0</v>
      </c>
      <c r="AO1047" s="44">
        <v>0</v>
      </c>
      <c r="AP1047" s="43">
        <v>2919988003</v>
      </c>
      <c r="AQ1047" s="44">
        <v>0</v>
      </c>
      <c r="AR1047" s="114">
        <v>0</v>
      </c>
      <c r="AS1047" s="114">
        <v>1800000000</v>
      </c>
      <c r="AT1047" s="111">
        <f t="shared" ref="AT1047" si="415">AQ1047+AS1047</f>
        <v>1800000000</v>
      </c>
      <c r="AU1047" s="18">
        <f>AJ1047-AM1047</f>
        <v>500011997</v>
      </c>
      <c r="AV1047" s="133">
        <f>AM1047-AP1047</f>
        <v>0</v>
      </c>
      <c r="AW1047" s="18">
        <f>AP1047-AT1047</f>
        <v>1119988003</v>
      </c>
      <c r="AX1047" s="123">
        <f>AP1047/AJ1047</f>
        <v>0.85379766169590643</v>
      </c>
    </row>
    <row r="1048" spans="1:50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73" t="s">
        <v>288</v>
      </c>
      <c r="AB1048" s="74" t="s">
        <v>1276</v>
      </c>
      <c r="AC1048" s="43"/>
      <c r="AD1048" s="44"/>
      <c r="AE1048" s="44"/>
      <c r="AF1048" s="44"/>
      <c r="AG1048" s="43"/>
      <c r="AH1048" s="259"/>
      <c r="AI1048" s="43"/>
      <c r="AJ1048" s="43"/>
      <c r="AK1048" s="44"/>
      <c r="AL1048" s="44"/>
      <c r="AM1048" s="43"/>
      <c r="AN1048" s="44"/>
      <c r="AO1048" s="44"/>
      <c r="AP1048" s="43"/>
      <c r="AQ1048" s="44"/>
      <c r="AR1048" s="114"/>
      <c r="AS1048" s="114"/>
      <c r="AT1048" s="111"/>
      <c r="AU1048" s="18"/>
      <c r="AV1048" s="133"/>
      <c r="AW1048" s="34"/>
      <c r="AX1048" s="123"/>
    </row>
    <row r="1049" spans="1:50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1" t="s">
        <v>1277</v>
      </c>
      <c r="AB1049" s="42" t="s">
        <v>233</v>
      </c>
      <c r="AC1049" s="43"/>
      <c r="AD1049" s="44">
        <v>0</v>
      </c>
      <c r="AE1049" s="44">
        <v>0</v>
      </c>
      <c r="AF1049" s="44">
        <v>0</v>
      </c>
      <c r="AG1049" s="43">
        <v>100000000</v>
      </c>
      <c r="AH1049" s="259">
        <v>0</v>
      </c>
      <c r="AI1049" s="43">
        <f>AE1049-AF1049+AG1049-AH1049</f>
        <v>100000000</v>
      </c>
      <c r="AJ1049" s="43">
        <f>AD1049+AI1049</f>
        <v>100000000</v>
      </c>
      <c r="AK1049" s="44">
        <v>0</v>
      </c>
      <c r="AL1049" s="44">
        <v>0</v>
      </c>
      <c r="AM1049" s="43">
        <v>100000000</v>
      </c>
      <c r="AN1049" s="44">
        <v>0</v>
      </c>
      <c r="AO1049" s="44">
        <v>0</v>
      </c>
      <c r="AP1049" s="43">
        <v>100000000</v>
      </c>
      <c r="AQ1049" s="43">
        <v>0</v>
      </c>
      <c r="AR1049" s="43">
        <v>50000000</v>
      </c>
      <c r="AS1049" s="43">
        <v>50000000</v>
      </c>
      <c r="AT1049" s="39">
        <f t="shared" ref="AT1049" si="416">AQ1049+AS1049</f>
        <v>50000000</v>
      </c>
      <c r="AU1049" s="34">
        <f>AJ1049-AM1049</f>
        <v>0</v>
      </c>
      <c r="AV1049" s="133">
        <f>AM1049-AP1049</f>
        <v>0</v>
      </c>
      <c r="AW1049" s="18">
        <f>AP1049-AT1049</f>
        <v>50000000</v>
      </c>
      <c r="AX1049" s="123">
        <f>AP1049/AJ1049</f>
        <v>1</v>
      </c>
    </row>
    <row r="1050" spans="1:50" x14ac:dyDescent="0.2">
      <c r="AA1050" s="28" t="s">
        <v>288</v>
      </c>
      <c r="AB1050" s="68" t="s">
        <v>684</v>
      </c>
      <c r="AC1050" s="17"/>
      <c r="AD1050" s="18"/>
      <c r="AE1050" s="34"/>
      <c r="AF1050" s="34"/>
      <c r="AG1050" s="34"/>
      <c r="AH1050" s="34"/>
      <c r="AI1050" s="34"/>
      <c r="AJ1050" s="18"/>
      <c r="AK1050" s="34"/>
      <c r="AL1050" s="18"/>
      <c r="AM1050" s="18"/>
      <c r="AN1050" s="34"/>
      <c r="AO1050" s="34"/>
      <c r="AP1050" s="18"/>
      <c r="AQ1050" s="34"/>
      <c r="AR1050" s="34"/>
      <c r="AS1050" s="34"/>
      <c r="AT1050" s="31"/>
      <c r="AU1050" s="18"/>
      <c r="AV1050" s="18"/>
      <c r="AW1050" s="18"/>
      <c r="AX1050" s="18"/>
    </row>
    <row r="1051" spans="1:50" x14ac:dyDescent="0.2">
      <c r="A1051" s="4" t="s">
        <v>55</v>
      </c>
      <c r="B1051" s="4" t="s">
        <v>56</v>
      </c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1" t="s">
        <v>685</v>
      </c>
      <c r="AB1051" s="69" t="s">
        <v>233</v>
      </c>
      <c r="AC1051" s="43" t="s">
        <v>58</v>
      </c>
      <c r="AD1051" s="43">
        <v>6107898530</v>
      </c>
      <c r="AE1051" s="44">
        <v>0</v>
      </c>
      <c r="AF1051" s="44">
        <v>0</v>
      </c>
      <c r="AG1051" s="44">
        <v>0</v>
      </c>
      <c r="AH1051" s="43">
        <f>3080123215+3000000000</f>
        <v>6080123215</v>
      </c>
      <c r="AI1051" s="43">
        <f>AE1051-AF1051+AG1051-AH1051</f>
        <v>-6080123215</v>
      </c>
      <c r="AJ1051" s="43">
        <f>AD1051+AI1051</f>
        <v>27775315</v>
      </c>
      <c r="AK1051" s="44">
        <v>0</v>
      </c>
      <c r="AL1051" s="44">
        <v>0</v>
      </c>
      <c r="AM1051" s="44">
        <v>0</v>
      </c>
      <c r="AN1051" s="44">
        <v>0</v>
      </c>
      <c r="AO1051" s="44">
        <v>0</v>
      </c>
      <c r="AP1051" s="44">
        <v>0</v>
      </c>
      <c r="AQ1051" s="44">
        <v>0</v>
      </c>
      <c r="AR1051" s="44">
        <v>0</v>
      </c>
      <c r="AS1051" s="44">
        <v>0</v>
      </c>
      <c r="AT1051" s="40">
        <f t="shared" ref="AT1051" si="417">AQ1051+AS1051</f>
        <v>0</v>
      </c>
      <c r="AU1051" s="18">
        <f>AJ1051-AM1051</f>
        <v>27775315</v>
      </c>
      <c r="AV1051" s="133">
        <f>AM1051-AP1051</f>
        <v>0</v>
      </c>
      <c r="AW1051" s="34">
        <f>AP1051-AT1051</f>
        <v>0</v>
      </c>
      <c r="AX1051" s="123">
        <f>AP1051/AJ1051</f>
        <v>0</v>
      </c>
    </row>
    <row r="1052" spans="1:50" ht="25.5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73" t="s">
        <v>288</v>
      </c>
      <c r="AB1052" s="82" t="s">
        <v>197</v>
      </c>
      <c r="AC1052" s="43"/>
      <c r="AD1052" s="43"/>
      <c r="AE1052" s="44"/>
      <c r="AF1052" s="44"/>
      <c r="AG1052" s="44"/>
      <c r="AH1052" s="44"/>
      <c r="AI1052" s="44"/>
      <c r="AJ1052" s="43"/>
      <c r="AK1052" s="44"/>
      <c r="AL1052" s="44"/>
      <c r="AM1052" s="44"/>
      <c r="AN1052" s="43"/>
      <c r="AO1052" s="43"/>
      <c r="AP1052" s="44"/>
      <c r="AQ1052" s="44"/>
      <c r="AR1052" s="44"/>
      <c r="AS1052" s="44"/>
      <c r="AT1052" s="40"/>
      <c r="AU1052" s="18"/>
      <c r="AV1052" s="133"/>
      <c r="AW1052" s="34"/>
      <c r="AX1052" s="123"/>
    </row>
    <row r="1053" spans="1:50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1" t="s">
        <v>974</v>
      </c>
      <c r="AB1053" s="69" t="s">
        <v>233</v>
      </c>
      <c r="AC1053" s="43"/>
      <c r="AD1053" s="44">
        <v>0</v>
      </c>
      <c r="AE1053" s="44">
        <v>0</v>
      </c>
      <c r="AF1053" s="44">
        <v>0</v>
      </c>
      <c r="AG1053" s="43">
        <f>2240000000+1080123215</f>
        <v>3320123215</v>
      </c>
      <c r="AH1053" s="43">
        <v>500000000</v>
      </c>
      <c r="AI1053" s="43">
        <f>AE1053-AF1053+AG1053-AH1053</f>
        <v>2820123215</v>
      </c>
      <c r="AJ1053" s="43">
        <f>AD1053+AI1053</f>
        <v>2820123215</v>
      </c>
      <c r="AK1053" s="43">
        <v>0</v>
      </c>
      <c r="AL1053" s="43">
        <v>2136389381.6800001</v>
      </c>
      <c r="AM1053" s="43">
        <v>2456409958.6799998</v>
      </c>
      <c r="AN1053" s="43">
        <v>0</v>
      </c>
      <c r="AO1053" s="43">
        <v>0</v>
      </c>
      <c r="AP1053" s="43">
        <v>320020577</v>
      </c>
      <c r="AQ1053" s="44">
        <v>0</v>
      </c>
      <c r="AR1053" s="44">
        <v>0</v>
      </c>
      <c r="AS1053" s="44">
        <v>0</v>
      </c>
      <c r="AT1053" s="135">
        <f t="shared" ref="AT1053:AT1054" si="418">AQ1053+AS1053</f>
        <v>0</v>
      </c>
      <c r="AU1053" s="110">
        <f>AJ1053-AM1053</f>
        <v>363713256.32000017</v>
      </c>
      <c r="AV1053" s="18">
        <f>AM1053-AP1053</f>
        <v>2136389381.6799998</v>
      </c>
      <c r="AW1053" s="18">
        <f>AP1053-AT1053</f>
        <v>320020577</v>
      </c>
      <c r="AX1053" s="123">
        <f>AP1053/AJ1053</f>
        <v>0.11347751591059471</v>
      </c>
    </row>
    <row r="1054" spans="1:50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1" t="s">
        <v>1292</v>
      </c>
      <c r="AB1054" s="69" t="s">
        <v>233</v>
      </c>
      <c r="AC1054" s="43"/>
      <c r="AD1054" s="44">
        <v>0</v>
      </c>
      <c r="AE1054" s="44">
        <v>0</v>
      </c>
      <c r="AF1054" s="44">
        <v>0</v>
      </c>
      <c r="AG1054" s="43">
        <v>2000000000</v>
      </c>
      <c r="AH1054" s="43">
        <v>500000000</v>
      </c>
      <c r="AI1054" s="43">
        <f>AE1054-AF1054+AG1054-AH1054</f>
        <v>1500000000</v>
      </c>
      <c r="AJ1054" s="43">
        <f>AD1054+AI1054</f>
        <v>1500000000</v>
      </c>
      <c r="AK1054" s="44">
        <v>0</v>
      </c>
      <c r="AL1054" s="44">
        <v>0</v>
      </c>
      <c r="AM1054" s="44">
        <v>0</v>
      </c>
      <c r="AN1054" s="44">
        <v>0</v>
      </c>
      <c r="AO1054" s="44">
        <v>0</v>
      </c>
      <c r="AP1054" s="44">
        <v>0</v>
      </c>
      <c r="AQ1054" s="44">
        <v>0</v>
      </c>
      <c r="AR1054" s="44">
        <v>0</v>
      </c>
      <c r="AS1054" s="44">
        <v>0</v>
      </c>
      <c r="AT1054" s="135">
        <f t="shared" si="418"/>
        <v>0</v>
      </c>
      <c r="AU1054" s="110">
        <f>AJ1054-AM1054</f>
        <v>1500000000</v>
      </c>
      <c r="AV1054" s="34">
        <f>AM1054-AP1054</f>
        <v>0</v>
      </c>
      <c r="AW1054" s="18">
        <f>AP1054-AT1054</f>
        <v>0</v>
      </c>
      <c r="AX1054" s="123">
        <f>AP1054/AJ1054</f>
        <v>0</v>
      </c>
    </row>
    <row r="1055" spans="1:50" x14ac:dyDescent="0.2">
      <c r="AA1055" s="28" t="s">
        <v>288</v>
      </c>
      <c r="AB1055" s="29" t="s">
        <v>306</v>
      </c>
      <c r="AC1055" s="17"/>
      <c r="AD1055" s="18"/>
      <c r="AE1055" s="34"/>
      <c r="AF1055" s="34"/>
      <c r="AG1055" s="34"/>
      <c r="AH1055" s="34"/>
      <c r="AI1055" s="34"/>
      <c r="AJ1055" s="18"/>
      <c r="AK1055" s="34"/>
      <c r="AL1055" s="18"/>
      <c r="AM1055" s="18"/>
      <c r="AN1055" s="34"/>
      <c r="AO1055" s="34"/>
      <c r="AP1055" s="18"/>
      <c r="AQ1055" s="34"/>
      <c r="AR1055" s="34"/>
      <c r="AS1055" s="34"/>
      <c r="AT1055" s="31"/>
      <c r="AU1055" s="18"/>
      <c r="AV1055" s="34"/>
      <c r="AW1055" s="18"/>
      <c r="AX1055" s="18"/>
    </row>
    <row r="1056" spans="1:50" x14ac:dyDescent="0.2">
      <c r="A1056" s="4" t="s">
        <v>55</v>
      </c>
      <c r="B1056" s="4" t="s">
        <v>56</v>
      </c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1" t="s">
        <v>307</v>
      </c>
      <c r="AB1056" s="42" t="s">
        <v>233</v>
      </c>
      <c r="AC1056" s="43" t="s">
        <v>58</v>
      </c>
      <c r="AD1056" s="43">
        <v>147500000</v>
      </c>
      <c r="AE1056" s="44">
        <v>0</v>
      </c>
      <c r="AF1056" s="44">
        <v>0</v>
      </c>
      <c r="AG1056" s="43">
        <v>6300000</v>
      </c>
      <c r="AH1056" s="44">
        <v>0</v>
      </c>
      <c r="AI1056" s="43">
        <f>AE1056-AF1056+AG1056-AH1056</f>
        <v>6300000</v>
      </c>
      <c r="AJ1056" s="43">
        <f>AD1056+AI1056</f>
        <v>153800000</v>
      </c>
      <c r="AK1056" s="44">
        <v>0</v>
      </c>
      <c r="AL1056" s="44">
        <v>0</v>
      </c>
      <c r="AM1056" s="43">
        <v>142000000</v>
      </c>
      <c r="AN1056" s="44">
        <v>0</v>
      </c>
      <c r="AO1056" s="44">
        <v>0</v>
      </c>
      <c r="AP1056" s="43">
        <v>142000000</v>
      </c>
      <c r="AQ1056" s="43">
        <v>1260000</v>
      </c>
      <c r="AR1056" s="114">
        <v>14300000</v>
      </c>
      <c r="AS1056" s="114">
        <v>85816667</v>
      </c>
      <c r="AT1056" s="111">
        <f t="shared" ref="AT1056" si="419">AQ1056+AS1056</f>
        <v>87076667</v>
      </c>
      <c r="AU1056" s="110">
        <f>AJ1056-AM1056</f>
        <v>11800000</v>
      </c>
      <c r="AV1056" s="133">
        <f>AM1056-AP1056</f>
        <v>0</v>
      </c>
      <c r="AW1056" s="18">
        <f>AP1056-AT1056</f>
        <v>54923333</v>
      </c>
      <c r="AX1056" s="123">
        <f>AP1056/AJ1056</f>
        <v>0.92327698309492845</v>
      </c>
    </row>
    <row r="1057" spans="1:50" x14ac:dyDescent="0.2">
      <c r="AA1057" s="28" t="s">
        <v>288</v>
      </c>
      <c r="AB1057" s="29" t="s">
        <v>400</v>
      </c>
      <c r="AC1057" s="17"/>
      <c r="AD1057" s="18"/>
      <c r="AE1057" s="34"/>
      <c r="AF1057" s="34"/>
      <c r="AG1057" s="34"/>
      <c r="AH1057" s="34"/>
      <c r="AI1057" s="34"/>
      <c r="AJ1057" s="18"/>
      <c r="AK1057" s="34"/>
      <c r="AL1057" s="34"/>
      <c r="AM1057" s="18"/>
      <c r="AN1057" s="34"/>
      <c r="AO1057" s="34"/>
      <c r="AP1057" s="18"/>
      <c r="AQ1057" s="18"/>
      <c r="AR1057" s="110"/>
      <c r="AS1057" s="110"/>
      <c r="AT1057" s="109"/>
      <c r="AU1057" s="110"/>
      <c r="AV1057" s="34"/>
      <c r="AW1057" s="18"/>
      <c r="AX1057" s="18"/>
    </row>
    <row r="1058" spans="1:50" x14ac:dyDescent="0.2">
      <c r="A1058" s="4" t="s">
        <v>55</v>
      </c>
      <c r="B1058" s="4" t="s">
        <v>56</v>
      </c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1" t="s">
        <v>401</v>
      </c>
      <c r="AB1058" s="42" t="s">
        <v>233</v>
      </c>
      <c r="AC1058" s="43" t="s">
        <v>58</v>
      </c>
      <c r="AD1058" s="43">
        <v>996500000</v>
      </c>
      <c r="AE1058" s="44">
        <v>0</v>
      </c>
      <c r="AF1058" s="44">
        <v>0</v>
      </c>
      <c r="AG1058" s="43">
        <v>140000000</v>
      </c>
      <c r="AH1058" s="43">
        <v>100000000</v>
      </c>
      <c r="AI1058" s="43">
        <f>AE1058-AF1058+AG1058-AH1058</f>
        <v>40000000</v>
      </c>
      <c r="AJ1058" s="43">
        <f>AD1058+AI1058</f>
        <v>1036500000</v>
      </c>
      <c r="AK1058" s="44">
        <v>0</v>
      </c>
      <c r="AL1058" s="43">
        <v>73500000</v>
      </c>
      <c r="AM1058" s="43">
        <v>858250000</v>
      </c>
      <c r="AN1058" s="44">
        <v>0</v>
      </c>
      <c r="AO1058" s="43">
        <v>73500000</v>
      </c>
      <c r="AP1058" s="43">
        <v>858250000</v>
      </c>
      <c r="AQ1058" s="18">
        <v>9950000</v>
      </c>
      <c r="AR1058" s="110">
        <v>103923333</v>
      </c>
      <c r="AS1058" s="110">
        <v>524596667</v>
      </c>
      <c r="AT1058" s="111">
        <f t="shared" ref="AT1058:AT1061" si="420">AQ1058+AS1058</f>
        <v>534546667</v>
      </c>
      <c r="AU1058" s="110">
        <f>AJ1058-AM1058</f>
        <v>178250000</v>
      </c>
      <c r="AV1058" s="34">
        <f>AM1058-AP1058</f>
        <v>0</v>
      </c>
      <c r="AW1058" s="18">
        <f>AP1058-AT1058</f>
        <v>323703333</v>
      </c>
      <c r="AX1058" s="123">
        <f>AP1058/AJ1058</f>
        <v>0.82802701398938738</v>
      </c>
    </row>
    <row r="1059" spans="1:50" x14ac:dyDescent="0.2">
      <c r="A1059" s="4" t="s">
        <v>55</v>
      </c>
      <c r="B1059" s="4" t="s">
        <v>56</v>
      </c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1" t="s">
        <v>686</v>
      </c>
      <c r="AB1059" s="42" t="s">
        <v>687</v>
      </c>
      <c r="AC1059" s="43" t="s">
        <v>428</v>
      </c>
      <c r="AD1059" s="43">
        <v>51500000</v>
      </c>
      <c r="AE1059" s="44">
        <v>0</v>
      </c>
      <c r="AF1059" s="44">
        <v>0</v>
      </c>
      <c r="AG1059" s="44">
        <v>0</v>
      </c>
      <c r="AH1059" s="44">
        <v>0</v>
      </c>
      <c r="AI1059" s="44">
        <v>0</v>
      </c>
      <c r="AJ1059" s="43">
        <v>51500000</v>
      </c>
      <c r="AK1059" s="44">
        <v>0</v>
      </c>
      <c r="AL1059" s="44">
        <v>0</v>
      </c>
      <c r="AM1059" s="43">
        <v>51400000</v>
      </c>
      <c r="AN1059" s="44">
        <v>0</v>
      </c>
      <c r="AO1059" s="44">
        <v>0</v>
      </c>
      <c r="AP1059" s="43">
        <v>51400000</v>
      </c>
      <c r="AQ1059" s="18">
        <v>0</v>
      </c>
      <c r="AR1059" s="18">
        <v>5300000</v>
      </c>
      <c r="AS1059" s="18">
        <v>40490000</v>
      </c>
      <c r="AT1059" s="39">
        <f t="shared" si="420"/>
        <v>40490000</v>
      </c>
      <c r="AU1059" s="18">
        <f>AJ1059-AM1059</f>
        <v>100000</v>
      </c>
      <c r="AV1059" s="133">
        <f>AM1059-AP1059</f>
        <v>0</v>
      </c>
      <c r="AW1059" s="18">
        <f>AP1059-AT1059</f>
        <v>10910000</v>
      </c>
      <c r="AX1059" s="123">
        <f>AP1059/AJ1059</f>
        <v>0.99805825242718449</v>
      </c>
    </row>
    <row r="1060" spans="1:50" ht="25.5" x14ac:dyDescent="0.2">
      <c r="A1060" s="4" t="s">
        <v>55</v>
      </c>
      <c r="B1060" s="4" t="s">
        <v>56</v>
      </c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1" t="s">
        <v>688</v>
      </c>
      <c r="AB1060" s="42" t="s">
        <v>689</v>
      </c>
      <c r="AC1060" s="43" t="s">
        <v>368</v>
      </c>
      <c r="AD1060" s="43">
        <v>6785951</v>
      </c>
      <c r="AE1060" s="44">
        <v>0</v>
      </c>
      <c r="AF1060" s="44">
        <v>0</v>
      </c>
      <c r="AG1060" s="44">
        <v>0</v>
      </c>
      <c r="AH1060" s="44">
        <v>0</v>
      </c>
      <c r="AI1060" s="44">
        <v>0</v>
      </c>
      <c r="AJ1060" s="43">
        <v>6785951</v>
      </c>
      <c r="AK1060" s="44">
        <v>0</v>
      </c>
      <c r="AL1060" s="44">
        <v>0</v>
      </c>
      <c r="AM1060" s="44">
        <v>0</v>
      </c>
      <c r="AN1060" s="44">
        <v>0</v>
      </c>
      <c r="AO1060" s="44">
        <v>0</v>
      </c>
      <c r="AP1060" s="44">
        <v>0</v>
      </c>
      <c r="AQ1060" s="34">
        <v>0</v>
      </c>
      <c r="AR1060" s="34">
        <v>0</v>
      </c>
      <c r="AS1060" s="34">
        <v>0</v>
      </c>
      <c r="AT1060" s="40">
        <f t="shared" si="420"/>
        <v>0</v>
      </c>
      <c r="AU1060" s="18">
        <f>AJ1060-AM1060</f>
        <v>6785951</v>
      </c>
      <c r="AV1060" s="133">
        <f>AM1060-AP1060</f>
        <v>0</v>
      </c>
      <c r="AW1060" s="34">
        <f>AP1060-AT1060</f>
        <v>0</v>
      </c>
      <c r="AX1060" s="123">
        <f>AP1060/AJ1060</f>
        <v>0</v>
      </c>
    </row>
    <row r="1061" spans="1:50" ht="25.5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1" t="s">
        <v>1116</v>
      </c>
      <c r="AB1061" s="42" t="s">
        <v>1117</v>
      </c>
      <c r="AC1061" s="43"/>
      <c r="AD1061" s="44">
        <v>0</v>
      </c>
      <c r="AE1061" s="43">
        <v>138409128.97</v>
      </c>
      <c r="AF1061" s="44">
        <v>0</v>
      </c>
      <c r="AG1061" s="44">
        <v>0</v>
      </c>
      <c r="AH1061" s="44">
        <v>0</v>
      </c>
      <c r="AI1061" s="43">
        <f>AE1061-AF1061+AG1061-AH1061</f>
        <v>138409128.97</v>
      </c>
      <c r="AJ1061" s="43">
        <f>AD1061+AI1061</f>
        <v>138409128.97</v>
      </c>
      <c r="AK1061" s="44">
        <v>0</v>
      </c>
      <c r="AL1061" s="43">
        <v>57003536.630000003</v>
      </c>
      <c r="AM1061" s="43">
        <v>73475487.629999995</v>
      </c>
      <c r="AN1061" s="44">
        <v>0</v>
      </c>
      <c r="AO1061" s="44">
        <v>0</v>
      </c>
      <c r="AP1061" s="43">
        <v>16471951</v>
      </c>
      <c r="AQ1061" s="34">
        <v>0</v>
      </c>
      <c r="AR1061" s="18">
        <v>2500000</v>
      </c>
      <c r="AS1061" s="18">
        <v>4305284</v>
      </c>
      <c r="AT1061" s="39">
        <f t="shared" si="420"/>
        <v>4305284</v>
      </c>
      <c r="AU1061" s="18">
        <f>AJ1061-AM1061</f>
        <v>64933641.340000004</v>
      </c>
      <c r="AV1061" s="18">
        <f>AM1061-AP1061</f>
        <v>57003536.629999995</v>
      </c>
      <c r="AW1061" s="18">
        <f>AP1061-AT1061</f>
        <v>12166667</v>
      </c>
      <c r="AX1061" s="123">
        <f>AP1061/AJ1061</f>
        <v>0.11900913706039054</v>
      </c>
    </row>
    <row r="1062" spans="1:50" ht="25.5" x14ac:dyDescent="0.2">
      <c r="AA1062" s="28" t="s">
        <v>288</v>
      </c>
      <c r="AB1062" s="29" t="s">
        <v>690</v>
      </c>
      <c r="AC1062" s="17"/>
      <c r="AD1062" s="18"/>
      <c r="AE1062" s="34"/>
      <c r="AF1062" s="34"/>
      <c r="AG1062" s="34"/>
      <c r="AH1062" s="34"/>
      <c r="AI1062" s="34"/>
      <c r="AJ1062" s="18"/>
      <c r="AK1062" s="34"/>
      <c r="AL1062" s="34"/>
      <c r="AM1062" s="34"/>
      <c r="AN1062" s="34"/>
      <c r="AO1062" s="34"/>
      <c r="AP1062" s="34"/>
      <c r="AQ1062" s="18"/>
      <c r="AR1062" s="34"/>
      <c r="AS1062" s="34"/>
      <c r="AT1062" s="40"/>
      <c r="AU1062" s="18"/>
      <c r="AV1062" s="34"/>
      <c r="AW1062" s="18"/>
      <c r="AX1062" s="18"/>
    </row>
    <row r="1063" spans="1:50" x14ac:dyDescent="0.2">
      <c r="A1063" s="4" t="s">
        <v>55</v>
      </c>
      <c r="B1063" s="4" t="s">
        <v>56</v>
      </c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1" t="s">
        <v>691</v>
      </c>
      <c r="AB1063" s="42" t="s">
        <v>233</v>
      </c>
      <c r="AC1063" s="43" t="s">
        <v>58</v>
      </c>
      <c r="AD1063" s="43">
        <v>368900000</v>
      </c>
      <c r="AE1063" s="44">
        <v>0</v>
      </c>
      <c r="AF1063" s="44">
        <v>0</v>
      </c>
      <c r="AG1063" s="43">
        <f>80000000+50000000+60000000</f>
        <v>190000000</v>
      </c>
      <c r="AH1063" s="44">
        <v>0</v>
      </c>
      <c r="AI1063" s="43">
        <f>AE1063-AF1063+AG1063-AH1063</f>
        <v>190000000</v>
      </c>
      <c r="AJ1063" s="43">
        <f>AD1063+AI1063</f>
        <v>558900000</v>
      </c>
      <c r="AK1063" s="44">
        <v>0</v>
      </c>
      <c r="AL1063" s="114">
        <v>14100000</v>
      </c>
      <c r="AM1063" s="114">
        <v>332100000</v>
      </c>
      <c r="AN1063" s="115">
        <v>0</v>
      </c>
      <c r="AO1063" s="114">
        <v>6900000</v>
      </c>
      <c r="AP1063" s="114">
        <v>324900000</v>
      </c>
      <c r="AQ1063" s="18">
        <v>3600000</v>
      </c>
      <c r="AR1063" s="18">
        <v>48200000</v>
      </c>
      <c r="AS1063" s="18">
        <v>198553333</v>
      </c>
      <c r="AT1063" s="39">
        <f t="shared" si="411"/>
        <v>202153333</v>
      </c>
      <c r="AU1063" s="18">
        <f>AJ1063-AM1063</f>
        <v>226800000</v>
      </c>
      <c r="AV1063" s="18">
        <f>AM1063-AP1063</f>
        <v>7200000</v>
      </c>
      <c r="AW1063" s="18">
        <f>AP1063-AT1063</f>
        <v>122746667</v>
      </c>
      <c r="AX1063" s="123">
        <f>AP1063/AJ1063</f>
        <v>0.58132045088566831</v>
      </c>
    </row>
    <row r="1064" spans="1:50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1"/>
      <c r="AB1064" s="42"/>
      <c r="AC1064" s="43"/>
      <c r="AD1064" s="43"/>
      <c r="AE1064" s="44"/>
      <c r="AF1064" s="44"/>
      <c r="AG1064" s="44"/>
      <c r="AH1064" s="44"/>
      <c r="AI1064" s="44"/>
      <c r="AJ1064" s="43"/>
      <c r="AK1064" s="44"/>
      <c r="AL1064" s="114"/>
      <c r="AM1064" s="114"/>
      <c r="AN1064" s="115"/>
      <c r="AO1064" s="114"/>
      <c r="AP1064" s="114"/>
      <c r="AQ1064" s="18"/>
      <c r="AR1064" s="18"/>
      <c r="AS1064" s="18"/>
      <c r="AT1064" s="39"/>
      <c r="AU1064" s="18"/>
      <c r="AV1064" s="133"/>
      <c r="AW1064" s="18"/>
      <c r="AX1064" s="123"/>
    </row>
    <row r="1065" spans="1:50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73" t="s">
        <v>288</v>
      </c>
      <c r="AB1065" s="74" t="s">
        <v>1230</v>
      </c>
      <c r="AC1065" s="43"/>
      <c r="AD1065" s="43"/>
      <c r="AE1065" s="44"/>
      <c r="AF1065" s="44"/>
      <c r="AG1065" s="44"/>
      <c r="AH1065" s="44"/>
      <c r="AI1065" s="44"/>
      <c r="AJ1065" s="43"/>
      <c r="AK1065" s="44"/>
      <c r="AL1065" s="114"/>
      <c r="AM1065" s="114"/>
      <c r="AN1065" s="115"/>
      <c r="AO1065" s="114"/>
      <c r="AP1065" s="114"/>
      <c r="AQ1065" s="18"/>
      <c r="AR1065" s="18"/>
      <c r="AS1065" s="18"/>
      <c r="AT1065" s="39"/>
      <c r="AU1065" s="18"/>
      <c r="AV1065" s="133"/>
      <c r="AW1065" s="18"/>
      <c r="AX1065" s="123"/>
    </row>
    <row r="1066" spans="1:50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1" t="s">
        <v>1231</v>
      </c>
      <c r="AB1066" s="42" t="s">
        <v>1232</v>
      </c>
      <c r="AC1066" s="43"/>
      <c r="AD1066" s="44">
        <v>0</v>
      </c>
      <c r="AE1066" s="44">
        <v>0</v>
      </c>
      <c r="AF1066" s="44">
        <v>0</v>
      </c>
      <c r="AG1066" s="43">
        <f>150000000+100000000</f>
        <v>250000000</v>
      </c>
      <c r="AH1066" s="44"/>
      <c r="AI1066" s="43">
        <f>AE1066-AF1066+AG1066-AH1066</f>
        <v>250000000</v>
      </c>
      <c r="AJ1066" s="43">
        <f>AD1066+AI1066</f>
        <v>250000000</v>
      </c>
      <c r="AK1066" s="44">
        <v>0</v>
      </c>
      <c r="AL1066" s="115">
        <v>249412351.16</v>
      </c>
      <c r="AM1066" s="115">
        <v>249412351.16</v>
      </c>
      <c r="AN1066" s="115">
        <v>0</v>
      </c>
      <c r="AO1066" s="115">
        <v>0</v>
      </c>
      <c r="AP1066" s="115">
        <v>0</v>
      </c>
      <c r="AQ1066" s="34">
        <v>0</v>
      </c>
      <c r="AR1066" s="34">
        <v>0</v>
      </c>
      <c r="AS1066" s="34">
        <v>0</v>
      </c>
      <c r="AT1066" s="40">
        <f t="shared" ref="AT1066" si="421">AQ1066+AS1066</f>
        <v>0</v>
      </c>
      <c r="AU1066" s="18">
        <f>AJ1066-AM1066</f>
        <v>587648.84000000358</v>
      </c>
      <c r="AV1066" s="18">
        <f>AM1066-AP1066</f>
        <v>249412351.16</v>
      </c>
      <c r="AW1066" s="34">
        <f>AP1066-AT1066</f>
        <v>0</v>
      </c>
      <c r="AX1066" s="123">
        <f>AP1066/AJ1066</f>
        <v>0</v>
      </c>
    </row>
    <row r="1067" spans="1:50" ht="18.75" customHeight="1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73" t="s">
        <v>1016</v>
      </c>
      <c r="AB1067" s="74" t="s">
        <v>1068</v>
      </c>
      <c r="AC1067" s="43"/>
      <c r="AD1067" s="44"/>
      <c r="AE1067" s="44"/>
      <c r="AF1067" s="44"/>
      <c r="AG1067" s="44"/>
      <c r="AH1067" s="44"/>
      <c r="AI1067" s="44"/>
      <c r="AJ1067" s="43"/>
      <c r="AK1067" s="44"/>
      <c r="AL1067" s="115"/>
      <c r="AM1067" s="115"/>
      <c r="AN1067" s="115"/>
      <c r="AO1067" s="115"/>
      <c r="AP1067" s="115"/>
      <c r="AQ1067" s="34"/>
      <c r="AR1067" s="34"/>
      <c r="AS1067" s="34"/>
      <c r="AT1067" s="40"/>
      <c r="AU1067" s="18"/>
      <c r="AV1067" s="133"/>
      <c r="AW1067" s="34"/>
      <c r="AX1067" s="123"/>
    </row>
    <row r="1068" spans="1:50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73" t="s">
        <v>1017</v>
      </c>
      <c r="AB1068" s="74" t="s">
        <v>1069</v>
      </c>
      <c r="AC1068" s="43"/>
      <c r="AD1068" s="44"/>
      <c r="AE1068" s="44"/>
      <c r="AF1068" s="44"/>
      <c r="AG1068" s="44"/>
      <c r="AH1068" s="44"/>
      <c r="AI1068" s="44"/>
      <c r="AJ1068" s="43"/>
      <c r="AK1068" s="44"/>
      <c r="AL1068" s="115"/>
      <c r="AM1068" s="115"/>
      <c r="AN1068" s="115"/>
      <c r="AO1068" s="115"/>
      <c r="AP1068" s="115"/>
      <c r="AQ1068" s="34"/>
      <c r="AR1068" s="34"/>
      <c r="AS1068" s="34"/>
      <c r="AT1068" s="40"/>
      <c r="AU1068" s="18"/>
      <c r="AV1068" s="133"/>
      <c r="AW1068" s="34"/>
      <c r="AX1068" s="123"/>
    </row>
    <row r="1069" spans="1:50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73" t="s">
        <v>1018</v>
      </c>
      <c r="AB1069" s="74" t="s">
        <v>286</v>
      </c>
      <c r="AC1069" s="43"/>
      <c r="AD1069" s="44"/>
      <c r="AE1069" s="44"/>
      <c r="AF1069" s="44"/>
      <c r="AG1069" s="44"/>
      <c r="AH1069" s="44"/>
      <c r="AI1069" s="44"/>
      <c r="AJ1069" s="43"/>
      <c r="AK1069" s="44"/>
      <c r="AL1069" s="115"/>
      <c r="AM1069" s="115"/>
      <c r="AN1069" s="115"/>
      <c r="AO1069" s="115"/>
      <c r="AP1069" s="115"/>
      <c r="AQ1069" s="34"/>
      <c r="AR1069" s="34"/>
      <c r="AS1069" s="34"/>
      <c r="AT1069" s="40"/>
      <c r="AU1069" s="18"/>
      <c r="AV1069" s="133"/>
      <c r="AW1069" s="34"/>
      <c r="AX1069" s="123"/>
    </row>
    <row r="1070" spans="1:50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73" t="s">
        <v>1021</v>
      </c>
      <c r="AB1070" s="74" t="s">
        <v>1070</v>
      </c>
      <c r="AC1070" s="43"/>
      <c r="AD1070" s="44"/>
      <c r="AE1070" s="44"/>
      <c r="AF1070" s="44"/>
      <c r="AG1070" s="44"/>
      <c r="AH1070" s="44"/>
      <c r="AI1070" s="44"/>
      <c r="AJ1070" s="43"/>
      <c r="AK1070" s="44"/>
      <c r="AL1070" s="115"/>
      <c r="AM1070" s="115"/>
      <c r="AN1070" s="115"/>
      <c r="AO1070" s="115"/>
      <c r="AP1070" s="115"/>
      <c r="AQ1070" s="34"/>
      <c r="AR1070" s="34"/>
      <c r="AS1070" s="34"/>
      <c r="AT1070" s="40"/>
      <c r="AU1070" s="18"/>
      <c r="AV1070" s="133"/>
      <c r="AW1070" s="34"/>
      <c r="AX1070" s="123"/>
    </row>
    <row r="1071" spans="1:50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1" t="s">
        <v>1019</v>
      </c>
      <c r="AB1071" s="42" t="s">
        <v>1005</v>
      </c>
      <c r="AC1071" s="43"/>
      <c r="AD1071" s="44">
        <v>0</v>
      </c>
      <c r="AE1071" s="43">
        <v>5053333</v>
      </c>
      <c r="AF1071" s="44">
        <v>0</v>
      </c>
      <c r="AG1071" s="44">
        <v>0</v>
      </c>
      <c r="AH1071" s="44">
        <v>0</v>
      </c>
      <c r="AI1071" s="43">
        <f>AE1071-AF1071+AG1071-AH1071</f>
        <v>5053333</v>
      </c>
      <c r="AJ1071" s="43">
        <f>AD1071+AI1071</f>
        <v>5053333</v>
      </c>
      <c r="AK1071" s="44">
        <v>0</v>
      </c>
      <c r="AL1071" s="115">
        <v>0</v>
      </c>
      <c r="AM1071" s="115">
        <v>0</v>
      </c>
      <c r="AN1071" s="115">
        <v>0</v>
      </c>
      <c r="AO1071" s="115">
        <v>0</v>
      </c>
      <c r="AP1071" s="115">
        <v>0</v>
      </c>
      <c r="AQ1071" s="34">
        <v>0</v>
      </c>
      <c r="AR1071" s="34">
        <v>0</v>
      </c>
      <c r="AS1071" s="34">
        <v>0</v>
      </c>
      <c r="AT1071" s="40">
        <f t="shared" ref="AT1071" si="422">AQ1071+AS1071</f>
        <v>0</v>
      </c>
      <c r="AU1071" s="18">
        <f>AJ1071-AM1071</f>
        <v>5053333</v>
      </c>
      <c r="AV1071" s="133">
        <f>AM1071-AP1071</f>
        <v>0</v>
      </c>
      <c r="AW1071" s="34">
        <f>AP1071-AT1071</f>
        <v>0</v>
      </c>
      <c r="AX1071" s="123">
        <f>AP1071/AJ1071</f>
        <v>0</v>
      </c>
    </row>
    <row r="1072" spans="1:50" x14ac:dyDescent="0.2">
      <c r="AA1072" s="16"/>
      <c r="AB1072" s="17"/>
      <c r="AC1072" s="17"/>
      <c r="AD1072" s="18"/>
      <c r="AE1072" s="34"/>
      <c r="AF1072" s="34"/>
      <c r="AG1072" s="34"/>
      <c r="AH1072" s="34"/>
      <c r="AI1072" s="34"/>
      <c r="AJ1072" s="18"/>
      <c r="AK1072" s="18"/>
      <c r="AL1072" s="18"/>
      <c r="AM1072" s="18"/>
      <c r="AN1072" s="34"/>
      <c r="AO1072" s="18"/>
      <c r="AP1072" s="18"/>
      <c r="AQ1072" s="18"/>
      <c r="AR1072" s="34"/>
      <c r="AS1072" s="34"/>
      <c r="AT1072" s="40"/>
      <c r="AU1072" s="18"/>
      <c r="AV1072" s="18"/>
      <c r="AW1072" s="34"/>
      <c r="AX1072" s="18"/>
    </row>
    <row r="1073" spans="1:50" ht="18.75" customHeight="1" x14ac:dyDescent="0.2">
      <c r="AA1073" s="46"/>
      <c r="AB1073" s="47" t="s">
        <v>692</v>
      </c>
      <c r="AC1073" s="47"/>
      <c r="AD1073" s="48">
        <f t="shared" ref="AD1073:AS1073" si="423">SUM(AD1030:AD1072)</f>
        <v>12346184481</v>
      </c>
      <c r="AE1073" s="48">
        <f t="shared" si="423"/>
        <v>143462461.97</v>
      </c>
      <c r="AF1073" s="49">
        <f t="shared" si="423"/>
        <v>0</v>
      </c>
      <c r="AG1073" s="48">
        <f t="shared" si="423"/>
        <v>14146423215</v>
      </c>
      <c r="AH1073" s="48">
        <f t="shared" si="423"/>
        <v>13346423215</v>
      </c>
      <c r="AI1073" s="48">
        <f t="shared" si="423"/>
        <v>943462461.97000003</v>
      </c>
      <c r="AJ1073" s="48">
        <f t="shared" si="423"/>
        <v>13289646942.969999</v>
      </c>
      <c r="AK1073" s="49">
        <f t="shared" si="423"/>
        <v>0</v>
      </c>
      <c r="AL1073" s="48">
        <f t="shared" si="423"/>
        <v>2807305269.4700003</v>
      </c>
      <c r="AM1073" s="48">
        <f t="shared" si="423"/>
        <v>9273035800.4699993</v>
      </c>
      <c r="AN1073" s="48">
        <f t="shared" si="423"/>
        <v>0</v>
      </c>
      <c r="AO1073" s="48">
        <f t="shared" si="423"/>
        <v>299550000</v>
      </c>
      <c r="AP1073" s="48">
        <f t="shared" si="423"/>
        <v>6688280531</v>
      </c>
      <c r="AQ1073" s="48">
        <f t="shared" si="423"/>
        <v>48960000</v>
      </c>
      <c r="AR1073" s="121">
        <f t="shared" si="423"/>
        <v>445251333</v>
      </c>
      <c r="AS1073" s="121">
        <f t="shared" si="423"/>
        <v>3781389816.3299999</v>
      </c>
      <c r="AT1073" s="108">
        <f>AQ1073+AS1073</f>
        <v>3830349816.3299999</v>
      </c>
      <c r="AU1073" s="48">
        <f>SUM(AU1030:AU1072)</f>
        <v>4016611142.5000005</v>
      </c>
      <c r="AV1073" s="48">
        <f>SUM(AV1030:AV1072)</f>
        <v>2584755269.4699998</v>
      </c>
      <c r="AW1073" s="48">
        <f>SUM(AW1030:AW1072)</f>
        <v>2857930714.6700001</v>
      </c>
      <c r="AX1073" s="24">
        <f>AP1073/AJ1073</f>
        <v>0.50326999352966173</v>
      </c>
    </row>
    <row r="1074" spans="1:50" ht="18.75" customHeight="1" x14ac:dyDescent="0.2">
      <c r="AA1074" s="16"/>
      <c r="AB1074" s="17"/>
      <c r="AC1074" s="17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</row>
    <row r="1075" spans="1:50" s="25" customFormat="1" ht="18.75" customHeight="1" x14ac:dyDescent="0.2">
      <c r="B1075" s="71"/>
      <c r="C1075" s="71"/>
      <c r="D1075" s="71"/>
      <c r="E1075" s="71"/>
      <c r="F1075" s="71"/>
      <c r="G1075" s="71"/>
      <c r="H1075" s="71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71"/>
      <c r="T1075" s="71"/>
      <c r="U1075" s="71"/>
      <c r="V1075" s="71"/>
      <c r="W1075" s="71"/>
      <c r="X1075" s="71"/>
      <c r="Y1075" s="71"/>
      <c r="Z1075" s="71"/>
      <c r="AA1075" s="66"/>
      <c r="AB1075" s="21" t="s">
        <v>693</v>
      </c>
      <c r="AC1075" s="67"/>
      <c r="AD1075" s="63"/>
      <c r="AE1075" s="63"/>
      <c r="AF1075" s="63"/>
      <c r="AG1075" s="63"/>
      <c r="AH1075" s="63"/>
      <c r="AI1075" s="63"/>
      <c r="AJ1075" s="63"/>
      <c r="AK1075" s="63"/>
      <c r="AL1075" s="63"/>
      <c r="AM1075" s="63"/>
      <c r="AN1075" s="63"/>
      <c r="AO1075" s="63"/>
      <c r="AP1075" s="63"/>
      <c r="AQ1075" s="63"/>
      <c r="AR1075" s="63"/>
      <c r="AS1075" s="63"/>
      <c r="AT1075" s="63"/>
      <c r="AU1075" s="63"/>
      <c r="AV1075" s="63"/>
      <c r="AW1075" s="63"/>
      <c r="AX1075" s="63"/>
    </row>
    <row r="1076" spans="1:50" ht="18.75" customHeight="1" x14ac:dyDescent="0.2">
      <c r="AA1076" s="16"/>
      <c r="AB1076" s="29" t="s">
        <v>285</v>
      </c>
      <c r="AC1076" s="17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</row>
    <row r="1077" spans="1:50" ht="18.75" customHeight="1" x14ac:dyDescent="0.2">
      <c r="AA1077" s="16"/>
      <c r="AB1077" s="29" t="s">
        <v>286</v>
      </c>
      <c r="AC1077" s="17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</row>
    <row r="1078" spans="1:50" ht="18.75" customHeight="1" x14ac:dyDescent="0.2">
      <c r="AA1078" s="16"/>
      <c r="AB1078" s="29" t="s">
        <v>179</v>
      </c>
      <c r="AC1078" s="17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</row>
    <row r="1079" spans="1:50" x14ac:dyDescent="0.2">
      <c r="AA1079" s="16"/>
      <c r="AB1079" s="29" t="s">
        <v>189</v>
      </c>
      <c r="AC1079" s="17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</row>
    <row r="1080" spans="1:50" ht="38.25" x14ac:dyDescent="0.2">
      <c r="AA1080" s="16"/>
      <c r="AB1080" s="29" t="s">
        <v>193</v>
      </c>
      <c r="AC1080" s="17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30"/>
      <c r="AU1080" s="18"/>
      <c r="AV1080" s="18"/>
      <c r="AW1080" s="18"/>
      <c r="AX1080" s="18"/>
    </row>
    <row r="1081" spans="1:50" ht="25.5" x14ac:dyDescent="0.2">
      <c r="AA1081" s="28" t="s">
        <v>288</v>
      </c>
      <c r="AB1081" s="29" t="s">
        <v>694</v>
      </c>
      <c r="AC1081" s="17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30"/>
      <c r="AU1081" s="18"/>
      <c r="AV1081" s="18"/>
      <c r="AW1081" s="18"/>
      <c r="AX1081" s="18"/>
    </row>
    <row r="1082" spans="1:50" x14ac:dyDescent="0.2">
      <c r="A1082" s="4" t="s">
        <v>55</v>
      </c>
      <c r="B1082" s="4" t="s">
        <v>56</v>
      </c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1" t="s">
        <v>695</v>
      </c>
      <c r="AB1082" s="42" t="s">
        <v>233</v>
      </c>
      <c r="AC1082" s="43" t="s">
        <v>58</v>
      </c>
      <c r="AD1082" s="43">
        <v>20000000000</v>
      </c>
      <c r="AE1082" s="44">
        <v>0</v>
      </c>
      <c r="AF1082" s="44">
        <v>0</v>
      </c>
      <c r="AG1082" s="44">
        <v>0</v>
      </c>
      <c r="AH1082" s="43">
        <f>10000000000+500000000+431000000</f>
        <v>10931000000</v>
      </c>
      <c r="AI1082" s="43">
        <f>AE1082-AF1082+AG1082-AH1082</f>
        <v>-10931000000</v>
      </c>
      <c r="AJ1082" s="43">
        <f>AD1082+AI1082</f>
        <v>9069000000</v>
      </c>
      <c r="AK1082" s="115">
        <v>0</v>
      </c>
      <c r="AL1082" s="115">
        <v>0</v>
      </c>
      <c r="AM1082" s="114">
        <v>8927500500</v>
      </c>
      <c r="AN1082" s="115">
        <v>0</v>
      </c>
      <c r="AO1082" s="115">
        <v>0</v>
      </c>
      <c r="AP1082" s="114">
        <v>8927500500</v>
      </c>
      <c r="AQ1082" s="115">
        <v>0</v>
      </c>
      <c r="AR1082" s="115">
        <v>0</v>
      </c>
      <c r="AS1082" s="114">
        <v>8927500500</v>
      </c>
      <c r="AT1082" s="111">
        <f t="shared" ref="AT1082:AT1097" si="424">AQ1082+AS1082</f>
        <v>8927500500</v>
      </c>
      <c r="AU1082" s="18">
        <f>AJ1082-AM1082</f>
        <v>141499500</v>
      </c>
      <c r="AV1082" s="133">
        <f>AM1082-AP1082</f>
        <v>0</v>
      </c>
      <c r="AW1082" s="34">
        <f>AP1082-AT1082</f>
        <v>0</v>
      </c>
      <c r="AX1082" s="123">
        <f>AP1082/AJ1082</f>
        <v>0.98439745286139602</v>
      </c>
    </row>
    <row r="1083" spans="1:50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1" t="s">
        <v>1118</v>
      </c>
      <c r="AB1083" s="42" t="s">
        <v>1015</v>
      </c>
      <c r="AC1083" s="43"/>
      <c r="AD1083" s="44">
        <v>0</v>
      </c>
      <c r="AE1083" s="43">
        <v>1500000000</v>
      </c>
      <c r="AF1083" s="44">
        <v>0</v>
      </c>
      <c r="AG1083" s="44">
        <v>0</v>
      </c>
      <c r="AH1083" s="43">
        <f>200000000+715000000+584279684.66</f>
        <v>1499279684.6599998</v>
      </c>
      <c r="AI1083" s="43">
        <f>AE1083-AF1083+AG1083-AH1083</f>
        <v>720315.34000015259</v>
      </c>
      <c r="AJ1083" s="43">
        <f>AD1083+AI1083</f>
        <v>720315.34000015259</v>
      </c>
      <c r="AK1083" s="115">
        <v>0</v>
      </c>
      <c r="AL1083" s="115">
        <v>0</v>
      </c>
      <c r="AM1083" s="114">
        <v>0</v>
      </c>
      <c r="AN1083" s="115">
        <v>0</v>
      </c>
      <c r="AO1083" s="115">
        <v>0</v>
      </c>
      <c r="AP1083" s="114">
        <v>0</v>
      </c>
      <c r="AQ1083" s="115">
        <v>0</v>
      </c>
      <c r="AR1083" s="115">
        <v>0</v>
      </c>
      <c r="AS1083" s="115">
        <v>0</v>
      </c>
      <c r="AT1083" s="135">
        <f t="shared" si="424"/>
        <v>0</v>
      </c>
      <c r="AU1083" s="18">
        <f>AJ1083-AM1083</f>
        <v>720315.34000015259</v>
      </c>
      <c r="AV1083" s="133">
        <f>AM1083-AP1083</f>
        <v>0</v>
      </c>
      <c r="AW1083" s="34">
        <f>AP1083-AT1083</f>
        <v>0</v>
      </c>
      <c r="AX1083" s="123">
        <f>AP1083/AJ1083</f>
        <v>0</v>
      </c>
    </row>
    <row r="1084" spans="1:50" x14ac:dyDescent="0.2">
      <c r="AA1084" s="16"/>
      <c r="AB1084" s="17"/>
      <c r="AC1084" s="17"/>
      <c r="AD1084" s="18"/>
      <c r="AE1084" s="34"/>
      <c r="AF1084" s="34"/>
      <c r="AG1084" s="34"/>
      <c r="AH1084" s="34"/>
      <c r="AI1084" s="34"/>
      <c r="AJ1084" s="18"/>
      <c r="AK1084" s="18"/>
      <c r="AL1084" s="18"/>
      <c r="AM1084" s="18"/>
      <c r="AN1084" s="18"/>
      <c r="AO1084" s="18"/>
      <c r="AP1084" s="34"/>
      <c r="AQ1084" s="34"/>
      <c r="AR1084" s="34"/>
      <c r="AS1084" s="34"/>
      <c r="AT1084" s="40"/>
      <c r="AU1084" s="18"/>
      <c r="AV1084" s="18"/>
      <c r="AW1084" s="18"/>
      <c r="AX1084" s="18"/>
    </row>
    <row r="1085" spans="1:50" ht="25.5" x14ac:dyDescent="0.2">
      <c r="AA1085" s="16"/>
      <c r="AB1085" s="29" t="s">
        <v>195</v>
      </c>
      <c r="AC1085" s="17"/>
      <c r="AD1085" s="18"/>
      <c r="AE1085" s="34"/>
      <c r="AF1085" s="34"/>
      <c r="AG1085" s="34"/>
      <c r="AH1085" s="34"/>
      <c r="AI1085" s="34"/>
      <c r="AJ1085" s="18"/>
      <c r="AK1085" s="18"/>
      <c r="AL1085" s="18"/>
      <c r="AM1085" s="18"/>
      <c r="AN1085" s="18"/>
      <c r="AO1085" s="18"/>
      <c r="AP1085" s="34"/>
      <c r="AQ1085" s="34"/>
      <c r="AR1085" s="34"/>
      <c r="AS1085" s="34"/>
      <c r="AT1085" s="40"/>
      <c r="AU1085" s="18"/>
      <c r="AV1085" s="18"/>
      <c r="AW1085" s="18"/>
      <c r="AX1085" s="18"/>
    </row>
    <row r="1086" spans="1:50" ht="25.5" x14ac:dyDescent="0.2">
      <c r="AA1086" s="28" t="s">
        <v>288</v>
      </c>
      <c r="AB1086" s="29" t="s">
        <v>696</v>
      </c>
      <c r="AC1086" s="17"/>
      <c r="AD1086" s="18"/>
      <c r="AE1086" s="34"/>
      <c r="AF1086" s="34"/>
      <c r="AG1086" s="34"/>
      <c r="AH1086" s="34"/>
      <c r="AI1086" s="34"/>
      <c r="AJ1086" s="18"/>
      <c r="AK1086" s="18"/>
      <c r="AL1086" s="18"/>
      <c r="AM1086" s="18"/>
      <c r="AN1086" s="18"/>
      <c r="AO1086" s="18"/>
      <c r="AP1086" s="34"/>
      <c r="AQ1086" s="34"/>
      <c r="AR1086" s="34"/>
      <c r="AS1086" s="34"/>
      <c r="AT1086" s="40"/>
      <c r="AU1086" s="18"/>
      <c r="AV1086" s="18"/>
      <c r="AW1086" s="18"/>
      <c r="AX1086" s="18"/>
    </row>
    <row r="1087" spans="1:50" x14ac:dyDescent="0.2">
      <c r="A1087" s="4" t="s">
        <v>55</v>
      </c>
      <c r="B1087" s="4" t="s">
        <v>56</v>
      </c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1" t="s">
        <v>697</v>
      </c>
      <c r="AB1087" s="42" t="s">
        <v>233</v>
      </c>
      <c r="AC1087" s="43" t="s">
        <v>58</v>
      </c>
      <c r="AD1087" s="43">
        <v>5000000000</v>
      </c>
      <c r="AE1087" s="44">
        <v>0</v>
      </c>
      <c r="AF1087" s="44">
        <v>0</v>
      </c>
      <c r="AG1087" s="44">
        <v>0</v>
      </c>
      <c r="AH1087" s="43">
        <v>5000000000</v>
      </c>
      <c r="AI1087" s="43">
        <f t="shared" ref="AI1087" si="425">AE1087-AF1087+AG1087-AH1087</f>
        <v>-5000000000</v>
      </c>
      <c r="AJ1087" s="44">
        <f t="shared" ref="AJ1087" si="426">AD1087+AI1087</f>
        <v>0</v>
      </c>
      <c r="AK1087" s="44">
        <v>0</v>
      </c>
      <c r="AL1087" s="44">
        <v>0</v>
      </c>
      <c r="AM1087" s="44">
        <v>0</v>
      </c>
      <c r="AN1087" s="44">
        <v>0</v>
      </c>
      <c r="AO1087" s="44">
        <v>0</v>
      </c>
      <c r="AP1087" s="44">
        <v>0</v>
      </c>
      <c r="AQ1087" s="44">
        <v>0</v>
      </c>
      <c r="AR1087" s="44">
        <v>0</v>
      </c>
      <c r="AS1087" s="44">
        <v>0</v>
      </c>
      <c r="AT1087" s="40">
        <f t="shared" ref="AT1087:AT1088" si="427">AQ1087+AS1087</f>
        <v>0</v>
      </c>
      <c r="AU1087" s="34">
        <f>AJ1087-AM1087</f>
        <v>0</v>
      </c>
      <c r="AV1087" s="133">
        <f>AM1087-AP1087</f>
        <v>0</v>
      </c>
      <c r="AW1087" s="34">
        <f>AP1087-AT1087</f>
        <v>0</v>
      </c>
      <c r="AX1087" s="123">
        <v>0</v>
      </c>
    </row>
    <row r="1088" spans="1:50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1" t="s">
        <v>1119</v>
      </c>
      <c r="AB1088" s="42" t="s">
        <v>1015</v>
      </c>
      <c r="AC1088" s="43"/>
      <c r="AD1088" s="44">
        <v>0</v>
      </c>
      <c r="AE1088" s="43">
        <v>150000000</v>
      </c>
      <c r="AF1088" s="44">
        <v>0</v>
      </c>
      <c r="AG1088" s="44">
        <v>0</v>
      </c>
      <c r="AH1088" s="43">
        <v>150000000</v>
      </c>
      <c r="AI1088" s="43">
        <f>AE1088-AF1088+AG1088-AH1088</f>
        <v>0</v>
      </c>
      <c r="AJ1088" s="44">
        <f>AD1088+AI1088</f>
        <v>0</v>
      </c>
      <c r="AK1088" s="44">
        <v>0</v>
      </c>
      <c r="AL1088" s="44">
        <v>0</v>
      </c>
      <c r="AM1088" s="44">
        <v>0</v>
      </c>
      <c r="AN1088" s="44">
        <v>0</v>
      </c>
      <c r="AO1088" s="44">
        <v>0</v>
      </c>
      <c r="AP1088" s="44">
        <v>0</v>
      </c>
      <c r="AQ1088" s="44">
        <v>0</v>
      </c>
      <c r="AR1088" s="44">
        <v>0</v>
      </c>
      <c r="AS1088" s="44">
        <v>0</v>
      </c>
      <c r="AT1088" s="40">
        <f t="shared" si="427"/>
        <v>0</v>
      </c>
      <c r="AU1088" s="34">
        <f>AJ1088-AM1088</f>
        <v>0</v>
      </c>
      <c r="AV1088" s="133">
        <f>AM1088-AP1088</f>
        <v>0</v>
      </c>
      <c r="AW1088" s="34">
        <f>AP1088-AT1088</f>
        <v>0</v>
      </c>
      <c r="AX1088" s="123">
        <v>0</v>
      </c>
    </row>
    <row r="1089" spans="1:50" ht="25.5" x14ac:dyDescent="0.2">
      <c r="AA1089" s="28" t="s">
        <v>288</v>
      </c>
      <c r="AB1089" s="29" t="s">
        <v>698</v>
      </c>
      <c r="AC1089" s="17"/>
      <c r="AD1089" s="18"/>
      <c r="AE1089" s="18"/>
      <c r="AF1089" s="18"/>
      <c r="AG1089" s="18"/>
      <c r="AH1089" s="18"/>
      <c r="AI1089" s="18"/>
      <c r="AJ1089" s="18"/>
      <c r="AK1089" s="34"/>
      <c r="AL1089" s="34"/>
      <c r="AM1089" s="34"/>
      <c r="AN1089" s="34"/>
      <c r="AO1089" s="34"/>
      <c r="AP1089" s="34"/>
      <c r="AQ1089" s="18"/>
      <c r="AR1089" s="18"/>
      <c r="AS1089" s="18"/>
      <c r="AT1089" s="39"/>
      <c r="AU1089" s="34"/>
      <c r="AV1089" s="34"/>
      <c r="AW1089" s="34"/>
      <c r="AX1089" s="18"/>
    </row>
    <row r="1090" spans="1:50" x14ac:dyDescent="0.2">
      <c r="A1090" s="4" t="s">
        <v>55</v>
      </c>
      <c r="B1090" s="4" t="s">
        <v>56</v>
      </c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1" t="s">
        <v>699</v>
      </c>
      <c r="AB1090" s="42" t="s">
        <v>233</v>
      </c>
      <c r="AC1090" s="43" t="s">
        <v>58</v>
      </c>
      <c r="AD1090" s="43">
        <v>4500000000</v>
      </c>
      <c r="AE1090" s="44">
        <v>0</v>
      </c>
      <c r="AF1090" s="44">
        <v>0</v>
      </c>
      <c r="AG1090" s="44">
        <v>0</v>
      </c>
      <c r="AH1090" s="44">
        <v>0</v>
      </c>
      <c r="AI1090" s="44">
        <v>0</v>
      </c>
      <c r="AJ1090" s="43">
        <v>4500000000</v>
      </c>
      <c r="AK1090" s="44">
        <v>0</v>
      </c>
      <c r="AL1090" s="43">
        <f>AM1090-JULIO!AM1056</f>
        <v>0</v>
      </c>
      <c r="AM1090" s="43">
        <v>4500000000</v>
      </c>
      <c r="AN1090" s="44">
        <v>0</v>
      </c>
      <c r="AO1090" s="44">
        <v>0</v>
      </c>
      <c r="AP1090" s="44">
        <v>0</v>
      </c>
      <c r="AQ1090" s="44">
        <v>0</v>
      </c>
      <c r="AR1090" s="44">
        <v>0</v>
      </c>
      <c r="AS1090" s="44">
        <v>0</v>
      </c>
      <c r="AT1090" s="40">
        <f t="shared" si="424"/>
        <v>0</v>
      </c>
      <c r="AU1090" s="34">
        <f>AJ1090-AM1090</f>
        <v>0</v>
      </c>
      <c r="AV1090" s="18">
        <f>AM1090-AP1090</f>
        <v>4500000000</v>
      </c>
      <c r="AW1090" s="34">
        <f>AP1090-AT1090</f>
        <v>0</v>
      </c>
      <c r="AX1090" s="123">
        <f>AP1090/AJ1090</f>
        <v>0</v>
      </c>
    </row>
    <row r="1091" spans="1:50" x14ac:dyDescent="0.2">
      <c r="AA1091" s="16"/>
      <c r="AB1091" s="17"/>
      <c r="AC1091" s="17"/>
      <c r="AD1091" s="18"/>
      <c r="AE1091" s="34"/>
      <c r="AF1091" s="34"/>
      <c r="AG1091" s="34"/>
      <c r="AH1091" s="34"/>
      <c r="AI1091" s="34"/>
      <c r="AJ1091" s="18"/>
      <c r="AK1091" s="34"/>
      <c r="AL1091" s="34"/>
      <c r="AM1091" s="34"/>
      <c r="AN1091" s="34"/>
      <c r="AO1091" s="34"/>
      <c r="AP1091" s="34"/>
      <c r="AQ1091" s="34"/>
      <c r="AR1091" s="34"/>
      <c r="AS1091" s="34"/>
      <c r="AT1091" s="31"/>
      <c r="AU1091" s="34"/>
      <c r="AV1091" s="34"/>
      <c r="AW1091" s="34"/>
      <c r="AX1091" s="18"/>
    </row>
    <row r="1092" spans="1:50" ht="25.5" x14ac:dyDescent="0.2">
      <c r="AA1092" s="16"/>
      <c r="AB1092" s="29" t="s">
        <v>197</v>
      </c>
      <c r="AC1092" s="17"/>
      <c r="AD1092" s="18"/>
      <c r="AE1092" s="34"/>
      <c r="AF1092" s="34"/>
      <c r="AG1092" s="34"/>
      <c r="AH1092" s="34"/>
      <c r="AI1092" s="34"/>
      <c r="AJ1092" s="18"/>
      <c r="AK1092" s="34"/>
      <c r="AL1092" s="34"/>
      <c r="AM1092" s="34"/>
      <c r="AN1092" s="34"/>
      <c r="AO1092" s="34"/>
      <c r="AP1092" s="34"/>
      <c r="AQ1092" s="34"/>
      <c r="AR1092" s="34"/>
      <c r="AS1092" s="34"/>
      <c r="AT1092" s="31"/>
      <c r="AU1092" s="34"/>
      <c r="AV1092" s="34"/>
      <c r="AW1092" s="34"/>
      <c r="AX1092" s="18"/>
    </row>
    <row r="1093" spans="1:50" ht="25.5" x14ac:dyDescent="0.2">
      <c r="AA1093" s="28" t="s">
        <v>288</v>
      </c>
      <c r="AB1093" s="29" t="s">
        <v>700</v>
      </c>
      <c r="AC1093" s="17"/>
      <c r="AD1093" s="18"/>
      <c r="AE1093" s="34"/>
      <c r="AF1093" s="34"/>
      <c r="AG1093" s="34"/>
      <c r="AH1093" s="34"/>
      <c r="AI1093" s="34"/>
      <c r="AJ1093" s="18"/>
      <c r="AK1093" s="34"/>
      <c r="AL1093" s="34"/>
      <c r="AM1093" s="34"/>
      <c r="AN1093" s="34"/>
      <c r="AO1093" s="34"/>
      <c r="AP1093" s="34"/>
      <c r="AQ1093" s="34"/>
      <c r="AR1093" s="34"/>
      <c r="AS1093" s="34"/>
      <c r="AT1093" s="31"/>
      <c r="AU1093" s="34"/>
      <c r="AV1093" s="34"/>
      <c r="AW1093" s="34"/>
      <c r="AX1093" s="18"/>
    </row>
    <row r="1094" spans="1:50" x14ac:dyDescent="0.2">
      <c r="A1094" s="4" t="s">
        <v>55</v>
      </c>
      <c r="B1094" s="4" t="s">
        <v>56</v>
      </c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1" t="s">
        <v>701</v>
      </c>
      <c r="AB1094" s="42" t="s">
        <v>233</v>
      </c>
      <c r="AC1094" s="43" t="s">
        <v>58</v>
      </c>
      <c r="AD1094" s="43">
        <v>4500000000</v>
      </c>
      <c r="AE1094" s="44">
        <v>0</v>
      </c>
      <c r="AF1094" s="44">
        <v>0</v>
      </c>
      <c r="AG1094" s="44">
        <v>0</v>
      </c>
      <c r="AH1094" s="44">
        <v>0</v>
      </c>
      <c r="AI1094" s="44">
        <v>0</v>
      </c>
      <c r="AJ1094" s="43">
        <v>4500000000</v>
      </c>
      <c r="AK1094" s="44">
        <v>0</v>
      </c>
      <c r="AL1094" s="43">
        <f>AM1094-JULIO!AM1060</f>
        <v>-153180769</v>
      </c>
      <c r="AM1094" s="43">
        <v>4346819231</v>
      </c>
      <c r="AN1094" s="44">
        <v>0</v>
      </c>
      <c r="AO1094" s="43">
        <v>1755606000</v>
      </c>
      <c r="AP1094" s="44">
        <v>1755606000</v>
      </c>
      <c r="AQ1094" s="44">
        <v>0</v>
      </c>
      <c r="AR1094" s="43">
        <v>1755606000</v>
      </c>
      <c r="AS1094" s="43">
        <v>1755606000</v>
      </c>
      <c r="AT1094" s="39">
        <f t="shared" si="424"/>
        <v>1755606000</v>
      </c>
      <c r="AU1094" s="18">
        <f>AJ1094-AM1094</f>
        <v>153180769</v>
      </c>
      <c r="AV1094" s="18">
        <f>AM1094-AP1094</f>
        <v>2591213231</v>
      </c>
      <c r="AW1094" s="34">
        <f>AP1094-AT1094</f>
        <v>0</v>
      </c>
      <c r="AX1094" s="123">
        <f>AP1094/AJ1094</f>
        <v>0.39013466666666669</v>
      </c>
    </row>
    <row r="1095" spans="1:50" x14ac:dyDescent="0.2">
      <c r="AA1095" s="28" t="s">
        <v>288</v>
      </c>
      <c r="AB1095" s="29" t="s">
        <v>400</v>
      </c>
      <c r="AC1095" s="17"/>
      <c r="AD1095" s="18"/>
      <c r="AE1095" s="34"/>
      <c r="AF1095" s="34"/>
      <c r="AG1095" s="34"/>
      <c r="AH1095" s="34"/>
      <c r="AI1095" s="34"/>
      <c r="AJ1095" s="18"/>
      <c r="AK1095" s="34"/>
      <c r="AL1095" s="18"/>
      <c r="AM1095" s="18"/>
      <c r="AN1095" s="34"/>
      <c r="AO1095" s="34"/>
      <c r="AP1095" s="18"/>
      <c r="AQ1095" s="18"/>
      <c r="AR1095" s="18"/>
      <c r="AS1095" s="18"/>
      <c r="AT1095" s="31"/>
      <c r="AU1095" s="18"/>
      <c r="AV1095" s="18"/>
      <c r="AW1095" s="18"/>
      <c r="AX1095" s="18"/>
    </row>
    <row r="1096" spans="1:50" x14ac:dyDescent="0.2">
      <c r="A1096" s="4" t="s">
        <v>55</v>
      </c>
      <c r="B1096" s="4" t="s">
        <v>56</v>
      </c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1" t="s">
        <v>401</v>
      </c>
      <c r="AB1096" s="42" t="s">
        <v>233</v>
      </c>
      <c r="AC1096" s="43" t="s">
        <v>58</v>
      </c>
      <c r="AD1096" s="43">
        <v>4899360013</v>
      </c>
      <c r="AE1096" s="44">
        <v>0</v>
      </c>
      <c r="AF1096" s="44">
        <v>0</v>
      </c>
      <c r="AG1096" s="44">
        <v>0</v>
      </c>
      <c r="AH1096" s="44">
        <v>0</v>
      </c>
      <c r="AI1096" s="44">
        <v>0</v>
      </c>
      <c r="AJ1096" s="43">
        <v>4899360013</v>
      </c>
      <c r="AK1096" s="43">
        <v>0</v>
      </c>
      <c r="AL1096" s="43">
        <f>AM1096-JULIO!AM1062</f>
        <v>-276630153</v>
      </c>
      <c r="AM1096" s="43">
        <v>4412631960</v>
      </c>
      <c r="AN1096" s="43">
        <v>0</v>
      </c>
      <c r="AO1096" s="43">
        <v>0</v>
      </c>
      <c r="AP1096" s="43">
        <v>1910039285</v>
      </c>
      <c r="AQ1096" s="43">
        <v>44950000</v>
      </c>
      <c r="AR1096" s="43">
        <v>191600238</v>
      </c>
      <c r="AS1096" s="43">
        <v>1054978333</v>
      </c>
      <c r="AT1096" s="111">
        <f t="shared" si="424"/>
        <v>1099928333</v>
      </c>
      <c r="AU1096" s="18">
        <f>AJ1096-AM1096</f>
        <v>486728053</v>
      </c>
      <c r="AV1096" s="18">
        <f>AM1096-AP1096</f>
        <v>2502592675</v>
      </c>
      <c r="AW1096" s="18">
        <f>AP1096-AT1096</f>
        <v>810110952</v>
      </c>
      <c r="AX1096" s="123">
        <f>AP1096/AJ1096</f>
        <v>0.38985485449770724</v>
      </c>
    </row>
    <row r="1097" spans="1:50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1" t="s">
        <v>401</v>
      </c>
      <c r="AB1097" s="42" t="s">
        <v>1015</v>
      </c>
      <c r="AC1097" s="43"/>
      <c r="AD1097" s="44">
        <v>0</v>
      </c>
      <c r="AE1097" s="43">
        <v>533723107.06</v>
      </c>
      <c r="AF1097" s="44">
        <v>0</v>
      </c>
      <c r="AG1097" s="44">
        <v>0</v>
      </c>
      <c r="AH1097" s="44">
        <v>0</v>
      </c>
      <c r="AI1097" s="43">
        <f>AE1097-AF1097+AG1097-AH1097</f>
        <v>533723107.06</v>
      </c>
      <c r="AJ1097" s="43">
        <f>AD1097+AI1097</f>
        <v>533723107.06</v>
      </c>
      <c r="AK1097" s="44">
        <v>0</v>
      </c>
      <c r="AL1097" s="44">
        <v>0</v>
      </c>
      <c r="AM1097" s="44">
        <v>0</v>
      </c>
      <c r="AN1097" s="44">
        <v>0</v>
      </c>
      <c r="AO1097" s="44">
        <v>0</v>
      </c>
      <c r="AP1097" s="44">
        <v>0</v>
      </c>
      <c r="AQ1097" s="44">
        <v>0</v>
      </c>
      <c r="AR1097" s="44">
        <v>0</v>
      </c>
      <c r="AS1097" s="44">
        <v>0</v>
      </c>
      <c r="AT1097" s="135">
        <f t="shared" si="424"/>
        <v>0</v>
      </c>
      <c r="AU1097" s="18">
        <f>AJ1097-AM1097</f>
        <v>533723107.06</v>
      </c>
      <c r="AV1097" s="34">
        <f>AM1097-AP1097</f>
        <v>0</v>
      </c>
      <c r="AW1097" s="34">
        <f>AP1097-AT1097</f>
        <v>0</v>
      </c>
      <c r="AX1097" s="123">
        <f>AP1097/AJ1097</f>
        <v>0</v>
      </c>
    </row>
    <row r="1098" spans="1:50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73" t="s">
        <v>288</v>
      </c>
      <c r="AB1098" s="74" t="s">
        <v>292</v>
      </c>
      <c r="AC1098" s="43"/>
      <c r="AD1098" s="44"/>
      <c r="AE1098" s="43"/>
      <c r="AF1098" s="44"/>
      <c r="AG1098" s="44"/>
      <c r="AH1098" s="44"/>
      <c r="AI1098" s="43"/>
      <c r="AJ1098" s="43"/>
      <c r="AK1098" s="44"/>
      <c r="AL1098" s="44"/>
      <c r="AM1098" s="44"/>
      <c r="AN1098" s="44"/>
      <c r="AO1098" s="44"/>
      <c r="AP1098" s="44"/>
      <c r="AQ1098" s="44"/>
      <c r="AR1098" s="44"/>
      <c r="AS1098" s="44"/>
      <c r="AT1098" s="135"/>
      <c r="AU1098" s="18"/>
      <c r="AV1098" s="34"/>
      <c r="AW1098" s="34"/>
      <c r="AX1098" s="123"/>
    </row>
    <row r="1099" spans="1:50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1" t="s">
        <v>1262</v>
      </c>
      <c r="AB1099" s="42" t="s">
        <v>1015</v>
      </c>
      <c r="AC1099" s="43"/>
      <c r="AD1099" s="44">
        <v>0</v>
      </c>
      <c r="AE1099" s="43">
        <v>0</v>
      </c>
      <c r="AF1099" s="44">
        <v>0</v>
      </c>
      <c r="AG1099" s="252">
        <v>15000000</v>
      </c>
      <c r="AH1099" s="44">
        <v>0</v>
      </c>
      <c r="AI1099" s="43">
        <f>AE1099-AF1099+AG1099-AH1099</f>
        <v>15000000</v>
      </c>
      <c r="AJ1099" s="43">
        <f>AD1099+AI1099</f>
        <v>15000000</v>
      </c>
      <c r="AK1099" s="44">
        <v>0</v>
      </c>
      <c r="AL1099" s="44">
        <v>0</v>
      </c>
      <c r="AM1099" s="44">
        <v>0</v>
      </c>
      <c r="AN1099" s="44">
        <v>0</v>
      </c>
      <c r="AO1099" s="44">
        <v>0</v>
      </c>
      <c r="AP1099" s="44">
        <v>0</v>
      </c>
      <c r="AQ1099" s="44">
        <v>0</v>
      </c>
      <c r="AR1099" s="44">
        <v>0</v>
      </c>
      <c r="AS1099" s="44">
        <v>0</v>
      </c>
      <c r="AT1099" s="135">
        <f t="shared" ref="AT1099" si="428">AQ1099+AS1099</f>
        <v>0</v>
      </c>
      <c r="AU1099" s="18">
        <f>AJ1099-AM1099</f>
        <v>15000000</v>
      </c>
      <c r="AV1099" s="34">
        <f>AM1099-AP1099</f>
        <v>0</v>
      </c>
      <c r="AW1099" s="34">
        <f>AP1099-AT1099</f>
        <v>0</v>
      </c>
      <c r="AX1099" s="123">
        <f>AP1099/AJ1099</f>
        <v>0</v>
      </c>
    </row>
    <row r="1100" spans="1:50" ht="25.5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73" t="s">
        <v>288</v>
      </c>
      <c r="AB1100" s="74" t="s">
        <v>1329</v>
      </c>
      <c r="AC1100" s="43"/>
      <c r="AD1100" s="44"/>
      <c r="AE1100" s="43"/>
      <c r="AF1100" s="44"/>
      <c r="AG1100" s="252"/>
      <c r="AH1100" s="44"/>
      <c r="AI1100" s="43"/>
      <c r="AJ1100" s="43"/>
      <c r="AK1100" s="44"/>
      <c r="AL1100" s="44"/>
      <c r="AM1100" s="44"/>
      <c r="AN1100" s="44"/>
      <c r="AO1100" s="44"/>
      <c r="AP1100" s="44"/>
      <c r="AQ1100" s="44"/>
      <c r="AR1100" s="44"/>
      <c r="AS1100" s="44"/>
      <c r="AT1100" s="135"/>
      <c r="AU1100" s="18"/>
      <c r="AV1100" s="34"/>
      <c r="AW1100" s="34"/>
      <c r="AX1100" s="123"/>
    </row>
    <row r="1101" spans="1:50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1" t="s">
        <v>1330</v>
      </c>
      <c r="AB1101" s="42" t="s">
        <v>1015</v>
      </c>
      <c r="AC1101" s="43"/>
      <c r="AD1101" s="44">
        <v>0</v>
      </c>
      <c r="AE1101" s="43">
        <v>0</v>
      </c>
      <c r="AF1101" s="44">
        <v>0</v>
      </c>
      <c r="AG1101" s="43">
        <v>584279684.65999997</v>
      </c>
      <c r="AH1101" s="44">
        <v>0</v>
      </c>
      <c r="AI1101" s="43">
        <f>AE1101-AF1101+AG1101-AH1101</f>
        <v>584279684.65999997</v>
      </c>
      <c r="AJ1101" s="43">
        <f>AD1101+AI1101</f>
        <v>584279684.65999997</v>
      </c>
      <c r="AK1101" s="44">
        <v>0</v>
      </c>
      <c r="AL1101" s="44">
        <v>0</v>
      </c>
      <c r="AM1101" s="44">
        <v>0</v>
      </c>
      <c r="AN1101" s="44">
        <v>0</v>
      </c>
      <c r="AO1101" s="44">
        <v>0</v>
      </c>
      <c r="AP1101" s="44">
        <v>0</v>
      </c>
      <c r="AQ1101" s="44">
        <v>0</v>
      </c>
      <c r="AR1101" s="44">
        <v>0</v>
      </c>
      <c r="AS1101" s="44">
        <v>0</v>
      </c>
      <c r="AT1101" s="135">
        <f t="shared" ref="AT1101" si="429">AQ1101+AS1101</f>
        <v>0</v>
      </c>
      <c r="AU1101" s="18">
        <f>AJ1101-AM1101</f>
        <v>584279684.65999997</v>
      </c>
      <c r="AV1101" s="34">
        <f>AM1101-AP1101</f>
        <v>0</v>
      </c>
      <c r="AW1101" s="34">
        <f>AP1101-AT1101</f>
        <v>0</v>
      </c>
      <c r="AX1101" s="123">
        <f>AP1101/AJ1101</f>
        <v>0</v>
      </c>
    </row>
    <row r="1102" spans="1:50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1"/>
      <c r="AB1102" s="42"/>
      <c r="AC1102" s="43"/>
      <c r="AD1102" s="44"/>
      <c r="AE1102" s="43"/>
      <c r="AF1102" s="44"/>
      <c r="AG1102" s="252"/>
      <c r="AH1102" s="44"/>
      <c r="AI1102" s="43"/>
      <c r="AJ1102" s="43"/>
      <c r="AK1102" s="44"/>
      <c r="AL1102" s="44"/>
      <c r="AM1102" s="43"/>
      <c r="AN1102" s="44"/>
      <c r="AO1102" s="44"/>
      <c r="AP1102" s="44"/>
      <c r="AQ1102" s="44"/>
      <c r="AR1102" s="44"/>
      <c r="AS1102" s="44"/>
      <c r="AT1102" s="135"/>
      <c r="AU1102" s="18"/>
      <c r="AV1102" s="34"/>
      <c r="AW1102" s="34"/>
      <c r="AX1102" s="123"/>
    </row>
    <row r="1103" spans="1:50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1"/>
      <c r="AB1103" s="42"/>
      <c r="AC1103" s="43"/>
      <c r="AD1103" s="44"/>
      <c r="AE1103" s="43"/>
      <c r="AF1103" s="44"/>
      <c r="AG1103" s="44"/>
      <c r="AH1103" s="44"/>
      <c r="AI1103" s="44"/>
      <c r="AJ1103" s="43"/>
      <c r="AK1103" s="44"/>
      <c r="AL1103" s="44"/>
      <c r="AM1103" s="43"/>
      <c r="AN1103" s="44"/>
      <c r="AO1103" s="44"/>
      <c r="AP1103" s="44"/>
      <c r="AQ1103" s="44"/>
      <c r="AR1103" s="44"/>
      <c r="AS1103" s="44"/>
      <c r="AT1103" s="135"/>
      <c r="AU1103" s="18"/>
      <c r="AV1103" s="34"/>
      <c r="AW1103" s="34"/>
      <c r="AX1103" s="123"/>
    </row>
    <row r="1104" spans="1:50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73" t="s">
        <v>1016</v>
      </c>
      <c r="AB1104" s="74" t="s">
        <v>1068</v>
      </c>
      <c r="AC1104" s="43"/>
      <c r="AD1104" s="44"/>
      <c r="AE1104" s="43"/>
      <c r="AF1104" s="44"/>
      <c r="AG1104" s="44"/>
      <c r="AH1104" s="44"/>
      <c r="AI1104" s="44"/>
      <c r="AJ1104" s="43"/>
      <c r="AK1104" s="44"/>
      <c r="AL1104" s="44"/>
      <c r="AM1104" s="43"/>
      <c r="AN1104" s="44"/>
      <c r="AO1104" s="44"/>
      <c r="AP1104" s="44"/>
      <c r="AQ1104" s="44"/>
      <c r="AR1104" s="44"/>
      <c r="AS1104" s="44"/>
      <c r="AT1104" s="135"/>
      <c r="AU1104" s="18"/>
      <c r="AV1104" s="34"/>
      <c r="AW1104" s="34"/>
      <c r="AX1104" s="123"/>
    </row>
    <row r="1105" spans="1:50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73" t="s">
        <v>1017</v>
      </c>
      <c r="AB1105" s="74" t="s">
        <v>1069</v>
      </c>
      <c r="AC1105" s="43"/>
      <c r="AD1105" s="44"/>
      <c r="AE1105" s="43"/>
      <c r="AF1105" s="44"/>
      <c r="AG1105" s="44"/>
      <c r="AH1105" s="44"/>
      <c r="AI1105" s="44"/>
      <c r="AJ1105" s="43"/>
      <c r="AK1105" s="44"/>
      <c r="AL1105" s="44"/>
      <c r="AM1105" s="43"/>
      <c r="AN1105" s="44"/>
      <c r="AO1105" s="44"/>
      <c r="AP1105" s="44"/>
      <c r="AQ1105" s="44"/>
      <c r="AR1105" s="44"/>
      <c r="AS1105" s="44"/>
      <c r="AT1105" s="135"/>
      <c r="AU1105" s="18"/>
      <c r="AV1105" s="34"/>
      <c r="AW1105" s="34"/>
      <c r="AX1105" s="123"/>
    </row>
    <row r="1106" spans="1:50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73" t="s">
        <v>1018</v>
      </c>
      <c r="AB1106" s="74" t="s">
        <v>286</v>
      </c>
      <c r="AC1106" s="43"/>
      <c r="AD1106" s="44"/>
      <c r="AE1106" s="43"/>
      <c r="AF1106" s="44"/>
      <c r="AG1106" s="44"/>
      <c r="AH1106" s="44"/>
      <c r="AI1106" s="44"/>
      <c r="AJ1106" s="43"/>
      <c r="AK1106" s="44"/>
      <c r="AL1106" s="44"/>
      <c r="AM1106" s="43"/>
      <c r="AN1106" s="44"/>
      <c r="AO1106" s="44"/>
      <c r="AP1106" s="44"/>
      <c r="AQ1106" s="44"/>
      <c r="AR1106" s="44"/>
      <c r="AS1106" s="44"/>
      <c r="AT1106" s="135"/>
      <c r="AU1106" s="18"/>
      <c r="AV1106" s="34"/>
      <c r="AW1106" s="34"/>
      <c r="AX1106" s="123"/>
    </row>
    <row r="1107" spans="1:50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73" t="s">
        <v>1021</v>
      </c>
      <c r="AB1107" s="74" t="s">
        <v>1070</v>
      </c>
      <c r="AC1107" s="43"/>
      <c r="AD1107" s="44"/>
      <c r="AE1107" s="43"/>
      <c r="AF1107" s="44"/>
      <c r="AG1107" s="44"/>
      <c r="AH1107" s="44"/>
      <c r="AI1107" s="44"/>
      <c r="AJ1107" s="43"/>
      <c r="AK1107" s="44"/>
      <c r="AL1107" s="44"/>
      <c r="AM1107" s="43"/>
      <c r="AN1107" s="44"/>
      <c r="AO1107" s="44"/>
      <c r="AP1107" s="44"/>
      <c r="AQ1107" s="44"/>
      <c r="AR1107" s="44"/>
      <c r="AS1107" s="44"/>
      <c r="AT1107" s="135"/>
      <c r="AU1107" s="18"/>
      <c r="AV1107" s="34"/>
      <c r="AW1107" s="34"/>
      <c r="AX1107" s="123"/>
    </row>
    <row r="1108" spans="1:50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1" t="s">
        <v>1019</v>
      </c>
      <c r="AB1108" s="42" t="s">
        <v>1005</v>
      </c>
      <c r="AC1108" s="43"/>
      <c r="AD1108" s="44">
        <v>0</v>
      </c>
      <c r="AE1108" s="43">
        <v>546274807</v>
      </c>
      <c r="AF1108" s="44">
        <v>0</v>
      </c>
      <c r="AG1108" s="44">
        <v>0</v>
      </c>
      <c r="AH1108" s="44">
        <v>0</v>
      </c>
      <c r="AI1108" s="43">
        <f>AE1108-AF1108+AG1108-AH1108</f>
        <v>546274807</v>
      </c>
      <c r="AJ1108" s="43">
        <f>AD1108+AI1108</f>
        <v>546274807</v>
      </c>
      <c r="AK1108" s="44">
        <v>0</v>
      </c>
      <c r="AL1108" s="44">
        <v>0</v>
      </c>
      <c r="AM1108" s="43">
        <v>0</v>
      </c>
      <c r="AN1108" s="44">
        <v>0</v>
      </c>
      <c r="AO1108" s="44">
        <v>0</v>
      </c>
      <c r="AP1108" s="44">
        <v>0</v>
      </c>
      <c r="AQ1108" s="44">
        <v>0</v>
      </c>
      <c r="AR1108" s="44">
        <v>0</v>
      </c>
      <c r="AS1108" s="44">
        <v>0</v>
      </c>
      <c r="AT1108" s="135">
        <f t="shared" ref="AT1108" si="430">AQ1108+AS1108</f>
        <v>0</v>
      </c>
      <c r="AU1108" s="18">
        <f>AJ1108-AM1108</f>
        <v>546274807</v>
      </c>
      <c r="AV1108" s="34">
        <f>AM1108-AP1108</f>
        <v>0</v>
      </c>
      <c r="AW1108" s="34">
        <f>AP1108-AT1108</f>
        <v>0</v>
      </c>
      <c r="AX1108" s="123">
        <f>AP1108/AJ1108</f>
        <v>0</v>
      </c>
    </row>
    <row r="1109" spans="1:50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1"/>
      <c r="AB1109" s="42"/>
      <c r="AC1109" s="43"/>
      <c r="AD1109" s="43"/>
      <c r="AE1109" s="43"/>
      <c r="AF1109" s="44"/>
      <c r="AG1109" s="44"/>
      <c r="AH1109" s="44"/>
      <c r="AI1109" s="44"/>
      <c r="AJ1109" s="43"/>
      <c r="AK1109" s="44"/>
      <c r="AL1109" s="44"/>
      <c r="AM1109" s="43"/>
      <c r="AN1109" s="44"/>
      <c r="AO1109" s="44"/>
      <c r="AP1109" s="43"/>
      <c r="AQ1109" s="43"/>
      <c r="AR1109" s="43"/>
      <c r="AS1109" s="43"/>
      <c r="AT1109" s="111"/>
      <c r="AU1109" s="18"/>
      <c r="AV1109" s="18"/>
      <c r="AW1109" s="18"/>
      <c r="AX1109" s="123"/>
    </row>
    <row r="1110" spans="1:50" s="50" customFormat="1" x14ac:dyDescent="0.2">
      <c r="B1110" s="77"/>
      <c r="C1110" s="77"/>
      <c r="D1110" s="77"/>
      <c r="E1110" s="77"/>
      <c r="F1110" s="77"/>
      <c r="G1110" s="77"/>
      <c r="H1110" s="77"/>
      <c r="I1110" s="77"/>
      <c r="J1110" s="77"/>
      <c r="K1110" s="77"/>
      <c r="L1110" s="77"/>
      <c r="M1110" s="77"/>
      <c r="N1110" s="77"/>
      <c r="O1110" s="77"/>
      <c r="P1110" s="77"/>
      <c r="Q1110" s="77"/>
      <c r="R1110" s="77"/>
      <c r="S1110" s="77"/>
      <c r="T1110" s="77"/>
      <c r="U1110" s="77"/>
      <c r="V1110" s="77"/>
      <c r="W1110" s="77"/>
      <c r="X1110" s="77"/>
      <c r="Y1110" s="77"/>
      <c r="Z1110" s="77"/>
      <c r="AA1110" s="46"/>
      <c r="AB1110" s="47" t="s">
        <v>702</v>
      </c>
      <c r="AC1110" s="47"/>
      <c r="AD1110" s="48">
        <f t="shared" ref="AD1110:AW1110" si="431">SUM(AD1079:AD1109)</f>
        <v>38899360013</v>
      </c>
      <c r="AE1110" s="48">
        <f t="shared" si="431"/>
        <v>2729997914.0599999</v>
      </c>
      <c r="AF1110" s="49">
        <f t="shared" si="431"/>
        <v>0</v>
      </c>
      <c r="AG1110" s="49">
        <f t="shared" si="431"/>
        <v>599279684.65999997</v>
      </c>
      <c r="AH1110" s="48">
        <f t="shared" si="431"/>
        <v>17580279684.66</v>
      </c>
      <c r="AI1110" s="48">
        <f t="shared" si="431"/>
        <v>-14251002085.940001</v>
      </c>
      <c r="AJ1110" s="48">
        <f t="shared" si="431"/>
        <v>24648357927.060001</v>
      </c>
      <c r="AK1110" s="49">
        <f t="shared" si="431"/>
        <v>0</v>
      </c>
      <c r="AL1110" s="48">
        <f t="shared" si="431"/>
        <v>-429810922</v>
      </c>
      <c r="AM1110" s="48">
        <f t="shared" si="431"/>
        <v>22186951691</v>
      </c>
      <c r="AN1110" s="48">
        <f t="shared" si="431"/>
        <v>0</v>
      </c>
      <c r="AO1110" s="48">
        <f t="shared" si="431"/>
        <v>1755606000</v>
      </c>
      <c r="AP1110" s="48">
        <f t="shared" si="431"/>
        <v>12593145785</v>
      </c>
      <c r="AQ1110" s="48">
        <f t="shared" si="431"/>
        <v>44950000</v>
      </c>
      <c r="AR1110" s="48">
        <f t="shared" si="431"/>
        <v>1947206238</v>
      </c>
      <c r="AS1110" s="48">
        <f t="shared" si="431"/>
        <v>11738084833</v>
      </c>
      <c r="AT1110" s="48">
        <f t="shared" si="431"/>
        <v>11783034833</v>
      </c>
      <c r="AU1110" s="48">
        <f t="shared" si="431"/>
        <v>2461406236.0599999</v>
      </c>
      <c r="AV1110" s="48">
        <f t="shared" si="431"/>
        <v>9593805906</v>
      </c>
      <c r="AW1110" s="48">
        <f t="shared" si="431"/>
        <v>810110952</v>
      </c>
      <c r="AX1110" s="24">
        <f>AP1110/AJ1110</f>
        <v>0.51091215983904215</v>
      </c>
    </row>
    <row r="1111" spans="1:50" x14ac:dyDescent="0.2">
      <c r="AA1111" s="16"/>
      <c r="AB1111" s="17"/>
      <c r="AC1111" s="17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</row>
    <row r="1112" spans="1:50" s="25" customFormat="1" x14ac:dyDescent="0.2">
      <c r="B1112" s="71"/>
      <c r="C1112" s="71"/>
      <c r="D1112" s="71"/>
      <c r="E1112" s="71"/>
      <c r="F1112" s="71"/>
      <c r="G1112" s="71"/>
      <c r="H1112" s="71"/>
      <c r="I1112" s="71"/>
      <c r="J1112" s="71"/>
      <c r="K1112" s="71"/>
      <c r="L1112" s="71"/>
      <c r="M1112" s="71"/>
      <c r="N1112" s="71"/>
      <c r="O1112" s="71"/>
      <c r="P1112" s="71"/>
      <c r="Q1112" s="71"/>
      <c r="R1112" s="71"/>
      <c r="S1112" s="71"/>
      <c r="T1112" s="71"/>
      <c r="U1112" s="71"/>
      <c r="V1112" s="71"/>
      <c r="W1112" s="71"/>
      <c r="X1112" s="71"/>
      <c r="Y1112" s="71"/>
      <c r="Z1112" s="71"/>
      <c r="AA1112" s="66"/>
      <c r="AB1112" s="21" t="s">
        <v>703</v>
      </c>
      <c r="AC1112" s="67"/>
      <c r="AD1112" s="63"/>
      <c r="AE1112" s="63"/>
      <c r="AF1112" s="63"/>
      <c r="AG1112" s="63"/>
      <c r="AH1112" s="63"/>
      <c r="AI1112" s="63"/>
      <c r="AJ1112" s="63"/>
      <c r="AK1112" s="63"/>
      <c r="AL1112" s="63"/>
      <c r="AM1112" s="63"/>
      <c r="AN1112" s="63"/>
      <c r="AO1112" s="63"/>
      <c r="AP1112" s="63"/>
      <c r="AQ1112" s="63"/>
      <c r="AR1112" s="63"/>
      <c r="AS1112" s="63"/>
      <c r="AT1112" s="63"/>
      <c r="AU1112" s="63"/>
      <c r="AV1112" s="63"/>
      <c r="AW1112" s="63"/>
      <c r="AX1112" s="63"/>
    </row>
    <row r="1113" spans="1:50" x14ac:dyDescent="0.2">
      <c r="AA1113" s="16"/>
      <c r="AB1113" s="29" t="s">
        <v>676</v>
      </c>
      <c r="AC1113" s="17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</row>
    <row r="1114" spans="1:50" ht="18.75" customHeight="1" x14ac:dyDescent="0.2">
      <c r="AA1114" s="16"/>
      <c r="AB1114" s="29" t="s">
        <v>286</v>
      </c>
      <c r="AC1114" s="17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</row>
    <row r="1115" spans="1:50" ht="18.75" customHeight="1" x14ac:dyDescent="0.2">
      <c r="AA1115" s="16"/>
      <c r="AB1115" s="29" t="s">
        <v>179</v>
      </c>
      <c r="AC1115" s="17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</row>
    <row r="1116" spans="1:50" ht="18.75" customHeight="1" x14ac:dyDescent="0.2">
      <c r="AA1116" s="16"/>
      <c r="AB1116" s="29" t="s">
        <v>189</v>
      </c>
      <c r="AC1116" s="17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</row>
    <row r="1117" spans="1:50" ht="18.75" customHeight="1" x14ac:dyDescent="0.2">
      <c r="AA1117" s="41" t="s">
        <v>288</v>
      </c>
      <c r="AB1117" s="29" t="s">
        <v>292</v>
      </c>
      <c r="AC1117" s="17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</row>
    <row r="1118" spans="1:50" ht="18.75" customHeight="1" x14ac:dyDescent="0.2">
      <c r="AA1118" s="41" t="s">
        <v>1262</v>
      </c>
      <c r="AB1118" s="38" t="s">
        <v>1015</v>
      </c>
      <c r="AC1118" s="17"/>
      <c r="AD1118" s="18">
        <v>0</v>
      </c>
      <c r="AE1118" s="18">
        <v>0</v>
      </c>
      <c r="AF1118" s="18">
        <v>0</v>
      </c>
      <c r="AG1118" s="18">
        <v>235000000</v>
      </c>
      <c r="AH1118" s="18">
        <v>0</v>
      </c>
      <c r="AI1118" s="43">
        <f>AE1118-AF1118+AG1118-AH1118</f>
        <v>235000000</v>
      </c>
      <c r="AJ1118" s="43">
        <f>AD1118+AI1118</f>
        <v>235000000</v>
      </c>
      <c r="AK1118" s="34">
        <v>0</v>
      </c>
      <c r="AL1118" s="34">
        <v>0</v>
      </c>
      <c r="AM1118" s="34">
        <v>0</v>
      </c>
      <c r="AN1118" s="18">
        <v>0</v>
      </c>
      <c r="AO1118" s="34">
        <v>0</v>
      </c>
      <c r="AP1118" s="34">
        <v>0</v>
      </c>
      <c r="AQ1118" s="34">
        <v>0</v>
      </c>
      <c r="AR1118" s="34">
        <v>0</v>
      </c>
      <c r="AS1118" s="34">
        <v>0</v>
      </c>
      <c r="AT1118" s="135">
        <f t="shared" ref="AT1118" si="432">AQ1118+AS1118</f>
        <v>0</v>
      </c>
      <c r="AU1118" s="18">
        <f>AJ1118-AM1118</f>
        <v>235000000</v>
      </c>
      <c r="AV1118" s="133">
        <f>AM1118-AP1118</f>
        <v>0</v>
      </c>
      <c r="AW1118" s="34">
        <f>AP1118-AT1118</f>
        <v>0</v>
      </c>
      <c r="AX1118" s="123">
        <f>AP1118/AJ1118</f>
        <v>0</v>
      </c>
    </row>
    <row r="1119" spans="1:50" ht="18.75" customHeight="1" x14ac:dyDescent="0.2">
      <c r="AA1119" s="16"/>
      <c r="AB1119" s="29" t="s">
        <v>199</v>
      </c>
      <c r="AC1119" s="17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30"/>
      <c r="AU1119" s="18"/>
      <c r="AV1119" s="18"/>
      <c r="AW1119" s="18"/>
      <c r="AX1119" s="18"/>
    </row>
    <row r="1120" spans="1:50" ht="39" customHeight="1" x14ac:dyDescent="0.2">
      <c r="AA1120" s="170" t="s">
        <v>288</v>
      </c>
      <c r="AB1120" s="165" t="s">
        <v>1124</v>
      </c>
      <c r="AC1120" s="161"/>
      <c r="AD1120" s="18"/>
      <c r="AE1120" s="222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30"/>
      <c r="AU1120" s="18"/>
      <c r="AV1120" s="18"/>
      <c r="AW1120" s="18"/>
      <c r="AX1120" s="18"/>
    </row>
    <row r="1121" spans="1:50" ht="28.5" customHeight="1" x14ac:dyDescent="0.2">
      <c r="AA1121" s="166" t="s">
        <v>1129</v>
      </c>
      <c r="AB1121" s="167" t="s">
        <v>1130</v>
      </c>
      <c r="AC1121" s="161"/>
      <c r="AD1121" s="34">
        <v>0</v>
      </c>
      <c r="AE1121" s="217">
        <v>13266452.33</v>
      </c>
      <c r="AF1121" s="232">
        <v>0</v>
      </c>
      <c r="AG1121" s="34">
        <v>0</v>
      </c>
      <c r="AH1121" s="34">
        <v>0</v>
      </c>
      <c r="AI1121" s="43">
        <f>AE1121-AF1121+AG1121-AH1121</f>
        <v>13266452.33</v>
      </c>
      <c r="AJ1121" s="43">
        <f>AD1121+AI1121</f>
        <v>13266452.33</v>
      </c>
      <c r="AK1121" s="34">
        <v>0</v>
      </c>
      <c r="AL1121" s="18">
        <v>13266452</v>
      </c>
      <c r="AM1121" s="18">
        <v>13266452</v>
      </c>
      <c r="AN1121" s="18">
        <v>0</v>
      </c>
      <c r="AO1121" s="18">
        <v>5651120</v>
      </c>
      <c r="AP1121" s="18">
        <v>5651120</v>
      </c>
      <c r="AQ1121" s="34">
        <v>0</v>
      </c>
      <c r="AR1121" s="34">
        <v>0</v>
      </c>
      <c r="AS1121" s="34">
        <v>0</v>
      </c>
      <c r="AT1121" s="135">
        <f t="shared" ref="AT1121:AT1123" si="433">AQ1121+AS1121</f>
        <v>0</v>
      </c>
      <c r="AU1121" s="18">
        <f>AJ1121-AM1121</f>
        <v>0.33000000007450581</v>
      </c>
      <c r="AV1121" s="18">
        <f>AM1121-AP1121</f>
        <v>7615332</v>
      </c>
      <c r="AW1121" s="18">
        <f>AP1121-AT1121</f>
        <v>5651120</v>
      </c>
      <c r="AX1121" s="123">
        <f>AP1121/AJ1121</f>
        <v>0.42597070109096757</v>
      </c>
    </row>
    <row r="1122" spans="1:50" ht="18.75" customHeight="1" x14ac:dyDescent="0.2">
      <c r="AA1122" s="166" t="s">
        <v>1127</v>
      </c>
      <c r="AB1122" s="167" t="s">
        <v>1128</v>
      </c>
      <c r="AC1122" s="161"/>
      <c r="AD1122" s="34">
        <v>0</v>
      </c>
      <c r="AE1122" s="217">
        <v>10555526.43</v>
      </c>
      <c r="AF1122" s="232">
        <v>0</v>
      </c>
      <c r="AG1122" s="34">
        <v>0</v>
      </c>
      <c r="AH1122" s="34">
        <v>0</v>
      </c>
      <c r="AI1122" s="43">
        <f>AE1122-AF1122+AG1122-AH1122</f>
        <v>10555526.43</v>
      </c>
      <c r="AJ1122" s="43">
        <f>AD1122+AI1122</f>
        <v>10555526.43</v>
      </c>
      <c r="AK1122" s="34">
        <v>0</v>
      </c>
      <c r="AL1122" s="18">
        <v>7784668</v>
      </c>
      <c r="AM1122" s="18">
        <v>7784668</v>
      </c>
      <c r="AN1122" s="18">
        <v>0</v>
      </c>
      <c r="AO1122" s="34">
        <v>0</v>
      </c>
      <c r="AP1122" s="34">
        <v>0</v>
      </c>
      <c r="AQ1122" s="34">
        <v>0</v>
      </c>
      <c r="AR1122" s="34">
        <v>0</v>
      </c>
      <c r="AS1122" s="34">
        <v>0</v>
      </c>
      <c r="AT1122" s="135">
        <f t="shared" si="433"/>
        <v>0</v>
      </c>
      <c r="AU1122" s="18">
        <f>AJ1122-AM1122</f>
        <v>2770858.4299999997</v>
      </c>
      <c r="AV1122" s="18">
        <f>AM1122-AP1122</f>
        <v>7784668</v>
      </c>
      <c r="AW1122" s="18">
        <f>AP1122-AT1122</f>
        <v>0</v>
      </c>
      <c r="AX1122" s="123">
        <f>AP1122/AJ1122</f>
        <v>0</v>
      </c>
    </row>
    <row r="1123" spans="1:50" ht="25.5" customHeight="1" x14ac:dyDescent="0.2">
      <c r="AA1123" s="166" t="s">
        <v>1125</v>
      </c>
      <c r="AB1123" s="167" t="s">
        <v>1126</v>
      </c>
      <c r="AC1123" s="161"/>
      <c r="AD1123" s="34">
        <v>0</v>
      </c>
      <c r="AE1123" s="217">
        <v>4178021.24</v>
      </c>
      <c r="AF1123" s="232">
        <v>0</v>
      </c>
      <c r="AG1123" s="34">
        <v>0</v>
      </c>
      <c r="AH1123" s="34">
        <v>0</v>
      </c>
      <c r="AI1123" s="43">
        <f t="shared" ref="AI1123" si="434">AE1123-AF1123+AG1123-AH1123</f>
        <v>4178021.24</v>
      </c>
      <c r="AJ1123" s="43">
        <f t="shared" ref="AJ1123" si="435">AD1123+AI1123</f>
        <v>4178021.24</v>
      </c>
      <c r="AK1123" s="34">
        <v>0</v>
      </c>
      <c r="AL1123" s="18">
        <v>3148880</v>
      </c>
      <c r="AM1123" s="18">
        <v>3148880</v>
      </c>
      <c r="AN1123" s="18">
        <v>0</v>
      </c>
      <c r="AO1123" s="18">
        <v>3148880</v>
      </c>
      <c r="AP1123" s="18">
        <v>3148880</v>
      </c>
      <c r="AQ1123" s="34">
        <v>0</v>
      </c>
      <c r="AR1123" s="34">
        <v>0</v>
      </c>
      <c r="AS1123" s="34">
        <v>0</v>
      </c>
      <c r="AT1123" s="135">
        <f t="shared" si="433"/>
        <v>0</v>
      </c>
      <c r="AU1123" s="18">
        <f>AJ1123-AM1123</f>
        <v>1029141.2400000002</v>
      </c>
      <c r="AV1123" s="133">
        <f>AM1123-AP1123</f>
        <v>0</v>
      </c>
      <c r="AW1123" s="18">
        <f>AP1123-AT1123</f>
        <v>3148880</v>
      </c>
      <c r="AX1123" s="123">
        <f>AP1123/AJ1123</f>
        <v>0.75367735564695215</v>
      </c>
    </row>
    <row r="1124" spans="1:50" x14ac:dyDescent="0.2">
      <c r="AA1124" s="28" t="s">
        <v>288</v>
      </c>
      <c r="AB1124" s="29" t="s">
        <v>704</v>
      </c>
      <c r="AC1124" s="17"/>
      <c r="AD1124" s="18"/>
      <c r="AE1124" s="18"/>
      <c r="AF1124" s="18"/>
      <c r="AG1124" s="18"/>
      <c r="AH1124" s="18"/>
      <c r="AI1124" s="18"/>
      <c r="AJ1124" s="18"/>
      <c r="AK1124" s="34"/>
      <c r="AL1124" s="34"/>
      <c r="AM1124" s="34"/>
      <c r="AN1124" s="34"/>
      <c r="AO1124" s="34"/>
      <c r="AP1124" s="34"/>
      <c r="AQ1124" s="34"/>
      <c r="AR1124" s="34"/>
      <c r="AS1124" s="34"/>
      <c r="AT1124" s="31"/>
      <c r="AU1124" s="18"/>
      <c r="AV1124" s="18"/>
      <c r="AW1124" s="18"/>
      <c r="AX1124" s="18"/>
    </row>
    <row r="1125" spans="1:50" x14ac:dyDescent="0.2">
      <c r="A1125" s="4" t="s">
        <v>55</v>
      </c>
      <c r="B1125" s="4" t="s">
        <v>56</v>
      </c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1" t="s">
        <v>705</v>
      </c>
      <c r="AB1125" s="42" t="s">
        <v>233</v>
      </c>
      <c r="AC1125" s="43" t="s">
        <v>58</v>
      </c>
      <c r="AD1125" s="43">
        <v>221000000</v>
      </c>
      <c r="AE1125" s="44">
        <v>0</v>
      </c>
      <c r="AF1125" s="44">
        <v>0</v>
      </c>
      <c r="AG1125" s="44">
        <v>0</v>
      </c>
      <c r="AH1125" s="43">
        <v>221000000</v>
      </c>
      <c r="AI1125" s="136">
        <f>AE1125-AF1125+AG1125-AH1125</f>
        <v>-221000000</v>
      </c>
      <c r="AJ1125" s="44">
        <f>AD1125+AI1125</f>
        <v>0</v>
      </c>
      <c r="AK1125" s="44">
        <v>0</v>
      </c>
      <c r="AL1125" s="44">
        <v>0</v>
      </c>
      <c r="AM1125" s="44">
        <v>0</v>
      </c>
      <c r="AN1125" s="44">
        <v>0</v>
      </c>
      <c r="AO1125" s="44">
        <v>0</v>
      </c>
      <c r="AP1125" s="44">
        <v>0</v>
      </c>
      <c r="AQ1125" s="44">
        <v>0</v>
      </c>
      <c r="AR1125" s="44">
        <v>0</v>
      </c>
      <c r="AS1125" s="44">
        <v>0</v>
      </c>
      <c r="AT1125" s="40">
        <f t="shared" ref="AT1125:AT1131" si="436">AQ1125+AS1125</f>
        <v>0</v>
      </c>
      <c r="AU1125" s="34">
        <f>AJ1125-AM1125</f>
        <v>0</v>
      </c>
      <c r="AV1125" s="133">
        <f>AM1125-AP1125</f>
        <v>0</v>
      </c>
      <c r="AW1125" s="34">
        <f>AP1125-AT1125</f>
        <v>0</v>
      </c>
      <c r="AX1125" s="123">
        <v>0</v>
      </c>
    </row>
    <row r="1126" spans="1:50" ht="25.5" x14ac:dyDescent="0.2">
      <c r="AA1126" s="28" t="s">
        <v>288</v>
      </c>
      <c r="AB1126" s="29" t="s">
        <v>706</v>
      </c>
      <c r="AC1126" s="17"/>
      <c r="AD1126" s="18"/>
      <c r="AE1126" s="34"/>
      <c r="AF1126" s="34"/>
      <c r="AG1126" s="34"/>
      <c r="AH1126" s="18"/>
      <c r="AI1126" s="18"/>
      <c r="AJ1126" s="18"/>
      <c r="AK1126" s="34"/>
      <c r="AL1126" s="18"/>
      <c r="AM1126" s="18"/>
      <c r="AN1126" s="18"/>
      <c r="AO1126" s="18"/>
      <c r="AP1126" s="18"/>
      <c r="AQ1126" s="18"/>
      <c r="AR1126" s="18"/>
      <c r="AS1126" s="18"/>
      <c r="AT1126" s="31"/>
      <c r="AU1126" s="18"/>
      <c r="AV1126" s="18"/>
      <c r="AW1126" s="18"/>
      <c r="AX1126" s="18"/>
    </row>
    <row r="1127" spans="1:50" x14ac:dyDescent="0.2">
      <c r="A1127" s="4" t="s">
        <v>55</v>
      </c>
      <c r="B1127" s="4" t="s">
        <v>56</v>
      </c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1" t="s">
        <v>982</v>
      </c>
      <c r="AB1127" s="42" t="s">
        <v>233</v>
      </c>
      <c r="AC1127" s="43" t="s">
        <v>58</v>
      </c>
      <c r="AD1127" s="43">
        <v>2458264706</v>
      </c>
      <c r="AE1127" s="44">
        <v>0</v>
      </c>
      <c r="AF1127" s="44">
        <v>0</v>
      </c>
      <c r="AG1127" s="44">
        <v>0</v>
      </c>
      <c r="AH1127" s="44">
        <v>0</v>
      </c>
      <c r="AI1127" s="97">
        <f>AE1127-AF1127+AG1127-AH1127</f>
        <v>0</v>
      </c>
      <c r="AJ1127" s="43">
        <f>AD1127+AI1127</f>
        <v>2458264706</v>
      </c>
      <c r="AK1127" s="43">
        <v>0</v>
      </c>
      <c r="AL1127" s="43">
        <v>-8439741</v>
      </c>
      <c r="AM1127" s="43">
        <v>2432854106</v>
      </c>
      <c r="AN1127" s="43">
        <v>0</v>
      </c>
      <c r="AO1127" s="43">
        <v>280489400</v>
      </c>
      <c r="AP1127" s="43">
        <v>2359854106</v>
      </c>
      <c r="AQ1127" s="43">
        <v>90800000</v>
      </c>
      <c r="AR1127" s="43">
        <v>31120000</v>
      </c>
      <c r="AS1127" s="43">
        <v>569628771</v>
      </c>
      <c r="AT1127" s="111">
        <f t="shared" si="436"/>
        <v>660428771</v>
      </c>
      <c r="AU1127" s="18">
        <f>AJ1127-AM1127</f>
        <v>25410600</v>
      </c>
      <c r="AV1127" s="18">
        <f>AM1127-AP1127</f>
        <v>73000000</v>
      </c>
      <c r="AW1127" s="18">
        <f>AP1127-AT1127</f>
        <v>1699425335</v>
      </c>
      <c r="AX1127" s="123">
        <f>AP1127/AJ1127</f>
        <v>0.9599674519347714</v>
      </c>
    </row>
    <row r="1128" spans="1:50" ht="38.25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73" t="s">
        <v>288</v>
      </c>
      <c r="AB1128" s="74" t="s">
        <v>1122</v>
      </c>
      <c r="AC1128" s="43"/>
      <c r="AD1128" s="43"/>
      <c r="AE1128" s="44"/>
      <c r="AF1128" s="44"/>
      <c r="AG1128" s="44"/>
      <c r="AH1128" s="44"/>
      <c r="AI1128" s="97"/>
      <c r="AJ1128" s="43"/>
      <c r="AK1128" s="44"/>
      <c r="AL1128" s="44"/>
      <c r="AM1128" s="43"/>
      <c r="AN1128" s="44"/>
      <c r="AO1128" s="43"/>
      <c r="AP1128" s="43"/>
      <c r="AQ1128" s="43"/>
      <c r="AR1128" s="43"/>
      <c r="AS1128" s="43"/>
      <c r="AT1128" s="111"/>
      <c r="AU1128" s="18"/>
      <c r="AV1128" s="133"/>
      <c r="AW1128" s="18"/>
      <c r="AX1128" s="123"/>
    </row>
    <row r="1129" spans="1:50" ht="25.5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1" t="s">
        <v>1123</v>
      </c>
      <c r="AB1129" s="42" t="s">
        <v>1121</v>
      </c>
      <c r="AC1129" s="43"/>
      <c r="AD1129" s="44">
        <v>0</v>
      </c>
      <c r="AE1129" s="43">
        <v>3500000</v>
      </c>
      <c r="AF1129" s="44">
        <v>0</v>
      </c>
      <c r="AG1129" s="44">
        <v>0</v>
      </c>
      <c r="AH1129" s="44">
        <v>0</v>
      </c>
      <c r="AI1129" s="136">
        <f>AE1129-AF1129+AG1129-AH1129</f>
        <v>3500000</v>
      </c>
      <c r="AJ1129" s="43">
        <f>AD1129+AI1129</f>
        <v>3500000</v>
      </c>
      <c r="AK1129" s="44">
        <v>0</v>
      </c>
      <c r="AL1129" s="44">
        <v>0</v>
      </c>
      <c r="AM1129" s="43">
        <v>0</v>
      </c>
      <c r="AN1129" s="44">
        <v>0</v>
      </c>
      <c r="AO1129" s="44">
        <v>0</v>
      </c>
      <c r="AP1129" s="44">
        <v>0</v>
      </c>
      <c r="AQ1129" s="44">
        <v>0</v>
      </c>
      <c r="AR1129" s="44">
        <v>0</v>
      </c>
      <c r="AS1129" s="44">
        <v>0</v>
      </c>
      <c r="AT1129" s="135"/>
      <c r="AU1129" s="18">
        <f>AJ1129-AM1129</f>
        <v>3500000</v>
      </c>
      <c r="AV1129" s="133">
        <f>AM1129-AP1129</f>
        <v>0</v>
      </c>
      <c r="AW1129" s="34">
        <f>AP1129-AT1129</f>
        <v>0</v>
      </c>
      <c r="AX1129" s="123">
        <f>AP1129/AJ1129</f>
        <v>0</v>
      </c>
    </row>
    <row r="1130" spans="1:50" ht="25.5" x14ac:dyDescent="0.2">
      <c r="AA1130" s="28" t="s">
        <v>288</v>
      </c>
      <c r="AB1130" s="29" t="s">
        <v>708</v>
      </c>
      <c r="AC1130" s="17"/>
      <c r="AD1130" s="18"/>
      <c r="AE1130" s="34"/>
      <c r="AF1130" s="34"/>
      <c r="AG1130" s="34"/>
      <c r="AH1130" s="18"/>
      <c r="AI1130" s="18"/>
      <c r="AJ1130" s="18"/>
      <c r="AK1130" s="34"/>
      <c r="AL1130" s="34"/>
      <c r="AM1130" s="18"/>
      <c r="AN1130" s="34"/>
      <c r="AO1130" s="18"/>
      <c r="AP1130" s="18"/>
      <c r="AQ1130" s="18"/>
      <c r="AR1130" s="18"/>
      <c r="AS1130" s="18"/>
      <c r="AT1130" s="31"/>
      <c r="AU1130" s="18"/>
      <c r="AV1130" s="18"/>
      <c r="AW1130" s="18"/>
      <c r="AX1130" s="18"/>
    </row>
    <row r="1131" spans="1:50" x14ac:dyDescent="0.2">
      <c r="A1131" s="4" t="s">
        <v>55</v>
      </c>
      <c r="B1131" s="4" t="s">
        <v>56</v>
      </c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1" t="s">
        <v>709</v>
      </c>
      <c r="AB1131" s="42" t="s">
        <v>233</v>
      </c>
      <c r="AC1131" s="43" t="s">
        <v>58</v>
      </c>
      <c r="AD1131" s="43">
        <v>501500000</v>
      </c>
      <c r="AE1131" s="44">
        <v>0</v>
      </c>
      <c r="AF1131" s="44">
        <v>0</v>
      </c>
      <c r="AG1131" s="43">
        <v>204500000</v>
      </c>
      <c r="AH1131" s="43">
        <v>501500000</v>
      </c>
      <c r="AI1131" s="136">
        <f>AE1131-AF1131+AG1131-AH1131</f>
        <v>-297000000</v>
      </c>
      <c r="AJ1131" s="43">
        <f>AD1131+AI1131</f>
        <v>204500000</v>
      </c>
      <c r="AK1131" s="44">
        <v>0</v>
      </c>
      <c r="AL1131" s="44">
        <v>0</v>
      </c>
      <c r="AM1131" s="43">
        <v>192393333</v>
      </c>
      <c r="AN1131" s="44">
        <v>0</v>
      </c>
      <c r="AO1131" s="43">
        <v>0</v>
      </c>
      <c r="AP1131" s="43">
        <v>192393333</v>
      </c>
      <c r="AQ1131" s="43">
        <v>2300000</v>
      </c>
      <c r="AR1131" s="43">
        <v>20180000</v>
      </c>
      <c r="AS1131" s="43">
        <v>89923334</v>
      </c>
      <c r="AT1131" s="39">
        <f t="shared" si="436"/>
        <v>92223334</v>
      </c>
      <c r="AU1131" s="18">
        <f>AJ1131-AM1131</f>
        <v>12106667</v>
      </c>
      <c r="AV1131" s="34">
        <f>AM1131-AP1131</f>
        <v>0</v>
      </c>
      <c r="AW1131" s="18">
        <f>AP1131-AT1131</f>
        <v>100169999</v>
      </c>
      <c r="AX1131" s="123">
        <f>AP1131/AJ1131</f>
        <v>0.94079869437652808</v>
      </c>
    </row>
    <row r="1132" spans="1:50" x14ac:dyDescent="0.2">
      <c r="AA1132" s="28" t="s">
        <v>288</v>
      </c>
      <c r="AB1132" s="29" t="s">
        <v>710</v>
      </c>
      <c r="AC1132" s="17"/>
      <c r="AD1132" s="18"/>
      <c r="AE1132" s="18"/>
      <c r="AF1132" s="18"/>
      <c r="AG1132" s="18"/>
      <c r="AH1132" s="18"/>
      <c r="AI1132" s="18"/>
      <c r="AJ1132" s="18"/>
      <c r="AK1132" s="34"/>
      <c r="AL1132" s="34"/>
      <c r="AM1132" s="18"/>
      <c r="AN1132" s="34"/>
      <c r="AO1132" s="18"/>
      <c r="AP1132" s="18"/>
      <c r="AQ1132" s="18"/>
      <c r="AR1132" s="18"/>
      <c r="AS1132" s="18"/>
      <c r="AT1132" s="31"/>
      <c r="AU1132" s="18"/>
      <c r="AV1132" s="34"/>
      <c r="AW1132" s="34"/>
      <c r="AX1132" s="18"/>
    </row>
    <row r="1133" spans="1:50" ht="16.5" customHeight="1" x14ac:dyDescent="0.2">
      <c r="A1133" s="4" t="s">
        <v>55</v>
      </c>
      <c r="B1133" s="4" t="s">
        <v>56</v>
      </c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1" t="s">
        <v>711</v>
      </c>
      <c r="AB1133" s="17" t="s">
        <v>233</v>
      </c>
      <c r="AC1133" s="43" t="s">
        <v>58</v>
      </c>
      <c r="AD1133" s="44">
        <v>0</v>
      </c>
      <c r="AE1133" s="44">
        <v>0</v>
      </c>
      <c r="AF1133" s="44">
        <v>0</v>
      </c>
      <c r="AG1133" s="43">
        <v>3086332698</v>
      </c>
      <c r="AH1133" s="44">
        <v>0</v>
      </c>
      <c r="AI1133" s="136">
        <f>AE1133-AF1133+AG1133-AH1133</f>
        <v>3086332698</v>
      </c>
      <c r="AJ1133" s="43">
        <f>AD1133+AI1133</f>
        <v>3086332698</v>
      </c>
      <c r="AK1133" s="44">
        <v>0</v>
      </c>
      <c r="AL1133" s="44">
        <v>0</v>
      </c>
      <c r="AM1133" s="44">
        <v>0</v>
      </c>
      <c r="AN1133" s="44">
        <v>0</v>
      </c>
      <c r="AO1133" s="44">
        <v>0</v>
      </c>
      <c r="AP1133" s="44">
        <v>0</v>
      </c>
      <c r="AQ1133" s="44">
        <v>0</v>
      </c>
      <c r="AR1133" s="44">
        <v>0</v>
      </c>
      <c r="AS1133" s="44">
        <v>0</v>
      </c>
      <c r="AT1133" s="40">
        <f t="shared" ref="AT1133:AT1134" si="437">AQ1133+AS1133</f>
        <v>0</v>
      </c>
      <c r="AU1133" s="18">
        <f>AJ1133-AM1133</f>
        <v>3086332698</v>
      </c>
      <c r="AV1133" s="133">
        <f>AM1133-AP1133</f>
        <v>0</v>
      </c>
      <c r="AW1133" s="34">
        <f>AP1133-AT1133</f>
        <v>0</v>
      </c>
      <c r="AX1133" s="123">
        <f>AP1133/AJ1133</f>
        <v>0</v>
      </c>
    </row>
    <row r="1134" spans="1:50" ht="16.5" customHeight="1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166" t="s">
        <v>1131</v>
      </c>
      <c r="AB1134" s="167" t="s">
        <v>1015</v>
      </c>
      <c r="AC1134" s="168"/>
      <c r="AD1134" s="44">
        <v>0</v>
      </c>
      <c r="AE1134" s="43">
        <v>2950125891</v>
      </c>
      <c r="AF1134" s="44">
        <v>0</v>
      </c>
      <c r="AG1134" s="44">
        <v>0</v>
      </c>
      <c r="AH1134" s="44">
        <v>0</v>
      </c>
      <c r="AI1134" s="136">
        <f>AE1134-AF1134+AG1134-AH1134</f>
        <v>2950125891</v>
      </c>
      <c r="AJ1134" s="43">
        <f>AD1134+AI1134</f>
        <v>2950125891</v>
      </c>
      <c r="AK1134" s="44">
        <v>0</v>
      </c>
      <c r="AL1134" s="44">
        <v>0</v>
      </c>
      <c r="AM1134" s="44">
        <v>0</v>
      </c>
      <c r="AN1134" s="44">
        <v>0</v>
      </c>
      <c r="AO1134" s="44">
        <v>0</v>
      </c>
      <c r="AP1134" s="44">
        <v>0</v>
      </c>
      <c r="AQ1134" s="44">
        <v>0</v>
      </c>
      <c r="AR1134" s="44">
        <v>0</v>
      </c>
      <c r="AS1134" s="44">
        <v>0</v>
      </c>
      <c r="AT1134" s="40">
        <f t="shared" si="437"/>
        <v>0</v>
      </c>
      <c r="AU1134" s="18">
        <f>AJ1134-AM1134</f>
        <v>2950125891</v>
      </c>
      <c r="AV1134" s="133">
        <f>AM1134-AP1134</f>
        <v>0</v>
      </c>
      <c r="AW1134" s="34">
        <f>AP1134-AT1134</f>
        <v>0</v>
      </c>
      <c r="AX1134" s="123">
        <f>AP1134/AJ1134</f>
        <v>0</v>
      </c>
    </row>
    <row r="1135" spans="1:50" x14ac:dyDescent="0.2">
      <c r="AA1135" s="169" t="s">
        <v>288</v>
      </c>
      <c r="AB1135" s="163" t="s">
        <v>712</v>
      </c>
      <c r="AC1135" s="17"/>
      <c r="AD1135" s="34"/>
      <c r="AE1135" s="34"/>
      <c r="AF1135" s="34"/>
      <c r="AG1135" s="18"/>
      <c r="AH1135" s="18"/>
      <c r="AI1135" s="18"/>
      <c r="AJ1135" s="18"/>
      <c r="AK1135" s="34"/>
      <c r="AL1135" s="34"/>
      <c r="AM1135" s="34"/>
      <c r="AN1135" s="34"/>
      <c r="AO1135" s="34"/>
      <c r="AP1135" s="34"/>
      <c r="AQ1135" s="18"/>
      <c r="AR1135" s="18"/>
      <c r="AS1135" s="34"/>
      <c r="AT1135" s="31"/>
      <c r="AU1135" s="18"/>
      <c r="AV1135" s="34"/>
      <c r="AW1135" s="34"/>
      <c r="AX1135" s="18"/>
    </row>
    <row r="1136" spans="1:50" s="311" customFormat="1" x14ac:dyDescent="0.2">
      <c r="A1136" s="302" t="s">
        <v>55</v>
      </c>
      <c r="B1136" s="302" t="s">
        <v>56</v>
      </c>
      <c r="C1136" s="302"/>
      <c r="D1136" s="302"/>
      <c r="E1136" s="302"/>
      <c r="F1136" s="302"/>
      <c r="G1136" s="302"/>
      <c r="H1136" s="302"/>
      <c r="I1136" s="302"/>
      <c r="J1136" s="302"/>
      <c r="K1136" s="302"/>
      <c r="L1136" s="302"/>
      <c r="M1136" s="302"/>
      <c r="N1136" s="302"/>
      <c r="O1136" s="302"/>
      <c r="P1136" s="302"/>
      <c r="Q1136" s="302"/>
      <c r="R1136" s="302"/>
      <c r="S1136" s="302"/>
      <c r="T1136" s="302"/>
      <c r="U1136" s="302"/>
      <c r="V1136" s="302"/>
      <c r="W1136" s="302"/>
      <c r="X1136" s="302"/>
      <c r="Y1136" s="302"/>
      <c r="Z1136" s="302"/>
      <c r="AA1136" s="303" t="s">
        <v>713</v>
      </c>
      <c r="AB1136" s="304" t="s">
        <v>233</v>
      </c>
      <c r="AC1136" s="305" t="s">
        <v>58</v>
      </c>
      <c r="AD1136" s="306">
        <v>0</v>
      </c>
      <c r="AE1136" s="306">
        <v>0</v>
      </c>
      <c r="AF1136" s="306">
        <v>0</v>
      </c>
      <c r="AG1136" s="305">
        <v>501500000</v>
      </c>
      <c r="AH1136" s="305">
        <v>204500000</v>
      </c>
      <c r="AI1136" s="307">
        <f>AE1136-AF1136+AG1136-AH1136</f>
        <v>297000000</v>
      </c>
      <c r="AJ1136" s="305">
        <f>AD1136+AI1136</f>
        <v>297000000</v>
      </c>
      <c r="AK1136" s="306">
        <v>0</v>
      </c>
      <c r="AL1136" s="306">
        <v>0</v>
      </c>
      <c r="AM1136" s="305">
        <v>276500000</v>
      </c>
      <c r="AN1136" s="305">
        <v>0</v>
      </c>
      <c r="AO1136" s="305">
        <v>17000000</v>
      </c>
      <c r="AP1136" s="305">
        <v>276500000</v>
      </c>
      <c r="AQ1136" s="305">
        <v>26000000</v>
      </c>
      <c r="AR1136" s="305">
        <v>19000000</v>
      </c>
      <c r="AS1136" s="305">
        <v>119133334</v>
      </c>
      <c r="AT1136" s="308">
        <f t="shared" ref="AT1136" si="438">AQ1136+AS1136</f>
        <v>145133334</v>
      </c>
      <c r="AU1136" s="309">
        <f>AJ1136-AM1136</f>
        <v>20500000</v>
      </c>
      <c r="AV1136" s="309">
        <f>AM1136-AP1136</f>
        <v>0</v>
      </c>
      <c r="AW1136" s="309">
        <f>AP1136-AT1136</f>
        <v>131366666</v>
      </c>
      <c r="AX1136" s="310">
        <f>AP1136/AJ1136</f>
        <v>0.93097643097643101</v>
      </c>
    </row>
    <row r="1137" spans="1:50" ht="16.5" customHeight="1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170" t="s">
        <v>288</v>
      </c>
      <c r="AB1137" s="165" t="s">
        <v>1132</v>
      </c>
      <c r="AC1137" s="168"/>
      <c r="AD1137" s="44"/>
      <c r="AE1137" s="44"/>
      <c r="AF1137" s="44"/>
      <c r="AG1137" s="43"/>
      <c r="AH1137" s="43"/>
      <c r="AI1137" s="136"/>
      <c r="AJ1137" s="43"/>
      <c r="AK1137" s="44"/>
      <c r="AL1137" s="115"/>
      <c r="AM1137" s="114"/>
      <c r="AN1137" s="44"/>
      <c r="AO1137" s="114"/>
      <c r="AP1137" s="114"/>
      <c r="AQ1137" s="43"/>
      <c r="AR1137" s="43"/>
      <c r="AS1137" s="43"/>
      <c r="AT1137" s="39"/>
      <c r="AU1137" s="18"/>
      <c r="AV1137" s="133"/>
      <c r="AW1137" s="18"/>
      <c r="AX1137" s="123"/>
    </row>
    <row r="1138" spans="1:50" ht="25.5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166" t="s">
        <v>1133</v>
      </c>
      <c r="AB1138" s="167" t="s">
        <v>1044</v>
      </c>
      <c r="AC1138" s="168"/>
      <c r="AD1138" s="44">
        <v>0</v>
      </c>
      <c r="AE1138" s="43">
        <v>128000000</v>
      </c>
      <c r="AF1138" s="44">
        <v>0</v>
      </c>
      <c r="AG1138" s="44">
        <v>0</v>
      </c>
      <c r="AH1138" s="44">
        <v>0</v>
      </c>
      <c r="AI1138" s="136">
        <f>AE1138-AF1138+AG1138-AH1138</f>
        <v>128000000</v>
      </c>
      <c r="AJ1138" s="43">
        <f>AD1138+AI1138</f>
        <v>128000000</v>
      </c>
      <c r="AK1138" s="44">
        <v>0</v>
      </c>
      <c r="AL1138" s="115">
        <v>0</v>
      </c>
      <c r="AM1138" s="114">
        <v>0</v>
      </c>
      <c r="AN1138" s="44">
        <v>0</v>
      </c>
      <c r="AO1138" s="115">
        <v>0</v>
      </c>
      <c r="AP1138" s="115">
        <v>0</v>
      </c>
      <c r="AQ1138" s="44">
        <v>0</v>
      </c>
      <c r="AR1138" s="44">
        <v>0</v>
      </c>
      <c r="AS1138" s="44">
        <v>0</v>
      </c>
      <c r="AT1138" s="40">
        <v>0</v>
      </c>
      <c r="AU1138" s="18">
        <f>AJ1138-AM1138</f>
        <v>128000000</v>
      </c>
      <c r="AV1138" s="133">
        <f>AM1138-AP1138</f>
        <v>0</v>
      </c>
      <c r="AW1138" s="34">
        <f>AP1138-AT1138</f>
        <v>0</v>
      </c>
      <c r="AX1138" s="123">
        <f>AP1138/AJ1138</f>
        <v>0</v>
      </c>
    </row>
    <row r="1139" spans="1:50" ht="25.5" x14ac:dyDescent="0.2">
      <c r="AA1139" s="169" t="s">
        <v>288</v>
      </c>
      <c r="AB1139" s="163" t="s">
        <v>714</v>
      </c>
      <c r="AC1139" s="17"/>
      <c r="AD1139" s="18"/>
      <c r="AE1139" s="18"/>
      <c r="AF1139" s="18"/>
      <c r="AG1139" s="18"/>
      <c r="AH1139" s="18"/>
      <c r="AI1139" s="18"/>
      <c r="AJ1139" s="18"/>
      <c r="AK1139" s="34"/>
      <c r="AL1139" s="34"/>
      <c r="AM1139" s="34"/>
      <c r="AN1139" s="34"/>
      <c r="AO1139" s="34"/>
      <c r="AP1139" s="34"/>
      <c r="AQ1139" s="34"/>
      <c r="AR1139" s="34"/>
      <c r="AS1139" s="34"/>
      <c r="AT1139" s="31"/>
      <c r="AU1139" s="18"/>
      <c r="AV1139" s="34"/>
      <c r="AW1139" s="34"/>
      <c r="AX1139" s="18"/>
    </row>
    <row r="1140" spans="1:50" x14ac:dyDescent="0.2">
      <c r="A1140" s="4" t="s">
        <v>55</v>
      </c>
      <c r="B1140" s="4" t="s">
        <v>56</v>
      </c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1" t="s">
        <v>715</v>
      </c>
      <c r="AB1140" s="17" t="s">
        <v>233</v>
      </c>
      <c r="AC1140" s="43" t="s">
        <v>58</v>
      </c>
      <c r="AD1140" s="43">
        <v>3086332698</v>
      </c>
      <c r="AE1140" s="44">
        <v>0</v>
      </c>
      <c r="AF1140" s="44">
        <v>0</v>
      </c>
      <c r="AG1140" s="44">
        <v>0</v>
      </c>
      <c r="AH1140" s="43">
        <v>3086332698</v>
      </c>
      <c r="AI1140" s="136">
        <f>AE1140-AF1140+AG1140-AH1140</f>
        <v>-3086332698</v>
      </c>
      <c r="AJ1140" s="44">
        <f>AD1140+AI1140</f>
        <v>0</v>
      </c>
      <c r="AK1140" s="44">
        <v>0</v>
      </c>
      <c r="AL1140" s="44">
        <v>0</v>
      </c>
      <c r="AM1140" s="44">
        <v>0</v>
      </c>
      <c r="AN1140" s="44">
        <v>0</v>
      </c>
      <c r="AO1140" s="44">
        <v>0</v>
      </c>
      <c r="AP1140" s="44">
        <v>0</v>
      </c>
      <c r="AQ1140" s="44">
        <v>0</v>
      </c>
      <c r="AR1140" s="44">
        <v>0</v>
      </c>
      <c r="AS1140" s="44">
        <v>0</v>
      </c>
      <c r="AT1140" s="40">
        <f t="shared" ref="AT1140" si="439">AQ1140+AS1140</f>
        <v>0</v>
      </c>
      <c r="AU1140" s="34">
        <f>AJ1140-AM1140</f>
        <v>0</v>
      </c>
      <c r="AV1140" s="133">
        <f>AM1140-AP1140</f>
        <v>0</v>
      </c>
      <c r="AW1140" s="34">
        <f>AP1140-AT1140</f>
        <v>0</v>
      </c>
      <c r="AX1140" s="123">
        <v>0</v>
      </c>
    </row>
    <row r="1141" spans="1:50" ht="25.5" x14ac:dyDescent="0.2">
      <c r="AA1141" s="28" t="s">
        <v>288</v>
      </c>
      <c r="AB1141" s="29" t="s">
        <v>716</v>
      </c>
      <c r="AC1141" s="17"/>
      <c r="AD1141" s="18"/>
      <c r="AE1141" s="34"/>
      <c r="AF1141" s="34"/>
      <c r="AG1141" s="18"/>
      <c r="AH1141" s="18"/>
      <c r="AI1141" s="18"/>
      <c r="AJ1141" s="18"/>
      <c r="AK1141" s="34"/>
      <c r="AL1141" s="34"/>
      <c r="AM1141" s="34"/>
      <c r="AN1141" s="34"/>
      <c r="AO1141" s="34"/>
      <c r="AP1141" s="34"/>
      <c r="AQ1141" s="34"/>
      <c r="AR1141" s="34"/>
      <c r="AS1141" s="34"/>
      <c r="AT1141" s="31"/>
      <c r="AU1141" s="18"/>
      <c r="AV1141" s="34"/>
      <c r="AW1141" s="18"/>
      <c r="AX1141" s="18"/>
    </row>
    <row r="1142" spans="1:50" x14ac:dyDescent="0.2">
      <c r="A1142" s="4" t="s">
        <v>55</v>
      </c>
      <c r="B1142" s="4" t="s">
        <v>56</v>
      </c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1" t="s">
        <v>717</v>
      </c>
      <c r="AB1142" s="17" t="s">
        <v>233</v>
      </c>
      <c r="AC1142" s="43" t="s">
        <v>58</v>
      </c>
      <c r="AD1142" s="44">
        <v>0</v>
      </c>
      <c r="AE1142" s="44">
        <v>0</v>
      </c>
      <c r="AF1142" s="44">
        <v>0</v>
      </c>
      <c r="AG1142" s="43">
        <v>221000000</v>
      </c>
      <c r="AH1142" s="44">
        <v>0</v>
      </c>
      <c r="AI1142" s="136">
        <f>AE1142-AF1142+AG1142-AH1142</f>
        <v>221000000</v>
      </c>
      <c r="AJ1142" s="43">
        <f>AD1142+AI1142</f>
        <v>221000000</v>
      </c>
      <c r="AK1142" s="44">
        <v>0</v>
      </c>
      <c r="AL1142" s="43">
        <v>28892411</v>
      </c>
      <c r="AM1142" s="43">
        <v>190000410</v>
      </c>
      <c r="AN1142" s="44">
        <v>0</v>
      </c>
      <c r="AO1142" s="43">
        <v>10635744</v>
      </c>
      <c r="AP1142" s="43">
        <v>157800410</v>
      </c>
      <c r="AQ1142" s="43">
        <v>2628000</v>
      </c>
      <c r="AR1142" s="43">
        <v>23375200</v>
      </c>
      <c r="AS1142" s="43">
        <v>63705200</v>
      </c>
      <c r="AT1142" s="40">
        <f t="shared" ref="AT1142" si="440">AQ1142+AS1142</f>
        <v>66333200</v>
      </c>
      <c r="AU1142" s="18">
        <f>AJ1142-AM1142</f>
        <v>30999590</v>
      </c>
      <c r="AV1142" s="18">
        <f>AM1142-AP1142</f>
        <v>32200000</v>
      </c>
      <c r="AW1142" s="18">
        <f>AP1142-AT1142</f>
        <v>91467210</v>
      </c>
      <c r="AX1142" s="123">
        <f>AP1142/AJ1142</f>
        <v>0.71402900452488682</v>
      </c>
    </row>
    <row r="1143" spans="1:50" x14ac:dyDescent="0.2">
      <c r="AA1143" s="28" t="s">
        <v>288</v>
      </c>
      <c r="AB1143" s="29" t="s">
        <v>718</v>
      </c>
      <c r="AC1143" s="17"/>
      <c r="AD1143" s="18"/>
      <c r="AE1143" s="34"/>
      <c r="AF1143" s="34"/>
      <c r="AG1143" s="18"/>
      <c r="AH1143" s="18"/>
      <c r="AI1143" s="18"/>
      <c r="AJ1143" s="18"/>
      <c r="AK1143" s="34"/>
      <c r="AL1143" s="18"/>
      <c r="AM1143" s="18"/>
      <c r="AN1143" s="34"/>
      <c r="AO1143" s="18"/>
      <c r="AP1143" s="18"/>
      <c r="AQ1143" s="18"/>
      <c r="AR1143" s="18"/>
      <c r="AS1143" s="18"/>
      <c r="AT1143" s="31"/>
      <c r="AU1143" s="18"/>
      <c r="AV1143" s="34"/>
      <c r="AW1143" s="18"/>
      <c r="AX1143" s="18"/>
    </row>
    <row r="1144" spans="1:50" x14ac:dyDescent="0.2">
      <c r="A1144" s="4" t="s">
        <v>55</v>
      </c>
      <c r="B1144" s="4" t="s">
        <v>56</v>
      </c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1" t="s">
        <v>719</v>
      </c>
      <c r="AB1144" s="42" t="s">
        <v>233</v>
      </c>
      <c r="AC1144" s="43" t="s">
        <v>58</v>
      </c>
      <c r="AD1144" s="43">
        <v>546100000</v>
      </c>
      <c r="AE1144" s="44">
        <v>0</v>
      </c>
      <c r="AF1144" s="44">
        <v>0</v>
      </c>
      <c r="AG1144" s="44">
        <v>0</v>
      </c>
      <c r="AH1144" s="44">
        <v>0</v>
      </c>
      <c r="AI1144" s="44">
        <v>0</v>
      </c>
      <c r="AJ1144" s="43">
        <v>546100000</v>
      </c>
      <c r="AK1144" s="44">
        <v>0</v>
      </c>
      <c r="AL1144" s="44">
        <v>0</v>
      </c>
      <c r="AM1144" s="43">
        <v>521700000</v>
      </c>
      <c r="AN1144" s="44">
        <v>0</v>
      </c>
      <c r="AO1144" s="44">
        <v>0</v>
      </c>
      <c r="AP1144" s="43">
        <v>521700000</v>
      </c>
      <c r="AQ1144" s="43">
        <v>31100000</v>
      </c>
      <c r="AR1144" s="43">
        <v>37000000</v>
      </c>
      <c r="AS1144" s="43">
        <v>251550000</v>
      </c>
      <c r="AT1144" s="39">
        <f t="shared" ref="AT1144:AT1145" si="441">AQ1144+AS1144</f>
        <v>282650000</v>
      </c>
      <c r="AU1144" s="18">
        <f>AJ1144-AM1144</f>
        <v>24400000</v>
      </c>
      <c r="AV1144" s="133">
        <f>AM1144-AP1144</f>
        <v>0</v>
      </c>
      <c r="AW1144" s="18">
        <f>AP1144-AT1144</f>
        <v>239050000</v>
      </c>
      <c r="AX1144" s="123">
        <f>AP1144/AJ1144</f>
        <v>0.95531953854605378</v>
      </c>
    </row>
    <row r="1145" spans="1:50" ht="25.5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1" t="s">
        <v>1120</v>
      </c>
      <c r="AB1145" s="42" t="s">
        <v>1121</v>
      </c>
      <c r="AC1145" s="43"/>
      <c r="AD1145" s="44">
        <v>0</v>
      </c>
      <c r="AE1145" s="43">
        <v>117051260.84999999</v>
      </c>
      <c r="AF1145" s="44">
        <v>0</v>
      </c>
      <c r="AG1145" s="44">
        <v>0</v>
      </c>
      <c r="AH1145" s="44">
        <v>0</v>
      </c>
      <c r="AI1145" s="136">
        <f>AE1145-AF1145+AG1145-AH1145</f>
        <v>117051260.84999999</v>
      </c>
      <c r="AJ1145" s="43">
        <f>AD1145+AI1145</f>
        <v>117051260.84999999</v>
      </c>
      <c r="AK1145" s="44">
        <v>0</v>
      </c>
      <c r="AL1145" s="43">
        <v>0</v>
      </c>
      <c r="AM1145" s="43">
        <v>32000000</v>
      </c>
      <c r="AN1145" s="44">
        <v>0</v>
      </c>
      <c r="AO1145" s="44">
        <v>0</v>
      </c>
      <c r="AP1145" s="43">
        <v>32000000</v>
      </c>
      <c r="AQ1145" s="44">
        <v>0</v>
      </c>
      <c r="AR1145" s="43">
        <v>5000000</v>
      </c>
      <c r="AS1145" s="43">
        <v>7333333</v>
      </c>
      <c r="AT1145" s="39">
        <f t="shared" si="441"/>
        <v>7333333</v>
      </c>
      <c r="AU1145" s="18">
        <f>AJ1145-AM1145</f>
        <v>85051260.849999994</v>
      </c>
      <c r="AV1145" s="133">
        <f>AM1145-AP1145</f>
        <v>0</v>
      </c>
      <c r="AW1145" s="18">
        <f>AP1145-AT1145</f>
        <v>24666667</v>
      </c>
      <c r="AX1145" s="123">
        <f>AP1145/AJ1145</f>
        <v>0.27338449639605056</v>
      </c>
    </row>
    <row r="1146" spans="1:50" x14ac:dyDescent="0.2">
      <c r="AA1146" s="16"/>
      <c r="AB1146" s="17"/>
      <c r="AC1146" s="17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34"/>
      <c r="AQ1146" s="34"/>
      <c r="AR1146" s="34"/>
      <c r="AS1146" s="34"/>
      <c r="AT1146" s="31"/>
      <c r="AU1146" s="18"/>
      <c r="AV1146" s="18"/>
      <c r="AW1146" s="18"/>
      <c r="AX1146" s="18"/>
    </row>
    <row r="1147" spans="1:50" x14ac:dyDescent="0.2">
      <c r="AA1147" s="16"/>
      <c r="AB1147" s="29" t="s">
        <v>720</v>
      </c>
      <c r="AC1147" s="17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30"/>
      <c r="AU1147" s="18"/>
      <c r="AV1147" s="18"/>
      <c r="AW1147" s="18"/>
      <c r="AX1147" s="18"/>
    </row>
    <row r="1148" spans="1:50" x14ac:dyDescent="0.2">
      <c r="AA1148" s="16"/>
      <c r="AB1148" s="29" t="s">
        <v>676</v>
      </c>
      <c r="AC1148" s="17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30"/>
      <c r="AU1148" s="18"/>
      <c r="AV1148" s="18"/>
      <c r="AW1148" s="18"/>
      <c r="AX1148" s="18"/>
    </row>
    <row r="1149" spans="1:50" x14ac:dyDescent="0.2">
      <c r="AA1149" s="16"/>
      <c r="AB1149" s="29" t="s">
        <v>286</v>
      </c>
      <c r="AC1149" s="17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30"/>
      <c r="AU1149" s="18"/>
      <c r="AV1149" s="18"/>
      <c r="AW1149" s="18"/>
      <c r="AX1149" s="18"/>
    </row>
    <row r="1150" spans="1:50" x14ac:dyDescent="0.2">
      <c r="AA1150" s="16"/>
      <c r="AB1150" s="29" t="s">
        <v>179</v>
      </c>
      <c r="AC1150" s="17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30"/>
      <c r="AU1150" s="18"/>
      <c r="AV1150" s="18"/>
      <c r="AW1150" s="18"/>
      <c r="AX1150" s="18"/>
    </row>
    <row r="1151" spans="1:50" x14ac:dyDescent="0.2">
      <c r="AA1151" s="16"/>
      <c r="AB1151" s="29" t="s">
        <v>189</v>
      </c>
      <c r="AC1151" s="17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30"/>
      <c r="AU1151" s="18"/>
      <c r="AV1151" s="18"/>
      <c r="AW1151" s="18"/>
      <c r="AX1151" s="18"/>
    </row>
    <row r="1152" spans="1:50" x14ac:dyDescent="0.2">
      <c r="AA1152" s="16"/>
      <c r="AB1152" s="29" t="s">
        <v>199</v>
      </c>
      <c r="AC1152" s="17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30"/>
      <c r="AU1152" s="18"/>
      <c r="AV1152" s="18"/>
      <c r="AW1152" s="18"/>
      <c r="AX1152" s="18"/>
    </row>
    <row r="1153" spans="1:50" x14ac:dyDescent="0.2">
      <c r="AA1153" s="28" t="s">
        <v>288</v>
      </c>
      <c r="AB1153" s="29" t="s">
        <v>718</v>
      </c>
      <c r="AC1153" s="17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30"/>
      <c r="AU1153" s="18"/>
      <c r="AV1153" s="18"/>
      <c r="AW1153" s="18"/>
      <c r="AX1153" s="18"/>
    </row>
    <row r="1154" spans="1:50" x14ac:dyDescent="0.2">
      <c r="A1154" s="4" t="s">
        <v>55</v>
      </c>
      <c r="B1154" s="4" t="s">
        <v>56</v>
      </c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1" t="s">
        <v>721</v>
      </c>
      <c r="AB1154" s="42" t="s">
        <v>722</v>
      </c>
      <c r="AC1154" s="43" t="s">
        <v>723</v>
      </c>
      <c r="AD1154" s="43">
        <v>7643630</v>
      </c>
      <c r="AE1154" s="44">
        <v>0</v>
      </c>
      <c r="AF1154" s="44">
        <v>0</v>
      </c>
      <c r="AG1154" s="44">
        <v>0</v>
      </c>
      <c r="AH1154" s="44">
        <v>0</v>
      </c>
      <c r="AI1154" s="44">
        <v>0</v>
      </c>
      <c r="AJ1154" s="43">
        <v>7643630</v>
      </c>
      <c r="AK1154" s="44">
        <v>0</v>
      </c>
      <c r="AL1154" s="44">
        <v>0</v>
      </c>
      <c r="AM1154" s="44">
        <v>0</v>
      </c>
      <c r="AN1154" s="44">
        <v>0</v>
      </c>
      <c r="AO1154" s="44">
        <v>0</v>
      </c>
      <c r="AP1154" s="44">
        <v>0</v>
      </c>
      <c r="AQ1154" s="44">
        <v>0</v>
      </c>
      <c r="AR1154" s="44">
        <v>0</v>
      </c>
      <c r="AS1154" s="44">
        <v>0</v>
      </c>
      <c r="AT1154" s="40">
        <f t="shared" ref="AT1154:AT1155" si="442">AQ1154+AS1154</f>
        <v>0</v>
      </c>
      <c r="AU1154" s="18">
        <f>AJ1154-AM1154</f>
        <v>7643630</v>
      </c>
      <c r="AV1154" s="133">
        <f>AM1154-AP1154</f>
        <v>0</v>
      </c>
      <c r="AW1154" s="34">
        <f>AP1154-AT1154</f>
        <v>0</v>
      </c>
      <c r="AX1154" s="123">
        <f>AP1154/AJ1154</f>
        <v>0</v>
      </c>
    </row>
    <row r="1155" spans="1:50" x14ac:dyDescent="0.2">
      <c r="A1155" s="4" t="s">
        <v>55</v>
      </c>
      <c r="B1155" s="4" t="s">
        <v>56</v>
      </c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1" t="s">
        <v>724</v>
      </c>
      <c r="AB1155" s="42" t="s">
        <v>725</v>
      </c>
      <c r="AC1155" s="43" t="s">
        <v>428</v>
      </c>
      <c r="AD1155" s="43">
        <v>56100000</v>
      </c>
      <c r="AE1155" s="44">
        <v>0</v>
      </c>
      <c r="AF1155" s="44">
        <v>0</v>
      </c>
      <c r="AG1155" s="44">
        <v>0</v>
      </c>
      <c r="AH1155" s="44">
        <v>0</v>
      </c>
      <c r="AI1155" s="44">
        <v>0</v>
      </c>
      <c r="AJ1155" s="43">
        <v>56100000</v>
      </c>
      <c r="AK1155" s="44">
        <v>0</v>
      </c>
      <c r="AL1155" s="44">
        <v>0</v>
      </c>
      <c r="AM1155" s="44">
        <v>0</v>
      </c>
      <c r="AN1155" s="44">
        <v>0</v>
      </c>
      <c r="AO1155" s="44">
        <v>0</v>
      </c>
      <c r="AP1155" s="44">
        <v>0</v>
      </c>
      <c r="AQ1155" s="44">
        <v>0</v>
      </c>
      <c r="AR1155" s="44">
        <v>0</v>
      </c>
      <c r="AS1155" s="44">
        <v>0</v>
      </c>
      <c r="AT1155" s="40">
        <f t="shared" si="442"/>
        <v>0</v>
      </c>
      <c r="AU1155" s="18">
        <f>AJ1155-AM1155</f>
        <v>56100000</v>
      </c>
      <c r="AV1155" s="133">
        <f>AM1155-AP1155</f>
        <v>0</v>
      </c>
      <c r="AW1155" s="34">
        <f>AP1155-AT1155</f>
        <v>0</v>
      </c>
      <c r="AX1155" s="123">
        <f>AP1155/AJ1155</f>
        <v>0</v>
      </c>
    </row>
    <row r="1156" spans="1:50" ht="18.75" customHeight="1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170" t="s">
        <v>1016</v>
      </c>
      <c r="AB1156" s="165" t="s">
        <v>997</v>
      </c>
      <c r="AC1156" s="168"/>
      <c r="AD1156" s="43"/>
      <c r="AE1156" s="44"/>
      <c r="AF1156" s="44"/>
      <c r="AG1156" s="44"/>
      <c r="AH1156" s="44"/>
      <c r="AI1156" s="44"/>
      <c r="AJ1156" s="43"/>
      <c r="AK1156" s="44"/>
      <c r="AL1156" s="44"/>
      <c r="AM1156" s="44"/>
      <c r="AN1156" s="44"/>
      <c r="AO1156" s="44"/>
      <c r="AP1156" s="44"/>
      <c r="AQ1156" s="44"/>
      <c r="AR1156" s="44"/>
      <c r="AS1156" s="44"/>
      <c r="AT1156" s="40"/>
      <c r="AU1156" s="18"/>
      <c r="AV1156" s="133"/>
      <c r="AW1156" s="34"/>
      <c r="AX1156" s="123"/>
    </row>
    <row r="1157" spans="1:50" ht="15.75" customHeight="1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170" t="s">
        <v>1017</v>
      </c>
      <c r="AB1157" s="165" t="s">
        <v>999</v>
      </c>
      <c r="AC1157" s="168"/>
      <c r="AD1157" s="43"/>
      <c r="AE1157" s="44"/>
      <c r="AF1157" s="44"/>
      <c r="AG1157" s="44"/>
      <c r="AH1157" s="44"/>
      <c r="AI1157" s="44"/>
      <c r="AJ1157" s="43"/>
      <c r="AK1157" s="44"/>
      <c r="AL1157" s="44"/>
      <c r="AM1157" s="44"/>
      <c r="AN1157" s="44"/>
      <c r="AO1157" s="44"/>
      <c r="AP1157" s="44"/>
      <c r="AQ1157" s="44"/>
      <c r="AR1157" s="44"/>
      <c r="AS1157" s="44"/>
      <c r="AT1157" s="40"/>
      <c r="AU1157" s="18"/>
      <c r="AV1157" s="133"/>
      <c r="AW1157" s="34"/>
      <c r="AX1157" s="123"/>
    </row>
    <row r="1158" spans="1:50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170" t="s">
        <v>1018</v>
      </c>
      <c r="AB1158" s="165" t="s">
        <v>1001</v>
      </c>
      <c r="AC1158" s="168"/>
      <c r="AD1158" s="43"/>
      <c r="AE1158" s="44"/>
      <c r="AF1158" s="44"/>
      <c r="AG1158" s="44"/>
      <c r="AH1158" s="44"/>
      <c r="AI1158" s="44"/>
      <c r="AJ1158" s="43"/>
      <c r="AK1158" s="44"/>
      <c r="AL1158" s="44"/>
      <c r="AM1158" s="44"/>
      <c r="AN1158" s="44"/>
      <c r="AO1158" s="44"/>
      <c r="AP1158" s="44"/>
      <c r="AQ1158" s="44"/>
      <c r="AR1158" s="44"/>
      <c r="AS1158" s="44"/>
      <c r="AT1158" s="40"/>
      <c r="AU1158" s="18"/>
      <c r="AV1158" s="133"/>
      <c r="AW1158" s="34"/>
      <c r="AX1158" s="123"/>
    </row>
    <row r="1159" spans="1:50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170" t="s">
        <v>1021</v>
      </c>
      <c r="AB1159" s="165" t="s">
        <v>1003</v>
      </c>
      <c r="AC1159" s="168"/>
      <c r="AD1159" s="43"/>
      <c r="AE1159" s="44"/>
      <c r="AF1159" s="44"/>
      <c r="AG1159" s="44"/>
      <c r="AH1159" s="44"/>
      <c r="AI1159" s="44"/>
      <c r="AJ1159" s="43"/>
      <c r="AK1159" s="44"/>
      <c r="AL1159" s="44"/>
      <c r="AM1159" s="44"/>
      <c r="AN1159" s="44"/>
      <c r="AO1159" s="44"/>
      <c r="AP1159" s="44"/>
      <c r="AQ1159" s="44"/>
      <c r="AR1159" s="44"/>
      <c r="AS1159" s="44"/>
      <c r="AT1159" s="40"/>
      <c r="AU1159" s="18"/>
      <c r="AV1159" s="133"/>
      <c r="AW1159" s="34"/>
      <c r="AX1159" s="123"/>
    </row>
    <row r="1160" spans="1:50" ht="25.5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166" t="s">
        <v>1056</v>
      </c>
      <c r="AB1160" s="167" t="s">
        <v>1057</v>
      </c>
      <c r="AC1160" s="168"/>
      <c r="AD1160" s="44">
        <v>0</v>
      </c>
      <c r="AE1160" s="43">
        <v>170856060</v>
      </c>
      <c r="AF1160" s="44">
        <v>0</v>
      </c>
      <c r="AG1160" s="44">
        <v>0</v>
      </c>
      <c r="AH1160" s="44">
        <v>0</v>
      </c>
      <c r="AI1160" s="43">
        <f>AE1160-AF1160+AG1160-AH1160</f>
        <v>170856060</v>
      </c>
      <c r="AJ1160" s="43">
        <f>AD1160+AI1160</f>
        <v>170856060</v>
      </c>
      <c r="AK1160" s="44">
        <v>0</v>
      </c>
      <c r="AL1160" s="44">
        <v>0</v>
      </c>
      <c r="AM1160" s="44">
        <v>0</v>
      </c>
      <c r="AN1160" s="44">
        <v>0</v>
      </c>
      <c r="AO1160" s="44">
        <v>0</v>
      </c>
      <c r="AP1160" s="44">
        <v>0</v>
      </c>
      <c r="AQ1160" s="44">
        <v>0</v>
      </c>
      <c r="AR1160" s="44">
        <v>0</v>
      </c>
      <c r="AS1160" s="44">
        <v>0</v>
      </c>
      <c r="AT1160" s="40">
        <f t="shared" ref="AT1160" si="443">AQ1160+AS1160</f>
        <v>0</v>
      </c>
      <c r="AU1160" s="18">
        <f>AJ1160-AM1160</f>
        <v>170856060</v>
      </c>
      <c r="AV1160" s="133">
        <f>AM1160-AP1160</f>
        <v>0</v>
      </c>
      <c r="AW1160" s="34">
        <f>AP1160-AT1160</f>
        <v>0</v>
      </c>
      <c r="AX1160" s="123">
        <f>AP1160/AJ1160</f>
        <v>0</v>
      </c>
    </row>
    <row r="1161" spans="1:50" x14ac:dyDescent="0.2">
      <c r="AA1161" s="162"/>
      <c r="AB1161" s="223"/>
      <c r="AC1161" s="17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34"/>
      <c r="AR1161" s="34"/>
      <c r="AS1161" s="34"/>
      <c r="AT1161" s="31"/>
      <c r="AU1161" s="18"/>
      <c r="AV1161" s="18"/>
      <c r="AW1161" s="18"/>
      <c r="AX1161" s="18"/>
    </row>
    <row r="1162" spans="1:50" s="50" customFormat="1" ht="18.75" customHeight="1" x14ac:dyDescent="0.2">
      <c r="B1162" s="77"/>
      <c r="C1162" s="77"/>
      <c r="D1162" s="77"/>
      <c r="E1162" s="77"/>
      <c r="F1162" s="77"/>
      <c r="G1162" s="77"/>
      <c r="H1162" s="77"/>
      <c r="I1162" s="77"/>
      <c r="J1162" s="77"/>
      <c r="K1162" s="77"/>
      <c r="L1162" s="77"/>
      <c r="M1162" s="77"/>
      <c r="N1162" s="77"/>
      <c r="O1162" s="77"/>
      <c r="P1162" s="77"/>
      <c r="Q1162" s="77"/>
      <c r="R1162" s="77"/>
      <c r="S1162" s="77"/>
      <c r="T1162" s="77"/>
      <c r="U1162" s="77"/>
      <c r="V1162" s="77"/>
      <c r="W1162" s="77"/>
      <c r="X1162" s="77"/>
      <c r="Y1162" s="77"/>
      <c r="Z1162" s="77"/>
      <c r="AA1162" s="46"/>
      <c r="AB1162" s="47" t="s">
        <v>726</v>
      </c>
      <c r="AC1162" s="47"/>
      <c r="AD1162" s="48">
        <f>SUM(AD1117:AD1161)</f>
        <v>6876941034</v>
      </c>
      <c r="AE1162" s="48">
        <f t="shared" ref="AE1162:AW1162" si="444">SUM(AE1117:AE1161)</f>
        <v>3397533211.8499999</v>
      </c>
      <c r="AF1162" s="48">
        <f t="shared" si="444"/>
        <v>0</v>
      </c>
      <c r="AG1162" s="48">
        <f t="shared" si="444"/>
        <v>4248332698</v>
      </c>
      <c r="AH1162" s="48">
        <f t="shared" si="444"/>
        <v>4013332698</v>
      </c>
      <c r="AI1162" s="48">
        <f t="shared" si="444"/>
        <v>3632533211.8499999</v>
      </c>
      <c r="AJ1162" s="48">
        <f t="shared" si="444"/>
        <v>10509474245.85</v>
      </c>
      <c r="AK1162" s="49">
        <f t="shared" si="444"/>
        <v>0</v>
      </c>
      <c r="AL1162" s="48">
        <f t="shared" si="444"/>
        <v>44652670</v>
      </c>
      <c r="AM1162" s="48">
        <f t="shared" si="444"/>
        <v>3669647849</v>
      </c>
      <c r="AN1162" s="49">
        <f t="shared" si="444"/>
        <v>0</v>
      </c>
      <c r="AO1162" s="48">
        <f t="shared" si="444"/>
        <v>316925144</v>
      </c>
      <c r="AP1162" s="48">
        <f t="shared" si="444"/>
        <v>3549047849</v>
      </c>
      <c r="AQ1162" s="48">
        <f t="shared" si="444"/>
        <v>152828000</v>
      </c>
      <c r="AR1162" s="48">
        <f t="shared" si="444"/>
        <v>135675200</v>
      </c>
      <c r="AS1162" s="48">
        <f t="shared" si="444"/>
        <v>1101273972</v>
      </c>
      <c r="AT1162" s="48">
        <f t="shared" si="444"/>
        <v>1254101972</v>
      </c>
      <c r="AU1162" s="48">
        <f t="shared" si="444"/>
        <v>6839826396.8500004</v>
      </c>
      <c r="AV1162" s="48">
        <f t="shared" si="444"/>
        <v>120600000</v>
      </c>
      <c r="AW1162" s="48">
        <f t="shared" si="444"/>
        <v>2294945877</v>
      </c>
      <c r="AX1162" s="24">
        <f>AP1162/AJ1162</f>
        <v>0.33769984739259951</v>
      </c>
    </row>
    <row r="1163" spans="1:50" ht="18.75" customHeight="1" x14ac:dyDescent="0.2">
      <c r="AA1163" s="16"/>
      <c r="AB1163" s="17"/>
      <c r="AC1163" s="17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</row>
    <row r="1164" spans="1:50" s="25" customFormat="1" ht="18.75" customHeight="1" x14ac:dyDescent="0.2">
      <c r="B1164" s="71"/>
      <c r="C1164" s="71"/>
      <c r="D1164" s="71"/>
      <c r="E1164" s="71"/>
      <c r="F1164" s="71"/>
      <c r="G1164" s="71"/>
      <c r="H1164" s="71"/>
      <c r="I1164" s="71"/>
      <c r="J1164" s="71"/>
      <c r="K1164" s="71"/>
      <c r="L1164" s="71"/>
      <c r="M1164" s="71"/>
      <c r="N1164" s="71"/>
      <c r="O1164" s="71"/>
      <c r="P1164" s="71"/>
      <c r="Q1164" s="71"/>
      <c r="R1164" s="71"/>
      <c r="S1164" s="71"/>
      <c r="T1164" s="71"/>
      <c r="U1164" s="71"/>
      <c r="V1164" s="71"/>
      <c r="W1164" s="71"/>
      <c r="X1164" s="71"/>
      <c r="Y1164" s="71"/>
      <c r="Z1164" s="71"/>
      <c r="AA1164" s="66"/>
      <c r="AB1164" s="21" t="s">
        <v>727</v>
      </c>
      <c r="AC1164" s="67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</row>
    <row r="1165" spans="1:50" ht="18.75" customHeight="1" x14ac:dyDescent="0.2">
      <c r="AA1165" s="16"/>
      <c r="AB1165" s="29" t="s">
        <v>285</v>
      </c>
      <c r="AC1165" s="17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</row>
    <row r="1166" spans="1:50" ht="18.75" customHeight="1" x14ac:dyDescent="0.2">
      <c r="AA1166" s="16"/>
      <c r="AB1166" s="29" t="s">
        <v>202</v>
      </c>
      <c r="AC1166" s="17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</row>
    <row r="1167" spans="1:50" ht="18.75" customHeight="1" x14ac:dyDescent="0.2">
      <c r="AA1167" s="16"/>
      <c r="AB1167" s="29" t="s">
        <v>203</v>
      </c>
      <c r="AC1167" s="17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</row>
    <row r="1168" spans="1:50" x14ac:dyDescent="0.2">
      <c r="AA1168" s="16"/>
      <c r="AB1168" s="29" t="s">
        <v>204</v>
      </c>
      <c r="AC1168" s="17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</row>
    <row r="1169" spans="1:50" ht="25.5" x14ac:dyDescent="0.2">
      <c r="AA1169" s="16"/>
      <c r="AB1169" s="29" t="s">
        <v>205</v>
      </c>
      <c r="AC1169" s="17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  <c r="AQ1169" s="18"/>
      <c r="AR1169" s="18"/>
      <c r="AS1169" s="18"/>
      <c r="AT1169" s="18"/>
      <c r="AU1169" s="18"/>
      <c r="AV1169" s="18"/>
      <c r="AW1169" s="18"/>
      <c r="AX1169" s="18"/>
    </row>
    <row r="1170" spans="1:50" ht="25.5" x14ac:dyDescent="0.2">
      <c r="AA1170" s="16"/>
      <c r="AB1170" s="29" t="s">
        <v>205</v>
      </c>
      <c r="AC1170" s="17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</row>
    <row r="1171" spans="1:50" ht="25.5" x14ac:dyDescent="0.2">
      <c r="AA1171" s="28" t="s">
        <v>288</v>
      </c>
      <c r="AB1171" s="29" t="s">
        <v>728</v>
      </c>
      <c r="AC1171" s="17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30">
        <f t="shared" ref="AT1171:AT1178" si="445">AQ1171+AS1171</f>
        <v>0</v>
      </c>
      <c r="AU1171" s="18"/>
      <c r="AV1171" s="18"/>
      <c r="AW1171" s="18"/>
      <c r="AX1171" s="18"/>
    </row>
    <row r="1172" spans="1:50" x14ac:dyDescent="0.2">
      <c r="A1172" s="4" t="s">
        <v>55</v>
      </c>
      <c r="B1172" s="4" t="s">
        <v>56</v>
      </c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1" t="s">
        <v>729</v>
      </c>
      <c r="AB1172" s="42" t="s">
        <v>233</v>
      </c>
      <c r="AC1172" s="43" t="s">
        <v>58</v>
      </c>
      <c r="AD1172" s="43">
        <v>1500000000</v>
      </c>
      <c r="AE1172" s="44">
        <v>0</v>
      </c>
      <c r="AF1172" s="44">
        <v>0</v>
      </c>
      <c r="AG1172" s="44">
        <v>0</v>
      </c>
      <c r="AH1172" s="44">
        <v>0</v>
      </c>
      <c r="AI1172" s="44">
        <f t="shared" ref="AI1172:AI1178" si="446">AE1172-AF1172+AG1172-AH1172</f>
        <v>0</v>
      </c>
      <c r="AJ1172" s="43">
        <f t="shared" ref="AJ1172:AJ1178" si="447">AD1172+AI1172</f>
        <v>1500000000</v>
      </c>
      <c r="AK1172" s="44">
        <v>0</v>
      </c>
      <c r="AL1172" s="114">
        <v>125000000</v>
      </c>
      <c r="AM1172" s="114">
        <v>1000000000</v>
      </c>
      <c r="AN1172" s="44">
        <v>0</v>
      </c>
      <c r="AO1172" s="114">
        <v>125000000</v>
      </c>
      <c r="AP1172" s="114">
        <v>1000000000</v>
      </c>
      <c r="AQ1172" s="44">
        <v>0</v>
      </c>
      <c r="AR1172" s="114">
        <v>125000000</v>
      </c>
      <c r="AS1172" s="114">
        <v>1000000000</v>
      </c>
      <c r="AT1172" s="111">
        <f t="shared" si="445"/>
        <v>1000000000</v>
      </c>
      <c r="AU1172" s="18">
        <f t="shared" ref="AU1172:AU1178" si="448">AJ1172-AM1172</f>
        <v>500000000</v>
      </c>
      <c r="AV1172" s="133">
        <f t="shared" ref="AV1172:AV1178" si="449">AM1172-AP1172</f>
        <v>0</v>
      </c>
      <c r="AW1172" s="34">
        <f t="shared" ref="AW1172:AW1178" si="450">AP1172-AT1172</f>
        <v>0</v>
      </c>
      <c r="AX1172" s="123">
        <f t="shared" ref="AX1172:AX1178" si="451">AP1172/AJ1172</f>
        <v>0.66666666666666663</v>
      </c>
    </row>
    <row r="1173" spans="1:50" x14ac:dyDescent="0.2">
      <c r="A1173" s="4" t="s">
        <v>55</v>
      </c>
      <c r="B1173" s="4" t="s">
        <v>56</v>
      </c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1" t="s">
        <v>730</v>
      </c>
      <c r="AB1173" s="42" t="s">
        <v>731</v>
      </c>
      <c r="AC1173" s="43" t="s">
        <v>732</v>
      </c>
      <c r="AD1173" s="43">
        <v>1531432613</v>
      </c>
      <c r="AE1173" s="44">
        <v>0</v>
      </c>
      <c r="AF1173" s="44">
        <v>0</v>
      </c>
      <c r="AG1173" s="44">
        <v>0</v>
      </c>
      <c r="AH1173" s="44">
        <v>0</v>
      </c>
      <c r="AI1173" s="44">
        <f t="shared" si="446"/>
        <v>0</v>
      </c>
      <c r="AJ1173" s="43">
        <f t="shared" si="447"/>
        <v>1531432613</v>
      </c>
      <c r="AK1173" s="44">
        <v>0</v>
      </c>
      <c r="AL1173" s="114">
        <v>127619384</v>
      </c>
      <c r="AM1173" s="114">
        <v>1020955072</v>
      </c>
      <c r="AN1173" s="44">
        <v>0</v>
      </c>
      <c r="AO1173" s="114">
        <v>127619384</v>
      </c>
      <c r="AP1173" s="114">
        <v>1020955072</v>
      </c>
      <c r="AQ1173" s="44">
        <v>0</v>
      </c>
      <c r="AR1173" s="114">
        <v>255238768</v>
      </c>
      <c r="AS1173" s="114">
        <v>1020955072</v>
      </c>
      <c r="AT1173" s="111">
        <f t="shared" si="445"/>
        <v>1020955072</v>
      </c>
      <c r="AU1173" s="18">
        <f t="shared" si="448"/>
        <v>510477541</v>
      </c>
      <c r="AV1173" s="133">
        <f t="shared" si="449"/>
        <v>0</v>
      </c>
      <c r="AW1173" s="34">
        <f t="shared" si="450"/>
        <v>0</v>
      </c>
      <c r="AX1173" s="123">
        <f t="shared" si="451"/>
        <v>0.66666666449005552</v>
      </c>
    </row>
    <row r="1174" spans="1:50" x14ac:dyDescent="0.2">
      <c r="A1174" s="4" t="s">
        <v>55</v>
      </c>
      <c r="B1174" s="4" t="s">
        <v>56</v>
      </c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1" t="s">
        <v>733</v>
      </c>
      <c r="AB1174" s="42" t="s">
        <v>734</v>
      </c>
      <c r="AC1174" s="43" t="s">
        <v>383</v>
      </c>
      <c r="AD1174" s="43">
        <v>2000000000</v>
      </c>
      <c r="AE1174" s="44">
        <v>0</v>
      </c>
      <c r="AF1174" s="44">
        <v>0</v>
      </c>
      <c r="AG1174" s="44">
        <v>0</v>
      </c>
      <c r="AH1174" s="44">
        <v>0</v>
      </c>
      <c r="AI1174" s="44">
        <f t="shared" si="446"/>
        <v>0</v>
      </c>
      <c r="AJ1174" s="43">
        <f t="shared" si="447"/>
        <v>2000000000</v>
      </c>
      <c r="AK1174" s="44">
        <v>0</v>
      </c>
      <c r="AL1174" s="114">
        <v>166666667</v>
      </c>
      <c r="AM1174" s="114">
        <v>1333333336</v>
      </c>
      <c r="AN1174" s="44">
        <v>0</v>
      </c>
      <c r="AO1174" s="114">
        <v>166666667</v>
      </c>
      <c r="AP1174" s="114">
        <v>1333333336</v>
      </c>
      <c r="AQ1174" s="44">
        <v>0</v>
      </c>
      <c r="AR1174" s="114">
        <v>166666667</v>
      </c>
      <c r="AS1174" s="114">
        <v>1333333336</v>
      </c>
      <c r="AT1174" s="111">
        <f t="shared" si="445"/>
        <v>1333333336</v>
      </c>
      <c r="AU1174" s="18">
        <f t="shared" si="448"/>
        <v>666666664</v>
      </c>
      <c r="AV1174" s="133">
        <f t="shared" si="449"/>
        <v>0</v>
      </c>
      <c r="AW1174" s="34">
        <f t="shared" si="450"/>
        <v>0</v>
      </c>
      <c r="AX1174" s="123">
        <f t="shared" si="451"/>
        <v>0.66666666799999996</v>
      </c>
    </row>
    <row r="1175" spans="1:50" ht="25.5" x14ac:dyDescent="0.2">
      <c r="A1175" s="4" t="s">
        <v>55</v>
      </c>
      <c r="B1175" s="4" t="s">
        <v>56</v>
      </c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1" t="s">
        <v>735</v>
      </c>
      <c r="AB1175" s="42" t="s">
        <v>736</v>
      </c>
      <c r="AC1175" s="43" t="s">
        <v>428</v>
      </c>
      <c r="AD1175" s="43">
        <v>24512970</v>
      </c>
      <c r="AE1175" s="44">
        <v>0</v>
      </c>
      <c r="AF1175" s="44">
        <v>0</v>
      </c>
      <c r="AG1175" s="44">
        <v>0</v>
      </c>
      <c r="AH1175" s="44">
        <v>0</v>
      </c>
      <c r="AI1175" s="44">
        <f t="shared" si="446"/>
        <v>0</v>
      </c>
      <c r="AJ1175" s="43">
        <f t="shared" si="447"/>
        <v>24512970</v>
      </c>
      <c r="AK1175" s="44">
        <v>0</v>
      </c>
      <c r="AL1175" s="44">
        <v>0</v>
      </c>
      <c r="AM1175" s="44">
        <v>0</v>
      </c>
      <c r="AN1175" s="44">
        <v>0</v>
      </c>
      <c r="AO1175" s="44">
        <v>0</v>
      </c>
      <c r="AP1175" s="44">
        <v>0</v>
      </c>
      <c r="AQ1175" s="44">
        <v>0</v>
      </c>
      <c r="AR1175" s="44">
        <v>0</v>
      </c>
      <c r="AS1175" s="44">
        <v>0</v>
      </c>
      <c r="AT1175" s="40">
        <f t="shared" si="445"/>
        <v>0</v>
      </c>
      <c r="AU1175" s="18">
        <f t="shared" si="448"/>
        <v>24512970</v>
      </c>
      <c r="AV1175" s="133">
        <f t="shared" si="449"/>
        <v>0</v>
      </c>
      <c r="AW1175" s="34">
        <f t="shared" si="450"/>
        <v>0</v>
      </c>
      <c r="AX1175" s="123">
        <f t="shared" si="451"/>
        <v>0</v>
      </c>
    </row>
    <row r="1176" spans="1:50" ht="25.5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166" t="s">
        <v>1134</v>
      </c>
      <c r="AB1176" s="167" t="s">
        <v>1055</v>
      </c>
      <c r="AC1176" s="168"/>
      <c r="AD1176" s="44">
        <v>0</v>
      </c>
      <c r="AE1176" s="217">
        <v>628300000</v>
      </c>
      <c r="AF1176" s="216">
        <v>0</v>
      </c>
      <c r="AG1176" s="44">
        <v>0</v>
      </c>
      <c r="AH1176" s="44">
        <v>0</v>
      </c>
      <c r="AI1176" s="43">
        <f t="shared" si="446"/>
        <v>628300000</v>
      </c>
      <c r="AJ1176" s="43">
        <f t="shared" si="447"/>
        <v>628300000</v>
      </c>
      <c r="AK1176" s="44">
        <v>0</v>
      </c>
      <c r="AL1176" s="44">
        <v>0</v>
      </c>
      <c r="AM1176" s="43">
        <v>628300000</v>
      </c>
      <c r="AN1176" s="44">
        <v>0</v>
      </c>
      <c r="AO1176" s="44">
        <v>0</v>
      </c>
      <c r="AP1176" s="43">
        <v>628300000</v>
      </c>
      <c r="AQ1176" s="44">
        <v>0</v>
      </c>
      <c r="AR1176" s="44">
        <v>0</v>
      </c>
      <c r="AS1176" s="43">
        <v>628300000</v>
      </c>
      <c r="AT1176" s="39">
        <f t="shared" si="445"/>
        <v>628300000</v>
      </c>
      <c r="AU1176" s="34">
        <f t="shared" si="448"/>
        <v>0</v>
      </c>
      <c r="AV1176" s="133">
        <f t="shared" si="449"/>
        <v>0</v>
      </c>
      <c r="AW1176" s="34">
        <f t="shared" si="450"/>
        <v>0</v>
      </c>
      <c r="AX1176" s="123">
        <f t="shared" si="451"/>
        <v>1</v>
      </c>
    </row>
    <row r="1177" spans="1:50" ht="25.5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166" t="s">
        <v>1135</v>
      </c>
      <c r="AB1177" s="167" t="s">
        <v>1055</v>
      </c>
      <c r="AC1177" s="168"/>
      <c r="AD1177" s="44">
        <v>0</v>
      </c>
      <c r="AE1177" s="217">
        <v>371700000</v>
      </c>
      <c r="AF1177" s="216">
        <v>0</v>
      </c>
      <c r="AG1177" s="44">
        <v>0</v>
      </c>
      <c r="AH1177" s="44">
        <v>0</v>
      </c>
      <c r="AI1177" s="43">
        <f t="shared" si="446"/>
        <v>371700000</v>
      </c>
      <c r="AJ1177" s="43">
        <f t="shared" si="447"/>
        <v>371700000</v>
      </c>
      <c r="AK1177" s="44">
        <v>0</v>
      </c>
      <c r="AL1177" s="44">
        <v>0</v>
      </c>
      <c r="AM1177" s="43">
        <v>371700000</v>
      </c>
      <c r="AN1177" s="44">
        <v>0</v>
      </c>
      <c r="AO1177" s="44">
        <v>0</v>
      </c>
      <c r="AP1177" s="43">
        <v>371700000</v>
      </c>
      <c r="AQ1177" s="44">
        <v>0</v>
      </c>
      <c r="AR1177" s="44">
        <v>0</v>
      </c>
      <c r="AS1177" s="43">
        <v>371700000</v>
      </c>
      <c r="AT1177" s="39">
        <f t="shared" si="445"/>
        <v>371700000</v>
      </c>
      <c r="AU1177" s="34">
        <f t="shared" si="448"/>
        <v>0</v>
      </c>
      <c r="AV1177" s="133">
        <f t="shared" si="449"/>
        <v>0</v>
      </c>
      <c r="AW1177" s="34">
        <f t="shared" si="450"/>
        <v>0</v>
      </c>
      <c r="AX1177" s="123">
        <f t="shared" si="451"/>
        <v>1</v>
      </c>
    </row>
    <row r="1178" spans="1:50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166" t="s">
        <v>1136</v>
      </c>
      <c r="AB1178" s="167" t="s">
        <v>1137</v>
      </c>
      <c r="AC1178" s="168"/>
      <c r="AD1178" s="44">
        <v>0</v>
      </c>
      <c r="AE1178" s="217">
        <v>179021213</v>
      </c>
      <c r="AF1178" s="216">
        <v>0</v>
      </c>
      <c r="AG1178" s="44">
        <v>0</v>
      </c>
      <c r="AH1178" s="44">
        <v>0</v>
      </c>
      <c r="AI1178" s="43">
        <f t="shared" si="446"/>
        <v>179021213</v>
      </c>
      <c r="AJ1178" s="43">
        <f t="shared" si="447"/>
        <v>179021213</v>
      </c>
      <c r="AK1178" s="44">
        <v>0</v>
      </c>
      <c r="AL1178" s="44">
        <v>0</v>
      </c>
      <c r="AM1178" s="43">
        <v>179021213</v>
      </c>
      <c r="AN1178" s="44">
        <v>0</v>
      </c>
      <c r="AO1178" s="44">
        <v>0</v>
      </c>
      <c r="AP1178" s="43">
        <v>179021213</v>
      </c>
      <c r="AQ1178" s="44">
        <v>0</v>
      </c>
      <c r="AR1178" s="44">
        <v>0</v>
      </c>
      <c r="AS1178" s="43">
        <v>179021213</v>
      </c>
      <c r="AT1178" s="39">
        <f t="shared" si="445"/>
        <v>179021213</v>
      </c>
      <c r="AU1178" s="34">
        <f t="shared" si="448"/>
        <v>0</v>
      </c>
      <c r="AV1178" s="133">
        <f t="shared" si="449"/>
        <v>0</v>
      </c>
      <c r="AW1178" s="34">
        <f t="shared" si="450"/>
        <v>0</v>
      </c>
      <c r="AX1178" s="123">
        <f t="shared" si="451"/>
        <v>1</v>
      </c>
    </row>
    <row r="1179" spans="1:50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206"/>
      <c r="AB1179" s="207"/>
      <c r="AC1179" s="43"/>
      <c r="AD1179" s="43"/>
      <c r="AE1179" s="224"/>
      <c r="AF1179" s="44"/>
      <c r="AG1179" s="44"/>
      <c r="AH1179" s="44"/>
      <c r="AI1179" s="44"/>
      <c r="AJ1179" s="43"/>
      <c r="AK1179" s="44"/>
      <c r="AL1179" s="44"/>
      <c r="AM1179" s="44"/>
      <c r="AN1179" s="44"/>
      <c r="AO1179" s="44"/>
      <c r="AP1179" s="44"/>
      <c r="AQ1179" s="44"/>
      <c r="AR1179" s="44"/>
      <c r="AS1179" s="44"/>
      <c r="AT1179" s="40"/>
      <c r="AU1179" s="18"/>
      <c r="AV1179" s="133"/>
      <c r="AW1179" s="34"/>
      <c r="AX1179" s="123"/>
    </row>
    <row r="1180" spans="1:50" s="50" customFormat="1" x14ac:dyDescent="0.2">
      <c r="B1180" s="77"/>
      <c r="C1180" s="77"/>
      <c r="D1180" s="77"/>
      <c r="E1180" s="77"/>
      <c r="F1180" s="77"/>
      <c r="G1180" s="77"/>
      <c r="H1180" s="77"/>
      <c r="I1180" s="77"/>
      <c r="J1180" s="77"/>
      <c r="K1180" s="77"/>
      <c r="L1180" s="77"/>
      <c r="M1180" s="77"/>
      <c r="N1180" s="77"/>
      <c r="O1180" s="77"/>
      <c r="P1180" s="77"/>
      <c r="Q1180" s="77"/>
      <c r="R1180" s="77"/>
      <c r="S1180" s="77"/>
      <c r="T1180" s="77"/>
      <c r="U1180" s="77"/>
      <c r="V1180" s="77"/>
      <c r="W1180" s="77"/>
      <c r="X1180" s="77"/>
      <c r="Y1180" s="77"/>
      <c r="Z1180" s="77"/>
      <c r="AA1180" s="46"/>
      <c r="AB1180" s="47" t="s">
        <v>737</v>
      </c>
      <c r="AC1180" s="47"/>
      <c r="AD1180" s="48">
        <f t="shared" ref="AD1180:AS1180" si="452">SUM(AD1172:AD1179)</f>
        <v>5055945583</v>
      </c>
      <c r="AE1180" s="48">
        <f t="shared" si="452"/>
        <v>1179021213</v>
      </c>
      <c r="AF1180" s="49">
        <f t="shared" si="452"/>
        <v>0</v>
      </c>
      <c r="AG1180" s="49">
        <f t="shared" si="452"/>
        <v>0</v>
      </c>
      <c r="AH1180" s="49">
        <f t="shared" si="452"/>
        <v>0</v>
      </c>
      <c r="AI1180" s="49">
        <f t="shared" si="452"/>
        <v>1179021213</v>
      </c>
      <c r="AJ1180" s="48">
        <f t="shared" si="452"/>
        <v>6234966796</v>
      </c>
      <c r="AK1180" s="49">
        <f t="shared" si="452"/>
        <v>0</v>
      </c>
      <c r="AL1180" s="121">
        <f t="shared" si="452"/>
        <v>419286051</v>
      </c>
      <c r="AM1180" s="121">
        <f t="shared" si="452"/>
        <v>4533309621</v>
      </c>
      <c r="AN1180" s="49">
        <f t="shared" si="452"/>
        <v>0</v>
      </c>
      <c r="AO1180" s="121">
        <f t="shared" si="452"/>
        <v>419286051</v>
      </c>
      <c r="AP1180" s="121">
        <f t="shared" si="452"/>
        <v>4533309621</v>
      </c>
      <c r="AQ1180" s="48">
        <f t="shared" si="452"/>
        <v>0</v>
      </c>
      <c r="AR1180" s="121">
        <f t="shared" si="452"/>
        <v>546905435</v>
      </c>
      <c r="AS1180" s="121">
        <f t="shared" si="452"/>
        <v>4533309621</v>
      </c>
      <c r="AT1180" s="108">
        <f>AQ1180+AS1180</f>
        <v>4533309621</v>
      </c>
      <c r="AU1180" s="48">
        <f>SUM(AU1172:AU1179)</f>
        <v>1701657175</v>
      </c>
      <c r="AV1180" s="49">
        <f>SUM(AV1172:AV1179)</f>
        <v>0</v>
      </c>
      <c r="AW1180" s="49">
        <f>SUM(AW1172:AW1179)</f>
        <v>0</v>
      </c>
      <c r="AX1180" s="24">
        <f>AP1180/AJ1180</f>
        <v>0.72707839020222431</v>
      </c>
    </row>
    <row r="1181" spans="1:50" x14ac:dyDescent="0.2">
      <c r="AA1181" s="16"/>
      <c r="AB1181" s="17"/>
      <c r="AC1181" s="17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</row>
    <row r="1182" spans="1:50" s="25" customFormat="1" x14ac:dyDescent="0.2">
      <c r="B1182" s="71"/>
      <c r="C1182" s="71"/>
      <c r="D1182" s="71"/>
      <c r="E1182" s="71"/>
      <c r="F1182" s="71"/>
      <c r="G1182" s="71"/>
      <c r="H1182" s="71"/>
      <c r="I1182" s="71"/>
      <c r="J1182" s="71"/>
      <c r="K1182" s="71"/>
      <c r="L1182" s="71"/>
      <c r="M1182" s="71"/>
      <c r="N1182" s="71"/>
      <c r="O1182" s="71"/>
      <c r="P1182" s="71"/>
      <c r="Q1182" s="71"/>
      <c r="R1182" s="71"/>
      <c r="S1182" s="71"/>
      <c r="T1182" s="71"/>
      <c r="U1182" s="71"/>
      <c r="V1182" s="71"/>
      <c r="W1182" s="71"/>
      <c r="X1182" s="71"/>
      <c r="Y1182" s="71"/>
      <c r="Z1182" s="71"/>
      <c r="AA1182" s="66"/>
      <c r="AB1182" s="21" t="s">
        <v>738</v>
      </c>
      <c r="AC1182" s="67"/>
      <c r="AD1182" s="63"/>
      <c r="AE1182" s="63"/>
      <c r="AF1182" s="63"/>
      <c r="AG1182" s="63"/>
      <c r="AH1182" s="63"/>
      <c r="AI1182" s="63"/>
      <c r="AJ1182" s="63"/>
      <c r="AK1182" s="63"/>
      <c r="AL1182" s="63"/>
      <c r="AM1182" s="63"/>
      <c r="AN1182" s="63"/>
      <c r="AO1182" s="63"/>
      <c r="AP1182" s="63"/>
      <c r="AQ1182" s="63"/>
      <c r="AR1182" s="63"/>
      <c r="AS1182" s="63"/>
      <c r="AT1182" s="63"/>
      <c r="AU1182" s="63"/>
      <c r="AV1182" s="63"/>
      <c r="AW1182" s="63"/>
      <c r="AX1182" s="63"/>
    </row>
    <row r="1183" spans="1:50" x14ac:dyDescent="0.2">
      <c r="AA1183" s="16"/>
      <c r="AB1183" s="29" t="s">
        <v>285</v>
      </c>
      <c r="AC1183" s="17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</row>
    <row r="1184" spans="1:50" x14ac:dyDescent="0.2">
      <c r="AA1184" s="16"/>
      <c r="AB1184" s="29" t="s">
        <v>202</v>
      </c>
      <c r="AC1184" s="17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</row>
    <row r="1185" spans="1:50" x14ac:dyDescent="0.2">
      <c r="AA1185" s="16"/>
      <c r="AB1185" s="29" t="s">
        <v>203</v>
      </c>
      <c r="AC1185" s="17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</row>
    <row r="1186" spans="1:50" x14ac:dyDescent="0.2">
      <c r="AA1186" s="16"/>
      <c r="AB1186" s="29" t="s">
        <v>204</v>
      </c>
      <c r="AC1186" s="17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</row>
    <row r="1187" spans="1:50" ht="25.5" x14ac:dyDescent="0.2">
      <c r="AA1187" s="16"/>
      <c r="AB1187" s="29" t="s">
        <v>739</v>
      </c>
      <c r="AC1187" s="17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</row>
    <row r="1188" spans="1:50" ht="25.5" x14ac:dyDescent="0.2">
      <c r="AA1188" s="16"/>
      <c r="AB1188" s="29" t="s">
        <v>205</v>
      </c>
      <c r="AC1188" s="17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30"/>
      <c r="AU1188" s="18"/>
      <c r="AV1188" s="18"/>
      <c r="AW1188" s="18"/>
      <c r="AX1188" s="18"/>
    </row>
    <row r="1189" spans="1:50" ht="25.5" x14ac:dyDescent="0.2">
      <c r="AA1189" s="28" t="s">
        <v>288</v>
      </c>
      <c r="AB1189" s="29" t="s">
        <v>740</v>
      </c>
      <c r="AC1189" s="17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30"/>
      <c r="AU1189" s="18"/>
      <c r="AV1189" s="18"/>
      <c r="AW1189" s="18"/>
      <c r="AX1189" s="18"/>
    </row>
    <row r="1190" spans="1:50" x14ac:dyDescent="0.2">
      <c r="A1190" s="4" t="s">
        <v>55</v>
      </c>
      <c r="B1190" s="4" t="s">
        <v>56</v>
      </c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1" t="s">
        <v>741</v>
      </c>
      <c r="AB1190" s="42" t="s">
        <v>233</v>
      </c>
      <c r="AC1190" s="43" t="s">
        <v>58</v>
      </c>
      <c r="AD1190" s="43">
        <v>9645837227</v>
      </c>
      <c r="AE1190" s="44">
        <v>0</v>
      </c>
      <c r="AF1190" s="44">
        <v>0</v>
      </c>
      <c r="AG1190" s="44">
        <v>0</v>
      </c>
      <c r="AH1190" s="44">
        <v>0</v>
      </c>
      <c r="AI1190" s="44">
        <v>0</v>
      </c>
      <c r="AJ1190" s="43">
        <v>9645837227</v>
      </c>
      <c r="AK1190" s="44">
        <v>0</v>
      </c>
      <c r="AL1190" s="43">
        <v>803819769</v>
      </c>
      <c r="AM1190" s="43">
        <v>6430558152</v>
      </c>
      <c r="AN1190" s="44">
        <v>0</v>
      </c>
      <c r="AO1190" s="43">
        <v>803819769</v>
      </c>
      <c r="AP1190" s="43">
        <v>6430558152</v>
      </c>
      <c r="AQ1190" s="44">
        <v>0</v>
      </c>
      <c r="AR1190" s="114">
        <v>803819769</v>
      </c>
      <c r="AS1190" s="114">
        <v>6430558152</v>
      </c>
      <c r="AT1190" s="111">
        <f t="shared" ref="AT1190:AT1194" si="453">AQ1190+AS1190</f>
        <v>6430558152</v>
      </c>
      <c r="AU1190" s="110">
        <f>AJ1190-AM1190</f>
        <v>3215279075</v>
      </c>
      <c r="AV1190" s="133">
        <f>AM1190-AP1190</f>
        <v>0</v>
      </c>
      <c r="AW1190" s="34">
        <f>AP1190-AT1190</f>
        <v>0</v>
      </c>
      <c r="AX1190" s="123">
        <f>AP1190/AJ1190</f>
        <v>0.66666666673578112</v>
      </c>
    </row>
    <row r="1191" spans="1:50" x14ac:dyDescent="0.2">
      <c r="A1191" s="4" t="s">
        <v>55</v>
      </c>
      <c r="B1191" s="4" t="s">
        <v>56</v>
      </c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134" t="s">
        <v>742</v>
      </c>
      <c r="AB1191" s="69" t="s">
        <v>743</v>
      </c>
      <c r="AC1191" s="43" t="s">
        <v>744</v>
      </c>
      <c r="AD1191" s="43">
        <v>1148574460</v>
      </c>
      <c r="AE1191" s="44">
        <v>0</v>
      </c>
      <c r="AF1191" s="44">
        <v>0</v>
      </c>
      <c r="AG1191" s="44">
        <v>0</v>
      </c>
      <c r="AH1191" s="44">
        <v>0</v>
      </c>
      <c r="AI1191" s="44">
        <v>0</v>
      </c>
      <c r="AJ1191" s="43">
        <v>1148574460</v>
      </c>
      <c r="AK1191" s="44">
        <v>0</v>
      </c>
      <c r="AL1191" s="43">
        <v>95714538</v>
      </c>
      <c r="AM1191" s="43">
        <v>765716304</v>
      </c>
      <c r="AN1191" s="44">
        <v>0</v>
      </c>
      <c r="AO1191" s="43">
        <v>95714538</v>
      </c>
      <c r="AP1191" s="43">
        <v>765716304</v>
      </c>
      <c r="AQ1191" s="44">
        <v>0</v>
      </c>
      <c r="AR1191" s="114">
        <v>95714538</v>
      </c>
      <c r="AS1191" s="114">
        <v>765716304</v>
      </c>
      <c r="AT1191" s="111">
        <f t="shared" si="453"/>
        <v>765716304</v>
      </c>
      <c r="AU1191" s="110">
        <f>AJ1191-AM1191</f>
        <v>382858156</v>
      </c>
      <c r="AV1191" s="133">
        <f>AM1191-AP1191</f>
        <v>0</v>
      </c>
      <c r="AW1191" s="34">
        <f>AP1191-AT1191</f>
        <v>0</v>
      </c>
      <c r="AX1191" s="123">
        <f>AP1191/AJ1191</f>
        <v>0.66666666434494803</v>
      </c>
    </row>
    <row r="1192" spans="1:50" x14ac:dyDescent="0.2">
      <c r="A1192" s="4" t="s">
        <v>55</v>
      </c>
      <c r="B1192" s="4" t="s">
        <v>56</v>
      </c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134" t="s">
        <v>745</v>
      </c>
      <c r="AB1192" s="69" t="s">
        <v>281</v>
      </c>
      <c r="AC1192" s="43" t="s">
        <v>253</v>
      </c>
      <c r="AD1192" s="43">
        <v>3200000000</v>
      </c>
      <c r="AE1192" s="44">
        <v>0</v>
      </c>
      <c r="AF1192" s="44">
        <v>0</v>
      </c>
      <c r="AG1192" s="44">
        <v>0</v>
      </c>
      <c r="AH1192" s="44">
        <v>0</v>
      </c>
      <c r="AI1192" s="44">
        <v>0</v>
      </c>
      <c r="AJ1192" s="43">
        <v>3200000000</v>
      </c>
      <c r="AK1192" s="44">
        <v>0</v>
      </c>
      <c r="AL1192" s="43">
        <v>710479544.98000002</v>
      </c>
      <c r="AM1192" s="43">
        <v>1835056842.98</v>
      </c>
      <c r="AN1192" s="44">
        <v>0</v>
      </c>
      <c r="AO1192" s="43">
        <v>710479544.98000002</v>
      </c>
      <c r="AP1192" s="43">
        <v>1835056842.98</v>
      </c>
      <c r="AQ1192" s="44">
        <v>0</v>
      </c>
      <c r="AR1192" s="114">
        <v>710479544.98000002</v>
      </c>
      <c r="AS1192" s="114">
        <v>1835056842.98</v>
      </c>
      <c r="AT1192" s="111">
        <f t="shared" si="453"/>
        <v>1835056842.98</v>
      </c>
      <c r="AU1192" s="110">
        <f>AJ1192-AM1192</f>
        <v>1364943157.02</v>
      </c>
      <c r="AV1192" s="133">
        <f>AM1192-AP1192</f>
        <v>0</v>
      </c>
      <c r="AW1192" s="34">
        <f>AP1192-AT1192</f>
        <v>0</v>
      </c>
      <c r="AX1192" s="123">
        <f>AP1192/AJ1192</f>
        <v>0.57345526343124997</v>
      </c>
    </row>
    <row r="1193" spans="1:50" ht="25.5" x14ac:dyDescent="0.2">
      <c r="A1193" s="4" t="s">
        <v>55</v>
      </c>
      <c r="B1193" s="4" t="s">
        <v>56</v>
      </c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1" t="s">
        <v>746</v>
      </c>
      <c r="AB1193" s="42" t="s">
        <v>747</v>
      </c>
      <c r="AC1193" s="43" t="s">
        <v>258</v>
      </c>
      <c r="AD1193" s="43">
        <v>35443183</v>
      </c>
      <c r="AE1193" s="44">
        <v>0</v>
      </c>
      <c r="AF1193" s="44">
        <v>0</v>
      </c>
      <c r="AG1193" s="44">
        <v>0</v>
      </c>
      <c r="AH1193" s="44">
        <v>0</v>
      </c>
      <c r="AI1193" s="44">
        <v>0</v>
      </c>
      <c r="AJ1193" s="43">
        <v>35443183</v>
      </c>
      <c r="AK1193" s="44">
        <v>0</v>
      </c>
      <c r="AL1193" s="44">
        <v>0</v>
      </c>
      <c r="AM1193" s="44">
        <v>0</v>
      </c>
      <c r="AN1193" s="44">
        <v>0</v>
      </c>
      <c r="AO1193" s="44">
        <v>0</v>
      </c>
      <c r="AP1193" s="44">
        <v>0</v>
      </c>
      <c r="AQ1193" s="44">
        <v>0</v>
      </c>
      <c r="AR1193" s="44">
        <v>0</v>
      </c>
      <c r="AS1193" s="44">
        <v>0</v>
      </c>
      <c r="AT1193" s="135">
        <f t="shared" si="453"/>
        <v>0</v>
      </c>
      <c r="AU1193" s="110">
        <f>AJ1193-AM1193</f>
        <v>35443183</v>
      </c>
      <c r="AV1193" s="133">
        <f>AM1193-AP1193</f>
        <v>0</v>
      </c>
      <c r="AW1193" s="34">
        <f>AP1193-AT1193</f>
        <v>0</v>
      </c>
      <c r="AX1193" s="123">
        <f>AP1193/AJ1193</f>
        <v>0</v>
      </c>
    </row>
    <row r="1194" spans="1:50" x14ac:dyDescent="0.2">
      <c r="A1194" s="4" t="s">
        <v>55</v>
      </c>
      <c r="B1194" s="4" t="s">
        <v>56</v>
      </c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1" t="s">
        <v>748</v>
      </c>
      <c r="AB1194" s="42" t="s">
        <v>749</v>
      </c>
      <c r="AC1194" s="43" t="s">
        <v>368</v>
      </c>
      <c r="AD1194" s="43">
        <v>30000000</v>
      </c>
      <c r="AE1194" s="44">
        <v>0</v>
      </c>
      <c r="AF1194" s="44">
        <v>0</v>
      </c>
      <c r="AG1194" s="44">
        <v>0</v>
      </c>
      <c r="AH1194" s="44">
        <v>0</v>
      </c>
      <c r="AI1194" s="44">
        <v>0</v>
      </c>
      <c r="AJ1194" s="43">
        <v>30000000</v>
      </c>
      <c r="AK1194" s="44">
        <v>0</v>
      </c>
      <c r="AL1194" s="44">
        <v>0</v>
      </c>
      <c r="AM1194" s="44">
        <v>0</v>
      </c>
      <c r="AN1194" s="44">
        <v>0</v>
      </c>
      <c r="AO1194" s="44">
        <v>0</v>
      </c>
      <c r="AP1194" s="44">
        <v>0</v>
      </c>
      <c r="AQ1194" s="44">
        <v>0</v>
      </c>
      <c r="AR1194" s="44">
        <v>0</v>
      </c>
      <c r="AS1194" s="44">
        <v>0</v>
      </c>
      <c r="AT1194" s="135">
        <f t="shared" si="453"/>
        <v>0</v>
      </c>
      <c r="AU1194" s="110">
        <f>AJ1194-AM1194</f>
        <v>30000000</v>
      </c>
      <c r="AV1194" s="133">
        <f>AM1194-AP1194</f>
        <v>0</v>
      </c>
      <c r="AW1194" s="34">
        <f>AP1194-AT1194</f>
        <v>0</v>
      </c>
      <c r="AX1194" s="123">
        <f>AP1194/AJ1194</f>
        <v>0</v>
      </c>
    </row>
    <row r="1195" spans="1:50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1"/>
      <c r="AB1195" s="42"/>
      <c r="AC1195" s="43"/>
      <c r="AD1195" s="43"/>
      <c r="AE1195" s="44"/>
      <c r="AF1195" s="44"/>
      <c r="AG1195" s="44"/>
      <c r="AH1195" s="44"/>
      <c r="AI1195" s="44"/>
      <c r="AJ1195" s="43"/>
      <c r="AK1195" s="44"/>
      <c r="AL1195" s="44"/>
      <c r="AM1195" s="44"/>
      <c r="AN1195" s="44"/>
      <c r="AO1195" s="44"/>
      <c r="AP1195" s="44"/>
      <c r="AQ1195" s="44"/>
      <c r="AR1195" s="44"/>
      <c r="AS1195" s="44"/>
      <c r="AT1195" s="135"/>
      <c r="AU1195" s="110"/>
      <c r="AV1195" s="133"/>
      <c r="AW1195" s="34"/>
      <c r="AX1195" s="123"/>
    </row>
    <row r="1196" spans="1:50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225" t="s">
        <v>288</v>
      </c>
      <c r="AB1196" s="226" t="s">
        <v>1138</v>
      </c>
      <c r="AC1196" s="43"/>
      <c r="AD1196" s="43"/>
      <c r="AE1196" s="233"/>
      <c r="AF1196" s="44"/>
      <c r="AG1196" s="44"/>
      <c r="AH1196" s="44"/>
      <c r="AI1196" s="44"/>
      <c r="AJ1196" s="43"/>
      <c r="AK1196" s="44"/>
      <c r="AL1196" s="44"/>
      <c r="AM1196" s="44"/>
      <c r="AN1196" s="44"/>
      <c r="AO1196" s="44"/>
      <c r="AP1196" s="44"/>
      <c r="AQ1196" s="44"/>
      <c r="AR1196" s="44"/>
      <c r="AS1196" s="44"/>
      <c r="AT1196" s="135"/>
      <c r="AU1196" s="110"/>
      <c r="AV1196" s="133"/>
      <c r="AW1196" s="34"/>
      <c r="AX1196" s="123"/>
    </row>
    <row r="1197" spans="1:50" ht="25.5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166" t="s">
        <v>1139</v>
      </c>
      <c r="AB1197" s="167" t="s">
        <v>1055</v>
      </c>
      <c r="AC1197" s="168"/>
      <c r="AD1197" s="255">
        <v>0</v>
      </c>
      <c r="AE1197" s="217">
        <v>140000000</v>
      </c>
      <c r="AF1197" s="216">
        <v>0</v>
      </c>
      <c r="AG1197" s="44">
        <v>0</v>
      </c>
      <c r="AH1197" s="44">
        <v>0</v>
      </c>
      <c r="AI1197" s="43">
        <f t="shared" ref="AI1197:AI1198" si="454">AE1197-AF1197+AG1197-AH1197</f>
        <v>140000000</v>
      </c>
      <c r="AJ1197" s="43">
        <f t="shared" ref="AJ1197:AJ1198" si="455">AD1197+AI1197</f>
        <v>140000000</v>
      </c>
      <c r="AK1197" s="44">
        <v>0</v>
      </c>
      <c r="AL1197" s="44">
        <v>0</v>
      </c>
      <c r="AM1197" s="43">
        <v>140000000</v>
      </c>
      <c r="AN1197" s="44">
        <v>0</v>
      </c>
      <c r="AO1197" s="44">
        <v>0</v>
      </c>
      <c r="AP1197" s="43">
        <v>140000000</v>
      </c>
      <c r="AQ1197" s="44">
        <v>0</v>
      </c>
      <c r="AR1197" s="44">
        <v>0</v>
      </c>
      <c r="AS1197" s="43">
        <v>140000000</v>
      </c>
      <c r="AT1197" s="39">
        <f t="shared" ref="AT1197:AT1198" si="456">AQ1197+AS1197</f>
        <v>140000000</v>
      </c>
      <c r="AU1197" s="133">
        <f>AJ1197-AM1197</f>
        <v>0</v>
      </c>
      <c r="AV1197" s="133">
        <f>AM1197-AP1197</f>
        <v>0</v>
      </c>
      <c r="AW1197" s="34">
        <f>AP1197-AT1197</f>
        <v>0</v>
      </c>
      <c r="AX1197" s="123">
        <f>AP1197/AJ1197</f>
        <v>1</v>
      </c>
    </row>
    <row r="1198" spans="1:50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166" t="s">
        <v>1140</v>
      </c>
      <c r="AB1198" s="167" t="s">
        <v>1013</v>
      </c>
      <c r="AC1198" s="168"/>
      <c r="AD1198" s="255">
        <v>0</v>
      </c>
      <c r="AE1198" s="217">
        <v>92624671.799999997</v>
      </c>
      <c r="AF1198" s="216">
        <v>0</v>
      </c>
      <c r="AG1198" s="216">
        <v>0</v>
      </c>
      <c r="AH1198" s="216">
        <v>0</v>
      </c>
      <c r="AI1198" s="43">
        <f t="shared" si="454"/>
        <v>92624671.799999997</v>
      </c>
      <c r="AJ1198" s="43">
        <f t="shared" si="455"/>
        <v>92624671.799999997</v>
      </c>
      <c r="AK1198" s="44">
        <v>0</v>
      </c>
      <c r="AL1198" s="44">
        <v>0</v>
      </c>
      <c r="AM1198" s="43">
        <v>92624671.799999997</v>
      </c>
      <c r="AN1198" s="44">
        <v>0</v>
      </c>
      <c r="AO1198" s="44">
        <v>0</v>
      </c>
      <c r="AP1198" s="43">
        <v>92624671.799999997</v>
      </c>
      <c r="AQ1198" s="44">
        <v>0</v>
      </c>
      <c r="AR1198" s="44">
        <v>0</v>
      </c>
      <c r="AS1198" s="43">
        <v>92624671.799999997</v>
      </c>
      <c r="AT1198" s="39">
        <f t="shared" si="456"/>
        <v>92624671.799999997</v>
      </c>
      <c r="AU1198" s="133">
        <f>AJ1198-AM1198</f>
        <v>0</v>
      </c>
      <c r="AV1198" s="133">
        <f>AM1198-AP1198</f>
        <v>0</v>
      </c>
      <c r="AW1198" s="34">
        <f>AP1198-AT1198</f>
        <v>0</v>
      </c>
      <c r="AX1198" s="123">
        <f>AP1198/AJ1198</f>
        <v>1</v>
      </c>
    </row>
    <row r="1199" spans="1:50" ht="25.5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170" t="s">
        <v>288</v>
      </c>
      <c r="AB1199" s="165" t="s">
        <v>1141</v>
      </c>
      <c r="AC1199" s="168"/>
      <c r="AD1199" s="255"/>
      <c r="AE1199" s="235"/>
      <c r="AF1199" s="216"/>
      <c r="AG1199" s="44"/>
      <c r="AH1199" s="44"/>
      <c r="AI1199" s="44"/>
      <c r="AJ1199" s="43"/>
      <c r="AK1199" s="44"/>
      <c r="AL1199" s="44"/>
      <c r="AM1199" s="44"/>
      <c r="AN1199" s="44"/>
      <c r="AO1199" s="44"/>
      <c r="AP1199" s="44"/>
      <c r="AQ1199" s="44"/>
      <c r="AR1199" s="44"/>
      <c r="AS1199" s="44"/>
      <c r="AT1199" s="135"/>
      <c r="AU1199" s="133"/>
      <c r="AV1199" s="133"/>
      <c r="AW1199" s="34"/>
      <c r="AX1199" s="123"/>
    </row>
    <row r="1200" spans="1:50" ht="25.5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166" t="s">
        <v>1142</v>
      </c>
      <c r="AB1200" s="167" t="s">
        <v>1055</v>
      </c>
      <c r="AC1200" s="168"/>
      <c r="AD1200" s="255">
        <v>0</v>
      </c>
      <c r="AE1200" s="217">
        <v>15000000</v>
      </c>
      <c r="AF1200" s="216">
        <v>0</v>
      </c>
      <c r="AG1200" s="216">
        <v>0</v>
      </c>
      <c r="AH1200" s="216">
        <v>0</v>
      </c>
      <c r="AI1200" s="43">
        <f t="shared" ref="AI1200:AI1203" si="457">AE1200-AF1200+AG1200-AH1200</f>
        <v>15000000</v>
      </c>
      <c r="AJ1200" s="43">
        <f t="shared" ref="AJ1200:AJ1203" si="458">AD1200+AI1200</f>
        <v>15000000</v>
      </c>
      <c r="AK1200" s="44">
        <v>0</v>
      </c>
      <c r="AL1200" s="44">
        <v>0</v>
      </c>
      <c r="AM1200" s="43">
        <v>15000000</v>
      </c>
      <c r="AN1200" s="44">
        <v>0</v>
      </c>
      <c r="AO1200" s="44">
        <v>0</v>
      </c>
      <c r="AP1200" s="43">
        <v>15000000</v>
      </c>
      <c r="AQ1200" s="44">
        <v>0</v>
      </c>
      <c r="AR1200" s="44">
        <v>0</v>
      </c>
      <c r="AS1200" s="43">
        <v>15000000</v>
      </c>
      <c r="AT1200" s="39">
        <f t="shared" ref="AT1200:AT1203" si="459">AQ1200+AS1200</f>
        <v>15000000</v>
      </c>
      <c r="AU1200" s="133">
        <f>AJ1200-AM1200</f>
        <v>0</v>
      </c>
      <c r="AV1200" s="133">
        <f>AM1200-AP1200</f>
        <v>0</v>
      </c>
      <c r="AW1200" s="34">
        <f>AP1200-AT1200</f>
        <v>0</v>
      </c>
      <c r="AX1200" s="123">
        <f>AP1200/AJ1200</f>
        <v>1</v>
      </c>
    </row>
    <row r="1201" spans="1:50" ht="25.5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166" t="s">
        <v>1143</v>
      </c>
      <c r="AB1201" s="167" t="s">
        <v>1055</v>
      </c>
      <c r="AC1201" s="168"/>
      <c r="AD1201" s="255">
        <v>0</v>
      </c>
      <c r="AE1201" s="217">
        <v>100000000</v>
      </c>
      <c r="AF1201" s="216">
        <v>0</v>
      </c>
      <c r="AG1201" s="216">
        <v>0</v>
      </c>
      <c r="AH1201" s="216">
        <v>0</v>
      </c>
      <c r="AI1201" s="43">
        <f t="shared" si="457"/>
        <v>100000000</v>
      </c>
      <c r="AJ1201" s="43">
        <f t="shared" si="458"/>
        <v>100000000</v>
      </c>
      <c r="AK1201" s="44">
        <v>0</v>
      </c>
      <c r="AL1201" s="44">
        <v>0</v>
      </c>
      <c r="AM1201" s="43">
        <v>100000000</v>
      </c>
      <c r="AN1201" s="44">
        <v>0</v>
      </c>
      <c r="AO1201" s="44">
        <v>0</v>
      </c>
      <c r="AP1201" s="43">
        <v>100000000</v>
      </c>
      <c r="AQ1201" s="44">
        <v>0</v>
      </c>
      <c r="AR1201" s="44">
        <v>0</v>
      </c>
      <c r="AS1201" s="43">
        <v>100000000</v>
      </c>
      <c r="AT1201" s="39">
        <f t="shared" si="459"/>
        <v>100000000</v>
      </c>
      <c r="AU1201" s="133">
        <f>AJ1201-AM1201</f>
        <v>0</v>
      </c>
      <c r="AV1201" s="133">
        <f>AM1201-AP1201</f>
        <v>0</v>
      </c>
      <c r="AW1201" s="34">
        <f>AP1201-AT1201</f>
        <v>0</v>
      </c>
      <c r="AX1201" s="123">
        <f>AP1201/AJ1201</f>
        <v>1</v>
      </c>
    </row>
    <row r="1202" spans="1:50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166" t="s">
        <v>1144</v>
      </c>
      <c r="AB1202" s="167" t="s">
        <v>1013</v>
      </c>
      <c r="AC1202" s="168"/>
      <c r="AD1202" s="255">
        <v>0</v>
      </c>
      <c r="AE1202" s="217">
        <v>80000000</v>
      </c>
      <c r="AF1202" s="216">
        <v>0</v>
      </c>
      <c r="AG1202" s="216">
        <v>0</v>
      </c>
      <c r="AH1202" s="216">
        <v>0</v>
      </c>
      <c r="AI1202" s="43">
        <f t="shared" si="457"/>
        <v>80000000</v>
      </c>
      <c r="AJ1202" s="43">
        <f t="shared" si="458"/>
        <v>80000000</v>
      </c>
      <c r="AK1202" s="44">
        <v>0</v>
      </c>
      <c r="AL1202" s="44">
        <v>0</v>
      </c>
      <c r="AM1202" s="43">
        <v>80000000</v>
      </c>
      <c r="AN1202" s="44">
        <v>0</v>
      </c>
      <c r="AO1202" s="44">
        <v>0</v>
      </c>
      <c r="AP1202" s="43">
        <v>80000000</v>
      </c>
      <c r="AQ1202" s="44">
        <v>0</v>
      </c>
      <c r="AR1202" s="44">
        <v>0</v>
      </c>
      <c r="AS1202" s="43">
        <v>80000000</v>
      </c>
      <c r="AT1202" s="39">
        <f t="shared" si="459"/>
        <v>80000000</v>
      </c>
      <c r="AU1202" s="133">
        <f>AJ1202-AM1202</f>
        <v>0</v>
      </c>
      <c r="AV1202" s="133">
        <f>AM1202-AP1202</f>
        <v>0</v>
      </c>
      <c r="AW1202" s="34">
        <f>AP1202-AT1202</f>
        <v>0</v>
      </c>
      <c r="AX1202" s="123">
        <f>AP1202/AJ1202</f>
        <v>1</v>
      </c>
    </row>
    <row r="1203" spans="1:50" ht="25.5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166" t="s">
        <v>1145</v>
      </c>
      <c r="AB1203" s="167" t="s">
        <v>1044</v>
      </c>
      <c r="AC1203" s="168"/>
      <c r="AD1203" s="255">
        <v>0</v>
      </c>
      <c r="AE1203" s="217">
        <v>22000000</v>
      </c>
      <c r="AF1203" s="216">
        <v>0</v>
      </c>
      <c r="AG1203" s="216">
        <v>0</v>
      </c>
      <c r="AH1203" s="216">
        <v>0</v>
      </c>
      <c r="AI1203" s="43">
        <f t="shared" si="457"/>
        <v>22000000</v>
      </c>
      <c r="AJ1203" s="43">
        <f t="shared" si="458"/>
        <v>22000000</v>
      </c>
      <c r="AK1203" s="44">
        <v>0</v>
      </c>
      <c r="AL1203" s="44">
        <v>0</v>
      </c>
      <c r="AM1203" s="43">
        <v>22000000</v>
      </c>
      <c r="AN1203" s="44">
        <v>0</v>
      </c>
      <c r="AO1203" s="44">
        <v>0</v>
      </c>
      <c r="AP1203" s="43">
        <v>22000000</v>
      </c>
      <c r="AQ1203" s="44">
        <v>0</v>
      </c>
      <c r="AR1203" s="44">
        <v>0</v>
      </c>
      <c r="AS1203" s="43">
        <v>22000000</v>
      </c>
      <c r="AT1203" s="39">
        <f t="shared" si="459"/>
        <v>22000000</v>
      </c>
      <c r="AU1203" s="133">
        <f>AJ1203-AM1203</f>
        <v>0</v>
      </c>
      <c r="AV1203" s="133">
        <f>AM1203-AP1203</f>
        <v>0</v>
      </c>
      <c r="AW1203" s="34">
        <f>AP1203-AT1203</f>
        <v>0</v>
      </c>
      <c r="AX1203" s="123">
        <f>AP1203/AJ1203</f>
        <v>1</v>
      </c>
    </row>
    <row r="1204" spans="1:50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170" t="s">
        <v>288</v>
      </c>
      <c r="AB1204" s="165" t="s">
        <v>199</v>
      </c>
      <c r="AC1204" s="168"/>
      <c r="AD1204" s="255"/>
      <c r="AE1204" s="235"/>
      <c r="AF1204" s="216"/>
      <c r="AG1204" s="44"/>
      <c r="AH1204" s="44"/>
      <c r="AI1204" s="44"/>
      <c r="AJ1204" s="43"/>
      <c r="AK1204" s="44"/>
      <c r="AL1204" s="44"/>
      <c r="AM1204" s="44"/>
      <c r="AN1204" s="44"/>
      <c r="AO1204" s="44"/>
      <c r="AP1204" s="44"/>
      <c r="AQ1204" s="44"/>
      <c r="AR1204" s="44"/>
      <c r="AS1204" s="44"/>
      <c r="AT1204" s="135"/>
      <c r="AU1204" s="133"/>
      <c r="AV1204" s="133"/>
      <c r="AW1204" s="34"/>
      <c r="AX1204" s="123"/>
    </row>
    <row r="1205" spans="1:50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166" t="s">
        <v>1146</v>
      </c>
      <c r="AB1205" s="167" t="s">
        <v>1147</v>
      </c>
      <c r="AC1205" s="168"/>
      <c r="AD1205" s="255">
        <v>0</v>
      </c>
      <c r="AE1205" s="217">
        <v>134265906</v>
      </c>
      <c r="AF1205" s="216">
        <v>0</v>
      </c>
      <c r="AG1205" s="44">
        <v>0</v>
      </c>
      <c r="AH1205" s="44">
        <v>0</v>
      </c>
      <c r="AI1205" s="43">
        <f t="shared" ref="AI1205:AI1206" si="460">AE1205-AF1205+AG1205-AH1205</f>
        <v>134265906</v>
      </c>
      <c r="AJ1205" s="43">
        <f t="shared" ref="AJ1205:AJ1206" si="461">AD1205+AI1205</f>
        <v>134265906</v>
      </c>
      <c r="AK1205" s="44">
        <v>0</v>
      </c>
      <c r="AL1205" s="44">
        <v>0</v>
      </c>
      <c r="AM1205" s="43">
        <v>134265906</v>
      </c>
      <c r="AN1205" s="44">
        <v>0</v>
      </c>
      <c r="AO1205" s="44">
        <v>0</v>
      </c>
      <c r="AP1205" s="43">
        <v>134265906</v>
      </c>
      <c r="AQ1205" s="44">
        <v>0</v>
      </c>
      <c r="AR1205" s="44">
        <v>0</v>
      </c>
      <c r="AS1205" s="43">
        <v>134265906</v>
      </c>
      <c r="AT1205" s="39">
        <f t="shared" ref="AT1205:AT1206" si="462">AQ1205+AS1205</f>
        <v>134265906</v>
      </c>
      <c r="AU1205" s="133">
        <f>AJ1205-AM1205</f>
        <v>0</v>
      </c>
      <c r="AV1205" s="133">
        <f>AM1205-AP1205</f>
        <v>0</v>
      </c>
      <c r="AW1205" s="34">
        <f>AP1205-AT1205</f>
        <v>0</v>
      </c>
      <c r="AX1205" s="123">
        <f>AP1205/AJ1205</f>
        <v>1</v>
      </c>
    </row>
    <row r="1206" spans="1:50" ht="25.5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166" t="s">
        <v>1148</v>
      </c>
      <c r="AB1206" s="167" t="s">
        <v>1149</v>
      </c>
      <c r="AC1206" s="168"/>
      <c r="AD1206" s="255">
        <v>0</v>
      </c>
      <c r="AE1206" s="217">
        <v>24691137.52</v>
      </c>
      <c r="AF1206" s="216">
        <v>0</v>
      </c>
      <c r="AG1206" s="216">
        <v>0</v>
      </c>
      <c r="AH1206" s="216">
        <v>0</v>
      </c>
      <c r="AI1206" s="43">
        <f t="shared" si="460"/>
        <v>24691137.52</v>
      </c>
      <c r="AJ1206" s="43">
        <f t="shared" si="461"/>
        <v>24691137.52</v>
      </c>
      <c r="AK1206" s="44">
        <v>0</v>
      </c>
      <c r="AL1206" s="44">
        <v>0</v>
      </c>
      <c r="AM1206" s="43">
        <v>24691137.52</v>
      </c>
      <c r="AN1206" s="44">
        <v>0</v>
      </c>
      <c r="AO1206" s="44">
        <v>0</v>
      </c>
      <c r="AP1206" s="43">
        <v>24691137.52</v>
      </c>
      <c r="AQ1206" s="44">
        <v>0</v>
      </c>
      <c r="AR1206" s="44">
        <v>0</v>
      </c>
      <c r="AS1206" s="43">
        <v>24691137.52</v>
      </c>
      <c r="AT1206" s="39">
        <f t="shared" si="462"/>
        <v>24691137.52</v>
      </c>
      <c r="AU1206" s="133">
        <f>AJ1206-AM1206</f>
        <v>0</v>
      </c>
      <c r="AV1206" s="133">
        <f>AM1206-AP1206</f>
        <v>0</v>
      </c>
      <c r="AW1206" s="34">
        <f>AP1206-AT1206</f>
        <v>0</v>
      </c>
      <c r="AX1206" s="123">
        <f>AP1206/AJ1206</f>
        <v>1</v>
      </c>
    </row>
    <row r="1207" spans="1:50" ht="25.5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170" t="s">
        <v>288</v>
      </c>
      <c r="AB1207" s="165" t="s">
        <v>1150</v>
      </c>
      <c r="AC1207" s="168"/>
      <c r="AD1207" s="231"/>
      <c r="AE1207" s="236"/>
      <c r="AF1207" s="216"/>
      <c r="AG1207" s="44"/>
      <c r="AH1207" s="44"/>
      <c r="AI1207" s="44"/>
      <c r="AJ1207" s="43"/>
      <c r="AK1207" s="44"/>
      <c r="AL1207" s="44"/>
      <c r="AM1207" s="44"/>
      <c r="AN1207" s="44"/>
      <c r="AO1207" s="44"/>
      <c r="AP1207" s="44"/>
      <c r="AQ1207" s="44"/>
      <c r="AR1207" s="44"/>
      <c r="AS1207" s="44"/>
      <c r="AT1207" s="135"/>
      <c r="AU1207" s="133"/>
      <c r="AV1207" s="133"/>
      <c r="AW1207" s="34"/>
      <c r="AX1207" s="123"/>
    </row>
    <row r="1208" spans="1:50" ht="25.5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166" t="s">
        <v>1151</v>
      </c>
      <c r="AB1208" s="167" t="s">
        <v>1055</v>
      </c>
      <c r="AC1208" s="168"/>
      <c r="AD1208" s="255">
        <v>0</v>
      </c>
      <c r="AE1208" s="217">
        <v>233600000</v>
      </c>
      <c r="AF1208" s="216">
        <v>0</v>
      </c>
      <c r="AG1208" s="216">
        <v>0</v>
      </c>
      <c r="AH1208" s="216">
        <v>0</v>
      </c>
      <c r="AI1208" s="43">
        <f t="shared" ref="AI1208" si="463">AE1208-AF1208+AG1208-AH1208</f>
        <v>233600000</v>
      </c>
      <c r="AJ1208" s="43">
        <f t="shared" ref="AJ1208" si="464">AD1208+AI1208</f>
        <v>233600000</v>
      </c>
      <c r="AK1208" s="44">
        <v>0</v>
      </c>
      <c r="AL1208" s="44">
        <v>0</v>
      </c>
      <c r="AM1208" s="43">
        <v>233600000</v>
      </c>
      <c r="AN1208" s="44">
        <v>0</v>
      </c>
      <c r="AO1208" s="44">
        <v>0</v>
      </c>
      <c r="AP1208" s="43">
        <v>233600000</v>
      </c>
      <c r="AQ1208" s="44">
        <v>0</v>
      </c>
      <c r="AR1208" s="44">
        <v>0</v>
      </c>
      <c r="AS1208" s="43">
        <v>233600000</v>
      </c>
      <c r="AT1208" s="39">
        <f t="shared" ref="AT1208" si="465">AQ1208+AS1208</f>
        <v>233600000</v>
      </c>
      <c r="AU1208" s="133">
        <f>AJ1208-AM1208</f>
        <v>0</v>
      </c>
      <c r="AV1208" s="133">
        <f>AM1208-AP1208</f>
        <v>0</v>
      </c>
      <c r="AW1208" s="34">
        <f>AP1208-AT1208</f>
        <v>0</v>
      </c>
      <c r="AX1208" s="123">
        <f>AP1208/AJ1208</f>
        <v>1</v>
      </c>
    </row>
    <row r="1209" spans="1:50" ht="25.5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170" t="s">
        <v>288</v>
      </c>
      <c r="AB1209" s="165" t="s">
        <v>1152</v>
      </c>
      <c r="AC1209" s="168"/>
      <c r="AD1209" s="231"/>
      <c r="AE1209" s="236"/>
      <c r="AF1209" s="216"/>
      <c r="AG1209" s="44"/>
      <c r="AH1209" s="44"/>
      <c r="AI1209" s="44"/>
      <c r="AJ1209" s="43"/>
      <c r="AK1209" s="44"/>
      <c r="AL1209" s="44"/>
      <c r="AM1209" s="44"/>
      <c r="AN1209" s="44"/>
      <c r="AO1209" s="44"/>
      <c r="AP1209" s="44"/>
      <c r="AQ1209" s="44"/>
      <c r="AR1209" s="44"/>
      <c r="AS1209" s="44"/>
      <c r="AT1209" s="135"/>
      <c r="AU1209" s="110"/>
      <c r="AV1209" s="133"/>
      <c r="AW1209" s="34"/>
      <c r="AX1209" s="123"/>
    </row>
    <row r="1210" spans="1:50" ht="25.5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166" t="s">
        <v>1153</v>
      </c>
      <c r="AB1210" s="167" t="s">
        <v>1055</v>
      </c>
      <c r="AC1210" s="168"/>
      <c r="AD1210" s="255">
        <v>0</v>
      </c>
      <c r="AE1210" s="217">
        <v>61400000</v>
      </c>
      <c r="AF1210" s="216">
        <v>0</v>
      </c>
      <c r="AG1210" s="216">
        <v>0</v>
      </c>
      <c r="AH1210" s="216">
        <v>0</v>
      </c>
      <c r="AI1210" s="43">
        <f t="shared" ref="AI1210" si="466">AE1210-AF1210+AG1210-AH1210</f>
        <v>61400000</v>
      </c>
      <c r="AJ1210" s="43">
        <f t="shared" ref="AJ1210" si="467">AD1210+AI1210</f>
        <v>61400000</v>
      </c>
      <c r="AK1210" s="44">
        <v>0</v>
      </c>
      <c r="AL1210" s="44">
        <v>0</v>
      </c>
      <c r="AM1210" s="43">
        <v>61400000</v>
      </c>
      <c r="AN1210" s="44">
        <v>0</v>
      </c>
      <c r="AO1210" s="44">
        <v>0</v>
      </c>
      <c r="AP1210" s="43">
        <v>61400000</v>
      </c>
      <c r="AQ1210" s="44">
        <v>0</v>
      </c>
      <c r="AR1210" s="44">
        <v>0</v>
      </c>
      <c r="AS1210" s="43">
        <v>61400000</v>
      </c>
      <c r="AT1210" s="39">
        <f t="shared" ref="AT1210" si="468">AQ1210+AS1210</f>
        <v>61400000</v>
      </c>
      <c r="AU1210" s="133">
        <f>AJ1210-AM1210</f>
        <v>0</v>
      </c>
      <c r="AV1210" s="133">
        <f>AM1210-AP1210</f>
        <v>0</v>
      </c>
      <c r="AW1210" s="34">
        <f>AP1210-AT1210</f>
        <v>0</v>
      </c>
      <c r="AX1210" s="123">
        <f>AP1210/AJ1210</f>
        <v>1</v>
      </c>
    </row>
    <row r="1211" spans="1:50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170" t="s">
        <v>288</v>
      </c>
      <c r="AB1211" s="165" t="s">
        <v>1154</v>
      </c>
      <c r="AC1211" s="168"/>
      <c r="AD1211" s="255"/>
      <c r="AE1211" s="236"/>
      <c r="AF1211" s="216"/>
      <c r="AG1211" s="44"/>
      <c r="AH1211" s="44"/>
      <c r="AI1211" s="44"/>
      <c r="AJ1211" s="43"/>
      <c r="AK1211" s="44"/>
      <c r="AL1211" s="44"/>
      <c r="AM1211" s="44"/>
      <c r="AN1211" s="44"/>
      <c r="AO1211" s="44"/>
      <c r="AP1211" s="44"/>
      <c r="AQ1211" s="44"/>
      <c r="AR1211" s="44"/>
      <c r="AS1211" s="44"/>
      <c r="AT1211" s="135"/>
      <c r="AU1211" s="133"/>
      <c r="AV1211" s="133"/>
      <c r="AW1211" s="34"/>
      <c r="AX1211" s="123"/>
    </row>
    <row r="1212" spans="1:50" ht="25.5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166" t="s">
        <v>1155</v>
      </c>
      <c r="AB1212" s="167" t="s">
        <v>1055</v>
      </c>
      <c r="AC1212" s="168"/>
      <c r="AD1212" s="255">
        <v>0</v>
      </c>
      <c r="AE1212" s="217">
        <v>200000000</v>
      </c>
      <c r="AF1212" s="216">
        <v>0</v>
      </c>
      <c r="AG1212" s="216">
        <v>0</v>
      </c>
      <c r="AH1212" s="216">
        <v>0</v>
      </c>
      <c r="AI1212" s="43">
        <f t="shared" ref="AI1212" si="469">AE1212-AF1212+AG1212-AH1212</f>
        <v>200000000</v>
      </c>
      <c r="AJ1212" s="43">
        <f t="shared" ref="AJ1212" si="470">AD1212+AI1212</f>
        <v>200000000</v>
      </c>
      <c r="AK1212" s="44">
        <v>0</v>
      </c>
      <c r="AL1212" s="44">
        <v>0</v>
      </c>
      <c r="AM1212" s="43">
        <v>200000000</v>
      </c>
      <c r="AN1212" s="44">
        <v>0</v>
      </c>
      <c r="AO1212" s="44">
        <v>0</v>
      </c>
      <c r="AP1212" s="43">
        <v>200000000</v>
      </c>
      <c r="AQ1212" s="44">
        <v>0</v>
      </c>
      <c r="AR1212" s="44">
        <v>0</v>
      </c>
      <c r="AS1212" s="43">
        <v>200000000</v>
      </c>
      <c r="AT1212" s="39">
        <f t="shared" ref="AT1212" si="471">AQ1212+AS1212</f>
        <v>200000000</v>
      </c>
      <c r="AU1212" s="133">
        <f>AJ1212-AM1212</f>
        <v>0</v>
      </c>
      <c r="AV1212" s="133">
        <f>AM1212-AP1212</f>
        <v>0</v>
      </c>
      <c r="AW1212" s="34">
        <f>AP1212-AT1212</f>
        <v>0</v>
      </c>
      <c r="AX1212" s="123">
        <f>AP1212/AJ1212</f>
        <v>1</v>
      </c>
    </row>
    <row r="1213" spans="1:50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170" t="s">
        <v>288</v>
      </c>
      <c r="AB1213" s="165" t="s">
        <v>1156</v>
      </c>
      <c r="AC1213" s="168"/>
      <c r="AD1213" s="255"/>
      <c r="AE1213" s="236"/>
      <c r="AF1213" s="216"/>
      <c r="AG1213" s="44"/>
      <c r="AH1213" s="44"/>
      <c r="AI1213" s="44"/>
      <c r="AJ1213" s="43"/>
      <c r="AK1213" s="44"/>
      <c r="AL1213" s="44"/>
      <c r="AM1213" s="44"/>
      <c r="AN1213" s="44"/>
      <c r="AO1213" s="44"/>
      <c r="AP1213" s="44"/>
      <c r="AQ1213" s="44"/>
      <c r="AR1213" s="44"/>
      <c r="AS1213" s="44"/>
      <c r="AT1213" s="135"/>
      <c r="AU1213" s="133"/>
      <c r="AV1213" s="133"/>
      <c r="AW1213" s="34"/>
      <c r="AX1213" s="123"/>
    </row>
    <row r="1214" spans="1:50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166" t="s">
        <v>1157</v>
      </c>
      <c r="AB1214" s="167" t="s">
        <v>1013</v>
      </c>
      <c r="AC1214" s="168"/>
      <c r="AD1214" s="255">
        <v>0</v>
      </c>
      <c r="AE1214" s="217">
        <v>70000000</v>
      </c>
      <c r="AF1214" s="216">
        <v>0</v>
      </c>
      <c r="AG1214" s="216">
        <v>0</v>
      </c>
      <c r="AH1214" s="216">
        <v>0</v>
      </c>
      <c r="AI1214" s="43">
        <f t="shared" ref="AI1214" si="472">AE1214-AF1214+AG1214-AH1214</f>
        <v>70000000</v>
      </c>
      <c r="AJ1214" s="43">
        <f t="shared" ref="AJ1214" si="473">AD1214+AI1214</f>
        <v>70000000</v>
      </c>
      <c r="AK1214" s="44">
        <v>0</v>
      </c>
      <c r="AL1214" s="44">
        <v>0</v>
      </c>
      <c r="AM1214" s="43">
        <v>70000000</v>
      </c>
      <c r="AN1214" s="44">
        <v>0</v>
      </c>
      <c r="AO1214" s="44">
        <v>0</v>
      </c>
      <c r="AP1214" s="43">
        <v>70000000</v>
      </c>
      <c r="AQ1214" s="44">
        <v>0</v>
      </c>
      <c r="AR1214" s="44">
        <v>0</v>
      </c>
      <c r="AS1214" s="43">
        <v>70000000</v>
      </c>
      <c r="AT1214" s="39">
        <f t="shared" ref="AT1214" si="474">AQ1214+AS1214</f>
        <v>70000000</v>
      </c>
      <c r="AU1214" s="133">
        <f>AJ1214-AM1214</f>
        <v>0</v>
      </c>
      <c r="AV1214" s="133">
        <f>AM1214-AP1214</f>
        <v>0</v>
      </c>
      <c r="AW1214" s="34">
        <f>AP1214-AT1214</f>
        <v>0</v>
      </c>
      <c r="AX1214" s="123">
        <f>AP1214/AJ1214</f>
        <v>1</v>
      </c>
    </row>
    <row r="1215" spans="1:50" ht="25.5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170" t="s">
        <v>288</v>
      </c>
      <c r="AB1215" s="165" t="s">
        <v>1158</v>
      </c>
      <c r="AC1215" s="168"/>
      <c r="AD1215" s="255"/>
      <c r="AE1215" s="236"/>
      <c r="AF1215" s="216"/>
      <c r="AG1215" s="44"/>
      <c r="AH1215" s="44"/>
      <c r="AI1215" s="44"/>
      <c r="AJ1215" s="43"/>
      <c r="AK1215" s="44"/>
      <c r="AL1215" s="44"/>
      <c r="AM1215" s="44"/>
      <c r="AN1215" s="44"/>
      <c r="AO1215" s="44"/>
      <c r="AP1215" s="44"/>
      <c r="AQ1215" s="44"/>
      <c r="AR1215" s="44"/>
      <c r="AS1215" s="43"/>
      <c r="AT1215" s="39"/>
      <c r="AU1215" s="133"/>
      <c r="AV1215" s="133"/>
      <c r="AW1215" s="34"/>
      <c r="AX1215" s="123"/>
    </row>
    <row r="1216" spans="1:50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166" t="s">
        <v>1159</v>
      </c>
      <c r="AB1216" s="167" t="s">
        <v>1013</v>
      </c>
      <c r="AC1216" s="168"/>
      <c r="AD1216" s="255">
        <v>0</v>
      </c>
      <c r="AE1216" s="217">
        <v>34660667.719999999</v>
      </c>
      <c r="AF1216" s="216">
        <v>0</v>
      </c>
      <c r="AG1216" s="216">
        <v>0</v>
      </c>
      <c r="AH1216" s="216">
        <v>0</v>
      </c>
      <c r="AI1216" s="43">
        <f t="shared" ref="AI1216" si="475">AE1216-AF1216+AG1216-AH1216</f>
        <v>34660667.719999999</v>
      </c>
      <c r="AJ1216" s="43">
        <f t="shared" ref="AJ1216" si="476">AD1216+AI1216</f>
        <v>34660667.719999999</v>
      </c>
      <c r="AK1216" s="44">
        <v>0</v>
      </c>
      <c r="AL1216" s="44">
        <v>0</v>
      </c>
      <c r="AM1216" s="43">
        <v>34660667.719999999</v>
      </c>
      <c r="AN1216" s="44">
        <v>0</v>
      </c>
      <c r="AO1216" s="44">
        <v>0</v>
      </c>
      <c r="AP1216" s="43">
        <v>34660667.719999999</v>
      </c>
      <c r="AQ1216" s="44">
        <v>0</v>
      </c>
      <c r="AR1216" s="44">
        <v>0</v>
      </c>
      <c r="AS1216" s="43">
        <v>34660667.719999999</v>
      </c>
      <c r="AT1216" s="39">
        <f t="shared" ref="AT1216" si="477">AQ1216+AS1216</f>
        <v>34660667.719999999</v>
      </c>
      <c r="AU1216" s="133">
        <f>AJ1216-AM1216</f>
        <v>0</v>
      </c>
      <c r="AV1216" s="133">
        <f>AM1216-AP1216</f>
        <v>0</v>
      </c>
      <c r="AW1216" s="34">
        <f>AP1216-AT1216</f>
        <v>0</v>
      </c>
      <c r="AX1216" s="123">
        <f>AP1216/AJ1216</f>
        <v>1</v>
      </c>
    </row>
    <row r="1217" spans="1:50" ht="17.25" customHeight="1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170" t="s">
        <v>288</v>
      </c>
      <c r="AB1217" s="165" t="s">
        <v>1160</v>
      </c>
      <c r="AC1217" s="168"/>
      <c r="AD1217" s="255"/>
      <c r="AE1217" s="236"/>
      <c r="AF1217" s="216"/>
      <c r="AG1217" s="44"/>
      <c r="AH1217" s="44"/>
      <c r="AI1217" s="44"/>
      <c r="AJ1217" s="43"/>
      <c r="AK1217" s="44"/>
      <c r="AL1217" s="44"/>
      <c r="AM1217" s="44"/>
      <c r="AN1217" s="44"/>
      <c r="AO1217" s="44"/>
      <c r="AP1217" s="44"/>
      <c r="AQ1217" s="44"/>
      <c r="AR1217" s="44"/>
      <c r="AS1217" s="44"/>
      <c r="AT1217" s="135"/>
      <c r="AU1217" s="133"/>
      <c r="AV1217" s="133"/>
      <c r="AW1217" s="34"/>
      <c r="AX1217" s="123"/>
    </row>
    <row r="1218" spans="1:50" ht="31.5" customHeight="1" x14ac:dyDescent="0.2">
      <c r="AA1218" s="166" t="s">
        <v>1161</v>
      </c>
      <c r="AB1218" s="167" t="s">
        <v>1044</v>
      </c>
      <c r="AC1218" s="161"/>
      <c r="AD1218" s="256">
        <v>0</v>
      </c>
      <c r="AE1218" s="217">
        <v>106000000</v>
      </c>
      <c r="AF1218" s="216">
        <v>0</v>
      </c>
      <c r="AG1218" s="216">
        <v>0</v>
      </c>
      <c r="AH1218" s="216">
        <v>0</v>
      </c>
      <c r="AI1218" s="43">
        <f t="shared" ref="AI1218" si="478">AE1218-AF1218+AG1218-AH1218</f>
        <v>106000000</v>
      </c>
      <c r="AJ1218" s="43">
        <f t="shared" ref="AJ1218" si="479">AD1218+AI1218</f>
        <v>106000000</v>
      </c>
      <c r="AK1218" s="34">
        <v>0</v>
      </c>
      <c r="AL1218" s="34">
        <v>0</v>
      </c>
      <c r="AM1218" s="18">
        <v>106000000</v>
      </c>
      <c r="AN1218" s="34">
        <v>0</v>
      </c>
      <c r="AO1218" s="34">
        <v>0</v>
      </c>
      <c r="AP1218" s="18">
        <v>106000000</v>
      </c>
      <c r="AQ1218" s="34">
        <v>0</v>
      </c>
      <c r="AR1218" s="34">
        <v>0</v>
      </c>
      <c r="AS1218" s="18">
        <v>106000000</v>
      </c>
      <c r="AT1218" s="39">
        <f t="shared" ref="AT1218" si="480">AQ1218+AS1218</f>
        <v>106000000</v>
      </c>
      <c r="AU1218" s="133">
        <f>AJ1218-AM1218</f>
        <v>0</v>
      </c>
      <c r="AV1218" s="133">
        <f>AM1218-AP1218</f>
        <v>0</v>
      </c>
      <c r="AW1218" s="34">
        <f>AP1218-AT1218</f>
        <v>0</v>
      </c>
      <c r="AX1218" s="123">
        <f>AP1218/AJ1218</f>
        <v>1</v>
      </c>
    </row>
    <row r="1219" spans="1:50" ht="14.25" customHeight="1" x14ac:dyDescent="0.2">
      <c r="AA1219" s="229"/>
      <c r="AB1219" s="230"/>
      <c r="AC1219" s="161"/>
      <c r="AD1219" s="18"/>
      <c r="AE1219" s="234"/>
      <c r="AF1219" s="34"/>
      <c r="AG1219" s="34"/>
      <c r="AH1219" s="34"/>
      <c r="AI1219" s="34"/>
      <c r="AJ1219" s="18"/>
      <c r="AK1219" s="34"/>
      <c r="AL1219" s="18"/>
      <c r="AM1219" s="18"/>
      <c r="AN1219" s="34"/>
      <c r="AO1219" s="18"/>
      <c r="AP1219" s="18"/>
      <c r="AQ1219" s="18"/>
      <c r="AR1219" s="18"/>
      <c r="AS1219" s="18"/>
      <c r="AT1219" s="30"/>
      <c r="AU1219" s="18"/>
      <c r="AV1219" s="18"/>
      <c r="AW1219" s="18"/>
      <c r="AX1219" s="18"/>
    </row>
    <row r="1220" spans="1:50" s="50" customFormat="1" ht="15.75" customHeight="1" x14ac:dyDescent="0.2">
      <c r="B1220" s="77"/>
      <c r="C1220" s="77"/>
      <c r="D1220" s="77"/>
      <c r="E1220" s="77"/>
      <c r="F1220" s="77"/>
      <c r="G1220" s="77"/>
      <c r="H1220" s="77"/>
      <c r="I1220" s="77"/>
      <c r="J1220" s="77"/>
      <c r="K1220" s="77"/>
      <c r="L1220" s="77"/>
      <c r="M1220" s="77"/>
      <c r="N1220" s="77"/>
      <c r="O1220" s="77"/>
      <c r="P1220" s="77"/>
      <c r="Q1220" s="77"/>
      <c r="R1220" s="77"/>
      <c r="S1220" s="77"/>
      <c r="T1220" s="77"/>
      <c r="U1220" s="77"/>
      <c r="V1220" s="77"/>
      <c r="W1220" s="77"/>
      <c r="X1220" s="77"/>
      <c r="Y1220" s="77"/>
      <c r="Z1220" s="77"/>
      <c r="AA1220" s="227"/>
      <c r="AB1220" s="228" t="s">
        <v>750</v>
      </c>
      <c r="AC1220" s="22" t="s">
        <v>751</v>
      </c>
      <c r="AD1220" s="22">
        <f>SUM(AD1190:AD1218)</f>
        <v>14059854870</v>
      </c>
      <c r="AE1220" s="22">
        <f t="shared" ref="AE1220:AW1220" si="481">SUM(AE1190:AE1218)</f>
        <v>1314242383.04</v>
      </c>
      <c r="AF1220" s="23">
        <f t="shared" si="481"/>
        <v>0</v>
      </c>
      <c r="AG1220" s="23">
        <f t="shared" si="481"/>
        <v>0</v>
      </c>
      <c r="AH1220" s="23">
        <f t="shared" si="481"/>
        <v>0</v>
      </c>
      <c r="AI1220" s="23">
        <f t="shared" si="481"/>
        <v>1314242383.04</v>
      </c>
      <c r="AJ1220" s="22">
        <f t="shared" si="481"/>
        <v>15374097253.039999</v>
      </c>
      <c r="AK1220" s="23">
        <f t="shared" si="481"/>
        <v>0</v>
      </c>
      <c r="AL1220" s="22">
        <f t="shared" si="481"/>
        <v>1610013851.98</v>
      </c>
      <c r="AM1220" s="22">
        <f t="shared" si="481"/>
        <v>10345573682.019999</v>
      </c>
      <c r="AN1220" s="23">
        <f t="shared" si="481"/>
        <v>0</v>
      </c>
      <c r="AO1220" s="22">
        <f t="shared" si="481"/>
        <v>1610013851.98</v>
      </c>
      <c r="AP1220" s="22">
        <f t="shared" si="481"/>
        <v>10345573682.019999</v>
      </c>
      <c r="AQ1220" s="23">
        <f t="shared" si="481"/>
        <v>0</v>
      </c>
      <c r="AR1220" s="22">
        <f t="shared" si="481"/>
        <v>1610013851.98</v>
      </c>
      <c r="AS1220" s="22">
        <f t="shared" si="481"/>
        <v>10345573682.019999</v>
      </c>
      <c r="AT1220" s="22">
        <f>AQ1220+AS1220</f>
        <v>10345573682.019999</v>
      </c>
      <c r="AU1220" s="22">
        <f t="shared" si="481"/>
        <v>5028523571.0200005</v>
      </c>
      <c r="AV1220" s="23">
        <f t="shared" si="481"/>
        <v>0</v>
      </c>
      <c r="AW1220" s="23">
        <f t="shared" si="481"/>
        <v>0</v>
      </c>
      <c r="AX1220" s="24">
        <f>AP1220/AJ1220</f>
        <v>0.67292235191073191</v>
      </c>
    </row>
    <row r="1221" spans="1:50" x14ac:dyDescent="0.2">
      <c r="AA1221" s="16"/>
      <c r="AB1221" s="17"/>
      <c r="AC1221" s="17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</row>
    <row r="1222" spans="1:50" x14ac:dyDescent="0.2">
      <c r="AA1222" s="16"/>
      <c r="AB1222" s="29" t="s">
        <v>207</v>
      </c>
      <c r="AC1222" s="17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</row>
    <row r="1223" spans="1:50" x14ac:dyDescent="0.2">
      <c r="AA1223" s="16"/>
      <c r="AB1223" s="29" t="s">
        <v>285</v>
      </c>
      <c r="AC1223" s="17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</row>
    <row r="1224" spans="1:50" x14ac:dyDescent="0.2">
      <c r="AA1224" s="16"/>
      <c r="AB1224" s="29" t="s">
        <v>202</v>
      </c>
      <c r="AC1224" s="17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</row>
    <row r="1225" spans="1:50" x14ac:dyDescent="0.2">
      <c r="AA1225" s="16"/>
      <c r="AB1225" s="29" t="s">
        <v>203</v>
      </c>
      <c r="AC1225" s="17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</row>
    <row r="1226" spans="1:50" x14ac:dyDescent="0.2">
      <c r="AA1226" s="16"/>
      <c r="AB1226" s="29" t="s">
        <v>752</v>
      </c>
      <c r="AC1226" s="17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</row>
    <row r="1227" spans="1:50" ht="25.5" x14ac:dyDescent="0.2">
      <c r="AA1227" s="16"/>
      <c r="AB1227" s="29" t="s">
        <v>205</v>
      </c>
      <c r="AC1227" s="17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</row>
    <row r="1228" spans="1:50" ht="25.5" x14ac:dyDescent="0.2">
      <c r="AA1228" s="16"/>
      <c r="AB1228" s="29" t="s">
        <v>205</v>
      </c>
      <c r="AC1228" s="17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30"/>
      <c r="AU1228" s="18"/>
      <c r="AV1228" s="18"/>
      <c r="AW1228" s="18"/>
      <c r="AX1228" s="18"/>
    </row>
    <row r="1229" spans="1:50" ht="25.5" x14ac:dyDescent="0.2">
      <c r="AA1229" s="28" t="s">
        <v>288</v>
      </c>
      <c r="AB1229" s="29" t="s">
        <v>753</v>
      </c>
      <c r="AC1229" s="17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30"/>
      <c r="AU1229" s="18"/>
      <c r="AV1229" s="18"/>
      <c r="AW1229" s="18"/>
      <c r="AX1229" s="18"/>
    </row>
    <row r="1230" spans="1:50" x14ac:dyDescent="0.2">
      <c r="A1230" s="4" t="s">
        <v>55</v>
      </c>
      <c r="B1230" s="4" t="s">
        <v>56</v>
      </c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1" t="s">
        <v>754</v>
      </c>
      <c r="AB1230" s="42" t="s">
        <v>233</v>
      </c>
      <c r="AC1230" s="43" t="s">
        <v>58</v>
      </c>
      <c r="AD1230" s="43">
        <v>3500000000</v>
      </c>
      <c r="AE1230" s="44">
        <v>0</v>
      </c>
      <c r="AF1230" s="44">
        <v>0</v>
      </c>
      <c r="AG1230" s="44">
        <v>0</v>
      </c>
      <c r="AH1230" s="44">
        <v>0</v>
      </c>
      <c r="AI1230" s="44">
        <f t="shared" ref="AI1230:AI1231" si="482">AE1230-AF1230+AG1230-AH1230</f>
        <v>0</v>
      </c>
      <c r="AJ1230" s="43">
        <f t="shared" ref="AJ1230:AJ1231" si="483">AD1230+AI1230</f>
        <v>3500000000</v>
      </c>
      <c r="AK1230" s="44">
        <v>0</v>
      </c>
      <c r="AL1230" s="43">
        <v>291666667</v>
      </c>
      <c r="AM1230" s="43">
        <v>2333333336</v>
      </c>
      <c r="AN1230" s="44">
        <v>0</v>
      </c>
      <c r="AO1230" s="43">
        <v>291666667</v>
      </c>
      <c r="AP1230" s="43">
        <v>2333333336</v>
      </c>
      <c r="AQ1230" s="44">
        <v>0</v>
      </c>
      <c r="AR1230" s="43">
        <v>291666667</v>
      </c>
      <c r="AS1230" s="43">
        <v>2333333336</v>
      </c>
      <c r="AT1230" s="111">
        <f t="shared" ref="AT1230:AT1231" si="484">AQ1230+AS1230</f>
        <v>2333333336</v>
      </c>
      <c r="AU1230" s="110">
        <f>AJ1230-AM1230</f>
        <v>1166666664</v>
      </c>
      <c r="AV1230" s="133">
        <f>AM1230-AP1230</f>
        <v>0</v>
      </c>
      <c r="AW1230" s="34">
        <f>AP1230-AT1230</f>
        <v>0</v>
      </c>
      <c r="AX1230" s="123">
        <f>AP1230/AJ1230</f>
        <v>0.66666666742857139</v>
      </c>
    </row>
    <row r="1231" spans="1:50" x14ac:dyDescent="0.2">
      <c r="A1231" s="4" t="s">
        <v>55</v>
      </c>
      <c r="B1231" s="4" t="s">
        <v>56</v>
      </c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1" t="s">
        <v>1237</v>
      </c>
      <c r="AB1231" s="69" t="s">
        <v>756</v>
      </c>
      <c r="AC1231" s="43" t="s">
        <v>757</v>
      </c>
      <c r="AD1231" s="43">
        <v>103000000</v>
      </c>
      <c r="AE1231" s="44">
        <v>0</v>
      </c>
      <c r="AF1231" s="44">
        <v>0</v>
      </c>
      <c r="AG1231" s="44">
        <v>0</v>
      </c>
      <c r="AH1231" s="44">
        <v>0</v>
      </c>
      <c r="AI1231" s="44">
        <f t="shared" si="482"/>
        <v>0</v>
      </c>
      <c r="AJ1231" s="43">
        <f t="shared" si="483"/>
        <v>103000000</v>
      </c>
      <c r="AK1231" s="44">
        <v>0</v>
      </c>
      <c r="AL1231" s="43">
        <v>0</v>
      </c>
      <c r="AM1231" s="43">
        <v>23419439</v>
      </c>
      <c r="AN1231" s="44">
        <v>0</v>
      </c>
      <c r="AO1231" s="43">
        <v>0</v>
      </c>
      <c r="AP1231" s="43">
        <v>23419439</v>
      </c>
      <c r="AQ1231" s="44">
        <v>0</v>
      </c>
      <c r="AR1231" s="44">
        <v>0</v>
      </c>
      <c r="AS1231" s="44">
        <v>23419439</v>
      </c>
      <c r="AT1231" s="135">
        <f t="shared" si="484"/>
        <v>23419439</v>
      </c>
      <c r="AU1231" s="110">
        <f>AJ1231-AM1231</f>
        <v>79580561</v>
      </c>
      <c r="AV1231" s="133">
        <f>AM1231-AP1231</f>
        <v>0</v>
      </c>
      <c r="AW1231" s="34">
        <f>AP1231-AT1231</f>
        <v>0</v>
      </c>
      <c r="AX1231" s="123">
        <f>AP1231/AJ1231</f>
        <v>0.22737319417475729</v>
      </c>
    </row>
    <row r="1232" spans="1:50" x14ac:dyDescent="0.2">
      <c r="AA1232" s="162"/>
      <c r="AB1232" s="223"/>
      <c r="AC1232" s="17"/>
      <c r="AD1232" s="18"/>
      <c r="AE1232" s="34"/>
      <c r="AF1232" s="34"/>
      <c r="AG1232" s="34"/>
      <c r="AH1232" s="34"/>
      <c r="AI1232" s="34"/>
      <c r="AJ1232" s="18"/>
      <c r="AK1232" s="34"/>
      <c r="AL1232" s="18"/>
      <c r="AM1232" s="18"/>
      <c r="AN1232" s="34"/>
      <c r="AO1232" s="18"/>
      <c r="AP1232" s="18"/>
      <c r="AQ1232" s="34"/>
      <c r="AR1232" s="18"/>
      <c r="AS1232" s="18"/>
      <c r="AT1232" s="30"/>
      <c r="AU1232" s="18"/>
      <c r="AV1232" s="18"/>
      <c r="AW1232" s="18"/>
      <c r="AX1232" s="18"/>
    </row>
    <row r="1233" spans="1:50" s="50" customFormat="1" x14ac:dyDescent="0.2">
      <c r="B1233" s="77"/>
      <c r="C1233" s="77"/>
      <c r="D1233" s="77"/>
      <c r="E1233" s="77"/>
      <c r="F1233" s="77"/>
      <c r="G1233" s="77"/>
      <c r="H1233" s="77"/>
      <c r="I1233" s="77"/>
      <c r="J1233" s="77"/>
      <c r="K1233" s="77"/>
      <c r="L1233" s="77"/>
      <c r="M1233" s="77"/>
      <c r="N1233" s="77"/>
      <c r="O1233" s="77"/>
      <c r="P1233" s="77"/>
      <c r="Q1233" s="77"/>
      <c r="R1233" s="77"/>
      <c r="S1233" s="77"/>
      <c r="T1233" s="77"/>
      <c r="U1233" s="77"/>
      <c r="V1233" s="77"/>
      <c r="W1233" s="77"/>
      <c r="X1233" s="77"/>
      <c r="Y1233" s="77"/>
      <c r="Z1233" s="77"/>
      <c r="AA1233" s="46"/>
      <c r="AB1233" s="47" t="s">
        <v>758</v>
      </c>
      <c r="AC1233" s="22" t="s">
        <v>759</v>
      </c>
      <c r="AD1233" s="22">
        <f t="shared" ref="AD1233:AS1233" si="485">SUM(AD1230:AD1232)</f>
        <v>3603000000</v>
      </c>
      <c r="AE1233" s="23">
        <f t="shared" si="485"/>
        <v>0</v>
      </c>
      <c r="AF1233" s="23">
        <f t="shared" si="485"/>
        <v>0</v>
      </c>
      <c r="AG1233" s="23">
        <f t="shared" si="485"/>
        <v>0</v>
      </c>
      <c r="AH1233" s="23">
        <f t="shared" si="485"/>
        <v>0</v>
      </c>
      <c r="AI1233" s="23">
        <f t="shared" si="485"/>
        <v>0</v>
      </c>
      <c r="AJ1233" s="22">
        <f t="shared" si="485"/>
        <v>3603000000</v>
      </c>
      <c r="AK1233" s="23">
        <f t="shared" si="485"/>
        <v>0</v>
      </c>
      <c r="AL1233" s="22">
        <f t="shared" si="485"/>
        <v>291666667</v>
      </c>
      <c r="AM1233" s="22">
        <f t="shared" si="485"/>
        <v>2356752775</v>
      </c>
      <c r="AN1233" s="23">
        <f t="shared" si="485"/>
        <v>0</v>
      </c>
      <c r="AO1233" s="22">
        <f t="shared" si="485"/>
        <v>291666667</v>
      </c>
      <c r="AP1233" s="22">
        <f t="shared" si="485"/>
        <v>2356752775</v>
      </c>
      <c r="AQ1233" s="23">
        <f t="shared" si="485"/>
        <v>0</v>
      </c>
      <c r="AR1233" s="22">
        <f t="shared" si="485"/>
        <v>291666667</v>
      </c>
      <c r="AS1233" s="22">
        <f t="shared" si="485"/>
        <v>2356752775</v>
      </c>
      <c r="AT1233" s="22">
        <f>AQ1233+AS1233</f>
        <v>2356752775</v>
      </c>
      <c r="AU1233" s="22">
        <f>SUM(AU1230:AU1232)</f>
        <v>1246247225</v>
      </c>
      <c r="AV1233" s="23">
        <f>SUM(AV1230:AV1232)</f>
        <v>0</v>
      </c>
      <c r="AW1233" s="23">
        <f>SUM(AW1230:AW1232)</f>
        <v>0</v>
      </c>
      <c r="AX1233" s="22">
        <f>SUM(AX1230:AX1232)</f>
        <v>0.89403986160332871</v>
      </c>
    </row>
    <row r="1234" spans="1:50" x14ac:dyDescent="0.2">
      <c r="AA1234" s="16"/>
      <c r="AB1234" s="17"/>
      <c r="AC1234" s="17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</row>
    <row r="1235" spans="1:50" s="25" customFormat="1" x14ac:dyDescent="0.2">
      <c r="B1235" s="71"/>
      <c r="C1235" s="71"/>
      <c r="D1235" s="71"/>
      <c r="E1235" s="71"/>
      <c r="F1235" s="71"/>
      <c r="G1235" s="71"/>
      <c r="H1235" s="71"/>
      <c r="I1235" s="71"/>
      <c r="J1235" s="71"/>
      <c r="K1235" s="71"/>
      <c r="L1235" s="71"/>
      <c r="M1235" s="71"/>
      <c r="N1235" s="71"/>
      <c r="O1235" s="71"/>
      <c r="P1235" s="71"/>
      <c r="Q1235" s="71"/>
      <c r="R1235" s="71"/>
      <c r="S1235" s="71"/>
      <c r="T1235" s="71"/>
      <c r="U1235" s="71"/>
      <c r="V1235" s="71"/>
      <c r="W1235" s="71"/>
      <c r="X1235" s="71"/>
      <c r="Y1235" s="71"/>
      <c r="Z1235" s="71"/>
      <c r="AA1235" s="66"/>
      <c r="AB1235" s="21" t="s">
        <v>760</v>
      </c>
      <c r="AC1235" s="67"/>
      <c r="AD1235" s="63"/>
      <c r="AE1235" s="63"/>
      <c r="AF1235" s="63"/>
      <c r="AG1235" s="63"/>
      <c r="AH1235" s="63"/>
      <c r="AI1235" s="63"/>
      <c r="AJ1235" s="63"/>
      <c r="AK1235" s="63"/>
      <c r="AL1235" s="63"/>
      <c r="AM1235" s="63"/>
      <c r="AN1235" s="63"/>
      <c r="AO1235" s="63"/>
      <c r="AP1235" s="63"/>
      <c r="AQ1235" s="63"/>
      <c r="AR1235" s="63"/>
      <c r="AS1235" s="63"/>
      <c r="AT1235" s="63"/>
      <c r="AU1235" s="63"/>
      <c r="AV1235" s="63"/>
      <c r="AW1235" s="63"/>
      <c r="AX1235" s="63"/>
    </row>
    <row r="1236" spans="1:50" x14ac:dyDescent="0.2">
      <c r="AA1236" s="16"/>
      <c r="AB1236" s="29" t="s">
        <v>285</v>
      </c>
      <c r="AC1236" s="17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</row>
    <row r="1237" spans="1:50" x14ac:dyDescent="0.2">
      <c r="AA1237" s="16"/>
      <c r="AB1237" s="29" t="s">
        <v>177</v>
      </c>
      <c r="AC1237" s="17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</row>
    <row r="1238" spans="1:50" x14ac:dyDescent="0.2">
      <c r="AA1238" s="16"/>
      <c r="AB1238" s="29" t="s">
        <v>179</v>
      </c>
      <c r="AC1238" s="17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</row>
    <row r="1239" spans="1:50" x14ac:dyDescent="0.2">
      <c r="AA1239" s="16"/>
      <c r="AB1239" s="29" t="s">
        <v>761</v>
      </c>
      <c r="AC1239" s="17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</row>
    <row r="1240" spans="1:50" ht="25.5" x14ac:dyDescent="0.2">
      <c r="AA1240" s="16"/>
      <c r="AB1240" s="29" t="s">
        <v>298</v>
      </c>
      <c r="AC1240" s="17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</row>
    <row r="1241" spans="1:50" x14ac:dyDescent="0.2">
      <c r="AA1241" s="28" t="s">
        <v>288</v>
      </c>
      <c r="AB1241" s="29">
        <v>0</v>
      </c>
      <c r="AC1241" s="17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30"/>
      <c r="AU1241" s="18"/>
      <c r="AV1241" s="18"/>
      <c r="AW1241" s="18"/>
      <c r="AX1241" s="18"/>
    </row>
    <row r="1242" spans="1:50" x14ac:dyDescent="0.2">
      <c r="A1242" s="4" t="s">
        <v>55</v>
      </c>
      <c r="B1242" s="4" t="s">
        <v>56</v>
      </c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1" t="s">
        <v>763</v>
      </c>
      <c r="AB1242" s="42" t="s">
        <v>233</v>
      </c>
      <c r="AC1242" s="43" t="s">
        <v>58</v>
      </c>
      <c r="AD1242" s="43">
        <v>123000000</v>
      </c>
      <c r="AE1242" s="44">
        <v>0</v>
      </c>
      <c r="AF1242" s="44">
        <v>0</v>
      </c>
      <c r="AG1242" s="43">
        <f>431000000+18000000</f>
        <v>449000000</v>
      </c>
      <c r="AH1242" s="43">
        <f>431000000+9000000</f>
        <v>440000000</v>
      </c>
      <c r="AI1242" s="43">
        <f>AE1242-AF1242+AG1242-AH1242</f>
        <v>9000000</v>
      </c>
      <c r="AJ1242" s="43">
        <f>AD1242+AI1242</f>
        <v>132000000</v>
      </c>
      <c r="AK1242" s="44">
        <v>0</v>
      </c>
      <c r="AL1242" s="44">
        <v>0</v>
      </c>
      <c r="AM1242" s="43">
        <v>132000000</v>
      </c>
      <c r="AN1242" s="44">
        <v>0</v>
      </c>
      <c r="AO1242" s="43">
        <v>0</v>
      </c>
      <c r="AP1242" s="43">
        <v>132000000</v>
      </c>
      <c r="AQ1242" s="43">
        <v>0</v>
      </c>
      <c r="AR1242" s="43">
        <v>13103076</v>
      </c>
      <c r="AS1242" s="43">
        <v>68561384</v>
      </c>
      <c r="AT1242" s="111">
        <f t="shared" ref="AT1242:AT1246" si="486">AQ1242+AS1242</f>
        <v>68561384</v>
      </c>
      <c r="AU1242" s="133">
        <f>AJ1242-AM1242</f>
        <v>0</v>
      </c>
      <c r="AV1242" s="133">
        <f>AM1242-AP1242</f>
        <v>0</v>
      </c>
      <c r="AW1242" s="110">
        <f>AP1242-AT1242</f>
        <v>63438616</v>
      </c>
      <c r="AX1242" s="123">
        <f>AP1242/AJ1242</f>
        <v>1</v>
      </c>
    </row>
    <row r="1243" spans="1:50" ht="25.5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1" t="s">
        <v>288</v>
      </c>
      <c r="AB1243" s="74" t="s">
        <v>990</v>
      </c>
      <c r="AC1243" s="43"/>
      <c r="AD1243" s="43"/>
      <c r="AE1243" s="44"/>
      <c r="AF1243" s="44"/>
      <c r="AG1243" s="43"/>
      <c r="AH1243" s="44"/>
      <c r="AI1243" s="43"/>
      <c r="AJ1243" s="43"/>
      <c r="AK1243" s="44"/>
      <c r="AL1243" s="43"/>
      <c r="AM1243" s="43"/>
      <c r="AN1243" s="44"/>
      <c r="AO1243" s="43"/>
      <c r="AP1243" s="43"/>
      <c r="AQ1243" s="43"/>
      <c r="AR1243" s="43"/>
      <c r="AS1243" s="43"/>
      <c r="AT1243" s="191"/>
      <c r="AU1243" s="110"/>
      <c r="AV1243" s="133"/>
      <c r="AW1243" s="110"/>
      <c r="AX1243" s="123"/>
    </row>
    <row r="1244" spans="1:50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1" t="s">
        <v>989</v>
      </c>
      <c r="AB1244" s="42" t="s">
        <v>233</v>
      </c>
      <c r="AC1244" s="43"/>
      <c r="AD1244" s="44">
        <v>0</v>
      </c>
      <c r="AE1244" s="44">
        <v>0</v>
      </c>
      <c r="AF1244" s="44">
        <v>0</v>
      </c>
      <c r="AG1244" s="43">
        <f>431000000+9000000</f>
        <v>440000000</v>
      </c>
      <c r="AH1244" s="43">
        <v>18000000</v>
      </c>
      <c r="AI1244" s="43">
        <f>AE1244-AF1244+AG1244-AH1244</f>
        <v>422000000</v>
      </c>
      <c r="AJ1244" s="43">
        <f>AD1244+AI1244</f>
        <v>422000000</v>
      </c>
      <c r="AK1244" s="44">
        <v>0</v>
      </c>
      <c r="AL1244" s="43">
        <v>-3501800</v>
      </c>
      <c r="AM1244" s="43">
        <v>408498196.64999998</v>
      </c>
      <c r="AN1244" s="44">
        <v>0</v>
      </c>
      <c r="AO1244" s="43">
        <v>4498200</v>
      </c>
      <c r="AP1244" s="43">
        <v>363389864.64999998</v>
      </c>
      <c r="AQ1244" s="43">
        <v>1250000</v>
      </c>
      <c r="AR1244" s="43">
        <v>24475000</v>
      </c>
      <c r="AS1244" s="43">
        <v>83475833.140000001</v>
      </c>
      <c r="AT1244" s="191">
        <f t="shared" ref="AT1244" si="487">AQ1244+AS1244</f>
        <v>84725833.140000001</v>
      </c>
      <c r="AU1244" s="110">
        <f>AJ1244-AM1244</f>
        <v>13501803.350000024</v>
      </c>
      <c r="AV1244" s="18">
        <f>AM1244-AP1244</f>
        <v>45108332</v>
      </c>
      <c r="AW1244" s="18">
        <f>AP1244-AT1244</f>
        <v>278664031.50999999</v>
      </c>
      <c r="AX1244" s="123">
        <f>AP1244/AJ1244</f>
        <v>0.8611134233412322</v>
      </c>
    </row>
    <row r="1245" spans="1:50" x14ac:dyDescent="0.2">
      <c r="AA1245" s="28" t="s">
        <v>288</v>
      </c>
      <c r="AB1245" s="29" t="s">
        <v>764</v>
      </c>
      <c r="AC1245" s="17"/>
      <c r="AD1245" s="18"/>
      <c r="AE1245" s="18"/>
      <c r="AF1245" s="18"/>
      <c r="AG1245" s="18"/>
      <c r="AH1245" s="18"/>
      <c r="AI1245" s="18"/>
      <c r="AJ1245" s="18"/>
      <c r="AK1245" s="34"/>
      <c r="AL1245" s="18"/>
      <c r="AM1245" s="18"/>
      <c r="AN1245" s="34"/>
      <c r="AO1245" s="18"/>
      <c r="AP1245" s="18"/>
      <c r="AQ1245" s="18"/>
      <c r="AR1245" s="18"/>
      <c r="AS1245" s="18"/>
      <c r="AT1245" s="31"/>
      <c r="AU1245" s="18"/>
      <c r="AV1245" s="34"/>
      <c r="AW1245" s="110"/>
      <c r="AX1245" s="18"/>
    </row>
    <row r="1246" spans="1:50" x14ac:dyDescent="0.2">
      <c r="A1246" s="4" t="s">
        <v>55</v>
      </c>
      <c r="B1246" s="4" t="s">
        <v>56</v>
      </c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1" t="s">
        <v>765</v>
      </c>
      <c r="AB1246" s="42" t="s">
        <v>233</v>
      </c>
      <c r="AC1246" s="43" t="s">
        <v>58</v>
      </c>
      <c r="AD1246" s="43">
        <v>77000000</v>
      </c>
      <c r="AE1246" s="44">
        <v>0</v>
      </c>
      <c r="AF1246" s="44">
        <v>0</v>
      </c>
      <c r="AG1246" s="44">
        <v>0</v>
      </c>
      <c r="AH1246" s="44">
        <v>0</v>
      </c>
      <c r="AI1246" s="44">
        <v>0</v>
      </c>
      <c r="AJ1246" s="43">
        <v>77000000</v>
      </c>
      <c r="AK1246" s="44">
        <v>0</v>
      </c>
      <c r="AL1246" s="44">
        <v>0</v>
      </c>
      <c r="AM1246" s="43">
        <v>65000000</v>
      </c>
      <c r="AN1246" s="44">
        <v>0</v>
      </c>
      <c r="AO1246" s="43">
        <v>0</v>
      </c>
      <c r="AP1246" s="43">
        <v>65000000</v>
      </c>
      <c r="AQ1246" s="43">
        <v>0</v>
      </c>
      <c r="AR1246" s="43">
        <v>7000000</v>
      </c>
      <c r="AS1246" s="43">
        <v>41733333</v>
      </c>
      <c r="AT1246" s="39">
        <f t="shared" si="486"/>
        <v>41733333</v>
      </c>
      <c r="AU1246" s="110">
        <f>AJ1246-AM1246</f>
        <v>12000000</v>
      </c>
      <c r="AV1246" s="133">
        <f>AM1246-AP1246</f>
        <v>0</v>
      </c>
      <c r="AW1246" s="110">
        <f>AP1246-AT1246</f>
        <v>23266667</v>
      </c>
      <c r="AX1246" s="123">
        <f>AP1246/AJ1246</f>
        <v>0.8441558441558441</v>
      </c>
    </row>
    <row r="1247" spans="1:50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73" t="s">
        <v>288</v>
      </c>
      <c r="AB1247" s="74" t="s">
        <v>292</v>
      </c>
      <c r="AC1247" s="43"/>
      <c r="AD1247" s="43"/>
      <c r="AE1247" s="44"/>
      <c r="AF1247" s="44"/>
      <c r="AG1247" s="44"/>
      <c r="AH1247" s="44"/>
      <c r="AI1247" s="44"/>
      <c r="AJ1247" s="43"/>
      <c r="AK1247" s="44"/>
      <c r="AL1247" s="44"/>
      <c r="AM1247" s="43"/>
      <c r="AN1247" s="44"/>
      <c r="AO1247" s="43"/>
      <c r="AP1247" s="43"/>
      <c r="AQ1247" s="43"/>
      <c r="AR1247" s="43"/>
      <c r="AS1247" s="43"/>
      <c r="AT1247" s="39"/>
      <c r="AU1247" s="110"/>
      <c r="AV1247" s="133"/>
      <c r="AW1247" s="110"/>
      <c r="AX1247" s="123"/>
    </row>
    <row r="1248" spans="1:50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1" t="s">
        <v>1328</v>
      </c>
      <c r="AB1248" s="42" t="s">
        <v>1015</v>
      </c>
      <c r="AC1248" s="43"/>
      <c r="AD1248" s="43">
        <v>0</v>
      </c>
      <c r="AE1248" s="44">
        <v>0</v>
      </c>
      <c r="AF1248" s="44">
        <v>0</v>
      </c>
      <c r="AG1248" s="43">
        <v>465000000</v>
      </c>
      <c r="AH1248" s="44">
        <v>0</v>
      </c>
      <c r="AI1248" s="43">
        <f>AE1248-AF1248+AG1248-AH1248</f>
        <v>465000000</v>
      </c>
      <c r="AJ1248" s="43">
        <f>AD1248+AI1248</f>
        <v>465000000</v>
      </c>
      <c r="AK1248" s="44">
        <v>0</v>
      </c>
      <c r="AL1248" s="44">
        <v>0</v>
      </c>
      <c r="AM1248" s="44">
        <v>0</v>
      </c>
      <c r="AN1248" s="44">
        <v>0</v>
      </c>
      <c r="AO1248" s="44">
        <v>0</v>
      </c>
      <c r="AP1248" s="44">
        <v>0</v>
      </c>
      <c r="AQ1248" s="44">
        <v>0</v>
      </c>
      <c r="AR1248" s="44">
        <v>0</v>
      </c>
      <c r="AS1248" s="44">
        <v>0</v>
      </c>
      <c r="AT1248" s="40">
        <v>0</v>
      </c>
      <c r="AU1248" s="110">
        <f>AJ1248-AM1248</f>
        <v>465000000</v>
      </c>
      <c r="AV1248" s="133">
        <f>AM1248-AP1248</f>
        <v>0</v>
      </c>
      <c r="AW1248" s="110">
        <f>AP1248-AT1248</f>
        <v>0</v>
      </c>
      <c r="AX1248" s="123">
        <f>AP1248/AJ1248</f>
        <v>0</v>
      </c>
    </row>
    <row r="1249" spans="1:50" x14ac:dyDescent="0.2">
      <c r="AA1249" s="16"/>
      <c r="AB1249" s="17"/>
      <c r="AC1249" s="17"/>
      <c r="AD1249" s="18"/>
      <c r="AE1249" s="34"/>
      <c r="AF1249" s="34"/>
      <c r="AG1249" s="34"/>
      <c r="AH1249" s="34"/>
      <c r="AI1249" s="34"/>
      <c r="AJ1249" s="18"/>
      <c r="AK1249" s="34"/>
      <c r="AL1249" s="34"/>
      <c r="AM1249" s="18"/>
      <c r="AN1249" s="34"/>
      <c r="AO1249" s="34"/>
      <c r="AP1249" s="18"/>
      <c r="AQ1249" s="34"/>
      <c r="AR1249" s="34"/>
      <c r="AS1249" s="34"/>
      <c r="AT1249" s="31"/>
      <c r="AU1249" s="18"/>
      <c r="AV1249" s="34"/>
      <c r="AW1249" s="18"/>
      <c r="AX1249" s="18"/>
    </row>
    <row r="1250" spans="1:50" s="50" customFormat="1" x14ac:dyDescent="0.2">
      <c r="B1250" s="77"/>
      <c r="C1250" s="77"/>
      <c r="D1250" s="77"/>
      <c r="E1250" s="77"/>
      <c r="F1250" s="77"/>
      <c r="G1250" s="77"/>
      <c r="H1250" s="77"/>
      <c r="I1250" s="77"/>
      <c r="J1250" s="77"/>
      <c r="K1250" s="77"/>
      <c r="L1250" s="77"/>
      <c r="M1250" s="77"/>
      <c r="N1250" s="77"/>
      <c r="O1250" s="77"/>
      <c r="P1250" s="77"/>
      <c r="Q1250" s="77"/>
      <c r="R1250" s="77"/>
      <c r="S1250" s="77"/>
      <c r="T1250" s="77"/>
      <c r="U1250" s="77"/>
      <c r="V1250" s="77"/>
      <c r="W1250" s="77"/>
      <c r="X1250" s="77"/>
      <c r="Y1250" s="77"/>
      <c r="Z1250" s="77"/>
      <c r="AA1250" s="46"/>
      <c r="AB1250" s="47" t="s">
        <v>766</v>
      </c>
      <c r="AC1250" s="22" t="s">
        <v>767</v>
      </c>
      <c r="AD1250" s="22">
        <f>SUM(AD1241:AD1248)</f>
        <v>200000000</v>
      </c>
      <c r="AE1250" s="22">
        <f t="shared" ref="AE1250:AW1250" si="488">SUM(AE1241:AE1248)</f>
        <v>0</v>
      </c>
      <c r="AF1250" s="22">
        <f t="shared" si="488"/>
        <v>0</v>
      </c>
      <c r="AG1250" s="22">
        <f t="shared" si="488"/>
        <v>1354000000</v>
      </c>
      <c r="AH1250" s="22">
        <f t="shared" si="488"/>
        <v>458000000</v>
      </c>
      <c r="AI1250" s="22">
        <f t="shared" si="488"/>
        <v>896000000</v>
      </c>
      <c r="AJ1250" s="22">
        <f t="shared" si="488"/>
        <v>1096000000</v>
      </c>
      <c r="AK1250" s="23">
        <f t="shared" si="488"/>
        <v>0</v>
      </c>
      <c r="AL1250" s="22">
        <f t="shared" si="488"/>
        <v>-3501800</v>
      </c>
      <c r="AM1250" s="22">
        <f t="shared" si="488"/>
        <v>605498196.64999998</v>
      </c>
      <c r="AN1250" s="23">
        <f t="shared" si="488"/>
        <v>0</v>
      </c>
      <c r="AO1250" s="22">
        <f t="shared" si="488"/>
        <v>4498200</v>
      </c>
      <c r="AP1250" s="22">
        <f t="shared" si="488"/>
        <v>560389864.64999998</v>
      </c>
      <c r="AQ1250" s="22">
        <f t="shared" si="488"/>
        <v>1250000</v>
      </c>
      <c r="AR1250" s="22">
        <f t="shared" si="488"/>
        <v>44578076</v>
      </c>
      <c r="AS1250" s="22">
        <f t="shared" si="488"/>
        <v>193770550.13999999</v>
      </c>
      <c r="AT1250" s="22">
        <f t="shared" si="488"/>
        <v>195020550.13999999</v>
      </c>
      <c r="AU1250" s="22">
        <f t="shared" si="488"/>
        <v>490501803.35000002</v>
      </c>
      <c r="AV1250" s="22">
        <f t="shared" si="488"/>
        <v>45108332</v>
      </c>
      <c r="AW1250" s="22">
        <f t="shared" si="488"/>
        <v>365369314.50999999</v>
      </c>
      <c r="AX1250" s="24">
        <f>AP1250/AJ1250</f>
        <v>0.51130462103102192</v>
      </c>
    </row>
    <row r="1251" spans="1:50" x14ac:dyDescent="0.2">
      <c r="AA1251" s="16"/>
      <c r="AB1251" s="17"/>
      <c r="AC1251" s="17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  <c r="AQ1251" s="18"/>
      <c r="AR1251" s="18"/>
      <c r="AS1251" s="18"/>
      <c r="AT1251" s="18"/>
      <c r="AU1251" s="18"/>
      <c r="AV1251" s="18"/>
      <c r="AW1251" s="18"/>
      <c r="AX1251" s="18"/>
    </row>
    <row r="1252" spans="1:50" s="25" customFormat="1" x14ac:dyDescent="0.2">
      <c r="B1252" s="71"/>
      <c r="C1252" s="71"/>
      <c r="D1252" s="71"/>
      <c r="E1252" s="71"/>
      <c r="F1252" s="71"/>
      <c r="G1252" s="71"/>
      <c r="H1252" s="71"/>
      <c r="I1252" s="71"/>
      <c r="J1252" s="71"/>
      <c r="K1252" s="71"/>
      <c r="L1252" s="71"/>
      <c r="M1252" s="71"/>
      <c r="N1252" s="71"/>
      <c r="O1252" s="71"/>
      <c r="P1252" s="71"/>
      <c r="Q1252" s="71"/>
      <c r="R1252" s="71"/>
      <c r="S1252" s="71"/>
      <c r="T1252" s="71"/>
      <c r="U1252" s="71"/>
      <c r="V1252" s="71"/>
      <c r="W1252" s="71"/>
      <c r="X1252" s="71"/>
      <c r="Y1252" s="71"/>
      <c r="Z1252" s="71"/>
      <c r="AA1252" s="66"/>
      <c r="AB1252" s="21" t="s">
        <v>768</v>
      </c>
      <c r="AC1252" s="67"/>
      <c r="AD1252" s="63"/>
      <c r="AE1252" s="63"/>
      <c r="AF1252" s="63"/>
      <c r="AG1252" s="63"/>
      <c r="AH1252" s="63"/>
      <c r="AI1252" s="63"/>
      <c r="AJ1252" s="63"/>
      <c r="AK1252" s="63"/>
      <c r="AL1252" s="63"/>
      <c r="AM1252" s="63"/>
      <c r="AN1252" s="63"/>
      <c r="AO1252" s="63"/>
      <c r="AP1252" s="63"/>
      <c r="AQ1252" s="63"/>
      <c r="AR1252" s="63"/>
      <c r="AS1252" s="63"/>
      <c r="AT1252" s="63"/>
      <c r="AU1252" s="63"/>
      <c r="AV1252" s="63"/>
      <c r="AW1252" s="63"/>
      <c r="AX1252" s="63"/>
    </row>
    <row r="1253" spans="1:50" x14ac:dyDescent="0.2">
      <c r="AA1253" s="16"/>
      <c r="AB1253" s="29" t="s">
        <v>285</v>
      </c>
      <c r="AC1253" s="17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</row>
    <row r="1254" spans="1:50" x14ac:dyDescent="0.2">
      <c r="AA1254" s="16"/>
      <c r="AB1254" s="29" t="s">
        <v>202</v>
      </c>
      <c r="AC1254" s="17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</row>
    <row r="1255" spans="1:50" x14ac:dyDescent="0.2">
      <c r="AA1255" s="16"/>
      <c r="AB1255" s="29" t="s">
        <v>203</v>
      </c>
      <c r="AC1255" s="17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</row>
    <row r="1256" spans="1:50" x14ac:dyDescent="0.2">
      <c r="AA1256" s="16"/>
      <c r="AB1256" s="29" t="s">
        <v>204</v>
      </c>
      <c r="AC1256" s="17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</row>
    <row r="1257" spans="1:50" ht="25.5" x14ac:dyDescent="0.2">
      <c r="AA1257" s="16"/>
      <c r="AB1257" s="29" t="s">
        <v>205</v>
      </c>
      <c r="AC1257" s="17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</row>
    <row r="1258" spans="1:50" ht="25.5" x14ac:dyDescent="0.2">
      <c r="AA1258" s="28" t="s">
        <v>288</v>
      </c>
      <c r="AB1258" s="29" t="s">
        <v>769</v>
      </c>
      <c r="AC1258" s="17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30"/>
      <c r="AU1258" s="18"/>
      <c r="AV1258" s="18"/>
      <c r="AW1258" s="18"/>
      <c r="AX1258" s="18"/>
    </row>
    <row r="1259" spans="1:50" s="150" customFormat="1" x14ac:dyDescent="0.2">
      <c r="A1259" s="140" t="s">
        <v>55</v>
      </c>
      <c r="B1259" s="140" t="s">
        <v>56</v>
      </c>
      <c r="C1259" s="140"/>
      <c r="D1259" s="140"/>
      <c r="E1259" s="140"/>
      <c r="F1259" s="140"/>
      <c r="G1259" s="140"/>
      <c r="H1259" s="140"/>
      <c r="I1259" s="140"/>
      <c r="J1259" s="140"/>
      <c r="K1259" s="140"/>
      <c r="L1259" s="140"/>
      <c r="M1259" s="140"/>
      <c r="N1259" s="140"/>
      <c r="O1259" s="140"/>
      <c r="P1259" s="140"/>
      <c r="Q1259" s="140"/>
      <c r="R1259" s="140"/>
      <c r="S1259" s="140"/>
      <c r="T1259" s="140"/>
      <c r="U1259" s="140"/>
      <c r="V1259" s="140"/>
      <c r="W1259" s="140"/>
      <c r="X1259" s="140"/>
      <c r="Y1259" s="140"/>
      <c r="Z1259" s="140"/>
      <c r="AA1259" s="134" t="s">
        <v>770</v>
      </c>
      <c r="AB1259" s="69" t="s">
        <v>233</v>
      </c>
      <c r="AC1259" s="142" t="s">
        <v>58</v>
      </c>
      <c r="AD1259" s="142">
        <v>4000000000</v>
      </c>
      <c r="AE1259" s="143">
        <v>0</v>
      </c>
      <c r="AF1259" s="143">
        <v>0</v>
      </c>
      <c r="AG1259" s="143">
        <v>0</v>
      </c>
      <c r="AH1259" s="143">
        <v>0</v>
      </c>
      <c r="AI1259" s="143">
        <v>0</v>
      </c>
      <c r="AJ1259" s="142">
        <v>4000000000</v>
      </c>
      <c r="AK1259" s="143">
        <v>0</v>
      </c>
      <c r="AL1259" s="142">
        <v>333333333</v>
      </c>
      <c r="AM1259" s="142">
        <v>2666666664</v>
      </c>
      <c r="AN1259" s="143">
        <v>0</v>
      </c>
      <c r="AO1259" s="142">
        <v>333333333</v>
      </c>
      <c r="AP1259" s="142">
        <v>2666666664</v>
      </c>
      <c r="AQ1259" s="143">
        <v>0</v>
      </c>
      <c r="AR1259" s="142">
        <v>333333333</v>
      </c>
      <c r="AS1259" s="142">
        <v>2666666664</v>
      </c>
      <c r="AT1259" s="174">
        <f t="shared" ref="AT1259" si="489">AQ1259+AS1259</f>
        <v>2666666664</v>
      </c>
      <c r="AU1259" s="148">
        <f>AJ1259-AM1259</f>
        <v>1333333336</v>
      </c>
      <c r="AV1259" s="175">
        <f>AM1259-AP1259</f>
        <v>0</v>
      </c>
      <c r="AW1259" s="175">
        <f>AP1259-AT1259</f>
        <v>0</v>
      </c>
      <c r="AX1259" s="149">
        <f>AP1259/AJ1259</f>
        <v>0.66666666600000002</v>
      </c>
    </row>
    <row r="1260" spans="1:50" s="150" customFormat="1" x14ac:dyDescent="0.2">
      <c r="A1260" s="140"/>
      <c r="B1260" s="140"/>
      <c r="C1260" s="140"/>
      <c r="D1260" s="140"/>
      <c r="E1260" s="140"/>
      <c r="F1260" s="140"/>
      <c r="G1260" s="140"/>
      <c r="H1260" s="140"/>
      <c r="I1260" s="140"/>
      <c r="J1260" s="140"/>
      <c r="K1260" s="140"/>
      <c r="L1260" s="140"/>
      <c r="M1260" s="140"/>
      <c r="N1260" s="140"/>
      <c r="O1260" s="140"/>
      <c r="P1260" s="140"/>
      <c r="Q1260" s="140"/>
      <c r="R1260" s="140"/>
      <c r="S1260" s="140"/>
      <c r="T1260" s="140"/>
      <c r="U1260" s="140"/>
      <c r="V1260" s="140"/>
      <c r="W1260" s="140"/>
      <c r="X1260" s="140"/>
      <c r="Y1260" s="140"/>
      <c r="Z1260" s="140"/>
      <c r="AA1260" s="134"/>
      <c r="AB1260" s="69"/>
      <c r="AC1260" s="142"/>
      <c r="AD1260" s="142"/>
      <c r="AE1260" s="143"/>
      <c r="AF1260" s="143"/>
      <c r="AG1260" s="143"/>
      <c r="AH1260" s="143"/>
      <c r="AI1260" s="143"/>
      <c r="AJ1260" s="142"/>
      <c r="AK1260" s="143"/>
      <c r="AL1260" s="142"/>
      <c r="AM1260" s="142"/>
      <c r="AN1260" s="143"/>
      <c r="AO1260" s="142"/>
      <c r="AP1260" s="142"/>
      <c r="AQ1260" s="143"/>
      <c r="AR1260" s="142"/>
      <c r="AS1260" s="142"/>
      <c r="AT1260" s="174"/>
      <c r="AU1260" s="148"/>
      <c r="AV1260" s="175"/>
      <c r="AW1260" s="175"/>
      <c r="AX1260" s="149"/>
    </row>
    <row r="1261" spans="1:50" ht="13.5" customHeight="1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170" t="s">
        <v>288</v>
      </c>
      <c r="AB1261" s="165" t="s">
        <v>199</v>
      </c>
      <c r="AC1261" s="168"/>
      <c r="AD1261" s="43"/>
      <c r="AE1261" s="44"/>
      <c r="AF1261" s="44"/>
      <c r="AG1261" s="44"/>
      <c r="AH1261" s="44"/>
      <c r="AI1261" s="44"/>
      <c r="AJ1261" s="43"/>
      <c r="AK1261" s="44"/>
      <c r="AL1261" s="43"/>
      <c r="AM1261" s="43"/>
      <c r="AN1261" s="44"/>
      <c r="AO1261" s="43"/>
      <c r="AP1261" s="43"/>
      <c r="AQ1261" s="44"/>
      <c r="AR1261" s="44"/>
      <c r="AS1261" s="44"/>
      <c r="AT1261" s="135"/>
      <c r="AU1261" s="110"/>
      <c r="AV1261" s="133"/>
      <c r="AW1261" s="34"/>
      <c r="AX1261" s="123"/>
    </row>
    <row r="1262" spans="1:50" ht="25.5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166" t="s">
        <v>1162</v>
      </c>
      <c r="AB1262" s="167" t="s">
        <v>1044</v>
      </c>
      <c r="AC1262" s="168"/>
      <c r="AD1262" s="44">
        <v>0</v>
      </c>
      <c r="AE1262" s="43">
        <v>384000000</v>
      </c>
      <c r="AF1262" s="44">
        <v>0</v>
      </c>
      <c r="AG1262" s="44">
        <v>0</v>
      </c>
      <c r="AH1262" s="44">
        <v>0</v>
      </c>
      <c r="AI1262" s="43">
        <f t="shared" ref="AI1262:AI1263" si="490">AE1262-AF1262+AG1262-AH1262</f>
        <v>384000000</v>
      </c>
      <c r="AJ1262" s="43">
        <f t="shared" ref="AJ1262:AJ1263" si="491">AD1262+AI1262</f>
        <v>384000000</v>
      </c>
      <c r="AK1262" s="44">
        <v>0</v>
      </c>
      <c r="AL1262" s="44">
        <v>0</v>
      </c>
      <c r="AM1262" s="43">
        <v>384000000</v>
      </c>
      <c r="AN1262" s="43">
        <v>0</v>
      </c>
      <c r="AO1262" s="44">
        <v>0</v>
      </c>
      <c r="AP1262" s="43">
        <v>384000000</v>
      </c>
      <c r="AQ1262" s="44">
        <v>0</v>
      </c>
      <c r="AR1262" s="44">
        <v>0</v>
      </c>
      <c r="AS1262" s="43">
        <v>384000000</v>
      </c>
      <c r="AT1262" s="39">
        <f t="shared" ref="AT1262:AT1263" si="492">AQ1262+AS1262</f>
        <v>384000000</v>
      </c>
      <c r="AU1262" s="133">
        <f>AJ1262-AM1262</f>
        <v>0</v>
      </c>
      <c r="AV1262" s="133">
        <f>AM1262-AP1262</f>
        <v>0</v>
      </c>
      <c r="AW1262" s="34">
        <f>AP1262-AT1262</f>
        <v>0</v>
      </c>
      <c r="AX1262" s="123">
        <f>AP1262/AJ1262</f>
        <v>1</v>
      </c>
    </row>
    <row r="1263" spans="1:50" ht="15.75" customHeight="1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166" t="s">
        <v>1163</v>
      </c>
      <c r="AB1263" s="167" t="s">
        <v>1015</v>
      </c>
      <c r="AC1263" s="168"/>
      <c r="AD1263" s="44">
        <v>0</v>
      </c>
      <c r="AE1263" s="43">
        <v>270000000</v>
      </c>
      <c r="AF1263" s="44">
        <v>0</v>
      </c>
      <c r="AG1263" s="44">
        <v>0</v>
      </c>
      <c r="AH1263" s="44">
        <v>0</v>
      </c>
      <c r="AI1263" s="43">
        <f t="shared" si="490"/>
        <v>270000000</v>
      </c>
      <c r="AJ1263" s="43">
        <f t="shared" si="491"/>
        <v>270000000</v>
      </c>
      <c r="AK1263" s="44">
        <v>0</v>
      </c>
      <c r="AL1263" s="44">
        <v>0</v>
      </c>
      <c r="AM1263" s="43">
        <v>270000000</v>
      </c>
      <c r="AN1263" s="43">
        <v>0</v>
      </c>
      <c r="AO1263" s="44">
        <v>0</v>
      </c>
      <c r="AP1263" s="43">
        <v>270000000</v>
      </c>
      <c r="AQ1263" s="44">
        <v>0</v>
      </c>
      <c r="AR1263" s="44">
        <v>0</v>
      </c>
      <c r="AS1263" s="43">
        <v>270000000</v>
      </c>
      <c r="AT1263" s="39">
        <f t="shared" si="492"/>
        <v>270000000</v>
      </c>
      <c r="AU1263" s="133">
        <f>AJ1263-AM1263</f>
        <v>0</v>
      </c>
      <c r="AV1263" s="133">
        <f>AM1263-AP1263</f>
        <v>0</v>
      </c>
      <c r="AW1263" s="34">
        <f>AP1263-AT1263</f>
        <v>0</v>
      </c>
      <c r="AX1263" s="123">
        <f>AP1263/AJ1263</f>
        <v>1</v>
      </c>
    </row>
    <row r="1264" spans="1:50" x14ac:dyDescent="0.2">
      <c r="AA1264" s="16"/>
      <c r="AB1264" s="17"/>
      <c r="AC1264" s="17"/>
      <c r="AD1264" s="18"/>
      <c r="AE1264" s="34"/>
      <c r="AF1264" s="34"/>
      <c r="AG1264" s="34"/>
      <c r="AH1264" s="34"/>
      <c r="AI1264" s="34"/>
      <c r="AJ1264" s="18"/>
      <c r="AK1264" s="34"/>
      <c r="AL1264" s="18"/>
      <c r="AM1264" s="18"/>
      <c r="AN1264" s="34"/>
      <c r="AO1264" s="18"/>
      <c r="AP1264" s="18"/>
      <c r="AQ1264" s="34"/>
      <c r="AR1264" s="18"/>
      <c r="AS1264" s="18"/>
      <c r="AT1264" s="30"/>
      <c r="AU1264" s="18"/>
      <c r="AV1264" s="34"/>
      <c r="AW1264" s="34"/>
      <c r="AX1264" s="18"/>
    </row>
    <row r="1265" spans="2:50" s="50" customFormat="1" x14ac:dyDescent="0.2">
      <c r="B1265" s="77"/>
      <c r="C1265" s="77"/>
      <c r="D1265" s="77"/>
      <c r="E1265" s="77"/>
      <c r="F1265" s="77"/>
      <c r="G1265" s="77"/>
      <c r="H1265" s="77"/>
      <c r="I1265" s="77"/>
      <c r="J1265" s="77"/>
      <c r="K1265" s="77"/>
      <c r="L1265" s="77"/>
      <c r="M1265" s="77"/>
      <c r="N1265" s="77"/>
      <c r="O1265" s="77"/>
      <c r="P1265" s="77"/>
      <c r="Q1265" s="77"/>
      <c r="R1265" s="77"/>
      <c r="S1265" s="77"/>
      <c r="T1265" s="77"/>
      <c r="U1265" s="77"/>
      <c r="V1265" s="77"/>
      <c r="W1265" s="77"/>
      <c r="X1265" s="77"/>
      <c r="Y1265" s="77"/>
      <c r="Z1265" s="77"/>
      <c r="AA1265" s="46"/>
      <c r="AB1265" s="47" t="s">
        <v>771</v>
      </c>
      <c r="AC1265" s="22" t="s">
        <v>772</v>
      </c>
      <c r="AD1265" s="22">
        <f>SUM(AD1259:AD1264)</f>
        <v>4000000000</v>
      </c>
      <c r="AE1265" s="22">
        <f t="shared" ref="AE1265:AW1265" si="493">SUM(AE1259:AE1264)</f>
        <v>654000000</v>
      </c>
      <c r="AF1265" s="23">
        <f t="shared" si="493"/>
        <v>0</v>
      </c>
      <c r="AG1265" s="23">
        <f t="shared" si="493"/>
        <v>0</v>
      </c>
      <c r="AH1265" s="23">
        <f t="shared" si="493"/>
        <v>0</v>
      </c>
      <c r="AI1265" s="22">
        <f t="shared" si="493"/>
        <v>654000000</v>
      </c>
      <c r="AJ1265" s="22">
        <f t="shared" si="493"/>
        <v>4654000000</v>
      </c>
      <c r="AK1265" s="23">
        <f t="shared" si="493"/>
        <v>0</v>
      </c>
      <c r="AL1265" s="22">
        <f t="shared" si="493"/>
        <v>333333333</v>
      </c>
      <c r="AM1265" s="22">
        <f t="shared" si="493"/>
        <v>3320666664</v>
      </c>
      <c r="AN1265" s="23">
        <f t="shared" si="493"/>
        <v>0</v>
      </c>
      <c r="AO1265" s="22">
        <f t="shared" si="493"/>
        <v>333333333</v>
      </c>
      <c r="AP1265" s="22">
        <f t="shared" si="493"/>
        <v>3320666664</v>
      </c>
      <c r="AQ1265" s="23">
        <f t="shared" si="493"/>
        <v>0</v>
      </c>
      <c r="AR1265" s="22">
        <f t="shared" si="493"/>
        <v>333333333</v>
      </c>
      <c r="AS1265" s="22">
        <f t="shared" si="493"/>
        <v>3320666664</v>
      </c>
      <c r="AT1265" s="22">
        <f>AQ1265+AS1265</f>
        <v>3320666664</v>
      </c>
      <c r="AU1265" s="22">
        <f t="shared" si="493"/>
        <v>1333333336</v>
      </c>
      <c r="AV1265" s="23">
        <f t="shared" si="493"/>
        <v>0</v>
      </c>
      <c r="AW1265" s="23">
        <f t="shared" si="493"/>
        <v>0</v>
      </c>
      <c r="AX1265" s="24">
        <f>AP1265/AJ1265</f>
        <v>0.71350809282337779</v>
      </c>
    </row>
    <row r="1266" spans="2:50" x14ac:dyDescent="0.2">
      <c r="AA1266" s="16"/>
      <c r="AB1266" s="17"/>
      <c r="AC1266" s="17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34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</row>
    <row r="1267" spans="2:50" s="25" customFormat="1" x14ac:dyDescent="0.2">
      <c r="B1267" s="71"/>
      <c r="C1267" s="71"/>
      <c r="D1267" s="71"/>
      <c r="E1267" s="71"/>
      <c r="F1267" s="71"/>
      <c r="G1267" s="71"/>
      <c r="H1267" s="71"/>
      <c r="I1267" s="71"/>
      <c r="J1267" s="71"/>
      <c r="K1267" s="71"/>
      <c r="L1267" s="71"/>
      <c r="M1267" s="71"/>
      <c r="N1267" s="71"/>
      <c r="O1267" s="71"/>
      <c r="P1267" s="71"/>
      <c r="Q1267" s="71"/>
      <c r="R1267" s="71"/>
      <c r="S1267" s="71"/>
      <c r="T1267" s="71"/>
      <c r="U1267" s="71"/>
      <c r="V1267" s="71"/>
      <c r="W1267" s="71"/>
      <c r="X1267" s="71"/>
      <c r="Y1267" s="71"/>
      <c r="Z1267" s="71"/>
      <c r="AA1267" s="85"/>
      <c r="AB1267" s="86" t="s">
        <v>773</v>
      </c>
      <c r="AC1267" s="87"/>
      <c r="AD1267" s="63"/>
      <c r="AE1267" s="88"/>
      <c r="AF1267" s="88"/>
      <c r="AG1267" s="88"/>
      <c r="AH1267" s="88"/>
      <c r="AI1267" s="88"/>
      <c r="AJ1267" s="88"/>
      <c r="AK1267" s="88"/>
      <c r="AL1267" s="88"/>
      <c r="AM1267" s="88"/>
      <c r="AN1267" s="88"/>
      <c r="AO1267" s="88"/>
      <c r="AP1267" s="88"/>
      <c r="AQ1267" s="88"/>
      <c r="AR1267" s="88"/>
      <c r="AS1267" s="88"/>
      <c r="AT1267" s="88"/>
      <c r="AU1267" s="88"/>
      <c r="AV1267" s="88"/>
      <c r="AW1267" s="88"/>
      <c r="AX1267" s="88"/>
    </row>
    <row r="1268" spans="2:50" x14ac:dyDescent="0.2">
      <c r="AA1268" s="89"/>
      <c r="AB1268" s="90" t="s">
        <v>676</v>
      </c>
      <c r="AC1268" s="91"/>
      <c r="AD1268" s="18"/>
      <c r="AE1268" s="92"/>
      <c r="AF1268" s="92"/>
      <c r="AG1268" s="92"/>
      <c r="AH1268" s="92"/>
      <c r="AI1268" s="92"/>
      <c r="AJ1268" s="92"/>
      <c r="AK1268" s="92"/>
      <c r="AL1268" s="92"/>
      <c r="AM1268" s="92"/>
      <c r="AN1268" s="92"/>
      <c r="AO1268" s="92"/>
      <c r="AP1268" s="92"/>
      <c r="AQ1268" s="92"/>
      <c r="AR1268" s="92"/>
      <c r="AS1268" s="92"/>
      <c r="AT1268" s="92"/>
      <c r="AU1268" s="92"/>
      <c r="AV1268" s="92"/>
      <c r="AW1268" s="92"/>
      <c r="AX1268" s="92"/>
    </row>
    <row r="1269" spans="2:50" x14ac:dyDescent="0.2">
      <c r="AA1269" s="89"/>
      <c r="AB1269" s="90" t="s">
        <v>286</v>
      </c>
      <c r="AC1269" s="91"/>
      <c r="AD1269" s="18"/>
      <c r="AE1269" s="92"/>
      <c r="AF1269" s="92"/>
      <c r="AG1269" s="92"/>
      <c r="AH1269" s="92"/>
      <c r="AI1269" s="92"/>
      <c r="AJ1269" s="92"/>
      <c r="AK1269" s="92"/>
      <c r="AL1269" s="92"/>
      <c r="AM1269" s="92"/>
      <c r="AN1269" s="92"/>
      <c r="AO1269" s="92"/>
      <c r="AP1269" s="92"/>
      <c r="AQ1269" s="92"/>
      <c r="AR1269" s="92"/>
      <c r="AS1269" s="92"/>
      <c r="AT1269" s="92"/>
      <c r="AU1269" s="92"/>
      <c r="AV1269" s="92"/>
      <c r="AW1269" s="92"/>
      <c r="AX1269" s="92"/>
    </row>
    <row r="1270" spans="2:50" x14ac:dyDescent="0.2">
      <c r="AA1270" s="89"/>
      <c r="AB1270" s="90" t="s">
        <v>179</v>
      </c>
      <c r="AC1270" s="91"/>
      <c r="AD1270" s="18"/>
      <c r="AE1270" s="92"/>
      <c r="AF1270" s="92"/>
      <c r="AG1270" s="92"/>
      <c r="AH1270" s="92"/>
      <c r="AI1270" s="92"/>
      <c r="AJ1270" s="92"/>
      <c r="AK1270" s="92"/>
      <c r="AL1270" s="92"/>
      <c r="AM1270" s="92"/>
      <c r="AN1270" s="92"/>
      <c r="AO1270" s="92"/>
      <c r="AP1270" s="92"/>
      <c r="AQ1270" s="92"/>
      <c r="AR1270" s="92"/>
      <c r="AS1270" s="92"/>
      <c r="AT1270" s="92"/>
      <c r="AU1270" s="92"/>
      <c r="AV1270" s="92"/>
      <c r="AW1270" s="92"/>
      <c r="AX1270" s="92"/>
    </row>
    <row r="1271" spans="2:50" x14ac:dyDescent="0.2">
      <c r="AA1271" s="89"/>
      <c r="AB1271" s="90" t="s">
        <v>189</v>
      </c>
      <c r="AC1271" s="91"/>
      <c r="AD1271" s="18"/>
      <c r="AE1271" s="92"/>
      <c r="AF1271" s="92"/>
      <c r="AG1271" s="92"/>
      <c r="AH1271" s="92"/>
      <c r="AI1271" s="92"/>
      <c r="AJ1271" s="92"/>
      <c r="AK1271" s="92"/>
      <c r="AL1271" s="92"/>
      <c r="AM1271" s="92"/>
      <c r="AN1271" s="92"/>
      <c r="AO1271" s="92"/>
      <c r="AP1271" s="92"/>
      <c r="AQ1271" s="92"/>
      <c r="AR1271" s="92"/>
      <c r="AS1271" s="92"/>
      <c r="AT1271" s="92"/>
      <c r="AU1271" s="92"/>
      <c r="AV1271" s="92"/>
      <c r="AW1271" s="92"/>
      <c r="AX1271" s="92"/>
    </row>
    <row r="1272" spans="2:50" x14ac:dyDescent="0.2">
      <c r="AA1272" s="89"/>
      <c r="AB1272" s="90" t="s">
        <v>191</v>
      </c>
      <c r="AC1272" s="91"/>
      <c r="AD1272" s="18"/>
      <c r="AE1272" s="92"/>
      <c r="AF1272" s="92"/>
      <c r="AG1272" s="92"/>
      <c r="AH1272" s="92"/>
      <c r="AI1272" s="92"/>
      <c r="AJ1272" s="92"/>
      <c r="AK1272" s="92"/>
      <c r="AL1272" s="92"/>
      <c r="AM1272" s="92"/>
      <c r="AN1272" s="92"/>
      <c r="AO1272" s="92"/>
      <c r="AP1272" s="92"/>
      <c r="AQ1272" s="92"/>
      <c r="AR1272" s="92"/>
      <c r="AS1272" s="92"/>
      <c r="AT1272" s="92"/>
      <c r="AU1272" s="92"/>
      <c r="AV1272" s="92"/>
      <c r="AW1272" s="92"/>
      <c r="AX1272" s="92"/>
    </row>
    <row r="1273" spans="2:50" x14ac:dyDescent="0.2">
      <c r="AA1273" s="89"/>
      <c r="AB1273" s="278" t="s">
        <v>1272</v>
      </c>
      <c r="AC1273" s="91"/>
      <c r="AD1273" s="18"/>
      <c r="AE1273" s="92"/>
      <c r="AF1273" s="92"/>
      <c r="AG1273" s="92"/>
      <c r="AH1273" s="92"/>
      <c r="AI1273" s="92"/>
      <c r="AJ1273" s="92"/>
      <c r="AK1273" s="92"/>
      <c r="AL1273" s="92"/>
      <c r="AM1273" s="92"/>
      <c r="AN1273" s="92"/>
      <c r="AO1273" s="92"/>
      <c r="AP1273" s="92"/>
      <c r="AQ1273" s="92"/>
      <c r="AR1273" s="92"/>
      <c r="AS1273" s="92"/>
      <c r="AT1273" s="92"/>
      <c r="AU1273" s="92"/>
      <c r="AV1273" s="92"/>
      <c r="AW1273" s="92"/>
      <c r="AX1273" s="92"/>
    </row>
    <row r="1274" spans="2:50" ht="38.25" x14ac:dyDescent="0.2">
      <c r="AA1274" s="93" t="s">
        <v>288</v>
      </c>
      <c r="AB1274" s="90" t="s">
        <v>774</v>
      </c>
      <c r="AC1274" s="91"/>
      <c r="AD1274" s="18"/>
      <c r="AE1274" s="92"/>
      <c r="AF1274" s="92"/>
      <c r="AG1274" s="92"/>
      <c r="AH1274" s="92"/>
      <c r="AI1274" s="92"/>
      <c r="AJ1274" s="92"/>
      <c r="AK1274" s="92"/>
      <c r="AL1274" s="92"/>
      <c r="AM1274" s="92"/>
      <c r="AN1274" s="92"/>
      <c r="AO1274" s="92"/>
      <c r="AP1274" s="92"/>
      <c r="AQ1274" s="92"/>
      <c r="AR1274" s="92"/>
      <c r="AS1274" s="92"/>
      <c r="AT1274" s="30"/>
      <c r="AU1274" s="92"/>
      <c r="AV1274" s="92"/>
      <c r="AW1274" s="92"/>
      <c r="AX1274" s="92"/>
    </row>
    <row r="1275" spans="2:50" ht="25.5" x14ac:dyDescent="0.2">
      <c r="AA1275" s="94" t="s">
        <v>775</v>
      </c>
      <c r="AB1275" s="95" t="s">
        <v>776</v>
      </c>
      <c r="AC1275" s="96" t="s">
        <v>777</v>
      </c>
      <c r="AD1275" s="44">
        <v>0</v>
      </c>
      <c r="AE1275" s="97">
        <v>0</v>
      </c>
      <c r="AF1275" s="97">
        <v>0</v>
      </c>
      <c r="AG1275" s="43">
        <v>5536570240</v>
      </c>
      <c r="AH1275" s="96">
        <v>0</v>
      </c>
      <c r="AI1275" s="136">
        <f>AE1275-AF1275+AG1275-AH1275</f>
        <v>5536570240</v>
      </c>
      <c r="AJ1275" s="43">
        <f>AD1275+AI1275</f>
        <v>5536570240</v>
      </c>
      <c r="AK1275" s="43">
        <v>0</v>
      </c>
      <c r="AL1275" s="114">
        <v>1219100000</v>
      </c>
      <c r="AM1275" s="114">
        <v>3327132416</v>
      </c>
      <c r="AN1275" s="43">
        <v>0</v>
      </c>
      <c r="AO1275" s="114">
        <v>122880000</v>
      </c>
      <c r="AP1275" s="114">
        <v>2042229083</v>
      </c>
      <c r="AQ1275" s="43">
        <v>34953334</v>
      </c>
      <c r="AR1275" s="43">
        <v>187726667</v>
      </c>
      <c r="AS1275" s="43">
        <v>883466665</v>
      </c>
      <c r="AT1275" s="39">
        <f t="shared" ref="AT1275" si="494">AQ1275+AS1275</f>
        <v>918419999</v>
      </c>
      <c r="AU1275" s="18">
        <f>AJ1275-AM1275</f>
        <v>2209437824</v>
      </c>
      <c r="AV1275" s="18">
        <f>AM1275-AP1275</f>
        <v>1284903333</v>
      </c>
      <c r="AW1275" s="110">
        <f>AP1275-AT1275</f>
        <v>1123809084</v>
      </c>
      <c r="AX1275" s="123">
        <f>AP1275/AJ1275</f>
        <v>0.36886176720842972</v>
      </c>
    </row>
    <row r="1276" spans="2:50" x14ac:dyDescent="0.2">
      <c r="AA1276" s="94" t="s">
        <v>787</v>
      </c>
      <c r="AB1276" s="242" t="s">
        <v>788</v>
      </c>
      <c r="AC1276" s="96" t="s">
        <v>789</v>
      </c>
      <c r="AD1276" s="43">
        <v>886001426</v>
      </c>
      <c r="AE1276" s="96">
        <v>0</v>
      </c>
      <c r="AF1276" s="216">
        <v>0</v>
      </c>
      <c r="AG1276" s="216">
        <v>0</v>
      </c>
      <c r="AH1276" s="216">
        <v>0</v>
      </c>
      <c r="AI1276" s="136">
        <f>AE1276-AF1276+AG1276-AH1276</f>
        <v>0</v>
      </c>
      <c r="AJ1276" s="43">
        <f>AD1276+AI1276</f>
        <v>886001426</v>
      </c>
      <c r="AK1276" s="44">
        <v>0</v>
      </c>
      <c r="AL1276" s="114">
        <v>67948764</v>
      </c>
      <c r="AM1276" s="18">
        <v>580301321</v>
      </c>
      <c r="AN1276" s="92">
        <v>0</v>
      </c>
      <c r="AO1276" s="147">
        <v>67948764</v>
      </c>
      <c r="AP1276" s="18">
        <v>580301321</v>
      </c>
      <c r="AQ1276" s="96">
        <v>0</v>
      </c>
      <c r="AR1276" s="18">
        <v>67948764</v>
      </c>
      <c r="AS1276" s="43">
        <v>580301321</v>
      </c>
      <c r="AT1276" s="39">
        <f>AQ1276+AS1276</f>
        <v>580301321</v>
      </c>
      <c r="AU1276" s="110">
        <f>AJ1276-AM1276</f>
        <v>305700105</v>
      </c>
      <c r="AV1276" s="133">
        <f>AM1276-AP1276</f>
        <v>0</v>
      </c>
      <c r="AW1276" s="133">
        <f>AP1276-AT1276</f>
        <v>0</v>
      </c>
      <c r="AX1276" s="123">
        <f>AP1276/AJ1276</f>
        <v>0.65496657676936965</v>
      </c>
    </row>
    <row r="1277" spans="2:50" x14ac:dyDescent="0.2">
      <c r="AA1277" s="94"/>
      <c r="AB1277" s="95"/>
      <c r="AC1277" s="96"/>
      <c r="AD1277" s="44"/>
      <c r="AE1277" s="97"/>
      <c r="AF1277" s="97"/>
      <c r="AG1277" s="43"/>
      <c r="AH1277" s="96"/>
      <c r="AI1277" s="136"/>
      <c r="AJ1277" s="43"/>
      <c r="AK1277" s="43"/>
      <c r="AL1277" s="114"/>
      <c r="AM1277" s="114"/>
      <c r="AN1277" s="43"/>
      <c r="AO1277" s="114"/>
      <c r="AP1277" s="114"/>
      <c r="AQ1277" s="43"/>
      <c r="AR1277" s="43"/>
      <c r="AS1277" s="43"/>
      <c r="AT1277" s="39"/>
      <c r="AU1277" s="18"/>
      <c r="AV1277" s="18"/>
      <c r="AW1277" s="110"/>
      <c r="AX1277" s="123"/>
    </row>
    <row r="1278" spans="2:50" ht="25.5" x14ac:dyDescent="0.2">
      <c r="AA1278" s="93" t="s">
        <v>288</v>
      </c>
      <c r="AB1278" s="90" t="s">
        <v>778</v>
      </c>
      <c r="AC1278" s="91"/>
      <c r="AD1278" s="18"/>
      <c r="AE1278" s="98"/>
      <c r="AF1278" s="98"/>
      <c r="AG1278" s="92"/>
      <c r="AH1278" s="92"/>
      <c r="AI1278" s="92"/>
      <c r="AJ1278" s="18"/>
      <c r="AK1278" s="98"/>
      <c r="AL1278" s="98"/>
      <c r="AM1278" s="98"/>
      <c r="AN1278" s="98"/>
      <c r="AO1278" s="98"/>
      <c r="AP1278" s="98"/>
      <c r="AQ1278" s="98"/>
      <c r="AR1278" s="98"/>
      <c r="AS1278" s="98"/>
      <c r="AT1278" s="31"/>
      <c r="AU1278" s="18"/>
      <c r="AV1278" s="34"/>
      <c r="AW1278" s="34"/>
      <c r="AX1278" s="92"/>
    </row>
    <row r="1279" spans="2:50" x14ac:dyDescent="0.2">
      <c r="AA1279" s="94" t="s">
        <v>779</v>
      </c>
      <c r="AB1279" s="95" t="s">
        <v>780</v>
      </c>
      <c r="AC1279" s="96" t="s">
        <v>368</v>
      </c>
      <c r="AD1279" s="43">
        <v>920421961</v>
      </c>
      <c r="AE1279" s="97">
        <v>0</v>
      </c>
      <c r="AF1279" s="97">
        <v>0</v>
      </c>
      <c r="AG1279" s="96">
        <v>0</v>
      </c>
      <c r="AH1279" s="96">
        <v>0</v>
      </c>
      <c r="AI1279" s="136">
        <f>AE1279-AF1279+AG1279-AH1279</f>
        <v>0</v>
      </c>
      <c r="AJ1279" s="43">
        <f>AD1279+AI1279</f>
        <v>920421961</v>
      </c>
      <c r="AK1279" s="97">
        <v>0</v>
      </c>
      <c r="AL1279" s="97">
        <v>0</v>
      </c>
      <c r="AM1279" s="97">
        <v>0</v>
      </c>
      <c r="AN1279" s="97">
        <v>0</v>
      </c>
      <c r="AO1279" s="97">
        <v>0</v>
      </c>
      <c r="AP1279" s="97">
        <v>0</v>
      </c>
      <c r="AQ1279" s="97">
        <v>0</v>
      </c>
      <c r="AR1279" s="97">
        <v>0</v>
      </c>
      <c r="AS1279" s="97">
        <v>0</v>
      </c>
      <c r="AT1279" s="135">
        <f t="shared" ref="AT1279:AT1280" si="495">AQ1279+AS1279</f>
        <v>0</v>
      </c>
      <c r="AU1279" s="110">
        <f>AJ1279-AM1279</f>
        <v>920421961</v>
      </c>
      <c r="AV1279" s="133">
        <f>AM1279-AP1279</f>
        <v>0</v>
      </c>
      <c r="AW1279" s="133">
        <f>AP1279-AT1279</f>
        <v>0</v>
      </c>
      <c r="AX1279" s="123">
        <f>AP1279/AJ1279</f>
        <v>0</v>
      </c>
    </row>
    <row r="1280" spans="2:50" ht="25.5" x14ac:dyDescent="0.2">
      <c r="AA1280" s="94" t="s">
        <v>781</v>
      </c>
      <c r="AB1280" s="95" t="s">
        <v>776</v>
      </c>
      <c r="AC1280" s="96" t="s">
        <v>777</v>
      </c>
      <c r="AD1280" s="43">
        <v>23813351805</v>
      </c>
      <c r="AE1280" s="97">
        <v>0</v>
      </c>
      <c r="AF1280" s="97">
        <v>0</v>
      </c>
      <c r="AG1280" s="96">
        <v>0</v>
      </c>
      <c r="AH1280" s="43">
        <v>5536570240</v>
      </c>
      <c r="AI1280" s="136">
        <f>AE1280-AF1280+AG1280-AH1280</f>
        <v>-5536570240</v>
      </c>
      <c r="AJ1280" s="43">
        <f>AD1280+AI1280</f>
        <v>18276781565</v>
      </c>
      <c r="AK1280" s="97">
        <v>0</v>
      </c>
      <c r="AL1280" s="97">
        <v>0</v>
      </c>
      <c r="AM1280" s="97">
        <v>0</v>
      </c>
      <c r="AN1280" s="97">
        <v>0</v>
      </c>
      <c r="AO1280" s="97">
        <v>0</v>
      </c>
      <c r="AP1280" s="97">
        <v>0</v>
      </c>
      <c r="AQ1280" s="97">
        <v>0</v>
      </c>
      <c r="AR1280" s="97">
        <v>0</v>
      </c>
      <c r="AS1280" s="97">
        <v>0</v>
      </c>
      <c r="AT1280" s="135">
        <f t="shared" si="495"/>
        <v>0</v>
      </c>
      <c r="AU1280" s="110">
        <f>AJ1280-AM1280</f>
        <v>18276781565</v>
      </c>
      <c r="AV1280" s="133">
        <f>AM1280-AP1280</f>
        <v>0</v>
      </c>
      <c r="AW1280" s="133">
        <f>AP1280-AT1280</f>
        <v>0</v>
      </c>
      <c r="AX1280" s="123">
        <f>AP1280/AJ1280</f>
        <v>0</v>
      </c>
    </row>
    <row r="1281" spans="27:50" x14ac:dyDescent="0.2">
      <c r="AA1281" s="94"/>
      <c r="AB1281" s="95"/>
      <c r="AC1281" s="96"/>
      <c r="AD1281" s="43"/>
      <c r="AE1281" s="97"/>
      <c r="AF1281" s="97"/>
      <c r="AG1281" s="96"/>
      <c r="AH1281" s="43"/>
      <c r="AI1281" s="136"/>
      <c r="AJ1281" s="43"/>
      <c r="AK1281" s="97"/>
      <c r="AL1281" s="97"/>
      <c r="AM1281" s="97"/>
      <c r="AN1281" s="97"/>
      <c r="AO1281" s="97"/>
      <c r="AP1281" s="97"/>
      <c r="AQ1281" s="97"/>
      <c r="AR1281" s="97"/>
      <c r="AS1281" s="97"/>
      <c r="AT1281" s="135"/>
      <c r="AU1281" s="110"/>
      <c r="AV1281" s="133"/>
      <c r="AW1281" s="133"/>
      <c r="AX1281" s="123"/>
    </row>
    <row r="1282" spans="27:50" ht="25.5" x14ac:dyDescent="0.2">
      <c r="AA1282" s="238" t="s">
        <v>288</v>
      </c>
      <c r="AB1282" s="239" t="s">
        <v>778</v>
      </c>
      <c r="AC1282" s="91"/>
      <c r="AD1282" s="18"/>
      <c r="AE1282" s="92"/>
      <c r="AF1282" s="92"/>
      <c r="AG1282" s="92"/>
      <c r="AH1282" s="92"/>
      <c r="AI1282" s="92"/>
      <c r="AJ1282" s="18"/>
      <c r="AK1282" s="34"/>
      <c r="AL1282" s="18"/>
      <c r="AM1282" s="18"/>
      <c r="AN1282" s="92"/>
      <c r="AO1282" s="147"/>
      <c r="AP1282" s="18"/>
      <c r="AQ1282" s="92"/>
      <c r="AR1282" s="92"/>
      <c r="AS1282" s="92"/>
      <c r="AT1282" s="30"/>
      <c r="AU1282" s="18"/>
      <c r="AV1282" s="18"/>
      <c r="AW1282" s="18"/>
      <c r="AX1282" s="92"/>
    </row>
    <row r="1283" spans="27:50" x14ac:dyDescent="0.2">
      <c r="AA1283" s="94" t="s">
        <v>823</v>
      </c>
      <c r="AB1283" s="95" t="s">
        <v>824</v>
      </c>
      <c r="AC1283" s="96" t="s">
        <v>794</v>
      </c>
      <c r="AD1283" s="43">
        <v>68497522112</v>
      </c>
      <c r="AE1283" s="43">
        <v>11382993803</v>
      </c>
      <c r="AF1283" s="216">
        <v>0</v>
      </c>
      <c r="AG1283" s="216">
        <v>0</v>
      </c>
      <c r="AH1283" s="216">
        <v>0</v>
      </c>
      <c r="AI1283" s="136">
        <f t="shared" ref="AI1283:AI1288" si="496">AE1283-AF1283+AG1283-AH1283</f>
        <v>11382993803</v>
      </c>
      <c r="AJ1283" s="43">
        <f t="shared" ref="AJ1283:AJ1288" si="497">AD1283+AI1283</f>
        <v>79880515915</v>
      </c>
      <c r="AK1283" s="44">
        <v>0</v>
      </c>
      <c r="AL1283" s="44">
        <v>11382993803</v>
      </c>
      <c r="AM1283" s="18">
        <v>79880515915</v>
      </c>
      <c r="AN1283" s="34">
        <v>0</v>
      </c>
      <c r="AO1283" s="147">
        <v>6711410086</v>
      </c>
      <c r="AP1283" s="43">
        <v>53034875573</v>
      </c>
      <c r="AQ1283" s="44">
        <v>0</v>
      </c>
      <c r="AR1283" s="18">
        <v>6711410086</v>
      </c>
      <c r="AS1283" s="43">
        <v>53034875573</v>
      </c>
      <c r="AT1283" s="111">
        <f t="shared" ref="AT1283:AT1288" si="498">AQ1283+AS1283</f>
        <v>53034875573</v>
      </c>
      <c r="AU1283" s="34">
        <f t="shared" ref="AU1283:AU1288" si="499">AJ1283-AM1283</f>
        <v>0</v>
      </c>
      <c r="AV1283" s="18">
        <f t="shared" ref="AV1283:AV1288" si="500">AM1283-AP1283</f>
        <v>26845640342</v>
      </c>
      <c r="AW1283" s="133">
        <f t="shared" ref="AW1283:AW1288" si="501">AP1283-AT1283</f>
        <v>0</v>
      </c>
      <c r="AX1283" s="123">
        <f t="shared" ref="AX1283:AX1288" si="502">AP1283/AJ1283</f>
        <v>0.66392755436674744</v>
      </c>
    </row>
    <row r="1284" spans="27:50" x14ac:dyDescent="0.2">
      <c r="AA1284" s="94" t="s">
        <v>825</v>
      </c>
      <c r="AB1284" s="95" t="s">
        <v>826</v>
      </c>
      <c r="AC1284" s="96" t="s">
        <v>802</v>
      </c>
      <c r="AD1284" s="43">
        <v>6053442339</v>
      </c>
      <c r="AE1284" s="96">
        <v>0</v>
      </c>
      <c r="AF1284" s="216">
        <v>0</v>
      </c>
      <c r="AG1284" s="216">
        <v>0</v>
      </c>
      <c r="AH1284" s="216">
        <v>0</v>
      </c>
      <c r="AI1284" s="97">
        <f t="shared" si="496"/>
        <v>0</v>
      </c>
      <c r="AJ1284" s="43">
        <f t="shared" si="497"/>
        <v>6053442339</v>
      </c>
      <c r="AK1284" s="44">
        <v>0</v>
      </c>
      <c r="AL1284" s="44">
        <v>2805636583</v>
      </c>
      <c r="AM1284" s="18">
        <v>6053442339</v>
      </c>
      <c r="AN1284" s="34">
        <v>0</v>
      </c>
      <c r="AO1284" s="147">
        <v>1346097517</v>
      </c>
      <c r="AP1284" s="43">
        <v>3347185542</v>
      </c>
      <c r="AQ1284" s="44">
        <v>0</v>
      </c>
      <c r="AR1284" s="18">
        <v>1346097517</v>
      </c>
      <c r="AS1284" s="43">
        <v>3347185542</v>
      </c>
      <c r="AT1284" s="111">
        <f t="shared" si="498"/>
        <v>3347185542</v>
      </c>
      <c r="AU1284" s="34">
        <f t="shared" si="499"/>
        <v>0</v>
      </c>
      <c r="AV1284" s="18">
        <f t="shared" si="500"/>
        <v>2706256797</v>
      </c>
      <c r="AW1284" s="133">
        <f t="shared" si="501"/>
        <v>0</v>
      </c>
      <c r="AX1284" s="123">
        <f t="shared" si="502"/>
        <v>0.55293919633716027</v>
      </c>
    </row>
    <row r="1285" spans="27:50" ht="25.5" x14ac:dyDescent="0.2">
      <c r="AA1285" s="94" t="s">
        <v>827</v>
      </c>
      <c r="AB1285" s="95" t="s">
        <v>776</v>
      </c>
      <c r="AC1285" s="96" t="s">
        <v>777</v>
      </c>
      <c r="AD1285" s="43">
        <v>5590188172</v>
      </c>
      <c r="AE1285" s="96">
        <v>0</v>
      </c>
      <c r="AF1285" s="216">
        <v>0</v>
      </c>
      <c r="AG1285" s="216">
        <v>0</v>
      </c>
      <c r="AH1285" s="216">
        <v>0</v>
      </c>
      <c r="AI1285" s="97">
        <f t="shared" si="496"/>
        <v>0</v>
      </c>
      <c r="AJ1285" s="43">
        <f t="shared" si="497"/>
        <v>5590188172</v>
      </c>
      <c r="AK1285" s="44">
        <v>0</v>
      </c>
      <c r="AL1285" s="43">
        <v>0</v>
      </c>
      <c r="AM1285" s="18">
        <v>549343521</v>
      </c>
      <c r="AN1285" s="34">
        <v>0</v>
      </c>
      <c r="AO1285" s="145">
        <v>0</v>
      </c>
      <c r="AP1285" s="43">
        <v>549343521</v>
      </c>
      <c r="AQ1285" s="44">
        <v>0</v>
      </c>
      <c r="AR1285" s="18">
        <v>360955728</v>
      </c>
      <c r="AS1285" s="43">
        <v>549343521</v>
      </c>
      <c r="AT1285" s="111">
        <f t="shared" si="498"/>
        <v>549343521</v>
      </c>
      <c r="AU1285" s="18">
        <f t="shared" si="499"/>
        <v>5040844651</v>
      </c>
      <c r="AV1285" s="34">
        <f t="shared" si="500"/>
        <v>0</v>
      </c>
      <c r="AW1285" s="133">
        <f t="shared" si="501"/>
        <v>0</v>
      </c>
      <c r="AX1285" s="123">
        <f t="shared" si="502"/>
        <v>9.8269236043169103E-2</v>
      </c>
    </row>
    <row r="1286" spans="27:50" ht="16.5" customHeight="1" x14ac:dyDescent="0.2">
      <c r="AA1286" s="94" t="s">
        <v>828</v>
      </c>
      <c r="AB1286" s="95" t="s">
        <v>829</v>
      </c>
      <c r="AC1286" s="96" t="s">
        <v>789</v>
      </c>
      <c r="AD1286" s="43">
        <v>134040044112</v>
      </c>
      <c r="AE1286" s="96">
        <v>0</v>
      </c>
      <c r="AF1286" s="216">
        <v>0</v>
      </c>
      <c r="AG1286" s="216">
        <v>0</v>
      </c>
      <c r="AH1286" s="216">
        <v>0</v>
      </c>
      <c r="AI1286" s="97">
        <f t="shared" si="496"/>
        <v>0</v>
      </c>
      <c r="AJ1286" s="43">
        <f t="shared" si="497"/>
        <v>134040044112</v>
      </c>
      <c r="AK1286" s="44">
        <v>0</v>
      </c>
      <c r="AL1286" s="44">
        <v>0</v>
      </c>
      <c r="AM1286" s="18">
        <v>129958738901</v>
      </c>
      <c r="AN1286" s="34">
        <v>0</v>
      </c>
      <c r="AO1286" s="147">
        <v>6386417965.3400002</v>
      </c>
      <c r="AP1286" s="43">
        <v>77797184447.589996</v>
      </c>
      <c r="AQ1286" s="44">
        <v>0</v>
      </c>
      <c r="AR1286" s="18">
        <v>6386417965.3400002</v>
      </c>
      <c r="AS1286" s="43">
        <v>77797184447.589996</v>
      </c>
      <c r="AT1286" s="111">
        <f t="shared" si="498"/>
        <v>77797184447.589996</v>
      </c>
      <c r="AU1286" s="18">
        <f t="shared" si="499"/>
        <v>4081305211</v>
      </c>
      <c r="AV1286" s="18">
        <f t="shared" si="500"/>
        <v>52161554453.410004</v>
      </c>
      <c r="AW1286" s="133">
        <f t="shared" si="501"/>
        <v>0</v>
      </c>
      <c r="AX1286" s="123">
        <f t="shared" si="502"/>
        <v>0.58040255778030714</v>
      </c>
    </row>
    <row r="1287" spans="27:50" ht="25.5" x14ac:dyDescent="0.2">
      <c r="AA1287" s="94" t="s">
        <v>830</v>
      </c>
      <c r="AB1287" s="95" t="s">
        <v>831</v>
      </c>
      <c r="AC1287" s="96" t="s">
        <v>832</v>
      </c>
      <c r="AD1287" s="43">
        <v>12909348026</v>
      </c>
      <c r="AE1287" s="43">
        <v>955692586</v>
      </c>
      <c r="AF1287" s="216">
        <v>0</v>
      </c>
      <c r="AG1287" s="216">
        <v>0</v>
      </c>
      <c r="AH1287" s="216">
        <v>0</v>
      </c>
      <c r="AI1287" s="136">
        <f t="shared" si="496"/>
        <v>955692586</v>
      </c>
      <c r="AJ1287" s="43">
        <f t="shared" si="497"/>
        <v>13865040612</v>
      </c>
      <c r="AK1287" s="44">
        <v>0</v>
      </c>
      <c r="AL1287" s="43">
        <v>955692586</v>
      </c>
      <c r="AM1287" s="18">
        <v>13865040612</v>
      </c>
      <c r="AN1287" s="34">
        <v>0</v>
      </c>
      <c r="AO1287" s="147">
        <v>2543265349.46</v>
      </c>
      <c r="AP1287" s="43">
        <v>10896084715.26</v>
      </c>
      <c r="AQ1287" s="44">
        <v>0</v>
      </c>
      <c r="AR1287" s="43">
        <v>2543265349.46</v>
      </c>
      <c r="AS1287" s="43">
        <v>10896084715.26</v>
      </c>
      <c r="AT1287" s="111">
        <f t="shared" si="498"/>
        <v>10896084715.26</v>
      </c>
      <c r="AU1287" s="34">
        <f t="shared" si="499"/>
        <v>0</v>
      </c>
      <c r="AV1287" s="18">
        <f t="shared" si="500"/>
        <v>2968955896.7399998</v>
      </c>
      <c r="AW1287" s="133">
        <f t="shared" si="501"/>
        <v>0</v>
      </c>
      <c r="AX1287" s="123">
        <f t="shared" si="502"/>
        <v>0.78586749366096986</v>
      </c>
    </row>
    <row r="1288" spans="27:50" ht="26.25" thickBot="1" x14ac:dyDescent="0.25">
      <c r="AA1288" s="221" t="s">
        <v>1195</v>
      </c>
      <c r="AB1288" s="95" t="s">
        <v>1196</v>
      </c>
      <c r="AC1288" s="96"/>
      <c r="AD1288" s="44">
        <v>0</v>
      </c>
      <c r="AE1288" s="43">
        <v>969348211.46000004</v>
      </c>
      <c r="AF1288" s="216">
        <v>0</v>
      </c>
      <c r="AG1288" s="216">
        <v>0</v>
      </c>
      <c r="AH1288" s="216">
        <v>0</v>
      </c>
      <c r="AI1288" s="136">
        <f t="shared" si="496"/>
        <v>969348211.46000004</v>
      </c>
      <c r="AJ1288" s="43">
        <f t="shared" si="497"/>
        <v>969348211.46000004</v>
      </c>
      <c r="AK1288" s="44">
        <v>0</v>
      </c>
      <c r="AL1288" s="44">
        <v>0</v>
      </c>
      <c r="AM1288" s="34">
        <v>0</v>
      </c>
      <c r="AN1288" s="34">
        <v>0</v>
      </c>
      <c r="AO1288" s="145">
        <v>0</v>
      </c>
      <c r="AP1288" s="44">
        <v>0</v>
      </c>
      <c r="AQ1288" s="44">
        <v>0</v>
      </c>
      <c r="AR1288" s="44">
        <v>0</v>
      </c>
      <c r="AS1288" s="44">
        <v>0</v>
      </c>
      <c r="AT1288" s="135">
        <f t="shared" si="498"/>
        <v>0</v>
      </c>
      <c r="AU1288" s="18">
        <f t="shared" si="499"/>
        <v>969348211.46000004</v>
      </c>
      <c r="AV1288" s="34">
        <f t="shared" si="500"/>
        <v>0</v>
      </c>
      <c r="AW1288" s="133">
        <f t="shared" si="501"/>
        <v>0</v>
      </c>
      <c r="AX1288" s="123">
        <f t="shared" si="502"/>
        <v>0</v>
      </c>
    </row>
    <row r="1289" spans="27:50" x14ac:dyDescent="0.2">
      <c r="AA1289" s="94"/>
      <c r="AB1289" s="95"/>
      <c r="AC1289" s="96"/>
      <c r="AD1289" s="43"/>
      <c r="AE1289" s="97"/>
      <c r="AF1289" s="97"/>
      <c r="AG1289" s="96"/>
      <c r="AH1289" s="43"/>
      <c r="AI1289" s="136"/>
      <c r="AJ1289" s="43"/>
      <c r="AK1289" s="97"/>
      <c r="AL1289" s="97"/>
      <c r="AM1289" s="97"/>
      <c r="AN1289" s="97"/>
      <c r="AO1289" s="97"/>
      <c r="AP1289" s="97"/>
      <c r="AQ1289" s="97"/>
      <c r="AR1289" s="97"/>
      <c r="AS1289" s="97"/>
      <c r="AT1289" s="135"/>
      <c r="AU1289" s="110"/>
      <c r="AV1289" s="133"/>
      <c r="AW1289" s="133"/>
      <c r="AX1289" s="123"/>
    </row>
    <row r="1290" spans="27:50" x14ac:dyDescent="0.2">
      <c r="AA1290" s="94"/>
      <c r="AB1290" s="279" t="s">
        <v>1273</v>
      </c>
      <c r="AC1290" s="96"/>
      <c r="AD1290" s="43"/>
      <c r="AE1290" s="97"/>
      <c r="AF1290" s="97"/>
      <c r="AG1290" s="96"/>
      <c r="AH1290" s="43"/>
      <c r="AI1290" s="136"/>
      <c r="AJ1290" s="43"/>
      <c r="AK1290" s="97"/>
      <c r="AL1290" s="97"/>
      <c r="AM1290" s="97"/>
      <c r="AN1290" s="97"/>
      <c r="AO1290" s="97"/>
      <c r="AP1290" s="97"/>
      <c r="AQ1290" s="97"/>
      <c r="AR1290" s="97"/>
      <c r="AS1290" s="97"/>
      <c r="AT1290" s="135"/>
      <c r="AU1290" s="110"/>
      <c r="AV1290" s="133"/>
      <c r="AW1290" s="133"/>
      <c r="AX1290" s="123"/>
    </row>
    <row r="1291" spans="27:50" x14ac:dyDescent="0.2">
      <c r="AA1291" s="93" t="s">
        <v>288</v>
      </c>
      <c r="AB1291" s="243" t="s">
        <v>790</v>
      </c>
      <c r="AC1291" s="91"/>
      <c r="AD1291" s="18"/>
      <c r="AE1291" s="92"/>
      <c r="AF1291" s="92"/>
      <c r="AG1291" s="92"/>
      <c r="AH1291" s="92"/>
      <c r="AI1291" s="92"/>
      <c r="AJ1291" s="18"/>
      <c r="AK1291" s="18"/>
      <c r="AL1291" s="115">
        <f>AM1291-'MARZO '!AM995</f>
        <v>0</v>
      </c>
      <c r="AM1291" s="18"/>
      <c r="AN1291" s="92"/>
      <c r="AO1291" s="147"/>
      <c r="AP1291" s="18"/>
      <c r="AQ1291" s="92"/>
      <c r="AR1291" s="92"/>
      <c r="AS1291" s="92"/>
      <c r="AT1291" s="30"/>
      <c r="AU1291" s="18"/>
      <c r="AV1291" s="110"/>
      <c r="AW1291" s="18"/>
      <c r="AX1291" s="92"/>
    </row>
    <row r="1292" spans="27:50" x14ac:dyDescent="0.2">
      <c r="AA1292" s="94" t="s">
        <v>791</v>
      </c>
      <c r="AB1292" s="95" t="s">
        <v>233</v>
      </c>
      <c r="AC1292" s="96" t="s">
        <v>58</v>
      </c>
      <c r="AD1292" s="43">
        <v>300000000</v>
      </c>
      <c r="AE1292" s="96">
        <v>0</v>
      </c>
      <c r="AF1292" s="216">
        <v>0</v>
      </c>
      <c r="AG1292" s="216">
        <v>0</v>
      </c>
      <c r="AH1292" s="216">
        <v>0</v>
      </c>
      <c r="AI1292" s="136">
        <f t="shared" ref="AI1292:AI1295" si="503">AE1292-AF1292+AG1292-AH1292</f>
        <v>0</v>
      </c>
      <c r="AJ1292" s="43">
        <f t="shared" ref="AJ1292:AJ1295" si="504">AD1292+AI1292</f>
        <v>300000000</v>
      </c>
      <c r="AK1292" s="44">
        <v>0</v>
      </c>
      <c r="AL1292" s="115">
        <v>0</v>
      </c>
      <c r="AM1292" s="18">
        <v>300000000</v>
      </c>
      <c r="AN1292" s="98">
        <v>0</v>
      </c>
      <c r="AO1292" s="145">
        <v>0</v>
      </c>
      <c r="AP1292" s="18">
        <v>300000000</v>
      </c>
      <c r="AQ1292" s="96">
        <v>0</v>
      </c>
      <c r="AR1292" s="43">
        <v>27272727</v>
      </c>
      <c r="AS1292" s="43">
        <v>121818181</v>
      </c>
      <c r="AT1292" s="39">
        <f t="shared" ref="AT1292:AT1295" si="505">AQ1292+AS1292</f>
        <v>121818181</v>
      </c>
      <c r="AU1292" s="133">
        <f>AJ1292-AM1292</f>
        <v>0</v>
      </c>
      <c r="AV1292" s="133">
        <f>AM1292-AP1292</f>
        <v>0</v>
      </c>
      <c r="AW1292" s="110">
        <f>AP1292-AT1292</f>
        <v>178181819</v>
      </c>
      <c r="AX1292" s="123">
        <f>AP1292/AJ1292</f>
        <v>1</v>
      </c>
    </row>
    <row r="1293" spans="27:50" x14ac:dyDescent="0.2">
      <c r="AA1293" s="94" t="s">
        <v>792</v>
      </c>
      <c r="AB1293" s="95" t="s">
        <v>793</v>
      </c>
      <c r="AC1293" s="96" t="s">
        <v>794</v>
      </c>
      <c r="AD1293" s="43">
        <v>664600000</v>
      </c>
      <c r="AE1293" s="96">
        <v>0</v>
      </c>
      <c r="AF1293" s="216">
        <v>0</v>
      </c>
      <c r="AG1293" s="216">
        <v>0</v>
      </c>
      <c r="AH1293" s="216">
        <v>0</v>
      </c>
      <c r="AI1293" s="136">
        <f t="shared" si="503"/>
        <v>0</v>
      </c>
      <c r="AJ1293" s="43">
        <f t="shared" si="504"/>
        <v>664600000</v>
      </c>
      <c r="AK1293" s="44">
        <v>0</v>
      </c>
      <c r="AL1293" s="115">
        <v>0</v>
      </c>
      <c r="AM1293" s="18">
        <v>664510000</v>
      </c>
      <c r="AN1293" s="98">
        <v>0</v>
      </c>
      <c r="AO1293" s="145">
        <v>0</v>
      </c>
      <c r="AP1293" s="18">
        <v>664510000</v>
      </c>
      <c r="AQ1293" s="114">
        <v>17700000</v>
      </c>
      <c r="AR1293" s="43">
        <v>63145455</v>
      </c>
      <c r="AS1293" s="43">
        <v>319763033</v>
      </c>
      <c r="AT1293" s="111">
        <f t="shared" si="505"/>
        <v>337463033</v>
      </c>
      <c r="AU1293" s="110">
        <f>AJ1293-AM1293</f>
        <v>90000</v>
      </c>
      <c r="AV1293" s="133">
        <f>AM1293-AP1293</f>
        <v>0</v>
      </c>
      <c r="AW1293" s="110">
        <f>AP1293-AT1293</f>
        <v>327046967</v>
      </c>
      <c r="AX1293" s="123">
        <f>AP1293/AJ1293</f>
        <v>0.99986458019861568</v>
      </c>
    </row>
    <row r="1294" spans="27:50" x14ac:dyDescent="0.2">
      <c r="AA1294" s="173" t="s">
        <v>1180</v>
      </c>
      <c r="AB1294" s="95" t="s">
        <v>1181</v>
      </c>
      <c r="AC1294" s="96"/>
      <c r="AD1294" s="44">
        <v>0</v>
      </c>
      <c r="AE1294" s="43">
        <f>54400000+23058182</f>
        <v>77458182</v>
      </c>
      <c r="AF1294" s="216">
        <v>0</v>
      </c>
      <c r="AG1294" s="216">
        <v>0</v>
      </c>
      <c r="AH1294" s="216">
        <v>0</v>
      </c>
      <c r="AI1294" s="136">
        <f t="shared" si="503"/>
        <v>77458182</v>
      </c>
      <c r="AJ1294" s="43">
        <f t="shared" si="504"/>
        <v>77458182</v>
      </c>
      <c r="AK1294" s="44">
        <v>0</v>
      </c>
      <c r="AL1294" s="115">
        <v>0</v>
      </c>
      <c r="AM1294" s="34">
        <v>0</v>
      </c>
      <c r="AN1294" s="98">
        <v>0</v>
      </c>
      <c r="AO1294" s="34">
        <v>0</v>
      </c>
      <c r="AP1294" s="34">
        <v>0</v>
      </c>
      <c r="AQ1294" s="115">
        <v>0</v>
      </c>
      <c r="AR1294" s="44">
        <v>0</v>
      </c>
      <c r="AS1294" s="44">
        <v>0</v>
      </c>
      <c r="AT1294" s="135">
        <f t="shared" si="505"/>
        <v>0</v>
      </c>
      <c r="AU1294" s="110">
        <f>AJ1294-AM1294</f>
        <v>77458182</v>
      </c>
      <c r="AV1294" s="133">
        <f>AM1294-AP1294</f>
        <v>0</v>
      </c>
      <c r="AW1294" s="133">
        <f>AP1294-AT1294</f>
        <v>0</v>
      </c>
      <c r="AX1294" s="123">
        <f>AP1294/AJ1294</f>
        <v>0</v>
      </c>
    </row>
    <row r="1295" spans="27:50" ht="13.5" thickBot="1" x14ac:dyDescent="0.25">
      <c r="AA1295" s="221" t="s">
        <v>1185</v>
      </c>
      <c r="AB1295" s="95" t="s">
        <v>1015</v>
      </c>
      <c r="AC1295" s="96"/>
      <c r="AD1295" s="44">
        <v>0</v>
      </c>
      <c r="AE1295" s="43">
        <v>26941817.940000001</v>
      </c>
      <c r="AF1295" s="216">
        <v>0</v>
      </c>
      <c r="AG1295" s="216">
        <v>0</v>
      </c>
      <c r="AH1295" s="216">
        <v>0</v>
      </c>
      <c r="AI1295" s="136">
        <f t="shared" si="503"/>
        <v>26941817.940000001</v>
      </c>
      <c r="AJ1295" s="43">
        <f t="shared" si="504"/>
        <v>26941817.940000001</v>
      </c>
      <c r="AK1295" s="44">
        <v>0</v>
      </c>
      <c r="AL1295" s="115">
        <v>0</v>
      </c>
      <c r="AM1295" s="34">
        <v>0</v>
      </c>
      <c r="AN1295" s="98">
        <v>0</v>
      </c>
      <c r="AO1295" s="34">
        <v>0</v>
      </c>
      <c r="AP1295" s="34">
        <v>0</v>
      </c>
      <c r="AQ1295" s="115">
        <v>0</v>
      </c>
      <c r="AR1295" s="44">
        <v>0</v>
      </c>
      <c r="AS1295" s="44">
        <v>0</v>
      </c>
      <c r="AT1295" s="135">
        <f t="shared" si="505"/>
        <v>0</v>
      </c>
      <c r="AU1295" s="110">
        <f>AJ1295-AM1295</f>
        <v>26941817.940000001</v>
      </c>
      <c r="AV1295" s="133">
        <f>AM1295-AP1295</f>
        <v>0</v>
      </c>
      <c r="AW1295" s="133">
        <f>AP1295-AT1295</f>
        <v>0</v>
      </c>
      <c r="AX1295" s="123">
        <f>AP1295/AJ1295</f>
        <v>0</v>
      </c>
    </row>
    <row r="1296" spans="27:50" x14ac:dyDescent="0.2">
      <c r="AA1296" s="94"/>
      <c r="AB1296" s="95"/>
      <c r="AC1296" s="96"/>
      <c r="AD1296" s="43"/>
      <c r="AE1296" s="97"/>
      <c r="AF1296" s="97"/>
      <c r="AG1296" s="96"/>
      <c r="AH1296" s="43"/>
      <c r="AI1296" s="136"/>
      <c r="AJ1296" s="43"/>
      <c r="AK1296" s="97"/>
      <c r="AL1296" s="97"/>
      <c r="AM1296" s="97"/>
      <c r="AN1296" s="97"/>
      <c r="AO1296" s="97"/>
      <c r="AP1296" s="97"/>
      <c r="AQ1296" s="97"/>
      <c r="AR1296" s="97"/>
      <c r="AS1296" s="97"/>
      <c r="AT1296" s="135"/>
      <c r="AU1296" s="110"/>
      <c r="AV1296" s="133"/>
      <c r="AW1296" s="133"/>
      <c r="AX1296" s="123"/>
    </row>
    <row r="1297" spans="27:50" ht="25.5" x14ac:dyDescent="0.2">
      <c r="AA1297" s="93" t="s">
        <v>288</v>
      </c>
      <c r="AB1297" s="90" t="s">
        <v>795</v>
      </c>
      <c r="AC1297" s="91"/>
      <c r="AD1297" s="18"/>
      <c r="AE1297" s="92"/>
      <c r="AF1297" s="92"/>
      <c r="AG1297" s="92"/>
      <c r="AH1297" s="92"/>
      <c r="AI1297" s="92"/>
      <c r="AJ1297" s="18"/>
      <c r="AK1297" s="34"/>
      <c r="AL1297" s="18"/>
      <c r="AM1297" s="18"/>
      <c r="AN1297" s="92"/>
      <c r="AO1297" s="18"/>
      <c r="AP1297" s="18"/>
      <c r="AQ1297" s="92"/>
      <c r="AR1297" s="92"/>
      <c r="AS1297" s="92"/>
      <c r="AT1297" s="40"/>
      <c r="AU1297" s="18"/>
      <c r="AV1297" s="110"/>
      <c r="AW1297" s="18"/>
      <c r="AX1297" s="92"/>
    </row>
    <row r="1298" spans="27:50" x14ac:dyDescent="0.2">
      <c r="AA1298" s="94" t="s">
        <v>796</v>
      </c>
      <c r="AB1298" s="95" t="s">
        <v>233</v>
      </c>
      <c r="AC1298" s="96" t="s">
        <v>58</v>
      </c>
      <c r="AD1298" s="43">
        <v>242950000</v>
      </c>
      <c r="AE1298" s="96">
        <v>0</v>
      </c>
      <c r="AF1298" s="216">
        <v>0</v>
      </c>
      <c r="AG1298" s="216">
        <v>0</v>
      </c>
      <c r="AH1298" s="216">
        <v>0</v>
      </c>
      <c r="AI1298" s="136">
        <f>AE1298-AF1298+AG1298-AH1298</f>
        <v>0</v>
      </c>
      <c r="AJ1298" s="43">
        <f>AD1298+AI1298</f>
        <v>242950000</v>
      </c>
      <c r="AK1298" s="44">
        <v>0</v>
      </c>
      <c r="AL1298" s="43">
        <v>0</v>
      </c>
      <c r="AM1298" s="43">
        <v>242950000</v>
      </c>
      <c r="AN1298" s="97">
        <v>0</v>
      </c>
      <c r="AO1298" s="44">
        <v>242950000</v>
      </c>
      <c r="AP1298" s="44">
        <v>242950000</v>
      </c>
      <c r="AQ1298" s="97">
        <v>0</v>
      </c>
      <c r="AR1298" s="97">
        <v>0</v>
      </c>
      <c r="AS1298" s="97">
        <v>0</v>
      </c>
      <c r="AT1298" s="135">
        <f>AQ1298+AS1298</f>
        <v>0</v>
      </c>
      <c r="AU1298" s="133">
        <f>AJ1298-AM1298</f>
        <v>0</v>
      </c>
      <c r="AV1298" s="18">
        <f>AM1298-AP1298</f>
        <v>0</v>
      </c>
      <c r="AW1298" s="34">
        <f>AP1298-AT1298</f>
        <v>242950000</v>
      </c>
      <c r="AX1298" s="123">
        <f>AP1298/AJ1298</f>
        <v>1</v>
      </c>
    </row>
    <row r="1299" spans="27:50" x14ac:dyDescent="0.2">
      <c r="AA1299" s="94" t="s">
        <v>797</v>
      </c>
      <c r="AB1299" s="95" t="s">
        <v>793</v>
      </c>
      <c r="AC1299" s="96" t="s">
        <v>794</v>
      </c>
      <c r="AD1299" s="43">
        <v>1746250000</v>
      </c>
      <c r="AE1299" s="43">
        <v>22486525</v>
      </c>
      <c r="AF1299" s="216">
        <v>0</v>
      </c>
      <c r="AG1299" s="216">
        <v>0</v>
      </c>
      <c r="AH1299" s="216">
        <v>0</v>
      </c>
      <c r="AI1299" s="136">
        <f>AE1299-AF1299+AG1299-AH1299</f>
        <v>22486525</v>
      </c>
      <c r="AJ1299" s="43">
        <f>AD1299+AI1299</f>
        <v>1768736525</v>
      </c>
      <c r="AK1299" s="44">
        <v>0</v>
      </c>
      <c r="AL1299" s="43">
        <v>-13697878</v>
      </c>
      <c r="AM1299" s="43">
        <v>1487241999</v>
      </c>
      <c r="AN1299" s="97">
        <v>0</v>
      </c>
      <c r="AO1299" s="114">
        <v>177791999</v>
      </c>
      <c r="AP1299" s="114">
        <v>1363241999</v>
      </c>
      <c r="AQ1299" s="43">
        <v>0</v>
      </c>
      <c r="AR1299" s="43">
        <v>97210174</v>
      </c>
      <c r="AS1299" s="43">
        <v>331308189</v>
      </c>
      <c r="AT1299" s="39">
        <f>AQ1299+AS1299</f>
        <v>331308189</v>
      </c>
      <c r="AU1299" s="18">
        <f>AJ1299-AM1299</f>
        <v>281494526</v>
      </c>
      <c r="AV1299" s="18">
        <f>AM1299-AP1299</f>
        <v>124000000</v>
      </c>
      <c r="AW1299" s="18">
        <f>AP1299-AT1299</f>
        <v>1031933810</v>
      </c>
      <c r="AX1299" s="123">
        <f>AP1299/AJ1299</f>
        <v>0.77074339774828815</v>
      </c>
    </row>
    <row r="1300" spans="27:50" x14ac:dyDescent="0.2">
      <c r="AA1300" s="173" t="s">
        <v>1171</v>
      </c>
      <c r="AB1300" s="95" t="s">
        <v>1015</v>
      </c>
      <c r="AC1300" s="96"/>
      <c r="AD1300" s="44">
        <v>0</v>
      </c>
      <c r="AE1300" s="43">
        <f>168359999+463053476</f>
        <v>631413475</v>
      </c>
      <c r="AF1300" s="216">
        <v>0</v>
      </c>
      <c r="AG1300" s="216">
        <v>0</v>
      </c>
      <c r="AH1300" s="216">
        <v>0</v>
      </c>
      <c r="AI1300" s="136">
        <f>AE1300-AF1300+AG1300-AH1300</f>
        <v>631413475</v>
      </c>
      <c r="AJ1300" s="43">
        <f>AD1300+AI1300</f>
        <v>631413475</v>
      </c>
      <c r="AK1300" s="115">
        <v>0</v>
      </c>
      <c r="AL1300" s="43">
        <v>0</v>
      </c>
      <c r="AM1300" s="18">
        <v>600000000</v>
      </c>
      <c r="AN1300" s="92">
        <v>0</v>
      </c>
      <c r="AO1300" s="18">
        <v>450000000</v>
      </c>
      <c r="AP1300" s="18">
        <v>496032300</v>
      </c>
      <c r="AQ1300" s="115">
        <v>0</v>
      </c>
      <c r="AR1300" s="115">
        <v>2006000</v>
      </c>
      <c r="AS1300" s="115">
        <v>2006000</v>
      </c>
      <c r="AT1300" s="135">
        <f>AQ1300+AS1300</f>
        <v>2006000</v>
      </c>
      <c r="AU1300" s="110">
        <f>AJ1300-AM1300</f>
        <v>31413475</v>
      </c>
      <c r="AV1300" s="18">
        <f>AM1300-AP1300</f>
        <v>103967700</v>
      </c>
      <c r="AW1300" s="18">
        <f>AP1300-AT1300</f>
        <v>494026300</v>
      </c>
      <c r="AX1300" s="123">
        <f>AP1300/AJ1300</f>
        <v>0.78559029802143521</v>
      </c>
    </row>
    <row r="1301" spans="27:50" x14ac:dyDescent="0.2">
      <c r="AA1301" s="173" t="s">
        <v>1189</v>
      </c>
      <c r="AB1301" s="95" t="s">
        <v>1190</v>
      </c>
      <c r="AC1301" s="96"/>
      <c r="AD1301" s="44">
        <v>0</v>
      </c>
      <c r="AE1301" s="43">
        <v>1323800000</v>
      </c>
      <c r="AF1301" s="216">
        <v>0</v>
      </c>
      <c r="AG1301" s="216">
        <v>0</v>
      </c>
      <c r="AH1301" s="216">
        <v>0</v>
      </c>
      <c r="AI1301" s="136">
        <f>AE1301-AF1301+AG1301-AH1301</f>
        <v>1323800000</v>
      </c>
      <c r="AJ1301" s="43">
        <f>AD1301+AI1301</f>
        <v>1323800000</v>
      </c>
      <c r="AK1301" s="115">
        <v>0</v>
      </c>
      <c r="AL1301" s="43">
        <v>102250000</v>
      </c>
      <c r="AM1301" s="18">
        <v>940443198</v>
      </c>
      <c r="AN1301" s="92">
        <v>0</v>
      </c>
      <c r="AO1301" s="18">
        <v>101200000</v>
      </c>
      <c r="AP1301" s="18">
        <v>540830000</v>
      </c>
      <c r="AQ1301" s="114">
        <v>650000</v>
      </c>
      <c r="AR1301" s="114">
        <v>54266667</v>
      </c>
      <c r="AS1301" s="114">
        <v>88456666</v>
      </c>
      <c r="AT1301" s="111">
        <f>AQ1301+AS1301</f>
        <v>89106666</v>
      </c>
      <c r="AU1301" s="110">
        <f>AJ1301-AM1301</f>
        <v>383356802</v>
      </c>
      <c r="AV1301" s="18">
        <f>AM1301-AP1301</f>
        <v>399613198</v>
      </c>
      <c r="AW1301" s="18">
        <f>AP1301-AT1301</f>
        <v>451723334</v>
      </c>
      <c r="AX1301" s="123">
        <f>AP1301/AJ1301</f>
        <v>0.40854358664450824</v>
      </c>
    </row>
    <row r="1302" spans="27:50" x14ac:dyDescent="0.2">
      <c r="AA1302" s="94"/>
      <c r="AB1302" s="95"/>
      <c r="AC1302" s="96"/>
      <c r="AD1302" s="43"/>
      <c r="AE1302" s="97"/>
      <c r="AF1302" s="97"/>
      <c r="AG1302" s="96"/>
      <c r="AH1302" s="43"/>
      <c r="AI1302" s="136"/>
      <c r="AJ1302" s="43"/>
      <c r="AK1302" s="97"/>
      <c r="AL1302" s="97"/>
      <c r="AM1302" s="97"/>
      <c r="AN1302" s="97"/>
      <c r="AO1302" s="97"/>
      <c r="AP1302" s="97"/>
      <c r="AQ1302" s="97"/>
      <c r="AR1302" s="97"/>
      <c r="AS1302" s="97"/>
      <c r="AT1302" s="135"/>
      <c r="AU1302" s="110"/>
      <c r="AV1302" s="133"/>
      <c r="AW1302" s="133"/>
      <c r="AX1302" s="123"/>
    </row>
    <row r="1303" spans="27:50" ht="25.5" x14ac:dyDescent="0.2">
      <c r="AA1303" s="272" t="s">
        <v>288</v>
      </c>
      <c r="AB1303" s="90" t="s">
        <v>803</v>
      </c>
      <c r="AC1303" s="91"/>
      <c r="AD1303" s="18"/>
      <c r="AE1303" s="92"/>
      <c r="AF1303" s="92"/>
      <c r="AG1303" s="92"/>
      <c r="AH1303" s="92"/>
      <c r="AI1303" s="92"/>
      <c r="AJ1303" s="18"/>
      <c r="AK1303" s="34"/>
      <c r="AL1303" s="18"/>
      <c r="AM1303" s="18"/>
      <c r="AN1303" s="92"/>
      <c r="AO1303" s="18"/>
      <c r="AP1303" s="18"/>
      <c r="AQ1303" s="92"/>
      <c r="AR1303" s="92"/>
      <c r="AS1303" s="98"/>
      <c r="AT1303" s="31"/>
      <c r="AU1303" s="18"/>
      <c r="AV1303" s="34"/>
      <c r="AW1303" s="18"/>
      <c r="AX1303" s="92"/>
    </row>
    <row r="1304" spans="27:50" x14ac:dyDescent="0.2">
      <c r="AA1304" s="273" t="s">
        <v>804</v>
      </c>
      <c r="AB1304" s="95" t="s">
        <v>793</v>
      </c>
      <c r="AC1304" s="96" t="s">
        <v>794</v>
      </c>
      <c r="AD1304" s="43">
        <v>485467000</v>
      </c>
      <c r="AE1304" s="96">
        <v>0</v>
      </c>
      <c r="AF1304" s="216">
        <v>0</v>
      </c>
      <c r="AG1304" s="216">
        <v>0</v>
      </c>
      <c r="AH1304" s="216">
        <v>0</v>
      </c>
      <c r="AI1304" s="136">
        <f t="shared" ref="AI1304:AI1305" si="506">AE1304-AF1304+AG1304-AH1304</f>
        <v>0</v>
      </c>
      <c r="AJ1304" s="43">
        <f t="shared" ref="AJ1304:AJ1305" si="507">AD1304+AI1304</f>
        <v>485467000</v>
      </c>
      <c r="AK1304" s="97">
        <v>0</v>
      </c>
      <c r="AL1304" s="44">
        <v>0</v>
      </c>
      <c r="AM1304" s="43">
        <v>485467000</v>
      </c>
      <c r="AN1304" s="97">
        <v>0</v>
      </c>
      <c r="AO1304" s="44">
        <v>0</v>
      </c>
      <c r="AP1304" s="43">
        <v>485467000</v>
      </c>
      <c r="AQ1304" s="44">
        <v>0</v>
      </c>
      <c r="AR1304" s="43">
        <v>30772955</v>
      </c>
      <c r="AS1304" s="43">
        <v>75089663</v>
      </c>
      <c r="AT1304" s="39">
        <f t="shared" ref="AT1304:AT1305" si="508">AQ1304+AS1304</f>
        <v>75089663</v>
      </c>
      <c r="AU1304" s="133">
        <f>AJ1304-AM1304</f>
        <v>0</v>
      </c>
      <c r="AV1304" s="18">
        <f>AM1304-AP1304</f>
        <v>0</v>
      </c>
      <c r="AW1304" s="18">
        <f>AP1304-AT1304</f>
        <v>410377337</v>
      </c>
      <c r="AX1304" s="123">
        <f>AP1304/AJ1304</f>
        <v>1</v>
      </c>
    </row>
    <row r="1305" spans="27:50" x14ac:dyDescent="0.2">
      <c r="AA1305" s="274" t="s">
        <v>1172</v>
      </c>
      <c r="AB1305" s="95" t="s">
        <v>1015</v>
      </c>
      <c r="AC1305" s="96"/>
      <c r="AD1305" s="43">
        <v>0</v>
      </c>
      <c r="AE1305" s="43">
        <v>7600000</v>
      </c>
      <c r="AF1305" s="216">
        <v>0</v>
      </c>
      <c r="AG1305" s="216">
        <v>0</v>
      </c>
      <c r="AH1305" s="216">
        <v>0</v>
      </c>
      <c r="AI1305" s="136">
        <f t="shared" si="506"/>
        <v>7600000</v>
      </c>
      <c r="AJ1305" s="43">
        <f t="shared" si="507"/>
        <v>7600000</v>
      </c>
      <c r="AK1305" s="97">
        <v>0</v>
      </c>
      <c r="AL1305" s="44">
        <v>0</v>
      </c>
      <c r="AM1305" s="44">
        <v>0</v>
      </c>
      <c r="AN1305" s="97">
        <v>0</v>
      </c>
      <c r="AO1305" s="44">
        <v>0</v>
      </c>
      <c r="AP1305" s="44">
        <v>0</v>
      </c>
      <c r="AQ1305" s="44">
        <v>0</v>
      </c>
      <c r="AR1305" s="43">
        <v>0</v>
      </c>
      <c r="AS1305" s="44">
        <v>0</v>
      </c>
      <c r="AT1305" s="40">
        <f t="shared" si="508"/>
        <v>0</v>
      </c>
      <c r="AU1305" s="110">
        <f>AJ1305-AM1305</f>
        <v>7600000</v>
      </c>
      <c r="AV1305" s="34">
        <f>AM1305-AP1305</f>
        <v>0</v>
      </c>
      <c r="AW1305" s="34">
        <f>AP1305-AT1305</f>
        <v>0</v>
      </c>
      <c r="AX1305" s="123">
        <f>AP1305/AJ1305</f>
        <v>0</v>
      </c>
    </row>
    <row r="1306" spans="27:50" ht="25.5" x14ac:dyDescent="0.2">
      <c r="AA1306" s="272" t="s">
        <v>288</v>
      </c>
      <c r="AB1306" s="90" t="s">
        <v>805</v>
      </c>
      <c r="AC1306" s="91"/>
      <c r="AD1306" s="18"/>
      <c r="AE1306" s="92"/>
      <c r="AF1306" s="92"/>
      <c r="AG1306" s="92"/>
      <c r="AH1306" s="92"/>
      <c r="AI1306" s="92"/>
      <c r="AJ1306" s="18"/>
      <c r="AK1306" s="98"/>
      <c r="AL1306" s="133"/>
      <c r="AM1306" s="110"/>
      <c r="AN1306" s="92"/>
      <c r="AO1306" s="98"/>
      <c r="AP1306" s="92"/>
      <c r="AQ1306" s="98"/>
      <c r="AR1306" s="92"/>
      <c r="AS1306" s="98"/>
      <c r="AT1306" s="31"/>
      <c r="AU1306" s="18"/>
      <c r="AV1306" s="34"/>
      <c r="AW1306" s="18"/>
      <c r="AX1306" s="92"/>
    </row>
    <row r="1307" spans="27:50" x14ac:dyDescent="0.2">
      <c r="AA1307" s="273" t="s">
        <v>806</v>
      </c>
      <c r="AB1307" s="95" t="s">
        <v>793</v>
      </c>
      <c r="AC1307" s="96" t="s">
        <v>794</v>
      </c>
      <c r="AD1307" s="43">
        <v>402000000</v>
      </c>
      <c r="AE1307" s="96">
        <v>0</v>
      </c>
      <c r="AF1307" s="216">
        <v>0</v>
      </c>
      <c r="AG1307" s="216">
        <v>0</v>
      </c>
      <c r="AH1307" s="216">
        <v>0</v>
      </c>
      <c r="AI1307" s="136">
        <f t="shared" ref="AI1307:AI1308" si="509">AE1307-AF1307+AG1307-AH1307</f>
        <v>0</v>
      </c>
      <c r="AJ1307" s="43">
        <f t="shared" ref="AJ1307:AJ1308" si="510">AD1307+AI1307</f>
        <v>402000000</v>
      </c>
      <c r="AK1307" s="97">
        <v>0</v>
      </c>
      <c r="AL1307" s="115">
        <v>0</v>
      </c>
      <c r="AM1307" s="114">
        <v>366000000</v>
      </c>
      <c r="AN1307" s="97">
        <v>0</v>
      </c>
      <c r="AO1307" s="115">
        <v>0</v>
      </c>
      <c r="AP1307" s="43">
        <v>366000000</v>
      </c>
      <c r="AQ1307" s="44">
        <v>0</v>
      </c>
      <c r="AR1307" s="43">
        <v>37233586</v>
      </c>
      <c r="AS1307" s="43">
        <v>80362878</v>
      </c>
      <c r="AT1307" s="39">
        <f t="shared" ref="AT1307:AT1308" si="511">AQ1307+AS1307</f>
        <v>80362878</v>
      </c>
      <c r="AU1307" s="18">
        <f>AJ1307-AM1307</f>
        <v>36000000</v>
      </c>
      <c r="AV1307" s="34">
        <f>AM1307-AP1307</f>
        <v>0</v>
      </c>
      <c r="AW1307" s="18">
        <f>AP1307-AT1307</f>
        <v>285637122</v>
      </c>
      <c r="AX1307" s="123">
        <f>AP1307/AJ1307</f>
        <v>0.91044776119402981</v>
      </c>
    </row>
    <row r="1308" spans="27:50" x14ac:dyDescent="0.2">
      <c r="AA1308" s="173" t="s">
        <v>1173</v>
      </c>
      <c r="AB1308" s="95" t="s">
        <v>1015</v>
      </c>
      <c r="AC1308" s="96"/>
      <c r="AD1308" s="43">
        <v>0</v>
      </c>
      <c r="AE1308" s="43">
        <v>12000000</v>
      </c>
      <c r="AF1308" s="216">
        <v>0</v>
      </c>
      <c r="AG1308" s="216">
        <v>0</v>
      </c>
      <c r="AH1308" s="216">
        <v>0</v>
      </c>
      <c r="AI1308" s="136">
        <f t="shared" si="509"/>
        <v>12000000</v>
      </c>
      <c r="AJ1308" s="43">
        <f t="shared" si="510"/>
        <v>12000000</v>
      </c>
      <c r="AK1308" s="97">
        <v>0</v>
      </c>
      <c r="AL1308" s="115">
        <v>0</v>
      </c>
      <c r="AM1308" s="115">
        <v>0</v>
      </c>
      <c r="AN1308" s="97">
        <v>0</v>
      </c>
      <c r="AO1308" s="115">
        <v>0</v>
      </c>
      <c r="AP1308" s="44">
        <v>0</v>
      </c>
      <c r="AQ1308" s="44">
        <v>0</v>
      </c>
      <c r="AR1308" s="44">
        <v>0</v>
      </c>
      <c r="AS1308" s="44">
        <v>0</v>
      </c>
      <c r="AT1308" s="40">
        <f t="shared" si="511"/>
        <v>0</v>
      </c>
      <c r="AU1308" s="18">
        <f>AJ1308-AM1308</f>
        <v>12000000</v>
      </c>
      <c r="AV1308" s="34">
        <f>AM1308-AP1308</f>
        <v>0</v>
      </c>
      <c r="AW1308" s="34">
        <f>AP1308-AT1308</f>
        <v>0</v>
      </c>
      <c r="AX1308" s="123">
        <f>AP1308/AJ1308</f>
        <v>0</v>
      </c>
    </row>
    <row r="1309" spans="27:50" x14ac:dyDescent="0.2">
      <c r="AA1309" s="94"/>
      <c r="AB1309" s="95"/>
      <c r="AC1309" s="96"/>
      <c r="AD1309" s="43"/>
      <c r="AE1309" s="97"/>
      <c r="AF1309" s="97"/>
      <c r="AG1309" s="96"/>
      <c r="AH1309" s="43"/>
      <c r="AI1309" s="136"/>
      <c r="AJ1309" s="43"/>
      <c r="AK1309" s="97"/>
      <c r="AL1309" s="97"/>
      <c r="AM1309" s="97"/>
      <c r="AN1309" s="97"/>
      <c r="AO1309" s="97"/>
      <c r="AP1309" s="97"/>
      <c r="AQ1309" s="97"/>
      <c r="AR1309" s="97"/>
      <c r="AS1309" s="97"/>
      <c r="AT1309" s="135"/>
      <c r="AU1309" s="110"/>
      <c r="AV1309" s="133"/>
      <c r="AW1309" s="133"/>
      <c r="AX1309" s="123"/>
    </row>
    <row r="1310" spans="27:50" ht="38.25" x14ac:dyDescent="0.2">
      <c r="AA1310" s="93" t="s">
        <v>288</v>
      </c>
      <c r="AB1310" s="90" t="s">
        <v>807</v>
      </c>
      <c r="AC1310" s="91"/>
      <c r="AD1310" s="18"/>
      <c r="AE1310" s="92"/>
      <c r="AF1310" s="92"/>
      <c r="AG1310" s="92"/>
      <c r="AH1310" s="92"/>
      <c r="AI1310" s="92"/>
      <c r="AJ1310" s="18"/>
      <c r="AK1310" s="98"/>
      <c r="AL1310" s="98"/>
      <c r="AM1310" s="98"/>
      <c r="AN1310" s="98"/>
      <c r="AO1310" s="98"/>
      <c r="AP1310" s="98"/>
      <c r="AQ1310" s="98"/>
      <c r="AR1310" s="98"/>
      <c r="AS1310" s="98"/>
      <c r="AT1310" s="31"/>
      <c r="AU1310" s="18"/>
      <c r="AV1310" s="18"/>
      <c r="AW1310" s="18"/>
      <c r="AX1310" s="92"/>
    </row>
    <row r="1311" spans="27:50" x14ac:dyDescent="0.2">
      <c r="AA1311" s="94" t="s">
        <v>808</v>
      </c>
      <c r="AB1311" s="95" t="s">
        <v>233</v>
      </c>
      <c r="AC1311" s="96" t="s">
        <v>58</v>
      </c>
      <c r="AD1311" s="43">
        <v>313050000.81</v>
      </c>
      <c r="AE1311" s="96">
        <v>0</v>
      </c>
      <c r="AF1311" s="216">
        <v>0</v>
      </c>
      <c r="AG1311" s="216">
        <v>0</v>
      </c>
      <c r="AH1311" s="43">
        <v>136150000</v>
      </c>
      <c r="AI1311" s="136">
        <f t="shared" ref="AI1311:AI1316" si="512">AE1311-AF1311+AG1311-AH1311</f>
        <v>-136150000</v>
      </c>
      <c r="AJ1311" s="43">
        <f t="shared" ref="AJ1311:AJ1316" si="513">AD1311+AI1311</f>
        <v>176900000.81</v>
      </c>
      <c r="AK1311" s="97">
        <v>0</v>
      </c>
      <c r="AL1311" s="115">
        <v>0</v>
      </c>
      <c r="AM1311" s="114">
        <v>175300000</v>
      </c>
      <c r="AN1311" s="97">
        <v>0</v>
      </c>
      <c r="AO1311" s="114">
        <v>0</v>
      </c>
      <c r="AP1311" s="43">
        <v>175300000</v>
      </c>
      <c r="AQ1311" s="44">
        <v>0</v>
      </c>
      <c r="AR1311" s="43">
        <v>22700000</v>
      </c>
      <c r="AS1311" s="43">
        <v>95803333</v>
      </c>
      <c r="AT1311" s="39">
        <f t="shared" ref="AT1311:AT1316" si="514">AQ1311+AS1311</f>
        <v>95803333</v>
      </c>
      <c r="AU1311" s="110">
        <f t="shared" ref="AU1311:AU1316" si="515">AJ1311-AM1311</f>
        <v>1600000.8100000024</v>
      </c>
      <c r="AV1311" s="34">
        <f t="shared" ref="AV1311:AV1316" si="516">AM1311-AP1311</f>
        <v>0</v>
      </c>
      <c r="AW1311" s="18">
        <f t="shared" ref="AW1311:AW1316" si="517">AP1311-AT1311</f>
        <v>79496667</v>
      </c>
      <c r="AX1311" s="123">
        <f t="shared" ref="AX1311:AX1316" si="518">AP1311/AJ1311</f>
        <v>0.99095533746368669</v>
      </c>
    </row>
    <row r="1312" spans="27:50" x14ac:dyDescent="0.2">
      <c r="AA1312" s="94" t="s">
        <v>809</v>
      </c>
      <c r="AB1312" s="95" t="s">
        <v>793</v>
      </c>
      <c r="AC1312" s="96" t="s">
        <v>794</v>
      </c>
      <c r="AD1312" s="43">
        <v>256800000</v>
      </c>
      <c r="AE1312" s="96">
        <v>0</v>
      </c>
      <c r="AF1312" s="216">
        <v>0</v>
      </c>
      <c r="AG1312" s="216">
        <v>0</v>
      </c>
      <c r="AH1312" s="216">
        <v>0</v>
      </c>
      <c r="AI1312" s="136">
        <f t="shared" si="512"/>
        <v>0</v>
      </c>
      <c r="AJ1312" s="43">
        <f t="shared" si="513"/>
        <v>256800000</v>
      </c>
      <c r="AK1312" s="97">
        <v>0</v>
      </c>
      <c r="AL1312" s="115">
        <v>0</v>
      </c>
      <c r="AM1312" s="114">
        <v>256800000</v>
      </c>
      <c r="AN1312" s="97">
        <v>0</v>
      </c>
      <c r="AO1312" s="115">
        <v>0</v>
      </c>
      <c r="AP1312" s="43">
        <v>256800000</v>
      </c>
      <c r="AQ1312" s="44">
        <v>0</v>
      </c>
      <c r="AR1312" s="43">
        <v>23866666</v>
      </c>
      <c r="AS1312" s="43">
        <v>47956665.329999998</v>
      </c>
      <c r="AT1312" s="39">
        <f t="shared" si="514"/>
        <v>47956665.329999998</v>
      </c>
      <c r="AU1312" s="133">
        <f t="shared" si="515"/>
        <v>0</v>
      </c>
      <c r="AV1312" s="34">
        <f t="shared" si="516"/>
        <v>0</v>
      </c>
      <c r="AW1312" s="18">
        <f t="shared" si="517"/>
        <v>208843334.67000002</v>
      </c>
      <c r="AX1312" s="123">
        <f t="shared" si="518"/>
        <v>1</v>
      </c>
    </row>
    <row r="1313" spans="27:50" x14ac:dyDescent="0.2">
      <c r="AA1313" s="94" t="s">
        <v>810</v>
      </c>
      <c r="AB1313" s="95" t="s">
        <v>811</v>
      </c>
      <c r="AC1313" s="96" t="s">
        <v>368</v>
      </c>
      <c r="AD1313" s="43">
        <v>90000000</v>
      </c>
      <c r="AE1313" s="96">
        <v>0</v>
      </c>
      <c r="AF1313" s="216">
        <v>0</v>
      </c>
      <c r="AG1313" s="216">
        <v>0</v>
      </c>
      <c r="AH1313" s="216">
        <v>0</v>
      </c>
      <c r="AI1313" s="136">
        <f t="shared" si="512"/>
        <v>0</v>
      </c>
      <c r="AJ1313" s="43">
        <f t="shared" si="513"/>
        <v>90000000</v>
      </c>
      <c r="AK1313" s="97">
        <v>0</v>
      </c>
      <c r="AL1313" s="115">
        <v>0</v>
      </c>
      <c r="AM1313" s="114">
        <v>86600000</v>
      </c>
      <c r="AN1313" s="97">
        <v>0</v>
      </c>
      <c r="AO1313" s="115">
        <v>0</v>
      </c>
      <c r="AP1313" s="43">
        <v>86600000</v>
      </c>
      <c r="AQ1313" s="44">
        <v>0</v>
      </c>
      <c r="AR1313" s="43">
        <v>9700000</v>
      </c>
      <c r="AS1313" s="43">
        <v>44183333</v>
      </c>
      <c r="AT1313" s="39">
        <f t="shared" si="514"/>
        <v>44183333</v>
      </c>
      <c r="AU1313" s="18">
        <f t="shared" si="515"/>
        <v>3400000</v>
      </c>
      <c r="AV1313" s="34">
        <f t="shared" si="516"/>
        <v>0</v>
      </c>
      <c r="AW1313" s="18">
        <f t="shared" si="517"/>
        <v>42416667</v>
      </c>
      <c r="AX1313" s="123">
        <f t="shared" si="518"/>
        <v>0.9622222222222222</v>
      </c>
    </row>
    <row r="1314" spans="27:50" x14ac:dyDescent="0.2">
      <c r="AA1314" s="173" t="s">
        <v>1174</v>
      </c>
      <c r="AB1314" s="95" t="s">
        <v>1015</v>
      </c>
      <c r="AC1314" s="96"/>
      <c r="AD1314" s="44">
        <v>0</v>
      </c>
      <c r="AE1314" s="43">
        <v>165050000</v>
      </c>
      <c r="AF1314" s="216">
        <v>0</v>
      </c>
      <c r="AG1314" s="216">
        <v>0</v>
      </c>
      <c r="AH1314" s="216">
        <v>0</v>
      </c>
      <c r="AI1314" s="136">
        <f t="shared" si="512"/>
        <v>165050000</v>
      </c>
      <c r="AJ1314" s="43">
        <f t="shared" si="513"/>
        <v>165050000</v>
      </c>
      <c r="AK1314" s="97">
        <v>0</v>
      </c>
      <c r="AL1314" s="115">
        <v>-2955100</v>
      </c>
      <c r="AM1314" s="114">
        <v>133194900</v>
      </c>
      <c r="AN1314" s="97">
        <v>0</v>
      </c>
      <c r="AO1314" s="115">
        <v>133194900</v>
      </c>
      <c r="AP1314" s="44">
        <v>133194900</v>
      </c>
      <c r="AQ1314" s="44">
        <v>0</v>
      </c>
      <c r="AR1314" s="44">
        <v>0</v>
      </c>
      <c r="AS1314" s="44">
        <v>0</v>
      </c>
      <c r="AT1314" s="40">
        <f t="shared" si="514"/>
        <v>0</v>
      </c>
      <c r="AU1314" s="18">
        <f t="shared" si="515"/>
        <v>31855100</v>
      </c>
      <c r="AV1314" s="18">
        <f t="shared" si="516"/>
        <v>0</v>
      </c>
      <c r="AW1314" s="34">
        <f t="shared" si="517"/>
        <v>133194900</v>
      </c>
      <c r="AX1314" s="123">
        <f t="shared" si="518"/>
        <v>0.80699727355346862</v>
      </c>
    </row>
    <row r="1315" spans="27:50" x14ac:dyDescent="0.2">
      <c r="AA1315" s="173" t="s">
        <v>1166</v>
      </c>
      <c r="AB1315" s="95" t="s">
        <v>1167</v>
      </c>
      <c r="AC1315" s="96"/>
      <c r="AD1315" s="44">
        <v>0</v>
      </c>
      <c r="AE1315" s="43">
        <v>77813000</v>
      </c>
      <c r="AF1315" s="216">
        <v>0</v>
      </c>
      <c r="AG1315" s="216">
        <v>0</v>
      </c>
      <c r="AH1315" s="216">
        <v>0</v>
      </c>
      <c r="AI1315" s="136">
        <f>AE1315-AF1315+AG1315-AH1315</f>
        <v>77813000</v>
      </c>
      <c r="AJ1315" s="43">
        <f>AD1315+AI1315</f>
        <v>77813000</v>
      </c>
      <c r="AK1315" s="97">
        <v>0</v>
      </c>
      <c r="AL1315" s="115">
        <v>0</v>
      </c>
      <c r="AM1315" s="115">
        <v>0</v>
      </c>
      <c r="AN1315" s="97">
        <v>0</v>
      </c>
      <c r="AO1315" s="115">
        <v>0</v>
      </c>
      <c r="AP1315" s="43">
        <v>0</v>
      </c>
      <c r="AQ1315" s="44">
        <v>0</v>
      </c>
      <c r="AR1315" s="44">
        <v>0</v>
      </c>
      <c r="AS1315" s="44">
        <v>0</v>
      </c>
      <c r="AT1315" s="40">
        <f>AQ1315+AS1315</f>
        <v>0</v>
      </c>
      <c r="AU1315" s="18">
        <f>AJ1315-AM1315</f>
        <v>77813000</v>
      </c>
      <c r="AV1315" s="34">
        <f>AM1315-AP1315</f>
        <v>0</v>
      </c>
      <c r="AW1315" s="34">
        <f>AP1315-AT1315</f>
        <v>0</v>
      </c>
      <c r="AX1315" s="123">
        <f>AP1315/AJ1315</f>
        <v>0</v>
      </c>
    </row>
    <row r="1316" spans="27:50" x14ac:dyDescent="0.2">
      <c r="AA1316" s="173" t="s">
        <v>1183</v>
      </c>
      <c r="AB1316" s="95" t="s">
        <v>1184</v>
      </c>
      <c r="AC1316" s="96"/>
      <c r="AD1316" s="44">
        <v>0</v>
      </c>
      <c r="AE1316" s="43">
        <v>43150983.530000001</v>
      </c>
      <c r="AF1316" s="216">
        <v>0</v>
      </c>
      <c r="AG1316" s="216">
        <v>0</v>
      </c>
      <c r="AH1316" s="216">
        <v>0</v>
      </c>
      <c r="AI1316" s="136">
        <f t="shared" si="512"/>
        <v>43150983.530000001</v>
      </c>
      <c r="AJ1316" s="43">
        <f t="shared" si="513"/>
        <v>43150983.530000001</v>
      </c>
      <c r="AK1316" s="97">
        <v>0</v>
      </c>
      <c r="AL1316" s="115">
        <v>0</v>
      </c>
      <c r="AM1316" s="115">
        <v>0</v>
      </c>
      <c r="AN1316" s="97">
        <v>0</v>
      </c>
      <c r="AO1316" s="115">
        <v>0</v>
      </c>
      <c r="AP1316" s="44">
        <v>0</v>
      </c>
      <c r="AQ1316" s="44">
        <v>0</v>
      </c>
      <c r="AR1316" s="44">
        <v>0</v>
      </c>
      <c r="AS1316" s="44">
        <v>0</v>
      </c>
      <c r="AT1316" s="40">
        <f t="shared" si="514"/>
        <v>0</v>
      </c>
      <c r="AU1316" s="18">
        <f t="shared" si="515"/>
        <v>43150983.530000001</v>
      </c>
      <c r="AV1316" s="34">
        <f t="shared" si="516"/>
        <v>0</v>
      </c>
      <c r="AW1316" s="34">
        <f t="shared" si="517"/>
        <v>0</v>
      </c>
      <c r="AX1316" s="123">
        <f t="shared" si="518"/>
        <v>0</v>
      </c>
    </row>
    <row r="1317" spans="27:50" x14ac:dyDescent="0.2">
      <c r="AA1317" s="89"/>
      <c r="AB1317" s="91"/>
      <c r="AC1317" s="91"/>
      <c r="AD1317" s="18"/>
      <c r="AE1317" s="92"/>
      <c r="AF1317" s="92"/>
      <c r="AG1317" s="92"/>
      <c r="AH1317" s="92"/>
      <c r="AI1317" s="92"/>
      <c r="AJ1317" s="18"/>
      <c r="AK1317" s="98"/>
      <c r="AL1317" s="98"/>
      <c r="AM1317" s="98"/>
      <c r="AN1317" s="98"/>
      <c r="AO1317" s="98"/>
      <c r="AP1317" s="98"/>
      <c r="AQ1317" s="98"/>
      <c r="AR1317" s="98"/>
      <c r="AS1317" s="92"/>
      <c r="AT1317" s="30"/>
      <c r="AU1317" s="18"/>
      <c r="AV1317" s="18"/>
      <c r="AW1317" s="18"/>
      <c r="AX1317" s="92"/>
    </row>
    <row r="1318" spans="27:50" ht="25.5" x14ac:dyDescent="0.2">
      <c r="AA1318" s="93" t="s">
        <v>288</v>
      </c>
      <c r="AB1318" s="90" t="s">
        <v>812</v>
      </c>
      <c r="AC1318" s="91"/>
      <c r="AD1318" s="18"/>
      <c r="AE1318" s="92"/>
      <c r="AF1318" s="92"/>
      <c r="AG1318" s="92"/>
      <c r="AH1318" s="92"/>
      <c r="AI1318" s="92"/>
      <c r="AJ1318" s="18"/>
      <c r="AK1318" s="98"/>
      <c r="AL1318" s="98"/>
      <c r="AM1318" s="98"/>
      <c r="AN1318" s="98"/>
      <c r="AO1318" s="98"/>
      <c r="AP1318" s="98"/>
      <c r="AQ1318" s="98"/>
      <c r="AR1318" s="98"/>
      <c r="AS1318" s="98"/>
      <c r="AT1318" s="31"/>
      <c r="AU1318" s="18"/>
      <c r="AV1318" s="34"/>
      <c r="AW1318" s="18"/>
      <c r="AX1318" s="92"/>
    </row>
    <row r="1319" spans="27:50" x14ac:dyDescent="0.2">
      <c r="AA1319" s="94" t="s">
        <v>813</v>
      </c>
      <c r="AB1319" s="95" t="s">
        <v>793</v>
      </c>
      <c r="AC1319" s="96" t="s">
        <v>794</v>
      </c>
      <c r="AD1319" s="43">
        <v>57600000</v>
      </c>
      <c r="AE1319" s="96">
        <v>0</v>
      </c>
      <c r="AF1319" s="216">
        <v>0</v>
      </c>
      <c r="AG1319" s="216">
        <v>0</v>
      </c>
      <c r="AH1319" s="216">
        <v>0</v>
      </c>
      <c r="AI1319" s="136">
        <f t="shared" ref="AI1319:AI1320" si="519">AE1319-AF1319+AG1319-AH1319</f>
        <v>0</v>
      </c>
      <c r="AJ1319" s="43">
        <f t="shared" ref="AJ1319:AJ1320" si="520">AD1319+AI1319</f>
        <v>57600000</v>
      </c>
      <c r="AK1319" s="44">
        <v>0</v>
      </c>
      <c r="AL1319" s="44">
        <v>0</v>
      </c>
      <c r="AM1319" s="43">
        <v>49750000</v>
      </c>
      <c r="AN1319" s="44">
        <v>0</v>
      </c>
      <c r="AO1319" s="44">
        <v>0</v>
      </c>
      <c r="AP1319" s="43">
        <v>49750000</v>
      </c>
      <c r="AQ1319" s="43">
        <v>0</v>
      </c>
      <c r="AR1319" s="43">
        <v>7800000</v>
      </c>
      <c r="AS1319" s="43">
        <v>20713333</v>
      </c>
      <c r="AT1319" s="39">
        <f>AQ1319+AS1319</f>
        <v>20713333</v>
      </c>
      <c r="AU1319" s="110">
        <f>AJ1319-AM1319</f>
        <v>7850000</v>
      </c>
      <c r="AV1319" s="34">
        <f>AM1319-AP1319</f>
        <v>0</v>
      </c>
      <c r="AW1319" s="18">
        <f>AP1319-AT1319</f>
        <v>29036667</v>
      </c>
      <c r="AX1319" s="123">
        <f>AP1319/AJ1319</f>
        <v>0.86371527777777779</v>
      </c>
    </row>
    <row r="1320" spans="27:50" x14ac:dyDescent="0.2">
      <c r="AA1320" s="173" t="s">
        <v>1175</v>
      </c>
      <c r="AB1320" s="95" t="s">
        <v>1015</v>
      </c>
      <c r="AC1320" s="96"/>
      <c r="AD1320" s="44">
        <v>0</v>
      </c>
      <c r="AE1320" s="43">
        <v>6400000</v>
      </c>
      <c r="AF1320" s="216">
        <v>0</v>
      </c>
      <c r="AG1320" s="216">
        <v>0</v>
      </c>
      <c r="AH1320" s="216">
        <v>0</v>
      </c>
      <c r="AI1320" s="136">
        <f t="shared" si="519"/>
        <v>6400000</v>
      </c>
      <c r="AJ1320" s="43">
        <f t="shared" si="520"/>
        <v>6400000</v>
      </c>
      <c r="AK1320" s="44">
        <v>0</v>
      </c>
      <c r="AL1320" s="44">
        <v>0</v>
      </c>
      <c r="AM1320" s="43">
        <v>0</v>
      </c>
      <c r="AN1320" s="44">
        <v>0</v>
      </c>
      <c r="AO1320" s="44">
        <v>0</v>
      </c>
      <c r="AP1320" s="44">
        <v>0</v>
      </c>
      <c r="AQ1320" s="44">
        <v>0</v>
      </c>
      <c r="AR1320" s="44">
        <v>0</v>
      </c>
      <c r="AS1320" s="44">
        <v>0</v>
      </c>
      <c r="AT1320" s="135">
        <f>AQ1320+AS1320</f>
        <v>0</v>
      </c>
      <c r="AU1320" s="110">
        <f>AJ1320-AM1320</f>
        <v>6400000</v>
      </c>
      <c r="AV1320" s="34">
        <f>AM1320-AP1320</f>
        <v>0</v>
      </c>
      <c r="AW1320" s="34">
        <f>AP1320-AT1320</f>
        <v>0</v>
      </c>
      <c r="AX1320" s="123">
        <f>AP1320/AJ1320</f>
        <v>0</v>
      </c>
    </row>
    <row r="1321" spans="27:50" x14ac:dyDescent="0.2">
      <c r="AA1321" s="89"/>
      <c r="AB1321" s="91"/>
      <c r="AC1321" s="91"/>
      <c r="AD1321" s="18"/>
      <c r="AE1321" s="92"/>
      <c r="AF1321" s="92"/>
      <c r="AG1321" s="92"/>
      <c r="AH1321" s="92"/>
      <c r="AI1321" s="92"/>
      <c r="AJ1321" s="18"/>
      <c r="AK1321" s="98"/>
      <c r="AL1321" s="98"/>
      <c r="AM1321" s="98"/>
      <c r="AN1321" s="98"/>
      <c r="AO1321" s="98"/>
      <c r="AP1321" s="98"/>
      <c r="AQ1321" s="98"/>
      <c r="AR1321" s="98"/>
      <c r="AS1321" s="92"/>
      <c r="AT1321" s="30"/>
      <c r="AU1321" s="18"/>
      <c r="AV1321" s="18"/>
      <c r="AW1321" s="18"/>
      <c r="AX1321" s="92"/>
    </row>
    <row r="1322" spans="27:50" ht="25.5" x14ac:dyDescent="0.2">
      <c r="AA1322" s="93" t="s">
        <v>288</v>
      </c>
      <c r="AB1322" s="90" t="s">
        <v>814</v>
      </c>
      <c r="AC1322" s="91"/>
      <c r="AD1322" s="18"/>
      <c r="AE1322" s="92"/>
      <c r="AF1322" s="92"/>
      <c r="AG1322" s="92"/>
      <c r="AH1322" s="92"/>
      <c r="AI1322" s="92"/>
      <c r="AJ1322" s="18"/>
      <c r="AK1322" s="92"/>
      <c r="AL1322" s="92"/>
      <c r="AM1322" s="92"/>
      <c r="AN1322" s="92"/>
      <c r="AO1322" s="98"/>
      <c r="AP1322" s="98"/>
      <c r="AQ1322" s="98"/>
      <c r="AR1322" s="98"/>
      <c r="AS1322" s="98"/>
      <c r="AT1322" s="40"/>
      <c r="AU1322" s="18"/>
      <c r="AV1322" s="34"/>
      <c r="AW1322" s="18"/>
      <c r="AX1322" s="92"/>
    </row>
    <row r="1323" spans="27:50" x14ac:dyDescent="0.2">
      <c r="AA1323" s="94" t="s">
        <v>815</v>
      </c>
      <c r="AB1323" s="95" t="s">
        <v>793</v>
      </c>
      <c r="AC1323" s="96" t="s">
        <v>794</v>
      </c>
      <c r="AD1323" s="43">
        <v>414513482</v>
      </c>
      <c r="AE1323" s="96">
        <v>0</v>
      </c>
      <c r="AF1323" s="216">
        <v>0</v>
      </c>
      <c r="AG1323" s="216">
        <v>0</v>
      </c>
      <c r="AH1323" s="216">
        <v>0</v>
      </c>
      <c r="AI1323" s="136">
        <f t="shared" ref="AI1323:AI1326" si="521">AE1323-AF1323+AG1323-AH1323</f>
        <v>0</v>
      </c>
      <c r="AJ1323" s="43">
        <f t="shared" ref="AJ1323:AJ1326" si="522">AD1323+AI1323</f>
        <v>414513482</v>
      </c>
      <c r="AK1323" s="97">
        <v>0</v>
      </c>
      <c r="AL1323" s="18">
        <v>0</v>
      </c>
      <c r="AM1323" s="18">
        <v>406513482</v>
      </c>
      <c r="AN1323" s="92">
        <v>0</v>
      </c>
      <c r="AO1323" s="133">
        <v>0</v>
      </c>
      <c r="AP1323" s="110">
        <v>406513482</v>
      </c>
      <c r="AQ1323" s="43">
        <v>0</v>
      </c>
      <c r="AR1323" s="43">
        <v>52154661</v>
      </c>
      <c r="AS1323" s="43">
        <v>160231327</v>
      </c>
      <c r="AT1323" s="39">
        <f t="shared" ref="AT1323:AT1326" si="523">AQ1323+AS1323</f>
        <v>160231327</v>
      </c>
      <c r="AU1323" s="110">
        <f>AJ1323-AM1323</f>
        <v>8000000</v>
      </c>
      <c r="AV1323" s="34">
        <f>AM1323-AP1323</f>
        <v>0</v>
      </c>
      <c r="AW1323" s="18">
        <f>AP1323-AT1323</f>
        <v>246282155</v>
      </c>
      <c r="AX1323" s="123">
        <f>AP1323/AJ1323</f>
        <v>0.98070026586011017</v>
      </c>
    </row>
    <row r="1324" spans="27:50" x14ac:dyDescent="0.2">
      <c r="AA1324" s="173" t="s">
        <v>1176</v>
      </c>
      <c r="AB1324" s="95" t="s">
        <v>1015</v>
      </c>
      <c r="AC1324" s="96"/>
      <c r="AD1324" s="44">
        <v>0</v>
      </c>
      <c r="AE1324" s="43">
        <v>44300000</v>
      </c>
      <c r="AF1324" s="216">
        <v>0</v>
      </c>
      <c r="AG1324" s="216">
        <v>0</v>
      </c>
      <c r="AH1324" s="216">
        <v>0</v>
      </c>
      <c r="AI1324" s="136">
        <f>AE1324-AF1324+AG1324-AH1324</f>
        <v>44300000</v>
      </c>
      <c r="AJ1324" s="43">
        <f>AD1324+AI1324</f>
        <v>44300000</v>
      </c>
      <c r="AK1324" s="97">
        <v>0</v>
      </c>
      <c r="AL1324" s="34">
        <v>0</v>
      </c>
      <c r="AM1324" s="34">
        <v>0</v>
      </c>
      <c r="AN1324" s="98">
        <v>0</v>
      </c>
      <c r="AO1324" s="133">
        <v>0</v>
      </c>
      <c r="AP1324" s="133">
        <v>0</v>
      </c>
      <c r="AQ1324" s="44">
        <v>0</v>
      </c>
      <c r="AR1324" s="44">
        <v>0</v>
      </c>
      <c r="AS1324" s="44">
        <v>0</v>
      </c>
      <c r="AT1324" s="40">
        <f t="shared" si="523"/>
        <v>0</v>
      </c>
      <c r="AU1324" s="110">
        <f>AJ1324-AM1324</f>
        <v>44300000</v>
      </c>
      <c r="AV1324" s="34">
        <f>AM1324-AP1324</f>
        <v>0</v>
      </c>
      <c r="AW1324" s="34">
        <f>AP1324-AT1324</f>
        <v>0</v>
      </c>
      <c r="AX1324" s="123">
        <f>AP1324/AJ1324</f>
        <v>0</v>
      </c>
    </row>
    <row r="1325" spans="27:50" x14ac:dyDescent="0.2">
      <c r="AA1325" s="173" t="s">
        <v>1168</v>
      </c>
      <c r="AB1325" s="95" t="s">
        <v>1169</v>
      </c>
      <c r="AC1325" s="96"/>
      <c r="AD1325" s="44">
        <v>0</v>
      </c>
      <c r="AE1325" s="43">
        <v>1272607864.71</v>
      </c>
      <c r="AF1325" s="216">
        <v>0</v>
      </c>
      <c r="AG1325" s="216">
        <v>0</v>
      </c>
      <c r="AH1325" s="216">
        <v>0</v>
      </c>
      <c r="AI1325" s="136">
        <f t="shared" si="521"/>
        <v>1272607864.71</v>
      </c>
      <c r="AJ1325" s="43">
        <f t="shared" si="522"/>
        <v>1272607864.71</v>
      </c>
      <c r="AK1325" s="97">
        <v>0</v>
      </c>
      <c r="AL1325" s="34">
        <v>0</v>
      </c>
      <c r="AM1325" s="34">
        <v>0</v>
      </c>
      <c r="AN1325" s="98">
        <v>0</v>
      </c>
      <c r="AO1325" s="133">
        <v>0</v>
      </c>
      <c r="AP1325" s="133">
        <v>0</v>
      </c>
      <c r="AQ1325" s="44">
        <v>0</v>
      </c>
      <c r="AR1325" s="44">
        <v>0</v>
      </c>
      <c r="AS1325" s="44">
        <v>0</v>
      </c>
      <c r="AT1325" s="40">
        <f t="shared" si="523"/>
        <v>0</v>
      </c>
      <c r="AU1325" s="110">
        <f>AJ1325-AM1325</f>
        <v>1272607864.71</v>
      </c>
      <c r="AV1325" s="34">
        <f>AM1325-AP1325</f>
        <v>0</v>
      </c>
      <c r="AW1325" s="34">
        <f>AP1325-AT1325</f>
        <v>0</v>
      </c>
      <c r="AX1325" s="123">
        <f>AP1325/AJ1325</f>
        <v>0</v>
      </c>
    </row>
    <row r="1326" spans="27:50" x14ac:dyDescent="0.2">
      <c r="AA1326" s="173" t="s">
        <v>1182</v>
      </c>
      <c r="AB1326" s="95" t="s">
        <v>1181</v>
      </c>
      <c r="AC1326" s="96"/>
      <c r="AD1326" s="44">
        <v>0</v>
      </c>
      <c r="AE1326" s="43">
        <v>17636386</v>
      </c>
      <c r="AF1326" s="216">
        <v>0</v>
      </c>
      <c r="AG1326" s="216">
        <v>0</v>
      </c>
      <c r="AH1326" s="216">
        <v>0</v>
      </c>
      <c r="AI1326" s="136">
        <f t="shared" si="521"/>
        <v>17636386</v>
      </c>
      <c r="AJ1326" s="43">
        <f t="shared" si="522"/>
        <v>17636386</v>
      </c>
      <c r="AK1326" s="97">
        <v>0</v>
      </c>
      <c r="AL1326" s="34">
        <v>0</v>
      </c>
      <c r="AM1326" s="34">
        <v>0</v>
      </c>
      <c r="AN1326" s="98">
        <v>0</v>
      </c>
      <c r="AO1326" s="133">
        <v>0</v>
      </c>
      <c r="AP1326" s="133">
        <v>0</v>
      </c>
      <c r="AQ1326" s="44">
        <v>0</v>
      </c>
      <c r="AR1326" s="44">
        <v>0</v>
      </c>
      <c r="AS1326" s="44">
        <v>0</v>
      </c>
      <c r="AT1326" s="40">
        <f t="shared" si="523"/>
        <v>0</v>
      </c>
      <c r="AU1326" s="110">
        <f>AJ1326-AM1326</f>
        <v>17636386</v>
      </c>
      <c r="AV1326" s="34">
        <f>AM1326-AP1326</f>
        <v>0</v>
      </c>
      <c r="AW1326" s="34">
        <f>AP1326-AT1326</f>
        <v>0</v>
      </c>
      <c r="AX1326" s="123">
        <f>AP1326/AJ1326</f>
        <v>0</v>
      </c>
    </row>
    <row r="1327" spans="27:50" x14ac:dyDescent="0.2">
      <c r="AA1327" s="89"/>
      <c r="AB1327" s="91"/>
      <c r="AC1327" s="91"/>
      <c r="AD1327" s="18"/>
      <c r="AE1327" s="92"/>
      <c r="AF1327" s="92"/>
      <c r="AG1327" s="92"/>
      <c r="AH1327" s="92"/>
      <c r="AI1327" s="92"/>
      <c r="AJ1327" s="18"/>
      <c r="AK1327" s="98"/>
      <c r="AL1327" s="98"/>
      <c r="AM1327" s="98"/>
      <c r="AN1327" s="98"/>
      <c r="AO1327" s="98"/>
      <c r="AP1327" s="98"/>
      <c r="AQ1327" s="98"/>
      <c r="AR1327" s="98"/>
      <c r="AS1327" s="92"/>
      <c r="AT1327" s="30"/>
      <c r="AU1327" s="18"/>
      <c r="AV1327" s="18"/>
      <c r="AW1327" s="18"/>
      <c r="AX1327" s="92"/>
    </row>
    <row r="1328" spans="27:50" ht="25.5" x14ac:dyDescent="0.2">
      <c r="AA1328" s="93" t="s">
        <v>288</v>
      </c>
      <c r="AB1328" s="90" t="s">
        <v>816</v>
      </c>
      <c r="AC1328" s="91"/>
      <c r="AD1328" s="18"/>
      <c r="AE1328" s="92"/>
      <c r="AF1328" s="92"/>
      <c r="AG1328" s="92"/>
      <c r="AH1328" s="92"/>
      <c r="AI1328" s="92"/>
      <c r="AJ1328" s="18"/>
      <c r="AK1328" s="98"/>
      <c r="AL1328" s="98"/>
      <c r="AM1328" s="92"/>
      <c r="AN1328" s="92"/>
      <c r="AO1328" s="98"/>
      <c r="AP1328" s="92"/>
      <c r="AQ1328" s="92"/>
      <c r="AR1328" s="92"/>
      <c r="AS1328" s="92"/>
      <c r="AT1328" s="40"/>
      <c r="AU1328" s="18"/>
      <c r="AV1328" s="34"/>
      <c r="AW1328" s="18"/>
      <c r="AX1328" s="92"/>
    </row>
    <row r="1329" spans="27:50" x14ac:dyDescent="0.2">
      <c r="AA1329" s="94" t="s">
        <v>817</v>
      </c>
      <c r="AB1329" s="95" t="s">
        <v>793</v>
      </c>
      <c r="AC1329" s="96" t="s">
        <v>794</v>
      </c>
      <c r="AD1329" s="43">
        <v>76500000</v>
      </c>
      <c r="AE1329" s="96">
        <v>0</v>
      </c>
      <c r="AF1329" s="216">
        <v>0</v>
      </c>
      <c r="AG1329" s="216">
        <v>0</v>
      </c>
      <c r="AH1329" s="216">
        <v>0</v>
      </c>
      <c r="AI1329" s="136">
        <f t="shared" ref="AI1329:AI1332" si="524">AE1329-AF1329+AG1329-AH1329</f>
        <v>0</v>
      </c>
      <c r="AJ1329" s="43">
        <f t="shared" ref="AJ1329:AJ1332" si="525">AD1329+AI1329</f>
        <v>76500000</v>
      </c>
      <c r="AK1329" s="97">
        <v>0</v>
      </c>
      <c r="AL1329" s="133">
        <v>0</v>
      </c>
      <c r="AM1329" s="18">
        <v>76500000</v>
      </c>
      <c r="AN1329" s="34">
        <v>0</v>
      </c>
      <c r="AO1329" s="34">
        <v>0</v>
      </c>
      <c r="AP1329" s="18">
        <v>76500000</v>
      </c>
      <c r="AQ1329" s="43">
        <v>0</v>
      </c>
      <c r="AR1329" s="114">
        <v>8500000</v>
      </c>
      <c r="AS1329" s="114">
        <v>51630000</v>
      </c>
      <c r="AT1329" s="111">
        <f t="shared" ref="AT1329:AT1332" si="526">AQ1329+AS1329</f>
        <v>51630000</v>
      </c>
      <c r="AU1329" s="133">
        <f>AJ1329-AM1329</f>
        <v>0</v>
      </c>
      <c r="AV1329" s="34">
        <f>AM1329-AP1329</f>
        <v>0</v>
      </c>
      <c r="AW1329" s="18">
        <f>AP1329-AT1329</f>
        <v>24870000</v>
      </c>
      <c r="AX1329" s="123">
        <f>AP1329/AJ1329</f>
        <v>1</v>
      </c>
    </row>
    <row r="1330" spans="27:50" x14ac:dyDescent="0.2">
      <c r="AA1330" s="173" t="s">
        <v>1170</v>
      </c>
      <c r="AB1330" s="95" t="s">
        <v>1169</v>
      </c>
      <c r="AC1330" s="96"/>
      <c r="AD1330" s="44">
        <v>0</v>
      </c>
      <c r="AE1330" s="43">
        <v>221250000</v>
      </c>
      <c r="AF1330" s="216">
        <v>0</v>
      </c>
      <c r="AG1330" s="216">
        <v>0</v>
      </c>
      <c r="AH1330" s="216">
        <v>0</v>
      </c>
      <c r="AI1330" s="136">
        <f t="shared" si="524"/>
        <v>221250000</v>
      </c>
      <c r="AJ1330" s="43">
        <f t="shared" si="525"/>
        <v>221250000</v>
      </c>
      <c r="AK1330" s="97">
        <v>0</v>
      </c>
      <c r="AL1330" s="133">
        <v>0</v>
      </c>
      <c r="AM1330" s="34">
        <v>0</v>
      </c>
      <c r="AN1330" s="34">
        <v>0</v>
      </c>
      <c r="AO1330" s="34">
        <v>0</v>
      </c>
      <c r="AP1330" s="34">
        <v>0</v>
      </c>
      <c r="AQ1330" s="97">
        <v>0</v>
      </c>
      <c r="AR1330" s="115">
        <v>0</v>
      </c>
      <c r="AS1330" s="115">
        <v>0</v>
      </c>
      <c r="AT1330" s="135">
        <f t="shared" si="526"/>
        <v>0</v>
      </c>
      <c r="AU1330" s="18">
        <f>AJ1330-AM1330</f>
        <v>221250000</v>
      </c>
      <c r="AV1330" s="34">
        <f>AM1330-AP1330</f>
        <v>0</v>
      </c>
      <c r="AW1330" s="34">
        <f>AP1330-AT1330</f>
        <v>0</v>
      </c>
      <c r="AX1330" s="123">
        <f>AP1330/AJ1330</f>
        <v>0</v>
      </c>
    </row>
    <row r="1331" spans="27:50" x14ac:dyDescent="0.2">
      <c r="AA1331" s="173" t="s">
        <v>1192</v>
      </c>
      <c r="AB1331" s="95" t="s">
        <v>1193</v>
      </c>
      <c r="AC1331" s="96"/>
      <c r="AD1331" s="44">
        <v>0</v>
      </c>
      <c r="AE1331" s="43">
        <v>97859303.769999996</v>
      </c>
      <c r="AF1331" s="216">
        <v>0</v>
      </c>
      <c r="AG1331" s="216">
        <v>0</v>
      </c>
      <c r="AH1331" s="216">
        <v>0</v>
      </c>
      <c r="AI1331" s="136">
        <f>AE1331-AF1331+AG1331-AH1331</f>
        <v>97859303.769999996</v>
      </c>
      <c r="AJ1331" s="43">
        <f>AD1331+AI1331</f>
        <v>97859303.769999996</v>
      </c>
      <c r="AK1331" s="97">
        <v>0</v>
      </c>
      <c r="AL1331" s="133">
        <v>0</v>
      </c>
      <c r="AM1331" s="34">
        <v>0</v>
      </c>
      <c r="AN1331" s="34">
        <v>0</v>
      </c>
      <c r="AO1331" s="34">
        <v>0</v>
      </c>
      <c r="AP1331" s="34">
        <v>0</v>
      </c>
      <c r="AQ1331" s="97">
        <v>0</v>
      </c>
      <c r="AR1331" s="115">
        <v>0</v>
      </c>
      <c r="AS1331" s="115">
        <v>0</v>
      </c>
      <c r="AT1331" s="135">
        <f t="shared" si="526"/>
        <v>0</v>
      </c>
      <c r="AU1331" s="18">
        <f>AJ1331-AM1331</f>
        <v>97859303.769999996</v>
      </c>
      <c r="AV1331" s="34">
        <f>AM1331-AP1331</f>
        <v>0</v>
      </c>
      <c r="AW1331" s="34">
        <f>AP1331-AT1331</f>
        <v>0</v>
      </c>
      <c r="AX1331" s="123">
        <f>AP1331/AJ1331</f>
        <v>0</v>
      </c>
    </row>
    <row r="1332" spans="27:50" x14ac:dyDescent="0.2">
      <c r="AA1332" s="173" t="s">
        <v>1191</v>
      </c>
      <c r="AB1332" s="95" t="s">
        <v>1181</v>
      </c>
      <c r="AC1332" s="96"/>
      <c r="AD1332" s="44">
        <v>0</v>
      </c>
      <c r="AE1332" s="43">
        <v>52140696.289999999</v>
      </c>
      <c r="AF1332" s="216">
        <v>0</v>
      </c>
      <c r="AG1332" s="216">
        <v>0</v>
      </c>
      <c r="AH1332" s="216">
        <v>0</v>
      </c>
      <c r="AI1332" s="136">
        <f t="shared" si="524"/>
        <v>52140696.289999999</v>
      </c>
      <c r="AJ1332" s="43">
        <f t="shared" si="525"/>
        <v>52140696.289999999</v>
      </c>
      <c r="AK1332" s="97">
        <v>0</v>
      </c>
      <c r="AL1332" s="133">
        <v>0</v>
      </c>
      <c r="AM1332" s="34">
        <v>0</v>
      </c>
      <c r="AN1332" s="34">
        <v>0</v>
      </c>
      <c r="AO1332" s="34">
        <v>0</v>
      </c>
      <c r="AP1332" s="34">
        <v>0</v>
      </c>
      <c r="AQ1332" s="97">
        <v>0</v>
      </c>
      <c r="AR1332" s="115">
        <v>0</v>
      </c>
      <c r="AS1332" s="115">
        <v>0</v>
      </c>
      <c r="AT1332" s="135">
        <f t="shared" si="526"/>
        <v>0</v>
      </c>
      <c r="AU1332" s="18">
        <f>AJ1332-AM1332</f>
        <v>52140696.289999999</v>
      </c>
      <c r="AV1332" s="34">
        <f>AM1332-AP1332</f>
        <v>0</v>
      </c>
      <c r="AW1332" s="34">
        <f>AP1332-AT1332</f>
        <v>0</v>
      </c>
      <c r="AX1332" s="123">
        <f>AP1332/AJ1332</f>
        <v>0</v>
      </c>
    </row>
    <row r="1333" spans="27:50" x14ac:dyDescent="0.2">
      <c r="AA1333" s="89"/>
      <c r="AB1333" s="91"/>
      <c r="AC1333" s="91"/>
      <c r="AD1333" s="18"/>
      <c r="AE1333" s="92"/>
      <c r="AF1333" s="92"/>
      <c r="AG1333" s="92"/>
      <c r="AH1333" s="92"/>
      <c r="AI1333" s="92"/>
      <c r="AJ1333" s="18"/>
      <c r="AK1333" s="98"/>
      <c r="AL1333" s="98"/>
      <c r="AM1333" s="98"/>
      <c r="AN1333" s="98"/>
      <c r="AO1333" s="98"/>
      <c r="AP1333" s="98"/>
      <c r="AQ1333" s="98"/>
      <c r="AR1333" s="98"/>
      <c r="AS1333" s="92"/>
      <c r="AT1333" s="30"/>
      <c r="AU1333" s="18"/>
      <c r="AV1333" s="18"/>
      <c r="AW1333" s="18"/>
      <c r="AX1333" s="92"/>
    </row>
    <row r="1334" spans="27:50" ht="38.25" x14ac:dyDescent="0.2">
      <c r="AA1334" s="93" t="s">
        <v>288</v>
      </c>
      <c r="AB1334" s="90" t="s">
        <v>818</v>
      </c>
      <c r="AC1334" s="91"/>
      <c r="AD1334" s="18"/>
      <c r="AE1334" s="92"/>
      <c r="AF1334" s="92"/>
      <c r="AG1334" s="92"/>
      <c r="AH1334" s="92"/>
      <c r="AI1334" s="92"/>
      <c r="AJ1334" s="18"/>
      <c r="AK1334" s="98"/>
      <c r="AL1334" s="98"/>
      <c r="AM1334" s="92"/>
      <c r="AN1334" s="98"/>
      <c r="AO1334" s="98"/>
      <c r="AP1334" s="92"/>
      <c r="AQ1334" s="92"/>
      <c r="AR1334" s="92"/>
      <c r="AS1334" s="92"/>
      <c r="AT1334" s="40"/>
      <c r="AU1334" s="18"/>
      <c r="AV1334" s="18"/>
      <c r="AW1334" s="18"/>
      <c r="AX1334" s="92"/>
    </row>
    <row r="1335" spans="27:50" x14ac:dyDescent="0.2">
      <c r="AA1335" s="94" t="s">
        <v>819</v>
      </c>
      <c r="AB1335" s="95" t="s">
        <v>793</v>
      </c>
      <c r="AC1335" s="96" t="s">
        <v>794</v>
      </c>
      <c r="AD1335" s="43">
        <v>150000000</v>
      </c>
      <c r="AE1335" s="96">
        <v>0</v>
      </c>
      <c r="AF1335" s="216">
        <v>0</v>
      </c>
      <c r="AG1335" s="216">
        <v>0</v>
      </c>
      <c r="AH1335" s="216">
        <v>0</v>
      </c>
      <c r="AI1335" s="136">
        <f t="shared" ref="AI1335:AI1336" si="527">AE1335-AF1335+AG1335-AH1335</f>
        <v>0</v>
      </c>
      <c r="AJ1335" s="43">
        <f t="shared" ref="AJ1335:AJ1336" si="528">AD1335+AI1335</f>
        <v>150000000</v>
      </c>
      <c r="AK1335" s="44">
        <v>0</v>
      </c>
      <c r="AL1335" s="43">
        <v>0</v>
      </c>
      <c r="AM1335" s="43">
        <v>140800000</v>
      </c>
      <c r="AN1335" s="44">
        <v>0</v>
      </c>
      <c r="AO1335" s="44">
        <v>0</v>
      </c>
      <c r="AP1335" s="43">
        <v>140800000</v>
      </c>
      <c r="AQ1335" s="43">
        <v>0</v>
      </c>
      <c r="AR1335" s="43">
        <v>13250000</v>
      </c>
      <c r="AS1335" s="43">
        <v>34900000</v>
      </c>
      <c r="AT1335" s="39">
        <f t="shared" ref="AT1335:AT1336" si="529">AQ1335+AS1335</f>
        <v>34900000</v>
      </c>
      <c r="AU1335" s="18">
        <f>AJ1335-AM1335</f>
        <v>9200000</v>
      </c>
      <c r="AV1335" s="34">
        <f>AM1335-AP1335</f>
        <v>0</v>
      </c>
      <c r="AW1335" s="18">
        <f>AP1335-AT1335</f>
        <v>105900000</v>
      </c>
      <c r="AX1335" s="123">
        <f>AP1335/AJ1335</f>
        <v>0.93866666666666665</v>
      </c>
    </row>
    <row r="1336" spans="27:50" x14ac:dyDescent="0.2">
      <c r="AA1336" s="173" t="s">
        <v>1177</v>
      </c>
      <c r="AB1336" s="95" t="s">
        <v>1015</v>
      </c>
      <c r="AC1336" s="96"/>
      <c r="AD1336" s="43">
        <v>0</v>
      </c>
      <c r="AE1336" s="43">
        <v>8000000</v>
      </c>
      <c r="AF1336" s="216">
        <v>0</v>
      </c>
      <c r="AG1336" s="216">
        <v>0</v>
      </c>
      <c r="AH1336" s="216">
        <v>0</v>
      </c>
      <c r="AI1336" s="136">
        <f t="shared" si="527"/>
        <v>8000000</v>
      </c>
      <c r="AJ1336" s="43">
        <f t="shared" si="528"/>
        <v>8000000</v>
      </c>
      <c r="AK1336" s="44">
        <v>0</v>
      </c>
      <c r="AL1336" s="44">
        <v>0</v>
      </c>
      <c r="AM1336" s="43">
        <v>0</v>
      </c>
      <c r="AN1336" s="44">
        <v>0</v>
      </c>
      <c r="AO1336" s="44">
        <v>0</v>
      </c>
      <c r="AP1336" s="44">
        <v>0</v>
      </c>
      <c r="AQ1336" s="44">
        <v>0</v>
      </c>
      <c r="AR1336" s="44">
        <v>0</v>
      </c>
      <c r="AS1336" s="44">
        <v>0</v>
      </c>
      <c r="AT1336" s="40">
        <f t="shared" si="529"/>
        <v>0</v>
      </c>
      <c r="AU1336" s="18">
        <f>AJ1336-AM1336</f>
        <v>8000000</v>
      </c>
      <c r="AV1336" s="34">
        <f>AM1336-AP1336</f>
        <v>0</v>
      </c>
      <c r="AW1336" s="34">
        <f>AP1336-AT1336</f>
        <v>0</v>
      </c>
      <c r="AX1336" s="123">
        <f>AP1336/AJ1336</f>
        <v>0</v>
      </c>
    </row>
    <row r="1337" spans="27:50" ht="25.5" x14ac:dyDescent="0.2">
      <c r="AA1337" s="93" t="s">
        <v>288</v>
      </c>
      <c r="AB1337" s="90" t="s">
        <v>820</v>
      </c>
      <c r="AC1337" s="91"/>
      <c r="AD1337" s="18"/>
      <c r="AE1337" s="92"/>
      <c r="AF1337" s="92"/>
      <c r="AG1337" s="92"/>
      <c r="AH1337" s="92"/>
      <c r="AI1337" s="92"/>
      <c r="AJ1337" s="18"/>
      <c r="AK1337" s="34"/>
      <c r="AL1337" s="18"/>
      <c r="AM1337" s="18"/>
      <c r="AN1337" s="34"/>
      <c r="AO1337" s="34"/>
      <c r="AP1337" s="18"/>
      <c r="AQ1337" s="18"/>
      <c r="AR1337" s="18"/>
      <c r="AS1337" s="18"/>
      <c r="AT1337" s="39"/>
      <c r="AU1337" s="18"/>
      <c r="AV1337" s="34"/>
      <c r="AW1337" s="18"/>
      <c r="AX1337" s="92"/>
    </row>
    <row r="1338" spans="27:50" x14ac:dyDescent="0.2">
      <c r="AA1338" s="94" t="s">
        <v>821</v>
      </c>
      <c r="AB1338" s="95" t="s">
        <v>233</v>
      </c>
      <c r="AC1338" s="96" t="s">
        <v>58</v>
      </c>
      <c r="AD1338" s="43">
        <v>144000000</v>
      </c>
      <c r="AE1338" s="96">
        <v>0</v>
      </c>
      <c r="AF1338" s="216">
        <v>0</v>
      </c>
      <c r="AG1338" s="216">
        <v>0</v>
      </c>
      <c r="AH1338" s="216">
        <v>0</v>
      </c>
      <c r="AI1338" s="136">
        <f t="shared" ref="AI1338:AI1340" si="530">AE1338-AF1338+AG1338-AH1338</f>
        <v>0</v>
      </c>
      <c r="AJ1338" s="43">
        <f t="shared" ref="AJ1338:AJ1340" si="531">AD1338+AI1338</f>
        <v>144000000</v>
      </c>
      <c r="AK1338" s="44">
        <v>0</v>
      </c>
      <c r="AL1338" s="44">
        <v>0</v>
      </c>
      <c r="AM1338" s="43">
        <v>144000000</v>
      </c>
      <c r="AN1338" s="44">
        <v>0</v>
      </c>
      <c r="AO1338" s="44">
        <v>0</v>
      </c>
      <c r="AP1338" s="43">
        <v>144000000</v>
      </c>
      <c r="AQ1338" s="43">
        <v>8000000</v>
      </c>
      <c r="AR1338" s="43">
        <v>20000000</v>
      </c>
      <c r="AS1338" s="43">
        <v>80400001</v>
      </c>
      <c r="AT1338" s="39">
        <f t="shared" ref="AT1338:AT1340" si="532">AQ1338+AS1338</f>
        <v>88400001</v>
      </c>
      <c r="AU1338" s="34">
        <f>AJ1338-AM1338</f>
        <v>0</v>
      </c>
      <c r="AV1338" s="34">
        <f>AM1338-AP1338</f>
        <v>0</v>
      </c>
      <c r="AW1338" s="18">
        <f>AP1338-AT1338</f>
        <v>55599999</v>
      </c>
      <c r="AX1338" s="123">
        <f>AP1338/AJ1338</f>
        <v>1</v>
      </c>
    </row>
    <row r="1339" spans="27:50" x14ac:dyDescent="0.2">
      <c r="AA1339" s="94" t="s">
        <v>822</v>
      </c>
      <c r="AB1339" s="95" t="s">
        <v>793</v>
      </c>
      <c r="AC1339" s="96" t="s">
        <v>794</v>
      </c>
      <c r="AD1339" s="43">
        <v>72000000</v>
      </c>
      <c r="AE1339" s="96">
        <v>0</v>
      </c>
      <c r="AF1339" s="216">
        <v>0</v>
      </c>
      <c r="AG1339" s="216">
        <v>0</v>
      </c>
      <c r="AH1339" s="216">
        <v>0</v>
      </c>
      <c r="AI1339" s="136">
        <f t="shared" si="530"/>
        <v>0</v>
      </c>
      <c r="AJ1339" s="43">
        <f t="shared" si="531"/>
        <v>72000000</v>
      </c>
      <c r="AK1339" s="44">
        <v>0</v>
      </c>
      <c r="AL1339" s="44">
        <v>0</v>
      </c>
      <c r="AM1339" s="43">
        <v>68500000</v>
      </c>
      <c r="AN1339" s="44">
        <v>0</v>
      </c>
      <c r="AO1339" s="44">
        <v>0</v>
      </c>
      <c r="AP1339" s="43">
        <v>68500000</v>
      </c>
      <c r="AQ1339" s="43">
        <v>0</v>
      </c>
      <c r="AR1339" s="43">
        <v>8000000</v>
      </c>
      <c r="AS1339" s="43">
        <v>42650000</v>
      </c>
      <c r="AT1339" s="39">
        <f t="shared" si="532"/>
        <v>42650000</v>
      </c>
      <c r="AU1339" s="18">
        <f>AJ1339-AM1339</f>
        <v>3500000</v>
      </c>
      <c r="AV1339" s="34">
        <f>AM1339-AP1339</f>
        <v>0</v>
      </c>
      <c r="AW1339" s="18">
        <f>AP1339-AT1339</f>
        <v>25850000</v>
      </c>
      <c r="AX1339" s="123">
        <f>AP1339/AJ1339</f>
        <v>0.95138888888888884</v>
      </c>
    </row>
    <row r="1340" spans="27:50" x14ac:dyDescent="0.2">
      <c r="AA1340" s="173" t="s">
        <v>1178</v>
      </c>
      <c r="AB1340" s="95" t="s">
        <v>1179</v>
      </c>
      <c r="AC1340" s="96"/>
      <c r="AD1340" s="44">
        <v>0</v>
      </c>
      <c r="AE1340" s="43">
        <v>79500000</v>
      </c>
      <c r="AF1340" s="216">
        <v>0</v>
      </c>
      <c r="AG1340" s="216">
        <v>0</v>
      </c>
      <c r="AH1340" s="216">
        <v>0</v>
      </c>
      <c r="AI1340" s="136">
        <f t="shared" si="530"/>
        <v>79500000</v>
      </c>
      <c r="AJ1340" s="43">
        <f t="shared" si="531"/>
        <v>79500000</v>
      </c>
      <c r="AK1340" s="44">
        <v>0</v>
      </c>
      <c r="AL1340" s="44">
        <v>0</v>
      </c>
      <c r="AM1340" s="43">
        <v>0</v>
      </c>
      <c r="AN1340" s="44">
        <v>0</v>
      </c>
      <c r="AO1340" s="44">
        <v>0</v>
      </c>
      <c r="AP1340" s="44">
        <v>0</v>
      </c>
      <c r="AQ1340" s="44">
        <v>0</v>
      </c>
      <c r="AR1340" s="44">
        <v>0</v>
      </c>
      <c r="AS1340" s="44">
        <v>0</v>
      </c>
      <c r="AT1340" s="40">
        <f t="shared" si="532"/>
        <v>0</v>
      </c>
      <c r="AU1340" s="18">
        <f>AJ1340-AM1340</f>
        <v>79500000</v>
      </c>
      <c r="AV1340" s="34">
        <f>AM1340-AP1340</f>
        <v>0</v>
      </c>
      <c r="AW1340" s="34">
        <f>AP1340-AT1340</f>
        <v>0</v>
      </c>
      <c r="AX1340" s="123">
        <f>AP1340/AJ1340</f>
        <v>0</v>
      </c>
    </row>
    <row r="1341" spans="27:50" ht="25.5" x14ac:dyDescent="0.2">
      <c r="AA1341" s="241" t="s">
        <v>288</v>
      </c>
      <c r="AB1341" s="138" t="s">
        <v>805</v>
      </c>
      <c r="AC1341" s="96"/>
      <c r="AD1341" s="44"/>
      <c r="AE1341" s="43"/>
      <c r="AF1341" s="96"/>
      <c r="AG1341" s="96"/>
      <c r="AH1341" s="96"/>
      <c r="AI1341" s="96"/>
      <c r="AJ1341" s="43"/>
      <c r="AK1341" s="44"/>
      <c r="AL1341" s="44"/>
      <c r="AM1341" s="43"/>
      <c r="AN1341" s="44"/>
      <c r="AO1341" s="44"/>
      <c r="AP1341" s="44"/>
      <c r="AQ1341" s="44"/>
      <c r="AR1341" s="44"/>
      <c r="AS1341" s="44"/>
      <c r="AT1341" s="40"/>
      <c r="AU1341" s="18"/>
      <c r="AV1341" s="34"/>
      <c r="AW1341" s="34"/>
      <c r="AX1341" s="123"/>
    </row>
    <row r="1342" spans="27:50" x14ac:dyDescent="0.2">
      <c r="AA1342" s="173" t="s">
        <v>1194</v>
      </c>
      <c r="AB1342" s="95" t="s">
        <v>1193</v>
      </c>
      <c r="AC1342" s="96"/>
      <c r="AD1342" s="44">
        <v>0</v>
      </c>
      <c r="AE1342" s="43">
        <v>135118963.86000001</v>
      </c>
      <c r="AF1342" s="216">
        <v>0</v>
      </c>
      <c r="AG1342" s="216">
        <v>0</v>
      </c>
      <c r="AH1342" s="216">
        <v>0</v>
      </c>
      <c r="AI1342" s="136">
        <f>AE1342-AF1342+AG1342-AH1342</f>
        <v>135118963.86000001</v>
      </c>
      <c r="AJ1342" s="43">
        <f>AD1342+AI1342</f>
        <v>135118963.86000001</v>
      </c>
      <c r="AK1342" s="44">
        <v>0</v>
      </c>
      <c r="AL1342" s="44">
        <v>0</v>
      </c>
      <c r="AM1342" s="43">
        <v>0</v>
      </c>
      <c r="AN1342" s="44">
        <v>0</v>
      </c>
      <c r="AO1342" s="44">
        <v>0</v>
      </c>
      <c r="AP1342" s="44">
        <v>0</v>
      </c>
      <c r="AQ1342" s="44">
        <v>0</v>
      </c>
      <c r="AR1342" s="44">
        <v>0</v>
      </c>
      <c r="AS1342" s="44">
        <v>0</v>
      </c>
      <c r="AT1342" s="40">
        <f t="shared" ref="AT1342" si="533">AQ1342+AS1342</f>
        <v>0</v>
      </c>
      <c r="AU1342" s="18">
        <f>AJ1342-AM1342</f>
        <v>135118963.86000001</v>
      </c>
      <c r="AV1342" s="34">
        <f>AM1342-AP1342</f>
        <v>0</v>
      </c>
      <c r="AW1342" s="34">
        <f>AP1342-AT1342</f>
        <v>0</v>
      </c>
      <c r="AX1342" s="123">
        <f>AP1342/AJ1342</f>
        <v>0</v>
      </c>
    </row>
    <row r="1343" spans="27:50" ht="38.25" x14ac:dyDescent="0.2">
      <c r="AA1343" s="240" t="s">
        <v>288</v>
      </c>
      <c r="AB1343" s="138" t="s">
        <v>912</v>
      </c>
      <c r="AC1343" s="96"/>
      <c r="AD1343" s="44"/>
      <c r="AE1343" s="96"/>
      <c r="AF1343" s="96"/>
      <c r="AG1343" s="96"/>
      <c r="AH1343" s="96"/>
      <c r="AI1343" s="96"/>
      <c r="AJ1343" s="43"/>
      <c r="AK1343" s="44"/>
      <c r="AL1343" s="44"/>
      <c r="AM1343" s="44"/>
      <c r="AN1343" s="97"/>
      <c r="AO1343" s="44"/>
      <c r="AP1343" s="44"/>
      <c r="AQ1343" s="97"/>
      <c r="AR1343" s="96"/>
      <c r="AS1343" s="97"/>
      <c r="AT1343" s="40"/>
      <c r="AU1343" s="43"/>
      <c r="AV1343" s="44"/>
      <c r="AW1343" s="44"/>
      <c r="AX1343" s="32"/>
    </row>
    <row r="1344" spans="27:50" x14ac:dyDescent="0.2">
      <c r="AA1344" s="94" t="s">
        <v>913</v>
      </c>
      <c r="AB1344" s="95" t="s">
        <v>233</v>
      </c>
      <c r="AC1344" s="96"/>
      <c r="AD1344" s="44">
        <v>0</v>
      </c>
      <c r="AE1344" s="96">
        <v>0</v>
      </c>
      <c r="AF1344" s="96">
        <v>0</v>
      </c>
      <c r="AG1344" s="43">
        <v>136150000</v>
      </c>
      <c r="AH1344" s="96"/>
      <c r="AI1344" s="136">
        <f>AE1344-AF1344+AG1344-AH1344</f>
        <v>136150000</v>
      </c>
      <c r="AJ1344" s="43">
        <f>AD1344+AI1344</f>
        <v>136150000</v>
      </c>
      <c r="AK1344" s="44">
        <v>0</v>
      </c>
      <c r="AL1344" s="115">
        <v>0</v>
      </c>
      <c r="AM1344" s="114">
        <v>94724710</v>
      </c>
      <c r="AN1344" s="97">
        <v>0</v>
      </c>
      <c r="AO1344" s="44">
        <v>0</v>
      </c>
      <c r="AP1344" s="43">
        <v>94724710</v>
      </c>
      <c r="AQ1344" s="43">
        <v>0</v>
      </c>
      <c r="AR1344" s="43">
        <v>3500000</v>
      </c>
      <c r="AS1344" s="43">
        <v>12600000</v>
      </c>
      <c r="AT1344" s="39">
        <f t="shared" ref="AT1344" si="534">AQ1344+AS1344</f>
        <v>12600000</v>
      </c>
      <c r="AU1344" s="110">
        <f>AJ1344-AM1344</f>
        <v>41425290</v>
      </c>
      <c r="AV1344" s="133">
        <f>AM1344-AP1344</f>
        <v>0</v>
      </c>
      <c r="AW1344" s="18">
        <f>AP1344-AT1344</f>
        <v>82124710</v>
      </c>
      <c r="AX1344" s="123">
        <f>AP1344/AJ1344</f>
        <v>0.69573786265148729</v>
      </c>
    </row>
    <row r="1345" spans="27:50" ht="25.5" x14ac:dyDescent="0.2">
      <c r="AA1345" s="240" t="s">
        <v>288</v>
      </c>
      <c r="AB1345" s="138" t="s">
        <v>1285</v>
      </c>
      <c r="AC1345" s="96"/>
      <c r="AD1345" s="44"/>
      <c r="AE1345" s="96"/>
      <c r="AF1345" s="96"/>
      <c r="AG1345" s="43"/>
      <c r="AH1345" s="96"/>
      <c r="AI1345" s="136"/>
      <c r="AJ1345" s="43"/>
      <c r="AK1345" s="44"/>
      <c r="AL1345" s="115"/>
      <c r="AM1345" s="114"/>
      <c r="AN1345" s="97"/>
      <c r="AO1345" s="43"/>
      <c r="AP1345" s="43"/>
      <c r="AQ1345" s="43"/>
      <c r="AR1345" s="43"/>
      <c r="AS1345" s="43"/>
      <c r="AT1345" s="39"/>
      <c r="AU1345" s="110"/>
      <c r="AV1345" s="133"/>
      <c r="AW1345" s="18"/>
      <c r="AX1345" s="123"/>
    </row>
    <row r="1346" spans="27:50" x14ac:dyDescent="0.2">
      <c r="AA1346" s="94" t="s">
        <v>1286</v>
      </c>
      <c r="AB1346" s="95" t="s">
        <v>1015</v>
      </c>
      <c r="AC1346" s="96"/>
      <c r="AD1346" s="44">
        <v>0</v>
      </c>
      <c r="AE1346" s="96">
        <v>0</v>
      </c>
      <c r="AF1346" s="96">
        <v>0</v>
      </c>
      <c r="AG1346" s="43">
        <f>151006500+15000000</f>
        <v>166006500</v>
      </c>
      <c r="AH1346" s="96">
        <v>0</v>
      </c>
      <c r="AI1346" s="136">
        <f>AE1346-AF1346+AG1346-AH1346</f>
        <v>166006500</v>
      </c>
      <c r="AJ1346" s="43">
        <f>AD1346+AI1346</f>
        <v>166006500</v>
      </c>
      <c r="AK1346" s="44">
        <v>0</v>
      </c>
      <c r="AL1346" s="115">
        <v>0</v>
      </c>
      <c r="AM1346" s="114">
        <v>0</v>
      </c>
      <c r="AN1346" s="97">
        <v>0</v>
      </c>
      <c r="AO1346" s="44">
        <v>0</v>
      </c>
      <c r="AP1346" s="44">
        <v>0</v>
      </c>
      <c r="AQ1346" s="44">
        <v>0</v>
      </c>
      <c r="AR1346" s="44">
        <v>0</v>
      </c>
      <c r="AS1346" s="44">
        <v>0</v>
      </c>
      <c r="AT1346" s="40">
        <f t="shared" ref="AT1346" si="535">AQ1346+AS1346</f>
        <v>0</v>
      </c>
      <c r="AU1346" s="110">
        <f>AJ1346-AM1346</f>
        <v>166006500</v>
      </c>
      <c r="AV1346" s="133">
        <f>AM1346-AP1346</f>
        <v>0</v>
      </c>
      <c r="AW1346" s="34">
        <f>AP1346-AT1346</f>
        <v>0</v>
      </c>
      <c r="AX1346" s="123">
        <f>AP1346/AJ1346</f>
        <v>0</v>
      </c>
    </row>
    <row r="1347" spans="27:50" x14ac:dyDescent="0.2">
      <c r="AA1347" s="89"/>
      <c r="AB1347" s="91"/>
      <c r="AC1347" s="91"/>
      <c r="AD1347" s="18"/>
      <c r="AE1347" s="92"/>
      <c r="AF1347" s="92"/>
      <c r="AG1347" s="92"/>
      <c r="AH1347" s="92"/>
      <c r="AI1347" s="92"/>
      <c r="AJ1347" s="18"/>
      <c r="AK1347" s="98"/>
      <c r="AL1347" s="98"/>
      <c r="AM1347" s="98"/>
      <c r="AN1347" s="98"/>
      <c r="AO1347" s="98"/>
      <c r="AP1347" s="98"/>
      <c r="AQ1347" s="98"/>
      <c r="AR1347" s="98"/>
      <c r="AS1347" s="92"/>
      <c r="AT1347" s="30"/>
      <c r="AU1347" s="18"/>
      <c r="AV1347" s="18"/>
      <c r="AW1347" s="18"/>
      <c r="AX1347" s="92"/>
    </row>
    <row r="1348" spans="27:50" x14ac:dyDescent="0.2">
      <c r="AA1348" s="89"/>
      <c r="AB1348" s="279" t="s">
        <v>1274</v>
      </c>
      <c r="AC1348" s="91"/>
      <c r="AD1348" s="18"/>
      <c r="AE1348" s="92"/>
      <c r="AF1348" s="92"/>
      <c r="AG1348" s="92"/>
      <c r="AH1348" s="92"/>
      <c r="AI1348" s="92"/>
      <c r="AJ1348" s="18"/>
      <c r="AK1348" s="98"/>
      <c r="AL1348" s="98"/>
      <c r="AM1348" s="98"/>
      <c r="AN1348" s="98"/>
      <c r="AO1348" s="98"/>
      <c r="AP1348" s="98"/>
      <c r="AQ1348" s="98"/>
      <c r="AR1348" s="98"/>
      <c r="AS1348" s="92"/>
      <c r="AT1348" s="30"/>
      <c r="AU1348" s="18"/>
      <c r="AV1348" s="18"/>
      <c r="AW1348" s="18"/>
      <c r="AX1348" s="92"/>
    </row>
    <row r="1349" spans="27:50" x14ac:dyDescent="0.2">
      <c r="AA1349" s="89"/>
      <c r="AB1349" s="90" t="s">
        <v>199</v>
      </c>
      <c r="AC1349" s="91"/>
      <c r="AD1349" s="18"/>
      <c r="AE1349" s="92"/>
      <c r="AF1349" s="92"/>
      <c r="AG1349" s="92"/>
      <c r="AH1349" s="92"/>
      <c r="AI1349" s="92"/>
      <c r="AJ1349" s="18"/>
      <c r="AK1349" s="98"/>
      <c r="AL1349" s="98"/>
      <c r="AM1349" s="98"/>
      <c r="AN1349" s="98"/>
      <c r="AO1349" s="98"/>
      <c r="AP1349" s="98"/>
      <c r="AQ1349" s="98"/>
      <c r="AR1349" s="98"/>
      <c r="AS1349" s="92"/>
      <c r="AT1349" s="30"/>
      <c r="AU1349" s="18"/>
      <c r="AV1349" s="18"/>
      <c r="AW1349" s="18"/>
      <c r="AX1349" s="92"/>
    </row>
    <row r="1350" spans="27:50" x14ac:dyDescent="0.2">
      <c r="AA1350" s="170" t="s">
        <v>288</v>
      </c>
      <c r="AB1350" s="165" t="s">
        <v>1164</v>
      </c>
      <c r="AC1350" s="237"/>
      <c r="AD1350" s="44"/>
      <c r="AE1350" s="96"/>
      <c r="AF1350" s="96"/>
      <c r="AG1350" s="43"/>
      <c r="AH1350" s="96"/>
      <c r="AI1350" s="136"/>
      <c r="AJ1350" s="43"/>
      <c r="AK1350" s="44"/>
      <c r="AL1350" s="115"/>
      <c r="AM1350" s="114"/>
      <c r="AN1350" s="97"/>
      <c r="AO1350" s="43"/>
      <c r="AP1350" s="43"/>
      <c r="AQ1350" s="43"/>
      <c r="AR1350" s="96"/>
      <c r="AS1350" s="97"/>
      <c r="AT1350" s="135"/>
      <c r="AU1350" s="110"/>
      <c r="AV1350" s="133"/>
      <c r="AW1350" s="18"/>
      <c r="AX1350" s="123"/>
    </row>
    <row r="1351" spans="27:50" x14ac:dyDescent="0.2">
      <c r="AA1351" s="166" t="s">
        <v>1165</v>
      </c>
      <c r="AB1351" s="167" t="s">
        <v>1015</v>
      </c>
      <c r="AC1351" s="237"/>
      <c r="AD1351" s="44">
        <v>0</v>
      </c>
      <c r="AE1351" s="43">
        <v>400000000</v>
      </c>
      <c r="AF1351" s="216">
        <v>0</v>
      </c>
      <c r="AG1351" s="168">
        <v>198993500</v>
      </c>
      <c r="AH1351" s="168">
        <v>15000000</v>
      </c>
      <c r="AI1351" s="136">
        <f>AE1351-AF1351+AG1351-AH1351</f>
        <v>583993500</v>
      </c>
      <c r="AJ1351" s="43">
        <f>AD1351+AI1351</f>
        <v>583993500</v>
      </c>
      <c r="AK1351" s="44">
        <v>0</v>
      </c>
      <c r="AL1351" s="43">
        <v>-2013000.42</v>
      </c>
      <c r="AM1351" s="43">
        <v>397986999.57999998</v>
      </c>
      <c r="AN1351" s="97">
        <v>0</v>
      </c>
      <c r="AO1351" s="43">
        <v>397986999.57999998</v>
      </c>
      <c r="AP1351" s="43">
        <v>397986999.57999998</v>
      </c>
      <c r="AQ1351" s="44">
        <v>0</v>
      </c>
      <c r="AR1351" s="96">
        <v>0</v>
      </c>
      <c r="AS1351" s="97">
        <v>0</v>
      </c>
      <c r="AT1351" s="40">
        <f t="shared" ref="AT1351" si="536">AQ1351+AS1351</f>
        <v>0</v>
      </c>
      <c r="AU1351" s="110">
        <f>AJ1351-AM1351</f>
        <v>186006500.42000002</v>
      </c>
      <c r="AV1351" s="18">
        <f>AM1351-AP1351</f>
        <v>0</v>
      </c>
      <c r="AW1351" s="18">
        <f>AP1351-AT1351</f>
        <v>397986999.57999998</v>
      </c>
      <c r="AX1351" s="123">
        <f>AP1351/AJ1351</f>
        <v>0.68149217342316304</v>
      </c>
    </row>
    <row r="1352" spans="27:50" x14ac:dyDescent="0.2">
      <c r="AA1352" s="93" t="s">
        <v>288</v>
      </c>
      <c r="AB1352" s="90" t="s">
        <v>782</v>
      </c>
      <c r="AC1352" s="91"/>
      <c r="AD1352" s="18"/>
      <c r="AE1352" s="92"/>
      <c r="AF1352" s="92"/>
      <c r="AG1352" s="92"/>
      <c r="AH1352" s="92"/>
      <c r="AI1352" s="92"/>
      <c r="AJ1352" s="18"/>
      <c r="AK1352" s="98"/>
      <c r="AL1352" s="98"/>
      <c r="AM1352" s="98"/>
      <c r="AN1352" s="98"/>
      <c r="AO1352" s="98"/>
      <c r="AP1352" s="98"/>
      <c r="AQ1352" s="98"/>
      <c r="AR1352" s="98"/>
      <c r="AS1352" s="92"/>
      <c r="AT1352" s="30"/>
      <c r="AU1352" s="18"/>
      <c r="AV1352" s="18"/>
      <c r="AW1352" s="18"/>
      <c r="AX1352" s="92"/>
    </row>
    <row r="1353" spans="27:50" ht="25.5" x14ac:dyDescent="0.2">
      <c r="AA1353" s="94" t="s">
        <v>783</v>
      </c>
      <c r="AB1353" s="95" t="s">
        <v>784</v>
      </c>
      <c r="AC1353" s="96" t="s">
        <v>368</v>
      </c>
      <c r="AD1353" s="43">
        <v>40000000</v>
      </c>
      <c r="AE1353" s="96">
        <v>0</v>
      </c>
      <c r="AF1353" s="216">
        <v>0</v>
      </c>
      <c r="AG1353" s="216">
        <v>0</v>
      </c>
      <c r="AH1353" s="216">
        <v>0</v>
      </c>
      <c r="AI1353" s="97">
        <f>AE1353-AF1353+AG1353-AH1353</f>
        <v>0</v>
      </c>
      <c r="AJ1353" s="43">
        <f>AD1353+AI1353</f>
        <v>40000000</v>
      </c>
      <c r="AK1353" s="97">
        <v>0</v>
      </c>
      <c r="AL1353" s="34">
        <v>0</v>
      </c>
      <c r="AM1353" s="137">
        <v>0</v>
      </c>
      <c r="AN1353" s="97">
        <v>0</v>
      </c>
      <c r="AO1353" s="97">
        <v>0</v>
      </c>
      <c r="AP1353" s="97">
        <v>0</v>
      </c>
      <c r="AQ1353" s="97">
        <v>0</v>
      </c>
      <c r="AR1353" s="97">
        <v>0</v>
      </c>
      <c r="AS1353" s="97">
        <v>0</v>
      </c>
      <c r="AT1353" s="135">
        <f t="shared" ref="AT1353:AT1355" si="537">AQ1353+AS1353</f>
        <v>0</v>
      </c>
      <c r="AU1353" s="110">
        <f>AJ1353-AM1353</f>
        <v>40000000</v>
      </c>
      <c r="AV1353" s="133">
        <f>AM1353-AP1353</f>
        <v>0</v>
      </c>
      <c r="AW1353" s="133">
        <f>AP1353-AT1353</f>
        <v>0</v>
      </c>
      <c r="AX1353" s="123">
        <f>AP1353/AJ1353</f>
        <v>0</v>
      </c>
    </row>
    <row r="1354" spans="27:50" ht="25.5" x14ac:dyDescent="0.2">
      <c r="AA1354" s="94" t="s">
        <v>785</v>
      </c>
      <c r="AB1354" s="242" t="s">
        <v>786</v>
      </c>
      <c r="AC1354" s="96" t="s">
        <v>258</v>
      </c>
      <c r="AD1354" s="43">
        <v>2438425656.1900001</v>
      </c>
      <c r="AE1354" s="96">
        <v>0</v>
      </c>
      <c r="AF1354" s="216">
        <v>0</v>
      </c>
      <c r="AG1354" s="216">
        <v>0</v>
      </c>
      <c r="AH1354" s="216">
        <v>0</v>
      </c>
      <c r="AI1354" s="97">
        <f t="shared" ref="AI1354:AI1355" si="538">AE1354-AF1354+AG1354-AH1354</f>
        <v>0</v>
      </c>
      <c r="AJ1354" s="43">
        <f t="shared" ref="AJ1354:AJ1355" si="539">AD1354+AI1354</f>
        <v>2438425656.1900001</v>
      </c>
      <c r="AK1354" s="44">
        <v>0</v>
      </c>
      <c r="AL1354" s="114">
        <v>0</v>
      </c>
      <c r="AM1354" s="114">
        <v>55000000</v>
      </c>
      <c r="AN1354" s="92">
        <v>0</v>
      </c>
      <c r="AO1354" s="147">
        <v>0</v>
      </c>
      <c r="AP1354" s="18">
        <v>55000000</v>
      </c>
      <c r="AQ1354" s="43">
        <v>0</v>
      </c>
      <c r="AR1354" s="18">
        <v>5500000</v>
      </c>
      <c r="AS1354" s="43">
        <v>27500000</v>
      </c>
      <c r="AT1354" s="39">
        <f t="shared" si="537"/>
        <v>27500000</v>
      </c>
      <c r="AU1354" s="110">
        <f>AJ1354-AM1354</f>
        <v>2383425656.1900001</v>
      </c>
      <c r="AV1354" s="133">
        <f>AM1354-AP1354</f>
        <v>0</v>
      </c>
      <c r="AW1354" s="18">
        <f>AP1354-AT1354</f>
        <v>27500000</v>
      </c>
      <c r="AX1354" s="123">
        <f>AP1354/AJ1354</f>
        <v>2.2555536954912372E-2</v>
      </c>
    </row>
    <row r="1355" spans="27:50" ht="25.5" x14ac:dyDescent="0.2">
      <c r="AA1355" s="166" t="s">
        <v>1197</v>
      </c>
      <c r="AB1355" s="242" t="s">
        <v>1198</v>
      </c>
      <c r="AC1355" s="96"/>
      <c r="AD1355" s="43">
        <v>0</v>
      </c>
      <c r="AE1355" s="43">
        <v>57159458.270000003</v>
      </c>
      <c r="AF1355" s="216">
        <v>0</v>
      </c>
      <c r="AG1355" s="216">
        <v>0</v>
      </c>
      <c r="AH1355" s="216">
        <v>0</v>
      </c>
      <c r="AI1355" s="136">
        <f t="shared" si="538"/>
        <v>57159458.270000003</v>
      </c>
      <c r="AJ1355" s="43">
        <f t="shared" si="539"/>
        <v>57159458.270000003</v>
      </c>
      <c r="AK1355" s="44">
        <v>0</v>
      </c>
      <c r="AL1355" s="115">
        <v>0</v>
      </c>
      <c r="AM1355" s="34">
        <v>0</v>
      </c>
      <c r="AN1355" s="98">
        <v>0</v>
      </c>
      <c r="AO1355" s="145">
        <v>0</v>
      </c>
      <c r="AP1355" s="34">
        <v>0</v>
      </c>
      <c r="AQ1355" s="97">
        <v>0</v>
      </c>
      <c r="AR1355" s="34">
        <v>0</v>
      </c>
      <c r="AS1355" s="44">
        <v>0</v>
      </c>
      <c r="AT1355" s="40">
        <f t="shared" si="537"/>
        <v>0</v>
      </c>
      <c r="AU1355" s="110">
        <f>AJ1355-AM1355</f>
        <v>57159458.270000003</v>
      </c>
      <c r="AV1355" s="133">
        <f>AM1355-AP1355</f>
        <v>0</v>
      </c>
      <c r="AW1355" s="133">
        <f>AP1355-AT1355</f>
        <v>0</v>
      </c>
      <c r="AX1355" s="123">
        <f>AP1355/AJ1355</f>
        <v>0</v>
      </c>
    </row>
    <row r="1356" spans="27:50" ht="38.25" x14ac:dyDescent="0.2">
      <c r="AA1356" s="240" t="s">
        <v>288</v>
      </c>
      <c r="AB1356" s="138" t="s">
        <v>1186</v>
      </c>
      <c r="AC1356" s="96"/>
      <c r="AD1356" s="44"/>
      <c r="AE1356" s="96"/>
      <c r="AF1356" s="96"/>
      <c r="AG1356" s="96"/>
      <c r="AH1356" s="96"/>
      <c r="AI1356" s="96"/>
      <c r="AJ1356" s="43"/>
      <c r="AK1356" s="44"/>
      <c r="AL1356" s="44"/>
      <c r="AM1356" s="34"/>
      <c r="AN1356" s="34"/>
      <c r="AO1356" s="34"/>
      <c r="AP1356" s="44"/>
      <c r="AQ1356" s="44"/>
      <c r="AR1356" s="44"/>
      <c r="AS1356" s="44"/>
      <c r="AT1356" s="135"/>
      <c r="AU1356" s="133"/>
      <c r="AV1356" s="133"/>
      <c r="AW1356" s="133"/>
      <c r="AX1356" s="123"/>
    </row>
    <row r="1357" spans="27:50" x14ac:dyDescent="0.2">
      <c r="AA1357" s="173" t="s">
        <v>1187</v>
      </c>
      <c r="AB1357" s="95" t="s">
        <v>1188</v>
      </c>
      <c r="AC1357" s="96"/>
      <c r="AD1357" s="44">
        <v>0</v>
      </c>
      <c r="AE1357" s="44">
        <v>350000000</v>
      </c>
      <c r="AF1357" s="216">
        <v>0</v>
      </c>
      <c r="AG1357" s="216">
        <v>0</v>
      </c>
      <c r="AH1357" s="216">
        <v>350000000</v>
      </c>
      <c r="AI1357" s="97">
        <f>AE1357-AF1357+AG1357-AH1357</f>
        <v>0</v>
      </c>
      <c r="AJ1357" s="44">
        <f>AD1357+AI1357</f>
        <v>0</v>
      </c>
      <c r="AK1357" s="44">
        <v>0</v>
      </c>
      <c r="AL1357" s="44">
        <v>0</v>
      </c>
      <c r="AM1357" s="34">
        <v>0</v>
      </c>
      <c r="AN1357" s="34">
        <v>0</v>
      </c>
      <c r="AO1357" s="34">
        <v>0</v>
      </c>
      <c r="AP1357" s="44">
        <v>0</v>
      </c>
      <c r="AQ1357" s="44">
        <v>0</v>
      </c>
      <c r="AR1357" s="44">
        <v>0</v>
      </c>
      <c r="AS1357" s="44">
        <v>0</v>
      </c>
      <c r="AT1357" s="135">
        <f t="shared" ref="AT1357" si="540">AQ1357+AS1357</f>
        <v>0</v>
      </c>
      <c r="AU1357" s="34">
        <f>AJ1357-AM1357</f>
        <v>0</v>
      </c>
      <c r="AV1357" s="34">
        <f>AM1357-AP1357</f>
        <v>0</v>
      </c>
      <c r="AW1357" s="133">
        <f>AP1357-AT1357</f>
        <v>0</v>
      </c>
      <c r="AX1357" s="123">
        <v>0</v>
      </c>
    </row>
    <row r="1358" spans="27:50" x14ac:dyDescent="0.2">
      <c r="AA1358" s="166"/>
      <c r="AB1358" s="242"/>
      <c r="AC1358" s="96"/>
      <c r="AD1358" s="43"/>
      <c r="AE1358" s="43"/>
      <c r="AF1358" s="216"/>
      <c r="AG1358" s="216"/>
      <c r="AH1358" s="216"/>
      <c r="AI1358" s="136"/>
      <c r="AJ1358" s="43"/>
      <c r="AK1358" s="44"/>
      <c r="AL1358" s="115"/>
      <c r="AM1358" s="34"/>
      <c r="AN1358" s="98"/>
      <c r="AO1358" s="145"/>
      <c r="AP1358" s="34"/>
      <c r="AQ1358" s="97"/>
      <c r="AR1358" s="34"/>
      <c r="AS1358" s="44"/>
      <c r="AT1358" s="40"/>
      <c r="AU1358" s="110"/>
      <c r="AV1358" s="133"/>
      <c r="AW1358" s="133"/>
      <c r="AX1358" s="123"/>
    </row>
    <row r="1359" spans="27:50" x14ac:dyDescent="0.2">
      <c r="AA1359" s="166"/>
      <c r="AB1359" s="280" t="s">
        <v>1275</v>
      </c>
      <c r="AC1359" s="96"/>
      <c r="AD1359" s="43"/>
      <c r="AE1359" s="43"/>
      <c r="AF1359" s="216"/>
      <c r="AG1359" s="216"/>
      <c r="AH1359" s="216"/>
      <c r="AI1359" s="136"/>
      <c r="AJ1359" s="43"/>
      <c r="AK1359" s="44"/>
      <c r="AL1359" s="115"/>
      <c r="AM1359" s="34"/>
      <c r="AN1359" s="98"/>
      <c r="AO1359" s="145"/>
      <c r="AP1359" s="34"/>
      <c r="AQ1359" s="97"/>
      <c r="AR1359" s="34"/>
      <c r="AS1359" s="44"/>
      <c r="AT1359" s="40"/>
      <c r="AU1359" s="110"/>
      <c r="AV1359" s="133"/>
      <c r="AW1359" s="133"/>
      <c r="AX1359" s="123"/>
    </row>
    <row r="1360" spans="27:50" ht="18.75" customHeight="1" x14ac:dyDescent="0.2">
      <c r="AA1360" s="94" t="s">
        <v>798</v>
      </c>
      <c r="AB1360" s="95" t="s">
        <v>799</v>
      </c>
      <c r="AC1360" s="96" t="s">
        <v>368</v>
      </c>
      <c r="AD1360" s="43">
        <v>20000000</v>
      </c>
      <c r="AE1360" s="96">
        <v>0</v>
      </c>
      <c r="AF1360" s="216">
        <v>0</v>
      </c>
      <c r="AG1360" s="216">
        <v>0</v>
      </c>
      <c r="AH1360" s="216">
        <v>0</v>
      </c>
      <c r="AI1360" s="136">
        <f t="shared" ref="AI1360:AI1361" si="541">AE1360-AF1360+AG1360-AH1360</f>
        <v>0</v>
      </c>
      <c r="AJ1360" s="43">
        <f t="shared" ref="AJ1360:AJ1361" si="542">AD1360+AI1360</f>
        <v>20000000</v>
      </c>
      <c r="AK1360" s="44">
        <v>0</v>
      </c>
      <c r="AL1360" s="44">
        <v>0</v>
      </c>
      <c r="AM1360" s="44">
        <v>0</v>
      </c>
      <c r="AN1360" s="97">
        <v>0</v>
      </c>
      <c r="AO1360" s="44">
        <v>0</v>
      </c>
      <c r="AP1360" s="44">
        <v>0</v>
      </c>
      <c r="AQ1360" s="97">
        <v>0</v>
      </c>
      <c r="AR1360" s="97">
        <v>0</v>
      </c>
      <c r="AS1360" s="97">
        <v>0</v>
      </c>
      <c r="AT1360" s="135">
        <f t="shared" ref="AT1360:AT1361" si="543">AQ1360+AS1360</f>
        <v>0</v>
      </c>
      <c r="AU1360" s="110">
        <f t="shared" ref="AU1360:AU1361" si="544">AJ1360-AM1360</f>
        <v>20000000</v>
      </c>
      <c r="AV1360" s="34">
        <f t="shared" ref="AV1360:AV1361" si="545">AM1360-AP1360</f>
        <v>0</v>
      </c>
      <c r="AW1360" s="34">
        <f t="shared" ref="AW1360:AW1361" si="546">AP1360-AT1360</f>
        <v>0</v>
      </c>
      <c r="AX1360" s="123">
        <f t="shared" ref="AX1360:AX1361" si="547">AP1360/AJ1360</f>
        <v>0</v>
      </c>
    </row>
    <row r="1361" spans="2:50" x14ac:dyDescent="0.2">
      <c r="AA1361" s="94" t="s">
        <v>800</v>
      </c>
      <c r="AB1361" s="95" t="s">
        <v>801</v>
      </c>
      <c r="AC1361" s="96" t="s">
        <v>802</v>
      </c>
      <c r="AD1361" s="43">
        <v>300000000</v>
      </c>
      <c r="AE1361" s="96">
        <v>0</v>
      </c>
      <c r="AF1361" s="216">
        <v>0</v>
      </c>
      <c r="AG1361" s="216">
        <v>0</v>
      </c>
      <c r="AH1361" s="216">
        <v>0</v>
      </c>
      <c r="AI1361" s="136">
        <f t="shared" si="541"/>
        <v>0</v>
      </c>
      <c r="AJ1361" s="43">
        <f t="shared" si="542"/>
        <v>300000000</v>
      </c>
      <c r="AK1361" s="115">
        <v>0</v>
      </c>
      <c r="AL1361" s="76">
        <v>0</v>
      </c>
      <c r="AM1361" s="18">
        <v>266450000</v>
      </c>
      <c r="AN1361" s="92">
        <v>0</v>
      </c>
      <c r="AO1361" s="18">
        <v>0</v>
      </c>
      <c r="AP1361" s="18">
        <v>266450000</v>
      </c>
      <c r="AQ1361" s="114">
        <v>5000000</v>
      </c>
      <c r="AR1361" s="114">
        <v>0</v>
      </c>
      <c r="AS1361" s="114">
        <v>261450000</v>
      </c>
      <c r="AT1361" s="111">
        <f t="shared" si="543"/>
        <v>266450000</v>
      </c>
      <c r="AU1361" s="110">
        <f t="shared" si="544"/>
        <v>33550000</v>
      </c>
      <c r="AV1361" s="34">
        <f t="shared" si="545"/>
        <v>0</v>
      </c>
      <c r="AW1361" s="34">
        <f t="shared" si="546"/>
        <v>0</v>
      </c>
      <c r="AX1361" s="123">
        <f t="shared" si="547"/>
        <v>0.88816666666666666</v>
      </c>
    </row>
    <row r="1362" spans="2:50" x14ac:dyDescent="0.2">
      <c r="AA1362" s="89"/>
      <c r="AB1362" s="91"/>
      <c r="AC1362" s="91"/>
      <c r="AD1362" s="18"/>
      <c r="AE1362" s="92"/>
      <c r="AF1362" s="92"/>
      <c r="AG1362" s="92"/>
      <c r="AH1362" s="92"/>
      <c r="AI1362" s="92"/>
      <c r="AJ1362" s="92"/>
      <c r="AK1362" s="98"/>
      <c r="AL1362" s="92"/>
      <c r="AM1362" s="92"/>
      <c r="AN1362" s="92"/>
      <c r="AO1362" s="92"/>
      <c r="AP1362" s="92"/>
      <c r="AQ1362" s="98"/>
      <c r="AR1362" s="92"/>
      <c r="AS1362" s="92"/>
      <c r="AT1362" s="92"/>
      <c r="AU1362" s="92"/>
      <c r="AV1362" s="92"/>
      <c r="AW1362" s="92"/>
      <c r="AX1362" s="92"/>
    </row>
    <row r="1363" spans="2:50" s="50" customFormat="1" x14ac:dyDescent="0.2">
      <c r="B1363" s="77"/>
      <c r="C1363" s="77"/>
      <c r="D1363" s="77"/>
      <c r="E1363" s="77"/>
      <c r="F1363" s="77"/>
      <c r="G1363" s="77"/>
      <c r="H1363" s="77"/>
      <c r="I1363" s="77"/>
      <c r="J1363" s="77"/>
      <c r="K1363" s="77"/>
      <c r="L1363" s="77"/>
      <c r="M1363" s="77"/>
      <c r="N1363" s="77"/>
      <c r="O1363" s="77"/>
      <c r="P1363" s="77"/>
      <c r="Q1363" s="77"/>
      <c r="R1363" s="77"/>
      <c r="S1363" s="77"/>
      <c r="T1363" s="77"/>
      <c r="U1363" s="77"/>
      <c r="V1363" s="77"/>
      <c r="W1363" s="77"/>
      <c r="X1363" s="77"/>
      <c r="Y1363" s="77"/>
      <c r="Z1363" s="77"/>
      <c r="AA1363" s="46"/>
      <c r="AB1363" s="47" t="s">
        <v>833</v>
      </c>
      <c r="AC1363" s="47"/>
      <c r="AD1363" s="48">
        <f t="shared" ref="AD1363:AW1363" si="548">SUM(AD1271:AD1362)</f>
        <v>260924476092</v>
      </c>
      <c r="AE1363" s="48">
        <f t="shared" si="548"/>
        <v>18437721256.830002</v>
      </c>
      <c r="AF1363" s="49">
        <f t="shared" si="548"/>
        <v>0</v>
      </c>
      <c r="AG1363" s="48">
        <f t="shared" si="548"/>
        <v>6037720240</v>
      </c>
      <c r="AH1363" s="48">
        <f t="shared" si="548"/>
        <v>6037720240</v>
      </c>
      <c r="AI1363" s="48">
        <f t="shared" si="548"/>
        <v>18437721256.830002</v>
      </c>
      <c r="AJ1363" s="48">
        <f t="shared" si="548"/>
        <v>279362197348.82996</v>
      </c>
      <c r="AK1363" s="49">
        <f t="shared" si="548"/>
        <v>0</v>
      </c>
      <c r="AL1363" s="48">
        <f t="shared" si="548"/>
        <v>16514955757.58</v>
      </c>
      <c r="AM1363" s="48">
        <f t="shared" si="548"/>
        <v>241653247313.57999</v>
      </c>
      <c r="AN1363" s="48">
        <f t="shared" si="548"/>
        <v>0</v>
      </c>
      <c r="AO1363" s="48">
        <f t="shared" si="548"/>
        <v>18681143580.380001</v>
      </c>
      <c r="AP1363" s="48">
        <f t="shared" si="548"/>
        <v>155058355593.42999</v>
      </c>
      <c r="AQ1363" s="48">
        <f t="shared" si="548"/>
        <v>66303334</v>
      </c>
      <c r="AR1363" s="48">
        <f t="shared" si="548"/>
        <v>18090700967.799999</v>
      </c>
      <c r="AS1363" s="48">
        <f t="shared" si="548"/>
        <v>148987264387.17999</v>
      </c>
      <c r="AT1363" s="48">
        <f t="shared" si="548"/>
        <v>149053567721.17999</v>
      </c>
      <c r="AU1363" s="48">
        <f t="shared" si="548"/>
        <v>37708950035.249992</v>
      </c>
      <c r="AV1363" s="48">
        <f t="shared" si="548"/>
        <v>86594891720.150009</v>
      </c>
      <c r="AW1363" s="48">
        <f t="shared" si="548"/>
        <v>6004787872.25</v>
      </c>
      <c r="AX1363" s="24">
        <f>AP1363/AJ1363</f>
        <v>0.55504415796033402</v>
      </c>
    </row>
    <row r="1368" spans="2:50" ht="13.5" thickBot="1" x14ac:dyDescent="0.25">
      <c r="AB1368" s="152"/>
    </row>
    <row r="1369" spans="2:50" ht="15.75" x14ac:dyDescent="0.2">
      <c r="AB1369" s="153" t="s">
        <v>914</v>
      </c>
    </row>
    <row r="1370" spans="2:50" x14ac:dyDescent="0.2">
      <c r="AB1370" s="154" t="s">
        <v>916</v>
      </c>
    </row>
    <row r="1371" spans="2:50" x14ac:dyDescent="0.2">
      <c r="AB1371" s="154" t="s">
        <v>917</v>
      </c>
    </row>
    <row r="1375" spans="2:50" x14ac:dyDescent="0.2">
      <c r="AE1375" s="281"/>
    </row>
  </sheetData>
  <mergeCells count="23">
    <mergeCell ref="AJ7:AJ8"/>
    <mergeCell ref="A2:AW2"/>
    <mergeCell ref="A3:AW3"/>
    <mergeCell ref="A4:AW4"/>
    <mergeCell ref="A5:AW5"/>
    <mergeCell ref="A7:A9"/>
    <mergeCell ref="B7:B9"/>
    <mergeCell ref="AA7:AA9"/>
    <mergeCell ref="AB7:AB9"/>
    <mergeCell ref="AC7:AC9"/>
    <mergeCell ref="AD7:AD8"/>
    <mergeCell ref="AE7:AE8"/>
    <mergeCell ref="AF7:AF8"/>
    <mergeCell ref="AG7:AG8"/>
    <mergeCell ref="AH7:AH8"/>
    <mergeCell ref="AI7:AI8"/>
    <mergeCell ref="AX7:AX8"/>
    <mergeCell ref="AK7:AM7"/>
    <mergeCell ref="AN7:AP7"/>
    <mergeCell ref="AQ7:AS7"/>
    <mergeCell ref="AU7:AU8"/>
    <mergeCell ref="AV7:AV8"/>
    <mergeCell ref="AW7:AW8"/>
  </mergeCell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EA33F-BF1F-4852-B58F-AC1B165DCDC8}">
  <dimension ref="A1:AZ1421"/>
  <sheetViews>
    <sheetView topLeftCell="A4" zoomScale="80" zoomScaleNormal="80" workbookViewId="0">
      <pane xSplit="29" ySplit="6" topLeftCell="AD10" activePane="bottomRight" state="frozen"/>
      <selection activeCell="A4" sqref="A4"/>
      <selection pane="topRight" activeCell="AD4" sqref="AD4"/>
      <selection pane="bottomLeft" activeCell="A10" sqref="A10"/>
      <selection pane="bottomRight" activeCell="AJ328" sqref="AJ328"/>
    </sheetView>
  </sheetViews>
  <sheetFormatPr baseColWidth="10" defaultColWidth="9.140625" defaultRowHeight="12.75" x14ac:dyDescent="0.2"/>
  <cols>
    <col min="1" max="1" width="7" style="33" customWidth="1"/>
    <col min="2" max="2" width="38.42578125" style="51" hidden="1" customWidth="1"/>
    <col min="3" max="3" width="27.7109375" style="51" hidden="1" customWidth="1"/>
    <col min="4" max="4" width="18.7109375" style="51" hidden="1" customWidth="1"/>
    <col min="5" max="5" width="13.85546875" style="51" hidden="1" customWidth="1"/>
    <col min="6" max="6" width="14.42578125" style="51" hidden="1" customWidth="1"/>
    <col min="7" max="7" width="10.85546875" style="51" hidden="1" customWidth="1"/>
    <col min="8" max="8" width="9.85546875" style="51" hidden="1" customWidth="1"/>
    <col min="9" max="9" width="23" style="51" hidden="1" customWidth="1"/>
    <col min="10" max="10" width="14.5703125" style="51" hidden="1" customWidth="1"/>
    <col min="11" max="11" width="18.85546875" style="51" hidden="1" customWidth="1"/>
    <col min="12" max="12" width="12" style="51" hidden="1" customWidth="1"/>
    <col min="13" max="13" width="16.85546875" style="51" hidden="1" customWidth="1"/>
    <col min="14" max="14" width="20.5703125" style="51" hidden="1" customWidth="1"/>
    <col min="15" max="15" width="22.7109375" style="51" hidden="1" customWidth="1"/>
    <col min="16" max="16" width="29" style="51" hidden="1" customWidth="1"/>
    <col min="17" max="17" width="20" style="51" hidden="1" customWidth="1"/>
    <col min="18" max="19" width="23.5703125" style="51" hidden="1" customWidth="1"/>
    <col min="20" max="20" width="27.140625" style="51" hidden="1" customWidth="1"/>
    <col min="21" max="21" width="25.5703125" style="51" hidden="1" customWidth="1"/>
    <col min="22" max="22" width="18.85546875" style="51" hidden="1" customWidth="1"/>
    <col min="23" max="23" width="18.5703125" style="51" hidden="1" customWidth="1"/>
    <col min="24" max="24" width="20.85546875" style="51" hidden="1" customWidth="1"/>
    <col min="25" max="26" width="29.7109375" style="51" hidden="1" customWidth="1"/>
    <col min="27" max="27" width="37.5703125" style="99" customWidth="1"/>
    <col min="28" max="28" width="60.140625" style="51" customWidth="1"/>
    <col min="29" max="29" width="60.7109375" style="51" hidden="1" customWidth="1"/>
    <col min="30" max="30" width="23.42578125" style="33" customWidth="1"/>
    <col min="31" max="31" width="22.5703125" style="33" hidden="1" customWidth="1"/>
    <col min="32" max="32" width="20.7109375" style="33" hidden="1" customWidth="1"/>
    <col min="33" max="33" width="22" style="33" hidden="1" customWidth="1"/>
    <col min="34" max="35" width="22.140625" style="33" hidden="1" customWidth="1"/>
    <col min="36" max="36" width="23.85546875" style="33" customWidth="1"/>
    <col min="37" max="37" width="24.140625" style="33" hidden="1" customWidth="1"/>
    <col min="38" max="39" width="27.7109375" style="33" hidden="1" customWidth="1"/>
    <col min="40" max="40" width="20.7109375" style="33" hidden="1" customWidth="1"/>
    <col min="41" max="41" width="22.42578125" style="33" hidden="1" customWidth="1"/>
    <col min="42" max="42" width="23.42578125" style="33" hidden="1" customWidth="1"/>
    <col min="43" max="43" width="20.7109375" style="33" hidden="1" customWidth="1"/>
    <col min="44" max="44" width="22.28515625" style="33" hidden="1" customWidth="1"/>
    <col min="45" max="45" width="23.7109375" style="33" customWidth="1"/>
    <col min="46" max="46" width="22.28515625" style="33" hidden="1" customWidth="1"/>
    <col min="47" max="47" width="23" style="33" hidden="1" customWidth="1"/>
    <col min="48" max="48" width="23.42578125" style="33" hidden="1" customWidth="1"/>
    <col min="49" max="49" width="24.140625" style="33" hidden="1" customWidth="1"/>
    <col min="50" max="50" width="12.140625" style="33" hidden="1" customWidth="1"/>
    <col min="51" max="281" width="9.140625" style="33"/>
    <col min="282" max="283" width="0" style="33" hidden="1" customWidth="1"/>
    <col min="284" max="284" width="29.42578125" style="33" customWidth="1"/>
    <col min="285" max="285" width="75.7109375" style="33" customWidth="1"/>
    <col min="286" max="286" width="0" style="33" hidden="1" customWidth="1"/>
    <col min="287" max="305" width="20.7109375" style="33" customWidth="1"/>
    <col min="306" max="306" width="12.140625" style="33" customWidth="1"/>
    <col min="307" max="537" width="9.140625" style="33"/>
    <col min="538" max="539" width="0" style="33" hidden="1" customWidth="1"/>
    <col min="540" max="540" width="29.42578125" style="33" customWidth="1"/>
    <col min="541" max="541" width="75.7109375" style="33" customWidth="1"/>
    <col min="542" max="542" width="0" style="33" hidden="1" customWidth="1"/>
    <col min="543" max="561" width="20.7109375" style="33" customWidth="1"/>
    <col min="562" max="562" width="12.140625" style="33" customWidth="1"/>
    <col min="563" max="793" width="9.140625" style="33"/>
    <col min="794" max="795" width="0" style="33" hidden="1" customWidth="1"/>
    <col min="796" max="796" width="29.42578125" style="33" customWidth="1"/>
    <col min="797" max="797" width="75.7109375" style="33" customWidth="1"/>
    <col min="798" max="798" width="0" style="33" hidden="1" customWidth="1"/>
    <col min="799" max="817" width="20.7109375" style="33" customWidth="1"/>
    <col min="818" max="818" width="12.140625" style="33" customWidth="1"/>
    <col min="819" max="1049" width="9.140625" style="33"/>
    <col min="1050" max="1051" width="0" style="33" hidden="1" customWidth="1"/>
    <col min="1052" max="1052" width="29.42578125" style="33" customWidth="1"/>
    <col min="1053" max="1053" width="75.7109375" style="33" customWidth="1"/>
    <col min="1054" max="1054" width="0" style="33" hidden="1" customWidth="1"/>
    <col min="1055" max="1073" width="20.7109375" style="33" customWidth="1"/>
    <col min="1074" max="1074" width="12.140625" style="33" customWidth="1"/>
    <col min="1075" max="1305" width="9.140625" style="33"/>
    <col min="1306" max="1307" width="0" style="33" hidden="1" customWidth="1"/>
    <col min="1308" max="1308" width="29.42578125" style="33" customWidth="1"/>
    <col min="1309" max="1309" width="75.7109375" style="33" customWidth="1"/>
    <col min="1310" max="1310" width="0" style="33" hidden="1" customWidth="1"/>
    <col min="1311" max="1329" width="20.7109375" style="33" customWidth="1"/>
    <col min="1330" max="1330" width="12.140625" style="33" customWidth="1"/>
    <col min="1331" max="1561" width="9.140625" style="33"/>
    <col min="1562" max="1563" width="0" style="33" hidden="1" customWidth="1"/>
    <col min="1564" max="1564" width="29.42578125" style="33" customWidth="1"/>
    <col min="1565" max="1565" width="75.7109375" style="33" customWidth="1"/>
    <col min="1566" max="1566" width="0" style="33" hidden="1" customWidth="1"/>
    <col min="1567" max="1585" width="20.7109375" style="33" customWidth="1"/>
    <col min="1586" max="1586" width="12.140625" style="33" customWidth="1"/>
    <col min="1587" max="1817" width="9.140625" style="33"/>
    <col min="1818" max="1819" width="0" style="33" hidden="1" customWidth="1"/>
    <col min="1820" max="1820" width="29.42578125" style="33" customWidth="1"/>
    <col min="1821" max="1821" width="75.7109375" style="33" customWidth="1"/>
    <col min="1822" max="1822" width="0" style="33" hidden="1" customWidth="1"/>
    <col min="1823" max="1841" width="20.7109375" style="33" customWidth="1"/>
    <col min="1842" max="1842" width="12.140625" style="33" customWidth="1"/>
    <col min="1843" max="2073" width="9.140625" style="33"/>
    <col min="2074" max="2075" width="0" style="33" hidden="1" customWidth="1"/>
    <col min="2076" max="2076" width="29.42578125" style="33" customWidth="1"/>
    <col min="2077" max="2077" width="75.7109375" style="33" customWidth="1"/>
    <col min="2078" max="2078" width="0" style="33" hidden="1" customWidth="1"/>
    <col min="2079" max="2097" width="20.7109375" style="33" customWidth="1"/>
    <col min="2098" max="2098" width="12.140625" style="33" customWidth="1"/>
    <col min="2099" max="2329" width="9.140625" style="33"/>
    <col min="2330" max="2331" width="0" style="33" hidden="1" customWidth="1"/>
    <col min="2332" max="2332" width="29.42578125" style="33" customWidth="1"/>
    <col min="2333" max="2333" width="75.7109375" style="33" customWidth="1"/>
    <col min="2334" max="2334" width="0" style="33" hidden="1" customWidth="1"/>
    <col min="2335" max="2353" width="20.7109375" style="33" customWidth="1"/>
    <col min="2354" max="2354" width="12.140625" style="33" customWidth="1"/>
    <col min="2355" max="2585" width="9.140625" style="33"/>
    <col min="2586" max="2587" width="0" style="33" hidden="1" customWidth="1"/>
    <col min="2588" max="2588" width="29.42578125" style="33" customWidth="1"/>
    <col min="2589" max="2589" width="75.7109375" style="33" customWidth="1"/>
    <col min="2590" max="2590" width="0" style="33" hidden="1" customWidth="1"/>
    <col min="2591" max="2609" width="20.7109375" style="33" customWidth="1"/>
    <col min="2610" max="2610" width="12.140625" style="33" customWidth="1"/>
    <col min="2611" max="2841" width="9.140625" style="33"/>
    <col min="2842" max="2843" width="0" style="33" hidden="1" customWidth="1"/>
    <col min="2844" max="2844" width="29.42578125" style="33" customWidth="1"/>
    <col min="2845" max="2845" width="75.7109375" style="33" customWidth="1"/>
    <col min="2846" max="2846" width="0" style="33" hidden="1" customWidth="1"/>
    <col min="2847" max="2865" width="20.7109375" style="33" customWidth="1"/>
    <col min="2866" max="2866" width="12.140625" style="33" customWidth="1"/>
    <col min="2867" max="3097" width="9.140625" style="33"/>
    <col min="3098" max="3099" width="0" style="33" hidden="1" customWidth="1"/>
    <col min="3100" max="3100" width="29.42578125" style="33" customWidth="1"/>
    <col min="3101" max="3101" width="75.7109375" style="33" customWidth="1"/>
    <col min="3102" max="3102" width="0" style="33" hidden="1" customWidth="1"/>
    <col min="3103" max="3121" width="20.7109375" style="33" customWidth="1"/>
    <col min="3122" max="3122" width="12.140625" style="33" customWidth="1"/>
    <col min="3123" max="3353" width="9.140625" style="33"/>
    <col min="3354" max="3355" width="0" style="33" hidden="1" customWidth="1"/>
    <col min="3356" max="3356" width="29.42578125" style="33" customWidth="1"/>
    <col min="3357" max="3357" width="75.7109375" style="33" customWidth="1"/>
    <col min="3358" max="3358" width="0" style="33" hidden="1" customWidth="1"/>
    <col min="3359" max="3377" width="20.7109375" style="33" customWidth="1"/>
    <col min="3378" max="3378" width="12.140625" style="33" customWidth="1"/>
    <col min="3379" max="3609" width="9.140625" style="33"/>
    <col min="3610" max="3611" width="0" style="33" hidden="1" customWidth="1"/>
    <col min="3612" max="3612" width="29.42578125" style="33" customWidth="1"/>
    <col min="3613" max="3613" width="75.7109375" style="33" customWidth="1"/>
    <col min="3614" max="3614" width="0" style="33" hidden="1" customWidth="1"/>
    <col min="3615" max="3633" width="20.7109375" style="33" customWidth="1"/>
    <col min="3634" max="3634" width="12.140625" style="33" customWidth="1"/>
    <col min="3635" max="3865" width="9.140625" style="33"/>
    <col min="3866" max="3867" width="0" style="33" hidden="1" customWidth="1"/>
    <col min="3868" max="3868" width="29.42578125" style="33" customWidth="1"/>
    <col min="3869" max="3869" width="75.7109375" style="33" customWidth="1"/>
    <col min="3870" max="3870" width="0" style="33" hidden="1" customWidth="1"/>
    <col min="3871" max="3889" width="20.7109375" style="33" customWidth="1"/>
    <col min="3890" max="3890" width="12.140625" style="33" customWidth="1"/>
    <col min="3891" max="4121" width="9.140625" style="33"/>
    <col min="4122" max="4123" width="0" style="33" hidden="1" customWidth="1"/>
    <col min="4124" max="4124" width="29.42578125" style="33" customWidth="1"/>
    <col min="4125" max="4125" width="75.7109375" style="33" customWidth="1"/>
    <col min="4126" max="4126" width="0" style="33" hidden="1" customWidth="1"/>
    <col min="4127" max="4145" width="20.7109375" style="33" customWidth="1"/>
    <col min="4146" max="4146" width="12.140625" style="33" customWidth="1"/>
    <col min="4147" max="4377" width="9.140625" style="33"/>
    <col min="4378" max="4379" width="0" style="33" hidden="1" customWidth="1"/>
    <col min="4380" max="4380" width="29.42578125" style="33" customWidth="1"/>
    <col min="4381" max="4381" width="75.7109375" style="33" customWidth="1"/>
    <col min="4382" max="4382" width="0" style="33" hidden="1" customWidth="1"/>
    <col min="4383" max="4401" width="20.7109375" style="33" customWidth="1"/>
    <col min="4402" max="4402" width="12.140625" style="33" customWidth="1"/>
    <col min="4403" max="4633" width="9.140625" style="33"/>
    <col min="4634" max="4635" width="0" style="33" hidden="1" customWidth="1"/>
    <col min="4636" max="4636" width="29.42578125" style="33" customWidth="1"/>
    <col min="4637" max="4637" width="75.7109375" style="33" customWidth="1"/>
    <col min="4638" max="4638" width="0" style="33" hidden="1" customWidth="1"/>
    <col min="4639" max="4657" width="20.7109375" style="33" customWidth="1"/>
    <col min="4658" max="4658" width="12.140625" style="33" customWidth="1"/>
    <col min="4659" max="4889" width="9.140625" style="33"/>
    <col min="4890" max="4891" width="0" style="33" hidden="1" customWidth="1"/>
    <col min="4892" max="4892" width="29.42578125" style="33" customWidth="1"/>
    <col min="4893" max="4893" width="75.7109375" style="33" customWidth="1"/>
    <col min="4894" max="4894" width="0" style="33" hidden="1" customWidth="1"/>
    <col min="4895" max="4913" width="20.7109375" style="33" customWidth="1"/>
    <col min="4914" max="4914" width="12.140625" style="33" customWidth="1"/>
    <col min="4915" max="5145" width="9.140625" style="33"/>
    <col min="5146" max="5147" width="0" style="33" hidden="1" customWidth="1"/>
    <col min="5148" max="5148" width="29.42578125" style="33" customWidth="1"/>
    <col min="5149" max="5149" width="75.7109375" style="33" customWidth="1"/>
    <col min="5150" max="5150" width="0" style="33" hidden="1" customWidth="1"/>
    <col min="5151" max="5169" width="20.7109375" style="33" customWidth="1"/>
    <col min="5170" max="5170" width="12.140625" style="33" customWidth="1"/>
    <col min="5171" max="5401" width="9.140625" style="33"/>
    <col min="5402" max="5403" width="0" style="33" hidden="1" customWidth="1"/>
    <col min="5404" max="5404" width="29.42578125" style="33" customWidth="1"/>
    <col min="5405" max="5405" width="75.7109375" style="33" customWidth="1"/>
    <col min="5406" max="5406" width="0" style="33" hidden="1" customWidth="1"/>
    <col min="5407" max="5425" width="20.7109375" style="33" customWidth="1"/>
    <col min="5426" max="5426" width="12.140625" style="33" customWidth="1"/>
    <col min="5427" max="5657" width="9.140625" style="33"/>
    <col min="5658" max="5659" width="0" style="33" hidden="1" customWidth="1"/>
    <col min="5660" max="5660" width="29.42578125" style="33" customWidth="1"/>
    <col min="5661" max="5661" width="75.7109375" style="33" customWidth="1"/>
    <col min="5662" max="5662" width="0" style="33" hidden="1" customWidth="1"/>
    <col min="5663" max="5681" width="20.7109375" style="33" customWidth="1"/>
    <col min="5682" max="5682" width="12.140625" style="33" customWidth="1"/>
    <col min="5683" max="5913" width="9.140625" style="33"/>
    <col min="5914" max="5915" width="0" style="33" hidden="1" customWidth="1"/>
    <col min="5916" max="5916" width="29.42578125" style="33" customWidth="1"/>
    <col min="5917" max="5917" width="75.7109375" style="33" customWidth="1"/>
    <col min="5918" max="5918" width="0" style="33" hidden="1" customWidth="1"/>
    <col min="5919" max="5937" width="20.7109375" style="33" customWidth="1"/>
    <col min="5938" max="5938" width="12.140625" style="33" customWidth="1"/>
    <col min="5939" max="6169" width="9.140625" style="33"/>
    <col min="6170" max="6171" width="0" style="33" hidden="1" customWidth="1"/>
    <col min="6172" max="6172" width="29.42578125" style="33" customWidth="1"/>
    <col min="6173" max="6173" width="75.7109375" style="33" customWidth="1"/>
    <col min="6174" max="6174" width="0" style="33" hidden="1" customWidth="1"/>
    <col min="6175" max="6193" width="20.7109375" style="33" customWidth="1"/>
    <col min="6194" max="6194" width="12.140625" style="33" customWidth="1"/>
    <col min="6195" max="6425" width="9.140625" style="33"/>
    <col min="6426" max="6427" width="0" style="33" hidden="1" customWidth="1"/>
    <col min="6428" max="6428" width="29.42578125" style="33" customWidth="1"/>
    <col min="6429" max="6429" width="75.7109375" style="33" customWidth="1"/>
    <col min="6430" max="6430" width="0" style="33" hidden="1" customWidth="1"/>
    <col min="6431" max="6449" width="20.7109375" style="33" customWidth="1"/>
    <col min="6450" max="6450" width="12.140625" style="33" customWidth="1"/>
    <col min="6451" max="6681" width="9.140625" style="33"/>
    <col min="6682" max="6683" width="0" style="33" hidden="1" customWidth="1"/>
    <col min="6684" max="6684" width="29.42578125" style="33" customWidth="1"/>
    <col min="6685" max="6685" width="75.7109375" style="33" customWidth="1"/>
    <col min="6686" max="6686" width="0" style="33" hidden="1" customWidth="1"/>
    <col min="6687" max="6705" width="20.7109375" style="33" customWidth="1"/>
    <col min="6706" max="6706" width="12.140625" style="33" customWidth="1"/>
    <col min="6707" max="6937" width="9.140625" style="33"/>
    <col min="6938" max="6939" width="0" style="33" hidden="1" customWidth="1"/>
    <col min="6940" max="6940" width="29.42578125" style="33" customWidth="1"/>
    <col min="6941" max="6941" width="75.7109375" style="33" customWidth="1"/>
    <col min="6942" max="6942" width="0" style="33" hidden="1" customWidth="1"/>
    <col min="6943" max="6961" width="20.7109375" style="33" customWidth="1"/>
    <col min="6962" max="6962" width="12.140625" style="33" customWidth="1"/>
    <col min="6963" max="7193" width="9.140625" style="33"/>
    <col min="7194" max="7195" width="0" style="33" hidden="1" customWidth="1"/>
    <col min="7196" max="7196" width="29.42578125" style="33" customWidth="1"/>
    <col min="7197" max="7197" width="75.7109375" style="33" customWidth="1"/>
    <col min="7198" max="7198" width="0" style="33" hidden="1" customWidth="1"/>
    <col min="7199" max="7217" width="20.7109375" style="33" customWidth="1"/>
    <col min="7218" max="7218" width="12.140625" style="33" customWidth="1"/>
    <col min="7219" max="7449" width="9.140625" style="33"/>
    <col min="7450" max="7451" width="0" style="33" hidden="1" customWidth="1"/>
    <col min="7452" max="7452" width="29.42578125" style="33" customWidth="1"/>
    <col min="7453" max="7453" width="75.7109375" style="33" customWidth="1"/>
    <col min="7454" max="7454" width="0" style="33" hidden="1" customWidth="1"/>
    <col min="7455" max="7473" width="20.7109375" style="33" customWidth="1"/>
    <col min="7474" max="7474" width="12.140625" style="33" customWidth="1"/>
    <col min="7475" max="7705" width="9.140625" style="33"/>
    <col min="7706" max="7707" width="0" style="33" hidden="1" customWidth="1"/>
    <col min="7708" max="7708" width="29.42578125" style="33" customWidth="1"/>
    <col min="7709" max="7709" width="75.7109375" style="33" customWidth="1"/>
    <col min="7710" max="7710" width="0" style="33" hidden="1" customWidth="1"/>
    <col min="7711" max="7729" width="20.7109375" style="33" customWidth="1"/>
    <col min="7730" max="7730" width="12.140625" style="33" customWidth="1"/>
    <col min="7731" max="7961" width="9.140625" style="33"/>
    <col min="7962" max="7963" width="0" style="33" hidden="1" customWidth="1"/>
    <col min="7964" max="7964" width="29.42578125" style="33" customWidth="1"/>
    <col min="7965" max="7965" width="75.7109375" style="33" customWidth="1"/>
    <col min="7966" max="7966" width="0" style="33" hidden="1" customWidth="1"/>
    <col min="7967" max="7985" width="20.7109375" style="33" customWidth="1"/>
    <col min="7986" max="7986" width="12.140625" style="33" customWidth="1"/>
    <col min="7987" max="8217" width="9.140625" style="33"/>
    <col min="8218" max="8219" width="0" style="33" hidden="1" customWidth="1"/>
    <col min="8220" max="8220" width="29.42578125" style="33" customWidth="1"/>
    <col min="8221" max="8221" width="75.7109375" style="33" customWidth="1"/>
    <col min="8222" max="8222" width="0" style="33" hidden="1" customWidth="1"/>
    <col min="8223" max="8241" width="20.7109375" style="33" customWidth="1"/>
    <col min="8242" max="8242" width="12.140625" style="33" customWidth="1"/>
    <col min="8243" max="8473" width="9.140625" style="33"/>
    <col min="8474" max="8475" width="0" style="33" hidden="1" customWidth="1"/>
    <col min="8476" max="8476" width="29.42578125" style="33" customWidth="1"/>
    <col min="8477" max="8477" width="75.7109375" style="33" customWidth="1"/>
    <col min="8478" max="8478" width="0" style="33" hidden="1" customWidth="1"/>
    <col min="8479" max="8497" width="20.7109375" style="33" customWidth="1"/>
    <col min="8498" max="8498" width="12.140625" style="33" customWidth="1"/>
    <col min="8499" max="8729" width="9.140625" style="33"/>
    <col min="8730" max="8731" width="0" style="33" hidden="1" customWidth="1"/>
    <col min="8732" max="8732" width="29.42578125" style="33" customWidth="1"/>
    <col min="8733" max="8733" width="75.7109375" style="33" customWidth="1"/>
    <col min="8734" max="8734" width="0" style="33" hidden="1" customWidth="1"/>
    <col min="8735" max="8753" width="20.7109375" style="33" customWidth="1"/>
    <col min="8754" max="8754" width="12.140625" style="33" customWidth="1"/>
    <col min="8755" max="8985" width="9.140625" style="33"/>
    <col min="8986" max="8987" width="0" style="33" hidden="1" customWidth="1"/>
    <col min="8988" max="8988" width="29.42578125" style="33" customWidth="1"/>
    <col min="8989" max="8989" width="75.7109375" style="33" customWidth="1"/>
    <col min="8990" max="8990" width="0" style="33" hidden="1" customWidth="1"/>
    <col min="8991" max="9009" width="20.7109375" style="33" customWidth="1"/>
    <col min="9010" max="9010" width="12.140625" style="33" customWidth="1"/>
    <col min="9011" max="9241" width="9.140625" style="33"/>
    <col min="9242" max="9243" width="0" style="33" hidden="1" customWidth="1"/>
    <col min="9244" max="9244" width="29.42578125" style="33" customWidth="1"/>
    <col min="9245" max="9245" width="75.7109375" style="33" customWidth="1"/>
    <col min="9246" max="9246" width="0" style="33" hidden="1" customWidth="1"/>
    <col min="9247" max="9265" width="20.7109375" style="33" customWidth="1"/>
    <col min="9266" max="9266" width="12.140625" style="33" customWidth="1"/>
    <col min="9267" max="9497" width="9.140625" style="33"/>
    <col min="9498" max="9499" width="0" style="33" hidden="1" customWidth="1"/>
    <col min="9500" max="9500" width="29.42578125" style="33" customWidth="1"/>
    <col min="9501" max="9501" width="75.7109375" style="33" customWidth="1"/>
    <col min="9502" max="9502" width="0" style="33" hidden="1" customWidth="1"/>
    <col min="9503" max="9521" width="20.7109375" style="33" customWidth="1"/>
    <col min="9522" max="9522" width="12.140625" style="33" customWidth="1"/>
    <col min="9523" max="9753" width="9.140625" style="33"/>
    <col min="9754" max="9755" width="0" style="33" hidden="1" customWidth="1"/>
    <col min="9756" max="9756" width="29.42578125" style="33" customWidth="1"/>
    <col min="9757" max="9757" width="75.7109375" style="33" customWidth="1"/>
    <col min="9758" max="9758" width="0" style="33" hidden="1" customWidth="1"/>
    <col min="9759" max="9777" width="20.7109375" style="33" customWidth="1"/>
    <col min="9778" max="9778" width="12.140625" style="33" customWidth="1"/>
    <col min="9779" max="10009" width="9.140625" style="33"/>
    <col min="10010" max="10011" width="0" style="33" hidden="1" customWidth="1"/>
    <col min="10012" max="10012" width="29.42578125" style="33" customWidth="1"/>
    <col min="10013" max="10013" width="75.7109375" style="33" customWidth="1"/>
    <col min="10014" max="10014" width="0" style="33" hidden="1" customWidth="1"/>
    <col min="10015" max="10033" width="20.7109375" style="33" customWidth="1"/>
    <col min="10034" max="10034" width="12.140625" style="33" customWidth="1"/>
    <col min="10035" max="10265" width="9.140625" style="33"/>
    <col min="10266" max="10267" width="0" style="33" hidden="1" customWidth="1"/>
    <col min="10268" max="10268" width="29.42578125" style="33" customWidth="1"/>
    <col min="10269" max="10269" width="75.7109375" style="33" customWidth="1"/>
    <col min="10270" max="10270" width="0" style="33" hidden="1" customWidth="1"/>
    <col min="10271" max="10289" width="20.7109375" style="33" customWidth="1"/>
    <col min="10290" max="10290" width="12.140625" style="33" customWidth="1"/>
    <col min="10291" max="10521" width="9.140625" style="33"/>
    <col min="10522" max="10523" width="0" style="33" hidden="1" customWidth="1"/>
    <col min="10524" max="10524" width="29.42578125" style="33" customWidth="1"/>
    <col min="10525" max="10525" width="75.7109375" style="33" customWidth="1"/>
    <col min="10526" max="10526" width="0" style="33" hidden="1" customWidth="1"/>
    <col min="10527" max="10545" width="20.7109375" style="33" customWidth="1"/>
    <col min="10546" max="10546" width="12.140625" style="33" customWidth="1"/>
    <col min="10547" max="10777" width="9.140625" style="33"/>
    <col min="10778" max="10779" width="0" style="33" hidden="1" customWidth="1"/>
    <col min="10780" max="10780" width="29.42578125" style="33" customWidth="1"/>
    <col min="10781" max="10781" width="75.7109375" style="33" customWidth="1"/>
    <col min="10782" max="10782" width="0" style="33" hidden="1" customWidth="1"/>
    <col min="10783" max="10801" width="20.7109375" style="33" customWidth="1"/>
    <col min="10802" max="10802" width="12.140625" style="33" customWidth="1"/>
    <col min="10803" max="11033" width="9.140625" style="33"/>
    <col min="11034" max="11035" width="0" style="33" hidden="1" customWidth="1"/>
    <col min="11036" max="11036" width="29.42578125" style="33" customWidth="1"/>
    <col min="11037" max="11037" width="75.7109375" style="33" customWidth="1"/>
    <col min="11038" max="11038" width="0" style="33" hidden="1" customWidth="1"/>
    <col min="11039" max="11057" width="20.7109375" style="33" customWidth="1"/>
    <col min="11058" max="11058" width="12.140625" style="33" customWidth="1"/>
    <col min="11059" max="11289" width="9.140625" style="33"/>
    <col min="11290" max="11291" width="0" style="33" hidden="1" customWidth="1"/>
    <col min="11292" max="11292" width="29.42578125" style="33" customWidth="1"/>
    <col min="11293" max="11293" width="75.7109375" style="33" customWidth="1"/>
    <col min="11294" max="11294" width="0" style="33" hidden="1" customWidth="1"/>
    <col min="11295" max="11313" width="20.7109375" style="33" customWidth="1"/>
    <col min="11314" max="11314" width="12.140625" style="33" customWidth="1"/>
    <col min="11315" max="11545" width="9.140625" style="33"/>
    <col min="11546" max="11547" width="0" style="33" hidden="1" customWidth="1"/>
    <col min="11548" max="11548" width="29.42578125" style="33" customWidth="1"/>
    <col min="11549" max="11549" width="75.7109375" style="33" customWidth="1"/>
    <col min="11550" max="11550" width="0" style="33" hidden="1" customWidth="1"/>
    <col min="11551" max="11569" width="20.7109375" style="33" customWidth="1"/>
    <col min="11570" max="11570" width="12.140625" style="33" customWidth="1"/>
    <col min="11571" max="11801" width="9.140625" style="33"/>
    <col min="11802" max="11803" width="0" style="33" hidden="1" customWidth="1"/>
    <col min="11804" max="11804" width="29.42578125" style="33" customWidth="1"/>
    <col min="11805" max="11805" width="75.7109375" style="33" customWidth="1"/>
    <col min="11806" max="11806" width="0" style="33" hidden="1" customWidth="1"/>
    <col min="11807" max="11825" width="20.7109375" style="33" customWidth="1"/>
    <col min="11826" max="11826" width="12.140625" style="33" customWidth="1"/>
    <col min="11827" max="12057" width="9.140625" style="33"/>
    <col min="12058" max="12059" width="0" style="33" hidden="1" customWidth="1"/>
    <col min="12060" max="12060" width="29.42578125" style="33" customWidth="1"/>
    <col min="12061" max="12061" width="75.7109375" style="33" customWidth="1"/>
    <col min="12062" max="12062" width="0" style="33" hidden="1" customWidth="1"/>
    <col min="12063" max="12081" width="20.7109375" style="33" customWidth="1"/>
    <col min="12082" max="12082" width="12.140625" style="33" customWidth="1"/>
    <col min="12083" max="12313" width="9.140625" style="33"/>
    <col min="12314" max="12315" width="0" style="33" hidden="1" customWidth="1"/>
    <col min="12316" max="12316" width="29.42578125" style="33" customWidth="1"/>
    <col min="12317" max="12317" width="75.7109375" style="33" customWidth="1"/>
    <col min="12318" max="12318" width="0" style="33" hidden="1" customWidth="1"/>
    <col min="12319" max="12337" width="20.7109375" style="33" customWidth="1"/>
    <col min="12338" max="12338" width="12.140625" style="33" customWidth="1"/>
    <col min="12339" max="12569" width="9.140625" style="33"/>
    <col min="12570" max="12571" width="0" style="33" hidden="1" customWidth="1"/>
    <col min="12572" max="12572" width="29.42578125" style="33" customWidth="1"/>
    <col min="12573" max="12573" width="75.7109375" style="33" customWidth="1"/>
    <col min="12574" max="12574" width="0" style="33" hidden="1" customWidth="1"/>
    <col min="12575" max="12593" width="20.7109375" style="33" customWidth="1"/>
    <col min="12594" max="12594" width="12.140625" style="33" customWidth="1"/>
    <col min="12595" max="12825" width="9.140625" style="33"/>
    <col min="12826" max="12827" width="0" style="33" hidden="1" customWidth="1"/>
    <col min="12828" max="12828" width="29.42578125" style="33" customWidth="1"/>
    <col min="12829" max="12829" width="75.7109375" style="33" customWidth="1"/>
    <col min="12830" max="12830" width="0" style="33" hidden="1" customWidth="1"/>
    <col min="12831" max="12849" width="20.7109375" style="33" customWidth="1"/>
    <col min="12850" max="12850" width="12.140625" style="33" customWidth="1"/>
    <col min="12851" max="13081" width="9.140625" style="33"/>
    <col min="13082" max="13083" width="0" style="33" hidden="1" customWidth="1"/>
    <col min="13084" max="13084" width="29.42578125" style="33" customWidth="1"/>
    <col min="13085" max="13085" width="75.7109375" style="33" customWidth="1"/>
    <col min="13086" max="13086" width="0" style="33" hidden="1" customWidth="1"/>
    <col min="13087" max="13105" width="20.7109375" style="33" customWidth="1"/>
    <col min="13106" max="13106" width="12.140625" style="33" customWidth="1"/>
    <col min="13107" max="13337" width="9.140625" style="33"/>
    <col min="13338" max="13339" width="0" style="33" hidden="1" customWidth="1"/>
    <col min="13340" max="13340" width="29.42578125" style="33" customWidth="1"/>
    <col min="13341" max="13341" width="75.7109375" style="33" customWidth="1"/>
    <col min="13342" max="13342" width="0" style="33" hidden="1" customWidth="1"/>
    <col min="13343" max="13361" width="20.7109375" style="33" customWidth="1"/>
    <col min="13362" max="13362" width="12.140625" style="33" customWidth="1"/>
    <col min="13363" max="13593" width="9.140625" style="33"/>
    <col min="13594" max="13595" width="0" style="33" hidden="1" customWidth="1"/>
    <col min="13596" max="13596" width="29.42578125" style="33" customWidth="1"/>
    <col min="13597" max="13597" width="75.7109375" style="33" customWidth="1"/>
    <col min="13598" max="13598" width="0" style="33" hidden="1" customWidth="1"/>
    <col min="13599" max="13617" width="20.7109375" style="33" customWidth="1"/>
    <col min="13618" max="13618" width="12.140625" style="33" customWidth="1"/>
    <col min="13619" max="13849" width="9.140625" style="33"/>
    <col min="13850" max="13851" width="0" style="33" hidden="1" customWidth="1"/>
    <col min="13852" max="13852" width="29.42578125" style="33" customWidth="1"/>
    <col min="13853" max="13853" width="75.7109375" style="33" customWidth="1"/>
    <col min="13854" max="13854" width="0" style="33" hidden="1" customWidth="1"/>
    <col min="13855" max="13873" width="20.7109375" style="33" customWidth="1"/>
    <col min="13874" max="13874" width="12.140625" style="33" customWidth="1"/>
    <col min="13875" max="14105" width="9.140625" style="33"/>
    <col min="14106" max="14107" width="0" style="33" hidden="1" customWidth="1"/>
    <col min="14108" max="14108" width="29.42578125" style="33" customWidth="1"/>
    <col min="14109" max="14109" width="75.7109375" style="33" customWidth="1"/>
    <col min="14110" max="14110" width="0" style="33" hidden="1" customWidth="1"/>
    <col min="14111" max="14129" width="20.7109375" style="33" customWidth="1"/>
    <col min="14130" max="14130" width="12.140625" style="33" customWidth="1"/>
    <col min="14131" max="14361" width="9.140625" style="33"/>
    <col min="14362" max="14363" width="0" style="33" hidden="1" customWidth="1"/>
    <col min="14364" max="14364" width="29.42578125" style="33" customWidth="1"/>
    <col min="14365" max="14365" width="75.7109375" style="33" customWidth="1"/>
    <col min="14366" max="14366" width="0" style="33" hidden="1" customWidth="1"/>
    <col min="14367" max="14385" width="20.7109375" style="33" customWidth="1"/>
    <col min="14386" max="14386" width="12.140625" style="33" customWidth="1"/>
    <col min="14387" max="14617" width="9.140625" style="33"/>
    <col min="14618" max="14619" width="0" style="33" hidden="1" customWidth="1"/>
    <col min="14620" max="14620" width="29.42578125" style="33" customWidth="1"/>
    <col min="14621" max="14621" width="75.7109375" style="33" customWidth="1"/>
    <col min="14622" max="14622" width="0" style="33" hidden="1" customWidth="1"/>
    <col min="14623" max="14641" width="20.7109375" style="33" customWidth="1"/>
    <col min="14642" max="14642" width="12.140625" style="33" customWidth="1"/>
    <col min="14643" max="14873" width="9.140625" style="33"/>
    <col min="14874" max="14875" width="0" style="33" hidden="1" customWidth="1"/>
    <col min="14876" max="14876" width="29.42578125" style="33" customWidth="1"/>
    <col min="14877" max="14877" width="75.7109375" style="33" customWidth="1"/>
    <col min="14878" max="14878" width="0" style="33" hidden="1" customWidth="1"/>
    <col min="14879" max="14897" width="20.7109375" style="33" customWidth="1"/>
    <col min="14898" max="14898" width="12.140625" style="33" customWidth="1"/>
    <col min="14899" max="15129" width="9.140625" style="33"/>
    <col min="15130" max="15131" width="0" style="33" hidden="1" customWidth="1"/>
    <col min="15132" max="15132" width="29.42578125" style="33" customWidth="1"/>
    <col min="15133" max="15133" width="75.7109375" style="33" customWidth="1"/>
    <col min="15134" max="15134" width="0" style="33" hidden="1" customWidth="1"/>
    <col min="15135" max="15153" width="20.7109375" style="33" customWidth="1"/>
    <col min="15154" max="15154" width="12.140625" style="33" customWidth="1"/>
    <col min="15155" max="15385" width="9.140625" style="33"/>
    <col min="15386" max="15387" width="0" style="33" hidden="1" customWidth="1"/>
    <col min="15388" max="15388" width="29.42578125" style="33" customWidth="1"/>
    <col min="15389" max="15389" width="75.7109375" style="33" customWidth="1"/>
    <col min="15390" max="15390" width="0" style="33" hidden="1" customWidth="1"/>
    <col min="15391" max="15409" width="20.7109375" style="33" customWidth="1"/>
    <col min="15410" max="15410" width="12.140625" style="33" customWidth="1"/>
    <col min="15411" max="15641" width="9.140625" style="33"/>
    <col min="15642" max="15643" width="0" style="33" hidden="1" customWidth="1"/>
    <col min="15644" max="15644" width="29.42578125" style="33" customWidth="1"/>
    <col min="15645" max="15645" width="75.7109375" style="33" customWidth="1"/>
    <col min="15646" max="15646" width="0" style="33" hidden="1" customWidth="1"/>
    <col min="15647" max="15665" width="20.7109375" style="33" customWidth="1"/>
    <col min="15666" max="15666" width="12.140625" style="33" customWidth="1"/>
    <col min="15667" max="15897" width="9.140625" style="33"/>
    <col min="15898" max="15899" width="0" style="33" hidden="1" customWidth="1"/>
    <col min="15900" max="15900" width="29.42578125" style="33" customWidth="1"/>
    <col min="15901" max="15901" width="75.7109375" style="33" customWidth="1"/>
    <col min="15902" max="15902" width="0" style="33" hidden="1" customWidth="1"/>
    <col min="15903" max="15921" width="20.7109375" style="33" customWidth="1"/>
    <col min="15922" max="15922" width="12.140625" style="33" customWidth="1"/>
    <col min="15923" max="16153" width="9.140625" style="33"/>
    <col min="16154" max="16155" width="0" style="33" hidden="1" customWidth="1"/>
    <col min="16156" max="16156" width="29.42578125" style="33" customWidth="1"/>
    <col min="16157" max="16157" width="75.7109375" style="33" customWidth="1"/>
    <col min="16158" max="16158" width="0" style="33" hidden="1" customWidth="1"/>
    <col min="16159" max="16177" width="20.7109375" style="33" customWidth="1"/>
    <col min="16178" max="16178" width="12.140625" style="33" customWidth="1"/>
    <col min="16179" max="16384" width="9.140625" style="33"/>
  </cols>
  <sheetData>
    <row r="1" spans="1:50" s="1" customFormat="1" x14ac:dyDescent="0.2">
      <c r="AA1" s="2"/>
      <c r="AB1" s="3"/>
    </row>
    <row r="2" spans="1:50" s="4" customFormat="1" ht="20.25" x14ac:dyDescent="0.3">
      <c r="A2" s="339" t="s">
        <v>0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  <c r="V2" s="339"/>
      <c r="W2" s="339"/>
      <c r="X2" s="339"/>
      <c r="Y2" s="339"/>
      <c r="Z2" s="339"/>
      <c r="AA2" s="339"/>
      <c r="AB2" s="339"/>
      <c r="AC2" s="339"/>
      <c r="AD2" s="339"/>
      <c r="AE2" s="339"/>
      <c r="AF2" s="339"/>
      <c r="AG2" s="339"/>
      <c r="AH2" s="339"/>
      <c r="AI2" s="339"/>
      <c r="AJ2" s="339"/>
      <c r="AK2" s="339"/>
      <c r="AL2" s="339"/>
      <c r="AM2" s="339"/>
      <c r="AN2" s="339"/>
      <c r="AO2" s="339"/>
      <c r="AP2" s="339"/>
      <c r="AQ2" s="339"/>
      <c r="AR2" s="339"/>
      <c r="AS2" s="339"/>
      <c r="AT2" s="339"/>
      <c r="AU2" s="339"/>
      <c r="AV2" s="339"/>
      <c r="AW2" s="339"/>
    </row>
    <row r="3" spans="1:50" s="4" customFormat="1" ht="20.25" x14ac:dyDescent="0.3">
      <c r="A3" s="339" t="s">
        <v>1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  <c r="AJ3" s="339"/>
      <c r="AK3" s="339"/>
      <c r="AL3" s="339"/>
      <c r="AM3" s="339"/>
      <c r="AN3" s="339"/>
      <c r="AO3" s="339"/>
      <c r="AP3" s="339"/>
      <c r="AQ3" s="339"/>
      <c r="AR3" s="339"/>
      <c r="AS3" s="339"/>
      <c r="AT3" s="339"/>
      <c r="AU3" s="339"/>
      <c r="AV3" s="339"/>
      <c r="AW3" s="339"/>
    </row>
    <row r="4" spans="1:50" s="4" customFormat="1" ht="20.25" x14ac:dyDescent="0.3">
      <c r="A4" s="339" t="s">
        <v>915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</row>
    <row r="5" spans="1:50" s="4" customFormat="1" ht="20.25" x14ac:dyDescent="0.3">
      <c r="A5" s="339" t="s">
        <v>1336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39"/>
      <c r="AM5" s="339"/>
      <c r="AN5" s="339"/>
      <c r="AO5" s="339"/>
      <c r="AP5" s="339"/>
      <c r="AQ5" s="339"/>
      <c r="AR5" s="339"/>
      <c r="AS5" s="339"/>
      <c r="AT5" s="339"/>
      <c r="AU5" s="339"/>
      <c r="AV5" s="339"/>
      <c r="AW5" s="339"/>
    </row>
    <row r="6" spans="1:50" s="4" customFormat="1" ht="16.5" customHeight="1" x14ac:dyDescent="0.3">
      <c r="A6" s="299"/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6"/>
      <c r="AB6" s="7"/>
      <c r="AC6" s="299"/>
      <c r="AD6" s="8"/>
      <c r="AE6" s="8"/>
      <c r="AF6" s="8"/>
      <c r="AG6" s="8"/>
      <c r="AH6" s="8"/>
      <c r="AI6" s="8"/>
      <c r="AJ6" s="8"/>
      <c r="AK6" s="184"/>
      <c r="AL6" s="8"/>
      <c r="AP6" s="8"/>
      <c r="AR6" s="8"/>
      <c r="AS6" s="8"/>
      <c r="AT6" s="8"/>
      <c r="AU6" s="8"/>
      <c r="AV6" s="8"/>
      <c r="AW6" s="8"/>
    </row>
    <row r="7" spans="1:50" s="4" customFormat="1" ht="16.5" customHeight="1" x14ac:dyDescent="0.2">
      <c r="A7" s="340" t="s">
        <v>3</v>
      </c>
      <c r="B7" s="341" t="s">
        <v>4</v>
      </c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42" t="s">
        <v>5</v>
      </c>
      <c r="AB7" s="337" t="s">
        <v>6</v>
      </c>
      <c r="AC7" s="337" t="s">
        <v>7</v>
      </c>
      <c r="AD7" s="342" t="s">
        <v>8</v>
      </c>
      <c r="AE7" s="342" t="s">
        <v>9</v>
      </c>
      <c r="AF7" s="337" t="s">
        <v>10</v>
      </c>
      <c r="AG7" s="337" t="s">
        <v>11</v>
      </c>
      <c r="AH7" s="337" t="s">
        <v>12</v>
      </c>
      <c r="AI7" s="337" t="s">
        <v>13</v>
      </c>
      <c r="AJ7" s="337" t="s">
        <v>14</v>
      </c>
      <c r="AK7" s="338" t="s">
        <v>15</v>
      </c>
      <c r="AL7" s="338"/>
      <c r="AM7" s="338"/>
      <c r="AN7" s="338" t="s">
        <v>16</v>
      </c>
      <c r="AO7" s="338"/>
      <c r="AP7" s="338"/>
      <c r="AQ7" s="338" t="s">
        <v>17</v>
      </c>
      <c r="AR7" s="338"/>
      <c r="AS7" s="338"/>
      <c r="AT7" s="301"/>
      <c r="AU7" s="337" t="s">
        <v>18</v>
      </c>
      <c r="AV7" s="337" t="s">
        <v>19</v>
      </c>
      <c r="AW7" s="337" t="s">
        <v>20</v>
      </c>
      <c r="AX7" s="337" t="s">
        <v>21</v>
      </c>
    </row>
    <row r="8" spans="1:50" s="4" customFormat="1" ht="30" customHeight="1" x14ac:dyDescent="0.2">
      <c r="A8" s="340"/>
      <c r="B8" s="341"/>
      <c r="C8" s="300" t="s">
        <v>949</v>
      </c>
      <c r="D8" s="300" t="s">
        <v>950</v>
      </c>
      <c r="E8" s="300" t="s">
        <v>951</v>
      </c>
      <c r="F8" s="300" t="s">
        <v>952</v>
      </c>
      <c r="G8" s="300" t="s">
        <v>919</v>
      </c>
      <c r="H8" s="300" t="s">
        <v>920</v>
      </c>
      <c r="I8" s="300" t="s">
        <v>929</v>
      </c>
      <c r="J8" s="300" t="s">
        <v>930</v>
      </c>
      <c r="K8" s="300" t="s">
        <v>921</v>
      </c>
      <c r="L8" s="300" t="s">
        <v>922</v>
      </c>
      <c r="M8" s="300" t="s">
        <v>923</v>
      </c>
      <c r="N8" s="300" t="s">
        <v>924</v>
      </c>
      <c r="O8" s="300" t="s">
        <v>925</v>
      </c>
      <c r="P8" s="300" t="s">
        <v>926</v>
      </c>
      <c r="Q8" s="300" t="s">
        <v>927</v>
      </c>
      <c r="R8" s="300" t="s">
        <v>928</v>
      </c>
      <c r="S8" s="300" t="s">
        <v>953</v>
      </c>
      <c r="T8" s="300" t="s">
        <v>954</v>
      </c>
      <c r="U8" s="300" t="s">
        <v>955</v>
      </c>
      <c r="V8" s="300" t="s">
        <v>956</v>
      </c>
      <c r="W8" s="300" t="s">
        <v>957</v>
      </c>
      <c r="X8" s="300" t="s">
        <v>931</v>
      </c>
      <c r="Y8" s="300"/>
      <c r="Z8" s="300"/>
      <c r="AA8" s="342"/>
      <c r="AB8" s="337"/>
      <c r="AC8" s="337"/>
      <c r="AD8" s="342"/>
      <c r="AE8" s="342"/>
      <c r="AF8" s="337"/>
      <c r="AG8" s="337"/>
      <c r="AH8" s="337"/>
      <c r="AI8" s="337"/>
      <c r="AJ8" s="337"/>
      <c r="AK8" s="298" t="s">
        <v>22</v>
      </c>
      <c r="AL8" s="298" t="s">
        <v>23</v>
      </c>
      <c r="AM8" s="298" t="s">
        <v>24</v>
      </c>
      <c r="AN8" s="298" t="s">
        <v>25</v>
      </c>
      <c r="AO8" s="298" t="s">
        <v>26</v>
      </c>
      <c r="AP8" s="298" t="s">
        <v>27</v>
      </c>
      <c r="AQ8" s="298" t="s">
        <v>28</v>
      </c>
      <c r="AR8" s="298" t="s">
        <v>29</v>
      </c>
      <c r="AS8" s="298" t="s">
        <v>30</v>
      </c>
      <c r="AT8" s="298" t="s">
        <v>31</v>
      </c>
      <c r="AU8" s="337"/>
      <c r="AV8" s="337"/>
      <c r="AW8" s="337"/>
      <c r="AX8" s="337"/>
    </row>
    <row r="9" spans="1:50" s="4" customFormat="1" ht="18" customHeight="1" x14ac:dyDescent="0.2">
      <c r="A9" s="340"/>
      <c r="B9" s="341"/>
      <c r="C9" s="300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42"/>
      <c r="AB9" s="337"/>
      <c r="AC9" s="337"/>
      <c r="AD9" s="301">
        <v>1</v>
      </c>
      <c r="AE9" s="11"/>
      <c r="AF9" s="12"/>
      <c r="AG9" s="12"/>
      <c r="AH9" s="12"/>
      <c r="AI9" s="298">
        <v>2</v>
      </c>
      <c r="AJ9" s="301" t="s">
        <v>32</v>
      </c>
      <c r="AK9" s="301"/>
      <c r="AL9" s="301"/>
      <c r="AM9" s="301">
        <v>5</v>
      </c>
      <c r="AN9" s="301"/>
      <c r="AO9" s="301"/>
      <c r="AP9" s="301">
        <v>7</v>
      </c>
      <c r="AQ9" s="301"/>
      <c r="AR9" s="301"/>
      <c r="AS9" s="301">
        <v>9</v>
      </c>
      <c r="AT9" s="301"/>
      <c r="AU9" s="301" t="s">
        <v>33</v>
      </c>
      <c r="AV9" s="301" t="s">
        <v>34</v>
      </c>
      <c r="AW9" s="301" t="s">
        <v>35</v>
      </c>
      <c r="AX9" s="13" t="s">
        <v>36</v>
      </c>
    </row>
    <row r="10" spans="1:50" s="14" customForma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6"/>
      <c r="AB10" s="17"/>
      <c r="AC10" s="17"/>
      <c r="AD10" s="18"/>
      <c r="AE10" s="18"/>
      <c r="AF10" s="17"/>
      <c r="AG10" s="18">
        <f>AH11-AG11</f>
        <v>0</v>
      </c>
      <c r="AH10" s="18"/>
      <c r="AI10" s="17"/>
      <c r="AJ10" s="18"/>
      <c r="AK10" s="18"/>
      <c r="AL10" s="17"/>
      <c r="AM10" s="18"/>
      <c r="AN10" s="18"/>
      <c r="AO10" s="17"/>
      <c r="AP10" s="18"/>
      <c r="AQ10" s="18"/>
      <c r="AR10" s="17"/>
      <c r="AS10" s="18"/>
      <c r="AT10" s="18"/>
      <c r="AU10" s="18"/>
      <c r="AV10" s="17"/>
      <c r="AW10" s="18"/>
      <c r="AX10" s="18"/>
    </row>
    <row r="11" spans="1:50" s="25" customFormat="1" ht="18.75" customHeight="1" x14ac:dyDescent="0.2">
      <c r="A11" s="19" t="s">
        <v>37</v>
      </c>
      <c r="B11" s="19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20">
        <v>2</v>
      </c>
      <c r="AB11" s="21" t="s">
        <v>38</v>
      </c>
      <c r="AC11" s="22" t="s">
        <v>37</v>
      </c>
      <c r="AD11" s="22">
        <f t="shared" ref="AD11:AS11" si="0">AD12+AD163+AD191</f>
        <v>1017611726826</v>
      </c>
      <c r="AE11" s="22">
        <f t="shared" si="0"/>
        <v>241029742958.65005</v>
      </c>
      <c r="AF11" s="23">
        <f t="shared" si="0"/>
        <v>0</v>
      </c>
      <c r="AG11" s="22">
        <f t="shared" si="0"/>
        <v>169551232136.00003</v>
      </c>
      <c r="AH11" s="22">
        <f t="shared" si="0"/>
        <v>169551232136</v>
      </c>
      <c r="AI11" s="22">
        <f t="shared" si="0"/>
        <v>241029742958.65002</v>
      </c>
      <c r="AJ11" s="22">
        <f t="shared" si="0"/>
        <v>1258641469784.6499</v>
      </c>
      <c r="AK11" s="22">
        <f t="shared" si="0"/>
        <v>1996024093</v>
      </c>
      <c r="AL11" s="22">
        <f t="shared" si="0"/>
        <v>55996610676.549995</v>
      </c>
      <c r="AM11" s="22">
        <f t="shared" si="0"/>
        <v>875941515446.51001</v>
      </c>
      <c r="AN11" s="22">
        <f t="shared" si="0"/>
        <v>6589812786.6199999</v>
      </c>
      <c r="AO11" s="22">
        <f t="shared" si="0"/>
        <v>76122782509.829987</v>
      </c>
      <c r="AP11" s="22">
        <f t="shared" si="0"/>
        <v>763216399642.06006</v>
      </c>
      <c r="AQ11" s="22">
        <f t="shared" si="0"/>
        <v>4913997181.3500004</v>
      </c>
      <c r="AR11" s="22">
        <f t="shared" si="0"/>
        <v>49765306528.580002</v>
      </c>
      <c r="AS11" s="22">
        <f t="shared" si="0"/>
        <v>553852459278.30005</v>
      </c>
      <c r="AT11" s="22">
        <f>AQ11+AS11</f>
        <v>558766456459.65002</v>
      </c>
      <c r="AU11" s="22">
        <f>AU12+AU163+AU191</f>
        <v>382699954338.14001</v>
      </c>
      <c r="AV11" s="22">
        <f>AV12+AV163+AV191</f>
        <v>112725115804.45</v>
      </c>
      <c r="AW11" s="22">
        <f>AW12+AW163+AW191</f>
        <v>204449943182.41</v>
      </c>
      <c r="AX11" s="24">
        <f t="shared" ref="AX11:AX20" si="1">AP11/AJ11</f>
        <v>0.60638110054696059</v>
      </c>
    </row>
    <row r="12" spans="1:50" s="25" customFormat="1" ht="18.75" customHeight="1" x14ac:dyDescent="0.2">
      <c r="A12" s="19" t="s">
        <v>37</v>
      </c>
      <c r="B12" s="19" t="s">
        <v>37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26" t="s">
        <v>39</v>
      </c>
      <c r="AB12" s="21" t="s">
        <v>40</v>
      </c>
      <c r="AC12" s="22" t="s">
        <v>37</v>
      </c>
      <c r="AD12" s="22">
        <f>AD13+AD86+AD101+AD149+AD143</f>
        <v>180471642183</v>
      </c>
      <c r="AE12" s="22">
        <f t="shared" ref="AE12:AW12" si="2">AE13+AE86+AE101+AE149+AE143</f>
        <v>698388543.49000001</v>
      </c>
      <c r="AF12" s="23">
        <f t="shared" si="2"/>
        <v>0</v>
      </c>
      <c r="AG12" s="22">
        <f t="shared" si="2"/>
        <v>9797448768.7199993</v>
      </c>
      <c r="AH12" s="22">
        <f t="shared" si="2"/>
        <v>9797448768.7200012</v>
      </c>
      <c r="AI12" s="22">
        <f t="shared" si="2"/>
        <v>698388543.49000049</v>
      </c>
      <c r="AJ12" s="22">
        <f t="shared" si="2"/>
        <v>181170030726.48999</v>
      </c>
      <c r="AK12" s="22">
        <f t="shared" si="2"/>
        <v>16698281</v>
      </c>
      <c r="AL12" s="22">
        <f t="shared" si="2"/>
        <v>8090630276.9900026</v>
      </c>
      <c r="AM12" s="22">
        <f t="shared" si="2"/>
        <v>135387102651.05</v>
      </c>
      <c r="AN12" s="22">
        <f t="shared" si="2"/>
        <v>89132346</v>
      </c>
      <c r="AO12" s="22">
        <f t="shared" si="2"/>
        <v>7540471660.3800001</v>
      </c>
      <c r="AP12" s="22">
        <f t="shared" si="2"/>
        <v>133683156791.42</v>
      </c>
      <c r="AQ12" s="22">
        <f t="shared" si="2"/>
        <v>626753380</v>
      </c>
      <c r="AR12" s="22">
        <f t="shared" si="2"/>
        <v>6496207232.0899992</v>
      </c>
      <c r="AS12" s="22">
        <f t="shared" si="2"/>
        <v>122669793913.73</v>
      </c>
      <c r="AT12" s="22">
        <f t="shared" si="2"/>
        <v>123296547293.73</v>
      </c>
      <c r="AU12" s="22">
        <f t="shared" si="2"/>
        <v>45782928075.439995</v>
      </c>
      <c r="AV12" s="22">
        <f t="shared" si="2"/>
        <v>1703945859.630002</v>
      </c>
      <c r="AW12" s="22">
        <f t="shared" si="2"/>
        <v>10386609497.689999</v>
      </c>
      <c r="AX12" s="24">
        <f t="shared" si="1"/>
        <v>0.73788780768735251</v>
      </c>
    </row>
    <row r="13" spans="1:50" s="25" customFormat="1" ht="18.75" customHeight="1" x14ac:dyDescent="0.2">
      <c r="A13" s="19" t="s">
        <v>41</v>
      </c>
      <c r="B13" s="19" t="s">
        <v>42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26" t="s">
        <v>43</v>
      </c>
      <c r="AB13" s="21" t="s">
        <v>44</v>
      </c>
      <c r="AC13" s="22" t="s">
        <v>37</v>
      </c>
      <c r="AD13" s="22">
        <f>AD14</f>
        <v>38718257195.5</v>
      </c>
      <c r="AE13" s="23">
        <f t="shared" ref="AE13:AW13" si="3">AE14</f>
        <v>0</v>
      </c>
      <c r="AF13" s="23">
        <f t="shared" si="3"/>
        <v>0</v>
      </c>
      <c r="AG13" s="22">
        <f t="shared" si="3"/>
        <v>172000000</v>
      </c>
      <c r="AH13" s="22">
        <f t="shared" si="3"/>
        <v>1574500000</v>
      </c>
      <c r="AI13" s="22">
        <f t="shared" si="3"/>
        <v>-1402500000</v>
      </c>
      <c r="AJ13" s="22">
        <f>AJ14</f>
        <v>37315757195.5</v>
      </c>
      <c r="AK13" s="23">
        <f t="shared" si="3"/>
        <v>0</v>
      </c>
      <c r="AL13" s="22">
        <f t="shared" si="3"/>
        <v>2777264544</v>
      </c>
      <c r="AM13" s="22">
        <f t="shared" si="3"/>
        <v>23206358613</v>
      </c>
      <c r="AN13" s="23">
        <f t="shared" si="3"/>
        <v>0</v>
      </c>
      <c r="AO13" s="22">
        <f t="shared" si="3"/>
        <v>2777264544</v>
      </c>
      <c r="AP13" s="22">
        <f t="shared" si="3"/>
        <v>23206358613</v>
      </c>
      <c r="AQ13" s="268">
        <f t="shared" si="3"/>
        <v>0</v>
      </c>
      <c r="AR13" s="22">
        <f t="shared" si="3"/>
        <v>2637669797</v>
      </c>
      <c r="AS13" s="22">
        <f t="shared" si="3"/>
        <v>22909340608</v>
      </c>
      <c r="AT13" s="22">
        <f t="shared" ref="AT13" si="4">AQ13+AS13</f>
        <v>22909340608</v>
      </c>
      <c r="AU13" s="22">
        <f t="shared" si="3"/>
        <v>14109398582.5</v>
      </c>
      <c r="AV13" s="23">
        <f t="shared" si="3"/>
        <v>0</v>
      </c>
      <c r="AW13" s="22">
        <f t="shared" si="3"/>
        <v>297018005</v>
      </c>
      <c r="AX13" s="24">
        <f t="shared" si="1"/>
        <v>0.62189167143038737</v>
      </c>
    </row>
    <row r="14" spans="1:50" ht="18.75" customHeight="1" x14ac:dyDescent="0.2">
      <c r="A14" s="27" t="s">
        <v>41</v>
      </c>
      <c r="B14" s="27" t="s">
        <v>42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8" t="s">
        <v>45</v>
      </c>
      <c r="AB14" s="29" t="s">
        <v>46</v>
      </c>
      <c r="AC14" s="30" t="s">
        <v>37</v>
      </c>
      <c r="AD14" s="30">
        <f>AD15+AD42+AD70</f>
        <v>38718257195.5</v>
      </c>
      <c r="AE14" s="31">
        <f t="shared" ref="AE14:AW14" si="5">AE15+AE42+AE70</f>
        <v>0</v>
      </c>
      <c r="AF14" s="31">
        <f t="shared" si="5"/>
        <v>0</v>
      </c>
      <c r="AG14" s="30">
        <f>AG15+AG42+AG70</f>
        <v>172000000</v>
      </c>
      <c r="AH14" s="30">
        <f t="shared" si="5"/>
        <v>1574500000</v>
      </c>
      <c r="AI14" s="30">
        <f>AI15+AI42+AI70</f>
        <v>-1402500000</v>
      </c>
      <c r="AJ14" s="30">
        <f t="shared" si="5"/>
        <v>37315757195.5</v>
      </c>
      <c r="AK14" s="31">
        <f t="shared" si="5"/>
        <v>0</v>
      </c>
      <c r="AL14" s="30">
        <f t="shared" si="5"/>
        <v>2777264544</v>
      </c>
      <c r="AM14" s="30">
        <f t="shared" si="5"/>
        <v>23206358613</v>
      </c>
      <c r="AN14" s="31">
        <f t="shared" si="5"/>
        <v>0</v>
      </c>
      <c r="AO14" s="30">
        <f t="shared" si="5"/>
        <v>2777264544</v>
      </c>
      <c r="AP14" s="30">
        <f t="shared" si="5"/>
        <v>23206358613</v>
      </c>
      <c r="AQ14" s="172">
        <f t="shared" si="5"/>
        <v>0</v>
      </c>
      <c r="AR14" s="30">
        <f t="shared" si="5"/>
        <v>2637669797</v>
      </c>
      <c r="AS14" s="30">
        <f t="shared" si="5"/>
        <v>22909340608</v>
      </c>
      <c r="AT14" s="30">
        <f>AQ14+AS14</f>
        <v>22909340608</v>
      </c>
      <c r="AU14" s="30">
        <f t="shared" si="5"/>
        <v>14109398582.5</v>
      </c>
      <c r="AV14" s="31">
        <f t="shared" si="5"/>
        <v>0</v>
      </c>
      <c r="AW14" s="30">
        <f t="shared" si="5"/>
        <v>297018005</v>
      </c>
      <c r="AX14" s="32">
        <f t="shared" si="1"/>
        <v>0.62189167143038737</v>
      </c>
    </row>
    <row r="15" spans="1:50" ht="18.75" customHeight="1" x14ac:dyDescent="0.2">
      <c r="A15" s="27" t="s">
        <v>41</v>
      </c>
      <c r="B15" s="27" t="s">
        <v>42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8" t="s">
        <v>47</v>
      </c>
      <c r="AB15" s="29" t="s">
        <v>48</v>
      </c>
      <c r="AC15" s="30" t="s">
        <v>37</v>
      </c>
      <c r="AD15" s="30">
        <f>AD16+AD39</f>
        <v>25931861921.5</v>
      </c>
      <c r="AE15" s="31">
        <f t="shared" ref="AE15:AW15" si="6">AE16+AE39</f>
        <v>0</v>
      </c>
      <c r="AF15" s="31">
        <f t="shared" si="6"/>
        <v>0</v>
      </c>
      <c r="AG15" s="30">
        <f t="shared" si="6"/>
        <v>100000000</v>
      </c>
      <c r="AH15" s="30">
        <f t="shared" si="6"/>
        <v>782000000</v>
      </c>
      <c r="AI15" s="30">
        <f t="shared" si="6"/>
        <v>-682000000</v>
      </c>
      <c r="AJ15" s="30">
        <f t="shared" si="6"/>
        <v>25249861921.5</v>
      </c>
      <c r="AK15" s="31">
        <f t="shared" si="6"/>
        <v>0</v>
      </c>
      <c r="AL15" s="30">
        <f t="shared" si="6"/>
        <v>2040040744</v>
      </c>
      <c r="AM15" s="30">
        <f t="shared" si="6"/>
        <v>16212004799</v>
      </c>
      <c r="AN15" s="31">
        <f t="shared" si="6"/>
        <v>0</v>
      </c>
      <c r="AO15" s="30">
        <f t="shared" si="6"/>
        <v>2040040744</v>
      </c>
      <c r="AP15" s="30">
        <f t="shared" si="6"/>
        <v>16212004799</v>
      </c>
      <c r="AQ15" s="31">
        <f t="shared" si="6"/>
        <v>0</v>
      </c>
      <c r="AR15" s="30">
        <f t="shared" si="6"/>
        <v>1923882868</v>
      </c>
      <c r="AS15" s="30">
        <f t="shared" si="6"/>
        <v>15971268211</v>
      </c>
      <c r="AT15" s="30">
        <f t="shared" ref="AT15:AT38" si="7">AQ15+AS15</f>
        <v>15971268211</v>
      </c>
      <c r="AU15" s="30">
        <f t="shared" si="6"/>
        <v>9037857122.5</v>
      </c>
      <c r="AV15" s="31">
        <f t="shared" si="6"/>
        <v>0</v>
      </c>
      <c r="AW15" s="30">
        <f t="shared" si="6"/>
        <v>240736588</v>
      </c>
      <c r="AX15" s="32">
        <f t="shared" si="1"/>
        <v>0.64206310709349435</v>
      </c>
    </row>
    <row r="16" spans="1:50" ht="18.75" customHeight="1" x14ac:dyDescent="0.2">
      <c r="A16" s="27" t="s">
        <v>49</v>
      </c>
      <c r="B16" s="27" t="s">
        <v>50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8" t="s">
        <v>51</v>
      </c>
      <c r="AB16" s="29" t="s">
        <v>52</v>
      </c>
      <c r="AC16" s="30" t="s">
        <v>37</v>
      </c>
      <c r="AD16" s="30">
        <f>AD17+AD20+AD21+AD22+AD23++AD24+AD27+AD30+AD37+AD38</f>
        <v>25908449467.5</v>
      </c>
      <c r="AE16" s="31">
        <f t="shared" ref="AE16:AW16" si="8">AE17+AE20+AE21+AE22+AE23++AE24+AE27+AE30+AE37+AE38</f>
        <v>0</v>
      </c>
      <c r="AF16" s="31">
        <f t="shared" si="8"/>
        <v>0</v>
      </c>
      <c r="AG16" s="30">
        <f t="shared" si="8"/>
        <v>100000000</v>
      </c>
      <c r="AH16" s="30">
        <f>AH17+AH20+AH21+AH22+AH23++AH24+AH27+AH30+AH37+AH38</f>
        <v>782000000</v>
      </c>
      <c r="AI16" s="30">
        <f t="shared" si="8"/>
        <v>-682000000</v>
      </c>
      <c r="AJ16" s="30">
        <f t="shared" si="8"/>
        <v>25226449467.5</v>
      </c>
      <c r="AK16" s="31">
        <f t="shared" si="8"/>
        <v>0</v>
      </c>
      <c r="AL16" s="30">
        <f t="shared" si="8"/>
        <v>2040040744</v>
      </c>
      <c r="AM16" s="30">
        <f t="shared" si="8"/>
        <v>16212004799</v>
      </c>
      <c r="AN16" s="31">
        <f t="shared" si="8"/>
        <v>0</v>
      </c>
      <c r="AO16" s="30">
        <f t="shared" si="8"/>
        <v>2040040744</v>
      </c>
      <c r="AP16" s="30">
        <f t="shared" si="8"/>
        <v>16212004799</v>
      </c>
      <c r="AQ16" s="31">
        <f t="shared" si="8"/>
        <v>0</v>
      </c>
      <c r="AR16" s="30">
        <f t="shared" si="8"/>
        <v>1923882868</v>
      </c>
      <c r="AS16" s="30">
        <f t="shared" si="8"/>
        <v>15971268211</v>
      </c>
      <c r="AT16" s="30">
        <f t="shared" si="7"/>
        <v>15971268211</v>
      </c>
      <c r="AU16" s="30">
        <f t="shared" si="8"/>
        <v>9014444668.5</v>
      </c>
      <c r="AV16" s="31">
        <f t="shared" si="8"/>
        <v>0</v>
      </c>
      <c r="AW16" s="30">
        <f t="shared" si="8"/>
        <v>240736588</v>
      </c>
      <c r="AX16" s="32">
        <f t="shared" si="1"/>
        <v>0.64265900042280688</v>
      </c>
    </row>
    <row r="17" spans="1:50" ht="18.75" customHeight="1" x14ac:dyDescent="0.2">
      <c r="A17" s="27" t="s">
        <v>41</v>
      </c>
      <c r="B17" s="27" t="s">
        <v>42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8" t="s">
        <v>53</v>
      </c>
      <c r="AB17" s="29" t="s">
        <v>54</v>
      </c>
      <c r="AC17" s="30" t="s">
        <v>37</v>
      </c>
      <c r="AD17" s="30">
        <f>AD18+AD19</f>
        <v>19589756868.5</v>
      </c>
      <c r="AE17" s="31">
        <f t="shared" ref="AE17:AW17" si="9">AE18+AE19</f>
        <v>0</v>
      </c>
      <c r="AF17" s="31">
        <f t="shared" si="9"/>
        <v>0</v>
      </c>
      <c r="AG17" s="31">
        <f t="shared" si="9"/>
        <v>0</v>
      </c>
      <c r="AH17" s="30">
        <f t="shared" si="9"/>
        <v>450000000</v>
      </c>
      <c r="AI17" s="30">
        <f t="shared" si="9"/>
        <v>-450000000</v>
      </c>
      <c r="AJ17" s="30">
        <f t="shared" si="9"/>
        <v>19139756868.5</v>
      </c>
      <c r="AK17" s="31">
        <f t="shared" si="9"/>
        <v>0</v>
      </c>
      <c r="AL17" s="30">
        <f t="shared" si="9"/>
        <v>1818256926</v>
      </c>
      <c r="AM17" s="30">
        <f t="shared" si="9"/>
        <v>13936453784</v>
      </c>
      <c r="AN17" s="31">
        <f t="shared" si="9"/>
        <v>0</v>
      </c>
      <c r="AO17" s="30">
        <f t="shared" si="9"/>
        <v>1818256926</v>
      </c>
      <c r="AP17" s="30">
        <f t="shared" si="9"/>
        <v>13936453784</v>
      </c>
      <c r="AQ17" s="31">
        <f t="shared" si="9"/>
        <v>0</v>
      </c>
      <c r="AR17" s="30">
        <f t="shared" si="9"/>
        <v>1719113336</v>
      </c>
      <c r="AS17" s="30">
        <f t="shared" si="9"/>
        <v>13778185558</v>
      </c>
      <c r="AT17" s="30">
        <f t="shared" si="7"/>
        <v>13778185558</v>
      </c>
      <c r="AU17" s="30">
        <f t="shared" si="9"/>
        <v>5203303084.5</v>
      </c>
      <c r="AV17" s="31">
        <f t="shared" si="9"/>
        <v>0</v>
      </c>
      <c r="AW17" s="30">
        <f t="shared" si="9"/>
        <v>158268226</v>
      </c>
      <c r="AX17" s="32">
        <f t="shared" si="1"/>
        <v>0.72814163104320628</v>
      </c>
    </row>
    <row r="18" spans="1:50" ht="18.75" customHeight="1" x14ac:dyDescent="0.2">
      <c r="A18" s="14" t="s">
        <v>55</v>
      </c>
      <c r="B18" s="15" t="s">
        <v>56</v>
      </c>
      <c r="C18" s="15"/>
      <c r="D18" s="15" t="s">
        <v>40</v>
      </c>
      <c r="E18" s="15"/>
      <c r="F18" s="15"/>
      <c r="G18" s="15" t="s">
        <v>41</v>
      </c>
      <c r="H18" s="15"/>
      <c r="I18" s="15" t="s">
        <v>936</v>
      </c>
      <c r="J18" s="15"/>
      <c r="K18" s="15" t="s">
        <v>932</v>
      </c>
      <c r="L18" s="15"/>
      <c r="M18" s="15" t="s">
        <v>933</v>
      </c>
      <c r="N18" s="15"/>
      <c r="O18" s="15" t="s">
        <v>938</v>
      </c>
      <c r="P18" s="15"/>
      <c r="Q18" s="15" t="s">
        <v>939</v>
      </c>
      <c r="R18" s="15"/>
      <c r="S18" s="15" t="s">
        <v>940</v>
      </c>
      <c r="T18" s="15">
        <v>0</v>
      </c>
      <c r="U18" s="15">
        <v>0</v>
      </c>
      <c r="V18" s="15">
        <v>0</v>
      </c>
      <c r="W18" s="15">
        <v>0</v>
      </c>
      <c r="X18" s="15" t="s">
        <v>937</v>
      </c>
      <c r="Y18" s="15"/>
      <c r="Z18" s="15"/>
      <c r="AA18" s="16" t="s">
        <v>57</v>
      </c>
      <c r="AB18" s="17" t="s">
        <v>54</v>
      </c>
      <c r="AC18" s="17" t="s">
        <v>58</v>
      </c>
      <c r="AD18" s="18">
        <v>18005571308.5</v>
      </c>
      <c r="AE18" s="34">
        <v>0</v>
      </c>
      <c r="AF18" s="34">
        <v>0</v>
      </c>
      <c r="AG18" s="34">
        <v>0</v>
      </c>
      <c r="AH18" s="18">
        <f>100000000+350000000</f>
        <v>450000000</v>
      </c>
      <c r="AI18" s="18">
        <f>AE18-AF18+AG18-AH18</f>
        <v>-450000000</v>
      </c>
      <c r="AJ18" s="18">
        <f>AD18+AI18</f>
        <v>17555571308.5</v>
      </c>
      <c r="AK18" s="34">
        <v>0</v>
      </c>
      <c r="AL18" s="18">
        <f>AM18-AGOSTO!AM18</f>
        <v>1719113336</v>
      </c>
      <c r="AM18" s="18">
        <v>12936972994</v>
      </c>
      <c r="AN18" s="34">
        <v>0</v>
      </c>
      <c r="AO18" s="18">
        <v>1719113336</v>
      </c>
      <c r="AP18" s="18">
        <v>12936972994</v>
      </c>
      <c r="AQ18" s="34">
        <v>0</v>
      </c>
      <c r="AR18" s="18">
        <v>1719113336</v>
      </c>
      <c r="AS18" s="18">
        <v>12877848358</v>
      </c>
      <c r="AT18" s="39">
        <f t="shared" si="7"/>
        <v>12877848358</v>
      </c>
      <c r="AU18" s="18">
        <f t="shared" ref="AU18:AU38" si="10">AJ18-AM18</f>
        <v>4618598314.5</v>
      </c>
      <c r="AV18" s="34">
        <f t="shared" ref="AV18:AV38" si="11">AM18-AP18</f>
        <v>0</v>
      </c>
      <c r="AW18" s="18">
        <f t="shared" ref="AW18:AW38" si="12">AP18-AT18</f>
        <v>59124636</v>
      </c>
      <c r="AX18" s="32">
        <f t="shared" si="1"/>
        <v>0.7369155219537753</v>
      </c>
    </row>
    <row r="19" spans="1:50" ht="18.75" customHeight="1" x14ac:dyDescent="0.2">
      <c r="A19" s="14" t="s">
        <v>55</v>
      </c>
      <c r="B19" s="15" t="s">
        <v>56</v>
      </c>
      <c r="C19" s="15"/>
      <c r="D19" s="15" t="s">
        <v>40</v>
      </c>
      <c r="E19" s="15"/>
      <c r="F19" s="15"/>
      <c r="G19" s="15" t="s">
        <v>41</v>
      </c>
      <c r="H19" s="15"/>
      <c r="I19" s="15" t="s">
        <v>941</v>
      </c>
      <c r="J19" s="15"/>
      <c r="K19" s="15" t="s">
        <v>932</v>
      </c>
      <c r="L19" s="15"/>
      <c r="M19" s="15" t="s">
        <v>933</v>
      </c>
      <c r="N19" s="15"/>
      <c r="O19" s="15" t="s">
        <v>938</v>
      </c>
      <c r="P19" s="15"/>
      <c r="Q19" s="15" t="s">
        <v>939</v>
      </c>
      <c r="R19" s="15"/>
      <c r="S19" s="15" t="s">
        <v>940</v>
      </c>
      <c r="T19" s="15">
        <v>0</v>
      </c>
      <c r="U19" s="15">
        <v>0</v>
      </c>
      <c r="V19" s="15">
        <v>0</v>
      </c>
      <c r="W19" s="15">
        <v>0</v>
      </c>
      <c r="X19" s="15" t="s">
        <v>937</v>
      </c>
      <c r="Y19" s="15"/>
      <c r="Z19" s="15"/>
      <c r="AA19" s="16" t="s">
        <v>59</v>
      </c>
      <c r="AB19" s="17" t="s">
        <v>60</v>
      </c>
      <c r="AC19" s="17" t="s">
        <v>61</v>
      </c>
      <c r="AD19" s="18">
        <v>1584185560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18">
        <v>1584185560</v>
      </c>
      <c r="AK19" s="34">
        <v>0</v>
      </c>
      <c r="AL19" s="18">
        <f>AM19-AGOSTO!AM19</f>
        <v>99143590</v>
      </c>
      <c r="AM19" s="18">
        <v>999480790</v>
      </c>
      <c r="AN19" s="34">
        <v>0</v>
      </c>
      <c r="AO19" s="18">
        <v>99143590</v>
      </c>
      <c r="AP19" s="18">
        <v>999480790</v>
      </c>
      <c r="AQ19" s="34">
        <v>0</v>
      </c>
      <c r="AR19" s="34">
        <v>0</v>
      </c>
      <c r="AS19" s="18">
        <v>900337200</v>
      </c>
      <c r="AT19" s="39">
        <f t="shared" si="7"/>
        <v>900337200</v>
      </c>
      <c r="AU19" s="18">
        <f t="shared" si="10"/>
        <v>584704770</v>
      </c>
      <c r="AV19" s="34">
        <f t="shared" si="11"/>
        <v>0</v>
      </c>
      <c r="AW19" s="34">
        <f t="shared" si="12"/>
        <v>99143590</v>
      </c>
      <c r="AX19" s="32">
        <f t="shared" si="1"/>
        <v>0.63091143817773465</v>
      </c>
    </row>
    <row r="20" spans="1:50" ht="18.75" customHeight="1" x14ac:dyDescent="0.2">
      <c r="A20" s="14" t="s">
        <v>49</v>
      </c>
      <c r="B20" s="15" t="s">
        <v>50</v>
      </c>
      <c r="C20" s="15"/>
      <c r="D20" s="15" t="s">
        <v>40</v>
      </c>
      <c r="E20" s="15"/>
      <c r="F20" s="15"/>
      <c r="G20" s="15" t="s">
        <v>41</v>
      </c>
      <c r="H20" s="15"/>
      <c r="I20" s="15" t="s">
        <v>936</v>
      </c>
      <c r="J20" s="15"/>
      <c r="K20" s="15" t="s">
        <v>932</v>
      </c>
      <c r="L20" s="15"/>
      <c r="M20" s="15" t="s">
        <v>933</v>
      </c>
      <c r="N20" s="15"/>
      <c r="O20" s="15" t="s">
        <v>938</v>
      </c>
      <c r="P20" s="15"/>
      <c r="Q20" s="15" t="s">
        <v>939</v>
      </c>
      <c r="R20" s="15"/>
      <c r="S20" s="15" t="s">
        <v>940</v>
      </c>
      <c r="T20" s="15">
        <v>0</v>
      </c>
      <c r="U20" s="15">
        <v>0</v>
      </c>
      <c r="V20" s="15">
        <v>0</v>
      </c>
      <c r="W20" s="15">
        <v>0</v>
      </c>
      <c r="X20" s="15" t="s">
        <v>937</v>
      </c>
      <c r="Y20" s="15"/>
      <c r="Z20" s="15"/>
      <c r="AA20" s="16" t="s">
        <v>62</v>
      </c>
      <c r="AB20" s="17" t="s">
        <v>63</v>
      </c>
      <c r="AC20" s="17" t="s">
        <v>58</v>
      </c>
      <c r="AD20" s="18">
        <v>398412895</v>
      </c>
      <c r="AE20" s="34">
        <v>0</v>
      </c>
      <c r="AF20" s="34">
        <v>0</v>
      </c>
      <c r="AG20" s="18">
        <v>100000000</v>
      </c>
      <c r="AH20" s="34">
        <v>0</v>
      </c>
      <c r="AI20" s="18">
        <f>AE20-AF20+AG20-AH20</f>
        <v>100000000</v>
      </c>
      <c r="AJ20" s="18">
        <f>AD20+AI20</f>
        <v>498412895</v>
      </c>
      <c r="AK20" s="34">
        <v>0</v>
      </c>
      <c r="AL20" s="18">
        <f>AM20-AGOSTO!AM20</f>
        <v>34416135</v>
      </c>
      <c r="AM20" s="18">
        <v>292546291</v>
      </c>
      <c r="AN20" s="34">
        <v>0</v>
      </c>
      <c r="AO20" s="18">
        <v>34416135</v>
      </c>
      <c r="AP20" s="18">
        <v>292546291</v>
      </c>
      <c r="AQ20" s="34">
        <v>0</v>
      </c>
      <c r="AR20" s="18">
        <v>34416135</v>
      </c>
      <c r="AS20" s="18">
        <v>285388704</v>
      </c>
      <c r="AT20" s="39">
        <f t="shared" si="7"/>
        <v>285388704</v>
      </c>
      <c r="AU20" s="18">
        <f t="shared" si="10"/>
        <v>205866604</v>
      </c>
      <c r="AV20" s="34">
        <f t="shared" si="11"/>
        <v>0</v>
      </c>
      <c r="AW20" s="18">
        <f t="shared" si="12"/>
        <v>7157587</v>
      </c>
      <c r="AX20" s="32">
        <f t="shared" si="1"/>
        <v>0.58695570266094343</v>
      </c>
    </row>
    <row r="21" spans="1:50" ht="18.75" customHeight="1" x14ac:dyDescent="0.2">
      <c r="A21" s="14" t="s">
        <v>49</v>
      </c>
      <c r="B21" s="15" t="s">
        <v>50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6" t="s">
        <v>64</v>
      </c>
      <c r="AB21" s="17" t="s">
        <v>65</v>
      </c>
      <c r="AC21" s="17" t="s">
        <v>58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f>AM21-AGOSTO!AM21</f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40">
        <f t="shared" si="7"/>
        <v>0</v>
      </c>
      <c r="AU21" s="34">
        <f t="shared" si="10"/>
        <v>0</v>
      </c>
      <c r="AV21" s="34">
        <f t="shared" si="11"/>
        <v>0</v>
      </c>
      <c r="AW21" s="34">
        <f t="shared" si="12"/>
        <v>0</v>
      </c>
      <c r="AX21" s="32">
        <v>0</v>
      </c>
    </row>
    <row r="22" spans="1:50" ht="18.75" customHeight="1" x14ac:dyDescent="0.2">
      <c r="A22" s="14" t="s">
        <v>49</v>
      </c>
      <c r="B22" s="15" t="s">
        <v>50</v>
      </c>
      <c r="C22" s="15"/>
      <c r="D22" s="15" t="s">
        <v>40</v>
      </c>
      <c r="E22" s="15"/>
      <c r="F22" s="15"/>
      <c r="G22" s="15" t="s">
        <v>41</v>
      </c>
      <c r="H22" s="15"/>
      <c r="I22" s="15" t="s">
        <v>936</v>
      </c>
      <c r="J22" s="15"/>
      <c r="K22" s="15" t="s">
        <v>932</v>
      </c>
      <c r="L22" s="15"/>
      <c r="M22" s="15" t="s">
        <v>933</v>
      </c>
      <c r="N22" s="15"/>
      <c r="O22" s="15" t="s">
        <v>938</v>
      </c>
      <c r="P22" s="15"/>
      <c r="Q22" s="15" t="s">
        <v>939</v>
      </c>
      <c r="R22" s="15"/>
      <c r="S22" s="15" t="s">
        <v>940</v>
      </c>
      <c r="T22" s="15">
        <v>0</v>
      </c>
      <c r="U22" s="15">
        <v>0</v>
      </c>
      <c r="V22" s="15">
        <v>0</v>
      </c>
      <c r="W22" s="15">
        <v>0</v>
      </c>
      <c r="X22" s="15" t="s">
        <v>937</v>
      </c>
      <c r="Y22" s="15"/>
      <c r="Z22" s="15"/>
      <c r="AA22" s="16" t="s">
        <v>66</v>
      </c>
      <c r="AB22" s="17" t="s">
        <v>67</v>
      </c>
      <c r="AC22" s="17" t="s">
        <v>58</v>
      </c>
      <c r="AD22" s="18">
        <v>13303349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18">
        <v>13303349</v>
      </c>
      <c r="AK22" s="34">
        <v>0</v>
      </c>
      <c r="AL22" s="34">
        <f>AM22-AGOSTO!AM22</f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40">
        <f t="shared" si="7"/>
        <v>0</v>
      </c>
      <c r="AU22" s="18">
        <f t="shared" si="10"/>
        <v>13303349</v>
      </c>
      <c r="AV22" s="34">
        <f t="shared" si="11"/>
        <v>0</v>
      </c>
      <c r="AW22" s="34">
        <f t="shared" si="12"/>
        <v>0</v>
      </c>
      <c r="AX22" s="32">
        <f t="shared" ref="AX22:AX37" si="13">AP22/AJ22</f>
        <v>0</v>
      </c>
    </row>
    <row r="23" spans="1:50" ht="18.75" customHeight="1" x14ac:dyDescent="0.2">
      <c r="A23" s="14" t="s">
        <v>49</v>
      </c>
      <c r="B23" s="15" t="s">
        <v>50</v>
      </c>
      <c r="C23" s="15"/>
      <c r="D23" s="15" t="s">
        <v>40</v>
      </c>
      <c r="E23" s="15"/>
      <c r="F23" s="15"/>
      <c r="G23" s="15" t="s">
        <v>41</v>
      </c>
      <c r="H23" s="15"/>
      <c r="I23" s="15" t="s">
        <v>936</v>
      </c>
      <c r="J23" s="15"/>
      <c r="K23" s="15" t="s">
        <v>932</v>
      </c>
      <c r="L23" s="15"/>
      <c r="M23" s="15" t="s">
        <v>933</v>
      </c>
      <c r="N23" s="15"/>
      <c r="O23" s="15" t="s">
        <v>938</v>
      </c>
      <c r="P23" s="15"/>
      <c r="Q23" s="15" t="s">
        <v>939</v>
      </c>
      <c r="R23" s="15"/>
      <c r="S23" s="15" t="s">
        <v>940</v>
      </c>
      <c r="T23" s="15">
        <v>0</v>
      </c>
      <c r="U23" s="15">
        <v>0</v>
      </c>
      <c r="V23" s="15">
        <v>0</v>
      </c>
      <c r="W23" s="15">
        <v>0</v>
      </c>
      <c r="X23" s="15" t="s">
        <v>937</v>
      </c>
      <c r="Y23" s="15"/>
      <c r="Z23" s="15"/>
      <c r="AA23" s="16" t="s">
        <v>68</v>
      </c>
      <c r="AB23" s="17" t="s">
        <v>69</v>
      </c>
      <c r="AC23" s="17" t="s">
        <v>58</v>
      </c>
      <c r="AD23" s="18">
        <v>37582851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18">
        <v>37582851</v>
      </c>
      <c r="AK23" s="34">
        <v>0</v>
      </c>
      <c r="AL23" s="18">
        <f>AM23-AGOSTO!AM23</f>
        <v>2661350</v>
      </c>
      <c r="AM23" s="18">
        <v>25442506</v>
      </c>
      <c r="AN23" s="34">
        <v>0</v>
      </c>
      <c r="AO23" s="18">
        <v>2661350</v>
      </c>
      <c r="AP23" s="18">
        <v>25442506</v>
      </c>
      <c r="AQ23" s="34">
        <v>0</v>
      </c>
      <c r="AR23" s="18">
        <v>2661350</v>
      </c>
      <c r="AS23" s="18">
        <v>22674702</v>
      </c>
      <c r="AT23" s="39">
        <f t="shared" si="7"/>
        <v>22674702</v>
      </c>
      <c r="AU23" s="18">
        <f t="shared" si="10"/>
        <v>12140345</v>
      </c>
      <c r="AV23" s="34">
        <f t="shared" si="11"/>
        <v>0</v>
      </c>
      <c r="AW23" s="18">
        <f t="shared" si="12"/>
        <v>2767804</v>
      </c>
      <c r="AX23" s="32">
        <f t="shared" si="13"/>
        <v>0.67697115367857541</v>
      </c>
    </row>
    <row r="24" spans="1:50" ht="18.75" customHeight="1" x14ac:dyDescent="0.2">
      <c r="A24" s="27" t="s">
        <v>49</v>
      </c>
      <c r="B24" s="27" t="s">
        <v>50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8" t="s">
        <v>70</v>
      </c>
      <c r="AB24" s="29" t="s">
        <v>71</v>
      </c>
      <c r="AC24" s="30" t="s">
        <v>37</v>
      </c>
      <c r="AD24" s="30">
        <f>AD25+AD26</f>
        <v>1845616015</v>
      </c>
      <c r="AE24" s="31">
        <f t="shared" ref="AE24:AS24" si="14">AE25+AE26</f>
        <v>0</v>
      </c>
      <c r="AF24" s="31">
        <f t="shared" si="14"/>
        <v>0</v>
      </c>
      <c r="AG24" s="31">
        <f t="shared" si="14"/>
        <v>0</v>
      </c>
      <c r="AH24" s="30">
        <f t="shared" si="14"/>
        <v>140000000</v>
      </c>
      <c r="AI24" s="30">
        <f t="shared" si="14"/>
        <v>-140000000</v>
      </c>
      <c r="AJ24" s="30">
        <f t="shared" si="14"/>
        <v>1705616015</v>
      </c>
      <c r="AK24" s="31">
        <f t="shared" si="14"/>
        <v>0</v>
      </c>
      <c r="AL24" s="30">
        <f t="shared" si="14"/>
        <v>22520107</v>
      </c>
      <c r="AM24" s="30">
        <f t="shared" si="14"/>
        <v>829111954</v>
      </c>
      <c r="AN24" s="31">
        <f t="shared" si="14"/>
        <v>0</v>
      </c>
      <c r="AO24" s="30">
        <f t="shared" si="14"/>
        <v>22520107</v>
      </c>
      <c r="AP24" s="30">
        <f t="shared" si="14"/>
        <v>829111954</v>
      </c>
      <c r="AQ24" s="31">
        <f t="shared" si="14"/>
        <v>0</v>
      </c>
      <c r="AR24" s="30">
        <f t="shared" si="14"/>
        <v>22182987</v>
      </c>
      <c r="AS24" s="30">
        <f t="shared" si="14"/>
        <v>785702255</v>
      </c>
      <c r="AT24" s="30">
        <f t="shared" si="7"/>
        <v>785702255</v>
      </c>
      <c r="AU24" s="176">
        <f t="shared" si="10"/>
        <v>876504061</v>
      </c>
      <c r="AV24" s="177">
        <f t="shared" si="11"/>
        <v>0</v>
      </c>
      <c r="AW24" s="176">
        <f t="shared" si="12"/>
        <v>43409699</v>
      </c>
      <c r="AX24" s="32">
        <f t="shared" si="13"/>
        <v>0.48610704092151713</v>
      </c>
    </row>
    <row r="25" spans="1:50" ht="18.75" customHeight="1" x14ac:dyDescent="0.2">
      <c r="A25" s="14" t="s">
        <v>55</v>
      </c>
      <c r="B25" s="15" t="s">
        <v>56</v>
      </c>
      <c r="C25" s="15"/>
      <c r="D25" s="15" t="s">
        <v>40</v>
      </c>
      <c r="E25" s="15"/>
      <c r="F25" s="15"/>
      <c r="G25" s="15" t="s">
        <v>41</v>
      </c>
      <c r="H25" s="15"/>
      <c r="I25" s="15" t="s">
        <v>936</v>
      </c>
      <c r="J25" s="15"/>
      <c r="K25" s="15" t="s">
        <v>932</v>
      </c>
      <c r="L25" s="15"/>
      <c r="M25" s="15" t="s">
        <v>933</v>
      </c>
      <c r="N25" s="15"/>
      <c r="O25" s="15" t="s">
        <v>938</v>
      </c>
      <c r="P25" s="15"/>
      <c r="Q25" s="15" t="s">
        <v>939</v>
      </c>
      <c r="R25" s="15"/>
      <c r="S25" s="15" t="s">
        <v>940</v>
      </c>
      <c r="T25" s="15">
        <v>0</v>
      </c>
      <c r="U25" s="15">
        <v>0</v>
      </c>
      <c r="V25" s="15">
        <v>0</v>
      </c>
      <c r="W25" s="15">
        <v>0</v>
      </c>
      <c r="X25" s="15" t="s">
        <v>937</v>
      </c>
      <c r="Y25" s="15"/>
      <c r="Z25" s="15"/>
      <c r="AA25" s="16" t="s">
        <v>72</v>
      </c>
      <c r="AB25" s="17" t="s">
        <v>71</v>
      </c>
      <c r="AC25" s="17" t="s">
        <v>58</v>
      </c>
      <c r="AD25" s="18">
        <v>1777683059</v>
      </c>
      <c r="AE25" s="34">
        <v>0</v>
      </c>
      <c r="AF25" s="34">
        <v>0</v>
      </c>
      <c r="AG25" s="34">
        <v>0</v>
      </c>
      <c r="AH25" s="18">
        <v>140000000</v>
      </c>
      <c r="AI25" s="18">
        <f>AE25-AF25+AG25-AH25</f>
        <v>-140000000</v>
      </c>
      <c r="AJ25" s="18">
        <f>AD25+AI25</f>
        <v>1637683059</v>
      </c>
      <c r="AK25" s="34">
        <v>0</v>
      </c>
      <c r="AL25" s="18">
        <f>AM25-AGOSTO!AM25</f>
        <v>22182987</v>
      </c>
      <c r="AM25" s="18">
        <v>777093849</v>
      </c>
      <c r="AN25" s="34">
        <v>0</v>
      </c>
      <c r="AO25" s="18">
        <v>22182987</v>
      </c>
      <c r="AP25" s="18">
        <v>777093849</v>
      </c>
      <c r="AQ25" s="34">
        <v>0</v>
      </c>
      <c r="AR25" s="18">
        <v>22182987</v>
      </c>
      <c r="AS25" s="18">
        <v>776830456</v>
      </c>
      <c r="AT25" s="39">
        <f t="shared" si="7"/>
        <v>776830456</v>
      </c>
      <c r="AU25" s="18">
        <f t="shared" si="10"/>
        <v>860589210</v>
      </c>
      <c r="AV25" s="34">
        <f t="shared" si="11"/>
        <v>0</v>
      </c>
      <c r="AW25" s="18">
        <f t="shared" si="12"/>
        <v>263393</v>
      </c>
      <c r="AX25" s="32">
        <f t="shared" si="13"/>
        <v>0.47450808306859332</v>
      </c>
    </row>
    <row r="26" spans="1:50" ht="18.75" customHeight="1" x14ac:dyDescent="0.2">
      <c r="A26" s="14" t="s">
        <v>55</v>
      </c>
      <c r="B26" s="15" t="s">
        <v>56</v>
      </c>
      <c r="C26" s="15"/>
      <c r="D26" s="15" t="s">
        <v>40</v>
      </c>
      <c r="E26" s="15"/>
      <c r="F26" s="15"/>
      <c r="G26" s="15" t="s">
        <v>41</v>
      </c>
      <c r="H26" s="15"/>
      <c r="I26" s="15" t="s">
        <v>941</v>
      </c>
      <c r="J26" s="15"/>
      <c r="K26" s="15" t="s">
        <v>932</v>
      </c>
      <c r="L26" s="15"/>
      <c r="M26" s="15" t="s">
        <v>933</v>
      </c>
      <c r="N26" s="15"/>
      <c r="O26" s="15" t="s">
        <v>938</v>
      </c>
      <c r="P26" s="15"/>
      <c r="Q26" s="15" t="s">
        <v>939</v>
      </c>
      <c r="R26" s="15"/>
      <c r="S26" s="15" t="s">
        <v>940</v>
      </c>
      <c r="T26" s="15">
        <v>0</v>
      </c>
      <c r="U26" s="15">
        <v>0</v>
      </c>
      <c r="V26" s="15">
        <v>0</v>
      </c>
      <c r="W26" s="15">
        <v>0</v>
      </c>
      <c r="X26" s="15" t="s">
        <v>937</v>
      </c>
      <c r="Y26" s="15"/>
      <c r="Z26" s="15"/>
      <c r="AA26" s="16" t="s">
        <v>73</v>
      </c>
      <c r="AB26" s="17" t="s">
        <v>74</v>
      </c>
      <c r="AC26" s="17" t="s">
        <v>61</v>
      </c>
      <c r="AD26" s="18">
        <v>67932956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18">
        <v>67932956</v>
      </c>
      <c r="AK26" s="34">
        <v>0</v>
      </c>
      <c r="AL26" s="18">
        <f>AM26-AGOSTO!AM26</f>
        <v>337120</v>
      </c>
      <c r="AM26" s="18">
        <v>52018105</v>
      </c>
      <c r="AN26" s="34">
        <v>0</v>
      </c>
      <c r="AO26" s="18">
        <v>337120</v>
      </c>
      <c r="AP26" s="18">
        <v>52018105</v>
      </c>
      <c r="AQ26" s="34">
        <v>0</v>
      </c>
      <c r="AR26" s="34">
        <v>0</v>
      </c>
      <c r="AS26" s="18">
        <v>8871799</v>
      </c>
      <c r="AT26" s="40">
        <f t="shared" si="7"/>
        <v>8871799</v>
      </c>
      <c r="AU26" s="18">
        <f t="shared" si="10"/>
        <v>15914851</v>
      </c>
      <c r="AV26" s="34">
        <f t="shared" si="11"/>
        <v>0</v>
      </c>
      <c r="AW26" s="18">
        <f t="shared" si="12"/>
        <v>43146306</v>
      </c>
      <c r="AX26" s="32">
        <f t="shared" si="13"/>
        <v>0.7657270942250769</v>
      </c>
    </row>
    <row r="27" spans="1:50" ht="18.75" customHeight="1" x14ac:dyDescent="0.2">
      <c r="A27" s="27" t="s">
        <v>49</v>
      </c>
      <c r="B27" s="27" t="s">
        <v>50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8" t="s">
        <v>75</v>
      </c>
      <c r="AB27" s="29" t="s">
        <v>76</v>
      </c>
      <c r="AC27" s="30" t="s">
        <v>37</v>
      </c>
      <c r="AD27" s="30">
        <f>AD28+AD29</f>
        <v>592992922</v>
      </c>
      <c r="AE27" s="31">
        <f t="shared" ref="AE27:AS27" si="15">AE28+AE29</f>
        <v>0</v>
      </c>
      <c r="AF27" s="31">
        <f t="shared" si="15"/>
        <v>0</v>
      </c>
      <c r="AG27" s="31">
        <f t="shared" si="15"/>
        <v>0</v>
      </c>
      <c r="AH27" s="31">
        <f t="shared" si="15"/>
        <v>0</v>
      </c>
      <c r="AI27" s="31">
        <f t="shared" si="15"/>
        <v>0</v>
      </c>
      <c r="AJ27" s="30">
        <f t="shared" si="15"/>
        <v>592992922</v>
      </c>
      <c r="AK27" s="31">
        <f t="shared" si="15"/>
        <v>0</v>
      </c>
      <c r="AL27" s="30">
        <f t="shared" si="15"/>
        <v>23279300</v>
      </c>
      <c r="AM27" s="30">
        <f t="shared" si="15"/>
        <v>423757564</v>
      </c>
      <c r="AN27" s="31">
        <f t="shared" si="15"/>
        <v>0</v>
      </c>
      <c r="AO27" s="30">
        <f t="shared" si="15"/>
        <v>23279300</v>
      </c>
      <c r="AP27" s="30">
        <f t="shared" si="15"/>
        <v>423757564</v>
      </c>
      <c r="AQ27" s="31">
        <f t="shared" si="15"/>
        <v>0</v>
      </c>
      <c r="AR27" s="30">
        <f t="shared" si="15"/>
        <v>22072967</v>
      </c>
      <c r="AS27" s="30">
        <f t="shared" si="15"/>
        <v>422551231</v>
      </c>
      <c r="AT27" s="30">
        <f t="shared" si="7"/>
        <v>422551231</v>
      </c>
      <c r="AU27" s="176">
        <f t="shared" si="10"/>
        <v>169235358</v>
      </c>
      <c r="AV27" s="177">
        <f t="shared" si="11"/>
        <v>0</v>
      </c>
      <c r="AW27" s="177">
        <f t="shared" si="12"/>
        <v>1206333</v>
      </c>
      <c r="AX27" s="32">
        <f t="shared" si="13"/>
        <v>0.71460813152842317</v>
      </c>
    </row>
    <row r="28" spans="1:50" ht="18.75" customHeight="1" x14ac:dyDescent="0.2">
      <c r="A28" s="14" t="s">
        <v>55</v>
      </c>
      <c r="B28" s="15" t="s">
        <v>56</v>
      </c>
      <c r="C28" s="15"/>
      <c r="D28" s="15" t="s">
        <v>40</v>
      </c>
      <c r="E28" s="15"/>
      <c r="F28" s="15"/>
      <c r="G28" s="15" t="s">
        <v>41</v>
      </c>
      <c r="H28" s="15"/>
      <c r="I28" s="15" t="s">
        <v>936</v>
      </c>
      <c r="J28" s="15"/>
      <c r="K28" s="15" t="s">
        <v>932</v>
      </c>
      <c r="L28" s="15"/>
      <c r="M28" s="15" t="s">
        <v>933</v>
      </c>
      <c r="N28" s="15"/>
      <c r="O28" s="15" t="s">
        <v>938</v>
      </c>
      <c r="P28" s="15"/>
      <c r="Q28" s="15" t="s">
        <v>939</v>
      </c>
      <c r="R28" s="15"/>
      <c r="S28" s="15" t="s">
        <v>940</v>
      </c>
      <c r="T28" s="15">
        <v>0</v>
      </c>
      <c r="U28" s="15">
        <v>0</v>
      </c>
      <c r="V28" s="15">
        <v>0</v>
      </c>
      <c r="W28" s="15">
        <v>0</v>
      </c>
      <c r="X28" s="15" t="s">
        <v>937</v>
      </c>
      <c r="Y28" s="15"/>
      <c r="Z28" s="15"/>
      <c r="AA28" s="16" t="s">
        <v>77</v>
      </c>
      <c r="AB28" s="17" t="s">
        <v>76</v>
      </c>
      <c r="AC28" s="17" t="s">
        <v>58</v>
      </c>
      <c r="AD28" s="18">
        <v>546787511</v>
      </c>
      <c r="AE28" s="34">
        <v>0</v>
      </c>
      <c r="AF28" s="34">
        <v>0</v>
      </c>
      <c r="AG28" s="34">
        <v>0</v>
      </c>
      <c r="AH28" s="34">
        <v>0</v>
      </c>
      <c r="AI28" s="34">
        <v>0</v>
      </c>
      <c r="AJ28" s="18">
        <v>546787511</v>
      </c>
      <c r="AK28" s="34">
        <v>0</v>
      </c>
      <c r="AL28" s="18">
        <f>AM28-AGOSTO!AM28</f>
        <v>22072967</v>
      </c>
      <c r="AM28" s="18">
        <v>391843311</v>
      </c>
      <c r="AN28" s="34">
        <v>0</v>
      </c>
      <c r="AO28" s="18">
        <v>22072967</v>
      </c>
      <c r="AP28" s="18">
        <v>391843311</v>
      </c>
      <c r="AQ28" s="34">
        <v>0</v>
      </c>
      <c r="AR28" s="18">
        <v>22072967</v>
      </c>
      <c r="AS28" s="18">
        <v>391843311</v>
      </c>
      <c r="AT28" s="39">
        <f t="shared" si="7"/>
        <v>391843311</v>
      </c>
      <c r="AU28" s="18">
        <f t="shared" si="10"/>
        <v>154944200</v>
      </c>
      <c r="AV28" s="34">
        <f t="shared" si="11"/>
        <v>0</v>
      </c>
      <c r="AW28" s="34">
        <f t="shared" si="12"/>
        <v>0</v>
      </c>
      <c r="AX28" s="32">
        <f t="shared" si="13"/>
        <v>0.71662812905761486</v>
      </c>
    </row>
    <row r="29" spans="1:50" ht="18.75" customHeight="1" x14ac:dyDescent="0.2">
      <c r="A29" s="14" t="s">
        <v>55</v>
      </c>
      <c r="B29" s="15" t="s">
        <v>56</v>
      </c>
      <c r="C29" s="15"/>
      <c r="D29" s="15" t="s">
        <v>40</v>
      </c>
      <c r="E29" s="15"/>
      <c r="F29" s="15"/>
      <c r="G29" s="15" t="s">
        <v>41</v>
      </c>
      <c r="H29" s="15"/>
      <c r="I29" s="15" t="s">
        <v>941</v>
      </c>
      <c r="J29" s="15"/>
      <c r="K29" s="15" t="s">
        <v>932</v>
      </c>
      <c r="L29" s="15"/>
      <c r="M29" s="15" t="s">
        <v>933</v>
      </c>
      <c r="N29" s="15"/>
      <c r="O29" s="15" t="s">
        <v>938</v>
      </c>
      <c r="P29" s="15"/>
      <c r="Q29" s="15" t="s">
        <v>939</v>
      </c>
      <c r="R29" s="15"/>
      <c r="S29" s="15" t="s">
        <v>940</v>
      </c>
      <c r="T29" s="15">
        <v>0</v>
      </c>
      <c r="U29" s="15">
        <v>0</v>
      </c>
      <c r="V29" s="15">
        <v>0</v>
      </c>
      <c r="W29" s="15">
        <v>0</v>
      </c>
      <c r="X29" s="15" t="s">
        <v>937</v>
      </c>
      <c r="Y29" s="15"/>
      <c r="Z29" s="15"/>
      <c r="AA29" s="16" t="s">
        <v>78</v>
      </c>
      <c r="AB29" s="17" t="s">
        <v>79</v>
      </c>
      <c r="AC29" s="17" t="s">
        <v>58</v>
      </c>
      <c r="AD29" s="18">
        <v>46205411</v>
      </c>
      <c r="AE29" s="34">
        <v>0</v>
      </c>
      <c r="AF29" s="34">
        <v>0</v>
      </c>
      <c r="AG29" s="34">
        <v>0</v>
      </c>
      <c r="AH29" s="34">
        <v>0</v>
      </c>
      <c r="AI29" s="34">
        <v>0</v>
      </c>
      <c r="AJ29" s="18">
        <v>46205411</v>
      </c>
      <c r="AK29" s="34">
        <v>0</v>
      </c>
      <c r="AL29" s="18">
        <f>AM29-AGOSTO!AM29</f>
        <v>1206333</v>
      </c>
      <c r="AM29" s="18">
        <v>31914253</v>
      </c>
      <c r="AN29" s="34">
        <v>0</v>
      </c>
      <c r="AO29" s="18">
        <v>1206333</v>
      </c>
      <c r="AP29" s="18">
        <v>31914253</v>
      </c>
      <c r="AQ29" s="34">
        <v>0</v>
      </c>
      <c r="AR29" s="34">
        <v>0</v>
      </c>
      <c r="AS29" s="18">
        <v>30707920</v>
      </c>
      <c r="AT29" s="39">
        <f t="shared" si="7"/>
        <v>30707920</v>
      </c>
      <c r="AU29" s="18">
        <f t="shared" si="10"/>
        <v>14291158</v>
      </c>
      <c r="AV29" s="34">
        <f t="shared" si="11"/>
        <v>0</v>
      </c>
      <c r="AW29" s="18">
        <f t="shared" si="12"/>
        <v>1206333</v>
      </c>
      <c r="AX29" s="32">
        <f t="shared" si="13"/>
        <v>0.6907038009033184</v>
      </c>
    </row>
    <row r="30" spans="1:50" ht="18.75" customHeight="1" x14ac:dyDescent="0.2">
      <c r="A30" s="27" t="s">
        <v>49</v>
      </c>
      <c r="B30" s="27" t="s">
        <v>50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8" t="s">
        <v>80</v>
      </c>
      <c r="AB30" s="29" t="s">
        <v>81</v>
      </c>
      <c r="AC30" s="30" t="s">
        <v>37</v>
      </c>
      <c r="AD30" s="30">
        <f>AD31+AD34</f>
        <v>3301831967</v>
      </c>
      <c r="AE30" s="31">
        <f t="shared" ref="AE30:AS30" si="16">AE31+AE34</f>
        <v>0</v>
      </c>
      <c r="AF30" s="31">
        <f t="shared" si="16"/>
        <v>0</v>
      </c>
      <c r="AG30" s="31">
        <f t="shared" si="16"/>
        <v>0</v>
      </c>
      <c r="AH30" s="30">
        <f t="shared" si="16"/>
        <v>120000000</v>
      </c>
      <c r="AI30" s="30">
        <f t="shared" si="16"/>
        <v>-120000000</v>
      </c>
      <c r="AJ30" s="30">
        <f t="shared" si="16"/>
        <v>3181831967</v>
      </c>
      <c r="AK30" s="31">
        <f t="shared" si="16"/>
        <v>0</v>
      </c>
      <c r="AL30" s="30">
        <f t="shared" si="16"/>
        <v>138906926</v>
      </c>
      <c r="AM30" s="30">
        <f t="shared" si="16"/>
        <v>704692700</v>
      </c>
      <c r="AN30" s="31">
        <f t="shared" si="16"/>
        <v>0</v>
      </c>
      <c r="AO30" s="30">
        <f t="shared" si="16"/>
        <v>138906926</v>
      </c>
      <c r="AP30" s="30">
        <f t="shared" si="16"/>
        <v>704692700</v>
      </c>
      <c r="AQ30" s="31">
        <f t="shared" si="16"/>
        <v>0</v>
      </c>
      <c r="AR30" s="30">
        <f t="shared" si="16"/>
        <v>123436093</v>
      </c>
      <c r="AS30" s="30">
        <f t="shared" si="16"/>
        <v>676765761</v>
      </c>
      <c r="AT30" s="39">
        <f t="shared" si="7"/>
        <v>676765761</v>
      </c>
      <c r="AU30" s="18">
        <f t="shared" si="10"/>
        <v>2477139267</v>
      </c>
      <c r="AV30" s="34">
        <f t="shared" si="11"/>
        <v>0</v>
      </c>
      <c r="AW30" s="18">
        <f t="shared" si="12"/>
        <v>27926939</v>
      </c>
      <c r="AX30" s="32">
        <f t="shared" si="13"/>
        <v>0.22147388903896822</v>
      </c>
    </row>
    <row r="31" spans="1:50" ht="18.75" customHeight="1" x14ac:dyDescent="0.2">
      <c r="A31" s="27" t="s">
        <v>49</v>
      </c>
      <c r="B31" s="27" t="s">
        <v>50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8" t="s">
        <v>82</v>
      </c>
      <c r="AB31" s="29" t="s">
        <v>83</v>
      </c>
      <c r="AC31" s="30" t="s">
        <v>37</v>
      </c>
      <c r="AD31" s="30">
        <f>AD32+AD33</f>
        <v>2120123016</v>
      </c>
      <c r="AE31" s="31">
        <f t="shared" ref="AE31:AS31" si="17">AE32+AE33</f>
        <v>0</v>
      </c>
      <c r="AF31" s="31">
        <f t="shared" si="17"/>
        <v>0</v>
      </c>
      <c r="AG31" s="31">
        <f t="shared" si="17"/>
        <v>0</v>
      </c>
      <c r="AH31" s="31">
        <f t="shared" si="17"/>
        <v>0</v>
      </c>
      <c r="AI31" s="31">
        <f t="shared" si="17"/>
        <v>0</v>
      </c>
      <c r="AJ31" s="30">
        <f t="shared" si="17"/>
        <v>2120123016</v>
      </c>
      <c r="AK31" s="31">
        <f t="shared" si="17"/>
        <v>0</v>
      </c>
      <c r="AL31" s="30">
        <f t="shared" si="17"/>
        <v>24776915</v>
      </c>
      <c r="AM31" s="30">
        <f t="shared" si="17"/>
        <v>121544030</v>
      </c>
      <c r="AN31" s="31">
        <f t="shared" si="17"/>
        <v>0</v>
      </c>
      <c r="AO31" s="30">
        <f>AO32+AO33</f>
        <v>24776915</v>
      </c>
      <c r="AP31" s="30">
        <f t="shared" si="17"/>
        <v>121544030</v>
      </c>
      <c r="AQ31" s="31">
        <f t="shared" si="17"/>
        <v>0</v>
      </c>
      <c r="AR31" s="30">
        <f t="shared" si="17"/>
        <v>22002594</v>
      </c>
      <c r="AS31" s="30">
        <f t="shared" si="17"/>
        <v>116410736</v>
      </c>
      <c r="AT31" s="39">
        <f t="shared" si="7"/>
        <v>116410736</v>
      </c>
      <c r="AU31" s="18">
        <f t="shared" si="10"/>
        <v>1998578986</v>
      </c>
      <c r="AV31" s="34">
        <f t="shared" si="11"/>
        <v>0</v>
      </c>
      <c r="AW31" s="18">
        <f t="shared" si="12"/>
        <v>5133294</v>
      </c>
      <c r="AX31" s="32">
        <f t="shared" si="13"/>
        <v>5.7328763040040503E-2</v>
      </c>
    </row>
    <row r="32" spans="1:50" ht="18.75" customHeight="1" x14ac:dyDescent="0.2">
      <c r="A32" s="14" t="s">
        <v>55</v>
      </c>
      <c r="B32" s="15" t="s">
        <v>56</v>
      </c>
      <c r="C32" s="15"/>
      <c r="D32" s="15" t="s">
        <v>40</v>
      </c>
      <c r="E32" s="15"/>
      <c r="F32" s="15"/>
      <c r="G32" s="15" t="s">
        <v>41</v>
      </c>
      <c r="H32" s="15"/>
      <c r="I32" s="15" t="s">
        <v>941</v>
      </c>
      <c r="J32" s="15"/>
      <c r="K32" s="15" t="s">
        <v>932</v>
      </c>
      <c r="L32" s="15"/>
      <c r="M32" s="15" t="s">
        <v>933</v>
      </c>
      <c r="N32" s="15"/>
      <c r="O32" s="15" t="s">
        <v>938</v>
      </c>
      <c r="P32" s="15"/>
      <c r="Q32" s="15" t="s">
        <v>939</v>
      </c>
      <c r="R32" s="15"/>
      <c r="S32" s="15" t="s">
        <v>940</v>
      </c>
      <c r="T32" s="15">
        <v>0</v>
      </c>
      <c r="U32" s="15">
        <v>0</v>
      </c>
      <c r="V32" s="15">
        <v>0</v>
      </c>
      <c r="W32" s="15">
        <v>0</v>
      </c>
      <c r="X32" s="15" t="s">
        <v>937</v>
      </c>
      <c r="Y32" s="15"/>
      <c r="Z32" s="15"/>
      <c r="AA32" s="16" t="s">
        <v>84</v>
      </c>
      <c r="AB32" s="17" t="s">
        <v>85</v>
      </c>
      <c r="AC32" s="17" t="s">
        <v>61</v>
      </c>
      <c r="AD32" s="18">
        <v>151225079</v>
      </c>
      <c r="AE32" s="34">
        <v>0</v>
      </c>
      <c r="AF32" s="34">
        <v>0</v>
      </c>
      <c r="AG32" s="34">
        <v>0</v>
      </c>
      <c r="AH32" s="34">
        <v>0</v>
      </c>
      <c r="AI32" s="34">
        <v>0</v>
      </c>
      <c r="AJ32" s="18">
        <v>151225079</v>
      </c>
      <c r="AK32" s="34">
        <v>0</v>
      </c>
      <c r="AL32" s="18">
        <f>AM32-AGOSTO!AM32</f>
        <v>2774321</v>
      </c>
      <c r="AM32" s="18">
        <v>18282278</v>
      </c>
      <c r="AN32" s="34">
        <v>0</v>
      </c>
      <c r="AO32" s="18">
        <v>2774321</v>
      </c>
      <c r="AP32" s="18">
        <v>18282278</v>
      </c>
      <c r="AQ32" s="34">
        <v>0</v>
      </c>
      <c r="AR32" s="34">
        <v>0</v>
      </c>
      <c r="AS32" s="18">
        <v>15507957</v>
      </c>
      <c r="AT32" s="39">
        <f t="shared" si="7"/>
        <v>15507957</v>
      </c>
      <c r="AU32" s="18">
        <f t="shared" si="10"/>
        <v>132942801</v>
      </c>
      <c r="AV32" s="34">
        <f t="shared" si="11"/>
        <v>0</v>
      </c>
      <c r="AW32" s="18">
        <f t="shared" si="12"/>
        <v>2774321</v>
      </c>
      <c r="AX32" s="32">
        <f t="shared" si="13"/>
        <v>0.1208944847038235</v>
      </c>
    </row>
    <row r="33" spans="1:50" ht="18.75" customHeight="1" x14ac:dyDescent="0.2">
      <c r="A33" s="14" t="s">
        <v>55</v>
      </c>
      <c r="B33" s="15" t="s">
        <v>56</v>
      </c>
      <c r="C33" s="15"/>
      <c r="D33" s="15" t="s">
        <v>40</v>
      </c>
      <c r="E33" s="15"/>
      <c r="F33" s="15"/>
      <c r="G33" s="15" t="s">
        <v>41</v>
      </c>
      <c r="H33" s="15"/>
      <c r="I33" s="15" t="s">
        <v>936</v>
      </c>
      <c r="J33" s="15"/>
      <c r="K33" s="15" t="s">
        <v>932</v>
      </c>
      <c r="L33" s="15"/>
      <c r="M33" s="15" t="s">
        <v>933</v>
      </c>
      <c r="N33" s="15"/>
      <c r="O33" s="15" t="s">
        <v>938</v>
      </c>
      <c r="P33" s="15"/>
      <c r="Q33" s="15" t="s">
        <v>939</v>
      </c>
      <c r="R33" s="15"/>
      <c r="S33" s="15" t="s">
        <v>940</v>
      </c>
      <c r="T33" s="15">
        <v>0</v>
      </c>
      <c r="U33" s="15">
        <v>0</v>
      </c>
      <c r="V33" s="15">
        <v>0</v>
      </c>
      <c r="W33" s="15">
        <v>0</v>
      </c>
      <c r="X33" s="15" t="s">
        <v>937</v>
      </c>
      <c r="Y33" s="15"/>
      <c r="Z33" s="15"/>
      <c r="AA33" s="16" t="s">
        <v>86</v>
      </c>
      <c r="AB33" s="17" t="s">
        <v>83</v>
      </c>
      <c r="AC33" s="17" t="s">
        <v>58</v>
      </c>
      <c r="AD33" s="18">
        <v>1968897937</v>
      </c>
      <c r="AE33" s="34">
        <v>0</v>
      </c>
      <c r="AF33" s="34">
        <v>0</v>
      </c>
      <c r="AG33" s="34">
        <v>0</v>
      </c>
      <c r="AH33" s="34">
        <v>0</v>
      </c>
      <c r="AI33" s="34">
        <v>0</v>
      </c>
      <c r="AJ33" s="18">
        <v>1968897937</v>
      </c>
      <c r="AK33" s="34">
        <v>0</v>
      </c>
      <c r="AL33" s="18">
        <f>AM33-AGOSTO!AM33</f>
        <v>22002594</v>
      </c>
      <c r="AM33" s="18">
        <v>103261752</v>
      </c>
      <c r="AN33" s="34">
        <v>0</v>
      </c>
      <c r="AO33" s="18">
        <v>22002594</v>
      </c>
      <c r="AP33" s="18">
        <v>103261752</v>
      </c>
      <c r="AQ33" s="34">
        <v>0</v>
      </c>
      <c r="AR33" s="18">
        <v>22002594</v>
      </c>
      <c r="AS33" s="18">
        <v>100902779</v>
      </c>
      <c r="AT33" s="39">
        <f t="shared" si="7"/>
        <v>100902779</v>
      </c>
      <c r="AU33" s="18">
        <f t="shared" si="10"/>
        <v>1865636185</v>
      </c>
      <c r="AV33" s="34">
        <f t="shared" si="11"/>
        <v>0</v>
      </c>
      <c r="AW33" s="18">
        <f t="shared" si="12"/>
        <v>2358973</v>
      </c>
      <c r="AX33" s="32">
        <f t="shared" si="13"/>
        <v>5.2446472749795969E-2</v>
      </c>
    </row>
    <row r="34" spans="1:50" ht="18.75" customHeight="1" x14ac:dyDescent="0.2">
      <c r="A34" s="27" t="s">
        <v>49</v>
      </c>
      <c r="B34" s="27" t="s">
        <v>50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8" t="s">
        <v>87</v>
      </c>
      <c r="AB34" s="29" t="s">
        <v>88</v>
      </c>
      <c r="AC34" s="30" t="s">
        <v>37</v>
      </c>
      <c r="AD34" s="30">
        <f>AD35+AD36</f>
        <v>1181708951</v>
      </c>
      <c r="AE34" s="31">
        <f t="shared" ref="AE34:AS34" si="18">AE35+AE36</f>
        <v>0</v>
      </c>
      <c r="AF34" s="31">
        <f t="shared" si="18"/>
        <v>0</v>
      </c>
      <c r="AG34" s="31">
        <f t="shared" si="18"/>
        <v>0</v>
      </c>
      <c r="AH34" s="30">
        <f t="shared" si="18"/>
        <v>120000000</v>
      </c>
      <c r="AI34" s="30">
        <f t="shared" si="18"/>
        <v>-120000000</v>
      </c>
      <c r="AJ34" s="30">
        <f t="shared" si="18"/>
        <v>1061708951</v>
      </c>
      <c r="AK34" s="31">
        <f t="shared" si="18"/>
        <v>0</v>
      </c>
      <c r="AL34" s="30">
        <f t="shared" si="18"/>
        <v>114130011</v>
      </c>
      <c r="AM34" s="30">
        <f t="shared" si="18"/>
        <v>583148670</v>
      </c>
      <c r="AN34" s="31">
        <f t="shared" si="18"/>
        <v>0</v>
      </c>
      <c r="AO34" s="30">
        <f t="shared" si="18"/>
        <v>114130011</v>
      </c>
      <c r="AP34" s="30">
        <f t="shared" si="18"/>
        <v>583148670</v>
      </c>
      <c r="AQ34" s="31">
        <f t="shared" si="18"/>
        <v>0</v>
      </c>
      <c r="AR34" s="30">
        <f t="shared" si="18"/>
        <v>101433499</v>
      </c>
      <c r="AS34" s="30">
        <f t="shared" si="18"/>
        <v>560355025</v>
      </c>
      <c r="AT34" s="30">
        <f t="shared" si="7"/>
        <v>560355025</v>
      </c>
      <c r="AU34" s="176">
        <f t="shared" si="10"/>
        <v>478560281</v>
      </c>
      <c r="AV34" s="177">
        <f t="shared" si="11"/>
        <v>0</v>
      </c>
      <c r="AW34" s="176">
        <f t="shared" si="12"/>
        <v>22793645</v>
      </c>
      <c r="AX34" s="32">
        <f t="shared" si="13"/>
        <v>0.54925473638584776</v>
      </c>
    </row>
    <row r="35" spans="1:50" ht="18.75" customHeight="1" x14ac:dyDescent="0.2">
      <c r="A35" s="35" t="s">
        <v>55</v>
      </c>
      <c r="B35" s="36" t="s">
        <v>56</v>
      </c>
      <c r="C35" s="36"/>
      <c r="D35" s="36" t="s">
        <v>40</v>
      </c>
      <c r="E35" s="36"/>
      <c r="F35" s="36"/>
      <c r="G35" s="36" t="s">
        <v>41</v>
      </c>
      <c r="H35" s="36"/>
      <c r="I35" s="36" t="s">
        <v>936</v>
      </c>
      <c r="J35" s="36"/>
      <c r="K35" s="36" t="s">
        <v>932</v>
      </c>
      <c r="L35" s="36"/>
      <c r="M35" s="36" t="s">
        <v>933</v>
      </c>
      <c r="N35" s="36"/>
      <c r="O35" s="36" t="s">
        <v>938</v>
      </c>
      <c r="P35" s="36"/>
      <c r="Q35" s="36" t="s">
        <v>939</v>
      </c>
      <c r="R35" s="36"/>
      <c r="S35" s="36" t="s">
        <v>940</v>
      </c>
      <c r="T35" s="36">
        <v>0</v>
      </c>
      <c r="U35" s="36">
        <v>0</v>
      </c>
      <c r="V35" s="36">
        <v>0</v>
      </c>
      <c r="W35" s="36">
        <v>0</v>
      </c>
      <c r="X35" s="36" t="s">
        <v>937</v>
      </c>
      <c r="Y35" s="36"/>
      <c r="Z35" s="36"/>
      <c r="AA35" s="37" t="s">
        <v>89</v>
      </c>
      <c r="AB35" s="38" t="s">
        <v>88</v>
      </c>
      <c r="AC35" s="38" t="s">
        <v>58</v>
      </c>
      <c r="AD35" s="39">
        <v>1110945455</v>
      </c>
      <c r="AE35" s="40">
        <v>0</v>
      </c>
      <c r="AF35" s="40">
        <v>0</v>
      </c>
      <c r="AG35" s="40">
        <v>0</v>
      </c>
      <c r="AH35" s="39">
        <v>120000000</v>
      </c>
      <c r="AI35" s="18">
        <f>AE35-AF35+AG35-AH35</f>
        <v>-120000000</v>
      </c>
      <c r="AJ35" s="18">
        <f>AD35+AI35</f>
        <v>990945455</v>
      </c>
      <c r="AK35" s="40">
        <v>0</v>
      </c>
      <c r="AL35" s="39">
        <f>AM35-AGOSTO!AM35</f>
        <v>101433499</v>
      </c>
      <c r="AM35" s="39">
        <v>542593654</v>
      </c>
      <c r="AN35" s="40">
        <v>0</v>
      </c>
      <c r="AO35" s="39">
        <v>101433499</v>
      </c>
      <c r="AP35" s="39">
        <v>542593654</v>
      </c>
      <c r="AQ35" s="40">
        <v>0</v>
      </c>
      <c r="AR35" s="18">
        <v>101433499</v>
      </c>
      <c r="AS35" s="39">
        <v>532496521</v>
      </c>
      <c r="AT35" s="39">
        <f t="shared" si="7"/>
        <v>532496521</v>
      </c>
      <c r="AU35" s="18">
        <f t="shared" si="10"/>
        <v>448351801</v>
      </c>
      <c r="AV35" s="34">
        <f t="shared" si="11"/>
        <v>0</v>
      </c>
      <c r="AW35" s="18">
        <f t="shared" si="12"/>
        <v>10097133</v>
      </c>
      <c r="AX35" s="32">
        <f t="shared" si="13"/>
        <v>0.54755148354759853</v>
      </c>
    </row>
    <row r="36" spans="1:50" ht="18.75" customHeight="1" x14ac:dyDescent="0.2">
      <c r="A36" s="14" t="s">
        <v>55</v>
      </c>
      <c r="B36" s="15" t="s">
        <v>56</v>
      </c>
      <c r="C36" s="15"/>
      <c r="D36" s="15" t="s">
        <v>40</v>
      </c>
      <c r="E36" s="15"/>
      <c r="F36" s="15"/>
      <c r="G36" s="15" t="s">
        <v>41</v>
      </c>
      <c r="H36" s="15"/>
      <c r="I36" s="15" t="s">
        <v>941</v>
      </c>
      <c r="J36" s="15"/>
      <c r="K36" s="15" t="s">
        <v>932</v>
      </c>
      <c r="L36" s="15"/>
      <c r="M36" s="15" t="s">
        <v>933</v>
      </c>
      <c r="N36" s="15"/>
      <c r="O36" s="15" t="s">
        <v>938</v>
      </c>
      <c r="P36" s="15"/>
      <c r="Q36" s="15" t="s">
        <v>939</v>
      </c>
      <c r="R36" s="15"/>
      <c r="S36" s="15" t="s">
        <v>940</v>
      </c>
      <c r="T36" s="15">
        <v>0</v>
      </c>
      <c r="U36" s="15">
        <v>0</v>
      </c>
      <c r="V36" s="15">
        <v>0</v>
      </c>
      <c r="W36" s="15">
        <v>0</v>
      </c>
      <c r="X36" s="15" t="s">
        <v>937</v>
      </c>
      <c r="Y36" s="15"/>
      <c r="Z36" s="15"/>
      <c r="AA36" s="16" t="s">
        <v>90</v>
      </c>
      <c r="AB36" s="17" t="s">
        <v>91</v>
      </c>
      <c r="AC36" s="17" t="s">
        <v>61</v>
      </c>
      <c r="AD36" s="18">
        <v>70763496</v>
      </c>
      <c r="AE36" s="34">
        <v>0</v>
      </c>
      <c r="AF36" s="34">
        <v>0</v>
      </c>
      <c r="AG36" s="34">
        <v>0</v>
      </c>
      <c r="AH36" s="34">
        <v>0</v>
      </c>
      <c r="AI36" s="34">
        <v>0</v>
      </c>
      <c r="AJ36" s="18">
        <v>70763496</v>
      </c>
      <c r="AK36" s="34">
        <v>0</v>
      </c>
      <c r="AL36" s="39">
        <f>AM36-AGOSTO!AM36</f>
        <v>12696512</v>
      </c>
      <c r="AM36" s="18">
        <v>40555016</v>
      </c>
      <c r="AN36" s="34">
        <v>0</v>
      </c>
      <c r="AO36" s="39">
        <v>12696512</v>
      </c>
      <c r="AP36" s="18">
        <v>40555016</v>
      </c>
      <c r="AQ36" s="34">
        <v>0</v>
      </c>
      <c r="AR36" s="18">
        <v>0</v>
      </c>
      <c r="AS36" s="18">
        <v>27858504</v>
      </c>
      <c r="AT36" s="39">
        <f t="shared" si="7"/>
        <v>27858504</v>
      </c>
      <c r="AU36" s="18">
        <f t="shared" si="10"/>
        <v>30208480</v>
      </c>
      <c r="AV36" s="34">
        <f t="shared" si="11"/>
        <v>0</v>
      </c>
      <c r="AW36" s="18">
        <f t="shared" si="12"/>
        <v>12696512</v>
      </c>
      <c r="AX36" s="32">
        <f t="shared" si="13"/>
        <v>0.57310645025226004</v>
      </c>
    </row>
    <row r="37" spans="1:50" ht="18.75" customHeight="1" x14ac:dyDescent="0.2">
      <c r="A37" s="14" t="s">
        <v>49</v>
      </c>
      <c r="B37" s="15" t="s">
        <v>50</v>
      </c>
      <c r="C37" s="15"/>
      <c r="D37" s="15" t="s">
        <v>40</v>
      </c>
      <c r="E37" s="15"/>
      <c r="F37" s="15"/>
      <c r="G37" s="15" t="s">
        <v>41</v>
      </c>
      <c r="H37" s="15"/>
      <c r="I37" s="15" t="s">
        <v>936</v>
      </c>
      <c r="J37" s="15"/>
      <c r="K37" s="15" t="s">
        <v>932</v>
      </c>
      <c r="L37" s="15"/>
      <c r="M37" s="15" t="s">
        <v>933</v>
      </c>
      <c r="N37" s="15"/>
      <c r="O37" s="15" t="s">
        <v>938</v>
      </c>
      <c r="P37" s="15"/>
      <c r="Q37" s="15" t="s">
        <v>939</v>
      </c>
      <c r="R37" s="15"/>
      <c r="S37" s="15" t="s">
        <v>940</v>
      </c>
      <c r="T37" s="15">
        <v>0</v>
      </c>
      <c r="U37" s="15">
        <v>0</v>
      </c>
      <c r="V37" s="15">
        <v>0</v>
      </c>
      <c r="W37" s="15">
        <v>0</v>
      </c>
      <c r="X37" s="15" t="s">
        <v>937</v>
      </c>
      <c r="Y37" s="15"/>
      <c r="Z37" s="15"/>
      <c r="AA37" s="16" t="s">
        <v>92</v>
      </c>
      <c r="AB37" s="17" t="s">
        <v>93</v>
      </c>
      <c r="AC37" s="17" t="s">
        <v>58</v>
      </c>
      <c r="AD37" s="18">
        <v>128952600</v>
      </c>
      <c r="AE37" s="34">
        <v>0</v>
      </c>
      <c r="AF37" s="34">
        <v>0</v>
      </c>
      <c r="AG37" s="34">
        <v>0</v>
      </c>
      <c r="AH37" s="18">
        <v>72000000</v>
      </c>
      <c r="AI37" s="18">
        <f>AE37-AF37+AG37-AH37</f>
        <v>-72000000</v>
      </c>
      <c r="AJ37" s="18">
        <f>AD37+AI37</f>
        <v>56952600</v>
      </c>
      <c r="AK37" s="34">
        <v>0</v>
      </c>
      <c r="AL37" s="40">
        <v>0</v>
      </c>
      <c r="AM37" s="34">
        <v>0</v>
      </c>
      <c r="AN37" s="34">
        <v>0</v>
      </c>
      <c r="AO37" s="40">
        <v>0</v>
      </c>
      <c r="AP37" s="34">
        <v>0</v>
      </c>
      <c r="AQ37" s="34">
        <v>0</v>
      </c>
      <c r="AR37" s="34">
        <v>0</v>
      </c>
      <c r="AS37" s="34">
        <v>0</v>
      </c>
      <c r="AT37" s="40">
        <f t="shared" si="7"/>
        <v>0</v>
      </c>
      <c r="AU37" s="18">
        <f t="shared" si="10"/>
        <v>56952600</v>
      </c>
      <c r="AV37" s="34">
        <f t="shared" si="11"/>
        <v>0</v>
      </c>
      <c r="AW37" s="34">
        <f t="shared" si="12"/>
        <v>0</v>
      </c>
      <c r="AX37" s="32">
        <f t="shared" si="13"/>
        <v>0</v>
      </c>
    </row>
    <row r="38" spans="1:50" ht="18.75" customHeight="1" x14ac:dyDescent="0.2">
      <c r="A38" s="35" t="s">
        <v>49</v>
      </c>
      <c r="B38" s="36" t="s">
        <v>50</v>
      </c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7" t="s">
        <v>94</v>
      </c>
      <c r="AB38" s="38" t="s">
        <v>95</v>
      </c>
      <c r="AC38" s="38" t="s">
        <v>56</v>
      </c>
      <c r="AD38" s="40">
        <v>0</v>
      </c>
      <c r="AE38" s="40">
        <v>0</v>
      </c>
      <c r="AF38" s="40">
        <v>0</v>
      </c>
      <c r="AG38" s="40">
        <v>0</v>
      </c>
      <c r="AH38" s="40">
        <v>0</v>
      </c>
      <c r="AI38" s="40">
        <v>0</v>
      </c>
      <c r="AJ38" s="40">
        <v>0</v>
      </c>
      <c r="AK38" s="40">
        <v>0</v>
      </c>
      <c r="AL38" s="40">
        <f>AM38-ABRIL!AM38</f>
        <v>0</v>
      </c>
      <c r="AM38" s="40">
        <v>0</v>
      </c>
      <c r="AN38" s="40">
        <v>0</v>
      </c>
      <c r="AO38" s="40">
        <f>AP38-ABRIL!AP38</f>
        <v>0</v>
      </c>
      <c r="AP38" s="40">
        <v>0</v>
      </c>
      <c r="AQ38" s="40">
        <v>0</v>
      </c>
      <c r="AR38" s="34">
        <f>AS38-ABRIL!AS38</f>
        <v>0</v>
      </c>
      <c r="AS38" s="40">
        <v>0</v>
      </c>
      <c r="AT38" s="40">
        <f t="shared" si="7"/>
        <v>0</v>
      </c>
      <c r="AU38" s="34">
        <f t="shared" si="10"/>
        <v>0</v>
      </c>
      <c r="AV38" s="34">
        <f t="shared" si="11"/>
        <v>0</v>
      </c>
      <c r="AW38" s="34">
        <f t="shared" si="12"/>
        <v>0</v>
      </c>
      <c r="AX38" s="32">
        <v>0</v>
      </c>
    </row>
    <row r="39" spans="1:50" s="25" customFormat="1" ht="18.75" customHeight="1" x14ac:dyDescent="0.2">
      <c r="A39" s="19" t="s">
        <v>49</v>
      </c>
      <c r="B39" s="19" t="s">
        <v>50</v>
      </c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26" t="s">
        <v>96</v>
      </c>
      <c r="AB39" s="21" t="s">
        <v>97</v>
      </c>
      <c r="AC39" s="22" t="s">
        <v>37</v>
      </c>
      <c r="AD39" s="22">
        <f>AD40</f>
        <v>23412454</v>
      </c>
      <c r="AE39" s="23">
        <f t="shared" ref="AE39:AW40" si="19">AE40</f>
        <v>0</v>
      </c>
      <c r="AF39" s="23">
        <f t="shared" si="19"/>
        <v>0</v>
      </c>
      <c r="AG39" s="23">
        <f t="shared" si="19"/>
        <v>0</v>
      </c>
      <c r="AH39" s="23">
        <f t="shared" si="19"/>
        <v>0</v>
      </c>
      <c r="AI39" s="23">
        <f t="shared" si="19"/>
        <v>0</v>
      </c>
      <c r="AJ39" s="22">
        <f t="shared" si="19"/>
        <v>23412454</v>
      </c>
      <c r="AK39" s="23">
        <f t="shared" si="19"/>
        <v>0</v>
      </c>
      <c r="AL39" s="23">
        <f t="shared" si="19"/>
        <v>0</v>
      </c>
      <c r="AM39" s="23">
        <f t="shared" si="19"/>
        <v>0</v>
      </c>
      <c r="AN39" s="23">
        <f t="shared" si="19"/>
        <v>0</v>
      </c>
      <c r="AO39" s="23">
        <f t="shared" si="19"/>
        <v>0</v>
      </c>
      <c r="AP39" s="23">
        <f t="shared" si="19"/>
        <v>0</v>
      </c>
      <c r="AQ39" s="23">
        <f t="shared" si="19"/>
        <v>0</v>
      </c>
      <c r="AR39" s="23">
        <f t="shared" si="19"/>
        <v>0</v>
      </c>
      <c r="AS39" s="23">
        <f t="shared" si="19"/>
        <v>0</v>
      </c>
      <c r="AT39" s="23">
        <f>AQ39+AS39</f>
        <v>0</v>
      </c>
      <c r="AU39" s="22">
        <f t="shared" si="19"/>
        <v>23412454</v>
      </c>
      <c r="AV39" s="23">
        <f t="shared" si="19"/>
        <v>0</v>
      </c>
      <c r="AW39" s="23">
        <f t="shared" si="19"/>
        <v>0</v>
      </c>
      <c r="AX39" s="24">
        <f t="shared" ref="AX39:AX104" si="20">AP39/AJ39</f>
        <v>0</v>
      </c>
    </row>
    <row r="40" spans="1:50" ht="18.75" customHeight="1" x14ac:dyDescent="0.2">
      <c r="A40" s="27" t="s">
        <v>55</v>
      </c>
      <c r="B40" s="27" t="s">
        <v>56</v>
      </c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8" t="s">
        <v>98</v>
      </c>
      <c r="AB40" s="29" t="s">
        <v>99</v>
      </c>
      <c r="AC40" s="30" t="s">
        <v>37</v>
      </c>
      <c r="AD40" s="30">
        <f>AD41</f>
        <v>23412454</v>
      </c>
      <c r="AE40" s="31">
        <f t="shared" si="19"/>
        <v>0</v>
      </c>
      <c r="AF40" s="31">
        <f t="shared" si="19"/>
        <v>0</v>
      </c>
      <c r="AG40" s="31">
        <f t="shared" si="19"/>
        <v>0</v>
      </c>
      <c r="AH40" s="31">
        <f t="shared" si="19"/>
        <v>0</v>
      </c>
      <c r="AI40" s="31">
        <f t="shared" si="19"/>
        <v>0</v>
      </c>
      <c r="AJ40" s="30">
        <f t="shared" si="19"/>
        <v>23412454</v>
      </c>
      <c r="AK40" s="31">
        <f t="shared" si="19"/>
        <v>0</v>
      </c>
      <c r="AL40" s="31">
        <f t="shared" si="19"/>
        <v>0</v>
      </c>
      <c r="AM40" s="31">
        <f t="shared" si="19"/>
        <v>0</v>
      </c>
      <c r="AN40" s="31">
        <f t="shared" si="19"/>
        <v>0</v>
      </c>
      <c r="AO40" s="31">
        <f t="shared" si="19"/>
        <v>0</v>
      </c>
      <c r="AP40" s="31">
        <f t="shared" si="19"/>
        <v>0</v>
      </c>
      <c r="AQ40" s="31">
        <f t="shared" si="19"/>
        <v>0</v>
      </c>
      <c r="AR40" s="31">
        <f t="shared" si="19"/>
        <v>0</v>
      </c>
      <c r="AS40" s="31">
        <f t="shared" si="19"/>
        <v>0</v>
      </c>
      <c r="AT40" s="31">
        <f t="shared" ref="AT40:AT41" si="21">AQ40+AS40</f>
        <v>0</v>
      </c>
      <c r="AU40" s="18">
        <f>AJ40-AM40</f>
        <v>23412454</v>
      </c>
      <c r="AV40" s="34">
        <f>AM40-AP40</f>
        <v>0</v>
      </c>
      <c r="AW40" s="34">
        <f>AP40-AT40</f>
        <v>0</v>
      </c>
      <c r="AX40" s="32">
        <f t="shared" si="20"/>
        <v>0</v>
      </c>
    </row>
    <row r="41" spans="1:50" ht="18.75" customHeight="1" x14ac:dyDescent="0.2">
      <c r="A41" s="14" t="s">
        <v>55</v>
      </c>
      <c r="B41" s="15" t="s">
        <v>56</v>
      </c>
      <c r="C41" s="15"/>
      <c r="D41" s="15" t="s">
        <v>40</v>
      </c>
      <c r="E41" s="15"/>
      <c r="F41" s="15"/>
      <c r="G41" s="15" t="s">
        <v>41</v>
      </c>
      <c r="H41" s="15"/>
      <c r="I41" s="15" t="s">
        <v>936</v>
      </c>
      <c r="J41" s="15"/>
      <c r="K41" s="15" t="s">
        <v>932</v>
      </c>
      <c r="L41" s="15"/>
      <c r="M41" s="15" t="s">
        <v>933</v>
      </c>
      <c r="N41" s="15"/>
      <c r="O41" s="15" t="s">
        <v>938</v>
      </c>
      <c r="P41" s="15"/>
      <c r="Q41" s="15" t="s">
        <v>939</v>
      </c>
      <c r="R41" s="15"/>
      <c r="S41" s="15" t="s">
        <v>940</v>
      </c>
      <c r="T41" s="15">
        <v>0</v>
      </c>
      <c r="U41" s="15">
        <v>0</v>
      </c>
      <c r="V41" s="15">
        <v>0</v>
      </c>
      <c r="W41" s="15">
        <v>0</v>
      </c>
      <c r="X41" s="15" t="s">
        <v>937</v>
      </c>
      <c r="Y41" s="15"/>
      <c r="Z41" s="15"/>
      <c r="AA41" s="16" t="s">
        <v>100</v>
      </c>
      <c r="AB41" s="17" t="s">
        <v>101</v>
      </c>
      <c r="AC41" s="17" t="s">
        <v>58</v>
      </c>
      <c r="AD41" s="18">
        <v>23412454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18">
        <v>23412454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1">
        <f t="shared" si="21"/>
        <v>0</v>
      </c>
      <c r="AU41" s="18">
        <f>AJ41-AM41</f>
        <v>23412454</v>
      </c>
      <c r="AV41" s="34">
        <f>AM41-AP41</f>
        <v>0</v>
      </c>
      <c r="AW41" s="34">
        <f>AP41-AT41</f>
        <v>0</v>
      </c>
      <c r="AX41" s="32">
        <f t="shared" si="20"/>
        <v>0</v>
      </c>
    </row>
    <row r="42" spans="1:50" s="25" customFormat="1" ht="18.75" customHeight="1" x14ac:dyDescent="0.2">
      <c r="A42" s="19" t="s">
        <v>49</v>
      </c>
      <c r="B42" s="19" t="s">
        <v>50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26" t="s">
        <v>102</v>
      </c>
      <c r="AB42" s="21" t="s">
        <v>103</v>
      </c>
      <c r="AC42" s="22" t="s">
        <v>37</v>
      </c>
      <c r="AD42" s="22">
        <f>AD43+AD46+AD49+AD52+AD55+AD58+AD61+AD64+AD67</f>
        <v>9938807657</v>
      </c>
      <c r="AE42" s="23">
        <f t="shared" ref="AE42:AW42" si="22">AE43+AE46+AE49+AE52+AE55+AE58+AE61+AE64+AE67</f>
        <v>0</v>
      </c>
      <c r="AF42" s="23">
        <f t="shared" si="22"/>
        <v>0</v>
      </c>
      <c r="AG42" s="23">
        <f>AG43+AG46+AG49+AG52+AG55+AG58+AG61+AG64+AG67</f>
        <v>0</v>
      </c>
      <c r="AH42" s="22">
        <f>AH43+AH46+AH49+AH52+AH55+AH58+AH61+AH64+AH67</f>
        <v>480500000</v>
      </c>
      <c r="AI42" s="22">
        <f t="shared" si="22"/>
        <v>-480500000</v>
      </c>
      <c r="AJ42" s="22">
        <f t="shared" si="22"/>
        <v>9458307657</v>
      </c>
      <c r="AK42" s="23">
        <f t="shared" si="22"/>
        <v>0</v>
      </c>
      <c r="AL42" s="22">
        <f t="shared" si="22"/>
        <v>585749209</v>
      </c>
      <c r="AM42" s="22">
        <f t="shared" si="22"/>
        <v>5886532614</v>
      </c>
      <c r="AN42" s="23">
        <f t="shared" si="22"/>
        <v>0</v>
      </c>
      <c r="AO42" s="22">
        <f t="shared" si="22"/>
        <v>585749209</v>
      </c>
      <c r="AP42" s="22">
        <f t="shared" si="22"/>
        <v>5886532614</v>
      </c>
      <c r="AQ42" s="23">
        <f t="shared" si="22"/>
        <v>0</v>
      </c>
      <c r="AR42" s="22">
        <f t="shared" si="22"/>
        <v>582527386</v>
      </c>
      <c r="AS42" s="22">
        <f t="shared" si="22"/>
        <v>5883310791</v>
      </c>
      <c r="AT42" s="22">
        <f>AQ42+AS42</f>
        <v>5883310791</v>
      </c>
      <c r="AU42" s="22">
        <f t="shared" si="22"/>
        <v>3571775043</v>
      </c>
      <c r="AV42" s="23">
        <f t="shared" si="22"/>
        <v>0</v>
      </c>
      <c r="AW42" s="23">
        <f t="shared" si="22"/>
        <v>3221823</v>
      </c>
      <c r="AX42" s="24">
        <f t="shared" si="20"/>
        <v>0.62236637118094118</v>
      </c>
    </row>
    <row r="43" spans="1:50" ht="18.75" customHeight="1" x14ac:dyDescent="0.2">
      <c r="A43" s="27" t="s">
        <v>49</v>
      </c>
      <c r="B43" s="27" t="s">
        <v>50</v>
      </c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8" t="s">
        <v>104</v>
      </c>
      <c r="AB43" s="29" t="s">
        <v>105</v>
      </c>
      <c r="AC43" s="30" t="s">
        <v>37</v>
      </c>
      <c r="AD43" s="30">
        <f>AD44+AD45</f>
        <v>2694944550</v>
      </c>
      <c r="AE43" s="31">
        <f t="shared" ref="AE43:AS43" si="23">AE44+AE45</f>
        <v>0</v>
      </c>
      <c r="AF43" s="31">
        <f t="shared" si="23"/>
        <v>0</v>
      </c>
      <c r="AG43" s="31">
        <f t="shared" si="23"/>
        <v>0</v>
      </c>
      <c r="AH43" s="30">
        <f t="shared" si="23"/>
        <v>170000000</v>
      </c>
      <c r="AI43" s="30">
        <f t="shared" si="23"/>
        <v>-170000000</v>
      </c>
      <c r="AJ43" s="30">
        <f t="shared" si="23"/>
        <v>2524944550</v>
      </c>
      <c r="AK43" s="31">
        <f t="shared" si="23"/>
        <v>0</v>
      </c>
      <c r="AL43" s="30">
        <f t="shared" si="23"/>
        <v>199499900</v>
      </c>
      <c r="AM43" s="30">
        <f t="shared" si="23"/>
        <v>1581678800</v>
      </c>
      <c r="AN43" s="31">
        <f t="shared" si="23"/>
        <v>0</v>
      </c>
      <c r="AO43" s="30">
        <f t="shared" si="23"/>
        <v>199499900</v>
      </c>
      <c r="AP43" s="30">
        <f t="shared" si="23"/>
        <v>1581678800</v>
      </c>
      <c r="AQ43" s="31">
        <f t="shared" si="23"/>
        <v>0</v>
      </c>
      <c r="AR43" s="30">
        <f t="shared" si="23"/>
        <v>199499900</v>
      </c>
      <c r="AS43" s="30">
        <f t="shared" si="23"/>
        <v>1581678800</v>
      </c>
      <c r="AT43" s="30">
        <f t="shared" ref="AT43:AT69" si="24">AQ43+AS43</f>
        <v>1581678800</v>
      </c>
      <c r="AU43" s="18">
        <f t="shared" ref="AU43:AU69" si="25">AJ43-AM43</f>
        <v>943265750</v>
      </c>
      <c r="AV43" s="34">
        <f t="shared" ref="AV43:AV69" si="26">AM43-AP43</f>
        <v>0</v>
      </c>
      <c r="AW43" s="34">
        <f t="shared" ref="AW43:AW69" si="27">AP43-AT43</f>
        <v>0</v>
      </c>
      <c r="AX43" s="32">
        <f t="shared" si="20"/>
        <v>0.62642120200223805</v>
      </c>
    </row>
    <row r="44" spans="1:50" ht="18.75" customHeight="1" x14ac:dyDescent="0.2">
      <c r="A44" s="14" t="s">
        <v>55</v>
      </c>
      <c r="B44" s="15" t="s">
        <v>56</v>
      </c>
      <c r="C44" s="15"/>
      <c r="D44" s="15" t="s">
        <v>40</v>
      </c>
      <c r="E44" s="15"/>
      <c r="F44" s="15"/>
      <c r="G44" s="15" t="s">
        <v>41</v>
      </c>
      <c r="H44" s="15"/>
      <c r="I44" s="15" t="s">
        <v>936</v>
      </c>
      <c r="J44" s="15"/>
      <c r="K44" s="15" t="s">
        <v>932</v>
      </c>
      <c r="L44" s="15"/>
      <c r="M44" s="15" t="s">
        <v>933</v>
      </c>
      <c r="N44" s="15"/>
      <c r="O44" s="15" t="s">
        <v>938</v>
      </c>
      <c r="P44" s="15"/>
      <c r="Q44" s="15" t="s">
        <v>939</v>
      </c>
      <c r="R44" s="15"/>
      <c r="S44" s="15" t="s">
        <v>940</v>
      </c>
      <c r="T44" s="15">
        <v>0</v>
      </c>
      <c r="U44" s="15">
        <v>0</v>
      </c>
      <c r="V44" s="15">
        <v>0</v>
      </c>
      <c r="W44" s="15">
        <v>0</v>
      </c>
      <c r="X44" s="15" t="s">
        <v>937</v>
      </c>
      <c r="Y44" s="15"/>
      <c r="Z44" s="15"/>
      <c r="AA44" s="16" t="s">
        <v>106</v>
      </c>
      <c r="AB44" s="17" t="s">
        <v>105</v>
      </c>
      <c r="AC44" s="17" t="s">
        <v>58</v>
      </c>
      <c r="AD44" s="18">
        <v>2434081998</v>
      </c>
      <c r="AE44" s="34">
        <v>0</v>
      </c>
      <c r="AF44" s="34">
        <v>0</v>
      </c>
      <c r="AG44" s="34">
        <v>0</v>
      </c>
      <c r="AH44" s="18">
        <f>70000000+100000000</f>
        <v>170000000</v>
      </c>
      <c r="AI44" s="18">
        <f>AE44-AF44+AG44-AH44</f>
        <v>-170000000</v>
      </c>
      <c r="AJ44" s="18">
        <f>AD44+AI44</f>
        <v>2264081998</v>
      </c>
      <c r="AK44" s="34">
        <v>0</v>
      </c>
      <c r="AL44" s="18">
        <f>AM44-AGOSTO!AM44</f>
        <v>186409500</v>
      </c>
      <c r="AM44" s="18">
        <v>1456463200</v>
      </c>
      <c r="AN44" s="34">
        <v>0</v>
      </c>
      <c r="AO44" s="18">
        <v>186409500</v>
      </c>
      <c r="AP44" s="18">
        <v>1456463200</v>
      </c>
      <c r="AQ44" s="34">
        <v>0</v>
      </c>
      <c r="AR44" s="18">
        <v>186409500</v>
      </c>
      <c r="AS44" s="18">
        <v>1456463200</v>
      </c>
      <c r="AT44" s="39">
        <f t="shared" si="24"/>
        <v>1456463200</v>
      </c>
      <c r="AU44" s="18">
        <f t="shared" si="25"/>
        <v>807618798</v>
      </c>
      <c r="AV44" s="34">
        <f t="shared" si="26"/>
        <v>0</v>
      </c>
      <c r="AW44" s="34">
        <f t="shared" si="27"/>
        <v>0</v>
      </c>
      <c r="AX44" s="32">
        <f t="shared" si="20"/>
        <v>0.64329083544084609</v>
      </c>
    </row>
    <row r="45" spans="1:50" ht="27" customHeight="1" x14ac:dyDescent="0.2">
      <c r="A45" s="14" t="s">
        <v>55</v>
      </c>
      <c r="B45" s="15" t="s">
        <v>56</v>
      </c>
      <c r="C45" s="15"/>
      <c r="D45" s="15" t="s">
        <v>40</v>
      </c>
      <c r="E45" s="15"/>
      <c r="F45" s="15"/>
      <c r="G45" s="15" t="s">
        <v>41</v>
      </c>
      <c r="H45" s="15"/>
      <c r="I45" s="15" t="s">
        <v>941</v>
      </c>
      <c r="J45" s="15"/>
      <c r="K45" s="15" t="s">
        <v>932</v>
      </c>
      <c r="L45" s="15"/>
      <c r="M45" s="15" t="s">
        <v>933</v>
      </c>
      <c r="N45" s="15"/>
      <c r="O45" s="15" t="s">
        <v>938</v>
      </c>
      <c r="P45" s="15"/>
      <c r="Q45" s="15" t="s">
        <v>939</v>
      </c>
      <c r="R45" s="15"/>
      <c r="S45" s="15" t="s">
        <v>940</v>
      </c>
      <c r="T45" s="15">
        <v>0</v>
      </c>
      <c r="U45" s="15">
        <v>0</v>
      </c>
      <c r="V45" s="15">
        <v>0</v>
      </c>
      <c r="W45" s="15">
        <v>0</v>
      </c>
      <c r="X45" s="15" t="s">
        <v>937</v>
      </c>
      <c r="Y45" s="15"/>
      <c r="Z45" s="15"/>
      <c r="AA45" s="16" t="s">
        <v>107</v>
      </c>
      <c r="AB45" s="17" t="s">
        <v>108</v>
      </c>
      <c r="AC45" s="17" t="s">
        <v>61</v>
      </c>
      <c r="AD45" s="18">
        <v>260862552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18">
        <v>260862552</v>
      </c>
      <c r="AK45" s="34">
        <v>0</v>
      </c>
      <c r="AL45" s="18">
        <f>AM45-AGOSTO!AM45</f>
        <v>13090400</v>
      </c>
      <c r="AM45" s="18">
        <v>125215600</v>
      </c>
      <c r="AN45" s="34">
        <v>0</v>
      </c>
      <c r="AO45" s="18">
        <v>13090400</v>
      </c>
      <c r="AP45" s="18">
        <v>125215600</v>
      </c>
      <c r="AQ45" s="34">
        <v>0</v>
      </c>
      <c r="AR45" s="18">
        <v>13090400</v>
      </c>
      <c r="AS45" s="18">
        <v>125215600</v>
      </c>
      <c r="AT45" s="39">
        <f t="shared" si="24"/>
        <v>125215600</v>
      </c>
      <c r="AU45" s="18">
        <f t="shared" si="25"/>
        <v>135646952</v>
      </c>
      <c r="AV45" s="34">
        <f t="shared" si="26"/>
        <v>0</v>
      </c>
      <c r="AW45" s="34">
        <f t="shared" si="27"/>
        <v>0</v>
      </c>
      <c r="AX45" s="32">
        <f t="shared" si="20"/>
        <v>0.48000603781565399</v>
      </c>
    </row>
    <row r="46" spans="1:50" ht="18.75" customHeight="1" x14ac:dyDescent="0.2">
      <c r="A46" s="27" t="s">
        <v>49</v>
      </c>
      <c r="B46" s="27" t="s">
        <v>50</v>
      </c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8" t="s">
        <v>109</v>
      </c>
      <c r="AB46" s="29" t="s">
        <v>110</v>
      </c>
      <c r="AC46" s="30" t="s">
        <v>37</v>
      </c>
      <c r="AD46" s="30">
        <f>AD47+AD48</f>
        <v>1966170915</v>
      </c>
      <c r="AE46" s="31">
        <f t="shared" ref="AE46:AS46" si="28">AE47+AE48</f>
        <v>0</v>
      </c>
      <c r="AF46" s="31">
        <f t="shared" si="28"/>
        <v>0</v>
      </c>
      <c r="AG46" s="31">
        <f t="shared" si="28"/>
        <v>0</v>
      </c>
      <c r="AH46" s="30">
        <f t="shared" si="28"/>
        <v>20000000</v>
      </c>
      <c r="AI46" s="30">
        <f t="shared" si="28"/>
        <v>-20000000</v>
      </c>
      <c r="AJ46" s="30">
        <f t="shared" si="28"/>
        <v>1946170915</v>
      </c>
      <c r="AK46" s="31">
        <f t="shared" si="28"/>
        <v>0</v>
      </c>
      <c r="AL46" s="30">
        <f t="shared" si="28"/>
        <v>144250900</v>
      </c>
      <c r="AM46" s="30">
        <f t="shared" si="28"/>
        <v>1150102800</v>
      </c>
      <c r="AN46" s="31">
        <f t="shared" si="28"/>
        <v>0</v>
      </c>
      <c r="AO46" s="30">
        <f t="shared" si="28"/>
        <v>144250900</v>
      </c>
      <c r="AP46" s="30">
        <f t="shared" si="28"/>
        <v>1150102800</v>
      </c>
      <c r="AQ46" s="31">
        <f t="shared" si="28"/>
        <v>0</v>
      </c>
      <c r="AR46" s="30">
        <f t="shared" si="28"/>
        <v>144250900</v>
      </c>
      <c r="AS46" s="109">
        <f t="shared" si="28"/>
        <v>1150102800</v>
      </c>
      <c r="AT46" s="39">
        <f t="shared" si="24"/>
        <v>1150102800</v>
      </c>
      <c r="AU46" s="18">
        <f t="shared" si="25"/>
        <v>796068115</v>
      </c>
      <c r="AV46" s="34">
        <f t="shared" si="26"/>
        <v>0</v>
      </c>
      <c r="AW46" s="34">
        <f t="shared" si="27"/>
        <v>0</v>
      </c>
      <c r="AX46" s="32">
        <f t="shared" si="20"/>
        <v>0.59095673002594429</v>
      </c>
    </row>
    <row r="47" spans="1:50" ht="18.75" customHeight="1" x14ac:dyDescent="0.2">
      <c r="A47" s="35" t="s">
        <v>55</v>
      </c>
      <c r="B47" s="36" t="s">
        <v>56</v>
      </c>
      <c r="C47" s="36"/>
      <c r="D47" s="36" t="s">
        <v>40</v>
      </c>
      <c r="E47" s="36"/>
      <c r="F47" s="36"/>
      <c r="G47" s="36" t="s">
        <v>41</v>
      </c>
      <c r="H47" s="36"/>
      <c r="I47" s="36" t="s">
        <v>936</v>
      </c>
      <c r="J47" s="36"/>
      <c r="K47" s="36" t="s">
        <v>932</v>
      </c>
      <c r="L47" s="36"/>
      <c r="M47" s="36" t="s">
        <v>933</v>
      </c>
      <c r="N47" s="36"/>
      <c r="O47" s="36" t="s">
        <v>938</v>
      </c>
      <c r="P47" s="36"/>
      <c r="Q47" s="36" t="s">
        <v>939</v>
      </c>
      <c r="R47" s="36"/>
      <c r="S47" s="36" t="s">
        <v>940</v>
      </c>
      <c r="T47" s="36">
        <v>0</v>
      </c>
      <c r="U47" s="36">
        <v>0</v>
      </c>
      <c r="V47" s="36">
        <v>0</v>
      </c>
      <c r="W47" s="36">
        <v>0</v>
      </c>
      <c r="X47" s="36" t="s">
        <v>937</v>
      </c>
      <c r="Y47" s="36"/>
      <c r="Z47" s="36"/>
      <c r="AA47" s="37" t="s">
        <v>111</v>
      </c>
      <c r="AB47" s="38" t="s">
        <v>110</v>
      </c>
      <c r="AC47" s="38" t="s">
        <v>58</v>
      </c>
      <c r="AD47" s="39">
        <v>1757106683</v>
      </c>
      <c r="AE47" s="40">
        <v>0</v>
      </c>
      <c r="AF47" s="40">
        <v>0</v>
      </c>
      <c r="AG47" s="40">
        <v>0</v>
      </c>
      <c r="AH47" s="39">
        <v>20000000</v>
      </c>
      <c r="AI47" s="18">
        <f>AE47-AF47+AG47-AH47</f>
        <v>-20000000</v>
      </c>
      <c r="AJ47" s="18">
        <f>AD47+AI47</f>
        <v>1737106683</v>
      </c>
      <c r="AK47" s="40">
        <v>0</v>
      </c>
      <c r="AL47" s="18">
        <f>AM47-AGOSTO!AM47</f>
        <v>134977300</v>
      </c>
      <c r="AM47" s="39">
        <v>1061400400</v>
      </c>
      <c r="AN47" s="40">
        <v>0</v>
      </c>
      <c r="AO47" s="18">
        <v>134977300</v>
      </c>
      <c r="AP47" s="39">
        <v>1061400400</v>
      </c>
      <c r="AQ47" s="40">
        <v>0</v>
      </c>
      <c r="AR47" s="39">
        <v>134977300</v>
      </c>
      <c r="AS47" s="111">
        <v>1061400400</v>
      </c>
      <c r="AT47" s="39">
        <f t="shared" si="24"/>
        <v>1061400400</v>
      </c>
      <c r="AU47" s="18">
        <f t="shared" si="25"/>
        <v>675706283</v>
      </c>
      <c r="AV47" s="34">
        <f t="shared" si="26"/>
        <v>0</v>
      </c>
      <c r="AW47" s="34">
        <f t="shared" si="27"/>
        <v>0</v>
      </c>
      <c r="AX47" s="32">
        <f t="shared" si="20"/>
        <v>0.61101624349688832</v>
      </c>
    </row>
    <row r="48" spans="1:50" ht="18.75" customHeight="1" x14ac:dyDescent="0.2">
      <c r="A48" s="14" t="s">
        <v>55</v>
      </c>
      <c r="B48" s="15" t="s">
        <v>56</v>
      </c>
      <c r="C48" s="15"/>
      <c r="D48" s="15" t="s">
        <v>40</v>
      </c>
      <c r="E48" s="15"/>
      <c r="F48" s="15"/>
      <c r="G48" s="15" t="s">
        <v>41</v>
      </c>
      <c r="H48" s="15"/>
      <c r="I48" s="15" t="s">
        <v>941</v>
      </c>
      <c r="J48" s="15"/>
      <c r="K48" s="15" t="s">
        <v>932</v>
      </c>
      <c r="L48" s="15"/>
      <c r="M48" s="15" t="s">
        <v>933</v>
      </c>
      <c r="N48" s="15"/>
      <c r="O48" s="15" t="s">
        <v>938</v>
      </c>
      <c r="P48" s="15"/>
      <c r="Q48" s="15" t="s">
        <v>939</v>
      </c>
      <c r="R48" s="15"/>
      <c r="S48" s="15" t="s">
        <v>940</v>
      </c>
      <c r="T48" s="15">
        <v>0</v>
      </c>
      <c r="U48" s="15">
        <v>0</v>
      </c>
      <c r="V48" s="15">
        <v>0</v>
      </c>
      <c r="W48" s="15">
        <v>0</v>
      </c>
      <c r="X48" s="15" t="s">
        <v>937</v>
      </c>
      <c r="Y48" s="15"/>
      <c r="Z48" s="15"/>
      <c r="AA48" s="16" t="s">
        <v>112</v>
      </c>
      <c r="AB48" s="17" t="s">
        <v>113</v>
      </c>
      <c r="AC48" s="17" t="s">
        <v>61</v>
      </c>
      <c r="AD48" s="18">
        <v>209064232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18">
        <v>209064232</v>
      </c>
      <c r="AK48" s="34">
        <v>0</v>
      </c>
      <c r="AL48" s="18">
        <f>AM48-AGOSTO!AM48</f>
        <v>9273600</v>
      </c>
      <c r="AM48" s="18">
        <v>88702400</v>
      </c>
      <c r="AN48" s="34">
        <v>0</v>
      </c>
      <c r="AO48" s="18">
        <v>9273600</v>
      </c>
      <c r="AP48" s="18">
        <v>88702400</v>
      </c>
      <c r="AQ48" s="34">
        <v>0</v>
      </c>
      <c r="AR48" s="39">
        <v>9273600</v>
      </c>
      <c r="AS48" s="110">
        <v>88702400</v>
      </c>
      <c r="AT48" s="39">
        <f t="shared" si="24"/>
        <v>88702400</v>
      </c>
      <c r="AU48" s="18">
        <f t="shared" si="25"/>
        <v>120361832</v>
      </c>
      <c r="AV48" s="34">
        <f t="shared" si="26"/>
        <v>0</v>
      </c>
      <c r="AW48" s="34">
        <f t="shared" si="27"/>
        <v>0</v>
      </c>
      <c r="AX48" s="32">
        <f t="shared" si="20"/>
        <v>0.42428300217322684</v>
      </c>
    </row>
    <row r="49" spans="1:50" ht="18.75" customHeight="1" x14ac:dyDescent="0.2">
      <c r="A49" s="27" t="s">
        <v>49</v>
      </c>
      <c r="B49" s="27" t="s">
        <v>50</v>
      </c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8" t="s">
        <v>114</v>
      </c>
      <c r="AB49" s="29" t="s">
        <v>115</v>
      </c>
      <c r="AC49" s="30" t="s">
        <v>37</v>
      </c>
      <c r="AD49" s="30">
        <f>AD50+AD51</f>
        <v>2387025947</v>
      </c>
      <c r="AE49" s="31">
        <f t="shared" ref="AE49:AS49" si="29">AE50+AE51</f>
        <v>0</v>
      </c>
      <c r="AF49" s="31">
        <f t="shared" si="29"/>
        <v>0</v>
      </c>
      <c r="AG49" s="31">
        <f t="shared" si="29"/>
        <v>0</v>
      </c>
      <c r="AH49" s="31">
        <f t="shared" si="29"/>
        <v>0</v>
      </c>
      <c r="AI49" s="31">
        <f t="shared" si="29"/>
        <v>0</v>
      </c>
      <c r="AJ49" s="30">
        <f t="shared" si="29"/>
        <v>2387025947</v>
      </c>
      <c r="AK49" s="31">
        <f t="shared" si="29"/>
        <v>0</v>
      </c>
      <c r="AL49" s="30">
        <f t="shared" si="29"/>
        <v>67673909</v>
      </c>
      <c r="AM49" s="30">
        <f t="shared" si="29"/>
        <v>1719837414</v>
      </c>
      <c r="AN49" s="31">
        <f t="shared" si="29"/>
        <v>0</v>
      </c>
      <c r="AO49" s="30">
        <f t="shared" si="29"/>
        <v>67673909</v>
      </c>
      <c r="AP49" s="30">
        <f t="shared" si="29"/>
        <v>1719837414</v>
      </c>
      <c r="AQ49" s="31">
        <f t="shared" si="29"/>
        <v>0</v>
      </c>
      <c r="AR49" s="30">
        <f t="shared" si="29"/>
        <v>64452086</v>
      </c>
      <c r="AS49" s="30">
        <f t="shared" si="29"/>
        <v>1716615591</v>
      </c>
      <c r="AT49" s="39">
        <f t="shared" si="24"/>
        <v>1716615591</v>
      </c>
      <c r="AU49" s="18">
        <f t="shared" si="25"/>
        <v>667188533</v>
      </c>
      <c r="AV49" s="34">
        <f t="shared" si="26"/>
        <v>0</v>
      </c>
      <c r="AW49" s="34">
        <f t="shared" si="27"/>
        <v>3221823</v>
      </c>
      <c r="AX49" s="32">
        <f t="shared" si="20"/>
        <v>0.72049380785386163</v>
      </c>
    </row>
    <row r="50" spans="1:50" ht="18.75" customHeight="1" x14ac:dyDescent="0.2">
      <c r="A50" s="14" t="s">
        <v>55</v>
      </c>
      <c r="B50" s="15" t="s">
        <v>56</v>
      </c>
      <c r="C50" s="15"/>
      <c r="D50" s="15" t="s">
        <v>40</v>
      </c>
      <c r="E50" s="15"/>
      <c r="F50" s="15"/>
      <c r="G50" s="15" t="s">
        <v>41</v>
      </c>
      <c r="H50" s="15"/>
      <c r="I50" s="15" t="s">
        <v>936</v>
      </c>
      <c r="J50" s="15"/>
      <c r="K50" s="15" t="s">
        <v>932</v>
      </c>
      <c r="L50" s="15"/>
      <c r="M50" s="15" t="s">
        <v>933</v>
      </c>
      <c r="N50" s="15"/>
      <c r="O50" s="15" t="s">
        <v>938</v>
      </c>
      <c r="P50" s="15"/>
      <c r="Q50" s="15" t="s">
        <v>939</v>
      </c>
      <c r="R50" s="15"/>
      <c r="S50" s="15" t="s">
        <v>940</v>
      </c>
      <c r="T50" s="15">
        <v>0</v>
      </c>
      <c r="U50" s="15">
        <v>0</v>
      </c>
      <c r="V50" s="15">
        <v>0</v>
      </c>
      <c r="W50" s="15">
        <v>0</v>
      </c>
      <c r="X50" s="15" t="s">
        <v>937</v>
      </c>
      <c r="Y50" s="15"/>
      <c r="Z50" s="15"/>
      <c r="AA50" s="16" t="s">
        <v>116</v>
      </c>
      <c r="AB50" s="17" t="s">
        <v>115</v>
      </c>
      <c r="AC50" s="17" t="s">
        <v>58</v>
      </c>
      <c r="AD50" s="18">
        <v>2208060292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18">
        <v>2208060292</v>
      </c>
      <c r="AK50" s="34">
        <v>0</v>
      </c>
      <c r="AL50" s="18">
        <f>AM50-AGOSTO!AM50</f>
        <v>63831702</v>
      </c>
      <c r="AM50" s="18">
        <v>1632428809</v>
      </c>
      <c r="AN50" s="34">
        <v>0</v>
      </c>
      <c r="AO50" s="18">
        <v>63831702</v>
      </c>
      <c r="AP50" s="18">
        <v>1632428809</v>
      </c>
      <c r="AQ50" s="34">
        <v>0</v>
      </c>
      <c r="AR50" s="39">
        <v>63831702</v>
      </c>
      <c r="AS50" s="110">
        <v>1632428809</v>
      </c>
      <c r="AT50" s="39">
        <f t="shared" si="24"/>
        <v>1632428809</v>
      </c>
      <c r="AU50" s="18">
        <f t="shared" si="25"/>
        <v>575631483</v>
      </c>
      <c r="AV50" s="34">
        <f t="shared" si="26"/>
        <v>0</v>
      </c>
      <c r="AW50" s="34">
        <f t="shared" si="27"/>
        <v>0</v>
      </c>
      <c r="AX50" s="32">
        <f t="shared" si="20"/>
        <v>0.73930445419196011</v>
      </c>
    </row>
    <row r="51" spans="1:50" ht="18.75" customHeight="1" x14ac:dyDescent="0.2">
      <c r="A51" s="14" t="s">
        <v>55</v>
      </c>
      <c r="B51" s="15" t="s">
        <v>56</v>
      </c>
      <c r="C51" s="15"/>
      <c r="D51" s="15" t="s">
        <v>40</v>
      </c>
      <c r="E51" s="15"/>
      <c r="F51" s="15"/>
      <c r="G51" s="15" t="s">
        <v>41</v>
      </c>
      <c r="H51" s="15"/>
      <c r="I51" s="15" t="s">
        <v>941</v>
      </c>
      <c r="J51" s="15"/>
      <c r="K51" s="15" t="s">
        <v>932</v>
      </c>
      <c r="L51" s="15"/>
      <c r="M51" s="15" t="s">
        <v>933</v>
      </c>
      <c r="N51" s="15"/>
      <c r="O51" s="15" t="s">
        <v>938</v>
      </c>
      <c r="P51" s="15"/>
      <c r="Q51" s="15" t="s">
        <v>939</v>
      </c>
      <c r="R51" s="15"/>
      <c r="S51" s="15" t="s">
        <v>940</v>
      </c>
      <c r="T51" s="15">
        <v>0</v>
      </c>
      <c r="U51" s="15">
        <v>0</v>
      </c>
      <c r="V51" s="15">
        <v>0</v>
      </c>
      <c r="W51" s="15">
        <v>0</v>
      </c>
      <c r="X51" s="15" t="s">
        <v>937</v>
      </c>
      <c r="Y51" s="15"/>
      <c r="Z51" s="15"/>
      <c r="AA51" s="16" t="s">
        <v>117</v>
      </c>
      <c r="AB51" s="17" t="s">
        <v>115</v>
      </c>
      <c r="AC51" s="17" t="s">
        <v>61</v>
      </c>
      <c r="AD51" s="18">
        <v>178965655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18">
        <v>178965655</v>
      </c>
      <c r="AK51" s="34">
        <v>0</v>
      </c>
      <c r="AL51" s="18">
        <f>AM51-AGOSTO!AM51</f>
        <v>3842207</v>
      </c>
      <c r="AM51" s="18">
        <v>87408605</v>
      </c>
      <c r="AN51" s="34">
        <v>0</v>
      </c>
      <c r="AO51" s="18">
        <v>3842207</v>
      </c>
      <c r="AP51" s="18">
        <v>87408605</v>
      </c>
      <c r="AQ51" s="34">
        <v>0</v>
      </c>
      <c r="AR51" s="39">
        <v>620384</v>
      </c>
      <c r="AS51" s="110">
        <v>84186782</v>
      </c>
      <c r="AT51" s="39">
        <f t="shared" si="24"/>
        <v>84186782</v>
      </c>
      <c r="AU51" s="18">
        <f t="shared" si="25"/>
        <v>91557050</v>
      </c>
      <c r="AV51" s="34">
        <f t="shared" si="26"/>
        <v>0</v>
      </c>
      <c r="AW51" s="34">
        <f t="shared" si="27"/>
        <v>3221823</v>
      </c>
      <c r="AX51" s="32">
        <f t="shared" si="20"/>
        <v>0.48840994100236718</v>
      </c>
    </row>
    <row r="52" spans="1:50" ht="18.75" customHeight="1" x14ac:dyDescent="0.2">
      <c r="A52" s="27" t="s">
        <v>49</v>
      </c>
      <c r="B52" s="27" t="s">
        <v>50</v>
      </c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8" t="s">
        <v>118</v>
      </c>
      <c r="AB52" s="29" t="s">
        <v>119</v>
      </c>
      <c r="AC52" s="30" t="s">
        <v>37</v>
      </c>
      <c r="AD52" s="30">
        <f>AD53+AD54</f>
        <v>1154194065</v>
      </c>
      <c r="AE52" s="31">
        <f t="shared" ref="AE52:AS52" si="30">AE53+AE54</f>
        <v>0</v>
      </c>
      <c r="AF52" s="31">
        <f t="shared" si="30"/>
        <v>0</v>
      </c>
      <c r="AG52" s="31">
        <f t="shared" si="30"/>
        <v>0</v>
      </c>
      <c r="AH52" s="30">
        <f t="shared" si="30"/>
        <v>153000000</v>
      </c>
      <c r="AI52" s="30">
        <f t="shared" si="30"/>
        <v>-153000000</v>
      </c>
      <c r="AJ52" s="30">
        <f t="shared" si="30"/>
        <v>1001194065</v>
      </c>
      <c r="AK52" s="31">
        <f t="shared" si="30"/>
        <v>0</v>
      </c>
      <c r="AL52" s="30">
        <f t="shared" si="30"/>
        <v>71062100</v>
      </c>
      <c r="AM52" s="30">
        <f t="shared" si="30"/>
        <v>583506000</v>
      </c>
      <c r="AN52" s="31">
        <f t="shared" si="30"/>
        <v>0</v>
      </c>
      <c r="AO52" s="30">
        <f t="shared" si="30"/>
        <v>71062100</v>
      </c>
      <c r="AP52" s="30">
        <f t="shared" si="30"/>
        <v>583506000</v>
      </c>
      <c r="AQ52" s="31">
        <f t="shared" si="30"/>
        <v>0</v>
      </c>
      <c r="AR52" s="30">
        <f t="shared" si="30"/>
        <v>71062100</v>
      </c>
      <c r="AS52" s="30">
        <f t="shared" si="30"/>
        <v>583506000</v>
      </c>
      <c r="AT52" s="30">
        <f t="shared" si="24"/>
        <v>583506000</v>
      </c>
      <c r="AU52" s="18">
        <f t="shared" si="25"/>
        <v>417688065</v>
      </c>
      <c r="AV52" s="34">
        <f t="shared" si="26"/>
        <v>0</v>
      </c>
      <c r="AW52" s="34">
        <f t="shared" si="27"/>
        <v>0</v>
      </c>
      <c r="AX52" s="32">
        <f t="shared" si="20"/>
        <v>0.58281008687361724</v>
      </c>
    </row>
    <row r="53" spans="1:50" ht="18.75" customHeight="1" x14ac:dyDescent="0.2">
      <c r="A53" s="14" t="s">
        <v>55</v>
      </c>
      <c r="B53" s="15" t="s">
        <v>56</v>
      </c>
      <c r="C53" s="15"/>
      <c r="D53" s="15" t="s">
        <v>40</v>
      </c>
      <c r="E53" s="15"/>
      <c r="F53" s="15"/>
      <c r="G53" s="15" t="s">
        <v>41</v>
      </c>
      <c r="H53" s="15"/>
      <c r="I53" s="15" t="s">
        <v>936</v>
      </c>
      <c r="J53" s="15"/>
      <c r="K53" s="15" t="s">
        <v>932</v>
      </c>
      <c r="L53" s="15"/>
      <c r="M53" s="15" t="s">
        <v>933</v>
      </c>
      <c r="N53" s="15"/>
      <c r="O53" s="15" t="s">
        <v>938</v>
      </c>
      <c r="P53" s="15"/>
      <c r="Q53" s="15" t="s">
        <v>939</v>
      </c>
      <c r="R53" s="15"/>
      <c r="S53" s="15" t="s">
        <v>940</v>
      </c>
      <c r="T53" s="15">
        <v>0</v>
      </c>
      <c r="U53" s="15">
        <v>0</v>
      </c>
      <c r="V53" s="15">
        <v>0</v>
      </c>
      <c r="W53" s="15">
        <v>0</v>
      </c>
      <c r="X53" s="15" t="s">
        <v>937</v>
      </c>
      <c r="Y53" s="15"/>
      <c r="Z53" s="15"/>
      <c r="AA53" s="16" t="s">
        <v>120</v>
      </c>
      <c r="AB53" s="17" t="s">
        <v>119</v>
      </c>
      <c r="AC53" s="17" t="s">
        <v>58</v>
      </c>
      <c r="AD53" s="18">
        <v>1088978427</v>
      </c>
      <c r="AE53" s="34">
        <v>0</v>
      </c>
      <c r="AF53" s="34">
        <v>0</v>
      </c>
      <c r="AG53" s="34">
        <v>0</v>
      </c>
      <c r="AH53" s="18">
        <f>79000000+24000000+50000000</f>
        <v>153000000</v>
      </c>
      <c r="AI53" s="18">
        <f>AE53-AF53+AG53-AH53</f>
        <v>-153000000</v>
      </c>
      <c r="AJ53" s="18">
        <f>AD53+AI53</f>
        <v>935978427</v>
      </c>
      <c r="AK53" s="34">
        <v>0</v>
      </c>
      <c r="AL53" s="18">
        <f>AM53-AGOSTO!AM53</f>
        <v>66090500</v>
      </c>
      <c r="AM53" s="18">
        <v>537867700</v>
      </c>
      <c r="AN53" s="34">
        <v>0</v>
      </c>
      <c r="AO53" s="18">
        <v>66090500</v>
      </c>
      <c r="AP53" s="18">
        <v>537867700</v>
      </c>
      <c r="AQ53" s="34">
        <v>0</v>
      </c>
      <c r="AR53" s="39">
        <v>66090500</v>
      </c>
      <c r="AS53" s="110">
        <v>537867700</v>
      </c>
      <c r="AT53" s="39">
        <f t="shared" si="24"/>
        <v>537867700</v>
      </c>
      <c r="AU53" s="18">
        <f t="shared" si="25"/>
        <v>398110727</v>
      </c>
      <c r="AV53" s="34">
        <f t="shared" si="26"/>
        <v>0</v>
      </c>
      <c r="AW53" s="18">
        <f t="shared" si="27"/>
        <v>0</v>
      </c>
      <c r="AX53" s="32">
        <f t="shared" si="20"/>
        <v>0.57465822339941597</v>
      </c>
    </row>
    <row r="54" spans="1:50" ht="28.5" customHeight="1" x14ac:dyDescent="0.2">
      <c r="A54" s="14" t="s">
        <v>55</v>
      </c>
      <c r="B54" s="15" t="s">
        <v>56</v>
      </c>
      <c r="C54" s="15"/>
      <c r="D54" s="15" t="s">
        <v>40</v>
      </c>
      <c r="E54" s="15"/>
      <c r="F54" s="15"/>
      <c r="G54" s="15" t="s">
        <v>41</v>
      </c>
      <c r="H54" s="15"/>
      <c r="I54" s="15" t="s">
        <v>941</v>
      </c>
      <c r="J54" s="15"/>
      <c r="K54" s="15" t="s">
        <v>932</v>
      </c>
      <c r="L54" s="15"/>
      <c r="M54" s="15" t="s">
        <v>933</v>
      </c>
      <c r="N54" s="15"/>
      <c r="O54" s="15" t="s">
        <v>938</v>
      </c>
      <c r="P54" s="15"/>
      <c r="Q54" s="15" t="s">
        <v>939</v>
      </c>
      <c r="R54" s="15"/>
      <c r="S54" s="15" t="s">
        <v>940</v>
      </c>
      <c r="T54" s="15">
        <v>0</v>
      </c>
      <c r="U54" s="15">
        <v>0</v>
      </c>
      <c r="V54" s="15">
        <v>0</v>
      </c>
      <c r="W54" s="15">
        <v>0</v>
      </c>
      <c r="X54" s="15" t="s">
        <v>937</v>
      </c>
      <c r="Y54" s="15"/>
      <c r="Z54" s="15"/>
      <c r="AA54" s="16" t="s">
        <v>121</v>
      </c>
      <c r="AB54" s="17" t="s">
        <v>122</v>
      </c>
      <c r="AC54" s="17" t="s">
        <v>61</v>
      </c>
      <c r="AD54" s="18">
        <v>65215638</v>
      </c>
      <c r="AE54" s="34">
        <v>0</v>
      </c>
      <c r="AF54" s="34">
        <v>0</v>
      </c>
      <c r="AG54" s="34">
        <v>0</v>
      </c>
      <c r="AH54" s="34">
        <v>0</v>
      </c>
      <c r="AI54" s="34">
        <v>0</v>
      </c>
      <c r="AJ54" s="18">
        <v>65215638</v>
      </c>
      <c r="AK54" s="34">
        <v>0</v>
      </c>
      <c r="AL54" s="18">
        <f>AM54-AGOSTO!AM54</f>
        <v>4971600</v>
      </c>
      <c r="AM54" s="18">
        <v>45638300</v>
      </c>
      <c r="AN54" s="34">
        <v>0</v>
      </c>
      <c r="AO54" s="18">
        <v>4971600</v>
      </c>
      <c r="AP54" s="18">
        <v>45638300</v>
      </c>
      <c r="AQ54" s="34">
        <v>0</v>
      </c>
      <c r="AR54" s="39">
        <v>4971600</v>
      </c>
      <c r="AS54" s="18">
        <v>45638300</v>
      </c>
      <c r="AT54" s="39">
        <f t="shared" si="24"/>
        <v>45638300</v>
      </c>
      <c r="AU54" s="18">
        <f t="shared" si="25"/>
        <v>19577338</v>
      </c>
      <c r="AV54" s="34">
        <f t="shared" si="26"/>
        <v>0</v>
      </c>
      <c r="AW54" s="18">
        <f t="shared" si="27"/>
        <v>0</v>
      </c>
      <c r="AX54" s="32">
        <f t="shared" si="20"/>
        <v>0.69980608025332824</v>
      </c>
    </row>
    <row r="55" spans="1:50" ht="18.75" customHeight="1" x14ac:dyDescent="0.2">
      <c r="A55" s="27" t="s">
        <v>49</v>
      </c>
      <c r="B55" s="27" t="s">
        <v>50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8" t="s">
        <v>123</v>
      </c>
      <c r="AB55" s="29" t="s">
        <v>124</v>
      </c>
      <c r="AC55" s="30" t="s">
        <v>37</v>
      </c>
      <c r="AD55" s="30">
        <f>AD56+AD57</f>
        <v>308515529</v>
      </c>
      <c r="AE55" s="31">
        <f t="shared" ref="AE55:AS55" si="31">AE56+AE57</f>
        <v>0</v>
      </c>
      <c r="AF55" s="31">
        <f t="shared" si="31"/>
        <v>0</v>
      </c>
      <c r="AG55" s="31">
        <f t="shared" si="31"/>
        <v>0</v>
      </c>
      <c r="AH55" s="30">
        <f t="shared" si="31"/>
        <v>37500000</v>
      </c>
      <c r="AI55" s="30">
        <f t="shared" si="31"/>
        <v>-37500000</v>
      </c>
      <c r="AJ55" s="30">
        <f t="shared" si="31"/>
        <v>271015529</v>
      </c>
      <c r="AK55" s="31">
        <f t="shared" si="31"/>
        <v>0</v>
      </c>
      <c r="AL55" s="30">
        <f t="shared" si="31"/>
        <v>14379800</v>
      </c>
      <c r="AM55" s="30">
        <f t="shared" si="31"/>
        <v>121625500</v>
      </c>
      <c r="AN55" s="31">
        <f t="shared" si="31"/>
        <v>0</v>
      </c>
      <c r="AO55" s="30">
        <f t="shared" si="31"/>
        <v>14379800</v>
      </c>
      <c r="AP55" s="30">
        <f t="shared" si="31"/>
        <v>121625500</v>
      </c>
      <c r="AQ55" s="31">
        <f t="shared" si="31"/>
        <v>0</v>
      </c>
      <c r="AR55" s="30">
        <f t="shared" si="31"/>
        <v>14379800</v>
      </c>
      <c r="AS55" s="30">
        <f t="shared" si="31"/>
        <v>121625500</v>
      </c>
      <c r="AT55" s="30">
        <f t="shared" si="24"/>
        <v>121625500</v>
      </c>
      <c r="AU55" s="18">
        <f t="shared" si="25"/>
        <v>149390029</v>
      </c>
      <c r="AV55" s="34">
        <f t="shared" si="26"/>
        <v>0</v>
      </c>
      <c r="AW55" s="34">
        <f t="shared" si="27"/>
        <v>0</v>
      </c>
      <c r="AX55" s="32">
        <f t="shared" si="20"/>
        <v>0.44877686695215169</v>
      </c>
    </row>
    <row r="56" spans="1:50" ht="18.75" customHeight="1" x14ac:dyDescent="0.2">
      <c r="A56" s="35" t="s">
        <v>55</v>
      </c>
      <c r="B56" s="36" t="s">
        <v>56</v>
      </c>
      <c r="C56" s="36"/>
      <c r="D56" s="36" t="s">
        <v>40</v>
      </c>
      <c r="E56" s="36"/>
      <c r="F56" s="36"/>
      <c r="G56" s="36" t="s">
        <v>41</v>
      </c>
      <c r="H56" s="36"/>
      <c r="I56" s="36" t="s">
        <v>936</v>
      </c>
      <c r="J56" s="36"/>
      <c r="K56" s="36" t="s">
        <v>932</v>
      </c>
      <c r="L56" s="36"/>
      <c r="M56" s="36" t="s">
        <v>933</v>
      </c>
      <c r="N56" s="36"/>
      <c r="O56" s="36" t="s">
        <v>938</v>
      </c>
      <c r="P56" s="36"/>
      <c r="Q56" s="36" t="s">
        <v>939</v>
      </c>
      <c r="R56" s="36"/>
      <c r="S56" s="36" t="s">
        <v>940</v>
      </c>
      <c r="T56" s="36">
        <v>0</v>
      </c>
      <c r="U56" s="36">
        <v>0</v>
      </c>
      <c r="V56" s="36">
        <v>0</v>
      </c>
      <c r="W56" s="36">
        <v>0</v>
      </c>
      <c r="X56" s="36" t="s">
        <v>937</v>
      </c>
      <c r="Y56" s="36"/>
      <c r="Z56" s="36"/>
      <c r="AA56" s="37" t="s">
        <v>125</v>
      </c>
      <c r="AB56" s="38" t="s">
        <v>124</v>
      </c>
      <c r="AC56" s="38" t="s">
        <v>58</v>
      </c>
      <c r="AD56" s="39">
        <v>299999998</v>
      </c>
      <c r="AE56" s="40">
        <v>0</v>
      </c>
      <c r="AF56" s="40">
        <v>0</v>
      </c>
      <c r="AG56" s="40">
        <v>0</v>
      </c>
      <c r="AH56" s="39">
        <v>37500000</v>
      </c>
      <c r="AI56" s="18">
        <f>AE56-AF56+AG56-AH56</f>
        <v>-37500000</v>
      </c>
      <c r="AJ56" s="18">
        <f>AD56+AI56</f>
        <v>262499998</v>
      </c>
      <c r="AK56" s="40">
        <v>0</v>
      </c>
      <c r="AL56" s="18">
        <f>AM56-AGOSTO!AM56</f>
        <v>13861300</v>
      </c>
      <c r="AM56" s="39">
        <v>116272300</v>
      </c>
      <c r="AN56" s="40">
        <v>0</v>
      </c>
      <c r="AO56" s="18">
        <v>13861300</v>
      </c>
      <c r="AP56" s="39">
        <v>116272300</v>
      </c>
      <c r="AQ56" s="40">
        <v>0</v>
      </c>
      <c r="AR56" s="39">
        <v>13861300</v>
      </c>
      <c r="AS56" s="111">
        <v>116272300</v>
      </c>
      <c r="AT56" s="39">
        <f t="shared" si="24"/>
        <v>116272300</v>
      </c>
      <c r="AU56" s="18">
        <f t="shared" si="25"/>
        <v>146227698</v>
      </c>
      <c r="AV56" s="34">
        <f t="shared" si="26"/>
        <v>0</v>
      </c>
      <c r="AW56" s="34">
        <f t="shared" si="27"/>
        <v>0</v>
      </c>
      <c r="AX56" s="32">
        <f t="shared" si="20"/>
        <v>0.44294209861289219</v>
      </c>
    </row>
    <row r="57" spans="1:50" ht="26.25" customHeight="1" x14ac:dyDescent="0.2">
      <c r="A57" s="35" t="s">
        <v>55</v>
      </c>
      <c r="B57" s="36" t="s">
        <v>56</v>
      </c>
      <c r="C57" s="36"/>
      <c r="D57" s="36" t="s">
        <v>40</v>
      </c>
      <c r="E57" s="36"/>
      <c r="F57" s="36"/>
      <c r="G57" s="36" t="s">
        <v>41</v>
      </c>
      <c r="H57" s="36"/>
      <c r="I57" s="36" t="s">
        <v>941</v>
      </c>
      <c r="J57" s="36"/>
      <c r="K57" s="36" t="s">
        <v>932</v>
      </c>
      <c r="L57" s="36"/>
      <c r="M57" s="36" t="s">
        <v>933</v>
      </c>
      <c r="N57" s="36"/>
      <c r="O57" s="36" t="s">
        <v>938</v>
      </c>
      <c r="P57" s="36"/>
      <c r="Q57" s="36" t="s">
        <v>939</v>
      </c>
      <c r="R57" s="36"/>
      <c r="S57" s="36" t="s">
        <v>940</v>
      </c>
      <c r="T57" s="36">
        <v>0</v>
      </c>
      <c r="U57" s="36">
        <v>0</v>
      </c>
      <c r="V57" s="36">
        <v>0</v>
      </c>
      <c r="W57" s="36">
        <v>0</v>
      </c>
      <c r="X57" s="36" t="s">
        <v>937</v>
      </c>
      <c r="Y57" s="36"/>
      <c r="Z57" s="36"/>
      <c r="AA57" s="37" t="s">
        <v>126</v>
      </c>
      <c r="AB57" s="38" t="s">
        <v>127</v>
      </c>
      <c r="AC57" s="38" t="s">
        <v>61</v>
      </c>
      <c r="AD57" s="39">
        <v>8515531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39">
        <v>8515531</v>
      </c>
      <c r="AK57" s="40">
        <v>0</v>
      </c>
      <c r="AL57" s="18">
        <f>AM57-AGOSTO!AM57</f>
        <v>518500</v>
      </c>
      <c r="AM57" s="39">
        <v>5353200</v>
      </c>
      <c r="AN57" s="40">
        <v>0</v>
      </c>
      <c r="AO57" s="18">
        <v>518500</v>
      </c>
      <c r="AP57" s="39">
        <v>5353200</v>
      </c>
      <c r="AQ57" s="40">
        <v>0</v>
      </c>
      <c r="AR57" s="39">
        <v>518500</v>
      </c>
      <c r="AS57" s="39">
        <v>5353200</v>
      </c>
      <c r="AT57" s="39">
        <f t="shared" si="24"/>
        <v>5353200</v>
      </c>
      <c r="AU57" s="18">
        <f t="shared" si="25"/>
        <v>3162331</v>
      </c>
      <c r="AV57" s="34">
        <f t="shared" si="26"/>
        <v>0</v>
      </c>
      <c r="AW57" s="34">
        <f t="shared" si="27"/>
        <v>0</v>
      </c>
      <c r="AX57" s="32">
        <f t="shared" si="20"/>
        <v>0.62863959980886686</v>
      </c>
    </row>
    <row r="58" spans="1:50" ht="18.75" customHeight="1" x14ac:dyDescent="0.2">
      <c r="A58" s="27" t="s">
        <v>49</v>
      </c>
      <c r="B58" s="27" t="s">
        <v>50</v>
      </c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8" t="s">
        <v>128</v>
      </c>
      <c r="AB58" s="29" t="s">
        <v>129</v>
      </c>
      <c r="AC58" s="30" t="s">
        <v>37</v>
      </c>
      <c r="AD58" s="30">
        <f>AD59+AD60</f>
        <v>865645548</v>
      </c>
      <c r="AE58" s="31">
        <f t="shared" ref="AE58:AS58" si="32">AE59+AE60</f>
        <v>0</v>
      </c>
      <c r="AF58" s="31">
        <f t="shared" si="32"/>
        <v>0</v>
      </c>
      <c r="AG58" s="31">
        <f t="shared" si="32"/>
        <v>0</v>
      </c>
      <c r="AH58" s="30">
        <f t="shared" si="32"/>
        <v>100000000</v>
      </c>
      <c r="AI58" s="30">
        <f t="shared" si="32"/>
        <v>-100000000</v>
      </c>
      <c r="AJ58" s="30">
        <f t="shared" si="32"/>
        <v>765645548</v>
      </c>
      <c r="AK58" s="31">
        <f t="shared" si="32"/>
        <v>0</v>
      </c>
      <c r="AL58" s="30">
        <f t="shared" si="32"/>
        <v>53297900</v>
      </c>
      <c r="AM58" s="30">
        <f t="shared" si="32"/>
        <v>437636600</v>
      </c>
      <c r="AN58" s="31">
        <f t="shared" si="32"/>
        <v>0</v>
      </c>
      <c r="AO58" s="30">
        <f t="shared" si="32"/>
        <v>53297900</v>
      </c>
      <c r="AP58" s="30">
        <f t="shared" si="32"/>
        <v>437636600</v>
      </c>
      <c r="AQ58" s="31">
        <f t="shared" si="32"/>
        <v>0</v>
      </c>
      <c r="AR58" s="30">
        <f t="shared" si="32"/>
        <v>53297900</v>
      </c>
      <c r="AS58" s="30">
        <f t="shared" si="32"/>
        <v>437636600</v>
      </c>
      <c r="AT58" s="30">
        <f t="shared" si="24"/>
        <v>437636600</v>
      </c>
      <c r="AU58" s="176">
        <f t="shared" si="25"/>
        <v>328008948</v>
      </c>
      <c r="AV58" s="34">
        <f t="shared" si="26"/>
        <v>0</v>
      </c>
      <c r="AW58" s="34">
        <f t="shared" si="27"/>
        <v>0</v>
      </c>
      <c r="AX58" s="32">
        <f t="shared" si="20"/>
        <v>0.57159164726182143</v>
      </c>
    </row>
    <row r="59" spans="1:50" ht="18.75" customHeight="1" x14ac:dyDescent="0.2">
      <c r="A59" s="14" t="s">
        <v>55</v>
      </c>
      <c r="B59" s="15" t="s">
        <v>56</v>
      </c>
      <c r="C59" s="15"/>
      <c r="D59" s="15" t="s">
        <v>40</v>
      </c>
      <c r="E59" s="15"/>
      <c r="F59" s="15"/>
      <c r="G59" s="15" t="s">
        <v>41</v>
      </c>
      <c r="H59" s="15"/>
      <c r="I59" s="15" t="s">
        <v>936</v>
      </c>
      <c r="J59" s="15"/>
      <c r="K59" s="15" t="s">
        <v>932</v>
      </c>
      <c r="L59" s="15"/>
      <c r="M59" s="15" t="s">
        <v>933</v>
      </c>
      <c r="N59" s="15"/>
      <c r="O59" s="15" t="s">
        <v>938</v>
      </c>
      <c r="P59" s="15"/>
      <c r="Q59" s="15" t="s">
        <v>939</v>
      </c>
      <c r="R59" s="15"/>
      <c r="S59" s="15" t="s">
        <v>940</v>
      </c>
      <c r="T59" s="15">
        <v>0</v>
      </c>
      <c r="U59" s="15">
        <v>0</v>
      </c>
      <c r="V59" s="15">
        <v>0</v>
      </c>
      <c r="W59" s="15">
        <v>0</v>
      </c>
      <c r="X59" s="15" t="s">
        <v>937</v>
      </c>
      <c r="Y59" s="15"/>
      <c r="Z59" s="15"/>
      <c r="AA59" s="16" t="s">
        <v>130</v>
      </c>
      <c r="AB59" s="17" t="s">
        <v>129</v>
      </c>
      <c r="AC59" s="17" t="s">
        <v>58</v>
      </c>
      <c r="AD59" s="18">
        <v>816733820</v>
      </c>
      <c r="AE59" s="34">
        <v>0</v>
      </c>
      <c r="AF59" s="34">
        <v>0</v>
      </c>
      <c r="AG59" s="34">
        <v>0</v>
      </c>
      <c r="AH59" s="18">
        <v>100000000</v>
      </c>
      <c r="AI59" s="18">
        <f>AE59-AF59+AG59-AH59</f>
        <v>-100000000</v>
      </c>
      <c r="AJ59" s="18">
        <f>AD59+AI59</f>
        <v>716733820</v>
      </c>
      <c r="AK59" s="34">
        <v>0</v>
      </c>
      <c r="AL59" s="18">
        <f>AM59-AGOSTO!AM59</f>
        <v>49568900</v>
      </c>
      <c r="AM59" s="18">
        <v>403407900</v>
      </c>
      <c r="AN59" s="34">
        <v>0</v>
      </c>
      <c r="AO59" s="18">
        <v>49568900</v>
      </c>
      <c r="AP59" s="18">
        <v>403407900</v>
      </c>
      <c r="AQ59" s="34">
        <v>0</v>
      </c>
      <c r="AR59" s="39">
        <v>49568900</v>
      </c>
      <c r="AS59" s="18">
        <v>403407900</v>
      </c>
      <c r="AT59" s="39">
        <f t="shared" si="24"/>
        <v>403407900</v>
      </c>
      <c r="AU59" s="18">
        <f t="shared" si="25"/>
        <v>313325920</v>
      </c>
      <c r="AV59" s="34">
        <f t="shared" si="26"/>
        <v>0</v>
      </c>
      <c r="AW59" s="34">
        <f t="shared" si="27"/>
        <v>0</v>
      </c>
      <c r="AX59" s="32">
        <f t="shared" si="20"/>
        <v>0.56284200458128231</v>
      </c>
    </row>
    <row r="60" spans="1:50" ht="18.75" customHeight="1" x14ac:dyDescent="0.2">
      <c r="A60" s="14" t="s">
        <v>55</v>
      </c>
      <c r="B60" s="15" t="s">
        <v>56</v>
      </c>
      <c r="C60" s="15"/>
      <c r="D60" s="15" t="s">
        <v>40</v>
      </c>
      <c r="E60" s="15"/>
      <c r="F60" s="15"/>
      <c r="G60" s="15" t="s">
        <v>41</v>
      </c>
      <c r="H60" s="15"/>
      <c r="I60" s="15" t="s">
        <v>941</v>
      </c>
      <c r="J60" s="15"/>
      <c r="K60" s="15" t="s">
        <v>932</v>
      </c>
      <c r="L60" s="15"/>
      <c r="M60" s="15" t="s">
        <v>933</v>
      </c>
      <c r="N60" s="15"/>
      <c r="O60" s="15" t="s">
        <v>938</v>
      </c>
      <c r="P60" s="15"/>
      <c r="Q60" s="15" t="s">
        <v>939</v>
      </c>
      <c r="R60" s="15"/>
      <c r="S60" s="15" t="s">
        <v>940</v>
      </c>
      <c r="T60" s="15">
        <v>0</v>
      </c>
      <c r="U60" s="15">
        <v>0</v>
      </c>
      <c r="V60" s="15">
        <v>0</v>
      </c>
      <c r="W60" s="15">
        <v>0</v>
      </c>
      <c r="X60" s="15" t="s">
        <v>937</v>
      </c>
      <c r="Y60" s="15"/>
      <c r="Z60" s="15"/>
      <c r="AA60" s="16" t="s">
        <v>131</v>
      </c>
      <c r="AB60" s="17" t="s">
        <v>129</v>
      </c>
      <c r="AC60" s="17" t="s">
        <v>61</v>
      </c>
      <c r="AD60" s="18">
        <v>48911728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18">
        <v>48911728</v>
      </c>
      <c r="AK60" s="34">
        <v>0</v>
      </c>
      <c r="AL60" s="18">
        <f>AM60-AGOSTO!AM60</f>
        <v>3729000</v>
      </c>
      <c r="AM60" s="18">
        <v>34228700</v>
      </c>
      <c r="AN60" s="34">
        <v>0</v>
      </c>
      <c r="AO60" s="18">
        <v>3729000</v>
      </c>
      <c r="AP60" s="18">
        <v>34228700</v>
      </c>
      <c r="AQ60" s="34">
        <v>0</v>
      </c>
      <c r="AR60" s="39">
        <v>3729000</v>
      </c>
      <c r="AS60" s="192">
        <v>34228700</v>
      </c>
      <c r="AT60" s="39">
        <f t="shared" si="24"/>
        <v>34228700</v>
      </c>
      <c r="AU60" s="18">
        <f t="shared" si="25"/>
        <v>14683028</v>
      </c>
      <c r="AV60" s="34">
        <f t="shared" si="26"/>
        <v>0</v>
      </c>
      <c r="AW60" s="34">
        <f t="shared" si="27"/>
        <v>0</v>
      </c>
      <c r="AX60" s="32">
        <f t="shared" si="20"/>
        <v>0.69980557628223639</v>
      </c>
    </row>
    <row r="61" spans="1:50" ht="18.75" customHeight="1" x14ac:dyDescent="0.2">
      <c r="A61" s="27" t="s">
        <v>49</v>
      </c>
      <c r="B61" s="27" t="s">
        <v>50</v>
      </c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8" t="s">
        <v>132</v>
      </c>
      <c r="AB61" s="29" t="s">
        <v>133</v>
      </c>
      <c r="AC61" s="30" t="s">
        <v>37</v>
      </c>
      <c r="AD61" s="30">
        <f>AD62+AD63</f>
        <v>144274257</v>
      </c>
      <c r="AE61" s="31">
        <f t="shared" ref="AE61:AS61" si="33">AE62+AE63</f>
        <v>0</v>
      </c>
      <c r="AF61" s="31">
        <f t="shared" si="33"/>
        <v>0</v>
      </c>
      <c r="AG61" s="31">
        <f t="shared" si="33"/>
        <v>0</v>
      </c>
      <c r="AH61" s="31">
        <f t="shared" si="33"/>
        <v>0</v>
      </c>
      <c r="AI61" s="31">
        <f t="shared" si="33"/>
        <v>0</v>
      </c>
      <c r="AJ61" s="30">
        <f t="shared" si="33"/>
        <v>144274257</v>
      </c>
      <c r="AK61" s="31">
        <f t="shared" si="33"/>
        <v>0</v>
      </c>
      <c r="AL61" s="30">
        <f t="shared" si="33"/>
        <v>8901600</v>
      </c>
      <c r="AM61" s="30">
        <f t="shared" si="33"/>
        <v>73076200</v>
      </c>
      <c r="AN61" s="31">
        <f t="shared" si="33"/>
        <v>0</v>
      </c>
      <c r="AO61" s="30">
        <f t="shared" si="33"/>
        <v>8901600</v>
      </c>
      <c r="AP61" s="30">
        <f t="shared" si="33"/>
        <v>73076200</v>
      </c>
      <c r="AQ61" s="31">
        <f t="shared" si="33"/>
        <v>0</v>
      </c>
      <c r="AR61" s="30">
        <f t="shared" si="33"/>
        <v>8901600</v>
      </c>
      <c r="AS61" s="30">
        <f t="shared" si="33"/>
        <v>73076200</v>
      </c>
      <c r="AT61" s="30">
        <f t="shared" si="24"/>
        <v>73076200</v>
      </c>
      <c r="AU61" s="176">
        <f t="shared" si="25"/>
        <v>71198057</v>
      </c>
      <c r="AV61" s="34">
        <f t="shared" si="26"/>
        <v>0</v>
      </c>
      <c r="AW61" s="34">
        <f t="shared" si="27"/>
        <v>0</v>
      </c>
      <c r="AX61" s="32">
        <f t="shared" si="20"/>
        <v>0.5065089331910404</v>
      </c>
    </row>
    <row r="62" spans="1:50" ht="18.75" customHeight="1" x14ac:dyDescent="0.2">
      <c r="A62" s="14" t="s">
        <v>55</v>
      </c>
      <c r="B62" s="15" t="s">
        <v>56</v>
      </c>
      <c r="C62" s="15"/>
      <c r="D62" s="15" t="s">
        <v>40</v>
      </c>
      <c r="E62" s="15"/>
      <c r="F62" s="15"/>
      <c r="G62" s="15" t="s">
        <v>41</v>
      </c>
      <c r="H62" s="15"/>
      <c r="I62" s="15" t="s">
        <v>936</v>
      </c>
      <c r="J62" s="15"/>
      <c r="K62" s="15" t="s">
        <v>932</v>
      </c>
      <c r="L62" s="15"/>
      <c r="M62" s="15" t="s">
        <v>933</v>
      </c>
      <c r="N62" s="15"/>
      <c r="O62" s="15" t="s">
        <v>938</v>
      </c>
      <c r="P62" s="15"/>
      <c r="Q62" s="15" t="s">
        <v>939</v>
      </c>
      <c r="R62" s="15"/>
      <c r="S62" s="15" t="s">
        <v>940</v>
      </c>
      <c r="T62" s="15">
        <v>0</v>
      </c>
      <c r="U62" s="15">
        <v>0</v>
      </c>
      <c r="V62" s="15">
        <v>0</v>
      </c>
      <c r="W62" s="15">
        <v>0</v>
      </c>
      <c r="X62" s="15" t="s">
        <v>937</v>
      </c>
      <c r="Y62" s="15"/>
      <c r="Z62" s="15"/>
      <c r="AA62" s="16" t="s">
        <v>134</v>
      </c>
      <c r="AB62" s="17" t="s">
        <v>133</v>
      </c>
      <c r="AC62" s="17" t="s">
        <v>58</v>
      </c>
      <c r="AD62" s="18">
        <v>136122303</v>
      </c>
      <c r="AE62" s="34">
        <v>0</v>
      </c>
      <c r="AF62" s="34">
        <v>0</v>
      </c>
      <c r="AG62" s="34">
        <v>0</v>
      </c>
      <c r="AH62" s="34">
        <v>0</v>
      </c>
      <c r="AI62" s="34">
        <v>0</v>
      </c>
      <c r="AJ62" s="18">
        <v>136122303</v>
      </c>
      <c r="AK62" s="34">
        <v>0</v>
      </c>
      <c r="AL62" s="18">
        <f>AM62-AGOSTO!AM62</f>
        <v>8278200</v>
      </c>
      <c r="AM62" s="18">
        <v>67364200</v>
      </c>
      <c r="AN62" s="34">
        <v>0</v>
      </c>
      <c r="AO62" s="18">
        <v>8278200</v>
      </c>
      <c r="AP62" s="18">
        <v>67364200</v>
      </c>
      <c r="AQ62" s="34">
        <v>0</v>
      </c>
      <c r="AR62" s="39">
        <v>8278200</v>
      </c>
      <c r="AS62" s="18">
        <v>67364200</v>
      </c>
      <c r="AT62" s="39">
        <f t="shared" si="24"/>
        <v>67364200</v>
      </c>
      <c r="AU62" s="18">
        <f t="shared" si="25"/>
        <v>68758103</v>
      </c>
      <c r="AV62" s="34">
        <f t="shared" si="26"/>
        <v>0</v>
      </c>
      <c r="AW62" s="34">
        <f t="shared" si="27"/>
        <v>0</v>
      </c>
      <c r="AX62" s="32">
        <f t="shared" si="20"/>
        <v>0.49487996100095366</v>
      </c>
    </row>
    <row r="63" spans="1:50" ht="18.75" customHeight="1" x14ac:dyDescent="0.2">
      <c r="A63" s="14" t="s">
        <v>55</v>
      </c>
      <c r="B63" s="15" t="s">
        <v>56</v>
      </c>
      <c r="C63" s="15"/>
      <c r="D63" s="15" t="s">
        <v>40</v>
      </c>
      <c r="E63" s="15"/>
      <c r="F63" s="15"/>
      <c r="G63" s="15" t="s">
        <v>41</v>
      </c>
      <c r="H63" s="15"/>
      <c r="I63" s="15" t="s">
        <v>941</v>
      </c>
      <c r="J63" s="15"/>
      <c r="K63" s="15" t="s">
        <v>932</v>
      </c>
      <c r="L63" s="15"/>
      <c r="M63" s="15" t="s">
        <v>933</v>
      </c>
      <c r="N63" s="15"/>
      <c r="O63" s="15" t="s">
        <v>938</v>
      </c>
      <c r="P63" s="15"/>
      <c r="Q63" s="15" t="s">
        <v>939</v>
      </c>
      <c r="R63" s="15"/>
      <c r="S63" s="15" t="s">
        <v>940</v>
      </c>
      <c r="T63" s="15">
        <v>0</v>
      </c>
      <c r="U63" s="15">
        <v>0</v>
      </c>
      <c r="V63" s="15">
        <v>0</v>
      </c>
      <c r="W63" s="15">
        <v>0</v>
      </c>
      <c r="X63" s="15" t="s">
        <v>937</v>
      </c>
      <c r="Y63" s="15"/>
      <c r="Z63" s="15"/>
      <c r="AA63" s="16" t="s">
        <v>135</v>
      </c>
      <c r="AB63" s="17" t="s">
        <v>136</v>
      </c>
      <c r="AC63" s="17" t="s">
        <v>61</v>
      </c>
      <c r="AD63" s="18">
        <v>8151954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18">
        <v>8151954</v>
      </c>
      <c r="AK63" s="34">
        <v>0</v>
      </c>
      <c r="AL63" s="18">
        <f>AM63-AGOSTO!AM63</f>
        <v>623400</v>
      </c>
      <c r="AM63" s="18">
        <v>5712000</v>
      </c>
      <c r="AN63" s="34">
        <v>0</v>
      </c>
      <c r="AO63" s="18">
        <v>623400</v>
      </c>
      <c r="AP63" s="18">
        <v>5712000</v>
      </c>
      <c r="AQ63" s="34">
        <v>0</v>
      </c>
      <c r="AR63" s="39">
        <v>623400</v>
      </c>
      <c r="AS63" s="18">
        <v>5712000</v>
      </c>
      <c r="AT63" s="39">
        <f t="shared" si="24"/>
        <v>5712000</v>
      </c>
      <c r="AU63" s="18">
        <f t="shared" si="25"/>
        <v>2439954</v>
      </c>
      <c r="AV63" s="34">
        <f t="shared" si="26"/>
        <v>0</v>
      </c>
      <c r="AW63" s="34">
        <f t="shared" si="27"/>
        <v>0</v>
      </c>
      <c r="AX63" s="32">
        <f t="shared" si="20"/>
        <v>0.70069090183776794</v>
      </c>
    </row>
    <row r="64" spans="1:50" ht="18.75" customHeight="1" x14ac:dyDescent="0.2">
      <c r="A64" s="27" t="s">
        <v>49</v>
      </c>
      <c r="B64" s="27" t="s">
        <v>50</v>
      </c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8" t="s">
        <v>137</v>
      </c>
      <c r="AB64" s="29" t="s">
        <v>138</v>
      </c>
      <c r="AC64" s="30" t="s">
        <v>37</v>
      </c>
      <c r="AD64" s="30">
        <f>AD65+AD66</f>
        <v>144274257</v>
      </c>
      <c r="AE64" s="31">
        <f t="shared" ref="AE64:AS64" si="34">AE65+AE66</f>
        <v>0</v>
      </c>
      <c r="AF64" s="31">
        <f t="shared" si="34"/>
        <v>0</v>
      </c>
      <c r="AG64" s="31">
        <f t="shared" si="34"/>
        <v>0</v>
      </c>
      <c r="AH64" s="31">
        <f t="shared" si="34"/>
        <v>0</v>
      </c>
      <c r="AI64" s="31">
        <f t="shared" si="34"/>
        <v>0</v>
      </c>
      <c r="AJ64" s="30">
        <f t="shared" si="34"/>
        <v>144274257</v>
      </c>
      <c r="AK64" s="31">
        <f t="shared" si="34"/>
        <v>0</v>
      </c>
      <c r="AL64" s="30">
        <f t="shared" si="34"/>
        <v>8901600</v>
      </c>
      <c r="AM64" s="30">
        <f t="shared" si="34"/>
        <v>73076200</v>
      </c>
      <c r="AN64" s="31">
        <f t="shared" si="34"/>
        <v>0</v>
      </c>
      <c r="AO64" s="30">
        <f t="shared" si="34"/>
        <v>8901600</v>
      </c>
      <c r="AP64" s="30">
        <f t="shared" si="34"/>
        <v>73076200</v>
      </c>
      <c r="AQ64" s="31">
        <f t="shared" si="34"/>
        <v>0</v>
      </c>
      <c r="AR64" s="30">
        <f t="shared" si="34"/>
        <v>8901600</v>
      </c>
      <c r="AS64" s="30">
        <f t="shared" si="34"/>
        <v>73076200</v>
      </c>
      <c r="AT64" s="30">
        <f t="shared" si="24"/>
        <v>73076200</v>
      </c>
      <c r="AU64" s="83">
        <f t="shared" si="25"/>
        <v>71198057</v>
      </c>
      <c r="AV64" s="34">
        <f t="shared" si="26"/>
        <v>0</v>
      </c>
      <c r="AW64" s="34">
        <f t="shared" si="27"/>
        <v>0</v>
      </c>
      <c r="AX64" s="32">
        <f t="shared" si="20"/>
        <v>0.5065089331910404</v>
      </c>
    </row>
    <row r="65" spans="1:50" ht="18.75" customHeight="1" x14ac:dyDescent="0.2">
      <c r="A65" s="14" t="s">
        <v>55</v>
      </c>
      <c r="B65" s="15" t="s">
        <v>56</v>
      </c>
      <c r="C65" s="15"/>
      <c r="D65" s="15" t="s">
        <v>40</v>
      </c>
      <c r="E65" s="15"/>
      <c r="F65" s="15"/>
      <c r="G65" s="15" t="s">
        <v>41</v>
      </c>
      <c r="H65" s="15"/>
      <c r="I65" s="15" t="s">
        <v>936</v>
      </c>
      <c r="J65" s="15"/>
      <c r="K65" s="15" t="s">
        <v>932</v>
      </c>
      <c r="L65" s="15"/>
      <c r="M65" s="15" t="s">
        <v>933</v>
      </c>
      <c r="N65" s="15"/>
      <c r="O65" s="15" t="s">
        <v>938</v>
      </c>
      <c r="P65" s="15"/>
      <c r="Q65" s="15" t="s">
        <v>939</v>
      </c>
      <c r="R65" s="15"/>
      <c r="S65" s="15" t="s">
        <v>940</v>
      </c>
      <c r="T65" s="15">
        <v>0</v>
      </c>
      <c r="U65" s="15">
        <v>0</v>
      </c>
      <c r="V65" s="15">
        <v>0</v>
      </c>
      <c r="W65" s="15">
        <v>0</v>
      </c>
      <c r="X65" s="15" t="s">
        <v>937</v>
      </c>
      <c r="Y65" s="15"/>
      <c r="Z65" s="15"/>
      <c r="AA65" s="16" t="s">
        <v>139</v>
      </c>
      <c r="AB65" s="17" t="s">
        <v>138</v>
      </c>
      <c r="AC65" s="17" t="s">
        <v>58</v>
      </c>
      <c r="AD65" s="18">
        <v>136122303</v>
      </c>
      <c r="AE65" s="34">
        <v>0</v>
      </c>
      <c r="AF65" s="34">
        <v>0</v>
      </c>
      <c r="AG65" s="34">
        <v>0</v>
      </c>
      <c r="AH65" s="34">
        <v>0</v>
      </c>
      <c r="AI65" s="34">
        <v>0</v>
      </c>
      <c r="AJ65" s="18">
        <v>136122303</v>
      </c>
      <c r="AK65" s="34">
        <v>0</v>
      </c>
      <c r="AL65" s="18">
        <f>AM65-AGOSTO!AM65</f>
        <v>8278200</v>
      </c>
      <c r="AM65" s="18">
        <v>67364200</v>
      </c>
      <c r="AN65" s="34">
        <v>0</v>
      </c>
      <c r="AO65" s="18">
        <v>8278200</v>
      </c>
      <c r="AP65" s="18">
        <v>67364200</v>
      </c>
      <c r="AQ65" s="34">
        <v>0</v>
      </c>
      <c r="AR65" s="39">
        <v>8278200</v>
      </c>
      <c r="AS65" s="18">
        <v>67364200</v>
      </c>
      <c r="AT65" s="39">
        <f t="shared" si="24"/>
        <v>67364200</v>
      </c>
      <c r="AU65" s="18">
        <f t="shared" si="25"/>
        <v>68758103</v>
      </c>
      <c r="AV65" s="34">
        <f t="shared" si="26"/>
        <v>0</v>
      </c>
      <c r="AW65" s="34">
        <f t="shared" si="27"/>
        <v>0</v>
      </c>
      <c r="AX65" s="32">
        <f t="shared" si="20"/>
        <v>0.49487996100095366</v>
      </c>
    </row>
    <row r="66" spans="1:50" ht="18.75" customHeight="1" x14ac:dyDescent="0.2">
      <c r="A66" s="14" t="s">
        <v>55</v>
      </c>
      <c r="B66" s="15" t="s">
        <v>56</v>
      </c>
      <c r="C66" s="15"/>
      <c r="D66" s="15" t="s">
        <v>40</v>
      </c>
      <c r="E66" s="15"/>
      <c r="F66" s="15"/>
      <c r="G66" s="15" t="s">
        <v>41</v>
      </c>
      <c r="H66" s="15"/>
      <c r="I66" s="15" t="s">
        <v>941</v>
      </c>
      <c r="J66" s="15"/>
      <c r="K66" s="15" t="s">
        <v>932</v>
      </c>
      <c r="L66" s="15"/>
      <c r="M66" s="15" t="s">
        <v>933</v>
      </c>
      <c r="N66" s="15"/>
      <c r="O66" s="15" t="s">
        <v>938</v>
      </c>
      <c r="P66" s="15"/>
      <c r="Q66" s="15" t="s">
        <v>939</v>
      </c>
      <c r="R66" s="15"/>
      <c r="S66" s="15" t="s">
        <v>940</v>
      </c>
      <c r="T66" s="15">
        <v>0</v>
      </c>
      <c r="U66" s="15">
        <v>0</v>
      </c>
      <c r="V66" s="15">
        <v>0</v>
      </c>
      <c r="W66" s="15">
        <v>0</v>
      </c>
      <c r="X66" s="15" t="s">
        <v>937</v>
      </c>
      <c r="Y66" s="15"/>
      <c r="Z66" s="15"/>
      <c r="AA66" s="16" t="s">
        <v>140</v>
      </c>
      <c r="AB66" s="17" t="s">
        <v>141</v>
      </c>
      <c r="AC66" s="17" t="s">
        <v>61</v>
      </c>
      <c r="AD66" s="18">
        <v>8151954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18">
        <v>8151954</v>
      </c>
      <c r="AK66" s="34">
        <v>0</v>
      </c>
      <c r="AL66" s="18">
        <f>AM66-AGOSTO!AM66</f>
        <v>623400</v>
      </c>
      <c r="AM66" s="18">
        <v>5712000</v>
      </c>
      <c r="AN66" s="34">
        <v>0</v>
      </c>
      <c r="AO66" s="18">
        <v>623400</v>
      </c>
      <c r="AP66" s="18">
        <v>5712000</v>
      </c>
      <c r="AQ66" s="34">
        <v>0</v>
      </c>
      <c r="AR66" s="39">
        <v>623400</v>
      </c>
      <c r="AS66" s="18">
        <v>5712000</v>
      </c>
      <c r="AT66" s="39">
        <f t="shared" si="24"/>
        <v>5712000</v>
      </c>
      <c r="AU66" s="18">
        <f t="shared" si="25"/>
        <v>2439954</v>
      </c>
      <c r="AV66" s="34">
        <f t="shared" si="26"/>
        <v>0</v>
      </c>
      <c r="AW66" s="34">
        <f t="shared" si="27"/>
        <v>0</v>
      </c>
      <c r="AX66" s="32">
        <f t="shared" si="20"/>
        <v>0.70069090183776794</v>
      </c>
    </row>
    <row r="67" spans="1:50" ht="18.75" customHeight="1" x14ac:dyDescent="0.2">
      <c r="A67" s="27" t="s">
        <v>55</v>
      </c>
      <c r="B67" s="27" t="s">
        <v>56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8" t="s">
        <v>142</v>
      </c>
      <c r="AB67" s="29" t="s">
        <v>143</v>
      </c>
      <c r="AC67" s="30" t="s">
        <v>37</v>
      </c>
      <c r="AD67" s="30">
        <f>AD68+AD69</f>
        <v>273762589</v>
      </c>
      <c r="AE67" s="31">
        <f t="shared" ref="AE67:AS67" si="35">AE68+AE69</f>
        <v>0</v>
      </c>
      <c r="AF67" s="31">
        <f t="shared" si="35"/>
        <v>0</v>
      </c>
      <c r="AG67" s="31">
        <f t="shared" si="35"/>
        <v>0</v>
      </c>
      <c r="AH67" s="31">
        <f t="shared" si="35"/>
        <v>0</v>
      </c>
      <c r="AI67" s="31">
        <f t="shared" si="35"/>
        <v>0</v>
      </c>
      <c r="AJ67" s="30">
        <f t="shared" si="35"/>
        <v>273762589</v>
      </c>
      <c r="AK67" s="31">
        <f t="shared" si="35"/>
        <v>0</v>
      </c>
      <c r="AL67" s="30">
        <f t="shared" si="35"/>
        <v>17781500</v>
      </c>
      <c r="AM67" s="30">
        <f t="shared" si="35"/>
        <v>145993100</v>
      </c>
      <c r="AN67" s="31">
        <f t="shared" si="35"/>
        <v>0</v>
      </c>
      <c r="AO67" s="30">
        <f t="shared" si="35"/>
        <v>17781500</v>
      </c>
      <c r="AP67" s="30">
        <f t="shared" si="35"/>
        <v>145993100</v>
      </c>
      <c r="AQ67" s="31">
        <f t="shared" si="35"/>
        <v>0</v>
      </c>
      <c r="AR67" s="30">
        <f t="shared" si="35"/>
        <v>17781500</v>
      </c>
      <c r="AS67" s="30">
        <f t="shared" si="35"/>
        <v>145993100</v>
      </c>
      <c r="AT67" s="30">
        <f t="shared" si="24"/>
        <v>145993100</v>
      </c>
      <c r="AU67" s="176">
        <f t="shared" si="25"/>
        <v>127769489</v>
      </c>
      <c r="AV67" s="34">
        <f t="shared" si="26"/>
        <v>0</v>
      </c>
      <c r="AW67" s="34">
        <f t="shared" si="27"/>
        <v>0</v>
      </c>
      <c r="AX67" s="32">
        <f t="shared" si="20"/>
        <v>0.5332836036263523</v>
      </c>
    </row>
    <row r="68" spans="1:50" ht="18.75" customHeight="1" x14ac:dyDescent="0.2">
      <c r="A68" s="35" t="s">
        <v>55</v>
      </c>
      <c r="B68" s="36" t="s">
        <v>56</v>
      </c>
      <c r="C68" s="36"/>
      <c r="D68" s="36" t="s">
        <v>40</v>
      </c>
      <c r="E68" s="36"/>
      <c r="F68" s="36"/>
      <c r="G68" s="36" t="s">
        <v>41</v>
      </c>
      <c r="H68" s="36"/>
      <c r="I68" s="36" t="s">
        <v>936</v>
      </c>
      <c r="J68" s="36"/>
      <c r="K68" s="36" t="s">
        <v>932</v>
      </c>
      <c r="L68" s="36"/>
      <c r="M68" s="36" t="s">
        <v>933</v>
      </c>
      <c r="N68" s="36"/>
      <c r="O68" s="36" t="s">
        <v>938</v>
      </c>
      <c r="P68" s="36"/>
      <c r="Q68" s="36" t="s">
        <v>939</v>
      </c>
      <c r="R68" s="36"/>
      <c r="S68" s="36" t="s">
        <v>940</v>
      </c>
      <c r="T68" s="36">
        <v>0</v>
      </c>
      <c r="U68" s="36">
        <v>0</v>
      </c>
      <c r="V68" s="36">
        <v>0</v>
      </c>
      <c r="W68" s="36">
        <v>0</v>
      </c>
      <c r="X68" s="36" t="s">
        <v>937</v>
      </c>
      <c r="Y68" s="36"/>
      <c r="Z68" s="36"/>
      <c r="AA68" s="37" t="s">
        <v>144</v>
      </c>
      <c r="AB68" s="38" t="s">
        <v>145</v>
      </c>
      <c r="AC68" s="38" t="s">
        <v>58</v>
      </c>
      <c r="AD68" s="39">
        <v>257458680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  <c r="AJ68" s="39">
        <v>257458680</v>
      </c>
      <c r="AK68" s="40">
        <v>0</v>
      </c>
      <c r="AL68" s="18">
        <f>AM68-AGOSTO!AM68</f>
        <v>16537400</v>
      </c>
      <c r="AM68" s="39">
        <v>134578600</v>
      </c>
      <c r="AN68" s="40">
        <v>0</v>
      </c>
      <c r="AO68" s="18">
        <v>16537400</v>
      </c>
      <c r="AP68" s="39">
        <v>134578600</v>
      </c>
      <c r="AQ68" s="40">
        <v>0</v>
      </c>
      <c r="AR68" s="39">
        <v>16537400</v>
      </c>
      <c r="AS68" s="39">
        <v>134578600</v>
      </c>
      <c r="AT68" s="39">
        <f t="shared" si="24"/>
        <v>134578600</v>
      </c>
      <c r="AU68" s="18">
        <f t="shared" si="25"/>
        <v>122880080</v>
      </c>
      <c r="AV68" s="34">
        <f t="shared" si="26"/>
        <v>0</v>
      </c>
      <c r="AW68" s="34">
        <f t="shared" si="27"/>
        <v>0</v>
      </c>
      <c r="AX68" s="32">
        <f t="shared" si="20"/>
        <v>0.52271921847808744</v>
      </c>
    </row>
    <row r="69" spans="1:50" ht="31.5" customHeight="1" x14ac:dyDescent="0.2">
      <c r="A69" s="14" t="s">
        <v>55</v>
      </c>
      <c r="B69" s="15" t="s">
        <v>56</v>
      </c>
      <c r="C69" s="15"/>
      <c r="D69" s="15" t="s">
        <v>40</v>
      </c>
      <c r="E69" s="15"/>
      <c r="F69" s="15"/>
      <c r="G69" s="15" t="s">
        <v>41</v>
      </c>
      <c r="H69" s="15"/>
      <c r="I69" s="15" t="s">
        <v>941</v>
      </c>
      <c r="J69" s="15"/>
      <c r="K69" s="15" t="s">
        <v>932</v>
      </c>
      <c r="L69" s="15"/>
      <c r="M69" s="15" t="s">
        <v>933</v>
      </c>
      <c r="N69" s="15"/>
      <c r="O69" s="15" t="s">
        <v>938</v>
      </c>
      <c r="P69" s="15"/>
      <c r="Q69" s="15" t="s">
        <v>939</v>
      </c>
      <c r="R69" s="15"/>
      <c r="S69" s="15" t="s">
        <v>940</v>
      </c>
      <c r="T69" s="15">
        <v>0</v>
      </c>
      <c r="U69" s="15">
        <v>0</v>
      </c>
      <c r="V69" s="15">
        <v>0</v>
      </c>
      <c r="W69" s="15">
        <v>0</v>
      </c>
      <c r="X69" s="15" t="s">
        <v>937</v>
      </c>
      <c r="Y69" s="15"/>
      <c r="Z69" s="15"/>
      <c r="AA69" s="16" t="s">
        <v>146</v>
      </c>
      <c r="AB69" s="17" t="s">
        <v>147</v>
      </c>
      <c r="AC69" s="17" t="s">
        <v>61</v>
      </c>
      <c r="AD69" s="18">
        <v>16303909</v>
      </c>
      <c r="AE69" s="34">
        <v>0</v>
      </c>
      <c r="AF69" s="34">
        <v>0</v>
      </c>
      <c r="AG69" s="34">
        <v>0</v>
      </c>
      <c r="AH69" s="34">
        <v>0</v>
      </c>
      <c r="AI69" s="34">
        <v>0</v>
      </c>
      <c r="AJ69" s="18">
        <v>16303909</v>
      </c>
      <c r="AK69" s="34">
        <v>0</v>
      </c>
      <c r="AL69" s="18">
        <f>AM69-AGOSTO!AM69</f>
        <v>1244100</v>
      </c>
      <c r="AM69" s="18">
        <v>11414500</v>
      </c>
      <c r="AN69" s="34">
        <v>0</v>
      </c>
      <c r="AO69" s="18">
        <v>1244100</v>
      </c>
      <c r="AP69" s="18">
        <v>11414500</v>
      </c>
      <c r="AQ69" s="34">
        <v>0</v>
      </c>
      <c r="AR69" s="39">
        <v>1244100</v>
      </c>
      <c r="AS69" s="18">
        <v>11414500</v>
      </c>
      <c r="AT69" s="39">
        <f t="shared" si="24"/>
        <v>11414500</v>
      </c>
      <c r="AU69" s="18">
        <f t="shared" si="25"/>
        <v>4889409</v>
      </c>
      <c r="AV69" s="34">
        <f t="shared" si="26"/>
        <v>0</v>
      </c>
      <c r="AW69" s="34">
        <f t="shared" si="27"/>
        <v>0</v>
      </c>
      <c r="AX69" s="32">
        <f t="shared" si="20"/>
        <v>0.70010817651153479</v>
      </c>
    </row>
    <row r="70" spans="1:50" s="25" customFormat="1" ht="18.75" customHeight="1" x14ac:dyDescent="0.2">
      <c r="A70" s="19" t="s">
        <v>49</v>
      </c>
      <c r="B70" s="19" t="s">
        <v>50</v>
      </c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26" t="s">
        <v>148</v>
      </c>
      <c r="AB70" s="21" t="s">
        <v>149</v>
      </c>
      <c r="AC70" s="22" t="s">
        <v>37</v>
      </c>
      <c r="AD70" s="22">
        <f>AD71+AD81+AD82+AD83+AD84+AD85</f>
        <v>2847587617</v>
      </c>
      <c r="AE70" s="23">
        <f t="shared" ref="AE70:AW70" si="36">AE71+AE81+AE82+AE83+AE84+AE85</f>
        <v>0</v>
      </c>
      <c r="AF70" s="23">
        <f t="shared" si="36"/>
        <v>0</v>
      </c>
      <c r="AG70" s="22">
        <f>AG71+AG81+AG82+AG83+AG84+AG85</f>
        <v>72000000</v>
      </c>
      <c r="AH70" s="22">
        <f>AH71+AH81+AH82+AH83+AH84+AH85</f>
        <v>312000000</v>
      </c>
      <c r="AI70" s="22">
        <f t="shared" si="36"/>
        <v>-240000000</v>
      </c>
      <c r="AJ70" s="22">
        <f>AJ71+AJ81+AJ82+AJ83+AJ84+AJ85</f>
        <v>2607587617</v>
      </c>
      <c r="AK70" s="23">
        <f t="shared" si="36"/>
        <v>0</v>
      </c>
      <c r="AL70" s="22">
        <f t="shared" si="36"/>
        <v>151474591</v>
      </c>
      <c r="AM70" s="22">
        <f t="shared" si="36"/>
        <v>1107821200</v>
      </c>
      <c r="AN70" s="23">
        <f t="shared" si="36"/>
        <v>0</v>
      </c>
      <c r="AO70" s="22">
        <f t="shared" si="36"/>
        <v>151474591</v>
      </c>
      <c r="AP70" s="22">
        <f t="shared" si="36"/>
        <v>1107821200</v>
      </c>
      <c r="AQ70" s="23">
        <f t="shared" si="36"/>
        <v>0</v>
      </c>
      <c r="AR70" s="22">
        <f t="shared" si="36"/>
        <v>131259543</v>
      </c>
      <c r="AS70" s="22">
        <f t="shared" si="36"/>
        <v>1054761606</v>
      </c>
      <c r="AT70" s="22">
        <f t="shared" si="36"/>
        <v>1054761606</v>
      </c>
      <c r="AU70" s="22">
        <f t="shared" si="36"/>
        <v>1499766417</v>
      </c>
      <c r="AV70" s="23">
        <f t="shared" si="36"/>
        <v>0</v>
      </c>
      <c r="AW70" s="22">
        <f t="shared" si="36"/>
        <v>53059594</v>
      </c>
      <c r="AX70" s="24">
        <f t="shared" si="20"/>
        <v>0.4248452449987225</v>
      </c>
    </row>
    <row r="71" spans="1:50" ht="18.75" customHeight="1" x14ac:dyDescent="0.2">
      <c r="A71" s="27" t="s">
        <v>49</v>
      </c>
      <c r="B71" s="27" t="s">
        <v>50</v>
      </c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8" t="s">
        <v>150</v>
      </c>
      <c r="AB71" s="29" t="s">
        <v>81</v>
      </c>
      <c r="AC71" s="30" t="s">
        <v>37</v>
      </c>
      <c r="AD71" s="30">
        <f>AD72+AD75+AD78</f>
        <v>2386452170</v>
      </c>
      <c r="AE71" s="31">
        <f t="shared" ref="AE71:AS71" si="37">AE72+AE75+AE78</f>
        <v>0</v>
      </c>
      <c r="AF71" s="31">
        <f t="shared" si="37"/>
        <v>0</v>
      </c>
      <c r="AG71" s="31">
        <f t="shared" si="37"/>
        <v>0</v>
      </c>
      <c r="AH71" s="30">
        <f t="shared" si="37"/>
        <v>312000000</v>
      </c>
      <c r="AI71" s="30">
        <f t="shared" si="37"/>
        <v>-312000000</v>
      </c>
      <c r="AJ71" s="30">
        <f t="shared" si="37"/>
        <v>2074452170</v>
      </c>
      <c r="AK71" s="31">
        <f t="shared" si="37"/>
        <v>0</v>
      </c>
      <c r="AL71" s="30">
        <f t="shared" si="37"/>
        <v>128052706</v>
      </c>
      <c r="AM71" s="30">
        <f t="shared" si="37"/>
        <v>748737682</v>
      </c>
      <c r="AN71" s="31">
        <f t="shared" si="37"/>
        <v>0</v>
      </c>
      <c r="AO71" s="30">
        <f t="shared" si="37"/>
        <v>128052706</v>
      </c>
      <c r="AP71" s="30">
        <f t="shared" si="37"/>
        <v>748737682</v>
      </c>
      <c r="AQ71" s="31">
        <f t="shared" si="37"/>
        <v>0</v>
      </c>
      <c r="AR71" s="30">
        <f t="shared" si="37"/>
        <v>107837658</v>
      </c>
      <c r="AS71" s="30">
        <f t="shared" si="37"/>
        <v>724585391</v>
      </c>
      <c r="AT71" s="30">
        <f t="shared" ref="AT71:AT93" si="38">AQ71+AS71</f>
        <v>724585391</v>
      </c>
      <c r="AU71" s="176">
        <f t="shared" ref="AU71:AU85" si="39">AJ71-AM71</f>
        <v>1325714488</v>
      </c>
      <c r="AV71" s="34">
        <f t="shared" ref="AV71:AV85" si="40">AM71-AP71</f>
        <v>0</v>
      </c>
      <c r="AW71" s="18">
        <f t="shared" ref="AW71:AW85" si="41">AP71-AT71</f>
        <v>24152291</v>
      </c>
      <c r="AX71" s="32">
        <f t="shared" si="20"/>
        <v>0.36093272856707997</v>
      </c>
    </row>
    <row r="72" spans="1:50" ht="18.75" customHeight="1" x14ac:dyDescent="0.2">
      <c r="A72" s="27" t="s">
        <v>49</v>
      </c>
      <c r="B72" s="27" t="s">
        <v>50</v>
      </c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8" t="s">
        <v>151</v>
      </c>
      <c r="AB72" s="29" t="s">
        <v>152</v>
      </c>
      <c r="AC72" s="30" t="s">
        <v>37</v>
      </c>
      <c r="AD72" s="30">
        <f>AD73+AD74</f>
        <v>1664997140</v>
      </c>
      <c r="AE72" s="31">
        <f t="shared" ref="AE72:AS72" si="42">AE73+AE74</f>
        <v>0</v>
      </c>
      <c r="AF72" s="31">
        <f t="shared" si="42"/>
        <v>0</v>
      </c>
      <c r="AG72" s="31">
        <f t="shared" si="42"/>
        <v>0</v>
      </c>
      <c r="AH72" s="31">
        <f t="shared" si="42"/>
        <v>0</v>
      </c>
      <c r="AI72" s="31">
        <f t="shared" si="42"/>
        <v>0</v>
      </c>
      <c r="AJ72" s="30">
        <f t="shared" si="42"/>
        <v>1664997140</v>
      </c>
      <c r="AK72" s="31">
        <f t="shared" si="42"/>
        <v>0</v>
      </c>
      <c r="AL72" s="30">
        <f t="shared" si="42"/>
        <v>82783779</v>
      </c>
      <c r="AM72" s="30">
        <f t="shared" si="42"/>
        <v>449320673</v>
      </c>
      <c r="AN72" s="31">
        <f t="shared" si="42"/>
        <v>0</v>
      </c>
      <c r="AO72" s="30">
        <f t="shared" si="42"/>
        <v>82783779</v>
      </c>
      <c r="AP72" s="30">
        <f t="shared" si="42"/>
        <v>449320673</v>
      </c>
      <c r="AQ72" s="31">
        <f t="shared" si="42"/>
        <v>0</v>
      </c>
      <c r="AR72" s="30">
        <f t="shared" si="42"/>
        <v>64166851</v>
      </c>
      <c r="AS72" s="30">
        <f t="shared" si="42"/>
        <v>426766502</v>
      </c>
      <c r="AT72" s="30">
        <f t="shared" si="38"/>
        <v>426766502</v>
      </c>
      <c r="AU72" s="176">
        <f t="shared" si="39"/>
        <v>1215676467</v>
      </c>
      <c r="AV72" s="34">
        <f t="shared" si="40"/>
        <v>0</v>
      </c>
      <c r="AW72" s="18">
        <f t="shared" si="41"/>
        <v>22554171</v>
      </c>
      <c r="AX72" s="32">
        <f t="shared" si="20"/>
        <v>0.26986272961405805</v>
      </c>
    </row>
    <row r="73" spans="1:50" ht="18.75" customHeight="1" x14ac:dyDescent="0.2">
      <c r="A73" s="14" t="s">
        <v>55</v>
      </c>
      <c r="B73" s="15" t="s">
        <v>56</v>
      </c>
      <c r="C73" s="15"/>
      <c r="D73" s="15" t="s">
        <v>40</v>
      </c>
      <c r="E73" s="15"/>
      <c r="F73" s="15"/>
      <c r="G73" s="15" t="s">
        <v>41</v>
      </c>
      <c r="H73" s="15"/>
      <c r="I73" s="15" t="s">
        <v>936</v>
      </c>
      <c r="J73" s="15"/>
      <c r="K73" s="15" t="s">
        <v>932</v>
      </c>
      <c r="L73" s="15"/>
      <c r="M73" s="15" t="s">
        <v>933</v>
      </c>
      <c r="N73" s="15"/>
      <c r="O73" s="15" t="s">
        <v>938</v>
      </c>
      <c r="P73" s="15"/>
      <c r="Q73" s="15" t="s">
        <v>939</v>
      </c>
      <c r="R73" s="15"/>
      <c r="S73" s="15" t="s">
        <v>940</v>
      </c>
      <c r="T73" s="15">
        <v>0</v>
      </c>
      <c r="U73" s="15">
        <v>0</v>
      </c>
      <c r="V73" s="15">
        <v>0</v>
      </c>
      <c r="W73" s="15">
        <v>0</v>
      </c>
      <c r="X73" s="15" t="s">
        <v>937</v>
      </c>
      <c r="Y73" s="15"/>
      <c r="Z73" s="15"/>
      <c r="AA73" s="16" t="s">
        <v>153</v>
      </c>
      <c r="AB73" s="17" t="s">
        <v>152</v>
      </c>
      <c r="AC73" s="17" t="s">
        <v>58</v>
      </c>
      <c r="AD73" s="18">
        <v>1564997140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18">
        <v>1564997140</v>
      </c>
      <c r="AK73" s="34">
        <v>0</v>
      </c>
      <c r="AL73" s="18">
        <f>AM73-AGOSTO!AM73</f>
        <v>64166851</v>
      </c>
      <c r="AM73" s="18">
        <v>389746176</v>
      </c>
      <c r="AN73" s="34">
        <v>0</v>
      </c>
      <c r="AO73" s="18">
        <v>64166851</v>
      </c>
      <c r="AP73" s="18">
        <v>389746176</v>
      </c>
      <c r="AQ73" s="34">
        <v>0</v>
      </c>
      <c r="AR73" s="18">
        <v>64166851</v>
      </c>
      <c r="AS73" s="18">
        <v>385808933</v>
      </c>
      <c r="AT73" s="39">
        <f t="shared" si="38"/>
        <v>385808933</v>
      </c>
      <c r="AU73" s="18">
        <f t="shared" si="39"/>
        <v>1175250964</v>
      </c>
      <c r="AV73" s="34">
        <f t="shared" si="40"/>
        <v>0</v>
      </c>
      <c r="AW73" s="18">
        <f t="shared" si="41"/>
        <v>3937243</v>
      </c>
      <c r="AX73" s="32">
        <f t="shared" si="20"/>
        <v>0.24903954520964811</v>
      </c>
    </row>
    <row r="74" spans="1:50" ht="18.75" customHeight="1" x14ac:dyDescent="0.2">
      <c r="A74" s="35" t="s">
        <v>55</v>
      </c>
      <c r="B74" s="36" t="s">
        <v>56</v>
      </c>
      <c r="C74" s="36"/>
      <c r="D74" s="36" t="s">
        <v>40</v>
      </c>
      <c r="E74" s="36"/>
      <c r="F74" s="36"/>
      <c r="G74" s="36" t="s">
        <v>41</v>
      </c>
      <c r="H74" s="36"/>
      <c r="I74" s="36" t="s">
        <v>941</v>
      </c>
      <c r="J74" s="36"/>
      <c r="K74" s="36" t="s">
        <v>932</v>
      </c>
      <c r="L74" s="36"/>
      <c r="M74" s="36" t="s">
        <v>933</v>
      </c>
      <c r="N74" s="36"/>
      <c r="O74" s="36" t="s">
        <v>938</v>
      </c>
      <c r="P74" s="36"/>
      <c r="Q74" s="36" t="s">
        <v>939</v>
      </c>
      <c r="R74" s="36"/>
      <c r="S74" s="36" t="s">
        <v>940</v>
      </c>
      <c r="T74" s="36">
        <v>0</v>
      </c>
      <c r="U74" s="36">
        <v>0</v>
      </c>
      <c r="V74" s="36">
        <v>0</v>
      </c>
      <c r="W74" s="36">
        <v>0</v>
      </c>
      <c r="X74" s="36" t="s">
        <v>937</v>
      </c>
      <c r="Y74" s="36"/>
      <c r="Z74" s="36"/>
      <c r="AA74" s="37" t="s">
        <v>154</v>
      </c>
      <c r="AB74" s="38" t="s">
        <v>155</v>
      </c>
      <c r="AC74" s="38" t="s">
        <v>61</v>
      </c>
      <c r="AD74" s="39">
        <v>100000000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39">
        <v>100000000</v>
      </c>
      <c r="AK74" s="40">
        <v>0</v>
      </c>
      <c r="AL74" s="18">
        <f>AM74-AGOSTO!AM74</f>
        <v>18616928</v>
      </c>
      <c r="AM74" s="39">
        <v>59574497</v>
      </c>
      <c r="AN74" s="40">
        <v>0</v>
      </c>
      <c r="AO74" s="39">
        <v>18616928</v>
      </c>
      <c r="AP74" s="39">
        <v>59574497</v>
      </c>
      <c r="AQ74" s="40">
        <v>0</v>
      </c>
      <c r="AR74" s="34">
        <v>0</v>
      </c>
      <c r="AS74" s="39">
        <v>40957569</v>
      </c>
      <c r="AT74" s="40">
        <f t="shared" si="38"/>
        <v>40957569</v>
      </c>
      <c r="AU74" s="18">
        <f t="shared" si="39"/>
        <v>40425503</v>
      </c>
      <c r="AV74" s="34">
        <f t="shared" si="40"/>
        <v>0</v>
      </c>
      <c r="AW74" s="34">
        <f t="shared" si="41"/>
        <v>18616928</v>
      </c>
      <c r="AX74" s="32">
        <f t="shared" si="20"/>
        <v>0.59574497000000004</v>
      </c>
    </row>
    <row r="75" spans="1:50" ht="18.75" customHeight="1" x14ac:dyDescent="0.2">
      <c r="A75" s="27" t="s">
        <v>49</v>
      </c>
      <c r="B75" s="27" t="s">
        <v>50</v>
      </c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8" t="s">
        <v>156</v>
      </c>
      <c r="AB75" s="29" t="s">
        <v>157</v>
      </c>
      <c r="AC75" s="30" t="s">
        <v>37</v>
      </c>
      <c r="AD75" s="30">
        <f>AD76+AD77</f>
        <v>608504027</v>
      </c>
      <c r="AE75" s="31">
        <f t="shared" ref="AE75:AS75" si="43">AE76+AE77</f>
        <v>0</v>
      </c>
      <c r="AF75" s="31">
        <f t="shared" si="43"/>
        <v>0</v>
      </c>
      <c r="AG75" s="31">
        <f t="shared" si="43"/>
        <v>0</v>
      </c>
      <c r="AH75" s="30">
        <f t="shared" si="43"/>
        <v>312000000</v>
      </c>
      <c r="AI75" s="30">
        <f t="shared" si="43"/>
        <v>-312000000</v>
      </c>
      <c r="AJ75" s="30">
        <f t="shared" si="43"/>
        <v>296504027</v>
      </c>
      <c r="AK75" s="31">
        <f t="shared" si="43"/>
        <v>0</v>
      </c>
      <c r="AL75" s="30">
        <f t="shared" si="43"/>
        <v>32743459</v>
      </c>
      <c r="AM75" s="30">
        <f t="shared" si="43"/>
        <v>236285515</v>
      </c>
      <c r="AN75" s="31">
        <f t="shared" si="43"/>
        <v>0</v>
      </c>
      <c r="AO75" s="30">
        <f t="shared" si="43"/>
        <v>32743459</v>
      </c>
      <c r="AP75" s="30">
        <f t="shared" si="43"/>
        <v>236285515</v>
      </c>
      <c r="AQ75" s="31">
        <f t="shared" si="43"/>
        <v>0</v>
      </c>
      <c r="AR75" s="30">
        <f t="shared" si="43"/>
        <v>32743459</v>
      </c>
      <c r="AS75" s="30">
        <f t="shared" si="43"/>
        <v>236285515</v>
      </c>
      <c r="AT75" s="30">
        <f t="shared" si="38"/>
        <v>236285515</v>
      </c>
      <c r="AU75" s="18">
        <f t="shared" si="39"/>
        <v>60218512</v>
      </c>
      <c r="AV75" s="34">
        <f t="shared" si="40"/>
        <v>0</v>
      </c>
      <c r="AW75" s="34">
        <f t="shared" si="41"/>
        <v>0</v>
      </c>
      <c r="AX75" s="32">
        <f t="shared" si="20"/>
        <v>0.79690491016501441</v>
      </c>
    </row>
    <row r="76" spans="1:50" ht="18.75" customHeight="1" x14ac:dyDescent="0.2">
      <c r="A76" s="14" t="s">
        <v>55</v>
      </c>
      <c r="B76" s="15" t="s">
        <v>56</v>
      </c>
      <c r="C76" s="15"/>
      <c r="D76" s="15" t="s">
        <v>40</v>
      </c>
      <c r="E76" s="15"/>
      <c r="F76" s="15"/>
      <c r="G76" s="15" t="s">
        <v>41</v>
      </c>
      <c r="H76" s="15"/>
      <c r="I76" s="15" t="s">
        <v>936</v>
      </c>
      <c r="J76" s="15"/>
      <c r="K76" s="15" t="s">
        <v>932</v>
      </c>
      <c r="L76" s="15"/>
      <c r="M76" s="15" t="s">
        <v>933</v>
      </c>
      <c r="N76" s="15"/>
      <c r="O76" s="15" t="s">
        <v>938</v>
      </c>
      <c r="P76" s="15"/>
      <c r="Q76" s="15" t="s">
        <v>939</v>
      </c>
      <c r="R76" s="15"/>
      <c r="S76" s="15" t="s">
        <v>940</v>
      </c>
      <c r="T76" s="15">
        <v>0</v>
      </c>
      <c r="U76" s="15">
        <v>0</v>
      </c>
      <c r="V76" s="15">
        <v>0</v>
      </c>
      <c r="W76" s="15">
        <v>0</v>
      </c>
      <c r="X76" s="15" t="s">
        <v>937</v>
      </c>
      <c r="Y76" s="15"/>
      <c r="Z76" s="15"/>
      <c r="AA76" s="16" t="s">
        <v>158</v>
      </c>
      <c r="AB76" s="17" t="s">
        <v>157</v>
      </c>
      <c r="AC76" s="17" t="s">
        <v>58</v>
      </c>
      <c r="AD76" s="18">
        <v>600000000</v>
      </c>
      <c r="AE76" s="34">
        <v>0</v>
      </c>
      <c r="AF76" s="34">
        <v>0</v>
      </c>
      <c r="AG76" s="34">
        <v>0</v>
      </c>
      <c r="AH76" s="18">
        <f>12000000+300000000</f>
        <v>312000000</v>
      </c>
      <c r="AI76" s="18">
        <f>AE76-AF76+AG76-AH76</f>
        <v>-312000000</v>
      </c>
      <c r="AJ76" s="18">
        <f>AD76+AI76</f>
        <v>288000000</v>
      </c>
      <c r="AK76" s="34">
        <v>0</v>
      </c>
      <c r="AL76" s="18">
        <f>AM76-AGOSTO!AM76</f>
        <v>32743459</v>
      </c>
      <c r="AM76" s="18">
        <v>236285515</v>
      </c>
      <c r="AN76" s="34">
        <v>0</v>
      </c>
      <c r="AO76" s="18">
        <v>32743459</v>
      </c>
      <c r="AP76" s="18">
        <v>236285515</v>
      </c>
      <c r="AQ76" s="34">
        <v>0</v>
      </c>
      <c r="AR76" s="18">
        <v>32743459</v>
      </c>
      <c r="AS76" s="18">
        <v>236285515</v>
      </c>
      <c r="AT76" s="30">
        <f t="shared" si="38"/>
        <v>236285515</v>
      </c>
      <c r="AU76" s="18">
        <f t="shared" si="39"/>
        <v>51714485</v>
      </c>
      <c r="AV76" s="34">
        <f t="shared" si="40"/>
        <v>0</v>
      </c>
      <c r="AW76" s="34">
        <f t="shared" si="41"/>
        <v>0</v>
      </c>
      <c r="AX76" s="32">
        <f t="shared" si="20"/>
        <v>0.82043581597222226</v>
      </c>
    </row>
    <row r="77" spans="1:50" ht="18.75" customHeight="1" x14ac:dyDescent="0.2">
      <c r="A77" s="14" t="s">
        <v>55</v>
      </c>
      <c r="B77" s="15" t="s">
        <v>56</v>
      </c>
      <c r="C77" s="15"/>
      <c r="D77" s="15" t="s">
        <v>40</v>
      </c>
      <c r="E77" s="15"/>
      <c r="F77" s="15"/>
      <c r="G77" s="15" t="s">
        <v>41</v>
      </c>
      <c r="H77" s="15"/>
      <c r="I77" s="15" t="s">
        <v>941</v>
      </c>
      <c r="J77" s="15"/>
      <c r="K77" s="15" t="s">
        <v>932</v>
      </c>
      <c r="L77" s="15"/>
      <c r="M77" s="15" t="s">
        <v>933</v>
      </c>
      <c r="N77" s="15"/>
      <c r="O77" s="15" t="s">
        <v>938</v>
      </c>
      <c r="P77" s="15"/>
      <c r="Q77" s="15" t="s">
        <v>939</v>
      </c>
      <c r="R77" s="15"/>
      <c r="S77" s="15" t="s">
        <v>940</v>
      </c>
      <c r="T77" s="15">
        <v>0</v>
      </c>
      <c r="U77" s="15">
        <v>0</v>
      </c>
      <c r="V77" s="15">
        <v>0</v>
      </c>
      <c r="W77" s="15">
        <v>0</v>
      </c>
      <c r="X77" s="15" t="s">
        <v>937</v>
      </c>
      <c r="Y77" s="15"/>
      <c r="Z77" s="15"/>
      <c r="AA77" s="16" t="s">
        <v>159</v>
      </c>
      <c r="AB77" s="17" t="s">
        <v>160</v>
      </c>
      <c r="AC77" s="17" t="s">
        <v>61</v>
      </c>
      <c r="AD77" s="18">
        <v>8504027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18">
        <v>8504027</v>
      </c>
      <c r="AK77" s="34">
        <v>0</v>
      </c>
      <c r="AL77" s="18">
        <f>AM77-AGOSTO!AM77</f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1">
        <f t="shared" si="38"/>
        <v>0</v>
      </c>
      <c r="AU77" s="18">
        <f t="shared" si="39"/>
        <v>8504027</v>
      </c>
      <c r="AV77" s="34">
        <f t="shared" si="40"/>
        <v>0</v>
      </c>
      <c r="AW77" s="34">
        <f t="shared" si="41"/>
        <v>0</v>
      </c>
      <c r="AX77" s="32">
        <f t="shared" si="20"/>
        <v>0</v>
      </c>
    </row>
    <row r="78" spans="1:50" ht="18.75" customHeight="1" x14ac:dyDescent="0.2">
      <c r="A78" s="27" t="s">
        <v>49</v>
      </c>
      <c r="B78" s="27" t="s">
        <v>50</v>
      </c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8" t="s">
        <v>161</v>
      </c>
      <c r="AB78" s="29" t="s">
        <v>162</v>
      </c>
      <c r="AC78" s="30" t="s">
        <v>37</v>
      </c>
      <c r="AD78" s="30">
        <f>AD79+AD80</f>
        <v>112951003</v>
      </c>
      <c r="AE78" s="31">
        <f t="shared" ref="AE78:AS78" si="44">AE79+AE80</f>
        <v>0</v>
      </c>
      <c r="AF78" s="31">
        <f t="shared" si="44"/>
        <v>0</v>
      </c>
      <c r="AG78" s="31">
        <f t="shared" si="44"/>
        <v>0</v>
      </c>
      <c r="AH78" s="31">
        <f t="shared" si="44"/>
        <v>0</v>
      </c>
      <c r="AI78" s="31">
        <f t="shared" si="44"/>
        <v>0</v>
      </c>
      <c r="AJ78" s="30">
        <f>AJ79+AJ80</f>
        <v>112951003</v>
      </c>
      <c r="AK78" s="31">
        <f t="shared" si="44"/>
        <v>0</v>
      </c>
      <c r="AL78" s="30">
        <f t="shared" si="44"/>
        <v>12525468</v>
      </c>
      <c r="AM78" s="30">
        <f t="shared" si="44"/>
        <v>63131494</v>
      </c>
      <c r="AN78" s="31">
        <f t="shared" si="44"/>
        <v>0</v>
      </c>
      <c r="AO78" s="30">
        <f t="shared" si="44"/>
        <v>12525468</v>
      </c>
      <c r="AP78" s="30">
        <f t="shared" si="44"/>
        <v>63131494</v>
      </c>
      <c r="AQ78" s="31">
        <f t="shared" si="44"/>
        <v>0</v>
      </c>
      <c r="AR78" s="30">
        <f>AR79+AR80</f>
        <v>10927348</v>
      </c>
      <c r="AS78" s="30">
        <f t="shared" si="44"/>
        <v>61533374</v>
      </c>
      <c r="AT78" s="30">
        <f t="shared" si="38"/>
        <v>61533374</v>
      </c>
      <c r="AU78" s="176">
        <f t="shared" si="39"/>
        <v>49819509</v>
      </c>
      <c r="AV78" s="177">
        <f t="shared" si="40"/>
        <v>0</v>
      </c>
      <c r="AW78" s="176">
        <f t="shared" si="41"/>
        <v>1598120</v>
      </c>
      <c r="AX78" s="32">
        <f t="shared" si="20"/>
        <v>0.55892813984130796</v>
      </c>
    </row>
    <row r="79" spans="1:50" ht="18.75" customHeight="1" x14ac:dyDescent="0.2">
      <c r="A79" s="14" t="s">
        <v>55</v>
      </c>
      <c r="B79" s="15" t="s">
        <v>56</v>
      </c>
      <c r="C79" s="15"/>
      <c r="D79" s="15" t="s">
        <v>40</v>
      </c>
      <c r="E79" s="15"/>
      <c r="F79" s="15"/>
      <c r="G79" s="15" t="s">
        <v>41</v>
      </c>
      <c r="H79" s="15"/>
      <c r="I79" s="15" t="s">
        <v>936</v>
      </c>
      <c r="J79" s="15"/>
      <c r="K79" s="15" t="s">
        <v>932</v>
      </c>
      <c r="L79" s="15"/>
      <c r="M79" s="15" t="s">
        <v>933</v>
      </c>
      <c r="N79" s="15"/>
      <c r="O79" s="15" t="s">
        <v>938</v>
      </c>
      <c r="P79" s="15"/>
      <c r="Q79" s="15" t="s">
        <v>939</v>
      </c>
      <c r="R79" s="15"/>
      <c r="S79" s="15" t="s">
        <v>940</v>
      </c>
      <c r="T79" s="15">
        <v>0</v>
      </c>
      <c r="U79" s="15">
        <v>0</v>
      </c>
      <c r="V79" s="15">
        <v>0</v>
      </c>
      <c r="W79" s="15">
        <v>0</v>
      </c>
      <c r="X79" s="15" t="s">
        <v>937</v>
      </c>
      <c r="Y79" s="15"/>
      <c r="Z79" s="15"/>
      <c r="AA79" s="16" t="s">
        <v>163</v>
      </c>
      <c r="AB79" s="17" t="s">
        <v>162</v>
      </c>
      <c r="AC79" s="17" t="s">
        <v>58</v>
      </c>
      <c r="AD79" s="18">
        <v>104149973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18">
        <v>104149973</v>
      </c>
      <c r="AK79" s="34">
        <v>0</v>
      </c>
      <c r="AL79" s="18">
        <f>AM79-AGOSTO!AM79</f>
        <v>10927348</v>
      </c>
      <c r="AM79" s="18">
        <v>58025885</v>
      </c>
      <c r="AN79" s="34">
        <v>0</v>
      </c>
      <c r="AO79" s="18">
        <v>10927348</v>
      </c>
      <c r="AP79" s="18">
        <v>58025885</v>
      </c>
      <c r="AQ79" s="34">
        <v>0</v>
      </c>
      <c r="AR79" s="18">
        <v>10927348</v>
      </c>
      <c r="AS79" s="18">
        <v>58025885</v>
      </c>
      <c r="AT79" s="39">
        <f t="shared" si="38"/>
        <v>58025885</v>
      </c>
      <c r="AU79" s="18">
        <f t="shared" si="39"/>
        <v>46124088</v>
      </c>
      <c r="AV79" s="34">
        <f t="shared" si="40"/>
        <v>0</v>
      </c>
      <c r="AW79" s="34">
        <f t="shared" si="41"/>
        <v>0</v>
      </c>
      <c r="AX79" s="32">
        <f t="shared" si="20"/>
        <v>0.5571377824553061</v>
      </c>
    </row>
    <row r="80" spans="1:50" ht="18.75" customHeight="1" x14ac:dyDescent="0.2">
      <c r="A80" s="14" t="s">
        <v>55</v>
      </c>
      <c r="B80" s="15" t="s">
        <v>56</v>
      </c>
      <c r="C80" s="15"/>
      <c r="D80" s="15" t="s">
        <v>40</v>
      </c>
      <c r="E80" s="15"/>
      <c r="F80" s="15"/>
      <c r="G80" s="15" t="s">
        <v>41</v>
      </c>
      <c r="H80" s="15"/>
      <c r="I80" s="15" t="s">
        <v>941</v>
      </c>
      <c r="J80" s="15"/>
      <c r="K80" s="15" t="s">
        <v>932</v>
      </c>
      <c r="L80" s="15"/>
      <c r="M80" s="15" t="s">
        <v>933</v>
      </c>
      <c r="N80" s="15"/>
      <c r="O80" s="15" t="s">
        <v>938</v>
      </c>
      <c r="P80" s="15"/>
      <c r="Q80" s="15" t="s">
        <v>939</v>
      </c>
      <c r="R80" s="15"/>
      <c r="S80" s="15" t="s">
        <v>940</v>
      </c>
      <c r="T80" s="15">
        <v>0</v>
      </c>
      <c r="U80" s="15">
        <v>0</v>
      </c>
      <c r="V80" s="15">
        <v>0</v>
      </c>
      <c r="W80" s="15">
        <v>0</v>
      </c>
      <c r="X80" s="15" t="s">
        <v>937</v>
      </c>
      <c r="Y80" s="15"/>
      <c r="Z80" s="15"/>
      <c r="AA80" s="16" t="s">
        <v>164</v>
      </c>
      <c r="AB80" s="17" t="s">
        <v>165</v>
      </c>
      <c r="AC80" s="17" t="s">
        <v>61</v>
      </c>
      <c r="AD80" s="18">
        <v>8801030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18">
        <v>8801030</v>
      </c>
      <c r="AK80" s="34">
        <v>0</v>
      </c>
      <c r="AL80" s="18">
        <f>AM80-AGOSTO!AM80</f>
        <v>1598120</v>
      </c>
      <c r="AM80" s="34">
        <v>5105609</v>
      </c>
      <c r="AN80" s="34">
        <v>0</v>
      </c>
      <c r="AO80" s="18">
        <v>1598120</v>
      </c>
      <c r="AP80" s="18">
        <v>5105609</v>
      </c>
      <c r="AQ80" s="34">
        <v>0</v>
      </c>
      <c r="AR80" s="34">
        <v>0</v>
      </c>
      <c r="AS80" s="18">
        <v>3507489</v>
      </c>
      <c r="AT80" s="39">
        <f t="shared" si="38"/>
        <v>3507489</v>
      </c>
      <c r="AU80" s="18">
        <f t="shared" si="39"/>
        <v>3695421</v>
      </c>
      <c r="AV80" s="34">
        <f t="shared" si="40"/>
        <v>0</v>
      </c>
      <c r="AW80" s="34">
        <f t="shared" si="41"/>
        <v>1598120</v>
      </c>
      <c r="AX80" s="32">
        <f t="shared" si="20"/>
        <v>0.58011494109212214</v>
      </c>
    </row>
    <row r="81" spans="1:50" ht="29.25" customHeight="1" x14ac:dyDescent="0.2">
      <c r="A81" s="14" t="s">
        <v>49</v>
      </c>
      <c r="B81" s="15" t="s">
        <v>50</v>
      </c>
      <c r="C81" s="15"/>
      <c r="D81" s="15" t="s">
        <v>40</v>
      </c>
      <c r="E81" s="15"/>
      <c r="F81" s="15"/>
      <c r="G81" s="15" t="s">
        <v>41</v>
      </c>
      <c r="H81" s="15"/>
      <c r="I81" s="15" t="s">
        <v>936</v>
      </c>
      <c r="J81" s="15"/>
      <c r="K81" s="15" t="s">
        <v>932</v>
      </c>
      <c r="L81" s="15"/>
      <c r="M81" s="15" t="s">
        <v>933</v>
      </c>
      <c r="N81" s="15"/>
      <c r="O81" s="15" t="s">
        <v>938</v>
      </c>
      <c r="P81" s="15"/>
      <c r="Q81" s="15" t="s">
        <v>939</v>
      </c>
      <c r="R81" s="15"/>
      <c r="S81" s="15" t="s">
        <v>940</v>
      </c>
      <c r="T81" s="15">
        <v>0</v>
      </c>
      <c r="U81" s="15">
        <v>0</v>
      </c>
      <c r="V81" s="15">
        <v>0</v>
      </c>
      <c r="W81" s="15">
        <v>0</v>
      </c>
      <c r="X81" s="15" t="s">
        <v>937</v>
      </c>
      <c r="Y81" s="15"/>
      <c r="Z81" s="15"/>
      <c r="AA81" s="16" t="s">
        <v>166</v>
      </c>
      <c r="AB81" s="17" t="s">
        <v>167</v>
      </c>
      <c r="AC81" s="17" t="s">
        <v>56</v>
      </c>
      <c r="AD81" s="18">
        <v>60643852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18">
        <v>60643852</v>
      </c>
      <c r="AK81" s="34">
        <v>0</v>
      </c>
      <c r="AL81" s="34">
        <f>AM81-AGOSTO!AM81</f>
        <v>0</v>
      </c>
      <c r="AM81" s="34">
        <v>38504032</v>
      </c>
      <c r="AN81" s="34">
        <v>0</v>
      </c>
      <c r="AO81" s="18">
        <v>0</v>
      </c>
      <c r="AP81" s="18">
        <v>38504032</v>
      </c>
      <c r="AQ81" s="34">
        <v>0</v>
      </c>
      <c r="AR81" s="34">
        <v>0</v>
      </c>
      <c r="AS81" s="34">
        <v>19252016</v>
      </c>
      <c r="AT81" s="40">
        <f t="shared" si="38"/>
        <v>19252016</v>
      </c>
      <c r="AU81" s="18">
        <f t="shared" si="39"/>
        <v>22139820</v>
      </c>
      <c r="AV81" s="34">
        <f t="shared" si="40"/>
        <v>0</v>
      </c>
      <c r="AW81" s="18">
        <f t="shared" si="41"/>
        <v>19252016</v>
      </c>
      <c r="AX81" s="32">
        <f t="shared" si="20"/>
        <v>0.63492061816917567</v>
      </c>
    </row>
    <row r="82" spans="1:50" ht="18.75" customHeight="1" x14ac:dyDescent="0.2">
      <c r="A82" s="35" t="s">
        <v>49</v>
      </c>
      <c r="B82" s="36" t="s">
        <v>50</v>
      </c>
      <c r="C82" s="36"/>
      <c r="D82" s="36" t="s">
        <v>40</v>
      </c>
      <c r="E82" s="36"/>
      <c r="F82" s="36"/>
      <c r="G82" s="36" t="s">
        <v>41</v>
      </c>
      <c r="H82" s="36"/>
      <c r="I82" s="36" t="s">
        <v>936</v>
      </c>
      <c r="J82" s="36"/>
      <c r="K82" s="36" t="s">
        <v>932</v>
      </c>
      <c r="L82" s="36"/>
      <c r="M82" s="36" t="s">
        <v>933</v>
      </c>
      <c r="N82" s="36"/>
      <c r="O82" s="36" t="s">
        <v>938</v>
      </c>
      <c r="P82" s="36"/>
      <c r="Q82" s="36" t="s">
        <v>939</v>
      </c>
      <c r="R82" s="36"/>
      <c r="S82" s="36" t="s">
        <v>940</v>
      </c>
      <c r="T82" s="36">
        <v>0</v>
      </c>
      <c r="U82" s="36">
        <v>0</v>
      </c>
      <c r="V82" s="36">
        <v>0</v>
      </c>
      <c r="W82" s="36">
        <v>0</v>
      </c>
      <c r="X82" s="36" t="s">
        <v>937</v>
      </c>
      <c r="Y82" s="36"/>
      <c r="Z82" s="36"/>
      <c r="AA82" s="37" t="s">
        <v>168</v>
      </c>
      <c r="AB82" s="38" t="s">
        <v>169</v>
      </c>
      <c r="AC82" s="38" t="s">
        <v>56</v>
      </c>
      <c r="AD82" s="39">
        <v>15160962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39">
        <v>15160962</v>
      </c>
      <c r="AK82" s="40">
        <v>0</v>
      </c>
      <c r="AL82" s="34">
        <f>AM82-AGOSTO!AM82</f>
        <v>0</v>
      </c>
      <c r="AM82" s="40">
        <v>7219506</v>
      </c>
      <c r="AN82" s="40">
        <v>0</v>
      </c>
      <c r="AO82" s="34">
        <v>0</v>
      </c>
      <c r="AP82" s="39">
        <v>7219506</v>
      </c>
      <c r="AQ82" s="40">
        <v>0</v>
      </c>
      <c r="AR82" s="40">
        <v>0</v>
      </c>
      <c r="AS82" s="39">
        <v>7219506</v>
      </c>
      <c r="AT82" s="39">
        <f t="shared" si="38"/>
        <v>7219506</v>
      </c>
      <c r="AU82" s="18">
        <f t="shared" si="39"/>
        <v>7941456</v>
      </c>
      <c r="AV82" s="34">
        <f t="shared" si="40"/>
        <v>0</v>
      </c>
      <c r="AW82" s="34">
        <f t="shared" si="41"/>
        <v>0</v>
      </c>
      <c r="AX82" s="32">
        <f t="shared" si="20"/>
        <v>0.47619049503586908</v>
      </c>
    </row>
    <row r="83" spans="1:50" ht="18.75" customHeight="1" x14ac:dyDescent="0.2">
      <c r="A83" s="14" t="s">
        <v>55</v>
      </c>
      <c r="B83" s="15" t="s">
        <v>56</v>
      </c>
      <c r="C83" s="15"/>
      <c r="D83" s="15" t="s">
        <v>40</v>
      </c>
      <c r="E83" s="15"/>
      <c r="F83" s="15"/>
      <c r="G83" s="15" t="s">
        <v>41</v>
      </c>
      <c r="H83" s="15"/>
      <c r="I83" s="15" t="s">
        <v>936</v>
      </c>
      <c r="J83" s="15"/>
      <c r="K83" s="15" t="s">
        <v>932</v>
      </c>
      <c r="L83" s="15"/>
      <c r="M83" s="15" t="s">
        <v>933</v>
      </c>
      <c r="N83" s="15"/>
      <c r="O83" s="15" t="s">
        <v>938</v>
      </c>
      <c r="P83" s="15"/>
      <c r="Q83" s="15" t="s">
        <v>939</v>
      </c>
      <c r="R83" s="15"/>
      <c r="S83" s="15" t="s">
        <v>940</v>
      </c>
      <c r="T83" s="15">
        <v>0</v>
      </c>
      <c r="U83" s="15">
        <v>0</v>
      </c>
      <c r="V83" s="15">
        <v>0</v>
      </c>
      <c r="W83" s="15">
        <v>0</v>
      </c>
      <c r="X83" s="15" t="s">
        <v>937</v>
      </c>
      <c r="Y83" s="15"/>
      <c r="Z83" s="15"/>
      <c r="AA83" s="16" t="s">
        <v>170</v>
      </c>
      <c r="AB83" s="17" t="s">
        <v>171</v>
      </c>
      <c r="AC83" s="17" t="s">
        <v>58</v>
      </c>
      <c r="AD83" s="18">
        <v>35475597</v>
      </c>
      <c r="AE83" s="34">
        <v>0</v>
      </c>
      <c r="AF83" s="34">
        <v>0</v>
      </c>
      <c r="AG83" s="34">
        <v>0</v>
      </c>
      <c r="AH83" s="34">
        <v>0</v>
      </c>
      <c r="AI83" s="34">
        <v>0</v>
      </c>
      <c r="AJ83" s="18">
        <v>35475597</v>
      </c>
      <c r="AK83" s="34">
        <v>0</v>
      </c>
      <c r="AL83" s="34">
        <f>AM83-AGOSTO!AM83</f>
        <v>0</v>
      </c>
      <c r="AM83" s="34">
        <v>16248708</v>
      </c>
      <c r="AN83" s="34">
        <v>0</v>
      </c>
      <c r="AO83" s="34">
        <v>0</v>
      </c>
      <c r="AP83" s="18">
        <v>16248708</v>
      </c>
      <c r="AQ83" s="34">
        <v>0</v>
      </c>
      <c r="AR83" s="34">
        <v>0</v>
      </c>
      <c r="AS83" s="18">
        <v>16248708</v>
      </c>
      <c r="AT83" s="39">
        <f t="shared" si="38"/>
        <v>16248708</v>
      </c>
      <c r="AU83" s="18">
        <f t="shared" si="39"/>
        <v>19226889</v>
      </c>
      <c r="AV83" s="34">
        <f t="shared" si="40"/>
        <v>0</v>
      </c>
      <c r="AW83" s="34">
        <f t="shared" si="41"/>
        <v>0</v>
      </c>
      <c r="AX83" s="32">
        <f t="shared" si="20"/>
        <v>0.45802493471780054</v>
      </c>
    </row>
    <row r="84" spans="1:50" ht="18.75" customHeight="1" x14ac:dyDescent="0.2">
      <c r="A84" s="35" t="s">
        <v>55</v>
      </c>
      <c r="B84" s="36" t="s">
        <v>56</v>
      </c>
      <c r="C84" s="36"/>
      <c r="D84" s="36" t="s">
        <v>40</v>
      </c>
      <c r="E84" s="36"/>
      <c r="F84" s="36"/>
      <c r="G84" s="36" t="s">
        <v>41</v>
      </c>
      <c r="H84" s="36"/>
      <c r="I84" s="36" t="s">
        <v>936</v>
      </c>
      <c r="J84" s="36"/>
      <c r="K84" s="36" t="s">
        <v>932</v>
      </c>
      <c r="L84" s="36"/>
      <c r="M84" s="36" t="s">
        <v>933</v>
      </c>
      <c r="N84" s="36"/>
      <c r="O84" s="36" t="s">
        <v>938</v>
      </c>
      <c r="P84" s="36"/>
      <c r="Q84" s="36" t="s">
        <v>939</v>
      </c>
      <c r="R84" s="36"/>
      <c r="S84" s="36" t="s">
        <v>940</v>
      </c>
      <c r="T84" s="36">
        <v>0</v>
      </c>
      <c r="U84" s="36">
        <v>0</v>
      </c>
      <c r="V84" s="36">
        <v>0</v>
      </c>
      <c r="W84" s="36">
        <v>0</v>
      </c>
      <c r="X84" s="36" t="s">
        <v>937</v>
      </c>
      <c r="Y84" s="36"/>
      <c r="Z84" s="36"/>
      <c r="AA84" s="37" t="s">
        <v>172</v>
      </c>
      <c r="AB84" s="38" t="s">
        <v>173</v>
      </c>
      <c r="AC84" s="38" t="s">
        <v>58</v>
      </c>
      <c r="AD84" s="39">
        <v>49855036</v>
      </c>
      <c r="AE84" s="40">
        <v>0</v>
      </c>
      <c r="AF84" s="40">
        <v>0</v>
      </c>
      <c r="AG84" s="39">
        <v>72000000</v>
      </c>
      <c r="AI84" s="18">
        <f>AE84-AF84+AG84-AH84</f>
        <v>72000000</v>
      </c>
      <c r="AJ84" s="18">
        <f>AD84+AI84</f>
        <v>121855036</v>
      </c>
      <c r="AK84" s="40">
        <v>0</v>
      </c>
      <c r="AL84" s="18">
        <f>AM84-AGOSTO!AM84</f>
        <v>9188311</v>
      </c>
      <c r="AM84" s="39">
        <v>86121252</v>
      </c>
      <c r="AN84" s="40">
        <v>0</v>
      </c>
      <c r="AO84" s="18">
        <v>9188311</v>
      </c>
      <c r="AP84" s="39">
        <v>86121252</v>
      </c>
      <c r="AQ84" s="40">
        <v>0</v>
      </c>
      <c r="AR84" s="39">
        <v>9188311</v>
      </c>
      <c r="AS84" s="39">
        <v>76465965</v>
      </c>
      <c r="AT84" s="39">
        <f t="shared" si="38"/>
        <v>76465965</v>
      </c>
      <c r="AU84" s="18">
        <f t="shared" si="39"/>
        <v>35733784</v>
      </c>
      <c r="AV84" s="34">
        <f t="shared" si="40"/>
        <v>0</v>
      </c>
      <c r="AW84" s="18">
        <f t="shared" si="41"/>
        <v>9655287</v>
      </c>
      <c r="AX84" s="32">
        <f t="shared" si="20"/>
        <v>0.70675168484624629</v>
      </c>
    </row>
    <row r="85" spans="1:50" ht="18.75" customHeight="1" x14ac:dyDescent="0.2">
      <c r="A85" s="14" t="s">
        <v>55</v>
      </c>
      <c r="B85" s="15" t="s">
        <v>56</v>
      </c>
      <c r="C85" s="15"/>
      <c r="D85" s="15" t="s">
        <v>40</v>
      </c>
      <c r="E85" s="15"/>
      <c r="F85" s="15"/>
      <c r="G85" s="15" t="s">
        <v>41</v>
      </c>
      <c r="H85" s="15"/>
      <c r="I85" s="15" t="s">
        <v>936</v>
      </c>
      <c r="J85" s="15"/>
      <c r="K85" s="15" t="s">
        <v>932</v>
      </c>
      <c r="L85" s="15"/>
      <c r="M85" s="15" t="s">
        <v>933</v>
      </c>
      <c r="N85" s="15"/>
      <c r="O85" s="15" t="s">
        <v>938</v>
      </c>
      <c r="P85" s="15"/>
      <c r="Q85" s="15" t="s">
        <v>942</v>
      </c>
      <c r="R85" s="15"/>
      <c r="S85" s="15" t="s">
        <v>940</v>
      </c>
      <c r="T85" s="15">
        <v>0</v>
      </c>
      <c r="U85" s="15">
        <v>0</v>
      </c>
      <c r="V85" s="15">
        <v>0</v>
      </c>
      <c r="W85" s="15">
        <v>0</v>
      </c>
      <c r="X85" s="15" t="s">
        <v>937</v>
      </c>
      <c r="Y85" s="15"/>
      <c r="Z85" s="15"/>
      <c r="AA85" s="16" t="s">
        <v>174</v>
      </c>
      <c r="AB85" s="17" t="s">
        <v>175</v>
      </c>
      <c r="AC85" s="17" t="s">
        <v>58</v>
      </c>
      <c r="AD85" s="18">
        <v>300000000</v>
      </c>
      <c r="AE85" s="34">
        <v>0</v>
      </c>
      <c r="AF85" s="34">
        <v>0</v>
      </c>
      <c r="AG85" s="34">
        <v>0</v>
      </c>
      <c r="AH85" s="34">
        <v>0</v>
      </c>
      <c r="AI85" s="34">
        <v>0</v>
      </c>
      <c r="AJ85" s="18">
        <v>300000000</v>
      </c>
      <c r="AK85" s="34">
        <v>0</v>
      </c>
      <c r="AL85" s="18">
        <f>AM85-AGOSTO!AM85</f>
        <v>14233574</v>
      </c>
      <c r="AM85" s="18">
        <v>210990020</v>
      </c>
      <c r="AN85" s="34">
        <v>0</v>
      </c>
      <c r="AO85" s="18">
        <v>14233574</v>
      </c>
      <c r="AP85" s="18">
        <v>210990020</v>
      </c>
      <c r="AQ85" s="34">
        <v>0</v>
      </c>
      <c r="AR85" s="18">
        <v>14233574</v>
      </c>
      <c r="AS85" s="18">
        <v>210990020</v>
      </c>
      <c r="AT85" s="39">
        <f t="shared" si="38"/>
        <v>210990020</v>
      </c>
      <c r="AU85" s="18">
        <f t="shared" si="39"/>
        <v>89009980</v>
      </c>
      <c r="AV85" s="34">
        <f t="shared" si="40"/>
        <v>0</v>
      </c>
      <c r="AW85" s="34">
        <f t="shared" si="41"/>
        <v>0</v>
      </c>
      <c r="AX85" s="32">
        <f t="shared" si="20"/>
        <v>0.70330006666666667</v>
      </c>
    </row>
    <row r="86" spans="1:50" s="25" customFormat="1" ht="18.75" customHeight="1" x14ac:dyDescent="0.2">
      <c r="A86" s="19" t="s">
        <v>55</v>
      </c>
      <c r="B86" s="19" t="s">
        <v>56</v>
      </c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26" t="s">
        <v>176</v>
      </c>
      <c r="AB86" s="21" t="s">
        <v>177</v>
      </c>
      <c r="AC86" s="22" t="s">
        <v>37</v>
      </c>
      <c r="AD86" s="22">
        <f>AD87</f>
        <v>23932782621</v>
      </c>
      <c r="AE86" s="23">
        <f t="shared" ref="AE86:AW86" si="45">AE87</f>
        <v>0</v>
      </c>
      <c r="AF86" s="23">
        <f t="shared" si="45"/>
        <v>0</v>
      </c>
      <c r="AG86" s="22">
        <f t="shared" si="45"/>
        <v>5563692522</v>
      </c>
      <c r="AH86" s="22">
        <f t="shared" si="45"/>
        <v>2966500000</v>
      </c>
      <c r="AI86" s="22">
        <f>AI87</f>
        <v>2597192522</v>
      </c>
      <c r="AJ86" s="22">
        <f t="shared" si="45"/>
        <v>26529975143</v>
      </c>
      <c r="AK86" s="23">
        <f t="shared" si="45"/>
        <v>16698281</v>
      </c>
      <c r="AL86" s="22">
        <f t="shared" si="45"/>
        <v>1684302603.5900016</v>
      </c>
      <c r="AM86" s="22">
        <f t="shared" si="45"/>
        <v>24372596811.420002</v>
      </c>
      <c r="AN86" s="22">
        <f t="shared" si="45"/>
        <v>89132346</v>
      </c>
      <c r="AO86" s="22">
        <f t="shared" si="45"/>
        <v>1138476614.9799995</v>
      </c>
      <c r="AP86" s="22">
        <f t="shared" si="45"/>
        <v>22677064112.790001</v>
      </c>
      <c r="AQ86" s="108">
        <f t="shared" si="45"/>
        <v>626753380</v>
      </c>
      <c r="AR86" s="22">
        <f t="shared" si="45"/>
        <v>2290166190.73</v>
      </c>
      <c r="AS86" s="22">
        <f t="shared" si="45"/>
        <v>14142454541.370001</v>
      </c>
      <c r="AT86" s="22">
        <f t="shared" si="38"/>
        <v>14769207921.370001</v>
      </c>
      <c r="AU86" s="22">
        <f t="shared" si="45"/>
        <v>2157378331.5799985</v>
      </c>
      <c r="AV86" s="22">
        <f t="shared" si="45"/>
        <v>1695532698.630002</v>
      </c>
      <c r="AW86" s="22">
        <f t="shared" si="45"/>
        <v>7907856191.4199982</v>
      </c>
      <c r="AX86" s="24">
        <f t="shared" si="20"/>
        <v>0.85477140444186961</v>
      </c>
    </row>
    <row r="87" spans="1:50" s="25" customFormat="1" ht="18.75" customHeight="1" x14ac:dyDescent="0.2">
      <c r="A87" s="19" t="s">
        <v>55</v>
      </c>
      <c r="B87" s="19" t="s">
        <v>56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26" t="s">
        <v>178</v>
      </c>
      <c r="AB87" s="21" t="s">
        <v>179</v>
      </c>
      <c r="AC87" s="22" t="s">
        <v>37</v>
      </c>
      <c r="AD87" s="22">
        <f t="shared" ref="AD87:AS87" si="46">AD88+AD94</f>
        <v>23932782621</v>
      </c>
      <c r="AE87" s="23">
        <f t="shared" si="46"/>
        <v>0</v>
      </c>
      <c r="AF87" s="23">
        <f t="shared" si="46"/>
        <v>0</v>
      </c>
      <c r="AG87" s="22">
        <f t="shared" si="46"/>
        <v>5563692522</v>
      </c>
      <c r="AH87" s="22">
        <f t="shared" si="46"/>
        <v>2966500000</v>
      </c>
      <c r="AI87" s="22">
        <f t="shared" si="46"/>
        <v>2597192522</v>
      </c>
      <c r="AJ87" s="22">
        <f t="shared" si="46"/>
        <v>26529975143</v>
      </c>
      <c r="AK87" s="23">
        <f t="shared" si="46"/>
        <v>16698281</v>
      </c>
      <c r="AL87" s="22">
        <f t="shared" si="46"/>
        <v>1684302603.5900016</v>
      </c>
      <c r="AM87" s="22">
        <f t="shared" si="46"/>
        <v>24372596811.420002</v>
      </c>
      <c r="AN87" s="22">
        <f t="shared" si="46"/>
        <v>89132346</v>
      </c>
      <c r="AO87" s="22">
        <f t="shared" si="46"/>
        <v>1138476614.9799995</v>
      </c>
      <c r="AP87" s="22">
        <f t="shared" si="46"/>
        <v>22677064112.790001</v>
      </c>
      <c r="AQ87" s="108">
        <f t="shared" si="46"/>
        <v>626753380</v>
      </c>
      <c r="AR87" s="22">
        <f t="shared" si="46"/>
        <v>2290166190.73</v>
      </c>
      <c r="AS87" s="22">
        <f t="shared" si="46"/>
        <v>14142454541.370001</v>
      </c>
      <c r="AT87" s="22">
        <f t="shared" si="38"/>
        <v>14769207921.370001</v>
      </c>
      <c r="AU87" s="22">
        <f>AU88+AU94</f>
        <v>2157378331.5799985</v>
      </c>
      <c r="AV87" s="22">
        <f>AV88+AV94</f>
        <v>1695532698.630002</v>
      </c>
      <c r="AW87" s="22">
        <f>AW88+AW94</f>
        <v>7907856191.4199982</v>
      </c>
      <c r="AX87" s="24">
        <f t="shared" si="20"/>
        <v>0.85477140444186961</v>
      </c>
    </row>
    <row r="88" spans="1:50" s="25" customFormat="1" ht="18.75" customHeight="1" x14ac:dyDescent="0.2">
      <c r="A88" s="19" t="s">
        <v>55</v>
      </c>
      <c r="B88" s="19" t="s">
        <v>56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26" t="s">
        <v>180</v>
      </c>
      <c r="AB88" s="21" t="s">
        <v>181</v>
      </c>
      <c r="AC88" s="22" t="s">
        <v>37</v>
      </c>
      <c r="AD88" s="22">
        <f>AD89+AD90+AD91+AD92+AD93</f>
        <v>918000000</v>
      </c>
      <c r="AE88" s="23">
        <f t="shared" ref="AE88:AW88" si="47">AE89+AE90+AE91+AE92+AE93</f>
        <v>0</v>
      </c>
      <c r="AF88" s="23">
        <f t="shared" si="47"/>
        <v>0</v>
      </c>
      <c r="AG88" s="22">
        <f t="shared" si="47"/>
        <v>770697200</v>
      </c>
      <c r="AH88" s="22">
        <f t="shared" si="47"/>
        <v>376500000</v>
      </c>
      <c r="AI88" s="22">
        <f t="shared" si="47"/>
        <v>394197200</v>
      </c>
      <c r="AJ88" s="22">
        <f t="shared" si="47"/>
        <v>1312197200</v>
      </c>
      <c r="AK88" s="22">
        <f t="shared" si="47"/>
        <v>0</v>
      </c>
      <c r="AL88" s="22">
        <f t="shared" si="47"/>
        <v>-54403390.600000024</v>
      </c>
      <c r="AM88" s="22">
        <f t="shared" si="47"/>
        <v>1039422900.4</v>
      </c>
      <c r="AN88" s="23">
        <f t="shared" si="47"/>
        <v>0</v>
      </c>
      <c r="AO88" s="22">
        <f t="shared" si="47"/>
        <v>8118840</v>
      </c>
      <c r="AP88" s="22">
        <f t="shared" si="47"/>
        <v>684222900.39999998</v>
      </c>
      <c r="AQ88" s="22">
        <f t="shared" si="47"/>
        <v>0</v>
      </c>
      <c r="AR88" s="22">
        <f t="shared" si="47"/>
        <v>98293907.400000006</v>
      </c>
      <c r="AS88" s="22">
        <f t="shared" si="47"/>
        <v>427152612.57999998</v>
      </c>
      <c r="AT88" s="22">
        <f t="shared" si="47"/>
        <v>427152612.57999998</v>
      </c>
      <c r="AU88" s="22">
        <f t="shared" si="47"/>
        <v>272774299.60000002</v>
      </c>
      <c r="AV88" s="22">
        <f t="shared" si="47"/>
        <v>355200000</v>
      </c>
      <c r="AW88" s="22">
        <f t="shared" si="47"/>
        <v>257070287.81999999</v>
      </c>
      <c r="AX88" s="24">
        <f t="shared" si="20"/>
        <v>0.52143298309126096</v>
      </c>
    </row>
    <row r="89" spans="1:50" ht="29.25" customHeight="1" x14ac:dyDescent="0.2">
      <c r="A89" s="35" t="s">
        <v>55</v>
      </c>
      <c r="B89" s="36" t="s">
        <v>56</v>
      </c>
      <c r="C89" s="36"/>
      <c r="D89" s="36" t="s">
        <v>40</v>
      </c>
      <c r="E89" s="36"/>
      <c r="F89" s="36"/>
      <c r="G89" s="36" t="s">
        <v>41</v>
      </c>
      <c r="H89" s="36"/>
      <c r="I89" s="36" t="s">
        <v>936</v>
      </c>
      <c r="J89" s="36"/>
      <c r="K89" s="36" t="s">
        <v>932</v>
      </c>
      <c r="L89" s="36"/>
      <c r="M89" s="36" t="s">
        <v>933</v>
      </c>
      <c r="N89" s="36"/>
      <c r="O89" s="36" t="s">
        <v>938</v>
      </c>
      <c r="P89" s="36"/>
      <c r="Q89" s="36" t="s">
        <v>942</v>
      </c>
      <c r="R89" s="36"/>
      <c r="S89" s="36" t="s">
        <v>940</v>
      </c>
      <c r="T89" s="36">
        <v>0</v>
      </c>
      <c r="U89" s="36">
        <v>0</v>
      </c>
      <c r="V89" s="36">
        <v>0</v>
      </c>
      <c r="W89" s="36">
        <v>0</v>
      </c>
      <c r="X89" s="36" t="s">
        <v>937</v>
      </c>
      <c r="Y89" s="36"/>
      <c r="Z89" s="36"/>
      <c r="AA89" s="37" t="s">
        <v>182</v>
      </c>
      <c r="AB89" s="38" t="s">
        <v>183</v>
      </c>
      <c r="AC89" s="38" t="s">
        <v>58</v>
      </c>
      <c r="AD89" s="39">
        <v>50000000</v>
      </c>
      <c r="AE89" s="40">
        <v>0</v>
      </c>
      <c r="AF89" s="40">
        <v>0</v>
      </c>
      <c r="AG89" s="39">
        <v>70000000</v>
      </c>
      <c r="AH89" s="40">
        <v>0</v>
      </c>
      <c r="AI89" s="18">
        <f>AE89-AF89+AG89-AH89</f>
        <v>70000000</v>
      </c>
      <c r="AJ89" s="18">
        <f>AD89+AI89</f>
        <v>120000000</v>
      </c>
      <c r="AK89" s="40">
        <v>0</v>
      </c>
      <c r="AL89" s="39">
        <f>AM89-AGOSTO!AM89</f>
        <v>23980000</v>
      </c>
      <c r="AM89" s="39">
        <v>73980000</v>
      </c>
      <c r="AN89" s="40">
        <v>0</v>
      </c>
      <c r="AO89" s="39">
        <v>0</v>
      </c>
      <c r="AP89" s="39">
        <v>28980000</v>
      </c>
      <c r="AQ89" s="40">
        <v>0</v>
      </c>
      <c r="AR89" s="39">
        <v>28980000</v>
      </c>
      <c r="AS89" s="39">
        <v>28980000</v>
      </c>
      <c r="AT89" s="30">
        <f t="shared" si="38"/>
        <v>28980000</v>
      </c>
      <c r="AU89" s="18">
        <f>AJ89-AM89</f>
        <v>46020000</v>
      </c>
      <c r="AV89" s="18">
        <f>AM89-AP89</f>
        <v>45000000</v>
      </c>
      <c r="AW89" s="18">
        <f>AP89-AT89</f>
        <v>0</v>
      </c>
      <c r="AX89" s="32">
        <f t="shared" si="20"/>
        <v>0.24149999999999999</v>
      </c>
    </row>
    <row r="90" spans="1:50" ht="32.25" customHeight="1" x14ac:dyDescent="0.2">
      <c r="A90" s="14" t="s">
        <v>55</v>
      </c>
      <c r="B90" s="15" t="s">
        <v>56</v>
      </c>
      <c r="C90" s="15"/>
      <c r="D90" s="15" t="s">
        <v>40</v>
      </c>
      <c r="E90" s="15"/>
      <c r="F90" s="15"/>
      <c r="G90" s="15" t="s">
        <v>41</v>
      </c>
      <c r="H90" s="15"/>
      <c r="I90" s="15" t="s">
        <v>936</v>
      </c>
      <c r="J90" s="15"/>
      <c r="K90" s="15" t="s">
        <v>932</v>
      </c>
      <c r="L90" s="15"/>
      <c r="M90" s="15" t="s">
        <v>933</v>
      </c>
      <c r="N90" s="15"/>
      <c r="O90" s="15" t="s">
        <v>938</v>
      </c>
      <c r="P90" s="15"/>
      <c r="Q90" s="15" t="s">
        <v>942</v>
      </c>
      <c r="R90" s="15"/>
      <c r="S90" s="15" t="s">
        <v>940</v>
      </c>
      <c r="T90" s="15">
        <v>0</v>
      </c>
      <c r="U90" s="15">
        <v>0</v>
      </c>
      <c r="V90" s="15">
        <v>0</v>
      </c>
      <c r="W90" s="15">
        <v>0</v>
      </c>
      <c r="X90" s="15" t="s">
        <v>937</v>
      </c>
      <c r="Y90" s="15"/>
      <c r="Z90" s="15"/>
      <c r="AA90" s="16" t="s">
        <v>184</v>
      </c>
      <c r="AB90" s="17" t="s">
        <v>185</v>
      </c>
      <c r="AC90" s="17" t="s">
        <v>58</v>
      </c>
      <c r="AD90" s="18">
        <v>758000000</v>
      </c>
      <c r="AE90" s="34">
        <v>0</v>
      </c>
      <c r="AF90" s="34">
        <v>0</v>
      </c>
      <c r="AG90" s="18">
        <v>24197200</v>
      </c>
      <c r="AH90" s="34">
        <v>0</v>
      </c>
      <c r="AI90" s="18">
        <f>AE90-AF90+AG90-AH90</f>
        <v>24197200</v>
      </c>
      <c r="AJ90" s="18">
        <f>AD90+AI90</f>
        <v>782197200</v>
      </c>
      <c r="AK90" s="34">
        <v>0</v>
      </c>
      <c r="AL90" s="39">
        <f>AM90-AGOSTO!AM90</f>
        <v>-78383390.600000024</v>
      </c>
      <c r="AM90" s="18">
        <v>655442900.39999998</v>
      </c>
      <c r="AN90" s="34">
        <v>0</v>
      </c>
      <c r="AO90" s="18">
        <v>8118840</v>
      </c>
      <c r="AP90" s="18">
        <v>655242900.39999998</v>
      </c>
      <c r="AQ90" s="18">
        <v>0</v>
      </c>
      <c r="AR90" s="18">
        <v>69313907.400000006</v>
      </c>
      <c r="AS90" s="18">
        <v>398172612.57999998</v>
      </c>
      <c r="AT90" s="39">
        <f t="shared" si="38"/>
        <v>398172612.57999998</v>
      </c>
      <c r="AU90" s="18">
        <f>AJ90-AM90</f>
        <v>126754299.60000002</v>
      </c>
      <c r="AV90" s="18">
        <f>AM90-AP90</f>
        <v>200000</v>
      </c>
      <c r="AW90" s="18">
        <f>AP90-AT90</f>
        <v>257070287.81999999</v>
      </c>
      <c r="AX90" s="32">
        <f t="shared" si="20"/>
        <v>0.8376952773546108</v>
      </c>
    </row>
    <row r="91" spans="1:50" ht="23.25" customHeight="1" x14ac:dyDescent="0.2">
      <c r="A91" s="14" t="s">
        <v>55</v>
      </c>
      <c r="B91" s="15" t="s">
        <v>56</v>
      </c>
      <c r="C91" s="15"/>
      <c r="D91" s="15" t="s">
        <v>40</v>
      </c>
      <c r="E91" s="15"/>
      <c r="F91" s="15"/>
      <c r="G91" s="15" t="s">
        <v>41</v>
      </c>
      <c r="H91" s="15"/>
      <c r="I91" s="15" t="s">
        <v>936</v>
      </c>
      <c r="J91" s="15"/>
      <c r="K91" s="15" t="s">
        <v>932</v>
      </c>
      <c r="L91" s="15"/>
      <c r="M91" s="15" t="s">
        <v>933</v>
      </c>
      <c r="N91" s="15"/>
      <c r="O91" s="15" t="s">
        <v>938</v>
      </c>
      <c r="P91" s="15"/>
      <c r="Q91" s="15" t="s">
        <v>942</v>
      </c>
      <c r="R91" s="15"/>
      <c r="S91" s="15" t="s">
        <v>940</v>
      </c>
      <c r="T91" s="15">
        <v>0</v>
      </c>
      <c r="U91" s="15">
        <v>0</v>
      </c>
      <c r="V91" s="15">
        <v>0</v>
      </c>
      <c r="W91" s="15">
        <v>0</v>
      </c>
      <c r="X91" s="15" t="s">
        <v>937</v>
      </c>
      <c r="Y91" s="15"/>
      <c r="Z91" s="15"/>
      <c r="AA91" s="16" t="s">
        <v>186</v>
      </c>
      <c r="AB91" s="17" t="s">
        <v>187</v>
      </c>
      <c r="AC91" s="17" t="s">
        <v>58</v>
      </c>
      <c r="AD91" s="18">
        <v>110000000</v>
      </c>
      <c r="AE91" s="34">
        <v>0</v>
      </c>
      <c r="AF91" s="34">
        <v>0</v>
      </c>
      <c r="AG91" s="18">
        <v>300000000</v>
      </c>
      <c r="AH91" s="34">
        <v>0</v>
      </c>
      <c r="AI91" s="18">
        <f>AE91-AF91+AG91-AH91</f>
        <v>300000000</v>
      </c>
      <c r="AJ91" s="18">
        <f>AD91+AI91</f>
        <v>410000000</v>
      </c>
      <c r="AK91" s="34">
        <v>0</v>
      </c>
      <c r="AL91" s="40">
        <f>AM91-AGOSTO!AM91</f>
        <v>0</v>
      </c>
      <c r="AM91" s="18">
        <v>310000000</v>
      </c>
      <c r="AN91" s="34">
        <v>0</v>
      </c>
      <c r="AO91" s="34">
        <v>0</v>
      </c>
      <c r="AP91" s="34">
        <v>0</v>
      </c>
      <c r="AQ91" s="34">
        <v>0</v>
      </c>
      <c r="AR91" s="34">
        <v>0</v>
      </c>
      <c r="AS91" s="34">
        <v>0</v>
      </c>
      <c r="AT91" s="31">
        <f t="shared" si="38"/>
        <v>0</v>
      </c>
      <c r="AU91" s="18">
        <f>AJ91-AM91</f>
        <v>100000000</v>
      </c>
      <c r="AV91" s="18">
        <f>AM91-AP91</f>
        <v>310000000</v>
      </c>
      <c r="AW91" s="34">
        <f>AP91-AT91</f>
        <v>0</v>
      </c>
      <c r="AX91" s="32">
        <f t="shared" si="20"/>
        <v>0</v>
      </c>
    </row>
    <row r="92" spans="1:50" ht="39" customHeight="1" x14ac:dyDescent="0.2">
      <c r="A92" s="14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41" t="s">
        <v>1269</v>
      </c>
      <c r="AB92" s="17" t="s">
        <v>1267</v>
      </c>
      <c r="AC92" s="17"/>
      <c r="AD92" s="34">
        <v>0</v>
      </c>
      <c r="AE92" s="34">
        <v>0</v>
      </c>
      <c r="AF92" s="34">
        <v>0</v>
      </c>
      <c r="AG92" s="18">
        <v>37500000</v>
      </c>
      <c r="AH92" s="18">
        <v>37500000</v>
      </c>
      <c r="AI92" s="18">
        <f>AE92-AF92+AG92-AH92</f>
        <v>0</v>
      </c>
      <c r="AJ92" s="34">
        <f>AD92+AI92</f>
        <v>0</v>
      </c>
      <c r="AK92" s="34">
        <v>0</v>
      </c>
      <c r="AL92" s="40">
        <f>AM92-AGOSTO!AM92</f>
        <v>0</v>
      </c>
      <c r="AM92" s="34">
        <v>0</v>
      </c>
      <c r="AN92" s="34">
        <v>0</v>
      </c>
      <c r="AO92" s="34">
        <v>0</v>
      </c>
      <c r="AP92" s="34">
        <v>0</v>
      </c>
      <c r="AQ92" s="34">
        <v>0</v>
      </c>
      <c r="AR92" s="34">
        <v>0</v>
      </c>
      <c r="AS92" s="34">
        <v>0</v>
      </c>
      <c r="AT92" s="31">
        <f t="shared" si="38"/>
        <v>0</v>
      </c>
      <c r="AU92" s="34">
        <f t="shared" ref="AU92:AU93" si="48">AJ92-AM92</f>
        <v>0</v>
      </c>
      <c r="AV92" s="34">
        <f t="shared" ref="AV92:AV93" si="49">AM92-AP92</f>
        <v>0</v>
      </c>
      <c r="AW92" s="34">
        <f t="shared" ref="AW92:AW93" si="50">AP92-AT92</f>
        <v>0</v>
      </c>
      <c r="AX92" s="32">
        <v>0</v>
      </c>
    </row>
    <row r="93" spans="1:50" ht="31.5" customHeight="1" x14ac:dyDescent="0.2">
      <c r="A93" s="14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41" t="s">
        <v>1270</v>
      </c>
      <c r="AB93" s="17" t="s">
        <v>1268</v>
      </c>
      <c r="AC93" s="17"/>
      <c r="AD93" s="34">
        <v>0</v>
      </c>
      <c r="AE93" s="34">
        <v>0</v>
      </c>
      <c r="AF93" s="34">
        <v>0</v>
      </c>
      <c r="AG93" s="39">
        <f>260000000+79000000</f>
        <v>339000000</v>
      </c>
      <c r="AH93" s="43">
        <f>260000000+79000000</f>
        <v>339000000</v>
      </c>
      <c r="AI93" s="18">
        <f t="shared" ref="AI93" si="51">AE93-AF93+AG93-AH93</f>
        <v>0</v>
      </c>
      <c r="AJ93" s="34">
        <f t="shared" ref="AJ93" si="52">AD93+AI93</f>
        <v>0</v>
      </c>
      <c r="AK93" s="34">
        <v>0</v>
      </c>
      <c r="AL93" s="40">
        <f>AM93-AGOSTO!AM93</f>
        <v>0</v>
      </c>
      <c r="AM93" s="34">
        <v>0</v>
      </c>
      <c r="AN93" s="34">
        <v>0</v>
      </c>
      <c r="AO93" s="34">
        <v>0</v>
      </c>
      <c r="AP93" s="34">
        <v>0</v>
      </c>
      <c r="AQ93" s="34">
        <v>0</v>
      </c>
      <c r="AR93" s="34">
        <v>0</v>
      </c>
      <c r="AS93" s="34">
        <v>0</v>
      </c>
      <c r="AT93" s="31">
        <f t="shared" si="38"/>
        <v>0</v>
      </c>
      <c r="AU93" s="34">
        <f t="shared" si="48"/>
        <v>0</v>
      </c>
      <c r="AV93" s="34">
        <f t="shared" si="49"/>
        <v>0</v>
      </c>
      <c r="AW93" s="34">
        <f t="shared" si="50"/>
        <v>0</v>
      </c>
      <c r="AX93" s="32">
        <v>0</v>
      </c>
    </row>
    <row r="94" spans="1:50" s="25" customFormat="1" ht="18.75" customHeight="1" x14ac:dyDescent="0.2">
      <c r="A94" s="19" t="s">
        <v>55</v>
      </c>
      <c r="B94" s="19" t="s">
        <v>56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26" t="s">
        <v>188</v>
      </c>
      <c r="AB94" s="21" t="s">
        <v>189</v>
      </c>
      <c r="AC94" s="22" t="s">
        <v>56</v>
      </c>
      <c r="AD94" s="22">
        <f>SUM(AD95:AD100)</f>
        <v>23014782621</v>
      </c>
      <c r="AE94" s="23">
        <f t="shared" ref="AE94:AW94" si="53">SUM(AE95:AE100)</f>
        <v>0</v>
      </c>
      <c r="AF94" s="23">
        <f t="shared" si="53"/>
        <v>0</v>
      </c>
      <c r="AG94" s="22">
        <f>SUM(AG95:AG100)</f>
        <v>4792995322</v>
      </c>
      <c r="AH94" s="22">
        <f>SUM(AH95:AH100)</f>
        <v>2590000000</v>
      </c>
      <c r="AI94" s="22">
        <f>SUM(AI95:AI100)</f>
        <v>2202995322</v>
      </c>
      <c r="AJ94" s="22">
        <f>SUM(AJ95:AJ100)</f>
        <v>25217777943</v>
      </c>
      <c r="AK94" s="22">
        <f t="shared" si="53"/>
        <v>16698281</v>
      </c>
      <c r="AL94" s="22">
        <f t="shared" si="53"/>
        <v>1738705994.1900015</v>
      </c>
      <c r="AM94" s="22">
        <f t="shared" si="53"/>
        <v>23333173911.02</v>
      </c>
      <c r="AN94" s="22">
        <f t="shared" si="53"/>
        <v>89132346</v>
      </c>
      <c r="AO94" s="22">
        <f t="shared" si="53"/>
        <v>1130357774.9799995</v>
      </c>
      <c r="AP94" s="22">
        <f t="shared" si="53"/>
        <v>21992841212.389999</v>
      </c>
      <c r="AQ94" s="22">
        <f t="shared" si="53"/>
        <v>626753380</v>
      </c>
      <c r="AR94" s="22">
        <f t="shared" si="53"/>
        <v>2191872283.3299999</v>
      </c>
      <c r="AS94" s="22">
        <f t="shared" si="53"/>
        <v>13715301928.790001</v>
      </c>
      <c r="AT94" s="22">
        <f>AQ94+AS94</f>
        <v>14342055308.790001</v>
      </c>
      <c r="AU94" s="22">
        <f t="shared" si="53"/>
        <v>1884604031.9799986</v>
      </c>
      <c r="AV94" s="22">
        <f t="shared" si="53"/>
        <v>1340332698.630002</v>
      </c>
      <c r="AW94" s="22">
        <f t="shared" si="53"/>
        <v>7650785903.5999985</v>
      </c>
      <c r="AX94" s="24">
        <f t="shared" si="20"/>
        <v>0.87211653866175842</v>
      </c>
    </row>
    <row r="95" spans="1:50" ht="18.75" customHeight="1" x14ac:dyDescent="0.2">
      <c r="A95" s="14" t="s">
        <v>55</v>
      </c>
      <c r="B95" s="15" t="s">
        <v>56</v>
      </c>
      <c r="C95" s="15"/>
      <c r="D95" s="15" t="s">
        <v>40</v>
      </c>
      <c r="E95" s="15"/>
      <c r="F95" s="15"/>
      <c r="G95" s="15" t="s">
        <v>41</v>
      </c>
      <c r="H95" s="15"/>
      <c r="I95" s="15" t="s">
        <v>936</v>
      </c>
      <c r="J95" s="15"/>
      <c r="K95" s="15" t="s">
        <v>932</v>
      </c>
      <c r="L95" s="15"/>
      <c r="M95" s="15" t="s">
        <v>933</v>
      </c>
      <c r="N95" s="15"/>
      <c r="O95" s="15" t="s">
        <v>938</v>
      </c>
      <c r="P95" s="15"/>
      <c r="Q95" s="15" t="s">
        <v>942</v>
      </c>
      <c r="R95" s="15"/>
      <c r="S95" s="15" t="s">
        <v>940</v>
      </c>
      <c r="T95" s="15">
        <v>0</v>
      </c>
      <c r="U95" s="15">
        <v>0</v>
      </c>
      <c r="V95" s="15">
        <v>0</v>
      </c>
      <c r="W95" s="15">
        <v>0</v>
      </c>
      <c r="X95" s="15" t="s">
        <v>937</v>
      </c>
      <c r="Y95" s="15"/>
      <c r="Z95" s="15"/>
      <c r="AA95" s="16" t="s">
        <v>190</v>
      </c>
      <c r="AB95" s="17" t="s">
        <v>191</v>
      </c>
      <c r="AC95" s="17" t="s">
        <v>58</v>
      </c>
      <c r="AD95" s="18">
        <v>200000000</v>
      </c>
      <c r="AE95" s="34">
        <v>0</v>
      </c>
      <c r="AF95" s="34">
        <v>0</v>
      </c>
      <c r="AG95" s="34">
        <v>0</v>
      </c>
      <c r="AH95" s="18">
        <f>90000000+20000000</f>
        <v>110000000</v>
      </c>
      <c r="AI95" s="18">
        <f t="shared" ref="AI95:AI100" si="54">AE95-AF95+AG95-AH95</f>
        <v>-110000000</v>
      </c>
      <c r="AJ95" s="18">
        <f t="shared" ref="AJ95:AJ100" si="55">AD95+AI95</f>
        <v>90000000</v>
      </c>
      <c r="AK95" s="34">
        <v>0</v>
      </c>
      <c r="AL95" s="34">
        <f>AM95-AGOSTO!AM95</f>
        <v>0</v>
      </c>
      <c r="AM95" s="18">
        <v>77224700</v>
      </c>
      <c r="AN95" s="34">
        <v>0</v>
      </c>
      <c r="AO95" s="34">
        <v>0</v>
      </c>
      <c r="AP95" s="34">
        <v>0</v>
      </c>
      <c r="AQ95" s="34">
        <v>0</v>
      </c>
      <c r="AR95" s="34">
        <v>0</v>
      </c>
      <c r="AS95" s="34">
        <v>0</v>
      </c>
      <c r="AT95" s="31">
        <f t="shared" ref="AT95:AT116" si="56">AQ95+AS95</f>
        <v>0</v>
      </c>
      <c r="AU95" s="18">
        <f t="shared" ref="AU95:AU100" si="57">AJ95-AM95</f>
        <v>12775300</v>
      </c>
      <c r="AV95" s="18">
        <f t="shared" ref="AV95:AV100" si="58">AM95-AP95</f>
        <v>77224700</v>
      </c>
      <c r="AW95" s="34">
        <f t="shared" ref="AW95:AW100" si="59">AP95-AT95</f>
        <v>0</v>
      </c>
      <c r="AX95" s="32">
        <f t="shared" si="20"/>
        <v>0</v>
      </c>
    </row>
    <row r="96" spans="1:50" ht="27.75" customHeight="1" x14ac:dyDescent="0.2">
      <c r="A96" s="35" t="s">
        <v>55</v>
      </c>
      <c r="B96" s="36" t="s">
        <v>56</v>
      </c>
      <c r="C96" s="36"/>
      <c r="D96" s="36" t="s">
        <v>40</v>
      </c>
      <c r="E96" s="36"/>
      <c r="F96" s="36"/>
      <c r="G96" s="36" t="s">
        <v>41</v>
      </c>
      <c r="H96" s="36"/>
      <c r="I96" s="36" t="s">
        <v>936</v>
      </c>
      <c r="J96" s="36"/>
      <c r="K96" s="36" t="s">
        <v>932</v>
      </c>
      <c r="L96" s="36"/>
      <c r="M96" s="36" t="s">
        <v>933</v>
      </c>
      <c r="N96" s="36"/>
      <c r="O96" s="36" t="s">
        <v>938</v>
      </c>
      <c r="P96" s="36"/>
      <c r="Q96" s="36" t="s">
        <v>942</v>
      </c>
      <c r="R96" s="36"/>
      <c r="S96" s="36" t="s">
        <v>940</v>
      </c>
      <c r="T96" s="36">
        <v>0</v>
      </c>
      <c r="U96" s="36">
        <v>0</v>
      </c>
      <c r="V96" s="36">
        <v>0</v>
      </c>
      <c r="W96" s="36">
        <v>0</v>
      </c>
      <c r="X96" s="36" t="s">
        <v>937</v>
      </c>
      <c r="Y96" s="36"/>
      <c r="Z96" s="36"/>
      <c r="AA96" s="37" t="s">
        <v>192</v>
      </c>
      <c r="AB96" s="38" t="s">
        <v>193</v>
      </c>
      <c r="AC96" s="38" t="s">
        <v>58</v>
      </c>
      <c r="AD96" s="39">
        <v>1740000000</v>
      </c>
      <c r="AE96" s="40">
        <v>0</v>
      </c>
      <c r="AF96" s="40">
        <v>0</v>
      </c>
      <c r="AG96" s="39">
        <f>200000000+37500000+79000000</f>
        <v>316500000</v>
      </c>
      <c r="AH96" s="39">
        <v>490000000</v>
      </c>
      <c r="AI96" s="18">
        <f t="shared" si="54"/>
        <v>-173500000</v>
      </c>
      <c r="AJ96" s="18">
        <f t="shared" si="55"/>
        <v>1566500000</v>
      </c>
      <c r="AK96" s="40">
        <v>0</v>
      </c>
      <c r="AL96" s="18">
        <f>AM96-AGOSTO!AM96</f>
        <v>4045693</v>
      </c>
      <c r="AM96" s="39">
        <v>1155441948</v>
      </c>
      <c r="AN96" s="40">
        <v>0</v>
      </c>
      <c r="AO96" s="18">
        <f>AP96-AGOSTO!AP96</f>
        <v>4045693</v>
      </c>
      <c r="AP96" s="39">
        <v>1155141948</v>
      </c>
      <c r="AQ96" s="40">
        <v>0</v>
      </c>
      <c r="AR96" s="18">
        <v>4035193</v>
      </c>
      <c r="AS96" s="39">
        <v>670144387.91999996</v>
      </c>
      <c r="AT96" s="30">
        <f t="shared" si="56"/>
        <v>670144387.91999996</v>
      </c>
      <c r="AU96" s="18">
        <f t="shared" si="57"/>
        <v>411058052</v>
      </c>
      <c r="AV96" s="18">
        <f t="shared" si="58"/>
        <v>300000</v>
      </c>
      <c r="AW96" s="18">
        <f t="shared" si="59"/>
        <v>484997560.08000004</v>
      </c>
      <c r="AX96" s="32">
        <f t="shared" si="20"/>
        <v>0.73740309479731891</v>
      </c>
    </row>
    <row r="97" spans="1:50" ht="27.75" customHeight="1" x14ac:dyDescent="0.2">
      <c r="A97" s="35" t="s">
        <v>55</v>
      </c>
      <c r="B97" s="36" t="s">
        <v>56</v>
      </c>
      <c r="C97" s="36"/>
      <c r="D97" s="36" t="s">
        <v>40</v>
      </c>
      <c r="E97" s="36"/>
      <c r="F97" s="36"/>
      <c r="G97" s="36" t="s">
        <v>41</v>
      </c>
      <c r="H97" s="36"/>
      <c r="I97" s="36" t="s">
        <v>936</v>
      </c>
      <c r="J97" s="36"/>
      <c r="K97" s="36" t="s">
        <v>932</v>
      </c>
      <c r="L97" s="36"/>
      <c r="M97" s="36" t="s">
        <v>933</v>
      </c>
      <c r="N97" s="36"/>
      <c r="O97" s="36" t="s">
        <v>938</v>
      </c>
      <c r="P97" s="36"/>
      <c r="Q97" s="36" t="s">
        <v>942</v>
      </c>
      <c r="R97" s="36"/>
      <c r="S97" s="36" t="s">
        <v>940</v>
      </c>
      <c r="T97" s="36">
        <v>0</v>
      </c>
      <c r="U97" s="36">
        <v>0</v>
      </c>
      <c r="V97" s="36">
        <v>0</v>
      </c>
      <c r="W97" s="36">
        <v>0</v>
      </c>
      <c r="X97" s="36" t="s">
        <v>937</v>
      </c>
      <c r="Y97" s="36"/>
      <c r="Z97" s="36"/>
      <c r="AA97" s="37" t="s">
        <v>194</v>
      </c>
      <c r="AB97" s="38" t="s">
        <v>195</v>
      </c>
      <c r="AC97" s="38" t="s">
        <v>58</v>
      </c>
      <c r="AD97" s="39">
        <v>3623000000</v>
      </c>
      <c r="AE97" s="40">
        <v>0</v>
      </c>
      <c r="AF97" s="40">
        <v>0</v>
      </c>
      <c r="AG97" s="33">
        <v>260000000</v>
      </c>
      <c r="AH97" s="39">
        <v>10000000</v>
      </c>
      <c r="AI97" s="18">
        <f t="shared" si="54"/>
        <v>250000000</v>
      </c>
      <c r="AJ97" s="18">
        <f t="shared" si="55"/>
        <v>3873000000</v>
      </c>
      <c r="AK97" s="40">
        <v>0</v>
      </c>
      <c r="AL97" s="18">
        <f>AM97-AGOSTO!AM97</f>
        <v>29717781</v>
      </c>
      <c r="AM97" s="39">
        <v>3677689544</v>
      </c>
      <c r="AN97" s="40">
        <v>0</v>
      </c>
      <c r="AO97" s="18">
        <f>AP97-AGOSTO!AP97</f>
        <v>42792851</v>
      </c>
      <c r="AP97" s="39">
        <v>3676074811</v>
      </c>
      <c r="AQ97" s="40">
        <v>0</v>
      </c>
      <c r="AR97" s="18">
        <v>42792851</v>
      </c>
      <c r="AS97" s="39">
        <v>3304876575</v>
      </c>
      <c r="AT97" s="30">
        <f t="shared" si="56"/>
        <v>3304876575</v>
      </c>
      <c r="AU97" s="18">
        <f t="shared" si="57"/>
        <v>195310456</v>
      </c>
      <c r="AV97" s="18">
        <f t="shared" si="58"/>
        <v>1614733</v>
      </c>
      <c r="AW97" s="18">
        <f t="shared" si="59"/>
        <v>371198236</v>
      </c>
      <c r="AX97" s="32">
        <f t="shared" si="20"/>
        <v>0.94915435347276012</v>
      </c>
    </row>
    <row r="98" spans="1:50" ht="25.5" customHeight="1" x14ac:dyDescent="0.2">
      <c r="A98" s="14" t="s">
        <v>55</v>
      </c>
      <c r="B98" s="15" t="s">
        <v>56</v>
      </c>
      <c r="C98" s="15"/>
      <c r="D98" s="15" t="s">
        <v>40</v>
      </c>
      <c r="E98" s="15"/>
      <c r="F98" s="15"/>
      <c r="G98" s="15" t="s">
        <v>41</v>
      </c>
      <c r="H98" s="15"/>
      <c r="I98" s="15" t="s">
        <v>936</v>
      </c>
      <c r="J98" s="15"/>
      <c r="K98" s="15" t="s">
        <v>932</v>
      </c>
      <c r="L98" s="15"/>
      <c r="M98" s="15" t="s">
        <v>933</v>
      </c>
      <c r="N98" s="15"/>
      <c r="O98" s="15" t="s">
        <v>938</v>
      </c>
      <c r="P98" s="15"/>
      <c r="Q98" s="15" t="s">
        <v>942</v>
      </c>
      <c r="R98" s="15"/>
      <c r="S98" s="15" t="s">
        <v>940</v>
      </c>
      <c r="T98" s="15">
        <v>0</v>
      </c>
      <c r="U98" s="15">
        <v>0</v>
      </c>
      <c r="V98" s="15">
        <v>0</v>
      </c>
      <c r="W98" s="15">
        <v>0</v>
      </c>
      <c r="X98" s="15" t="s">
        <v>937</v>
      </c>
      <c r="Y98" s="15"/>
      <c r="Z98" s="15"/>
      <c r="AA98" s="134" t="s">
        <v>196</v>
      </c>
      <c r="AB98" s="70" t="s">
        <v>197</v>
      </c>
      <c r="AC98" s="17" t="s">
        <v>58</v>
      </c>
      <c r="AD98" s="18">
        <v>17003782621</v>
      </c>
      <c r="AE98" s="34">
        <v>0</v>
      </c>
      <c r="AF98" s="34">
        <v>0</v>
      </c>
      <c r="AG98" s="18">
        <f>1580000000+150000000+300000000+34200000+795800000+880000000</f>
        <v>3740000000</v>
      </c>
      <c r="AH98" s="18">
        <f>1000000000+450000000+300000000+34200000+195800000</f>
        <v>1980000000</v>
      </c>
      <c r="AI98" s="18">
        <f t="shared" si="54"/>
        <v>1760000000</v>
      </c>
      <c r="AJ98" s="18">
        <f t="shared" si="55"/>
        <v>18763782621</v>
      </c>
      <c r="AK98" s="18">
        <v>16698281</v>
      </c>
      <c r="AL98" s="18">
        <f>AM98-AGOSTO!AM98</f>
        <v>1221948469.2300014</v>
      </c>
      <c r="AM98" s="110">
        <v>17775437057.560001</v>
      </c>
      <c r="AN98" s="18">
        <v>84110000</v>
      </c>
      <c r="AO98" s="18">
        <f>AP98-AGOSTO!AP98</f>
        <v>1058091272.9799995</v>
      </c>
      <c r="AP98" s="18">
        <v>16979412052.889999</v>
      </c>
      <c r="AQ98" s="18">
        <v>623409097</v>
      </c>
      <c r="AR98" s="18">
        <v>2120267825.3299999</v>
      </c>
      <c r="AS98" s="18">
        <v>9625679085.3700008</v>
      </c>
      <c r="AT98" s="30">
        <f t="shared" si="56"/>
        <v>10249088182.370001</v>
      </c>
      <c r="AU98" s="18">
        <f t="shared" si="57"/>
        <v>988345563.43999863</v>
      </c>
      <c r="AV98" s="18">
        <f t="shared" si="58"/>
        <v>796025004.67000198</v>
      </c>
      <c r="AW98" s="18">
        <f t="shared" si="59"/>
        <v>6730323870.5199986</v>
      </c>
      <c r="AX98" s="32">
        <f t="shared" si="20"/>
        <v>0.90490347260189563</v>
      </c>
    </row>
    <row r="99" spans="1:50" ht="18.75" customHeight="1" x14ac:dyDescent="0.2">
      <c r="A99" s="14" t="s">
        <v>55</v>
      </c>
      <c r="B99" s="15" t="s">
        <v>56</v>
      </c>
      <c r="C99" s="15"/>
      <c r="D99" s="15" t="s">
        <v>40</v>
      </c>
      <c r="E99" s="15"/>
      <c r="F99" s="15"/>
      <c r="G99" s="15" t="s">
        <v>41</v>
      </c>
      <c r="H99" s="15"/>
      <c r="I99" s="15" t="s">
        <v>936</v>
      </c>
      <c r="J99" s="15"/>
      <c r="K99" s="15" t="s">
        <v>932</v>
      </c>
      <c r="L99" s="15"/>
      <c r="M99" s="15" t="s">
        <v>933</v>
      </c>
      <c r="N99" s="15"/>
      <c r="O99" s="15" t="s">
        <v>938</v>
      </c>
      <c r="P99" s="15"/>
      <c r="Q99" s="15" t="s">
        <v>942</v>
      </c>
      <c r="R99" s="15"/>
      <c r="S99" s="15" t="s">
        <v>940</v>
      </c>
      <c r="T99" s="15">
        <v>0</v>
      </c>
      <c r="U99" s="15">
        <v>0</v>
      </c>
      <c r="V99" s="15">
        <v>0</v>
      </c>
      <c r="W99" s="15">
        <v>0</v>
      </c>
      <c r="X99" s="15" t="s">
        <v>937</v>
      </c>
      <c r="Y99" s="15"/>
      <c r="Z99" s="15"/>
      <c r="AA99" s="16" t="s">
        <v>198</v>
      </c>
      <c r="AB99" s="17" t="s">
        <v>199</v>
      </c>
      <c r="AC99" s="17" t="s">
        <v>58</v>
      </c>
      <c r="AD99" s="18">
        <v>348000000</v>
      </c>
      <c r="AE99" s="34">
        <v>0</v>
      </c>
      <c r="AF99" s="34">
        <v>0</v>
      </c>
      <c r="AG99" s="18">
        <v>456495322</v>
      </c>
      <c r="AH99" s="34">
        <v>0</v>
      </c>
      <c r="AI99" s="18">
        <f t="shared" si="54"/>
        <v>456495322</v>
      </c>
      <c r="AJ99" s="18">
        <f t="shared" si="55"/>
        <v>804495322</v>
      </c>
      <c r="AK99" s="34">
        <v>0</v>
      </c>
      <c r="AL99" s="18">
        <f>AM99-AGOSTO!AM99</f>
        <v>457152658.96000004</v>
      </c>
      <c r="AM99" s="110">
        <v>542152658.96000004</v>
      </c>
      <c r="AN99" s="34">
        <v>0</v>
      </c>
      <c r="AO99" s="18">
        <f>AP99-AGOSTO!AP99</f>
        <v>0</v>
      </c>
      <c r="AP99" s="18">
        <v>85000000</v>
      </c>
      <c r="AQ99" s="34">
        <v>0</v>
      </c>
      <c r="AR99" s="18">
        <v>0</v>
      </c>
      <c r="AS99" s="18">
        <v>29999996</v>
      </c>
      <c r="AT99" s="30">
        <f t="shared" si="56"/>
        <v>29999996</v>
      </c>
      <c r="AU99" s="18">
        <f t="shared" si="57"/>
        <v>262342663.03999996</v>
      </c>
      <c r="AV99" s="34">
        <f t="shared" si="58"/>
        <v>457152658.96000004</v>
      </c>
      <c r="AW99" s="18">
        <f t="shared" si="59"/>
        <v>55000004</v>
      </c>
      <c r="AX99" s="32">
        <f t="shared" si="20"/>
        <v>0.10565630113135699</v>
      </c>
    </row>
    <row r="100" spans="1:50" ht="18.75" customHeight="1" x14ac:dyDescent="0.2">
      <c r="A100" s="14" t="s">
        <v>55</v>
      </c>
      <c r="B100" s="15" t="s">
        <v>56</v>
      </c>
      <c r="C100" s="15"/>
      <c r="D100" s="15" t="s">
        <v>40</v>
      </c>
      <c r="E100" s="15"/>
      <c r="F100" s="15"/>
      <c r="G100" s="15" t="s">
        <v>41</v>
      </c>
      <c r="H100" s="15"/>
      <c r="I100" s="15" t="s">
        <v>936</v>
      </c>
      <c r="J100" s="15"/>
      <c r="K100" s="15" t="s">
        <v>932</v>
      </c>
      <c r="L100" s="15"/>
      <c r="M100" s="15" t="s">
        <v>933</v>
      </c>
      <c r="N100" s="15"/>
      <c r="O100" s="15" t="s">
        <v>938</v>
      </c>
      <c r="P100" s="15"/>
      <c r="Q100" s="15" t="s">
        <v>942</v>
      </c>
      <c r="R100" s="15"/>
      <c r="S100" s="15" t="s">
        <v>940</v>
      </c>
      <c r="T100" s="15">
        <v>0</v>
      </c>
      <c r="U100" s="15">
        <v>0</v>
      </c>
      <c r="V100" s="15">
        <v>0</v>
      </c>
      <c r="W100" s="15">
        <v>0</v>
      </c>
      <c r="X100" s="15" t="s">
        <v>937</v>
      </c>
      <c r="Y100" s="15"/>
      <c r="Z100" s="15"/>
      <c r="AA100" s="16" t="s">
        <v>200</v>
      </c>
      <c r="AB100" s="17" t="s">
        <v>201</v>
      </c>
      <c r="AC100" s="17" t="s">
        <v>58</v>
      </c>
      <c r="AD100" s="18">
        <v>100000000</v>
      </c>
      <c r="AE100" s="34">
        <v>0</v>
      </c>
      <c r="AF100" s="34">
        <v>0</v>
      </c>
      <c r="AG100" s="18">
        <v>20000000</v>
      </c>
      <c r="AH100" s="34">
        <v>0</v>
      </c>
      <c r="AI100" s="18">
        <f t="shared" si="54"/>
        <v>20000000</v>
      </c>
      <c r="AJ100" s="18">
        <f t="shared" si="55"/>
        <v>120000000</v>
      </c>
      <c r="AK100" s="34">
        <v>0</v>
      </c>
      <c r="AL100" s="18">
        <f>AM100-AGOSTO!AM100</f>
        <v>25841392</v>
      </c>
      <c r="AM100" s="110">
        <v>105228002.5</v>
      </c>
      <c r="AN100" s="18">
        <v>5022346</v>
      </c>
      <c r="AO100" s="18">
        <f>AP100-AGOSTO!AP100</f>
        <v>25427958</v>
      </c>
      <c r="AP100" s="18">
        <v>97212400.5</v>
      </c>
      <c r="AQ100" s="34">
        <v>3344283</v>
      </c>
      <c r="AR100" s="18">
        <v>24776414</v>
      </c>
      <c r="AS100" s="18">
        <v>84601884.5</v>
      </c>
      <c r="AT100" s="30">
        <f t="shared" si="56"/>
        <v>87946167.5</v>
      </c>
      <c r="AU100" s="18">
        <f t="shared" si="57"/>
        <v>14771997.5</v>
      </c>
      <c r="AV100" s="18">
        <f t="shared" si="58"/>
        <v>8015602</v>
      </c>
      <c r="AW100" s="18">
        <f t="shared" si="59"/>
        <v>9266233</v>
      </c>
      <c r="AX100" s="32">
        <f t="shared" si="20"/>
        <v>0.81010333749999996</v>
      </c>
    </row>
    <row r="101" spans="1:50" s="25" customFormat="1" ht="18.75" customHeight="1" x14ac:dyDescent="0.2">
      <c r="A101" s="19" t="s">
        <v>37</v>
      </c>
      <c r="B101" s="19" t="s">
        <v>37</v>
      </c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26" t="s">
        <v>868</v>
      </c>
      <c r="AB101" s="21" t="s">
        <v>202</v>
      </c>
      <c r="AC101" s="22" t="s">
        <v>37</v>
      </c>
      <c r="AD101" s="22">
        <f t="shared" ref="AD101:AS101" si="60">AD102+AD123+AD139</f>
        <v>113142608950</v>
      </c>
      <c r="AE101" s="23">
        <f t="shared" si="60"/>
        <v>432574880.49000001</v>
      </c>
      <c r="AF101" s="23">
        <f t="shared" si="60"/>
        <v>0</v>
      </c>
      <c r="AG101" s="22">
        <f t="shared" si="60"/>
        <v>3634200000</v>
      </c>
      <c r="AH101" s="22">
        <f t="shared" si="60"/>
        <v>5256448768.7200003</v>
      </c>
      <c r="AI101" s="22">
        <f t="shared" si="60"/>
        <v>-1189673888.2299995</v>
      </c>
      <c r="AJ101" s="22">
        <f t="shared" si="60"/>
        <v>111952935061.76999</v>
      </c>
      <c r="AK101" s="23">
        <f t="shared" si="60"/>
        <v>0</v>
      </c>
      <c r="AL101" s="22">
        <f t="shared" si="60"/>
        <v>3623292644.4400005</v>
      </c>
      <c r="AM101" s="22">
        <f t="shared" si="60"/>
        <v>82913135904.169998</v>
      </c>
      <c r="AN101" s="23">
        <f t="shared" si="60"/>
        <v>0</v>
      </c>
      <c r="AO101" s="22">
        <f t="shared" si="60"/>
        <v>3620893323.4400001</v>
      </c>
      <c r="AP101" s="22">
        <f t="shared" si="60"/>
        <v>82909835901.169998</v>
      </c>
      <c r="AQ101" s="23">
        <f t="shared" si="60"/>
        <v>0</v>
      </c>
      <c r="AR101" s="22">
        <f t="shared" si="60"/>
        <v>1564534066.3999999</v>
      </c>
      <c r="AS101" s="22">
        <f t="shared" si="60"/>
        <v>80786628006.899994</v>
      </c>
      <c r="AT101" s="22">
        <f t="shared" si="56"/>
        <v>80786628006.899994</v>
      </c>
      <c r="AU101" s="22">
        <f>AU102+AU123+AU139</f>
        <v>29039799157.599998</v>
      </c>
      <c r="AV101" s="22">
        <f>AV102+AV123+AV139</f>
        <v>3300003</v>
      </c>
      <c r="AW101" s="22">
        <f>AW102+AW123+AW139</f>
        <v>2123207894.2700009</v>
      </c>
      <c r="AX101" s="24">
        <f t="shared" si="20"/>
        <v>0.74057759946556589</v>
      </c>
    </row>
    <row r="102" spans="1:50" s="25" customFormat="1" ht="18.75" customHeight="1" x14ac:dyDescent="0.2">
      <c r="A102" s="19" t="s">
        <v>55</v>
      </c>
      <c r="B102" s="19" t="s">
        <v>56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26" t="s">
        <v>869</v>
      </c>
      <c r="AB102" s="21" t="s">
        <v>203</v>
      </c>
      <c r="AC102" s="22" t="s">
        <v>37</v>
      </c>
      <c r="AD102" s="22">
        <f t="shared" ref="AD102:AS102" si="61">AD103+AD117</f>
        <v>70789582622</v>
      </c>
      <c r="AE102" s="22">
        <f t="shared" si="61"/>
        <v>2649057.39</v>
      </c>
      <c r="AF102" s="23">
        <f t="shared" si="61"/>
        <v>0</v>
      </c>
      <c r="AG102" s="22">
        <f t="shared" si="61"/>
        <v>3450200000</v>
      </c>
      <c r="AH102" s="23">
        <f t="shared" si="61"/>
        <v>0</v>
      </c>
      <c r="AI102" s="22">
        <f t="shared" si="61"/>
        <v>3452849057.3900003</v>
      </c>
      <c r="AJ102" s="22">
        <f t="shared" si="61"/>
        <v>74242431679.389999</v>
      </c>
      <c r="AK102" s="23">
        <f t="shared" si="61"/>
        <v>0</v>
      </c>
      <c r="AL102" s="22">
        <f t="shared" si="61"/>
        <v>1539684685.8000002</v>
      </c>
      <c r="AM102" s="22">
        <f t="shared" si="61"/>
        <v>61311781049</v>
      </c>
      <c r="AN102" s="23">
        <f t="shared" si="61"/>
        <v>0</v>
      </c>
      <c r="AO102" s="22">
        <f t="shared" si="61"/>
        <v>1539684685.8</v>
      </c>
      <c r="AP102" s="22">
        <f t="shared" si="61"/>
        <v>61311781049</v>
      </c>
      <c r="AQ102" s="23">
        <f t="shared" si="61"/>
        <v>0</v>
      </c>
      <c r="AR102" s="22">
        <f t="shared" si="61"/>
        <v>1539684685.8</v>
      </c>
      <c r="AS102" s="22">
        <f t="shared" si="61"/>
        <v>61311781049</v>
      </c>
      <c r="AT102" s="22">
        <f t="shared" si="56"/>
        <v>61311781049</v>
      </c>
      <c r="AU102" s="22">
        <f>AU103+AU117</f>
        <v>12930650630.389999</v>
      </c>
      <c r="AV102" s="23">
        <f>AV103+AV117</f>
        <v>0</v>
      </c>
      <c r="AW102" s="23">
        <f>AW103+AW117</f>
        <v>0</v>
      </c>
      <c r="AX102" s="24">
        <f t="shared" si="20"/>
        <v>0.82583207018016358</v>
      </c>
    </row>
    <row r="103" spans="1:50" s="25" customFormat="1" ht="18.75" customHeight="1" x14ac:dyDescent="0.2">
      <c r="A103" s="19" t="s">
        <v>55</v>
      </c>
      <c r="B103" s="19" t="s">
        <v>56</v>
      </c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26" t="s">
        <v>870</v>
      </c>
      <c r="AB103" s="21" t="s">
        <v>204</v>
      </c>
      <c r="AC103" s="22" t="s">
        <v>56</v>
      </c>
      <c r="AD103" s="22">
        <f>AD104</f>
        <v>34789582622</v>
      </c>
      <c r="AE103" s="22">
        <f t="shared" ref="AE103:AW103" si="62">AE104</f>
        <v>2649057.39</v>
      </c>
      <c r="AF103" s="23">
        <f t="shared" si="62"/>
        <v>0</v>
      </c>
      <c r="AG103" s="22">
        <f>AG104</f>
        <v>3450200000</v>
      </c>
      <c r="AH103" s="23">
        <f t="shared" si="62"/>
        <v>0</v>
      </c>
      <c r="AI103" s="22">
        <f t="shared" si="62"/>
        <v>3452849057.3900003</v>
      </c>
      <c r="AJ103" s="22">
        <f t="shared" si="62"/>
        <v>38242431679.389999</v>
      </c>
      <c r="AK103" s="23">
        <f t="shared" si="62"/>
        <v>0</v>
      </c>
      <c r="AL103" s="22">
        <f t="shared" si="62"/>
        <v>1539684685.8000002</v>
      </c>
      <c r="AM103" s="22">
        <f t="shared" si="62"/>
        <v>33864436347</v>
      </c>
      <c r="AN103" s="23">
        <f t="shared" si="62"/>
        <v>0</v>
      </c>
      <c r="AO103" s="22">
        <f t="shared" si="62"/>
        <v>1539684685.8</v>
      </c>
      <c r="AP103" s="22">
        <f t="shared" si="62"/>
        <v>33864436347</v>
      </c>
      <c r="AQ103" s="23">
        <f t="shared" si="62"/>
        <v>0</v>
      </c>
      <c r="AR103" s="22">
        <f t="shared" si="62"/>
        <v>1539684685.8</v>
      </c>
      <c r="AS103" s="22">
        <f t="shared" si="62"/>
        <v>33864436347</v>
      </c>
      <c r="AT103" s="22">
        <f t="shared" si="56"/>
        <v>33864436347</v>
      </c>
      <c r="AU103" s="22">
        <f t="shared" si="62"/>
        <v>4377995332.3900003</v>
      </c>
      <c r="AV103" s="23">
        <f t="shared" si="62"/>
        <v>0</v>
      </c>
      <c r="AW103" s="23">
        <f t="shared" si="62"/>
        <v>0</v>
      </c>
      <c r="AX103" s="24">
        <f t="shared" si="20"/>
        <v>0.88551995414168616</v>
      </c>
    </row>
    <row r="104" spans="1:50" ht="28.5" customHeight="1" x14ac:dyDescent="0.2">
      <c r="A104" s="27" t="s">
        <v>55</v>
      </c>
      <c r="B104" s="27" t="s">
        <v>56</v>
      </c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101" t="s">
        <v>871</v>
      </c>
      <c r="AB104" s="38" t="s">
        <v>205</v>
      </c>
      <c r="AC104" s="30" t="s">
        <v>56</v>
      </c>
      <c r="AD104" s="30">
        <f t="shared" ref="AD104:AF104" si="63">SUM(AD105:AD115)</f>
        <v>34789582622</v>
      </c>
      <c r="AE104" s="30">
        <f t="shared" si="63"/>
        <v>2649057.39</v>
      </c>
      <c r="AF104" s="31">
        <f t="shared" si="63"/>
        <v>0</v>
      </c>
      <c r="AG104" s="30">
        <f>SUM(AG105:AG116)</f>
        <v>3450200000</v>
      </c>
      <c r="AH104" s="31">
        <f t="shared" ref="AH104:AW104" si="64">SUM(AH105:AH116)</f>
        <v>0</v>
      </c>
      <c r="AI104" s="30">
        <f t="shared" si="64"/>
        <v>3452849057.3900003</v>
      </c>
      <c r="AJ104" s="30">
        <f t="shared" si="64"/>
        <v>38242431679.389999</v>
      </c>
      <c r="AK104" s="31">
        <f t="shared" si="64"/>
        <v>0</v>
      </c>
      <c r="AL104" s="30">
        <f t="shared" si="64"/>
        <v>1539684685.8000002</v>
      </c>
      <c r="AM104" s="30">
        <f t="shared" si="64"/>
        <v>33864436347</v>
      </c>
      <c r="AN104" s="31">
        <f t="shared" si="64"/>
        <v>0</v>
      </c>
      <c r="AO104" s="30">
        <f t="shared" si="64"/>
        <v>1539684685.8</v>
      </c>
      <c r="AP104" s="30">
        <f t="shared" si="64"/>
        <v>33864436347</v>
      </c>
      <c r="AQ104" s="31">
        <f t="shared" si="64"/>
        <v>0</v>
      </c>
      <c r="AR104" s="30">
        <f t="shared" si="64"/>
        <v>1539684685.8</v>
      </c>
      <c r="AS104" s="30">
        <f t="shared" si="64"/>
        <v>33864436347</v>
      </c>
      <c r="AT104" s="30">
        <f t="shared" si="64"/>
        <v>33864436347</v>
      </c>
      <c r="AU104" s="30">
        <f t="shared" si="64"/>
        <v>4377995332.3900003</v>
      </c>
      <c r="AV104" s="31">
        <f t="shared" si="64"/>
        <v>0</v>
      </c>
      <c r="AW104" s="31">
        <f t="shared" si="64"/>
        <v>0</v>
      </c>
      <c r="AX104" s="32">
        <f t="shared" si="20"/>
        <v>0.88551995414168616</v>
      </c>
    </row>
    <row r="105" spans="1:50" ht="18.75" customHeight="1" x14ac:dyDescent="0.2">
      <c r="A105" s="35" t="s">
        <v>55</v>
      </c>
      <c r="B105" s="36" t="s">
        <v>56</v>
      </c>
      <c r="C105" s="36"/>
      <c r="D105" s="36" t="s">
        <v>40</v>
      </c>
      <c r="E105" s="36"/>
      <c r="F105" s="36"/>
      <c r="G105" s="36" t="s">
        <v>41</v>
      </c>
      <c r="H105" s="36"/>
      <c r="I105" s="36" t="s">
        <v>936</v>
      </c>
      <c r="J105" s="36"/>
      <c r="K105" s="36" t="s">
        <v>932</v>
      </c>
      <c r="L105" s="36"/>
      <c r="M105" s="36" t="s">
        <v>933</v>
      </c>
      <c r="N105" s="36"/>
      <c r="O105" s="36" t="s">
        <v>938</v>
      </c>
      <c r="P105" s="36"/>
      <c r="Q105" s="36" t="s">
        <v>942</v>
      </c>
      <c r="R105" s="36"/>
      <c r="S105" s="36" t="s">
        <v>940</v>
      </c>
      <c r="T105" s="36">
        <v>0</v>
      </c>
      <c r="U105" s="36">
        <v>0</v>
      </c>
      <c r="V105" s="36">
        <v>0</v>
      </c>
      <c r="W105" s="36">
        <v>0</v>
      </c>
      <c r="X105" s="36" t="s">
        <v>937</v>
      </c>
      <c r="Y105" s="36"/>
      <c r="Z105" s="36"/>
      <c r="AA105" s="101" t="s">
        <v>872</v>
      </c>
      <c r="AB105" s="38" t="s">
        <v>206</v>
      </c>
      <c r="AC105" s="38" t="s">
        <v>58</v>
      </c>
      <c r="AD105" s="39">
        <v>2500000000</v>
      </c>
      <c r="AE105" s="40">
        <v>0</v>
      </c>
      <c r="AF105" s="40">
        <v>0</v>
      </c>
      <c r="AG105" s="39">
        <v>80000000</v>
      </c>
      <c r="AH105" s="40">
        <v>0</v>
      </c>
      <c r="AI105" s="18">
        <f>AE105-AF105+AG105-AH105</f>
        <v>80000000</v>
      </c>
      <c r="AJ105" s="18">
        <f>AD105+AI105</f>
        <v>2580000000</v>
      </c>
      <c r="AK105" s="40">
        <v>0</v>
      </c>
      <c r="AL105" s="39">
        <f>AM105-AGOSTO!AM105</f>
        <v>208333333</v>
      </c>
      <c r="AM105" s="39">
        <v>1666666664</v>
      </c>
      <c r="AN105" s="40">
        <v>0</v>
      </c>
      <c r="AO105" s="39">
        <v>208333333</v>
      </c>
      <c r="AP105" s="39">
        <v>1666666664</v>
      </c>
      <c r="AQ105" s="40">
        <v>0</v>
      </c>
      <c r="AR105" s="39">
        <v>208333333</v>
      </c>
      <c r="AS105" s="39">
        <v>1666666664</v>
      </c>
      <c r="AT105" s="39">
        <f t="shared" si="56"/>
        <v>1666666664</v>
      </c>
      <c r="AU105" s="18">
        <f t="shared" ref="AU105:AU116" si="65">AJ105-AM105</f>
        <v>913333336</v>
      </c>
      <c r="AV105" s="34">
        <f t="shared" ref="AV105:AV116" si="66">AM105-AP105</f>
        <v>0</v>
      </c>
      <c r="AW105" s="34">
        <f t="shared" ref="AW105:AW116" si="67">AP105-AT105</f>
        <v>0</v>
      </c>
      <c r="AX105" s="32">
        <f t="shared" ref="AX105:AX135" si="68">AP105/AJ105</f>
        <v>0.6459948310077519</v>
      </c>
    </row>
    <row r="106" spans="1:50" ht="18.75" customHeight="1" x14ac:dyDescent="0.2">
      <c r="A106" s="14" t="s">
        <v>55</v>
      </c>
      <c r="B106" s="15" t="s">
        <v>56</v>
      </c>
      <c r="C106" s="15"/>
      <c r="D106" s="15" t="s">
        <v>40</v>
      </c>
      <c r="E106" s="15"/>
      <c r="F106" s="15"/>
      <c r="G106" s="15" t="s">
        <v>41</v>
      </c>
      <c r="H106" s="15"/>
      <c r="I106" s="15" t="s">
        <v>936</v>
      </c>
      <c r="J106" s="15"/>
      <c r="K106" s="15" t="s">
        <v>932</v>
      </c>
      <c r="L106" s="15"/>
      <c r="M106" s="15" t="s">
        <v>933</v>
      </c>
      <c r="N106" s="15"/>
      <c r="O106" s="15" t="s">
        <v>938</v>
      </c>
      <c r="P106" s="15"/>
      <c r="Q106" s="15" t="s">
        <v>942</v>
      </c>
      <c r="R106" s="15"/>
      <c r="S106" s="15" t="s">
        <v>940</v>
      </c>
      <c r="T106" s="15">
        <v>0</v>
      </c>
      <c r="U106" s="15">
        <v>0</v>
      </c>
      <c r="V106" s="15">
        <v>0</v>
      </c>
      <c r="W106" s="15">
        <v>0</v>
      </c>
      <c r="X106" s="15" t="s">
        <v>937</v>
      </c>
      <c r="Y106" s="15"/>
      <c r="Z106" s="15"/>
      <c r="AA106" s="41" t="s">
        <v>873</v>
      </c>
      <c r="AB106" s="17" t="s">
        <v>207</v>
      </c>
      <c r="AC106" s="17" t="s">
        <v>58</v>
      </c>
      <c r="AD106" s="18">
        <v>3557080000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18">
        <v>3557080000</v>
      </c>
      <c r="AK106" s="34">
        <v>0</v>
      </c>
      <c r="AL106" s="39">
        <f>AM106-AGOSTO!AM106</f>
        <v>296423333</v>
      </c>
      <c r="AM106" s="18">
        <v>2667809997</v>
      </c>
      <c r="AN106" s="34">
        <v>0</v>
      </c>
      <c r="AO106" s="18">
        <v>296423333</v>
      </c>
      <c r="AP106" s="18">
        <v>2667809997</v>
      </c>
      <c r="AQ106" s="34">
        <v>0</v>
      </c>
      <c r="AR106" s="39">
        <v>296423333</v>
      </c>
      <c r="AS106" s="18">
        <v>2667809997</v>
      </c>
      <c r="AT106" s="39">
        <f t="shared" si="56"/>
        <v>2667809997</v>
      </c>
      <c r="AU106" s="18">
        <f t="shared" si="65"/>
        <v>889270003</v>
      </c>
      <c r="AV106" s="34">
        <f t="shared" si="66"/>
        <v>0</v>
      </c>
      <c r="AW106" s="34">
        <f t="shared" si="67"/>
        <v>0</v>
      </c>
      <c r="AX106" s="32">
        <f t="shared" si="68"/>
        <v>0.74999999915661164</v>
      </c>
    </row>
    <row r="107" spans="1:50" ht="18.75" customHeight="1" x14ac:dyDescent="0.2">
      <c r="A107" s="35" t="s">
        <v>55</v>
      </c>
      <c r="B107" s="36" t="s">
        <v>56</v>
      </c>
      <c r="C107" s="36"/>
      <c r="D107" s="36" t="s">
        <v>40</v>
      </c>
      <c r="E107" s="36"/>
      <c r="F107" s="36"/>
      <c r="G107" s="36" t="s">
        <v>41</v>
      </c>
      <c r="H107" s="36"/>
      <c r="I107" s="36" t="s">
        <v>936</v>
      </c>
      <c r="J107" s="36"/>
      <c r="K107" s="36" t="s">
        <v>932</v>
      </c>
      <c r="L107" s="36"/>
      <c r="M107" s="36" t="s">
        <v>933</v>
      </c>
      <c r="N107" s="36"/>
      <c r="O107" s="36" t="s">
        <v>938</v>
      </c>
      <c r="P107" s="36"/>
      <c r="Q107" s="36" t="s">
        <v>942</v>
      </c>
      <c r="R107" s="36"/>
      <c r="S107" s="36" t="s">
        <v>940</v>
      </c>
      <c r="T107" s="36">
        <v>0</v>
      </c>
      <c r="U107" s="36">
        <v>0</v>
      </c>
      <c r="V107" s="36">
        <v>0</v>
      </c>
      <c r="W107" s="36">
        <v>0</v>
      </c>
      <c r="X107" s="36" t="s">
        <v>937</v>
      </c>
      <c r="Y107" s="36"/>
      <c r="Z107" s="36"/>
      <c r="AA107" s="101" t="s">
        <v>874</v>
      </c>
      <c r="AB107" s="38" t="s">
        <v>208</v>
      </c>
      <c r="AC107" s="38" t="s">
        <v>58</v>
      </c>
      <c r="AD107" s="39">
        <v>2747397800</v>
      </c>
      <c r="AE107" s="40">
        <v>0</v>
      </c>
      <c r="AF107" s="40">
        <v>0</v>
      </c>
      <c r="AG107" s="40">
        <v>0</v>
      </c>
      <c r="AH107" s="40">
        <v>0</v>
      </c>
      <c r="AI107" s="40">
        <v>0</v>
      </c>
      <c r="AJ107" s="39">
        <v>2747397800</v>
      </c>
      <c r="AK107" s="40">
        <v>0</v>
      </c>
      <c r="AL107" s="39">
        <f>AM107-AGOSTO!AM107</f>
        <v>228949817</v>
      </c>
      <c r="AM107" s="39">
        <v>2060548353</v>
      </c>
      <c r="AN107" s="40">
        <v>0</v>
      </c>
      <c r="AO107" s="18">
        <v>228949817</v>
      </c>
      <c r="AP107" s="39">
        <v>2060548353</v>
      </c>
      <c r="AQ107" s="40">
        <v>0</v>
      </c>
      <c r="AR107" s="39">
        <v>228949817</v>
      </c>
      <c r="AS107" s="39">
        <v>2060548353</v>
      </c>
      <c r="AT107" s="39">
        <f t="shared" si="56"/>
        <v>2060548353</v>
      </c>
      <c r="AU107" s="18">
        <f t="shared" si="65"/>
        <v>686849447</v>
      </c>
      <c r="AV107" s="34">
        <f t="shared" si="66"/>
        <v>0</v>
      </c>
      <c r="AW107" s="34">
        <f t="shared" si="67"/>
        <v>0</v>
      </c>
      <c r="AX107" s="32">
        <f t="shared" si="68"/>
        <v>0.75000000109194231</v>
      </c>
    </row>
    <row r="108" spans="1:50" ht="18.75" customHeight="1" x14ac:dyDescent="0.2">
      <c r="A108" s="14" t="s">
        <v>55</v>
      </c>
      <c r="B108" s="15" t="s">
        <v>56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41" t="s">
        <v>875</v>
      </c>
      <c r="AB108" s="17" t="s">
        <v>209</v>
      </c>
      <c r="AC108" s="17" t="s">
        <v>58</v>
      </c>
      <c r="AD108" s="18">
        <v>1627586535</v>
      </c>
      <c r="AE108" s="34">
        <v>0</v>
      </c>
      <c r="AF108" s="34">
        <v>0</v>
      </c>
      <c r="AG108" s="34">
        <v>0</v>
      </c>
      <c r="AH108" s="34">
        <v>0</v>
      </c>
      <c r="AI108" s="34">
        <v>0</v>
      </c>
      <c r="AJ108" s="18">
        <v>1627586535</v>
      </c>
      <c r="AK108" s="34">
        <v>0</v>
      </c>
      <c r="AL108" s="39">
        <f>AM108-AGOSTO!AM108</f>
        <v>76055670</v>
      </c>
      <c r="AM108" s="18">
        <v>1072340572</v>
      </c>
      <c r="AN108" s="34">
        <v>0</v>
      </c>
      <c r="AO108" s="18">
        <v>76055670</v>
      </c>
      <c r="AP108" s="18">
        <v>1072340572</v>
      </c>
      <c r="AQ108" s="34">
        <v>0</v>
      </c>
      <c r="AR108" s="39">
        <v>76055670</v>
      </c>
      <c r="AS108" s="18">
        <v>1072340572</v>
      </c>
      <c r="AT108" s="39">
        <f t="shared" si="56"/>
        <v>1072340572</v>
      </c>
      <c r="AU108" s="18">
        <f t="shared" si="65"/>
        <v>555245963</v>
      </c>
      <c r="AV108" s="34">
        <f t="shared" si="66"/>
        <v>0</v>
      </c>
      <c r="AW108" s="34">
        <f t="shared" si="67"/>
        <v>0</v>
      </c>
      <c r="AX108" s="32">
        <f t="shared" si="68"/>
        <v>0.65885318472482934</v>
      </c>
    </row>
    <row r="109" spans="1:50" ht="18.75" customHeight="1" x14ac:dyDescent="0.2">
      <c r="A109" s="14" t="s">
        <v>55</v>
      </c>
      <c r="B109" s="15" t="s">
        <v>56</v>
      </c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41" t="s">
        <v>876</v>
      </c>
      <c r="AB109" s="17" t="s">
        <v>210</v>
      </c>
      <c r="AC109" s="17" t="s">
        <v>58</v>
      </c>
      <c r="AD109" s="18">
        <v>4565923897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18">
        <v>4565923897</v>
      </c>
      <c r="AK109" s="34">
        <v>0</v>
      </c>
      <c r="AL109" s="39">
        <f>AM109-AGOSTO!AM109</f>
        <v>47224636.800000191</v>
      </c>
      <c r="AM109" s="18">
        <v>4565923897</v>
      </c>
      <c r="AN109" s="34">
        <v>0</v>
      </c>
      <c r="AO109" s="18">
        <v>47224636.799999997</v>
      </c>
      <c r="AP109" s="18">
        <v>4565923897</v>
      </c>
      <c r="AQ109" s="34">
        <v>0</v>
      </c>
      <c r="AR109" s="39">
        <v>47224636.799999997</v>
      </c>
      <c r="AS109" s="18">
        <v>4565923897</v>
      </c>
      <c r="AT109" s="39">
        <f t="shared" si="56"/>
        <v>4565923897</v>
      </c>
      <c r="AU109" s="34">
        <f t="shared" si="65"/>
        <v>0</v>
      </c>
      <c r="AV109" s="34">
        <f t="shared" si="66"/>
        <v>0</v>
      </c>
      <c r="AW109" s="34">
        <f t="shared" si="67"/>
        <v>0</v>
      </c>
      <c r="AX109" s="32">
        <f t="shared" si="68"/>
        <v>1</v>
      </c>
    </row>
    <row r="110" spans="1:50" ht="18.75" customHeight="1" x14ac:dyDescent="0.2">
      <c r="A110" s="35" t="s">
        <v>55</v>
      </c>
      <c r="B110" s="36" t="s">
        <v>56</v>
      </c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101" t="s">
        <v>877</v>
      </c>
      <c r="AB110" s="38" t="s">
        <v>211</v>
      </c>
      <c r="AC110" s="38" t="s">
        <v>58</v>
      </c>
      <c r="AD110" s="39">
        <v>5174713749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  <c r="AJ110" s="39">
        <v>5174713749</v>
      </c>
      <c r="AK110" s="40">
        <v>0</v>
      </c>
      <c r="AL110" s="39">
        <f>AM110-AGOSTO!AM110</f>
        <v>53521257</v>
      </c>
      <c r="AM110" s="39">
        <v>5174713749</v>
      </c>
      <c r="AN110" s="40">
        <v>0</v>
      </c>
      <c r="AO110" s="18">
        <v>53521257</v>
      </c>
      <c r="AP110" s="39">
        <v>5174713749</v>
      </c>
      <c r="AQ110" s="40">
        <v>0</v>
      </c>
      <c r="AR110" s="39">
        <v>53521257</v>
      </c>
      <c r="AS110" s="39">
        <v>5174713749</v>
      </c>
      <c r="AT110" s="39">
        <f t="shared" si="56"/>
        <v>5174713749</v>
      </c>
      <c r="AU110" s="34">
        <f t="shared" si="65"/>
        <v>0</v>
      </c>
      <c r="AV110" s="34">
        <f t="shared" si="66"/>
        <v>0</v>
      </c>
      <c r="AW110" s="34">
        <f t="shared" si="67"/>
        <v>0</v>
      </c>
      <c r="AX110" s="32">
        <f t="shared" si="68"/>
        <v>1</v>
      </c>
    </row>
    <row r="111" spans="1:50" ht="18.75" customHeight="1" x14ac:dyDescent="0.2">
      <c r="A111" s="35" t="s">
        <v>55</v>
      </c>
      <c r="B111" s="36" t="s">
        <v>56</v>
      </c>
      <c r="C111" s="36"/>
      <c r="D111" s="36" t="s">
        <v>40</v>
      </c>
      <c r="E111" s="36"/>
      <c r="F111" s="36"/>
      <c r="G111" s="36" t="s">
        <v>41</v>
      </c>
      <c r="H111" s="36"/>
      <c r="I111" s="36" t="s">
        <v>936</v>
      </c>
      <c r="J111" s="36"/>
      <c r="K111" s="36" t="s">
        <v>932</v>
      </c>
      <c r="L111" s="36"/>
      <c r="M111" s="36" t="s">
        <v>933</v>
      </c>
      <c r="N111" s="36"/>
      <c r="O111" s="36" t="s">
        <v>943</v>
      </c>
      <c r="P111" s="36"/>
      <c r="Q111" s="36" t="s">
        <v>939</v>
      </c>
      <c r="R111" s="36"/>
      <c r="S111" s="36" t="s">
        <v>940</v>
      </c>
      <c r="T111" s="36">
        <v>0</v>
      </c>
      <c r="U111" s="36">
        <v>0</v>
      </c>
      <c r="V111" s="36">
        <v>0</v>
      </c>
      <c r="W111" s="36">
        <v>0</v>
      </c>
      <c r="X111" s="36" t="s">
        <v>937</v>
      </c>
      <c r="Y111" s="36"/>
      <c r="Z111" s="36"/>
      <c r="AA111" s="101" t="s">
        <v>878</v>
      </c>
      <c r="AB111" s="38" t="s">
        <v>212</v>
      </c>
      <c r="AC111" s="38" t="s">
        <v>58</v>
      </c>
      <c r="AD111" s="39">
        <v>286350464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39">
        <v>286350464</v>
      </c>
      <c r="AK111" s="40">
        <v>0</v>
      </c>
      <c r="AL111" s="40">
        <f>AM111-AGOSTO!AM111</f>
        <v>0</v>
      </c>
      <c r="AM111" s="40">
        <v>0</v>
      </c>
      <c r="AN111" s="40">
        <v>0</v>
      </c>
      <c r="AO111" s="34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f t="shared" si="56"/>
        <v>0</v>
      </c>
      <c r="AU111" s="18">
        <f t="shared" si="65"/>
        <v>286350464</v>
      </c>
      <c r="AV111" s="34">
        <f t="shared" si="66"/>
        <v>0</v>
      </c>
      <c r="AW111" s="34">
        <f t="shared" si="67"/>
        <v>0</v>
      </c>
      <c r="AX111" s="32">
        <f t="shared" si="68"/>
        <v>0</v>
      </c>
    </row>
    <row r="112" spans="1:50" ht="18.75" customHeight="1" x14ac:dyDescent="0.2">
      <c r="A112" s="14" t="s">
        <v>55</v>
      </c>
      <c r="B112" s="15" t="s">
        <v>56</v>
      </c>
      <c r="C112" s="15"/>
      <c r="D112" s="15" t="s">
        <v>40</v>
      </c>
      <c r="E112" s="15"/>
      <c r="F112" s="15"/>
      <c r="G112" s="15" t="s">
        <v>41</v>
      </c>
      <c r="H112" s="15"/>
      <c r="I112" s="15" t="s">
        <v>936</v>
      </c>
      <c r="J112" s="15"/>
      <c r="K112" s="15" t="s">
        <v>932</v>
      </c>
      <c r="L112" s="15"/>
      <c r="M112" s="15" t="s">
        <v>933</v>
      </c>
      <c r="N112" s="15"/>
      <c r="O112" s="15" t="s">
        <v>943</v>
      </c>
      <c r="P112" s="15"/>
      <c r="Q112" s="15" t="s">
        <v>939</v>
      </c>
      <c r="R112" s="15"/>
      <c r="S112" s="15" t="s">
        <v>940</v>
      </c>
      <c r="T112" s="15">
        <v>0</v>
      </c>
      <c r="U112" s="15">
        <v>0</v>
      </c>
      <c r="V112" s="15">
        <v>0</v>
      </c>
      <c r="W112" s="15">
        <v>0</v>
      </c>
      <c r="X112" s="15" t="s">
        <v>937</v>
      </c>
      <c r="Y112" s="15"/>
      <c r="Z112" s="15"/>
      <c r="AA112" s="41" t="s">
        <v>879</v>
      </c>
      <c r="AB112" s="17" t="s">
        <v>213</v>
      </c>
      <c r="AC112" s="17" t="s">
        <v>58</v>
      </c>
      <c r="AD112" s="18">
        <v>3748529000</v>
      </c>
      <c r="AE112" s="34">
        <v>0</v>
      </c>
      <c r="AF112" s="34">
        <v>0</v>
      </c>
      <c r="AG112" s="18">
        <v>1630200000</v>
      </c>
      <c r="AH112" s="34">
        <v>0</v>
      </c>
      <c r="AI112" s="18">
        <f>AE112-AF112+AG112-AH112</f>
        <v>1630200000</v>
      </c>
      <c r="AJ112" s="18">
        <f>AD112+AI112</f>
        <v>5378729000</v>
      </c>
      <c r="AK112" s="34">
        <v>0</v>
      </c>
      <c r="AL112" s="39">
        <f>AM112-AGOSTO!AM112</f>
        <v>624754834</v>
      </c>
      <c r="AM112" s="18">
        <v>4441596753</v>
      </c>
      <c r="AN112" s="34">
        <v>0</v>
      </c>
      <c r="AO112" s="34">
        <v>624754834</v>
      </c>
      <c r="AP112" s="18">
        <v>4441596753</v>
      </c>
      <c r="AQ112" s="34">
        <v>0</v>
      </c>
      <c r="AR112" s="40">
        <v>624754834</v>
      </c>
      <c r="AS112" s="18">
        <v>4441596753</v>
      </c>
      <c r="AT112" s="39">
        <f t="shared" si="56"/>
        <v>4441596753</v>
      </c>
      <c r="AU112" s="18">
        <f t="shared" si="65"/>
        <v>937132247</v>
      </c>
      <c r="AV112" s="34">
        <f t="shared" si="66"/>
        <v>0</v>
      </c>
      <c r="AW112" s="34">
        <f t="shared" si="67"/>
        <v>0</v>
      </c>
      <c r="AX112" s="32">
        <f t="shared" si="68"/>
        <v>0.82577068913492391</v>
      </c>
    </row>
    <row r="113" spans="1:50" ht="18.75" customHeight="1" x14ac:dyDescent="0.2">
      <c r="A113" s="35" t="s">
        <v>55</v>
      </c>
      <c r="B113" s="36" t="s">
        <v>56</v>
      </c>
      <c r="C113" s="36"/>
      <c r="D113" s="36" t="s">
        <v>40</v>
      </c>
      <c r="E113" s="36"/>
      <c r="F113" s="36"/>
      <c r="G113" s="36" t="s">
        <v>41</v>
      </c>
      <c r="H113" s="36"/>
      <c r="I113" s="36" t="s">
        <v>936</v>
      </c>
      <c r="J113" s="36"/>
      <c r="K113" s="36" t="s">
        <v>932</v>
      </c>
      <c r="L113" s="36"/>
      <c r="M113" s="36" t="s">
        <v>933</v>
      </c>
      <c r="N113" s="36"/>
      <c r="O113" s="36" t="s">
        <v>943</v>
      </c>
      <c r="P113" s="36"/>
      <c r="Q113" s="36" t="s">
        <v>944</v>
      </c>
      <c r="R113" s="36"/>
      <c r="S113" s="36" t="s">
        <v>940</v>
      </c>
      <c r="T113" s="36">
        <v>0</v>
      </c>
      <c r="U113" s="36">
        <v>0</v>
      </c>
      <c r="V113" s="36">
        <v>0</v>
      </c>
      <c r="W113" s="36">
        <v>0</v>
      </c>
      <c r="X113" s="36" t="s">
        <v>937</v>
      </c>
      <c r="Y113" s="36"/>
      <c r="Z113" s="36"/>
      <c r="AA113" s="101" t="s">
        <v>880</v>
      </c>
      <c r="AB113" s="38" t="s">
        <v>214</v>
      </c>
      <c r="AC113" s="38" t="s">
        <v>58</v>
      </c>
      <c r="AD113" s="39">
        <v>80525000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39">
        <v>80525000</v>
      </c>
      <c r="AK113" s="40">
        <v>0</v>
      </c>
      <c r="AL113" s="40">
        <f>AM113-AGOSTO!AM113</f>
        <v>0</v>
      </c>
      <c r="AM113" s="39">
        <v>80525000</v>
      </c>
      <c r="AN113" s="40">
        <v>0</v>
      </c>
      <c r="AO113" s="34">
        <v>0</v>
      </c>
      <c r="AP113" s="39">
        <v>80525000</v>
      </c>
      <c r="AQ113" s="40">
        <v>0</v>
      </c>
      <c r="AR113" s="40">
        <v>0</v>
      </c>
      <c r="AS113" s="39">
        <v>80525000</v>
      </c>
      <c r="AT113" s="39">
        <f t="shared" si="56"/>
        <v>80525000</v>
      </c>
      <c r="AU113" s="34">
        <f t="shared" si="65"/>
        <v>0</v>
      </c>
      <c r="AV113" s="34">
        <f t="shared" si="66"/>
        <v>0</v>
      </c>
      <c r="AW113" s="34">
        <f t="shared" si="67"/>
        <v>0</v>
      </c>
      <c r="AX113" s="32">
        <f t="shared" si="68"/>
        <v>1</v>
      </c>
    </row>
    <row r="114" spans="1:50" ht="18.75" customHeight="1" x14ac:dyDescent="0.2">
      <c r="A114" s="14" t="s">
        <v>55</v>
      </c>
      <c r="B114" s="15" t="s">
        <v>56</v>
      </c>
      <c r="C114" s="15"/>
      <c r="D114" s="15" t="s">
        <v>40</v>
      </c>
      <c r="E114" s="15"/>
      <c r="F114" s="15"/>
      <c r="G114" s="15" t="s">
        <v>41</v>
      </c>
      <c r="H114" s="15"/>
      <c r="I114" s="15" t="s">
        <v>936</v>
      </c>
      <c r="J114" s="15"/>
      <c r="K114" s="15" t="s">
        <v>932</v>
      </c>
      <c r="L114" s="15"/>
      <c r="M114" s="15" t="s">
        <v>933</v>
      </c>
      <c r="N114" s="15"/>
      <c r="O114" s="15" t="s">
        <v>945</v>
      </c>
      <c r="P114" s="15"/>
      <c r="Q114" s="15" t="s">
        <v>944</v>
      </c>
      <c r="R114" s="15"/>
      <c r="S114" s="15" t="s">
        <v>940</v>
      </c>
      <c r="T114" s="15">
        <v>0</v>
      </c>
      <c r="U114" s="15">
        <v>0</v>
      </c>
      <c r="V114" s="15">
        <v>0</v>
      </c>
      <c r="W114" s="15">
        <v>0</v>
      </c>
      <c r="X114" s="15" t="s">
        <v>937</v>
      </c>
      <c r="Y114" s="15"/>
      <c r="Z114" s="15"/>
      <c r="AA114" s="41" t="s">
        <v>881</v>
      </c>
      <c r="AB114" s="17" t="s">
        <v>214</v>
      </c>
      <c r="AC114" s="17" t="s">
        <v>215</v>
      </c>
      <c r="AD114" s="18">
        <v>10351476177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18">
        <v>10351476177</v>
      </c>
      <c r="AK114" s="34">
        <v>0</v>
      </c>
      <c r="AL114" s="40">
        <f>AM114-AGOSTO!AM114</f>
        <v>0</v>
      </c>
      <c r="AM114" s="39">
        <v>10351476177</v>
      </c>
      <c r="AN114" s="34">
        <v>0</v>
      </c>
      <c r="AO114" s="34">
        <v>0</v>
      </c>
      <c r="AP114" s="18">
        <v>10351476177</v>
      </c>
      <c r="AQ114" s="34">
        <v>0</v>
      </c>
      <c r="AR114" s="40">
        <v>0</v>
      </c>
      <c r="AS114" s="18">
        <v>10351476177</v>
      </c>
      <c r="AT114" s="39">
        <f t="shared" si="56"/>
        <v>10351476177</v>
      </c>
      <c r="AU114" s="34">
        <f t="shared" si="65"/>
        <v>0</v>
      </c>
      <c r="AV114" s="34">
        <f t="shared" si="66"/>
        <v>0</v>
      </c>
      <c r="AW114" s="34">
        <f t="shared" si="67"/>
        <v>0</v>
      </c>
      <c r="AX114" s="32">
        <f t="shared" si="68"/>
        <v>1</v>
      </c>
    </row>
    <row r="115" spans="1:50" ht="26.25" customHeight="1" x14ac:dyDescent="0.2">
      <c r="A115" s="14" t="s">
        <v>55</v>
      </c>
      <c r="B115" s="15" t="s">
        <v>56</v>
      </c>
      <c r="C115" s="15"/>
      <c r="D115" s="15" t="s">
        <v>40</v>
      </c>
      <c r="E115" s="15"/>
      <c r="F115" s="15"/>
      <c r="G115" s="15" t="s">
        <v>41</v>
      </c>
      <c r="H115" s="15"/>
      <c r="I115" s="15" t="s">
        <v>936</v>
      </c>
      <c r="J115" s="15"/>
      <c r="K115" s="15" t="s">
        <v>932</v>
      </c>
      <c r="L115" s="15"/>
      <c r="M115" s="15" t="s">
        <v>933</v>
      </c>
      <c r="N115" s="15"/>
      <c r="O115" s="15" t="s">
        <v>946</v>
      </c>
      <c r="P115" s="15"/>
      <c r="Q115" s="15" t="s">
        <v>944</v>
      </c>
      <c r="R115" s="15"/>
      <c r="S115" s="15" t="s">
        <v>940</v>
      </c>
      <c r="T115" s="15">
        <v>0</v>
      </c>
      <c r="U115" s="15">
        <v>0</v>
      </c>
      <c r="V115" s="15">
        <v>0</v>
      </c>
      <c r="W115" s="15">
        <v>0</v>
      </c>
      <c r="X115" s="15" t="s">
        <v>937</v>
      </c>
      <c r="Y115" s="15"/>
      <c r="Z115" s="15"/>
      <c r="AA115" s="41" t="s">
        <v>882</v>
      </c>
      <c r="AB115" s="17" t="s">
        <v>205</v>
      </c>
      <c r="AC115" s="17" t="s">
        <v>216</v>
      </c>
      <c r="AD115" s="18">
        <v>150000000</v>
      </c>
      <c r="AE115" s="18">
        <v>2649057.39</v>
      </c>
      <c r="AF115" s="34">
        <v>0</v>
      </c>
      <c r="AG115" s="34">
        <v>0</v>
      </c>
      <c r="AH115" s="34">
        <v>0</v>
      </c>
      <c r="AI115" s="18">
        <f>AE115-AF115+AG115-AH115</f>
        <v>2649057.39</v>
      </c>
      <c r="AJ115" s="18">
        <f>AD115+AI115</f>
        <v>152649057.38999999</v>
      </c>
      <c r="AK115" s="34">
        <v>0</v>
      </c>
      <c r="AL115" s="39">
        <f>AM115-AGOSTO!AM115</f>
        <v>4421805</v>
      </c>
      <c r="AM115" s="39">
        <v>42835185</v>
      </c>
      <c r="AN115" s="34">
        <v>0</v>
      </c>
      <c r="AO115" s="18">
        <v>4421805</v>
      </c>
      <c r="AP115" s="18">
        <v>42835185</v>
      </c>
      <c r="AQ115" s="34">
        <v>0</v>
      </c>
      <c r="AR115" s="39">
        <v>4421805</v>
      </c>
      <c r="AS115" s="18">
        <v>42835185</v>
      </c>
      <c r="AT115" s="39">
        <f t="shared" si="56"/>
        <v>42835185</v>
      </c>
      <c r="AU115" s="18">
        <f t="shared" si="65"/>
        <v>109813872.38999999</v>
      </c>
      <c r="AV115" s="34">
        <f t="shared" si="66"/>
        <v>0</v>
      </c>
      <c r="AW115" s="34">
        <f t="shared" si="67"/>
        <v>0</v>
      </c>
      <c r="AX115" s="32">
        <f t="shared" si="68"/>
        <v>0.28061218151227263</v>
      </c>
    </row>
    <row r="116" spans="1:50" ht="26.25" customHeight="1" x14ac:dyDescent="0.2">
      <c r="A116" s="14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41" t="s">
        <v>984</v>
      </c>
      <c r="AB116" s="42" t="s">
        <v>985</v>
      </c>
      <c r="AC116" s="17"/>
      <c r="AD116" s="34">
        <v>0</v>
      </c>
      <c r="AE116" s="34">
        <v>0</v>
      </c>
      <c r="AF116" s="34">
        <v>0</v>
      </c>
      <c r="AG116" s="18">
        <f>700000000+1040000000</f>
        <v>1740000000</v>
      </c>
      <c r="AH116" s="34">
        <v>0</v>
      </c>
      <c r="AI116" s="18">
        <f>AE116-AF116+AG116-AH116</f>
        <v>1740000000</v>
      </c>
      <c r="AJ116" s="18">
        <f>AD116+AI116</f>
        <v>1740000000</v>
      </c>
      <c r="AK116" s="34">
        <v>0</v>
      </c>
      <c r="AL116" s="40">
        <f>AM116-AGOSTO!AM116</f>
        <v>0</v>
      </c>
      <c r="AM116" s="39">
        <v>1740000000</v>
      </c>
      <c r="AN116" s="34">
        <v>0</v>
      </c>
      <c r="AO116" s="34">
        <v>0</v>
      </c>
      <c r="AP116" s="18">
        <v>1740000000</v>
      </c>
      <c r="AQ116" s="34">
        <v>0</v>
      </c>
      <c r="AR116" s="40">
        <v>0</v>
      </c>
      <c r="AS116" s="18">
        <v>1740000000</v>
      </c>
      <c r="AT116" s="39">
        <f t="shared" si="56"/>
        <v>1740000000</v>
      </c>
      <c r="AU116" s="34">
        <f t="shared" si="65"/>
        <v>0</v>
      </c>
      <c r="AV116" s="34">
        <f t="shared" si="66"/>
        <v>0</v>
      </c>
      <c r="AW116" s="34">
        <f t="shared" si="67"/>
        <v>0</v>
      </c>
      <c r="AX116" s="32">
        <f t="shared" si="68"/>
        <v>1</v>
      </c>
    </row>
    <row r="117" spans="1:50" s="25" customFormat="1" ht="18.75" customHeight="1" x14ac:dyDescent="0.2">
      <c r="A117" s="19" t="s">
        <v>55</v>
      </c>
      <c r="B117" s="19" t="s">
        <v>56</v>
      </c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26" t="s">
        <v>883</v>
      </c>
      <c r="AB117" s="21" t="s">
        <v>217</v>
      </c>
      <c r="AC117" s="22" t="s">
        <v>37</v>
      </c>
      <c r="AD117" s="22">
        <f>AD118</f>
        <v>36000000000</v>
      </c>
      <c r="AE117" s="23">
        <f t="shared" ref="AE117:AW119" si="69">AE118</f>
        <v>0</v>
      </c>
      <c r="AF117" s="23">
        <f t="shared" si="69"/>
        <v>0</v>
      </c>
      <c r="AG117" s="23">
        <f t="shared" si="69"/>
        <v>0</v>
      </c>
      <c r="AH117" s="23">
        <f t="shared" si="69"/>
        <v>0</v>
      </c>
      <c r="AI117" s="23">
        <f t="shared" si="69"/>
        <v>0</v>
      </c>
      <c r="AJ117" s="22">
        <f t="shared" si="69"/>
        <v>36000000000</v>
      </c>
      <c r="AK117" s="23">
        <f t="shared" si="69"/>
        <v>0</v>
      </c>
      <c r="AL117" s="23">
        <f t="shared" si="69"/>
        <v>0</v>
      </c>
      <c r="AM117" s="22">
        <f t="shared" si="69"/>
        <v>27447344702</v>
      </c>
      <c r="AN117" s="23">
        <f t="shared" si="69"/>
        <v>0</v>
      </c>
      <c r="AO117" s="23">
        <f t="shared" si="69"/>
        <v>0</v>
      </c>
      <c r="AP117" s="22">
        <f t="shared" si="69"/>
        <v>27447344702</v>
      </c>
      <c r="AQ117" s="23">
        <f t="shared" si="69"/>
        <v>0</v>
      </c>
      <c r="AR117" s="23">
        <f t="shared" si="69"/>
        <v>0</v>
      </c>
      <c r="AS117" s="22">
        <f t="shared" si="69"/>
        <v>27447344702</v>
      </c>
      <c r="AT117" s="22">
        <f>AQ117+AS117</f>
        <v>27447344702</v>
      </c>
      <c r="AU117" s="22">
        <f t="shared" si="69"/>
        <v>8552655298</v>
      </c>
      <c r="AV117" s="23">
        <f t="shared" si="69"/>
        <v>0</v>
      </c>
      <c r="AW117" s="23">
        <f t="shared" si="69"/>
        <v>0</v>
      </c>
      <c r="AX117" s="24">
        <f t="shared" si="68"/>
        <v>0.76242624172222218</v>
      </c>
    </row>
    <row r="118" spans="1:50" ht="18.75" customHeight="1" x14ac:dyDescent="0.2">
      <c r="A118" s="27" t="s">
        <v>55</v>
      </c>
      <c r="B118" s="27" t="s">
        <v>56</v>
      </c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8" t="s">
        <v>218</v>
      </c>
      <c r="AB118" s="29" t="s">
        <v>219</v>
      </c>
      <c r="AC118" s="30" t="s">
        <v>37</v>
      </c>
      <c r="AD118" s="30">
        <f>AD119</f>
        <v>36000000000</v>
      </c>
      <c r="AE118" s="31">
        <f t="shared" si="69"/>
        <v>0</v>
      </c>
      <c r="AF118" s="31">
        <f t="shared" si="69"/>
        <v>0</v>
      </c>
      <c r="AG118" s="31">
        <f t="shared" si="69"/>
        <v>0</v>
      </c>
      <c r="AH118" s="31">
        <f t="shared" si="69"/>
        <v>0</v>
      </c>
      <c r="AI118" s="31">
        <f t="shared" si="69"/>
        <v>0</v>
      </c>
      <c r="AJ118" s="30">
        <f t="shared" si="69"/>
        <v>36000000000</v>
      </c>
      <c r="AK118" s="31">
        <f t="shared" si="69"/>
        <v>0</v>
      </c>
      <c r="AL118" s="31">
        <f t="shared" si="69"/>
        <v>0</v>
      </c>
      <c r="AM118" s="30">
        <f t="shared" si="69"/>
        <v>27447344702</v>
      </c>
      <c r="AN118" s="31">
        <f t="shared" si="69"/>
        <v>0</v>
      </c>
      <c r="AO118" s="31">
        <f t="shared" si="69"/>
        <v>0</v>
      </c>
      <c r="AP118" s="30">
        <f t="shared" si="69"/>
        <v>27447344702</v>
      </c>
      <c r="AQ118" s="31">
        <f t="shared" si="69"/>
        <v>0</v>
      </c>
      <c r="AR118" s="31">
        <f t="shared" si="69"/>
        <v>0</v>
      </c>
      <c r="AS118" s="30">
        <f t="shared" si="69"/>
        <v>27447344702</v>
      </c>
      <c r="AT118" s="30">
        <f t="shared" ref="AT118:AT122" si="70">AQ118+AS118</f>
        <v>27447344702</v>
      </c>
      <c r="AU118" s="18">
        <f>AJ118-AM118</f>
        <v>8552655298</v>
      </c>
      <c r="AV118" s="34">
        <f>AM118-AP118</f>
        <v>0</v>
      </c>
      <c r="AW118" s="34">
        <f>AP118-AT118</f>
        <v>0</v>
      </c>
      <c r="AX118" s="32">
        <f t="shared" si="68"/>
        <v>0.76242624172222218</v>
      </c>
    </row>
    <row r="119" spans="1:50" ht="22.5" customHeight="1" x14ac:dyDescent="0.2">
      <c r="A119" s="27" t="s">
        <v>55</v>
      </c>
      <c r="B119" s="27" t="s">
        <v>56</v>
      </c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8" t="s">
        <v>220</v>
      </c>
      <c r="AB119" s="29" t="s">
        <v>221</v>
      </c>
      <c r="AC119" s="30" t="s">
        <v>37</v>
      </c>
      <c r="AD119" s="30">
        <f>AD120</f>
        <v>36000000000</v>
      </c>
      <c r="AE119" s="31">
        <f t="shared" si="69"/>
        <v>0</v>
      </c>
      <c r="AF119" s="31">
        <f t="shared" si="69"/>
        <v>0</v>
      </c>
      <c r="AG119" s="31">
        <f t="shared" si="69"/>
        <v>0</v>
      </c>
      <c r="AH119" s="31">
        <f t="shared" si="69"/>
        <v>0</v>
      </c>
      <c r="AI119" s="31">
        <f t="shared" si="69"/>
        <v>0</v>
      </c>
      <c r="AJ119" s="30">
        <f t="shared" si="69"/>
        <v>36000000000</v>
      </c>
      <c r="AK119" s="31">
        <f t="shared" si="69"/>
        <v>0</v>
      </c>
      <c r="AL119" s="31">
        <f t="shared" si="69"/>
        <v>0</v>
      </c>
      <c r="AM119" s="30">
        <f t="shared" si="69"/>
        <v>27447344702</v>
      </c>
      <c r="AN119" s="31">
        <f t="shared" si="69"/>
        <v>0</v>
      </c>
      <c r="AO119" s="31">
        <f t="shared" si="69"/>
        <v>0</v>
      </c>
      <c r="AP119" s="30">
        <f t="shared" si="69"/>
        <v>27447344702</v>
      </c>
      <c r="AQ119" s="31">
        <f t="shared" si="69"/>
        <v>0</v>
      </c>
      <c r="AR119" s="31">
        <f t="shared" si="69"/>
        <v>0</v>
      </c>
      <c r="AS119" s="30">
        <f t="shared" si="69"/>
        <v>27447344702</v>
      </c>
      <c r="AT119" s="30">
        <f t="shared" si="70"/>
        <v>27447344702</v>
      </c>
      <c r="AU119" s="18">
        <f>AJ119-AM119</f>
        <v>8552655298</v>
      </c>
      <c r="AV119" s="34">
        <f>AM119-AP119</f>
        <v>0</v>
      </c>
      <c r="AW119" s="34">
        <f>AP119-AT119</f>
        <v>0</v>
      </c>
      <c r="AX119" s="32">
        <f t="shared" si="68"/>
        <v>0.76242624172222218</v>
      </c>
    </row>
    <row r="120" spans="1:50" ht="27" customHeight="1" x14ac:dyDescent="0.2">
      <c r="A120" s="27" t="s">
        <v>55</v>
      </c>
      <c r="B120" s="27" t="s">
        <v>56</v>
      </c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8" t="s">
        <v>222</v>
      </c>
      <c r="AB120" s="29" t="s">
        <v>223</v>
      </c>
      <c r="AC120" s="30" t="s">
        <v>37</v>
      </c>
      <c r="AD120" s="30">
        <f>AD121+AD122</f>
        <v>36000000000</v>
      </c>
      <c r="AE120" s="31">
        <f t="shared" ref="AE120:AS120" si="71">AE121+AE122</f>
        <v>0</v>
      </c>
      <c r="AF120" s="31">
        <f t="shared" si="71"/>
        <v>0</v>
      </c>
      <c r="AG120" s="31">
        <f t="shared" si="71"/>
        <v>0</v>
      </c>
      <c r="AH120" s="31">
        <f t="shared" si="71"/>
        <v>0</v>
      </c>
      <c r="AI120" s="31">
        <f t="shared" si="71"/>
        <v>0</v>
      </c>
      <c r="AJ120" s="30">
        <f t="shared" si="71"/>
        <v>36000000000</v>
      </c>
      <c r="AK120" s="31">
        <f t="shared" si="71"/>
        <v>0</v>
      </c>
      <c r="AL120" s="31">
        <f t="shared" si="71"/>
        <v>0</v>
      </c>
      <c r="AM120" s="30">
        <f t="shared" si="71"/>
        <v>27447344702</v>
      </c>
      <c r="AN120" s="31">
        <f t="shared" si="71"/>
        <v>0</v>
      </c>
      <c r="AO120" s="31">
        <f t="shared" si="71"/>
        <v>0</v>
      </c>
      <c r="AP120" s="30">
        <f t="shared" si="71"/>
        <v>27447344702</v>
      </c>
      <c r="AQ120" s="31">
        <f t="shared" si="71"/>
        <v>0</v>
      </c>
      <c r="AR120" s="31">
        <f t="shared" si="71"/>
        <v>0</v>
      </c>
      <c r="AS120" s="30">
        <f t="shared" si="71"/>
        <v>27447344702</v>
      </c>
      <c r="AT120" s="30">
        <f t="shared" si="70"/>
        <v>27447344702</v>
      </c>
      <c r="AU120" s="18">
        <f>AJ120-AM120</f>
        <v>8552655298</v>
      </c>
      <c r="AV120" s="34">
        <f>AM120-AP120</f>
        <v>0</v>
      </c>
      <c r="AW120" s="34">
        <f>AP120-AT120</f>
        <v>0</v>
      </c>
      <c r="AX120" s="32">
        <f t="shared" si="68"/>
        <v>0.76242624172222218</v>
      </c>
    </row>
    <row r="121" spans="1:50" ht="18.75" customHeight="1" x14ac:dyDescent="0.2">
      <c r="A121" s="14" t="s">
        <v>55</v>
      </c>
      <c r="B121" s="15" t="s">
        <v>56</v>
      </c>
      <c r="C121" s="15"/>
      <c r="D121" s="15" t="s">
        <v>40</v>
      </c>
      <c r="E121" s="15"/>
      <c r="F121" s="15"/>
      <c r="G121" s="15" t="s">
        <v>41</v>
      </c>
      <c r="H121" s="15"/>
      <c r="I121" s="15" t="s">
        <v>936</v>
      </c>
      <c r="J121" s="15"/>
      <c r="K121" s="15" t="s">
        <v>932</v>
      </c>
      <c r="L121" s="15"/>
      <c r="M121" s="15" t="s">
        <v>933</v>
      </c>
      <c r="N121" s="15"/>
      <c r="O121" s="15" t="s">
        <v>943</v>
      </c>
      <c r="P121" s="15"/>
      <c r="Q121" s="15" t="s">
        <v>939</v>
      </c>
      <c r="R121" s="15"/>
      <c r="S121" s="15" t="s">
        <v>940</v>
      </c>
      <c r="T121" s="15">
        <v>0</v>
      </c>
      <c r="U121" s="15">
        <v>0</v>
      </c>
      <c r="V121" s="15">
        <v>0</v>
      </c>
      <c r="W121" s="15">
        <v>0</v>
      </c>
      <c r="X121" s="15" t="s">
        <v>937</v>
      </c>
      <c r="Y121" s="15"/>
      <c r="Z121" s="15"/>
      <c r="AA121" s="16" t="s">
        <v>224</v>
      </c>
      <c r="AB121" s="17" t="s">
        <v>225</v>
      </c>
      <c r="AC121" s="17" t="s">
        <v>226</v>
      </c>
      <c r="AD121" s="18">
        <v>35280000000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18">
        <v>35280000000</v>
      </c>
      <c r="AK121" s="34">
        <v>0</v>
      </c>
      <c r="AL121" s="34">
        <v>0</v>
      </c>
      <c r="AM121" s="18">
        <v>27277483561</v>
      </c>
      <c r="AN121" s="34">
        <v>0</v>
      </c>
      <c r="AO121" s="34">
        <v>0</v>
      </c>
      <c r="AP121" s="18">
        <v>27277483561</v>
      </c>
      <c r="AQ121" s="34">
        <v>0</v>
      </c>
      <c r="AR121" s="34">
        <f>AS121-JULIO!AS121</f>
        <v>0</v>
      </c>
      <c r="AS121" s="18">
        <v>27277483561</v>
      </c>
      <c r="AT121" s="39">
        <f t="shared" si="70"/>
        <v>27277483561</v>
      </c>
      <c r="AU121" s="18">
        <f>AJ121-AM121</f>
        <v>8002516439</v>
      </c>
      <c r="AV121" s="34">
        <f>AM121-AP121</f>
        <v>0</v>
      </c>
      <c r="AW121" s="34">
        <f>AP121-AT121</f>
        <v>0</v>
      </c>
      <c r="AX121" s="32">
        <f t="shared" si="68"/>
        <v>0.77317130274943313</v>
      </c>
    </row>
    <row r="122" spans="1:50" ht="18.75" customHeight="1" x14ac:dyDescent="0.2">
      <c r="A122" s="14" t="s">
        <v>55</v>
      </c>
      <c r="B122" s="15" t="s">
        <v>56</v>
      </c>
      <c r="C122" s="15"/>
      <c r="D122" s="15" t="s">
        <v>40</v>
      </c>
      <c r="E122" s="15"/>
      <c r="F122" s="15"/>
      <c r="G122" s="15" t="s">
        <v>41</v>
      </c>
      <c r="H122" s="15"/>
      <c r="I122" s="15" t="s">
        <v>936</v>
      </c>
      <c r="J122" s="15"/>
      <c r="K122" s="15" t="s">
        <v>932</v>
      </c>
      <c r="L122" s="15"/>
      <c r="M122" s="15" t="s">
        <v>933</v>
      </c>
      <c r="N122" s="15"/>
      <c r="O122" s="15" t="s">
        <v>943</v>
      </c>
      <c r="P122" s="15"/>
      <c r="Q122" s="15" t="s">
        <v>939</v>
      </c>
      <c r="R122" s="15"/>
      <c r="S122" s="15" t="s">
        <v>940</v>
      </c>
      <c r="T122" s="15">
        <v>0</v>
      </c>
      <c r="U122" s="15">
        <v>0</v>
      </c>
      <c r="V122" s="15">
        <v>0</v>
      </c>
      <c r="W122" s="15">
        <v>0</v>
      </c>
      <c r="X122" s="15" t="s">
        <v>937</v>
      </c>
      <c r="Y122" s="15"/>
      <c r="Z122" s="15"/>
      <c r="AA122" s="16" t="s">
        <v>227</v>
      </c>
      <c r="AB122" s="17" t="s">
        <v>228</v>
      </c>
      <c r="AC122" s="17" t="s">
        <v>226</v>
      </c>
      <c r="AD122" s="18">
        <v>720000000</v>
      </c>
      <c r="AE122" s="34">
        <v>0</v>
      </c>
      <c r="AF122" s="34">
        <v>0</v>
      </c>
      <c r="AG122" s="34">
        <v>0</v>
      </c>
      <c r="AH122" s="34">
        <v>0</v>
      </c>
      <c r="AI122" s="34">
        <v>0</v>
      </c>
      <c r="AJ122" s="18">
        <v>720000000</v>
      </c>
      <c r="AK122" s="34">
        <v>0</v>
      </c>
      <c r="AL122" s="34">
        <v>0</v>
      </c>
      <c r="AM122" s="18">
        <v>169861141</v>
      </c>
      <c r="AN122" s="34">
        <v>0</v>
      </c>
      <c r="AO122" s="34">
        <v>0</v>
      </c>
      <c r="AP122" s="18">
        <v>169861141</v>
      </c>
      <c r="AQ122" s="34">
        <v>0</v>
      </c>
      <c r="AR122" s="34">
        <f>AS122-JULIO!AS122</f>
        <v>0</v>
      </c>
      <c r="AS122" s="18">
        <v>169861141</v>
      </c>
      <c r="AT122" s="39">
        <f t="shared" si="70"/>
        <v>169861141</v>
      </c>
      <c r="AU122" s="18">
        <f>AJ122-AM122</f>
        <v>550138859</v>
      </c>
      <c r="AV122" s="34">
        <f>AM122-AP122</f>
        <v>0</v>
      </c>
      <c r="AW122" s="34">
        <f>AP122-AT122</f>
        <v>0</v>
      </c>
      <c r="AX122" s="32">
        <f t="shared" si="68"/>
        <v>0.23591825138888889</v>
      </c>
    </row>
    <row r="123" spans="1:50" s="25" customFormat="1" ht="18.75" customHeight="1" x14ac:dyDescent="0.2">
      <c r="A123" s="19" t="s">
        <v>55</v>
      </c>
      <c r="B123" s="19" t="s">
        <v>56</v>
      </c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26" t="s">
        <v>884</v>
      </c>
      <c r="AB123" s="21" t="s">
        <v>229</v>
      </c>
      <c r="AC123" s="22" t="s">
        <v>56</v>
      </c>
      <c r="AD123" s="22">
        <f>AD124</f>
        <v>42253026328</v>
      </c>
      <c r="AE123" s="22">
        <f t="shared" ref="AE123:AW123" si="72">AE124</f>
        <v>429925823.10000002</v>
      </c>
      <c r="AF123" s="23">
        <f t="shared" si="72"/>
        <v>0</v>
      </c>
      <c r="AG123" s="22">
        <f t="shared" si="72"/>
        <v>184000000</v>
      </c>
      <c r="AH123" s="22">
        <f t="shared" si="72"/>
        <v>5256448768.7200003</v>
      </c>
      <c r="AI123" s="22">
        <f t="shared" si="72"/>
        <v>-4642522945.6199999</v>
      </c>
      <c r="AJ123" s="22">
        <f t="shared" si="72"/>
        <v>37610503382.379997</v>
      </c>
      <c r="AK123" s="23">
        <f t="shared" si="72"/>
        <v>0</v>
      </c>
      <c r="AL123" s="22">
        <f t="shared" si="72"/>
        <v>2079677958.6400001</v>
      </c>
      <c r="AM123" s="22">
        <f t="shared" si="72"/>
        <v>21539828809.049999</v>
      </c>
      <c r="AN123" s="23">
        <f t="shared" si="72"/>
        <v>0</v>
      </c>
      <c r="AO123" s="22">
        <f t="shared" si="72"/>
        <v>2079678637.6400001</v>
      </c>
      <c r="AP123" s="22">
        <f t="shared" si="72"/>
        <v>21539828806.049999</v>
      </c>
      <c r="AQ123" s="23">
        <f t="shared" si="72"/>
        <v>0</v>
      </c>
      <c r="AR123" s="22">
        <f t="shared" si="72"/>
        <v>23319380.600000001</v>
      </c>
      <c r="AS123" s="22">
        <f t="shared" si="72"/>
        <v>19417839757.009998</v>
      </c>
      <c r="AT123" s="22">
        <f>AQ123+AS123</f>
        <v>19417839757.009998</v>
      </c>
      <c r="AU123" s="22">
        <f t="shared" si="72"/>
        <v>16070674573.329998</v>
      </c>
      <c r="AV123" s="23">
        <f t="shared" si="72"/>
        <v>3</v>
      </c>
      <c r="AW123" s="22">
        <f t="shared" si="72"/>
        <v>2121989049.0400009</v>
      </c>
      <c r="AX123" s="24">
        <f t="shared" si="68"/>
        <v>0.57270780417528555</v>
      </c>
    </row>
    <row r="124" spans="1:50" ht="18.75" customHeight="1" x14ac:dyDescent="0.2">
      <c r="A124" s="27" t="s">
        <v>55</v>
      </c>
      <c r="B124" s="27" t="s">
        <v>56</v>
      </c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8" t="s">
        <v>885</v>
      </c>
      <c r="AB124" s="29" t="s">
        <v>230</v>
      </c>
      <c r="AC124" s="30" t="s">
        <v>56</v>
      </c>
      <c r="AD124" s="30">
        <f>AD125+AD131+AD134+AD136+AD137+AD138</f>
        <v>42253026328</v>
      </c>
      <c r="AE124" s="30">
        <f t="shared" ref="AE124:AS124" si="73">AE125+AE131+AE134+AE136+AE137+AE138</f>
        <v>429925823.10000002</v>
      </c>
      <c r="AF124" s="31">
        <f t="shared" si="73"/>
        <v>0</v>
      </c>
      <c r="AG124" s="30">
        <f t="shared" si="73"/>
        <v>184000000</v>
      </c>
      <c r="AH124" s="30">
        <f t="shared" si="73"/>
        <v>5256448768.7200003</v>
      </c>
      <c r="AI124" s="30">
        <f t="shared" si="73"/>
        <v>-4642522945.6199999</v>
      </c>
      <c r="AJ124" s="30">
        <f t="shared" si="73"/>
        <v>37610503382.379997</v>
      </c>
      <c r="AK124" s="31">
        <f t="shared" si="73"/>
        <v>0</v>
      </c>
      <c r="AL124" s="30">
        <f t="shared" si="73"/>
        <v>2079677958.6400001</v>
      </c>
      <c r="AM124" s="30">
        <f t="shared" si="73"/>
        <v>21539828809.049999</v>
      </c>
      <c r="AN124" s="31">
        <f t="shared" si="73"/>
        <v>0</v>
      </c>
      <c r="AO124" s="30">
        <f t="shared" si="73"/>
        <v>2079678637.6400001</v>
      </c>
      <c r="AP124" s="30">
        <f t="shared" si="73"/>
        <v>21539828806.049999</v>
      </c>
      <c r="AQ124" s="31">
        <f t="shared" si="73"/>
        <v>0</v>
      </c>
      <c r="AR124" s="30">
        <f t="shared" si="73"/>
        <v>23319380.600000001</v>
      </c>
      <c r="AS124" s="30">
        <f t="shared" si="73"/>
        <v>19417839757.009998</v>
      </c>
      <c r="AT124" s="30">
        <f t="shared" ref="AT124:AT138" si="74">AQ124+AS124</f>
        <v>19417839757.009998</v>
      </c>
      <c r="AU124" s="18">
        <f>AJ124-AM124</f>
        <v>16070674573.329998</v>
      </c>
      <c r="AV124" s="34">
        <f>AM124-AP124</f>
        <v>3</v>
      </c>
      <c r="AW124" s="18">
        <f>AP124-AT124</f>
        <v>2121989049.0400009</v>
      </c>
      <c r="AX124" s="32">
        <f t="shared" si="68"/>
        <v>0.57270780417528555</v>
      </c>
    </row>
    <row r="125" spans="1:50" ht="18.75" customHeight="1" x14ac:dyDescent="0.2">
      <c r="A125" s="27" t="s">
        <v>55</v>
      </c>
      <c r="B125" s="27" t="s">
        <v>56</v>
      </c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8" t="s">
        <v>886</v>
      </c>
      <c r="AB125" s="29" t="s">
        <v>231</v>
      </c>
      <c r="AC125" s="30" t="s">
        <v>56</v>
      </c>
      <c r="AD125" s="30">
        <f>AD126</f>
        <v>40897026328</v>
      </c>
      <c r="AE125" s="30">
        <f>AE126</f>
        <v>429925823.10000002</v>
      </c>
      <c r="AF125" s="31">
        <f t="shared" ref="AF125:AS125" si="75">AF126</f>
        <v>0</v>
      </c>
      <c r="AG125" s="31">
        <f t="shared" si="75"/>
        <v>0</v>
      </c>
      <c r="AH125" s="30">
        <f t="shared" si="75"/>
        <v>5256448768.7200003</v>
      </c>
      <c r="AI125" s="30">
        <f t="shared" si="75"/>
        <v>-4826522945.6199999</v>
      </c>
      <c r="AJ125" s="30">
        <f t="shared" si="75"/>
        <v>36070503382.379997</v>
      </c>
      <c r="AK125" s="31">
        <f t="shared" si="75"/>
        <v>0</v>
      </c>
      <c r="AL125" s="30">
        <f t="shared" si="75"/>
        <v>2051046324</v>
      </c>
      <c r="AM125" s="30">
        <f t="shared" si="75"/>
        <v>20772262614.599998</v>
      </c>
      <c r="AN125" s="31">
        <f t="shared" si="75"/>
        <v>0</v>
      </c>
      <c r="AO125" s="30">
        <f t="shared" si="75"/>
        <v>2051046324</v>
      </c>
      <c r="AP125" s="30">
        <f t="shared" si="75"/>
        <v>20772262614.599998</v>
      </c>
      <c r="AQ125" s="31">
        <f t="shared" si="75"/>
        <v>0</v>
      </c>
      <c r="AR125" s="172">
        <f t="shared" si="75"/>
        <v>0</v>
      </c>
      <c r="AS125" s="113">
        <f t="shared" si="75"/>
        <v>18682536770.599998</v>
      </c>
      <c r="AT125" s="30">
        <f t="shared" si="74"/>
        <v>18682536770.599998</v>
      </c>
      <c r="AU125" s="18">
        <f>AJ125-AM125</f>
        <v>15298240767.779999</v>
      </c>
      <c r="AV125" s="34">
        <f>AM125-AP125</f>
        <v>0</v>
      </c>
      <c r="AW125" s="18">
        <f>AP125-AT125</f>
        <v>2089725844</v>
      </c>
      <c r="AX125" s="32">
        <f t="shared" si="68"/>
        <v>0.57587947676790663</v>
      </c>
    </row>
    <row r="126" spans="1:50" ht="29.25" customHeight="1" x14ac:dyDescent="0.2">
      <c r="A126" s="27" t="s">
        <v>55</v>
      </c>
      <c r="B126" s="27" t="s">
        <v>56</v>
      </c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8" t="s">
        <v>887</v>
      </c>
      <c r="AB126" s="29" t="s">
        <v>232</v>
      </c>
      <c r="AC126" s="30" t="s">
        <v>37</v>
      </c>
      <c r="AD126" s="30">
        <f>AD127+AD128+AD129+AD130</f>
        <v>40897026328</v>
      </c>
      <c r="AE126" s="30">
        <f t="shared" ref="AE126:AW126" si="76">AE127+AE128+AE129+AE130</f>
        <v>429925823.10000002</v>
      </c>
      <c r="AF126" s="31">
        <f t="shared" si="76"/>
        <v>0</v>
      </c>
      <c r="AG126" s="31">
        <f t="shared" si="76"/>
        <v>0</v>
      </c>
      <c r="AH126" s="30">
        <f t="shared" si="76"/>
        <v>5256448768.7200003</v>
      </c>
      <c r="AI126" s="30">
        <f t="shared" si="76"/>
        <v>-4826522945.6199999</v>
      </c>
      <c r="AJ126" s="30">
        <f t="shared" si="76"/>
        <v>36070503382.379997</v>
      </c>
      <c r="AK126" s="31">
        <f t="shared" si="76"/>
        <v>0</v>
      </c>
      <c r="AL126" s="30">
        <f t="shared" si="76"/>
        <v>2051046324</v>
      </c>
      <c r="AM126" s="30">
        <f t="shared" si="76"/>
        <v>20772262614.599998</v>
      </c>
      <c r="AN126" s="31">
        <f t="shared" si="76"/>
        <v>0</v>
      </c>
      <c r="AO126" s="30">
        <f t="shared" si="76"/>
        <v>2051046324</v>
      </c>
      <c r="AP126" s="30">
        <f t="shared" si="76"/>
        <v>20772262614.599998</v>
      </c>
      <c r="AQ126" s="31">
        <f t="shared" si="76"/>
        <v>0</v>
      </c>
      <c r="AR126" s="31">
        <f t="shared" si="76"/>
        <v>0</v>
      </c>
      <c r="AS126" s="30">
        <f t="shared" si="76"/>
        <v>18682536770.599998</v>
      </c>
      <c r="AT126" s="30">
        <f t="shared" si="76"/>
        <v>18682536770.599998</v>
      </c>
      <c r="AU126" s="30">
        <f t="shared" si="76"/>
        <v>15298240767.779999</v>
      </c>
      <c r="AV126" s="31">
        <f t="shared" si="76"/>
        <v>0</v>
      </c>
      <c r="AW126" s="30">
        <f t="shared" si="76"/>
        <v>2089725844</v>
      </c>
      <c r="AX126" s="32">
        <f t="shared" si="68"/>
        <v>0.57587947676790663</v>
      </c>
    </row>
    <row r="127" spans="1:50" ht="18.75" customHeight="1" x14ac:dyDescent="0.2">
      <c r="A127" s="14" t="s">
        <v>55</v>
      </c>
      <c r="B127" s="15" t="s">
        <v>56</v>
      </c>
      <c r="C127" s="15"/>
      <c r="D127" s="15" t="s">
        <v>40</v>
      </c>
      <c r="E127" s="15"/>
      <c r="F127" s="15"/>
      <c r="G127" s="15" t="s">
        <v>41</v>
      </c>
      <c r="H127" s="15"/>
      <c r="I127" s="15" t="s">
        <v>936</v>
      </c>
      <c r="J127" s="15"/>
      <c r="K127" s="15" t="s">
        <v>932</v>
      </c>
      <c r="L127" s="15"/>
      <c r="M127" s="15" t="s">
        <v>933</v>
      </c>
      <c r="N127" s="15"/>
      <c r="O127" s="15" t="s">
        <v>938</v>
      </c>
      <c r="P127" s="15"/>
      <c r="Q127" s="15" t="s">
        <v>939</v>
      </c>
      <c r="R127" s="15"/>
      <c r="S127" s="15" t="s">
        <v>940</v>
      </c>
      <c r="T127" s="15">
        <v>0</v>
      </c>
      <c r="U127" s="15">
        <v>0</v>
      </c>
      <c r="V127" s="15">
        <v>0</v>
      </c>
      <c r="W127" s="15">
        <v>0</v>
      </c>
      <c r="X127" s="15" t="s">
        <v>937</v>
      </c>
      <c r="Y127" s="15"/>
      <c r="Z127" s="15"/>
      <c r="AA127" s="41" t="s">
        <v>888</v>
      </c>
      <c r="AB127" s="17" t="s">
        <v>233</v>
      </c>
      <c r="AC127" s="17" t="s">
        <v>58</v>
      </c>
      <c r="AD127" s="18">
        <v>28000000000</v>
      </c>
      <c r="AE127" s="34">
        <v>0</v>
      </c>
      <c r="AF127" s="34">
        <v>0</v>
      </c>
      <c r="AG127" s="34">
        <v>0</v>
      </c>
      <c r="AH127" s="18">
        <f>900000000+80000000+2830200000+365556246.72+1056495322+24197200</f>
        <v>5256448768.7200003</v>
      </c>
      <c r="AI127" s="18">
        <f>AE127-AF127+AG127-AH127</f>
        <v>-5256448768.7200003</v>
      </c>
      <c r="AJ127" s="18">
        <f>AD127+AI127</f>
        <v>22743551231.279999</v>
      </c>
      <c r="AK127" s="34">
        <v>0</v>
      </c>
      <c r="AL127" s="18">
        <f>AM127-AGOSTO!AM127</f>
        <v>1892099921</v>
      </c>
      <c r="AM127" s="18">
        <v>8524754336.8999996</v>
      </c>
      <c r="AN127" s="34">
        <v>0</v>
      </c>
      <c r="AO127" s="18">
        <v>1892099921</v>
      </c>
      <c r="AP127" s="18">
        <v>8524754336.8999996</v>
      </c>
      <c r="AQ127" s="34">
        <v>0</v>
      </c>
      <c r="AR127" s="34">
        <v>0</v>
      </c>
      <c r="AS127" s="18">
        <v>6632630115.8999996</v>
      </c>
      <c r="AT127" s="39">
        <f t="shared" si="74"/>
        <v>6632630115.8999996</v>
      </c>
      <c r="AU127" s="18">
        <f t="shared" ref="AU127:AU138" si="77">AJ127-AM127</f>
        <v>14218796894.379999</v>
      </c>
      <c r="AV127" s="34">
        <f t="shared" ref="AV127:AV138" si="78">AM127-AP127</f>
        <v>0</v>
      </c>
      <c r="AW127" s="18">
        <f t="shared" ref="AW127:AW138" si="79">AP127-AT127</f>
        <v>1892124221</v>
      </c>
      <c r="AX127" s="32">
        <f t="shared" si="68"/>
        <v>0.37482072391472482</v>
      </c>
    </row>
    <row r="128" spans="1:50" ht="28.5" customHeight="1" x14ac:dyDescent="0.2">
      <c r="A128" s="4" t="s">
        <v>55</v>
      </c>
      <c r="B128" s="4" t="s">
        <v>56</v>
      </c>
      <c r="C128" s="4"/>
      <c r="D128" s="4" t="s">
        <v>40</v>
      </c>
      <c r="E128" s="4"/>
      <c r="F128" s="4"/>
      <c r="G128" s="4" t="s">
        <v>41</v>
      </c>
      <c r="H128" s="4"/>
      <c r="I128" s="4" t="s">
        <v>936</v>
      </c>
      <c r="J128" s="4"/>
      <c r="K128" s="4" t="s">
        <v>932</v>
      </c>
      <c r="L128" s="4"/>
      <c r="M128" s="4" t="s">
        <v>933</v>
      </c>
      <c r="N128" s="4"/>
      <c r="O128" s="4" t="s">
        <v>938</v>
      </c>
      <c r="P128" s="4"/>
      <c r="Q128" s="4" t="s">
        <v>939</v>
      </c>
      <c r="R128" s="4"/>
      <c r="S128" s="4" t="s">
        <v>940</v>
      </c>
      <c r="T128" s="4">
        <v>0</v>
      </c>
      <c r="U128" s="4">
        <v>0</v>
      </c>
      <c r="V128" s="4">
        <v>0</v>
      </c>
      <c r="W128" s="4">
        <v>0</v>
      </c>
      <c r="X128" s="4" t="s">
        <v>937</v>
      </c>
      <c r="Y128" s="4"/>
      <c r="Z128" s="4"/>
      <c r="AA128" s="41" t="s">
        <v>889</v>
      </c>
      <c r="AB128" s="42" t="s">
        <v>234</v>
      </c>
      <c r="AC128" s="43" t="s">
        <v>235</v>
      </c>
      <c r="AD128" s="43">
        <v>10000000000</v>
      </c>
      <c r="AE128" s="44">
        <v>0</v>
      </c>
      <c r="AF128" s="44">
        <v>0</v>
      </c>
      <c r="AG128" s="44">
        <v>0</v>
      </c>
      <c r="AH128" s="44">
        <v>0</v>
      </c>
      <c r="AI128" s="44">
        <v>0</v>
      </c>
      <c r="AJ128" s="43">
        <v>10000000000</v>
      </c>
      <c r="AK128" s="44">
        <v>0</v>
      </c>
      <c r="AL128" s="34">
        <f>AM128-AGOSTO!AM128</f>
        <v>0</v>
      </c>
      <c r="AM128" s="43">
        <v>10000000000</v>
      </c>
      <c r="AN128" s="44">
        <v>0</v>
      </c>
      <c r="AO128" s="44">
        <v>0</v>
      </c>
      <c r="AP128" s="43">
        <v>10000000000</v>
      </c>
      <c r="AQ128" s="44">
        <v>0</v>
      </c>
      <c r="AR128" s="34">
        <v>0</v>
      </c>
      <c r="AS128" s="114">
        <v>10000000000</v>
      </c>
      <c r="AT128" s="39">
        <f t="shared" si="74"/>
        <v>10000000000</v>
      </c>
      <c r="AU128" s="34">
        <f t="shared" si="77"/>
        <v>0</v>
      </c>
      <c r="AV128" s="34">
        <f t="shared" si="78"/>
        <v>0</v>
      </c>
      <c r="AW128" s="34">
        <f t="shared" si="79"/>
        <v>0</v>
      </c>
      <c r="AX128" s="32">
        <f t="shared" si="68"/>
        <v>1</v>
      </c>
    </row>
    <row r="129" spans="1:50" ht="27" customHeight="1" x14ac:dyDescent="0.2">
      <c r="A129" s="4" t="s">
        <v>55</v>
      </c>
      <c r="B129" s="4" t="s">
        <v>56</v>
      </c>
      <c r="C129" s="4"/>
      <c r="D129" s="4" t="s">
        <v>40</v>
      </c>
      <c r="E129" s="4"/>
      <c r="F129" s="4"/>
      <c r="G129" s="4" t="s">
        <v>41</v>
      </c>
      <c r="H129" s="4"/>
      <c r="I129" s="4" t="s">
        <v>936</v>
      </c>
      <c r="J129" s="4"/>
      <c r="K129" s="4" t="s">
        <v>932</v>
      </c>
      <c r="L129" s="4"/>
      <c r="M129" s="4" t="s">
        <v>933</v>
      </c>
      <c r="N129" s="4"/>
      <c r="O129" s="4" t="s">
        <v>938</v>
      </c>
      <c r="P129" s="4"/>
      <c r="Q129" s="4" t="s">
        <v>939</v>
      </c>
      <c r="R129" s="4"/>
      <c r="S129" s="4" t="s">
        <v>940</v>
      </c>
      <c r="T129" s="4">
        <v>0</v>
      </c>
      <c r="U129" s="4">
        <v>0</v>
      </c>
      <c r="V129" s="4">
        <v>0</v>
      </c>
      <c r="W129" s="4">
        <v>0</v>
      </c>
      <c r="X129" s="4" t="s">
        <v>937</v>
      </c>
      <c r="Y129" s="4"/>
      <c r="Z129" s="4"/>
      <c r="AA129" s="41" t="s">
        <v>890</v>
      </c>
      <c r="AB129" s="42" t="s">
        <v>236</v>
      </c>
      <c r="AC129" s="38" t="s">
        <v>237</v>
      </c>
      <c r="AD129" s="39">
        <v>2897026328</v>
      </c>
      <c r="AE129" s="40">
        <v>0</v>
      </c>
      <c r="AF129" s="40">
        <v>0</v>
      </c>
      <c r="AG129" s="40">
        <v>0</v>
      </c>
      <c r="AH129" s="40">
        <v>0</v>
      </c>
      <c r="AI129" s="40">
        <v>0</v>
      </c>
      <c r="AJ129" s="39">
        <v>2897026328</v>
      </c>
      <c r="AK129" s="40">
        <v>0</v>
      </c>
      <c r="AL129" s="18">
        <f>AM129-AGOSTO!AM129</f>
        <v>158946403</v>
      </c>
      <c r="AM129" s="39">
        <v>1817582454.5999999</v>
      </c>
      <c r="AN129" s="40">
        <v>0</v>
      </c>
      <c r="AO129" s="39">
        <v>158946403</v>
      </c>
      <c r="AP129" s="39">
        <v>1817582454.5999999</v>
      </c>
      <c r="AQ129" s="40">
        <v>0</v>
      </c>
      <c r="AR129" s="34">
        <v>0</v>
      </c>
      <c r="AS129" s="39">
        <v>1619980831.5999999</v>
      </c>
      <c r="AT129" s="39">
        <f t="shared" si="74"/>
        <v>1619980831.5999999</v>
      </c>
      <c r="AU129" s="18">
        <f t="shared" si="77"/>
        <v>1079443873.4000001</v>
      </c>
      <c r="AV129" s="34">
        <f t="shared" si="78"/>
        <v>0</v>
      </c>
      <c r="AW129" s="18">
        <f t="shared" si="79"/>
        <v>197601623</v>
      </c>
      <c r="AX129" s="32">
        <f t="shared" si="68"/>
        <v>0.62739590490873853</v>
      </c>
    </row>
    <row r="130" spans="1:50" ht="27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1" t="s">
        <v>994</v>
      </c>
      <c r="AB130" s="42" t="s">
        <v>995</v>
      </c>
      <c r="AC130" s="38"/>
      <c r="AD130" s="39">
        <v>0</v>
      </c>
      <c r="AE130" s="39">
        <v>429925823.10000002</v>
      </c>
      <c r="AF130" s="40">
        <v>0</v>
      </c>
      <c r="AG130" s="40">
        <v>0</v>
      </c>
      <c r="AH130" s="40">
        <v>0</v>
      </c>
      <c r="AI130" s="18">
        <f>AE130-AF130+AG130-AH130</f>
        <v>429925823.10000002</v>
      </c>
      <c r="AJ130" s="18">
        <f>AD130+AI130</f>
        <v>429925823.10000002</v>
      </c>
      <c r="AK130" s="40">
        <v>0</v>
      </c>
      <c r="AL130" s="34">
        <f>AM130-AGOSTO!AM130</f>
        <v>0</v>
      </c>
      <c r="AM130" s="39">
        <v>429925823.10000002</v>
      </c>
      <c r="AN130" s="40">
        <v>0</v>
      </c>
      <c r="AO130" s="40">
        <v>0</v>
      </c>
      <c r="AP130" s="40">
        <v>429925823.10000002</v>
      </c>
      <c r="AQ130" s="40">
        <v>0</v>
      </c>
      <c r="AR130" s="34">
        <v>0</v>
      </c>
      <c r="AS130" s="40">
        <v>429925823.10000002</v>
      </c>
      <c r="AT130" s="30">
        <f t="shared" si="74"/>
        <v>429925823.10000002</v>
      </c>
      <c r="AU130" s="34">
        <f t="shared" si="77"/>
        <v>0</v>
      </c>
      <c r="AV130" s="34">
        <f t="shared" si="78"/>
        <v>0</v>
      </c>
      <c r="AW130" s="34">
        <f t="shared" si="79"/>
        <v>0</v>
      </c>
      <c r="AX130" s="32">
        <f t="shared" si="68"/>
        <v>1</v>
      </c>
    </row>
    <row r="131" spans="1:50" ht="18.75" customHeight="1" x14ac:dyDescent="0.2">
      <c r="A131" s="27" t="s">
        <v>55</v>
      </c>
      <c r="B131" s="27" t="s">
        <v>56</v>
      </c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8" t="s">
        <v>891</v>
      </c>
      <c r="AB131" s="29" t="s">
        <v>238</v>
      </c>
      <c r="AC131" s="30" t="s">
        <v>37</v>
      </c>
      <c r="AD131" s="30">
        <f>AD132+AD133</f>
        <v>1000000000</v>
      </c>
      <c r="AE131" s="31">
        <f t="shared" ref="AE131:AS131" si="80">AE132+AE133</f>
        <v>0</v>
      </c>
      <c r="AF131" s="31">
        <f t="shared" si="80"/>
        <v>0</v>
      </c>
      <c r="AG131" s="31">
        <f t="shared" si="80"/>
        <v>0</v>
      </c>
      <c r="AH131" s="31">
        <f t="shared" si="80"/>
        <v>0</v>
      </c>
      <c r="AI131" s="31">
        <f t="shared" si="80"/>
        <v>0</v>
      </c>
      <c r="AJ131" s="30">
        <f t="shared" si="80"/>
        <v>1000000000</v>
      </c>
      <c r="AK131" s="31">
        <f t="shared" si="80"/>
        <v>0</v>
      </c>
      <c r="AL131" s="109">
        <f t="shared" si="80"/>
        <v>10512472.639999999</v>
      </c>
      <c r="AM131" s="109">
        <f t="shared" si="80"/>
        <v>422617983.44999999</v>
      </c>
      <c r="AN131" s="31">
        <f t="shared" si="80"/>
        <v>0</v>
      </c>
      <c r="AO131" s="109">
        <f t="shared" si="80"/>
        <v>10512469.640000001</v>
      </c>
      <c r="AP131" s="109">
        <f t="shared" si="80"/>
        <v>422617980.44999999</v>
      </c>
      <c r="AQ131" s="31">
        <f t="shared" si="80"/>
        <v>0</v>
      </c>
      <c r="AR131" s="109">
        <f t="shared" si="80"/>
        <v>11097212.6</v>
      </c>
      <c r="AS131" s="109">
        <f t="shared" si="80"/>
        <v>417324012.41000003</v>
      </c>
      <c r="AT131" s="30">
        <f t="shared" si="74"/>
        <v>417324012.41000003</v>
      </c>
      <c r="AU131" s="176">
        <f t="shared" si="77"/>
        <v>577382016.54999995</v>
      </c>
      <c r="AV131" s="34">
        <f t="shared" si="78"/>
        <v>3</v>
      </c>
      <c r="AW131" s="18">
        <f t="shared" si="79"/>
        <v>5293968.0399999619</v>
      </c>
      <c r="AX131" s="32">
        <f t="shared" si="68"/>
        <v>0.42261798044999999</v>
      </c>
    </row>
    <row r="132" spans="1:50" ht="18.75" customHeight="1" x14ac:dyDescent="0.2">
      <c r="A132" s="4" t="s">
        <v>55</v>
      </c>
      <c r="B132" s="4" t="s">
        <v>56</v>
      </c>
      <c r="C132" s="4"/>
      <c r="D132" s="4" t="s">
        <v>40</v>
      </c>
      <c r="E132" s="4"/>
      <c r="F132" s="4"/>
      <c r="G132" s="4" t="s">
        <v>41</v>
      </c>
      <c r="H132" s="4"/>
      <c r="I132" s="4" t="s">
        <v>936</v>
      </c>
      <c r="J132" s="4"/>
      <c r="K132" s="4" t="s">
        <v>932</v>
      </c>
      <c r="L132" s="4"/>
      <c r="M132" s="4" t="s">
        <v>933</v>
      </c>
      <c r="N132" s="4"/>
      <c r="O132" s="4" t="s">
        <v>938</v>
      </c>
      <c r="P132" s="4"/>
      <c r="Q132" s="4" t="s">
        <v>939</v>
      </c>
      <c r="R132" s="4"/>
      <c r="S132" s="4" t="s">
        <v>940</v>
      </c>
      <c r="T132" s="4">
        <v>0</v>
      </c>
      <c r="U132" s="4">
        <v>0</v>
      </c>
      <c r="V132" s="4">
        <v>0</v>
      </c>
      <c r="W132" s="4">
        <v>0</v>
      </c>
      <c r="X132" s="4" t="s">
        <v>937</v>
      </c>
      <c r="Y132" s="4"/>
      <c r="Z132" s="4"/>
      <c r="AA132" s="41" t="s">
        <v>893</v>
      </c>
      <c r="AB132" s="42" t="s">
        <v>233</v>
      </c>
      <c r="AC132" s="43" t="s">
        <v>58</v>
      </c>
      <c r="AD132" s="43">
        <v>500000000</v>
      </c>
      <c r="AE132" s="44">
        <v>0</v>
      </c>
      <c r="AF132" s="44">
        <v>0</v>
      </c>
      <c r="AG132" s="44">
        <v>0</v>
      </c>
      <c r="AH132" s="44">
        <v>0</v>
      </c>
      <c r="AI132" s="44">
        <v>0</v>
      </c>
      <c r="AJ132" s="43">
        <v>500000000</v>
      </c>
      <c r="AK132" s="44">
        <v>0</v>
      </c>
      <c r="AL132" s="18">
        <f>AM132-AGOSTO!AM132</f>
        <v>10512472.639999999</v>
      </c>
      <c r="AM132" s="43">
        <v>26962019.449999999</v>
      </c>
      <c r="AN132" s="44">
        <v>0</v>
      </c>
      <c r="AO132" s="43">
        <v>10512469.640000001</v>
      </c>
      <c r="AP132" s="43">
        <v>26962016.449999999</v>
      </c>
      <c r="AQ132" s="44">
        <v>0</v>
      </c>
      <c r="AR132" s="43">
        <v>5218501.5999999996</v>
      </c>
      <c r="AS132" s="43">
        <v>21668048.41</v>
      </c>
      <c r="AT132" s="39">
        <f t="shared" si="74"/>
        <v>21668048.41</v>
      </c>
      <c r="AU132" s="18">
        <f t="shared" si="77"/>
        <v>473037980.55000001</v>
      </c>
      <c r="AV132" s="34">
        <f t="shared" si="78"/>
        <v>3</v>
      </c>
      <c r="AW132" s="18">
        <f t="shared" si="79"/>
        <v>5293968.0399999991</v>
      </c>
      <c r="AX132" s="32">
        <f t="shared" si="68"/>
        <v>5.3924032900000002E-2</v>
      </c>
    </row>
    <row r="133" spans="1:50" ht="18.75" customHeight="1" x14ac:dyDescent="0.2">
      <c r="A133" s="4" t="s">
        <v>55</v>
      </c>
      <c r="B133" s="4" t="s">
        <v>56</v>
      </c>
      <c r="C133" s="4"/>
      <c r="D133" s="4" t="s">
        <v>40</v>
      </c>
      <c r="E133" s="4"/>
      <c r="F133" s="4"/>
      <c r="G133" s="4" t="s">
        <v>41</v>
      </c>
      <c r="H133" s="4"/>
      <c r="I133" s="4" t="s">
        <v>936</v>
      </c>
      <c r="J133" s="4"/>
      <c r="K133" s="4" t="s">
        <v>932</v>
      </c>
      <c r="L133" s="4"/>
      <c r="M133" s="4" t="s">
        <v>933</v>
      </c>
      <c r="N133" s="4"/>
      <c r="O133" s="4" t="s">
        <v>938</v>
      </c>
      <c r="P133" s="4"/>
      <c r="Q133" s="4" t="s">
        <v>939</v>
      </c>
      <c r="R133" s="4"/>
      <c r="S133" s="4" t="s">
        <v>940</v>
      </c>
      <c r="T133" s="4">
        <v>0</v>
      </c>
      <c r="U133" s="4">
        <v>0</v>
      </c>
      <c r="V133" s="4">
        <v>0</v>
      </c>
      <c r="W133" s="4">
        <v>0</v>
      </c>
      <c r="X133" s="4" t="s">
        <v>937</v>
      </c>
      <c r="Y133" s="4"/>
      <c r="Z133" s="4"/>
      <c r="AA133" s="41" t="s">
        <v>892</v>
      </c>
      <c r="AB133" s="42" t="s">
        <v>239</v>
      </c>
      <c r="AC133" s="43" t="s">
        <v>240</v>
      </c>
      <c r="AD133" s="43">
        <v>500000000</v>
      </c>
      <c r="AE133" s="44">
        <v>0</v>
      </c>
      <c r="AF133" s="44">
        <v>0</v>
      </c>
      <c r="AG133" s="44">
        <v>0</v>
      </c>
      <c r="AH133" s="44">
        <v>0</v>
      </c>
      <c r="AI133" s="44">
        <v>0</v>
      </c>
      <c r="AJ133" s="43">
        <v>500000000</v>
      </c>
      <c r="AK133" s="44">
        <v>0</v>
      </c>
      <c r="AL133" s="115">
        <v>0</v>
      </c>
      <c r="AM133" s="114">
        <v>395655964</v>
      </c>
      <c r="AN133" s="44">
        <v>0</v>
      </c>
      <c r="AO133" s="114">
        <v>0</v>
      </c>
      <c r="AP133" s="114">
        <v>395655964</v>
      </c>
      <c r="AQ133" s="44">
        <v>0</v>
      </c>
      <c r="AR133" s="114">
        <v>5878711</v>
      </c>
      <c r="AS133" s="114">
        <v>395655964</v>
      </c>
      <c r="AT133" s="39">
        <f t="shared" si="74"/>
        <v>395655964</v>
      </c>
      <c r="AU133" s="18">
        <f t="shared" si="77"/>
        <v>104344036</v>
      </c>
      <c r="AV133" s="34">
        <f t="shared" si="78"/>
        <v>0</v>
      </c>
      <c r="AW133" s="34">
        <f t="shared" si="79"/>
        <v>0</v>
      </c>
      <c r="AX133" s="32">
        <f t="shared" si="68"/>
        <v>0.79131192800000005</v>
      </c>
    </row>
    <row r="134" spans="1:50" ht="18.75" customHeight="1" x14ac:dyDescent="0.2">
      <c r="A134" s="27" t="s">
        <v>55</v>
      </c>
      <c r="B134" s="27" t="s">
        <v>56</v>
      </c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8" t="s">
        <v>894</v>
      </c>
      <c r="AB134" s="29" t="s">
        <v>241</v>
      </c>
      <c r="AC134" s="30" t="s">
        <v>37</v>
      </c>
      <c r="AD134" s="30">
        <f>AD135</f>
        <v>80000000</v>
      </c>
      <c r="AE134" s="31">
        <f t="shared" ref="AE134:AS134" si="81">AE135</f>
        <v>0</v>
      </c>
      <c r="AF134" s="31">
        <f t="shared" si="81"/>
        <v>0</v>
      </c>
      <c r="AG134" s="30">
        <f t="shared" si="81"/>
        <v>160000000</v>
      </c>
      <c r="AH134" s="31">
        <f t="shared" si="81"/>
        <v>0</v>
      </c>
      <c r="AI134" s="30">
        <f t="shared" si="81"/>
        <v>160000000</v>
      </c>
      <c r="AJ134" s="30">
        <f t="shared" si="81"/>
        <v>240000000</v>
      </c>
      <c r="AK134" s="31">
        <f t="shared" si="81"/>
        <v>0</v>
      </c>
      <c r="AL134" s="30">
        <f t="shared" si="81"/>
        <v>9085260</v>
      </c>
      <c r="AM134" s="109">
        <f t="shared" si="81"/>
        <v>139592610</v>
      </c>
      <c r="AN134" s="31">
        <f t="shared" si="81"/>
        <v>0</v>
      </c>
      <c r="AO134" s="109">
        <f t="shared" si="81"/>
        <v>9085260</v>
      </c>
      <c r="AP134" s="109">
        <f t="shared" si="81"/>
        <v>139592610</v>
      </c>
      <c r="AQ134" s="31">
        <f t="shared" si="81"/>
        <v>0</v>
      </c>
      <c r="AR134" s="30">
        <f t="shared" si="81"/>
        <v>9085260</v>
      </c>
      <c r="AS134" s="109">
        <f t="shared" si="81"/>
        <v>139592610</v>
      </c>
      <c r="AT134" s="30">
        <f t="shared" si="74"/>
        <v>139592610</v>
      </c>
      <c r="AU134" s="176">
        <f t="shared" si="77"/>
        <v>100407390</v>
      </c>
      <c r="AV134" s="34">
        <f t="shared" si="78"/>
        <v>0</v>
      </c>
      <c r="AW134" s="34">
        <f t="shared" si="79"/>
        <v>0</v>
      </c>
      <c r="AX134" s="32">
        <f t="shared" si="68"/>
        <v>0.58163587500000002</v>
      </c>
    </row>
    <row r="135" spans="1:50" ht="18.75" customHeight="1" x14ac:dyDescent="0.2">
      <c r="A135" s="4" t="s">
        <v>55</v>
      </c>
      <c r="B135" s="4" t="s">
        <v>56</v>
      </c>
      <c r="C135" s="4"/>
      <c r="D135" s="4" t="s">
        <v>40</v>
      </c>
      <c r="E135" s="4"/>
      <c r="F135" s="4"/>
      <c r="G135" s="4" t="s">
        <v>41</v>
      </c>
      <c r="H135" s="4"/>
      <c r="I135" s="4" t="s">
        <v>936</v>
      </c>
      <c r="J135" s="4"/>
      <c r="K135" s="4" t="s">
        <v>932</v>
      </c>
      <c r="L135" s="4"/>
      <c r="M135" s="4" t="s">
        <v>933</v>
      </c>
      <c r="N135" s="4"/>
      <c r="O135" s="4" t="s">
        <v>938</v>
      </c>
      <c r="P135" s="4"/>
      <c r="Q135" s="4" t="s">
        <v>939</v>
      </c>
      <c r="R135" s="4"/>
      <c r="S135" s="4" t="s">
        <v>940</v>
      </c>
      <c r="T135" s="4">
        <v>0</v>
      </c>
      <c r="U135" s="4">
        <v>0</v>
      </c>
      <c r="V135" s="4">
        <v>0</v>
      </c>
      <c r="W135" s="4">
        <v>0</v>
      </c>
      <c r="X135" s="4" t="s">
        <v>937</v>
      </c>
      <c r="Y135" s="4"/>
      <c r="Z135" s="4"/>
      <c r="AA135" s="41" t="s">
        <v>895</v>
      </c>
      <c r="AB135" s="42" t="s">
        <v>242</v>
      </c>
      <c r="AC135" s="43" t="s">
        <v>58</v>
      </c>
      <c r="AD135" s="43">
        <v>80000000</v>
      </c>
      <c r="AE135" s="44">
        <v>0</v>
      </c>
      <c r="AF135" s="44">
        <v>0</v>
      </c>
      <c r="AG135" s="43">
        <v>160000000</v>
      </c>
      <c r="AH135" s="44">
        <v>0</v>
      </c>
      <c r="AI135" s="18">
        <f>AE135-AF135+AG135-AH135</f>
        <v>160000000</v>
      </c>
      <c r="AJ135" s="18">
        <f>AD135+AI135</f>
        <v>240000000</v>
      </c>
      <c r="AK135" s="44">
        <v>0</v>
      </c>
      <c r="AL135" s="18">
        <f>AM135-AGOSTO!AM135</f>
        <v>9085260</v>
      </c>
      <c r="AM135" s="114">
        <v>139592610</v>
      </c>
      <c r="AN135" s="44">
        <v>0</v>
      </c>
      <c r="AO135" s="114">
        <v>9085260</v>
      </c>
      <c r="AP135" s="114">
        <v>139592610</v>
      </c>
      <c r="AQ135" s="44">
        <v>0</v>
      </c>
      <c r="AR135" s="43">
        <v>9085260</v>
      </c>
      <c r="AS135" s="114">
        <v>139592610</v>
      </c>
      <c r="AT135" s="39">
        <f t="shared" si="74"/>
        <v>139592610</v>
      </c>
      <c r="AU135" s="18">
        <f t="shared" si="77"/>
        <v>100407390</v>
      </c>
      <c r="AV135" s="34">
        <f t="shared" si="78"/>
        <v>0</v>
      </c>
      <c r="AW135" s="34">
        <f t="shared" si="79"/>
        <v>0</v>
      </c>
      <c r="AX135" s="32">
        <f t="shared" si="68"/>
        <v>0.58163587500000002</v>
      </c>
    </row>
    <row r="136" spans="1:50" ht="18.75" customHeight="1" x14ac:dyDescent="0.2">
      <c r="A136" s="4" t="s">
        <v>55</v>
      </c>
      <c r="B136" s="4" t="s">
        <v>56</v>
      </c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1" t="s">
        <v>896</v>
      </c>
      <c r="AB136" s="42" t="s">
        <v>243</v>
      </c>
      <c r="AC136" s="43" t="s">
        <v>58</v>
      </c>
      <c r="AD136" s="44">
        <v>0</v>
      </c>
      <c r="AE136" s="44">
        <v>0</v>
      </c>
      <c r="AF136" s="44">
        <v>0</v>
      </c>
      <c r="AG136" s="44">
        <v>0</v>
      </c>
      <c r="AH136" s="44">
        <v>0</v>
      </c>
      <c r="AI136" s="44">
        <v>0</v>
      </c>
      <c r="AJ136" s="44">
        <v>0</v>
      </c>
      <c r="AK136" s="44">
        <v>0</v>
      </c>
      <c r="AL136" s="34">
        <f>AM136-AGOSTO!AM136</f>
        <v>0</v>
      </c>
      <c r="AM136" s="44">
        <v>0</v>
      </c>
      <c r="AN136" s="44">
        <v>0</v>
      </c>
      <c r="AO136" s="44">
        <v>0</v>
      </c>
      <c r="AP136" s="44">
        <v>0</v>
      </c>
      <c r="AQ136" s="44">
        <v>0</v>
      </c>
      <c r="AR136" s="44">
        <v>0</v>
      </c>
      <c r="AS136" s="44">
        <v>0</v>
      </c>
      <c r="AT136" s="40">
        <f t="shared" si="74"/>
        <v>0</v>
      </c>
      <c r="AU136" s="34">
        <f t="shared" si="77"/>
        <v>0</v>
      </c>
      <c r="AV136" s="34">
        <f t="shared" si="78"/>
        <v>0</v>
      </c>
      <c r="AW136" s="34">
        <f t="shared" si="79"/>
        <v>0</v>
      </c>
      <c r="AX136" s="32">
        <v>0</v>
      </c>
    </row>
    <row r="137" spans="1:50" ht="18.75" customHeight="1" x14ac:dyDescent="0.2">
      <c r="A137" s="4" t="s">
        <v>55</v>
      </c>
      <c r="B137" s="4" t="s">
        <v>56</v>
      </c>
      <c r="C137" s="4"/>
      <c r="D137" s="4" t="s">
        <v>40</v>
      </c>
      <c r="E137" s="4"/>
      <c r="F137" s="4"/>
      <c r="G137" s="4" t="s">
        <v>41</v>
      </c>
      <c r="H137" s="4"/>
      <c r="I137" s="4" t="s">
        <v>936</v>
      </c>
      <c r="J137" s="4"/>
      <c r="K137" s="4" t="s">
        <v>932</v>
      </c>
      <c r="L137" s="4"/>
      <c r="M137" s="4" t="s">
        <v>933</v>
      </c>
      <c r="N137" s="4"/>
      <c r="O137" s="4" t="s">
        <v>938</v>
      </c>
      <c r="P137" s="4"/>
      <c r="Q137" s="4" t="s">
        <v>939</v>
      </c>
      <c r="R137" s="4"/>
      <c r="S137" s="4" t="s">
        <v>940</v>
      </c>
      <c r="T137" s="4">
        <v>0</v>
      </c>
      <c r="U137" s="4">
        <v>0</v>
      </c>
      <c r="V137" s="4">
        <v>0</v>
      </c>
      <c r="W137" s="4">
        <v>0</v>
      </c>
      <c r="X137" s="4" t="s">
        <v>937</v>
      </c>
      <c r="Y137" s="4"/>
      <c r="Z137" s="4"/>
      <c r="AA137" s="41" t="s">
        <v>897</v>
      </c>
      <c r="AB137" s="42" t="s">
        <v>244</v>
      </c>
      <c r="AC137" s="43" t="s">
        <v>58</v>
      </c>
      <c r="AD137" s="43">
        <v>10000000</v>
      </c>
      <c r="AE137" s="44">
        <v>0</v>
      </c>
      <c r="AF137" s="44">
        <v>0</v>
      </c>
      <c r="AG137" s="43">
        <v>24000000</v>
      </c>
      <c r="AH137" s="44">
        <v>0</v>
      </c>
      <c r="AI137" s="18">
        <f>AE137-AF137+AG137-AH137</f>
        <v>24000000</v>
      </c>
      <c r="AJ137" s="18">
        <f>AD137+AI137</f>
        <v>34000000</v>
      </c>
      <c r="AK137" s="44">
        <v>0</v>
      </c>
      <c r="AL137" s="34">
        <f>AM137-AGOSTO!AM137</f>
        <v>0</v>
      </c>
      <c r="AM137" s="43">
        <v>11657223</v>
      </c>
      <c r="AN137" s="44">
        <v>0</v>
      </c>
      <c r="AO137" s="44">
        <v>0</v>
      </c>
      <c r="AP137" s="43">
        <v>11657223</v>
      </c>
      <c r="AQ137" s="44">
        <v>0</v>
      </c>
      <c r="AR137" s="44">
        <v>0</v>
      </c>
      <c r="AS137" s="43">
        <v>11657223</v>
      </c>
      <c r="AT137" s="39">
        <f t="shared" si="74"/>
        <v>11657223</v>
      </c>
      <c r="AU137" s="18">
        <f t="shared" si="77"/>
        <v>22342777</v>
      </c>
      <c r="AV137" s="34">
        <f t="shared" si="78"/>
        <v>0</v>
      </c>
      <c r="AW137" s="34">
        <f t="shared" si="79"/>
        <v>0</v>
      </c>
      <c r="AX137" s="32">
        <f t="shared" ref="AX137:AX143" si="82">AP137/AJ137</f>
        <v>0.34285949999999998</v>
      </c>
    </row>
    <row r="138" spans="1:50" ht="18.75" customHeight="1" x14ac:dyDescent="0.2">
      <c r="A138" s="4" t="s">
        <v>55</v>
      </c>
      <c r="B138" s="4" t="s">
        <v>56</v>
      </c>
      <c r="C138" s="4"/>
      <c r="D138" s="4" t="s">
        <v>40</v>
      </c>
      <c r="E138" s="4"/>
      <c r="F138" s="4"/>
      <c r="G138" s="4" t="s">
        <v>41</v>
      </c>
      <c r="H138" s="4"/>
      <c r="I138" s="4" t="s">
        <v>936</v>
      </c>
      <c r="J138" s="4"/>
      <c r="K138" s="4" t="s">
        <v>932</v>
      </c>
      <c r="L138" s="4"/>
      <c r="M138" s="4" t="s">
        <v>933</v>
      </c>
      <c r="N138" s="4"/>
      <c r="O138" s="4" t="s">
        <v>938</v>
      </c>
      <c r="P138" s="4"/>
      <c r="Q138" s="4" t="s">
        <v>942</v>
      </c>
      <c r="R138" s="4"/>
      <c r="S138" s="4" t="s">
        <v>940</v>
      </c>
      <c r="T138" s="4">
        <v>0</v>
      </c>
      <c r="U138" s="4">
        <v>0</v>
      </c>
      <c r="V138" s="4">
        <v>0</v>
      </c>
      <c r="W138" s="4">
        <v>0</v>
      </c>
      <c r="X138" s="4" t="s">
        <v>937</v>
      </c>
      <c r="Y138" s="4"/>
      <c r="Z138" s="4"/>
      <c r="AA138" s="41" t="s">
        <v>898</v>
      </c>
      <c r="AB138" s="42" t="s">
        <v>245</v>
      </c>
      <c r="AC138" s="43" t="s">
        <v>58</v>
      </c>
      <c r="AD138" s="43">
        <v>266000000</v>
      </c>
      <c r="AE138" s="44">
        <v>0</v>
      </c>
      <c r="AF138" s="44">
        <v>0</v>
      </c>
      <c r="AG138" s="44">
        <v>0</v>
      </c>
      <c r="AH138" s="44">
        <v>0</v>
      </c>
      <c r="AI138" s="44">
        <v>0</v>
      </c>
      <c r="AJ138" s="43">
        <v>266000000</v>
      </c>
      <c r="AK138" s="44">
        <v>0</v>
      </c>
      <c r="AL138" s="18">
        <f>AM138-AGOSTO!AM138</f>
        <v>9033902</v>
      </c>
      <c r="AM138" s="43">
        <v>193698378</v>
      </c>
      <c r="AN138" s="44">
        <v>0</v>
      </c>
      <c r="AO138" s="43">
        <v>9034584</v>
      </c>
      <c r="AP138" s="43">
        <v>193698378</v>
      </c>
      <c r="AQ138" s="44">
        <v>0</v>
      </c>
      <c r="AR138" s="43">
        <v>3136908</v>
      </c>
      <c r="AS138" s="114">
        <v>166729141</v>
      </c>
      <c r="AT138" s="39">
        <f t="shared" si="74"/>
        <v>166729141</v>
      </c>
      <c r="AU138" s="18">
        <f t="shared" si="77"/>
        <v>72301622</v>
      </c>
      <c r="AV138" s="34">
        <f t="shared" si="78"/>
        <v>0</v>
      </c>
      <c r="AW138" s="18">
        <f t="shared" si="79"/>
        <v>26969237</v>
      </c>
      <c r="AX138" s="32">
        <f t="shared" si="82"/>
        <v>0.72818939097744362</v>
      </c>
    </row>
    <row r="139" spans="1:50" s="25" customFormat="1" ht="18.75" customHeight="1" x14ac:dyDescent="0.2">
      <c r="A139" s="19" t="s">
        <v>55</v>
      </c>
      <c r="B139" s="19" t="s">
        <v>56</v>
      </c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26" t="s">
        <v>899</v>
      </c>
      <c r="AB139" s="21" t="s">
        <v>246</v>
      </c>
      <c r="AC139" s="22" t="s">
        <v>37</v>
      </c>
      <c r="AD139" s="22">
        <f>AD140</f>
        <v>100000000</v>
      </c>
      <c r="AE139" s="23">
        <f t="shared" ref="AE139:AW139" si="83">AE140</f>
        <v>0</v>
      </c>
      <c r="AF139" s="23">
        <f t="shared" si="83"/>
        <v>0</v>
      </c>
      <c r="AG139" s="23">
        <f t="shared" si="83"/>
        <v>0</v>
      </c>
      <c r="AH139" s="23">
        <f t="shared" si="83"/>
        <v>0</v>
      </c>
      <c r="AI139" s="23">
        <f t="shared" si="83"/>
        <v>0</v>
      </c>
      <c r="AJ139" s="22">
        <f t="shared" si="83"/>
        <v>100000000</v>
      </c>
      <c r="AK139" s="23">
        <f t="shared" si="83"/>
        <v>0</v>
      </c>
      <c r="AL139" s="22">
        <f t="shared" si="83"/>
        <v>3930000</v>
      </c>
      <c r="AM139" s="22">
        <f t="shared" si="83"/>
        <v>61526046.119999997</v>
      </c>
      <c r="AN139" s="23">
        <f t="shared" si="83"/>
        <v>0</v>
      </c>
      <c r="AO139" s="22">
        <f t="shared" si="83"/>
        <v>1530000</v>
      </c>
      <c r="AP139" s="22">
        <f t="shared" si="83"/>
        <v>58226046.119999997</v>
      </c>
      <c r="AQ139" s="23">
        <f t="shared" si="83"/>
        <v>0</v>
      </c>
      <c r="AR139" s="22">
        <f t="shared" si="83"/>
        <v>1530000</v>
      </c>
      <c r="AS139" s="22">
        <f t="shared" si="83"/>
        <v>57007200.890000001</v>
      </c>
      <c r="AT139" s="22">
        <f>AQ139+AS139</f>
        <v>57007200.890000001</v>
      </c>
      <c r="AU139" s="22">
        <f t="shared" si="83"/>
        <v>38473953.880000003</v>
      </c>
      <c r="AV139" s="22">
        <f t="shared" si="83"/>
        <v>3300000</v>
      </c>
      <c r="AW139" s="22">
        <f t="shared" si="83"/>
        <v>1218845.2299999967</v>
      </c>
      <c r="AX139" s="24">
        <f t="shared" si="82"/>
        <v>0.58226046119999997</v>
      </c>
    </row>
    <row r="140" spans="1:50" ht="18.75" customHeight="1" x14ac:dyDescent="0.2">
      <c r="A140" s="27" t="s">
        <v>55</v>
      </c>
      <c r="B140" s="27" t="s">
        <v>56</v>
      </c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8" t="s">
        <v>900</v>
      </c>
      <c r="AB140" s="29" t="s">
        <v>247</v>
      </c>
      <c r="AC140" s="30" t="s">
        <v>37</v>
      </c>
      <c r="AD140" s="30">
        <f>AD141+AD142</f>
        <v>100000000</v>
      </c>
      <c r="AE140" s="31">
        <f t="shared" ref="AE140:AS140" si="84">AE141+AE142</f>
        <v>0</v>
      </c>
      <c r="AF140" s="31">
        <f t="shared" si="84"/>
        <v>0</v>
      </c>
      <c r="AG140" s="31">
        <f t="shared" si="84"/>
        <v>0</v>
      </c>
      <c r="AH140" s="31">
        <f t="shared" si="84"/>
        <v>0</v>
      </c>
      <c r="AI140" s="31">
        <f t="shared" si="84"/>
        <v>0</v>
      </c>
      <c r="AJ140" s="30">
        <f t="shared" si="84"/>
        <v>100000000</v>
      </c>
      <c r="AK140" s="31">
        <f t="shared" si="84"/>
        <v>0</v>
      </c>
      <c r="AL140" s="30">
        <f t="shared" si="84"/>
        <v>3930000</v>
      </c>
      <c r="AM140" s="30">
        <f t="shared" si="84"/>
        <v>61526046.119999997</v>
      </c>
      <c r="AN140" s="31">
        <f t="shared" si="84"/>
        <v>0</v>
      </c>
      <c r="AO140" s="30">
        <f t="shared" si="84"/>
        <v>1530000</v>
      </c>
      <c r="AP140" s="30">
        <f t="shared" si="84"/>
        <v>58226046.119999997</v>
      </c>
      <c r="AQ140" s="31">
        <f t="shared" si="84"/>
        <v>0</v>
      </c>
      <c r="AR140" s="30">
        <f t="shared" si="84"/>
        <v>1530000</v>
      </c>
      <c r="AS140" s="30">
        <f t="shared" si="84"/>
        <v>57007200.890000001</v>
      </c>
      <c r="AT140" s="30">
        <f t="shared" ref="AT140:AT142" si="85">AQ140+AS140</f>
        <v>57007200.890000001</v>
      </c>
      <c r="AU140" s="18">
        <f>AJ140-AM140</f>
        <v>38473953.880000003</v>
      </c>
      <c r="AV140" s="110">
        <f>AM140-AP140</f>
        <v>3300000</v>
      </c>
      <c r="AW140" s="18">
        <f>AP140-AT140</f>
        <v>1218845.2299999967</v>
      </c>
      <c r="AX140" s="32">
        <f t="shared" si="82"/>
        <v>0.58226046119999997</v>
      </c>
    </row>
    <row r="141" spans="1:50" ht="18.75" customHeight="1" x14ac:dyDescent="0.2">
      <c r="A141" s="4" t="s">
        <v>55</v>
      </c>
      <c r="B141" s="4" t="s">
        <v>56</v>
      </c>
      <c r="C141" s="4"/>
      <c r="D141" s="4" t="s">
        <v>40</v>
      </c>
      <c r="E141" s="4"/>
      <c r="F141" s="4"/>
      <c r="G141" s="4" t="s">
        <v>41</v>
      </c>
      <c r="H141" s="4"/>
      <c r="I141" s="4" t="s">
        <v>936</v>
      </c>
      <c r="J141" s="4"/>
      <c r="K141" s="4" t="s">
        <v>932</v>
      </c>
      <c r="L141" s="4"/>
      <c r="M141" s="4" t="s">
        <v>933</v>
      </c>
      <c r="N141" s="4"/>
      <c r="O141" s="4" t="s">
        <v>938</v>
      </c>
      <c r="P141" s="4"/>
      <c r="Q141" s="4" t="s">
        <v>942</v>
      </c>
      <c r="R141" s="4"/>
      <c r="S141" s="4" t="s">
        <v>940</v>
      </c>
      <c r="T141" s="4">
        <v>0</v>
      </c>
      <c r="U141" s="4">
        <v>0</v>
      </c>
      <c r="V141" s="4">
        <v>0</v>
      </c>
      <c r="W141" s="4">
        <v>0</v>
      </c>
      <c r="X141" s="4" t="s">
        <v>937</v>
      </c>
      <c r="Y141" s="4"/>
      <c r="Z141" s="4"/>
      <c r="AA141" s="41" t="s">
        <v>901</v>
      </c>
      <c r="AB141" s="42" t="s">
        <v>248</v>
      </c>
      <c r="AC141" s="43" t="s">
        <v>58</v>
      </c>
      <c r="AD141" s="43">
        <v>70000000</v>
      </c>
      <c r="AE141" s="44">
        <v>0</v>
      </c>
      <c r="AF141" s="44">
        <v>0</v>
      </c>
      <c r="AG141" s="44">
        <v>0</v>
      </c>
      <c r="AH141" s="44">
        <v>0</v>
      </c>
      <c r="AI141" s="44">
        <v>0</v>
      </c>
      <c r="AJ141" s="43">
        <v>70000000</v>
      </c>
      <c r="AK141" s="44">
        <v>0</v>
      </c>
      <c r="AL141" s="43">
        <f>AM141-AGOSTO!AM141</f>
        <v>3930000</v>
      </c>
      <c r="AM141" s="43">
        <v>61526046.119999997</v>
      </c>
      <c r="AN141" s="44">
        <v>0</v>
      </c>
      <c r="AO141" s="43">
        <v>1530000</v>
      </c>
      <c r="AP141" s="43">
        <v>58226046.119999997</v>
      </c>
      <c r="AQ141" s="44">
        <v>0</v>
      </c>
      <c r="AR141" s="43">
        <v>1530000</v>
      </c>
      <c r="AS141" s="43">
        <v>57007200.890000001</v>
      </c>
      <c r="AT141" s="30">
        <f t="shared" si="85"/>
        <v>57007200.890000001</v>
      </c>
      <c r="AU141" s="18">
        <f>AJ141-AM141</f>
        <v>8473953.8800000027</v>
      </c>
      <c r="AV141" s="110">
        <f>AM141-AP141</f>
        <v>3300000</v>
      </c>
      <c r="AW141" s="18">
        <f>AP141-AT141</f>
        <v>1218845.2299999967</v>
      </c>
      <c r="AX141" s="32">
        <f t="shared" si="82"/>
        <v>0.83180065885714283</v>
      </c>
    </row>
    <row r="142" spans="1:50" ht="18.75" customHeight="1" x14ac:dyDescent="0.2">
      <c r="A142" s="4" t="s">
        <v>55</v>
      </c>
      <c r="B142" s="4" t="s">
        <v>56</v>
      </c>
      <c r="C142" s="4"/>
      <c r="D142" s="4" t="s">
        <v>40</v>
      </c>
      <c r="E142" s="4"/>
      <c r="F142" s="4"/>
      <c r="G142" s="4" t="s">
        <v>41</v>
      </c>
      <c r="H142" s="4"/>
      <c r="I142" s="4" t="s">
        <v>936</v>
      </c>
      <c r="J142" s="4"/>
      <c r="K142" s="4" t="s">
        <v>932</v>
      </c>
      <c r="L142" s="4"/>
      <c r="M142" s="4" t="s">
        <v>933</v>
      </c>
      <c r="N142" s="4"/>
      <c r="O142" s="4" t="s">
        <v>938</v>
      </c>
      <c r="P142" s="4"/>
      <c r="Q142" s="4" t="s">
        <v>942</v>
      </c>
      <c r="R142" s="4"/>
      <c r="S142" s="4" t="s">
        <v>940</v>
      </c>
      <c r="T142" s="4">
        <v>0</v>
      </c>
      <c r="U142" s="4">
        <v>0</v>
      </c>
      <c r="V142" s="4">
        <v>0</v>
      </c>
      <c r="W142" s="4">
        <v>0</v>
      </c>
      <c r="X142" s="4" t="s">
        <v>937</v>
      </c>
      <c r="Y142" s="4"/>
      <c r="Z142" s="4"/>
      <c r="AA142" s="41" t="s">
        <v>902</v>
      </c>
      <c r="AB142" s="42" t="s">
        <v>249</v>
      </c>
      <c r="AC142" s="43" t="s">
        <v>58</v>
      </c>
      <c r="AD142" s="43">
        <v>30000000</v>
      </c>
      <c r="AE142" s="44">
        <v>0</v>
      </c>
      <c r="AF142" s="44">
        <v>0</v>
      </c>
      <c r="AG142" s="44">
        <v>0</v>
      </c>
      <c r="AH142" s="44">
        <v>0</v>
      </c>
      <c r="AI142" s="44">
        <v>0</v>
      </c>
      <c r="AJ142" s="43">
        <v>30000000</v>
      </c>
      <c r="AK142" s="44">
        <v>0</v>
      </c>
      <c r="AL142" s="44">
        <v>0</v>
      </c>
      <c r="AM142" s="44">
        <v>0</v>
      </c>
      <c r="AN142" s="44">
        <v>0</v>
      </c>
      <c r="AO142" s="44">
        <v>0</v>
      </c>
      <c r="AP142" s="44">
        <v>0</v>
      </c>
      <c r="AQ142" s="44">
        <v>0</v>
      </c>
      <c r="AR142" s="44">
        <v>0</v>
      </c>
      <c r="AS142" s="44">
        <v>0</v>
      </c>
      <c r="AT142" s="31">
        <f t="shared" si="85"/>
        <v>0</v>
      </c>
      <c r="AU142" s="18">
        <f>AJ142-AM142</f>
        <v>30000000</v>
      </c>
      <c r="AV142" s="34">
        <f>AM142-AP142</f>
        <v>0</v>
      </c>
      <c r="AW142" s="34">
        <f>AP142-AT142</f>
        <v>0</v>
      </c>
      <c r="AX142" s="32">
        <f t="shared" si="82"/>
        <v>0</v>
      </c>
    </row>
    <row r="143" spans="1:50" s="201" customFormat="1" ht="18.75" customHeight="1" x14ac:dyDescent="0.2">
      <c r="A143" s="199"/>
      <c r="B143" s="199"/>
      <c r="C143" s="199"/>
      <c r="D143" s="199"/>
      <c r="E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293" t="s">
        <v>996</v>
      </c>
      <c r="AB143" s="294" t="s">
        <v>997</v>
      </c>
      <c r="AC143" s="295"/>
      <c r="AD143" s="49">
        <f>AD148</f>
        <v>0</v>
      </c>
      <c r="AE143" s="48">
        <f>AE148+AE147</f>
        <v>265813663</v>
      </c>
      <c r="AF143" s="48">
        <f t="shared" ref="AF143:AW143" si="86">AF148+AF147</f>
        <v>0</v>
      </c>
      <c r="AG143" s="48">
        <f t="shared" si="86"/>
        <v>365556246.72000003</v>
      </c>
      <c r="AH143" s="48">
        <f t="shared" si="86"/>
        <v>0</v>
      </c>
      <c r="AI143" s="48">
        <f t="shared" si="86"/>
        <v>631369909.72000003</v>
      </c>
      <c r="AJ143" s="48">
        <f t="shared" si="86"/>
        <v>631369909.72000003</v>
      </c>
      <c r="AK143" s="49">
        <f t="shared" si="86"/>
        <v>0</v>
      </c>
      <c r="AL143" s="49">
        <f t="shared" si="86"/>
        <v>0</v>
      </c>
      <c r="AM143" s="48">
        <f t="shared" si="86"/>
        <v>317717437</v>
      </c>
      <c r="AN143" s="49">
        <f t="shared" si="86"/>
        <v>0</v>
      </c>
      <c r="AO143" s="48">
        <f t="shared" si="86"/>
        <v>0</v>
      </c>
      <c r="AP143" s="48">
        <f t="shared" si="86"/>
        <v>317717437</v>
      </c>
      <c r="AQ143" s="49">
        <f t="shared" si="86"/>
        <v>0</v>
      </c>
      <c r="AR143" s="49">
        <f t="shared" si="86"/>
        <v>0</v>
      </c>
      <c r="AS143" s="48">
        <f t="shared" si="86"/>
        <v>259240330</v>
      </c>
      <c r="AT143" s="48">
        <f t="shared" si="86"/>
        <v>259240330</v>
      </c>
      <c r="AU143" s="48">
        <f t="shared" si="86"/>
        <v>313652472.72000003</v>
      </c>
      <c r="AV143" s="48">
        <f t="shared" si="86"/>
        <v>0</v>
      </c>
      <c r="AW143" s="48">
        <f t="shared" si="86"/>
        <v>58477107</v>
      </c>
      <c r="AX143" s="24">
        <f t="shared" si="82"/>
        <v>0.50321916218798157</v>
      </c>
    </row>
    <row r="144" spans="1:50" ht="18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166" t="s">
        <v>998</v>
      </c>
      <c r="AB144" s="167" t="s">
        <v>999</v>
      </c>
      <c r="AC144" s="168"/>
      <c r="AD144" s="44"/>
      <c r="AE144" s="44"/>
      <c r="AF144" s="44"/>
      <c r="AG144" s="44"/>
      <c r="AH144" s="44"/>
      <c r="AI144" s="44"/>
      <c r="AJ144" s="43"/>
      <c r="AK144" s="44"/>
      <c r="AL144" s="44"/>
      <c r="AM144" s="44"/>
      <c r="AN144" s="44"/>
      <c r="AO144" s="43"/>
      <c r="AP144" s="43"/>
      <c r="AQ144" s="44"/>
      <c r="AR144" s="44"/>
      <c r="AS144" s="44"/>
      <c r="AT144" s="31"/>
      <c r="AU144" s="18"/>
      <c r="AV144" s="34"/>
      <c r="AW144" s="18"/>
      <c r="AX144" s="32"/>
    </row>
    <row r="145" spans="1:50" ht="18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166" t="s">
        <v>1000</v>
      </c>
      <c r="AB145" s="167" t="s">
        <v>1001</v>
      </c>
      <c r="AC145" s="168"/>
      <c r="AD145" s="44"/>
      <c r="AE145" s="44"/>
      <c r="AF145" s="44"/>
      <c r="AG145" s="44"/>
      <c r="AH145" s="44"/>
      <c r="AI145" s="44"/>
      <c r="AJ145" s="43"/>
      <c r="AK145" s="44"/>
      <c r="AL145" s="44"/>
      <c r="AM145" s="44"/>
      <c r="AN145" s="44"/>
      <c r="AO145" s="43"/>
      <c r="AP145" s="43"/>
      <c r="AQ145" s="44"/>
      <c r="AR145" s="44"/>
      <c r="AS145" s="44"/>
      <c r="AT145" s="31"/>
      <c r="AU145" s="18"/>
      <c r="AV145" s="34"/>
      <c r="AW145" s="18"/>
      <c r="AX145" s="32"/>
    </row>
    <row r="146" spans="1:50" ht="18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166" t="s">
        <v>1002</v>
      </c>
      <c r="AB146" s="167" t="s">
        <v>1003</v>
      </c>
      <c r="AC146" s="168"/>
      <c r="AD146" s="44"/>
      <c r="AE146" s="44"/>
      <c r="AF146" s="44"/>
      <c r="AG146" s="44"/>
      <c r="AH146" s="44"/>
      <c r="AI146" s="44"/>
      <c r="AJ146" s="43"/>
      <c r="AK146" s="44"/>
      <c r="AL146" s="44"/>
      <c r="AM146" s="44"/>
      <c r="AN146" s="44"/>
      <c r="AO146" s="43"/>
      <c r="AP146" s="43"/>
      <c r="AQ146" s="44"/>
      <c r="AR146" s="44"/>
      <c r="AS146" s="44"/>
      <c r="AT146" s="31"/>
      <c r="AU146" s="18"/>
      <c r="AV146" s="34"/>
      <c r="AW146" s="18"/>
      <c r="AX146" s="32"/>
    </row>
    <row r="147" spans="1:50" ht="18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318" t="s">
        <v>1384</v>
      </c>
      <c r="AB147" s="167" t="s">
        <v>1316</v>
      </c>
      <c r="AC147" s="161"/>
      <c r="AD147" s="18">
        <v>0</v>
      </c>
      <c r="AE147" s="34">
        <v>0</v>
      </c>
      <c r="AF147" s="34">
        <v>0</v>
      </c>
      <c r="AG147" s="18">
        <v>365556246.72000003</v>
      </c>
      <c r="AH147" s="44"/>
      <c r="AI147" s="18">
        <f>AE147-AF147+AG147-AH147</f>
        <v>365556246.72000003</v>
      </c>
      <c r="AJ147" s="18">
        <f>AD147+AI147</f>
        <v>365556246.72000003</v>
      </c>
      <c r="AK147" s="44">
        <v>0</v>
      </c>
      <c r="AL147" s="44">
        <f>AM147-AGOSTO!AM147</f>
        <v>0</v>
      </c>
      <c r="AM147" s="43">
        <v>58477107</v>
      </c>
      <c r="AN147" s="44">
        <v>0</v>
      </c>
      <c r="AO147" s="43">
        <v>0</v>
      </c>
      <c r="AP147" s="43">
        <v>58477107</v>
      </c>
      <c r="AQ147" s="44">
        <v>0</v>
      </c>
      <c r="AR147" s="44">
        <v>0</v>
      </c>
      <c r="AS147" s="44">
        <v>0</v>
      </c>
      <c r="AT147" s="30">
        <f t="shared" ref="AT147:AT148" si="87">AQ147+AS147</f>
        <v>0</v>
      </c>
      <c r="AU147" s="18">
        <f>AJ147-AM147</f>
        <v>307079139.72000003</v>
      </c>
      <c r="AV147" s="34">
        <f>AM147-AP147</f>
        <v>0</v>
      </c>
      <c r="AW147" s="18">
        <f>AP147-AT147</f>
        <v>58477107</v>
      </c>
      <c r="AX147" s="32">
        <f t="shared" ref="AX147:AX152" si="88">AP147/AJ147</f>
        <v>0.15996746745457993</v>
      </c>
    </row>
    <row r="148" spans="1:50" ht="18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166" t="s">
        <v>1004</v>
      </c>
      <c r="AB148" s="167" t="s">
        <v>1005</v>
      </c>
      <c r="AC148" s="168"/>
      <c r="AD148" s="44">
        <v>0</v>
      </c>
      <c r="AE148" s="43">
        <v>265813663</v>
      </c>
      <c r="AF148" s="44">
        <v>0</v>
      </c>
      <c r="AG148" s="44">
        <v>0</v>
      </c>
      <c r="AH148" s="44">
        <v>0</v>
      </c>
      <c r="AI148" s="18">
        <f>AE148-AF148+AG148-AH148</f>
        <v>265813663</v>
      </c>
      <c r="AJ148" s="18">
        <f>AD148+AI148</f>
        <v>265813663</v>
      </c>
      <c r="AK148" s="44">
        <v>0</v>
      </c>
      <c r="AL148" s="44">
        <f>AM148-AGOSTO!AM148</f>
        <v>0</v>
      </c>
      <c r="AM148" s="43">
        <v>259240330</v>
      </c>
      <c r="AN148" s="44">
        <v>0</v>
      </c>
      <c r="AO148" s="43">
        <v>0</v>
      </c>
      <c r="AP148" s="43">
        <v>259240330</v>
      </c>
      <c r="AQ148" s="44">
        <v>0</v>
      </c>
      <c r="AR148" s="44">
        <v>0</v>
      </c>
      <c r="AS148" s="44">
        <v>259240330</v>
      </c>
      <c r="AT148" s="30">
        <f t="shared" si="87"/>
        <v>259240330</v>
      </c>
      <c r="AU148" s="18">
        <f>AJ148-AM148</f>
        <v>6573333</v>
      </c>
      <c r="AV148" s="34">
        <f>AM148-AP148</f>
        <v>0</v>
      </c>
      <c r="AW148" s="34">
        <f>AP148-AT148</f>
        <v>0</v>
      </c>
      <c r="AX148" s="32">
        <f t="shared" si="88"/>
        <v>0.97527089869718242</v>
      </c>
    </row>
    <row r="149" spans="1:50" s="25" customFormat="1" ht="27.75" customHeight="1" x14ac:dyDescent="0.2">
      <c r="A149" s="19" t="s">
        <v>55</v>
      </c>
      <c r="B149" s="19" t="s">
        <v>56</v>
      </c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7" t="s">
        <v>903</v>
      </c>
      <c r="AB149" s="198" t="s">
        <v>250</v>
      </c>
      <c r="AC149" s="22" t="s">
        <v>37</v>
      </c>
      <c r="AD149" s="22">
        <f>AD150+AD154+AD159+AD152</f>
        <v>4677993416.5</v>
      </c>
      <c r="AE149" s="23">
        <f t="shared" ref="AE149:AK149" si="89">AE150+AE154+AE159+AE152</f>
        <v>0</v>
      </c>
      <c r="AF149" s="23">
        <f t="shared" si="89"/>
        <v>0</v>
      </c>
      <c r="AG149" s="22">
        <f>AG150+AG154+AG159+AG152+AG153</f>
        <v>62000000</v>
      </c>
      <c r="AH149" s="22">
        <f t="shared" ref="AH149:AJ149" si="90">AH150+AH154+AH159+AH152+AH153</f>
        <v>0</v>
      </c>
      <c r="AI149" s="22">
        <f t="shared" si="90"/>
        <v>62000000</v>
      </c>
      <c r="AJ149" s="22">
        <f t="shared" si="90"/>
        <v>4739993416.5</v>
      </c>
      <c r="AK149" s="23">
        <f t="shared" si="89"/>
        <v>0</v>
      </c>
      <c r="AL149" s="22">
        <f>AL150+AL154+AL159+AL152+AL153</f>
        <v>5770484.9600000009</v>
      </c>
      <c r="AM149" s="22">
        <f t="shared" ref="AM149:AW149" si="91">AM150+AM154+AM159+AM152+AM153</f>
        <v>4577293885.46</v>
      </c>
      <c r="AN149" s="22">
        <f t="shared" si="91"/>
        <v>0</v>
      </c>
      <c r="AO149" s="22">
        <f t="shared" si="91"/>
        <v>3837177.96</v>
      </c>
      <c r="AP149" s="22">
        <f t="shared" si="91"/>
        <v>4572180727.46</v>
      </c>
      <c r="AQ149" s="23">
        <f t="shared" si="91"/>
        <v>0</v>
      </c>
      <c r="AR149" s="22">
        <f t="shared" si="91"/>
        <v>3837177.96</v>
      </c>
      <c r="AS149" s="22">
        <f t="shared" si="91"/>
        <v>4572130427.46</v>
      </c>
      <c r="AT149" s="22">
        <f t="shared" si="91"/>
        <v>4572130427.46</v>
      </c>
      <c r="AU149" s="22">
        <f t="shared" si="91"/>
        <v>162699531.03999999</v>
      </c>
      <c r="AV149" s="22">
        <f t="shared" si="91"/>
        <v>5113158</v>
      </c>
      <c r="AW149" s="22">
        <f t="shared" si="91"/>
        <v>50300</v>
      </c>
      <c r="AX149" s="24">
        <f t="shared" si="88"/>
        <v>0.9645964299326153</v>
      </c>
    </row>
    <row r="150" spans="1:50" ht="18.75" customHeight="1" x14ac:dyDescent="0.2">
      <c r="A150" s="27" t="s">
        <v>55</v>
      </c>
      <c r="B150" s="27" t="s">
        <v>56</v>
      </c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8" t="s">
        <v>904</v>
      </c>
      <c r="AB150" s="29" t="s">
        <v>251</v>
      </c>
      <c r="AC150" s="30" t="s">
        <v>37</v>
      </c>
      <c r="AD150" s="30">
        <f>AD151</f>
        <v>50000000</v>
      </c>
      <c r="AE150" s="31">
        <f t="shared" ref="AE150:AW150" si="92">AE151</f>
        <v>0</v>
      </c>
      <c r="AF150" s="31">
        <f t="shared" si="92"/>
        <v>0</v>
      </c>
      <c r="AG150" s="31">
        <f t="shared" si="92"/>
        <v>0</v>
      </c>
      <c r="AH150" s="31">
        <f t="shared" si="92"/>
        <v>0</v>
      </c>
      <c r="AI150" s="31">
        <f t="shared" si="92"/>
        <v>0</v>
      </c>
      <c r="AJ150" s="30">
        <f>AJ151</f>
        <v>50000000</v>
      </c>
      <c r="AK150" s="31">
        <f t="shared" si="92"/>
        <v>0</v>
      </c>
      <c r="AL150" s="31">
        <f t="shared" si="92"/>
        <v>0</v>
      </c>
      <c r="AM150" s="31">
        <f t="shared" si="92"/>
        <v>0</v>
      </c>
      <c r="AN150" s="31">
        <f t="shared" si="92"/>
        <v>0</v>
      </c>
      <c r="AO150" s="31">
        <f t="shared" si="92"/>
        <v>0</v>
      </c>
      <c r="AP150" s="31">
        <f t="shared" si="92"/>
        <v>0</v>
      </c>
      <c r="AQ150" s="31">
        <f t="shared" si="92"/>
        <v>0</v>
      </c>
      <c r="AR150" s="31">
        <f t="shared" si="92"/>
        <v>0</v>
      </c>
      <c r="AS150" s="31">
        <f t="shared" si="92"/>
        <v>0</v>
      </c>
      <c r="AT150" s="40">
        <f t="shared" si="92"/>
        <v>0</v>
      </c>
      <c r="AU150" s="30">
        <f t="shared" si="92"/>
        <v>50000000</v>
      </c>
      <c r="AV150" s="31">
        <f t="shared" si="92"/>
        <v>0</v>
      </c>
      <c r="AW150" s="31">
        <f t="shared" si="92"/>
        <v>0</v>
      </c>
      <c r="AX150" s="32">
        <f t="shared" si="88"/>
        <v>0</v>
      </c>
    </row>
    <row r="151" spans="1:50" ht="18.75" customHeight="1" x14ac:dyDescent="0.2">
      <c r="A151" s="4" t="s">
        <v>55</v>
      </c>
      <c r="B151" s="4" t="s">
        <v>56</v>
      </c>
      <c r="C151" s="4"/>
      <c r="D151" s="4" t="s">
        <v>40</v>
      </c>
      <c r="E151" s="4"/>
      <c r="F151" s="4"/>
      <c r="G151" s="4" t="s">
        <v>41</v>
      </c>
      <c r="H151" s="4"/>
      <c r="I151" s="4" t="s">
        <v>936</v>
      </c>
      <c r="J151" s="4"/>
      <c r="K151" s="4" t="s">
        <v>932</v>
      </c>
      <c r="L151" s="4"/>
      <c r="M151" s="4" t="s">
        <v>933</v>
      </c>
      <c r="N151" s="4"/>
      <c r="O151" s="4" t="s">
        <v>938</v>
      </c>
      <c r="P151" s="4"/>
      <c r="Q151" s="4" t="s">
        <v>942</v>
      </c>
      <c r="R151" s="4"/>
      <c r="S151" s="4" t="s">
        <v>940</v>
      </c>
      <c r="T151" s="4">
        <v>0</v>
      </c>
      <c r="U151" s="4">
        <v>0</v>
      </c>
      <c r="V151" s="4">
        <v>0</v>
      </c>
      <c r="W151" s="4">
        <v>0</v>
      </c>
      <c r="X151" s="4" t="s">
        <v>937</v>
      </c>
      <c r="Y151" s="4"/>
      <c r="Z151" s="4"/>
      <c r="AA151" s="41" t="s">
        <v>905</v>
      </c>
      <c r="AB151" s="42" t="s">
        <v>252</v>
      </c>
      <c r="AC151" s="43" t="s">
        <v>58</v>
      </c>
      <c r="AD151" s="43">
        <v>50000000</v>
      </c>
      <c r="AE151" s="44">
        <v>0</v>
      </c>
      <c r="AF151" s="44">
        <v>0</v>
      </c>
      <c r="AG151" s="44">
        <v>0</v>
      </c>
      <c r="AH151" s="44">
        <v>0</v>
      </c>
      <c r="AI151" s="44">
        <v>0</v>
      </c>
      <c r="AJ151" s="43">
        <v>50000000</v>
      </c>
      <c r="AK151" s="44">
        <v>0</v>
      </c>
      <c r="AL151" s="44">
        <f>AM151-AGOSTO!AM151</f>
        <v>0</v>
      </c>
      <c r="AM151" s="44">
        <v>0</v>
      </c>
      <c r="AN151" s="44">
        <v>0</v>
      </c>
      <c r="AO151" s="44">
        <v>0</v>
      </c>
      <c r="AP151" s="44">
        <v>0</v>
      </c>
      <c r="AQ151" s="44">
        <v>0</v>
      </c>
      <c r="AR151" s="44">
        <v>0</v>
      </c>
      <c r="AS151" s="44">
        <v>0</v>
      </c>
      <c r="AT151" s="40">
        <f t="shared" ref="AT151:AT169" si="93">AQ151+AS151</f>
        <v>0</v>
      </c>
      <c r="AU151" s="18">
        <f t="shared" ref="AU151:AU162" si="94">AJ151-AM151</f>
        <v>50000000</v>
      </c>
      <c r="AV151" s="34">
        <f t="shared" ref="AV151:AV162" si="95">AM151-AP151</f>
        <v>0</v>
      </c>
      <c r="AW151" s="34">
        <f t="shared" ref="AW151:AW162" si="96">AP151-AT151</f>
        <v>0</v>
      </c>
      <c r="AX151" s="32">
        <f t="shared" si="88"/>
        <v>0</v>
      </c>
    </row>
    <row r="152" spans="1:50" ht="18.75" customHeight="1" x14ac:dyDescent="0.2">
      <c r="A152" s="4" t="s">
        <v>55</v>
      </c>
      <c r="B152" s="4" t="s">
        <v>56</v>
      </c>
      <c r="C152" s="4"/>
      <c r="D152" s="4" t="s">
        <v>40</v>
      </c>
      <c r="E152" s="4"/>
      <c r="F152" s="4"/>
      <c r="G152" s="4" t="s">
        <v>41</v>
      </c>
      <c r="H152" s="4"/>
      <c r="I152" s="4" t="s">
        <v>936</v>
      </c>
      <c r="J152" s="4"/>
      <c r="K152" s="4" t="s">
        <v>932</v>
      </c>
      <c r="L152" s="4"/>
      <c r="M152" s="4" t="s">
        <v>933</v>
      </c>
      <c r="N152" s="4"/>
      <c r="O152" s="4" t="s">
        <v>938</v>
      </c>
      <c r="P152" s="4"/>
      <c r="Q152" s="4" t="s">
        <v>942</v>
      </c>
      <c r="R152" s="4"/>
      <c r="S152" s="4" t="s">
        <v>940</v>
      </c>
      <c r="T152" s="4">
        <v>0</v>
      </c>
      <c r="U152" s="4">
        <v>0</v>
      </c>
      <c r="V152" s="4">
        <v>0</v>
      </c>
      <c r="W152" s="4">
        <v>0</v>
      </c>
      <c r="X152" s="4" t="s">
        <v>937</v>
      </c>
      <c r="Y152" s="4"/>
      <c r="Z152" s="4"/>
      <c r="AA152" s="41" t="s">
        <v>867</v>
      </c>
      <c r="AB152" s="42" t="s">
        <v>253</v>
      </c>
      <c r="AC152" s="43" t="s">
        <v>58</v>
      </c>
      <c r="AD152" s="43">
        <v>50000000</v>
      </c>
      <c r="AE152" s="44">
        <v>0</v>
      </c>
      <c r="AF152" s="44">
        <v>0</v>
      </c>
      <c r="AG152" s="44">
        <v>0</v>
      </c>
      <c r="AH152" s="44">
        <v>0</v>
      </c>
      <c r="AI152" s="44">
        <v>0</v>
      </c>
      <c r="AJ152" s="43">
        <v>50000000</v>
      </c>
      <c r="AK152" s="44">
        <v>0</v>
      </c>
      <c r="AL152" s="43">
        <f>AM152-AGOSTO!AM152</f>
        <v>251790</v>
      </c>
      <c r="AM152" s="43">
        <v>914690</v>
      </c>
      <c r="AN152" s="115">
        <v>0</v>
      </c>
      <c r="AO152" s="44">
        <v>0</v>
      </c>
      <c r="AP152" s="43">
        <v>662890</v>
      </c>
      <c r="AQ152" s="44">
        <v>0</v>
      </c>
      <c r="AR152" s="44">
        <v>0</v>
      </c>
      <c r="AS152" s="43">
        <v>612590</v>
      </c>
      <c r="AT152" s="39">
        <f t="shared" si="93"/>
        <v>612590</v>
      </c>
      <c r="AU152" s="18">
        <f t="shared" si="94"/>
        <v>49085310</v>
      </c>
      <c r="AV152" s="110">
        <f t="shared" si="95"/>
        <v>251800</v>
      </c>
      <c r="AW152" s="18">
        <f t="shared" si="96"/>
        <v>50300</v>
      </c>
      <c r="AX152" s="32">
        <f t="shared" si="88"/>
        <v>1.32578E-2</v>
      </c>
    </row>
    <row r="153" spans="1:50" ht="18.75" customHeight="1" x14ac:dyDescent="0.2">
      <c r="A153" s="4" t="s">
        <v>55</v>
      </c>
      <c r="B153" s="4" t="s">
        <v>56</v>
      </c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1" t="s">
        <v>866</v>
      </c>
      <c r="AB153" s="42" t="s">
        <v>254</v>
      </c>
      <c r="AC153" s="43" t="s">
        <v>58</v>
      </c>
      <c r="AD153" s="44">
        <v>0</v>
      </c>
      <c r="AE153" s="44">
        <v>0</v>
      </c>
      <c r="AF153" s="44">
        <v>0</v>
      </c>
      <c r="AG153" s="43">
        <f>10000000+12000000</f>
        <v>22000000</v>
      </c>
      <c r="AH153" s="44">
        <v>0</v>
      </c>
      <c r="AI153" s="18">
        <f>AE153-AF153+AG153-AH153</f>
        <v>22000000</v>
      </c>
      <c r="AJ153" s="18">
        <f>AD153+AI153</f>
        <v>22000000</v>
      </c>
      <c r="AK153" s="44">
        <v>0</v>
      </c>
      <c r="AL153" s="43">
        <f>AM153-AGOSTO!AM153</f>
        <v>5518694.9600000009</v>
      </c>
      <c r="AM153" s="43">
        <v>14235912.960000001</v>
      </c>
      <c r="AN153" s="44">
        <v>0</v>
      </c>
      <c r="AO153" s="43">
        <v>3837177.96</v>
      </c>
      <c r="AP153" s="43">
        <v>9374554.9600000009</v>
      </c>
      <c r="AQ153" s="44">
        <v>0</v>
      </c>
      <c r="AR153" s="43">
        <v>3837177.96</v>
      </c>
      <c r="AS153" s="43">
        <v>9374554.9600000009</v>
      </c>
      <c r="AT153" s="39">
        <f t="shared" si="93"/>
        <v>9374554.9600000009</v>
      </c>
      <c r="AU153" s="18">
        <f t="shared" si="94"/>
        <v>7764087.0399999991</v>
      </c>
      <c r="AV153" s="18">
        <f t="shared" si="95"/>
        <v>4861358</v>
      </c>
      <c r="AW153" s="34">
        <f t="shared" si="96"/>
        <v>0</v>
      </c>
      <c r="AX153" s="32">
        <v>0</v>
      </c>
    </row>
    <row r="154" spans="1:50" ht="18.75" customHeight="1" x14ac:dyDescent="0.2">
      <c r="A154" s="27" t="s">
        <v>55</v>
      </c>
      <c r="B154" s="27" t="s">
        <v>56</v>
      </c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8" t="s">
        <v>865</v>
      </c>
      <c r="AB154" s="29" t="s">
        <v>255</v>
      </c>
      <c r="AC154" s="30" t="s">
        <v>37</v>
      </c>
      <c r="AD154" s="30">
        <f>AD155+AD158</f>
        <v>4527993416.5</v>
      </c>
      <c r="AE154" s="31">
        <f t="shared" ref="AE154:AS154" si="97">AE155+AE158</f>
        <v>0</v>
      </c>
      <c r="AF154" s="31">
        <f t="shared" si="97"/>
        <v>0</v>
      </c>
      <c r="AG154" s="30">
        <f t="shared" si="97"/>
        <v>40000000</v>
      </c>
      <c r="AH154" s="31">
        <f t="shared" si="97"/>
        <v>0</v>
      </c>
      <c r="AI154" s="18">
        <f>AE154-AF154+AG154-AH154</f>
        <v>40000000</v>
      </c>
      <c r="AJ154" s="18">
        <f>AD154+AI154</f>
        <v>4567993416.5</v>
      </c>
      <c r="AK154" s="31">
        <f t="shared" si="97"/>
        <v>0</v>
      </c>
      <c r="AL154" s="31">
        <f t="shared" si="97"/>
        <v>0</v>
      </c>
      <c r="AM154" s="30">
        <f t="shared" si="97"/>
        <v>4561893282.5</v>
      </c>
      <c r="AN154" s="31">
        <f t="shared" si="97"/>
        <v>0</v>
      </c>
      <c r="AO154" s="30">
        <f t="shared" si="97"/>
        <v>0</v>
      </c>
      <c r="AP154" s="30">
        <f t="shared" si="97"/>
        <v>4561893282.5</v>
      </c>
      <c r="AQ154" s="31">
        <f t="shared" si="97"/>
        <v>0</v>
      </c>
      <c r="AR154" s="30">
        <f t="shared" si="97"/>
        <v>0</v>
      </c>
      <c r="AS154" s="30">
        <f t="shared" si="97"/>
        <v>4561893282.5</v>
      </c>
      <c r="AT154" s="39">
        <f t="shared" si="93"/>
        <v>4561893282.5</v>
      </c>
      <c r="AU154" s="18">
        <f t="shared" si="94"/>
        <v>6100134</v>
      </c>
      <c r="AV154" s="34">
        <f t="shared" si="95"/>
        <v>0</v>
      </c>
      <c r="AW154" s="34">
        <f t="shared" si="96"/>
        <v>0</v>
      </c>
      <c r="AX154" s="32">
        <f t="shared" ref="AX154:AX189" si="98">AP154/AJ154</f>
        <v>0.99866459220848136</v>
      </c>
    </row>
    <row r="155" spans="1:50" ht="18.75" customHeight="1" x14ac:dyDescent="0.2">
      <c r="A155" s="27" t="s">
        <v>55</v>
      </c>
      <c r="B155" s="27" t="s">
        <v>56</v>
      </c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8" t="s">
        <v>864</v>
      </c>
      <c r="AB155" s="29" t="s">
        <v>256</v>
      </c>
      <c r="AC155" s="30" t="s">
        <v>37</v>
      </c>
      <c r="AD155" s="30">
        <f>AD156+AD157</f>
        <v>4477993416.5</v>
      </c>
      <c r="AE155" s="31">
        <f t="shared" ref="AE155:AS155" si="99">AE156+AE157</f>
        <v>0</v>
      </c>
      <c r="AF155" s="31">
        <f t="shared" si="99"/>
        <v>0</v>
      </c>
      <c r="AG155" s="31">
        <f t="shared" si="99"/>
        <v>0</v>
      </c>
      <c r="AH155" s="31">
        <f t="shared" si="99"/>
        <v>0</v>
      </c>
      <c r="AI155" s="31">
        <f t="shared" si="99"/>
        <v>0</v>
      </c>
      <c r="AJ155" s="30">
        <f t="shared" si="99"/>
        <v>4477993416.5</v>
      </c>
      <c r="AK155" s="31">
        <f t="shared" si="99"/>
        <v>0</v>
      </c>
      <c r="AL155" s="31">
        <f t="shared" si="99"/>
        <v>0</v>
      </c>
      <c r="AM155" s="30">
        <f t="shared" si="99"/>
        <v>4477993416.5</v>
      </c>
      <c r="AN155" s="31">
        <f t="shared" si="99"/>
        <v>0</v>
      </c>
      <c r="AO155" s="31">
        <f t="shared" si="99"/>
        <v>0</v>
      </c>
      <c r="AP155" s="30">
        <f t="shared" si="99"/>
        <v>4477993416.5</v>
      </c>
      <c r="AQ155" s="31">
        <f t="shared" si="99"/>
        <v>0</v>
      </c>
      <c r="AR155" s="31">
        <f t="shared" si="99"/>
        <v>0</v>
      </c>
      <c r="AS155" s="30">
        <f t="shared" si="99"/>
        <v>4477993416.5</v>
      </c>
      <c r="AT155" s="39">
        <f t="shared" si="93"/>
        <v>4477993416.5</v>
      </c>
      <c r="AU155" s="34">
        <f t="shared" si="94"/>
        <v>0</v>
      </c>
      <c r="AV155" s="34">
        <f t="shared" si="95"/>
        <v>0</v>
      </c>
      <c r="AW155" s="34">
        <f t="shared" si="96"/>
        <v>0</v>
      </c>
      <c r="AX155" s="32">
        <f t="shared" si="98"/>
        <v>1</v>
      </c>
    </row>
    <row r="156" spans="1:50" ht="18.75" customHeight="1" x14ac:dyDescent="0.2">
      <c r="A156" s="4" t="s">
        <v>55</v>
      </c>
      <c r="B156" s="4" t="s">
        <v>56</v>
      </c>
      <c r="C156" s="4"/>
      <c r="D156" s="4" t="s">
        <v>40</v>
      </c>
      <c r="E156" s="4"/>
      <c r="F156" s="4"/>
      <c r="G156" s="4" t="s">
        <v>41</v>
      </c>
      <c r="H156" s="4"/>
      <c r="I156" s="4" t="s">
        <v>936</v>
      </c>
      <c r="J156" s="4"/>
      <c r="K156" s="4" t="s">
        <v>932</v>
      </c>
      <c r="L156" s="4"/>
      <c r="M156" s="4" t="s">
        <v>933</v>
      </c>
      <c r="N156" s="4"/>
      <c r="O156" s="4" t="s">
        <v>938</v>
      </c>
      <c r="P156" s="4"/>
      <c r="Q156" s="4" t="s">
        <v>942</v>
      </c>
      <c r="R156" s="4"/>
      <c r="S156" s="4" t="s">
        <v>940</v>
      </c>
      <c r="T156" s="4">
        <v>0</v>
      </c>
      <c r="U156" s="4">
        <v>0</v>
      </c>
      <c r="V156" s="4">
        <v>0</v>
      </c>
      <c r="W156" s="4">
        <v>0</v>
      </c>
      <c r="X156" s="4" t="s">
        <v>937</v>
      </c>
      <c r="Y156" s="4"/>
      <c r="Z156" s="4"/>
      <c r="AA156" s="41" t="s">
        <v>863</v>
      </c>
      <c r="AB156" s="42" t="s">
        <v>233</v>
      </c>
      <c r="AC156" s="43" t="s">
        <v>58</v>
      </c>
      <c r="AD156" s="43">
        <v>3177230763</v>
      </c>
      <c r="AE156" s="44">
        <v>0</v>
      </c>
      <c r="AF156" s="44">
        <v>0</v>
      </c>
      <c r="AG156" s="44">
        <v>0</v>
      </c>
      <c r="AH156" s="44">
        <v>0</v>
      </c>
      <c r="AI156" s="44">
        <v>0</v>
      </c>
      <c r="AJ156" s="43">
        <v>3177230763</v>
      </c>
      <c r="AK156" s="44">
        <v>0</v>
      </c>
      <c r="AL156" s="44">
        <f>AM156-AGOSTO!AM156</f>
        <v>0</v>
      </c>
      <c r="AM156" s="43">
        <v>3177230763</v>
      </c>
      <c r="AN156" s="44">
        <v>0</v>
      </c>
      <c r="AO156" s="44">
        <v>0</v>
      </c>
      <c r="AP156" s="43">
        <v>3177230763</v>
      </c>
      <c r="AQ156" s="44">
        <v>0</v>
      </c>
      <c r="AR156" s="44">
        <v>0</v>
      </c>
      <c r="AS156" s="43">
        <v>3177230763</v>
      </c>
      <c r="AT156" s="39">
        <f t="shared" si="93"/>
        <v>3177230763</v>
      </c>
      <c r="AU156" s="34">
        <f t="shared" si="94"/>
        <v>0</v>
      </c>
      <c r="AV156" s="34">
        <f t="shared" si="95"/>
        <v>0</v>
      </c>
      <c r="AW156" s="34">
        <f t="shared" si="96"/>
        <v>0</v>
      </c>
      <c r="AX156" s="32">
        <f t="shared" si="98"/>
        <v>1</v>
      </c>
    </row>
    <row r="157" spans="1:50" ht="18.75" customHeight="1" x14ac:dyDescent="0.2">
      <c r="A157" s="4" t="s">
        <v>55</v>
      </c>
      <c r="B157" s="4" t="s">
        <v>56</v>
      </c>
      <c r="C157" s="4"/>
      <c r="D157" s="4" t="s">
        <v>40</v>
      </c>
      <c r="E157" s="4"/>
      <c r="F157" s="4"/>
      <c r="G157" s="4" t="s">
        <v>41</v>
      </c>
      <c r="H157" s="4"/>
      <c r="I157" s="4" t="s">
        <v>936</v>
      </c>
      <c r="J157" s="4"/>
      <c r="K157" s="4" t="s">
        <v>932</v>
      </c>
      <c r="L157" s="4"/>
      <c r="M157" s="4" t="s">
        <v>933</v>
      </c>
      <c r="N157" s="4"/>
      <c r="O157" s="4" t="s">
        <v>938</v>
      </c>
      <c r="P157" s="4"/>
      <c r="Q157" s="4" t="s">
        <v>942</v>
      </c>
      <c r="R157" s="4"/>
      <c r="S157" s="4" t="s">
        <v>940</v>
      </c>
      <c r="T157" s="4">
        <v>0</v>
      </c>
      <c r="U157" s="4">
        <v>0</v>
      </c>
      <c r="V157" s="4">
        <v>0</v>
      </c>
      <c r="W157" s="4">
        <v>0</v>
      </c>
      <c r="X157" s="4" t="s">
        <v>937</v>
      </c>
      <c r="Y157" s="4"/>
      <c r="Z157" s="4"/>
      <c r="AA157" s="41" t="s">
        <v>862</v>
      </c>
      <c r="AB157" s="42" t="s">
        <v>257</v>
      </c>
      <c r="AC157" s="43" t="s">
        <v>258</v>
      </c>
      <c r="AD157" s="43">
        <v>1300762653.5</v>
      </c>
      <c r="AE157" s="44">
        <v>0</v>
      </c>
      <c r="AF157" s="44">
        <v>0</v>
      </c>
      <c r="AG157" s="44">
        <v>0</v>
      </c>
      <c r="AH157" s="44">
        <v>0</v>
      </c>
      <c r="AI157" s="44">
        <v>0</v>
      </c>
      <c r="AJ157" s="43">
        <v>1300762653.5</v>
      </c>
      <c r="AK157" s="44">
        <v>0</v>
      </c>
      <c r="AL157" s="44">
        <f>AM157-AGOSTO!AM157</f>
        <v>0</v>
      </c>
      <c r="AM157" s="43">
        <v>1300762653.5</v>
      </c>
      <c r="AN157" s="44">
        <v>0</v>
      </c>
      <c r="AO157" s="44">
        <v>0</v>
      </c>
      <c r="AP157" s="43">
        <v>1300762653.5</v>
      </c>
      <c r="AQ157" s="44">
        <v>0</v>
      </c>
      <c r="AR157" s="44">
        <v>0</v>
      </c>
      <c r="AS157" s="43">
        <v>1300762653.5</v>
      </c>
      <c r="AT157" s="39">
        <f t="shared" si="93"/>
        <v>1300762653.5</v>
      </c>
      <c r="AU157" s="34">
        <f t="shared" si="94"/>
        <v>0</v>
      </c>
      <c r="AV157" s="34">
        <f t="shared" si="95"/>
        <v>0</v>
      </c>
      <c r="AW157" s="34">
        <f t="shared" si="96"/>
        <v>0</v>
      </c>
      <c r="AX157" s="32">
        <f t="shared" si="98"/>
        <v>1</v>
      </c>
    </row>
    <row r="158" spans="1:50" ht="18.75" customHeight="1" x14ac:dyDescent="0.2">
      <c r="A158" s="4" t="s">
        <v>55</v>
      </c>
      <c r="B158" s="4" t="s">
        <v>56</v>
      </c>
      <c r="C158" s="4"/>
      <c r="D158" s="4" t="s">
        <v>40</v>
      </c>
      <c r="E158" s="4"/>
      <c r="F158" s="4"/>
      <c r="G158" s="4" t="s">
        <v>41</v>
      </c>
      <c r="H158" s="4"/>
      <c r="I158" s="4" t="s">
        <v>936</v>
      </c>
      <c r="J158" s="4"/>
      <c r="K158" s="4" t="s">
        <v>932</v>
      </c>
      <c r="L158" s="4"/>
      <c r="M158" s="4" t="s">
        <v>933</v>
      </c>
      <c r="N158" s="4"/>
      <c r="O158" s="4" t="s">
        <v>938</v>
      </c>
      <c r="P158" s="4"/>
      <c r="Q158" s="4" t="s">
        <v>942</v>
      </c>
      <c r="R158" s="4"/>
      <c r="S158" s="4" t="s">
        <v>940</v>
      </c>
      <c r="T158" s="4">
        <v>0</v>
      </c>
      <c r="U158" s="4">
        <v>0</v>
      </c>
      <c r="V158" s="4">
        <v>0</v>
      </c>
      <c r="W158" s="4">
        <v>0</v>
      </c>
      <c r="X158" s="4" t="s">
        <v>937</v>
      </c>
      <c r="Y158" s="4"/>
      <c r="Z158" s="4"/>
      <c r="AA158" s="41" t="s">
        <v>861</v>
      </c>
      <c r="AB158" s="42" t="s">
        <v>259</v>
      </c>
      <c r="AC158" s="43" t="s">
        <v>58</v>
      </c>
      <c r="AD158" s="43">
        <v>50000000</v>
      </c>
      <c r="AE158" s="44">
        <v>0</v>
      </c>
      <c r="AF158" s="44">
        <v>0</v>
      </c>
      <c r="AG158" s="43">
        <f>20000000+20000000</f>
        <v>40000000</v>
      </c>
      <c r="AH158" s="44">
        <v>0</v>
      </c>
      <c r="AI158" s="18">
        <f>AE158-AF158+AG158-AH158</f>
        <v>40000000</v>
      </c>
      <c r="AJ158" s="18">
        <f>AD158+AI158</f>
        <v>90000000</v>
      </c>
      <c r="AK158" s="44">
        <v>0</v>
      </c>
      <c r="AL158" s="44">
        <f>AM158-AGOSTO!AM158</f>
        <v>0</v>
      </c>
      <c r="AM158" s="43">
        <v>83899866</v>
      </c>
      <c r="AN158" s="44">
        <v>0</v>
      </c>
      <c r="AO158" s="44">
        <v>0</v>
      </c>
      <c r="AP158" s="43">
        <v>83899866</v>
      </c>
      <c r="AQ158" s="44">
        <v>0</v>
      </c>
      <c r="AR158" s="44">
        <v>0</v>
      </c>
      <c r="AS158" s="43">
        <v>83899866</v>
      </c>
      <c r="AT158" s="39">
        <f t="shared" si="93"/>
        <v>83899866</v>
      </c>
      <c r="AU158" s="18">
        <f t="shared" si="94"/>
        <v>6100134</v>
      </c>
      <c r="AV158" s="34">
        <f t="shared" si="95"/>
        <v>0</v>
      </c>
      <c r="AW158" s="34">
        <f t="shared" si="96"/>
        <v>0</v>
      </c>
      <c r="AX158" s="32">
        <f t="shared" si="98"/>
        <v>0.93222073333333333</v>
      </c>
    </row>
    <row r="159" spans="1:50" ht="18.75" customHeight="1" x14ac:dyDescent="0.2">
      <c r="A159" s="27" t="s">
        <v>55</v>
      </c>
      <c r="B159" s="27" t="s">
        <v>56</v>
      </c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8" t="s">
        <v>860</v>
      </c>
      <c r="AB159" s="29" t="s">
        <v>260</v>
      </c>
      <c r="AC159" s="30" t="s">
        <v>37</v>
      </c>
      <c r="AD159" s="30">
        <f>AD160+AD162</f>
        <v>50000000</v>
      </c>
      <c r="AE159" s="31">
        <f t="shared" ref="AE159:AS159" si="100">AE160+AE162</f>
        <v>0</v>
      </c>
      <c r="AF159" s="31">
        <f t="shared" si="100"/>
        <v>0</v>
      </c>
      <c r="AG159" s="31">
        <f t="shared" si="100"/>
        <v>0</v>
      </c>
      <c r="AH159" s="31">
        <f t="shared" si="100"/>
        <v>0</v>
      </c>
      <c r="AI159" s="31">
        <f t="shared" si="100"/>
        <v>0</v>
      </c>
      <c r="AJ159" s="30">
        <f t="shared" si="100"/>
        <v>50000000</v>
      </c>
      <c r="AK159" s="31">
        <f t="shared" si="100"/>
        <v>0</v>
      </c>
      <c r="AL159" s="172">
        <f t="shared" si="100"/>
        <v>0</v>
      </c>
      <c r="AM159" s="109">
        <f t="shared" si="100"/>
        <v>250000</v>
      </c>
      <c r="AN159" s="31">
        <f t="shared" si="100"/>
        <v>0</v>
      </c>
      <c r="AO159" s="172">
        <f t="shared" si="100"/>
        <v>0</v>
      </c>
      <c r="AP159" s="109">
        <f t="shared" si="100"/>
        <v>250000</v>
      </c>
      <c r="AQ159" s="31">
        <f t="shared" si="100"/>
        <v>0</v>
      </c>
      <c r="AR159" s="31">
        <f t="shared" si="100"/>
        <v>0</v>
      </c>
      <c r="AS159" s="30">
        <f t="shared" si="100"/>
        <v>250000</v>
      </c>
      <c r="AT159" s="39">
        <f t="shared" si="93"/>
        <v>250000</v>
      </c>
      <c r="AU159" s="176">
        <f t="shared" si="94"/>
        <v>49750000</v>
      </c>
      <c r="AV159" s="34">
        <f t="shared" si="95"/>
        <v>0</v>
      </c>
      <c r="AW159" s="34">
        <f t="shared" si="96"/>
        <v>0</v>
      </c>
      <c r="AX159" s="32">
        <f t="shared" si="98"/>
        <v>5.0000000000000001E-3</v>
      </c>
    </row>
    <row r="160" spans="1:50" ht="18.75" customHeight="1" x14ac:dyDescent="0.2">
      <c r="A160" s="27" t="s">
        <v>55</v>
      </c>
      <c r="B160" s="27" t="s">
        <v>56</v>
      </c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8" t="s">
        <v>859</v>
      </c>
      <c r="AB160" s="29" t="s">
        <v>261</v>
      </c>
      <c r="AC160" s="30" t="s">
        <v>37</v>
      </c>
      <c r="AD160" s="30">
        <f>AD161</f>
        <v>10000000</v>
      </c>
      <c r="AE160" s="31">
        <f t="shared" ref="AE160:AS160" si="101">AE161</f>
        <v>0</v>
      </c>
      <c r="AF160" s="31">
        <f t="shared" si="101"/>
        <v>0</v>
      </c>
      <c r="AG160" s="31">
        <f t="shared" si="101"/>
        <v>0</v>
      </c>
      <c r="AH160" s="31">
        <f t="shared" si="101"/>
        <v>0</v>
      </c>
      <c r="AI160" s="31">
        <f t="shared" si="101"/>
        <v>0</v>
      </c>
      <c r="AJ160" s="30">
        <f t="shared" si="101"/>
        <v>10000000</v>
      </c>
      <c r="AK160" s="31">
        <f t="shared" si="101"/>
        <v>0</v>
      </c>
      <c r="AL160" s="172">
        <f t="shared" si="101"/>
        <v>0</v>
      </c>
      <c r="AM160" s="109">
        <f t="shared" si="101"/>
        <v>250000</v>
      </c>
      <c r="AN160" s="31">
        <f t="shared" si="101"/>
        <v>0</v>
      </c>
      <c r="AO160" s="172">
        <f t="shared" si="101"/>
        <v>0</v>
      </c>
      <c r="AP160" s="109">
        <f t="shared" si="101"/>
        <v>250000</v>
      </c>
      <c r="AQ160" s="31">
        <f t="shared" si="101"/>
        <v>0</v>
      </c>
      <c r="AR160" s="31">
        <f t="shared" si="101"/>
        <v>0</v>
      </c>
      <c r="AS160" s="30">
        <f t="shared" si="101"/>
        <v>250000</v>
      </c>
      <c r="AT160" s="39">
        <f t="shared" si="93"/>
        <v>250000</v>
      </c>
      <c r="AU160" s="176">
        <f t="shared" si="94"/>
        <v>9750000</v>
      </c>
      <c r="AV160" s="34">
        <f t="shared" si="95"/>
        <v>0</v>
      </c>
      <c r="AW160" s="34">
        <f t="shared" si="96"/>
        <v>0</v>
      </c>
      <c r="AX160" s="32">
        <f t="shared" si="98"/>
        <v>2.5000000000000001E-2</v>
      </c>
    </row>
    <row r="161" spans="1:50" ht="18.75" customHeight="1" x14ac:dyDescent="0.2">
      <c r="A161" s="4" t="s">
        <v>55</v>
      </c>
      <c r="B161" s="4" t="s">
        <v>56</v>
      </c>
      <c r="C161" s="4"/>
      <c r="D161" s="4" t="s">
        <v>40</v>
      </c>
      <c r="E161" s="4"/>
      <c r="F161" s="4"/>
      <c r="G161" s="4" t="s">
        <v>41</v>
      </c>
      <c r="H161" s="4"/>
      <c r="I161" s="4" t="s">
        <v>936</v>
      </c>
      <c r="J161" s="4"/>
      <c r="K161" s="4" t="s">
        <v>932</v>
      </c>
      <c r="L161" s="4"/>
      <c r="M161" s="4" t="s">
        <v>933</v>
      </c>
      <c r="N161" s="4"/>
      <c r="O161" s="4" t="s">
        <v>938</v>
      </c>
      <c r="P161" s="4"/>
      <c r="Q161" s="4" t="s">
        <v>942</v>
      </c>
      <c r="R161" s="4"/>
      <c r="S161" s="4" t="s">
        <v>940</v>
      </c>
      <c r="T161" s="4">
        <v>0</v>
      </c>
      <c r="U161" s="4">
        <v>0</v>
      </c>
      <c r="V161" s="4">
        <v>0</v>
      </c>
      <c r="W161" s="4">
        <v>0</v>
      </c>
      <c r="X161" s="4" t="s">
        <v>937</v>
      </c>
      <c r="Y161" s="4"/>
      <c r="Z161" s="4"/>
      <c r="AA161" s="41" t="s">
        <v>858</v>
      </c>
      <c r="AB161" s="42" t="s">
        <v>262</v>
      </c>
      <c r="AC161" s="43" t="s">
        <v>58</v>
      </c>
      <c r="AD161" s="43">
        <v>10000000</v>
      </c>
      <c r="AE161" s="44">
        <v>0</v>
      </c>
      <c r="AF161" s="44">
        <v>0</v>
      </c>
      <c r="AG161" s="44">
        <v>0</v>
      </c>
      <c r="AH161" s="44">
        <v>0</v>
      </c>
      <c r="AI161" s="44">
        <v>0</v>
      </c>
      <c r="AJ161" s="43">
        <v>10000000</v>
      </c>
      <c r="AK161" s="44">
        <v>0</v>
      </c>
      <c r="AL161" s="44">
        <f>AM161-AGOSTO!AM161</f>
        <v>0</v>
      </c>
      <c r="AM161" s="114">
        <v>250000</v>
      </c>
      <c r="AN161" s="44">
        <v>0</v>
      </c>
      <c r="AO161" s="115">
        <v>0</v>
      </c>
      <c r="AP161" s="114">
        <v>250000</v>
      </c>
      <c r="AQ161" s="44">
        <v>0</v>
      </c>
      <c r="AR161" s="44">
        <v>0</v>
      </c>
      <c r="AS161" s="43">
        <v>250000</v>
      </c>
      <c r="AT161" s="39">
        <f t="shared" si="93"/>
        <v>250000</v>
      </c>
      <c r="AU161" s="18">
        <f t="shared" si="94"/>
        <v>9750000</v>
      </c>
      <c r="AV161" s="34">
        <f t="shared" si="95"/>
        <v>0</v>
      </c>
      <c r="AW161" s="34">
        <f t="shared" si="96"/>
        <v>0</v>
      </c>
      <c r="AX161" s="32">
        <f t="shared" si="98"/>
        <v>2.5000000000000001E-2</v>
      </c>
    </row>
    <row r="162" spans="1:50" ht="18.75" customHeight="1" x14ac:dyDescent="0.2">
      <c r="A162" s="4" t="s">
        <v>55</v>
      </c>
      <c r="B162" s="4" t="s">
        <v>56</v>
      </c>
      <c r="C162" s="4"/>
      <c r="D162" s="4" t="s">
        <v>40</v>
      </c>
      <c r="E162" s="4"/>
      <c r="F162" s="4"/>
      <c r="G162" s="4" t="s">
        <v>41</v>
      </c>
      <c r="H162" s="4"/>
      <c r="I162" s="4" t="s">
        <v>936</v>
      </c>
      <c r="J162" s="4"/>
      <c r="K162" s="4" t="s">
        <v>932</v>
      </c>
      <c r="L162" s="4"/>
      <c r="M162" s="4" t="s">
        <v>933</v>
      </c>
      <c r="N162" s="4"/>
      <c r="O162" s="4" t="s">
        <v>938</v>
      </c>
      <c r="P162" s="4"/>
      <c r="Q162" s="4" t="s">
        <v>942</v>
      </c>
      <c r="R162" s="4"/>
      <c r="S162" s="4" t="s">
        <v>940</v>
      </c>
      <c r="T162" s="4">
        <v>0</v>
      </c>
      <c r="U162" s="4">
        <v>0</v>
      </c>
      <c r="V162" s="4">
        <v>0</v>
      </c>
      <c r="W162" s="4">
        <v>0</v>
      </c>
      <c r="X162" s="4" t="s">
        <v>937</v>
      </c>
      <c r="Y162" s="4"/>
      <c r="Z162" s="4"/>
      <c r="AA162" s="41" t="s">
        <v>857</v>
      </c>
      <c r="AB162" s="42" t="s">
        <v>263</v>
      </c>
      <c r="AC162" s="43" t="s">
        <v>58</v>
      </c>
      <c r="AD162" s="43">
        <v>40000000</v>
      </c>
      <c r="AE162" s="44">
        <v>0</v>
      </c>
      <c r="AF162" s="44">
        <v>0</v>
      </c>
      <c r="AG162" s="44">
        <v>0</v>
      </c>
      <c r="AH162" s="44">
        <v>0</v>
      </c>
      <c r="AI162" s="44">
        <v>0</v>
      </c>
      <c r="AJ162" s="43">
        <v>40000000</v>
      </c>
      <c r="AK162" s="44">
        <v>0</v>
      </c>
      <c r="AL162" s="44">
        <f>AM162-AGOSTO!AM162</f>
        <v>0</v>
      </c>
      <c r="AM162" s="44">
        <v>0</v>
      </c>
      <c r="AN162" s="44">
        <v>0</v>
      </c>
      <c r="AO162" s="44">
        <v>0</v>
      </c>
      <c r="AP162" s="44">
        <v>0</v>
      </c>
      <c r="AQ162" s="44">
        <v>0</v>
      </c>
      <c r="AR162" s="44">
        <v>0</v>
      </c>
      <c r="AS162" s="44">
        <v>0</v>
      </c>
      <c r="AT162" s="40">
        <f t="shared" si="93"/>
        <v>0</v>
      </c>
      <c r="AU162" s="18">
        <f t="shared" si="94"/>
        <v>40000000</v>
      </c>
      <c r="AV162" s="34">
        <f t="shared" si="95"/>
        <v>0</v>
      </c>
      <c r="AW162" s="34">
        <f t="shared" si="96"/>
        <v>0</v>
      </c>
      <c r="AX162" s="32">
        <f t="shared" si="98"/>
        <v>0</v>
      </c>
    </row>
    <row r="163" spans="1:50" s="25" customFormat="1" ht="18.75" customHeight="1" x14ac:dyDescent="0.2">
      <c r="A163" s="19" t="s">
        <v>49</v>
      </c>
      <c r="B163" s="19" t="s">
        <v>50</v>
      </c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26" t="s">
        <v>856</v>
      </c>
      <c r="AB163" s="21" t="s">
        <v>264</v>
      </c>
      <c r="AC163" s="22" t="s">
        <v>37</v>
      </c>
      <c r="AD163" s="22">
        <f>AD164</f>
        <v>58452467165</v>
      </c>
      <c r="AE163" s="22">
        <f t="shared" ref="AE163:AW163" si="102">AE164</f>
        <v>5987472683.25</v>
      </c>
      <c r="AF163" s="23">
        <f t="shared" si="102"/>
        <v>0</v>
      </c>
      <c r="AG163" s="23">
        <f t="shared" si="102"/>
        <v>0</v>
      </c>
      <c r="AH163" s="22">
        <f t="shared" si="102"/>
        <v>22838220315.34</v>
      </c>
      <c r="AI163" s="22">
        <f t="shared" si="102"/>
        <v>-16850747632.09</v>
      </c>
      <c r="AJ163" s="22">
        <f>AJ164</f>
        <v>41601719532.910004</v>
      </c>
      <c r="AK163" s="23">
        <f t="shared" si="102"/>
        <v>0</v>
      </c>
      <c r="AL163" s="22">
        <f t="shared" si="102"/>
        <v>3810879574.5500002</v>
      </c>
      <c r="AM163" s="22">
        <f t="shared" si="102"/>
        <v>25875475134.700001</v>
      </c>
      <c r="AN163" s="23">
        <f t="shared" si="102"/>
        <v>0</v>
      </c>
      <c r="AO163" s="22">
        <f t="shared" si="102"/>
        <v>3786749977.9099998</v>
      </c>
      <c r="AP163" s="22">
        <f t="shared" si="102"/>
        <v>25466895406.089996</v>
      </c>
      <c r="AQ163" s="23">
        <f t="shared" si="102"/>
        <v>0</v>
      </c>
      <c r="AR163" s="22">
        <f t="shared" si="102"/>
        <v>3801718283.9099998</v>
      </c>
      <c r="AS163" s="22">
        <f t="shared" si="102"/>
        <v>25381771410.229996</v>
      </c>
      <c r="AT163" s="22">
        <f t="shared" si="93"/>
        <v>25381771410.229996</v>
      </c>
      <c r="AU163" s="22">
        <f t="shared" si="102"/>
        <v>15726244398.209999</v>
      </c>
      <c r="AV163" s="108">
        <f t="shared" si="102"/>
        <v>408579728.61000037</v>
      </c>
      <c r="AW163" s="22">
        <f t="shared" si="102"/>
        <v>85123995.859999895</v>
      </c>
      <c r="AX163" s="24">
        <f t="shared" si="98"/>
        <v>0.61215968214832606</v>
      </c>
    </row>
    <row r="164" spans="1:50" s="25" customFormat="1" ht="18.75" customHeight="1" x14ac:dyDescent="0.2">
      <c r="A164" s="19" t="s">
        <v>55</v>
      </c>
      <c r="B164" s="19" t="s">
        <v>56</v>
      </c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26" t="s">
        <v>855</v>
      </c>
      <c r="AB164" s="21" t="s">
        <v>265</v>
      </c>
      <c r="AC164" s="22" t="s">
        <v>37</v>
      </c>
      <c r="AD164" s="22">
        <f>AD165+AD175+AD180+AD170+AD179</f>
        <v>58452467165</v>
      </c>
      <c r="AE164" s="22">
        <f t="shared" ref="AE164:AW164" si="103">AE165+AE175+AE180+AE170+AE179</f>
        <v>5987472683.25</v>
      </c>
      <c r="AF164" s="23">
        <f t="shared" si="103"/>
        <v>0</v>
      </c>
      <c r="AG164" s="23">
        <f t="shared" si="103"/>
        <v>0</v>
      </c>
      <c r="AH164" s="22">
        <f t="shared" si="103"/>
        <v>22838220315.34</v>
      </c>
      <c r="AI164" s="22">
        <f t="shared" si="103"/>
        <v>-16850747632.09</v>
      </c>
      <c r="AJ164" s="22">
        <f t="shared" si="103"/>
        <v>41601719532.910004</v>
      </c>
      <c r="AK164" s="23">
        <f t="shared" si="103"/>
        <v>0</v>
      </c>
      <c r="AL164" s="22">
        <f t="shared" si="103"/>
        <v>3810879574.5500002</v>
      </c>
      <c r="AM164" s="22">
        <f t="shared" si="103"/>
        <v>25875475134.700001</v>
      </c>
      <c r="AN164" s="23">
        <f t="shared" si="103"/>
        <v>0</v>
      </c>
      <c r="AO164" s="22">
        <f t="shared" si="103"/>
        <v>3786749977.9099998</v>
      </c>
      <c r="AP164" s="22">
        <f t="shared" si="103"/>
        <v>25466895406.089996</v>
      </c>
      <c r="AQ164" s="23">
        <f t="shared" si="103"/>
        <v>0</v>
      </c>
      <c r="AR164" s="22">
        <f t="shared" si="103"/>
        <v>3801718283.9099998</v>
      </c>
      <c r="AS164" s="22">
        <f t="shared" si="103"/>
        <v>25381771410.229996</v>
      </c>
      <c r="AT164" s="22">
        <f t="shared" si="103"/>
        <v>25381771410.229996</v>
      </c>
      <c r="AU164" s="22">
        <f t="shared" si="103"/>
        <v>15726244398.209999</v>
      </c>
      <c r="AV164" s="22">
        <f t="shared" si="103"/>
        <v>408579728.61000037</v>
      </c>
      <c r="AW164" s="22">
        <f t="shared" si="103"/>
        <v>85123995.859999895</v>
      </c>
      <c r="AX164" s="24">
        <f t="shared" si="98"/>
        <v>0.61215968214832606</v>
      </c>
    </row>
    <row r="165" spans="1:50" s="25" customFormat="1" ht="18.75" customHeight="1" x14ac:dyDescent="0.2">
      <c r="A165" s="19" t="s">
        <v>37</v>
      </c>
      <c r="B165" s="19" t="s">
        <v>37</v>
      </c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26" t="s">
        <v>854</v>
      </c>
      <c r="AB165" s="21" t="s">
        <v>266</v>
      </c>
      <c r="AC165" s="22" t="s">
        <v>37</v>
      </c>
      <c r="AD165" s="22">
        <f>AD166</f>
        <v>28000000000.57</v>
      </c>
      <c r="AE165" s="23">
        <f t="shared" ref="AE165:AW168" si="104">AE166</f>
        <v>0</v>
      </c>
      <c r="AF165" s="23">
        <f t="shared" si="104"/>
        <v>0</v>
      </c>
      <c r="AG165" s="23">
        <f t="shared" si="104"/>
        <v>0</v>
      </c>
      <c r="AH165" s="22">
        <f t="shared" si="104"/>
        <v>15771684621.610001</v>
      </c>
      <c r="AI165" s="22">
        <f t="shared" si="104"/>
        <v>-15771684621.610001</v>
      </c>
      <c r="AJ165" s="22">
        <f t="shared" si="104"/>
        <v>12228315378.959999</v>
      </c>
      <c r="AK165" s="23">
        <f t="shared" si="104"/>
        <v>0</v>
      </c>
      <c r="AL165" s="22">
        <f t="shared" si="104"/>
        <v>814814591.46000099</v>
      </c>
      <c r="AM165" s="22">
        <f t="shared" si="104"/>
        <v>11388729168.42</v>
      </c>
      <c r="AN165" s="23">
        <f t="shared" si="104"/>
        <v>0</v>
      </c>
      <c r="AO165" s="22">
        <f t="shared" si="104"/>
        <v>814814591.46000004</v>
      </c>
      <c r="AP165" s="22">
        <f t="shared" si="104"/>
        <v>11388729168.42</v>
      </c>
      <c r="AQ165" s="23">
        <f t="shared" si="104"/>
        <v>0</v>
      </c>
      <c r="AR165" s="22">
        <f t="shared" si="104"/>
        <v>814814591.46000004</v>
      </c>
      <c r="AS165" s="22">
        <f t="shared" si="104"/>
        <v>11388729168.42</v>
      </c>
      <c r="AT165" s="22">
        <f t="shared" si="93"/>
        <v>11388729168.42</v>
      </c>
      <c r="AU165" s="22">
        <f t="shared" si="104"/>
        <v>839586210.53999901</v>
      </c>
      <c r="AV165" s="23">
        <f t="shared" si="104"/>
        <v>0</v>
      </c>
      <c r="AW165" s="23">
        <f t="shared" si="104"/>
        <v>0</v>
      </c>
      <c r="AX165" s="24">
        <f t="shared" si="98"/>
        <v>0.93134081150829751</v>
      </c>
    </row>
    <row r="166" spans="1:50" ht="18.75" customHeight="1" x14ac:dyDescent="0.2">
      <c r="A166" s="27" t="s">
        <v>37</v>
      </c>
      <c r="B166" s="27" t="s">
        <v>37</v>
      </c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8" t="s">
        <v>853</v>
      </c>
      <c r="AB166" s="29" t="s">
        <v>267</v>
      </c>
      <c r="AC166" s="30" t="s">
        <v>37</v>
      </c>
      <c r="AD166" s="30">
        <f>AD167</f>
        <v>28000000000.57</v>
      </c>
      <c r="AE166" s="31">
        <f t="shared" si="104"/>
        <v>0</v>
      </c>
      <c r="AF166" s="31">
        <f t="shared" si="104"/>
        <v>0</v>
      </c>
      <c r="AG166" s="31">
        <f t="shared" si="104"/>
        <v>0</v>
      </c>
      <c r="AH166" s="30">
        <f t="shared" si="104"/>
        <v>15771684621.610001</v>
      </c>
      <c r="AI166" s="30">
        <f t="shared" si="104"/>
        <v>-15771684621.610001</v>
      </c>
      <c r="AJ166" s="30">
        <f t="shared" si="104"/>
        <v>12228315378.959999</v>
      </c>
      <c r="AK166" s="31">
        <f t="shared" si="104"/>
        <v>0</v>
      </c>
      <c r="AL166" s="30">
        <f t="shared" si="104"/>
        <v>814814591.46000099</v>
      </c>
      <c r="AM166" s="30">
        <f t="shared" si="104"/>
        <v>11388729168.42</v>
      </c>
      <c r="AN166" s="31">
        <f t="shared" si="104"/>
        <v>0</v>
      </c>
      <c r="AO166" s="30">
        <f t="shared" si="104"/>
        <v>814814591.46000004</v>
      </c>
      <c r="AP166" s="30">
        <f t="shared" si="104"/>
        <v>11388729168.42</v>
      </c>
      <c r="AQ166" s="31">
        <f t="shared" si="104"/>
        <v>0</v>
      </c>
      <c r="AR166" s="30">
        <f t="shared" si="104"/>
        <v>814814591.46000004</v>
      </c>
      <c r="AS166" s="30">
        <f t="shared" si="104"/>
        <v>11388729168.42</v>
      </c>
      <c r="AT166" s="30">
        <f t="shared" si="93"/>
        <v>11388729168.42</v>
      </c>
      <c r="AU166" s="18">
        <f>AJ166-AM166</f>
        <v>839586210.53999901</v>
      </c>
      <c r="AV166" s="34">
        <f>AM166-AP166</f>
        <v>0</v>
      </c>
      <c r="AW166" s="34">
        <f>AP166-AT166</f>
        <v>0</v>
      </c>
      <c r="AX166" s="32">
        <f t="shared" si="98"/>
        <v>0.93134081150829751</v>
      </c>
    </row>
    <row r="167" spans="1:50" ht="18.75" customHeight="1" x14ac:dyDescent="0.2">
      <c r="A167" s="27" t="s">
        <v>37</v>
      </c>
      <c r="B167" s="27" t="s">
        <v>37</v>
      </c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8" t="s">
        <v>852</v>
      </c>
      <c r="AB167" s="29" t="s">
        <v>268</v>
      </c>
      <c r="AC167" s="30" t="s">
        <v>37</v>
      </c>
      <c r="AD167" s="30">
        <f>AD168</f>
        <v>28000000000.57</v>
      </c>
      <c r="AE167" s="31">
        <f t="shared" si="104"/>
        <v>0</v>
      </c>
      <c r="AF167" s="31">
        <f t="shared" si="104"/>
        <v>0</v>
      </c>
      <c r="AG167" s="31">
        <f t="shared" si="104"/>
        <v>0</v>
      </c>
      <c r="AH167" s="30">
        <f t="shared" si="104"/>
        <v>15771684621.610001</v>
      </c>
      <c r="AI167" s="30">
        <f t="shared" si="104"/>
        <v>-15771684621.610001</v>
      </c>
      <c r="AJ167" s="30">
        <f t="shared" si="104"/>
        <v>12228315378.959999</v>
      </c>
      <c r="AK167" s="31">
        <f t="shared" si="104"/>
        <v>0</v>
      </c>
      <c r="AL167" s="30">
        <f t="shared" si="104"/>
        <v>814814591.46000099</v>
      </c>
      <c r="AM167" s="30">
        <f t="shared" si="104"/>
        <v>11388729168.42</v>
      </c>
      <c r="AN167" s="31">
        <f t="shared" si="104"/>
        <v>0</v>
      </c>
      <c r="AO167" s="30">
        <f t="shared" si="104"/>
        <v>814814591.46000004</v>
      </c>
      <c r="AP167" s="30">
        <f t="shared" si="104"/>
        <v>11388729168.42</v>
      </c>
      <c r="AQ167" s="31">
        <f t="shared" si="104"/>
        <v>0</v>
      </c>
      <c r="AR167" s="30">
        <f t="shared" si="104"/>
        <v>814814591.46000004</v>
      </c>
      <c r="AS167" s="30">
        <f t="shared" si="104"/>
        <v>11388729168.42</v>
      </c>
      <c r="AT167" s="30">
        <f t="shared" si="93"/>
        <v>11388729168.42</v>
      </c>
      <c r="AU167" s="18">
        <f>AJ167-AM167</f>
        <v>839586210.53999901</v>
      </c>
      <c r="AV167" s="34">
        <f>AM167-AP167</f>
        <v>0</v>
      </c>
      <c r="AW167" s="34">
        <f>AP167-AT167</f>
        <v>0</v>
      </c>
      <c r="AX167" s="32">
        <f t="shared" si="98"/>
        <v>0.93134081150829751</v>
      </c>
    </row>
    <row r="168" spans="1:50" ht="18.75" customHeight="1" x14ac:dyDescent="0.2">
      <c r="A168" s="27" t="s">
        <v>37</v>
      </c>
      <c r="B168" s="27" t="s">
        <v>37</v>
      </c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8" t="s">
        <v>851</v>
      </c>
      <c r="AB168" s="29" t="s">
        <v>269</v>
      </c>
      <c r="AC168" s="30" t="s">
        <v>37</v>
      </c>
      <c r="AD168" s="30">
        <f>AD169</f>
        <v>28000000000.57</v>
      </c>
      <c r="AE168" s="31">
        <f t="shared" si="104"/>
        <v>0</v>
      </c>
      <c r="AF168" s="31">
        <f t="shared" si="104"/>
        <v>0</v>
      </c>
      <c r="AG168" s="31">
        <f t="shared" si="104"/>
        <v>0</v>
      </c>
      <c r="AH168" s="30">
        <f t="shared" si="104"/>
        <v>15771684621.610001</v>
      </c>
      <c r="AI168" s="30">
        <f t="shared" si="104"/>
        <v>-15771684621.610001</v>
      </c>
      <c r="AJ168" s="30">
        <f t="shared" si="104"/>
        <v>12228315378.959999</v>
      </c>
      <c r="AK168" s="31">
        <f t="shared" si="104"/>
        <v>0</v>
      </c>
      <c r="AL168" s="30">
        <f t="shared" si="104"/>
        <v>814814591.46000099</v>
      </c>
      <c r="AM168" s="30">
        <f t="shared" si="104"/>
        <v>11388729168.42</v>
      </c>
      <c r="AN168" s="31">
        <f t="shared" si="104"/>
        <v>0</v>
      </c>
      <c r="AO168" s="30">
        <f t="shared" si="104"/>
        <v>814814591.46000004</v>
      </c>
      <c r="AP168" s="30">
        <f t="shared" si="104"/>
        <v>11388729168.42</v>
      </c>
      <c r="AQ168" s="31">
        <f t="shared" si="104"/>
        <v>0</v>
      </c>
      <c r="AR168" s="30">
        <f t="shared" si="104"/>
        <v>814814591.46000004</v>
      </c>
      <c r="AS168" s="30">
        <f t="shared" si="104"/>
        <v>11388729168.42</v>
      </c>
      <c r="AT168" s="30">
        <f t="shared" si="93"/>
        <v>11388729168.42</v>
      </c>
      <c r="AU168" s="18">
        <f>AJ168-AM168</f>
        <v>839586210.53999901</v>
      </c>
      <c r="AV168" s="34">
        <f>AM168-AP168</f>
        <v>0</v>
      </c>
      <c r="AW168" s="34">
        <f>AP168-AT168</f>
        <v>0</v>
      </c>
      <c r="AX168" s="32">
        <f t="shared" si="98"/>
        <v>0.93134081150829751</v>
      </c>
    </row>
    <row r="169" spans="1:50" ht="18.75" customHeight="1" x14ac:dyDescent="0.2">
      <c r="A169" s="4" t="s">
        <v>55</v>
      </c>
      <c r="B169" s="4" t="s">
        <v>56</v>
      </c>
      <c r="C169" s="4"/>
      <c r="D169" s="4" t="s">
        <v>947</v>
      </c>
      <c r="E169" s="4"/>
      <c r="F169" s="4"/>
      <c r="G169" s="4" t="s">
        <v>41</v>
      </c>
      <c r="H169" s="4"/>
      <c r="I169" s="4" t="s">
        <v>936</v>
      </c>
      <c r="J169" s="4"/>
      <c r="K169" s="4" t="s">
        <v>932</v>
      </c>
      <c r="L169" s="4"/>
      <c r="M169" s="4" t="s">
        <v>933</v>
      </c>
      <c r="N169" s="4"/>
      <c r="O169" s="4" t="s">
        <v>934</v>
      </c>
      <c r="P169" s="4"/>
      <c r="Q169" s="4" t="s">
        <v>935</v>
      </c>
      <c r="R169" s="4"/>
      <c r="S169" s="4" t="s">
        <v>940</v>
      </c>
      <c r="T169" s="4">
        <v>0</v>
      </c>
      <c r="U169" s="4">
        <v>0</v>
      </c>
      <c r="V169" s="4">
        <v>0</v>
      </c>
      <c r="W169" s="4"/>
      <c r="X169" s="4" t="s">
        <v>937</v>
      </c>
      <c r="Y169" s="4"/>
      <c r="Z169" s="4"/>
      <c r="AA169" s="41" t="s">
        <v>850</v>
      </c>
      <c r="AB169" s="42" t="s">
        <v>269</v>
      </c>
      <c r="AC169" s="43" t="s">
        <v>58</v>
      </c>
      <c r="AD169" s="43">
        <v>28000000000.57</v>
      </c>
      <c r="AE169" s="44">
        <v>0</v>
      </c>
      <c r="AF169" s="44">
        <v>0</v>
      </c>
      <c r="AG169" s="44">
        <v>0</v>
      </c>
      <c r="AH169" s="43">
        <v>15771684621.610001</v>
      </c>
      <c r="AI169" s="18">
        <f>AE169-AF169+AG169-AH169</f>
        <v>-15771684621.610001</v>
      </c>
      <c r="AJ169" s="18">
        <f>AD169+AI169</f>
        <v>12228315378.959999</v>
      </c>
      <c r="AK169" s="44">
        <v>0</v>
      </c>
      <c r="AL169" s="43">
        <f>AM169-AGOSTO!AM169</f>
        <v>814814591.46000099</v>
      </c>
      <c r="AM169" s="43">
        <v>11388729168.42</v>
      </c>
      <c r="AN169" s="44">
        <v>0</v>
      </c>
      <c r="AO169" s="43">
        <v>814814591.46000004</v>
      </c>
      <c r="AP169" s="43">
        <v>11388729168.42</v>
      </c>
      <c r="AQ169" s="44">
        <v>0</v>
      </c>
      <c r="AR169" s="43">
        <v>814814591.46000004</v>
      </c>
      <c r="AS169" s="43">
        <v>11388729168.42</v>
      </c>
      <c r="AT169" s="39">
        <f t="shared" si="93"/>
        <v>11388729168.42</v>
      </c>
      <c r="AU169" s="18">
        <f>AJ169-AM169</f>
        <v>839586210.53999901</v>
      </c>
      <c r="AV169" s="34">
        <f>AM169-AP169</f>
        <v>0</v>
      </c>
      <c r="AW169" s="34">
        <f>AP169-AT169</f>
        <v>0</v>
      </c>
      <c r="AX169" s="32">
        <f t="shared" si="98"/>
        <v>0.93134081150829751</v>
      </c>
    </row>
    <row r="170" spans="1:50" s="25" customFormat="1" ht="18.75" customHeight="1" x14ac:dyDescent="0.2">
      <c r="A170" s="19" t="s">
        <v>37</v>
      </c>
      <c r="B170" s="19" t="s">
        <v>37</v>
      </c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26" t="s">
        <v>270</v>
      </c>
      <c r="AB170" s="21" t="s">
        <v>271</v>
      </c>
      <c r="AC170" s="22" t="s">
        <v>37</v>
      </c>
      <c r="AD170" s="22">
        <f>AD171</f>
        <v>21500000000</v>
      </c>
      <c r="AE170" s="23">
        <f t="shared" ref="AE170:AW173" si="105">AE171</f>
        <v>0</v>
      </c>
      <c r="AF170" s="23">
        <f t="shared" si="105"/>
        <v>0</v>
      </c>
      <c r="AG170" s="23">
        <f t="shared" si="105"/>
        <v>0</v>
      </c>
      <c r="AH170" s="22">
        <f t="shared" si="105"/>
        <v>7066535693.7299995</v>
      </c>
      <c r="AI170" s="22">
        <f t="shared" si="105"/>
        <v>-7066535693.7299995</v>
      </c>
      <c r="AJ170" s="22">
        <f t="shared" si="105"/>
        <v>14433464306.27</v>
      </c>
      <c r="AK170" s="23">
        <f t="shared" si="105"/>
        <v>0</v>
      </c>
      <c r="AL170" s="22">
        <f t="shared" si="105"/>
        <v>2066470004.4599991</v>
      </c>
      <c r="AM170" s="22">
        <f t="shared" si="105"/>
        <v>10381018925.389999</v>
      </c>
      <c r="AN170" s="23">
        <f t="shared" si="105"/>
        <v>0</v>
      </c>
      <c r="AO170" s="22">
        <f t="shared" si="105"/>
        <v>2066470004.46</v>
      </c>
      <c r="AP170" s="22">
        <f t="shared" si="105"/>
        <v>10381018925.389999</v>
      </c>
      <c r="AQ170" s="23">
        <f t="shared" si="105"/>
        <v>0</v>
      </c>
      <c r="AR170" s="22">
        <f t="shared" si="105"/>
        <v>2066470004.46</v>
      </c>
      <c r="AS170" s="22">
        <f t="shared" si="105"/>
        <v>10381018925.389999</v>
      </c>
      <c r="AT170" s="22">
        <f t="shared" si="105"/>
        <v>10381018925.389999</v>
      </c>
      <c r="AU170" s="22">
        <f t="shared" si="105"/>
        <v>4052445380.8800011</v>
      </c>
      <c r="AV170" s="23">
        <f t="shared" si="105"/>
        <v>0</v>
      </c>
      <c r="AW170" s="23">
        <f t="shared" si="105"/>
        <v>0</v>
      </c>
      <c r="AX170" s="24">
        <f t="shared" si="98"/>
        <v>0.71923265995679297</v>
      </c>
    </row>
    <row r="171" spans="1:50" ht="18.75" customHeight="1" x14ac:dyDescent="0.2">
      <c r="A171" s="27" t="s">
        <v>37</v>
      </c>
      <c r="B171" s="27" t="s">
        <v>37</v>
      </c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8" t="s">
        <v>849</v>
      </c>
      <c r="AB171" s="29" t="s">
        <v>272</v>
      </c>
      <c r="AC171" s="30" t="s">
        <v>56</v>
      </c>
      <c r="AD171" s="30">
        <f>AD172</f>
        <v>21500000000</v>
      </c>
      <c r="AE171" s="31">
        <f t="shared" si="105"/>
        <v>0</v>
      </c>
      <c r="AF171" s="31">
        <f t="shared" si="105"/>
        <v>0</v>
      </c>
      <c r="AG171" s="31">
        <f t="shared" si="105"/>
        <v>0</v>
      </c>
      <c r="AH171" s="30">
        <f t="shared" si="105"/>
        <v>7066535693.7299995</v>
      </c>
      <c r="AI171" s="30">
        <f t="shared" si="105"/>
        <v>-7066535693.7299995</v>
      </c>
      <c r="AJ171" s="30">
        <f t="shared" si="105"/>
        <v>14433464306.27</v>
      </c>
      <c r="AK171" s="31">
        <f t="shared" si="105"/>
        <v>0</v>
      </c>
      <c r="AL171" s="30">
        <f t="shared" si="105"/>
        <v>2066470004.4599991</v>
      </c>
      <c r="AM171" s="30">
        <f t="shared" si="105"/>
        <v>10381018925.389999</v>
      </c>
      <c r="AN171" s="31">
        <f t="shared" si="105"/>
        <v>0</v>
      </c>
      <c r="AO171" s="30">
        <f t="shared" si="105"/>
        <v>2066470004.46</v>
      </c>
      <c r="AP171" s="30">
        <f t="shared" si="105"/>
        <v>10381018925.389999</v>
      </c>
      <c r="AQ171" s="31">
        <f t="shared" si="105"/>
        <v>0</v>
      </c>
      <c r="AR171" s="30">
        <f t="shared" si="105"/>
        <v>2066470004.46</v>
      </c>
      <c r="AS171" s="30">
        <f t="shared" si="105"/>
        <v>10381018925.389999</v>
      </c>
      <c r="AT171" s="30">
        <f t="shared" ref="AT171:AT174" si="106">AQ171+AS171</f>
        <v>10381018925.389999</v>
      </c>
      <c r="AU171" s="18">
        <f>AJ171-AM171</f>
        <v>4052445380.8800011</v>
      </c>
      <c r="AV171" s="34">
        <f>AM171-AP171</f>
        <v>0</v>
      </c>
      <c r="AW171" s="34">
        <f>AP171-AT171</f>
        <v>0</v>
      </c>
      <c r="AX171" s="32">
        <f t="shared" si="98"/>
        <v>0.71923265995679297</v>
      </c>
    </row>
    <row r="172" spans="1:50" ht="18.75" customHeight="1" x14ac:dyDescent="0.2">
      <c r="A172" s="27" t="s">
        <v>37</v>
      </c>
      <c r="B172" s="27" t="s">
        <v>37</v>
      </c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8" t="s">
        <v>848</v>
      </c>
      <c r="AB172" s="29" t="s">
        <v>268</v>
      </c>
      <c r="AC172" s="30" t="s">
        <v>37</v>
      </c>
      <c r="AD172" s="30">
        <f>AD173</f>
        <v>21500000000</v>
      </c>
      <c r="AE172" s="31">
        <f t="shared" si="105"/>
        <v>0</v>
      </c>
      <c r="AF172" s="31">
        <f t="shared" si="105"/>
        <v>0</v>
      </c>
      <c r="AG172" s="31">
        <f t="shared" si="105"/>
        <v>0</v>
      </c>
      <c r="AH172" s="30">
        <f t="shared" si="105"/>
        <v>7066535693.7299995</v>
      </c>
      <c r="AI172" s="30">
        <f t="shared" si="105"/>
        <v>-7066535693.7299995</v>
      </c>
      <c r="AJ172" s="30">
        <f t="shared" si="105"/>
        <v>14433464306.27</v>
      </c>
      <c r="AK172" s="31">
        <f t="shared" si="105"/>
        <v>0</v>
      </c>
      <c r="AL172" s="30">
        <f t="shared" si="105"/>
        <v>2066470004.4599991</v>
      </c>
      <c r="AM172" s="30">
        <f t="shared" si="105"/>
        <v>10381018925.389999</v>
      </c>
      <c r="AN172" s="31">
        <f t="shared" si="105"/>
        <v>0</v>
      </c>
      <c r="AO172" s="30">
        <f t="shared" si="105"/>
        <v>2066470004.46</v>
      </c>
      <c r="AP172" s="30">
        <f t="shared" si="105"/>
        <v>10381018925.389999</v>
      </c>
      <c r="AQ172" s="31">
        <f t="shared" si="105"/>
        <v>0</v>
      </c>
      <c r="AR172" s="30">
        <f t="shared" si="105"/>
        <v>2066470004.46</v>
      </c>
      <c r="AS172" s="30">
        <f t="shared" si="105"/>
        <v>10381018925.389999</v>
      </c>
      <c r="AT172" s="30">
        <f t="shared" si="106"/>
        <v>10381018925.389999</v>
      </c>
      <c r="AU172" s="18">
        <f>AJ172-AM172</f>
        <v>4052445380.8800011</v>
      </c>
      <c r="AV172" s="34">
        <f>AM172-AP172</f>
        <v>0</v>
      </c>
      <c r="AW172" s="34">
        <f>AP172-AT172</f>
        <v>0</v>
      </c>
      <c r="AX172" s="32">
        <f t="shared" si="98"/>
        <v>0.71923265995679297</v>
      </c>
    </row>
    <row r="173" spans="1:50" ht="18.75" customHeight="1" x14ac:dyDescent="0.2">
      <c r="A173" s="27" t="s">
        <v>37</v>
      </c>
      <c r="B173" s="27" t="s">
        <v>37</v>
      </c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8" t="s">
        <v>847</v>
      </c>
      <c r="AB173" s="29" t="s">
        <v>269</v>
      </c>
      <c r="AC173" s="30" t="s">
        <v>37</v>
      </c>
      <c r="AD173" s="30">
        <f>AD174</f>
        <v>21500000000</v>
      </c>
      <c r="AE173" s="31">
        <f t="shared" si="105"/>
        <v>0</v>
      </c>
      <c r="AF173" s="31">
        <f t="shared" si="105"/>
        <v>0</v>
      </c>
      <c r="AG173" s="31">
        <f t="shared" si="105"/>
        <v>0</v>
      </c>
      <c r="AH173" s="30">
        <f t="shared" si="105"/>
        <v>7066535693.7299995</v>
      </c>
      <c r="AI173" s="30">
        <f t="shared" si="105"/>
        <v>-7066535693.7299995</v>
      </c>
      <c r="AJ173" s="30">
        <f t="shared" si="105"/>
        <v>14433464306.27</v>
      </c>
      <c r="AK173" s="31">
        <f t="shared" si="105"/>
        <v>0</v>
      </c>
      <c r="AL173" s="30">
        <f t="shared" si="105"/>
        <v>2066470004.4599991</v>
      </c>
      <c r="AM173" s="30">
        <f t="shared" si="105"/>
        <v>10381018925.389999</v>
      </c>
      <c r="AN173" s="31">
        <f t="shared" si="105"/>
        <v>0</v>
      </c>
      <c r="AO173" s="30">
        <f t="shared" si="105"/>
        <v>2066470004.46</v>
      </c>
      <c r="AP173" s="30">
        <f t="shared" si="105"/>
        <v>10381018925.389999</v>
      </c>
      <c r="AQ173" s="31">
        <f t="shared" si="105"/>
        <v>0</v>
      </c>
      <c r="AR173" s="30">
        <f t="shared" si="105"/>
        <v>2066470004.46</v>
      </c>
      <c r="AS173" s="30">
        <f t="shared" si="105"/>
        <v>10381018925.389999</v>
      </c>
      <c r="AT173" s="30">
        <f t="shared" si="106"/>
        <v>10381018925.389999</v>
      </c>
      <c r="AU173" s="18">
        <f>AJ173-AM173</f>
        <v>4052445380.8800011</v>
      </c>
      <c r="AV173" s="34">
        <f>AM173-AP173</f>
        <v>0</v>
      </c>
      <c r="AW173" s="34">
        <f>AP173-AT173</f>
        <v>0</v>
      </c>
      <c r="AX173" s="32">
        <f t="shared" si="98"/>
        <v>0.71923265995679297</v>
      </c>
    </row>
    <row r="174" spans="1:50" ht="18.75" customHeight="1" x14ac:dyDescent="0.2">
      <c r="A174" s="4" t="s">
        <v>55</v>
      </c>
      <c r="B174" s="4" t="s">
        <v>56</v>
      </c>
      <c r="C174" s="4"/>
      <c r="D174" s="4" t="s">
        <v>947</v>
      </c>
      <c r="E174" s="4"/>
      <c r="F174" s="4"/>
      <c r="G174" s="4" t="s">
        <v>41</v>
      </c>
      <c r="H174" s="4"/>
      <c r="I174" s="4" t="s">
        <v>936</v>
      </c>
      <c r="J174" s="4"/>
      <c r="K174" s="4" t="s">
        <v>932</v>
      </c>
      <c r="L174" s="4"/>
      <c r="M174" s="4" t="s">
        <v>933</v>
      </c>
      <c r="N174" s="4"/>
      <c r="O174" s="4" t="s">
        <v>934</v>
      </c>
      <c r="P174" s="4"/>
      <c r="Q174" s="4" t="s">
        <v>935</v>
      </c>
      <c r="R174" s="4"/>
      <c r="S174" s="4" t="s">
        <v>940</v>
      </c>
      <c r="T174" s="4">
        <v>0</v>
      </c>
      <c r="U174" s="4">
        <v>0</v>
      </c>
      <c r="V174" s="4">
        <v>0</v>
      </c>
      <c r="W174" s="4"/>
      <c r="X174" s="4" t="s">
        <v>937</v>
      </c>
      <c r="Y174" s="4"/>
      <c r="Z174" s="4"/>
      <c r="AA174" s="41" t="s">
        <v>846</v>
      </c>
      <c r="AB174" s="42" t="s">
        <v>269</v>
      </c>
      <c r="AC174" s="43" t="s">
        <v>58</v>
      </c>
      <c r="AD174" s="43">
        <v>21500000000</v>
      </c>
      <c r="AE174" s="44">
        <v>0</v>
      </c>
      <c r="AF174" s="44">
        <v>0</v>
      </c>
      <c r="AG174" s="44">
        <v>0</v>
      </c>
      <c r="AH174" s="43">
        <v>7066535693.7299995</v>
      </c>
      <c r="AI174" s="18">
        <f>AE174-AF174+AG174-AH174</f>
        <v>-7066535693.7299995</v>
      </c>
      <c r="AJ174" s="18">
        <f>AD174+AI174</f>
        <v>14433464306.27</v>
      </c>
      <c r="AK174" s="44">
        <v>0</v>
      </c>
      <c r="AL174" s="43">
        <f>AM174-AGOSTO!AM174</f>
        <v>2066470004.4599991</v>
      </c>
      <c r="AM174" s="43">
        <v>10381018925.389999</v>
      </c>
      <c r="AN174" s="44">
        <v>0</v>
      </c>
      <c r="AO174" s="43">
        <v>2066470004.46</v>
      </c>
      <c r="AP174" s="43">
        <v>10381018925.389999</v>
      </c>
      <c r="AQ174" s="44">
        <v>0</v>
      </c>
      <c r="AR174" s="43">
        <v>2066470004.46</v>
      </c>
      <c r="AS174" s="43">
        <v>10381018925.389999</v>
      </c>
      <c r="AT174" s="39">
        <f t="shared" si="106"/>
        <v>10381018925.389999</v>
      </c>
      <c r="AU174" s="18">
        <f>AJ174-AM174</f>
        <v>4052445380.8800011</v>
      </c>
      <c r="AV174" s="34">
        <f>AM174-AP174</f>
        <v>0</v>
      </c>
      <c r="AW174" s="34">
        <f>AP174-AT174</f>
        <v>0</v>
      </c>
      <c r="AX174" s="32">
        <f t="shared" si="98"/>
        <v>0.71923265995679297</v>
      </c>
    </row>
    <row r="175" spans="1:50" s="25" customFormat="1" ht="18.75" customHeight="1" x14ac:dyDescent="0.2">
      <c r="A175" s="19" t="s">
        <v>37</v>
      </c>
      <c r="B175" s="19" t="s">
        <v>37</v>
      </c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26" t="s">
        <v>273</v>
      </c>
      <c r="AB175" s="21" t="s">
        <v>274</v>
      </c>
      <c r="AC175" s="22" t="s">
        <v>37</v>
      </c>
      <c r="AD175" s="22">
        <f>AD176</f>
        <v>200000000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2">
        <f>AJ176</f>
        <v>200000000</v>
      </c>
      <c r="AK175" s="23">
        <f t="shared" ref="AK175:AW177" si="107">AK176</f>
        <v>0</v>
      </c>
      <c r="AL175" s="23">
        <f t="shared" si="107"/>
        <v>0</v>
      </c>
      <c r="AM175" s="23">
        <f t="shared" si="107"/>
        <v>0</v>
      </c>
      <c r="AN175" s="23">
        <f t="shared" si="107"/>
        <v>0</v>
      </c>
      <c r="AO175" s="23">
        <f t="shared" si="107"/>
        <v>0</v>
      </c>
      <c r="AP175" s="23">
        <f t="shared" si="107"/>
        <v>0</v>
      </c>
      <c r="AQ175" s="23">
        <f t="shared" si="107"/>
        <v>0</v>
      </c>
      <c r="AR175" s="23">
        <f t="shared" si="107"/>
        <v>0</v>
      </c>
      <c r="AS175" s="23">
        <f t="shared" si="107"/>
        <v>0</v>
      </c>
      <c r="AT175" s="23">
        <f t="shared" si="107"/>
        <v>0</v>
      </c>
      <c r="AU175" s="22">
        <f t="shared" si="107"/>
        <v>200000000</v>
      </c>
      <c r="AV175" s="23">
        <f t="shared" si="107"/>
        <v>0</v>
      </c>
      <c r="AW175" s="23">
        <f t="shared" si="107"/>
        <v>0</v>
      </c>
      <c r="AX175" s="24">
        <f t="shared" si="98"/>
        <v>0</v>
      </c>
    </row>
    <row r="176" spans="1:50" ht="18.75" customHeight="1" x14ac:dyDescent="0.2">
      <c r="A176" s="27" t="s">
        <v>37</v>
      </c>
      <c r="B176" s="27" t="s">
        <v>37</v>
      </c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8" t="s">
        <v>843</v>
      </c>
      <c r="AB176" s="29" t="s">
        <v>267</v>
      </c>
      <c r="AC176" s="30" t="s">
        <v>37</v>
      </c>
      <c r="AD176" s="30">
        <f>AD177</f>
        <v>200000000</v>
      </c>
      <c r="AE176" s="31">
        <v>0</v>
      </c>
      <c r="AF176" s="31">
        <v>0</v>
      </c>
      <c r="AG176" s="31">
        <v>0</v>
      </c>
      <c r="AH176" s="31">
        <v>0</v>
      </c>
      <c r="AI176" s="31">
        <v>0</v>
      </c>
      <c r="AJ176" s="30">
        <f t="shared" ref="AJ176:AJ177" si="108">AJ177</f>
        <v>200000000</v>
      </c>
      <c r="AK176" s="31">
        <f t="shared" si="107"/>
        <v>0</v>
      </c>
      <c r="AL176" s="31">
        <f t="shared" si="107"/>
        <v>0</v>
      </c>
      <c r="AM176" s="31">
        <f t="shared" si="107"/>
        <v>0</v>
      </c>
      <c r="AN176" s="31">
        <f t="shared" si="107"/>
        <v>0</v>
      </c>
      <c r="AO176" s="31">
        <f t="shared" si="107"/>
        <v>0</v>
      </c>
      <c r="AP176" s="31">
        <f t="shared" si="107"/>
        <v>0</v>
      </c>
      <c r="AQ176" s="31">
        <f t="shared" si="107"/>
        <v>0</v>
      </c>
      <c r="AR176" s="31">
        <f t="shared" si="107"/>
        <v>0</v>
      </c>
      <c r="AS176" s="31">
        <f t="shared" si="107"/>
        <v>0</v>
      </c>
      <c r="AT176" s="40">
        <f t="shared" si="107"/>
        <v>0</v>
      </c>
      <c r="AU176" s="30">
        <f t="shared" si="107"/>
        <v>200000000</v>
      </c>
      <c r="AV176" s="31">
        <f t="shared" si="107"/>
        <v>0</v>
      </c>
      <c r="AW176" s="31">
        <f t="shared" si="107"/>
        <v>0</v>
      </c>
      <c r="AX176" s="32">
        <f t="shared" si="98"/>
        <v>0</v>
      </c>
    </row>
    <row r="177" spans="1:50" ht="18.75" customHeight="1" x14ac:dyDescent="0.2">
      <c r="A177" s="27" t="s">
        <v>37</v>
      </c>
      <c r="B177" s="27" t="s">
        <v>37</v>
      </c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8" t="s">
        <v>845</v>
      </c>
      <c r="AB177" s="29" t="s">
        <v>268</v>
      </c>
      <c r="AC177" s="30" t="s">
        <v>37</v>
      </c>
      <c r="AD177" s="30">
        <f>AD178</f>
        <v>200000000</v>
      </c>
      <c r="AE177" s="31">
        <v>0</v>
      </c>
      <c r="AF177" s="31">
        <v>0</v>
      </c>
      <c r="AG177" s="31">
        <v>0</v>
      </c>
      <c r="AH177" s="31">
        <v>0</v>
      </c>
      <c r="AI177" s="31">
        <v>0</v>
      </c>
      <c r="AJ177" s="30">
        <f t="shared" si="108"/>
        <v>200000000</v>
      </c>
      <c r="AK177" s="31">
        <f t="shared" si="107"/>
        <v>0</v>
      </c>
      <c r="AL177" s="31">
        <f t="shared" si="107"/>
        <v>0</v>
      </c>
      <c r="AM177" s="31">
        <f t="shared" si="107"/>
        <v>0</v>
      </c>
      <c r="AN177" s="31">
        <f t="shared" si="107"/>
        <v>0</v>
      </c>
      <c r="AO177" s="31">
        <f t="shared" si="107"/>
        <v>0</v>
      </c>
      <c r="AP177" s="31">
        <f t="shared" si="107"/>
        <v>0</v>
      </c>
      <c r="AQ177" s="31">
        <f t="shared" si="107"/>
        <v>0</v>
      </c>
      <c r="AR177" s="31">
        <f t="shared" si="107"/>
        <v>0</v>
      </c>
      <c r="AS177" s="31">
        <f t="shared" si="107"/>
        <v>0</v>
      </c>
      <c r="AT177" s="40">
        <f t="shared" si="107"/>
        <v>0</v>
      </c>
      <c r="AU177" s="30">
        <f t="shared" si="107"/>
        <v>200000000</v>
      </c>
      <c r="AV177" s="31">
        <f t="shared" si="107"/>
        <v>0</v>
      </c>
      <c r="AW177" s="31">
        <f t="shared" si="107"/>
        <v>0</v>
      </c>
      <c r="AX177" s="32">
        <f t="shared" si="98"/>
        <v>0</v>
      </c>
    </row>
    <row r="178" spans="1:50" ht="18.75" customHeight="1" x14ac:dyDescent="0.2">
      <c r="A178" s="4" t="s">
        <v>55</v>
      </c>
      <c r="B178" s="4" t="s">
        <v>56</v>
      </c>
      <c r="C178" s="4"/>
      <c r="D178" s="4" t="s">
        <v>947</v>
      </c>
      <c r="E178" s="4"/>
      <c r="F178" s="4"/>
      <c r="G178" s="4" t="s">
        <v>41</v>
      </c>
      <c r="H178" s="4"/>
      <c r="I178" s="4" t="s">
        <v>936</v>
      </c>
      <c r="J178" s="4"/>
      <c r="K178" s="4" t="s">
        <v>932</v>
      </c>
      <c r="L178" s="4"/>
      <c r="M178" s="4" t="s">
        <v>933</v>
      </c>
      <c r="N178" s="4"/>
      <c r="O178" s="4" t="s">
        <v>934</v>
      </c>
      <c r="P178" s="4"/>
      <c r="Q178" s="4" t="s">
        <v>935</v>
      </c>
      <c r="R178" s="4"/>
      <c r="S178" s="4" t="s">
        <v>940</v>
      </c>
      <c r="T178" s="4">
        <v>0</v>
      </c>
      <c r="U178" s="4">
        <v>0</v>
      </c>
      <c r="V178" s="4">
        <v>0</v>
      </c>
      <c r="W178" s="4"/>
      <c r="X178" s="4" t="s">
        <v>937</v>
      </c>
      <c r="Y178" s="4"/>
      <c r="Z178" s="4"/>
      <c r="AA178" s="41" t="s">
        <v>844</v>
      </c>
      <c r="AB178" s="42" t="s">
        <v>269</v>
      </c>
      <c r="AC178" s="43" t="s">
        <v>58</v>
      </c>
      <c r="AD178" s="43">
        <v>200000000</v>
      </c>
      <c r="AE178" s="44">
        <v>0</v>
      </c>
      <c r="AF178" s="44">
        <v>0</v>
      </c>
      <c r="AG178" s="44">
        <v>0</v>
      </c>
      <c r="AH178" s="44">
        <v>0</v>
      </c>
      <c r="AI178" s="44">
        <v>0</v>
      </c>
      <c r="AJ178" s="43">
        <v>200000000</v>
      </c>
      <c r="AK178" s="44">
        <v>0</v>
      </c>
      <c r="AL178" s="44">
        <v>0</v>
      </c>
      <c r="AM178" s="44">
        <v>0</v>
      </c>
      <c r="AN178" s="44">
        <v>0</v>
      </c>
      <c r="AO178" s="44">
        <v>0</v>
      </c>
      <c r="AP178" s="44">
        <v>0</v>
      </c>
      <c r="AQ178" s="44">
        <v>0</v>
      </c>
      <c r="AR178" s="44">
        <v>0</v>
      </c>
      <c r="AS178" s="44">
        <v>0</v>
      </c>
      <c r="AT178" s="40">
        <f t="shared" ref="AT178:AT189" si="109">AQ178+AS178</f>
        <v>0</v>
      </c>
      <c r="AU178" s="18">
        <f>AJ178-AM178</f>
        <v>200000000</v>
      </c>
      <c r="AV178" s="34">
        <f>AM178-AP178</f>
        <v>0</v>
      </c>
      <c r="AW178" s="34">
        <f>AP178-AT178</f>
        <v>0</v>
      </c>
      <c r="AX178" s="32">
        <f t="shared" si="98"/>
        <v>0</v>
      </c>
    </row>
    <row r="179" spans="1:50" s="79" customFormat="1" ht="18.75" customHeight="1" x14ac:dyDescent="0.2">
      <c r="A179" s="117" t="s">
        <v>55</v>
      </c>
      <c r="B179" s="117" t="s">
        <v>56</v>
      </c>
      <c r="C179" s="117"/>
      <c r="D179" s="117" t="s">
        <v>947</v>
      </c>
      <c r="E179" s="117"/>
      <c r="F179" s="117"/>
      <c r="G179" s="117" t="s">
        <v>41</v>
      </c>
      <c r="H179" s="117"/>
      <c r="I179" s="117" t="s">
        <v>936</v>
      </c>
      <c r="J179" s="117"/>
      <c r="K179" s="117" t="s">
        <v>932</v>
      </c>
      <c r="L179" s="117"/>
      <c r="M179" s="117" t="s">
        <v>933</v>
      </c>
      <c r="N179" s="117"/>
      <c r="O179" s="117" t="s">
        <v>934</v>
      </c>
      <c r="P179" s="117"/>
      <c r="Q179" s="117" t="s">
        <v>935</v>
      </c>
      <c r="R179" s="117"/>
      <c r="S179" s="117" t="s">
        <v>940</v>
      </c>
      <c r="T179" s="117">
        <v>0</v>
      </c>
      <c r="U179" s="117">
        <v>0</v>
      </c>
      <c r="V179" s="117">
        <v>0</v>
      </c>
      <c r="W179" s="117"/>
      <c r="X179" s="117" t="s">
        <v>937</v>
      </c>
      <c r="Y179" s="117"/>
      <c r="Z179" s="117"/>
      <c r="AA179" s="81" t="s">
        <v>842</v>
      </c>
      <c r="AB179" s="82" t="s">
        <v>275</v>
      </c>
      <c r="AC179" s="83" t="s">
        <v>58</v>
      </c>
      <c r="AD179" s="83">
        <v>5000000000</v>
      </c>
      <c r="AE179" s="79">
        <f>5188937855.29+310221537.39</f>
        <v>5499159392.6800003</v>
      </c>
      <c r="AF179" s="118">
        <v>0</v>
      </c>
      <c r="AG179" s="118">
        <v>0</v>
      </c>
      <c r="AH179" s="118">
        <v>0</v>
      </c>
      <c r="AI179" s="18">
        <f t="shared" ref="AI179" si="110">AE179-AF179+AG179-AH179</f>
        <v>5499159392.6800003</v>
      </c>
      <c r="AJ179" s="176">
        <f>AD179+AI179</f>
        <v>10499159392.68</v>
      </c>
      <c r="AK179" s="118">
        <v>0</v>
      </c>
      <c r="AL179" s="119">
        <f>AM179-AGOSTO!AM179</f>
        <v>120493865.87999988</v>
      </c>
      <c r="AM179" s="119">
        <v>1694472822.29</v>
      </c>
      <c r="AN179" s="118">
        <v>0</v>
      </c>
      <c r="AO179" s="83">
        <v>97211868.239999995</v>
      </c>
      <c r="AP179" s="83">
        <v>1286740693.28</v>
      </c>
      <c r="AQ179" s="118">
        <v>0</v>
      </c>
      <c r="AR179" s="83">
        <v>112180174.23999999</v>
      </c>
      <c r="AS179" s="83">
        <v>1237953969.4200001</v>
      </c>
      <c r="AT179" s="147">
        <f t="shared" si="109"/>
        <v>1237953969.4200001</v>
      </c>
      <c r="AU179" s="119">
        <f>AJ179-AM179</f>
        <v>8804686570.3899994</v>
      </c>
      <c r="AV179" s="119">
        <f>AM179-AP179</f>
        <v>407732129.00999999</v>
      </c>
      <c r="AW179" s="83">
        <f>AP179-AT179</f>
        <v>48786723.859999895</v>
      </c>
      <c r="AX179" s="118">
        <f t="shared" si="98"/>
        <v>0.1225565443055483</v>
      </c>
    </row>
    <row r="180" spans="1:50" s="25" customFormat="1" ht="18.75" customHeight="1" x14ac:dyDescent="0.2">
      <c r="A180" s="19" t="s">
        <v>37</v>
      </c>
      <c r="B180" s="19" t="s">
        <v>37</v>
      </c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7" t="s">
        <v>841</v>
      </c>
      <c r="AB180" s="198" t="s">
        <v>276</v>
      </c>
      <c r="AC180" s="22" t="s">
        <v>37</v>
      </c>
      <c r="AD180" s="22">
        <f t="shared" ref="AD180:AS180" si="111">AD181+AD188</f>
        <v>3752467164.4300003</v>
      </c>
      <c r="AE180" s="22">
        <f t="shared" si="111"/>
        <v>488313290.56999999</v>
      </c>
      <c r="AF180" s="23">
        <f t="shared" si="111"/>
        <v>0</v>
      </c>
      <c r="AG180" s="23">
        <f t="shared" si="111"/>
        <v>0</v>
      </c>
      <c r="AH180" s="23">
        <f t="shared" si="111"/>
        <v>0</v>
      </c>
      <c r="AI180" s="22">
        <f t="shared" si="111"/>
        <v>488313290.56999999</v>
      </c>
      <c r="AJ180" s="22">
        <f t="shared" si="111"/>
        <v>4240780455.0000005</v>
      </c>
      <c r="AK180" s="23">
        <f t="shared" si="111"/>
        <v>0</v>
      </c>
      <c r="AL180" s="22">
        <f t="shared" si="111"/>
        <v>809101112.75</v>
      </c>
      <c r="AM180" s="22">
        <f t="shared" si="111"/>
        <v>2411254218.6000004</v>
      </c>
      <c r="AN180" s="23">
        <f t="shared" si="111"/>
        <v>0</v>
      </c>
      <c r="AO180" s="22">
        <f t="shared" si="111"/>
        <v>808253513.75</v>
      </c>
      <c r="AP180" s="22">
        <f t="shared" si="111"/>
        <v>2410406619</v>
      </c>
      <c r="AQ180" s="23">
        <f t="shared" si="111"/>
        <v>0</v>
      </c>
      <c r="AR180" s="22">
        <f t="shared" si="111"/>
        <v>808253513.75</v>
      </c>
      <c r="AS180" s="22">
        <f t="shared" si="111"/>
        <v>2374069347</v>
      </c>
      <c r="AT180" s="121">
        <f t="shared" si="109"/>
        <v>2374069347</v>
      </c>
      <c r="AU180" s="121">
        <f>AJ180-AM180</f>
        <v>1829526236.4000001</v>
      </c>
      <c r="AV180" s="122">
        <f>AM180-AP180</f>
        <v>847599.60000038147</v>
      </c>
      <c r="AW180" s="121">
        <f>AP180-AT180</f>
        <v>36337272</v>
      </c>
      <c r="AX180" s="49">
        <f t="shared" si="98"/>
        <v>0.56838750427602591</v>
      </c>
    </row>
    <row r="181" spans="1:50" ht="18.75" customHeight="1" x14ac:dyDescent="0.2">
      <c r="A181" s="27" t="s">
        <v>37</v>
      </c>
      <c r="B181" s="27" t="s">
        <v>37</v>
      </c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8" t="s">
        <v>840</v>
      </c>
      <c r="AB181" s="29" t="s">
        <v>277</v>
      </c>
      <c r="AC181" s="30" t="s">
        <v>37</v>
      </c>
      <c r="AD181" s="30">
        <f t="shared" ref="AD181:AW181" si="112">AD182+AD183+AD184+AD185+AD187+AD186</f>
        <v>3552467164.4300003</v>
      </c>
      <c r="AE181" s="30">
        <f t="shared" si="112"/>
        <v>488313290.56999999</v>
      </c>
      <c r="AF181" s="31">
        <f t="shared" si="112"/>
        <v>0</v>
      </c>
      <c r="AG181" s="31">
        <f t="shared" si="112"/>
        <v>0</v>
      </c>
      <c r="AH181" s="31">
        <f t="shared" si="112"/>
        <v>0</v>
      </c>
      <c r="AI181" s="30">
        <f t="shared" si="112"/>
        <v>488313290.56999999</v>
      </c>
      <c r="AJ181" s="30">
        <f t="shared" si="112"/>
        <v>4040780455.0000005</v>
      </c>
      <c r="AK181" s="31">
        <f t="shared" si="112"/>
        <v>0</v>
      </c>
      <c r="AL181" s="30">
        <f t="shared" si="112"/>
        <v>809101112.75</v>
      </c>
      <c r="AM181" s="30">
        <f t="shared" si="112"/>
        <v>2411254218.6000004</v>
      </c>
      <c r="AN181" s="31">
        <f t="shared" si="112"/>
        <v>0</v>
      </c>
      <c r="AO181" s="30">
        <f t="shared" si="112"/>
        <v>808253513.75</v>
      </c>
      <c r="AP181" s="30">
        <f t="shared" si="112"/>
        <v>2410406619</v>
      </c>
      <c r="AQ181" s="31">
        <f t="shared" si="112"/>
        <v>0</v>
      </c>
      <c r="AR181" s="30">
        <f t="shared" si="112"/>
        <v>808253513.75</v>
      </c>
      <c r="AS181" s="30">
        <f t="shared" si="112"/>
        <v>2374069347</v>
      </c>
      <c r="AT181" s="30">
        <f t="shared" si="112"/>
        <v>2374069347</v>
      </c>
      <c r="AU181" s="30">
        <f t="shared" si="112"/>
        <v>1629526236.4000001</v>
      </c>
      <c r="AV181" s="30">
        <f t="shared" si="112"/>
        <v>847599.59999990463</v>
      </c>
      <c r="AW181" s="30">
        <f t="shared" si="112"/>
        <v>36337272</v>
      </c>
      <c r="AX181" s="123">
        <f t="shared" si="98"/>
        <v>0.5965200648348512</v>
      </c>
    </row>
    <row r="182" spans="1:50" ht="18.75" customHeight="1" x14ac:dyDescent="0.2">
      <c r="A182" s="4" t="s">
        <v>55</v>
      </c>
      <c r="B182" s="4" t="s">
        <v>56</v>
      </c>
      <c r="C182" s="4"/>
      <c r="D182" s="4" t="s">
        <v>947</v>
      </c>
      <c r="E182" s="4"/>
      <c r="F182" s="4"/>
      <c r="G182" s="4" t="s">
        <v>41</v>
      </c>
      <c r="H182" s="4"/>
      <c r="I182" s="4" t="s">
        <v>936</v>
      </c>
      <c r="J182" s="4"/>
      <c r="K182" s="4" t="s">
        <v>932</v>
      </c>
      <c r="L182" s="4"/>
      <c r="M182" s="4" t="s">
        <v>933</v>
      </c>
      <c r="N182" s="4"/>
      <c r="O182" s="4" t="s">
        <v>934</v>
      </c>
      <c r="P182" s="4"/>
      <c r="Q182" s="4" t="s">
        <v>935</v>
      </c>
      <c r="R182" s="4"/>
      <c r="S182" s="4" t="s">
        <v>940</v>
      </c>
      <c r="T182" s="4">
        <v>0</v>
      </c>
      <c r="U182" s="4">
        <v>0</v>
      </c>
      <c r="V182" s="4">
        <v>0</v>
      </c>
      <c r="W182" s="4"/>
      <c r="X182" s="4" t="s">
        <v>937</v>
      </c>
      <c r="Y182" s="4"/>
      <c r="Z182" s="4"/>
      <c r="AA182" s="41" t="s">
        <v>839</v>
      </c>
      <c r="AB182" s="42" t="s">
        <v>233</v>
      </c>
      <c r="AC182" s="43" t="s">
        <v>58</v>
      </c>
      <c r="AD182" s="43">
        <v>530000000</v>
      </c>
      <c r="AE182" s="44">
        <v>0</v>
      </c>
      <c r="AF182" s="44">
        <v>0</v>
      </c>
      <c r="AG182" s="44">
        <v>0</v>
      </c>
      <c r="AH182" s="44">
        <v>0</v>
      </c>
      <c r="AI182" s="44">
        <v>0</v>
      </c>
      <c r="AJ182" s="43">
        <v>530000000</v>
      </c>
      <c r="AK182" s="44">
        <v>0</v>
      </c>
      <c r="AL182" s="44">
        <f>AM182-AGOSTO!AM182</f>
        <v>0</v>
      </c>
      <c r="AM182" s="44">
        <v>0</v>
      </c>
      <c r="AN182" s="44">
        <v>0</v>
      </c>
      <c r="AO182" s="44">
        <v>0</v>
      </c>
      <c r="AP182" s="44">
        <v>0</v>
      </c>
      <c r="AQ182" s="44">
        <v>0</v>
      </c>
      <c r="AR182" s="44">
        <v>0</v>
      </c>
      <c r="AS182" s="44">
        <v>0</v>
      </c>
      <c r="AT182" s="40">
        <f t="shared" si="109"/>
        <v>0</v>
      </c>
      <c r="AU182" s="18">
        <f t="shared" ref="AU182:AU189" si="113">AJ182-AM182</f>
        <v>530000000</v>
      </c>
      <c r="AV182" s="34">
        <f t="shared" ref="AV182:AV189" si="114">AM182-AP182</f>
        <v>0</v>
      </c>
      <c r="AW182" s="34">
        <f t="shared" ref="AW182:AW189" si="115">AP182-AT182</f>
        <v>0</v>
      </c>
      <c r="AX182" s="123">
        <f t="shared" si="98"/>
        <v>0</v>
      </c>
    </row>
    <row r="183" spans="1:50" s="150" customFormat="1" ht="18.75" customHeight="1" x14ac:dyDescent="0.2">
      <c r="A183" s="140" t="s">
        <v>55</v>
      </c>
      <c r="B183" s="140" t="s">
        <v>56</v>
      </c>
      <c r="C183" s="140"/>
      <c r="D183" s="140" t="s">
        <v>947</v>
      </c>
      <c r="E183" s="140"/>
      <c r="F183" s="140"/>
      <c r="G183" s="140" t="s">
        <v>41</v>
      </c>
      <c r="H183" s="140"/>
      <c r="I183" s="140" t="s">
        <v>936</v>
      </c>
      <c r="J183" s="140"/>
      <c r="K183" s="140" t="s">
        <v>932</v>
      </c>
      <c r="L183" s="140"/>
      <c r="M183" s="140" t="s">
        <v>933</v>
      </c>
      <c r="N183" s="140"/>
      <c r="O183" s="140" t="s">
        <v>934</v>
      </c>
      <c r="P183" s="140"/>
      <c r="Q183" s="140" t="s">
        <v>935</v>
      </c>
      <c r="R183" s="140"/>
      <c r="S183" s="140" t="s">
        <v>940</v>
      </c>
      <c r="T183" s="140">
        <v>0</v>
      </c>
      <c r="U183" s="140">
        <v>0</v>
      </c>
      <c r="V183" s="140">
        <v>0</v>
      </c>
      <c r="W183" s="140"/>
      <c r="X183" s="140" t="s">
        <v>937</v>
      </c>
      <c r="Y183" s="140"/>
      <c r="Z183" s="140"/>
      <c r="AA183" s="134" t="s">
        <v>838</v>
      </c>
      <c r="AB183" s="69" t="s">
        <v>278</v>
      </c>
      <c r="AC183" s="142" t="s">
        <v>253</v>
      </c>
      <c r="AD183" s="142">
        <v>600000000</v>
      </c>
      <c r="AE183" s="143">
        <v>0</v>
      </c>
      <c r="AF183" s="143">
        <v>0</v>
      </c>
      <c r="AG183" s="143">
        <v>0</v>
      </c>
      <c r="AH183" s="143">
        <v>0</v>
      </c>
      <c r="AI183" s="143">
        <v>0</v>
      </c>
      <c r="AJ183" s="142">
        <v>600000000</v>
      </c>
      <c r="AK183" s="143">
        <v>0</v>
      </c>
      <c r="AL183" s="43">
        <f>AM183-AGOSTO!AM183</f>
        <v>364154614</v>
      </c>
      <c r="AM183" s="142">
        <v>522480777</v>
      </c>
      <c r="AN183" s="143">
        <v>0</v>
      </c>
      <c r="AO183" s="143">
        <v>364154614</v>
      </c>
      <c r="AP183" s="142">
        <v>522480777</v>
      </c>
      <c r="AQ183" s="143">
        <v>0</v>
      </c>
      <c r="AR183" s="142">
        <v>364154614</v>
      </c>
      <c r="AS183" s="142">
        <v>522480777</v>
      </c>
      <c r="AT183" s="267">
        <f t="shared" si="109"/>
        <v>522480777</v>
      </c>
      <c r="AU183" s="147">
        <f t="shared" si="113"/>
        <v>77519223</v>
      </c>
      <c r="AV183" s="145">
        <f t="shared" si="114"/>
        <v>0</v>
      </c>
      <c r="AW183" s="145">
        <f t="shared" si="115"/>
        <v>0</v>
      </c>
      <c r="AX183" s="149">
        <f t="shared" si="98"/>
        <v>0.87080129500000003</v>
      </c>
    </row>
    <row r="184" spans="1:50" ht="25.5" customHeight="1" x14ac:dyDescent="0.2">
      <c r="A184" s="4" t="s">
        <v>55</v>
      </c>
      <c r="B184" s="4" t="s">
        <v>56</v>
      </c>
      <c r="C184" s="4"/>
      <c r="D184" s="4" t="s">
        <v>947</v>
      </c>
      <c r="E184" s="4"/>
      <c r="F184" s="4"/>
      <c r="G184" s="4" t="s">
        <v>41</v>
      </c>
      <c r="H184" s="4"/>
      <c r="I184" s="4" t="s">
        <v>936</v>
      </c>
      <c r="J184" s="4"/>
      <c r="K184" s="4" t="s">
        <v>932</v>
      </c>
      <c r="L184" s="4"/>
      <c r="M184" s="4" t="s">
        <v>933</v>
      </c>
      <c r="N184" s="4"/>
      <c r="O184" s="4" t="s">
        <v>934</v>
      </c>
      <c r="P184" s="4"/>
      <c r="Q184" s="4" t="s">
        <v>935</v>
      </c>
      <c r="R184" s="4"/>
      <c r="S184" s="4" t="s">
        <v>940</v>
      </c>
      <c r="T184" s="4">
        <v>0</v>
      </c>
      <c r="U184" s="4">
        <v>0</v>
      </c>
      <c r="V184" s="4">
        <v>0</v>
      </c>
      <c r="W184" s="4"/>
      <c r="X184" s="4" t="s">
        <v>937</v>
      </c>
      <c r="Y184" s="4"/>
      <c r="Z184" s="4"/>
      <c r="AA184" s="134" t="s">
        <v>837</v>
      </c>
      <c r="AB184" s="69" t="s">
        <v>279</v>
      </c>
      <c r="AC184" s="142" t="s">
        <v>253</v>
      </c>
      <c r="AD184" s="142">
        <v>961836799</v>
      </c>
      <c r="AE184" s="44">
        <v>0</v>
      </c>
      <c r="AF184" s="44">
        <v>0</v>
      </c>
      <c r="AG184" s="44">
        <v>0</v>
      </c>
      <c r="AH184" s="44">
        <v>0</v>
      </c>
      <c r="AI184" s="44">
        <v>0</v>
      </c>
      <c r="AJ184" s="43">
        <v>961836799</v>
      </c>
      <c r="AK184" s="44">
        <v>0</v>
      </c>
      <c r="AL184" s="43">
        <f>AM184-AGOSTO!AM184</f>
        <v>58256010.639999986</v>
      </c>
      <c r="AM184" s="43">
        <v>634660935.59000003</v>
      </c>
      <c r="AN184" s="44">
        <v>0</v>
      </c>
      <c r="AO184" s="43">
        <v>58256010.640000001</v>
      </c>
      <c r="AP184" s="43">
        <v>634660935.59000003</v>
      </c>
      <c r="AQ184" s="44">
        <v>0</v>
      </c>
      <c r="AR184" s="43">
        <v>58256010.640000001</v>
      </c>
      <c r="AS184" s="43">
        <v>598323663.59000003</v>
      </c>
      <c r="AT184" s="39">
        <f t="shared" si="109"/>
        <v>598323663.59000003</v>
      </c>
      <c r="AU184" s="18">
        <f t="shared" si="113"/>
        <v>327175863.40999997</v>
      </c>
      <c r="AV184" s="34">
        <f t="shared" si="114"/>
        <v>0</v>
      </c>
      <c r="AW184" s="18">
        <f t="shared" si="115"/>
        <v>36337272</v>
      </c>
      <c r="AX184" s="123">
        <f t="shared" si="98"/>
        <v>0.65984264300330642</v>
      </c>
    </row>
    <row r="185" spans="1:50" ht="18.75" customHeight="1" x14ac:dyDescent="0.2">
      <c r="A185" s="4" t="s">
        <v>55</v>
      </c>
      <c r="B185" s="4" t="s">
        <v>56</v>
      </c>
      <c r="C185" s="4"/>
      <c r="D185" s="4" t="s">
        <v>947</v>
      </c>
      <c r="E185" s="4"/>
      <c r="F185" s="4"/>
      <c r="G185" s="4" t="s">
        <v>41</v>
      </c>
      <c r="H185" s="4"/>
      <c r="I185" s="4" t="s">
        <v>936</v>
      </c>
      <c r="J185" s="4"/>
      <c r="K185" s="4" t="s">
        <v>932</v>
      </c>
      <c r="L185" s="4"/>
      <c r="M185" s="4" t="s">
        <v>933</v>
      </c>
      <c r="N185" s="4"/>
      <c r="O185" s="4" t="s">
        <v>934</v>
      </c>
      <c r="P185" s="4"/>
      <c r="Q185" s="4" t="s">
        <v>935</v>
      </c>
      <c r="R185" s="4"/>
      <c r="S185" s="4" t="s">
        <v>940</v>
      </c>
      <c r="T185" s="4">
        <v>0</v>
      </c>
      <c r="U185" s="4">
        <v>0</v>
      </c>
      <c r="V185" s="4">
        <v>0</v>
      </c>
      <c r="W185" s="4"/>
      <c r="X185" s="4" t="s">
        <v>937</v>
      </c>
      <c r="Y185" s="4"/>
      <c r="Z185" s="4"/>
      <c r="AA185" s="134" t="s">
        <v>836</v>
      </c>
      <c r="AB185" s="69" t="s">
        <v>239</v>
      </c>
      <c r="AC185" s="142" t="s">
        <v>240</v>
      </c>
      <c r="AD185" s="142">
        <v>1460630365.4300001</v>
      </c>
      <c r="AE185" s="44">
        <v>0</v>
      </c>
      <c r="AF185" s="44">
        <v>0</v>
      </c>
      <c r="AG185" s="44">
        <v>0</v>
      </c>
      <c r="AH185" s="44">
        <v>0</v>
      </c>
      <c r="AI185" s="44">
        <v>0</v>
      </c>
      <c r="AJ185" s="43">
        <v>1460630365.4300001</v>
      </c>
      <c r="AK185" s="44">
        <v>0</v>
      </c>
      <c r="AL185" s="43">
        <f>AM185-AGOSTO!AM185</f>
        <v>386690488.11000001</v>
      </c>
      <c r="AM185" s="43">
        <v>1254112506.01</v>
      </c>
      <c r="AN185" s="44">
        <v>0</v>
      </c>
      <c r="AO185" s="43">
        <v>385842889.11000001</v>
      </c>
      <c r="AP185" s="43">
        <v>1253264906.4100001</v>
      </c>
      <c r="AQ185" s="44">
        <v>0</v>
      </c>
      <c r="AR185" s="43">
        <v>385842889.11000001</v>
      </c>
      <c r="AS185" s="43">
        <v>1253264906.4100001</v>
      </c>
      <c r="AT185" s="39">
        <f t="shared" si="109"/>
        <v>1253264906.4100001</v>
      </c>
      <c r="AU185" s="18">
        <f t="shared" si="113"/>
        <v>206517859.42000008</v>
      </c>
      <c r="AV185" s="34">
        <f t="shared" si="114"/>
        <v>847599.59999990463</v>
      </c>
      <c r="AW185" s="34">
        <f t="shared" si="115"/>
        <v>0</v>
      </c>
      <c r="AX185" s="123">
        <f t="shared" si="98"/>
        <v>0.85803016017748412</v>
      </c>
    </row>
    <row r="186" spans="1:50" ht="18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166" t="s">
        <v>1012</v>
      </c>
      <c r="AB186" s="167" t="s">
        <v>1013</v>
      </c>
      <c r="AC186" s="203"/>
      <c r="AD186" s="143">
        <v>0</v>
      </c>
      <c r="AE186" s="43">
        <v>69321334.879999995</v>
      </c>
      <c r="AF186" s="44"/>
      <c r="AG186" s="44"/>
      <c r="AH186" s="44"/>
      <c r="AI186" s="18">
        <f>AE186-AF186+AG186-AH186</f>
        <v>69321334.879999995</v>
      </c>
      <c r="AJ186" s="18">
        <f>AD186+AI186</f>
        <v>69321334.879999995</v>
      </c>
      <c r="AK186" s="44">
        <v>0</v>
      </c>
      <c r="AL186" s="44">
        <f>AM186-AGOSTO!AM186</f>
        <v>0</v>
      </c>
      <c r="AM186" s="44">
        <v>0</v>
      </c>
      <c r="AN186" s="44">
        <v>0</v>
      </c>
      <c r="AO186" s="44">
        <v>0</v>
      </c>
      <c r="AP186" s="44">
        <v>0</v>
      </c>
      <c r="AQ186" s="44">
        <v>0</v>
      </c>
      <c r="AR186" s="44">
        <v>0</v>
      </c>
      <c r="AS186" s="44">
        <v>0</v>
      </c>
      <c r="AT186" s="40">
        <f t="shared" si="109"/>
        <v>0</v>
      </c>
      <c r="AU186" s="18">
        <f t="shared" si="113"/>
        <v>69321334.879999995</v>
      </c>
      <c r="AV186" s="34">
        <f t="shared" si="114"/>
        <v>0</v>
      </c>
      <c r="AW186" s="34">
        <f t="shared" si="115"/>
        <v>0</v>
      </c>
      <c r="AX186" s="123">
        <f t="shared" si="98"/>
        <v>0</v>
      </c>
    </row>
    <row r="187" spans="1:50" ht="26.2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166" t="s">
        <v>1010</v>
      </c>
      <c r="AB187" s="167" t="s">
        <v>1011</v>
      </c>
      <c r="AC187" s="203"/>
      <c r="AD187" s="143">
        <v>0</v>
      </c>
      <c r="AE187" s="43">
        <v>418991955.69</v>
      </c>
      <c r="AF187" s="44">
        <v>0</v>
      </c>
      <c r="AG187" s="44">
        <v>0</v>
      </c>
      <c r="AH187" s="44">
        <v>0</v>
      </c>
      <c r="AI187" s="18">
        <f t="shared" ref="AI187" si="116">AE187-AF187+AG187-AH187</f>
        <v>418991955.69</v>
      </c>
      <c r="AJ187" s="18">
        <f t="shared" ref="AJ187" si="117">AD187+AI187</f>
        <v>418991955.69</v>
      </c>
      <c r="AK187" s="44">
        <v>0</v>
      </c>
      <c r="AL187" s="44">
        <f>AM187-AGOSTO!AM187</f>
        <v>0</v>
      </c>
      <c r="AM187" s="44">
        <v>0</v>
      </c>
      <c r="AN187" s="44">
        <v>0</v>
      </c>
      <c r="AO187" s="44">
        <v>0</v>
      </c>
      <c r="AP187" s="44">
        <v>0</v>
      </c>
      <c r="AQ187" s="44">
        <v>0</v>
      </c>
      <c r="AR187" s="44">
        <v>0</v>
      </c>
      <c r="AS187" s="44">
        <v>0</v>
      </c>
      <c r="AT187" s="40">
        <f t="shared" si="109"/>
        <v>0</v>
      </c>
      <c r="AU187" s="18">
        <f t="shared" si="113"/>
        <v>418991955.69</v>
      </c>
      <c r="AV187" s="34">
        <f t="shared" si="114"/>
        <v>0</v>
      </c>
      <c r="AW187" s="34">
        <f t="shared" si="115"/>
        <v>0</v>
      </c>
      <c r="AX187" s="123">
        <f t="shared" si="98"/>
        <v>0</v>
      </c>
    </row>
    <row r="188" spans="1:50" ht="18.75" customHeight="1" x14ac:dyDescent="0.2">
      <c r="A188" s="27" t="s">
        <v>37</v>
      </c>
      <c r="B188" s="27" t="s">
        <v>37</v>
      </c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04" t="s">
        <v>835</v>
      </c>
      <c r="AB188" s="205" t="s">
        <v>280</v>
      </c>
      <c r="AC188" s="187" t="s">
        <v>37</v>
      </c>
      <c r="AD188" s="187">
        <f>AD189</f>
        <v>200000000</v>
      </c>
      <c r="AE188" s="31">
        <f t="shared" ref="AE188:AS188" si="118">AE189</f>
        <v>0</v>
      </c>
      <c r="AF188" s="31">
        <f t="shared" si="118"/>
        <v>0</v>
      </c>
      <c r="AG188" s="31">
        <f t="shared" si="118"/>
        <v>0</v>
      </c>
      <c r="AH188" s="31">
        <f t="shared" si="118"/>
        <v>0</v>
      </c>
      <c r="AI188" s="31">
        <f t="shared" si="118"/>
        <v>0</v>
      </c>
      <c r="AJ188" s="30">
        <f t="shared" si="118"/>
        <v>200000000</v>
      </c>
      <c r="AK188" s="31">
        <f t="shared" si="118"/>
        <v>0</v>
      </c>
      <c r="AL188" s="31">
        <f t="shared" si="118"/>
        <v>0</v>
      </c>
      <c r="AM188" s="31">
        <f t="shared" si="118"/>
        <v>0</v>
      </c>
      <c r="AN188" s="31">
        <f t="shared" si="118"/>
        <v>0</v>
      </c>
      <c r="AO188" s="31">
        <f t="shared" si="118"/>
        <v>0</v>
      </c>
      <c r="AP188" s="31">
        <f t="shared" si="118"/>
        <v>0</v>
      </c>
      <c r="AQ188" s="31">
        <f t="shared" si="118"/>
        <v>0</v>
      </c>
      <c r="AR188" s="31">
        <f t="shared" si="118"/>
        <v>0</v>
      </c>
      <c r="AS188" s="31">
        <f t="shared" si="118"/>
        <v>0</v>
      </c>
      <c r="AT188" s="40">
        <f t="shared" si="109"/>
        <v>0</v>
      </c>
      <c r="AU188" s="18">
        <f t="shared" si="113"/>
        <v>200000000</v>
      </c>
      <c r="AV188" s="34">
        <f t="shared" si="114"/>
        <v>0</v>
      </c>
      <c r="AW188" s="34">
        <f t="shared" si="115"/>
        <v>0</v>
      </c>
      <c r="AX188" s="123">
        <f t="shared" si="98"/>
        <v>0</v>
      </c>
    </row>
    <row r="189" spans="1:50" s="150" customFormat="1" ht="18.75" customHeight="1" x14ac:dyDescent="0.2">
      <c r="A189" s="140" t="s">
        <v>55</v>
      </c>
      <c r="B189" s="140" t="s">
        <v>56</v>
      </c>
      <c r="C189" s="140"/>
      <c r="D189" s="140" t="s">
        <v>947</v>
      </c>
      <c r="E189" s="140"/>
      <c r="F189" s="140"/>
      <c r="G189" s="140" t="s">
        <v>41</v>
      </c>
      <c r="H189" s="140"/>
      <c r="I189" s="140" t="s">
        <v>936</v>
      </c>
      <c r="J189" s="140"/>
      <c r="K189" s="140" t="s">
        <v>932</v>
      </c>
      <c r="L189" s="140"/>
      <c r="M189" s="140" t="s">
        <v>933</v>
      </c>
      <c r="N189" s="140"/>
      <c r="O189" s="140" t="s">
        <v>934</v>
      </c>
      <c r="P189" s="140"/>
      <c r="Q189" s="140" t="s">
        <v>935</v>
      </c>
      <c r="R189" s="140"/>
      <c r="S189" s="140" t="s">
        <v>940</v>
      </c>
      <c r="T189" s="140">
        <v>0</v>
      </c>
      <c r="U189" s="140">
        <v>0</v>
      </c>
      <c r="V189" s="140">
        <v>0</v>
      </c>
      <c r="W189" s="140"/>
      <c r="X189" s="140" t="s">
        <v>937</v>
      </c>
      <c r="Y189" s="140"/>
      <c r="Z189" s="140"/>
      <c r="AA189" s="134" t="s">
        <v>834</v>
      </c>
      <c r="AB189" s="69" t="s">
        <v>281</v>
      </c>
      <c r="AC189" s="142" t="s">
        <v>253</v>
      </c>
      <c r="AD189" s="142">
        <v>200000000</v>
      </c>
      <c r="AE189" s="143">
        <v>0</v>
      </c>
      <c r="AF189" s="143">
        <v>0</v>
      </c>
      <c r="AG189" s="143">
        <v>0</v>
      </c>
      <c r="AH189" s="143">
        <v>0</v>
      </c>
      <c r="AI189" s="143">
        <v>0</v>
      </c>
      <c r="AJ189" s="142">
        <v>200000000</v>
      </c>
      <c r="AK189" s="143">
        <v>0</v>
      </c>
      <c r="AL189" s="143">
        <f>AM189-AGOSTO!AM189</f>
        <v>0</v>
      </c>
      <c r="AM189" s="143">
        <v>0</v>
      </c>
      <c r="AN189" s="143">
        <v>0</v>
      </c>
      <c r="AO189" s="143">
        <v>0</v>
      </c>
      <c r="AP189" s="143">
        <v>0</v>
      </c>
      <c r="AQ189" s="143">
        <v>0</v>
      </c>
      <c r="AR189" s="143">
        <v>0</v>
      </c>
      <c r="AS189" s="143">
        <v>0</v>
      </c>
      <c r="AT189" s="146">
        <f t="shared" si="109"/>
        <v>0</v>
      </c>
      <c r="AU189" s="147">
        <f t="shared" si="113"/>
        <v>200000000</v>
      </c>
      <c r="AV189" s="145">
        <f t="shared" si="114"/>
        <v>0</v>
      </c>
      <c r="AW189" s="145">
        <f t="shared" si="115"/>
        <v>0</v>
      </c>
      <c r="AX189" s="149">
        <f t="shared" si="98"/>
        <v>0</v>
      </c>
    </row>
    <row r="190" spans="1:50" ht="18.75" customHeight="1" x14ac:dyDescent="0.2">
      <c r="AA190" s="16"/>
      <c r="AB190" s="17"/>
      <c r="AC190" s="17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34"/>
      <c r="AT190" s="39"/>
      <c r="AU190" s="18"/>
      <c r="AV190" s="34"/>
      <c r="AW190" s="34"/>
      <c r="AX190" s="123"/>
    </row>
    <row r="191" spans="1:50" s="124" customFormat="1" ht="18.75" customHeigh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7" t="s">
        <v>282</v>
      </c>
      <c r="AB191" s="128" t="s">
        <v>283</v>
      </c>
      <c r="AC191" s="128"/>
      <c r="AD191" s="129">
        <f t="shared" ref="AD191:AS191" si="119">AD246+AD532+AD729+AD829+AD1107+AD1144+AD1200+AD1220+AD1263+AD1276+AD1293+AD1308+AD1409+AD1055</f>
        <v>778687617478</v>
      </c>
      <c r="AE191" s="129">
        <f t="shared" si="119"/>
        <v>234343881731.91006</v>
      </c>
      <c r="AF191" s="130">
        <f t="shared" si="119"/>
        <v>0</v>
      </c>
      <c r="AG191" s="129">
        <f t="shared" si="119"/>
        <v>159753783367.28003</v>
      </c>
      <c r="AH191" s="129">
        <f t="shared" si="119"/>
        <v>136915563051.94</v>
      </c>
      <c r="AI191" s="129">
        <f t="shared" si="119"/>
        <v>257182102047.25003</v>
      </c>
      <c r="AJ191" s="129">
        <f t="shared" si="119"/>
        <v>1035869719525.25</v>
      </c>
      <c r="AK191" s="129">
        <f t="shared" si="119"/>
        <v>1979325812</v>
      </c>
      <c r="AL191" s="129">
        <f t="shared" si="119"/>
        <v>44095100825.009995</v>
      </c>
      <c r="AM191" s="129">
        <f t="shared" si="119"/>
        <v>714678937660.76001</v>
      </c>
      <c r="AN191" s="129">
        <f t="shared" si="119"/>
        <v>6500680440.6199999</v>
      </c>
      <c r="AO191" s="129">
        <f t="shared" si="119"/>
        <v>64795560871.539993</v>
      </c>
      <c r="AP191" s="129">
        <f t="shared" si="119"/>
        <v>604066347444.55005</v>
      </c>
      <c r="AQ191" s="129">
        <f t="shared" si="119"/>
        <v>4287243801.3500004</v>
      </c>
      <c r="AR191" s="129">
        <f t="shared" si="119"/>
        <v>39467381012.580002</v>
      </c>
      <c r="AS191" s="129">
        <f t="shared" si="119"/>
        <v>405800893954.34003</v>
      </c>
      <c r="AT191" s="131">
        <f>AQ191+AS191</f>
        <v>410088137755.69</v>
      </c>
      <c r="AU191" s="129">
        <f>AU246+AU532+AU729+AU829+AU1107+AU1144+AU1200+AU1220+AU1263+AU1276+AU1293+AU1308+AU1409+AU1055</f>
        <v>321190781864.48999</v>
      </c>
      <c r="AV191" s="129">
        <f>AV246+AV532+AV729+AV829+AV1107+AV1144+AV1200+AV1220+AV1263+AV1276+AV1293+AV1308+AV1409+AV1055</f>
        <v>110612590216.20999</v>
      </c>
      <c r="AW191" s="129">
        <f>AW246+AW532+AW729+AW829+AW1107+AW1144+AW1200+AW1220+AW1263+AW1276+AW1293+AW1308+AW1409+AW1055</f>
        <v>193978209688.86002</v>
      </c>
      <c r="AX191" s="132">
        <f>AP191/AJ191</f>
        <v>0.58314895788381571</v>
      </c>
    </row>
    <row r="192" spans="1:50" ht="18.75" customHeight="1" x14ac:dyDescent="0.2">
      <c r="AA192" s="16"/>
      <c r="AB192" s="17"/>
      <c r="AC192" s="17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</row>
    <row r="193" spans="1:50" s="25" customFormat="1" ht="18.75" customHeight="1" x14ac:dyDescent="0.2">
      <c r="A193" s="58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60"/>
      <c r="AB193" s="21" t="s">
        <v>284</v>
      </c>
      <c r="AC193" s="61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3"/>
    </row>
    <row r="194" spans="1:50" ht="18.75" customHeight="1" x14ac:dyDescent="0.2">
      <c r="A194" s="35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7"/>
      <c r="AB194" s="29" t="s">
        <v>285</v>
      </c>
      <c r="AC194" s="38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0"/>
      <c r="AU194" s="39"/>
      <c r="AV194" s="39"/>
      <c r="AW194" s="39"/>
      <c r="AX194" s="18"/>
    </row>
    <row r="195" spans="1:50" ht="18.75" customHeight="1" x14ac:dyDescent="0.2">
      <c r="A195" s="35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7"/>
      <c r="AB195" s="29" t="s">
        <v>286</v>
      </c>
      <c r="AC195" s="38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0"/>
      <c r="AU195" s="39"/>
      <c r="AV195" s="39"/>
      <c r="AW195" s="39"/>
      <c r="AX195" s="18"/>
    </row>
    <row r="196" spans="1:50" ht="18.75" customHeight="1" x14ac:dyDescent="0.2">
      <c r="A196" s="35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7"/>
      <c r="AB196" s="29" t="s">
        <v>179</v>
      </c>
      <c r="AC196" s="38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0"/>
      <c r="AU196" s="39"/>
      <c r="AV196" s="39"/>
      <c r="AW196" s="39"/>
      <c r="AX196" s="18"/>
    </row>
    <row r="197" spans="1:50" ht="18.75" customHeight="1" x14ac:dyDescent="0.2">
      <c r="A197" s="14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6"/>
      <c r="AB197" s="29" t="s">
        <v>181</v>
      </c>
      <c r="AC197" s="17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30"/>
      <c r="AU197" s="18"/>
      <c r="AV197" s="18"/>
      <c r="AW197" s="18"/>
      <c r="AX197" s="18"/>
    </row>
    <row r="198" spans="1:50" ht="18.75" customHeight="1" x14ac:dyDescent="0.2">
      <c r="A198" s="14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6"/>
      <c r="AB198" s="29" t="s">
        <v>287</v>
      </c>
      <c r="AC198" s="17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30"/>
      <c r="AU198" s="18"/>
      <c r="AV198" s="18"/>
      <c r="AW198" s="18"/>
      <c r="AX198" s="18"/>
    </row>
    <row r="199" spans="1:50" ht="25.5" x14ac:dyDescent="0.2">
      <c r="A199" s="35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28" t="s">
        <v>288</v>
      </c>
      <c r="AB199" s="29" t="s">
        <v>289</v>
      </c>
      <c r="AC199" s="38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0"/>
      <c r="AU199" s="39"/>
      <c r="AV199" s="39"/>
      <c r="AW199" s="39"/>
      <c r="AX199" s="18"/>
    </row>
    <row r="200" spans="1:50" ht="18.75" customHeight="1" x14ac:dyDescent="0.2">
      <c r="A200" s="14" t="s">
        <v>55</v>
      </c>
      <c r="B200" s="15" t="s">
        <v>56</v>
      </c>
      <c r="C200" s="15"/>
      <c r="D200" s="15"/>
      <c r="E200" s="15"/>
      <c r="F200" s="15"/>
      <c r="G200" s="15" t="s">
        <v>41</v>
      </c>
      <c r="H200" s="15"/>
      <c r="I200" s="15" t="s">
        <v>936</v>
      </c>
      <c r="J200" s="15"/>
      <c r="K200" s="15" t="s">
        <v>932</v>
      </c>
      <c r="L200" s="15"/>
      <c r="M200" s="15" t="s">
        <v>933</v>
      </c>
      <c r="N200" s="15"/>
      <c r="O200" s="15" t="s">
        <v>948</v>
      </c>
      <c r="P200" s="15"/>
      <c r="Q200" s="15" t="s">
        <v>942</v>
      </c>
      <c r="R200" s="15"/>
      <c r="S200" s="15" t="s">
        <v>940</v>
      </c>
      <c r="T200" s="15">
        <v>0</v>
      </c>
      <c r="U200" s="15">
        <v>0</v>
      </c>
      <c r="V200" s="15">
        <v>0</v>
      </c>
      <c r="W200" s="15"/>
      <c r="X200" s="15" t="s">
        <v>937</v>
      </c>
      <c r="Y200" s="15"/>
      <c r="Z200" s="15"/>
      <c r="AA200" s="16" t="s">
        <v>290</v>
      </c>
      <c r="AB200" s="17" t="s">
        <v>233</v>
      </c>
      <c r="AC200" s="17" t="s">
        <v>58</v>
      </c>
      <c r="AD200" s="18">
        <v>100000000</v>
      </c>
      <c r="AE200" s="34">
        <v>0</v>
      </c>
      <c r="AF200" s="34">
        <v>0</v>
      </c>
      <c r="AG200" s="34">
        <v>0</v>
      </c>
      <c r="AH200" s="18">
        <v>40000000</v>
      </c>
      <c r="AI200" s="18">
        <f>AE200-AF200+AG200-AH200</f>
        <v>-40000000</v>
      </c>
      <c r="AJ200" s="18">
        <f>AD200+AI200</f>
        <v>60000000</v>
      </c>
      <c r="AK200" s="34">
        <v>0</v>
      </c>
      <c r="AL200" s="34">
        <f>AM200-AGOSTO!AM200</f>
        <v>0</v>
      </c>
      <c r="AM200" s="18">
        <v>59063618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40">
        <f t="shared" ref="AT200" si="120">AQ200+AS200</f>
        <v>0</v>
      </c>
      <c r="AU200" s="18">
        <f>AJ200-AM200</f>
        <v>936382</v>
      </c>
      <c r="AV200" s="18">
        <f>AM200-AP200</f>
        <v>59063618</v>
      </c>
      <c r="AW200" s="34">
        <f>AP200-AT200</f>
        <v>0</v>
      </c>
      <c r="AX200" s="123">
        <f>AP200/AJ200</f>
        <v>0</v>
      </c>
    </row>
    <row r="201" spans="1:50" ht="18.75" customHeight="1" x14ac:dyDescent="0.2">
      <c r="A201" s="14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41" t="s">
        <v>288</v>
      </c>
      <c r="AB201" s="29" t="s">
        <v>291</v>
      </c>
      <c r="AC201" s="17"/>
      <c r="AD201" s="18"/>
      <c r="AE201" s="18"/>
      <c r="AF201" s="18"/>
      <c r="AG201" s="18"/>
      <c r="AH201" s="18"/>
      <c r="AI201" s="18"/>
      <c r="AJ201" s="18"/>
      <c r="AK201" s="18"/>
      <c r="AL201" s="18"/>
      <c r="AM201" s="34"/>
      <c r="AN201" s="34"/>
      <c r="AO201" s="34"/>
      <c r="AP201" s="34"/>
      <c r="AQ201" s="34"/>
      <c r="AR201" s="34"/>
      <c r="AS201" s="34"/>
      <c r="AT201" s="31"/>
      <c r="AU201" s="18"/>
      <c r="AV201" s="34"/>
      <c r="AW201" s="34"/>
      <c r="AX201" s="18"/>
    </row>
    <row r="202" spans="1:50" ht="18.75" customHeight="1" x14ac:dyDescent="0.2">
      <c r="A202" s="14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41" t="s">
        <v>1217</v>
      </c>
      <c r="AB202" s="38" t="s">
        <v>1015</v>
      </c>
      <c r="AC202" s="17"/>
      <c r="AD202" s="34">
        <v>0</v>
      </c>
      <c r="AE202" s="34">
        <v>0</v>
      </c>
      <c r="AF202" s="34">
        <v>0</v>
      </c>
      <c r="AG202" s="18">
        <v>1252674808</v>
      </c>
      <c r="AH202" s="34">
        <v>0</v>
      </c>
      <c r="AI202" s="18">
        <f>AE202-AF202+AG202-AH202</f>
        <v>1252674808</v>
      </c>
      <c r="AJ202" s="18">
        <f>AD202+AI202</f>
        <v>1252674808</v>
      </c>
      <c r="AK202" s="34">
        <v>0</v>
      </c>
      <c r="AL202" s="18">
        <f>AM202-AGOSTO!AM202</f>
        <v>1219640391</v>
      </c>
      <c r="AM202" s="18">
        <v>1219640391</v>
      </c>
      <c r="AN202" s="34">
        <v>0</v>
      </c>
      <c r="AO202" s="34">
        <v>0</v>
      </c>
      <c r="AP202" s="34">
        <v>0</v>
      </c>
      <c r="AQ202" s="34">
        <v>0</v>
      </c>
      <c r="AR202" s="34">
        <v>0</v>
      </c>
      <c r="AS202" s="34">
        <v>0</v>
      </c>
      <c r="AT202" s="40">
        <f t="shared" ref="AT202" si="121">AQ202+AS202</f>
        <v>0</v>
      </c>
      <c r="AU202" s="18">
        <f>AJ202-AM202</f>
        <v>33034417</v>
      </c>
      <c r="AV202" s="18">
        <f>AM202-AP202</f>
        <v>1219640391</v>
      </c>
      <c r="AW202" s="34">
        <f>AP202-AT202</f>
        <v>0</v>
      </c>
      <c r="AX202" s="123">
        <f>AP202/AJ202</f>
        <v>0</v>
      </c>
    </row>
    <row r="203" spans="1:50" ht="18.75" customHeight="1" x14ac:dyDescent="0.2">
      <c r="A203" s="14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28" t="s">
        <v>288</v>
      </c>
      <c r="AB203" s="29" t="s">
        <v>292</v>
      </c>
      <c r="AC203" s="17"/>
      <c r="AD203" s="18"/>
      <c r="AE203" s="34"/>
      <c r="AF203" s="34"/>
      <c r="AG203" s="34"/>
      <c r="AH203" s="34"/>
      <c r="AI203" s="34"/>
      <c r="AJ203" s="18"/>
      <c r="AK203" s="18"/>
      <c r="AL203" s="18"/>
      <c r="AM203" s="34"/>
      <c r="AN203" s="34"/>
      <c r="AO203" s="34"/>
      <c r="AP203" s="34"/>
      <c r="AQ203" s="34"/>
      <c r="AR203" s="34"/>
      <c r="AS203" s="34"/>
      <c r="AT203" s="31"/>
      <c r="AU203" s="18"/>
      <c r="AV203" s="34"/>
      <c r="AW203" s="34"/>
      <c r="AX203" s="18"/>
    </row>
    <row r="204" spans="1:50" ht="18.75" customHeight="1" x14ac:dyDescent="0.2">
      <c r="A204" s="14" t="s">
        <v>55</v>
      </c>
      <c r="B204" s="15" t="s">
        <v>56</v>
      </c>
      <c r="C204" s="15"/>
      <c r="D204" s="15"/>
      <c r="E204" s="15"/>
      <c r="F204" s="15"/>
      <c r="G204" s="15" t="s">
        <v>41</v>
      </c>
      <c r="H204" s="15"/>
      <c r="I204" s="15" t="s">
        <v>936</v>
      </c>
      <c r="J204" s="15"/>
      <c r="K204" s="15" t="s">
        <v>932</v>
      </c>
      <c r="L204" s="15"/>
      <c r="M204" s="15" t="s">
        <v>933</v>
      </c>
      <c r="N204" s="15"/>
      <c r="O204" s="15" t="s">
        <v>948</v>
      </c>
      <c r="P204" s="15"/>
      <c r="Q204" s="15" t="s">
        <v>942</v>
      </c>
      <c r="R204" s="15"/>
      <c r="S204" s="15" t="s">
        <v>940</v>
      </c>
      <c r="T204" s="15">
        <v>0</v>
      </c>
      <c r="U204" s="15">
        <v>0</v>
      </c>
      <c r="V204" s="15">
        <v>0</v>
      </c>
      <c r="W204" s="15"/>
      <c r="X204" s="15" t="s">
        <v>937</v>
      </c>
      <c r="Y204" s="15"/>
      <c r="Z204" s="15"/>
      <c r="AA204" s="16" t="s">
        <v>293</v>
      </c>
      <c r="AB204" s="17" t="s">
        <v>233</v>
      </c>
      <c r="AC204" s="161" t="s">
        <v>58</v>
      </c>
      <c r="AD204" s="18">
        <v>500000000</v>
      </c>
      <c r="AE204" s="34">
        <v>0</v>
      </c>
      <c r="AF204" s="34">
        <v>0</v>
      </c>
      <c r="AG204" s="18"/>
      <c r="AH204" s="34">
        <v>0</v>
      </c>
      <c r="AI204" s="34">
        <f t="shared" ref="AI204:AI205" si="122">AE204-AF204+AG204-AH204</f>
        <v>0</v>
      </c>
      <c r="AJ204" s="18">
        <f t="shared" ref="AJ204:AJ205" si="123">AD204+AI204</f>
        <v>500000000</v>
      </c>
      <c r="AK204" s="34">
        <v>0</v>
      </c>
      <c r="AL204" s="34">
        <f>AM204-AGOSTO!AM204</f>
        <v>0</v>
      </c>
      <c r="AM204" s="18">
        <v>500000000</v>
      </c>
      <c r="AN204" s="34">
        <v>0</v>
      </c>
      <c r="AO204" s="34">
        <v>0</v>
      </c>
      <c r="AP204" s="18">
        <v>500000000</v>
      </c>
      <c r="AQ204" s="34">
        <v>0</v>
      </c>
      <c r="AR204" s="34">
        <v>0</v>
      </c>
      <c r="AS204" s="34">
        <v>0</v>
      </c>
      <c r="AT204" s="40">
        <f t="shared" ref="AT204:AT205" si="124">AQ204+AS204</f>
        <v>0</v>
      </c>
      <c r="AU204" s="34">
        <f>AJ204-AM204</f>
        <v>0</v>
      </c>
      <c r="AV204" s="34">
        <f>AM204-AP204</f>
        <v>0</v>
      </c>
      <c r="AW204" s="18">
        <f>AP204-AT204</f>
        <v>500000000</v>
      </c>
      <c r="AX204" s="123">
        <f>AP204/AJ204</f>
        <v>1</v>
      </c>
    </row>
    <row r="205" spans="1:50" ht="18.75" customHeight="1" x14ac:dyDescent="0.2">
      <c r="A205" s="14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66" t="s">
        <v>1014</v>
      </c>
      <c r="AB205" s="167" t="s">
        <v>1015</v>
      </c>
      <c r="AC205" s="161"/>
      <c r="AD205" s="34">
        <v>0</v>
      </c>
      <c r="AE205" s="18">
        <v>3410000000</v>
      </c>
      <c r="AF205" s="34">
        <v>0</v>
      </c>
      <c r="AG205" s="34">
        <v>0</v>
      </c>
      <c r="AH205" s="18">
        <v>3410000000</v>
      </c>
      <c r="AI205" s="34">
        <f t="shared" si="122"/>
        <v>0</v>
      </c>
      <c r="AJ205" s="34">
        <f t="shared" si="123"/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0</v>
      </c>
      <c r="AR205" s="34">
        <v>0</v>
      </c>
      <c r="AS205" s="34">
        <v>0</v>
      </c>
      <c r="AT205" s="40">
        <f t="shared" si="124"/>
        <v>0</v>
      </c>
      <c r="AU205" s="34">
        <f>AJ205-AM205</f>
        <v>0</v>
      </c>
      <c r="AV205" s="34">
        <f>AM205-AP205</f>
        <v>0</v>
      </c>
      <c r="AW205" s="34">
        <f>AP205-AT205</f>
        <v>0</v>
      </c>
      <c r="AX205" s="123">
        <v>0</v>
      </c>
    </row>
    <row r="206" spans="1:50" ht="27" customHeight="1" x14ac:dyDescent="0.2">
      <c r="A206" s="14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69" t="s">
        <v>288</v>
      </c>
      <c r="AB206" s="163" t="s">
        <v>294</v>
      </c>
      <c r="AC206" s="17"/>
      <c r="AD206" s="18"/>
      <c r="AE206" s="34"/>
      <c r="AF206" s="34"/>
      <c r="AG206" s="34"/>
      <c r="AH206" s="34"/>
      <c r="AI206" s="34"/>
      <c r="AJ206" s="18"/>
      <c r="AK206" s="34"/>
      <c r="AL206" s="34"/>
      <c r="AM206" s="34"/>
      <c r="AN206" s="34"/>
      <c r="AO206" s="34"/>
      <c r="AP206" s="34"/>
      <c r="AQ206" s="34"/>
      <c r="AR206" s="145"/>
      <c r="AS206" s="34"/>
      <c r="AT206" s="31"/>
      <c r="AU206" s="18"/>
      <c r="AV206" s="34"/>
      <c r="AW206" s="34"/>
      <c r="AX206" s="18"/>
    </row>
    <row r="207" spans="1:50" ht="18.75" customHeight="1" x14ac:dyDescent="0.2">
      <c r="A207" s="14" t="s">
        <v>55</v>
      </c>
      <c r="B207" s="15" t="s">
        <v>56</v>
      </c>
      <c r="C207" s="15"/>
      <c r="D207" s="15"/>
      <c r="E207" s="15"/>
      <c r="F207" s="15"/>
      <c r="G207" s="15" t="s">
        <v>41</v>
      </c>
      <c r="H207" s="15"/>
      <c r="I207" s="15" t="s">
        <v>936</v>
      </c>
      <c r="J207" s="15"/>
      <c r="K207" s="15" t="s">
        <v>932</v>
      </c>
      <c r="L207" s="15"/>
      <c r="M207" s="15" t="s">
        <v>933</v>
      </c>
      <c r="N207" s="15"/>
      <c r="O207" s="15" t="s">
        <v>948</v>
      </c>
      <c r="P207" s="15"/>
      <c r="Q207" s="15" t="s">
        <v>942</v>
      </c>
      <c r="R207" s="15"/>
      <c r="S207" s="15" t="s">
        <v>940</v>
      </c>
      <c r="T207" s="15">
        <v>0</v>
      </c>
      <c r="U207" s="15">
        <v>0</v>
      </c>
      <c r="V207" s="15">
        <v>0</v>
      </c>
      <c r="W207" s="15"/>
      <c r="X207" s="15" t="s">
        <v>937</v>
      </c>
      <c r="Y207" s="15"/>
      <c r="Z207" s="15"/>
      <c r="AA207" s="16" t="s">
        <v>295</v>
      </c>
      <c r="AB207" s="17" t="s">
        <v>233</v>
      </c>
      <c r="AC207" s="17" t="s">
        <v>58</v>
      </c>
      <c r="AD207" s="18">
        <v>400000000</v>
      </c>
      <c r="AE207" s="34">
        <v>0</v>
      </c>
      <c r="AF207" s="34">
        <v>0</v>
      </c>
      <c r="AG207" s="34">
        <v>0</v>
      </c>
      <c r="AH207" s="34">
        <v>0</v>
      </c>
      <c r="AI207" s="34">
        <f>AE207-AF207+AG207-AH207</f>
        <v>0</v>
      </c>
      <c r="AJ207" s="18">
        <f>AD207+AI207</f>
        <v>400000000</v>
      </c>
      <c r="AK207" s="34">
        <v>0</v>
      </c>
      <c r="AL207" s="34">
        <f>AM207-AGOSTO!AM207</f>
        <v>0</v>
      </c>
      <c r="AM207" s="110">
        <v>181975926.59999999</v>
      </c>
      <c r="AN207" s="34">
        <v>0</v>
      </c>
      <c r="AO207" s="133">
        <v>0</v>
      </c>
      <c r="AP207" s="110">
        <v>175143459.59999999</v>
      </c>
      <c r="AQ207" s="18">
        <v>4533333</v>
      </c>
      <c r="AR207" s="147">
        <v>8333333</v>
      </c>
      <c r="AS207" s="18">
        <v>99718969</v>
      </c>
      <c r="AT207" s="39">
        <f t="shared" ref="AT207" si="125">AQ207+AS207</f>
        <v>104252302</v>
      </c>
      <c r="AU207" s="18">
        <f>AJ207-AM207</f>
        <v>218024073.40000001</v>
      </c>
      <c r="AV207" s="110">
        <f>AM207-AP207</f>
        <v>6832467</v>
      </c>
      <c r="AW207" s="18">
        <f>AP207-AT207</f>
        <v>70891157.599999994</v>
      </c>
      <c r="AX207" s="123">
        <f>AP207/AJ207</f>
        <v>0.43785864899999999</v>
      </c>
    </row>
    <row r="208" spans="1:50" ht="18.75" customHeight="1" x14ac:dyDescent="0.2">
      <c r="A208" s="14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6"/>
      <c r="AB208" s="17"/>
      <c r="AC208" s="17"/>
      <c r="AD208" s="18"/>
      <c r="AE208" s="34"/>
      <c r="AF208" s="34"/>
      <c r="AG208" s="34"/>
      <c r="AH208" s="34"/>
      <c r="AI208" s="34"/>
      <c r="AJ208" s="18"/>
      <c r="AK208" s="34"/>
      <c r="AL208" s="34"/>
      <c r="AM208" s="34"/>
      <c r="AN208" s="34"/>
      <c r="AO208" s="34"/>
      <c r="AP208" s="34"/>
      <c r="AQ208" s="34"/>
      <c r="AR208" s="145"/>
      <c r="AS208" s="18"/>
      <c r="AT208" s="30"/>
      <c r="AU208" s="18"/>
      <c r="AV208" s="18"/>
      <c r="AW208" s="18"/>
      <c r="AX208" s="18"/>
    </row>
    <row r="209" spans="1:50" ht="18.75" customHeight="1" x14ac:dyDescent="0.2">
      <c r="A209" s="14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6"/>
      <c r="AB209" s="29" t="s">
        <v>189</v>
      </c>
      <c r="AC209" s="17"/>
      <c r="AD209" s="18"/>
      <c r="AE209" s="34"/>
      <c r="AF209" s="34"/>
      <c r="AG209" s="34"/>
      <c r="AH209" s="34"/>
      <c r="AI209" s="34"/>
      <c r="AJ209" s="18"/>
      <c r="AK209" s="34"/>
      <c r="AL209" s="34"/>
      <c r="AM209" s="34"/>
      <c r="AN209" s="34"/>
      <c r="AO209" s="34"/>
      <c r="AP209" s="34"/>
      <c r="AQ209" s="34"/>
      <c r="AR209" s="145"/>
      <c r="AS209" s="18"/>
      <c r="AT209" s="30"/>
      <c r="AU209" s="18"/>
      <c r="AV209" s="18"/>
      <c r="AW209" s="18"/>
      <c r="AX209" s="18"/>
    </row>
    <row r="210" spans="1:50" ht="18.75" customHeight="1" x14ac:dyDescent="0.2">
      <c r="A210" s="14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6"/>
      <c r="AB210" s="29" t="s">
        <v>191</v>
      </c>
      <c r="AC210" s="17"/>
      <c r="AD210" s="18"/>
      <c r="AE210" s="34"/>
      <c r="AF210" s="34"/>
      <c r="AG210" s="34"/>
      <c r="AH210" s="34"/>
      <c r="AI210" s="34"/>
      <c r="AJ210" s="18"/>
      <c r="AK210" s="34"/>
      <c r="AL210" s="34"/>
      <c r="AM210" s="34"/>
      <c r="AN210" s="34"/>
      <c r="AO210" s="34"/>
      <c r="AP210" s="34"/>
      <c r="AQ210" s="34"/>
      <c r="AR210" s="145"/>
      <c r="AS210" s="18"/>
      <c r="AT210" s="30"/>
      <c r="AU210" s="18"/>
      <c r="AV210" s="18"/>
      <c r="AW210" s="18"/>
      <c r="AX210" s="18"/>
    </row>
    <row r="211" spans="1:50" ht="18.75" customHeight="1" x14ac:dyDescent="0.2">
      <c r="A211" s="14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28" t="s">
        <v>288</v>
      </c>
      <c r="AB211" s="29" t="s">
        <v>296</v>
      </c>
      <c r="AC211" s="17"/>
      <c r="AD211" s="18"/>
      <c r="AE211" s="34"/>
      <c r="AF211" s="34"/>
      <c r="AG211" s="34"/>
      <c r="AH211" s="34"/>
      <c r="AI211" s="34"/>
      <c r="AJ211" s="18"/>
      <c r="AK211" s="34"/>
      <c r="AL211" s="34"/>
      <c r="AM211" s="34"/>
      <c r="AN211" s="34"/>
      <c r="AO211" s="34"/>
      <c r="AP211" s="34"/>
      <c r="AQ211" s="34"/>
      <c r="AR211" s="34"/>
      <c r="AS211" s="18"/>
      <c r="AT211" s="30"/>
      <c r="AU211" s="18"/>
      <c r="AV211" s="18"/>
      <c r="AW211" s="18"/>
      <c r="AX211" s="18"/>
    </row>
    <row r="212" spans="1:50" ht="18.75" customHeight="1" x14ac:dyDescent="0.2">
      <c r="A212" s="14" t="s">
        <v>55</v>
      </c>
      <c r="B212" s="15" t="s">
        <v>56</v>
      </c>
      <c r="C212" s="15"/>
      <c r="D212" s="15"/>
      <c r="E212" s="15"/>
      <c r="F212" s="15"/>
      <c r="G212" s="15" t="s">
        <v>41</v>
      </c>
      <c r="H212" s="15"/>
      <c r="I212" s="15" t="s">
        <v>936</v>
      </c>
      <c r="J212" s="15"/>
      <c r="K212" s="15" t="s">
        <v>932</v>
      </c>
      <c r="L212" s="15"/>
      <c r="M212" s="15" t="s">
        <v>933</v>
      </c>
      <c r="N212" s="15"/>
      <c r="O212" s="15" t="s">
        <v>948</v>
      </c>
      <c r="P212" s="15"/>
      <c r="Q212" s="15" t="s">
        <v>942</v>
      </c>
      <c r="R212" s="15"/>
      <c r="S212" s="15" t="s">
        <v>940</v>
      </c>
      <c r="T212" s="15">
        <v>0</v>
      </c>
      <c r="U212" s="15">
        <v>0</v>
      </c>
      <c r="V212" s="15">
        <v>0</v>
      </c>
      <c r="W212" s="15"/>
      <c r="X212" s="15" t="s">
        <v>937</v>
      </c>
      <c r="Y212" s="15"/>
      <c r="Z212" s="15"/>
      <c r="AA212" s="16" t="s">
        <v>297</v>
      </c>
      <c r="AB212" s="17" t="s">
        <v>233</v>
      </c>
      <c r="AC212" s="17" t="s">
        <v>58</v>
      </c>
      <c r="AD212" s="18">
        <v>200000000</v>
      </c>
      <c r="AE212" s="34">
        <v>0</v>
      </c>
      <c r="AF212" s="34">
        <v>0</v>
      </c>
      <c r="AG212" s="18">
        <f>40000000+20000000</f>
        <v>60000000</v>
      </c>
      <c r="AH212" s="34">
        <v>0</v>
      </c>
      <c r="AI212" s="18">
        <f>AE212-AF212+AG212-AH212</f>
        <v>60000000</v>
      </c>
      <c r="AJ212" s="18">
        <f>AD212+AI212</f>
        <v>260000000</v>
      </c>
      <c r="AK212" s="34">
        <v>0</v>
      </c>
      <c r="AL212" s="34">
        <f>AM212-AGOSTO!AM212</f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40">
        <f t="shared" ref="AT212" si="126">AQ212+AS212</f>
        <v>0</v>
      </c>
      <c r="AU212" s="18">
        <f>AJ212-AM212</f>
        <v>260000000</v>
      </c>
      <c r="AV212" s="34">
        <f>AM212-AP212</f>
        <v>0</v>
      </c>
      <c r="AW212" s="34">
        <f>AP212-AT212</f>
        <v>0</v>
      </c>
      <c r="AX212" s="123">
        <f>AP212/AJ212</f>
        <v>0</v>
      </c>
    </row>
    <row r="213" spans="1:50" ht="24" customHeight="1" x14ac:dyDescent="0.2">
      <c r="A213" s="14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6"/>
      <c r="AB213" s="29" t="s">
        <v>298</v>
      </c>
      <c r="AC213" s="17"/>
      <c r="AD213" s="18"/>
      <c r="AE213" s="34"/>
      <c r="AF213" s="34"/>
      <c r="AG213" s="34"/>
      <c r="AH213" s="34"/>
      <c r="AI213" s="34"/>
      <c r="AJ213" s="18"/>
      <c r="AK213" s="18"/>
      <c r="AL213" s="18"/>
      <c r="AM213" s="18"/>
      <c r="AN213" s="18"/>
      <c r="AO213" s="18"/>
      <c r="AP213" s="18"/>
      <c r="AQ213" s="18"/>
      <c r="AR213" s="18"/>
      <c r="AS213" s="34"/>
      <c r="AT213" s="31"/>
      <c r="AU213" s="18"/>
      <c r="AV213" s="18"/>
      <c r="AW213" s="18"/>
      <c r="AX213" s="18"/>
    </row>
    <row r="214" spans="1:50" ht="18.75" customHeight="1" x14ac:dyDescent="0.2">
      <c r="A214" s="14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28" t="s">
        <v>288</v>
      </c>
      <c r="AB214" s="29" t="s">
        <v>299</v>
      </c>
      <c r="AC214" s="17"/>
      <c r="AD214" s="18"/>
      <c r="AE214" s="34"/>
      <c r="AF214" s="34"/>
      <c r="AG214" s="34"/>
      <c r="AH214" s="34"/>
      <c r="AI214" s="34"/>
      <c r="AJ214" s="18"/>
      <c r="AK214" s="18"/>
      <c r="AL214" s="18"/>
      <c r="AM214" s="18"/>
      <c r="AN214" s="18"/>
      <c r="AO214" s="147"/>
      <c r="AP214" s="18"/>
      <c r="AQ214" s="18"/>
      <c r="AR214" s="147"/>
      <c r="AS214" s="34"/>
      <c r="AT214" s="31"/>
      <c r="AU214" s="18"/>
      <c r="AV214" s="18"/>
      <c r="AW214" s="18"/>
      <c r="AX214" s="18"/>
    </row>
    <row r="215" spans="1:50" ht="18.75" customHeight="1" x14ac:dyDescent="0.2">
      <c r="A215" s="14" t="s">
        <v>55</v>
      </c>
      <c r="B215" s="15" t="s">
        <v>56</v>
      </c>
      <c r="C215" s="15"/>
      <c r="D215" s="15"/>
      <c r="E215" s="15"/>
      <c r="F215" s="15"/>
      <c r="G215" s="15" t="s">
        <v>41</v>
      </c>
      <c r="H215" s="15"/>
      <c r="I215" s="15" t="s">
        <v>936</v>
      </c>
      <c r="J215" s="15"/>
      <c r="K215" s="15" t="s">
        <v>932</v>
      </c>
      <c r="L215" s="15"/>
      <c r="M215" s="15" t="s">
        <v>933</v>
      </c>
      <c r="N215" s="15"/>
      <c r="O215" s="15" t="s">
        <v>948</v>
      </c>
      <c r="P215" s="15"/>
      <c r="Q215" s="15" t="s">
        <v>942</v>
      </c>
      <c r="R215" s="15"/>
      <c r="S215" s="15" t="s">
        <v>940</v>
      </c>
      <c r="T215" s="15">
        <v>0</v>
      </c>
      <c r="U215" s="15">
        <v>0</v>
      </c>
      <c r="V215" s="15">
        <v>0</v>
      </c>
      <c r="W215" s="15"/>
      <c r="X215" s="15" t="s">
        <v>937</v>
      </c>
      <c r="Y215" s="15"/>
      <c r="Z215" s="15"/>
      <c r="AA215" s="16" t="s">
        <v>300</v>
      </c>
      <c r="AB215" s="17" t="s">
        <v>233</v>
      </c>
      <c r="AC215" s="17" t="s">
        <v>58</v>
      </c>
      <c r="AD215" s="18">
        <v>250000000</v>
      </c>
      <c r="AE215" s="34">
        <v>0</v>
      </c>
      <c r="AF215" s="34">
        <v>0</v>
      </c>
      <c r="AG215" s="18">
        <v>200000000</v>
      </c>
      <c r="AH215" s="34">
        <v>0</v>
      </c>
      <c r="AI215" s="18">
        <f>AE215-AF215+AG215-AH215</f>
        <v>200000000</v>
      </c>
      <c r="AJ215" s="18">
        <f>AD215+AI215</f>
        <v>450000000</v>
      </c>
      <c r="AK215" s="34">
        <v>0</v>
      </c>
      <c r="AL215" s="18">
        <f>AM215-AGOSTO!AM215</f>
        <v>10666666.669999957</v>
      </c>
      <c r="AM215" s="18">
        <v>333216667.33999997</v>
      </c>
      <c r="AN215" s="34">
        <v>0</v>
      </c>
      <c r="AO215" s="147">
        <v>50683333.670000002</v>
      </c>
      <c r="AP215" s="18">
        <v>319816667.33999997</v>
      </c>
      <c r="AQ215" s="18">
        <v>19766667</v>
      </c>
      <c r="AR215" s="147">
        <v>30533333</v>
      </c>
      <c r="AS215" s="18">
        <v>219083333</v>
      </c>
      <c r="AT215" s="39">
        <f t="shared" ref="AT215:AT230" si="127">AQ215+AS215</f>
        <v>238850000</v>
      </c>
      <c r="AU215" s="18">
        <f>AJ215-AM215</f>
        <v>116783332.66000003</v>
      </c>
      <c r="AV215" s="110">
        <f>AM215-AP215</f>
        <v>13400000</v>
      </c>
      <c r="AW215" s="110">
        <f>AP215-AT215</f>
        <v>80966667.339999974</v>
      </c>
      <c r="AX215" s="123">
        <f>AP215/AJ215</f>
        <v>0.71070370519999992</v>
      </c>
    </row>
    <row r="216" spans="1:50" ht="18.75" customHeight="1" x14ac:dyDescent="0.2">
      <c r="A216" s="14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28" t="s">
        <v>288</v>
      </c>
      <c r="AB216" s="29" t="s">
        <v>292</v>
      </c>
      <c r="AC216" s="17"/>
      <c r="AD216" s="18"/>
      <c r="AE216" s="34"/>
      <c r="AF216" s="34"/>
      <c r="AG216" s="34"/>
      <c r="AH216" s="34"/>
      <c r="AI216" s="34"/>
      <c r="AJ216" s="18"/>
      <c r="AK216" s="34"/>
      <c r="AL216" s="18"/>
      <c r="AM216" s="18"/>
      <c r="AN216" s="34"/>
      <c r="AO216" s="145"/>
      <c r="AP216" s="18"/>
      <c r="AQ216" s="18"/>
      <c r="AR216" s="147"/>
      <c r="AS216" s="34"/>
      <c r="AT216" s="31"/>
      <c r="AU216" s="18"/>
      <c r="AV216" s="18"/>
      <c r="AW216" s="18"/>
      <c r="AX216" s="18"/>
    </row>
    <row r="217" spans="1:50" ht="18.75" customHeight="1" x14ac:dyDescent="0.2">
      <c r="A217" s="35" t="s">
        <v>55</v>
      </c>
      <c r="B217" s="36" t="s">
        <v>56</v>
      </c>
      <c r="C217" s="36"/>
      <c r="D217" s="36"/>
      <c r="E217" s="36"/>
      <c r="F217" s="36"/>
      <c r="G217" s="36" t="s">
        <v>41</v>
      </c>
      <c r="H217" s="36"/>
      <c r="I217" s="36" t="s">
        <v>936</v>
      </c>
      <c r="J217" s="36"/>
      <c r="K217" s="36" t="s">
        <v>932</v>
      </c>
      <c r="L217" s="36"/>
      <c r="M217" s="36" t="s">
        <v>933</v>
      </c>
      <c r="N217" s="36"/>
      <c r="O217" s="36" t="s">
        <v>948</v>
      </c>
      <c r="P217" s="36"/>
      <c r="Q217" s="36" t="s">
        <v>942</v>
      </c>
      <c r="R217" s="36"/>
      <c r="S217" s="36" t="s">
        <v>940</v>
      </c>
      <c r="T217" s="36">
        <v>0</v>
      </c>
      <c r="U217" s="36">
        <v>0</v>
      </c>
      <c r="V217" s="36">
        <v>0</v>
      </c>
      <c r="W217" s="36"/>
      <c r="X217" s="36" t="s">
        <v>937</v>
      </c>
      <c r="Y217" s="36"/>
      <c r="Z217" s="36"/>
      <c r="AA217" s="37" t="s">
        <v>301</v>
      </c>
      <c r="AB217" s="38" t="s">
        <v>233</v>
      </c>
      <c r="AC217" s="38" t="s">
        <v>58</v>
      </c>
      <c r="AD217" s="39">
        <v>200000000</v>
      </c>
      <c r="AE217" s="40">
        <v>0</v>
      </c>
      <c r="AF217" s="40">
        <v>0</v>
      </c>
      <c r="AG217" s="18">
        <v>64995888</v>
      </c>
      <c r="AH217" s="40">
        <v>0</v>
      </c>
      <c r="AI217" s="18">
        <f t="shared" ref="AI217:AI218" si="128">AE217-AF217+AG217-AH217</f>
        <v>64995888</v>
      </c>
      <c r="AJ217" s="18">
        <f t="shared" ref="AJ217:AJ218" si="129">AD217+AI217</f>
        <v>264995888</v>
      </c>
      <c r="AK217" s="40">
        <v>0</v>
      </c>
      <c r="AL217" s="18">
        <f>AM217-AGOSTO!AM217</f>
        <v>46600000</v>
      </c>
      <c r="AM217" s="39">
        <v>182151269.00999999</v>
      </c>
      <c r="AN217" s="39">
        <v>21033333.32</v>
      </c>
      <c r="AO217" s="267">
        <v>22500000</v>
      </c>
      <c r="AP217" s="39">
        <v>139645208.08000001</v>
      </c>
      <c r="AQ217" s="39">
        <v>583333</v>
      </c>
      <c r="AR217" s="267">
        <v>24816518</v>
      </c>
      <c r="AS217" s="39">
        <v>91416534</v>
      </c>
      <c r="AT217" s="39">
        <f t="shared" ref="AT217:AT220" si="130">AQ217+AS217</f>
        <v>91999867</v>
      </c>
      <c r="AU217" s="18">
        <f>AJ217-AM217</f>
        <v>82844618.99000001</v>
      </c>
      <c r="AV217" s="18">
        <f>AM217-AP217</f>
        <v>42506060.929999977</v>
      </c>
      <c r="AW217" s="18">
        <f>AP217-AT217</f>
        <v>47645341.080000013</v>
      </c>
      <c r="AX217" s="123">
        <f>AP217/AJ217</f>
        <v>0.52697122636106719</v>
      </c>
    </row>
    <row r="218" spans="1:50" ht="18.75" customHeight="1" x14ac:dyDescent="0.2">
      <c r="A218" s="35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101" t="s">
        <v>1234</v>
      </c>
      <c r="AB218" s="251" t="s">
        <v>1015</v>
      </c>
      <c r="AC218" s="38"/>
      <c r="AD218" s="40">
        <v>0</v>
      </c>
      <c r="AE218" s="40"/>
      <c r="AF218" s="40"/>
      <c r="AG218" s="18">
        <v>2307325192</v>
      </c>
      <c r="AH218" s="40">
        <v>0</v>
      </c>
      <c r="AI218" s="18">
        <f t="shared" si="128"/>
        <v>2307325192</v>
      </c>
      <c r="AJ218" s="18">
        <f t="shared" si="129"/>
        <v>2307325192</v>
      </c>
      <c r="AK218" s="40">
        <v>0</v>
      </c>
      <c r="AL218" s="18">
        <f>AM218-AGOSTO!AM218</f>
        <v>-8000000</v>
      </c>
      <c r="AM218" s="39">
        <v>1859972061</v>
      </c>
      <c r="AN218" s="39">
        <v>288871373.47000003</v>
      </c>
      <c r="AO218" s="146">
        <v>0</v>
      </c>
      <c r="AP218" s="40">
        <v>0</v>
      </c>
      <c r="AQ218" s="40">
        <v>0</v>
      </c>
      <c r="AR218" s="146">
        <v>0</v>
      </c>
      <c r="AS218" s="40">
        <v>0</v>
      </c>
      <c r="AT218" s="40">
        <f t="shared" si="130"/>
        <v>0</v>
      </c>
      <c r="AU218" s="18">
        <f>AJ218-AM218</f>
        <v>447353131</v>
      </c>
      <c r="AV218" s="18">
        <f>AM218-AP218</f>
        <v>1859972061</v>
      </c>
      <c r="AW218" s="34">
        <f>AP218-AT218</f>
        <v>0</v>
      </c>
      <c r="AX218" s="123">
        <f>AP218/AJ218</f>
        <v>0</v>
      </c>
    </row>
    <row r="219" spans="1:50" ht="26.25" customHeight="1" x14ac:dyDescent="0.2">
      <c r="A219" s="35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28" t="s">
        <v>288</v>
      </c>
      <c r="AB219" s="29" t="s">
        <v>298</v>
      </c>
      <c r="AC219" s="38"/>
      <c r="AD219" s="40"/>
      <c r="AE219" s="40"/>
      <c r="AF219" s="40"/>
      <c r="AG219" s="40"/>
      <c r="AH219" s="40"/>
      <c r="AI219" s="40"/>
      <c r="AJ219" s="39"/>
      <c r="AK219" s="40"/>
      <c r="AL219" s="40"/>
      <c r="AM219" s="40"/>
      <c r="AN219" s="40"/>
      <c r="AO219" s="146"/>
      <c r="AP219" s="40"/>
      <c r="AQ219" s="40"/>
      <c r="AR219" s="146"/>
      <c r="AS219" s="40"/>
      <c r="AT219" s="40">
        <f t="shared" si="130"/>
        <v>0</v>
      </c>
      <c r="AU219" s="34">
        <f>AJ219-AM219</f>
        <v>0</v>
      </c>
      <c r="AV219" s="34">
        <f>AM219-AP219</f>
        <v>0</v>
      </c>
      <c r="AW219" s="34">
        <f>AP219-AT219</f>
        <v>0</v>
      </c>
      <c r="AX219" s="123">
        <v>0</v>
      </c>
    </row>
    <row r="220" spans="1:50" ht="18.75" customHeight="1" x14ac:dyDescent="0.2">
      <c r="A220" s="35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101" t="s">
        <v>1218</v>
      </c>
      <c r="AB220" s="251" t="s">
        <v>233</v>
      </c>
      <c r="AC220" s="38"/>
      <c r="AD220" s="40">
        <v>0</v>
      </c>
      <c r="AE220" s="40">
        <v>0</v>
      </c>
      <c r="AF220" s="40">
        <v>0</v>
      </c>
      <c r="AG220" s="39">
        <v>4935004112</v>
      </c>
      <c r="AH220" s="40">
        <v>0</v>
      </c>
      <c r="AI220" s="18">
        <f>AE220-AF220+AG220-AH220</f>
        <v>4935004112</v>
      </c>
      <c r="AJ220" s="18">
        <f>AD220+AI220</f>
        <v>4935004112</v>
      </c>
      <c r="AK220" s="40">
        <v>0</v>
      </c>
      <c r="AL220" s="34">
        <f>AM220-AGOSTO!AM220</f>
        <v>0</v>
      </c>
      <c r="AM220" s="39">
        <v>4935004112</v>
      </c>
      <c r="AN220" s="40">
        <v>0</v>
      </c>
      <c r="AO220" s="39">
        <v>0</v>
      </c>
      <c r="AP220" s="39">
        <v>4933250584</v>
      </c>
      <c r="AQ220" s="40">
        <v>0</v>
      </c>
      <c r="AR220" s="146">
        <v>0</v>
      </c>
      <c r="AS220" s="40">
        <v>0</v>
      </c>
      <c r="AT220" s="40">
        <f t="shared" si="130"/>
        <v>0</v>
      </c>
      <c r="AU220" s="34">
        <f>AJ220-AM220</f>
        <v>0</v>
      </c>
      <c r="AV220" s="18">
        <f>AM220-AP220</f>
        <v>1753528</v>
      </c>
      <c r="AW220" s="18">
        <f>AP220-AT220</f>
        <v>4933250584</v>
      </c>
      <c r="AX220" s="123">
        <f>AP220/AJ220</f>
        <v>0.99964467547337277</v>
      </c>
    </row>
    <row r="221" spans="1:50" ht="24.75" customHeight="1" x14ac:dyDescent="0.2">
      <c r="A221" s="14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28" t="s">
        <v>288</v>
      </c>
      <c r="AB221" s="29" t="s">
        <v>302</v>
      </c>
      <c r="AC221" s="17"/>
      <c r="AD221" s="18"/>
      <c r="AE221" s="34"/>
      <c r="AF221" s="34"/>
      <c r="AG221" s="34"/>
      <c r="AH221" s="34"/>
      <c r="AI221" s="34"/>
      <c r="AJ221" s="18"/>
      <c r="AK221" s="34"/>
      <c r="AL221" s="34"/>
      <c r="AM221" s="34"/>
      <c r="AN221" s="34"/>
      <c r="AO221" s="34"/>
      <c r="AP221" s="34"/>
      <c r="AQ221" s="34"/>
      <c r="AR221" s="145"/>
      <c r="AS221" s="34"/>
      <c r="AT221" s="31"/>
      <c r="AU221" s="18"/>
      <c r="AV221" s="34"/>
      <c r="AW221" s="34"/>
      <c r="AX221" s="18"/>
    </row>
    <row r="222" spans="1:50" ht="18.75" customHeight="1" x14ac:dyDescent="0.2">
      <c r="A222" s="14" t="s">
        <v>55</v>
      </c>
      <c r="B222" s="15" t="s">
        <v>56</v>
      </c>
      <c r="C222" s="15"/>
      <c r="D222" s="15"/>
      <c r="E222" s="15"/>
      <c r="F222" s="15"/>
      <c r="G222" s="15" t="s">
        <v>41</v>
      </c>
      <c r="H222" s="15"/>
      <c r="I222" s="15" t="s">
        <v>936</v>
      </c>
      <c r="J222" s="15"/>
      <c r="K222" s="15" t="s">
        <v>932</v>
      </c>
      <c r="L222" s="15"/>
      <c r="M222" s="15" t="s">
        <v>933</v>
      </c>
      <c r="N222" s="15"/>
      <c r="O222" s="15" t="s">
        <v>948</v>
      </c>
      <c r="P222" s="15"/>
      <c r="Q222" s="15" t="s">
        <v>942</v>
      </c>
      <c r="R222" s="15"/>
      <c r="S222" s="15" t="s">
        <v>940</v>
      </c>
      <c r="T222" s="15">
        <v>0</v>
      </c>
      <c r="U222" s="15">
        <v>0</v>
      </c>
      <c r="V222" s="15">
        <v>0</v>
      </c>
      <c r="W222" s="15"/>
      <c r="X222" s="15" t="s">
        <v>937</v>
      </c>
      <c r="Y222" s="15"/>
      <c r="Z222" s="15"/>
      <c r="AA222" s="16" t="s">
        <v>303</v>
      </c>
      <c r="AB222" s="17" t="s">
        <v>233</v>
      </c>
      <c r="AC222" s="17" t="s">
        <v>58</v>
      </c>
      <c r="AD222" s="18">
        <v>850000000</v>
      </c>
      <c r="AE222" s="34">
        <v>0</v>
      </c>
      <c r="AF222" s="34">
        <v>0</v>
      </c>
      <c r="AG222" s="34">
        <v>0</v>
      </c>
      <c r="AH222" s="34">
        <v>0</v>
      </c>
      <c r="AI222" s="34">
        <f>AE222-AF222+AG222-AH222</f>
        <v>0</v>
      </c>
      <c r="AJ222" s="18">
        <f>AD222+AI222</f>
        <v>850000000</v>
      </c>
      <c r="AK222" s="34">
        <v>0</v>
      </c>
      <c r="AL222" s="18">
        <f>AM222-AGOSTO!AM222</f>
        <v>11071719</v>
      </c>
      <c r="AM222" s="110">
        <v>769280430</v>
      </c>
      <c r="AN222" s="133">
        <v>0</v>
      </c>
      <c r="AO222" s="286">
        <v>30000000</v>
      </c>
      <c r="AP222" s="110">
        <v>664679430</v>
      </c>
      <c r="AQ222" s="18">
        <v>25333333</v>
      </c>
      <c r="AR222" s="147">
        <v>50772356</v>
      </c>
      <c r="AS222" s="18">
        <v>471196589.64999998</v>
      </c>
      <c r="AT222" s="39">
        <f t="shared" ref="AT222" si="131">AQ222+AS222</f>
        <v>496529922.64999998</v>
      </c>
      <c r="AU222" s="18">
        <f>AJ222-AM222</f>
        <v>80719570</v>
      </c>
      <c r="AV222" s="110">
        <f>AM222-AP222</f>
        <v>104601000</v>
      </c>
      <c r="AW222" s="110">
        <f>AP222-AT222</f>
        <v>168149507.35000002</v>
      </c>
      <c r="AX222" s="123">
        <f>AP222/AJ222</f>
        <v>0.7819758</v>
      </c>
    </row>
    <row r="223" spans="1:50" ht="18.75" customHeight="1" x14ac:dyDescent="0.2">
      <c r="A223" s="35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28" t="s">
        <v>288</v>
      </c>
      <c r="AB223" s="29" t="s">
        <v>304</v>
      </c>
      <c r="AC223" s="38"/>
      <c r="AD223" s="39"/>
      <c r="AE223" s="40"/>
      <c r="AF223" s="40"/>
      <c r="AG223" s="40"/>
      <c r="AH223" s="40"/>
      <c r="AI223" s="40"/>
      <c r="AJ223" s="39"/>
      <c r="AK223" s="39"/>
      <c r="AL223" s="39"/>
      <c r="AM223" s="40"/>
      <c r="AN223" s="40"/>
      <c r="AO223" s="40"/>
      <c r="AP223" s="40"/>
      <c r="AQ223" s="39"/>
      <c r="AR223" s="146"/>
      <c r="AS223" s="39"/>
      <c r="AT223" s="31"/>
      <c r="AU223" s="39"/>
      <c r="AV223" s="40"/>
      <c r="AW223" s="40"/>
      <c r="AX223" s="18"/>
    </row>
    <row r="224" spans="1:50" ht="18.75" customHeight="1" x14ac:dyDescent="0.2">
      <c r="A224" s="14" t="s">
        <v>55</v>
      </c>
      <c r="B224" s="15" t="s">
        <v>56</v>
      </c>
      <c r="C224" s="15"/>
      <c r="D224" s="15"/>
      <c r="E224" s="15"/>
      <c r="F224" s="15"/>
      <c r="G224" s="15" t="s">
        <v>41</v>
      </c>
      <c r="H224" s="15"/>
      <c r="I224" s="15" t="s">
        <v>936</v>
      </c>
      <c r="J224" s="15"/>
      <c r="K224" s="15" t="s">
        <v>932</v>
      </c>
      <c r="L224" s="15"/>
      <c r="M224" s="15" t="s">
        <v>933</v>
      </c>
      <c r="N224" s="15"/>
      <c r="O224" s="15" t="s">
        <v>948</v>
      </c>
      <c r="P224" s="15"/>
      <c r="Q224" s="15" t="s">
        <v>942</v>
      </c>
      <c r="R224" s="15"/>
      <c r="S224" s="15" t="s">
        <v>940</v>
      </c>
      <c r="T224" s="15">
        <v>0</v>
      </c>
      <c r="U224" s="15">
        <v>0</v>
      </c>
      <c r="V224" s="15">
        <v>0</v>
      </c>
      <c r="W224" s="15"/>
      <c r="X224" s="15" t="s">
        <v>937</v>
      </c>
      <c r="Y224" s="15"/>
      <c r="Z224" s="15"/>
      <c r="AA224" s="16" t="s">
        <v>305</v>
      </c>
      <c r="AB224" s="17" t="s">
        <v>233</v>
      </c>
      <c r="AC224" s="17" t="s">
        <v>58</v>
      </c>
      <c r="AD224" s="18">
        <v>100000000</v>
      </c>
      <c r="AE224" s="34">
        <v>0</v>
      </c>
      <c r="AF224" s="34">
        <v>0</v>
      </c>
      <c r="AG224" s="34">
        <v>0</v>
      </c>
      <c r="AH224" s="34">
        <v>0</v>
      </c>
      <c r="AI224" s="34">
        <f>AE224-AF224+AG224-AH224</f>
        <v>0</v>
      </c>
      <c r="AJ224" s="18">
        <f>AD224+AI224</f>
        <v>100000000</v>
      </c>
      <c r="AK224" s="34">
        <v>0</v>
      </c>
      <c r="AL224" s="34">
        <f>AM224-AGOSTO!AM224</f>
        <v>0</v>
      </c>
      <c r="AM224" s="18">
        <v>36000000</v>
      </c>
      <c r="AN224" s="34">
        <v>0</v>
      </c>
      <c r="AO224" s="18">
        <v>0</v>
      </c>
      <c r="AP224" s="18">
        <v>36000000</v>
      </c>
      <c r="AQ224" s="18">
        <v>1800000</v>
      </c>
      <c r="AR224" s="18">
        <v>1800000</v>
      </c>
      <c r="AS224" s="18">
        <v>1800000</v>
      </c>
      <c r="AT224" s="39">
        <f t="shared" ref="AT224:AT226" si="132">AQ224+AS224</f>
        <v>3600000</v>
      </c>
      <c r="AU224" s="18">
        <f>AJ224-AM224</f>
        <v>64000000</v>
      </c>
      <c r="AV224" s="34">
        <f>AM224-AP224</f>
        <v>0</v>
      </c>
      <c r="AW224" s="18">
        <f>AP224-AT224</f>
        <v>32400000</v>
      </c>
      <c r="AX224" s="123">
        <f>AP224/AJ224</f>
        <v>0.36</v>
      </c>
    </row>
    <row r="225" spans="1:50" ht="40.5" customHeight="1" x14ac:dyDescent="0.2">
      <c r="A225" s="14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73" t="s">
        <v>288</v>
      </c>
      <c r="AB225" s="247" t="s">
        <v>958</v>
      </c>
      <c r="AC225" s="17"/>
      <c r="AD225" s="18"/>
      <c r="AE225" s="34"/>
      <c r="AF225" s="34"/>
      <c r="AG225" s="34"/>
      <c r="AH225" s="34"/>
      <c r="AI225" s="34"/>
      <c r="AJ225" s="18"/>
      <c r="AK225" s="34"/>
      <c r="AL225" s="34"/>
      <c r="AM225" s="34"/>
      <c r="AN225" s="34"/>
      <c r="AO225" s="34"/>
      <c r="AP225" s="34"/>
      <c r="AQ225" s="34"/>
      <c r="AR225" s="34"/>
      <c r="AS225" s="34"/>
      <c r="AT225" s="40"/>
      <c r="AU225" s="18"/>
      <c r="AV225" s="34"/>
      <c r="AW225" s="34"/>
      <c r="AX225" s="123"/>
    </row>
    <row r="226" spans="1:50" ht="30" customHeight="1" x14ac:dyDescent="0.2">
      <c r="A226" s="14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250" t="s">
        <v>765</v>
      </c>
      <c r="AB226" s="248" t="s">
        <v>233</v>
      </c>
      <c r="AC226" s="17"/>
      <c r="AD226" s="34">
        <v>0</v>
      </c>
      <c r="AE226" s="34">
        <v>0</v>
      </c>
      <c r="AF226" s="34">
        <v>0</v>
      </c>
      <c r="AG226" s="18">
        <v>200000000</v>
      </c>
      <c r="AH226" s="18">
        <v>200000000</v>
      </c>
      <c r="AI226" s="34">
        <f>AE226-AF226+AG226-AH226</f>
        <v>0</v>
      </c>
      <c r="AJ226" s="34">
        <f>AD226+AI226</f>
        <v>0</v>
      </c>
      <c r="AK226" s="34">
        <v>0</v>
      </c>
      <c r="AL226" s="34">
        <v>0</v>
      </c>
      <c r="AM226" s="34">
        <v>0</v>
      </c>
      <c r="AN226" s="34">
        <v>0</v>
      </c>
      <c r="AO226" s="34">
        <v>0</v>
      </c>
      <c r="AP226" s="34">
        <v>0</v>
      </c>
      <c r="AQ226" s="34">
        <v>0</v>
      </c>
      <c r="AR226" s="34">
        <v>0</v>
      </c>
      <c r="AS226" s="34">
        <v>0</v>
      </c>
      <c r="AT226" s="40">
        <f t="shared" si="132"/>
        <v>0</v>
      </c>
      <c r="AU226" s="34">
        <f>AJ226-AM226</f>
        <v>0</v>
      </c>
      <c r="AV226" s="34">
        <f>AM226-AP226</f>
        <v>0</v>
      </c>
      <c r="AW226" s="34">
        <f>AP226-AT226</f>
        <v>0</v>
      </c>
      <c r="AX226" s="123">
        <v>0</v>
      </c>
    </row>
    <row r="227" spans="1:50" ht="18.75" customHeight="1" x14ac:dyDescent="0.2">
      <c r="A227" s="35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28" t="s">
        <v>288</v>
      </c>
      <c r="AB227" s="249" t="s">
        <v>306</v>
      </c>
      <c r="AC227" s="38"/>
      <c r="AD227" s="39"/>
      <c r="AE227" s="40"/>
      <c r="AF227" s="40"/>
      <c r="AG227" s="40"/>
      <c r="AH227" s="40"/>
      <c r="AI227" s="40"/>
      <c r="AJ227" s="39"/>
      <c r="AK227" s="40"/>
      <c r="AL227" s="40"/>
      <c r="AM227" s="40"/>
      <c r="AN227" s="40"/>
      <c r="AO227" s="40"/>
      <c r="AP227" s="40"/>
      <c r="AQ227" s="40"/>
      <c r="AR227" s="40"/>
      <c r="AS227" s="39"/>
      <c r="AT227" s="30"/>
      <c r="AU227" s="39"/>
      <c r="AV227" s="39"/>
      <c r="AW227" s="40"/>
      <c r="AX227" s="18"/>
    </row>
    <row r="228" spans="1:50" ht="18.75" customHeight="1" x14ac:dyDescent="0.2">
      <c r="A228" s="14" t="s">
        <v>55</v>
      </c>
      <c r="B228" s="15" t="s">
        <v>56</v>
      </c>
      <c r="C228" s="15"/>
      <c r="D228" s="15"/>
      <c r="E228" s="15"/>
      <c r="F228" s="15"/>
      <c r="G228" s="15" t="s">
        <v>41</v>
      </c>
      <c r="H228" s="15"/>
      <c r="I228" s="15" t="s">
        <v>936</v>
      </c>
      <c r="J228" s="15"/>
      <c r="K228" s="15" t="s">
        <v>932</v>
      </c>
      <c r="L228" s="15"/>
      <c r="M228" s="15" t="s">
        <v>933</v>
      </c>
      <c r="N228" s="15"/>
      <c r="O228" s="15" t="s">
        <v>948</v>
      </c>
      <c r="P228" s="15"/>
      <c r="Q228" s="15" t="s">
        <v>942</v>
      </c>
      <c r="R228" s="15"/>
      <c r="S228" s="15" t="s">
        <v>940</v>
      </c>
      <c r="T228" s="15">
        <v>0</v>
      </c>
      <c r="U228" s="15">
        <v>0</v>
      </c>
      <c r="V228" s="15">
        <v>0</v>
      </c>
      <c r="W228" s="15"/>
      <c r="X228" s="15" t="s">
        <v>937</v>
      </c>
      <c r="Y228" s="15"/>
      <c r="Z228" s="15"/>
      <c r="AA228" s="16" t="s">
        <v>307</v>
      </c>
      <c r="AB228" s="17" t="s">
        <v>233</v>
      </c>
      <c r="AC228" s="17" t="s">
        <v>58</v>
      </c>
      <c r="AD228" s="18">
        <v>50000000</v>
      </c>
      <c r="AE228" s="34">
        <v>0</v>
      </c>
      <c r="AF228" s="34">
        <v>0</v>
      </c>
      <c r="AG228" s="34">
        <v>0</v>
      </c>
      <c r="AH228" s="34">
        <v>0</v>
      </c>
      <c r="AI228" s="34">
        <f>AE228-AF228+AG228-AH228</f>
        <v>0</v>
      </c>
      <c r="AJ228" s="18">
        <f>AD228+AI228</f>
        <v>50000000</v>
      </c>
      <c r="AK228" s="34">
        <v>0</v>
      </c>
      <c r="AL228" s="34">
        <v>0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40">
        <f t="shared" si="127"/>
        <v>0</v>
      </c>
      <c r="AU228" s="18">
        <f>AJ228-AM228</f>
        <v>50000000</v>
      </c>
      <c r="AV228" s="34">
        <f>AM228-AP228</f>
        <v>0</v>
      </c>
      <c r="AW228" s="34">
        <f>AP228-AT228</f>
        <v>0</v>
      </c>
      <c r="AX228" s="123">
        <f>AP228/AJ228</f>
        <v>0</v>
      </c>
    </row>
    <row r="229" spans="1:50" ht="18.75" customHeight="1" x14ac:dyDescent="0.2">
      <c r="A229" s="14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28" t="s">
        <v>288</v>
      </c>
      <c r="AB229" s="29" t="s">
        <v>308</v>
      </c>
      <c r="AC229" s="17"/>
      <c r="AD229" s="18"/>
      <c r="AE229" s="34"/>
      <c r="AF229" s="34"/>
      <c r="AG229" s="34"/>
      <c r="AH229" s="34"/>
      <c r="AI229" s="34"/>
      <c r="AJ229" s="18"/>
      <c r="AK229" s="34"/>
      <c r="AL229" s="34"/>
      <c r="AM229" s="34"/>
      <c r="AN229" s="34"/>
      <c r="AO229" s="34"/>
      <c r="AP229" s="34"/>
      <c r="AQ229" s="34"/>
      <c r="AR229" s="34"/>
      <c r="AS229" s="34"/>
      <c r="AT229" s="31"/>
      <c r="AU229" s="18"/>
      <c r="AV229" s="18"/>
      <c r="AW229" s="34"/>
      <c r="AX229" s="18"/>
    </row>
    <row r="230" spans="1:50" ht="18.75" customHeight="1" x14ac:dyDescent="0.2">
      <c r="A230" s="35" t="s">
        <v>55</v>
      </c>
      <c r="B230" s="36" t="s">
        <v>56</v>
      </c>
      <c r="C230" s="36"/>
      <c r="D230" s="36"/>
      <c r="E230" s="36"/>
      <c r="F230" s="36"/>
      <c r="G230" s="36" t="s">
        <v>41</v>
      </c>
      <c r="H230" s="36"/>
      <c r="I230" s="36" t="s">
        <v>936</v>
      </c>
      <c r="J230" s="36"/>
      <c r="K230" s="36" t="s">
        <v>932</v>
      </c>
      <c r="L230" s="36"/>
      <c r="M230" s="36" t="s">
        <v>933</v>
      </c>
      <c r="N230" s="36"/>
      <c r="O230" s="36" t="s">
        <v>948</v>
      </c>
      <c r="P230" s="36"/>
      <c r="Q230" s="36" t="s">
        <v>942</v>
      </c>
      <c r="R230" s="36"/>
      <c r="S230" s="36" t="s">
        <v>940</v>
      </c>
      <c r="T230" s="36">
        <v>0</v>
      </c>
      <c r="U230" s="36">
        <v>0</v>
      </c>
      <c r="V230" s="36">
        <v>0</v>
      </c>
      <c r="W230" s="36"/>
      <c r="X230" s="36" t="s">
        <v>937</v>
      </c>
      <c r="Y230" s="36"/>
      <c r="Z230" s="36"/>
      <c r="AA230" s="37" t="s">
        <v>309</v>
      </c>
      <c r="AB230" s="38" t="s">
        <v>233</v>
      </c>
      <c r="AC230" s="38" t="s">
        <v>58</v>
      </c>
      <c r="AD230" s="39">
        <v>50000000</v>
      </c>
      <c r="AE230" s="40">
        <v>0</v>
      </c>
      <c r="AF230" s="40">
        <v>0</v>
      </c>
      <c r="AG230" s="40">
        <v>0</v>
      </c>
      <c r="AH230" s="39">
        <f>20000000+30000000</f>
        <v>50000000</v>
      </c>
      <c r="AI230" s="18">
        <f>AE230-AF230+AG230-AH230</f>
        <v>-50000000</v>
      </c>
      <c r="AJ230" s="18">
        <f>AD230+AI230</f>
        <v>0</v>
      </c>
      <c r="AK230" s="40">
        <v>0</v>
      </c>
      <c r="AL230" s="40">
        <v>0</v>
      </c>
      <c r="AM230" s="40">
        <v>0</v>
      </c>
      <c r="AN230" s="40">
        <v>0</v>
      </c>
      <c r="AO230" s="40">
        <v>0</v>
      </c>
      <c r="AP230" s="40">
        <v>0</v>
      </c>
      <c r="AQ230" s="40">
        <v>0</v>
      </c>
      <c r="AR230" s="40">
        <v>0</v>
      </c>
      <c r="AS230" s="40">
        <v>0</v>
      </c>
      <c r="AT230" s="40">
        <f t="shared" si="127"/>
        <v>0</v>
      </c>
      <c r="AU230" s="18">
        <f>AJ230-AM230</f>
        <v>0</v>
      </c>
      <c r="AV230" s="34">
        <f>AM230-AP230</f>
        <v>0</v>
      </c>
      <c r="AW230" s="34">
        <f>AP230-AT230</f>
        <v>0</v>
      </c>
      <c r="AX230" s="123">
        <v>0</v>
      </c>
    </row>
    <row r="231" spans="1:50" ht="18.75" customHeight="1" x14ac:dyDescent="0.2">
      <c r="A231" s="14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28" t="s">
        <v>288</v>
      </c>
      <c r="AB231" s="29" t="s">
        <v>310</v>
      </c>
      <c r="AC231" s="17"/>
      <c r="AD231" s="18"/>
      <c r="AE231" s="34"/>
      <c r="AF231" s="34"/>
      <c r="AG231" s="34"/>
      <c r="AH231" s="34"/>
      <c r="AI231" s="34"/>
      <c r="AJ231" s="18"/>
      <c r="AK231" s="18"/>
      <c r="AL231" s="18"/>
      <c r="AM231" s="18"/>
      <c r="AN231" s="18"/>
      <c r="AO231" s="18"/>
      <c r="AP231" s="18"/>
      <c r="AQ231" s="18"/>
      <c r="AR231" s="147"/>
      <c r="AS231" s="34"/>
      <c r="AT231" s="31"/>
      <c r="AU231" s="18"/>
      <c r="AV231" s="18"/>
      <c r="AW231" s="18"/>
      <c r="AX231" s="18"/>
    </row>
    <row r="232" spans="1:50" ht="18.75" customHeight="1" x14ac:dyDescent="0.2">
      <c r="A232" s="14" t="s">
        <v>55</v>
      </c>
      <c r="B232" s="15" t="s">
        <v>56</v>
      </c>
      <c r="C232" s="15"/>
      <c r="D232" s="15"/>
      <c r="E232" s="15"/>
      <c r="F232" s="15"/>
      <c r="G232" s="15" t="s">
        <v>41</v>
      </c>
      <c r="H232" s="15"/>
      <c r="I232" s="15" t="s">
        <v>936</v>
      </c>
      <c r="J232" s="15"/>
      <c r="K232" s="15" t="s">
        <v>932</v>
      </c>
      <c r="L232" s="15"/>
      <c r="M232" s="15" t="s">
        <v>933</v>
      </c>
      <c r="N232" s="15"/>
      <c r="O232" s="15" t="s">
        <v>948</v>
      </c>
      <c r="P232" s="15"/>
      <c r="Q232" s="15" t="s">
        <v>942</v>
      </c>
      <c r="R232" s="15"/>
      <c r="S232" s="15" t="s">
        <v>940</v>
      </c>
      <c r="T232" s="15">
        <v>0</v>
      </c>
      <c r="U232" s="15">
        <v>0</v>
      </c>
      <c r="V232" s="15">
        <v>0</v>
      </c>
      <c r="W232" s="15"/>
      <c r="X232" s="15" t="s">
        <v>937</v>
      </c>
      <c r="Y232" s="15"/>
      <c r="Z232" s="15"/>
      <c r="AA232" s="16" t="s">
        <v>311</v>
      </c>
      <c r="AB232" s="17" t="s">
        <v>233</v>
      </c>
      <c r="AC232" s="17" t="s">
        <v>58</v>
      </c>
      <c r="AD232" s="18">
        <v>1400000000</v>
      </c>
      <c r="AE232" s="34">
        <v>0</v>
      </c>
      <c r="AF232" s="34">
        <v>0</v>
      </c>
      <c r="AG232" s="34">
        <v>0</v>
      </c>
      <c r="AH232" s="34">
        <v>0</v>
      </c>
      <c r="AI232" s="18">
        <f t="shared" ref="AI232:AI233" si="133">AE232-AF232+AG232-AH232</f>
        <v>0</v>
      </c>
      <c r="AJ232" s="18">
        <f t="shared" ref="AJ232:AJ233" si="134">AD232+AI232</f>
        <v>1400000000</v>
      </c>
      <c r="AK232" s="34">
        <v>0</v>
      </c>
      <c r="AL232" s="18">
        <f>AM232-AGOSTO!AM232</f>
        <v>0</v>
      </c>
      <c r="AM232" s="18">
        <v>1309955399</v>
      </c>
      <c r="AN232" s="34">
        <v>0</v>
      </c>
      <c r="AO232" s="18">
        <v>0</v>
      </c>
      <c r="AP232" s="18">
        <v>1276180346</v>
      </c>
      <c r="AQ232" s="18">
        <v>0</v>
      </c>
      <c r="AR232" s="147">
        <v>115608823.98999999</v>
      </c>
      <c r="AS232" s="18">
        <v>479636770.94999999</v>
      </c>
      <c r="AT232" s="111">
        <f t="shared" ref="AT232:AT233" si="135">AQ232+AS232</f>
        <v>479636770.94999999</v>
      </c>
      <c r="AU232" s="18">
        <f>AJ232-AM232</f>
        <v>90044601</v>
      </c>
      <c r="AV232" s="110">
        <f>AM232-AP232</f>
        <v>33775053</v>
      </c>
      <c r="AW232" s="18">
        <f>AP232-AT232</f>
        <v>796543575.04999995</v>
      </c>
      <c r="AX232" s="123">
        <f>AP232/AJ232</f>
        <v>0.91155739000000002</v>
      </c>
    </row>
    <row r="233" spans="1:50" ht="18.75" customHeight="1" x14ac:dyDescent="0.2">
      <c r="A233" s="14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41" t="s">
        <v>1262</v>
      </c>
      <c r="AB233" s="42" t="s">
        <v>1015</v>
      </c>
      <c r="AC233" s="17"/>
      <c r="AD233" s="34">
        <v>0</v>
      </c>
      <c r="AE233" s="34">
        <v>0</v>
      </c>
      <c r="AF233" s="34">
        <v>0</v>
      </c>
      <c r="AG233" s="18">
        <v>200000000</v>
      </c>
      <c r="AH233" s="34"/>
      <c r="AI233" s="18">
        <f t="shared" si="133"/>
        <v>200000000</v>
      </c>
      <c r="AJ233" s="18">
        <f t="shared" si="134"/>
        <v>200000000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4">
        <v>0</v>
      </c>
      <c r="AQ233" s="34">
        <v>0</v>
      </c>
      <c r="AR233" s="145">
        <v>0</v>
      </c>
      <c r="AS233" s="34">
        <v>0</v>
      </c>
      <c r="AT233" s="135">
        <f t="shared" si="135"/>
        <v>0</v>
      </c>
      <c r="AU233" s="18">
        <f>AJ233-AM233</f>
        <v>200000000</v>
      </c>
      <c r="AV233" s="110">
        <f>AM233-AP233</f>
        <v>0</v>
      </c>
      <c r="AW233" s="18">
        <f>AP233-AT233</f>
        <v>0</v>
      </c>
      <c r="AX233" s="123">
        <f>AP233/AJ233</f>
        <v>0</v>
      </c>
    </row>
    <row r="234" spans="1:50" ht="18.75" customHeight="1" x14ac:dyDescent="0.2">
      <c r="A234" s="14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73" t="s">
        <v>288</v>
      </c>
      <c r="AB234" s="74" t="s">
        <v>1383</v>
      </c>
      <c r="AC234" s="17"/>
      <c r="AD234" s="34"/>
      <c r="AE234" s="34"/>
      <c r="AF234" s="34"/>
      <c r="AG234" s="18"/>
      <c r="AH234" s="34"/>
      <c r="AI234" s="18"/>
      <c r="AJ234" s="18"/>
      <c r="AK234" s="34"/>
      <c r="AL234" s="34"/>
      <c r="AM234" s="34"/>
      <c r="AN234" s="34"/>
      <c r="AO234" s="34"/>
      <c r="AP234" s="34"/>
      <c r="AQ234" s="34"/>
      <c r="AR234" s="145"/>
      <c r="AS234" s="34"/>
      <c r="AT234" s="135"/>
      <c r="AU234" s="18"/>
      <c r="AV234" s="110"/>
      <c r="AW234" s="18"/>
      <c r="AX234" s="123"/>
    </row>
    <row r="235" spans="1:50" ht="18.75" customHeight="1" x14ac:dyDescent="0.2">
      <c r="A235" s="14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41" t="s">
        <v>1370</v>
      </c>
      <c r="AB235" s="42" t="s">
        <v>233</v>
      </c>
      <c r="AC235" s="17"/>
      <c r="AD235" s="34">
        <v>0</v>
      </c>
      <c r="AE235" s="34">
        <v>0</v>
      </c>
      <c r="AF235" s="34">
        <v>0</v>
      </c>
      <c r="AG235" s="18">
        <v>30000000</v>
      </c>
      <c r="AH235" s="34">
        <v>0</v>
      </c>
      <c r="AI235" s="18">
        <f t="shared" ref="AI235" si="136">AE235-AF235+AG235-AH235</f>
        <v>30000000</v>
      </c>
      <c r="AJ235" s="18">
        <f t="shared" ref="AJ235" si="137">AD235+AI235</f>
        <v>30000000</v>
      </c>
      <c r="AK235" s="34">
        <v>0</v>
      </c>
      <c r="AL235" s="18">
        <v>20000000</v>
      </c>
      <c r="AM235" s="18">
        <v>20000000</v>
      </c>
      <c r="AN235" s="34">
        <v>0</v>
      </c>
      <c r="AO235" s="34">
        <v>0</v>
      </c>
      <c r="AP235" s="34">
        <v>0</v>
      </c>
      <c r="AQ235" s="34">
        <v>0</v>
      </c>
      <c r="AR235" s="34">
        <v>0</v>
      </c>
      <c r="AS235" s="34">
        <v>0</v>
      </c>
      <c r="AT235" s="135">
        <f t="shared" ref="AT235" si="138">AQ235+AS235</f>
        <v>0</v>
      </c>
      <c r="AU235" s="18">
        <f>AJ235-AM235</f>
        <v>10000000</v>
      </c>
      <c r="AV235" s="110">
        <f>AM235-AP235</f>
        <v>20000000</v>
      </c>
      <c r="AW235" s="18">
        <f>AP235-AT235</f>
        <v>0</v>
      </c>
      <c r="AX235" s="123">
        <f>AP235/AJ235</f>
        <v>0</v>
      </c>
    </row>
    <row r="236" spans="1:50" ht="18.75" customHeight="1" x14ac:dyDescent="0.2">
      <c r="A236" s="35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7"/>
      <c r="AB236" s="29" t="s">
        <v>199</v>
      </c>
      <c r="AC236" s="38"/>
      <c r="AD236" s="39"/>
      <c r="AE236" s="40"/>
      <c r="AF236" s="40"/>
      <c r="AG236" s="40"/>
      <c r="AH236" s="40"/>
      <c r="AI236" s="40"/>
      <c r="AJ236" s="39"/>
      <c r="AK236" s="40"/>
      <c r="AL236" s="39"/>
      <c r="AM236" s="39"/>
      <c r="AN236" s="39"/>
      <c r="AO236" s="39"/>
      <c r="AP236" s="39"/>
      <c r="AQ236" s="40"/>
      <c r="AR236" s="40"/>
      <c r="AS236" s="40"/>
      <c r="AT236" s="31"/>
      <c r="AU236" s="39"/>
      <c r="AV236" s="39"/>
      <c r="AW236" s="39"/>
      <c r="AX236" s="18"/>
    </row>
    <row r="237" spans="1:50" ht="26.25" customHeight="1" x14ac:dyDescent="0.2">
      <c r="A237" s="14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28" t="s">
        <v>288</v>
      </c>
      <c r="AB237" s="29" t="s">
        <v>312</v>
      </c>
      <c r="AC237" s="17"/>
      <c r="AD237" s="18"/>
      <c r="AE237" s="34"/>
      <c r="AF237" s="34"/>
      <c r="AG237" s="34"/>
      <c r="AH237" s="34"/>
      <c r="AI237" s="34"/>
      <c r="AJ237" s="18"/>
      <c r="AK237" s="34"/>
      <c r="AL237" s="18"/>
      <c r="AM237" s="18"/>
      <c r="AN237" s="18"/>
      <c r="AO237" s="18"/>
      <c r="AP237" s="18"/>
      <c r="AQ237" s="34"/>
      <c r="AR237" s="34"/>
      <c r="AS237" s="34"/>
      <c r="AT237" s="31"/>
      <c r="AU237" s="18"/>
      <c r="AV237" s="18"/>
      <c r="AW237" s="18"/>
      <c r="AX237" s="18"/>
    </row>
    <row r="238" spans="1:50" ht="18.75" customHeight="1" x14ac:dyDescent="0.2">
      <c r="A238" s="14" t="s">
        <v>55</v>
      </c>
      <c r="B238" s="15" t="s">
        <v>56</v>
      </c>
      <c r="C238" s="15"/>
      <c r="D238" s="15"/>
      <c r="E238" s="15"/>
      <c r="F238" s="15"/>
      <c r="G238" s="15" t="s">
        <v>41</v>
      </c>
      <c r="H238" s="15"/>
      <c r="I238" s="15" t="s">
        <v>936</v>
      </c>
      <c r="J238" s="15"/>
      <c r="K238" s="15" t="s">
        <v>932</v>
      </c>
      <c r="L238" s="15"/>
      <c r="M238" s="15" t="s">
        <v>933</v>
      </c>
      <c r="N238" s="15"/>
      <c r="O238" s="15" t="s">
        <v>948</v>
      </c>
      <c r="P238" s="15"/>
      <c r="Q238" s="15" t="s">
        <v>942</v>
      </c>
      <c r="R238" s="15"/>
      <c r="S238" s="15" t="s">
        <v>940</v>
      </c>
      <c r="T238" s="15">
        <v>0</v>
      </c>
      <c r="U238" s="15">
        <v>0</v>
      </c>
      <c r="V238" s="15">
        <v>0</v>
      </c>
      <c r="W238" s="15"/>
      <c r="X238" s="15" t="s">
        <v>937</v>
      </c>
      <c r="Y238" s="15"/>
      <c r="Z238" s="15"/>
      <c r="AA238" s="16" t="s">
        <v>313</v>
      </c>
      <c r="AB238" s="17" t="s">
        <v>233</v>
      </c>
      <c r="AC238" s="17" t="s">
        <v>58</v>
      </c>
      <c r="AD238" s="18">
        <v>400000000</v>
      </c>
      <c r="AE238" s="34">
        <v>0</v>
      </c>
      <c r="AF238" s="34">
        <v>0</v>
      </c>
      <c r="AG238" s="34">
        <v>0</v>
      </c>
      <c r="AH238" s="18">
        <v>400000000</v>
      </c>
      <c r="AI238" s="18">
        <f>AE238-AF238+AG238-AH238</f>
        <v>-400000000</v>
      </c>
      <c r="AJ238" s="34">
        <f>AD238+AI238</f>
        <v>0</v>
      </c>
      <c r="AK238" s="34">
        <v>0</v>
      </c>
      <c r="AL238" s="34">
        <v>0</v>
      </c>
      <c r="AM238" s="34">
        <v>0</v>
      </c>
      <c r="AN238" s="34">
        <v>0</v>
      </c>
      <c r="AO238" s="34">
        <v>0</v>
      </c>
      <c r="AP238" s="34">
        <v>0</v>
      </c>
      <c r="AQ238" s="34">
        <v>0</v>
      </c>
      <c r="AR238" s="34">
        <v>0</v>
      </c>
      <c r="AS238" s="34">
        <v>0</v>
      </c>
      <c r="AT238" s="40">
        <f t="shared" ref="AT238" si="139">AQ238+AS238</f>
        <v>0</v>
      </c>
      <c r="AU238" s="18">
        <f>AJ238-AM238</f>
        <v>0</v>
      </c>
      <c r="AV238" s="34">
        <f>AM238-AP238</f>
        <v>0</v>
      </c>
      <c r="AW238" s="34">
        <f>AP238-AT238</f>
        <v>0</v>
      </c>
      <c r="AX238" s="123">
        <v>0</v>
      </c>
    </row>
    <row r="239" spans="1:50" ht="18.75" customHeight="1" x14ac:dyDescent="0.2">
      <c r="A239" s="14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6"/>
      <c r="AB239" s="17"/>
      <c r="AC239" s="17"/>
      <c r="AD239" s="18"/>
      <c r="AE239" s="34"/>
      <c r="AF239" s="34"/>
      <c r="AG239" s="34"/>
      <c r="AH239" s="18"/>
      <c r="AI239" s="18"/>
      <c r="AJ239" s="18"/>
      <c r="AK239" s="34"/>
      <c r="AL239" s="34"/>
      <c r="AM239" s="34"/>
      <c r="AN239" s="34"/>
      <c r="AO239" s="34"/>
      <c r="AP239" s="34"/>
      <c r="AQ239" s="34"/>
      <c r="AR239" s="34"/>
      <c r="AS239" s="34"/>
      <c r="AT239" s="40"/>
      <c r="AU239" s="18"/>
      <c r="AV239" s="34"/>
      <c r="AW239" s="34"/>
      <c r="AX239" s="123"/>
    </row>
    <row r="240" spans="1:50" ht="27" customHeight="1" x14ac:dyDescent="0.2">
      <c r="A240" s="14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73" t="s">
        <v>288</v>
      </c>
      <c r="AB240" s="74" t="s">
        <v>312</v>
      </c>
      <c r="AC240" s="17"/>
      <c r="AD240" s="18"/>
      <c r="AE240" s="34"/>
      <c r="AF240" s="34"/>
      <c r="AG240" s="34"/>
      <c r="AH240" s="18"/>
      <c r="AI240" s="18"/>
      <c r="AJ240" s="18"/>
      <c r="AK240" s="34"/>
      <c r="AL240" s="34"/>
      <c r="AM240" s="34"/>
      <c r="AN240" s="34"/>
      <c r="AO240" s="34"/>
      <c r="AP240" s="34"/>
      <c r="AQ240" s="34"/>
      <c r="AR240" s="34"/>
      <c r="AS240" s="34"/>
      <c r="AT240" s="40"/>
      <c r="AU240" s="18"/>
      <c r="AV240" s="34"/>
      <c r="AW240" s="34"/>
      <c r="AX240" s="123"/>
    </row>
    <row r="241" spans="1:50" ht="18.75" customHeight="1" x14ac:dyDescent="0.2">
      <c r="A241" s="14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41" t="s">
        <v>1240</v>
      </c>
      <c r="AB241" s="42" t="s">
        <v>233</v>
      </c>
      <c r="AC241" s="17"/>
      <c r="AD241" s="34">
        <v>0</v>
      </c>
      <c r="AE241" s="34">
        <v>0</v>
      </c>
      <c r="AF241" s="34">
        <v>0</v>
      </c>
      <c r="AG241" s="18">
        <v>400000000</v>
      </c>
      <c r="AH241" s="44">
        <v>0</v>
      </c>
      <c r="AI241" s="18">
        <f>AE241-AF241+AG241-AH241</f>
        <v>400000000</v>
      </c>
      <c r="AJ241" s="18">
        <f>AD241+AI241</f>
        <v>400000000</v>
      </c>
      <c r="AK241" s="34">
        <v>0</v>
      </c>
      <c r="AL241" s="34">
        <f>AM241-AGOSTO!AM239</f>
        <v>0</v>
      </c>
      <c r="AM241" s="18">
        <v>339281000</v>
      </c>
      <c r="AN241" s="34">
        <v>0</v>
      </c>
      <c r="AO241" s="34">
        <v>0</v>
      </c>
      <c r="AP241" s="18">
        <v>339281000</v>
      </c>
      <c r="AQ241" s="34">
        <v>0</v>
      </c>
      <c r="AR241" s="18">
        <v>28494985</v>
      </c>
      <c r="AS241" s="18">
        <v>28494985</v>
      </c>
      <c r="AT241" s="39">
        <f t="shared" ref="AT241" si="140">AQ241+AS241</f>
        <v>28494985</v>
      </c>
      <c r="AU241" s="18">
        <f>AJ241-AM241</f>
        <v>60719000</v>
      </c>
      <c r="AV241" s="34">
        <f>AM241-AP241</f>
        <v>0</v>
      </c>
      <c r="AW241" s="18">
        <f>AP241-AT241</f>
        <v>310786015</v>
      </c>
      <c r="AX241" s="123">
        <v>0</v>
      </c>
    </row>
    <row r="242" spans="1:50" ht="18.75" customHeight="1" x14ac:dyDescent="0.2">
      <c r="A242" s="14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70" t="s">
        <v>1016</v>
      </c>
      <c r="AB242" s="165" t="s">
        <v>997</v>
      </c>
      <c r="AC242" s="161"/>
      <c r="AD242" s="18"/>
      <c r="AE242" s="34"/>
      <c r="AF242" s="34"/>
      <c r="AG242" s="34"/>
      <c r="AH242" s="34"/>
      <c r="AI242" s="34"/>
      <c r="AJ242" s="18"/>
      <c r="AK242" s="34"/>
      <c r="AL242" s="34"/>
      <c r="AM242" s="34"/>
      <c r="AN242" s="34"/>
      <c r="AO242" s="34"/>
      <c r="AP242" s="34"/>
      <c r="AQ242" s="34"/>
      <c r="AR242" s="34"/>
      <c r="AS242" s="34"/>
      <c r="AT242" s="40"/>
      <c r="AU242" s="18"/>
      <c r="AV242" s="34"/>
      <c r="AW242" s="34"/>
      <c r="AX242" s="123"/>
    </row>
    <row r="243" spans="1:50" ht="18.75" customHeight="1" x14ac:dyDescent="0.2">
      <c r="A243" s="14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70" t="s">
        <v>1017</v>
      </c>
      <c r="AB243" s="165" t="s">
        <v>999</v>
      </c>
      <c r="AC243" s="161"/>
      <c r="AD243" s="18"/>
      <c r="AE243" s="34"/>
      <c r="AF243" s="34"/>
      <c r="AG243" s="34"/>
      <c r="AH243" s="34"/>
      <c r="AI243" s="34"/>
      <c r="AJ243" s="18"/>
      <c r="AK243" s="34"/>
      <c r="AL243" s="34"/>
      <c r="AM243" s="34"/>
      <c r="AN243" s="34"/>
      <c r="AO243" s="34"/>
      <c r="AP243" s="34"/>
      <c r="AQ243" s="34"/>
      <c r="AR243" s="34"/>
      <c r="AS243" s="34"/>
      <c r="AT243" s="40"/>
      <c r="AU243" s="18"/>
      <c r="AV243" s="34"/>
      <c r="AW243" s="34"/>
      <c r="AX243" s="123"/>
    </row>
    <row r="244" spans="1:50" ht="18.75" customHeight="1" x14ac:dyDescent="0.2">
      <c r="A244" s="14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70" t="s">
        <v>1018</v>
      </c>
      <c r="AB244" s="165" t="s">
        <v>1001</v>
      </c>
      <c r="AC244" s="161"/>
      <c r="AD244" s="18"/>
      <c r="AE244" s="34"/>
      <c r="AF244" s="34"/>
      <c r="AG244" s="34"/>
      <c r="AH244" s="34"/>
      <c r="AI244" s="34"/>
      <c r="AJ244" s="18"/>
      <c r="AK244" s="34"/>
      <c r="AL244" s="34"/>
      <c r="AM244" s="34"/>
      <c r="AN244" s="34"/>
      <c r="AO244" s="34"/>
      <c r="AP244" s="34"/>
      <c r="AQ244" s="34"/>
      <c r="AR244" s="34"/>
      <c r="AS244" s="34"/>
      <c r="AT244" s="40"/>
      <c r="AU244" s="18"/>
      <c r="AV244" s="34"/>
      <c r="AW244" s="34"/>
      <c r="AX244" s="123"/>
    </row>
    <row r="245" spans="1:50" ht="18.75" customHeight="1" x14ac:dyDescent="0.2">
      <c r="A245" s="14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66" t="s">
        <v>1019</v>
      </c>
      <c r="AB245" s="167" t="s">
        <v>1005</v>
      </c>
      <c r="AC245" s="161"/>
      <c r="AD245" s="34">
        <v>0</v>
      </c>
      <c r="AE245" s="18">
        <v>390355846.72000003</v>
      </c>
      <c r="AF245" s="34">
        <v>0</v>
      </c>
      <c r="AG245" s="34">
        <v>0</v>
      </c>
      <c r="AH245" s="34">
        <v>0</v>
      </c>
      <c r="AI245" s="18">
        <f>AE245-AF245+AG245-AH245</f>
        <v>390355846.72000003</v>
      </c>
      <c r="AJ245" s="18">
        <f>AD245+AI245</f>
        <v>390355846.72000003</v>
      </c>
      <c r="AK245" s="34">
        <v>0</v>
      </c>
      <c r="AL245" s="34">
        <v>0</v>
      </c>
      <c r="AM245" s="34">
        <v>0</v>
      </c>
      <c r="AN245" s="34">
        <v>0</v>
      </c>
      <c r="AO245" s="34">
        <v>0</v>
      </c>
      <c r="AP245" s="34">
        <v>0</v>
      </c>
      <c r="AQ245" s="34">
        <v>0</v>
      </c>
      <c r="AR245" s="34">
        <v>0</v>
      </c>
      <c r="AS245" s="34">
        <v>0</v>
      </c>
      <c r="AT245" s="40">
        <f t="shared" ref="AT245" si="141">AQ245+AS245</f>
        <v>0</v>
      </c>
      <c r="AU245" s="18">
        <f>AJ245-AM245</f>
        <v>390355846.72000003</v>
      </c>
      <c r="AV245" s="34">
        <f>AM245-AP245</f>
        <v>0</v>
      </c>
      <c r="AW245" s="34">
        <f>AP245-AT245</f>
        <v>0</v>
      </c>
      <c r="AX245" s="123">
        <f>AP245/AJ245</f>
        <v>0</v>
      </c>
    </row>
    <row r="246" spans="1:50" s="25" customFormat="1" ht="18.75" customHeight="1" x14ac:dyDescent="0.2">
      <c r="A246" s="64"/>
      <c r="B246" s="65"/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5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5"/>
      <c r="Z246" s="65"/>
      <c r="AA246" s="66"/>
      <c r="AB246" s="47" t="s">
        <v>314</v>
      </c>
      <c r="AC246" s="22" t="s">
        <v>315</v>
      </c>
      <c r="AD246" s="22">
        <f t="shared" ref="AD246:AW246" si="142">SUM(AD199:AD245)</f>
        <v>4500000000</v>
      </c>
      <c r="AE246" s="22">
        <f t="shared" si="142"/>
        <v>3800355846.7200003</v>
      </c>
      <c r="AF246" s="23">
        <f t="shared" si="142"/>
        <v>0</v>
      </c>
      <c r="AG246" s="22">
        <f t="shared" si="142"/>
        <v>9650000000</v>
      </c>
      <c r="AH246" s="22">
        <f t="shared" si="142"/>
        <v>4100000000</v>
      </c>
      <c r="AI246" s="22">
        <f t="shared" si="142"/>
        <v>9350355846.7199993</v>
      </c>
      <c r="AJ246" s="22">
        <f t="shared" si="142"/>
        <v>13850355846.719999</v>
      </c>
      <c r="AK246" s="23">
        <f t="shared" si="142"/>
        <v>0</v>
      </c>
      <c r="AL246" s="22">
        <f t="shared" si="142"/>
        <v>1299978776.6700001</v>
      </c>
      <c r="AM246" s="22">
        <f t="shared" si="142"/>
        <v>11745540873.950001</v>
      </c>
      <c r="AN246" s="22">
        <f t="shared" si="142"/>
        <v>309904706.79000002</v>
      </c>
      <c r="AO246" s="22">
        <f t="shared" si="142"/>
        <v>103183333.67</v>
      </c>
      <c r="AP246" s="22">
        <f t="shared" si="142"/>
        <v>8383996695.0200005</v>
      </c>
      <c r="AQ246" s="22">
        <f t="shared" si="142"/>
        <v>52016666</v>
      </c>
      <c r="AR246" s="22">
        <f t="shared" si="142"/>
        <v>260359348.99000001</v>
      </c>
      <c r="AS246" s="22">
        <f t="shared" si="142"/>
        <v>1391347181.5999999</v>
      </c>
      <c r="AT246" s="22">
        <f t="shared" si="142"/>
        <v>1443363847.5999999</v>
      </c>
      <c r="AU246" s="22">
        <f t="shared" si="142"/>
        <v>2104814972.77</v>
      </c>
      <c r="AV246" s="22">
        <f t="shared" si="142"/>
        <v>3361544178.9300003</v>
      </c>
      <c r="AW246" s="22">
        <f t="shared" si="142"/>
        <v>6940632847.420001</v>
      </c>
      <c r="AX246" s="24">
        <f>AP246/AJ246</f>
        <v>0.60532716904926842</v>
      </c>
    </row>
    <row r="247" spans="1:50" ht="18.75" customHeight="1" x14ac:dyDescent="0.2">
      <c r="A247" s="14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6"/>
      <c r="AB247" s="17"/>
      <c r="AC247" s="17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</row>
    <row r="248" spans="1:50" s="25" customFormat="1" ht="18.75" customHeight="1" x14ac:dyDescent="0.2">
      <c r="A248" s="64"/>
      <c r="B248" s="65"/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5"/>
      <c r="Z248" s="65"/>
      <c r="AA248" s="66"/>
      <c r="AB248" s="21" t="s">
        <v>316</v>
      </c>
      <c r="AC248" s="67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3"/>
      <c r="AO248" s="63"/>
      <c r="AP248" s="63"/>
      <c r="AQ248" s="63"/>
      <c r="AR248" s="63"/>
      <c r="AS248" s="63"/>
      <c r="AT248" s="63"/>
      <c r="AU248" s="63"/>
      <c r="AV248" s="63"/>
      <c r="AW248" s="63"/>
      <c r="AX248" s="63"/>
    </row>
    <row r="249" spans="1:50" ht="18.75" customHeight="1" x14ac:dyDescent="0.2">
      <c r="A249" s="14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6"/>
      <c r="AB249" s="29" t="s">
        <v>317</v>
      </c>
      <c r="AC249" s="17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30"/>
      <c r="AU249" s="18"/>
      <c r="AV249" s="18"/>
      <c r="AW249" s="18"/>
      <c r="AX249" s="18"/>
    </row>
    <row r="250" spans="1:50" ht="18.75" customHeight="1" x14ac:dyDescent="0.2">
      <c r="A250" s="14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6"/>
      <c r="AB250" s="29" t="s">
        <v>318</v>
      </c>
      <c r="AC250" s="17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30"/>
      <c r="AU250" s="18"/>
      <c r="AV250" s="18"/>
      <c r="AW250" s="18"/>
      <c r="AX250" s="18"/>
    </row>
    <row r="251" spans="1:50" ht="25.5" x14ac:dyDescent="0.2">
      <c r="A251" s="35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7"/>
      <c r="AB251" s="29" t="s">
        <v>319</v>
      </c>
      <c r="AC251" s="38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0"/>
      <c r="AU251" s="39"/>
      <c r="AV251" s="39"/>
      <c r="AW251" s="39"/>
      <c r="AX251" s="18"/>
    </row>
    <row r="252" spans="1:50" ht="18.75" customHeight="1" x14ac:dyDescent="0.2">
      <c r="A252" s="35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7"/>
      <c r="AB252" s="29" t="s">
        <v>320</v>
      </c>
      <c r="AC252" s="38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0"/>
      <c r="AU252" s="39"/>
      <c r="AV252" s="39"/>
      <c r="AW252" s="39"/>
      <c r="AX252" s="18"/>
    </row>
    <row r="253" spans="1:50" ht="18.75" customHeight="1" x14ac:dyDescent="0.2">
      <c r="A253" s="14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6"/>
      <c r="AB253" s="29" t="s">
        <v>46</v>
      </c>
      <c r="AC253" s="17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30"/>
      <c r="AU253" s="18"/>
      <c r="AV253" s="18"/>
      <c r="AW253" s="18"/>
      <c r="AX253" s="18"/>
    </row>
    <row r="254" spans="1:50" ht="18.75" customHeight="1" x14ac:dyDescent="0.2">
      <c r="A254" s="14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6"/>
      <c r="AB254" s="29" t="s">
        <v>48</v>
      </c>
      <c r="AC254" s="17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30"/>
      <c r="AU254" s="18"/>
      <c r="AV254" s="18"/>
      <c r="AW254" s="18"/>
      <c r="AX254" s="18"/>
    </row>
    <row r="255" spans="1:50" ht="18.75" customHeight="1" x14ac:dyDescent="0.2">
      <c r="A255" s="14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6"/>
      <c r="AB255" s="29" t="s">
        <v>52</v>
      </c>
      <c r="AC255" s="17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30"/>
      <c r="AU255" s="18"/>
      <c r="AV255" s="18"/>
      <c r="AW255" s="18"/>
      <c r="AX255" s="18"/>
    </row>
    <row r="256" spans="1:50" ht="18.75" customHeight="1" x14ac:dyDescent="0.2">
      <c r="AA256" s="28" t="s">
        <v>288</v>
      </c>
      <c r="AB256" s="29" t="s">
        <v>54</v>
      </c>
      <c r="AC256" s="17"/>
      <c r="AD256" s="18"/>
      <c r="AE256" s="18"/>
      <c r="AF256" s="18"/>
      <c r="AG256" s="18"/>
      <c r="AH256" s="18"/>
      <c r="AI256" s="18"/>
      <c r="AJ256" s="18"/>
      <c r="AK256" s="18"/>
      <c r="AL256" s="147"/>
      <c r="AM256" s="18"/>
      <c r="AN256" s="18"/>
      <c r="AO256" s="18"/>
      <c r="AP256" s="18"/>
      <c r="AQ256" s="18"/>
      <c r="AR256" s="18"/>
      <c r="AS256" s="18"/>
      <c r="AT256" s="30"/>
      <c r="AU256" s="18"/>
      <c r="AV256" s="18"/>
      <c r="AW256" s="18"/>
      <c r="AX256" s="18"/>
    </row>
    <row r="257" spans="1:50" ht="18.75" customHeight="1" x14ac:dyDescent="0.2">
      <c r="A257" s="4" t="s">
        <v>55</v>
      </c>
      <c r="B257" s="4" t="s">
        <v>56</v>
      </c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1" t="s">
        <v>321</v>
      </c>
      <c r="AB257" s="42" t="s">
        <v>322</v>
      </c>
      <c r="AC257" s="38" t="s">
        <v>58</v>
      </c>
      <c r="AD257" s="39">
        <v>1139356981</v>
      </c>
      <c r="AE257" s="40">
        <v>0</v>
      </c>
      <c r="AF257" s="40">
        <v>0</v>
      </c>
      <c r="AG257" s="40">
        <v>0</v>
      </c>
      <c r="AH257" s="40">
        <v>0</v>
      </c>
      <c r="AI257" s="34">
        <f>AE257-AF257+AG257-AH353</f>
        <v>0</v>
      </c>
      <c r="AJ257" s="18">
        <f>AD257+AI257</f>
        <v>1139356981</v>
      </c>
      <c r="AK257" s="40">
        <v>0</v>
      </c>
      <c r="AL257" s="267">
        <f>AM257-AGOSTO!AM255</f>
        <v>2725578</v>
      </c>
      <c r="AM257" s="39">
        <v>34975535</v>
      </c>
      <c r="AN257" s="40">
        <v>0</v>
      </c>
      <c r="AO257" s="39">
        <v>908526</v>
      </c>
      <c r="AP257" s="39">
        <v>27253064</v>
      </c>
      <c r="AQ257" s="40">
        <v>0</v>
      </c>
      <c r="AR257" s="39">
        <v>908526</v>
      </c>
      <c r="AS257" s="39">
        <v>27253064</v>
      </c>
      <c r="AT257" s="39">
        <f t="shared" ref="AT257:AT258" si="143">AQ257+AS257</f>
        <v>27253064</v>
      </c>
      <c r="AU257" s="18">
        <f>AJ257-AM257</f>
        <v>1104381446</v>
      </c>
      <c r="AV257" s="110">
        <f>AM257-AP257</f>
        <v>7722471</v>
      </c>
      <c r="AW257" s="34">
        <f>AP257-AT257</f>
        <v>0</v>
      </c>
      <c r="AX257" s="123">
        <f>AP257/AJ257</f>
        <v>2.3919688433453327E-2</v>
      </c>
    </row>
    <row r="258" spans="1:50" ht="18.75" customHeight="1" x14ac:dyDescent="0.2">
      <c r="A258" s="4" t="s">
        <v>55</v>
      </c>
      <c r="B258" s="4" t="s">
        <v>56</v>
      </c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211" t="s">
        <v>323</v>
      </c>
      <c r="AB258" s="212" t="s">
        <v>324</v>
      </c>
      <c r="AC258" s="244" t="s">
        <v>61</v>
      </c>
      <c r="AD258" s="244">
        <v>9000660718</v>
      </c>
      <c r="AE258" s="233">
        <v>0</v>
      </c>
      <c r="AF258" s="44">
        <v>0</v>
      </c>
      <c r="AG258" s="18">
        <v>0</v>
      </c>
      <c r="AH258" s="34">
        <v>0</v>
      </c>
      <c r="AI258" s="18">
        <f t="shared" ref="AI258" si="144">AE258-AF258+AG258-AH258</f>
        <v>0</v>
      </c>
      <c r="AJ258" s="18">
        <f t="shared" ref="AJ258" si="145">AD258+AI258</f>
        <v>9000660718</v>
      </c>
      <c r="AK258" s="44">
        <v>0</v>
      </c>
      <c r="AL258" s="267">
        <f>AM258-AGOSTO!AM256</f>
        <v>729154096</v>
      </c>
      <c r="AM258" s="43">
        <v>6179117504</v>
      </c>
      <c r="AN258" s="44">
        <v>0</v>
      </c>
      <c r="AO258" s="43">
        <v>729154096</v>
      </c>
      <c r="AP258" s="43">
        <v>6178099150</v>
      </c>
      <c r="AQ258" s="44">
        <v>0</v>
      </c>
      <c r="AR258" s="44">
        <v>0</v>
      </c>
      <c r="AS258" s="43">
        <v>5448945054</v>
      </c>
      <c r="AT258" s="39">
        <f t="shared" si="143"/>
        <v>5448945054</v>
      </c>
      <c r="AU258" s="18">
        <f>AJ258-AM258</f>
        <v>2821543214</v>
      </c>
      <c r="AV258" s="110">
        <f>AM258-AP258</f>
        <v>1018354</v>
      </c>
      <c r="AW258" s="34">
        <f>AP258-AT258</f>
        <v>729154096</v>
      </c>
      <c r="AX258" s="123">
        <f>AP258/AJ258</f>
        <v>0.68640506997944151</v>
      </c>
    </row>
    <row r="259" spans="1:50" x14ac:dyDescent="0.2">
      <c r="AA259" s="16"/>
      <c r="AB259" s="17"/>
      <c r="AC259" s="17"/>
      <c r="AD259" s="18"/>
      <c r="AE259" s="18"/>
      <c r="AF259" s="18"/>
      <c r="AG259" s="18"/>
      <c r="AH259" s="18"/>
      <c r="AI259" s="34"/>
      <c r="AL259" s="150"/>
      <c r="AR259" s="137"/>
      <c r="AW259" s="137"/>
    </row>
    <row r="260" spans="1:50" ht="18.75" customHeight="1" x14ac:dyDescent="0.2">
      <c r="AA260" s="28" t="s">
        <v>288</v>
      </c>
      <c r="AB260" s="29" t="s">
        <v>71</v>
      </c>
      <c r="AC260" s="17"/>
      <c r="AD260" s="18"/>
      <c r="AE260" s="34"/>
      <c r="AF260" s="34"/>
      <c r="AG260" s="34"/>
      <c r="AH260" s="34"/>
      <c r="AI260" s="34"/>
      <c r="AJ260" s="18"/>
      <c r="AK260" s="34"/>
      <c r="AL260" s="147"/>
      <c r="AM260" s="18"/>
      <c r="AN260" s="34"/>
      <c r="AO260" s="18"/>
      <c r="AP260" s="18"/>
      <c r="AQ260" s="34"/>
      <c r="AR260" s="34"/>
      <c r="AS260" s="18"/>
      <c r="AT260" s="30"/>
      <c r="AU260" s="18"/>
      <c r="AV260" s="18"/>
      <c r="AW260" s="34"/>
      <c r="AX260" s="18"/>
    </row>
    <row r="261" spans="1:50" ht="18.75" customHeight="1" x14ac:dyDescent="0.2">
      <c r="A261" s="4" t="s">
        <v>325</v>
      </c>
      <c r="B261" s="4" t="s">
        <v>326</v>
      </c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1" t="s">
        <v>327</v>
      </c>
      <c r="AB261" s="42" t="s">
        <v>328</v>
      </c>
      <c r="AC261" s="43" t="s">
        <v>61</v>
      </c>
      <c r="AD261" s="43">
        <v>391454539</v>
      </c>
      <c r="AE261" s="44">
        <v>0</v>
      </c>
      <c r="AF261" s="44">
        <v>0</v>
      </c>
      <c r="AG261" s="44">
        <v>0</v>
      </c>
      <c r="AH261" s="44">
        <v>0</v>
      </c>
      <c r="AI261" s="34">
        <f>AE261-AF261+AG261-AH357</f>
        <v>0</v>
      </c>
      <c r="AJ261" s="18">
        <f>AD261+AI261</f>
        <v>391454539</v>
      </c>
      <c r="AK261" s="44">
        <v>0</v>
      </c>
      <c r="AL261" s="142">
        <f>AM261-AGOSTO!AM259</f>
        <v>1269768</v>
      </c>
      <c r="AM261" s="43">
        <v>337585090</v>
      </c>
      <c r="AN261" s="44">
        <v>0</v>
      </c>
      <c r="AO261" s="142">
        <v>1269768</v>
      </c>
      <c r="AP261" s="43">
        <v>337585090</v>
      </c>
      <c r="AQ261" s="44">
        <v>0</v>
      </c>
      <c r="AR261" s="44">
        <v>0</v>
      </c>
      <c r="AS261" s="43">
        <v>14957380</v>
      </c>
      <c r="AT261" s="39">
        <f t="shared" ref="AT261" si="146">AQ261+AS261</f>
        <v>14957380</v>
      </c>
      <c r="AU261" s="18">
        <f>AJ261-AM261</f>
        <v>53869449</v>
      </c>
      <c r="AV261" s="34">
        <f>AM261-AP261</f>
        <v>0</v>
      </c>
      <c r="AW261" s="18">
        <f>AP261-AT261</f>
        <v>322627710</v>
      </c>
      <c r="AX261" s="123">
        <f>AP261/AJ261</f>
        <v>0.86238644942625131</v>
      </c>
    </row>
    <row r="262" spans="1:50" ht="18.75" customHeight="1" x14ac:dyDescent="0.2">
      <c r="AA262" s="28" t="s">
        <v>288</v>
      </c>
      <c r="AB262" s="29" t="s">
        <v>76</v>
      </c>
      <c r="AC262" s="17"/>
      <c r="AD262" s="18"/>
      <c r="AE262" s="18"/>
      <c r="AF262" s="18"/>
      <c r="AG262" s="18"/>
      <c r="AH262" s="18"/>
      <c r="AI262" s="18"/>
      <c r="AJ262" s="18"/>
      <c r="AK262" s="34"/>
      <c r="AL262" s="147"/>
      <c r="AM262" s="18"/>
      <c r="AN262" s="34"/>
      <c r="AO262" s="147"/>
      <c r="AP262" s="18"/>
      <c r="AQ262" s="34"/>
      <c r="AR262" s="34"/>
      <c r="AS262" s="18"/>
      <c r="AT262" s="30"/>
      <c r="AU262" s="18"/>
      <c r="AV262" s="18"/>
      <c r="AW262" s="34"/>
      <c r="AX262" s="18"/>
    </row>
    <row r="263" spans="1:50" ht="18.75" customHeight="1" x14ac:dyDescent="0.2">
      <c r="A263" s="4" t="s">
        <v>325</v>
      </c>
      <c r="B263" s="4" t="s">
        <v>326</v>
      </c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1" t="s">
        <v>329</v>
      </c>
      <c r="AB263" s="42" t="s">
        <v>328</v>
      </c>
      <c r="AC263" s="43" t="s">
        <v>61</v>
      </c>
      <c r="AD263" s="43">
        <v>277293782</v>
      </c>
      <c r="AE263" s="44">
        <v>0</v>
      </c>
      <c r="AF263" s="44">
        <v>0</v>
      </c>
      <c r="AG263" s="44">
        <v>0</v>
      </c>
      <c r="AH263" s="44">
        <v>0</v>
      </c>
      <c r="AI263" s="44">
        <v>0</v>
      </c>
      <c r="AJ263" s="43">
        <v>277293782</v>
      </c>
      <c r="AK263" s="44">
        <v>0</v>
      </c>
      <c r="AL263" s="142">
        <f>AM263-AGOSTO!AM261</f>
        <v>22140191</v>
      </c>
      <c r="AM263" s="43">
        <v>197152220</v>
      </c>
      <c r="AN263" s="44">
        <v>0</v>
      </c>
      <c r="AO263" s="142">
        <v>22140191</v>
      </c>
      <c r="AP263" s="43">
        <v>197152220</v>
      </c>
      <c r="AQ263" s="44">
        <v>0</v>
      </c>
      <c r="AR263" s="44">
        <v>0</v>
      </c>
      <c r="AS263" s="43">
        <v>175012029</v>
      </c>
      <c r="AT263" s="39">
        <f t="shared" ref="AT263" si="147">AQ263+AS263</f>
        <v>175012029</v>
      </c>
      <c r="AU263" s="18">
        <f>AJ263-AM263</f>
        <v>80141562</v>
      </c>
      <c r="AV263" s="34">
        <f>AM263-AP263</f>
        <v>0</v>
      </c>
      <c r="AW263" s="18">
        <f>AP263-AT263</f>
        <v>22140191</v>
      </c>
      <c r="AX263" s="123">
        <f>AP263/AJ263</f>
        <v>0.7109868046013379</v>
      </c>
    </row>
    <row r="264" spans="1:50" ht="18.75" customHeight="1" x14ac:dyDescent="0.2">
      <c r="AA264" s="16"/>
      <c r="AB264" s="29" t="s">
        <v>81</v>
      </c>
      <c r="AC264" s="17"/>
      <c r="AD264" s="18"/>
      <c r="AE264" s="34"/>
      <c r="AF264" s="34"/>
      <c r="AG264" s="34"/>
      <c r="AH264" s="34"/>
      <c r="AI264" s="34"/>
      <c r="AJ264" s="18"/>
      <c r="AK264" s="34"/>
      <c r="AL264" s="147"/>
      <c r="AM264" s="18"/>
      <c r="AN264" s="34"/>
      <c r="AO264" s="147"/>
      <c r="AP264" s="18"/>
      <c r="AQ264" s="34"/>
      <c r="AR264" s="34"/>
      <c r="AS264" s="18"/>
      <c r="AT264" s="30"/>
      <c r="AU264" s="18"/>
      <c r="AV264" s="18"/>
      <c r="AW264" s="18"/>
      <c r="AX264" s="18"/>
    </row>
    <row r="265" spans="1:50" ht="18.75" customHeight="1" x14ac:dyDescent="0.2">
      <c r="AA265" s="28" t="s">
        <v>288</v>
      </c>
      <c r="AB265" s="29" t="s">
        <v>83</v>
      </c>
      <c r="AC265" s="17"/>
      <c r="AD265" s="18"/>
      <c r="AE265" s="34"/>
      <c r="AF265" s="34"/>
      <c r="AG265" s="34"/>
      <c r="AH265" s="34"/>
      <c r="AI265" s="34"/>
      <c r="AJ265" s="18"/>
      <c r="AK265" s="34"/>
      <c r="AL265" s="147"/>
      <c r="AM265" s="18"/>
      <c r="AN265" s="34"/>
      <c r="AO265" s="18"/>
      <c r="AP265" s="18"/>
      <c r="AQ265" s="34"/>
      <c r="AR265" s="34"/>
      <c r="AS265" s="18"/>
      <c r="AT265" s="30"/>
      <c r="AU265" s="18"/>
      <c r="AV265" s="18"/>
      <c r="AW265" s="18"/>
      <c r="AX265" s="18"/>
    </row>
    <row r="266" spans="1:50" ht="18.75" customHeight="1" x14ac:dyDescent="0.2">
      <c r="A266" s="4" t="s">
        <v>325</v>
      </c>
      <c r="B266" s="4" t="s">
        <v>326</v>
      </c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1" t="s">
        <v>330</v>
      </c>
      <c r="AB266" s="42" t="s">
        <v>328</v>
      </c>
      <c r="AC266" s="43" t="s">
        <v>61</v>
      </c>
      <c r="AD266" s="43">
        <v>863231353</v>
      </c>
      <c r="AE266" s="44">
        <v>0</v>
      </c>
      <c r="AF266" s="44">
        <v>0</v>
      </c>
      <c r="AG266" s="44">
        <v>0</v>
      </c>
      <c r="AH266" s="44">
        <v>0</v>
      </c>
      <c r="AI266" s="44">
        <v>0</v>
      </c>
      <c r="AJ266" s="43">
        <v>863231353</v>
      </c>
      <c r="AK266" s="44">
        <v>0</v>
      </c>
      <c r="AL266" s="142">
        <f>AM266-AGOSTO!AM264</f>
        <v>10548375</v>
      </c>
      <c r="AM266" s="43">
        <v>40243571</v>
      </c>
      <c r="AN266" s="44">
        <v>0</v>
      </c>
      <c r="AO266" s="142">
        <v>10548375</v>
      </c>
      <c r="AP266" s="43">
        <v>40243571</v>
      </c>
      <c r="AQ266" s="44">
        <v>0</v>
      </c>
      <c r="AR266" s="44">
        <v>0</v>
      </c>
      <c r="AS266" s="43">
        <v>29695196</v>
      </c>
      <c r="AT266" s="39">
        <f t="shared" ref="AT266" si="148">AQ266+AS266</f>
        <v>29695196</v>
      </c>
      <c r="AU266" s="18">
        <f>AJ266-AM266</f>
        <v>822987782</v>
      </c>
      <c r="AV266" s="34">
        <f>AM266-AP266</f>
        <v>0</v>
      </c>
      <c r="AW266" s="18">
        <f>AP266-AT266</f>
        <v>10548375</v>
      </c>
      <c r="AX266" s="123">
        <f>AP266/AJ266</f>
        <v>4.6619681803888327E-2</v>
      </c>
    </row>
    <row r="267" spans="1:50" ht="18.75" customHeight="1" x14ac:dyDescent="0.2">
      <c r="AA267" s="28" t="s">
        <v>288</v>
      </c>
      <c r="AB267" s="29" t="s">
        <v>88</v>
      </c>
      <c r="AC267" s="17"/>
      <c r="AD267" s="18"/>
      <c r="AE267" s="34"/>
      <c r="AF267" s="34"/>
      <c r="AG267" s="34"/>
      <c r="AH267" s="34"/>
      <c r="AI267" s="34"/>
      <c r="AJ267" s="18"/>
      <c r="AK267" s="18"/>
      <c r="AL267" s="147"/>
      <c r="AM267" s="18"/>
      <c r="AN267" s="18"/>
      <c r="AO267" s="147"/>
      <c r="AP267" s="18"/>
      <c r="AQ267" s="34"/>
      <c r="AR267" s="34"/>
      <c r="AS267" s="18"/>
      <c r="AT267" s="30"/>
      <c r="AU267" s="18"/>
      <c r="AV267" s="18"/>
      <c r="AW267" s="18"/>
      <c r="AX267" s="18"/>
    </row>
    <row r="268" spans="1:50" ht="18.75" customHeight="1" x14ac:dyDescent="0.2">
      <c r="A268" s="4" t="s">
        <v>325</v>
      </c>
      <c r="B268" s="4" t="s">
        <v>326</v>
      </c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1" t="s">
        <v>331</v>
      </c>
      <c r="AB268" s="42" t="s">
        <v>328</v>
      </c>
      <c r="AC268" s="43" t="s">
        <v>61</v>
      </c>
      <c r="AD268" s="43">
        <v>240951939</v>
      </c>
      <c r="AE268" s="44">
        <v>0</v>
      </c>
      <c r="AF268" s="44">
        <v>0</v>
      </c>
      <c r="AG268" s="44">
        <v>0</v>
      </c>
      <c r="AH268" s="44">
        <v>0</v>
      </c>
      <c r="AI268" s="44">
        <v>0</v>
      </c>
      <c r="AJ268" s="43">
        <v>240951939</v>
      </c>
      <c r="AK268" s="44">
        <v>0</v>
      </c>
      <c r="AL268" s="142">
        <f>AM268-AGOSTO!AM266</f>
        <v>11039297</v>
      </c>
      <c r="AM268" s="43">
        <v>70347925</v>
      </c>
      <c r="AN268" s="44">
        <v>0</v>
      </c>
      <c r="AO268" s="142">
        <v>11039297</v>
      </c>
      <c r="AP268" s="43">
        <v>70347925</v>
      </c>
      <c r="AQ268" s="44">
        <v>0</v>
      </c>
      <c r="AR268" s="44">
        <v>0</v>
      </c>
      <c r="AS268" s="43">
        <v>59308628</v>
      </c>
      <c r="AT268" s="39">
        <f t="shared" ref="AT268" si="149">AQ268+AS268</f>
        <v>59308628</v>
      </c>
      <c r="AU268" s="18">
        <f>AJ268-AM268</f>
        <v>170604014</v>
      </c>
      <c r="AV268" s="34">
        <f>AM268-AP268</f>
        <v>0</v>
      </c>
      <c r="AW268" s="18">
        <f>AP268-AT268</f>
        <v>11039297</v>
      </c>
      <c r="AX268" s="123">
        <f>AP268/AJ268</f>
        <v>0.29195832700893931</v>
      </c>
    </row>
    <row r="269" spans="1:50" ht="18.75" customHeight="1" x14ac:dyDescent="0.2">
      <c r="AA269" s="16"/>
      <c r="AB269" s="29" t="s">
        <v>103</v>
      </c>
      <c r="AC269" s="17"/>
      <c r="AD269" s="18"/>
      <c r="AE269" s="34"/>
      <c r="AF269" s="34"/>
      <c r="AG269" s="34"/>
      <c r="AH269" s="34"/>
      <c r="AI269" s="34"/>
      <c r="AJ269" s="18"/>
      <c r="AK269" s="34"/>
      <c r="AL269" s="147"/>
      <c r="AM269" s="18"/>
      <c r="AN269" s="18"/>
      <c r="AO269" s="147"/>
      <c r="AP269" s="18"/>
      <c r="AQ269" s="18"/>
      <c r="AR269" s="18"/>
      <c r="AS269" s="18"/>
      <c r="AT269" s="30"/>
      <c r="AU269" s="18"/>
      <c r="AV269" s="18"/>
      <c r="AW269" s="34"/>
      <c r="AX269" s="18"/>
    </row>
    <row r="270" spans="1:50" ht="18.75" customHeight="1" x14ac:dyDescent="0.2">
      <c r="AA270" s="28" t="s">
        <v>288</v>
      </c>
      <c r="AB270" s="29" t="s">
        <v>105</v>
      </c>
      <c r="AC270" s="17"/>
      <c r="AD270" s="18"/>
      <c r="AE270" s="34"/>
      <c r="AF270" s="34"/>
      <c r="AG270" s="34"/>
      <c r="AH270" s="34"/>
      <c r="AI270" s="34"/>
      <c r="AJ270" s="18"/>
      <c r="AK270" s="34"/>
      <c r="AL270" s="147"/>
      <c r="AM270" s="18"/>
      <c r="AN270" s="18"/>
      <c r="AO270" s="147"/>
      <c r="AP270" s="18"/>
      <c r="AQ270" s="18"/>
      <c r="AR270" s="18"/>
      <c r="AS270" s="18"/>
      <c r="AT270" s="30"/>
      <c r="AU270" s="18"/>
      <c r="AV270" s="18"/>
      <c r="AW270" s="34"/>
      <c r="AX270" s="18"/>
    </row>
    <row r="271" spans="1:50" ht="18.75" customHeight="1" x14ac:dyDescent="0.2">
      <c r="A271" s="4" t="s">
        <v>325</v>
      </c>
      <c r="B271" s="4" t="s">
        <v>326</v>
      </c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1" t="s">
        <v>332</v>
      </c>
      <c r="AB271" s="42" t="s">
        <v>328</v>
      </c>
      <c r="AC271" s="43" t="s">
        <v>61</v>
      </c>
      <c r="AD271" s="43">
        <v>1112875275</v>
      </c>
      <c r="AE271" s="44">
        <v>0</v>
      </c>
      <c r="AF271" s="44">
        <v>0</v>
      </c>
      <c r="AG271" s="44">
        <v>0</v>
      </c>
      <c r="AH271" s="44">
        <v>0</v>
      </c>
      <c r="AI271" s="44">
        <v>0</v>
      </c>
      <c r="AJ271" s="43">
        <v>1112875275</v>
      </c>
      <c r="AK271" s="44">
        <v>0</v>
      </c>
      <c r="AL271" s="142">
        <f>AM271-AGOSTO!AM269</f>
        <v>89737600</v>
      </c>
      <c r="AM271" s="43">
        <v>779478000</v>
      </c>
      <c r="AN271" s="44">
        <v>0</v>
      </c>
      <c r="AO271" s="142">
        <v>90135800</v>
      </c>
      <c r="AP271" s="43">
        <v>778606000</v>
      </c>
      <c r="AQ271" s="133">
        <v>0</v>
      </c>
      <c r="AR271" s="148">
        <v>90135800</v>
      </c>
      <c r="AS271" s="110">
        <v>778606000</v>
      </c>
      <c r="AT271" s="39">
        <f t="shared" ref="AT271" si="150">AQ271+AS271</f>
        <v>778606000</v>
      </c>
      <c r="AU271" s="18">
        <f>AJ271-AM271</f>
        <v>333397275</v>
      </c>
      <c r="AV271" s="110">
        <f>AM271-AP271</f>
        <v>872000</v>
      </c>
      <c r="AW271" s="34">
        <f>AP271-AT271</f>
        <v>0</v>
      </c>
      <c r="AX271" s="123">
        <f>AP271/AJ271</f>
        <v>0.69963455698123944</v>
      </c>
    </row>
    <row r="272" spans="1:50" ht="18.75" customHeight="1" x14ac:dyDescent="0.2">
      <c r="AA272" s="28" t="s">
        <v>288</v>
      </c>
      <c r="AB272" s="29" t="s">
        <v>333</v>
      </c>
      <c r="AC272" s="17"/>
      <c r="AD272" s="18"/>
      <c r="AE272" s="34"/>
      <c r="AF272" s="34"/>
      <c r="AG272" s="34"/>
      <c r="AH272" s="34"/>
      <c r="AI272" s="34"/>
      <c r="AJ272" s="18"/>
      <c r="AK272" s="34"/>
      <c r="AL272" s="147"/>
      <c r="AM272" s="18"/>
      <c r="AN272" s="34"/>
      <c r="AO272" s="147"/>
      <c r="AP272" s="18"/>
      <c r="AQ272" s="133"/>
      <c r="AR272" s="148"/>
      <c r="AS272" s="110"/>
      <c r="AT272" s="40"/>
      <c r="AU272" s="18"/>
      <c r="AV272" s="110"/>
      <c r="AW272" s="34"/>
      <c r="AX272" s="18"/>
    </row>
    <row r="273" spans="1:50" ht="18.75" customHeight="1" x14ac:dyDescent="0.2">
      <c r="A273" s="4" t="s">
        <v>325</v>
      </c>
      <c r="B273" s="4" t="s">
        <v>326</v>
      </c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1" t="s">
        <v>334</v>
      </c>
      <c r="AB273" s="42" t="s">
        <v>328</v>
      </c>
      <c r="AC273" s="43" t="s">
        <v>61</v>
      </c>
      <c r="AD273" s="43">
        <v>785176343</v>
      </c>
      <c r="AE273" s="44">
        <v>0</v>
      </c>
      <c r="AF273" s="44">
        <v>0</v>
      </c>
      <c r="AG273" s="44">
        <v>0</v>
      </c>
      <c r="AH273" s="44">
        <v>0</v>
      </c>
      <c r="AI273" s="44">
        <v>0</v>
      </c>
      <c r="AJ273" s="43">
        <v>785176343</v>
      </c>
      <c r="AK273" s="44">
        <v>0</v>
      </c>
      <c r="AL273" s="142">
        <f>AM273-AGOSTO!AM271</f>
        <v>63791200</v>
      </c>
      <c r="AM273" s="43">
        <v>554317200</v>
      </c>
      <c r="AN273" s="44">
        <v>0</v>
      </c>
      <c r="AO273" s="142">
        <v>64102300</v>
      </c>
      <c r="AP273" s="43">
        <v>553635900</v>
      </c>
      <c r="AQ273" s="133">
        <v>0</v>
      </c>
      <c r="AR273" s="148">
        <v>64102300</v>
      </c>
      <c r="AS273" s="110">
        <v>553635900</v>
      </c>
      <c r="AT273" s="39">
        <f t="shared" ref="AT273" si="151">AQ273+AS273</f>
        <v>553635900</v>
      </c>
      <c r="AU273" s="18">
        <f>AJ273-AM273</f>
        <v>230859143</v>
      </c>
      <c r="AV273" s="110">
        <f>AM273-AP273</f>
        <v>681300</v>
      </c>
      <c r="AW273" s="34">
        <f>AP273-AT273</f>
        <v>0</v>
      </c>
      <c r="AX273" s="123">
        <f>AP273/AJ273</f>
        <v>0.7051102659113101</v>
      </c>
    </row>
    <row r="274" spans="1:50" ht="18.75" customHeight="1" x14ac:dyDescent="0.2">
      <c r="AA274" s="28" t="s">
        <v>288</v>
      </c>
      <c r="AB274" s="29" t="s">
        <v>115</v>
      </c>
      <c r="AC274" s="17"/>
      <c r="AD274" s="18"/>
      <c r="AE274" s="34"/>
      <c r="AF274" s="34"/>
      <c r="AG274" s="34"/>
      <c r="AH274" s="34"/>
      <c r="AI274" s="34"/>
      <c r="AJ274" s="18"/>
      <c r="AK274" s="34"/>
      <c r="AL274" s="147"/>
      <c r="AM274" s="18"/>
      <c r="AN274" s="34"/>
      <c r="AO274" s="147"/>
      <c r="AP274" s="18"/>
      <c r="AQ274" s="133"/>
      <c r="AR274" s="148"/>
      <c r="AS274" s="110"/>
      <c r="AT274" s="30"/>
      <c r="AU274" s="18"/>
      <c r="AV274" s="18"/>
      <c r="AW274" s="18"/>
      <c r="AX274" s="18"/>
    </row>
    <row r="275" spans="1:50" ht="18.75" customHeight="1" x14ac:dyDescent="0.2">
      <c r="A275" s="4" t="s">
        <v>325</v>
      </c>
      <c r="B275" s="4" t="s">
        <v>326</v>
      </c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1" t="s">
        <v>335</v>
      </c>
      <c r="AB275" s="42" t="s">
        <v>328</v>
      </c>
      <c r="AC275" s="43" t="s">
        <v>61</v>
      </c>
      <c r="AD275" s="43">
        <v>1074031411</v>
      </c>
      <c r="AE275" s="44">
        <v>0</v>
      </c>
      <c r="AF275" s="44">
        <v>0</v>
      </c>
      <c r="AG275" s="44">
        <v>0</v>
      </c>
      <c r="AH275" s="44">
        <v>0</v>
      </c>
      <c r="AI275" s="44">
        <v>0</v>
      </c>
      <c r="AJ275" s="43">
        <v>1074031411</v>
      </c>
      <c r="AK275" s="44">
        <v>0</v>
      </c>
      <c r="AL275" s="142">
        <f>AM275-AGOSTO!AM273</f>
        <v>140841763</v>
      </c>
      <c r="AM275" s="43">
        <v>920893561.16999996</v>
      </c>
      <c r="AN275" s="44">
        <v>0</v>
      </c>
      <c r="AO275" s="142">
        <v>56412111</v>
      </c>
      <c r="AP275" s="43">
        <v>829239189.22000003</v>
      </c>
      <c r="AQ275" s="115">
        <v>0</v>
      </c>
      <c r="AR275" s="144">
        <v>51066254.020000003</v>
      </c>
      <c r="AS275" s="114">
        <v>817085292.22000003</v>
      </c>
      <c r="AT275" s="39">
        <f t="shared" ref="AT275" si="152">AQ275+AS275</f>
        <v>817085292.22000003</v>
      </c>
      <c r="AU275" s="18">
        <f>AJ275-AM275</f>
        <v>153137849.83000004</v>
      </c>
      <c r="AV275" s="34">
        <f>AM275-AP275</f>
        <v>91654371.949999928</v>
      </c>
      <c r="AW275" s="18">
        <f>AP275-AT275</f>
        <v>12153897</v>
      </c>
      <c r="AX275" s="123">
        <f>AP275/AJ275</f>
        <v>0.77208094728618704</v>
      </c>
    </row>
    <row r="276" spans="1:50" ht="18.75" customHeight="1" x14ac:dyDescent="0.2">
      <c r="AA276" s="28" t="s">
        <v>288</v>
      </c>
      <c r="AB276" s="29" t="s">
        <v>119</v>
      </c>
      <c r="AC276" s="17"/>
      <c r="AD276" s="18"/>
      <c r="AE276" s="34"/>
      <c r="AF276" s="34"/>
      <c r="AG276" s="34"/>
      <c r="AH276" s="34"/>
      <c r="AI276" s="34"/>
      <c r="AJ276" s="18"/>
      <c r="AK276" s="18"/>
      <c r="AL276" s="147"/>
      <c r="AM276" s="18"/>
      <c r="AN276" s="34"/>
      <c r="AO276" s="147"/>
      <c r="AP276" s="18"/>
      <c r="AQ276" s="110"/>
      <c r="AR276" s="148"/>
      <c r="AS276" s="110"/>
      <c r="AT276" s="30"/>
      <c r="AU276" s="18"/>
      <c r="AV276" s="18"/>
      <c r="AW276" s="18"/>
      <c r="AX276" s="18"/>
    </row>
    <row r="277" spans="1:50" ht="18.75" customHeight="1" x14ac:dyDescent="0.2">
      <c r="A277" s="4" t="s">
        <v>325</v>
      </c>
      <c r="B277" s="4" t="s">
        <v>326</v>
      </c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1" t="s">
        <v>336</v>
      </c>
      <c r="AB277" s="42" t="s">
        <v>328</v>
      </c>
      <c r="AC277" s="43" t="s">
        <v>61</v>
      </c>
      <c r="AD277" s="43">
        <v>438243332</v>
      </c>
      <c r="AE277" s="44">
        <v>0</v>
      </c>
      <c r="AF277" s="44">
        <v>0</v>
      </c>
      <c r="AG277" s="44">
        <v>0</v>
      </c>
      <c r="AH277" s="44">
        <v>0</v>
      </c>
      <c r="AI277" s="44">
        <v>0</v>
      </c>
      <c r="AJ277" s="43">
        <v>438243332</v>
      </c>
      <c r="AK277" s="44">
        <v>0</v>
      </c>
      <c r="AL277" s="142">
        <f>AM277-AGOSTO!AM275</f>
        <v>30463100</v>
      </c>
      <c r="AM277" s="43">
        <v>276578800</v>
      </c>
      <c r="AN277" s="44">
        <v>0</v>
      </c>
      <c r="AO277" s="142">
        <v>30463100</v>
      </c>
      <c r="AP277" s="43">
        <v>276578800</v>
      </c>
      <c r="AQ277" s="133">
        <v>0</v>
      </c>
      <c r="AR277" s="148">
        <v>30463100</v>
      </c>
      <c r="AS277" s="110">
        <v>276578800</v>
      </c>
      <c r="AT277" s="39">
        <f t="shared" ref="AT277:AT291" si="153">AQ277+AS277</f>
        <v>276578800</v>
      </c>
      <c r="AU277" s="18">
        <f>AJ277-AM277</f>
        <v>161664532</v>
      </c>
      <c r="AV277" s="34">
        <f>AM277-AP277</f>
        <v>0</v>
      </c>
      <c r="AW277" s="34">
        <f>AP277-AT277</f>
        <v>0</v>
      </c>
      <c r="AX277" s="123">
        <f>AP277/AJ277</f>
        <v>0.63110783394646153</v>
      </c>
    </row>
    <row r="278" spans="1:50" ht="18.75" customHeight="1" x14ac:dyDescent="0.2">
      <c r="AA278" s="28" t="s">
        <v>288</v>
      </c>
      <c r="AB278" s="29" t="s">
        <v>124</v>
      </c>
      <c r="AC278" s="17"/>
      <c r="AD278" s="18"/>
      <c r="AE278" s="34"/>
      <c r="AF278" s="34"/>
      <c r="AG278" s="34"/>
      <c r="AH278" s="34"/>
      <c r="AI278" s="34"/>
      <c r="AJ278" s="18"/>
      <c r="AK278" s="34"/>
      <c r="AL278" s="147"/>
      <c r="AM278" s="18"/>
      <c r="AN278" s="34"/>
      <c r="AO278" s="147"/>
      <c r="AP278" s="18"/>
      <c r="AQ278" s="34"/>
      <c r="AR278" s="145"/>
      <c r="AS278" s="34"/>
      <c r="AT278" s="40">
        <f t="shared" si="153"/>
        <v>0</v>
      </c>
      <c r="AU278" s="18"/>
      <c r="AV278" s="18"/>
      <c r="AW278" s="34"/>
      <c r="AX278" s="18"/>
    </row>
    <row r="279" spans="1:50" ht="18.75" customHeight="1" x14ac:dyDescent="0.2">
      <c r="A279" s="4" t="s">
        <v>325</v>
      </c>
      <c r="B279" s="4" t="s">
        <v>326</v>
      </c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1" t="s">
        <v>337</v>
      </c>
      <c r="AB279" s="42" t="s">
        <v>328</v>
      </c>
      <c r="AC279" s="43" t="s">
        <v>61</v>
      </c>
      <c r="AD279" s="43">
        <v>46632075</v>
      </c>
      <c r="AE279" s="44">
        <v>0</v>
      </c>
      <c r="AF279" s="44">
        <v>0</v>
      </c>
      <c r="AG279" s="44">
        <v>0</v>
      </c>
      <c r="AH279" s="44">
        <v>0</v>
      </c>
      <c r="AI279" s="44">
        <v>0</v>
      </c>
      <c r="AJ279" s="43">
        <v>46632075</v>
      </c>
      <c r="AK279" s="44">
        <v>0</v>
      </c>
      <c r="AL279" s="142">
        <f>AM279-AGOSTO!AM277</f>
        <v>3905900</v>
      </c>
      <c r="AM279" s="43">
        <v>33175300</v>
      </c>
      <c r="AN279" s="44">
        <v>0</v>
      </c>
      <c r="AO279" s="142">
        <v>3905900</v>
      </c>
      <c r="AP279" s="43">
        <v>33175300</v>
      </c>
      <c r="AQ279" s="133">
        <v>0</v>
      </c>
      <c r="AR279" s="148">
        <v>3905900</v>
      </c>
      <c r="AS279" s="110">
        <v>33175300</v>
      </c>
      <c r="AT279" s="39">
        <f t="shared" si="153"/>
        <v>33175300</v>
      </c>
      <c r="AU279" s="18">
        <f>AJ279-AM279</f>
        <v>13456775</v>
      </c>
      <c r="AV279" s="34">
        <f>AM279-AP279</f>
        <v>0</v>
      </c>
      <c r="AW279" s="34">
        <f>AP279-AT279</f>
        <v>0</v>
      </c>
      <c r="AX279" s="123">
        <f>AP279/AJ279</f>
        <v>0.71142663070429524</v>
      </c>
    </row>
    <row r="280" spans="1:50" ht="18.75" customHeight="1" x14ac:dyDescent="0.2">
      <c r="AA280" s="28" t="s">
        <v>288</v>
      </c>
      <c r="AB280" s="29" t="s">
        <v>129</v>
      </c>
      <c r="AC280" s="17"/>
      <c r="AD280" s="18"/>
      <c r="AE280" s="34"/>
      <c r="AF280" s="34"/>
      <c r="AG280" s="34"/>
      <c r="AH280" s="34"/>
      <c r="AI280" s="34"/>
      <c r="AJ280" s="18"/>
      <c r="AK280" s="34"/>
      <c r="AL280" s="147"/>
      <c r="AM280" s="18"/>
      <c r="AN280" s="34"/>
      <c r="AO280" s="147"/>
      <c r="AP280" s="18"/>
      <c r="AQ280" s="133"/>
      <c r="AR280" s="148"/>
      <c r="AS280" s="110"/>
      <c r="AT280" s="40">
        <f t="shared" si="153"/>
        <v>0</v>
      </c>
      <c r="AU280" s="18"/>
      <c r="AV280" s="18"/>
      <c r="AW280" s="34"/>
      <c r="AX280" s="18"/>
    </row>
    <row r="281" spans="1:50" ht="18.75" customHeight="1" x14ac:dyDescent="0.2">
      <c r="A281" s="4" t="s">
        <v>325</v>
      </c>
      <c r="B281" s="4" t="s">
        <v>326</v>
      </c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1" t="s">
        <v>338</v>
      </c>
      <c r="AB281" s="42" t="s">
        <v>328</v>
      </c>
      <c r="AC281" s="43" t="s">
        <v>61</v>
      </c>
      <c r="AD281" s="43">
        <v>328682499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3">
        <v>328682499</v>
      </c>
      <c r="AK281" s="44">
        <v>0</v>
      </c>
      <c r="AL281" s="142">
        <f>AM281-AGOSTO!AM279</f>
        <v>22853200</v>
      </c>
      <c r="AM281" s="43">
        <v>207463600</v>
      </c>
      <c r="AN281" s="44">
        <v>0</v>
      </c>
      <c r="AO281" s="142">
        <v>22853200</v>
      </c>
      <c r="AP281" s="43">
        <v>207463600</v>
      </c>
      <c r="AQ281" s="133">
        <v>0</v>
      </c>
      <c r="AR281" s="148">
        <v>22853200</v>
      </c>
      <c r="AS281" s="110">
        <v>207463600</v>
      </c>
      <c r="AT281" s="39">
        <f t="shared" si="153"/>
        <v>207463600</v>
      </c>
      <c r="AU281" s="18">
        <f>AJ281-AM281</f>
        <v>121218899</v>
      </c>
      <c r="AV281" s="34">
        <f>AM281-AP281</f>
        <v>0</v>
      </c>
      <c r="AW281" s="34">
        <f>AP281-AT281</f>
        <v>0</v>
      </c>
      <c r="AX281" s="123">
        <f>AP281/AJ281</f>
        <v>0.63119758621526123</v>
      </c>
    </row>
    <row r="282" spans="1:50" ht="18.75" customHeight="1" x14ac:dyDescent="0.2">
      <c r="AA282" s="28" t="s">
        <v>288</v>
      </c>
      <c r="AB282" s="29" t="s">
        <v>133</v>
      </c>
      <c r="AC282" s="17"/>
      <c r="AD282" s="18"/>
      <c r="AE282" s="34"/>
      <c r="AF282" s="34"/>
      <c r="AG282" s="34"/>
      <c r="AH282" s="34"/>
      <c r="AI282" s="34"/>
      <c r="AJ282" s="18"/>
      <c r="AK282" s="34"/>
      <c r="AL282" s="147"/>
      <c r="AM282" s="18"/>
      <c r="AN282" s="34"/>
      <c r="AO282" s="147"/>
      <c r="AP282" s="18"/>
      <c r="AQ282" s="133"/>
      <c r="AR282" s="148"/>
      <c r="AS282" s="110"/>
      <c r="AT282" s="40">
        <f t="shared" si="153"/>
        <v>0</v>
      </c>
      <c r="AU282" s="18"/>
      <c r="AV282" s="18"/>
      <c r="AW282" s="34"/>
      <c r="AX282" s="18"/>
    </row>
    <row r="283" spans="1:50" ht="18.75" customHeight="1" x14ac:dyDescent="0.2">
      <c r="A283" s="4" t="s">
        <v>325</v>
      </c>
      <c r="B283" s="4" t="s">
        <v>326</v>
      </c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1" t="s">
        <v>339</v>
      </c>
      <c r="AB283" s="42" t="s">
        <v>328</v>
      </c>
      <c r="AC283" s="43" t="s">
        <v>61</v>
      </c>
      <c r="AD283" s="43">
        <v>54780417</v>
      </c>
      <c r="AE283" s="44">
        <v>0</v>
      </c>
      <c r="AF283" s="44">
        <v>0</v>
      </c>
      <c r="AG283" s="44">
        <v>0</v>
      </c>
      <c r="AH283" s="44">
        <v>0</v>
      </c>
      <c r="AI283" s="44">
        <v>0</v>
      </c>
      <c r="AJ283" s="43">
        <v>54780417</v>
      </c>
      <c r="AK283" s="44">
        <v>0</v>
      </c>
      <c r="AL283" s="142">
        <f>AM283-AGOSTO!AM281</f>
        <v>3817900</v>
      </c>
      <c r="AM283" s="43">
        <v>34685500</v>
      </c>
      <c r="AN283" s="44">
        <v>0</v>
      </c>
      <c r="AO283" s="142">
        <v>3817900</v>
      </c>
      <c r="AP283" s="43">
        <v>34685500</v>
      </c>
      <c r="AQ283" s="133">
        <v>0</v>
      </c>
      <c r="AR283" s="148">
        <v>3817900</v>
      </c>
      <c r="AS283" s="110">
        <v>34685500</v>
      </c>
      <c r="AT283" s="39">
        <f t="shared" si="153"/>
        <v>34685500</v>
      </c>
      <c r="AU283" s="18">
        <f>AJ283-AM283</f>
        <v>20094917</v>
      </c>
      <c r="AV283" s="34">
        <f>AM283-AP283</f>
        <v>0</v>
      </c>
      <c r="AW283" s="34">
        <f>AP283-AT283</f>
        <v>0</v>
      </c>
      <c r="AX283" s="123">
        <f>AP283/AJ283</f>
        <v>0.63317334732957586</v>
      </c>
    </row>
    <row r="284" spans="1:50" ht="18.75" customHeight="1" x14ac:dyDescent="0.2">
      <c r="AA284" s="28" t="s">
        <v>288</v>
      </c>
      <c r="AB284" s="29" t="s">
        <v>138</v>
      </c>
      <c r="AC284" s="17"/>
      <c r="AD284" s="18"/>
      <c r="AE284" s="34"/>
      <c r="AF284" s="34"/>
      <c r="AG284" s="34"/>
      <c r="AH284" s="34"/>
      <c r="AI284" s="34"/>
      <c r="AJ284" s="18"/>
      <c r="AK284" s="34"/>
      <c r="AL284" s="147"/>
      <c r="AM284" s="18"/>
      <c r="AN284" s="34"/>
      <c r="AO284" s="147"/>
      <c r="AP284" s="18"/>
      <c r="AQ284" s="133"/>
      <c r="AR284" s="148"/>
      <c r="AS284" s="110"/>
      <c r="AT284" s="40">
        <f t="shared" si="153"/>
        <v>0</v>
      </c>
      <c r="AU284" s="18"/>
      <c r="AV284" s="18"/>
      <c r="AW284" s="34"/>
      <c r="AX284" s="18"/>
    </row>
    <row r="285" spans="1:50" ht="18.75" customHeight="1" x14ac:dyDescent="0.2">
      <c r="A285" s="4" t="s">
        <v>325</v>
      </c>
      <c r="B285" s="4" t="s">
        <v>326</v>
      </c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1" t="s">
        <v>340</v>
      </c>
      <c r="AB285" s="42" t="s">
        <v>328</v>
      </c>
      <c r="AC285" s="43" t="s">
        <v>61</v>
      </c>
      <c r="AD285" s="43">
        <v>54780417</v>
      </c>
      <c r="AE285" s="44">
        <v>0</v>
      </c>
      <c r="AF285" s="44">
        <v>0</v>
      </c>
      <c r="AG285" s="44">
        <v>0</v>
      </c>
      <c r="AH285" s="44">
        <v>0</v>
      </c>
      <c r="AI285" s="44">
        <v>0</v>
      </c>
      <c r="AJ285" s="43">
        <v>54780417</v>
      </c>
      <c r="AK285" s="44">
        <v>0</v>
      </c>
      <c r="AL285" s="142">
        <f>AM285-AGOSTO!AM283</f>
        <v>3817900</v>
      </c>
      <c r="AM285" s="43">
        <v>34685500</v>
      </c>
      <c r="AN285" s="44">
        <v>0</v>
      </c>
      <c r="AO285" s="142">
        <v>3817900</v>
      </c>
      <c r="AP285" s="43">
        <v>34685500</v>
      </c>
      <c r="AQ285" s="133">
        <v>0</v>
      </c>
      <c r="AR285" s="148">
        <v>3817900</v>
      </c>
      <c r="AS285" s="110">
        <v>34685500</v>
      </c>
      <c r="AT285" s="39">
        <f t="shared" si="153"/>
        <v>34685500</v>
      </c>
      <c r="AU285" s="18">
        <f>AJ285-AM285</f>
        <v>20094917</v>
      </c>
      <c r="AV285" s="34">
        <f>AM285-AP285</f>
        <v>0</v>
      </c>
      <c r="AW285" s="34">
        <f>AP285-AT285</f>
        <v>0</v>
      </c>
      <c r="AX285" s="123">
        <f>AP285/AJ285</f>
        <v>0.63317334732957586</v>
      </c>
    </row>
    <row r="286" spans="1:50" ht="25.5" x14ac:dyDescent="0.2">
      <c r="AA286" s="28" t="s">
        <v>288</v>
      </c>
      <c r="AB286" s="29" t="s">
        <v>145</v>
      </c>
      <c r="AC286" s="17"/>
      <c r="AD286" s="18"/>
      <c r="AE286" s="34"/>
      <c r="AF286" s="34"/>
      <c r="AG286" s="34"/>
      <c r="AH286" s="34"/>
      <c r="AI286" s="34"/>
      <c r="AJ286" s="18"/>
      <c r="AK286" s="34"/>
      <c r="AL286" s="147"/>
      <c r="AM286" s="18"/>
      <c r="AN286" s="34"/>
      <c r="AO286" s="147"/>
      <c r="AP286" s="18"/>
      <c r="AQ286" s="34"/>
      <c r="AR286" s="145"/>
      <c r="AS286" s="34"/>
      <c r="AT286" s="40">
        <f t="shared" si="153"/>
        <v>0</v>
      </c>
      <c r="AU286" s="18"/>
      <c r="AV286" s="18"/>
      <c r="AW286" s="18"/>
      <c r="AX286" s="18"/>
    </row>
    <row r="287" spans="1:50" ht="18.75" customHeight="1" x14ac:dyDescent="0.2">
      <c r="A287" s="4" t="s">
        <v>325</v>
      </c>
      <c r="B287" s="4" t="s">
        <v>326</v>
      </c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1" t="s">
        <v>341</v>
      </c>
      <c r="AB287" s="42" t="s">
        <v>328</v>
      </c>
      <c r="AC287" s="43" t="s">
        <v>61</v>
      </c>
      <c r="AD287" s="43">
        <v>109560833</v>
      </c>
      <c r="AE287" s="44">
        <v>0</v>
      </c>
      <c r="AF287" s="44">
        <v>0</v>
      </c>
      <c r="AG287" s="44">
        <v>0</v>
      </c>
      <c r="AH287" s="44">
        <v>0</v>
      </c>
      <c r="AI287" s="44">
        <v>0</v>
      </c>
      <c r="AJ287" s="43">
        <v>109560833</v>
      </c>
      <c r="AK287" s="44">
        <v>0</v>
      </c>
      <c r="AL287" s="142">
        <f>AM287-AGOSTO!AM285</f>
        <v>7622700</v>
      </c>
      <c r="AM287" s="43">
        <v>69253600</v>
      </c>
      <c r="AN287" s="44">
        <v>0</v>
      </c>
      <c r="AO287" s="142">
        <v>7622700</v>
      </c>
      <c r="AP287" s="43">
        <v>69253600</v>
      </c>
      <c r="AQ287" s="34">
        <v>0</v>
      </c>
      <c r="AR287" s="148">
        <v>7622700</v>
      </c>
      <c r="AS287" s="110">
        <v>69253600</v>
      </c>
      <c r="AT287" s="39">
        <f t="shared" si="153"/>
        <v>69253600</v>
      </c>
      <c r="AU287" s="18">
        <f>AJ287-AM287</f>
        <v>40307233</v>
      </c>
      <c r="AV287" s="34">
        <f>AM287-AP287</f>
        <v>0</v>
      </c>
      <c r="AW287" s="34">
        <f>AP287-AT287</f>
        <v>0</v>
      </c>
      <c r="AX287" s="123">
        <f>AP287/AJ287</f>
        <v>0.63210180229279567</v>
      </c>
    </row>
    <row r="288" spans="1:50" ht="18.75" customHeight="1" x14ac:dyDescent="0.2">
      <c r="AA288" s="16"/>
      <c r="AB288" s="29" t="s">
        <v>149</v>
      </c>
      <c r="AC288" s="17"/>
      <c r="AD288" s="18"/>
      <c r="AE288" s="34"/>
      <c r="AF288" s="34"/>
      <c r="AG288" s="34"/>
      <c r="AH288" s="34"/>
      <c r="AI288" s="34"/>
      <c r="AJ288" s="18"/>
      <c r="AK288" s="34"/>
      <c r="AL288" s="147"/>
      <c r="AM288" s="18"/>
      <c r="AN288" s="34"/>
      <c r="AO288" s="147"/>
      <c r="AP288" s="18"/>
      <c r="AQ288" s="34"/>
      <c r="AR288" s="34"/>
      <c r="AS288" s="34"/>
      <c r="AT288" s="40"/>
      <c r="AU288" s="18"/>
      <c r="AV288" s="18"/>
      <c r="AW288" s="34"/>
      <c r="AX288" s="18"/>
    </row>
    <row r="289" spans="1:50" ht="18.75" customHeight="1" x14ac:dyDescent="0.2">
      <c r="AA289" s="16"/>
      <c r="AB289" s="29" t="s">
        <v>81</v>
      </c>
      <c r="AC289" s="17"/>
      <c r="AD289" s="18"/>
      <c r="AE289" s="34"/>
      <c r="AF289" s="34"/>
      <c r="AG289" s="34"/>
      <c r="AH289" s="34"/>
      <c r="AI289" s="34"/>
      <c r="AJ289" s="18"/>
      <c r="AK289" s="34"/>
      <c r="AL289" s="147"/>
      <c r="AM289" s="18"/>
      <c r="AN289" s="34"/>
      <c r="AO289" s="147"/>
      <c r="AP289" s="18"/>
      <c r="AQ289" s="34"/>
      <c r="AR289" s="34"/>
      <c r="AS289" s="34"/>
      <c r="AT289" s="40"/>
      <c r="AU289" s="18"/>
      <c r="AV289" s="18"/>
      <c r="AW289" s="34"/>
      <c r="AX289" s="18"/>
    </row>
    <row r="290" spans="1:50" ht="18.75" customHeight="1" x14ac:dyDescent="0.2">
      <c r="AA290" s="28" t="s">
        <v>288</v>
      </c>
      <c r="AB290" s="29" t="s">
        <v>152</v>
      </c>
      <c r="AC290" s="17"/>
      <c r="AD290" s="18"/>
      <c r="AE290" s="34"/>
      <c r="AF290" s="34"/>
      <c r="AG290" s="34"/>
      <c r="AH290" s="34"/>
      <c r="AI290" s="34"/>
      <c r="AJ290" s="18"/>
      <c r="AK290" s="34"/>
      <c r="AL290" s="18"/>
      <c r="AM290" s="18"/>
      <c r="AN290" s="34"/>
      <c r="AO290" s="147"/>
      <c r="AP290" s="18"/>
      <c r="AQ290" s="34"/>
      <c r="AR290" s="34"/>
      <c r="AS290" s="34"/>
      <c r="AT290" s="40"/>
      <c r="AU290" s="18"/>
      <c r="AV290" s="18"/>
      <c r="AW290" s="34"/>
      <c r="AX290" s="18"/>
    </row>
    <row r="291" spans="1:50" ht="18.75" customHeight="1" x14ac:dyDescent="0.2">
      <c r="A291" s="4" t="s">
        <v>325</v>
      </c>
      <c r="B291" s="4" t="s">
        <v>326</v>
      </c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1" t="s">
        <v>342</v>
      </c>
      <c r="AB291" s="42" t="s">
        <v>328</v>
      </c>
      <c r="AC291" s="43" t="s">
        <v>61</v>
      </c>
      <c r="AD291" s="43">
        <v>229777776</v>
      </c>
      <c r="AE291" s="44">
        <v>0</v>
      </c>
      <c r="AF291" s="44">
        <v>0</v>
      </c>
      <c r="AG291" s="44">
        <v>0</v>
      </c>
      <c r="AH291" s="44">
        <v>0</v>
      </c>
      <c r="AI291" s="44">
        <v>0</v>
      </c>
      <c r="AJ291" s="43">
        <v>229777776</v>
      </c>
      <c r="AK291" s="44">
        <v>0</v>
      </c>
      <c r="AL291" s="43">
        <f>AM291-AGOSTO!AM289</f>
        <v>15424060</v>
      </c>
      <c r="AM291" s="43">
        <v>108856447</v>
      </c>
      <c r="AN291" s="44">
        <v>0</v>
      </c>
      <c r="AO291" s="142">
        <v>15424060</v>
      </c>
      <c r="AP291" s="43">
        <v>108856447</v>
      </c>
      <c r="AQ291" s="34">
        <v>0</v>
      </c>
      <c r="AR291" s="133">
        <v>0</v>
      </c>
      <c r="AS291" s="110">
        <v>93432387</v>
      </c>
      <c r="AT291" s="39">
        <f t="shared" si="153"/>
        <v>93432387</v>
      </c>
      <c r="AU291" s="18">
        <f>AJ291-AM291</f>
        <v>120921329</v>
      </c>
      <c r="AV291" s="34">
        <f>AM291-AP291</f>
        <v>0</v>
      </c>
      <c r="AW291" s="18">
        <f>AP291-AT291</f>
        <v>15424060</v>
      </c>
      <c r="AX291" s="123">
        <f>AP291/AJ291</f>
        <v>0.47374662987424859</v>
      </c>
    </row>
    <row r="292" spans="1:50" ht="18.75" customHeight="1" x14ac:dyDescent="0.2">
      <c r="AA292" s="28" t="s">
        <v>288</v>
      </c>
      <c r="AB292" s="29" t="s">
        <v>343</v>
      </c>
      <c r="AC292" s="17"/>
      <c r="AD292" s="18"/>
      <c r="AE292" s="34"/>
      <c r="AF292" s="34"/>
      <c r="AG292" s="34"/>
      <c r="AH292" s="34"/>
      <c r="AI292" s="34"/>
      <c r="AJ292" s="18"/>
      <c r="AK292" s="34"/>
      <c r="AL292" s="18"/>
      <c r="AM292" s="18"/>
      <c r="AN292" s="34"/>
      <c r="AO292" s="147"/>
      <c r="AP292" s="18"/>
      <c r="AQ292" s="34"/>
      <c r="AR292" s="34"/>
      <c r="AS292" s="34"/>
      <c r="AT292" s="40"/>
      <c r="AU292" s="18"/>
      <c r="AV292" s="18"/>
      <c r="AW292" s="34"/>
      <c r="AX292" s="18"/>
    </row>
    <row r="293" spans="1:50" ht="18.75" customHeight="1" x14ac:dyDescent="0.2">
      <c r="A293" s="4" t="s">
        <v>325</v>
      </c>
      <c r="B293" s="4" t="s">
        <v>326</v>
      </c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1" t="s">
        <v>344</v>
      </c>
      <c r="AB293" s="42" t="s">
        <v>328</v>
      </c>
      <c r="AC293" s="43" t="s">
        <v>61</v>
      </c>
      <c r="AD293" s="43">
        <v>10000000</v>
      </c>
      <c r="AE293" s="44">
        <v>0</v>
      </c>
      <c r="AF293" s="44">
        <v>0</v>
      </c>
      <c r="AG293" s="44">
        <v>0</v>
      </c>
      <c r="AH293" s="44">
        <v>0</v>
      </c>
      <c r="AI293" s="44">
        <v>0</v>
      </c>
      <c r="AJ293" s="43">
        <v>10000000</v>
      </c>
      <c r="AK293" s="44">
        <v>0</v>
      </c>
      <c r="AL293" s="44">
        <f>AM293-AGOSTO!AM291</f>
        <v>0</v>
      </c>
      <c r="AM293" s="44">
        <v>0</v>
      </c>
      <c r="AN293" s="44">
        <v>0</v>
      </c>
      <c r="AO293" s="143"/>
      <c r="AP293" s="44">
        <v>0</v>
      </c>
      <c r="AQ293" s="34">
        <v>0</v>
      </c>
      <c r="AR293" s="34">
        <v>0</v>
      </c>
      <c r="AS293" s="34">
        <v>0</v>
      </c>
      <c r="AT293" s="40">
        <f t="shared" ref="AT293" si="154">AQ293+AS293</f>
        <v>0</v>
      </c>
      <c r="AU293" s="18">
        <f>AJ293-AM293</f>
        <v>10000000</v>
      </c>
      <c r="AV293" s="34">
        <f>AM293-AP293</f>
        <v>0</v>
      </c>
      <c r="AW293" s="34">
        <f>AP293-AT293</f>
        <v>0</v>
      </c>
      <c r="AX293" s="123">
        <f>AP293/AJ293</f>
        <v>0</v>
      </c>
    </row>
    <row r="294" spans="1:50" ht="18.75" customHeight="1" x14ac:dyDescent="0.2">
      <c r="AA294" s="28" t="s">
        <v>288</v>
      </c>
      <c r="AB294" s="29" t="s">
        <v>162</v>
      </c>
      <c r="AC294" s="17"/>
      <c r="AD294" s="18"/>
      <c r="AE294" s="34"/>
      <c r="AF294" s="34"/>
      <c r="AG294" s="34"/>
      <c r="AH294" s="34"/>
      <c r="AI294" s="34"/>
      <c r="AJ294" s="18"/>
      <c r="AK294" s="34"/>
      <c r="AL294" s="18"/>
      <c r="AM294" s="18"/>
      <c r="AN294" s="34"/>
      <c r="AO294" s="147"/>
      <c r="AP294" s="18"/>
      <c r="AQ294" s="34"/>
      <c r="AR294" s="34"/>
      <c r="AS294" s="34"/>
      <c r="AT294" s="40"/>
      <c r="AU294" s="18"/>
      <c r="AV294" s="18"/>
      <c r="AW294" s="34"/>
      <c r="AX294" s="18"/>
    </row>
    <row r="295" spans="1:50" ht="18.75" customHeight="1" x14ac:dyDescent="0.2">
      <c r="A295" s="4" t="s">
        <v>325</v>
      </c>
      <c r="B295" s="4" t="s">
        <v>326</v>
      </c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1" t="s">
        <v>345</v>
      </c>
      <c r="AB295" s="42" t="s">
        <v>328</v>
      </c>
      <c r="AC295" s="43" t="s">
        <v>61</v>
      </c>
      <c r="AD295" s="43">
        <v>31208419</v>
      </c>
      <c r="AE295" s="44">
        <v>0</v>
      </c>
      <c r="AF295" s="44">
        <v>0</v>
      </c>
      <c r="AG295" s="44">
        <v>0</v>
      </c>
      <c r="AH295" s="44">
        <v>0</v>
      </c>
      <c r="AI295" s="44">
        <v>0</v>
      </c>
      <c r="AJ295" s="43">
        <v>31208419</v>
      </c>
      <c r="AK295" s="44">
        <v>0</v>
      </c>
      <c r="AL295" s="43">
        <f>AM295-AGOSTO!AM293</f>
        <v>1427731</v>
      </c>
      <c r="AM295" s="43">
        <v>8996348</v>
      </c>
      <c r="AN295" s="44">
        <v>0</v>
      </c>
      <c r="AO295" s="142">
        <v>1427731</v>
      </c>
      <c r="AP295" s="43">
        <v>8996348</v>
      </c>
      <c r="AQ295" s="34">
        <v>0</v>
      </c>
      <c r="AR295" s="133">
        <v>0</v>
      </c>
      <c r="AS295" s="110">
        <v>7568617</v>
      </c>
      <c r="AT295" s="39">
        <f t="shared" ref="AT295" si="155">AQ295+AS295</f>
        <v>7568617</v>
      </c>
      <c r="AU295" s="18">
        <f>AJ295-AM295</f>
        <v>22212071</v>
      </c>
      <c r="AV295" s="34">
        <f>AM295-AP295</f>
        <v>0</v>
      </c>
      <c r="AW295" s="18">
        <f>AP295-AT295</f>
        <v>1427731</v>
      </c>
      <c r="AX295" s="123">
        <f>AP295/AJ295</f>
        <v>0.2882667013667049</v>
      </c>
    </row>
    <row r="296" spans="1:50" ht="18.75" customHeight="1" x14ac:dyDescent="0.2">
      <c r="AA296" s="28" t="s">
        <v>288</v>
      </c>
      <c r="AB296" s="29" t="s">
        <v>346</v>
      </c>
      <c r="AC296" s="17"/>
      <c r="AD296" s="18"/>
      <c r="AE296" s="34"/>
      <c r="AF296" s="34"/>
      <c r="AG296" s="34"/>
      <c r="AH296" s="34"/>
      <c r="AI296" s="34"/>
      <c r="AJ296" s="18"/>
      <c r="AK296" s="34"/>
      <c r="AL296" s="18"/>
      <c r="AM296" s="18"/>
      <c r="AN296" s="34"/>
      <c r="AO296" s="147"/>
      <c r="AP296" s="18"/>
      <c r="AQ296" s="34"/>
      <c r="AR296" s="133"/>
      <c r="AS296" s="110"/>
      <c r="AT296" s="40"/>
      <c r="AU296" s="18"/>
      <c r="AV296" s="18"/>
      <c r="AW296" s="18"/>
      <c r="AX296" s="18"/>
    </row>
    <row r="297" spans="1:50" ht="18.75" customHeight="1" x14ac:dyDescent="0.2">
      <c r="A297" s="4" t="s">
        <v>325</v>
      </c>
      <c r="B297" s="4" t="s">
        <v>326</v>
      </c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1" t="s">
        <v>347</v>
      </c>
      <c r="AB297" s="42" t="s">
        <v>328</v>
      </c>
      <c r="AC297" s="43" t="s">
        <v>61</v>
      </c>
      <c r="AD297" s="43">
        <v>1108512330</v>
      </c>
      <c r="AE297" s="44">
        <v>0</v>
      </c>
      <c r="AF297" s="44">
        <v>0</v>
      </c>
      <c r="AG297" s="44">
        <v>0</v>
      </c>
      <c r="AH297" s="44">
        <v>0</v>
      </c>
      <c r="AI297" s="44">
        <v>0</v>
      </c>
      <c r="AJ297" s="43">
        <v>1108512330</v>
      </c>
      <c r="AK297" s="44">
        <v>0</v>
      </c>
      <c r="AL297" s="43">
        <f>AM297-AGOSTO!AM295</f>
        <v>70829201</v>
      </c>
      <c r="AM297" s="43">
        <v>646916080</v>
      </c>
      <c r="AN297" s="44">
        <v>0</v>
      </c>
      <c r="AO297" s="142">
        <v>70829201</v>
      </c>
      <c r="AP297" s="43">
        <v>646480084</v>
      </c>
      <c r="AQ297" s="34">
        <v>0</v>
      </c>
      <c r="AR297" s="133">
        <v>0</v>
      </c>
      <c r="AS297" s="110">
        <v>575650883</v>
      </c>
      <c r="AT297" s="39">
        <f t="shared" ref="AT297" si="156">AQ297+AS297</f>
        <v>575650883</v>
      </c>
      <c r="AU297" s="18">
        <f>AJ297-AM297</f>
        <v>461596250</v>
      </c>
      <c r="AV297" s="110">
        <f>AM297-AP297</f>
        <v>435996</v>
      </c>
      <c r="AW297" s="18">
        <f>AP297-AT297</f>
        <v>70829201</v>
      </c>
      <c r="AX297" s="123">
        <f>AP297/AJ297</f>
        <v>0.58319611474235922</v>
      </c>
    </row>
    <row r="298" spans="1:50" ht="18.75" customHeight="1" x14ac:dyDescent="0.2">
      <c r="AA298" s="16"/>
      <c r="AB298" s="29" t="s">
        <v>348</v>
      </c>
      <c r="AC298" s="17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34"/>
      <c r="AO298" s="147"/>
      <c r="AP298" s="18"/>
      <c r="AQ298" s="18"/>
      <c r="AR298" s="18"/>
      <c r="AS298" s="18"/>
      <c r="AT298" s="30"/>
      <c r="AU298" s="18"/>
      <c r="AV298" s="18"/>
      <c r="AW298" s="18"/>
      <c r="AX298" s="18"/>
    </row>
    <row r="299" spans="1:50" ht="18.75" customHeight="1" x14ac:dyDescent="0.2">
      <c r="AA299" s="16"/>
      <c r="AB299" s="29" t="s">
        <v>318</v>
      </c>
      <c r="AC299" s="17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34"/>
      <c r="AO299" s="147"/>
      <c r="AP299" s="18"/>
      <c r="AQ299" s="18"/>
      <c r="AR299" s="18"/>
      <c r="AS299" s="18"/>
      <c r="AT299" s="30"/>
      <c r="AU299" s="18"/>
      <c r="AV299" s="18"/>
      <c r="AW299" s="18"/>
      <c r="AX299" s="18"/>
    </row>
    <row r="300" spans="1:50" ht="25.5" x14ac:dyDescent="0.2">
      <c r="AA300" s="16"/>
      <c r="AB300" s="29" t="s">
        <v>319</v>
      </c>
      <c r="AC300" s="17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34"/>
      <c r="AO300" s="147"/>
      <c r="AP300" s="18"/>
      <c r="AQ300" s="18"/>
      <c r="AR300" s="18"/>
      <c r="AS300" s="18"/>
      <c r="AT300" s="30"/>
      <c r="AU300" s="18"/>
      <c r="AV300" s="18"/>
      <c r="AW300" s="18"/>
      <c r="AX300" s="18"/>
    </row>
    <row r="301" spans="1:50" ht="18.75" customHeight="1" x14ac:dyDescent="0.2">
      <c r="AA301" s="16"/>
      <c r="AB301" s="29" t="s">
        <v>320</v>
      </c>
      <c r="AC301" s="17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34"/>
      <c r="AO301" s="147"/>
      <c r="AP301" s="18"/>
      <c r="AQ301" s="18"/>
      <c r="AR301" s="18"/>
      <c r="AS301" s="18"/>
      <c r="AT301" s="30"/>
      <c r="AU301" s="18"/>
      <c r="AV301" s="18"/>
      <c r="AW301" s="18"/>
      <c r="AX301" s="18"/>
    </row>
    <row r="302" spans="1:50" ht="18.75" customHeight="1" x14ac:dyDescent="0.2">
      <c r="AA302" s="16"/>
      <c r="AB302" s="29" t="s">
        <v>46</v>
      </c>
      <c r="AC302" s="17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34"/>
      <c r="AO302" s="147"/>
      <c r="AP302" s="18"/>
      <c r="AQ302" s="18"/>
      <c r="AR302" s="18"/>
      <c r="AS302" s="18"/>
      <c r="AT302" s="30"/>
      <c r="AU302" s="18"/>
      <c r="AV302" s="18"/>
      <c r="AW302" s="18"/>
      <c r="AX302" s="18"/>
    </row>
    <row r="303" spans="1:50" ht="18.75" customHeight="1" x14ac:dyDescent="0.2">
      <c r="AA303" s="16"/>
      <c r="AB303" s="29" t="s">
        <v>48</v>
      </c>
      <c r="AC303" s="17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34"/>
      <c r="AO303" s="18"/>
      <c r="AP303" s="18"/>
      <c r="AQ303" s="18"/>
      <c r="AR303" s="18"/>
      <c r="AS303" s="18"/>
      <c r="AT303" s="30"/>
      <c r="AU303" s="18"/>
      <c r="AV303" s="18"/>
      <c r="AW303" s="18"/>
      <c r="AX303" s="18"/>
    </row>
    <row r="304" spans="1:50" ht="18.75" customHeight="1" x14ac:dyDescent="0.2">
      <c r="AA304" s="16"/>
      <c r="AB304" s="29" t="s">
        <v>52</v>
      </c>
      <c r="AC304" s="17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34"/>
      <c r="AO304" s="18"/>
      <c r="AP304" s="18"/>
      <c r="AQ304" s="18"/>
      <c r="AR304" s="18"/>
      <c r="AS304" s="18"/>
      <c r="AT304" s="30"/>
      <c r="AU304" s="18"/>
      <c r="AV304" s="18"/>
      <c r="AW304" s="18"/>
      <c r="AX304" s="18"/>
    </row>
    <row r="305" spans="1:50" ht="18.75" customHeight="1" x14ac:dyDescent="0.2">
      <c r="AA305" s="28" t="s">
        <v>288</v>
      </c>
      <c r="AB305" s="29" t="s">
        <v>54</v>
      </c>
      <c r="AC305" s="17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34"/>
      <c r="AO305" s="18"/>
      <c r="AP305" s="18"/>
      <c r="AQ305" s="18"/>
      <c r="AR305" s="18"/>
      <c r="AS305" s="18"/>
      <c r="AT305" s="30"/>
      <c r="AU305" s="18"/>
      <c r="AV305" s="18"/>
      <c r="AW305" s="18"/>
      <c r="AX305" s="18"/>
    </row>
    <row r="306" spans="1:50" ht="18.75" customHeight="1" x14ac:dyDescent="0.2">
      <c r="A306" s="4" t="s">
        <v>55</v>
      </c>
      <c r="B306" s="4" t="s">
        <v>56</v>
      </c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1" t="s">
        <v>323</v>
      </c>
      <c r="AB306" s="42" t="s">
        <v>324</v>
      </c>
      <c r="AC306" s="43" t="s">
        <v>61</v>
      </c>
      <c r="AD306" s="43">
        <v>111646949658</v>
      </c>
      <c r="AE306" s="44">
        <v>0</v>
      </c>
      <c r="AF306" s="44">
        <v>0</v>
      </c>
      <c r="AG306" s="244">
        <v>18397564.699999999</v>
      </c>
      <c r="AH306" s="43">
        <v>316940531.69999999</v>
      </c>
      <c r="AI306" s="18">
        <f t="shared" ref="AI306:AI308" si="157">AE306-AF306+AG306-AH306</f>
        <v>-298542967</v>
      </c>
      <c r="AJ306" s="18">
        <f t="shared" ref="AJ306:AJ308" si="158">AD306+AI306</f>
        <v>111348406691</v>
      </c>
      <c r="AK306" s="44">
        <v>0</v>
      </c>
      <c r="AL306" s="43">
        <f>AM306-AGOSTO!AM304</f>
        <v>11413628787</v>
      </c>
      <c r="AM306" s="43">
        <v>72570454574.5</v>
      </c>
      <c r="AN306" s="44">
        <v>0</v>
      </c>
      <c r="AO306" s="43">
        <v>11413628787</v>
      </c>
      <c r="AP306" s="43">
        <v>72565527163.5</v>
      </c>
      <c r="AQ306" s="44">
        <v>0</v>
      </c>
      <c r="AR306" s="43"/>
      <c r="AS306" s="43">
        <v>55565780307</v>
      </c>
      <c r="AT306" s="253">
        <f t="shared" ref="AT306:AT308" si="159">AQ306+AS306</f>
        <v>55565780307</v>
      </c>
      <c r="AU306" s="18">
        <f>AJ306-AM306</f>
        <v>38777952116.5</v>
      </c>
      <c r="AV306" s="18">
        <f>AM306-AP306</f>
        <v>4927411</v>
      </c>
      <c r="AW306" s="18">
        <f>AP306-AT306</f>
        <v>16999746856.5</v>
      </c>
      <c r="AX306" s="123">
        <f>AP306/AJ306</f>
        <v>0.65169793910814244</v>
      </c>
    </row>
    <row r="307" spans="1:50" ht="18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173" t="s">
        <v>962</v>
      </c>
      <c r="AB307" s="42" t="s">
        <v>963</v>
      </c>
      <c r="AC307" s="43"/>
      <c r="AD307" s="44">
        <v>0</v>
      </c>
      <c r="AE307" s="44">
        <v>0</v>
      </c>
      <c r="AF307" s="44">
        <v>0</v>
      </c>
      <c r="AG307" s="43">
        <v>280746171.69999999</v>
      </c>
      <c r="AH307" s="44">
        <v>0</v>
      </c>
      <c r="AI307" s="18">
        <f t="shared" si="157"/>
        <v>280746171.69999999</v>
      </c>
      <c r="AJ307" s="18">
        <f t="shared" si="158"/>
        <v>280746171.69999999</v>
      </c>
      <c r="AK307" s="44">
        <v>0</v>
      </c>
      <c r="AL307" s="44">
        <f>AM307-AGOSTO!AM305</f>
        <v>0</v>
      </c>
      <c r="AM307" s="44">
        <v>0</v>
      </c>
      <c r="AN307" s="44">
        <v>0</v>
      </c>
      <c r="AO307" s="44">
        <v>0</v>
      </c>
      <c r="AP307" s="44">
        <v>0</v>
      </c>
      <c r="AQ307" s="44">
        <v>0</v>
      </c>
      <c r="AR307" s="44">
        <v>0</v>
      </c>
      <c r="AS307" s="44">
        <v>0</v>
      </c>
      <c r="AT307" s="275">
        <f t="shared" si="159"/>
        <v>0</v>
      </c>
      <c r="AU307" s="18">
        <f>AJ307-AM307</f>
        <v>280746171.69999999</v>
      </c>
      <c r="AV307" s="133">
        <f>AM307-AP307</f>
        <v>0</v>
      </c>
      <c r="AW307" s="34">
        <f>AP307-AT307</f>
        <v>0</v>
      </c>
      <c r="AX307" s="123">
        <f>AP307/AJ307</f>
        <v>0</v>
      </c>
    </row>
    <row r="308" spans="1:50" ht="26.2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245" t="s">
        <v>1199</v>
      </c>
      <c r="AB308" s="42" t="s">
        <v>1200</v>
      </c>
      <c r="AC308" s="43"/>
      <c r="AD308" s="44">
        <v>0</v>
      </c>
      <c r="AE308" s="43">
        <v>3259928918.5</v>
      </c>
      <c r="AF308" s="44">
        <v>0</v>
      </c>
      <c r="AG308" s="44">
        <v>0</v>
      </c>
      <c r="AH308" s="34">
        <v>0</v>
      </c>
      <c r="AI308" s="18">
        <f t="shared" si="157"/>
        <v>3259928918.5</v>
      </c>
      <c r="AJ308" s="18">
        <f t="shared" si="158"/>
        <v>3259928918.5</v>
      </c>
      <c r="AK308" s="44">
        <v>0</v>
      </c>
      <c r="AL308" s="44">
        <f>AM308-AGOSTO!AM306</f>
        <v>0</v>
      </c>
      <c r="AM308" s="43">
        <v>3259928918.5</v>
      </c>
      <c r="AN308" s="44">
        <v>0</v>
      </c>
      <c r="AO308" s="43">
        <v>0</v>
      </c>
      <c r="AP308" s="44">
        <v>3259928918.5</v>
      </c>
      <c r="AQ308" s="44">
        <v>0</v>
      </c>
      <c r="AR308" s="44">
        <v>0</v>
      </c>
      <c r="AS308" s="44">
        <v>0</v>
      </c>
      <c r="AT308" s="275">
        <f t="shared" si="159"/>
        <v>0</v>
      </c>
      <c r="AU308" s="34">
        <f>AJ308-AM308</f>
        <v>0</v>
      </c>
      <c r="AV308" s="133">
        <f>AM308-AP308</f>
        <v>0</v>
      </c>
      <c r="AW308" s="18">
        <f>AP308-AT308</f>
        <v>3259928918.5</v>
      </c>
      <c r="AX308" s="123">
        <f>AP308/AJ308</f>
        <v>1</v>
      </c>
    </row>
    <row r="309" spans="1:50" ht="18.75" customHeight="1" x14ac:dyDescent="0.2">
      <c r="AA309" s="28" t="s">
        <v>288</v>
      </c>
      <c r="AB309" s="29" t="s">
        <v>63</v>
      </c>
      <c r="AC309" s="17"/>
      <c r="AD309" s="18"/>
      <c r="AE309" s="34"/>
      <c r="AF309" s="34"/>
      <c r="AG309" s="34"/>
      <c r="AH309" s="34"/>
      <c r="AI309" s="34"/>
      <c r="AJ309" s="18"/>
      <c r="AK309" s="34"/>
      <c r="AL309" s="18"/>
      <c r="AM309" s="18"/>
      <c r="AN309" s="34"/>
      <c r="AO309" s="18"/>
      <c r="AP309" s="18"/>
      <c r="AQ309" s="18"/>
      <c r="AR309" s="34"/>
      <c r="AS309" s="18"/>
      <c r="AT309" s="30"/>
      <c r="AU309" s="18"/>
      <c r="AV309" s="34"/>
      <c r="AW309" s="34"/>
      <c r="AX309" s="18"/>
    </row>
    <row r="310" spans="1:50" ht="18.75" customHeight="1" x14ac:dyDescent="0.2">
      <c r="A310" s="4" t="s">
        <v>325</v>
      </c>
      <c r="B310" s="4" t="s">
        <v>326</v>
      </c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1" t="s">
        <v>349</v>
      </c>
      <c r="AB310" s="42" t="s">
        <v>328</v>
      </c>
      <c r="AC310" s="43" t="s">
        <v>61</v>
      </c>
      <c r="AD310" s="43">
        <v>1252925726</v>
      </c>
      <c r="AE310" s="44">
        <v>0</v>
      </c>
      <c r="AF310" s="44">
        <v>0</v>
      </c>
      <c r="AG310" s="44">
        <v>0</v>
      </c>
      <c r="AH310" s="44">
        <v>0</v>
      </c>
      <c r="AI310" s="34">
        <f>AE310-AF310+AG310-AH310</f>
        <v>0</v>
      </c>
      <c r="AJ310" s="18">
        <f>AD310+AI310</f>
        <v>1252925726</v>
      </c>
      <c r="AK310" s="44">
        <v>0</v>
      </c>
      <c r="AL310" s="43">
        <f>AM310-AGOSTO!AM308</f>
        <v>195276241</v>
      </c>
      <c r="AM310" s="43">
        <v>914776630</v>
      </c>
      <c r="AN310" s="44">
        <v>0</v>
      </c>
      <c r="AO310" s="43">
        <v>195276241</v>
      </c>
      <c r="AP310" s="43">
        <v>914776630</v>
      </c>
      <c r="AQ310" s="44">
        <v>0</v>
      </c>
      <c r="AR310" s="43">
        <v>160068</v>
      </c>
      <c r="AS310" s="43">
        <v>597726105</v>
      </c>
      <c r="AT310" s="39">
        <f t="shared" ref="AT310" si="160">AQ310+AS310</f>
        <v>597726105</v>
      </c>
      <c r="AU310" s="18">
        <f>AJ310-AM310</f>
        <v>338149096</v>
      </c>
      <c r="AV310" s="34">
        <f>AM310-AP310</f>
        <v>0</v>
      </c>
      <c r="AW310" s="18">
        <f>AP310-AT310</f>
        <v>317050525</v>
      </c>
      <c r="AX310" s="123">
        <f>AP310/AJ310</f>
        <v>0.73011241689517359</v>
      </c>
    </row>
    <row r="311" spans="1:50" ht="18.75" customHeight="1" x14ac:dyDescent="0.2">
      <c r="AA311" s="28" t="s">
        <v>288</v>
      </c>
      <c r="AB311" s="29" t="s">
        <v>67</v>
      </c>
      <c r="AC311" s="17"/>
      <c r="AD311" s="18"/>
      <c r="AE311" s="34"/>
      <c r="AF311" s="34"/>
      <c r="AG311" s="34"/>
      <c r="AH311" s="34"/>
      <c r="AI311" s="34"/>
      <c r="AJ311" s="18"/>
      <c r="AK311" s="34"/>
      <c r="AL311" s="18"/>
      <c r="AM311" s="18"/>
      <c r="AN311" s="34"/>
      <c r="AO311" s="18"/>
      <c r="AP311" s="18"/>
      <c r="AQ311" s="34"/>
      <c r="AR311" s="34"/>
      <c r="AS311" s="18"/>
      <c r="AT311" s="39"/>
      <c r="AU311" s="18"/>
      <c r="AV311" s="34"/>
      <c r="AW311" s="34"/>
      <c r="AX311" s="18"/>
    </row>
    <row r="312" spans="1:50" ht="18.75" customHeight="1" x14ac:dyDescent="0.2">
      <c r="A312" s="4" t="s">
        <v>325</v>
      </c>
      <c r="B312" s="4" t="s">
        <v>326</v>
      </c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1" t="s">
        <v>350</v>
      </c>
      <c r="AB312" s="42" t="s">
        <v>328</v>
      </c>
      <c r="AC312" s="43" t="s">
        <v>61</v>
      </c>
      <c r="AD312" s="43">
        <v>29846525</v>
      </c>
      <c r="AE312" s="44">
        <v>0</v>
      </c>
      <c r="AF312" s="44">
        <v>0</v>
      </c>
      <c r="AG312" s="44">
        <v>0</v>
      </c>
      <c r="AH312" s="44">
        <v>0</v>
      </c>
      <c r="AI312" s="34">
        <f>AE312-AF312+AG312-AH312</f>
        <v>0</v>
      </c>
      <c r="AJ312" s="18">
        <f>AD312+AI312</f>
        <v>29846525</v>
      </c>
      <c r="AK312" s="44">
        <v>0</v>
      </c>
      <c r="AL312" s="43">
        <f>AM312-AGOSTO!AM310</f>
        <v>3231818</v>
      </c>
      <c r="AM312" s="43">
        <v>20829287</v>
      </c>
      <c r="AN312" s="44">
        <v>0</v>
      </c>
      <c r="AO312" s="43">
        <v>3231818</v>
      </c>
      <c r="AP312" s="43">
        <v>20829287</v>
      </c>
      <c r="AQ312" s="44">
        <v>0</v>
      </c>
      <c r="AR312" s="44">
        <v>0</v>
      </c>
      <c r="AS312" s="43">
        <v>14993208</v>
      </c>
      <c r="AT312" s="39">
        <f t="shared" ref="AT312" si="161">AQ312+AS312</f>
        <v>14993208</v>
      </c>
      <c r="AU312" s="18">
        <f>AJ312-AM312</f>
        <v>9017238</v>
      </c>
      <c r="AV312" s="34">
        <f>AM312-AP312</f>
        <v>0</v>
      </c>
      <c r="AW312" s="18">
        <f>AP312-AT312</f>
        <v>5836079</v>
      </c>
      <c r="AX312" s="123">
        <f>AP312/AJ312</f>
        <v>0.69787980342770217</v>
      </c>
    </row>
    <row r="313" spans="1:50" ht="18.75" customHeight="1" x14ac:dyDescent="0.2">
      <c r="AA313" s="28" t="s">
        <v>288</v>
      </c>
      <c r="AB313" s="29" t="s">
        <v>69</v>
      </c>
      <c r="AC313" s="17"/>
      <c r="AD313" s="18"/>
      <c r="AE313" s="34"/>
      <c r="AF313" s="34"/>
      <c r="AG313" s="34"/>
      <c r="AH313" s="34"/>
      <c r="AI313" s="34"/>
      <c r="AJ313" s="18"/>
      <c r="AK313" s="34"/>
      <c r="AL313" s="18"/>
      <c r="AM313" s="18"/>
      <c r="AN313" s="34"/>
      <c r="AO313" s="18"/>
      <c r="AP313" s="18"/>
      <c r="AQ313" s="34"/>
      <c r="AR313" s="18"/>
      <c r="AS313" s="18"/>
      <c r="AT313" s="39"/>
      <c r="AU313" s="18"/>
      <c r="AV313" s="18"/>
      <c r="AW313" s="18"/>
      <c r="AX313" s="18"/>
    </row>
    <row r="314" spans="1:50" ht="18.75" customHeight="1" x14ac:dyDescent="0.2">
      <c r="A314" s="4" t="s">
        <v>325</v>
      </c>
      <c r="B314" s="4" t="s">
        <v>326</v>
      </c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1" t="s">
        <v>351</v>
      </c>
      <c r="AB314" s="42" t="s">
        <v>328</v>
      </c>
      <c r="AC314" s="43" t="s">
        <v>61</v>
      </c>
      <c r="AD314" s="43">
        <v>8723052</v>
      </c>
      <c r="AE314" s="44">
        <v>0</v>
      </c>
      <c r="AF314" s="44">
        <v>0</v>
      </c>
      <c r="AG314" s="43">
        <v>36194360</v>
      </c>
      <c r="AH314" s="44">
        <v>0</v>
      </c>
      <c r="AI314" s="18">
        <f>AE314-AF314+AG314-AH314</f>
        <v>36194360</v>
      </c>
      <c r="AJ314" s="18">
        <f>AD314+AI314</f>
        <v>44917412</v>
      </c>
      <c r="AK314" s="44">
        <v>0</v>
      </c>
      <c r="AL314" s="43">
        <f>AM314-AGOSTO!AM312</f>
        <v>425816</v>
      </c>
      <c r="AM314" s="43">
        <v>28000924</v>
      </c>
      <c r="AN314" s="44">
        <v>0</v>
      </c>
      <c r="AO314" s="43">
        <v>425816</v>
      </c>
      <c r="AP314" s="43">
        <v>28000924</v>
      </c>
      <c r="AQ314" s="44">
        <v>0</v>
      </c>
      <c r="AR314" s="44">
        <v>0</v>
      </c>
      <c r="AS314" s="43">
        <v>23487274</v>
      </c>
      <c r="AT314" s="39">
        <f t="shared" ref="AT314" si="162">AQ314+AS314</f>
        <v>23487274</v>
      </c>
      <c r="AU314" s="18">
        <f>AJ314-AM314</f>
        <v>16916488</v>
      </c>
      <c r="AV314" s="34">
        <f>AM314-AP314</f>
        <v>0</v>
      </c>
      <c r="AW314" s="18">
        <f>AP314-AT314</f>
        <v>4513650</v>
      </c>
      <c r="AX314" s="123">
        <f>AP314/AJ314</f>
        <v>0.62338685051578657</v>
      </c>
    </row>
    <row r="315" spans="1:50" ht="18.75" customHeight="1" x14ac:dyDescent="0.2">
      <c r="AA315" s="28" t="s">
        <v>288</v>
      </c>
      <c r="AB315" s="29" t="s">
        <v>71</v>
      </c>
      <c r="AC315" s="17"/>
      <c r="AD315" s="18"/>
      <c r="AE315" s="34"/>
      <c r="AF315" s="34"/>
      <c r="AG315" s="34"/>
      <c r="AH315" s="34"/>
      <c r="AI315" s="34"/>
      <c r="AJ315" s="18"/>
      <c r="AK315" s="34"/>
      <c r="AL315" s="18"/>
      <c r="AM315" s="18"/>
      <c r="AN315" s="34"/>
      <c r="AO315" s="18"/>
      <c r="AP315" s="18"/>
      <c r="AQ315" s="34"/>
      <c r="AR315" s="18"/>
      <c r="AS315" s="18"/>
      <c r="AT315" s="39"/>
      <c r="AU315" s="18"/>
      <c r="AV315" s="18"/>
      <c r="AW315" s="18"/>
      <c r="AX315" s="18"/>
    </row>
    <row r="316" spans="1:50" ht="18.75" customHeight="1" x14ac:dyDescent="0.2">
      <c r="A316" s="4" t="s">
        <v>325</v>
      </c>
      <c r="B316" s="4" t="s">
        <v>326</v>
      </c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1" t="s">
        <v>327</v>
      </c>
      <c r="AB316" s="42" t="s">
        <v>328</v>
      </c>
      <c r="AC316" s="43" t="s">
        <v>61</v>
      </c>
      <c r="AD316" s="43">
        <v>5466979223</v>
      </c>
      <c r="AE316" s="44">
        <v>0</v>
      </c>
      <c r="AF316" s="44">
        <v>0</v>
      </c>
      <c r="AG316" s="44">
        <v>0</v>
      </c>
      <c r="AH316" s="44">
        <v>0</v>
      </c>
      <c r="AI316" s="34">
        <f>AE316-AF316+AG316-AH316</f>
        <v>0</v>
      </c>
      <c r="AJ316" s="18">
        <f>AD316+AI316</f>
        <v>5466979223</v>
      </c>
      <c r="AK316" s="44">
        <v>0</v>
      </c>
      <c r="AL316" s="43">
        <f>AM316-AGOSTO!AM314</f>
        <v>244048433</v>
      </c>
      <c r="AM316" s="43">
        <v>5162669454</v>
      </c>
      <c r="AN316" s="44">
        <v>0</v>
      </c>
      <c r="AO316" s="43">
        <v>244048433</v>
      </c>
      <c r="AP316" s="43">
        <v>5162669454</v>
      </c>
      <c r="AQ316" s="44">
        <v>0</v>
      </c>
      <c r="AR316" s="44">
        <v>0</v>
      </c>
      <c r="AS316" s="43">
        <v>126907068</v>
      </c>
      <c r="AT316" s="39">
        <f t="shared" ref="AT316" si="163">AQ316+AS316</f>
        <v>126907068</v>
      </c>
      <c r="AU316" s="18">
        <f>AJ316-AM316</f>
        <v>304309769</v>
      </c>
      <c r="AV316" s="34">
        <f>AM316-AP316</f>
        <v>0</v>
      </c>
      <c r="AW316" s="18">
        <f>AP316-AT316</f>
        <v>5035762386</v>
      </c>
      <c r="AX316" s="123">
        <f>AP316/AJ316</f>
        <v>0.94433676138373723</v>
      </c>
    </row>
    <row r="317" spans="1:50" ht="18.75" customHeight="1" x14ac:dyDescent="0.2">
      <c r="AA317" s="28" t="s">
        <v>288</v>
      </c>
      <c r="AB317" s="29" t="s">
        <v>76</v>
      </c>
      <c r="AC317" s="17"/>
      <c r="AD317" s="18"/>
      <c r="AE317" s="34"/>
      <c r="AF317" s="34"/>
      <c r="AG317" s="34"/>
      <c r="AH317" s="34"/>
      <c r="AI317" s="34"/>
      <c r="AJ317" s="18"/>
      <c r="AK317" s="34"/>
      <c r="AL317" s="18"/>
      <c r="AM317" s="18"/>
      <c r="AN317" s="34"/>
      <c r="AO317" s="18"/>
      <c r="AP317" s="18"/>
      <c r="AQ317" s="18"/>
      <c r="AR317" s="34"/>
      <c r="AS317" s="18"/>
      <c r="AT317" s="39"/>
      <c r="AU317" s="18"/>
      <c r="AV317" s="18"/>
      <c r="AW317" s="34"/>
      <c r="AX317" s="18"/>
    </row>
    <row r="318" spans="1:50" ht="18.75" customHeight="1" x14ac:dyDescent="0.2">
      <c r="A318" s="4" t="s">
        <v>325</v>
      </c>
      <c r="B318" s="4" t="s">
        <v>326</v>
      </c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1" t="s">
        <v>329</v>
      </c>
      <c r="AB318" s="42" t="s">
        <v>328</v>
      </c>
      <c r="AC318" s="43" t="s">
        <v>61</v>
      </c>
      <c r="AD318" s="43">
        <v>3964855703</v>
      </c>
      <c r="AE318" s="44">
        <v>0</v>
      </c>
      <c r="AF318" s="44">
        <v>0</v>
      </c>
      <c r="AG318" s="44">
        <v>0</v>
      </c>
      <c r="AH318" s="44">
        <v>0</v>
      </c>
      <c r="AI318" s="34">
        <f>AE318-AF318+AG318-AH318</f>
        <v>0</v>
      </c>
      <c r="AJ318" s="18">
        <f>AD318+AI318</f>
        <v>3964855703</v>
      </c>
      <c r="AK318" s="44">
        <v>0</v>
      </c>
      <c r="AL318" s="43">
        <f>AM318-AGOSTO!AM316</f>
        <v>1419127679</v>
      </c>
      <c r="AM318" s="43">
        <v>3824606722</v>
      </c>
      <c r="AN318" s="44">
        <v>0</v>
      </c>
      <c r="AO318" s="43">
        <v>1419127679</v>
      </c>
      <c r="AP318" s="43">
        <v>3824606722</v>
      </c>
      <c r="AQ318" s="44">
        <v>0</v>
      </c>
      <c r="AR318" s="44">
        <v>0</v>
      </c>
      <c r="AS318" s="43">
        <v>2073648557</v>
      </c>
      <c r="AT318" s="39">
        <f t="shared" ref="AT318" si="164">AQ318+AS318</f>
        <v>2073648557</v>
      </c>
      <c r="AU318" s="18">
        <f>AJ318-AM318</f>
        <v>140248981</v>
      </c>
      <c r="AV318" s="34">
        <f>AM318-AP318</f>
        <v>0</v>
      </c>
      <c r="AW318" s="18">
        <f>AP318-AT318</f>
        <v>1750958165</v>
      </c>
      <c r="AX318" s="123">
        <f>AP318/AJ318</f>
        <v>0.96462696463483377</v>
      </c>
    </row>
    <row r="319" spans="1:50" ht="18.75" customHeight="1" x14ac:dyDescent="0.2">
      <c r="AA319" s="16"/>
      <c r="AB319" s="29" t="s">
        <v>81</v>
      </c>
      <c r="AC319" s="17"/>
      <c r="AD319" s="18"/>
      <c r="AE319" s="34"/>
      <c r="AF319" s="34"/>
      <c r="AG319" s="34"/>
      <c r="AH319" s="34"/>
      <c r="AI319" s="34"/>
      <c r="AJ319" s="18"/>
      <c r="AK319" s="34"/>
      <c r="AL319" s="18"/>
      <c r="AM319" s="18"/>
      <c r="AN319" s="34"/>
      <c r="AO319" s="18"/>
      <c r="AP319" s="18"/>
      <c r="AQ319" s="34"/>
      <c r="AR319" s="34"/>
      <c r="AS319" s="18"/>
      <c r="AT319" s="30"/>
      <c r="AU319" s="18"/>
      <c r="AV319" s="18"/>
      <c r="AW319" s="34"/>
      <c r="AX319" s="18"/>
    </row>
    <row r="320" spans="1:50" ht="18.75" customHeight="1" x14ac:dyDescent="0.2">
      <c r="AA320" s="28" t="s">
        <v>288</v>
      </c>
      <c r="AB320" s="29" t="s">
        <v>83</v>
      </c>
      <c r="AC320" s="17"/>
      <c r="AD320" s="18"/>
      <c r="AE320" s="34"/>
      <c r="AF320" s="34"/>
      <c r="AG320" s="34"/>
      <c r="AH320" s="34"/>
      <c r="AI320" s="34"/>
      <c r="AJ320" s="18"/>
      <c r="AK320" s="34"/>
      <c r="AL320" s="18"/>
      <c r="AM320" s="18"/>
      <c r="AN320" s="34"/>
      <c r="AO320" s="18"/>
      <c r="AP320" s="18"/>
      <c r="AQ320" s="34"/>
      <c r="AR320" s="34"/>
      <c r="AS320" s="18"/>
      <c r="AT320" s="30"/>
      <c r="AU320" s="18"/>
      <c r="AV320" s="18"/>
      <c r="AW320" s="34"/>
      <c r="AX320" s="18"/>
    </row>
    <row r="321" spans="1:50" ht="18.75" customHeight="1" x14ac:dyDescent="0.2">
      <c r="A321" s="4" t="s">
        <v>325</v>
      </c>
      <c r="B321" s="4" t="s">
        <v>326</v>
      </c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1" t="s">
        <v>330</v>
      </c>
      <c r="AB321" s="42" t="s">
        <v>328</v>
      </c>
      <c r="AC321" s="43" t="s">
        <v>61</v>
      </c>
      <c r="AD321" s="43">
        <v>11363953497</v>
      </c>
      <c r="AE321" s="44">
        <v>0</v>
      </c>
      <c r="AF321" s="44">
        <v>0</v>
      </c>
      <c r="AG321" s="44">
        <v>0</v>
      </c>
      <c r="AH321" s="44">
        <v>0</v>
      </c>
      <c r="AI321" s="34">
        <f>AE321-AF321+AG321-AH321</f>
        <v>0</v>
      </c>
      <c r="AJ321" s="18">
        <f>AD321+AI321</f>
        <v>11363953497</v>
      </c>
      <c r="AK321" s="44">
        <v>0</v>
      </c>
      <c r="AL321" s="43">
        <f>AM321-AGOSTO!AM319</f>
        <v>18238162</v>
      </c>
      <c r="AM321" s="43">
        <v>174172400</v>
      </c>
      <c r="AN321" s="44">
        <v>0</v>
      </c>
      <c r="AO321" s="43">
        <v>18238162</v>
      </c>
      <c r="AP321" s="43">
        <v>174172400</v>
      </c>
      <c r="AQ321" s="44">
        <v>0</v>
      </c>
      <c r="AR321" s="44">
        <v>0</v>
      </c>
      <c r="AS321" s="43">
        <v>121093358</v>
      </c>
      <c r="AT321" s="39">
        <f t="shared" ref="AT321" si="165">AQ321+AS321</f>
        <v>121093358</v>
      </c>
      <c r="AU321" s="18">
        <f>AJ321-AM321</f>
        <v>11189781097</v>
      </c>
      <c r="AV321" s="34">
        <f>AM321-AP321</f>
        <v>0</v>
      </c>
      <c r="AW321" s="18">
        <f>AP321-AT321</f>
        <v>53079042</v>
      </c>
      <c r="AX321" s="123">
        <f>AP321/AJ321</f>
        <v>1.5326743465289632E-2</v>
      </c>
    </row>
    <row r="322" spans="1:50" ht="18.75" customHeight="1" x14ac:dyDescent="0.2">
      <c r="AA322" s="28" t="s">
        <v>288</v>
      </c>
      <c r="AB322" s="29" t="s">
        <v>88</v>
      </c>
      <c r="AC322" s="17"/>
      <c r="AD322" s="18"/>
      <c r="AE322" s="34"/>
      <c r="AF322" s="34"/>
      <c r="AG322" s="34"/>
      <c r="AH322" s="34"/>
      <c r="AI322" s="34"/>
      <c r="AJ322" s="18"/>
      <c r="AK322" s="34"/>
      <c r="AL322" s="18"/>
      <c r="AM322" s="18"/>
      <c r="AN322" s="34"/>
      <c r="AO322" s="18"/>
      <c r="AP322" s="18"/>
      <c r="AQ322" s="34"/>
      <c r="AR322" s="18"/>
      <c r="AS322" s="18"/>
      <c r="AT322" s="30"/>
      <c r="AU322" s="18"/>
      <c r="AV322" s="18"/>
      <c r="AW322" s="18"/>
      <c r="AX322" s="18"/>
    </row>
    <row r="323" spans="1:50" ht="18.75" customHeight="1" x14ac:dyDescent="0.2">
      <c r="A323" s="4" t="s">
        <v>325</v>
      </c>
      <c r="B323" s="4" t="s">
        <v>326</v>
      </c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1" t="s">
        <v>331</v>
      </c>
      <c r="AB323" s="42" t="s">
        <v>328</v>
      </c>
      <c r="AC323" s="43" t="s">
        <v>61</v>
      </c>
      <c r="AD323" s="43">
        <v>5983405720</v>
      </c>
      <c r="AE323" s="44">
        <v>0</v>
      </c>
      <c r="AF323" s="44">
        <v>0</v>
      </c>
      <c r="AG323" s="44">
        <v>0</v>
      </c>
      <c r="AH323" s="44">
        <v>0</v>
      </c>
      <c r="AI323" s="34">
        <f>AE323-AF323+AG323-AH323</f>
        <v>0</v>
      </c>
      <c r="AJ323" s="18">
        <f>AD323+AI323</f>
        <v>5983405720</v>
      </c>
      <c r="AK323" s="44">
        <v>0</v>
      </c>
      <c r="AL323" s="44">
        <f>AM323-AGOSTO!AM321</f>
        <v>0</v>
      </c>
      <c r="AM323" s="43">
        <v>4225408</v>
      </c>
      <c r="AN323" s="44">
        <v>0</v>
      </c>
      <c r="AO323" s="44">
        <v>0</v>
      </c>
      <c r="AP323" s="43">
        <v>4225408</v>
      </c>
      <c r="AQ323" s="44">
        <v>0</v>
      </c>
      <c r="AR323" s="44">
        <v>0</v>
      </c>
      <c r="AS323" s="43">
        <v>4225408</v>
      </c>
      <c r="AT323" s="39">
        <f t="shared" ref="AT323" si="166">AQ323+AS323</f>
        <v>4225408</v>
      </c>
      <c r="AU323" s="18">
        <f>AJ323-AM323</f>
        <v>5979180312</v>
      </c>
      <c r="AV323" s="34">
        <f>AM323-AP323</f>
        <v>0</v>
      </c>
      <c r="AW323" s="34">
        <f>AP323-AT323</f>
        <v>0</v>
      </c>
      <c r="AX323" s="123">
        <f>AP323/AJ323</f>
        <v>7.0618777962461155E-4</v>
      </c>
    </row>
    <row r="324" spans="1:50" ht="18.75" customHeight="1" x14ac:dyDescent="0.2">
      <c r="AA324" s="16"/>
      <c r="AB324" s="29" t="s">
        <v>103</v>
      </c>
      <c r="AC324" s="17"/>
      <c r="AD324" s="18"/>
      <c r="AE324" s="34"/>
      <c r="AF324" s="34"/>
      <c r="AG324" s="34"/>
      <c r="AH324" s="34"/>
      <c r="AI324" s="34"/>
      <c r="AJ324" s="18"/>
      <c r="AK324" s="34"/>
      <c r="AL324" s="18"/>
      <c r="AM324" s="18"/>
      <c r="AN324" s="34"/>
      <c r="AO324" s="18"/>
      <c r="AP324" s="18"/>
      <c r="AQ324" s="18"/>
      <c r="AR324" s="18"/>
      <c r="AS324" s="18"/>
      <c r="AT324" s="30"/>
      <c r="AU324" s="18"/>
      <c r="AV324" s="18"/>
      <c r="AW324" s="34"/>
      <c r="AX324" s="18"/>
    </row>
    <row r="325" spans="1:50" ht="18.75" customHeight="1" x14ac:dyDescent="0.2">
      <c r="AA325" s="28" t="s">
        <v>288</v>
      </c>
      <c r="AB325" s="29" t="s">
        <v>352</v>
      </c>
      <c r="AC325" s="17"/>
      <c r="AD325" s="18"/>
      <c r="AE325" s="34"/>
      <c r="AF325" s="34"/>
      <c r="AG325" s="34"/>
      <c r="AH325" s="34"/>
      <c r="AI325" s="34"/>
      <c r="AJ325" s="18"/>
      <c r="AK325" s="34"/>
      <c r="AL325" s="18"/>
      <c r="AM325" s="18"/>
      <c r="AN325" s="34"/>
      <c r="AO325" s="18"/>
      <c r="AP325" s="18"/>
      <c r="AQ325" s="18"/>
      <c r="AR325" s="18"/>
      <c r="AS325" s="18"/>
      <c r="AT325" s="30"/>
      <c r="AU325" s="18"/>
      <c r="AV325" s="18"/>
      <c r="AW325" s="34"/>
      <c r="AX325" s="18"/>
    </row>
    <row r="326" spans="1:50" ht="18.75" customHeight="1" x14ac:dyDescent="0.2">
      <c r="A326" s="4" t="s">
        <v>325</v>
      </c>
      <c r="B326" s="4" t="s">
        <v>326</v>
      </c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1" t="s">
        <v>332</v>
      </c>
      <c r="AB326" s="42" t="s">
        <v>328</v>
      </c>
      <c r="AC326" s="43" t="s">
        <v>61</v>
      </c>
      <c r="AD326" s="43">
        <v>13134738179</v>
      </c>
      <c r="AE326" s="44">
        <v>0</v>
      </c>
      <c r="AF326" s="44">
        <v>0</v>
      </c>
      <c r="AG326" s="44">
        <v>0</v>
      </c>
      <c r="AH326" s="44">
        <v>0</v>
      </c>
      <c r="AI326" s="44">
        <v>0</v>
      </c>
      <c r="AJ326" s="43">
        <v>13134738179</v>
      </c>
      <c r="AK326" s="44">
        <v>0</v>
      </c>
      <c r="AL326" s="43">
        <f>AM326-AGOSTO!AM324</f>
        <v>1159705118</v>
      </c>
      <c r="AM326" s="43">
        <v>7655934948.96</v>
      </c>
      <c r="AN326" s="44">
        <v>0</v>
      </c>
      <c r="AO326" s="43">
        <v>1159705118</v>
      </c>
      <c r="AP326" s="43">
        <v>7655934948.96</v>
      </c>
      <c r="AQ326" s="44">
        <v>0</v>
      </c>
      <c r="AR326" s="44">
        <v>0</v>
      </c>
      <c r="AS326" s="43">
        <v>6496229830.96</v>
      </c>
      <c r="AT326" s="39">
        <f t="shared" ref="AT326" si="167">AQ326+AS326</f>
        <v>6496229830.96</v>
      </c>
      <c r="AU326" s="18">
        <f>AJ326-AM326</f>
        <v>5478803230.04</v>
      </c>
      <c r="AV326" s="34">
        <f>AM326-AP326</f>
        <v>0</v>
      </c>
      <c r="AW326" s="18">
        <f>AP326-AT326</f>
        <v>1159705118</v>
      </c>
      <c r="AX326" s="123">
        <f>AP326/AJ326</f>
        <v>0.58287686017224261</v>
      </c>
    </row>
    <row r="327" spans="1:50" ht="18.75" customHeight="1" x14ac:dyDescent="0.2">
      <c r="AA327" s="28" t="s">
        <v>288</v>
      </c>
      <c r="AB327" s="29" t="s">
        <v>353</v>
      </c>
      <c r="AC327" s="17"/>
      <c r="AD327" s="18"/>
      <c r="AE327" s="34"/>
      <c r="AF327" s="34"/>
      <c r="AG327" s="34"/>
      <c r="AH327" s="34"/>
      <c r="AI327" s="34"/>
      <c r="AJ327" s="18"/>
      <c r="AK327" s="34"/>
      <c r="AL327" s="18"/>
      <c r="AM327" s="18"/>
      <c r="AN327" s="34"/>
      <c r="AO327" s="18"/>
      <c r="AP327" s="18"/>
      <c r="AQ327" s="34"/>
      <c r="AR327" s="18"/>
      <c r="AS327" s="18"/>
      <c r="AT327" s="30"/>
      <c r="AU327" s="18"/>
      <c r="AV327" s="18"/>
      <c r="AW327" s="18"/>
      <c r="AX327" s="18"/>
    </row>
    <row r="328" spans="1:50" ht="18.75" customHeight="1" x14ac:dyDescent="0.2">
      <c r="A328" s="4" t="s">
        <v>325</v>
      </c>
      <c r="B328" s="4" t="s">
        <v>326</v>
      </c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1" t="s">
        <v>334</v>
      </c>
      <c r="AB328" s="42" t="s">
        <v>328</v>
      </c>
      <c r="AC328" s="43" t="s">
        <v>61</v>
      </c>
      <c r="AD328" s="43">
        <v>9662336131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3">
        <v>9662336131</v>
      </c>
      <c r="AK328" s="44">
        <v>0</v>
      </c>
      <c r="AL328" s="43">
        <f>AM328-AGOSTO!AM326</f>
        <v>1232195240</v>
      </c>
      <c r="AM328" s="43">
        <v>7932730912.04</v>
      </c>
      <c r="AN328" s="44">
        <v>0</v>
      </c>
      <c r="AO328" s="43">
        <v>1232195240</v>
      </c>
      <c r="AP328" s="43">
        <v>7932730912.04</v>
      </c>
      <c r="AQ328" s="44">
        <v>0</v>
      </c>
      <c r="AR328" s="44">
        <v>0</v>
      </c>
      <c r="AS328" s="43">
        <v>6700535672.04</v>
      </c>
      <c r="AT328" s="39">
        <f t="shared" ref="AT328" si="168">AQ328+AS328</f>
        <v>6700535672.04</v>
      </c>
      <c r="AU328" s="18">
        <f>AJ328-AM328</f>
        <v>1729605218.96</v>
      </c>
      <c r="AV328" s="34">
        <f>AM328-AP328</f>
        <v>0</v>
      </c>
      <c r="AW328" s="18">
        <f>AP328-AT328</f>
        <v>1232195240</v>
      </c>
      <c r="AX328" s="123">
        <f>AP328/AJ328</f>
        <v>0.82099513042080485</v>
      </c>
    </row>
    <row r="329" spans="1:50" ht="18.75" customHeight="1" x14ac:dyDescent="0.2">
      <c r="AA329" s="28" t="s">
        <v>288</v>
      </c>
      <c r="AB329" s="29" t="s">
        <v>354</v>
      </c>
      <c r="AC329" s="17"/>
      <c r="AD329" s="18"/>
      <c r="AE329" s="34"/>
      <c r="AF329" s="34"/>
      <c r="AG329" s="34"/>
      <c r="AH329" s="34"/>
      <c r="AI329" s="34"/>
      <c r="AJ329" s="18"/>
      <c r="AK329" s="34"/>
      <c r="AL329" s="18"/>
      <c r="AM329" s="18"/>
      <c r="AN329" s="34"/>
      <c r="AO329" s="18"/>
      <c r="AP329" s="18"/>
      <c r="AQ329" s="34"/>
      <c r="AR329" s="18"/>
      <c r="AS329" s="18"/>
      <c r="AT329" s="30"/>
      <c r="AU329" s="18"/>
      <c r="AV329" s="18"/>
      <c r="AW329" s="18"/>
      <c r="AX329" s="18"/>
    </row>
    <row r="330" spans="1:50" ht="18.75" customHeight="1" x14ac:dyDescent="0.2">
      <c r="A330" s="4" t="s">
        <v>325</v>
      </c>
      <c r="B330" s="4" t="s">
        <v>326</v>
      </c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1" t="s">
        <v>335</v>
      </c>
      <c r="AB330" s="42" t="s">
        <v>328</v>
      </c>
      <c r="AC330" s="43" t="s">
        <v>61</v>
      </c>
      <c r="AD330" s="43">
        <v>8037478566</v>
      </c>
      <c r="AE330" s="44">
        <v>0</v>
      </c>
      <c r="AF330" s="44">
        <v>0</v>
      </c>
      <c r="AG330" s="44">
        <v>0</v>
      </c>
      <c r="AH330" s="44">
        <v>0</v>
      </c>
      <c r="AI330" s="44">
        <v>0</v>
      </c>
      <c r="AJ330" s="43">
        <v>8037478566</v>
      </c>
      <c r="AK330" s="44">
        <v>0</v>
      </c>
      <c r="AL330" s="43">
        <f>AM330-AGOSTO!AM328</f>
        <v>946692271</v>
      </c>
      <c r="AM330" s="43">
        <v>8037478566</v>
      </c>
      <c r="AN330" s="44">
        <v>0</v>
      </c>
      <c r="AO330" s="43">
        <v>946692271</v>
      </c>
      <c r="AP330" s="43">
        <v>8037478566</v>
      </c>
      <c r="AQ330" s="44">
        <v>0</v>
      </c>
      <c r="AR330" s="44">
        <v>0</v>
      </c>
      <c r="AS330" s="43">
        <v>7090786295</v>
      </c>
      <c r="AT330" s="39">
        <f t="shared" ref="AT330" si="169">AQ330+AS330</f>
        <v>7090786295</v>
      </c>
      <c r="AU330" s="34">
        <f>AJ330-AM330</f>
        <v>0</v>
      </c>
      <c r="AV330" s="34">
        <f>AM330-AP330</f>
        <v>0</v>
      </c>
      <c r="AW330" s="18">
        <f>AP330-AT330</f>
        <v>946692271</v>
      </c>
      <c r="AX330" s="123">
        <f>AP330/AJ330</f>
        <v>1</v>
      </c>
    </row>
    <row r="331" spans="1:50" ht="18.75" customHeight="1" x14ac:dyDescent="0.2">
      <c r="AA331" s="28" t="s">
        <v>288</v>
      </c>
      <c r="AB331" s="29" t="s">
        <v>119</v>
      </c>
      <c r="AC331" s="17"/>
      <c r="AD331" s="18"/>
      <c r="AE331" s="34"/>
      <c r="AF331" s="34"/>
      <c r="AG331" s="34"/>
      <c r="AH331" s="34"/>
      <c r="AI331" s="34"/>
      <c r="AJ331" s="18"/>
      <c r="AK331" s="34"/>
      <c r="AL331" s="18"/>
      <c r="AM331" s="18"/>
      <c r="AN331" s="34"/>
      <c r="AO331" s="18"/>
      <c r="AP331" s="18"/>
      <c r="AQ331" s="110"/>
      <c r="AR331" s="110"/>
      <c r="AS331" s="110"/>
      <c r="AT331" s="30"/>
      <c r="AU331" s="18"/>
      <c r="AV331" s="18"/>
      <c r="AW331" s="133"/>
      <c r="AX331" s="18"/>
    </row>
    <row r="332" spans="1:50" ht="18.75" customHeight="1" x14ac:dyDescent="0.2">
      <c r="A332" s="4" t="s">
        <v>325</v>
      </c>
      <c r="B332" s="4" t="s">
        <v>326</v>
      </c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1" t="s">
        <v>336</v>
      </c>
      <c r="AB332" s="42" t="s">
        <v>328</v>
      </c>
      <c r="AC332" s="43" t="s">
        <v>61</v>
      </c>
      <c r="AD332" s="43">
        <v>5595577790</v>
      </c>
      <c r="AE332" s="44">
        <v>0</v>
      </c>
      <c r="AF332" s="44">
        <v>0</v>
      </c>
      <c r="AG332" s="44">
        <v>0</v>
      </c>
      <c r="AH332" s="44">
        <v>0</v>
      </c>
      <c r="AI332" s="44">
        <v>0</v>
      </c>
      <c r="AJ332" s="43">
        <v>5595577790</v>
      </c>
      <c r="AK332" s="44">
        <v>0</v>
      </c>
      <c r="AL332" s="43">
        <f>AM332-AGOSTO!AM330</f>
        <v>583731766</v>
      </c>
      <c r="AM332" s="43">
        <v>3946648266</v>
      </c>
      <c r="AN332" s="44">
        <v>0</v>
      </c>
      <c r="AO332" s="43">
        <v>583731766</v>
      </c>
      <c r="AP332" s="43">
        <v>3946648266</v>
      </c>
      <c r="AQ332" s="115">
        <v>0</v>
      </c>
      <c r="AR332" s="114">
        <v>583731766</v>
      </c>
      <c r="AS332" s="114">
        <v>3946648266</v>
      </c>
      <c r="AT332" s="39">
        <f t="shared" ref="AT332" si="170">AQ332+AS332</f>
        <v>3946648266</v>
      </c>
      <c r="AU332" s="18">
        <f>AJ332-AM332</f>
        <v>1648929524</v>
      </c>
      <c r="AV332" s="34">
        <f>AM332-AP332</f>
        <v>0</v>
      </c>
      <c r="AW332" s="133">
        <f>AP332-AT332</f>
        <v>0</v>
      </c>
      <c r="AX332" s="123">
        <f>AP332/AJ332</f>
        <v>0.70531559279779044</v>
      </c>
    </row>
    <row r="333" spans="1:50" ht="18.75" customHeight="1" x14ac:dyDescent="0.2">
      <c r="AA333" s="28"/>
      <c r="AB333" s="29" t="s">
        <v>124</v>
      </c>
      <c r="AC333" s="17"/>
      <c r="AD333" s="18"/>
      <c r="AE333" s="34"/>
      <c r="AF333" s="34"/>
      <c r="AG333" s="34"/>
      <c r="AH333" s="34"/>
      <c r="AI333" s="34"/>
      <c r="AJ333" s="18"/>
      <c r="AK333" s="34"/>
      <c r="AL333" s="18"/>
      <c r="AM333" s="18"/>
      <c r="AN333" s="34"/>
      <c r="AO333" s="18"/>
      <c r="AP333" s="18"/>
      <c r="AQ333" s="110"/>
      <c r="AR333" s="110"/>
      <c r="AS333" s="110"/>
      <c r="AT333" s="31"/>
      <c r="AU333" s="18"/>
      <c r="AV333" s="18"/>
      <c r="AW333" s="18"/>
      <c r="AX333" s="18"/>
    </row>
    <row r="334" spans="1:50" ht="18.75" customHeight="1" x14ac:dyDescent="0.2">
      <c r="AA334" s="28" t="s">
        <v>288</v>
      </c>
      <c r="AB334" s="29" t="s">
        <v>129</v>
      </c>
      <c r="AC334" s="17"/>
      <c r="AD334" s="18"/>
      <c r="AE334" s="34"/>
      <c r="AF334" s="34"/>
      <c r="AG334" s="34"/>
      <c r="AH334" s="34"/>
      <c r="AI334" s="34"/>
      <c r="AJ334" s="18"/>
      <c r="AK334" s="34"/>
      <c r="AL334" s="18"/>
      <c r="AM334" s="18"/>
      <c r="AN334" s="34"/>
      <c r="AO334" s="18"/>
      <c r="AP334" s="18"/>
      <c r="AQ334" s="110"/>
      <c r="AR334" s="110"/>
      <c r="AS334" s="110"/>
      <c r="AT334" s="31"/>
      <c r="AU334" s="18"/>
      <c r="AV334" s="18"/>
      <c r="AW334" s="18"/>
      <c r="AX334" s="18"/>
    </row>
    <row r="335" spans="1:50" ht="18.75" customHeight="1" x14ac:dyDescent="0.2">
      <c r="A335" s="4" t="s">
        <v>325</v>
      </c>
      <c r="B335" s="4" t="s">
        <v>326</v>
      </c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1" t="s">
        <v>338</v>
      </c>
      <c r="AB335" s="42" t="s">
        <v>328</v>
      </c>
      <c r="AC335" s="43" t="s">
        <v>61</v>
      </c>
      <c r="AD335" s="43">
        <v>4197626620</v>
      </c>
      <c r="AE335" s="44">
        <v>0</v>
      </c>
      <c r="AF335" s="44">
        <v>0</v>
      </c>
      <c r="AG335" s="44">
        <v>0</v>
      </c>
      <c r="AH335" s="44">
        <v>0</v>
      </c>
      <c r="AI335" s="44">
        <v>0</v>
      </c>
      <c r="AJ335" s="43">
        <v>4197626620</v>
      </c>
      <c r="AK335" s="44">
        <v>0</v>
      </c>
      <c r="AL335" s="43">
        <f>AM335-AGOSTO!AM333</f>
        <v>437993153</v>
      </c>
      <c r="AM335" s="43">
        <v>2960532253</v>
      </c>
      <c r="AN335" s="44">
        <v>0</v>
      </c>
      <c r="AO335" s="43">
        <v>437993153</v>
      </c>
      <c r="AP335" s="43">
        <v>2960532253</v>
      </c>
      <c r="AQ335" s="115">
        <v>0</v>
      </c>
      <c r="AR335" s="114">
        <v>437993153</v>
      </c>
      <c r="AS335" s="114">
        <v>2960532253</v>
      </c>
      <c r="AT335" s="39">
        <f t="shared" ref="AT335" si="171">AQ335+AS335</f>
        <v>2960532253</v>
      </c>
      <c r="AU335" s="18">
        <f>AJ335-AM335</f>
        <v>1237094367</v>
      </c>
      <c r="AV335" s="34">
        <f>AM335-AP335</f>
        <v>0</v>
      </c>
      <c r="AW335" s="34">
        <f>AP335-AT335</f>
        <v>0</v>
      </c>
      <c r="AX335" s="123">
        <f>AP335/AJ335</f>
        <v>0.70528718273661029</v>
      </c>
    </row>
    <row r="336" spans="1:50" ht="18.75" customHeight="1" x14ac:dyDescent="0.2">
      <c r="AA336" s="28" t="s">
        <v>288</v>
      </c>
      <c r="AB336" s="29" t="s">
        <v>133</v>
      </c>
      <c r="AC336" s="17"/>
      <c r="AD336" s="18"/>
      <c r="AE336" s="34"/>
      <c r="AF336" s="34"/>
      <c r="AG336" s="34"/>
      <c r="AH336" s="34"/>
      <c r="AI336" s="34"/>
      <c r="AJ336" s="18"/>
      <c r="AK336" s="34"/>
      <c r="AL336" s="18"/>
      <c r="AM336" s="18"/>
      <c r="AN336" s="34"/>
      <c r="AO336" s="18"/>
      <c r="AP336" s="18"/>
      <c r="AQ336" s="133"/>
      <c r="AR336" s="110"/>
      <c r="AS336" s="110"/>
      <c r="AT336" s="31"/>
      <c r="AU336" s="18"/>
      <c r="AV336" s="18"/>
      <c r="AW336" s="34"/>
      <c r="AX336" s="18"/>
    </row>
    <row r="337" spans="1:50" ht="18.75" customHeight="1" x14ac:dyDescent="0.2">
      <c r="A337" s="4" t="s">
        <v>325</v>
      </c>
      <c r="B337" s="4" t="s">
        <v>326</v>
      </c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1" t="s">
        <v>339</v>
      </c>
      <c r="AB337" s="42" t="s">
        <v>328</v>
      </c>
      <c r="AC337" s="43" t="s">
        <v>61</v>
      </c>
      <c r="AD337" s="43">
        <v>701459880</v>
      </c>
      <c r="AE337" s="44">
        <v>0</v>
      </c>
      <c r="AF337" s="44">
        <v>0</v>
      </c>
      <c r="AG337" s="44">
        <v>0</v>
      </c>
      <c r="AH337" s="44">
        <v>0</v>
      </c>
      <c r="AI337" s="44">
        <v>0</v>
      </c>
      <c r="AJ337" s="43">
        <v>701459880</v>
      </c>
      <c r="AK337" s="44">
        <v>0</v>
      </c>
      <c r="AL337" s="43">
        <f>AM337-AGOSTO!AM335</f>
        <v>73302731</v>
      </c>
      <c r="AM337" s="43">
        <v>494959431</v>
      </c>
      <c r="AN337" s="44">
        <v>0</v>
      </c>
      <c r="AO337" s="43">
        <v>73302731</v>
      </c>
      <c r="AP337" s="43">
        <v>494959431</v>
      </c>
      <c r="AQ337" s="115">
        <v>0</v>
      </c>
      <c r="AR337" s="114">
        <v>73302731</v>
      </c>
      <c r="AS337" s="114">
        <v>494959431</v>
      </c>
      <c r="AT337" s="39">
        <f t="shared" ref="AT337" si="172">AQ337+AS337</f>
        <v>494959431</v>
      </c>
      <c r="AU337" s="18">
        <f>AJ337-AM337</f>
        <v>206500449</v>
      </c>
      <c r="AV337" s="34">
        <f>AM337-AP337</f>
        <v>0</v>
      </c>
      <c r="AW337" s="34">
        <f>AP337-AT337</f>
        <v>0</v>
      </c>
      <c r="AX337" s="123">
        <f>AP337/AJ337</f>
        <v>0.70561331462036003</v>
      </c>
    </row>
    <row r="338" spans="1:50" ht="18.75" customHeight="1" x14ac:dyDescent="0.2">
      <c r="AA338" s="28" t="s">
        <v>288</v>
      </c>
      <c r="AB338" s="29" t="s">
        <v>138</v>
      </c>
      <c r="AC338" s="17"/>
      <c r="AD338" s="18"/>
      <c r="AE338" s="34"/>
      <c r="AF338" s="34"/>
      <c r="AG338" s="34"/>
      <c r="AH338" s="34"/>
      <c r="AI338" s="34"/>
      <c r="AJ338" s="18"/>
      <c r="AK338" s="34"/>
      <c r="AL338" s="18"/>
      <c r="AM338" s="18"/>
      <c r="AN338" s="34"/>
      <c r="AO338" s="18"/>
      <c r="AP338" s="18"/>
      <c r="AQ338" s="133"/>
      <c r="AR338" s="110"/>
      <c r="AS338" s="110"/>
      <c r="AT338" s="31"/>
      <c r="AU338" s="18"/>
      <c r="AV338" s="18"/>
      <c r="AW338" s="34"/>
      <c r="AX338" s="18"/>
    </row>
    <row r="339" spans="1:50" ht="18.75" customHeight="1" x14ac:dyDescent="0.2">
      <c r="A339" s="4" t="s">
        <v>325</v>
      </c>
      <c r="B339" s="4" t="s">
        <v>326</v>
      </c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1" t="s">
        <v>340</v>
      </c>
      <c r="AB339" s="42" t="s">
        <v>328</v>
      </c>
      <c r="AC339" s="43" t="s">
        <v>61</v>
      </c>
      <c r="AD339" s="43">
        <v>701459880</v>
      </c>
      <c r="AE339" s="44">
        <v>0</v>
      </c>
      <c r="AF339" s="44">
        <v>0</v>
      </c>
      <c r="AG339" s="44">
        <v>0</v>
      </c>
      <c r="AH339" s="44">
        <v>0</v>
      </c>
      <c r="AI339" s="44">
        <v>0</v>
      </c>
      <c r="AJ339" s="43">
        <v>701459880</v>
      </c>
      <c r="AK339" s="44">
        <v>0</v>
      </c>
      <c r="AL339" s="43">
        <f>AM339-AGOSTO!AM337</f>
        <v>73302731</v>
      </c>
      <c r="AM339" s="43">
        <v>494959431</v>
      </c>
      <c r="AN339" s="44">
        <v>0</v>
      </c>
      <c r="AO339" s="43">
        <v>73302731</v>
      </c>
      <c r="AP339" s="43">
        <v>494959431</v>
      </c>
      <c r="AQ339" s="115">
        <v>0</v>
      </c>
      <c r="AR339" s="114">
        <v>73302731</v>
      </c>
      <c r="AS339" s="114">
        <v>494959431</v>
      </c>
      <c r="AT339" s="39">
        <f t="shared" ref="AT339:AT376" si="173">AQ339+AS339</f>
        <v>494959431</v>
      </c>
      <c r="AU339" s="18">
        <f>AJ339-AM339</f>
        <v>206500449</v>
      </c>
      <c r="AV339" s="34">
        <f>AM339-AP339</f>
        <v>0</v>
      </c>
      <c r="AW339" s="34">
        <f>AP339-AT339</f>
        <v>0</v>
      </c>
      <c r="AX339" s="123">
        <f>AP339/AJ339</f>
        <v>0.70561331462036003</v>
      </c>
    </row>
    <row r="340" spans="1:50" ht="25.5" x14ac:dyDescent="0.2">
      <c r="AA340" s="28" t="s">
        <v>288</v>
      </c>
      <c r="AB340" s="29" t="s">
        <v>145</v>
      </c>
      <c r="AC340" s="17"/>
      <c r="AD340" s="18"/>
      <c r="AE340" s="34"/>
      <c r="AF340" s="34"/>
      <c r="AG340" s="34"/>
      <c r="AH340" s="34"/>
      <c r="AI340" s="34"/>
      <c r="AJ340" s="18"/>
      <c r="AK340" s="34"/>
      <c r="AL340" s="18"/>
      <c r="AM340" s="18"/>
      <c r="AN340" s="34"/>
      <c r="AO340" s="18"/>
      <c r="AP340" s="18"/>
      <c r="AQ340" s="133"/>
      <c r="AR340" s="110"/>
      <c r="AS340" s="110"/>
      <c r="AT340" s="31"/>
      <c r="AU340" s="18"/>
      <c r="AV340" s="18"/>
      <c r="AW340" s="34"/>
      <c r="AX340" s="18"/>
    </row>
    <row r="341" spans="1:50" ht="18.75" customHeight="1" x14ac:dyDescent="0.2">
      <c r="A341" s="4" t="s">
        <v>325</v>
      </c>
      <c r="B341" s="4" t="s">
        <v>326</v>
      </c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1" t="s">
        <v>341</v>
      </c>
      <c r="AB341" s="42" t="s">
        <v>328</v>
      </c>
      <c r="AC341" s="43" t="s">
        <v>61</v>
      </c>
      <c r="AD341" s="43">
        <v>1400409285</v>
      </c>
      <c r="AE341" s="44">
        <v>0</v>
      </c>
      <c r="AF341" s="44">
        <v>0</v>
      </c>
      <c r="AG341" s="44">
        <v>0</v>
      </c>
      <c r="AH341" s="44">
        <v>0</v>
      </c>
      <c r="AI341" s="44">
        <v>0</v>
      </c>
      <c r="AJ341" s="43">
        <v>1400409285</v>
      </c>
      <c r="AK341" s="44">
        <v>0</v>
      </c>
      <c r="AL341" s="43">
        <f>AM341-AGOSTO!AM339</f>
        <v>146423192</v>
      </c>
      <c r="AM341" s="43">
        <v>988082692</v>
      </c>
      <c r="AN341" s="44">
        <v>0</v>
      </c>
      <c r="AO341" s="43">
        <v>146423192</v>
      </c>
      <c r="AP341" s="43">
        <v>988082692</v>
      </c>
      <c r="AQ341" s="115">
        <v>0</v>
      </c>
      <c r="AR341" s="114">
        <v>146423192</v>
      </c>
      <c r="AS341" s="114">
        <v>988082692</v>
      </c>
      <c r="AT341" s="39">
        <f t="shared" si="173"/>
        <v>988082692</v>
      </c>
      <c r="AU341" s="18">
        <f>AJ341-AM341</f>
        <v>412326593</v>
      </c>
      <c r="AV341" s="34">
        <f>AM341-AP341</f>
        <v>0</v>
      </c>
      <c r="AW341" s="34">
        <f>AP341-AT341</f>
        <v>0</v>
      </c>
      <c r="AX341" s="123">
        <f>AP341/AJ341</f>
        <v>0.70556708141220303</v>
      </c>
    </row>
    <row r="342" spans="1:50" ht="28.5" customHeight="1" x14ac:dyDescent="0.2">
      <c r="AA342" s="16"/>
      <c r="AB342" s="29" t="s">
        <v>149</v>
      </c>
      <c r="AC342" s="17"/>
      <c r="AD342" s="18"/>
      <c r="AE342" s="34"/>
      <c r="AF342" s="34"/>
      <c r="AG342" s="34"/>
      <c r="AH342" s="34"/>
      <c r="AI342" s="34"/>
      <c r="AJ342" s="18"/>
      <c r="AK342" s="34"/>
      <c r="AL342" s="18"/>
      <c r="AM342" s="18"/>
      <c r="AN342" s="34"/>
      <c r="AO342" s="18"/>
      <c r="AP342" s="18"/>
      <c r="AQ342" s="34"/>
      <c r="AR342" s="34"/>
      <c r="AS342" s="34"/>
      <c r="AT342" s="31"/>
      <c r="AU342" s="18"/>
      <c r="AV342" s="18"/>
      <c r="AW342" s="18"/>
      <c r="AX342" s="18"/>
    </row>
    <row r="343" spans="1:50" ht="18.75" customHeight="1" x14ac:dyDescent="0.2">
      <c r="AA343" s="16"/>
      <c r="AB343" s="29" t="s">
        <v>81</v>
      </c>
      <c r="AC343" s="17"/>
      <c r="AD343" s="18"/>
      <c r="AE343" s="34"/>
      <c r="AF343" s="34"/>
      <c r="AG343" s="34"/>
      <c r="AH343" s="34"/>
      <c r="AI343" s="34"/>
      <c r="AJ343" s="18"/>
      <c r="AK343" s="34"/>
      <c r="AL343" s="18"/>
      <c r="AM343" s="18"/>
      <c r="AN343" s="34"/>
      <c r="AO343" s="18"/>
      <c r="AP343" s="18"/>
      <c r="AQ343" s="34"/>
      <c r="AR343" s="34"/>
      <c r="AS343" s="34"/>
      <c r="AT343" s="31"/>
      <c r="AU343" s="18"/>
      <c r="AV343" s="18"/>
      <c r="AW343" s="18"/>
      <c r="AX343" s="18"/>
    </row>
    <row r="344" spans="1:50" ht="18.75" customHeight="1" x14ac:dyDescent="0.2">
      <c r="AA344" s="28" t="s">
        <v>288</v>
      </c>
      <c r="AB344" s="29" t="s">
        <v>152</v>
      </c>
      <c r="AC344" s="17"/>
      <c r="AD344" s="18"/>
      <c r="AE344" s="34"/>
      <c r="AF344" s="34"/>
      <c r="AG344" s="34"/>
      <c r="AH344" s="34"/>
      <c r="AI344" s="34"/>
      <c r="AJ344" s="18"/>
      <c r="AK344" s="34"/>
      <c r="AL344" s="18"/>
      <c r="AM344" s="18"/>
      <c r="AN344" s="34"/>
      <c r="AO344" s="18"/>
      <c r="AP344" s="18"/>
      <c r="AQ344" s="34"/>
      <c r="AR344" s="34"/>
      <c r="AS344" s="34"/>
      <c r="AT344" s="31"/>
      <c r="AU344" s="18"/>
      <c r="AV344" s="18"/>
      <c r="AW344" s="18"/>
      <c r="AX344" s="18"/>
    </row>
    <row r="345" spans="1:50" ht="18.75" customHeight="1" x14ac:dyDescent="0.2">
      <c r="A345" s="4" t="s">
        <v>325</v>
      </c>
      <c r="B345" s="4" t="s">
        <v>326</v>
      </c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1" t="s">
        <v>342</v>
      </c>
      <c r="AB345" s="42" t="s">
        <v>328</v>
      </c>
      <c r="AC345" s="43" t="s">
        <v>61</v>
      </c>
      <c r="AD345" s="43">
        <v>10068147601</v>
      </c>
      <c r="AE345" s="44">
        <v>0</v>
      </c>
      <c r="AF345" s="44">
        <v>0</v>
      </c>
      <c r="AG345" s="44">
        <v>0</v>
      </c>
      <c r="AH345" s="44">
        <v>0</v>
      </c>
      <c r="AI345" s="44">
        <v>0</v>
      </c>
      <c r="AJ345" s="43">
        <v>10068147601</v>
      </c>
      <c r="AK345" s="44">
        <v>0</v>
      </c>
      <c r="AL345" s="43">
        <f>AM345-AGOSTO!AM343</f>
        <v>431367434</v>
      </c>
      <c r="AM345" s="43">
        <v>8589811870</v>
      </c>
      <c r="AN345" s="44">
        <v>0</v>
      </c>
      <c r="AO345" s="43">
        <v>431367434</v>
      </c>
      <c r="AP345" s="43">
        <v>8589811870</v>
      </c>
      <c r="AQ345" s="44">
        <v>0</v>
      </c>
      <c r="AR345" s="114">
        <v>0</v>
      </c>
      <c r="AS345" s="114">
        <v>8147459537</v>
      </c>
      <c r="AT345" s="39">
        <f t="shared" ref="AT345" si="174">AQ345+AS345</f>
        <v>8147459537</v>
      </c>
      <c r="AU345" s="18">
        <f>AJ345-AM345</f>
        <v>1478335731</v>
      </c>
      <c r="AV345" s="34">
        <f>AM345-AP345</f>
        <v>0</v>
      </c>
      <c r="AW345" s="18">
        <f>AP345-AT345</f>
        <v>442352333</v>
      </c>
      <c r="AX345" s="123">
        <f>AP345/AJ345</f>
        <v>0.85316705817332605</v>
      </c>
    </row>
    <row r="346" spans="1:50" ht="18.75" customHeight="1" x14ac:dyDescent="0.2">
      <c r="AA346" s="28" t="s">
        <v>288</v>
      </c>
      <c r="AB346" s="29" t="s">
        <v>343</v>
      </c>
      <c r="AC346" s="17"/>
      <c r="AD346" s="18"/>
      <c r="AE346" s="34"/>
      <c r="AF346" s="34"/>
      <c r="AG346" s="34"/>
      <c r="AH346" s="34"/>
      <c r="AI346" s="34"/>
      <c r="AJ346" s="18"/>
      <c r="AK346" s="34"/>
      <c r="AL346" s="18"/>
      <c r="AM346" s="18"/>
      <c r="AN346" s="34"/>
      <c r="AO346" s="18"/>
      <c r="AP346" s="18"/>
      <c r="AQ346" s="34"/>
      <c r="AR346" s="34"/>
      <c r="AS346" s="34"/>
      <c r="AT346" s="31"/>
      <c r="AU346" s="18"/>
      <c r="AV346" s="18"/>
      <c r="AW346" s="34"/>
      <c r="AX346" s="18"/>
    </row>
    <row r="347" spans="1:50" ht="18.75" customHeight="1" x14ac:dyDescent="0.2">
      <c r="A347" s="4" t="s">
        <v>325</v>
      </c>
      <c r="B347" s="4" t="s">
        <v>326</v>
      </c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1" t="s">
        <v>344</v>
      </c>
      <c r="AB347" s="42" t="s">
        <v>328</v>
      </c>
      <c r="AC347" s="43" t="s">
        <v>61</v>
      </c>
      <c r="AD347" s="43">
        <v>10000000</v>
      </c>
      <c r="AE347" s="44">
        <v>0</v>
      </c>
      <c r="AF347" s="44">
        <v>0</v>
      </c>
      <c r="AG347" s="44">
        <v>0</v>
      </c>
      <c r="AH347" s="44">
        <v>0</v>
      </c>
      <c r="AI347" s="44">
        <v>0</v>
      </c>
      <c r="AJ347" s="43">
        <v>10000000</v>
      </c>
      <c r="AK347" s="44">
        <v>0</v>
      </c>
      <c r="AL347" s="44">
        <f>AM347-AGOSTO!AM345</f>
        <v>0</v>
      </c>
      <c r="AM347" s="44">
        <v>0</v>
      </c>
      <c r="AN347" s="44">
        <v>0</v>
      </c>
      <c r="AO347" s="44">
        <v>0</v>
      </c>
      <c r="AP347" s="44">
        <v>0</v>
      </c>
      <c r="AQ347" s="44">
        <v>0</v>
      </c>
      <c r="AR347" s="44">
        <v>0</v>
      </c>
      <c r="AS347" s="44">
        <v>0</v>
      </c>
      <c r="AT347" s="40">
        <f t="shared" ref="AT347" si="175">AQ347+AS347</f>
        <v>0</v>
      </c>
      <c r="AU347" s="18">
        <f>AJ347-AM347</f>
        <v>10000000</v>
      </c>
      <c r="AV347" s="34">
        <f>AM347-AP347</f>
        <v>0</v>
      </c>
      <c r="AW347" s="34">
        <f>AP347-AT347</f>
        <v>0</v>
      </c>
      <c r="AX347" s="123">
        <f>AP347/AJ347</f>
        <v>0</v>
      </c>
    </row>
    <row r="348" spans="1:50" ht="18.75" customHeight="1" x14ac:dyDescent="0.2">
      <c r="AA348" s="16"/>
      <c r="AB348" s="29" t="s">
        <v>355</v>
      </c>
      <c r="AC348" s="17"/>
      <c r="AD348" s="18"/>
      <c r="AE348" s="34"/>
      <c r="AF348" s="34"/>
      <c r="AG348" s="34"/>
      <c r="AH348" s="34"/>
      <c r="AI348" s="34"/>
      <c r="AJ348" s="18"/>
      <c r="AK348" s="18"/>
      <c r="AL348" s="34"/>
      <c r="AM348" s="18"/>
      <c r="AN348" s="18"/>
      <c r="AO348" s="18"/>
      <c r="AP348" s="18"/>
      <c r="AQ348" s="18"/>
      <c r="AR348" s="18"/>
      <c r="AS348" s="18"/>
      <c r="AT348" s="30"/>
      <c r="AU348" s="18"/>
      <c r="AV348" s="18"/>
      <c r="AW348" s="18"/>
      <c r="AX348" s="18"/>
    </row>
    <row r="349" spans="1:50" ht="18.75" customHeight="1" x14ac:dyDescent="0.2">
      <c r="AA349" s="16"/>
      <c r="AB349" s="29" t="s">
        <v>320</v>
      </c>
      <c r="AC349" s="17"/>
      <c r="AD349" s="18"/>
      <c r="AE349" s="34"/>
      <c r="AF349" s="34"/>
      <c r="AG349" s="34"/>
      <c r="AH349" s="34"/>
      <c r="AI349" s="34"/>
      <c r="AJ349" s="18"/>
      <c r="AK349" s="18"/>
      <c r="AL349" s="34"/>
      <c r="AM349" s="18"/>
      <c r="AN349" s="18"/>
      <c r="AO349" s="18"/>
      <c r="AP349" s="18"/>
      <c r="AQ349" s="18"/>
      <c r="AR349" s="18"/>
      <c r="AS349" s="18"/>
      <c r="AT349" s="30"/>
      <c r="AU349" s="18"/>
      <c r="AV349" s="18"/>
      <c r="AW349" s="18"/>
      <c r="AX349" s="18"/>
    </row>
    <row r="350" spans="1:50" ht="18.75" customHeight="1" x14ac:dyDescent="0.2">
      <c r="AA350" s="16"/>
      <c r="AB350" s="29" t="s">
        <v>46</v>
      </c>
      <c r="AC350" s="17"/>
      <c r="AD350" s="18"/>
      <c r="AE350" s="34"/>
      <c r="AF350" s="34"/>
      <c r="AG350" s="34"/>
      <c r="AH350" s="34"/>
      <c r="AI350" s="34"/>
      <c r="AJ350" s="18"/>
      <c r="AK350" s="18"/>
      <c r="AL350" s="34"/>
      <c r="AM350" s="18"/>
      <c r="AN350" s="18"/>
      <c r="AO350" s="18"/>
      <c r="AP350" s="18"/>
      <c r="AQ350" s="18"/>
      <c r="AR350" s="18"/>
      <c r="AS350" s="18"/>
      <c r="AT350" s="30"/>
      <c r="AU350" s="18"/>
      <c r="AV350" s="18"/>
      <c r="AW350" s="18"/>
      <c r="AX350" s="18"/>
    </row>
    <row r="351" spans="1:50" ht="18.75" customHeight="1" x14ac:dyDescent="0.2">
      <c r="AA351" s="16"/>
      <c r="AB351" s="29" t="s">
        <v>48</v>
      </c>
      <c r="AC351" s="17"/>
      <c r="AD351" s="18"/>
      <c r="AE351" s="34"/>
      <c r="AF351" s="34"/>
      <c r="AG351" s="34"/>
      <c r="AH351" s="34"/>
      <c r="AI351" s="34"/>
      <c r="AJ351" s="18"/>
      <c r="AK351" s="18"/>
      <c r="AL351" s="34"/>
      <c r="AM351" s="18"/>
      <c r="AN351" s="18"/>
      <c r="AO351" s="18"/>
      <c r="AP351" s="18"/>
      <c r="AQ351" s="18"/>
      <c r="AR351" s="18"/>
      <c r="AS351" s="18"/>
      <c r="AT351" s="30"/>
      <c r="AU351" s="18"/>
      <c r="AV351" s="18"/>
      <c r="AW351" s="18"/>
      <c r="AX351" s="18"/>
    </row>
    <row r="352" spans="1:50" ht="18.75" customHeight="1" x14ac:dyDescent="0.2">
      <c r="AA352" s="16"/>
      <c r="AB352" s="29" t="s">
        <v>52</v>
      </c>
      <c r="AC352" s="17"/>
      <c r="AD352" s="18"/>
      <c r="AE352" s="34"/>
      <c r="AF352" s="34"/>
      <c r="AG352" s="34"/>
      <c r="AH352" s="34"/>
      <c r="AI352" s="34"/>
      <c r="AJ352" s="18"/>
      <c r="AK352" s="18"/>
      <c r="AL352" s="34"/>
      <c r="AM352" s="18"/>
      <c r="AN352" s="18"/>
      <c r="AO352" s="18"/>
      <c r="AP352" s="18"/>
      <c r="AQ352" s="18"/>
      <c r="AR352" s="18"/>
      <c r="AS352" s="18"/>
      <c r="AT352" s="30"/>
      <c r="AU352" s="18"/>
      <c r="AV352" s="18"/>
      <c r="AW352" s="18"/>
      <c r="AX352" s="18"/>
    </row>
    <row r="353" spans="1:50" ht="18.75" customHeight="1" x14ac:dyDescent="0.2">
      <c r="AA353" s="28" t="s">
        <v>288</v>
      </c>
      <c r="AB353" s="29" t="s">
        <v>54</v>
      </c>
      <c r="AC353" s="17"/>
      <c r="AD353" s="18"/>
      <c r="AE353" s="34"/>
      <c r="AF353" s="34"/>
      <c r="AG353" s="34"/>
      <c r="AH353" s="34"/>
      <c r="AI353" s="34"/>
      <c r="AJ353" s="18"/>
      <c r="AK353" s="18"/>
      <c r="AL353" s="34"/>
      <c r="AM353" s="18"/>
      <c r="AN353" s="18"/>
      <c r="AO353" s="18"/>
      <c r="AP353" s="18"/>
      <c r="AQ353" s="18"/>
      <c r="AR353" s="18"/>
      <c r="AS353" s="18"/>
      <c r="AT353" s="30"/>
      <c r="AU353" s="18"/>
      <c r="AV353" s="18"/>
      <c r="AW353" s="18"/>
      <c r="AX353" s="18"/>
    </row>
    <row r="354" spans="1:50" ht="18.75" customHeight="1" x14ac:dyDescent="0.2">
      <c r="A354" s="4" t="s">
        <v>55</v>
      </c>
      <c r="B354" s="4" t="s">
        <v>56</v>
      </c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1" t="s">
        <v>323</v>
      </c>
      <c r="AB354" s="42" t="s">
        <v>324</v>
      </c>
      <c r="AC354" s="43" t="s">
        <v>61</v>
      </c>
      <c r="AD354" s="43">
        <v>10521612007</v>
      </c>
      <c r="AE354" s="44">
        <v>0</v>
      </c>
      <c r="AF354" s="44">
        <v>0</v>
      </c>
      <c r="AG354" s="44">
        <v>0</v>
      </c>
      <c r="AH354" s="137">
        <v>0</v>
      </c>
      <c r="AI354" s="44">
        <v>0</v>
      </c>
      <c r="AJ354" s="43">
        <v>10521612007</v>
      </c>
      <c r="AK354" s="44">
        <v>0</v>
      </c>
      <c r="AL354" s="43">
        <f>AM354-AGOSTO!AM352</f>
        <v>1146503742</v>
      </c>
      <c r="AM354" s="43">
        <v>6537488628</v>
      </c>
      <c r="AN354" s="44">
        <v>0</v>
      </c>
      <c r="AO354" s="43">
        <v>1146503742</v>
      </c>
      <c r="AP354" s="43">
        <v>6537488628</v>
      </c>
      <c r="AQ354" s="44">
        <v>0</v>
      </c>
      <c r="AR354" s="44">
        <v>0</v>
      </c>
      <c r="AS354" s="43">
        <v>5390984886</v>
      </c>
      <c r="AT354" s="39">
        <f t="shared" ref="AT354" si="176">AQ354+AS354</f>
        <v>5390984886</v>
      </c>
      <c r="AU354" s="18">
        <f>AJ354-AM354</f>
        <v>3984123379</v>
      </c>
      <c r="AV354" s="34">
        <f>AM354-AP354</f>
        <v>0</v>
      </c>
      <c r="AW354" s="18">
        <f>AP354-AT354</f>
        <v>1146503742</v>
      </c>
      <c r="AX354" s="123">
        <f>AP354/AJ354</f>
        <v>0.62133907082399797</v>
      </c>
    </row>
    <row r="355" spans="1:50" x14ac:dyDescent="0.2">
      <c r="AA355" s="28" t="s">
        <v>288</v>
      </c>
      <c r="AB355" s="29" t="s">
        <v>63</v>
      </c>
      <c r="AC355" s="17"/>
      <c r="AD355" s="18"/>
      <c r="AE355" s="34"/>
      <c r="AF355" s="34"/>
      <c r="AG355" s="34"/>
      <c r="AH355" s="34"/>
      <c r="AI355" s="34"/>
      <c r="AJ355" s="18"/>
      <c r="AK355" s="34"/>
      <c r="AL355" s="18"/>
      <c r="AM355" s="18"/>
      <c r="AN355" s="34"/>
      <c r="AO355" s="18"/>
      <c r="AP355" s="18"/>
      <c r="AQ355" s="34"/>
      <c r="AR355" s="34"/>
      <c r="AS355" s="18"/>
      <c r="AT355" s="30"/>
      <c r="AU355" s="18"/>
      <c r="AV355" s="18"/>
      <c r="AW355" s="18"/>
      <c r="AX355" s="18"/>
    </row>
    <row r="356" spans="1:50" ht="18.75" customHeight="1" x14ac:dyDescent="0.2">
      <c r="A356" s="4" t="s">
        <v>325</v>
      </c>
      <c r="B356" s="4" t="s">
        <v>326</v>
      </c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1" t="s">
        <v>349</v>
      </c>
      <c r="AB356" s="42" t="s">
        <v>328</v>
      </c>
      <c r="AC356" s="43" t="s">
        <v>61</v>
      </c>
      <c r="AD356" s="43">
        <v>112494898</v>
      </c>
      <c r="AE356" s="44">
        <v>0</v>
      </c>
      <c r="AF356" s="44">
        <v>0</v>
      </c>
      <c r="AG356" s="44">
        <v>0</v>
      </c>
      <c r="AH356" s="44">
        <v>0</v>
      </c>
      <c r="AI356" s="44">
        <v>0</v>
      </c>
      <c r="AJ356" s="43">
        <v>112494898</v>
      </c>
      <c r="AK356" s="44">
        <v>0</v>
      </c>
      <c r="AL356" s="43">
        <f>AM356-AGOSTO!AM354</f>
        <v>2674546</v>
      </c>
      <c r="AM356" s="43">
        <v>97848237</v>
      </c>
      <c r="AN356" s="44">
        <v>0</v>
      </c>
      <c r="AO356" s="43">
        <v>2674546</v>
      </c>
      <c r="AP356" s="43">
        <v>97848237</v>
      </c>
      <c r="AQ356" s="44">
        <v>0</v>
      </c>
      <c r="AR356" s="44">
        <v>0</v>
      </c>
      <c r="AS356" s="43">
        <v>95173691</v>
      </c>
      <c r="AT356" s="39">
        <f t="shared" si="173"/>
        <v>95173691</v>
      </c>
      <c r="AU356" s="18">
        <f>AJ356-AM356</f>
        <v>14646661</v>
      </c>
      <c r="AV356" s="34">
        <f>AM356-AP356</f>
        <v>0</v>
      </c>
      <c r="AW356" s="18">
        <f>AP356-AT356</f>
        <v>2674546</v>
      </c>
      <c r="AX356" s="123">
        <f>AP356/AJ356</f>
        <v>0.86980155313354746</v>
      </c>
    </row>
    <row r="357" spans="1:50" ht="18.75" customHeight="1" x14ac:dyDescent="0.2">
      <c r="AA357" s="28" t="s">
        <v>288</v>
      </c>
      <c r="AB357" s="29" t="s">
        <v>71</v>
      </c>
      <c r="AC357" s="17"/>
      <c r="AD357" s="18"/>
      <c r="AE357" s="34"/>
      <c r="AF357" s="34"/>
      <c r="AG357" s="34"/>
      <c r="AH357" s="34"/>
      <c r="AI357" s="34"/>
      <c r="AJ357" s="18"/>
      <c r="AK357" s="34"/>
      <c r="AL357" s="18"/>
      <c r="AM357" s="18"/>
      <c r="AN357" s="34"/>
      <c r="AO357" s="18"/>
      <c r="AP357" s="18"/>
      <c r="AQ357" s="34"/>
      <c r="AR357" s="34"/>
      <c r="AS357" s="18"/>
      <c r="AT357" s="30"/>
      <c r="AU357" s="18"/>
      <c r="AV357" s="18"/>
      <c r="AW357" s="18"/>
      <c r="AX357" s="18"/>
    </row>
    <row r="358" spans="1:50" ht="18.75" customHeight="1" x14ac:dyDescent="0.2">
      <c r="A358" s="4" t="s">
        <v>325</v>
      </c>
      <c r="B358" s="4" t="s">
        <v>326</v>
      </c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1" t="s">
        <v>327</v>
      </c>
      <c r="AB358" s="42" t="s">
        <v>328</v>
      </c>
      <c r="AC358" s="43" t="s">
        <v>61</v>
      </c>
      <c r="AD358" s="43">
        <v>532969656</v>
      </c>
      <c r="AE358" s="44">
        <v>0</v>
      </c>
      <c r="AF358" s="44">
        <v>0</v>
      </c>
      <c r="AG358" s="44">
        <v>0</v>
      </c>
      <c r="AH358" s="44">
        <v>0</v>
      </c>
      <c r="AI358" s="44">
        <v>0</v>
      </c>
      <c r="AJ358" s="43">
        <v>532969656</v>
      </c>
      <c r="AK358" s="44">
        <v>0</v>
      </c>
      <c r="AL358" s="43">
        <f>AM358-AGOSTO!AM356</f>
        <v>23667182</v>
      </c>
      <c r="AM358" s="43">
        <v>487521626</v>
      </c>
      <c r="AN358" s="44">
        <v>0</v>
      </c>
      <c r="AO358" s="43">
        <v>23667182</v>
      </c>
      <c r="AP358" s="43">
        <v>487521626</v>
      </c>
      <c r="AQ358" s="44">
        <v>0</v>
      </c>
      <c r="AR358" s="44">
        <v>0</v>
      </c>
      <c r="AS358" s="43">
        <v>9342995</v>
      </c>
      <c r="AT358" s="39">
        <f t="shared" si="173"/>
        <v>9342995</v>
      </c>
      <c r="AU358" s="18">
        <f>AJ358-AM358</f>
        <v>45448030</v>
      </c>
      <c r="AV358" s="34">
        <f>AM358-AP358</f>
        <v>0</v>
      </c>
      <c r="AW358" s="18">
        <f>AP358-AT358</f>
        <v>478178631</v>
      </c>
      <c r="AX358" s="123">
        <f>AP358/AJ358</f>
        <v>0.91472679637881671</v>
      </c>
    </row>
    <row r="359" spans="1:50" ht="18.75" customHeight="1" x14ac:dyDescent="0.2">
      <c r="AA359" s="28" t="s">
        <v>288</v>
      </c>
      <c r="AB359" s="29" t="s">
        <v>76</v>
      </c>
      <c r="AC359" s="17"/>
      <c r="AD359" s="18"/>
      <c r="AE359" s="34"/>
      <c r="AF359" s="34"/>
      <c r="AG359" s="34"/>
      <c r="AH359" s="34"/>
      <c r="AI359" s="34"/>
      <c r="AJ359" s="18"/>
      <c r="AK359" s="34"/>
      <c r="AL359" s="18"/>
      <c r="AM359" s="18"/>
      <c r="AN359" s="34"/>
      <c r="AO359" s="18"/>
      <c r="AP359" s="18"/>
      <c r="AQ359" s="34"/>
      <c r="AR359" s="34"/>
      <c r="AS359" s="18"/>
      <c r="AT359" s="30"/>
      <c r="AU359" s="18"/>
      <c r="AV359" s="18"/>
      <c r="AW359" s="18"/>
      <c r="AX359" s="18"/>
    </row>
    <row r="360" spans="1:50" ht="18.75" customHeight="1" x14ac:dyDescent="0.2">
      <c r="A360" s="4" t="s">
        <v>325</v>
      </c>
      <c r="B360" s="4" t="s">
        <v>326</v>
      </c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1" t="s">
        <v>329</v>
      </c>
      <c r="AB360" s="42" t="s">
        <v>328</v>
      </c>
      <c r="AC360" s="43" t="s">
        <v>61</v>
      </c>
      <c r="AD360" s="43">
        <v>318686698</v>
      </c>
      <c r="AE360" s="44">
        <v>0</v>
      </c>
      <c r="AF360" s="44">
        <v>0</v>
      </c>
      <c r="AG360" s="44">
        <v>0</v>
      </c>
      <c r="AH360" s="44">
        <v>0</v>
      </c>
      <c r="AI360" s="44">
        <v>0</v>
      </c>
      <c r="AJ360" s="43">
        <v>318686698</v>
      </c>
      <c r="AK360" s="44">
        <v>0</v>
      </c>
      <c r="AL360" s="43">
        <f>AM360-AGOSTO!AM358</f>
        <v>112707544</v>
      </c>
      <c r="AM360" s="43">
        <v>315588723</v>
      </c>
      <c r="AN360" s="44">
        <v>0</v>
      </c>
      <c r="AO360" s="43">
        <v>112707544</v>
      </c>
      <c r="AP360" s="43">
        <v>315588723</v>
      </c>
      <c r="AQ360" s="44">
        <v>0</v>
      </c>
      <c r="AR360" s="44">
        <v>0</v>
      </c>
      <c r="AS360" s="43">
        <v>202881179</v>
      </c>
      <c r="AT360" s="39">
        <f t="shared" si="173"/>
        <v>202881179</v>
      </c>
      <c r="AU360" s="18">
        <f>AJ360-AM360</f>
        <v>3097975</v>
      </c>
      <c r="AV360" s="34">
        <f>AM360-AP360</f>
        <v>0</v>
      </c>
      <c r="AW360" s="18">
        <f>AP360-AT360</f>
        <v>112707544</v>
      </c>
      <c r="AX360" s="123">
        <f>AP360/AJ360</f>
        <v>0.99027893219440244</v>
      </c>
    </row>
    <row r="361" spans="1:50" ht="18.75" customHeight="1" x14ac:dyDescent="0.2">
      <c r="AA361" s="16"/>
      <c r="AB361" s="17"/>
      <c r="AC361" s="17"/>
      <c r="AD361" s="18"/>
      <c r="AE361" s="34"/>
      <c r="AF361" s="34"/>
      <c r="AG361" s="34"/>
      <c r="AH361" s="34"/>
      <c r="AI361" s="34"/>
      <c r="AJ361" s="18"/>
      <c r="AK361" s="18"/>
      <c r="AL361" s="18"/>
      <c r="AM361" s="18"/>
      <c r="AN361" s="34"/>
      <c r="AO361" s="18"/>
      <c r="AP361" s="18"/>
      <c r="AQ361" s="18"/>
      <c r="AR361" s="34"/>
      <c r="AS361" s="18"/>
      <c r="AT361" s="30"/>
      <c r="AU361" s="18"/>
      <c r="AV361" s="18"/>
      <c r="AW361" s="18"/>
      <c r="AX361" s="18"/>
    </row>
    <row r="362" spans="1:50" ht="18.75" customHeight="1" x14ac:dyDescent="0.2">
      <c r="AA362" s="16"/>
      <c r="AB362" s="29" t="s">
        <v>81</v>
      </c>
      <c r="AC362" s="17"/>
      <c r="AD362" s="18"/>
      <c r="AE362" s="34"/>
      <c r="AF362" s="34"/>
      <c r="AG362" s="34"/>
      <c r="AH362" s="34"/>
      <c r="AI362" s="34"/>
      <c r="AJ362" s="18"/>
      <c r="AK362" s="18"/>
      <c r="AL362" s="18"/>
      <c r="AM362" s="18"/>
      <c r="AN362" s="34"/>
      <c r="AO362" s="18"/>
      <c r="AP362" s="18"/>
      <c r="AQ362" s="18"/>
      <c r="AR362" s="34"/>
      <c r="AS362" s="18"/>
      <c r="AT362" s="30"/>
      <c r="AU362" s="18"/>
      <c r="AV362" s="18"/>
      <c r="AW362" s="18"/>
      <c r="AX362" s="18"/>
    </row>
    <row r="363" spans="1:50" ht="18.75" customHeight="1" x14ac:dyDescent="0.2">
      <c r="AA363" s="28" t="s">
        <v>288</v>
      </c>
      <c r="AB363" s="29" t="s">
        <v>83</v>
      </c>
      <c r="AC363" s="17"/>
      <c r="AD363" s="18"/>
      <c r="AE363" s="34"/>
      <c r="AF363" s="34"/>
      <c r="AG363" s="34"/>
      <c r="AH363" s="34"/>
      <c r="AI363" s="34"/>
      <c r="AJ363" s="18"/>
      <c r="AK363" s="18"/>
      <c r="AL363" s="18"/>
      <c r="AM363" s="18"/>
      <c r="AN363" s="34"/>
      <c r="AO363" s="18"/>
      <c r="AP363" s="18"/>
      <c r="AQ363" s="18"/>
      <c r="AR363" s="34"/>
      <c r="AS363" s="18"/>
      <c r="AT363" s="30"/>
      <c r="AU363" s="18"/>
      <c r="AV363" s="18"/>
      <c r="AW363" s="18"/>
      <c r="AX363" s="18"/>
    </row>
    <row r="364" spans="1:50" ht="18.75" customHeight="1" x14ac:dyDescent="0.2">
      <c r="A364" s="4" t="s">
        <v>325</v>
      </c>
      <c r="B364" s="4" t="s">
        <v>326</v>
      </c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1" t="s">
        <v>330</v>
      </c>
      <c r="AB364" s="42" t="s">
        <v>328</v>
      </c>
      <c r="AC364" s="43" t="s">
        <v>61</v>
      </c>
      <c r="AD364" s="43">
        <v>1177756920</v>
      </c>
      <c r="AE364" s="44">
        <v>0</v>
      </c>
      <c r="AF364" s="44">
        <v>0</v>
      </c>
      <c r="AG364" s="44">
        <v>0</v>
      </c>
      <c r="AH364" s="44">
        <v>0</v>
      </c>
      <c r="AI364" s="44">
        <v>0</v>
      </c>
      <c r="AJ364" s="43">
        <v>1177756920</v>
      </c>
      <c r="AK364" s="44">
        <v>0</v>
      </c>
      <c r="AL364" s="43">
        <f>AM364-AGOSTO!AM362</f>
        <v>10131324</v>
      </c>
      <c r="AM364" s="43">
        <v>30569096</v>
      </c>
      <c r="AN364" s="44">
        <v>0</v>
      </c>
      <c r="AO364" s="43">
        <v>10131324</v>
      </c>
      <c r="AP364" s="110">
        <v>30569096</v>
      </c>
      <c r="AQ364" s="34">
        <v>0</v>
      </c>
      <c r="AR364" s="18">
        <v>0</v>
      </c>
      <c r="AS364" s="110">
        <v>20437772</v>
      </c>
      <c r="AT364" s="39">
        <f t="shared" ref="AT364" si="177">AQ364+AS364</f>
        <v>20437772</v>
      </c>
      <c r="AU364" s="18">
        <f>AJ364-AM364</f>
        <v>1147187824</v>
      </c>
      <c r="AV364" s="34">
        <f>AM364-AP364</f>
        <v>0</v>
      </c>
      <c r="AW364" s="18">
        <f>AP364-AT364</f>
        <v>10131324</v>
      </c>
      <c r="AX364" s="123">
        <f>AP364/AJ364</f>
        <v>2.5955352484789477E-2</v>
      </c>
    </row>
    <row r="365" spans="1:50" ht="18.75" customHeight="1" x14ac:dyDescent="0.2">
      <c r="AA365" s="28" t="s">
        <v>288</v>
      </c>
      <c r="AB365" s="29" t="s">
        <v>88</v>
      </c>
      <c r="AC365" s="17"/>
      <c r="AD365" s="18"/>
      <c r="AE365" s="34"/>
      <c r="AF365" s="34"/>
      <c r="AG365" s="34"/>
      <c r="AH365" s="34"/>
      <c r="AI365" s="34"/>
      <c r="AJ365" s="18"/>
      <c r="AK365" s="34"/>
      <c r="AL365" s="34"/>
      <c r="AM365" s="18"/>
      <c r="AN365" s="34"/>
      <c r="AO365" s="34"/>
      <c r="AP365" s="18"/>
      <c r="AQ365" s="18"/>
      <c r="AR365" s="34"/>
      <c r="AS365" s="18"/>
      <c r="AT365" s="30"/>
      <c r="AU365" s="18"/>
      <c r="AV365" s="18"/>
      <c r="AW365" s="34"/>
      <c r="AX365" s="18"/>
    </row>
    <row r="366" spans="1:50" ht="18.75" customHeight="1" x14ac:dyDescent="0.2">
      <c r="A366" s="4" t="s">
        <v>325</v>
      </c>
      <c r="B366" s="4" t="s">
        <v>326</v>
      </c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1" t="s">
        <v>331</v>
      </c>
      <c r="AB366" s="42" t="s">
        <v>328</v>
      </c>
      <c r="AC366" s="43" t="s">
        <v>61</v>
      </c>
      <c r="AD366" s="43">
        <v>565323320</v>
      </c>
      <c r="AE366" s="44">
        <v>0</v>
      </c>
      <c r="AF366" s="44">
        <v>0</v>
      </c>
      <c r="AG366" s="44">
        <v>0</v>
      </c>
      <c r="AH366" s="44">
        <v>0</v>
      </c>
      <c r="AI366" s="44">
        <v>0</v>
      </c>
      <c r="AJ366" s="43">
        <v>565323320</v>
      </c>
      <c r="AK366" s="44">
        <v>0</v>
      </c>
      <c r="AL366" s="44">
        <f>AM366-AGOSTO!AM364</f>
        <v>0</v>
      </c>
      <c r="AM366" s="43">
        <v>1527575</v>
      </c>
      <c r="AN366" s="44">
        <v>0</v>
      </c>
      <c r="AO366" s="44">
        <v>0</v>
      </c>
      <c r="AP366" s="43">
        <v>1527575</v>
      </c>
      <c r="AQ366" s="44">
        <v>0</v>
      </c>
      <c r="AR366" s="44">
        <v>0</v>
      </c>
      <c r="AS366" s="43">
        <v>1527575</v>
      </c>
      <c r="AT366" s="39">
        <f t="shared" si="173"/>
        <v>1527575</v>
      </c>
      <c r="AU366" s="18">
        <f>AJ366-AM366</f>
        <v>563795745</v>
      </c>
      <c r="AV366" s="34">
        <f>AM366-AP366</f>
        <v>0</v>
      </c>
      <c r="AW366" s="34">
        <f>AP366-AT366</f>
        <v>0</v>
      </c>
      <c r="AX366" s="123">
        <f>AP366/AJ366</f>
        <v>2.7021262805857716E-3</v>
      </c>
    </row>
    <row r="367" spans="1:50" ht="18.75" customHeight="1" x14ac:dyDescent="0.2">
      <c r="AA367" s="16"/>
      <c r="AB367" s="17"/>
      <c r="AC367" s="17"/>
      <c r="AD367" s="18"/>
      <c r="AE367" s="34"/>
      <c r="AF367" s="34"/>
      <c r="AG367" s="34"/>
      <c r="AH367" s="34"/>
      <c r="AI367" s="34"/>
      <c r="AJ367" s="18"/>
      <c r="AK367" s="34"/>
      <c r="AL367" s="18"/>
      <c r="AM367" s="18"/>
      <c r="AN367" s="18"/>
      <c r="AO367" s="18"/>
      <c r="AP367" s="18"/>
      <c r="AQ367" s="34"/>
      <c r="AR367" s="18"/>
      <c r="AS367" s="18"/>
      <c r="AT367" s="30"/>
      <c r="AU367" s="18"/>
      <c r="AV367" s="18"/>
      <c r="AW367" s="18"/>
      <c r="AX367" s="18"/>
    </row>
    <row r="368" spans="1:50" ht="18.75" customHeight="1" x14ac:dyDescent="0.2">
      <c r="AA368" s="16"/>
      <c r="AB368" s="29" t="s">
        <v>103</v>
      </c>
      <c r="AC368" s="17"/>
      <c r="AD368" s="18"/>
      <c r="AE368" s="34"/>
      <c r="AF368" s="34"/>
      <c r="AG368" s="34"/>
      <c r="AH368" s="34"/>
      <c r="AI368" s="34"/>
      <c r="AJ368" s="18"/>
      <c r="AK368" s="34"/>
      <c r="AL368" s="18"/>
      <c r="AM368" s="18"/>
      <c r="AN368" s="18"/>
      <c r="AO368" s="18"/>
      <c r="AP368" s="18"/>
      <c r="AQ368" s="34"/>
      <c r="AR368" s="18"/>
      <c r="AS368" s="18"/>
      <c r="AT368" s="30"/>
      <c r="AU368" s="18"/>
      <c r="AV368" s="18"/>
      <c r="AW368" s="18"/>
      <c r="AX368" s="18"/>
    </row>
    <row r="369" spans="1:50" ht="24.75" customHeight="1" x14ac:dyDescent="0.2">
      <c r="AA369" s="28" t="s">
        <v>288</v>
      </c>
      <c r="AB369" s="29" t="s">
        <v>352</v>
      </c>
      <c r="AC369" s="17"/>
      <c r="AD369" s="18"/>
      <c r="AE369" s="34"/>
      <c r="AF369" s="34"/>
      <c r="AG369" s="34"/>
      <c r="AH369" s="34"/>
      <c r="AI369" s="34"/>
      <c r="AJ369" s="18"/>
      <c r="AK369" s="34"/>
      <c r="AL369" s="18"/>
      <c r="AM369" s="18"/>
      <c r="AN369" s="18"/>
      <c r="AO369" s="18"/>
      <c r="AP369" s="18"/>
      <c r="AQ369" s="34"/>
      <c r="AR369" s="18"/>
      <c r="AS369" s="18"/>
      <c r="AT369" s="39"/>
      <c r="AU369" s="18"/>
      <c r="AV369" s="18"/>
      <c r="AW369" s="18"/>
      <c r="AX369" s="18"/>
    </row>
    <row r="370" spans="1:50" ht="18.75" customHeight="1" x14ac:dyDescent="0.2">
      <c r="A370" s="4" t="s">
        <v>325</v>
      </c>
      <c r="B370" s="4" t="s">
        <v>326</v>
      </c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1" t="s">
        <v>332</v>
      </c>
      <c r="AB370" s="42" t="s">
        <v>328</v>
      </c>
      <c r="AC370" s="43" t="s">
        <v>61</v>
      </c>
      <c r="AD370" s="43">
        <v>1248245788</v>
      </c>
      <c r="AE370" s="44">
        <v>0</v>
      </c>
      <c r="AF370" s="44">
        <v>0</v>
      </c>
      <c r="AG370" s="44">
        <v>0</v>
      </c>
      <c r="AH370" s="44">
        <v>0</v>
      </c>
      <c r="AI370" s="44">
        <v>0</v>
      </c>
      <c r="AJ370" s="43">
        <v>1248245788</v>
      </c>
      <c r="AK370" s="44">
        <v>0</v>
      </c>
      <c r="AL370" s="43">
        <f>AM370-AGOSTO!AM368</f>
        <v>115823821</v>
      </c>
      <c r="AM370" s="43">
        <v>729066347.03999996</v>
      </c>
      <c r="AN370" s="44">
        <v>0</v>
      </c>
      <c r="AO370" s="43">
        <v>115823821</v>
      </c>
      <c r="AP370" s="43">
        <v>729066347.03999996</v>
      </c>
      <c r="AQ370" s="44">
        <v>0</v>
      </c>
      <c r="AR370" s="44">
        <v>0</v>
      </c>
      <c r="AS370" s="43">
        <v>613242526.03999996</v>
      </c>
      <c r="AT370" s="39">
        <f t="shared" ref="AT370" si="178">AQ370+AS370</f>
        <v>613242526.03999996</v>
      </c>
      <c r="AU370" s="18">
        <f>AJ370-AM370</f>
        <v>519179440.96000004</v>
      </c>
      <c r="AV370" s="34">
        <f>AM370-AP370</f>
        <v>0</v>
      </c>
      <c r="AW370" s="18">
        <f>AP370-AT370</f>
        <v>115823821</v>
      </c>
      <c r="AX370" s="123">
        <f>AP370/AJ370</f>
        <v>0.58407274757012839</v>
      </c>
    </row>
    <row r="371" spans="1:50" ht="18.75" customHeight="1" x14ac:dyDescent="0.2">
      <c r="AA371" s="28" t="s">
        <v>288</v>
      </c>
      <c r="AB371" s="29" t="s">
        <v>353</v>
      </c>
      <c r="AC371" s="17"/>
      <c r="AD371" s="18"/>
      <c r="AE371" s="34"/>
      <c r="AF371" s="34"/>
      <c r="AG371" s="34"/>
      <c r="AH371" s="34"/>
      <c r="AI371" s="34"/>
      <c r="AJ371" s="18"/>
      <c r="AK371" s="34"/>
      <c r="AL371" s="43"/>
      <c r="AM371" s="18"/>
      <c r="AN371" s="34"/>
      <c r="AO371" s="18"/>
      <c r="AP371" s="18"/>
      <c r="AQ371" s="18"/>
      <c r="AR371" s="34"/>
      <c r="AS371" s="18"/>
      <c r="AT371" s="39"/>
      <c r="AU371" s="18"/>
      <c r="AV371" s="18"/>
      <c r="AW371" s="18"/>
      <c r="AX371" s="18"/>
    </row>
    <row r="372" spans="1:50" ht="18.75" customHeight="1" x14ac:dyDescent="0.2">
      <c r="A372" s="4" t="s">
        <v>325</v>
      </c>
      <c r="B372" s="4" t="s">
        <v>326</v>
      </c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1" t="s">
        <v>334</v>
      </c>
      <c r="AB372" s="42" t="s">
        <v>328</v>
      </c>
      <c r="AC372" s="43" t="s">
        <v>61</v>
      </c>
      <c r="AD372" s="43">
        <v>918279775</v>
      </c>
      <c r="AE372" s="44">
        <v>0</v>
      </c>
      <c r="AF372" s="44">
        <v>0</v>
      </c>
      <c r="AG372" s="44">
        <v>0</v>
      </c>
      <c r="AH372" s="44">
        <v>0</v>
      </c>
      <c r="AI372" s="44">
        <v>0</v>
      </c>
      <c r="AJ372" s="43">
        <v>918279775</v>
      </c>
      <c r="AK372" s="44">
        <v>0</v>
      </c>
      <c r="AL372" s="43">
        <f>AM372-AGOSTO!AM370</f>
        <v>112901139</v>
      </c>
      <c r="AM372" s="43">
        <v>745188144.96000004</v>
      </c>
      <c r="AN372" s="44">
        <v>0</v>
      </c>
      <c r="AO372" s="43">
        <v>112901139</v>
      </c>
      <c r="AP372" s="43">
        <v>745188144.96000004</v>
      </c>
      <c r="AQ372" s="44">
        <v>0</v>
      </c>
      <c r="AR372" s="44">
        <v>0</v>
      </c>
      <c r="AS372" s="43">
        <v>632287005.96000004</v>
      </c>
      <c r="AT372" s="39">
        <f t="shared" si="173"/>
        <v>632287005.96000004</v>
      </c>
      <c r="AU372" s="18">
        <f>AJ372-AM372</f>
        <v>173091630.03999996</v>
      </c>
      <c r="AV372" s="34">
        <f>AM372-AP372</f>
        <v>0</v>
      </c>
      <c r="AW372" s="18">
        <f>AP372-AT372</f>
        <v>112901139</v>
      </c>
      <c r="AX372" s="123">
        <f>AP372/AJ372</f>
        <v>0.81150447308936979</v>
      </c>
    </row>
    <row r="373" spans="1:50" ht="18.75" customHeight="1" x14ac:dyDescent="0.2">
      <c r="AA373" s="28" t="s">
        <v>288</v>
      </c>
      <c r="AB373" s="29" t="s">
        <v>354</v>
      </c>
      <c r="AC373" s="17"/>
      <c r="AD373" s="18"/>
      <c r="AE373" s="34"/>
      <c r="AF373" s="34"/>
      <c r="AG373" s="34"/>
      <c r="AH373" s="34"/>
      <c r="AI373" s="34"/>
      <c r="AJ373" s="18"/>
      <c r="AK373" s="18"/>
      <c r="AL373" s="43"/>
      <c r="AM373" s="18"/>
      <c r="AN373" s="34"/>
      <c r="AO373" s="18"/>
      <c r="AP373" s="18"/>
      <c r="AQ373" s="34"/>
      <c r="AR373" s="34"/>
      <c r="AS373" s="18"/>
      <c r="AT373" s="39"/>
      <c r="AU373" s="18"/>
      <c r="AV373" s="18"/>
      <c r="AW373" s="18"/>
      <c r="AX373" s="18"/>
    </row>
    <row r="374" spans="1:50" ht="18.75" customHeight="1" x14ac:dyDescent="0.2">
      <c r="A374" s="4" t="s">
        <v>325</v>
      </c>
      <c r="B374" s="4" t="s">
        <v>326</v>
      </c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1" t="s">
        <v>335</v>
      </c>
      <c r="AB374" s="42" t="s">
        <v>328</v>
      </c>
      <c r="AC374" s="43" t="s">
        <v>61</v>
      </c>
      <c r="AD374" s="43">
        <v>956127578</v>
      </c>
      <c r="AE374" s="44">
        <v>0</v>
      </c>
      <c r="AF374" s="44">
        <v>0</v>
      </c>
      <c r="AG374" s="44">
        <v>0</v>
      </c>
      <c r="AH374" s="44">
        <v>0</v>
      </c>
      <c r="AI374" s="44">
        <v>0</v>
      </c>
      <c r="AJ374" s="43">
        <v>956127578</v>
      </c>
      <c r="AK374" s="44">
        <v>0</v>
      </c>
      <c r="AL374" s="43">
        <f>AM374-AGOSTO!AM372</f>
        <v>285886603</v>
      </c>
      <c r="AM374" s="43">
        <v>956127578</v>
      </c>
      <c r="AN374" s="44">
        <v>0</v>
      </c>
      <c r="AO374" s="43">
        <v>285886603</v>
      </c>
      <c r="AP374" s="43">
        <v>956127578</v>
      </c>
      <c r="AQ374" s="44">
        <v>0</v>
      </c>
      <c r="AR374" s="44">
        <v>0</v>
      </c>
      <c r="AS374" s="43">
        <v>670240975</v>
      </c>
      <c r="AT374" s="39">
        <f t="shared" si="173"/>
        <v>670240975</v>
      </c>
      <c r="AU374" s="18">
        <f>AJ374-AM374</f>
        <v>0</v>
      </c>
      <c r="AV374" s="34">
        <f>AM374-AP374</f>
        <v>0</v>
      </c>
      <c r="AW374" s="18">
        <f>AP374-AT374</f>
        <v>285886603</v>
      </c>
      <c r="AX374" s="123">
        <f>AP374/AJ374</f>
        <v>1</v>
      </c>
    </row>
    <row r="375" spans="1:50" ht="18.75" customHeight="1" x14ac:dyDescent="0.2">
      <c r="AA375" s="28" t="s">
        <v>288</v>
      </c>
      <c r="AB375" s="29" t="s">
        <v>119</v>
      </c>
      <c r="AC375" s="17"/>
      <c r="AD375" s="18"/>
      <c r="AE375" s="34"/>
      <c r="AF375" s="34"/>
      <c r="AG375" s="34"/>
      <c r="AH375" s="34"/>
      <c r="AI375" s="34"/>
      <c r="AJ375" s="18"/>
      <c r="AK375" s="34"/>
      <c r="AL375" s="43"/>
      <c r="AM375" s="18"/>
      <c r="AN375" s="34"/>
      <c r="AO375" s="18"/>
      <c r="AP375" s="18"/>
      <c r="AQ375" s="18"/>
      <c r="AR375" s="18"/>
      <c r="AS375" s="18"/>
      <c r="AT375" s="39"/>
      <c r="AU375" s="18"/>
      <c r="AV375" s="18"/>
      <c r="AW375" s="34"/>
      <c r="AX375" s="18"/>
    </row>
    <row r="376" spans="1:50" ht="18.75" customHeight="1" x14ac:dyDescent="0.2">
      <c r="A376" s="4" t="s">
        <v>325</v>
      </c>
      <c r="B376" s="4" t="s">
        <v>326</v>
      </c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1" t="s">
        <v>336</v>
      </c>
      <c r="AB376" s="42" t="s">
        <v>328</v>
      </c>
      <c r="AC376" s="43" t="s">
        <v>61</v>
      </c>
      <c r="AD376" s="43">
        <v>527278620</v>
      </c>
      <c r="AE376" s="44">
        <v>0</v>
      </c>
      <c r="AF376" s="44">
        <v>0</v>
      </c>
      <c r="AG376" s="44">
        <v>0</v>
      </c>
      <c r="AH376" s="44">
        <v>0</v>
      </c>
      <c r="AI376" s="44">
        <v>0</v>
      </c>
      <c r="AJ376" s="43">
        <v>527278620</v>
      </c>
      <c r="AK376" s="44">
        <v>0</v>
      </c>
      <c r="AL376" s="43">
        <f>AM376-AGOSTO!AM374</f>
        <v>56523334</v>
      </c>
      <c r="AM376" s="43">
        <v>370721434</v>
      </c>
      <c r="AN376" s="44">
        <v>0</v>
      </c>
      <c r="AO376" s="43">
        <v>56523334</v>
      </c>
      <c r="AP376" s="43">
        <v>370721434</v>
      </c>
      <c r="AQ376" s="115">
        <v>0</v>
      </c>
      <c r="AR376" s="114">
        <v>56523334</v>
      </c>
      <c r="AS376" s="114">
        <v>370721434</v>
      </c>
      <c r="AT376" s="39">
        <f t="shared" si="173"/>
        <v>370721434</v>
      </c>
      <c r="AU376" s="18">
        <f>AJ376-AM376</f>
        <v>156557186</v>
      </c>
      <c r="AV376" s="34">
        <f>AM376-AP376</f>
        <v>0</v>
      </c>
      <c r="AW376" s="34">
        <f>AP376-AT376</f>
        <v>0</v>
      </c>
      <c r="AX376" s="123">
        <f>AP376/AJ376</f>
        <v>0.70308451725199861</v>
      </c>
    </row>
    <row r="377" spans="1:50" ht="18.75" customHeight="1" x14ac:dyDescent="0.2">
      <c r="AA377" s="28" t="s">
        <v>288</v>
      </c>
      <c r="AB377" s="29" t="s">
        <v>124</v>
      </c>
      <c r="AC377" s="17"/>
      <c r="AD377" s="18"/>
      <c r="AE377" s="34"/>
      <c r="AF377" s="34"/>
      <c r="AG377" s="34"/>
      <c r="AH377" s="34"/>
      <c r="AI377" s="34"/>
      <c r="AJ377" s="18"/>
      <c r="AK377" s="34"/>
      <c r="AL377" s="18"/>
      <c r="AM377" s="18"/>
      <c r="AN377" s="34"/>
      <c r="AO377" s="18"/>
      <c r="AP377" s="18"/>
      <c r="AQ377" s="34"/>
      <c r="AR377" s="34"/>
      <c r="AS377" s="34"/>
      <c r="AT377" s="40"/>
      <c r="AU377" s="18"/>
      <c r="AV377" s="18"/>
      <c r="AW377" s="18"/>
      <c r="AX377" s="18"/>
    </row>
    <row r="378" spans="1:50" ht="18.75" customHeight="1" x14ac:dyDescent="0.2">
      <c r="AA378" s="28" t="s">
        <v>288</v>
      </c>
      <c r="AB378" s="29" t="s">
        <v>129</v>
      </c>
      <c r="AC378" s="17"/>
      <c r="AD378" s="18"/>
      <c r="AE378" s="34"/>
      <c r="AF378" s="34"/>
      <c r="AG378" s="34"/>
      <c r="AH378" s="34"/>
      <c r="AI378" s="34"/>
      <c r="AJ378" s="18"/>
      <c r="AK378" s="34"/>
      <c r="AL378" s="18"/>
      <c r="AM378" s="18"/>
      <c r="AN378" s="34"/>
      <c r="AO378" s="18"/>
      <c r="AP378" s="18"/>
      <c r="AQ378" s="34"/>
      <c r="AR378" s="34"/>
      <c r="AS378" s="34"/>
      <c r="AT378" s="40"/>
      <c r="AU378" s="18"/>
      <c r="AV378" s="18"/>
      <c r="AW378" s="18"/>
      <c r="AX378" s="18"/>
    </row>
    <row r="379" spans="1:50" ht="18.75" customHeight="1" x14ac:dyDescent="0.2">
      <c r="A379" s="4" t="s">
        <v>325</v>
      </c>
      <c r="B379" s="4" t="s">
        <v>326</v>
      </c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1" t="s">
        <v>338</v>
      </c>
      <c r="AB379" s="42" t="s">
        <v>328</v>
      </c>
      <c r="AC379" s="43" t="s">
        <v>61</v>
      </c>
      <c r="AD379" s="43">
        <v>395516000</v>
      </c>
      <c r="AE379" s="44">
        <v>0</v>
      </c>
      <c r="AF379" s="44">
        <v>0</v>
      </c>
      <c r="AG379" s="44">
        <v>0</v>
      </c>
      <c r="AH379" s="44">
        <v>0</v>
      </c>
      <c r="AI379" s="44">
        <v>0</v>
      </c>
      <c r="AJ379" s="43">
        <v>395516000</v>
      </c>
      <c r="AK379" s="44">
        <v>0</v>
      </c>
      <c r="AL379" s="43">
        <f>AM379-AGOSTO!AM377</f>
        <v>42499647</v>
      </c>
      <c r="AM379" s="43">
        <v>278152847</v>
      </c>
      <c r="AN379" s="44">
        <v>0</v>
      </c>
      <c r="AO379" s="43">
        <v>42499647</v>
      </c>
      <c r="AP379" s="43">
        <v>278152847</v>
      </c>
      <c r="AQ379" s="115">
        <v>0</v>
      </c>
      <c r="AR379" s="114">
        <v>42499647</v>
      </c>
      <c r="AS379" s="114">
        <v>278152847</v>
      </c>
      <c r="AT379" s="39">
        <f t="shared" ref="AT379" si="179">AQ379+AS379</f>
        <v>278152847</v>
      </c>
      <c r="AU379" s="18">
        <f>AJ379-AM379</f>
        <v>117363153</v>
      </c>
      <c r="AV379" s="34">
        <f>AM379-AP379</f>
        <v>0</v>
      </c>
      <c r="AW379" s="34">
        <f>AP379-AT379</f>
        <v>0</v>
      </c>
      <c r="AX379" s="123">
        <f>AP379/AJ379</f>
        <v>0.70326572629173034</v>
      </c>
    </row>
    <row r="380" spans="1:50" ht="18.75" customHeight="1" x14ac:dyDescent="0.2">
      <c r="AA380" s="28" t="s">
        <v>288</v>
      </c>
      <c r="AB380" s="29" t="s">
        <v>133</v>
      </c>
      <c r="AC380" s="17"/>
      <c r="AD380" s="18"/>
      <c r="AE380" s="34"/>
      <c r="AF380" s="34"/>
      <c r="AG380" s="34"/>
      <c r="AH380" s="34"/>
      <c r="AI380" s="34"/>
      <c r="AJ380" s="18"/>
      <c r="AK380" s="34"/>
      <c r="AL380" s="43"/>
      <c r="AM380" s="18"/>
      <c r="AN380" s="34"/>
      <c r="AO380" s="18"/>
      <c r="AP380" s="18"/>
      <c r="AQ380" s="34"/>
      <c r="AR380" s="34"/>
      <c r="AS380" s="34"/>
      <c r="AT380" s="40"/>
      <c r="AU380" s="18"/>
      <c r="AV380" s="18"/>
      <c r="AW380" s="34"/>
      <c r="AX380" s="18"/>
    </row>
    <row r="381" spans="1:50" ht="18.75" customHeight="1" x14ac:dyDescent="0.2">
      <c r="A381" s="4" t="s">
        <v>325</v>
      </c>
      <c r="B381" s="4" t="s">
        <v>326</v>
      </c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1" t="s">
        <v>339</v>
      </c>
      <c r="AB381" s="42" t="s">
        <v>328</v>
      </c>
      <c r="AC381" s="43" t="s">
        <v>61</v>
      </c>
      <c r="AD381" s="43">
        <v>66047960</v>
      </c>
      <c r="AE381" s="44">
        <v>0</v>
      </c>
      <c r="AF381" s="44">
        <v>0</v>
      </c>
      <c r="AG381" s="44">
        <v>0</v>
      </c>
      <c r="AH381" s="44">
        <v>0</v>
      </c>
      <c r="AI381" s="44">
        <v>0</v>
      </c>
      <c r="AJ381" s="43">
        <v>66047960</v>
      </c>
      <c r="AK381" s="44">
        <v>0</v>
      </c>
      <c r="AL381" s="43">
        <f>AM381-AGOSTO!AM379</f>
        <v>6949969</v>
      </c>
      <c r="AM381" s="43">
        <v>46289069</v>
      </c>
      <c r="AN381" s="44">
        <v>0</v>
      </c>
      <c r="AO381" s="43">
        <v>6949969</v>
      </c>
      <c r="AP381" s="43">
        <v>46289069</v>
      </c>
      <c r="AQ381" s="115">
        <v>0</v>
      </c>
      <c r="AR381" s="114">
        <v>6949969</v>
      </c>
      <c r="AS381" s="114">
        <v>46289069</v>
      </c>
      <c r="AT381" s="39">
        <f t="shared" ref="AT381" si="180">AQ381+AS381</f>
        <v>46289069</v>
      </c>
      <c r="AU381" s="18">
        <f>AJ381-AM381</f>
        <v>19758891</v>
      </c>
      <c r="AV381" s="34">
        <f>AM381-AP381</f>
        <v>0</v>
      </c>
      <c r="AW381" s="34">
        <f>AP381-AT381</f>
        <v>0</v>
      </c>
      <c r="AX381" s="123">
        <f>AP381/AJ381</f>
        <v>0.70084025305247888</v>
      </c>
    </row>
    <row r="382" spans="1:50" ht="18.75" customHeight="1" x14ac:dyDescent="0.2">
      <c r="AA382" s="28" t="s">
        <v>288</v>
      </c>
      <c r="AB382" s="29" t="s">
        <v>138</v>
      </c>
      <c r="AC382" s="17"/>
      <c r="AD382" s="18"/>
      <c r="AE382" s="34"/>
      <c r="AF382" s="34"/>
      <c r="AG382" s="34"/>
      <c r="AH382" s="34"/>
      <c r="AI382" s="34"/>
      <c r="AJ382" s="18"/>
      <c r="AK382" s="34"/>
      <c r="AL382" s="43"/>
      <c r="AM382" s="18"/>
      <c r="AN382" s="34"/>
      <c r="AO382" s="18"/>
      <c r="AP382" s="18"/>
      <c r="AQ382" s="133"/>
      <c r="AR382" s="110"/>
      <c r="AS382" s="110"/>
      <c r="AT382" s="40"/>
      <c r="AU382" s="18"/>
      <c r="AV382" s="18"/>
      <c r="AW382" s="34"/>
      <c r="AX382" s="18"/>
    </row>
    <row r="383" spans="1:50" ht="18.75" customHeight="1" x14ac:dyDescent="0.2">
      <c r="A383" s="4" t="s">
        <v>325</v>
      </c>
      <c r="B383" s="4" t="s">
        <v>326</v>
      </c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1" t="s">
        <v>340</v>
      </c>
      <c r="AB383" s="42" t="s">
        <v>328</v>
      </c>
      <c r="AC383" s="43" t="s">
        <v>61</v>
      </c>
      <c r="AD383" s="43">
        <v>66047960</v>
      </c>
      <c r="AE383" s="44">
        <v>0</v>
      </c>
      <c r="AF383" s="44">
        <v>0</v>
      </c>
      <c r="AG383" s="44">
        <v>0</v>
      </c>
      <c r="AH383" s="44">
        <v>0</v>
      </c>
      <c r="AI383" s="44">
        <v>0</v>
      </c>
      <c r="AJ383" s="43">
        <v>66047960</v>
      </c>
      <c r="AK383" s="44">
        <v>0</v>
      </c>
      <c r="AL383" s="43">
        <f>AM383-AGOSTO!AM381</f>
        <v>6949969</v>
      </c>
      <c r="AM383" s="43">
        <v>46289069</v>
      </c>
      <c r="AN383" s="44">
        <v>0</v>
      </c>
      <c r="AO383" s="43">
        <v>6949969</v>
      </c>
      <c r="AP383" s="43">
        <v>46289069</v>
      </c>
      <c r="AQ383" s="115">
        <v>0</v>
      </c>
      <c r="AR383" s="114">
        <v>6949969</v>
      </c>
      <c r="AS383" s="114">
        <v>46289069</v>
      </c>
      <c r="AT383" s="39">
        <f t="shared" ref="AT383" si="181">AQ383+AS383</f>
        <v>46289069</v>
      </c>
      <c r="AU383" s="18">
        <f>AJ383-AM383</f>
        <v>19758891</v>
      </c>
      <c r="AV383" s="34">
        <f>AM383-AP383</f>
        <v>0</v>
      </c>
      <c r="AW383" s="34">
        <f>AP383-AT383</f>
        <v>0</v>
      </c>
      <c r="AX383" s="123">
        <f>AP383/AJ383</f>
        <v>0.70084025305247888</v>
      </c>
    </row>
    <row r="384" spans="1:50" ht="25.5" x14ac:dyDescent="0.2">
      <c r="AA384" s="28" t="s">
        <v>288</v>
      </c>
      <c r="AB384" s="29" t="s">
        <v>145</v>
      </c>
      <c r="AC384" s="17"/>
      <c r="AD384" s="18"/>
      <c r="AE384" s="34"/>
      <c r="AF384" s="34"/>
      <c r="AG384" s="34"/>
      <c r="AH384" s="34"/>
      <c r="AI384" s="34"/>
      <c r="AJ384" s="18"/>
      <c r="AK384" s="34"/>
      <c r="AL384" s="43"/>
      <c r="AM384" s="18"/>
      <c r="AN384" s="34"/>
      <c r="AO384" s="18"/>
      <c r="AP384" s="18"/>
      <c r="AQ384" s="133"/>
      <c r="AR384" s="110"/>
      <c r="AS384" s="110"/>
      <c r="AT384" s="40"/>
      <c r="AU384" s="18"/>
      <c r="AV384" s="18"/>
      <c r="AW384" s="34"/>
      <c r="AX384" s="18"/>
    </row>
    <row r="385" spans="1:50" ht="18.75" customHeight="1" x14ac:dyDescent="0.2">
      <c r="A385" s="4" t="s">
        <v>325</v>
      </c>
      <c r="B385" s="4" t="s">
        <v>326</v>
      </c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1" t="s">
        <v>341</v>
      </c>
      <c r="AB385" s="42" t="s">
        <v>328</v>
      </c>
      <c r="AC385" s="43" t="s">
        <v>61</v>
      </c>
      <c r="AD385" s="43">
        <v>131938455</v>
      </c>
      <c r="AE385" s="44">
        <v>0</v>
      </c>
      <c r="AF385" s="44">
        <v>0</v>
      </c>
      <c r="AG385" s="44">
        <v>0</v>
      </c>
      <c r="AH385" s="44">
        <v>0</v>
      </c>
      <c r="AI385" s="44">
        <v>0</v>
      </c>
      <c r="AJ385" s="43">
        <v>131938455</v>
      </c>
      <c r="AK385" s="44">
        <v>0</v>
      </c>
      <c r="AL385" s="43">
        <f>AM385-AGOSTO!AM383</f>
        <v>13894908</v>
      </c>
      <c r="AM385" s="43">
        <v>92508508</v>
      </c>
      <c r="AN385" s="44">
        <v>0</v>
      </c>
      <c r="AO385" s="43">
        <v>13894908</v>
      </c>
      <c r="AP385" s="43">
        <v>92508508</v>
      </c>
      <c r="AQ385" s="115">
        <v>0</v>
      </c>
      <c r="AR385" s="114">
        <v>13894908</v>
      </c>
      <c r="AS385" s="114">
        <v>92508508</v>
      </c>
      <c r="AT385" s="39">
        <f t="shared" ref="AT385" si="182">AQ385+AS385</f>
        <v>92508508</v>
      </c>
      <c r="AU385" s="18">
        <f>AJ385-AM385</f>
        <v>39429947</v>
      </c>
      <c r="AV385" s="34">
        <f>AM385-AP385</f>
        <v>0</v>
      </c>
      <c r="AW385" s="34">
        <f>AP385-AT385</f>
        <v>0</v>
      </c>
      <c r="AX385" s="123">
        <f>AP385/AJ385</f>
        <v>0.70114894099677005</v>
      </c>
    </row>
    <row r="386" spans="1:50" ht="18.75" customHeight="1" x14ac:dyDescent="0.2">
      <c r="AA386" s="16"/>
      <c r="AB386" s="17"/>
      <c r="AC386" s="17"/>
      <c r="AD386" s="18"/>
      <c r="AE386" s="34"/>
      <c r="AF386" s="34"/>
      <c r="AG386" s="34"/>
      <c r="AH386" s="34"/>
      <c r="AI386" s="34"/>
      <c r="AJ386" s="18"/>
      <c r="AK386" s="34"/>
      <c r="AL386" s="18"/>
      <c r="AM386" s="18"/>
      <c r="AN386" s="34"/>
      <c r="AO386" s="18"/>
      <c r="AP386" s="18"/>
      <c r="AQ386" s="34"/>
      <c r="AR386" s="34"/>
      <c r="AS386" s="34"/>
      <c r="AT386" s="40"/>
      <c r="AU386" s="18"/>
      <c r="AV386" s="18"/>
      <c r="AW386" s="18"/>
      <c r="AX386" s="18"/>
    </row>
    <row r="387" spans="1:50" ht="18.75" customHeight="1" x14ac:dyDescent="0.2">
      <c r="AA387" s="16"/>
      <c r="AB387" s="29" t="s">
        <v>149</v>
      </c>
      <c r="AC387" s="17"/>
      <c r="AD387" s="18"/>
      <c r="AE387" s="34"/>
      <c r="AF387" s="34"/>
      <c r="AG387" s="34"/>
      <c r="AH387" s="34"/>
      <c r="AI387" s="34"/>
      <c r="AJ387" s="18"/>
      <c r="AK387" s="34"/>
      <c r="AL387" s="18"/>
      <c r="AM387" s="18"/>
      <c r="AN387" s="34"/>
      <c r="AO387" s="18"/>
      <c r="AP387" s="18"/>
      <c r="AQ387" s="34"/>
      <c r="AR387" s="34"/>
      <c r="AS387" s="34"/>
      <c r="AT387" s="40"/>
      <c r="AU387" s="18"/>
      <c r="AV387" s="18"/>
      <c r="AW387" s="18"/>
      <c r="AX387" s="18"/>
    </row>
    <row r="388" spans="1:50" ht="18.75" customHeight="1" x14ac:dyDescent="0.2">
      <c r="AA388" s="16"/>
      <c r="AB388" s="29" t="s">
        <v>81</v>
      </c>
      <c r="AC388" s="17"/>
      <c r="AD388" s="18"/>
      <c r="AE388" s="34"/>
      <c r="AF388" s="34"/>
      <c r="AG388" s="34"/>
      <c r="AH388" s="34"/>
      <c r="AI388" s="34"/>
      <c r="AJ388" s="18"/>
      <c r="AK388" s="34"/>
      <c r="AL388" s="18"/>
      <c r="AM388" s="18"/>
      <c r="AN388" s="34"/>
      <c r="AO388" s="18"/>
      <c r="AP388" s="18"/>
      <c r="AQ388" s="34"/>
      <c r="AR388" s="34"/>
      <c r="AS388" s="34"/>
      <c r="AT388" s="40"/>
      <c r="AU388" s="18"/>
      <c r="AV388" s="18"/>
      <c r="AW388" s="18"/>
      <c r="AX388" s="18"/>
    </row>
    <row r="389" spans="1:50" ht="18.75" customHeight="1" x14ac:dyDescent="0.2">
      <c r="AA389" s="28" t="s">
        <v>288</v>
      </c>
      <c r="AB389" s="29" t="s">
        <v>152</v>
      </c>
      <c r="AC389" s="17"/>
      <c r="AD389" s="18"/>
      <c r="AE389" s="34"/>
      <c r="AF389" s="34"/>
      <c r="AG389" s="34"/>
      <c r="AH389" s="34"/>
      <c r="AI389" s="34"/>
      <c r="AJ389" s="18"/>
      <c r="AK389" s="34"/>
      <c r="AL389" s="18"/>
      <c r="AM389" s="18"/>
      <c r="AN389" s="34"/>
      <c r="AO389" s="18"/>
      <c r="AP389" s="18"/>
      <c r="AQ389" s="34"/>
      <c r="AR389" s="34"/>
      <c r="AS389" s="34"/>
      <c r="AT389" s="40"/>
      <c r="AU389" s="18"/>
      <c r="AV389" s="18"/>
      <c r="AW389" s="18"/>
      <c r="AX389" s="18"/>
    </row>
    <row r="390" spans="1:50" ht="18.75" customHeight="1" x14ac:dyDescent="0.2">
      <c r="A390" s="4" t="s">
        <v>325</v>
      </c>
      <c r="B390" s="4" t="s">
        <v>326</v>
      </c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1" t="s">
        <v>342</v>
      </c>
      <c r="AB390" s="42" t="s">
        <v>328</v>
      </c>
      <c r="AC390" s="43" t="s">
        <v>61</v>
      </c>
      <c r="AD390" s="43">
        <v>1121217736</v>
      </c>
      <c r="AE390" s="44">
        <v>0</v>
      </c>
      <c r="AF390" s="44">
        <v>0</v>
      </c>
      <c r="AG390" s="44">
        <v>0</v>
      </c>
      <c r="AH390" s="44">
        <v>0</v>
      </c>
      <c r="AI390" s="44">
        <v>0</v>
      </c>
      <c r="AJ390" s="43">
        <v>1121217736</v>
      </c>
      <c r="AK390" s="44">
        <v>0</v>
      </c>
      <c r="AL390" s="43">
        <f>AM390-AGOSTO!AM388</f>
        <v>39074405</v>
      </c>
      <c r="AM390" s="43">
        <v>661014652</v>
      </c>
      <c r="AN390" s="44">
        <v>0</v>
      </c>
      <c r="AO390" s="43">
        <v>39074405</v>
      </c>
      <c r="AP390" s="43">
        <v>661014652</v>
      </c>
      <c r="AQ390" s="44">
        <v>0</v>
      </c>
      <c r="AR390" s="115">
        <v>0</v>
      </c>
      <c r="AS390" s="114">
        <v>621940247</v>
      </c>
      <c r="AT390" s="39">
        <f t="shared" ref="AT390" si="183">AQ390+AS390</f>
        <v>621940247</v>
      </c>
      <c r="AU390" s="18">
        <f>AJ390-AM390</f>
        <v>460203084</v>
      </c>
      <c r="AV390" s="34">
        <f>AM390-AP390</f>
        <v>0</v>
      </c>
      <c r="AW390" s="18">
        <f>AP390-AT390</f>
        <v>39074405</v>
      </c>
      <c r="AX390" s="123">
        <f>AP390/AJ390</f>
        <v>0.5895506561983247</v>
      </c>
    </row>
    <row r="391" spans="1:50" ht="18.75" customHeight="1" x14ac:dyDescent="0.2">
      <c r="AA391" s="28" t="s">
        <v>288</v>
      </c>
      <c r="AB391" s="29" t="s">
        <v>343</v>
      </c>
      <c r="AC391" s="17"/>
      <c r="AD391" s="18"/>
      <c r="AE391" s="34"/>
      <c r="AF391" s="34"/>
      <c r="AG391" s="34"/>
      <c r="AH391" s="34"/>
      <c r="AI391" s="34"/>
      <c r="AJ391" s="18"/>
      <c r="AK391" s="34"/>
      <c r="AL391" s="43"/>
      <c r="AM391" s="18"/>
      <c r="AN391" s="34"/>
      <c r="AO391" s="18"/>
      <c r="AP391" s="18"/>
      <c r="AQ391" s="18"/>
      <c r="AR391" s="18"/>
      <c r="AS391" s="18"/>
      <c r="AT391" s="39"/>
      <c r="AU391" s="18"/>
      <c r="AV391" s="18"/>
      <c r="AW391" s="34"/>
      <c r="AX391" s="18"/>
    </row>
    <row r="392" spans="1:50" ht="18.75" customHeight="1" x14ac:dyDescent="0.2">
      <c r="A392" s="4" t="s">
        <v>325</v>
      </c>
      <c r="B392" s="4" t="s">
        <v>326</v>
      </c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1" t="s">
        <v>344</v>
      </c>
      <c r="AB392" s="42" t="s">
        <v>328</v>
      </c>
      <c r="AC392" s="43" t="s">
        <v>61</v>
      </c>
      <c r="AD392" s="43">
        <v>10000000</v>
      </c>
      <c r="AE392" s="44">
        <v>0</v>
      </c>
      <c r="AF392" s="44">
        <v>0</v>
      </c>
      <c r="AG392" s="44">
        <v>0</v>
      </c>
      <c r="AH392" s="44">
        <v>0</v>
      </c>
      <c r="AI392" s="44">
        <v>0</v>
      </c>
      <c r="AJ392" s="43">
        <v>10000000</v>
      </c>
      <c r="AK392" s="44">
        <v>0</v>
      </c>
      <c r="AL392" s="44">
        <f>AM392-AGOSTO!AM390</f>
        <v>0</v>
      </c>
      <c r="AM392" s="44">
        <v>0</v>
      </c>
      <c r="AN392" s="44">
        <v>0</v>
      </c>
      <c r="AO392" s="44">
        <v>0</v>
      </c>
      <c r="AP392" s="44">
        <v>0</v>
      </c>
      <c r="AQ392" s="44">
        <v>0</v>
      </c>
      <c r="AR392" s="44">
        <v>0</v>
      </c>
      <c r="AS392" s="44">
        <v>0</v>
      </c>
      <c r="AT392" s="40">
        <f t="shared" ref="AT392:AT426" si="184">AQ392+AS392</f>
        <v>0</v>
      </c>
      <c r="AU392" s="18">
        <f>AJ392-AM392</f>
        <v>10000000</v>
      </c>
      <c r="AV392" s="34">
        <f>AM392-AP392</f>
        <v>0</v>
      </c>
      <c r="AW392" s="34">
        <f>AP392-AT392</f>
        <v>0</v>
      </c>
      <c r="AX392" s="123">
        <f>AP392/AJ392</f>
        <v>0</v>
      </c>
    </row>
    <row r="393" spans="1:50" ht="18.75" customHeight="1" x14ac:dyDescent="0.2">
      <c r="AA393" s="28" t="s">
        <v>288</v>
      </c>
      <c r="AB393" s="29" t="s">
        <v>162</v>
      </c>
      <c r="AC393" s="17"/>
      <c r="AD393" s="18"/>
      <c r="AE393" s="34"/>
      <c r="AF393" s="34"/>
      <c r="AG393" s="34"/>
      <c r="AH393" s="34"/>
      <c r="AI393" s="34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30"/>
      <c r="AU393" s="18"/>
      <c r="AV393" s="18"/>
      <c r="AW393" s="18"/>
      <c r="AX393" s="18"/>
    </row>
    <row r="394" spans="1:50" ht="18.75" customHeight="1" x14ac:dyDescent="0.2">
      <c r="AA394" s="16"/>
      <c r="AB394" s="17"/>
      <c r="AC394" s="17"/>
      <c r="AD394" s="18"/>
      <c r="AE394" s="34"/>
      <c r="AF394" s="34"/>
      <c r="AG394" s="34"/>
      <c r="AH394" s="34"/>
      <c r="AI394" s="34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30"/>
      <c r="AU394" s="18"/>
      <c r="AV394" s="18"/>
      <c r="AW394" s="18"/>
      <c r="AX394" s="18"/>
    </row>
    <row r="395" spans="1:50" ht="18.75" customHeight="1" x14ac:dyDescent="0.2">
      <c r="AA395" s="16"/>
      <c r="AB395" s="29" t="s">
        <v>356</v>
      </c>
      <c r="AC395" s="17"/>
      <c r="AD395" s="18"/>
      <c r="AE395" s="34"/>
      <c r="AF395" s="34"/>
      <c r="AG395" s="34"/>
      <c r="AH395" s="34"/>
      <c r="AI395" s="34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30"/>
      <c r="AU395" s="18"/>
      <c r="AV395" s="18"/>
      <c r="AW395" s="18"/>
      <c r="AX395" s="18"/>
    </row>
    <row r="396" spans="1:50" ht="18.75" customHeight="1" x14ac:dyDescent="0.2">
      <c r="AA396" s="16"/>
      <c r="AB396" s="29" t="s">
        <v>286</v>
      </c>
      <c r="AC396" s="17"/>
      <c r="AD396" s="18"/>
      <c r="AE396" s="34"/>
      <c r="AF396" s="34"/>
      <c r="AG396" s="34"/>
      <c r="AH396" s="34"/>
      <c r="AI396" s="34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30"/>
      <c r="AU396" s="18"/>
      <c r="AV396" s="18"/>
      <c r="AW396" s="18"/>
      <c r="AX396" s="18"/>
    </row>
    <row r="397" spans="1:50" ht="18.75" customHeight="1" x14ac:dyDescent="0.2">
      <c r="AA397" s="16"/>
      <c r="AB397" s="29" t="s">
        <v>179</v>
      </c>
      <c r="AC397" s="17"/>
      <c r="AD397" s="18"/>
      <c r="AE397" s="34"/>
      <c r="AF397" s="34"/>
      <c r="AG397" s="34"/>
      <c r="AH397" s="34"/>
      <c r="AI397" s="34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30"/>
      <c r="AU397" s="18"/>
      <c r="AV397" s="18"/>
      <c r="AW397" s="18"/>
      <c r="AX397" s="18"/>
    </row>
    <row r="398" spans="1:50" ht="18.75" customHeight="1" x14ac:dyDescent="0.2">
      <c r="AA398" s="16"/>
      <c r="AB398" s="29" t="s">
        <v>181</v>
      </c>
      <c r="AC398" s="17"/>
      <c r="AD398" s="18"/>
      <c r="AE398" s="34"/>
      <c r="AF398" s="34"/>
      <c r="AG398" s="34"/>
      <c r="AH398" s="34"/>
      <c r="AI398" s="34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30"/>
      <c r="AU398" s="18"/>
      <c r="AV398" s="18"/>
      <c r="AW398" s="18"/>
      <c r="AX398" s="18"/>
    </row>
    <row r="399" spans="1:50" ht="25.5" x14ac:dyDescent="0.2">
      <c r="AA399" s="16"/>
      <c r="AB399" s="29" t="s">
        <v>183</v>
      </c>
      <c r="AC399" s="17"/>
      <c r="AD399" s="18"/>
      <c r="AE399" s="34"/>
      <c r="AF399" s="34"/>
      <c r="AG399" s="34"/>
      <c r="AH399" s="34"/>
      <c r="AI399" s="34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30"/>
      <c r="AU399" s="18"/>
      <c r="AV399" s="18"/>
      <c r="AW399" s="18"/>
      <c r="AX399" s="18"/>
    </row>
    <row r="400" spans="1:50" ht="18.75" customHeight="1" x14ac:dyDescent="0.2">
      <c r="AA400" s="28" t="s">
        <v>288</v>
      </c>
      <c r="AB400" s="29" t="s">
        <v>320</v>
      </c>
      <c r="AC400" s="17"/>
      <c r="AD400" s="18"/>
      <c r="AE400" s="34"/>
      <c r="AF400" s="34"/>
      <c r="AG400" s="34"/>
      <c r="AH400" s="34"/>
      <c r="AI400" s="34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30"/>
      <c r="AU400" s="18"/>
      <c r="AV400" s="18"/>
      <c r="AW400" s="18"/>
      <c r="AX400" s="18"/>
    </row>
    <row r="401" spans="1:50" ht="18.75" customHeight="1" x14ac:dyDescent="0.2">
      <c r="A401" s="4" t="s">
        <v>55</v>
      </c>
      <c r="B401" s="4" t="s">
        <v>56</v>
      </c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1" t="s">
        <v>357</v>
      </c>
      <c r="AB401" s="42" t="s">
        <v>328</v>
      </c>
      <c r="AC401" s="43" t="s">
        <v>61</v>
      </c>
      <c r="AD401" s="43">
        <v>33040051</v>
      </c>
      <c r="AE401" s="44">
        <v>0</v>
      </c>
      <c r="AF401" s="44">
        <v>0</v>
      </c>
      <c r="AG401" s="44">
        <v>0</v>
      </c>
      <c r="AH401" s="44">
        <v>0</v>
      </c>
      <c r="AI401" s="44">
        <v>0</v>
      </c>
      <c r="AJ401" s="43">
        <v>33040051</v>
      </c>
      <c r="AK401" s="44">
        <v>0</v>
      </c>
      <c r="AL401" s="44">
        <v>0</v>
      </c>
      <c r="AM401" s="44">
        <v>0</v>
      </c>
      <c r="AN401" s="44">
        <v>0</v>
      </c>
      <c r="AO401" s="44">
        <v>0</v>
      </c>
      <c r="AP401" s="44">
        <v>0</v>
      </c>
      <c r="AQ401" s="44">
        <v>0</v>
      </c>
      <c r="AR401" s="44">
        <v>0</v>
      </c>
      <c r="AS401" s="44">
        <v>0</v>
      </c>
      <c r="AT401" s="40">
        <f t="shared" ref="AT401" si="185">AQ401+AS401</f>
        <v>0</v>
      </c>
      <c r="AU401" s="18">
        <f>AJ401-AM401</f>
        <v>33040051</v>
      </c>
      <c r="AV401" s="34">
        <f>AM401-AP401</f>
        <v>0</v>
      </c>
      <c r="AW401" s="34">
        <f>AP401-AT401</f>
        <v>0</v>
      </c>
      <c r="AX401" s="123">
        <f>AP401/AJ401</f>
        <v>0</v>
      </c>
    </row>
    <row r="402" spans="1:50" ht="18.75" customHeight="1" x14ac:dyDescent="0.2">
      <c r="AA402" s="16"/>
      <c r="AB402" s="17"/>
      <c r="AC402" s="17"/>
      <c r="AD402" s="18"/>
      <c r="AE402" s="34"/>
      <c r="AF402" s="34"/>
      <c r="AG402" s="34"/>
      <c r="AH402" s="34"/>
      <c r="AI402" s="34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31"/>
      <c r="AU402" s="18"/>
      <c r="AV402" s="18"/>
      <c r="AW402" s="34"/>
      <c r="AX402" s="18"/>
    </row>
    <row r="403" spans="1:50" ht="18.75" customHeight="1" x14ac:dyDescent="0.2">
      <c r="AA403" s="16"/>
      <c r="AB403" s="29" t="s">
        <v>187</v>
      </c>
      <c r="AC403" s="17"/>
      <c r="AD403" s="18"/>
      <c r="AE403" s="34"/>
      <c r="AF403" s="34"/>
      <c r="AG403" s="34"/>
      <c r="AH403" s="34"/>
      <c r="AI403" s="34"/>
      <c r="AJ403" s="18"/>
      <c r="AK403" s="18"/>
      <c r="AL403" s="147"/>
      <c r="AM403" s="18"/>
      <c r="AN403" s="18"/>
      <c r="AO403" s="147"/>
      <c r="AP403" s="18"/>
      <c r="AQ403" s="18"/>
      <c r="AR403" s="18"/>
      <c r="AS403" s="18"/>
      <c r="AT403" s="31"/>
      <c r="AU403" s="18"/>
      <c r="AV403" s="18"/>
      <c r="AW403" s="34"/>
      <c r="AX403" s="18"/>
    </row>
    <row r="404" spans="1:50" ht="25.5" x14ac:dyDescent="0.2">
      <c r="AA404" s="28" t="s">
        <v>288</v>
      </c>
      <c r="AB404" s="68" t="s">
        <v>358</v>
      </c>
      <c r="AC404" s="17"/>
      <c r="AD404" s="18"/>
      <c r="AE404" s="34"/>
      <c r="AF404" s="34"/>
      <c r="AG404" s="34"/>
      <c r="AH404" s="34"/>
      <c r="AI404" s="34"/>
      <c r="AJ404" s="18"/>
      <c r="AK404" s="18"/>
      <c r="AL404" s="147"/>
      <c r="AM404" s="18"/>
      <c r="AN404" s="18"/>
      <c r="AO404" s="147"/>
      <c r="AP404" s="18"/>
      <c r="AQ404" s="18"/>
      <c r="AR404" s="18"/>
      <c r="AS404" s="18"/>
      <c r="AT404" s="31"/>
      <c r="AU404" s="18"/>
      <c r="AV404" s="18"/>
      <c r="AW404" s="34"/>
      <c r="AX404" s="18"/>
    </row>
    <row r="405" spans="1:50" ht="18.75" customHeight="1" x14ac:dyDescent="0.2">
      <c r="AA405" s="41" t="s">
        <v>908</v>
      </c>
      <c r="AB405" s="69" t="s">
        <v>233</v>
      </c>
      <c r="AC405" s="17"/>
      <c r="AD405" s="34">
        <v>0</v>
      </c>
      <c r="AE405" s="34">
        <v>0</v>
      </c>
      <c r="AF405" s="34">
        <v>0</v>
      </c>
      <c r="AG405" s="18">
        <f>2000000000+68793982.7</f>
        <v>2068793982.7</v>
      </c>
      <c r="AH405" s="34">
        <v>0</v>
      </c>
      <c r="AI405" s="18">
        <f>AE405-AF405+AG405-AH405</f>
        <v>2068793982.7</v>
      </c>
      <c r="AJ405" s="18">
        <f>AD405+AI405</f>
        <v>2068793982.7</v>
      </c>
      <c r="AK405" s="34">
        <v>0</v>
      </c>
      <c r="AL405" s="142">
        <f>AM405-AGOSTO!AM403</f>
        <v>68656819.170000076</v>
      </c>
      <c r="AM405" s="18">
        <v>2067028385.8900001</v>
      </c>
      <c r="AN405" s="34">
        <v>0</v>
      </c>
      <c r="AO405" s="147">
        <v>68656819.170000002</v>
      </c>
      <c r="AP405" s="18">
        <v>2067028385.8900001</v>
      </c>
      <c r="AQ405" s="18">
        <v>42656819.170000002</v>
      </c>
      <c r="AR405" s="34">
        <v>0</v>
      </c>
      <c r="AS405" s="34">
        <v>0</v>
      </c>
      <c r="AT405" s="39">
        <f>AQ405+AS405</f>
        <v>42656819.170000002</v>
      </c>
      <c r="AU405" s="18">
        <f>AJ405-AM405</f>
        <v>1765596.8099999428</v>
      </c>
      <c r="AV405" s="133">
        <f>AM405-AP405</f>
        <v>0</v>
      </c>
      <c r="AW405" s="18">
        <f>AP405-AT405</f>
        <v>2024371566.72</v>
      </c>
      <c r="AX405" s="123">
        <f>AP405/AJ405</f>
        <v>0.99914655745097647</v>
      </c>
    </row>
    <row r="406" spans="1:50" ht="24.75" customHeight="1" x14ac:dyDescent="0.2">
      <c r="A406" s="4" t="s">
        <v>55</v>
      </c>
      <c r="B406" s="4" t="s">
        <v>56</v>
      </c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134" t="s">
        <v>359</v>
      </c>
      <c r="AB406" s="69" t="s">
        <v>360</v>
      </c>
      <c r="AC406" s="43" t="s">
        <v>361</v>
      </c>
      <c r="AD406" s="43">
        <v>800000000</v>
      </c>
      <c r="AE406" s="44">
        <v>0</v>
      </c>
      <c r="AF406" s="44">
        <v>0</v>
      </c>
      <c r="AG406" s="44">
        <v>0</v>
      </c>
      <c r="AH406" s="44">
        <v>0</v>
      </c>
      <c r="AI406" s="34">
        <f t="shared" ref="AI406" si="186">AE406-AF406+AG406-AH406</f>
        <v>0</v>
      </c>
      <c r="AJ406" s="18">
        <f t="shared" ref="AJ406" si="187">AD406+AI406</f>
        <v>800000000</v>
      </c>
      <c r="AK406" s="44">
        <v>0</v>
      </c>
      <c r="AL406" s="143">
        <f>AM406-AGOSTO!AM404</f>
        <v>0</v>
      </c>
      <c r="AM406" s="43">
        <v>800000000</v>
      </c>
      <c r="AN406" s="44">
        <v>0</v>
      </c>
      <c r="AO406" s="143">
        <v>0</v>
      </c>
      <c r="AP406" s="43">
        <v>800000000</v>
      </c>
      <c r="AQ406" s="44">
        <v>0</v>
      </c>
      <c r="AR406" s="44">
        <v>0</v>
      </c>
      <c r="AS406" s="44">
        <v>0</v>
      </c>
      <c r="AT406" s="40">
        <f t="shared" ref="AT406" si="188">AQ406+AS406</f>
        <v>0</v>
      </c>
      <c r="AU406" s="34">
        <f>AJ406-AM406</f>
        <v>0</v>
      </c>
      <c r="AV406" s="133">
        <f>AM406-AP406</f>
        <v>0</v>
      </c>
      <c r="AW406" s="18">
        <f>AP406-AT406</f>
        <v>800000000</v>
      </c>
      <c r="AX406" s="123">
        <f>AP406/AJ406</f>
        <v>1</v>
      </c>
    </row>
    <row r="407" spans="1:50" x14ac:dyDescent="0.2">
      <c r="AL407" s="150"/>
      <c r="AO407" s="150"/>
    </row>
    <row r="408" spans="1:50" ht="18.75" customHeight="1" x14ac:dyDescent="0.2">
      <c r="AA408" s="16"/>
      <c r="AB408" s="68" t="s">
        <v>189</v>
      </c>
      <c r="AC408" s="17"/>
      <c r="AD408" s="18"/>
      <c r="AE408" s="34"/>
      <c r="AF408" s="34"/>
      <c r="AG408" s="34"/>
      <c r="AH408" s="34"/>
      <c r="AI408" s="34"/>
      <c r="AJ408" s="18"/>
      <c r="AK408" s="18"/>
      <c r="AL408" s="147"/>
      <c r="AM408" s="18"/>
      <c r="AN408" s="18"/>
      <c r="AO408" s="147"/>
      <c r="AP408" s="18"/>
      <c r="AQ408" s="18"/>
      <c r="AR408" s="18"/>
      <c r="AS408" s="18"/>
      <c r="AT408" s="31"/>
      <c r="AU408" s="18"/>
      <c r="AV408" s="18"/>
      <c r="AW408" s="34"/>
      <c r="AX408" s="18"/>
    </row>
    <row r="409" spans="1:50" ht="18.75" customHeight="1" x14ac:dyDescent="0.2">
      <c r="AA409" s="16"/>
      <c r="AB409" s="68" t="s">
        <v>191</v>
      </c>
      <c r="AC409" s="17"/>
      <c r="AD409" s="18"/>
      <c r="AE409" s="34"/>
      <c r="AF409" s="34"/>
      <c r="AG409" s="34"/>
      <c r="AH409" s="34"/>
      <c r="AI409" s="34"/>
      <c r="AJ409" s="18"/>
      <c r="AK409" s="18"/>
      <c r="AL409" s="18"/>
      <c r="AM409" s="18"/>
      <c r="AN409" s="18"/>
      <c r="AO409" s="147"/>
      <c r="AP409" s="18"/>
      <c r="AQ409" s="18"/>
      <c r="AR409" s="18"/>
      <c r="AS409" s="18"/>
      <c r="AT409" s="31"/>
      <c r="AU409" s="18"/>
      <c r="AV409" s="18"/>
      <c r="AW409" s="34"/>
      <c r="AX409" s="18"/>
    </row>
    <row r="410" spans="1:50" ht="18.75" customHeight="1" x14ac:dyDescent="0.2">
      <c r="AA410" s="28" t="s">
        <v>288</v>
      </c>
      <c r="AB410" s="68" t="s">
        <v>362</v>
      </c>
      <c r="AC410" s="17"/>
      <c r="AD410" s="18"/>
      <c r="AE410" s="34"/>
      <c r="AF410" s="34"/>
      <c r="AG410" s="34"/>
      <c r="AH410" s="34"/>
      <c r="AI410" s="34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31"/>
      <c r="AU410" s="18"/>
      <c r="AV410" s="18"/>
      <c r="AW410" s="34"/>
      <c r="AX410" s="18"/>
    </row>
    <row r="411" spans="1:50" ht="18.75" customHeight="1" x14ac:dyDescent="0.2">
      <c r="A411" s="4" t="s">
        <v>55</v>
      </c>
      <c r="B411" s="4" t="s">
        <v>56</v>
      </c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1" t="s">
        <v>363</v>
      </c>
      <c r="AB411" s="69" t="s">
        <v>233</v>
      </c>
      <c r="AC411" s="43" t="s">
        <v>58</v>
      </c>
      <c r="AD411" s="43">
        <v>295200000</v>
      </c>
      <c r="AE411" s="44">
        <v>0</v>
      </c>
      <c r="AF411" s="44">
        <v>0</v>
      </c>
      <c r="AG411" s="44">
        <v>0</v>
      </c>
      <c r="AH411" s="44">
        <v>0</v>
      </c>
      <c r="AI411" s="34">
        <f t="shared" ref="AI411:AI417" si="189">AE411-AF411+AG411-AH411</f>
        <v>0</v>
      </c>
      <c r="AJ411" s="18">
        <f t="shared" ref="AJ411:AJ417" si="190">AD411+AI411</f>
        <v>295200000</v>
      </c>
      <c r="AK411" s="44">
        <v>0</v>
      </c>
      <c r="AL411" s="44">
        <f>AM411-AGOSTO!AM409</f>
        <v>0</v>
      </c>
      <c r="AM411" s="43">
        <v>233808278</v>
      </c>
      <c r="AN411" s="44">
        <v>0</v>
      </c>
      <c r="AO411" s="44">
        <v>0</v>
      </c>
      <c r="AP411" s="44">
        <v>0</v>
      </c>
      <c r="AQ411" s="44">
        <v>0</v>
      </c>
      <c r="AR411" s="44">
        <v>0</v>
      </c>
      <c r="AS411" s="44">
        <v>0</v>
      </c>
      <c r="AT411" s="40">
        <f t="shared" ref="AT411:AT417" si="191">AQ411+AS411</f>
        <v>0</v>
      </c>
      <c r="AU411" s="18">
        <f t="shared" ref="AU411:AU417" si="192">AJ411-AM411</f>
        <v>61391722</v>
      </c>
      <c r="AV411" s="18">
        <f t="shared" ref="AV411:AV417" si="193">AM411-AP411</f>
        <v>233808278</v>
      </c>
      <c r="AW411" s="34">
        <f t="shared" ref="AW411:AW417" si="194">AP411-AT411</f>
        <v>0</v>
      </c>
      <c r="AX411" s="123">
        <f t="shared" ref="AX411:AX417" si="195">AP411/AJ411</f>
        <v>0</v>
      </c>
    </row>
    <row r="412" spans="1:50" ht="18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1" t="s">
        <v>1339</v>
      </c>
      <c r="AB412" s="69" t="s">
        <v>379</v>
      </c>
      <c r="AC412" s="43"/>
      <c r="AD412" s="43"/>
      <c r="AE412" s="43">
        <v>1011332097</v>
      </c>
      <c r="AF412" s="44">
        <v>0</v>
      </c>
      <c r="AG412" s="44">
        <v>0</v>
      </c>
      <c r="AH412" s="44">
        <v>0</v>
      </c>
      <c r="AI412" s="18">
        <f t="shared" ref="AI412" si="196">AE412-AF412+AG412-AH412</f>
        <v>1011332097</v>
      </c>
      <c r="AJ412" s="18">
        <f t="shared" ref="AJ412" si="197">AD412+AI412</f>
        <v>1011332097</v>
      </c>
      <c r="AK412" s="44">
        <v>0</v>
      </c>
      <c r="AL412" s="44">
        <v>0</v>
      </c>
      <c r="AM412" s="43">
        <v>0</v>
      </c>
      <c r="AN412" s="44">
        <v>0</v>
      </c>
      <c r="AO412" s="44">
        <v>0</v>
      </c>
      <c r="AP412" s="44">
        <v>0</v>
      </c>
      <c r="AQ412" s="44">
        <v>0</v>
      </c>
      <c r="AR412" s="44"/>
      <c r="AS412" s="44"/>
      <c r="AT412" s="40">
        <f t="shared" ref="AT412" si="198">AQ412+AS412</f>
        <v>0</v>
      </c>
      <c r="AU412" s="18">
        <f t="shared" ref="AU412" si="199">AJ412-AM412</f>
        <v>1011332097</v>
      </c>
      <c r="AV412" s="34">
        <f t="shared" ref="AV412" si="200">AM412-AP412</f>
        <v>0</v>
      </c>
      <c r="AW412" s="34">
        <f t="shared" ref="AW412" si="201">AP412-AT412</f>
        <v>0</v>
      </c>
      <c r="AX412" s="123">
        <f t="shared" ref="AX412" si="202">AP412/AJ412</f>
        <v>0</v>
      </c>
    </row>
    <row r="413" spans="1:50" ht="18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1" t="s">
        <v>1263</v>
      </c>
      <c r="AB413" s="69" t="s">
        <v>1264</v>
      </c>
      <c r="AC413" s="43"/>
      <c r="AD413" s="43">
        <v>0</v>
      </c>
      <c r="AE413" s="44">
        <v>0</v>
      </c>
      <c r="AF413" s="44">
        <v>0</v>
      </c>
      <c r="AG413" s="43">
        <v>563696519</v>
      </c>
      <c r="AH413" s="43">
        <v>95676637</v>
      </c>
      <c r="AI413" s="18">
        <f t="shared" si="189"/>
        <v>468019882</v>
      </c>
      <c r="AJ413" s="18">
        <f t="shared" si="190"/>
        <v>468019882</v>
      </c>
      <c r="AK413" s="44">
        <v>0</v>
      </c>
      <c r="AL413" s="44">
        <v>0</v>
      </c>
      <c r="AM413" s="43">
        <v>245706286.99000001</v>
      </c>
      <c r="AN413" s="44">
        <v>0</v>
      </c>
      <c r="AO413" s="44">
        <v>0</v>
      </c>
      <c r="AP413" s="44">
        <v>0</v>
      </c>
      <c r="AQ413" s="44">
        <v>0</v>
      </c>
      <c r="AR413" s="44">
        <v>0</v>
      </c>
      <c r="AS413" s="44">
        <v>0</v>
      </c>
      <c r="AT413" s="40">
        <f t="shared" si="191"/>
        <v>0</v>
      </c>
      <c r="AU413" s="18">
        <f t="shared" si="192"/>
        <v>222313595.00999999</v>
      </c>
      <c r="AV413" s="18">
        <f t="shared" si="193"/>
        <v>245706286.99000001</v>
      </c>
      <c r="AW413" s="34">
        <f t="shared" si="194"/>
        <v>0</v>
      </c>
      <c r="AX413" s="123">
        <f t="shared" si="195"/>
        <v>0</v>
      </c>
    </row>
    <row r="414" spans="1:50" ht="18.75" customHeight="1" x14ac:dyDescent="0.2">
      <c r="A414" s="4" t="s">
        <v>55</v>
      </c>
      <c r="B414" s="4" t="s">
        <v>56</v>
      </c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1" t="s">
        <v>364</v>
      </c>
      <c r="AB414" s="69" t="s">
        <v>360</v>
      </c>
      <c r="AC414" s="43" t="s">
        <v>361</v>
      </c>
      <c r="AD414" s="43">
        <v>1948457402</v>
      </c>
      <c r="AE414" s="44">
        <v>0</v>
      </c>
      <c r="AF414" s="44">
        <v>0</v>
      </c>
      <c r="AG414" s="44">
        <v>0</v>
      </c>
      <c r="AH414" s="43">
        <v>1040144569</v>
      </c>
      <c r="AI414" s="34">
        <f t="shared" si="189"/>
        <v>-1040144569</v>
      </c>
      <c r="AJ414" s="18">
        <f t="shared" si="190"/>
        <v>908312833</v>
      </c>
      <c r="AK414" s="44">
        <v>0</v>
      </c>
      <c r="AL414" s="44">
        <v>0</v>
      </c>
      <c r="AM414" s="44">
        <v>0</v>
      </c>
      <c r="AN414" s="44">
        <v>0</v>
      </c>
      <c r="AO414" s="44">
        <v>0</v>
      </c>
      <c r="AP414" s="44">
        <v>0</v>
      </c>
      <c r="AQ414" s="44">
        <v>0</v>
      </c>
      <c r="AR414" s="44">
        <v>0</v>
      </c>
      <c r="AS414" s="44">
        <v>0</v>
      </c>
      <c r="AT414" s="40">
        <f t="shared" si="191"/>
        <v>0</v>
      </c>
      <c r="AU414" s="18">
        <f t="shared" si="192"/>
        <v>908312833</v>
      </c>
      <c r="AV414" s="34">
        <f t="shared" si="193"/>
        <v>0</v>
      </c>
      <c r="AW414" s="34">
        <f t="shared" si="194"/>
        <v>0</v>
      </c>
      <c r="AX414" s="123">
        <f t="shared" si="195"/>
        <v>0</v>
      </c>
    </row>
    <row r="415" spans="1:50" ht="18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245" t="s">
        <v>1206</v>
      </c>
      <c r="AB415" s="69" t="s">
        <v>1204</v>
      </c>
      <c r="AC415" s="43"/>
      <c r="AD415" s="44">
        <v>0</v>
      </c>
      <c r="AE415" s="43">
        <v>1243761503.24</v>
      </c>
      <c r="AF415" s="44">
        <v>0</v>
      </c>
      <c r="AG415" s="44">
        <v>0</v>
      </c>
      <c r="AH415" s="44">
        <v>0</v>
      </c>
      <c r="AI415" s="18">
        <f t="shared" si="189"/>
        <v>1243761503.24</v>
      </c>
      <c r="AJ415" s="18">
        <f t="shared" si="190"/>
        <v>1243761503.24</v>
      </c>
      <c r="AK415" s="44">
        <v>0</v>
      </c>
      <c r="AL415" s="44">
        <v>0</v>
      </c>
      <c r="AM415" s="43">
        <v>1243761503.24</v>
      </c>
      <c r="AN415" s="44">
        <v>0</v>
      </c>
      <c r="AO415" s="44">
        <v>0</v>
      </c>
      <c r="AP415" s="44">
        <v>0</v>
      </c>
      <c r="AQ415" s="44">
        <v>0</v>
      </c>
      <c r="AR415" s="44">
        <v>0</v>
      </c>
      <c r="AS415" s="44">
        <v>0</v>
      </c>
      <c r="AT415" s="40">
        <f t="shared" si="191"/>
        <v>0</v>
      </c>
      <c r="AU415" s="34">
        <f t="shared" si="192"/>
        <v>0</v>
      </c>
      <c r="AV415" s="18">
        <f t="shared" si="193"/>
        <v>1243761503.24</v>
      </c>
      <c r="AW415" s="34">
        <f t="shared" si="194"/>
        <v>0</v>
      </c>
      <c r="AX415" s="123">
        <f t="shared" si="195"/>
        <v>0</v>
      </c>
    </row>
    <row r="416" spans="1:50" ht="18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245" t="s">
        <v>1207</v>
      </c>
      <c r="AB416" s="69" t="s">
        <v>1208</v>
      </c>
      <c r="AC416" s="43"/>
      <c r="AD416" s="44">
        <v>0</v>
      </c>
      <c r="AE416" s="43">
        <v>33301512</v>
      </c>
      <c r="AF416" s="44">
        <v>0</v>
      </c>
      <c r="AG416" s="44">
        <v>0</v>
      </c>
      <c r="AH416" s="44">
        <v>0</v>
      </c>
      <c r="AI416" s="18">
        <f t="shared" si="189"/>
        <v>33301512</v>
      </c>
      <c r="AJ416" s="18">
        <f t="shared" si="190"/>
        <v>33301512</v>
      </c>
      <c r="AK416" s="44">
        <v>0</v>
      </c>
      <c r="AL416" s="44">
        <v>0</v>
      </c>
      <c r="AM416" s="43">
        <v>33301512</v>
      </c>
      <c r="AN416" s="44">
        <v>0</v>
      </c>
      <c r="AO416" s="44">
        <v>0</v>
      </c>
      <c r="AP416" s="43">
        <v>33301512</v>
      </c>
      <c r="AQ416" s="44">
        <v>0</v>
      </c>
      <c r="AR416" s="44">
        <v>0</v>
      </c>
      <c r="AS416" s="43">
        <v>33301512</v>
      </c>
      <c r="AT416" s="39">
        <f t="shared" si="191"/>
        <v>33301512</v>
      </c>
      <c r="AU416" s="34">
        <f t="shared" si="192"/>
        <v>0</v>
      </c>
      <c r="AV416" s="34">
        <f t="shared" si="193"/>
        <v>0</v>
      </c>
      <c r="AW416" s="34">
        <f t="shared" si="194"/>
        <v>0</v>
      </c>
      <c r="AX416" s="123">
        <f t="shared" si="195"/>
        <v>1</v>
      </c>
    </row>
    <row r="417" spans="1:50" ht="18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245" t="s">
        <v>1209</v>
      </c>
      <c r="AB417" s="69" t="s">
        <v>1271</v>
      </c>
      <c r="AC417" s="43"/>
      <c r="AD417" s="44">
        <v>0</v>
      </c>
      <c r="AE417" s="43">
        <v>299273185.5</v>
      </c>
      <c r="AF417" s="44">
        <v>0</v>
      </c>
      <c r="AG417" s="44">
        <v>0</v>
      </c>
      <c r="AH417" s="44">
        <v>0</v>
      </c>
      <c r="AI417" s="18">
        <f t="shared" si="189"/>
        <v>299273185.5</v>
      </c>
      <c r="AJ417" s="18">
        <f t="shared" si="190"/>
        <v>299273185.5</v>
      </c>
      <c r="AK417" s="44">
        <v>0</v>
      </c>
      <c r="AL417" s="44">
        <v>0</v>
      </c>
      <c r="AM417" s="43">
        <v>299273185.5</v>
      </c>
      <c r="AN417" s="44">
        <v>0</v>
      </c>
      <c r="AO417" s="44">
        <v>0</v>
      </c>
      <c r="AP417" s="43">
        <v>278223200</v>
      </c>
      <c r="AQ417" s="44">
        <v>0</v>
      </c>
      <c r="AR417" s="44">
        <v>0</v>
      </c>
      <c r="AS417" s="43">
        <v>124621932.45</v>
      </c>
      <c r="AT417" s="39">
        <f t="shared" si="191"/>
        <v>124621932.45</v>
      </c>
      <c r="AU417" s="34">
        <f t="shared" si="192"/>
        <v>0</v>
      </c>
      <c r="AV417" s="18">
        <f t="shared" si="193"/>
        <v>21049985.5</v>
      </c>
      <c r="AW417" s="18">
        <f t="shared" si="194"/>
        <v>153601267.55000001</v>
      </c>
      <c r="AX417" s="123">
        <f t="shared" si="195"/>
        <v>0.9296629751013894</v>
      </c>
    </row>
    <row r="418" spans="1:50" ht="18.75" customHeight="1" x14ac:dyDescent="0.2">
      <c r="AA418" s="28" t="s">
        <v>288</v>
      </c>
      <c r="AB418" s="68" t="s">
        <v>365</v>
      </c>
      <c r="AC418" s="17"/>
      <c r="AD418" s="18"/>
      <c r="AE418" s="34"/>
      <c r="AF418" s="34"/>
      <c r="AG418" s="34"/>
      <c r="AH418" s="34"/>
      <c r="AI418" s="34"/>
      <c r="AJ418" s="18"/>
      <c r="AK418" s="34"/>
      <c r="AL418" s="34"/>
      <c r="AM418" s="34"/>
      <c r="AN418" s="34"/>
      <c r="AO418" s="34"/>
      <c r="AP418" s="34"/>
      <c r="AQ418" s="34"/>
      <c r="AR418" s="34"/>
      <c r="AS418" s="34"/>
      <c r="AT418" s="40"/>
      <c r="AU418" s="18"/>
      <c r="AV418" s="18"/>
      <c r="AW418" s="18"/>
      <c r="AX418" s="18"/>
    </row>
    <row r="419" spans="1:50" ht="18.75" customHeight="1" x14ac:dyDescent="0.2">
      <c r="A419" s="4" t="s">
        <v>55</v>
      </c>
      <c r="B419" s="4" t="s">
        <v>56</v>
      </c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1" t="s">
        <v>366</v>
      </c>
      <c r="AB419" s="69" t="s">
        <v>367</v>
      </c>
      <c r="AC419" s="43" t="s">
        <v>368</v>
      </c>
      <c r="AD419" s="43">
        <v>229393430</v>
      </c>
      <c r="AE419" s="44">
        <v>0</v>
      </c>
      <c r="AF419" s="44">
        <v>0</v>
      </c>
      <c r="AG419" s="44">
        <v>0</v>
      </c>
      <c r="AH419" s="44">
        <v>0</v>
      </c>
      <c r="AI419" s="34">
        <f t="shared" ref="AI419:AI422" si="203">AE419-AF419+AG419-AH419</f>
        <v>0</v>
      </c>
      <c r="AJ419" s="18">
        <f t="shared" ref="AJ419:AJ422" si="204">AD419+AI419</f>
        <v>229393430</v>
      </c>
      <c r="AK419" s="44">
        <v>0</v>
      </c>
      <c r="AL419" s="44">
        <f>AM419-AGOSTO!AM417</f>
        <v>0</v>
      </c>
      <c r="AM419" s="44">
        <v>0</v>
      </c>
      <c r="AN419" s="44">
        <v>0</v>
      </c>
      <c r="AO419" s="44">
        <v>0</v>
      </c>
      <c r="AP419" s="44">
        <v>0</v>
      </c>
      <c r="AQ419" s="44">
        <v>0</v>
      </c>
      <c r="AR419" s="44">
        <v>0</v>
      </c>
      <c r="AS419" s="44">
        <v>0</v>
      </c>
      <c r="AT419" s="40">
        <f t="shared" si="184"/>
        <v>0</v>
      </c>
      <c r="AU419" s="18">
        <f>AJ419-AM419</f>
        <v>229393430</v>
      </c>
      <c r="AV419" s="34">
        <f>AM419-AP419</f>
        <v>0</v>
      </c>
      <c r="AW419" s="34">
        <f>AP419-AT419</f>
        <v>0</v>
      </c>
      <c r="AX419" s="123">
        <f>AP419/AJ419</f>
        <v>0</v>
      </c>
    </row>
    <row r="420" spans="1:50" ht="18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173" t="s">
        <v>1203</v>
      </c>
      <c r="AB420" s="69" t="s">
        <v>1204</v>
      </c>
      <c r="AC420" s="43"/>
      <c r="AD420" s="44">
        <v>0</v>
      </c>
      <c r="AE420" s="43">
        <v>500000000</v>
      </c>
      <c r="AF420" s="44">
        <v>0</v>
      </c>
      <c r="AG420" s="44">
        <v>0</v>
      </c>
      <c r="AH420" s="44">
        <v>0</v>
      </c>
      <c r="AI420" s="18">
        <f t="shared" si="203"/>
        <v>500000000</v>
      </c>
      <c r="AJ420" s="18">
        <f t="shared" si="204"/>
        <v>500000000</v>
      </c>
      <c r="AK420" s="44">
        <v>0</v>
      </c>
      <c r="AL420" s="44">
        <f>AM420-AGOSTO!AM418</f>
        <v>0</v>
      </c>
      <c r="AM420" s="44">
        <v>0</v>
      </c>
      <c r="AN420" s="44">
        <v>0</v>
      </c>
      <c r="AO420" s="44">
        <v>0</v>
      </c>
      <c r="AP420" s="44">
        <v>0</v>
      </c>
      <c r="AQ420" s="44">
        <v>0</v>
      </c>
      <c r="AR420" s="44">
        <v>0</v>
      </c>
      <c r="AS420" s="44">
        <v>0</v>
      </c>
      <c r="AT420" s="40">
        <f t="shared" si="184"/>
        <v>0</v>
      </c>
      <c r="AU420" s="18">
        <f>AJ420-AM420</f>
        <v>500000000</v>
      </c>
      <c r="AV420" s="34">
        <f>AM420-AP420</f>
        <v>0</v>
      </c>
      <c r="AW420" s="34">
        <f>AP420-AT420</f>
        <v>0</v>
      </c>
      <c r="AX420" s="123">
        <f>AP420/AJ420</f>
        <v>0</v>
      </c>
    </row>
    <row r="421" spans="1:50" ht="18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173" t="s">
        <v>1319</v>
      </c>
      <c r="AB421" s="69" t="s">
        <v>360</v>
      </c>
      <c r="AC421" s="43"/>
      <c r="AD421" s="44">
        <v>0</v>
      </c>
      <c r="AE421" s="43">
        <v>0</v>
      </c>
      <c r="AF421" s="44">
        <v>0</v>
      </c>
      <c r="AG421" s="43">
        <v>1040144569</v>
      </c>
      <c r="AH421" s="44">
        <v>0</v>
      </c>
      <c r="AI421" s="18">
        <f t="shared" si="203"/>
        <v>1040144569</v>
      </c>
      <c r="AJ421" s="18">
        <f t="shared" si="204"/>
        <v>1040144569</v>
      </c>
      <c r="AK421" s="44">
        <v>0</v>
      </c>
      <c r="AL421" s="44">
        <f>AM421-AGOSTO!AM419</f>
        <v>0</v>
      </c>
      <c r="AM421" s="44">
        <v>0</v>
      </c>
      <c r="AN421" s="44">
        <v>0</v>
      </c>
      <c r="AO421" s="44">
        <v>0</v>
      </c>
      <c r="AP421" s="44">
        <v>0</v>
      </c>
      <c r="AQ421" s="44">
        <v>0</v>
      </c>
      <c r="AR421" s="44">
        <v>0</v>
      </c>
      <c r="AS421" s="44">
        <v>0</v>
      </c>
      <c r="AT421" s="40">
        <f t="shared" si="184"/>
        <v>0</v>
      </c>
      <c r="AU421" s="18">
        <f>AJ421-AM421</f>
        <v>1040144569</v>
      </c>
      <c r="AV421" s="34">
        <f>AM421-AP421</f>
        <v>0</v>
      </c>
      <c r="AW421" s="34">
        <f>AP421-AT421</f>
        <v>0</v>
      </c>
      <c r="AX421" s="123">
        <f>AP421/AJ421</f>
        <v>0</v>
      </c>
    </row>
    <row r="422" spans="1:50" ht="18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173" t="s">
        <v>1320</v>
      </c>
      <c r="AB422" s="69" t="s">
        <v>1264</v>
      </c>
      <c r="AC422" s="43"/>
      <c r="AD422" s="44">
        <v>0</v>
      </c>
      <c r="AE422" s="43">
        <v>0</v>
      </c>
      <c r="AF422" s="44">
        <v>0</v>
      </c>
      <c r="AG422" s="43">
        <v>95676637</v>
      </c>
      <c r="AH422" s="44">
        <v>0</v>
      </c>
      <c r="AI422" s="18">
        <f t="shared" si="203"/>
        <v>95676637</v>
      </c>
      <c r="AJ422" s="18">
        <f t="shared" si="204"/>
        <v>95676637</v>
      </c>
      <c r="AK422" s="44">
        <v>0</v>
      </c>
      <c r="AL422" s="44">
        <f>AM422-AGOSTO!AM420</f>
        <v>0</v>
      </c>
      <c r="AM422" s="44">
        <v>0</v>
      </c>
      <c r="AN422" s="44">
        <v>0</v>
      </c>
      <c r="AO422" s="44">
        <v>0</v>
      </c>
      <c r="AP422" s="44">
        <v>0</v>
      </c>
      <c r="AQ422" s="44">
        <v>0</v>
      </c>
      <c r="AR422" s="44">
        <v>0</v>
      </c>
      <c r="AS422" s="44">
        <v>0</v>
      </c>
      <c r="AT422" s="40">
        <f t="shared" si="184"/>
        <v>0</v>
      </c>
      <c r="AU422" s="18">
        <f>AJ422-AM422</f>
        <v>95676637</v>
      </c>
      <c r="AV422" s="34">
        <f>AM422-AP422</f>
        <v>0</v>
      </c>
      <c r="AW422" s="34">
        <f>AP422-AT422</f>
        <v>0</v>
      </c>
      <c r="AX422" s="123">
        <f>AP422/AJ422</f>
        <v>0</v>
      </c>
    </row>
    <row r="423" spans="1:50" ht="18.75" customHeight="1" x14ac:dyDescent="0.2">
      <c r="AA423" s="28" t="s">
        <v>288</v>
      </c>
      <c r="AB423" s="68" t="s">
        <v>369</v>
      </c>
      <c r="AC423" s="17"/>
      <c r="AD423" s="18"/>
      <c r="AE423" s="34"/>
      <c r="AF423" s="34"/>
      <c r="AG423" s="34"/>
      <c r="AH423" s="34"/>
      <c r="AI423" s="34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40"/>
      <c r="AU423" s="18"/>
      <c r="AV423" s="18"/>
      <c r="AW423" s="18"/>
      <c r="AX423" s="18"/>
    </row>
    <row r="424" spans="1:50" ht="18.75" customHeight="1" x14ac:dyDescent="0.2">
      <c r="A424" s="4" t="s">
        <v>55</v>
      </c>
      <c r="B424" s="4" t="s">
        <v>56</v>
      </c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1" t="s">
        <v>370</v>
      </c>
      <c r="AB424" s="69" t="s">
        <v>233</v>
      </c>
      <c r="AC424" s="43" t="s">
        <v>58</v>
      </c>
      <c r="AD424" s="43">
        <v>209880000</v>
      </c>
      <c r="AE424" s="44">
        <v>0</v>
      </c>
      <c r="AF424" s="44">
        <v>0</v>
      </c>
      <c r="AG424" s="44">
        <v>0</v>
      </c>
      <c r="AH424" s="44">
        <v>0</v>
      </c>
      <c r="AI424" s="18">
        <f>AE424-AF424+AG424-AH424</f>
        <v>0</v>
      </c>
      <c r="AJ424" s="18">
        <f>AD424+AI424</f>
        <v>209880000</v>
      </c>
      <c r="AK424" s="44">
        <v>0</v>
      </c>
      <c r="AL424" s="43">
        <f>AM424-AGOSTO!AM421</f>
        <v>29933335.310000002</v>
      </c>
      <c r="AM424" s="43">
        <v>145933335.31</v>
      </c>
      <c r="AN424" s="44">
        <v>0</v>
      </c>
      <c r="AO424" s="43">
        <v>0</v>
      </c>
      <c r="AP424" s="43">
        <v>112800000</v>
      </c>
      <c r="AQ424" s="43">
        <v>0</v>
      </c>
      <c r="AR424" s="43">
        <v>16666666</v>
      </c>
      <c r="AS424" s="43">
        <v>85799997</v>
      </c>
      <c r="AT424" s="39">
        <f t="shared" si="184"/>
        <v>85799997</v>
      </c>
      <c r="AU424" s="18">
        <f>AJ424-AM424</f>
        <v>63946664.689999998</v>
      </c>
      <c r="AV424" s="18">
        <f>AM424-AP424</f>
        <v>33133335.310000002</v>
      </c>
      <c r="AW424" s="18">
        <f>AP424-AT424</f>
        <v>27000003</v>
      </c>
      <c r="AX424" s="123">
        <f>AP424/AJ424</f>
        <v>0.53744997141223561</v>
      </c>
    </row>
    <row r="425" spans="1:50" ht="18.75" customHeight="1" x14ac:dyDescent="0.2">
      <c r="AA425" s="28" t="s">
        <v>288</v>
      </c>
      <c r="AB425" s="68" t="s">
        <v>371</v>
      </c>
      <c r="AC425" s="17"/>
      <c r="AD425" s="18"/>
      <c r="AE425" s="34"/>
      <c r="AF425" s="34"/>
      <c r="AG425" s="34"/>
      <c r="AH425" s="34"/>
      <c r="AI425" s="34"/>
      <c r="AJ425" s="18"/>
      <c r="AK425" s="18"/>
      <c r="AL425" s="34"/>
      <c r="AM425" s="18"/>
      <c r="AN425" s="18"/>
      <c r="AO425" s="18"/>
      <c r="AP425" s="18"/>
      <c r="AQ425" s="18"/>
      <c r="AR425" s="18"/>
      <c r="AS425" s="18"/>
      <c r="AT425" s="40"/>
      <c r="AU425" s="18"/>
      <c r="AV425" s="18"/>
      <c r="AW425" s="18"/>
      <c r="AX425" s="18"/>
    </row>
    <row r="426" spans="1:50" ht="18.75" customHeight="1" x14ac:dyDescent="0.2">
      <c r="A426" s="4" t="s">
        <v>55</v>
      </c>
      <c r="B426" s="4" t="s">
        <v>56</v>
      </c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1" t="s">
        <v>372</v>
      </c>
      <c r="AB426" s="69" t="s">
        <v>233</v>
      </c>
      <c r="AC426" s="43" t="s">
        <v>58</v>
      </c>
      <c r="AD426" s="43">
        <v>290120000</v>
      </c>
      <c r="AE426" s="44">
        <v>0</v>
      </c>
      <c r="AF426" s="44">
        <v>0</v>
      </c>
      <c r="AG426" s="44">
        <v>0</v>
      </c>
      <c r="AH426" s="43">
        <f>169996000+20000000</f>
        <v>189996000</v>
      </c>
      <c r="AI426" s="18">
        <f>AE426-AF426+AG426-AH426</f>
        <v>-189996000</v>
      </c>
      <c r="AJ426" s="18">
        <f>AD426+AI426</f>
        <v>100124000</v>
      </c>
      <c r="AK426" s="44">
        <v>0</v>
      </c>
      <c r="AL426" s="44">
        <v>0</v>
      </c>
      <c r="AM426" s="43">
        <v>100124000</v>
      </c>
      <c r="AN426" s="44">
        <v>0</v>
      </c>
      <c r="AO426" s="44">
        <v>0</v>
      </c>
      <c r="AP426" s="43">
        <v>100124000</v>
      </c>
      <c r="AQ426" s="44">
        <v>0</v>
      </c>
      <c r="AR426" s="43">
        <v>33374668</v>
      </c>
      <c r="AS426" s="43">
        <v>33374668</v>
      </c>
      <c r="AT426" s="40">
        <f t="shared" si="184"/>
        <v>33374668</v>
      </c>
      <c r="AU426" s="34">
        <f>AJ426-AM426</f>
        <v>0</v>
      </c>
      <c r="AV426" s="34">
        <f>AM426-AP426</f>
        <v>0</v>
      </c>
      <c r="AW426" s="18">
        <f>AP426-AT426</f>
        <v>66749332</v>
      </c>
      <c r="AX426" s="123">
        <f>AP426/AJ426</f>
        <v>1</v>
      </c>
    </row>
    <row r="427" spans="1:50" ht="18.75" customHeight="1" x14ac:dyDescent="0.2">
      <c r="AA427" s="16"/>
      <c r="AB427" s="70"/>
      <c r="AC427" s="17"/>
      <c r="AD427" s="18"/>
      <c r="AE427" s="34"/>
      <c r="AF427" s="34"/>
      <c r="AG427" s="34"/>
      <c r="AH427" s="34"/>
      <c r="AI427" s="34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40"/>
      <c r="AU427" s="18"/>
      <c r="AV427" s="18"/>
      <c r="AW427" s="18"/>
      <c r="AX427" s="18"/>
    </row>
    <row r="428" spans="1:50" ht="38.25" x14ac:dyDescent="0.2">
      <c r="AA428" s="16"/>
      <c r="AB428" s="68" t="s">
        <v>373</v>
      </c>
      <c r="AC428" s="17"/>
      <c r="AD428" s="18"/>
      <c r="AE428" s="34"/>
      <c r="AF428" s="34"/>
      <c r="AG428" s="34"/>
      <c r="AH428" s="34"/>
      <c r="AI428" s="34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40"/>
      <c r="AU428" s="18"/>
      <c r="AV428" s="18"/>
      <c r="AW428" s="18"/>
      <c r="AX428" s="18"/>
    </row>
    <row r="429" spans="1:50" ht="25.5" x14ac:dyDescent="0.2">
      <c r="AA429" s="28"/>
      <c r="AB429" s="68" t="s">
        <v>374</v>
      </c>
      <c r="AC429" s="17"/>
      <c r="AD429" s="18"/>
      <c r="AE429" s="34"/>
      <c r="AF429" s="34"/>
      <c r="AG429" s="34"/>
      <c r="AH429" s="34"/>
      <c r="AI429" s="34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40"/>
      <c r="AU429" s="18"/>
      <c r="AV429" s="18"/>
      <c r="AW429" s="18"/>
      <c r="AX429" s="18"/>
    </row>
    <row r="430" spans="1:50" ht="25.5" x14ac:dyDescent="0.2">
      <c r="AA430" s="28" t="s">
        <v>288</v>
      </c>
      <c r="AB430" s="68" t="s">
        <v>375</v>
      </c>
      <c r="AC430" s="17"/>
      <c r="AD430" s="18"/>
      <c r="AE430" s="34"/>
      <c r="AF430" s="34"/>
      <c r="AG430" s="34"/>
      <c r="AH430" s="34"/>
      <c r="AI430" s="34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40"/>
      <c r="AU430" s="18"/>
      <c r="AV430" s="18"/>
      <c r="AW430" s="18"/>
      <c r="AX430" s="18"/>
    </row>
    <row r="431" spans="1:50" x14ac:dyDescent="0.2">
      <c r="A431" s="4" t="s">
        <v>55</v>
      </c>
      <c r="B431" s="4" t="s">
        <v>56</v>
      </c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1" t="s">
        <v>376</v>
      </c>
      <c r="AB431" s="69" t="s">
        <v>233</v>
      </c>
      <c r="AC431" s="43" t="s">
        <v>58</v>
      </c>
      <c r="AD431" s="43">
        <v>3416292195</v>
      </c>
      <c r="AE431" s="44">
        <v>0</v>
      </c>
      <c r="AF431" s="44">
        <v>0</v>
      </c>
      <c r="AG431" s="44">
        <v>0</v>
      </c>
      <c r="AH431" s="43">
        <v>94960977</v>
      </c>
      <c r="AI431" s="18">
        <f>AE431-AF431+AG431-AH431</f>
        <v>-94960977</v>
      </c>
      <c r="AJ431" s="18">
        <f>AD431+AI431</f>
        <v>3321331218</v>
      </c>
      <c r="AK431" s="44">
        <v>0</v>
      </c>
      <c r="AL431" s="44">
        <f>AM431-AGOSTO!AM428</f>
        <v>0</v>
      </c>
      <c r="AM431" s="43">
        <v>3321331218</v>
      </c>
      <c r="AN431" s="44">
        <v>0</v>
      </c>
      <c r="AO431" s="44">
        <v>0</v>
      </c>
      <c r="AP431" s="43">
        <v>3321331218</v>
      </c>
      <c r="AQ431" s="44">
        <v>0</v>
      </c>
      <c r="AR431" s="44">
        <v>0</v>
      </c>
      <c r="AS431" s="43">
        <v>21176441</v>
      </c>
      <c r="AT431" s="39">
        <f t="shared" ref="AT431" si="205">AQ431+AS431</f>
        <v>21176441</v>
      </c>
      <c r="AU431" s="34">
        <f>AJ431-AM431</f>
        <v>0</v>
      </c>
      <c r="AV431" s="133">
        <f>AM431-AP431</f>
        <v>0</v>
      </c>
      <c r="AW431" s="18">
        <f>AP431-AT431</f>
        <v>3300154777</v>
      </c>
      <c r="AX431" s="123">
        <f>AP431/AJ431</f>
        <v>1</v>
      </c>
    </row>
    <row r="432" spans="1:50" ht="18.75" customHeight="1" x14ac:dyDescent="0.2">
      <c r="AA432" s="28" t="s">
        <v>288</v>
      </c>
      <c r="AB432" s="29" t="s">
        <v>320</v>
      </c>
      <c r="AC432" s="17"/>
      <c r="AD432" s="18"/>
      <c r="AE432" s="34"/>
      <c r="AF432" s="34"/>
      <c r="AG432" s="34"/>
      <c r="AH432" s="34"/>
      <c r="AI432" s="34"/>
      <c r="AJ432" s="18"/>
      <c r="AK432" s="34"/>
      <c r="AL432" s="34"/>
      <c r="AM432" s="18"/>
      <c r="AN432" s="34"/>
      <c r="AO432" s="34"/>
      <c r="AP432" s="18"/>
      <c r="AQ432" s="34"/>
      <c r="AR432" s="34"/>
      <c r="AS432" s="34"/>
      <c r="AT432" s="40"/>
      <c r="AU432" s="18"/>
      <c r="AV432" s="18"/>
      <c r="AW432" s="18"/>
      <c r="AX432" s="18"/>
    </row>
    <row r="433" spans="1:50" ht="18.75" customHeight="1" x14ac:dyDescent="0.2">
      <c r="A433" s="4" t="s">
        <v>55</v>
      </c>
      <c r="B433" s="4" t="s">
        <v>56</v>
      </c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1" t="s">
        <v>377</v>
      </c>
      <c r="AB433" s="42" t="s">
        <v>328</v>
      </c>
      <c r="AC433" s="43" t="s">
        <v>61</v>
      </c>
      <c r="AD433" s="43">
        <v>10632000</v>
      </c>
      <c r="AE433" s="44">
        <v>0</v>
      </c>
      <c r="AF433" s="44">
        <v>0</v>
      </c>
      <c r="AG433" s="44">
        <v>0</v>
      </c>
      <c r="AH433" s="44">
        <v>0</v>
      </c>
      <c r="AI433" s="18">
        <f t="shared" ref="AI433:AI435" si="206">AE433-AF433+AG433-AH433</f>
        <v>0</v>
      </c>
      <c r="AJ433" s="18">
        <f t="shared" ref="AJ433:AJ435" si="207">AD433+AI433</f>
        <v>10632000</v>
      </c>
      <c r="AK433" s="44">
        <v>0</v>
      </c>
      <c r="AL433" s="43">
        <f>AM433-AGOSTO!AM430</f>
        <v>1060000</v>
      </c>
      <c r="AM433" s="43">
        <v>1060000</v>
      </c>
      <c r="AN433" s="44">
        <v>0</v>
      </c>
      <c r="AO433" s="44">
        <v>0</v>
      </c>
      <c r="AP433" s="44">
        <v>0</v>
      </c>
      <c r="AQ433" s="44">
        <v>0</v>
      </c>
      <c r="AR433" s="44">
        <v>0</v>
      </c>
      <c r="AS433" s="44">
        <v>0</v>
      </c>
      <c r="AT433" s="40">
        <f t="shared" ref="AT433:AT435" si="208">AQ433+AS433</f>
        <v>0</v>
      </c>
      <c r="AU433" s="18">
        <f>AJ433-AM433</f>
        <v>9572000</v>
      </c>
      <c r="AV433" s="18">
        <f>AM433-AP433</f>
        <v>1060000</v>
      </c>
      <c r="AW433" s="34">
        <f>AP433-AT433</f>
        <v>0</v>
      </c>
      <c r="AX433" s="123">
        <f>AP433/AJ433</f>
        <v>0</v>
      </c>
    </row>
    <row r="434" spans="1:50" ht="18.75" customHeight="1" x14ac:dyDescent="0.2">
      <c r="A434" s="4" t="s">
        <v>55</v>
      </c>
      <c r="B434" s="4" t="s">
        <v>56</v>
      </c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1" t="s">
        <v>378</v>
      </c>
      <c r="AB434" s="42" t="s">
        <v>379</v>
      </c>
      <c r="AC434" s="43" t="s">
        <v>380</v>
      </c>
      <c r="AD434" s="43">
        <v>2835585455</v>
      </c>
      <c r="AE434" s="44">
        <v>0</v>
      </c>
      <c r="AF434" s="44">
        <v>0</v>
      </c>
      <c r="AG434" s="44">
        <v>0</v>
      </c>
      <c r="AH434" s="44">
        <v>0</v>
      </c>
      <c r="AI434" s="18">
        <f t="shared" si="206"/>
        <v>0</v>
      </c>
      <c r="AJ434" s="18">
        <f t="shared" si="207"/>
        <v>2835585455</v>
      </c>
      <c r="AK434" s="44">
        <v>0</v>
      </c>
      <c r="AL434" s="43">
        <f>AM434-AGOSTO!AM431</f>
        <v>245806539</v>
      </c>
      <c r="AM434" s="43">
        <v>1498924774</v>
      </c>
      <c r="AN434" s="44">
        <v>0</v>
      </c>
      <c r="AO434" s="43">
        <v>245806539</v>
      </c>
      <c r="AP434" s="43">
        <v>1498924774</v>
      </c>
      <c r="AQ434" s="115">
        <v>0</v>
      </c>
      <c r="AR434" s="43">
        <v>245806539</v>
      </c>
      <c r="AS434" s="43">
        <v>1498924774</v>
      </c>
      <c r="AT434" s="39">
        <f t="shared" si="208"/>
        <v>1498924774</v>
      </c>
      <c r="AU434" s="18">
        <f>AJ434-AM434</f>
        <v>1336660681</v>
      </c>
      <c r="AV434" s="34">
        <f>AM434-AP434</f>
        <v>0</v>
      </c>
      <c r="AW434" s="18">
        <f>AP434-AT434</f>
        <v>0</v>
      </c>
      <c r="AX434" s="123">
        <f>AP434/AJ434</f>
        <v>0.52861209714450308</v>
      </c>
    </row>
    <row r="435" spans="1:50" ht="18.75" customHeight="1" x14ac:dyDescent="0.2">
      <c r="A435" s="4" t="s">
        <v>55</v>
      </c>
      <c r="B435" s="4" t="s">
        <v>56</v>
      </c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1" t="s">
        <v>381</v>
      </c>
      <c r="AB435" s="42" t="s">
        <v>382</v>
      </c>
      <c r="AC435" s="43" t="s">
        <v>383</v>
      </c>
      <c r="AD435" s="43">
        <v>1274304912</v>
      </c>
      <c r="AE435" s="44">
        <v>0</v>
      </c>
      <c r="AF435" s="44">
        <v>0</v>
      </c>
      <c r="AG435" s="44">
        <v>0</v>
      </c>
      <c r="AH435" s="43">
        <v>563696519</v>
      </c>
      <c r="AI435" s="18">
        <f t="shared" si="206"/>
        <v>-563696519</v>
      </c>
      <c r="AJ435" s="18">
        <f t="shared" si="207"/>
        <v>710608393</v>
      </c>
      <c r="AK435" s="44">
        <v>0</v>
      </c>
      <c r="AL435" s="44">
        <f>AM435-AGOSTO!AM432</f>
        <v>0</v>
      </c>
      <c r="AM435" s="44">
        <v>0</v>
      </c>
      <c r="AN435" s="44">
        <v>0</v>
      </c>
      <c r="AO435" s="44">
        <v>0</v>
      </c>
      <c r="AP435" s="44">
        <v>0</v>
      </c>
      <c r="AQ435" s="44">
        <v>0</v>
      </c>
      <c r="AR435" s="44">
        <v>0</v>
      </c>
      <c r="AS435" s="44">
        <v>0</v>
      </c>
      <c r="AT435" s="40">
        <f t="shared" si="208"/>
        <v>0</v>
      </c>
      <c r="AU435" s="18">
        <f>AJ435-AM435</f>
        <v>710608393</v>
      </c>
      <c r="AV435" s="34">
        <f>AM435-AP435</f>
        <v>0</v>
      </c>
      <c r="AW435" s="34">
        <f>AP435-AT435</f>
        <v>0</v>
      </c>
      <c r="AX435" s="123">
        <f>AP435/AJ435</f>
        <v>0</v>
      </c>
    </row>
    <row r="436" spans="1:50" ht="38.25" x14ac:dyDescent="0.2">
      <c r="AA436" s="28" t="s">
        <v>288</v>
      </c>
      <c r="AB436" s="29" t="s">
        <v>384</v>
      </c>
      <c r="AC436" s="17"/>
      <c r="AD436" s="18"/>
      <c r="AE436" s="34"/>
      <c r="AF436" s="34"/>
      <c r="AG436" s="34"/>
      <c r="AH436" s="34"/>
      <c r="AI436" s="34"/>
      <c r="AJ436" s="18"/>
      <c r="AK436" s="18"/>
      <c r="AL436" s="18"/>
      <c r="AM436" s="18"/>
      <c r="AN436" s="34"/>
      <c r="AO436" s="34"/>
      <c r="AP436" s="18"/>
      <c r="AQ436" s="18"/>
      <c r="AR436" s="18"/>
      <c r="AS436" s="18"/>
      <c r="AT436" s="39"/>
      <c r="AU436" s="18"/>
      <c r="AV436" s="18"/>
      <c r="AW436" s="18"/>
      <c r="AX436" s="18"/>
    </row>
    <row r="437" spans="1:50" ht="18.75" customHeight="1" x14ac:dyDescent="0.2">
      <c r="A437" s="4" t="s">
        <v>55</v>
      </c>
      <c r="B437" s="4" t="s">
        <v>56</v>
      </c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1" t="s">
        <v>385</v>
      </c>
      <c r="AB437" s="42" t="s">
        <v>233</v>
      </c>
      <c r="AC437" s="43" t="s">
        <v>58</v>
      </c>
      <c r="AD437" s="43">
        <v>9793380820</v>
      </c>
      <c r="AE437" s="44">
        <v>0</v>
      </c>
      <c r="AF437" s="44">
        <v>0</v>
      </c>
      <c r="AG437" s="44">
        <v>0</v>
      </c>
      <c r="AH437" s="43">
        <v>210000000</v>
      </c>
      <c r="AI437" s="18">
        <f t="shared" ref="AI437:AI443" si="209">AE437-AF437+AG437-AH437</f>
        <v>-210000000</v>
      </c>
      <c r="AJ437" s="18">
        <f t="shared" ref="AJ437:AJ443" si="210">AD437+AI437</f>
        <v>9583380820</v>
      </c>
      <c r="AK437" s="44">
        <v>0</v>
      </c>
      <c r="AL437" s="43">
        <f>AM437-AGOSTO!AM434</f>
        <v>110916666.65999985</v>
      </c>
      <c r="AM437" s="43">
        <v>8972920147.4599991</v>
      </c>
      <c r="AN437" s="44">
        <v>0</v>
      </c>
      <c r="AO437" s="43">
        <v>35183333.329999998</v>
      </c>
      <c r="AP437" s="43">
        <v>8879936814.1299992</v>
      </c>
      <c r="AQ437" s="43">
        <v>150000</v>
      </c>
      <c r="AR437" s="43">
        <v>213362495</v>
      </c>
      <c r="AS437" s="43">
        <v>729474434.5</v>
      </c>
      <c r="AT437" s="39">
        <f t="shared" ref="AT437:AT444" si="211">AQ437+AS437</f>
        <v>729624434.5</v>
      </c>
      <c r="AU437" s="18">
        <f t="shared" ref="AU437:AU444" si="212">AJ437-AM437</f>
        <v>610460672.54000092</v>
      </c>
      <c r="AV437" s="18">
        <f t="shared" ref="AV437:AV444" si="213">AM437-AP437</f>
        <v>92983333.329999924</v>
      </c>
      <c r="AW437" s="110">
        <f t="shared" ref="AW437:AW444" si="214">AP437-AT437</f>
        <v>8150312379.6299992</v>
      </c>
      <c r="AX437" s="123">
        <f t="shared" ref="AX437:AX444" si="215">AP437/AJ437</f>
        <v>0.92659751093247267</v>
      </c>
    </row>
    <row r="438" spans="1:50" ht="18.75" customHeight="1" x14ac:dyDescent="0.2">
      <c r="A438" s="4" t="s">
        <v>55</v>
      </c>
      <c r="B438" s="4" t="s">
        <v>56</v>
      </c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1" t="s">
        <v>386</v>
      </c>
      <c r="AB438" s="42" t="s">
        <v>382</v>
      </c>
      <c r="AC438" s="43" t="s">
        <v>383</v>
      </c>
      <c r="AD438" s="43">
        <v>8000000000</v>
      </c>
      <c r="AE438" s="44">
        <v>0</v>
      </c>
      <c r="AF438" s="44">
        <v>0</v>
      </c>
      <c r="AG438" s="44">
        <v>0</v>
      </c>
      <c r="AH438" s="44">
        <v>0</v>
      </c>
      <c r="AI438" s="18">
        <f t="shared" si="209"/>
        <v>0</v>
      </c>
      <c r="AJ438" s="18">
        <f t="shared" si="210"/>
        <v>8000000000</v>
      </c>
      <c r="AK438" s="44">
        <v>0</v>
      </c>
      <c r="AL438" s="44">
        <f>AM438-AGOSTO!AM435</f>
        <v>0</v>
      </c>
      <c r="AM438" s="43">
        <v>8000000000</v>
      </c>
      <c r="AN438" s="44">
        <v>0</v>
      </c>
      <c r="AO438" s="44">
        <v>0</v>
      </c>
      <c r="AP438" s="43">
        <v>8000000000</v>
      </c>
      <c r="AQ438" s="44">
        <v>0</v>
      </c>
      <c r="AR438" s="44">
        <v>1215185860.8</v>
      </c>
      <c r="AS438" s="44">
        <v>1684134944.3</v>
      </c>
      <c r="AT438" s="40">
        <f t="shared" si="211"/>
        <v>1684134944.3</v>
      </c>
      <c r="AU438" s="34">
        <f t="shared" si="212"/>
        <v>0</v>
      </c>
      <c r="AV438" s="34">
        <f t="shared" si="213"/>
        <v>0</v>
      </c>
      <c r="AW438" s="18">
        <f t="shared" si="214"/>
        <v>6315865055.6999998</v>
      </c>
      <c r="AX438" s="123">
        <f t="shared" si="215"/>
        <v>1</v>
      </c>
    </row>
    <row r="439" spans="1:50" ht="18.75" customHeight="1" x14ac:dyDescent="0.2">
      <c r="A439" s="4" t="s">
        <v>55</v>
      </c>
      <c r="B439" s="4" t="s">
        <v>56</v>
      </c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1" t="s">
        <v>387</v>
      </c>
      <c r="AB439" s="42" t="s">
        <v>388</v>
      </c>
      <c r="AC439" s="43" t="s">
        <v>389</v>
      </c>
      <c r="AD439" s="43">
        <v>951016677</v>
      </c>
      <c r="AE439" s="43">
        <v>94431074</v>
      </c>
      <c r="AF439" s="44">
        <v>0</v>
      </c>
      <c r="AG439" s="44">
        <v>0</v>
      </c>
      <c r="AH439" s="44">
        <v>0</v>
      </c>
      <c r="AI439" s="18">
        <f t="shared" si="209"/>
        <v>94431074</v>
      </c>
      <c r="AJ439" s="18">
        <f t="shared" si="210"/>
        <v>1045447751</v>
      </c>
      <c r="AK439" s="44">
        <v>0</v>
      </c>
      <c r="AL439" s="44">
        <f>AM439-AGOSTO!AM436</f>
        <v>0</v>
      </c>
      <c r="AM439" s="43">
        <v>934080451</v>
      </c>
      <c r="AN439" s="44">
        <v>0</v>
      </c>
      <c r="AO439" s="44">
        <v>0</v>
      </c>
      <c r="AP439" s="43">
        <v>934080451</v>
      </c>
      <c r="AQ439" s="44">
        <v>0</v>
      </c>
      <c r="AR439" s="43">
        <v>0</v>
      </c>
      <c r="AS439" s="43">
        <v>934080451</v>
      </c>
      <c r="AT439" s="39">
        <f t="shared" si="211"/>
        <v>934080451</v>
      </c>
      <c r="AU439" s="18">
        <f t="shared" si="212"/>
        <v>111367300</v>
      </c>
      <c r="AV439" s="34">
        <f t="shared" si="213"/>
        <v>0</v>
      </c>
      <c r="AW439" s="34">
        <f t="shared" si="214"/>
        <v>0</v>
      </c>
      <c r="AX439" s="123">
        <f t="shared" si="215"/>
        <v>0.89347406420505082</v>
      </c>
    </row>
    <row r="440" spans="1:50" ht="18.75" customHeight="1" x14ac:dyDescent="0.2">
      <c r="A440" s="4" t="s">
        <v>55</v>
      </c>
      <c r="B440" s="4" t="s">
        <v>56</v>
      </c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1" t="s">
        <v>390</v>
      </c>
      <c r="AB440" s="42" t="s">
        <v>391</v>
      </c>
      <c r="AC440" s="43" t="s">
        <v>392</v>
      </c>
      <c r="AD440" s="43">
        <v>2011708314</v>
      </c>
      <c r="AE440" s="44">
        <v>0</v>
      </c>
      <c r="AF440" s="44">
        <v>0</v>
      </c>
      <c r="AG440" s="44">
        <v>0</v>
      </c>
      <c r="AH440" s="44">
        <v>0</v>
      </c>
      <c r="AI440" s="34">
        <f t="shared" si="209"/>
        <v>0</v>
      </c>
      <c r="AJ440" s="18">
        <f t="shared" si="210"/>
        <v>2011708314</v>
      </c>
      <c r="AK440" s="44">
        <v>0</v>
      </c>
      <c r="AL440" s="44">
        <f>AM440-AGOSTO!AM437</f>
        <v>0</v>
      </c>
      <c r="AM440" s="43">
        <v>1978725412.5</v>
      </c>
      <c r="AN440" s="44">
        <v>0</v>
      </c>
      <c r="AO440" s="44">
        <v>0</v>
      </c>
      <c r="AP440" s="43">
        <v>1978725412.5</v>
      </c>
      <c r="AQ440" s="44">
        <v>0</v>
      </c>
      <c r="AR440" s="43">
        <v>687854631.20000005</v>
      </c>
      <c r="AS440" s="43">
        <v>1945742510</v>
      </c>
      <c r="AT440" s="39">
        <f t="shared" si="211"/>
        <v>1945742510</v>
      </c>
      <c r="AU440" s="18">
        <f t="shared" si="212"/>
        <v>32982901.5</v>
      </c>
      <c r="AV440" s="34">
        <f t="shared" si="213"/>
        <v>0</v>
      </c>
      <c r="AW440" s="18">
        <f t="shared" si="214"/>
        <v>32982902.5</v>
      </c>
      <c r="AX440" s="123">
        <f t="shared" si="215"/>
        <v>0.98360453090019884</v>
      </c>
    </row>
    <row r="441" spans="1:50" ht="18.75" customHeight="1" x14ac:dyDescent="0.2">
      <c r="A441" s="4" t="s">
        <v>55</v>
      </c>
      <c r="B441" s="4" t="s">
        <v>56</v>
      </c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1" t="s">
        <v>393</v>
      </c>
      <c r="AB441" s="42" t="s">
        <v>394</v>
      </c>
      <c r="AC441" s="43" t="s">
        <v>368</v>
      </c>
      <c r="AD441" s="43">
        <v>64817304.240000002</v>
      </c>
      <c r="AE441" s="44">
        <v>0</v>
      </c>
      <c r="AF441" s="44">
        <v>0</v>
      </c>
      <c r="AG441" s="44">
        <v>0</v>
      </c>
      <c r="AH441" s="44">
        <v>0</v>
      </c>
      <c r="AI441" s="34">
        <f t="shared" si="209"/>
        <v>0</v>
      </c>
      <c r="AJ441" s="18">
        <f t="shared" si="210"/>
        <v>64817304.240000002</v>
      </c>
      <c r="AK441" s="44">
        <v>0</v>
      </c>
      <c r="AL441" s="44">
        <f>AM441-AGOSTO!AM438</f>
        <v>0</v>
      </c>
      <c r="AM441" s="43">
        <v>64817304.240000002</v>
      </c>
      <c r="AN441" s="44">
        <v>0</v>
      </c>
      <c r="AO441" s="44">
        <v>0</v>
      </c>
      <c r="AP441" s="43">
        <v>64817304.240000002</v>
      </c>
      <c r="AQ441" s="44">
        <v>0</v>
      </c>
      <c r="AR441" s="44">
        <v>0</v>
      </c>
      <c r="AS441" s="43">
        <v>64817304.240000002</v>
      </c>
      <c r="AT441" s="39">
        <f t="shared" si="211"/>
        <v>64817304.240000002</v>
      </c>
      <c r="AU441" s="34">
        <f t="shared" si="212"/>
        <v>0</v>
      </c>
      <c r="AV441" s="34">
        <f t="shared" si="213"/>
        <v>0</v>
      </c>
      <c r="AW441" s="34">
        <f t="shared" si="214"/>
        <v>0</v>
      </c>
      <c r="AX441" s="123">
        <f t="shared" si="215"/>
        <v>1</v>
      </c>
    </row>
    <row r="442" spans="1:50" ht="18.75" customHeight="1" x14ac:dyDescent="0.2">
      <c r="AA442" s="245" t="s">
        <v>1213</v>
      </c>
      <c r="AB442" s="42" t="s">
        <v>1214</v>
      </c>
      <c r="AC442" s="17"/>
      <c r="AD442" s="34">
        <v>0</v>
      </c>
      <c r="AE442" s="18">
        <v>437225610.45999998</v>
      </c>
      <c r="AF442" s="34">
        <v>0</v>
      </c>
      <c r="AG442" s="34">
        <v>0</v>
      </c>
      <c r="AH442" s="34">
        <v>0</v>
      </c>
      <c r="AI442" s="18">
        <f t="shared" si="209"/>
        <v>437225610.45999998</v>
      </c>
      <c r="AJ442" s="18">
        <f t="shared" si="210"/>
        <v>437225610.45999998</v>
      </c>
      <c r="AK442" s="44">
        <v>0</v>
      </c>
      <c r="AL442" s="44">
        <f>AM442-AGOSTO!AM439</f>
        <v>0</v>
      </c>
      <c r="AM442" s="43">
        <v>437225610.45999998</v>
      </c>
      <c r="AN442" s="44">
        <v>0</v>
      </c>
      <c r="AO442" s="44">
        <v>0</v>
      </c>
      <c r="AP442" s="43">
        <v>437225610.45999998</v>
      </c>
      <c r="AQ442" s="44">
        <v>0</v>
      </c>
      <c r="AR442" s="44">
        <v>0</v>
      </c>
      <c r="AS442" s="44">
        <v>437225610.45999998</v>
      </c>
      <c r="AT442" s="40">
        <f t="shared" si="211"/>
        <v>437225610.45999998</v>
      </c>
      <c r="AU442" s="34">
        <f t="shared" si="212"/>
        <v>0</v>
      </c>
      <c r="AV442" s="34">
        <f t="shared" si="213"/>
        <v>0</v>
      </c>
      <c r="AW442" s="34">
        <f t="shared" si="214"/>
        <v>0</v>
      </c>
      <c r="AX442" s="123">
        <f t="shared" si="215"/>
        <v>1</v>
      </c>
    </row>
    <row r="443" spans="1:50" ht="27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245" t="s">
        <v>1211</v>
      </c>
      <c r="AB443" s="42" t="s">
        <v>1212</v>
      </c>
      <c r="AC443" s="43"/>
      <c r="AD443" s="44">
        <v>0</v>
      </c>
      <c r="AE443" s="43">
        <v>17631990</v>
      </c>
      <c r="AF443" s="44">
        <v>0</v>
      </c>
      <c r="AG443" s="44">
        <v>0</v>
      </c>
      <c r="AH443" s="44">
        <v>0</v>
      </c>
      <c r="AI443" s="18">
        <f t="shared" si="209"/>
        <v>17631990</v>
      </c>
      <c r="AJ443" s="18">
        <f t="shared" si="210"/>
        <v>17631990</v>
      </c>
      <c r="AK443" s="44">
        <v>0</v>
      </c>
      <c r="AL443" s="44">
        <f>AM443-AGOSTO!AM440</f>
        <v>0</v>
      </c>
      <c r="AM443" s="43">
        <v>17631990</v>
      </c>
      <c r="AN443" s="44">
        <v>0</v>
      </c>
      <c r="AO443" s="44">
        <v>0</v>
      </c>
      <c r="AP443" s="43">
        <v>17631990</v>
      </c>
      <c r="AQ443" s="44">
        <v>0</v>
      </c>
      <c r="AR443" s="44">
        <v>0</v>
      </c>
      <c r="AS443" s="43">
        <v>17631990</v>
      </c>
      <c r="AT443" s="39">
        <f t="shared" si="211"/>
        <v>17631990</v>
      </c>
      <c r="AU443" s="34">
        <f t="shared" si="212"/>
        <v>0</v>
      </c>
      <c r="AV443" s="34">
        <f t="shared" si="213"/>
        <v>0</v>
      </c>
      <c r="AW443" s="34">
        <f t="shared" si="214"/>
        <v>0</v>
      </c>
      <c r="AX443" s="123">
        <f t="shared" si="215"/>
        <v>1</v>
      </c>
    </row>
    <row r="444" spans="1:50" ht="30" customHeight="1" x14ac:dyDescent="0.2">
      <c r="AA444" s="246" t="s">
        <v>1215</v>
      </c>
      <c r="AB444" s="42" t="s">
        <v>1216</v>
      </c>
      <c r="AC444" s="17"/>
      <c r="AD444" s="34">
        <v>0</v>
      </c>
      <c r="AE444" s="18">
        <v>288008146</v>
      </c>
      <c r="AF444" s="34">
        <v>0</v>
      </c>
      <c r="AG444" s="34">
        <v>0</v>
      </c>
      <c r="AH444" s="34">
        <v>0</v>
      </c>
      <c r="AI444" s="18">
        <f>AE444-AF444+AG444-AH444</f>
        <v>288008146</v>
      </c>
      <c r="AJ444" s="18">
        <f>AD444+AI444</f>
        <v>288008146</v>
      </c>
      <c r="AK444" s="44">
        <v>0</v>
      </c>
      <c r="AL444" s="44">
        <f>AM444-AGOSTO!AM441</f>
        <v>0</v>
      </c>
      <c r="AM444" s="43">
        <v>288008146</v>
      </c>
      <c r="AN444" s="44">
        <v>0</v>
      </c>
      <c r="AO444" s="44">
        <v>0</v>
      </c>
      <c r="AP444" s="43">
        <v>288008146</v>
      </c>
      <c r="AQ444" s="44">
        <v>0</v>
      </c>
      <c r="AR444" s="44">
        <v>0</v>
      </c>
      <c r="AS444" s="43">
        <v>288008146</v>
      </c>
      <c r="AT444" s="39">
        <f t="shared" si="211"/>
        <v>288008146</v>
      </c>
      <c r="AU444" s="34">
        <f t="shared" si="212"/>
        <v>0</v>
      </c>
      <c r="AV444" s="34">
        <f t="shared" si="213"/>
        <v>0</v>
      </c>
      <c r="AW444" s="18">
        <f t="shared" si="214"/>
        <v>0</v>
      </c>
      <c r="AX444" s="123">
        <f t="shared" si="215"/>
        <v>1</v>
      </c>
    </row>
    <row r="445" spans="1:50" ht="12.75" customHeight="1" x14ac:dyDescent="0.2">
      <c r="AA445" s="173"/>
      <c r="AB445" s="207"/>
      <c r="AC445" s="17"/>
      <c r="AD445" s="18"/>
      <c r="AE445" s="34"/>
      <c r="AF445" s="34"/>
      <c r="AG445" s="34"/>
      <c r="AH445" s="34"/>
      <c r="AI445" s="34"/>
      <c r="AJ445" s="18"/>
      <c r="AK445" s="18"/>
      <c r="AL445" s="18"/>
      <c r="AM445" s="18"/>
      <c r="AN445" s="34"/>
      <c r="AO445" s="34"/>
      <c r="AP445" s="18"/>
      <c r="AQ445" s="18"/>
      <c r="AR445" s="18"/>
      <c r="AS445" s="18"/>
      <c r="AT445" s="39"/>
      <c r="AU445" s="18"/>
      <c r="AV445" s="18"/>
      <c r="AW445" s="18"/>
      <c r="AX445" s="18"/>
    </row>
    <row r="446" spans="1:50" ht="25.5" x14ac:dyDescent="0.2">
      <c r="AA446" s="16"/>
      <c r="AB446" s="29" t="s">
        <v>195</v>
      </c>
      <c r="AC446" s="17"/>
      <c r="AD446" s="18"/>
      <c r="AE446" s="34"/>
      <c r="AF446" s="34"/>
      <c r="AG446" s="34"/>
      <c r="AH446" s="34"/>
      <c r="AI446" s="34"/>
      <c r="AJ446" s="18"/>
      <c r="AK446" s="18"/>
      <c r="AL446" s="18"/>
      <c r="AM446" s="18"/>
      <c r="AN446" s="34"/>
      <c r="AO446" s="34"/>
      <c r="AP446" s="18"/>
      <c r="AQ446" s="18"/>
      <c r="AR446" s="18"/>
      <c r="AS446" s="18"/>
      <c r="AT446" s="39"/>
      <c r="AU446" s="18"/>
      <c r="AV446" s="18"/>
      <c r="AW446" s="18"/>
      <c r="AX446" s="18"/>
    </row>
    <row r="447" spans="1:50" ht="18.75" customHeight="1" x14ac:dyDescent="0.2">
      <c r="AA447" s="28" t="s">
        <v>288</v>
      </c>
      <c r="AB447" s="29" t="s">
        <v>320</v>
      </c>
      <c r="AC447" s="17"/>
      <c r="AD447" s="18"/>
      <c r="AE447" s="34"/>
      <c r="AF447" s="34"/>
      <c r="AG447" s="34"/>
      <c r="AH447" s="34"/>
      <c r="AI447" s="34"/>
      <c r="AJ447" s="18"/>
      <c r="AK447" s="18"/>
      <c r="AL447" s="18"/>
      <c r="AM447" s="18"/>
      <c r="AN447" s="34"/>
      <c r="AO447" s="34"/>
      <c r="AP447" s="18"/>
      <c r="AQ447" s="18"/>
      <c r="AR447" s="18"/>
      <c r="AS447" s="18"/>
      <c r="AT447" s="39"/>
      <c r="AU447" s="18"/>
      <c r="AV447" s="18"/>
      <c r="AW447" s="18"/>
      <c r="AX447" s="18"/>
    </row>
    <row r="448" spans="1:50" ht="18.75" customHeight="1" x14ac:dyDescent="0.2">
      <c r="A448" s="4" t="s">
        <v>55</v>
      </c>
      <c r="B448" s="4" t="s">
        <v>56</v>
      </c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1" t="s">
        <v>395</v>
      </c>
      <c r="AB448" s="42" t="s">
        <v>233</v>
      </c>
      <c r="AC448" s="43" t="s">
        <v>58</v>
      </c>
      <c r="AD448" s="43">
        <v>77302510</v>
      </c>
      <c r="AE448" s="44">
        <v>0</v>
      </c>
      <c r="AF448" s="44">
        <v>0</v>
      </c>
      <c r="AG448" s="44">
        <v>0</v>
      </c>
      <c r="AH448" s="43">
        <v>736198</v>
      </c>
      <c r="AI448" s="18">
        <f>AE448-AF448+AG448-AH448</f>
        <v>-736198</v>
      </c>
      <c r="AJ448" s="18">
        <f>AD448+AI448</f>
        <v>76566312</v>
      </c>
      <c r="AK448" s="44">
        <v>0</v>
      </c>
      <c r="AL448" s="44">
        <f>AM448-AGOSTO!AM445</f>
        <v>0</v>
      </c>
      <c r="AM448" s="43">
        <v>76566312</v>
      </c>
      <c r="AN448" s="44">
        <v>0</v>
      </c>
      <c r="AO448" s="44">
        <v>0</v>
      </c>
      <c r="AP448" s="43">
        <v>76566312</v>
      </c>
      <c r="AQ448" s="44">
        <v>0</v>
      </c>
      <c r="AR448" s="43">
        <v>1192512</v>
      </c>
      <c r="AS448" s="43">
        <v>38394829</v>
      </c>
      <c r="AT448" s="39">
        <f t="shared" ref="AT448" si="216">AQ448+AS448</f>
        <v>38394829</v>
      </c>
      <c r="AU448" s="34">
        <f>AJ448-AM448</f>
        <v>0</v>
      </c>
      <c r="AV448" s="34">
        <f>AM448-AP448</f>
        <v>0</v>
      </c>
      <c r="AW448" s="18">
        <f>AP448-AT448</f>
        <v>38171483</v>
      </c>
      <c r="AX448" s="123">
        <f>AP448/AJ448</f>
        <v>1</v>
      </c>
    </row>
    <row r="449" spans="1:50" ht="18.75" customHeight="1" x14ac:dyDescent="0.2">
      <c r="AA449" s="16"/>
      <c r="AB449" s="17"/>
      <c r="AC449" s="17"/>
      <c r="AD449" s="18"/>
      <c r="AE449" s="34"/>
      <c r="AF449" s="34"/>
      <c r="AG449" s="34"/>
      <c r="AH449" s="34"/>
      <c r="AI449" s="34"/>
      <c r="AJ449" s="18"/>
      <c r="AK449" s="18"/>
      <c r="AL449" s="18"/>
      <c r="AM449" s="18"/>
      <c r="AN449" s="18"/>
      <c r="AO449" s="18"/>
      <c r="AP449" s="18"/>
      <c r="AQ449" s="34"/>
      <c r="AR449" s="34"/>
      <c r="AS449" s="34"/>
      <c r="AT449" s="40"/>
      <c r="AU449" s="18"/>
      <c r="AV449" s="18"/>
      <c r="AW449" s="18"/>
      <c r="AX449" s="18"/>
    </row>
    <row r="450" spans="1:50" ht="25.5" x14ac:dyDescent="0.2">
      <c r="AA450" s="16"/>
      <c r="AB450" s="29" t="s">
        <v>197</v>
      </c>
      <c r="AC450" s="17"/>
      <c r="AD450" s="18"/>
      <c r="AE450" s="34"/>
      <c r="AF450" s="34"/>
      <c r="AG450" s="34"/>
      <c r="AH450" s="34"/>
      <c r="AI450" s="34"/>
      <c r="AJ450" s="18"/>
      <c r="AK450" s="18"/>
      <c r="AL450" s="18"/>
      <c r="AM450" s="18"/>
      <c r="AN450" s="18"/>
      <c r="AO450" s="18"/>
      <c r="AP450" s="18"/>
      <c r="AQ450" s="34"/>
      <c r="AR450" s="34"/>
      <c r="AS450" s="34"/>
      <c r="AT450" s="40"/>
      <c r="AU450" s="18"/>
      <c r="AV450" s="18"/>
      <c r="AW450" s="18"/>
      <c r="AX450" s="18"/>
    </row>
    <row r="451" spans="1:50" ht="25.5" x14ac:dyDescent="0.2">
      <c r="AA451" s="28" t="s">
        <v>288</v>
      </c>
      <c r="AB451" s="29" t="s">
        <v>396</v>
      </c>
      <c r="AC451" s="17"/>
      <c r="AD451" s="18"/>
      <c r="AE451" s="34"/>
      <c r="AF451" s="34"/>
      <c r="AG451" s="34"/>
      <c r="AH451" s="34"/>
      <c r="AI451" s="34"/>
      <c r="AJ451" s="18"/>
      <c r="AK451" s="18"/>
      <c r="AL451" s="18"/>
      <c r="AM451" s="18"/>
      <c r="AN451" s="18"/>
      <c r="AO451" s="18"/>
      <c r="AP451" s="18"/>
      <c r="AQ451" s="34"/>
      <c r="AR451" s="34"/>
      <c r="AS451" s="34"/>
      <c r="AT451" s="40"/>
      <c r="AU451" s="18"/>
      <c r="AV451" s="18"/>
      <c r="AW451" s="18"/>
      <c r="AX451" s="18"/>
    </row>
    <row r="452" spans="1:50" ht="18.75" customHeight="1" x14ac:dyDescent="0.2">
      <c r="A452" s="4" t="s">
        <v>55</v>
      </c>
      <c r="B452" s="4" t="s">
        <v>56</v>
      </c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1" t="s">
        <v>397</v>
      </c>
      <c r="AB452" s="42" t="s">
        <v>328</v>
      </c>
      <c r="AC452" s="43" t="s">
        <v>61</v>
      </c>
      <c r="AD452" s="43">
        <v>838526678</v>
      </c>
      <c r="AE452" s="44">
        <v>0</v>
      </c>
      <c r="AF452" s="44">
        <v>0</v>
      </c>
      <c r="AG452" s="43">
        <v>27102938</v>
      </c>
      <c r="AH452" s="44">
        <v>0</v>
      </c>
      <c r="AI452" s="18">
        <f>AE452-AF452+AG452-AH452</f>
        <v>27102938</v>
      </c>
      <c r="AJ452" s="18">
        <f>AD452+AI452</f>
        <v>865629616</v>
      </c>
      <c r="AK452" s="44">
        <v>0</v>
      </c>
      <c r="AL452" s="44">
        <f>AM452-AGOSTO!AM449</f>
        <v>0</v>
      </c>
      <c r="AM452" s="43">
        <v>864293138.00999999</v>
      </c>
      <c r="AN452" s="44">
        <v>0</v>
      </c>
      <c r="AO452" s="44">
        <v>0</v>
      </c>
      <c r="AP452" s="43">
        <v>853521647</v>
      </c>
      <c r="AQ452" s="44">
        <v>0</v>
      </c>
      <c r="AR452" s="44">
        <v>0</v>
      </c>
      <c r="AS452" s="44">
        <v>0</v>
      </c>
      <c r="AT452" s="40">
        <f t="shared" ref="AT452" si="217">AQ452+AS452</f>
        <v>0</v>
      </c>
      <c r="AU452" s="18">
        <f>AJ452-AM452</f>
        <v>1336477.9900000095</v>
      </c>
      <c r="AV452" s="18">
        <f>AM452-AP452</f>
        <v>10771491.00999999</v>
      </c>
      <c r="AW452" s="18">
        <f>AP452-AT452</f>
        <v>853521647</v>
      </c>
      <c r="AX452" s="123">
        <f>AP452/AJ452</f>
        <v>0.98601252917390936</v>
      </c>
    </row>
    <row r="453" spans="1:50" ht="18.75" customHeight="1" x14ac:dyDescent="0.2">
      <c r="AA453" s="28" t="s">
        <v>288</v>
      </c>
      <c r="AB453" s="29" t="s">
        <v>320</v>
      </c>
      <c r="AC453" s="17"/>
      <c r="AD453" s="18"/>
      <c r="AE453" s="34"/>
      <c r="AF453" s="34"/>
      <c r="AG453" s="34"/>
      <c r="AH453" s="34"/>
      <c r="AI453" s="34"/>
      <c r="AJ453" s="18"/>
      <c r="AK453" s="18"/>
      <c r="AL453" s="18"/>
      <c r="AM453" s="18"/>
      <c r="AN453" s="34"/>
      <c r="AO453" s="18"/>
      <c r="AP453" s="18"/>
      <c r="AQ453" s="34"/>
      <c r="AR453" s="34"/>
      <c r="AS453" s="34"/>
      <c r="AT453" s="40"/>
      <c r="AU453" s="18"/>
      <c r="AV453" s="18"/>
      <c r="AW453" s="18"/>
      <c r="AX453" s="18"/>
    </row>
    <row r="454" spans="1:50" ht="18.75" customHeight="1" x14ac:dyDescent="0.2">
      <c r="A454" s="4" t="s">
        <v>55</v>
      </c>
      <c r="B454" s="4" t="s">
        <v>56</v>
      </c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1" t="s">
        <v>398</v>
      </c>
      <c r="AB454" s="42" t="s">
        <v>233</v>
      </c>
      <c r="AC454" s="43" t="s">
        <v>58</v>
      </c>
      <c r="AD454" s="43">
        <v>9048558947</v>
      </c>
      <c r="AE454" s="143">
        <v>0</v>
      </c>
      <c r="AF454" s="44">
        <v>0</v>
      </c>
      <c r="AG454" s="44">
        <v>0</v>
      </c>
      <c r="AH454" s="44">
        <v>0</v>
      </c>
      <c r="AI454" s="18">
        <f t="shared" ref="AI454:AI455" si="218">AE454-AF454+AG454-AH454</f>
        <v>0</v>
      </c>
      <c r="AJ454" s="18">
        <f t="shared" ref="AJ454:AJ455" si="219">AD454+AI454</f>
        <v>9048558947</v>
      </c>
      <c r="AK454" s="44">
        <v>0</v>
      </c>
      <c r="AL454" s="44">
        <f>AM454-AGOSTO!AM451</f>
        <v>0</v>
      </c>
      <c r="AM454" s="43">
        <v>9048558947</v>
      </c>
      <c r="AN454" s="44">
        <v>0</v>
      </c>
      <c r="AO454" s="44">
        <v>0</v>
      </c>
      <c r="AP454" s="43">
        <v>9001641826</v>
      </c>
      <c r="AQ454" s="44">
        <v>0</v>
      </c>
      <c r="AR454" s="43">
        <v>1492220897.04</v>
      </c>
      <c r="AS454" s="43">
        <v>6834352002.1599998</v>
      </c>
      <c r="AT454" s="39">
        <f t="shared" ref="AT454:AT457" si="220">AQ454+AS454</f>
        <v>6834352002.1599998</v>
      </c>
      <c r="AU454" s="34">
        <f>AJ454-AM454</f>
        <v>0</v>
      </c>
      <c r="AV454" s="18">
        <f>AM454-AP454</f>
        <v>46917121</v>
      </c>
      <c r="AW454" s="18">
        <f>AP454-AT454</f>
        <v>2167289823.8400002</v>
      </c>
      <c r="AX454" s="123">
        <f>AP454/AJ454</f>
        <v>0.99481496210890519</v>
      </c>
    </row>
    <row r="455" spans="1:50" ht="18.75" customHeight="1" x14ac:dyDescent="0.2">
      <c r="A455" s="4" t="s">
        <v>55</v>
      </c>
      <c r="B455" s="4" t="s">
        <v>56</v>
      </c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1" t="s">
        <v>399</v>
      </c>
      <c r="AB455" s="42" t="s">
        <v>382</v>
      </c>
      <c r="AC455" s="43" t="s">
        <v>383</v>
      </c>
      <c r="AD455" s="43">
        <v>1274304910</v>
      </c>
      <c r="AE455" s="143">
        <v>0</v>
      </c>
      <c r="AF455" s="44">
        <v>0</v>
      </c>
      <c r="AG455" s="44">
        <v>0</v>
      </c>
      <c r="AH455" s="44">
        <v>0</v>
      </c>
      <c r="AI455" s="18">
        <f t="shared" si="218"/>
        <v>0</v>
      </c>
      <c r="AJ455" s="18">
        <f t="shared" si="219"/>
        <v>1274304910</v>
      </c>
      <c r="AK455" s="44">
        <v>0</v>
      </c>
      <c r="AL455" s="44">
        <f>AM455-AGOSTO!AM452</f>
        <v>0</v>
      </c>
      <c r="AM455" s="43">
        <v>1274304910</v>
      </c>
      <c r="AN455" s="44">
        <v>0</v>
      </c>
      <c r="AO455" s="44">
        <v>0</v>
      </c>
      <c r="AP455" s="43">
        <v>1274304910</v>
      </c>
      <c r="AQ455" s="43">
        <v>648083990.76999998</v>
      </c>
      <c r="AR455" s="44">
        <v>0</v>
      </c>
      <c r="AS455" s="44">
        <v>0</v>
      </c>
      <c r="AT455" s="39">
        <f t="shared" si="220"/>
        <v>648083990.76999998</v>
      </c>
      <c r="AU455" s="34">
        <f>AJ455-AM455</f>
        <v>0</v>
      </c>
      <c r="AV455" s="34">
        <f>AM455-AP455</f>
        <v>0</v>
      </c>
      <c r="AW455" s="18">
        <f>AP455-AT455</f>
        <v>626220919.23000002</v>
      </c>
      <c r="AX455" s="123">
        <f>AP455/AJ455</f>
        <v>1</v>
      </c>
    </row>
    <row r="456" spans="1:50" ht="18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1" t="s">
        <v>986</v>
      </c>
      <c r="AB456" s="42" t="s">
        <v>987</v>
      </c>
      <c r="AC456" s="43"/>
      <c r="AD456" s="44">
        <v>0</v>
      </c>
      <c r="AE456" s="143">
        <v>0</v>
      </c>
      <c r="AF456" s="44">
        <v>0</v>
      </c>
      <c r="AG456" s="43">
        <v>417383651.70999998</v>
      </c>
      <c r="AH456" s="44">
        <v>0</v>
      </c>
      <c r="AI456" s="18">
        <f>AE456-AF456+AG456-AH456</f>
        <v>417383651.70999998</v>
      </c>
      <c r="AJ456" s="18">
        <f>AD456+AI456</f>
        <v>417383651.70999998</v>
      </c>
      <c r="AK456" s="44">
        <v>0</v>
      </c>
      <c r="AL456" s="44">
        <f>AM456-AGOSTO!AM453</f>
        <v>0</v>
      </c>
      <c r="AM456" s="43">
        <v>417383651.70999998</v>
      </c>
      <c r="AN456" s="44">
        <v>0</v>
      </c>
      <c r="AO456" s="44">
        <v>0</v>
      </c>
      <c r="AP456" s="43">
        <v>417383651.70999998</v>
      </c>
      <c r="AQ456" s="44">
        <v>0</v>
      </c>
      <c r="AR456" s="44">
        <v>0</v>
      </c>
      <c r="AS456" s="44">
        <v>0</v>
      </c>
      <c r="AT456" s="40">
        <f t="shared" si="220"/>
        <v>0</v>
      </c>
      <c r="AU456" s="34">
        <f>AJ456-AM456</f>
        <v>0</v>
      </c>
      <c r="AV456" s="34">
        <f>AM456-AP456</f>
        <v>0</v>
      </c>
      <c r="AW456" s="18">
        <f>AP456-AT456</f>
        <v>417383651.70999998</v>
      </c>
      <c r="AX456" s="123">
        <f>AP456/AJ456</f>
        <v>1</v>
      </c>
    </row>
    <row r="457" spans="1:50" ht="18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166" t="s">
        <v>1020</v>
      </c>
      <c r="AB457" s="167" t="s">
        <v>1015</v>
      </c>
      <c r="AC457" s="168"/>
      <c r="AD457" s="44">
        <v>0</v>
      </c>
      <c r="AE457" s="142">
        <v>4862312815</v>
      </c>
      <c r="AF457" s="44"/>
      <c r="AG457" s="43"/>
      <c r="AH457" s="43">
        <f>1416953380+371588553</f>
        <v>1788541933</v>
      </c>
      <c r="AI457" s="18">
        <f>AE457-AF457+AG457-AH457</f>
        <v>3073770882</v>
      </c>
      <c r="AJ457" s="18">
        <f>AD457+AI457</f>
        <v>3073770882</v>
      </c>
      <c r="AK457" s="44">
        <v>0</v>
      </c>
      <c r="AL457" s="44">
        <f>AM457-AGOSTO!AM454</f>
        <v>0</v>
      </c>
      <c r="AM457" s="43">
        <v>3073770882</v>
      </c>
      <c r="AN457" s="44">
        <v>0</v>
      </c>
      <c r="AO457" s="43">
        <v>0</v>
      </c>
      <c r="AP457" s="43">
        <v>2927988572</v>
      </c>
      <c r="AQ457" s="44">
        <v>0</v>
      </c>
      <c r="AR457" s="44">
        <v>0</v>
      </c>
      <c r="AS457" s="44">
        <v>0</v>
      </c>
      <c r="AT457" s="40">
        <f t="shared" si="220"/>
        <v>0</v>
      </c>
      <c r="AU457" s="18">
        <f>AJ457-AM457</f>
        <v>0</v>
      </c>
      <c r="AV457" s="18">
        <f>AM457-AP457</f>
        <v>145782310</v>
      </c>
      <c r="AW457" s="18">
        <f>AP457-AT457</f>
        <v>2927988572</v>
      </c>
      <c r="AX457" s="123">
        <f>AP457/AJ457</f>
        <v>0.95257216116734622</v>
      </c>
    </row>
    <row r="458" spans="1:50" ht="18.75" customHeight="1" x14ac:dyDescent="0.2">
      <c r="AA458" s="169" t="s">
        <v>288</v>
      </c>
      <c r="AB458" s="163" t="s">
        <v>400</v>
      </c>
      <c r="AC458" s="17"/>
      <c r="AD458" s="18"/>
      <c r="AE458" s="145"/>
      <c r="AF458" s="34"/>
      <c r="AG458" s="34"/>
      <c r="AH458" s="34"/>
      <c r="AI458" s="34"/>
      <c r="AJ458" s="18"/>
      <c r="AK458" s="18"/>
      <c r="AL458" s="18"/>
      <c r="AM458" s="18"/>
      <c r="AN458" s="34"/>
      <c r="AO458" s="18"/>
      <c r="AP458" s="18"/>
      <c r="AQ458" s="18"/>
      <c r="AR458" s="34"/>
      <c r="AS458" s="34"/>
      <c r="AT458" s="40"/>
      <c r="AU458" s="18"/>
      <c r="AV458" s="18"/>
      <c r="AW458" s="18"/>
      <c r="AX458" s="18"/>
    </row>
    <row r="459" spans="1:50" ht="18.75" customHeight="1" x14ac:dyDescent="0.2">
      <c r="A459" s="4" t="s">
        <v>55</v>
      </c>
      <c r="B459" s="4" t="s">
        <v>56</v>
      </c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1" t="s">
        <v>401</v>
      </c>
      <c r="AB459" s="42" t="s">
        <v>233</v>
      </c>
      <c r="AC459" s="43" t="s">
        <v>58</v>
      </c>
      <c r="AD459" s="43">
        <v>1000000000</v>
      </c>
      <c r="AE459" s="143">
        <v>0</v>
      </c>
      <c r="AF459" s="44">
        <v>0</v>
      </c>
      <c r="AG459" s="43">
        <v>210000000</v>
      </c>
      <c r="AH459" s="44">
        <v>0</v>
      </c>
      <c r="AI459" s="18">
        <f>AE459-AF459+AG459-AH459</f>
        <v>210000000</v>
      </c>
      <c r="AJ459" s="18">
        <f>AD459+AI459</f>
        <v>1210000000</v>
      </c>
      <c r="AK459" s="44">
        <v>0</v>
      </c>
      <c r="AL459" s="43">
        <f>AM459-AGOSTO!AM456</f>
        <v>187016666.66999996</v>
      </c>
      <c r="AM459" s="43">
        <v>1033799999.67</v>
      </c>
      <c r="AN459" s="43">
        <v>0</v>
      </c>
      <c r="AO459" s="43">
        <v>158856666.66999999</v>
      </c>
      <c r="AP459" s="43">
        <v>1004319999.67</v>
      </c>
      <c r="AQ459" s="43">
        <v>120000</v>
      </c>
      <c r="AR459" s="114">
        <v>100146667</v>
      </c>
      <c r="AS459" s="114">
        <v>674240000</v>
      </c>
      <c r="AT459" s="39">
        <f t="shared" ref="AT459:AT500" si="221">AQ459+AS459</f>
        <v>674360000</v>
      </c>
      <c r="AU459" s="110">
        <f>AJ459-AM459</f>
        <v>176200000.33000004</v>
      </c>
      <c r="AV459" s="110">
        <f>AM459-AP459</f>
        <v>29480000</v>
      </c>
      <c r="AW459" s="18">
        <f>AP459-AT459</f>
        <v>329959999.66999996</v>
      </c>
      <c r="AX459" s="123">
        <f>AP459/AJ459</f>
        <v>0.83001652865289255</v>
      </c>
    </row>
    <row r="460" spans="1:50" ht="18.75" customHeight="1" x14ac:dyDescent="0.2">
      <c r="AA460" s="16"/>
      <c r="AB460" s="17"/>
      <c r="AC460" s="17"/>
      <c r="AD460" s="18"/>
      <c r="AE460" s="145"/>
      <c r="AF460" s="34"/>
      <c r="AG460" s="34"/>
      <c r="AH460" s="34"/>
      <c r="AI460" s="34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30"/>
      <c r="AU460" s="18"/>
      <c r="AV460" s="18"/>
      <c r="AW460" s="18"/>
      <c r="AX460" s="18"/>
    </row>
    <row r="461" spans="1:50" ht="26.25" customHeight="1" x14ac:dyDescent="0.2">
      <c r="AA461" s="164" t="s">
        <v>288</v>
      </c>
      <c r="AB461" s="165" t="s">
        <v>964</v>
      </c>
      <c r="AC461" s="161"/>
      <c r="AD461" s="18"/>
      <c r="AE461" s="34"/>
      <c r="AF461" s="34"/>
      <c r="AG461" s="34"/>
      <c r="AH461" s="34"/>
      <c r="AI461" s="34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30"/>
      <c r="AU461" s="18"/>
      <c r="AV461" s="18"/>
      <c r="AW461" s="18"/>
      <c r="AX461" s="18"/>
    </row>
    <row r="462" spans="1:50" ht="18.75" customHeight="1" x14ac:dyDescent="0.2">
      <c r="AA462" s="166" t="s">
        <v>965</v>
      </c>
      <c r="AB462" s="167" t="s">
        <v>966</v>
      </c>
      <c r="AC462" s="161"/>
      <c r="AD462" s="34">
        <v>0</v>
      </c>
      <c r="AE462" s="34">
        <v>0</v>
      </c>
      <c r="AF462" s="34">
        <v>0</v>
      </c>
      <c r="AG462" s="18">
        <v>155990000</v>
      </c>
      <c r="AH462" s="34">
        <v>0</v>
      </c>
      <c r="AI462" s="18">
        <f>AE462-AF462+AG462-AH462</f>
        <v>155990000</v>
      </c>
      <c r="AJ462" s="18">
        <f>AD462+AI462</f>
        <v>155990000</v>
      </c>
      <c r="AK462" s="34">
        <v>0</v>
      </c>
      <c r="AL462" s="44">
        <f>AM462-AGOSTO!AM459</f>
        <v>0</v>
      </c>
      <c r="AM462" s="18">
        <v>155829436</v>
      </c>
      <c r="AN462" s="34">
        <v>0</v>
      </c>
      <c r="AO462" s="18">
        <v>155829436</v>
      </c>
      <c r="AP462" s="18">
        <v>155829436</v>
      </c>
      <c r="AQ462" s="34">
        <v>0</v>
      </c>
      <c r="AR462" s="34">
        <v>0</v>
      </c>
      <c r="AS462" s="34">
        <v>0</v>
      </c>
      <c r="AT462" s="40">
        <f t="shared" ref="AT462" si="222">AQ462+AS462</f>
        <v>0</v>
      </c>
      <c r="AU462" s="110">
        <f>AJ462-AM462</f>
        <v>160564</v>
      </c>
      <c r="AV462" s="133">
        <f>AM462-AP462</f>
        <v>0</v>
      </c>
      <c r="AW462" s="18">
        <f>AP462-AT462</f>
        <v>155829436</v>
      </c>
      <c r="AX462" s="123">
        <f>AP462/AJ462</f>
        <v>0.99897067760753899</v>
      </c>
    </row>
    <row r="463" spans="1:50" ht="25.5" x14ac:dyDescent="0.2">
      <c r="AA463" s="28" t="s">
        <v>288</v>
      </c>
      <c r="AB463" s="29" t="s">
        <v>402</v>
      </c>
      <c r="AC463" s="17"/>
      <c r="AD463" s="18"/>
      <c r="AE463" s="34"/>
      <c r="AF463" s="34"/>
      <c r="AG463" s="34"/>
      <c r="AH463" s="34"/>
      <c r="AI463" s="34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30"/>
      <c r="AU463" s="18"/>
      <c r="AV463" s="18"/>
      <c r="AW463" s="18"/>
      <c r="AX463" s="18"/>
    </row>
    <row r="464" spans="1:50" ht="18.75" customHeight="1" x14ac:dyDescent="0.2">
      <c r="A464" s="4" t="s">
        <v>55</v>
      </c>
      <c r="B464" s="4" t="s">
        <v>56</v>
      </c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1" t="s">
        <v>403</v>
      </c>
      <c r="AB464" s="42" t="s">
        <v>233</v>
      </c>
      <c r="AC464" s="43" t="s">
        <v>58</v>
      </c>
      <c r="AD464" s="43">
        <v>206000002.94</v>
      </c>
      <c r="AE464" s="44">
        <v>0</v>
      </c>
      <c r="AF464" s="44">
        <v>0</v>
      </c>
      <c r="AG464" s="44">
        <v>0</v>
      </c>
      <c r="AH464" s="44">
        <v>0</v>
      </c>
      <c r="AI464" s="44">
        <v>0</v>
      </c>
      <c r="AJ464" s="43">
        <v>206000002.94</v>
      </c>
      <c r="AK464" s="44">
        <v>0</v>
      </c>
      <c r="AL464" s="43">
        <f>AM464-AGOSTO!AM461</f>
        <v>44126400</v>
      </c>
      <c r="AM464" s="114">
        <v>150350400</v>
      </c>
      <c r="AN464" s="44">
        <v>0</v>
      </c>
      <c r="AO464" s="43">
        <v>44126400</v>
      </c>
      <c r="AP464" s="43">
        <v>150350400</v>
      </c>
      <c r="AQ464" s="44">
        <v>0</v>
      </c>
      <c r="AR464" s="44">
        <v>44126400</v>
      </c>
      <c r="AS464" s="43">
        <v>150350400</v>
      </c>
      <c r="AT464" s="39">
        <f t="shared" ref="AT464" si="223">AQ464+AS464</f>
        <v>150350400</v>
      </c>
      <c r="AU464" s="18">
        <f>AJ464-AM464</f>
        <v>55649602.939999998</v>
      </c>
      <c r="AV464" s="34">
        <f>AM464-AP464</f>
        <v>0</v>
      </c>
      <c r="AW464" s="34">
        <f>AP464-AT464</f>
        <v>0</v>
      </c>
      <c r="AX464" s="123">
        <f>AP464/AJ464</f>
        <v>0.72985630026321591</v>
      </c>
    </row>
    <row r="465" spans="1:50" ht="18.75" customHeight="1" x14ac:dyDescent="0.2">
      <c r="AA465" s="28" t="s">
        <v>288</v>
      </c>
      <c r="AB465" s="29" t="s">
        <v>404</v>
      </c>
      <c r="AC465" s="17"/>
      <c r="AD465" s="18"/>
      <c r="AE465" s="34"/>
      <c r="AF465" s="34"/>
      <c r="AG465" s="34"/>
      <c r="AH465" s="34"/>
      <c r="AI465" s="34"/>
      <c r="AJ465" s="18"/>
      <c r="AK465" s="34"/>
      <c r="AL465" s="34"/>
      <c r="AM465" s="34"/>
      <c r="AN465" s="34"/>
      <c r="AO465" s="34"/>
      <c r="AP465" s="18"/>
      <c r="AQ465" s="34"/>
      <c r="AR465" s="34"/>
      <c r="AS465" s="34"/>
      <c r="AT465" s="31"/>
      <c r="AU465" s="18"/>
      <c r="AV465" s="34"/>
      <c r="AW465" s="133"/>
      <c r="AX465" s="18"/>
    </row>
    <row r="466" spans="1:50" ht="18.75" customHeight="1" x14ac:dyDescent="0.2">
      <c r="A466" s="4" t="s">
        <v>55</v>
      </c>
      <c r="B466" s="4" t="s">
        <v>56</v>
      </c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1" t="s">
        <v>405</v>
      </c>
      <c r="AB466" s="42" t="s">
        <v>233</v>
      </c>
      <c r="AC466" s="43" t="s">
        <v>58</v>
      </c>
      <c r="AD466" s="43">
        <v>50000000</v>
      </c>
      <c r="AE466" s="44">
        <v>0</v>
      </c>
      <c r="AF466" s="44">
        <v>0</v>
      </c>
      <c r="AG466" s="44">
        <v>0</v>
      </c>
      <c r="AH466" s="44">
        <v>0</v>
      </c>
      <c r="AI466" s="44">
        <v>0</v>
      </c>
      <c r="AJ466" s="43">
        <v>50000000</v>
      </c>
      <c r="AK466" s="44">
        <v>0</v>
      </c>
      <c r="AL466" s="44">
        <f>AM466-AGOSTO!AM463</f>
        <v>0</v>
      </c>
      <c r="AM466" s="43">
        <v>34682350</v>
      </c>
      <c r="AN466" s="44">
        <v>0</v>
      </c>
      <c r="AO466" s="44">
        <v>0</v>
      </c>
      <c r="AP466" s="43">
        <v>34682350</v>
      </c>
      <c r="AQ466" s="44">
        <v>0</v>
      </c>
      <c r="AR466" s="44">
        <v>0</v>
      </c>
      <c r="AS466" s="44">
        <v>0</v>
      </c>
      <c r="AT466" s="40">
        <f t="shared" si="221"/>
        <v>0</v>
      </c>
      <c r="AU466" s="18">
        <f>AJ466-AM466</f>
        <v>15317650</v>
      </c>
      <c r="AV466" s="34">
        <f>AM466-AP466</f>
        <v>0</v>
      </c>
      <c r="AW466" s="18">
        <f>AP466-AT466</f>
        <v>34682350</v>
      </c>
      <c r="AX466" s="123">
        <f>AP466/AJ466</f>
        <v>0.69364700000000001</v>
      </c>
    </row>
    <row r="467" spans="1:50" ht="18.75" customHeight="1" x14ac:dyDescent="0.2">
      <c r="AA467" s="28" t="s">
        <v>288</v>
      </c>
      <c r="AB467" s="29" t="s">
        <v>362</v>
      </c>
      <c r="AC467" s="17"/>
      <c r="AD467" s="18"/>
      <c r="AE467" s="34"/>
      <c r="AF467" s="34"/>
      <c r="AG467" s="34"/>
      <c r="AH467" s="34"/>
      <c r="AI467" s="34"/>
      <c r="AJ467" s="18"/>
      <c r="AK467" s="34"/>
      <c r="AL467" s="34"/>
      <c r="AM467" s="34"/>
      <c r="AN467" s="34"/>
      <c r="AO467" s="34"/>
      <c r="AP467" s="34"/>
      <c r="AQ467" s="34"/>
      <c r="AR467" s="34"/>
      <c r="AS467" s="34"/>
      <c r="AT467" s="31"/>
      <c r="AU467" s="18"/>
      <c r="AV467" s="34"/>
      <c r="AW467" s="133"/>
      <c r="AX467" s="18"/>
    </row>
    <row r="468" spans="1:50" ht="18.75" customHeight="1" x14ac:dyDescent="0.2">
      <c r="A468" s="4" t="s">
        <v>55</v>
      </c>
      <c r="B468" s="4" t="s">
        <v>56</v>
      </c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1" t="s">
        <v>406</v>
      </c>
      <c r="AB468" s="69" t="s">
        <v>379</v>
      </c>
      <c r="AC468" s="43" t="s">
        <v>380</v>
      </c>
      <c r="AD468" s="43">
        <v>155990000</v>
      </c>
      <c r="AF468" s="44">
        <v>0</v>
      </c>
      <c r="AG468" s="44">
        <v>0</v>
      </c>
      <c r="AH468" s="43">
        <v>155990000</v>
      </c>
      <c r="AI468" s="18">
        <f t="shared" ref="AI468:AI469" si="224">AE468-AF468+AG468-AH468</f>
        <v>-155990000</v>
      </c>
      <c r="AJ468" s="34">
        <f t="shared" ref="AJ468:AJ469" si="225">AD468+AI468</f>
        <v>0</v>
      </c>
      <c r="AK468" s="44">
        <v>0</v>
      </c>
      <c r="AL468" s="44">
        <v>0</v>
      </c>
      <c r="AM468" s="44">
        <v>0</v>
      </c>
      <c r="AN468" s="44">
        <v>0</v>
      </c>
      <c r="AO468" s="44">
        <v>0</v>
      </c>
      <c r="AP468" s="44">
        <v>0</v>
      </c>
      <c r="AQ468" s="44">
        <v>0</v>
      </c>
      <c r="AR468" s="44">
        <v>0</v>
      </c>
      <c r="AS468" s="44">
        <v>0</v>
      </c>
      <c r="AT468" s="40">
        <f t="shared" si="221"/>
        <v>0</v>
      </c>
      <c r="AU468" s="18">
        <f>AJ468-AM468</f>
        <v>0</v>
      </c>
      <c r="AV468" s="34">
        <f>AM468-AP468</f>
        <v>0</v>
      </c>
      <c r="AW468" s="133">
        <f>AP468-AT468</f>
        <v>0</v>
      </c>
      <c r="AX468" s="123">
        <v>0</v>
      </c>
    </row>
    <row r="469" spans="1:50" ht="18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1" t="s">
        <v>1340</v>
      </c>
      <c r="AB469" s="69" t="s">
        <v>987</v>
      </c>
      <c r="AC469" s="43"/>
      <c r="AD469" s="43">
        <v>0</v>
      </c>
      <c r="AE469" s="33">
        <v>584691222</v>
      </c>
      <c r="AF469" s="44">
        <v>0</v>
      </c>
      <c r="AG469" s="43">
        <v>504551896.50999999</v>
      </c>
      <c r="AH469" s="43">
        <v>0</v>
      </c>
      <c r="AI469" s="18">
        <f t="shared" si="224"/>
        <v>1089243118.51</v>
      </c>
      <c r="AJ469" s="18">
        <f t="shared" si="225"/>
        <v>1089243118.51</v>
      </c>
      <c r="AK469" s="44">
        <v>0</v>
      </c>
      <c r="AL469" s="44">
        <f>AM469-AGOSTO!AM466</f>
        <v>0</v>
      </c>
      <c r="AM469" s="44">
        <v>0</v>
      </c>
      <c r="AN469" s="44">
        <v>0</v>
      </c>
      <c r="AO469" s="44">
        <v>0</v>
      </c>
      <c r="AP469" s="44">
        <v>0</v>
      </c>
      <c r="AQ469" s="44">
        <v>0</v>
      </c>
      <c r="AR469" s="44">
        <v>0</v>
      </c>
      <c r="AS469" s="44">
        <v>0</v>
      </c>
      <c r="AT469" s="40">
        <f t="shared" ref="AT469" si="226">AQ469+AS469</f>
        <v>0</v>
      </c>
      <c r="AU469" s="18">
        <f>AJ469-AM469</f>
        <v>1089243118.51</v>
      </c>
      <c r="AV469" s="34">
        <f>AM469-AP469</f>
        <v>0</v>
      </c>
      <c r="AW469" s="133">
        <f>AP469-AT469</f>
        <v>0</v>
      </c>
      <c r="AX469" s="123">
        <v>0</v>
      </c>
    </row>
    <row r="470" spans="1:50" ht="18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73" t="s">
        <v>288</v>
      </c>
      <c r="AB470" s="82" t="s">
        <v>1321</v>
      </c>
      <c r="AC470" s="43"/>
      <c r="AD470" s="43"/>
      <c r="AE470" s="44"/>
      <c r="AF470" s="44"/>
      <c r="AG470" s="44"/>
      <c r="AH470" s="43"/>
      <c r="AI470" s="18"/>
      <c r="AJ470" s="3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0"/>
      <c r="AU470" s="18"/>
      <c r="AV470" s="34"/>
      <c r="AW470" s="133"/>
      <c r="AX470" s="123"/>
    </row>
    <row r="471" spans="1:50" ht="18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1" t="s">
        <v>1322</v>
      </c>
      <c r="AB471" s="69" t="s">
        <v>233</v>
      </c>
      <c r="AC471" s="43"/>
      <c r="AD471" s="43">
        <v>0</v>
      </c>
      <c r="AE471" s="44">
        <v>0</v>
      </c>
      <c r="AF471" s="44">
        <v>0</v>
      </c>
      <c r="AG471" s="43">
        <v>20000000</v>
      </c>
      <c r="AH471" s="43">
        <v>20000000</v>
      </c>
      <c r="AI471" s="18">
        <f>AE471-AF471+AG471-AH471</f>
        <v>0</v>
      </c>
      <c r="AJ471" s="34">
        <f>AD471+AI471</f>
        <v>0</v>
      </c>
      <c r="AK471" s="44">
        <v>0</v>
      </c>
      <c r="AL471" s="44">
        <v>0</v>
      </c>
      <c r="AM471" s="44">
        <v>0</v>
      </c>
      <c r="AN471" s="44">
        <v>0</v>
      </c>
      <c r="AO471" s="143">
        <v>0</v>
      </c>
      <c r="AP471" s="44">
        <v>0</v>
      </c>
      <c r="AQ471" s="44">
        <v>0</v>
      </c>
      <c r="AR471" s="44">
        <v>0</v>
      </c>
      <c r="AS471" s="44">
        <v>0</v>
      </c>
      <c r="AT471" s="40">
        <f t="shared" ref="AT471" si="227">AQ471+AS471</f>
        <v>0</v>
      </c>
      <c r="AU471" s="18">
        <f>AJ471-AM471</f>
        <v>0</v>
      </c>
      <c r="AV471" s="34">
        <f>AM471-AP471</f>
        <v>0</v>
      </c>
      <c r="AW471" s="133">
        <f>AP471-AT471</f>
        <v>0</v>
      </c>
      <c r="AX471" s="123">
        <v>0</v>
      </c>
    </row>
    <row r="472" spans="1:50" ht="18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73" t="s">
        <v>288</v>
      </c>
      <c r="AB472" s="82" t="s">
        <v>365</v>
      </c>
      <c r="AC472" s="43"/>
      <c r="AD472" s="43"/>
      <c r="AE472" s="44"/>
      <c r="AF472" s="44"/>
      <c r="AG472" s="44"/>
      <c r="AH472" s="43"/>
      <c r="AI472" s="18"/>
      <c r="AJ472" s="18"/>
      <c r="AK472" s="44"/>
      <c r="AL472" s="44"/>
      <c r="AM472" s="44"/>
      <c r="AN472" s="44"/>
      <c r="AO472" s="143"/>
      <c r="AP472" s="44"/>
      <c r="AQ472" s="44"/>
      <c r="AR472" s="44"/>
      <c r="AS472" s="44"/>
      <c r="AT472" s="40"/>
      <c r="AU472" s="18"/>
      <c r="AV472" s="34"/>
      <c r="AW472" s="133"/>
      <c r="AX472" s="123"/>
    </row>
    <row r="473" spans="1:50" ht="18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1" t="s">
        <v>988</v>
      </c>
      <c r="AB473" s="69" t="s">
        <v>978</v>
      </c>
      <c r="AC473" s="43"/>
      <c r="AD473" s="44">
        <v>0</v>
      </c>
      <c r="AE473" s="43">
        <v>1006706985</v>
      </c>
      <c r="AF473" s="44">
        <v>0</v>
      </c>
      <c r="AG473" s="43">
        <v>1227570664.1400001</v>
      </c>
      <c r="AH473" s="43">
        <v>504551896.50999999</v>
      </c>
      <c r="AI473" s="18">
        <f>AE473-AF473+AG473-AH473</f>
        <v>1729725752.6300004</v>
      </c>
      <c r="AJ473" s="18">
        <f>AD473+AI473</f>
        <v>1729725752.6300004</v>
      </c>
      <c r="AK473" s="44">
        <v>0</v>
      </c>
      <c r="AL473" s="44">
        <v>0</v>
      </c>
      <c r="AM473" s="43">
        <v>690626434.63</v>
      </c>
      <c r="AN473" s="44">
        <v>0</v>
      </c>
      <c r="AO473" s="142">
        <v>217690502.19</v>
      </c>
      <c r="AP473" s="43">
        <v>690625719.45000005</v>
      </c>
      <c r="AQ473" s="44">
        <v>0</v>
      </c>
      <c r="AR473" s="44">
        <v>0</v>
      </c>
      <c r="AS473" s="43">
        <v>324849221</v>
      </c>
      <c r="AT473" s="40">
        <f t="shared" ref="AT473:AT474" si="228">AQ473+AS473</f>
        <v>324849221</v>
      </c>
      <c r="AU473" s="18">
        <f>AJ473-AM473</f>
        <v>1039099318.0000004</v>
      </c>
      <c r="AV473" s="18">
        <f>AM473-AP473</f>
        <v>715.17999994754791</v>
      </c>
      <c r="AW473" s="18">
        <f>AP473-AT473</f>
        <v>365776498.45000005</v>
      </c>
      <c r="AX473" s="123">
        <v>0</v>
      </c>
    </row>
    <row r="474" spans="1:50" ht="18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1" t="s">
        <v>1298</v>
      </c>
      <c r="AB474" s="69" t="s">
        <v>978</v>
      </c>
      <c r="AC474" s="43"/>
      <c r="AD474" s="44"/>
      <c r="AE474" s="44">
        <v>0</v>
      </c>
      <c r="AF474" s="44">
        <v>0</v>
      </c>
      <c r="AG474" s="43">
        <v>60900682</v>
      </c>
      <c r="AH474" s="43"/>
      <c r="AI474" s="18">
        <f>AE474-AF474+AG474-AH474</f>
        <v>60900682</v>
      </c>
      <c r="AJ474" s="18">
        <f>AD474+AI474</f>
        <v>60900682</v>
      </c>
      <c r="AK474" s="44">
        <v>0</v>
      </c>
      <c r="AL474" s="44">
        <f>AM474-AGOSTO!AM477</f>
        <v>0</v>
      </c>
      <c r="AM474" s="44">
        <v>0</v>
      </c>
      <c r="AN474" s="44">
        <v>0</v>
      </c>
      <c r="AO474" s="143">
        <v>0</v>
      </c>
      <c r="AP474" s="44">
        <v>0</v>
      </c>
      <c r="AQ474" s="44">
        <v>0</v>
      </c>
      <c r="AR474" s="44">
        <v>0</v>
      </c>
      <c r="AS474" s="44">
        <v>0</v>
      </c>
      <c r="AT474" s="40">
        <f t="shared" si="228"/>
        <v>0</v>
      </c>
      <c r="AU474" s="18">
        <f>AJ474-AM474</f>
        <v>60900682</v>
      </c>
      <c r="AV474" s="34">
        <f>AM474-AP474</f>
        <v>0</v>
      </c>
      <c r="AW474" s="34">
        <f>AP474-AT474</f>
        <v>0</v>
      </c>
      <c r="AX474" s="123">
        <v>0</v>
      </c>
    </row>
    <row r="475" spans="1:50" ht="25.5" x14ac:dyDescent="0.2">
      <c r="AA475" s="28" t="s">
        <v>288</v>
      </c>
      <c r="AB475" s="29" t="s">
        <v>407</v>
      </c>
      <c r="AC475" s="17"/>
      <c r="AD475" s="18"/>
      <c r="AE475" s="34"/>
      <c r="AF475" s="34"/>
      <c r="AG475" s="34"/>
      <c r="AH475" s="34"/>
      <c r="AI475" s="34"/>
      <c r="AJ475" s="18"/>
      <c r="AK475" s="34"/>
      <c r="AL475" s="34"/>
      <c r="AM475" s="34"/>
      <c r="AN475" s="34"/>
      <c r="AO475" s="145"/>
      <c r="AP475" s="34"/>
      <c r="AQ475" s="34"/>
      <c r="AR475" s="34"/>
      <c r="AS475" s="34"/>
      <c r="AT475" s="31"/>
      <c r="AU475" s="18"/>
      <c r="AV475" s="34"/>
      <c r="AW475" s="133"/>
      <c r="AX475" s="18"/>
    </row>
    <row r="476" spans="1:50" ht="18.75" customHeight="1" x14ac:dyDescent="0.2">
      <c r="A476" s="4" t="s">
        <v>55</v>
      </c>
      <c r="B476" s="4" t="s">
        <v>56</v>
      </c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1" t="s">
        <v>408</v>
      </c>
      <c r="AB476" s="42" t="s">
        <v>233</v>
      </c>
      <c r="AC476" s="43" t="s">
        <v>58</v>
      </c>
      <c r="AD476" s="43">
        <v>126488672</v>
      </c>
      <c r="AE476" s="44">
        <v>0</v>
      </c>
      <c r="AF476" s="44">
        <v>0</v>
      </c>
      <c r="AG476" s="44">
        <v>0</v>
      </c>
      <c r="AH476" s="44">
        <v>0</v>
      </c>
      <c r="AI476" s="44">
        <v>0</v>
      </c>
      <c r="AJ476" s="43">
        <v>126488672</v>
      </c>
      <c r="AK476" s="44">
        <v>0</v>
      </c>
      <c r="AL476" s="44">
        <f>AM476-AGOSTO!AM472</f>
        <v>0</v>
      </c>
      <c r="AM476" s="43">
        <v>126488672</v>
      </c>
      <c r="AN476" s="44">
        <v>0</v>
      </c>
      <c r="AO476" s="143">
        <v>0</v>
      </c>
      <c r="AP476" s="43">
        <v>126488672</v>
      </c>
      <c r="AQ476" s="44">
        <v>0</v>
      </c>
      <c r="AR476" s="44">
        <v>0</v>
      </c>
      <c r="AS476" s="44">
        <v>0</v>
      </c>
      <c r="AT476" s="40">
        <f t="shared" ref="AT476:AT477" si="229">AQ476+AS476</f>
        <v>0</v>
      </c>
      <c r="AU476" s="34">
        <f>AJ476-AM476</f>
        <v>0</v>
      </c>
      <c r="AV476" s="34">
        <f>AM476-AP476</f>
        <v>0</v>
      </c>
      <c r="AW476" s="18">
        <f>AP476-AT476</f>
        <v>126488672</v>
      </c>
      <c r="AX476" s="123">
        <f>AP476/AJ476</f>
        <v>1</v>
      </c>
    </row>
    <row r="477" spans="1:50" ht="18.75" customHeight="1" x14ac:dyDescent="0.2">
      <c r="A477" s="4" t="s">
        <v>55</v>
      </c>
      <c r="B477" s="4" t="s">
        <v>56</v>
      </c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1" t="s">
        <v>409</v>
      </c>
      <c r="AB477" s="42" t="s">
        <v>379</v>
      </c>
      <c r="AC477" s="43" t="s">
        <v>380</v>
      </c>
      <c r="AD477" s="43">
        <v>373511328</v>
      </c>
      <c r="AE477" s="44">
        <v>0</v>
      </c>
      <c r="AF477" s="44">
        <v>0</v>
      </c>
      <c r="AG477" s="44">
        <v>0</v>
      </c>
      <c r="AH477" s="44">
        <v>0</v>
      </c>
      <c r="AI477" s="44">
        <v>0</v>
      </c>
      <c r="AJ477" s="43">
        <v>373511328</v>
      </c>
      <c r="AK477" s="44">
        <v>0</v>
      </c>
      <c r="AL477" s="44">
        <f>AM477-AGOSTO!AM473</f>
        <v>0</v>
      </c>
      <c r="AM477" s="43">
        <v>373511328</v>
      </c>
      <c r="AN477" s="44">
        <v>0</v>
      </c>
      <c r="AO477" s="143">
        <v>0</v>
      </c>
      <c r="AP477" s="43">
        <v>373511328</v>
      </c>
      <c r="AQ477" s="44">
        <v>0</v>
      </c>
      <c r="AR477" s="44">
        <v>0</v>
      </c>
      <c r="AS477" s="44">
        <v>0</v>
      </c>
      <c r="AT477" s="40">
        <f t="shared" si="229"/>
        <v>0</v>
      </c>
      <c r="AU477" s="34">
        <f>AJ477-AM477</f>
        <v>0</v>
      </c>
      <c r="AV477" s="34">
        <f>AM477-AP477</f>
        <v>0</v>
      </c>
      <c r="AW477" s="18">
        <f>AP477-AT477</f>
        <v>373511328</v>
      </c>
      <c r="AX477" s="123">
        <f>AP477/AJ477</f>
        <v>1</v>
      </c>
    </row>
    <row r="478" spans="1:50" ht="25.5" x14ac:dyDescent="0.2">
      <c r="AA478" s="28" t="s">
        <v>288</v>
      </c>
      <c r="AB478" s="29" t="s">
        <v>410</v>
      </c>
      <c r="AC478" s="17"/>
      <c r="AD478" s="18"/>
      <c r="AE478" s="145"/>
      <c r="AF478" s="34"/>
      <c r="AG478" s="34"/>
      <c r="AH478" s="34"/>
      <c r="AI478" s="34"/>
      <c r="AJ478" s="18"/>
      <c r="AK478" s="34"/>
      <c r="AL478" s="34"/>
      <c r="AM478" s="34"/>
      <c r="AN478" s="34"/>
      <c r="AO478" s="145"/>
      <c r="AP478" s="34"/>
      <c r="AQ478" s="34"/>
      <c r="AR478" s="34"/>
      <c r="AS478" s="34"/>
      <c r="AT478" s="31"/>
      <c r="AU478" s="18"/>
      <c r="AV478" s="34"/>
      <c r="AW478" s="18"/>
      <c r="AX478" s="18"/>
    </row>
    <row r="479" spans="1:50" ht="18.75" customHeight="1" x14ac:dyDescent="0.2">
      <c r="A479" s="4" t="s">
        <v>55</v>
      </c>
      <c r="B479" s="4" t="s">
        <v>56</v>
      </c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1" t="s">
        <v>411</v>
      </c>
      <c r="AB479" s="42" t="s">
        <v>412</v>
      </c>
      <c r="AC479" s="43" t="s">
        <v>380</v>
      </c>
      <c r="AD479" s="43">
        <v>6161937303</v>
      </c>
      <c r="AE479" s="143">
        <v>0</v>
      </c>
      <c r="AF479" s="44">
        <v>0</v>
      </c>
      <c r="AG479" s="44">
        <v>0</v>
      </c>
      <c r="AH479" s="44">
        <v>0</v>
      </c>
      <c r="AI479" s="44">
        <v>0</v>
      </c>
      <c r="AJ479" s="43">
        <v>6161937303</v>
      </c>
      <c r="AK479" s="43">
        <v>1317307558</v>
      </c>
      <c r="AL479" s="44">
        <f>AM479-AGOSTO!AM475</f>
        <v>0</v>
      </c>
      <c r="AM479" s="43">
        <v>4844629745</v>
      </c>
      <c r="AN479" s="44">
        <v>0</v>
      </c>
      <c r="AO479" s="143">
        <v>0</v>
      </c>
      <c r="AP479" s="43">
        <v>4844629745</v>
      </c>
      <c r="AQ479" s="43">
        <v>0</v>
      </c>
      <c r="AR479" s="44">
        <v>0</v>
      </c>
      <c r="AS479" s="43">
        <v>4844629745</v>
      </c>
      <c r="AT479" s="39">
        <f t="shared" ref="AT479:AT481" si="230">AQ479+AS479</f>
        <v>4844629745</v>
      </c>
      <c r="AU479" s="18">
        <f>AJ479-AM479</f>
        <v>1317307558</v>
      </c>
      <c r="AV479" s="34">
        <f>AM479-AP479</f>
        <v>0</v>
      </c>
      <c r="AW479" s="34">
        <f>AP479-AT479</f>
        <v>0</v>
      </c>
      <c r="AX479" s="123">
        <f>AP479/AJ479</f>
        <v>0.78621860411357058</v>
      </c>
    </row>
    <row r="480" spans="1:50" ht="18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1" t="s">
        <v>977</v>
      </c>
      <c r="AB480" s="42" t="s">
        <v>978</v>
      </c>
      <c r="AC480" s="43"/>
      <c r="AD480" s="43"/>
      <c r="AE480" s="142">
        <v>2137085601</v>
      </c>
      <c r="AF480" s="44">
        <v>0</v>
      </c>
      <c r="AG480" s="44">
        <v>0</v>
      </c>
      <c r="AH480" s="43">
        <v>1644954315.8499999</v>
      </c>
      <c r="AI480" s="18">
        <f>AE480-AF480+AG480-AH480</f>
        <v>492131285.1500001</v>
      </c>
      <c r="AJ480" s="18">
        <f>AD480+AI480</f>
        <v>492131285.1500001</v>
      </c>
      <c r="AK480" s="44">
        <v>0</v>
      </c>
      <c r="AL480" s="44">
        <f>AM480-AGOSTO!AM476</f>
        <v>0</v>
      </c>
      <c r="AM480" s="43">
        <v>492131285.14999998</v>
      </c>
      <c r="AN480" s="44">
        <v>0</v>
      </c>
      <c r="AO480" s="142">
        <v>68329193.680000007</v>
      </c>
      <c r="AP480" s="43">
        <v>492131285.14999998</v>
      </c>
      <c r="AQ480" s="43">
        <v>27189781.109999999</v>
      </c>
      <c r="AR480" s="142">
        <v>213312995.12</v>
      </c>
      <c r="AS480" s="43">
        <v>308965152.69999999</v>
      </c>
      <c r="AT480" s="39">
        <f t="shared" si="230"/>
        <v>336154933.81</v>
      </c>
      <c r="AU480" s="34">
        <f>AJ480-AM480</f>
        <v>0</v>
      </c>
      <c r="AV480" s="34">
        <f>AM480-AP480</f>
        <v>0</v>
      </c>
      <c r="AW480" s="18">
        <f>AP480-AT480</f>
        <v>155976351.33999997</v>
      </c>
      <c r="AX480" s="123">
        <f>AP480/AJ480</f>
        <v>0.99999999999999978</v>
      </c>
    </row>
    <row r="481" spans="1:50" ht="18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173" t="s">
        <v>1201</v>
      </c>
      <c r="AB481" s="42" t="s">
        <v>1202</v>
      </c>
      <c r="AC481" s="43"/>
      <c r="AD481" s="44">
        <v>0</v>
      </c>
      <c r="AE481" s="142">
        <v>60900682</v>
      </c>
      <c r="AF481" s="44"/>
      <c r="AG481" s="44"/>
      <c r="AH481" s="43">
        <v>60900682</v>
      </c>
      <c r="AI481" s="18">
        <f>AE481-AF481+AG481-AH481</f>
        <v>0</v>
      </c>
      <c r="AJ481" s="34">
        <f>AD481+AI481</f>
        <v>0</v>
      </c>
      <c r="AK481" s="44">
        <v>0</v>
      </c>
      <c r="AL481" s="44">
        <v>0</v>
      </c>
      <c r="AM481" s="44">
        <v>0</v>
      </c>
      <c r="AN481" s="44">
        <v>0</v>
      </c>
      <c r="AO481" s="143">
        <v>0</v>
      </c>
      <c r="AP481" s="43">
        <v>0</v>
      </c>
      <c r="AQ481" s="44">
        <v>0</v>
      </c>
      <c r="AR481" s="44">
        <v>0</v>
      </c>
      <c r="AS481" s="44">
        <v>0</v>
      </c>
      <c r="AT481" s="40">
        <f t="shared" si="230"/>
        <v>0</v>
      </c>
      <c r="AU481" s="34">
        <f>AJ481-AM481</f>
        <v>0</v>
      </c>
      <c r="AV481" s="34">
        <f>AM481-AP481</f>
        <v>0</v>
      </c>
      <c r="AW481" s="34">
        <f>AP481-AT481</f>
        <v>0</v>
      </c>
      <c r="AX481" s="123">
        <v>0</v>
      </c>
    </row>
    <row r="482" spans="1:50" ht="18.75" customHeight="1" x14ac:dyDescent="0.2">
      <c r="AA482" s="28" t="s">
        <v>288</v>
      </c>
      <c r="AB482" s="29" t="s">
        <v>320</v>
      </c>
      <c r="AC482" s="17"/>
      <c r="AD482" s="18"/>
      <c r="AE482" s="145"/>
      <c r="AF482" s="34"/>
      <c r="AG482" s="34"/>
      <c r="AH482" s="34"/>
      <c r="AI482" s="34"/>
      <c r="AJ482" s="18"/>
      <c r="AK482" s="18"/>
      <c r="AL482" s="18"/>
      <c r="AM482" s="18"/>
      <c r="AN482" s="18"/>
      <c r="AO482" s="147"/>
      <c r="AP482" s="18"/>
      <c r="AQ482" s="18"/>
      <c r="AR482" s="34"/>
      <c r="AS482" s="34"/>
      <c r="AT482" s="31"/>
      <c r="AU482" s="18"/>
      <c r="AV482" s="34"/>
      <c r="AW482" s="18"/>
      <c r="AX482" s="18"/>
    </row>
    <row r="483" spans="1:50" ht="18.75" customHeight="1" x14ac:dyDescent="0.2">
      <c r="A483" s="4" t="s">
        <v>37</v>
      </c>
      <c r="B483" s="4" t="s">
        <v>37</v>
      </c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1" t="s">
        <v>413</v>
      </c>
      <c r="AB483" s="42" t="s">
        <v>233</v>
      </c>
      <c r="AC483" s="43" t="s">
        <v>58</v>
      </c>
      <c r="AD483" s="43">
        <v>1212000000</v>
      </c>
      <c r="AE483" s="143">
        <v>0</v>
      </c>
      <c r="AF483" s="44">
        <v>0</v>
      </c>
      <c r="AG483" s="44">
        <v>0</v>
      </c>
      <c r="AH483" s="44">
        <v>0</v>
      </c>
      <c r="AI483" s="44">
        <v>0</v>
      </c>
      <c r="AJ483" s="43">
        <v>1212000000</v>
      </c>
      <c r="AK483" s="44">
        <v>0</v>
      </c>
      <c r="AL483" s="44">
        <f>AM483-AGOSTO!AM479</f>
        <v>0</v>
      </c>
      <c r="AM483" s="43">
        <v>1161315332</v>
      </c>
      <c r="AN483" s="44">
        <v>0</v>
      </c>
      <c r="AO483" s="143">
        <v>0</v>
      </c>
      <c r="AP483" s="43">
        <v>1161315332</v>
      </c>
      <c r="AQ483" s="44">
        <v>0</v>
      </c>
      <c r="AR483" s="142">
        <v>98352930</v>
      </c>
      <c r="AS483" s="43">
        <v>196705860</v>
      </c>
      <c r="AT483" s="39">
        <f t="shared" ref="AT483:AT484" si="231">AQ483+AS483</f>
        <v>196705860</v>
      </c>
      <c r="AU483" s="18">
        <f>AJ483-AM483</f>
        <v>50684668</v>
      </c>
      <c r="AV483" s="34">
        <f>AM483-AP483</f>
        <v>0</v>
      </c>
      <c r="AW483" s="18">
        <f>AP483-AT483</f>
        <v>964609472</v>
      </c>
      <c r="AX483" s="123">
        <f>AP483/AJ483</f>
        <v>0.95818096699669963</v>
      </c>
    </row>
    <row r="484" spans="1:50" ht="18.75" customHeight="1" x14ac:dyDescent="0.2">
      <c r="A484" s="4" t="s">
        <v>55</v>
      </c>
      <c r="B484" s="4" t="s">
        <v>56</v>
      </c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1" t="s">
        <v>414</v>
      </c>
      <c r="AB484" s="42" t="s">
        <v>328</v>
      </c>
      <c r="AC484" s="43" t="s">
        <v>61</v>
      </c>
      <c r="AD484" s="43">
        <v>13807166550</v>
      </c>
      <c r="AE484" s="44">
        <v>0</v>
      </c>
      <c r="AF484" s="44">
        <v>0</v>
      </c>
      <c r="AG484" s="44">
        <v>0</v>
      </c>
      <c r="AH484" s="43">
        <f>23257108+31152316</f>
        <v>54409424</v>
      </c>
      <c r="AI484" s="18">
        <f>AE484-AF484+AG484-AH484</f>
        <v>-54409424</v>
      </c>
      <c r="AJ484" s="18">
        <f>AD484+AI484</f>
        <v>13752757126</v>
      </c>
      <c r="AK484" s="44">
        <v>0</v>
      </c>
      <c r="AL484" s="44">
        <f>AM484-AGOSTO!AM480</f>
        <v>0</v>
      </c>
      <c r="AM484" s="43">
        <v>13147919116</v>
      </c>
      <c r="AN484" s="44">
        <v>0</v>
      </c>
      <c r="AO484" s="43">
        <v>0</v>
      </c>
      <c r="AP484" s="43">
        <v>13147919116</v>
      </c>
      <c r="AQ484" s="44">
        <v>0</v>
      </c>
      <c r="AR484" s="142">
        <v>2911985437</v>
      </c>
      <c r="AS484" s="43">
        <v>6334233598</v>
      </c>
      <c r="AT484" s="39">
        <f t="shared" si="231"/>
        <v>6334233598</v>
      </c>
      <c r="AU484" s="18">
        <f>AJ484-AM484</f>
        <v>604838010</v>
      </c>
      <c r="AV484" s="34">
        <f>AM484-AP484</f>
        <v>0</v>
      </c>
      <c r="AW484" s="18">
        <f>AP484-AT484</f>
        <v>6813685518</v>
      </c>
      <c r="AX484" s="123">
        <f>AP484/AJ484</f>
        <v>0.95602059976348053</v>
      </c>
    </row>
    <row r="485" spans="1:50" ht="38.25" x14ac:dyDescent="0.2">
      <c r="AA485" s="28" t="s">
        <v>288</v>
      </c>
      <c r="AB485" s="29" t="s">
        <v>415</v>
      </c>
      <c r="AC485" s="17"/>
      <c r="AD485" s="18"/>
      <c r="AE485" s="34"/>
      <c r="AF485" s="34"/>
      <c r="AG485" s="34"/>
      <c r="AH485" s="34"/>
      <c r="AI485" s="34"/>
      <c r="AJ485" s="18"/>
      <c r="AK485" s="34"/>
      <c r="AL485" s="34"/>
      <c r="AM485" s="18"/>
      <c r="AN485" s="18"/>
      <c r="AO485" s="18"/>
      <c r="AP485" s="18"/>
      <c r="AQ485" s="34"/>
      <c r="AR485" s="34"/>
      <c r="AS485" s="34"/>
      <c r="AT485" s="40"/>
      <c r="AU485" s="18"/>
      <c r="AV485" s="34"/>
      <c r="AW485" s="18"/>
      <c r="AX485" s="18"/>
    </row>
    <row r="486" spans="1:50" ht="18.75" customHeight="1" x14ac:dyDescent="0.2">
      <c r="A486" s="4" t="s">
        <v>55</v>
      </c>
      <c r="B486" s="4" t="s">
        <v>56</v>
      </c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1" t="s">
        <v>416</v>
      </c>
      <c r="AB486" s="42" t="s">
        <v>379</v>
      </c>
      <c r="AC486" s="43" t="s">
        <v>380</v>
      </c>
      <c r="AD486" s="43">
        <v>50000000</v>
      </c>
      <c r="AE486" s="44">
        <v>0</v>
      </c>
      <c r="AF486" s="44">
        <v>0</v>
      </c>
      <c r="AG486" s="44">
        <v>0</v>
      </c>
      <c r="AH486" s="44">
        <v>0</v>
      </c>
      <c r="AI486" s="44">
        <v>0</v>
      </c>
      <c r="AJ486" s="43">
        <v>50000000</v>
      </c>
      <c r="AK486" s="44">
        <v>0</v>
      </c>
      <c r="AL486" s="44">
        <f>AM486-AGOSTO!AM482</f>
        <v>0</v>
      </c>
      <c r="AM486" s="43">
        <v>50000000</v>
      </c>
      <c r="AN486" s="44">
        <v>0</v>
      </c>
      <c r="AO486" s="44">
        <v>0</v>
      </c>
      <c r="AP486" s="43">
        <v>50000000</v>
      </c>
      <c r="AQ486" s="44">
        <v>0</v>
      </c>
      <c r="AR486" s="44">
        <v>0</v>
      </c>
      <c r="AS486" s="44">
        <v>0</v>
      </c>
      <c r="AT486" s="40">
        <f t="shared" ref="AT486:AT488" si="232">AQ486+AS486</f>
        <v>0</v>
      </c>
      <c r="AU486" s="34">
        <f>AJ486-AM486</f>
        <v>0</v>
      </c>
      <c r="AV486" s="34">
        <f>AM486-AP486</f>
        <v>0</v>
      </c>
      <c r="AW486" s="18">
        <f>AP486-AT486</f>
        <v>50000000</v>
      </c>
      <c r="AX486" s="123">
        <f>AP486/AJ486</f>
        <v>1</v>
      </c>
    </row>
    <row r="487" spans="1:50" ht="18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173" t="s">
        <v>1205</v>
      </c>
      <c r="AB487" s="42" t="s">
        <v>1204</v>
      </c>
      <c r="AC487" s="43"/>
      <c r="AD487" s="44">
        <v>0</v>
      </c>
      <c r="AE487" s="43">
        <v>200000000</v>
      </c>
      <c r="AF487" s="44"/>
      <c r="AG487" s="44"/>
      <c r="AH487" s="44"/>
      <c r="AI487" s="18">
        <f>AE487-AF487+AG487-AH487</f>
        <v>200000000</v>
      </c>
      <c r="AJ487" s="18">
        <f>AD487+AI487</f>
        <v>200000000</v>
      </c>
      <c r="AK487" s="44">
        <v>0</v>
      </c>
      <c r="AL487" s="44">
        <f>AM487-AGOSTO!AM483</f>
        <v>0</v>
      </c>
      <c r="AM487" s="44">
        <v>0</v>
      </c>
      <c r="AN487" s="44">
        <v>0</v>
      </c>
      <c r="AO487" s="44">
        <v>0</v>
      </c>
      <c r="AP487" s="44">
        <v>0</v>
      </c>
      <c r="AQ487" s="44">
        <v>0</v>
      </c>
      <c r="AR487" s="44">
        <v>0</v>
      </c>
      <c r="AS487" s="44">
        <v>0</v>
      </c>
      <c r="AT487" s="40">
        <f t="shared" si="232"/>
        <v>0</v>
      </c>
      <c r="AU487" s="18">
        <f>AJ487-AM487</f>
        <v>200000000</v>
      </c>
      <c r="AV487" s="34">
        <f>AM487-AP487</f>
        <v>0</v>
      </c>
      <c r="AW487" s="34">
        <f>AP487-AT487</f>
        <v>0</v>
      </c>
      <c r="AX487" s="123">
        <f>AP487/AJ487</f>
        <v>0</v>
      </c>
    </row>
    <row r="488" spans="1:50" ht="18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173" t="s">
        <v>1297</v>
      </c>
      <c r="AB488" s="42" t="s">
        <v>328</v>
      </c>
      <c r="AC488" s="43"/>
      <c r="AD488" s="44"/>
      <c r="AE488" s="43">
        <v>0</v>
      </c>
      <c r="AF488" s="44">
        <v>0</v>
      </c>
      <c r="AG488" s="43">
        <v>31152316</v>
      </c>
      <c r="AH488" s="44">
        <v>0</v>
      </c>
      <c r="AI488" s="18">
        <f>AE488-AF488+AG488-AH488</f>
        <v>31152316</v>
      </c>
      <c r="AJ488" s="18">
        <f>AD488+AI488</f>
        <v>31152316</v>
      </c>
      <c r="AK488" s="44">
        <v>0</v>
      </c>
      <c r="AL488" s="44">
        <f>AM488-AGOSTO!AM484</f>
        <v>0</v>
      </c>
      <c r="AM488" s="43">
        <v>31152316</v>
      </c>
      <c r="AN488" s="44">
        <v>0</v>
      </c>
      <c r="AO488" s="43">
        <v>31152316</v>
      </c>
      <c r="AP488" s="43">
        <v>31152316</v>
      </c>
      <c r="AQ488" s="44">
        <v>0</v>
      </c>
      <c r="AR488" s="44">
        <v>0</v>
      </c>
      <c r="AS488" s="44">
        <v>0</v>
      </c>
      <c r="AT488" s="40">
        <f t="shared" si="232"/>
        <v>0</v>
      </c>
      <c r="AU488" s="34">
        <f>AJ488-AM488</f>
        <v>0</v>
      </c>
      <c r="AV488" s="18">
        <f>AM488-AP488</f>
        <v>0</v>
      </c>
      <c r="AW488" s="18">
        <f>AP488-AT488</f>
        <v>31152316</v>
      </c>
      <c r="AX488" s="123">
        <f>AP488/AJ488</f>
        <v>1</v>
      </c>
    </row>
    <row r="489" spans="1:50" ht="25.5" x14ac:dyDescent="0.2">
      <c r="AA489" s="28" t="s">
        <v>288</v>
      </c>
      <c r="AB489" s="29" t="s">
        <v>418</v>
      </c>
      <c r="AC489" s="17"/>
      <c r="AD489" s="18"/>
      <c r="AE489" s="34"/>
      <c r="AF489" s="34"/>
      <c r="AG489" s="34"/>
      <c r="AH489" s="34"/>
      <c r="AI489" s="34"/>
      <c r="AJ489" s="18"/>
      <c r="AK489" s="34"/>
      <c r="AL489" s="34"/>
      <c r="AM489" s="34"/>
      <c r="AN489" s="34"/>
      <c r="AO489" s="34"/>
      <c r="AP489" s="34"/>
      <c r="AQ489" s="34"/>
      <c r="AR489" s="34"/>
      <c r="AS489" s="34"/>
      <c r="AT489" s="40"/>
      <c r="AU489" s="34"/>
      <c r="AV489" s="34"/>
      <c r="AW489" s="34"/>
      <c r="AX489" s="18"/>
    </row>
    <row r="490" spans="1:50" x14ac:dyDescent="0.2">
      <c r="A490" s="4" t="s">
        <v>55</v>
      </c>
      <c r="B490" s="4" t="s">
        <v>56</v>
      </c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1" t="s">
        <v>419</v>
      </c>
      <c r="AB490" s="42" t="s">
        <v>233</v>
      </c>
      <c r="AC490" s="43" t="s">
        <v>58</v>
      </c>
      <c r="AD490" s="43">
        <v>200000000</v>
      </c>
      <c r="AE490" s="44">
        <v>0</v>
      </c>
      <c r="AF490" s="44">
        <v>0</v>
      </c>
      <c r="AG490" s="44">
        <v>0</v>
      </c>
      <c r="AH490" s="43">
        <v>97910418</v>
      </c>
      <c r="AI490" s="18">
        <f>AE490-AF490+AG490-AH490</f>
        <v>-97910418</v>
      </c>
      <c r="AJ490" s="18">
        <f>AD490+AI490</f>
        <v>102089582</v>
      </c>
      <c r="AK490" s="44">
        <v>0</v>
      </c>
      <c r="AL490" s="44">
        <f>AM490-AGOSTO!AM486</f>
        <v>0</v>
      </c>
      <c r="AM490" s="43">
        <v>102089582</v>
      </c>
      <c r="AN490" s="44">
        <v>0</v>
      </c>
      <c r="AO490" s="43">
        <v>0</v>
      </c>
      <c r="AP490" s="43">
        <v>102089582</v>
      </c>
      <c r="AQ490" s="44">
        <v>0</v>
      </c>
      <c r="AR490" s="44">
        <v>0</v>
      </c>
      <c r="AS490" s="43">
        <v>101553680.63</v>
      </c>
      <c r="AT490" s="39">
        <f t="shared" si="221"/>
        <v>101553680.63</v>
      </c>
      <c r="AU490" s="34">
        <f>AJ490-AM490</f>
        <v>0</v>
      </c>
      <c r="AV490" s="34">
        <f>AM490-AP490</f>
        <v>0</v>
      </c>
      <c r="AW490" s="18">
        <f>AP490-AT490</f>
        <v>535901.37000000477</v>
      </c>
      <c r="AX490" s="123">
        <f>AP490/AJ490</f>
        <v>1</v>
      </c>
    </row>
    <row r="491" spans="1:50" ht="25.5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73" t="s">
        <v>288</v>
      </c>
      <c r="AB491" s="74" t="s">
        <v>1364</v>
      </c>
      <c r="AC491" s="43"/>
      <c r="AD491" s="43"/>
      <c r="AE491" s="44"/>
      <c r="AF491" s="44"/>
      <c r="AG491" s="44"/>
      <c r="AH491" s="43"/>
      <c r="AI491" s="18"/>
      <c r="AJ491" s="18"/>
      <c r="AK491" s="44"/>
      <c r="AL491" s="43"/>
      <c r="AM491" s="43"/>
      <c r="AN491" s="44"/>
      <c r="AO491" s="43"/>
      <c r="AP491" s="43"/>
      <c r="AQ491" s="43"/>
      <c r="AR491" s="43"/>
      <c r="AS491" s="43"/>
      <c r="AT491" s="40"/>
      <c r="AU491" s="18"/>
      <c r="AV491" s="34"/>
      <c r="AW491" s="18"/>
      <c r="AX491" s="123"/>
    </row>
    <row r="492" spans="1:50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1" t="s">
        <v>1365</v>
      </c>
      <c r="AB492" s="42" t="s">
        <v>233</v>
      </c>
      <c r="AC492" s="43"/>
      <c r="AD492" s="43">
        <v>0</v>
      </c>
      <c r="AE492" s="44">
        <v>0</v>
      </c>
      <c r="AF492" s="44">
        <v>0</v>
      </c>
      <c r="AG492" s="43">
        <v>100000000</v>
      </c>
      <c r="AH492" s="43">
        <v>0</v>
      </c>
      <c r="AI492" s="18">
        <f>AE492-AF492+AG492-AH492</f>
        <v>100000000</v>
      </c>
      <c r="AJ492" s="18">
        <f>AD492+AI492</f>
        <v>100000000</v>
      </c>
      <c r="AK492" s="44">
        <v>0</v>
      </c>
      <c r="AL492" s="44">
        <v>0</v>
      </c>
      <c r="AM492" s="44">
        <v>0</v>
      </c>
      <c r="AN492" s="44">
        <v>0</v>
      </c>
      <c r="AO492" s="44">
        <v>0</v>
      </c>
      <c r="AP492" s="44">
        <v>0</v>
      </c>
      <c r="AQ492" s="44">
        <v>0</v>
      </c>
      <c r="AR492" s="44">
        <v>0</v>
      </c>
      <c r="AS492" s="44">
        <v>0</v>
      </c>
      <c r="AT492" s="40">
        <f t="shared" ref="AT492" si="233">AQ492+AS492</f>
        <v>0</v>
      </c>
      <c r="AU492" s="18">
        <f>AJ492-AM492</f>
        <v>100000000</v>
      </c>
      <c r="AV492" s="34">
        <f>AM492-AP492</f>
        <v>0</v>
      </c>
      <c r="AW492" s="34">
        <f>AP492-AT492</f>
        <v>0</v>
      </c>
      <c r="AX492" s="123">
        <f>AP492/AJ492</f>
        <v>0</v>
      </c>
    </row>
    <row r="493" spans="1:50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73" t="s">
        <v>288</v>
      </c>
      <c r="AB493" s="74" t="s">
        <v>1362</v>
      </c>
      <c r="AC493" s="43"/>
      <c r="AD493" s="43"/>
      <c r="AE493" s="44"/>
      <c r="AF493" s="44"/>
      <c r="AG493" s="44"/>
      <c r="AH493" s="43"/>
      <c r="AI493" s="18"/>
      <c r="AJ493" s="18"/>
      <c r="AK493" s="44"/>
      <c r="AL493" s="44"/>
      <c r="AM493" s="44"/>
      <c r="AN493" s="44"/>
      <c r="AO493" s="44"/>
      <c r="AP493" s="44"/>
      <c r="AQ493" s="44"/>
      <c r="AR493" s="44"/>
      <c r="AS493" s="44"/>
      <c r="AT493" s="40"/>
      <c r="AU493" s="18"/>
      <c r="AV493" s="34"/>
      <c r="AW493" s="34"/>
      <c r="AX493" s="123"/>
    </row>
    <row r="494" spans="1:50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1" t="s">
        <v>1363</v>
      </c>
      <c r="AB494" s="42" t="s">
        <v>233</v>
      </c>
      <c r="AC494" s="43"/>
      <c r="AD494" s="43">
        <v>0</v>
      </c>
      <c r="AE494" s="44">
        <v>0</v>
      </c>
      <c r="AF494" s="44">
        <v>0</v>
      </c>
      <c r="AG494" s="43">
        <v>400000000</v>
      </c>
      <c r="AH494" s="43"/>
      <c r="AI494" s="18">
        <f>AE494-AF494+AG494-AH494</f>
        <v>400000000</v>
      </c>
      <c r="AJ494" s="18">
        <f>AD494+AI494</f>
        <v>400000000</v>
      </c>
      <c r="AK494" s="44">
        <v>0</v>
      </c>
      <c r="AL494" s="44">
        <v>0</v>
      </c>
      <c r="AM494" s="44">
        <v>0</v>
      </c>
      <c r="AN494" s="44">
        <v>0</v>
      </c>
      <c r="AO494" s="44">
        <v>0</v>
      </c>
      <c r="AP494" s="44">
        <v>0</v>
      </c>
      <c r="AQ494" s="44">
        <v>0</v>
      </c>
      <c r="AR494" s="44">
        <v>0</v>
      </c>
      <c r="AS494" s="44">
        <v>0</v>
      </c>
      <c r="AT494" s="40">
        <f t="shared" ref="AT494" si="234">AQ494+AS494</f>
        <v>0</v>
      </c>
      <c r="AU494" s="18">
        <f>AJ494-AM494</f>
        <v>400000000</v>
      </c>
      <c r="AV494" s="34">
        <f>AM494-AP494</f>
        <v>0</v>
      </c>
      <c r="AW494" s="34">
        <f>AP494-AT494</f>
        <v>0</v>
      </c>
      <c r="AX494" s="123">
        <f>AP494/AJ494</f>
        <v>0</v>
      </c>
    </row>
    <row r="495" spans="1:50" ht="51" x14ac:dyDescent="0.2">
      <c r="AA495" s="28" t="s">
        <v>288</v>
      </c>
      <c r="AB495" s="29" t="s">
        <v>420</v>
      </c>
      <c r="AC495" s="17"/>
      <c r="AD495" s="18"/>
      <c r="AE495" s="34"/>
      <c r="AF495" s="34"/>
      <c r="AG495" s="34"/>
      <c r="AH495" s="34"/>
      <c r="AI495" s="34"/>
      <c r="AJ495" s="18"/>
      <c r="AK495" s="34"/>
      <c r="AL495" s="147"/>
      <c r="AM495" s="18"/>
      <c r="AN495" s="34"/>
      <c r="AO495" s="147"/>
      <c r="AP495" s="18"/>
      <c r="AQ495" s="18"/>
      <c r="AR495" s="147"/>
      <c r="AS495" s="18"/>
      <c r="AT495" s="40"/>
      <c r="AU495" s="18"/>
      <c r="AV495" s="18"/>
      <c r="AW495" s="18"/>
      <c r="AX495" s="18"/>
    </row>
    <row r="496" spans="1:50" x14ac:dyDescent="0.2">
      <c r="A496" s="4" t="s">
        <v>55</v>
      </c>
      <c r="B496" s="4" t="s">
        <v>56</v>
      </c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1" t="s">
        <v>421</v>
      </c>
      <c r="AB496" s="42" t="s">
        <v>328</v>
      </c>
      <c r="AC496" s="43" t="s">
        <v>61</v>
      </c>
      <c r="AD496" s="43">
        <v>501573828</v>
      </c>
      <c r="AE496" s="44">
        <v>0</v>
      </c>
      <c r="AF496" s="44">
        <v>0</v>
      </c>
      <c r="AG496" s="43">
        <v>280746171.69999999</v>
      </c>
      <c r="AH496" s="43">
        <f>3845830+18397564.7</f>
        <v>22243394.699999999</v>
      </c>
      <c r="AI496" s="18">
        <f>AE496-AF496+AG496-AH496</f>
        <v>258502777</v>
      </c>
      <c r="AJ496" s="18">
        <f>AD496+AI496</f>
        <v>760076605</v>
      </c>
      <c r="AK496" s="44">
        <v>0</v>
      </c>
      <c r="AL496" s="142">
        <f>AM496-AGOSTO!AM488</f>
        <v>194055774.34000003</v>
      </c>
      <c r="AM496" s="43">
        <v>723255774.34000003</v>
      </c>
      <c r="AN496" s="44">
        <v>0</v>
      </c>
      <c r="AO496" s="142">
        <v>144935774.36000001</v>
      </c>
      <c r="AP496" s="43">
        <v>674135774.36000001</v>
      </c>
      <c r="AQ496" s="43">
        <v>131600000</v>
      </c>
      <c r="AR496" s="142">
        <v>44800000</v>
      </c>
      <c r="AS496" s="43">
        <v>320786666</v>
      </c>
      <c r="AT496" s="39">
        <f t="shared" si="221"/>
        <v>452386666</v>
      </c>
      <c r="AU496" s="18">
        <f>AJ496-AM496</f>
        <v>36820830.659999967</v>
      </c>
      <c r="AV496" s="18">
        <f>AM496-AP496</f>
        <v>49119999.980000019</v>
      </c>
      <c r="AW496" s="18">
        <f>AP496-AT496</f>
        <v>221749108.36000001</v>
      </c>
      <c r="AX496" s="123">
        <f>AP496/AJ496</f>
        <v>0.88693135655714594</v>
      </c>
    </row>
    <row r="497" spans="1:50" ht="25.5" x14ac:dyDescent="0.2">
      <c r="A497" s="4" t="s">
        <v>55</v>
      </c>
      <c r="B497" s="4" t="s">
        <v>56</v>
      </c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1" t="s">
        <v>422</v>
      </c>
      <c r="AB497" s="42" t="s">
        <v>423</v>
      </c>
      <c r="AC497" s="43" t="s">
        <v>424</v>
      </c>
      <c r="AD497" s="43">
        <v>370346171.69999999</v>
      </c>
      <c r="AE497" s="44">
        <v>0</v>
      </c>
      <c r="AF497" s="44">
        <v>0</v>
      </c>
      <c r="AG497" s="44">
        <v>0</v>
      </c>
      <c r="AH497" s="43">
        <v>280746171.69999999</v>
      </c>
      <c r="AI497" s="18">
        <f>AE497-AF497+AG497-AH497</f>
        <v>-280746171.69999999</v>
      </c>
      <c r="AJ497" s="18">
        <f>AD497+AI497</f>
        <v>89600000</v>
      </c>
      <c r="AK497" s="44">
        <v>0</v>
      </c>
      <c r="AL497" s="143">
        <f>AM497-AGOSTO!AM489</f>
        <v>0</v>
      </c>
      <c r="AM497" s="43">
        <v>89600000</v>
      </c>
      <c r="AN497" s="43">
        <v>0</v>
      </c>
      <c r="AO497" s="143">
        <v>0</v>
      </c>
      <c r="AP497" s="43">
        <v>89600000</v>
      </c>
      <c r="AQ497" s="43">
        <v>42000000</v>
      </c>
      <c r="AR497" s="142">
        <v>8400000</v>
      </c>
      <c r="AS497" s="43">
        <v>35466668</v>
      </c>
      <c r="AT497" s="39">
        <f t="shared" si="221"/>
        <v>77466668</v>
      </c>
      <c r="AU497" s="34">
        <f>AJ497-AM497</f>
        <v>0</v>
      </c>
      <c r="AV497" s="34">
        <f>AM497-AP497</f>
        <v>0</v>
      </c>
      <c r="AW497" s="18">
        <f>AP497-AT497</f>
        <v>12133332</v>
      </c>
      <c r="AX497" s="123">
        <f>AP497/AJ497</f>
        <v>1</v>
      </c>
    </row>
    <row r="498" spans="1:50" ht="18.75" customHeight="1" x14ac:dyDescent="0.2">
      <c r="AA498" s="28" t="s">
        <v>288</v>
      </c>
      <c r="AB498" s="29" t="s">
        <v>400</v>
      </c>
      <c r="AC498" s="17"/>
      <c r="AD498" s="18"/>
      <c r="AE498" s="34"/>
      <c r="AF498" s="34"/>
      <c r="AG498" s="34"/>
      <c r="AH498" s="34"/>
      <c r="AI498" s="34"/>
      <c r="AJ498" s="18"/>
      <c r="AK498" s="34"/>
      <c r="AL498" s="147"/>
      <c r="AM498" s="18"/>
      <c r="AN498" s="34"/>
      <c r="AO498" s="18"/>
      <c r="AP498" s="18"/>
      <c r="AQ498" s="34"/>
      <c r="AR498" s="145"/>
      <c r="AS498" s="34"/>
      <c r="AT498" s="40"/>
      <c r="AU498" s="18"/>
      <c r="AV498" s="18"/>
      <c r="AW498" s="18"/>
      <c r="AX498" s="18"/>
    </row>
    <row r="499" spans="1:50" ht="18.75" customHeight="1" x14ac:dyDescent="0.2">
      <c r="A499" s="4" t="s">
        <v>55</v>
      </c>
      <c r="B499" s="4" t="s">
        <v>56</v>
      </c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1" t="s">
        <v>425</v>
      </c>
      <c r="AB499" s="42" t="s">
        <v>233</v>
      </c>
      <c r="AC499" s="43" t="s">
        <v>58</v>
      </c>
      <c r="AD499" s="43">
        <v>318078211</v>
      </c>
      <c r="AE499" s="44">
        <v>0</v>
      </c>
      <c r="AF499" s="44">
        <v>0</v>
      </c>
      <c r="AG499" s="44">
        <v>0</v>
      </c>
      <c r="AH499" s="43">
        <v>68793982.700000003</v>
      </c>
      <c r="AI499" s="18">
        <f>AE499-AF499+AG499-AH499</f>
        <v>-68793982.700000003</v>
      </c>
      <c r="AJ499" s="18">
        <f>AD499+AI499</f>
        <v>249284228.30000001</v>
      </c>
      <c r="AK499" s="44">
        <v>0</v>
      </c>
      <c r="AL499" s="142">
        <f>AM499-AGOSTO!AM491</f>
        <v>32084228.300000012</v>
      </c>
      <c r="AM499" s="43">
        <v>249284228.30000001</v>
      </c>
      <c r="AN499" s="315">
        <v>0</v>
      </c>
      <c r="AO499" s="43">
        <v>32084228.300000001</v>
      </c>
      <c r="AP499" s="43">
        <v>249284228.30000001</v>
      </c>
      <c r="AQ499" s="44">
        <v>0</v>
      </c>
      <c r="AR499" s="144">
        <v>27150000</v>
      </c>
      <c r="AS499" s="114">
        <v>193156667</v>
      </c>
      <c r="AT499" s="39">
        <f t="shared" si="221"/>
        <v>193156667</v>
      </c>
      <c r="AU499" s="18">
        <f>AJ499-AM499</f>
        <v>0</v>
      </c>
      <c r="AV499" s="34">
        <f>AM499-AP499</f>
        <v>0</v>
      </c>
      <c r="AW499" s="18">
        <f>AP499-AT499</f>
        <v>56127561.300000012</v>
      </c>
      <c r="AX499" s="123">
        <f>AP499/AJ499</f>
        <v>1</v>
      </c>
    </row>
    <row r="500" spans="1:50" ht="18.75" customHeight="1" x14ac:dyDescent="0.2">
      <c r="A500" s="4" t="s">
        <v>55</v>
      </c>
      <c r="B500" s="4" t="s">
        <v>56</v>
      </c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1" t="s">
        <v>426</v>
      </c>
      <c r="AB500" s="42" t="s">
        <v>427</v>
      </c>
      <c r="AC500" s="43" t="s">
        <v>428</v>
      </c>
      <c r="AD500" s="43">
        <v>12674978.119999999</v>
      </c>
      <c r="AE500" s="44">
        <v>0</v>
      </c>
      <c r="AF500" s="44">
        <v>0</v>
      </c>
      <c r="AG500" s="44">
        <v>0</v>
      </c>
      <c r="AH500" s="44">
        <v>0</v>
      </c>
      <c r="AI500" s="44">
        <v>0</v>
      </c>
      <c r="AJ500" s="43">
        <v>12674978.119999999</v>
      </c>
      <c r="AK500" s="44">
        <v>0</v>
      </c>
      <c r="AL500" s="143">
        <f>AM500-AGOSTO!AM492</f>
        <v>0</v>
      </c>
      <c r="AM500" s="44">
        <v>0</v>
      </c>
      <c r="AN500" s="44">
        <v>0</v>
      </c>
      <c r="AO500" s="44">
        <v>0</v>
      </c>
      <c r="AP500" s="44">
        <v>0</v>
      </c>
      <c r="AQ500" s="44">
        <v>0</v>
      </c>
      <c r="AR500" s="143">
        <v>0</v>
      </c>
      <c r="AS500" s="44">
        <v>0</v>
      </c>
      <c r="AT500" s="40">
        <f t="shared" si="221"/>
        <v>0</v>
      </c>
      <c r="AU500" s="18">
        <f>AJ500-AM500</f>
        <v>12674978.119999999</v>
      </c>
      <c r="AV500" s="34">
        <f>AM500-AP500</f>
        <v>0</v>
      </c>
      <c r="AW500" s="34">
        <f>AP500-AT500</f>
        <v>0</v>
      </c>
      <c r="AX500" s="123">
        <f>AP500/AJ500</f>
        <v>0</v>
      </c>
    </row>
    <row r="501" spans="1:50" ht="18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73" t="s">
        <v>288</v>
      </c>
      <c r="AB501" s="74" t="s">
        <v>1366</v>
      </c>
      <c r="AC501" s="168"/>
      <c r="AD501" s="43"/>
      <c r="AE501" s="44"/>
      <c r="AF501" s="44"/>
      <c r="AG501" s="44"/>
      <c r="AH501" s="44"/>
      <c r="AI501" s="44"/>
      <c r="AJ501" s="43"/>
      <c r="AK501" s="44"/>
      <c r="AL501" s="143"/>
      <c r="AM501" s="44"/>
      <c r="AN501" s="44"/>
      <c r="AO501" s="44"/>
      <c r="AP501" s="44"/>
      <c r="AQ501" s="44"/>
      <c r="AR501" s="143"/>
      <c r="AS501" s="44"/>
      <c r="AT501" s="40"/>
      <c r="AU501" s="18"/>
      <c r="AV501" s="34"/>
      <c r="AW501" s="34"/>
      <c r="AX501" s="123"/>
    </row>
    <row r="502" spans="1:50" ht="18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1" t="s">
        <v>1367</v>
      </c>
      <c r="AB502" s="42" t="s">
        <v>233</v>
      </c>
      <c r="AC502" s="168"/>
      <c r="AD502" s="43">
        <v>0</v>
      </c>
      <c r="AE502" s="44">
        <v>0</v>
      </c>
      <c r="AF502" s="44">
        <v>0</v>
      </c>
      <c r="AG502" s="43">
        <v>20000000</v>
      </c>
      <c r="AH502" s="44">
        <v>0</v>
      </c>
      <c r="AI502" s="18">
        <f>AE502-AF502+AG502-AH502</f>
        <v>20000000</v>
      </c>
      <c r="AJ502" s="18">
        <f>AD502+AI502</f>
        <v>20000000</v>
      </c>
      <c r="AK502" s="44">
        <v>0</v>
      </c>
      <c r="AL502" s="44">
        <v>0</v>
      </c>
      <c r="AM502" s="44">
        <v>0</v>
      </c>
      <c r="AN502" s="44">
        <v>0</v>
      </c>
      <c r="AO502" s="44">
        <v>0</v>
      </c>
      <c r="AP502" s="44">
        <v>0</v>
      </c>
      <c r="AQ502" s="44">
        <v>0</v>
      </c>
      <c r="AR502" s="143">
        <v>0</v>
      </c>
      <c r="AS502" s="44">
        <v>0</v>
      </c>
      <c r="AT502" s="40">
        <f t="shared" ref="AT502" si="235">AQ502+AS502</f>
        <v>0</v>
      </c>
      <c r="AU502" s="18">
        <f>AJ502-AM502</f>
        <v>20000000</v>
      </c>
      <c r="AV502" s="34">
        <f>AM502-AP502</f>
        <v>0</v>
      </c>
      <c r="AW502" s="34">
        <f>AP502-AT502</f>
        <v>0</v>
      </c>
      <c r="AX502" s="123">
        <f>AP502/AJ502</f>
        <v>0</v>
      </c>
    </row>
    <row r="503" spans="1:50" ht="18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1"/>
      <c r="AB503" s="42"/>
      <c r="AC503" s="168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0"/>
      <c r="AU503" s="18"/>
      <c r="AV503" s="34"/>
      <c r="AW503" s="34"/>
      <c r="AX503" s="123"/>
    </row>
    <row r="504" spans="1:50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170" t="s">
        <v>1016</v>
      </c>
      <c r="AB504" s="170" t="s">
        <v>997</v>
      </c>
      <c r="AC504" s="168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0"/>
      <c r="AU504" s="18"/>
      <c r="AV504" s="34"/>
      <c r="AW504" s="34"/>
      <c r="AX504" s="123"/>
    </row>
    <row r="505" spans="1:50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170" t="s">
        <v>1017</v>
      </c>
      <c r="AB505" s="170" t="s">
        <v>999</v>
      </c>
      <c r="AC505" s="168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0"/>
      <c r="AU505" s="18"/>
      <c r="AV505" s="34"/>
      <c r="AW505" s="34"/>
      <c r="AX505" s="123"/>
    </row>
    <row r="506" spans="1:50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170" t="s">
        <v>1018</v>
      </c>
      <c r="AB506" s="170" t="s">
        <v>1001</v>
      </c>
      <c r="AC506" s="168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0"/>
      <c r="AU506" s="18"/>
      <c r="AV506" s="34"/>
      <c r="AW506" s="34"/>
      <c r="AX506" s="123"/>
    </row>
    <row r="507" spans="1:50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170" t="s">
        <v>1021</v>
      </c>
      <c r="AB507" s="165" t="s">
        <v>1003</v>
      </c>
      <c r="AC507" s="168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0"/>
      <c r="AU507" s="18"/>
      <c r="AV507" s="34"/>
      <c r="AW507" s="34"/>
      <c r="AX507" s="123"/>
    </row>
    <row r="508" spans="1:50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166" t="s">
        <v>1019</v>
      </c>
      <c r="AB508" s="167" t="s">
        <v>1005</v>
      </c>
      <c r="AC508" s="168"/>
      <c r="AD508" s="44">
        <v>0</v>
      </c>
      <c r="AE508" s="43">
        <v>289968755.39999998</v>
      </c>
      <c r="AF508" s="44">
        <v>0</v>
      </c>
      <c r="AG508" s="44">
        <v>0</v>
      </c>
      <c r="AH508" s="44">
        <v>0</v>
      </c>
      <c r="AI508" s="18">
        <f t="shared" ref="AI508:AI509" si="236">AE508-AF508+AG508-AH508</f>
        <v>289968755.39999998</v>
      </c>
      <c r="AJ508" s="18">
        <f t="shared" ref="AJ508:AJ509" si="237">AD508+AI508</f>
        <v>289968755.39999998</v>
      </c>
      <c r="AK508" s="44">
        <v>0</v>
      </c>
      <c r="AL508" s="44">
        <f>AM508-AGOSTO!AM498</f>
        <v>0</v>
      </c>
      <c r="AM508" s="43">
        <v>97697299.079999998</v>
      </c>
      <c r="AN508" s="44">
        <v>0</v>
      </c>
      <c r="AO508" s="44">
        <v>0</v>
      </c>
      <c r="AP508" s="43">
        <v>97697299.079999998</v>
      </c>
      <c r="AQ508" s="44">
        <v>0</v>
      </c>
      <c r="AR508" s="44">
        <v>0</v>
      </c>
      <c r="AS508" s="43">
        <v>2031817</v>
      </c>
      <c r="AT508" s="39">
        <f t="shared" ref="AT508:AT509" si="238">AQ508+AS508</f>
        <v>2031817</v>
      </c>
      <c r="AU508" s="18">
        <f>AJ508-AM508</f>
        <v>192271456.31999999</v>
      </c>
      <c r="AV508" s="34">
        <f>AM508-AP508</f>
        <v>0</v>
      </c>
      <c r="AW508" s="18">
        <f>AP508-AT508</f>
        <v>95665482.079999998</v>
      </c>
      <c r="AX508" s="123">
        <f>AP508/AJ508</f>
        <v>0.33692353834891831</v>
      </c>
    </row>
    <row r="509" spans="1:50" ht="25.5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166" t="s">
        <v>1022</v>
      </c>
      <c r="AB509" s="167" t="s">
        <v>1023</v>
      </c>
      <c r="AC509" s="168"/>
      <c r="AD509" s="44">
        <v>0</v>
      </c>
      <c r="AE509" s="43">
        <v>185022377.55000001</v>
      </c>
      <c r="AF509" s="44">
        <v>0</v>
      </c>
      <c r="AG509" s="44">
        <v>0</v>
      </c>
      <c r="AH509" s="44">
        <v>0</v>
      </c>
      <c r="AI509" s="18">
        <f t="shared" si="236"/>
        <v>185022377.55000001</v>
      </c>
      <c r="AJ509" s="18">
        <f t="shared" si="237"/>
        <v>185022377.55000001</v>
      </c>
      <c r="AK509" s="44">
        <v>0</v>
      </c>
      <c r="AL509" s="44">
        <v>0</v>
      </c>
      <c r="AM509" s="43">
        <v>185022377.55000001</v>
      </c>
      <c r="AN509" s="44">
        <v>0</v>
      </c>
      <c r="AO509" s="44">
        <v>0</v>
      </c>
      <c r="AP509" s="43">
        <v>185022377.55000001</v>
      </c>
      <c r="AQ509" s="44">
        <v>0</v>
      </c>
      <c r="AR509" s="44">
        <v>0</v>
      </c>
      <c r="AS509" s="43">
        <v>185022377.55000001</v>
      </c>
      <c r="AT509" s="39">
        <f t="shared" si="238"/>
        <v>185022377.55000001</v>
      </c>
      <c r="AU509" s="34">
        <f>AJ509-AM509</f>
        <v>0</v>
      </c>
      <c r="AV509" s="34">
        <f>AM509-AP509</f>
        <v>0</v>
      </c>
      <c r="AW509" s="34">
        <f>AP509-AT509</f>
        <v>0</v>
      </c>
      <c r="AX509" s="123">
        <f>AP509/AJ509</f>
        <v>1</v>
      </c>
    </row>
    <row r="510" spans="1:50" ht="18.75" customHeight="1" x14ac:dyDescent="0.2">
      <c r="AA510" s="16"/>
      <c r="AB510" s="17"/>
      <c r="AC510" s="17"/>
      <c r="AD510" s="18"/>
      <c r="AE510" s="34"/>
      <c r="AF510" s="34"/>
      <c r="AG510" s="34"/>
      <c r="AH510" s="34"/>
      <c r="AI510" s="34"/>
      <c r="AJ510" s="18"/>
      <c r="AK510" s="34"/>
      <c r="AL510" s="18"/>
      <c r="AM510" s="18"/>
      <c r="AN510" s="18"/>
      <c r="AO510" s="18"/>
      <c r="AP510" s="18"/>
      <c r="AQ510" s="18"/>
      <c r="AR510" s="18"/>
      <c r="AS510" s="18"/>
      <c r="AT510" s="40"/>
      <c r="AU510" s="18"/>
      <c r="AV510" s="18"/>
      <c r="AW510" s="18"/>
      <c r="AX510" s="18"/>
    </row>
    <row r="511" spans="1:50" ht="18.75" customHeight="1" x14ac:dyDescent="0.2">
      <c r="AA511" s="16"/>
      <c r="AB511" s="29" t="s">
        <v>429</v>
      </c>
      <c r="AC511" s="17"/>
      <c r="AD511" s="18"/>
      <c r="AE511" s="34"/>
      <c r="AF511" s="34"/>
      <c r="AG511" s="34"/>
      <c r="AH511" s="34"/>
      <c r="AI511" s="34"/>
      <c r="AJ511" s="18"/>
      <c r="AK511" s="34"/>
      <c r="AL511" s="18"/>
      <c r="AM511" s="18"/>
      <c r="AN511" s="18"/>
      <c r="AO511" s="18"/>
      <c r="AP511" s="18"/>
      <c r="AQ511" s="18"/>
      <c r="AR511" s="18"/>
      <c r="AS511" s="18"/>
      <c r="AT511" s="40"/>
      <c r="AU511" s="18"/>
      <c r="AV511" s="18"/>
      <c r="AW511" s="18"/>
      <c r="AX511" s="18"/>
    </row>
    <row r="512" spans="1:50" ht="18.75" customHeight="1" x14ac:dyDescent="0.2">
      <c r="AA512" s="16"/>
      <c r="AB512" s="29" t="s">
        <v>286</v>
      </c>
      <c r="AC512" s="17"/>
      <c r="AD512" s="18"/>
      <c r="AE512" s="34"/>
      <c r="AF512" s="34"/>
      <c r="AG512" s="34"/>
      <c r="AH512" s="34"/>
      <c r="AI512" s="34"/>
      <c r="AJ512" s="18"/>
      <c r="AK512" s="34"/>
      <c r="AL512" s="18"/>
      <c r="AM512" s="18"/>
      <c r="AN512" s="18"/>
      <c r="AO512" s="18"/>
      <c r="AP512" s="18"/>
      <c r="AQ512" s="18"/>
      <c r="AR512" s="18"/>
      <c r="AS512" s="18"/>
      <c r="AT512" s="40"/>
      <c r="AU512" s="18"/>
      <c r="AV512" s="18"/>
      <c r="AW512" s="18"/>
      <c r="AX512" s="18"/>
    </row>
    <row r="513" spans="1:50" ht="18.75" customHeight="1" x14ac:dyDescent="0.2">
      <c r="AA513" s="16"/>
      <c r="AB513" s="29" t="s">
        <v>179</v>
      </c>
      <c r="AC513" s="17"/>
      <c r="AD513" s="18"/>
      <c r="AE513" s="34"/>
      <c r="AF513" s="34"/>
      <c r="AG513" s="34"/>
      <c r="AH513" s="34"/>
      <c r="AI513" s="34"/>
      <c r="AJ513" s="18"/>
      <c r="AK513" s="34"/>
      <c r="AL513" s="18"/>
      <c r="AM513" s="18"/>
      <c r="AN513" s="18"/>
      <c r="AO513" s="18"/>
      <c r="AP513" s="18"/>
      <c r="AQ513" s="18"/>
      <c r="AR513" s="18"/>
      <c r="AS513" s="18"/>
      <c r="AT513" s="40"/>
      <c r="AU513" s="18"/>
      <c r="AV513" s="18"/>
      <c r="AW513" s="18"/>
      <c r="AX513" s="18"/>
    </row>
    <row r="514" spans="1:50" ht="18.75" customHeight="1" x14ac:dyDescent="0.2">
      <c r="AA514" s="16"/>
      <c r="AB514" s="29" t="s">
        <v>189</v>
      </c>
      <c r="AC514" s="17"/>
      <c r="AD514" s="18"/>
      <c r="AE514" s="34"/>
      <c r="AF514" s="34"/>
      <c r="AG514" s="34"/>
      <c r="AH514" s="34"/>
      <c r="AI514" s="34"/>
      <c r="AJ514" s="18"/>
      <c r="AK514" s="34"/>
      <c r="AL514" s="18"/>
      <c r="AM514" s="18"/>
      <c r="AN514" s="18"/>
      <c r="AO514" s="18"/>
      <c r="AP514" s="18"/>
      <c r="AQ514" s="18"/>
      <c r="AR514" s="18"/>
      <c r="AS514" s="18"/>
      <c r="AT514" s="40"/>
      <c r="AU514" s="18"/>
      <c r="AV514" s="18"/>
      <c r="AW514" s="18"/>
      <c r="AX514" s="18"/>
    </row>
    <row r="515" spans="1:50" ht="18.75" customHeight="1" x14ac:dyDescent="0.2">
      <c r="AA515" s="16"/>
      <c r="AB515" s="29" t="s">
        <v>199</v>
      </c>
      <c r="AC515" s="17"/>
      <c r="AD515" s="18"/>
      <c r="AE515" s="34"/>
      <c r="AF515" s="34"/>
      <c r="AG515" s="34"/>
      <c r="AH515" s="34"/>
      <c r="AI515" s="34"/>
      <c r="AJ515" s="18"/>
      <c r="AK515" s="34"/>
      <c r="AL515" s="18"/>
      <c r="AM515" s="18"/>
      <c r="AN515" s="18"/>
      <c r="AO515" s="18"/>
      <c r="AP515" s="18"/>
      <c r="AQ515" s="18"/>
      <c r="AR515" s="18"/>
      <c r="AS515" s="18"/>
      <c r="AT515" s="40"/>
      <c r="AU515" s="18"/>
      <c r="AV515" s="18"/>
      <c r="AW515" s="18"/>
      <c r="AX515" s="18"/>
    </row>
    <row r="516" spans="1:50" ht="25.5" x14ac:dyDescent="0.2">
      <c r="AA516" s="28" t="s">
        <v>288</v>
      </c>
      <c r="AB516" s="29" t="s">
        <v>418</v>
      </c>
      <c r="AC516" s="17"/>
      <c r="AD516" s="18"/>
      <c r="AE516" s="34"/>
      <c r="AF516" s="34"/>
      <c r="AG516" s="34"/>
      <c r="AH516" s="34"/>
      <c r="AI516" s="34"/>
      <c r="AJ516" s="18"/>
      <c r="AK516" s="34"/>
      <c r="AL516" s="18"/>
      <c r="AM516" s="18"/>
      <c r="AN516" s="18"/>
      <c r="AO516" s="18"/>
      <c r="AP516" s="18"/>
      <c r="AQ516" s="18"/>
      <c r="AR516" s="18"/>
      <c r="AS516" s="18"/>
      <c r="AT516" s="40"/>
      <c r="AU516" s="18"/>
      <c r="AV516" s="18"/>
      <c r="AW516" s="18"/>
      <c r="AX516" s="18"/>
    </row>
    <row r="517" spans="1:50" ht="18.75" customHeight="1" x14ac:dyDescent="0.2">
      <c r="A517" s="4" t="s">
        <v>55</v>
      </c>
      <c r="B517" s="4" t="s">
        <v>56</v>
      </c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1" t="s">
        <v>419</v>
      </c>
      <c r="AB517" s="42" t="s">
        <v>233</v>
      </c>
      <c r="AC517" s="43" t="s">
        <v>58</v>
      </c>
      <c r="AD517" s="43">
        <v>2364833525</v>
      </c>
      <c r="AE517" s="44">
        <v>0</v>
      </c>
      <c r="AF517" s="44">
        <v>0</v>
      </c>
      <c r="AG517" s="44">
        <v>0</v>
      </c>
      <c r="AH517" s="18">
        <v>1500000000</v>
      </c>
      <c r="AI517" s="18">
        <f>AE517-AF517+AG517-AH517</f>
        <v>-1500000000</v>
      </c>
      <c r="AJ517" s="18">
        <f>AD517+AI517</f>
        <v>864833525</v>
      </c>
      <c r="AK517" s="44">
        <v>0</v>
      </c>
      <c r="AL517" s="44">
        <f>AM517-AGOSTO!AM507</f>
        <v>0</v>
      </c>
      <c r="AM517" s="43">
        <v>864833525</v>
      </c>
      <c r="AN517" s="44">
        <v>0</v>
      </c>
      <c r="AO517" s="44">
        <v>0</v>
      </c>
      <c r="AP517" s="43">
        <v>864832420</v>
      </c>
      <c r="AQ517" s="44">
        <v>0</v>
      </c>
      <c r="AR517" s="43">
        <v>219561780</v>
      </c>
      <c r="AS517" s="43">
        <v>565092476</v>
      </c>
      <c r="AT517" s="39">
        <f t="shared" ref="AT517:AT520" si="239">AQ517+AS517</f>
        <v>565092476</v>
      </c>
      <c r="AU517" s="34">
        <f>AJ517-AM517</f>
        <v>0</v>
      </c>
      <c r="AV517" s="18">
        <f>AM517-AP517</f>
        <v>1105</v>
      </c>
      <c r="AW517" s="18">
        <f>AP517-AT517</f>
        <v>299739944</v>
      </c>
      <c r="AX517" s="123">
        <f>AP517/AJ517</f>
        <v>0.99999872229745024</v>
      </c>
    </row>
    <row r="518" spans="1:50" ht="18.75" customHeight="1" x14ac:dyDescent="0.2">
      <c r="A518" s="4" t="s">
        <v>55</v>
      </c>
      <c r="B518" s="4" t="s">
        <v>56</v>
      </c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1" t="s">
        <v>430</v>
      </c>
      <c r="AB518" s="42" t="s">
        <v>431</v>
      </c>
      <c r="AC518" s="43" t="s">
        <v>432</v>
      </c>
      <c r="AD518" s="43">
        <v>1269842288</v>
      </c>
      <c r="AE518" s="44">
        <v>0</v>
      </c>
      <c r="AF518" s="44">
        <v>0</v>
      </c>
      <c r="AG518" s="44">
        <v>0</v>
      </c>
      <c r="AH518" s="44">
        <v>0</v>
      </c>
      <c r="AI518" s="44">
        <v>0</v>
      </c>
      <c r="AJ518" s="43">
        <v>1269842288</v>
      </c>
      <c r="AK518" s="44">
        <v>0</v>
      </c>
      <c r="AL518" s="44">
        <v>0</v>
      </c>
      <c r="AM518" s="43">
        <v>1269842288</v>
      </c>
      <c r="AN518" s="44">
        <v>0</v>
      </c>
      <c r="AO518" s="43">
        <v>0</v>
      </c>
      <c r="AP518" s="43">
        <v>1269842288</v>
      </c>
      <c r="AQ518" s="43">
        <v>0</v>
      </c>
      <c r="AR518" s="43">
        <v>76279872</v>
      </c>
      <c r="AS518" s="43">
        <v>575587488</v>
      </c>
      <c r="AT518" s="39">
        <f t="shared" si="239"/>
        <v>575587488</v>
      </c>
      <c r="AU518" s="34">
        <f>AJ518-AM518</f>
        <v>0</v>
      </c>
      <c r="AV518" s="18">
        <f>AM518-AP518</f>
        <v>0</v>
      </c>
      <c r="AW518" s="18">
        <f>AP518-AT518</f>
        <v>694254800</v>
      </c>
      <c r="AX518" s="123">
        <f>AP518/AJ518</f>
        <v>1</v>
      </c>
    </row>
    <row r="519" spans="1:50" ht="18.75" customHeight="1" x14ac:dyDescent="0.2">
      <c r="A519" s="4" t="s">
        <v>55</v>
      </c>
      <c r="B519" s="4" t="s">
        <v>56</v>
      </c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1" t="s">
        <v>433</v>
      </c>
      <c r="AB519" s="42" t="s">
        <v>434</v>
      </c>
      <c r="AC519" s="43" t="s">
        <v>428</v>
      </c>
      <c r="AD519" s="43">
        <v>1185147617</v>
      </c>
      <c r="AE519" s="44">
        <v>0</v>
      </c>
      <c r="AF519" s="44">
        <v>0</v>
      </c>
      <c r="AG519" s="44">
        <v>0</v>
      </c>
      <c r="AH519" s="44">
        <v>0</v>
      </c>
      <c r="AI519" s="44">
        <v>0</v>
      </c>
      <c r="AJ519" s="43">
        <v>1185147617</v>
      </c>
      <c r="AK519" s="44">
        <v>0</v>
      </c>
      <c r="AL519" s="44">
        <v>0</v>
      </c>
      <c r="AM519" s="43">
        <v>799588657</v>
      </c>
      <c r="AN519" s="44">
        <v>0</v>
      </c>
      <c r="AO519" s="44">
        <v>0</v>
      </c>
      <c r="AP519" s="43">
        <v>799580047</v>
      </c>
      <c r="AQ519" s="44">
        <v>0</v>
      </c>
      <c r="AR519" s="44"/>
      <c r="AS519" s="44">
        <v>143528869</v>
      </c>
      <c r="AT519" s="39">
        <f t="shared" si="239"/>
        <v>143528869</v>
      </c>
      <c r="AU519" s="18">
        <f>AJ519-AM519</f>
        <v>385558960</v>
      </c>
      <c r="AV519" s="18">
        <f>AM519-AP519</f>
        <v>8610</v>
      </c>
      <c r="AW519" s="18">
        <f>AP519-AT519</f>
        <v>656051178</v>
      </c>
      <c r="AX519" s="123">
        <f>AP519/AJ519</f>
        <v>0.67466705035782892</v>
      </c>
    </row>
    <row r="520" spans="1:50" ht="18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166" t="s">
        <v>1024</v>
      </c>
      <c r="AB520" s="167" t="s">
        <v>1025</v>
      </c>
      <c r="AC520" s="168"/>
      <c r="AD520" s="44">
        <v>0</v>
      </c>
      <c r="AE520" s="43">
        <v>860456218.52999997</v>
      </c>
      <c r="AF520" s="44">
        <v>0</v>
      </c>
      <c r="AG520" s="44">
        <v>0</v>
      </c>
      <c r="AH520" s="44">
        <v>0</v>
      </c>
      <c r="AI520" s="18">
        <f>AE520-AF520+AG520-AH520</f>
        <v>860456218.52999997</v>
      </c>
      <c r="AJ520" s="18">
        <f>AD520+AI520</f>
        <v>860456218.52999997</v>
      </c>
      <c r="AK520" s="44">
        <v>0</v>
      </c>
      <c r="AL520" s="44">
        <v>0</v>
      </c>
      <c r="AM520" s="43">
        <v>374888075</v>
      </c>
      <c r="AN520" s="44">
        <v>0</v>
      </c>
      <c r="AO520" s="44">
        <v>0</v>
      </c>
      <c r="AP520" s="43">
        <v>374888075</v>
      </c>
      <c r="AQ520" s="43">
        <v>69637548</v>
      </c>
      <c r="AR520" s="44"/>
      <c r="AS520" s="44">
        <v>0</v>
      </c>
      <c r="AT520" s="39">
        <f t="shared" si="239"/>
        <v>69637548</v>
      </c>
      <c r="AU520" s="18">
        <f>AJ520-AM520</f>
        <v>485568143.52999997</v>
      </c>
      <c r="AV520" s="18">
        <f>AM520-AP520</f>
        <v>0</v>
      </c>
      <c r="AW520" s="18">
        <f>AP520-AT520</f>
        <v>305250527</v>
      </c>
      <c r="AX520" s="123">
        <f>AP520/AJ520</f>
        <v>0.43568524106950768</v>
      </c>
    </row>
    <row r="521" spans="1:50" ht="25.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208" t="s">
        <v>288</v>
      </c>
      <c r="AB521" s="209" t="s">
        <v>959</v>
      </c>
      <c r="AC521" s="43"/>
      <c r="AD521" s="43"/>
      <c r="AE521" s="44"/>
      <c r="AF521" s="44"/>
      <c r="AG521" s="44"/>
      <c r="AH521" s="44"/>
      <c r="AI521" s="44"/>
      <c r="AJ521" s="43"/>
      <c r="AK521" s="44"/>
      <c r="AL521" s="44"/>
      <c r="AM521" s="44"/>
      <c r="AN521" s="44"/>
      <c r="AO521" s="44"/>
      <c r="AP521" s="44"/>
      <c r="AQ521" s="44"/>
      <c r="AR521" s="44"/>
      <c r="AS521" s="44"/>
      <c r="AT521" s="40"/>
      <c r="AU521" s="18"/>
      <c r="AV521" s="34"/>
      <c r="AW521" s="34"/>
      <c r="AX521" s="123"/>
    </row>
    <row r="522" spans="1:50" ht="18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160" t="s">
        <v>960</v>
      </c>
      <c r="AB522" s="42" t="s">
        <v>961</v>
      </c>
      <c r="AC522" s="43"/>
      <c r="AD522" s="44">
        <v>0</v>
      </c>
      <c r="AE522" s="44">
        <v>0</v>
      </c>
      <c r="AF522" s="44">
        <v>0</v>
      </c>
      <c r="AG522" s="43">
        <v>1500000000</v>
      </c>
      <c r="AH522" s="43">
        <v>1500000000</v>
      </c>
      <c r="AI522" s="18">
        <f>AE522-AF522+AG522-AH522</f>
        <v>0</v>
      </c>
      <c r="AJ522" s="18">
        <f>AD522+AI522</f>
        <v>0</v>
      </c>
      <c r="AK522" s="44">
        <v>0</v>
      </c>
      <c r="AL522" s="44">
        <v>0</v>
      </c>
      <c r="AM522" s="44">
        <v>0</v>
      </c>
      <c r="AN522" s="44">
        <v>0</v>
      </c>
      <c r="AO522" s="44">
        <v>0</v>
      </c>
      <c r="AP522" s="44">
        <v>0</v>
      </c>
      <c r="AQ522" s="44">
        <v>0</v>
      </c>
      <c r="AR522" s="44">
        <v>0</v>
      </c>
      <c r="AS522" s="44">
        <v>0</v>
      </c>
      <c r="AT522" s="40">
        <f t="shared" ref="AT522" si="240">AQ522+AS522</f>
        <v>0</v>
      </c>
      <c r="AU522" s="18">
        <f>AJ522-AM522</f>
        <v>0</v>
      </c>
      <c r="AV522" s="34">
        <f>AM522-AP522</f>
        <v>0</v>
      </c>
      <c r="AW522" s="34">
        <f>AP522-AT522</f>
        <v>0</v>
      </c>
      <c r="AX522" s="123">
        <v>0</v>
      </c>
    </row>
    <row r="523" spans="1:50" ht="18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160"/>
      <c r="AB523" s="42"/>
      <c r="AC523" s="43"/>
      <c r="AD523" s="44"/>
      <c r="AE523" s="44"/>
      <c r="AF523" s="44"/>
      <c r="AG523" s="43"/>
      <c r="AH523" s="44"/>
      <c r="AI523" s="18"/>
      <c r="AJ523" s="18"/>
      <c r="AK523" s="44"/>
      <c r="AL523" s="44"/>
      <c r="AM523" s="44"/>
      <c r="AN523" s="44"/>
      <c r="AO523" s="44"/>
      <c r="AP523" s="44"/>
      <c r="AQ523" s="44"/>
      <c r="AR523" s="44"/>
      <c r="AS523" s="44"/>
      <c r="AT523" s="40"/>
      <c r="AU523" s="18"/>
      <c r="AV523" s="34"/>
      <c r="AW523" s="34"/>
      <c r="AX523" s="123"/>
    </row>
    <row r="524" spans="1:50" ht="18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166"/>
      <c r="AB524" s="165" t="s">
        <v>1026</v>
      </c>
      <c r="AC524" s="168"/>
      <c r="AD524" s="44"/>
      <c r="AE524" s="44"/>
      <c r="AF524" s="44"/>
      <c r="AG524" s="43"/>
      <c r="AH524" s="44"/>
      <c r="AI524" s="18"/>
      <c r="AJ524" s="18"/>
      <c r="AK524" s="44"/>
      <c r="AL524" s="44"/>
      <c r="AM524" s="44"/>
      <c r="AN524" s="44"/>
      <c r="AO524" s="44"/>
      <c r="AP524" s="44"/>
      <c r="AQ524" s="44"/>
      <c r="AR524" s="44"/>
      <c r="AS524" s="44"/>
      <c r="AT524" s="40"/>
      <c r="AU524" s="18"/>
      <c r="AV524" s="34"/>
      <c r="AW524" s="34"/>
      <c r="AX524" s="123"/>
    </row>
    <row r="525" spans="1:50" ht="25.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166" t="s">
        <v>991</v>
      </c>
      <c r="AB525" s="167" t="s">
        <v>992</v>
      </c>
      <c r="AC525" s="168"/>
      <c r="AD525" s="44">
        <v>0</v>
      </c>
      <c r="AE525" s="43">
        <v>720712175</v>
      </c>
      <c r="AF525" s="44">
        <v>0</v>
      </c>
      <c r="AG525" s="44">
        <v>0</v>
      </c>
      <c r="AH525" s="44">
        <v>0</v>
      </c>
      <c r="AI525" s="18">
        <f>AE525-AF525+AG525-AH525</f>
        <v>720712175</v>
      </c>
      <c r="AJ525" s="18">
        <f>AD525+AI525</f>
        <v>720712175</v>
      </c>
      <c r="AK525" s="44">
        <v>0</v>
      </c>
      <c r="AL525" s="44">
        <v>0</v>
      </c>
      <c r="AM525" s="44">
        <v>0</v>
      </c>
      <c r="AN525" s="44">
        <v>0</v>
      </c>
      <c r="AO525" s="44">
        <v>0</v>
      </c>
      <c r="AP525" s="44">
        <v>0</v>
      </c>
      <c r="AQ525" s="44">
        <v>0</v>
      </c>
      <c r="AR525" s="44">
        <v>0</v>
      </c>
      <c r="AS525" s="44">
        <v>0</v>
      </c>
      <c r="AT525" s="40">
        <f t="shared" ref="AT525" si="241">AQ525+AS525</f>
        <v>0</v>
      </c>
      <c r="AU525" s="18">
        <f>AJ525-AM525</f>
        <v>720712175</v>
      </c>
      <c r="AV525" s="34">
        <f>AM525-AP525</f>
        <v>0</v>
      </c>
      <c r="AW525" s="34">
        <f>AP525-AT525</f>
        <v>0</v>
      </c>
      <c r="AX525" s="123">
        <f>AP525/AJ525</f>
        <v>0</v>
      </c>
    </row>
    <row r="526" spans="1:50" ht="18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210"/>
      <c r="AB526" s="207"/>
      <c r="AC526" s="43"/>
      <c r="AD526" s="44"/>
      <c r="AE526" s="44"/>
      <c r="AF526" s="44"/>
      <c r="AG526" s="43"/>
      <c r="AH526" s="44"/>
      <c r="AI526" s="18"/>
      <c r="AJ526" s="18"/>
      <c r="AK526" s="44"/>
      <c r="AL526" s="44"/>
      <c r="AM526" s="44"/>
      <c r="AN526" s="44"/>
      <c r="AO526" s="44"/>
      <c r="AP526" s="44"/>
      <c r="AQ526" s="44"/>
      <c r="AR526" s="44"/>
      <c r="AS526" s="44"/>
      <c r="AT526" s="40"/>
      <c r="AU526" s="18"/>
      <c r="AV526" s="34"/>
      <c r="AW526" s="18"/>
      <c r="AX526" s="123"/>
    </row>
    <row r="527" spans="1:50" ht="18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170" t="s">
        <v>1016</v>
      </c>
      <c r="AB527" s="170" t="s">
        <v>997</v>
      </c>
      <c r="AC527" s="168"/>
      <c r="AD527" s="44"/>
      <c r="AE527" s="44"/>
      <c r="AF527" s="44"/>
      <c r="AG527" s="43"/>
      <c r="AH527" s="44"/>
      <c r="AI527" s="18"/>
      <c r="AJ527" s="18"/>
      <c r="AK527" s="44"/>
      <c r="AL527" s="44"/>
      <c r="AM527" s="44"/>
      <c r="AN527" s="44"/>
      <c r="AO527" s="44"/>
      <c r="AP527" s="44"/>
      <c r="AQ527" s="44"/>
      <c r="AR527" s="44"/>
      <c r="AS527" s="44"/>
      <c r="AT527" s="40"/>
      <c r="AU527" s="18"/>
      <c r="AV527" s="34"/>
      <c r="AW527" s="18"/>
      <c r="AX527" s="123"/>
    </row>
    <row r="528" spans="1:50" ht="18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170" t="s">
        <v>1017</v>
      </c>
      <c r="AB528" s="170" t="s">
        <v>999</v>
      </c>
      <c r="AC528" s="168"/>
      <c r="AD528" s="44"/>
      <c r="AE528" s="44"/>
      <c r="AF528" s="44"/>
      <c r="AG528" s="43"/>
      <c r="AH528" s="44"/>
      <c r="AI528" s="18"/>
      <c r="AJ528" s="18"/>
      <c r="AK528" s="44"/>
      <c r="AL528" s="44"/>
      <c r="AM528" s="44"/>
      <c r="AN528" s="44"/>
      <c r="AO528" s="44"/>
      <c r="AP528" s="44"/>
      <c r="AQ528" s="44"/>
      <c r="AR528" s="44"/>
      <c r="AS528" s="44"/>
      <c r="AT528" s="40"/>
      <c r="AU528" s="18"/>
      <c r="AV528" s="34"/>
      <c r="AW528" s="18"/>
      <c r="AX528" s="123"/>
    </row>
    <row r="529" spans="1:50" ht="18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170" t="s">
        <v>1018</v>
      </c>
      <c r="AB529" s="170" t="s">
        <v>1001</v>
      </c>
      <c r="AC529" s="168"/>
      <c r="AD529" s="44"/>
      <c r="AE529" s="44"/>
      <c r="AF529" s="44"/>
      <c r="AG529" s="43"/>
      <c r="AH529" s="44"/>
      <c r="AI529" s="18"/>
      <c r="AJ529" s="18"/>
      <c r="AK529" s="44"/>
      <c r="AL529" s="44"/>
      <c r="AM529" s="44"/>
      <c r="AN529" s="44"/>
      <c r="AO529" s="44"/>
      <c r="AP529" s="44"/>
      <c r="AQ529" s="44"/>
      <c r="AR529" s="44"/>
      <c r="AS529" s="44"/>
      <c r="AT529" s="40"/>
      <c r="AU529" s="18"/>
      <c r="AV529" s="34"/>
      <c r="AW529" s="18"/>
      <c r="AX529" s="123"/>
    </row>
    <row r="530" spans="1:50" ht="18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170" t="s">
        <v>1021</v>
      </c>
      <c r="AB530" s="165" t="s">
        <v>1003</v>
      </c>
      <c r="AC530" s="168"/>
      <c r="AD530" s="44"/>
      <c r="AE530" s="44"/>
      <c r="AF530" s="44"/>
      <c r="AG530" s="43"/>
      <c r="AH530" s="44"/>
      <c r="AI530" s="18"/>
      <c r="AJ530" s="18"/>
      <c r="AK530" s="44"/>
      <c r="AL530" s="44"/>
      <c r="AM530" s="44"/>
      <c r="AN530" s="44"/>
      <c r="AO530" s="44"/>
      <c r="AP530" s="44"/>
      <c r="AQ530" s="44"/>
      <c r="AR530" s="44"/>
      <c r="AS530" s="44"/>
      <c r="AT530" s="40"/>
      <c r="AU530" s="18"/>
      <c r="AV530" s="34"/>
      <c r="AW530" s="18"/>
      <c r="AX530" s="123"/>
    </row>
    <row r="531" spans="1:50" ht="18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166" t="s">
        <v>1027</v>
      </c>
      <c r="AB531" s="167" t="s">
        <v>1028</v>
      </c>
      <c r="AC531" s="168"/>
      <c r="AD531" s="44">
        <v>0</v>
      </c>
      <c r="AE531" s="43">
        <v>20398035</v>
      </c>
      <c r="AF531" s="44">
        <v>0</v>
      </c>
      <c r="AG531" s="44">
        <v>0</v>
      </c>
      <c r="AH531" s="44">
        <v>0</v>
      </c>
      <c r="AI531" s="18">
        <f>AE531-AF531+AG531-AH531</f>
        <v>20398035</v>
      </c>
      <c r="AJ531" s="18">
        <f>AD531+AI531</f>
        <v>20398035</v>
      </c>
      <c r="AK531" s="44">
        <v>0</v>
      </c>
      <c r="AL531" s="44">
        <v>0</v>
      </c>
      <c r="AM531" s="43">
        <v>20398035</v>
      </c>
      <c r="AN531" s="44">
        <v>0</v>
      </c>
      <c r="AO531" s="43">
        <v>0</v>
      </c>
      <c r="AP531" s="43">
        <v>20398035</v>
      </c>
      <c r="AQ531" s="44">
        <v>0</v>
      </c>
      <c r="AR531" s="44">
        <v>0</v>
      </c>
      <c r="AS531" s="43">
        <v>20398035</v>
      </c>
      <c r="AT531" s="39">
        <f t="shared" ref="AT531" si="242">AQ531+AS531</f>
        <v>20398035</v>
      </c>
      <c r="AU531" s="34">
        <f>AJ531-AM531</f>
        <v>0</v>
      </c>
      <c r="AV531" s="34">
        <f>AM531-AP531</f>
        <v>0</v>
      </c>
      <c r="AW531" s="34">
        <f>AP531-AT531</f>
        <v>0</v>
      </c>
      <c r="AX531" s="123">
        <f>AP531/AJ531</f>
        <v>1</v>
      </c>
    </row>
    <row r="532" spans="1:50" s="50" customFormat="1" ht="18.75" customHeight="1" x14ac:dyDescent="0.2">
      <c r="A532" s="45"/>
      <c r="B532" s="45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6"/>
      <c r="AB532" s="47" t="s">
        <v>435</v>
      </c>
      <c r="AC532" s="48"/>
      <c r="AD532" s="48">
        <f t="shared" ref="AD532:AW532" si="243">SUM(AD254:AD531)</f>
        <v>301961738926</v>
      </c>
      <c r="AE532" s="48">
        <f t="shared" si="243"/>
        <v>18113148903.18</v>
      </c>
      <c r="AF532" s="49">
        <f t="shared" si="243"/>
        <v>0</v>
      </c>
      <c r="AG532" s="48">
        <f>SUM(AG254:AG531)</f>
        <v>9059048124.1599998</v>
      </c>
      <c r="AH532" s="48">
        <f t="shared" si="243"/>
        <v>10211193650.16</v>
      </c>
      <c r="AI532" s="48">
        <f t="shared" si="243"/>
        <v>16961003377.179996</v>
      </c>
      <c r="AJ532" s="48">
        <f t="shared" si="243"/>
        <v>318922742303.18005</v>
      </c>
      <c r="AK532" s="48">
        <f t="shared" si="243"/>
        <v>1317307558</v>
      </c>
      <c r="AL532" s="48">
        <f t="shared" si="243"/>
        <v>22499944694.449997</v>
      </c>
      <c r="AM532" s="48">
        <f t="shared" si="243"/>
        <v>221498901640.19992</v>
      </c>
      <c r="AN532" s="49">
        <f t="shared" si="243"/>
        <v>0</v>
      </c>
      <c r="AO532" s="48">
        <f t="shared" si="243"/>
        <v>22703402069.699997</v>
      </c>
      <c r="AP532" s="48">
        <f t="shared" si="243"/>
        <v>219238005661.70996</v>
      </c>
      <c r="AQ532" s="48">
        <f t="shared" si="243"/>
        <v>961438139.04999995</v>
      </c>
      <c r="AR532" s="48">
        <f t="shared" si="243"/>
        <v>9370205398.1800003</v>
      </c>
      <c r="AS532" s="48">
        <f t="shared" si="243"/>
        <v>143924727469.21002</v>
      </c>
      <c r="AT532" s="48">
        <f t="shared" si="243"/>
        <v>144886165608.26001</v>
      </c>
      <c r="AU532" s="48">
        <f t="shared" si="243"/>
        <v>97423840662.979996</v>
      </c>
      <c r="AV532" s="48">
        <f t="shared" si="243"/>
        <v>2260895978.4899998</v>
      </c>
      <c r="AW532" s="48">
        <f t="shared" si="243"/>
        <v>74351840053.449997</v>
      </c>
      <c r="AX532" s="24">
        <f>AP532/AJ532</f>
        <v>0.68743296284996191</v>
      </c>
    </row>
    <row r="533" spans="1:50" ht="18.75" customHeight="1" x14ac:dyDescent="0.2">
      <c r="AA533" s="16"/>
      <c r="AB533" s="17"/>
      <c r="AC533" s="17"/>
      <c r="AD533" s="18"/>
      <c r="AE533" s="34"/>
      <c r="AF533" s="34"/>
      <c r="AG533" s="34"/>
      <c r="AH533" s="34"/>
      <c r="AI533" s="34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</row>
    <row r="534" spans="1:50" s="25" customFormat="1" ht="18.75" customHeight="1" x14ac:dyDescent="0.2"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66"/>
      <c r="AB534" s="21" t="s">
        <v>436</v>
      </c>
      <c r="AC534" s="67"/>
      <c r="AD534" s="63"/>
      <c r="AE534" s="72"/>
      <c r="AF534" s="72"/>
      <c r="AG534" s="72"/>
      <c r="AH534" s="72"/>
      <c r="AI534" s="72"/>
      <c r="AJ534" s="63"/>
      <c r="AK534" s="63"/>
      <c r="AL534" s="63"/>
      <c r="AM534" s="63"/>
      <c r="AN534" s="63"/>
      <c r="AO534" s="63"/>
      <c r="AP534" s="63"/>
      <c r="AQ534" s="63"/>
      <c r="AR534" s="63"/>
      <c r="AS534" s="63"/>
      <c r="AT534" s="63"/>
      <c r="AU534" s="63"/>
      <c r="AV534" s="63"/>
      <c r="AW534" s="63"/>
      <c r="AX534" s="63"/>
    </row>
    <row r="535" spans="1:50" ht="18.75" customHeight="1" x14ac:dyDescent="0.2">
      <c r="AA535" s="16"/>
      <c r="AB535" s="29" t="s">
        <v>38</v>
      </c>
      <c r="AC535" s="17"/>
      <c r="AD535" s="18"/>
      <c r="AE535" s="34"/>
      <c r="AF535" s="34"/>
      <c r="AG535" s="34"/>
      <c r="AH535" s="34"/>
      <c r="AI535" s="34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</row>
    <row r="536" spans="1:50" ht="18.75" customHeight="1" x14ac:dyDescent="0.2">
      <c r="AA536" s="16"/>
      <c r="AB536" s="29" t="s">
        <v>285</v>
      </c>
      <c r="AC536" s="17"/>
      <c r="AD536" s="18"/>
      <c r="AE536" s="34"/>
      <c r="AF536" s="34"/>
      <c r="AG536" s="34"/>
      <c r="AH536" s="34"/>
      <c r="AI536" s="34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</row>
    <row r="537" spans="1:50" ht="18.75" customHeight="1" x14ac:dyDescent="0.2">
      <c r="AA537" s="16"/>
      <c r="AB537" s="29" t="s">
        <v>286</v>
      </c>
      <c r="AC537" s="17"/>
      <c r="AD537" s="18"/>
      <c r="AE537" s="34"/>
      <c r="AF537" s="34"/>
      <c r="AG537" s="34"/>
      <c r="AH537" s="34"/>
      <c r="AI537" s="34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</row>
    <row r="538" spans="1:50" ht="18.75" customHeight="1" x14ac:dyDescent="0.2">
      <c r="AA538" s="16"/>
      <c r="AB538" s="29" t="s">
        <v>179</v>
      </c>
      <c r="AC538" s="17"/>
      <c r="AD538" s="18"/>
      <c r="AE538" s="34"/>
      <c r="AF538" s="34"/>
      <c r="AG538" s="34"/>
      <c r="AH538" s="34"/>
      <c r="AI538" s="34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</row>
    <row r="539" spans="1:50" ht="18.75" customHeight="1" x14ac:dyDescent="0.2">
      <c r="AA539" s="16"/>
      <c r="AB539" s="29" t="s">
        <v>181</v>
      </c>
      <c r="AC539" s="17"/>
      <c r="AD539" s="18"/>
      <c r="AE539" s="34"/>
      <c r="AF539" s="34"/>
      <c r="AG539" s="34"/>
      <c r="AH539" s="34"/>
      <c r="AI539" s="34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</row>
    <row r="540" spans="1:50" ht="18.75" customHeight="1" x14ac:dyDescent="0.2">
      <c r="AA540" s="73" t="s">
        <v>1348</v>
      </c>
      <c r="AB540" s="29" t="s">
        <v>1349</v>
      </c>
      <c r="AC540" s="17"/>
      <c r="AD540" s="18"/>
      <c r="AE540" s="34"/>
      <c r="AF540" s="34"/>
      <c r="AG540" s="34"/>
      <c r="AH540" s="34"/>
      <c r="AI540" s="34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</row>
    <row r="541" spans="1:50" ht="25.5" customHeight="1" x14ac:dyDescent="0.2">
      <c r="AA541" s="73" t="s">
        <v>288</v>
      </c>
      <c r="AB541" s="29" t="s">
        <v>1350</v>
      </c>
      <c r="AC541" s="17"/>
      <c r="AD541" s="18"/>
      <c r="AE541" s="34"/>
      <c r="AF541" s="34"/>
      <c r="AG541" s="34"/>
      <c r="AH541" s="34"/>
      <c r="AI541" s="34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</row>
    <row r="542" spans="1:50" ht="18.75" customHeight="1" x14ac:dyDescent="0.2">
      <c r="AA542" s="41" t="s">
        <v>1351</v>
      </c>
      <c r="AB542" s="38" t="s">
        <v>233</v>
      </c>
      <c r="AC542" s="17"/>
      <c r="AD542" s="18">
        <v>0</v>
      </c>
      <c r="AE542" s="34">
        <v>0</v>
      </c>
      <c r="AF542" s="34">
        <v>0</v>
      </c>
      <c r="AG542" s="18">
        <v>3000000000</v>
      </c>
      <c r="AH542" s="34">
        <v>0</v>
      </c>
      <c r="AI542" s="43">
        <f t="shared" ref="AI542" si="244">AE542-AF542+AG542-AH542</f>
        <v>3000000000</v>
      </c>
      <c r="AJ542" s="142">
        <f t="shared" ref="AJ542" si="245">AD542+AI542</f>
        <v>3000000000</v>
      </c>
      <c r="AK542" s="18">
        <v>0</v>
      </c>
      <c r="AL542" s="34">
        <v>0</v>
      </c>
      <c r="AM542" s="34">
        <v>0</v>
      </c>
      <c r="AN542" s="34">
        <v>0</v>
      </c>
      <c r="AO542" s="34">
        <v>0</v>
      </c>
      <c r="AP542" s="34">
        <v>0</v>
      </c>
      <c r="AQ542" s="34">
        <v>0</v>
      </c>
      <c r="AR542" s="34">
        <v>0</v>
      </c>
      <c r="AS542" s="34">
        <v>0</v>
      </c>
      <c r="AT542" s="267">
        <f t="shared" ref="AT542" si="246">AQ542+AS542</f>
        <v>0</v>
      </c>
      <c r="AU542" s="147">
        <f>AJ542-AM542</f>
        <v>3000000000</v>
      </c>
      <c r="AV542" s="147">
        <f>AM542-AP542</f>
        <v>0</v>
      </c>
      <c r="AW542" s="147">
        <f>AP542-AT542</f>
        <v>0</v>
      </c>
      <c r="AX542" s="149">
        <f>AP542/AJ542</f>
        <v>0</v>
      </c>
    </row>
    <row r="543" spans="1:50" ht="25.5" x14ac:dyDescent="0.2">
      <c r="AA543" s="16"/>
      <c r="AB543" s="29" t="s">
        <v>437</v>
      </c>
      <c r="AC543" s="17"/>
      <c r="AD543" s="18"/>
      <c r="AE543" s="34"/>
      <c r="AF543" s="34"/>
      <c r="AG543" s="34"/>
      <c r="AH543" s="34"/>
      <c r="AI543" s="34"/>
      <c r="AJ543" s="18"/>
      <c r="AK543" s="18"/>
      <c r="AL543" s="147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</row>
    <row r="544" spans="1:50" s="150" customFormat="1" ht="18.75" customHeight="1" x14ac:dyDescent="0.2">
      <c r="A544" s="140" t="s">
        <v>55</v>
      </c>
      <c r="B544" s="140" t="s">
        <v>56</v>
      </c>
      <c r="C544" s="140"/>
      <c r="D544" s="140"/>
      <c r="E544" s="140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34" t="s">
        <v>438</v>
      </c>
      <c r="AB544" s="69" t="s">
        <v>439</v>
      </c>
      <c r="AC544" s="142" t="s">
        <v>428</v>
      </c>
      <c r="AD544" s="142">
        <v>43946996</v>
      </c>
      <c r="AE544" s="143">
        <v>0</v>
      </c>
      <c r="AF544" s="143">
        <v>0</v>
      </c>
      <c r="AG544" s="143">
        <v>0</v>
      </c>
      <c r="AH544" s="143">
        <v>0</v>
      </c>
      <c r="AI544" s="43">
        <f t="shared" ref="AI544:AI545" si="247">AE544-AF544+AG544-AH544</f>
        <v>0</v>
      </c>
      <c r="AJ544" s="142">
        <f t="shared" ref="AJ544:AJ545" si="248">AD544+AI544</f>
        <v>43946996</v>
      </c>
      <c r="AK544" s="143">
        <v>0</v>
      </c>
      <c r="AL544" s="142">
        <f>AM544-AGOSTO!AM531</f>
        <v>-7722243.9199999999</v>
      </c>
      <c r="AM544" s="142">
        <v>11998508.08</v>
      </c>
      <c r="AN544" s="143">
        <v>0</v>
      </c>
      <c r="AO544" s="142">
        <v>0</v>
      </c>
      <c r="AP544" s="142">
        <v>9684443</v>
      </c>
      <c r="AQ544" s="143">
        <v>0</v>
      </c>
      <c r="AR544" s="143">
        <v>0</v>
      </c>
      <c r="AS544" s="142">
        <v>2006443</v>
      </c>
      <c r="AT544" s="267">
        <f t="shared" ref="AT544:AT545" si="249">AQ544+AS544</f>
        <v>2006443</v>
      </c>
      <c r="AU544" s="147">
        <f>AJ544-AM544</f>
        <v>31948487.920000002</v>
      </c>
      <c r="AV544" s="147">
        <f>AM544-AP544</f>
        <v>2314065.08</v>
      </c>
      <c r="AW544" s="147">
        <f>AP544-AT544</f>
        <v>7678000</v>
      </c>
      <c r="AX544" s="149">
        <f>AP544/AJ544</f>
        <v>0.22036643869810807</v>
      </c>
    </row>
    <row r="545" spans="1:52" s="150" customFormat="1" ht="18.75" customHeight="1" x14ac:dyDescent="0.2">
      <c r="A545" s="140"/>
      <c r="B545" s="140"/>
      <c r="C545" s="140"/>
      <c r="D545" s="140"/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34" t="s">
        <v>1331</v>
      </c>
      <c r="AB545" s="69" t="s">
        <v>1074</v>
      </c>
      <c r="AC545" s="142"/>
      <c r="AD545" s="142">
        <v>0</v>
      </c>
      <c r="AE545" s="143">
        <v>0</v>
      </c>
      <c r="AF545" s="143">
        <v>0</v>
      </c>
      <c r="AG545" s="142">
        <v>62000000</v>
      </c>
      <c r="AH545" s="143">
        <v>0</v>
      </c>
      <c r="AI545" s="43">
        <f t="shared" si="247"/>
        <v>62000000</v>
      </c>
      <c r="AJ545" s="142">
        <f t="shared" si="248"/>
        <v>62000000</v>
      </c>
      <c r="AK545" s="143">
        <v>0</v>
      </c>
      <c r="AL545" s="142">
        <v>51447403.130000003</v>
      </c>
      <c r="AM545" s="142">
        <v>51447403.130000003</v>
      </c>
      <c r="AN545" s="143">
        <v>0</v>
      </c>
      <c r="AO545" s="143">
        <v>0</v>
      </c>
      <c r="AP545" s="143">
        <v>0</v>
      </c>
      <c r="AQ545" s="143">
        <v>0</v>
      </c>
      <c r="AR545" s="143">
        <v>0</v>
      </c>
      <c r="AS545" s="143">
        <v>0</v>
      </c>
      <c r="AT545" s="146">
        <f t="shared" si="249"/>
        <v>0</v>
      </c>
      <c r="AU545" s="147">
        <f>AJ545-AM545</f>
        <v>10552596.869999997</v>
      </c>
      <c r="AV545" s="147">
        <f>AM545-AP545</f>
        <v>51447403.130000003</v>
      </c>
      <c r="AW545" s="147">
        <f>AP545-AT545</f>
        <v>0</v>
      </c>
      <c r="AX545" s="149">
        <f>AP545/AJ545</f>
        <v>0</v>
      </c>
    </row>
    <row r="546" spans="1:52" ht="43.5" customHeight="1" x14ac:dyDescent="0.2">
      <c r="AA546" s="28" t="s">
        <v>288</v>
      </c>
      <c r="AB546" s="29" t="s">
        <v>440</v>
      </c>
      <c r="AC546" s="17"/>
      <c r="AD546" s="18"/>
      <c r="AE546" s="34"/>
      <c r="AF546" s="34"/>
      <c r="AG546" s="34"/>
      <c r="AH546" s="34"/>
      <c r="AI546" s="34"/>
      <c r="AJ546" s="18"/>
      <c r="AK546" s="34"/>
      <c r="AL546" s="145"/>
      <c r="AM546" s="34"/>
      <c r="AN546" s="34"/>
      <c r="AO546" s="34"/>
      <c r="AP546" s="34"/>
      <c r="AQ546" s="34"/>
      <c r="AR546" s="34"/>
      <c r="AS546" s="34"/>
      <c r="AT546" s="40"/>
      <c r="AU546" s="18"/>
      <c r="AV546" s="34"/>
      <c r="AW546" s="18"/>
      <c r="AX546" s="18"/>
    </row>
    <row r="547" spans="1:52" ht="18.75" customHeight="1" x14ac:dyDescent="0.2">
      <c r="A547" s="4" t="s">
        <v>55</v>
      </c>
      <c r="B547" s="4" t="s">
        <v>56</v>
      </c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1" t="s">
        <v>441</v>
      </c>
      <c r="AB547" s="42" t="s">
        <v>439</v>
      </c>
      <c r="AC547" s="43" t="s">
        <v>428</v>
      </c>
      <c r="AD547" s="43">
        <v>3500000</v>
      </c>
      <c r="AE547" s="44">
        <v>0</v>
      </c>
      <c r="AF547" s="44">
        <v>0</v>
      </c>
      <c r="AG547" s="44">
        <v>0</v>
      </c>
      <c r="AH547" s="44">
        <v>0</v>
      </c>
      <c r="AI547" s="44">
        <v>0</v>
      </c>
      <c r="AJ547" s="43">
        <v>3500000</v>
      </c>
      <c r="AK547" s="44">
        <v>0</v>
      </c>
      <c r="AL547" s="143">
        <v>0</v>
      </c>
      <c r="AM547" s="44">
        <v>0</v>
      </c>
      <c r="AN547" s="44">
        <v>0</v>
      </c>
      <c r="AO547" s="44">
        <v>0</v>
      </c>
      <c r="AP547" s="44">
        <v>0</v>
      </c>
      <c r="AQ547" s="44">
        <v>0</v>
      </c>
      <c r="AR547" s="44">
        <v>0</v>
      </c>
      <c r="AS547" s="44">
        <v>0</v>
      </c>
      <c r="AT547" s="40">
        <f>AQ547+AS547</f>
        <v>0</v>
      </c>
      <c r="AU547" s="18">
        <f>AJ547-AM547</f>
        <v>3500000</v>
      </c>
      <c r="AV547" s="34">
        <f>AM547-AP547</f>
        <v>0</v>
      </c>
      <c r="AW547" s="34">
        <f>AP547-AT547</f>
        <v>0</v>
      </c>
      <c r="AX547" s="123">
        <f>AP547/AJ547</f>
        <v>0</v>
      </c>
    </row>
    <row r="548" spans="1:52" ht="18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73" t="s">
        <v>288</v>
      </c>
      <c r="AB548" s="74" t="s">
        <v>291</v>
      </c>
      <c r="AC548" s="43"/>
      <c r="AD548" s="43"/>
      <c r="AE548" s="44"/>
      <c r="AF548" s="44"/>
      <c r="AG548" s="44"/>
      <c r="AH548" s="44"/>
      <c r="AI548" s="44"/>
      <c r="AJ548" s="43"/>
      <c r="AK548" s="44"/>
      <c r="AL548" s="143"/>
      <c r="AM548" s="43"/>
      <c r="AN548" s="43"/>
      <c r="AO548" s="43"/>
      <c r="AP548" s="43"/>
      <c r="AQ548" s="44"/>
      <c r="AR548" s="44"/>
      <c r="AS548" s="44"/>
      <c r="AT548" s="40"/>
      <c r="AU548" s="43"/>
      <c r="AV548" s="44"/>
      <c r="AW548" s="44"/>
      <c r="AX548" s="43"/>
    </row>
    <row r="549" spans="1:52" ht="18.75" customHeight="1" x14ac:dyDescent="0.2">
      <c r="A549" s="4" t="s">
        <v>55</v>
      </c>
      <c r="B549" s="4" t="s">
        <v>56</v>
      </c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1" t="s">
        <v>442</v>
      </c>
      <c r="AB549" s="42" t="s">
        <v>439</v>
      </c>
      <c r="AC549" s="43" t="s">
        <v>428</v>
      </c>
      <c r="AD549" s="43">
        <v>105900000</v>
      </c>
      <c r="AE549" s="44">
        <v>0</v>
      </c>
      <c r="AF549" s="44">
        <v>0</v>
      </c>
      <c r="AG549" s="44">
        <v>0</v>
      </c>
      <c r="AH549" s="44">
        <v>0</v>
      </c>
      <c r="AI549" s="44">
        <v>0</v>
      </c>
      <c r="AJ549" s="43">
        <v>105900000</v>
      </c>
      <c r="AK549" s="44">
        <v>0</v>
      </c>
      <c r="AL549" s="142">
        <f>AM549-AGOSTO!AM536</f>
        <v>96693576.140000001</v>
      </c>
      <c r="AM549" s="142">
        <v>96844010.140000001</v>
      </c>
      <c r="AN549" s="43">
        <v>0</v>
      </c>
      <c r="AO549" s="44">
        <v>0</v>
      </c>
      <c r="AP549" s="43">
        <v>150434</v>
      </c>
      <c r="AQ549" s="44">
        <v>0</v>
      </c>
      <c r="AR549" s="44">
        <v>0</v>
      </c>
      <c r="AS549" s="43">
        <v>150434</v>
      </c>
      <c r="AT549" s="40">
        <f>AQ549+AS549</f>
        <v>150434</v>
      </c>
      <c r="AU549" s="18">
        <f>AJ549-AM549</f>
        <v>9055989.8599999994</v>
      </c>
      <c r="AV549" s="18">
        <f>AM549-AP549</f>
        <v>96693576.140000001</v>
      </c>
      <c r="AW549" s="34">
        <f>AP549-AT549</f>
        <v>0</v>
      </c>
      <c r="AX549" s="123">
        <f>AP549/AJ549</f>
        <v>1.4205288007554297E-3</v>
      </c>
    </row>
    <row r="550" spans="1:52" ht="18.75" customHeight="1" x14ac:dyDescent="0.2">
      <c r="AA550" s="16"/>
      <c r="AB550" s="29" t="s">
        <v>189</v>
      </c>
      <c r="AC550" s="17"/>
      <c r="AD550" s="18"/>
      <c r="AE550" s="34"/>
      <c r="AF550" s="34"/>
      <c r="AG550" s="34"/>
      <c r="AH550" s="34"/>
      <c r="AI550" s="34"/>
      <c r="AJ550" s="18"/>
      <c r="AK550" s="18"/>
      <c r="AL550" s="147"/>
      <c r="AM550" s="18"/>
      <c r="AN550" s="18"/>
      <c r="AO550" s="18"/>
      <c r="AP550" s="18"/>
      <c r="AQ550" s="18"/>
      <c r="AR550" s="18"/>
      <c r="AS550" s="18"/>
      <c r="AT550" s="39"/>
      <c r="AU550" s="18"/>
      <c r="AV550" s="34"/>
      <c r="AW550" s="18"/>
      <c r="AX550" s="18"/>
    </row>
    <row r="551" spans="1:52" ht="18.75" customHeight="1" x14ac:dyDescent="0.2">
      <c r="AA551" s="16"/>
      <c r="AB551" s="29" t="s">
        <v>191</v>
      </c>
      <c r="AC551" s="17"/>
      <c r="AD551" s="18"/>
      <c r="AE551" s="34"/>
      <c r="AF551" s="34"/>
      <c r="AG551" s="34"/>
      <c r="AH551" s="34"/>
      <c r="AI551" s="34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39"/>
      <c r="AU551" s="18"/>
      <c r="AV551" s="34"/>
      <c r="AW551" s="18"/>
      <c r="AX551" s="18"/>
    </row>
    <row r="552" spans="1:52" ht="18.75" customHeight="1" x14ac:dyDescent="0.2">
      <c r="AA552" s="28" t="s">
        <v>288</v>
      </c>
      <c r="AB552" s="29" t="s">
        <v>443</v>
      </c>
      <c r="AC552" s="17"/>
      <c r="AD552" s="18"/>
      <c r="AE552" s="34"/>
      <c r="AF552" s="34"/>
      <c r="AG552" s="34"/>
      <c r="AH552" s="34"/>
      <c r="AI552" s="34"/>
      <c r="AJ552" s="147"/>
      <c r="AK552" s="18"/>
      <c r="AL552" s="18"/>
      <c r="AM552" s="18"/>
      <c r="AN552" s="18"/>
      <c r="AO552" s="18"/>
      <c r="AP552" s="18"/>
      <c r="AQ552" s="18"/>
      <c r="AR552" s="18"/>
      <c r="AS552" s="18"/>
      <c r="AT552" s="39"/>
      <c r="AU552" s="18"/>
      <c r="AV552" s="34"/>
      <c r="AW552" s="18"/>
      <c r="AX552" s="18"/>
    </row>
    <row r="553" spans="1:52" ht="18.75" customHeight="1" x14ac:dyDescent="0.2">
      <c r="A553" s="4" t="s">
        <v>55</v>
      </c>
      <c r="B553" s="4" t="s">
        <v>56</v>
      </c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1" t="s">
        <v>444</v>
      </c>
      <c r="AB553" s="42" t="s">
        <v>233</v>
      </c>
      <c r="AC553" s="43" t="s">
        <v>58</v>
      </c>
      <c r="AD553" s="43">
        <v>530557116</v>
      </c>
      <c r="AE553" s="44">
        <v>0</v>
      </c>
      <c r="AF553" s="44">
        <v>0</v>
      </c>
      <c r="AG553" s="44">
        <v>0</v>
      </c>
      <c r="AH553" s="43">
        <v>530557116</v>
      </c>
      <c r="AI553" s="43">
        <f>AE553-AF553+AG553-AH553</f>
        <v>-530557116</v>
      </c>
      <c r="AJ553" s="143">
        <f>AD553+AI553</f>
        <v>0</v>
      </c>
      <c r="AK553" s="44">
        <v>0</v>
      </c>
      <c r="AL553" s="44">
        <v>0</v>
      </c>
      <c r="AM553" s="44">
        <v>0</v>
      </c>
      <c r="AN553" s="44">
        <v>0</v>
      </c>
      <c r="AO553" s="44">
        <v>0</v>
      </c>
      <c r="AP553" s="44">
        <v>0</v>
      </c>
      <c r="AQ553" s="44">
        <v>0</v>
      </c>
      <c r="AR553" s="44">
        <v>0</v>
      </c>
      <c r="AS553" s="44">
        <v>0</v>
      </c>
      <c r="AT553" s="40">
        <f>AQ553+AS553</f>
        <v>0</v>
      </c>
      <c r="AU553" s="18">
        <f>AJ553-AM553</f>
        <v>0</v>
      </c>
      <c r="AV553" s="34">
        <f>AM553-AP553</f>
        <v>0</v>
      </c>
      <c r="AW553" s="34">
        <f>AP553-AT553</f>
        <v>0</v>
      </c>
      <c r="AX553" s="123">
        <v>0</v>
      </c>
    </row>
    <row r="554" spans="1:52" ht="18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1" t="s">
        <v>1233</v>
      </c>
      <c r="AB554" s="42" t="s">
        <v>453</v>
      </c>
      <c r="AC554" s="43"/>
      <c r="AD554" s="44">
        <v>0</v>
      </c>
      <c r="AE554" s="43">
        <v>11666787329</v>
      </c>
      <c r="AF554" s="44">
        <v>0</v>
      </c>
      <c r="AG554" s="44">
        <v>0</v>
      </c>
      <c r="AH554" s="44">
        <v>0</v>
      </c>
      <c r="AI554" s="43">
        <f>AE554-AF554+AG554-AH554</f>
        <v>11666787329</v>
      </c>
      <c r="AJ554" s="142">
        <f>AD554+AI554</f>
        <v>11666787329</v>
      </c>
      <c r="AK554" s="44">
        <v>0</v>
      </c>
      <c r="AL554" s="44">
        <v>0</v>
      </c>
      <c r="AM554" s="44">
        <v>0</v>
      </c>
      <c r="AN554" s="44">
        <v>0</v>
      </c>
      <c r="AO554" s="44">
        <v>0</v>
      </c>
      <c r="AP554" s="44">
        <v>0</v>
      </c>
      <c r="AQ554" s="44">
        <v>0</v>
      </c>
      <c r="AR554" s="44">
        <v>0</v>
      </c>
      <c r="AS554" s="44">
        <v>0</v>
      </c>
      <c r="AT554" s="40">
        <f>AQ554+AS554</f>
        <v>0</v>
      </c>
      <c r="AU554" s="18">
        <f>AJ554-AM554</f>
        <v>11666787329</v>
      </c>
      <c r="AV554" s="34">
        <f>AM554-AP554</f>
        <v>0</v>
      </c>
      <c r="AW554" s="34">
        <f>AP554-AT554</f>
        <v>0</v>
      </c>
      <c r="AX554" s="123">
        <f>AP554/AJ554</f>
        <v>0</v>
      </c>
      <c r="AZ554" s="257"/>
    </row>
    <row r="555" spans="1:52" ht="28.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1" t="s">
        <v>1317</v>
      </c>
      <c r="AB555" s="42" t="s">
        <v>1304</v>
      </c>
      <c r="AC555" s="43"/>
      <c r="AD555" s="44">
        <v>0</v>
      </c>
      <c r="AE555" s="43">
        <v>0</v>
      </c>
      <c r="AF555" s="44">
        <v>0</v>
      </c>
      <c r="AG555" s="43">
        <v>100000000</v>
      </c>
      <c r="AH555" s="44">
        <v>0</v>
      </c>
      <c r="AI555" s="43">
        <f>AE555-AF555+AG555-AH555</f>
        <v>100000000</v>
      </c>
      <c r="AJ555" s="142">
        <f>AD555+AI555</f>
        <v>100000000</v>
      </c>
      <c r="AK555" s="44">
        <v>0</v>
      </c>
      <c r="AL555" s="43">
        <v>80312448.849999994</v>
      </c>
      <c r="AM555" s="43">
        <v>80312448.849999994</v>
      </c>
      <c r="AN555" s="44">
        <v>0</v>
      </c>
      <c r="AO555" s="44">
        <v>0</v>
      </c>
      <c r="AP555" s="44">
        <v>0</v>
      </c>
      <c r="AQ555" s="44">
        <v>0</v>
      </c>
      <c r="AR555" s="44">
        <v>0</v>
      </c>
      <c r="AS555" s="44">
        <v>0</v>
      </c>
      <c r="AT555" s="40">
        <f>AQ555+AS555</f>
        <v>0</v>
      </c>
      <c r="AU555" s="18">
        <f>AJ555-AM555</f>
        <v>19687551.150000006</v>
      </c>
      <c r="AV555" s="18">
        <f>AM555-AP555</f>
        <v>80312448.849999994</v>
      </c>
      <c r="AW555" s="34">
        <f>AP555-AT555</f>
        <v>0</v>
      </c>
      <c r="AX555" s="123">
        <f>AP555/AJ555</f>
        <v>0</v>
      </c>
      <c r="AZ555" s="257"/>
    </row>
    <row r="556" spans="1:52" ht="18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73" t="s">
        <v>288</v>
      </c>
      <c r="AB556" s="74" t="s">
        <v>362</v>
      </c>
      <c r="AC556" s="43"/>
      <c r="AD556" s="44"/>
      <c r="AE556" s="44"/>
      <c r="AF556" s="44"/>
      <c r="AG556" s="44"/>
      <c r="AH556" s="44"/>
      <c r="AI556" s="44"/>
      <c r="AJ556" s="142"/>
      <c r="AK556" s="44"/>
      <c r="AL556" s="44"/>
      <c r="AM556" s="44"/>
      <c r="AN556" s="44"/>
      <c r="AO556" s="44"/>
      <c r="AP556" s="44"/>
      <c r="AQ556" s="44"/>
      <c r="AR556" s="44"/>
      <c r="AS556" s="44"/>
      <c r="AT556" s="40"/>
      <c r="AU556" s="18"/>
      <c r="AV556" s="34"/>
      <c r="AW556" s="34"/>
      <c r="AX556" s="123"/>
    </row>
    <row r="557" spans="1:52" ht="18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1" t="s">
        <v>975</v>
      </c>
      <c r="AB557" s="42" t="s">
        <v>453</v>
      </c>
      <c r="AC557" s="43"/>
      <c r="AD557" s="44">
        <v>0</v>
      </c>
      <c r="AE557" s="44">
        <v>0</v>
      </c>
      <c r="AF557" s="44">
        <v>0</v>
      </c>
      <c r="AG557" s="43">
        <v>11046667966</v>
      </c>
      <c r="AH557" s="44"/>
      <c r="AI557" s="43">
        <f>AE557-AF557+AG557-AH557</f>
        <v>11046667966</v>
      </c>
      <c r="AJ557" s="142">
        <f>AD557+AI557</f>
        <v>11046667966</v>
      </c>
      <c r="AK557" s="44">
        <v>0</v>
      </c>
      <c r="AL557" s="44">
        <f>AM557-AGOSTO!AM544</f>
        <v>0</v>
      </c>
      <c r="AM557" s="43">
        <v>10699323813</v>
      </c>
      <c r="AN557" s="44">
        <v>0</v>
      </c>
      <c r="AO557" s="43">
        <v>0</v>
      </c>
      <c r="AP557" s="43">
        <v>10699323813</v>
      </c>
      <c r="AQ557" s="43">
        <v>149300583.97999999</v>
      </c>
      <c r="AR557" s="44">
        <v>0</v>
      </c>
      <c r="AS557" s="44">
        <v>0</v>
      </c>
      <c r="AT557" s="39">
        <f>AQ557+AS557</f>
        <v>149300583.97999999</v>
      </c>
      <c r="AU557" s="18">
        <f>AJ557-AM557</f>
        <v>347344153</v>
      </c>
      <c r="AV557" s="34">
        <f>AM557-AP557</f>
        <v>0</v>
      </c>
      <c r="AW557" s="18">
        <f>AP557-AT557</f>
        <v>10550023229.02</v>
      </c>
      <c r="AX557" s="123">
        <f>AP557/AJ557</f>
        <v>0.96855665852643769</v>
      </c>
    </row>
    <row r="558" spans="1:52" ht="18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1" t="s">
        <v>363</v>
      </c>
      <c r="AB558" s="42" t="s">
        <v>233</v>
      </c>
      <c r="AC558" s="43"/>
      <c r="AD558" s="44">
        <v>0</v>
      </c>
      <c r="AE558" s="44">
        <v>0</v>
      </c>
      <c r="AF558" s="44">
        <v>0</v>
      </c>
      <c r="AG558" s="43">
        <v>2658700461.6999998</v>
      </c>
      <c r="AH558" s="44">
        <v>0</v>
      </c>
      <c r="AI558" s="43">
        <f t="shared" ref="AI558:AI559" si="250">AE558-AF558+AG558-AH558</f>
        <v>2658700461.6999998</v>
      </c>
      <c r="AJ558" s="142">
        <f t="shared" ref="AJ558:AJ559" si="251">AD558+AI558</f>
        <v>2658700461.6999998</v>
      </c>
      <c r="AK558" s="44">
        <v>0</v>
      </c>
      <c r="AL558" s="44">
        <f>AM558-AGOSTO!AM545</f>
        <v>0</v>
      </c>
      <c r="AM558" s="43">
        <v>2658700461.6999998</v>
      </c>
      <c r="AN558" s="44">
        <v>0</v>
      </c>
      <c r="AO558" s="142"/>
      <c r="AP558" s="43">
        <v>2658700461.6999998</v>
      </c>
      <c r="AQ558" s="44">
        <v>0</v>
      </c>
      <c r="AR558" s="44">
        <v>0</v>
      </c>
      <c r="AS558" s="43">
        <v>2658700461.6999998</v>
      </c>
      <c r="AT558" s="39">
        <f t="shared" ref="AT558:AT559" si="252">AQ558+AS558</f>
        <v>2658700461.6999998</v>
      </c>
      <c r="AU558" s="34">
        <f t="shared" ref="AU558:AU559" si="253">AJ558-AM558</f>
        <v>0</v>
      </c>
      <c r="AV558" s="34">
        <f t="shared" ref="AV558:AV559" si="254">AM558-AP558</f>
        <v>0</v>
      </c>
      <c r="AW558" s="34">
        <f t="shared" ref="AW558:AW559" si="255">AP558-AT558</f>
        <v>0</v>
      </c>
      <c r="AX558" s="123">
        <f t="shared" ref="AX558:AX559" si="256">AP558/AJ558</f>
        <v>1</v>
      </c>
    </row>
    <row r="559" spans="1:52" ht="25.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1" t="s">
        <v>1301</v>
      </c>
      <c r="AB559" s="42" t="s">
        <v>1302</v>
      </c>
      <c r="AC559" s="43"/>
      <c r="AD559" s="44">
        <v>0</v>
      </c>
      <c r="AE559" s="44">
        <v>0</v>
      </c>
      <c r="AF559" s="44">
        <v>0</v>
      </c>
      <c r="AG559" s="43">
        <v>478121018</v>
      </c>
      <c r="AH559" s="44"/>
      <c r="AI559" s="43">
        <f t="shared" si="250"/>
        <v>478121018</v>
      </c>
      <c r="AJ559" s="142">
        <f t="shared" si="251"/>
        <v>478121018</v>
      </c>
      <c r="AK559" s="44">
        <v>0</v>
      </c>
      <c r="AL559" s="44">
        <f>AM559-AGOSTO!AM546</f>
        <v>0</v>
      </c>
      <c r="AM559" s="43">
        <v>463121018</v>
      </c>
      <c r="AN559" s="44">
        <v>0</v>
      </c>
      <c r="AO559" s="142">
        <v>73388550</v>
      </c>
      <c r="AP559" s="43">
        <v>463121018</v>
      </c>
      <c r="AQ559" s="44">
        <v>0</v>
      </c>
      <c r="AR559" s="44">
        <v>0</v>
      </c>
      <c r="AS559" s="43">
        <v>389732468</v>
      </c>
      <c r="AT559" s="39">
        <f t="shared" si="252"/>
        <v>389732468</v>
      </c>
      <c r="AU559" s="18">
        <f t="shared" si="253"/>
        <v>15000000</v>
      </c>
      <c r="AV559" s="34">
        <f t="shared" si="254"/>
        <v>0</v>
      </c>
      <c r="AW559" s="18">
        <f t="shared" si="255"/>
        <v>73388550</v>
      </c>
      <c r="AX559" s="123">
        <f t="shared" si="256"/>
        <v>0.96862718969614514</v>
      </c>
    </row>
    <row r="560" spans="1:52" ht="18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73" t="s">
        <v>288</v>
      </c>
      <c r="AB560" s="74" t="s">
        <v>296</v>
      </c>
      <c r="AC560" s="43"/>
      <c r="AD560" s="44"/>
      <c r="AE560" s="44"/>
      <c r="AF560" s="44"/>
      <c r="AG560" s="44"/>
      <c r="AH560" s="44"/>
      <c r="AI560" s="44"/>
      <c r="AJ560" s="142"/>
      <c r="AK560" s="44"/>
      <c r="AL560" s="44"/>
      <c r="AM560" s="44"/>
      <c r="AN560" s="44"/>
      <c r="AO560" s="143"/>
      <c r="AP560" s="44"/>
      <c r="AQ560" s="44"/>
      <c r="AR560" s="44"/>
      <c r="AS560" s="44"/>
      <c r="AT560" s="40"/>
      <c r="AU560" s="18"/>
      <c r="AV560" s="34"/>
      <c r="AW560" s="34"/>
      <c r="AX560" s="123"/>
    </row>
    <row r="561" spans="1:50" ht="18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1" t="s">
        <v>973</v>
      </c>
      <c r="AB561" s="42" t="s">
        <v>453</v>
      </c>
      <c r="AC561" s="43"/>
      <c r="AD561" s="44">
        <v>0</v>
      </c>
      <c r="AE561" s="43">
        <f>11046667966+38953332034</f>
        <v>50000000000</v>
      </c>
      <c r="AF561" s="44">
        <v>0</v>
      </c>
      <c r="AG561" s="44">
        <v>0</v>
      </c>
      <c r="AH561" s="43">
        <v>11046667966</v>
      </c>
      <c r="AI561" s="43">
        <f>AE561-AF561+AG561-AH561</f>
        <v>38953332034</v>
      </c>
      <c r="AJ561" s="142">
        <f>AD561+AI561</f>
        <v>38953332034</v>
      </c>
      <c r="AK561" s="44">
        <v>0</v>
      </c>
      <c r="AL561" s="44">
        <v>0</v>
      </c>
      <c r="AM561" s="44">
        <v>0</v>
      </c>
      <c r="AN561" s="44">
        <v>0</v>
      </c>
      <c r="AO561" s="143">
        <v>0</v>
      </c>
      <c r="AP561" s="44">
        <v>0</v>
      </c>
      <c r="AQ561" s="44">
        <v>0</v>
      </c>
      <c r="AR561" s="44">
        <v>0</v>
      </c>
      <c r="AS561" s="44">
        <v>0</v>
      </c>
      <c r="AT561" s="40">
        <f>AQ561+AS561</f>
        <v>0</v>
      </c>
      <c r="AU561" s="18">
        <f>AJ561-AM561</f>
        <v>38953332034</v>
      </c>
      <c r="AV561" s="34">
        <f>AM561-AP561</f>
        <v>0</v>
      </c>
      <c r="AW561" s="34">
        <f>AP561-AT561</f>
        <v>0</v>
      </c>
      <c r="AX561" s="123">
        <v>0</v>
      </c>
    </row>
    <row r="562" spans="1:50" ht="18.75" customHeight="1" x14ac:dyDescent="0.2">
      <c r="AA562" s="28" t="s">
        <v>288</v>
      </c>
      <c r="AB562" s="29" t="s">
        <v>445</v>
      </c>
      <c r="AC562" s="17"/>
      <c r="AD562" s="18"/>
      <c r="AE562" s="18"/>
      <c r="AF562" s="18"/>
      <c r="AG562" s="18"/>
      <c r="AH562" s="18"/>
      <c r="AI562" s="18"/>
      <c r="AJ562" s="147"/>
      <c r="AK562" s="34"/>
      <c r="AL562" s="34"/>
      <c r="AM562" s="34"/>
      <c r="AN562" s="34"/>
      <c r="AO562" s="34"/>
      <c r="AP562" s="34"/>
      <c r="AQ562" s="34"/>
      <c r="AR562" s="34"/>
      <c r="AS562" s="34"/>
      <c r="AT562" s="40"/>
      <c r="AU562" s="18"/>
      <c r="AV562" s="34"/>
      <c r="AW562" s="18"/>
      <c r="AX562" s="18"/>
    </row>
    <row r="563" spans="1:50" ht="18.75" customHeight="1" x14ac:dyDescent="0.2">
      <c r="A563" s="4" t="s">
        <v>55</v>
      </c>
      <c r="B563" s="4" t="s">
        <v>56</v>
      </c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1" t="s">
        <v>446</v>
      </c>
      <c r="AB563" s="42" t="s">
        <v>233</v>
      </c>
      <c r="AC563" s="43" t="s">
        <v>58</v>
      </c>
      <c r="AD563" s="43">
        <v>1315360000</v>
      </c>
      <c r="AE563" s="44">
        <v>0</v>
      </c>
      <c r="AF563" s="44">
        <v>0</v>
      </c>
      <c r="AG563" s="43">
        <f>24165016+458969140</f>
        <v>483134156</v>
      </c>
      <c r="AH563" s="43">
        <v>200000000</v>
      </c>
      <c r="AI563" s="43">
        <f>AE563-AF563+AG563-AH563</f>
        <v>283134156</v>
      </c>
      <c r="AJ563" s="142">
        <f>AD563+AI563</f>
        <v>1598494156</v>
      </c>
      <c r="AK563" s="44">
        <v>0</v>
      </c>
      <c r="AL563" s="115">
        <f>AM563-AGOSTO!AM550</f>
        <v>0</v>
      </c>
      <c r="AM563" s="114">
        <v>1593208713</v>
      </c>
      <c r="AN563" s="44">
        <v>0</v>
      </c>
      <c r="AO563" s="114">
        <v>0</v>
      </c>
      <c r="AP563" s="114">
        <v>24165016</v>
      </c>
      <c r="AQ563" s="44">
        <v>0</v>
      </c>
      <c r="AR563" s="114">
        <v>19030075.890000001</v>
      </c>
      <c r="AS563" s="114">
        <v>24165016</v>
      </c>
      <c r="AT563" s="111">
        <f>AQ563+AS563</f>
        <v>24165016</v>
      </c>
      <c r="AU563" s="18">
        <f>AJ563-AM563</f>
        <v>5285443</v>
      </c>
      <c r="AV563" s="18">
        <f>AM563-AP563</f>
        <v>1569043697</v>
      </c>
      <c r="AW563" s="34">
        <f>AP563-AT563</f>
        <v>0</v>
      </c>
      <c r="AX563" s="123">
        <f>AP563/AJ563</f>
        <v>1.5117362743739678E-2</v>
      </c>
    </row>
    <row r="564" spans="1:50" ht="18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73" t="s">
        <v>288</v>
      </c>
      <c r="AB564" s="74" t="s">
        <v>1352</v>
      </c>
      <c r="AC564" s="43"/>
      <c r="AD564" s="43"/>
      <c r="AE564" s="44"/>
      <c r="AF564" s="44"/>
      <c r="AG564" s="43"/>
      <c r="AH564" s="43"/>
      <c r="AI564" s="43"/>
      <c r="AJ564" s="142"/>
      <c r="AK564" s="44"/>
      <c r="AL564" s="115"/>
      <c r="AM564" s="114"/>
      <c r="AN564" s="44"/>
      <c r="AO564" s="114"/>
      <c r="AP564" s="114"/>
      <c r="AQ564" s="44"/>
      <c r="AR564" s="114"/>
      <c r="AS564" s="114"/>
      <c r="AT564" s="111"/>
      <c r="AU564" s="18"/>
      <c r="AV564" s="18"/>
      <c r="AW564" s="34"/>
      <c r="AX564" s="123"/>
    </row>
    <row r="565" spans="1:50" ht="18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1" t="s">
        <v>1353</v>
      </c>
      <c r="AB565" s="42" t="s">
        <v>233</v>
      </c>
      <c r="AC565" s="43"/>
      <c r="AD565" s="43">
        <v>0</v>
      </c>
      <c r="AE565" s="44">
        <v>0</v>
      </c>
      <c r="AF565" s="44">
        <v>0</v>
      </c>
      <c r="AG565" s="43">
        <v>1100000000</v>
      </c>
      <c r="AH565" s="43">
        <v>0</v>
      </c>
      <c r="AI565" s="43">
        <f>AE565-AF565+AG565-AH565</f>
        <v>1100000000</v>
      </c>
      <c r="AJ565" s="142">
        <f>AD565+AI565</f>
        <v>1100000000</v>
      </c>
      <c r="AK565" s="44">
        <v>0</v>
      </c>
      <c r="AL565" s="115">
        <v>0</v>
      </c>
      <c r="AM565" s="115">
        <v>0</v>
      </c>
      <c r="AN565" s="44">
        <v>0</v>
      </c>
      <c r="AO565" s="115">
        <v>0</v>
      </c>
      <c r="AP565" s="115">
        <v>0</v>
      </c>
      <c r="AQ565" s="44">
        <v>0</v>
      </c>
      <c r="AR565" s="115">
        <v>0</v>
      </c>
      <c r="AS565" s="115">
        <v>0</v>
      </c>
      <c r="AT565" s="135">
        <f>AQ565+AS565</f>
        <v>0</v>
      </c>
      <c r="AU565" s="18">
        <f>AJ565-AM565</f>
        <v>1100000000</v>
      </c>
      <c r="AV565" s="34">
        <f>AM565-AP565</f>
        <v>0</v>
      </c>
      <c r="AW565" s="34">
        <f>AP565-AT565</f>
        <v>0</v>
      </c>
      <c r="AX565" s="123">
        <f>AP565/AJ565</f>
        <v>0</v>
      </c>
    </row>
    <row r="566" spans="1:50" ht="18.75" customHeight="1" x14ac:dyDescent="0.2">
      <c r="AA566" s="28" t="s">
        <v>288</v>
      </c>
      <c r="AB566" s="29" t="s">
        <v>447</v>
      </c>
      <c r="AC566" s="17"/>
      <c r="AD566" s="18"/>
      <c r="AE566" s="34"/>
      <c r="AF566" s="34"/>
      <c r="AG566" s="18"/>
      <c r="AH566" s="76"/>
      <c r="AI566" s="18"/>
      <c r="AJ566" s="18"/>
      <c r="AK566" s="34"/>
      <c r="AL566" s="34"/>
      <c r="AM566" s="34"/>
      <c r="AN566" s="34"/>
      <c r="AO566" s="34"/>
      <c r="AP566" s="34"/>
      <c r="AQ566" s="34"/>
      <c r="AR566" s="34"/>
      <c r="AS566" s="34"/>
      <c r="AT566" s="40"/>
      <c r="AU566" s="18"/>
      <c r="AV566" s="34"/>
      <c r="AW566" s="34"/>
      <c r="AX566" s="18"/>
    </row>
    <row r="567" spans="1:50" ht="18.75" customHeight="1" x14ac:dyDescent="0.2">
      <c r="A567" s="4" t="s">
        <v>55</v>
      </c>
      <c r="B567" s="4" t="s">
        <v>56</v>
      </c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1" t="s">
        <v>448</v>
      </c>
      <c r="AB567" s="42" t="s">
        <v>449</v>
      </c>
      <c r="AC567" s="43" t="s">
        <v>428</v>
      </c>
      <c r="AD567" s="43">
        <v>1568183063</v>
      </c>
      <c r="AE567" s="44">
        <v>0</v>
      </c>
      <c r="AF567" s="44">
        <v>0</v>
      </c>
      <c r="AG567" s="75">
        <v>0</v>
      </c>
      <c r="AH567" s="43">
        <v>1200000000</v>
      </c>
      <c r="AI567" s="43">
        <f>AE567-AF567+AG567-AH567</f>
        <v>-1200000000</v>
      </c>
      <c r="AJ567" s="43">
        <f>AD567+AI567</f>
        <v>368183063</v>
      </c>
      <c r="AK567" s="44">
        <v>0</v>
      </c>
      <c r="AL567" s="44">
        <f>AM567-AGOSTO!AM552</f>
        <v>0</v>
      </c>
      <c r="AM567" s="44">
        <v>0</v>
      </c>
      <c r="AN567" s="44">
        <v>0</v>
      </c>
      <c r="AO567" s="44">
        <v>0</v>
      </c>
      <c r="AP567" s="44">
        <v>0</v>
      </c>
      <c r="AQ567" s="44">
        <v>0</v>
      </c>
      <c r="AR567" s="44">
        <v>0</v>
      </c>
      <c r="AS567" s="44">
        <v>0</v>
      </c>
      <c r="AT567" s="40">
        <f t="shared" ref="AT567:AT665" si="257">AQ567+AS567</f>
        <v>0</v>
      </c>
      <c r="AU567" s="18">
        <f>AJ567-AM567</f>
        <v>368183063</v>
      </c>
      <c r="AV567" s="34">
        <f>AM567-AP567</f>
        <v>0</v>
      </c>
      <c r="AW567" s="34">
        <f>AP567-AT567</f>
        <v>0</v>
      </c>
      <c r="AX567" s="123">
        <f>AP567/AJ567</f>
        <v>0</v>
      </c>
    </row>
    <row r="568" spans="1:50" ht="18.75" customHeight="1" x14ac:dyDescent="0.2">
      <c r="A568" s="4" t="s">
        <v>55</v>
      </c>
      <c r="B568" s="4" t="s">
        <v>56</v>
      </c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1" t="s">
        <v>450</v>
      </c>
      <c r="AB568" s="42" t="s">
        <v>451</v>
      </c>
      <c r="AC568" s="43" t="s">
        <v>428</v>
      </c>
      <c r="AD568" s="43">
        <v>54121641</v>
      </c>
      <c r="AE568" s="44">
        <v>0</v>
      </c>
      <c r="AF568" s="44">
        <v>0</v>
      </c>
      <c r="AG568" s="75">
        <v>0</v>
      </c>
      <c r="AH568" s="75">
        <v>0</v>
      </c>
      <c r="AI568" s="44">
        <v>0</v>
      </c>
      <c r="AJ568" s="43">
        <v>54121641</v>
      </c>
      <c r="AK568" s="44">
        <v>0</v>
      </c>
      <c r="AL568" s="44">
        <v>0</v>
      </c>
      <c r="AM568" s="44">
        <v>0</v>
      </c>
      <c r="AN568" s="44">
        <v>0</v>
      </c>
      <c r="AO568" s="44">
        <v>0</v>
      </c>
      <c r="AP568" s="44">
        <v>0</v>
      </c>
      <c r="AQ568" s="44">
        <v>0</v>
      </c>
      <c r="AR568" s="44">
        <v>0</v>
      </c>
      <c r="AS568" s="44">
        <v>0</v>
      </c>
      <c r="AT568" s="40">
        <f t="shared" si="257"/>
        <v>0</v>
      </c>
      <c r="AU568" s="18">
        <f>AJ568-AM568</f>
        <v>54121641</v>
      </c>
      <c r="AV568" s="34">
        <f>AM568-AP568</f>
        <v>0</v>
      </c>
      <c r="AW568" s="34">
        <f>AP568-AT568</f>
        <v>0</v>
      </c>
      <c r="AX568" s="123">
        <f>AP568/AJ568</f>
        <v>0</v>
      </c>
    </row>
    <row r="569" spans="1:50" ht="18.75" customHeight="1" x14ac:dyDescent="0.2">
      <c r="A569" s="4" t="s">
        <v>55</v>
      </c>
      <c r="B569" s="4" t="s">
        <v>56</v>
      </c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1" t="s">
        <v>452</v>
      </c>
      <c r="AB569" s="42" t="s">
        <v>453</v>
      </c>
      <c r="AC569" s="43" t="s">
        <v>454</v>
      </c>
      <c r="AD569" s="43">
        <v>13500000000</v>
      </c>
      <c r="AE569" s="44">
        <v>0</v>
      </c>
      <c r="AF569" s="44">
        <v>0</v>
      </c>
      <c r="AG569" s="75">
        <v>0</v>
      </c>
      <c r="AH569" s="43">
        <v>10658999538</v>
      </c>
      <c r="AI569" s="43">
        <f>AE569-AF569+AG569-AH569</f>
        <v>-10658999538</v>
      </c>
      <c r="AJ569" s="43">
        <f>AD569+AI569</f>
        <v>2841000462</v>
      </c>
      <c r="AK569" s="44">
        <v>0</v>
      </c>
      <c r="AL569" s="44">
        <v>0</v>
      </c>
      <c r="AM569" s="44">
        <v>0</v>
      </c>
      <c r="AN569" s="44">
        <v>0</v>
      </c>
      <c r="AO569" s="44">
        <v>0</v>
      </c>
      <c r="AP569" s="44">
        <v>0</v>
      </c>
      <c r="AQ569" s="44">
        <v>0</v>
      </c>
      <c r="AR569" s="44">
        <v>0</v>
      </c>
      <c r="AS569" s="44">
        <v>0</v>
      </c>
      <c r="AT569" s="40">
        <f t="shared" si="257"/>
        <v>0</v>
      </c>
      <c r="AU569" s="18">
        <f>AJ569-AM569</f>
        <v>2841000462</v>
      </c>
      <c r="AV569" s="34">
        <f>AM569-AP569</f>
        <v>0</v>
      </c>
      <c r="AW569" s="34">
        <f>AP569-AT569</f>
        <v>0</v>
      </c>
      <c r="AX569" s="123">
        <f>AP569/AJ569</f>
        <v>0</v>
      </c>
    </row>
    <row r="570" spans="1:50" ht="18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166" t="s">
        <v>1035</v>
      </c>
      <c r="AB570" s="167" t="s">
        <v>1036</v>
      </c>
      <c r="AC570" s="168"/>
      <c r="AD570" s="43">
        <v>0</v>
      </c>
      <c r="AE570" s="43">
        <v>3208930754.3099999</v>
      </c>
      <c r="AF570" s="44">
        <v>0</v>
      </c>
      <c r="AG570" s="75">
        <v>0</v>
      </c>
      <c r="AH570" s="43">
        <v>0</v>
      </c>
      <c r="AI570" s="43">
        <f>AE570-AF570+AG570-AH570</f>
        <v>3208930754.3099999</v>
      </c>
      <c r="AJ570" s="43">
        <f>AD570+AI570</f>
        <v>3208930754.3099999</v>
      </c>
      <c r="AK570" s="44">
        <v>0</v>
      </c>
      <c r="AL570" s="44">
        <v>0</v>
      </c>
      <c r="AM570" s="44">
        <v>0</v>
      </c>
      <c r="AN570" s="44">
        <v>0</v>
      </c>
      <c r="AO570" s="44">
        <v>0</v>
      </c>
      <c r="AP570" s="44">
        <v>0</v>
      </c>
      <c r="AQ570" s="44">
        <v>0</v>
      </c>
      <c r="AR570" s="44">
        <v>0</v>
      </c>
      <c r="AS570" s="44">
        <v>0</v>
      </c>
      <c r="AT570" s="40">
        <f t="shared" si="257"/>
        <v>0</v>
      </c>
      <c r="AU570" s="18">
        <f>AJ570-AM570</f>
        <v>3208930754.3099999</v>
      </c>
      <c r="AV570" s="34">
        <f>AM570-AP570</f>
        <v>0</v>
      </c>
      <c r="AW570" s="34">
        <f>AP570-AT570</f>
        <v>0</v>
      </c>
      <c r="AX570" s="123">
        <f>AP570/AJ570</f>
        <v>0</v>
      </c>
    </row>
    <row r="571" spans="1:50" ht="18.75" customHeight="1" x14ac:dyDescent="0.2">
      <c r="AA571" s="169" t="s">
        <v>288</v>
      </c>
      <c r="AB571" s="163" t="s">
        <v>455</v>
      </c>
      <c r="AC571" s="17"/>
      <c r="AD571" s="18"/>
      <c r="AE571" s="34"/>
      <c r="AF571" s="34"/>
      <c r="AG571" s="76"/>
      <c r="AH571" s="18"/>
      <c r="AI571" s="18"/>
      <c r="AJ571" s="18"/>
      <c r="AK571" s="34"/>
      <c r="AL571" s="34"/>
      <c r="AM571" s="34"/>
      <c r="AN571" s="34"/>
      <c r="AO571" s="34"/>
      <c r="AP571" s="34"/>
      <c r="AQ571" s="34"/>
      <c r="AR571" s="34"/>
      <c r="AS571" s="34"/>
      <c r="AT571" s="40"/>
      <c r="AU571" s="18"/>
      <c r="AV571" s="34"/>
      <c r="AW571" s="34"/>
      <c r="AX571" s="18"/>
    </row>
    <row r="572" spans="1:50" ht="18.75" customHeight="1" x14ac:dyDescent="0.2">
      <c r="A572" s="4" t="s">
        <v>55</v>
      </c>
      <c r="B572" s="4" t="s">
        <v>56</v>
      </c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1" t="s">
        <v>456</v>
      </c>
      <c r="AB572" s="42" t="s">
        <v>233</v>
      </c>
      <c r="AC572" s="43" t="s">
        <v>58</v>
      </c>
      <c r="AD572" s="43">
        <v>1983597115.25</v>
      </c>
      <c r="AE572" s="44">
        <v>0</v>
      </c>
      <c r="AF572" s="44">
        <v>0</v>
      </c>
      <c r="AG572" s="43">
        <f>15401381+3051706945.3</f>
        <v>3067108326.3000002</v>
      </c>
      <c r="AH572" s="43">
        <v>547969140</v>
      </c>
      <c r="AI572" s="43">
        <f>AE572-AF572+AG572-AH572</f>
        <v>2519139186.3000002</v>
      </c>
      <c r="AJ572" s="43">
        <f>AD572+AI572</f>
        <v>4502736301.5500002</v>
      </c>
      <c r="AK572" s="43">
        <v>15401381</v>
      </c>
      <c r="AL572" s="143">
        <f>AM572-AGOSTO!AM557</f>
        <v>0</v>
      </c>
      <c r="AM572" s="43">
        <v>3751706945.3000002</v>
      </c>
      <c r="AN572" s="44">
        <v>0</v>
      </c>
      <c r="AO572" s="44">
        <v>0</v>
      </c>
      <c r="AP572" s="43">
        <v>3751706945.3000002</v>
      </c>
      <c r="AQ572" s="43">
        <v>0</v>
      </c>
      <c r="AR572" s="44">
        <v>0</v>
      </c>
      <c r="AS572" s="43">
        <v>3751706945.3000002</v>
      </c>
      <c r="AT572" s="39">
        <f t="shared" si="257"/>
        <v>3751706945.3000002</v>
      </c>
      <c r="AU572" s="18">
        <f>AJ572-AM572</f>
        <v>751029356.25</v>
      </c>
      <c r="AV572" s="34">
        <f>AM572-AP572</f>
        <v>0</v>
      </c>
      <c r="AW572" s="34">
        <f>AP572-AT572</f>
        <v>0</v>
      </c>
      <c r="AX572" s="123">
        <f>AP572/AJ572</f>
        <v>0.83320600942332124</v>
      </c>
    </row>
    <row r="573" spans="1:50" ht="18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1" t="s">
        <v>1341</v>
      </c>
      <c r="AB573" s="42" t="s">
        <v>1342</v>
      </c>
      <c r="AC573" s="43"/>
      <c r="AD573" s="43">
        <v>0</v>
      </c>
      <c r="AE573" s="43">
        <v>1712498186</v>
      </c>
      <c r="AF573" s="44"/>
      <c r="AG573" s="43"/>
      <c r="AH573" s="43"/>
      <c r="AI573" s="43">
        <f>AE573-AF573+AG573-AH573</f>
        <v>1712498186</v>
      </c>
      <c r="AJ573" s="43">
        <f>AD573+AI573</f>
        <v>1712498186</v>
      </c>
      <c r="AK573" s="44">
        <v>0</v>
      </c>
      <c r="AL573" s="143">
        <v>0</v>
      </c>
      <c r="AM573" s="44">
        <v>0</v>
      </c>
      <c r="AN573" s="44">
        <v>0</v>
      </c>
      <c r="AO573" s="44">
        <v>0</v>
      </c>
      <c r="AP573" s="43">
        <v>0</v>
      </c>
      <c r="AQ573" s="43"/>
      <c r="AR573" s="44"/>
      <c r="AS573" s="44">
        <v>0</v>
      </c>
      <c r="AT573" s="40">
        <f t="shared" ref="AT573" si="258">AQ573+AS573</f>
        <v>0</v>
      </c>
      <c r="AU573" s="18">
        <f>AJ573-AM573</f>
        <v>1712498186</v>
      </c>
      <c r="AV573" s="34">
        <f>AM573-AP573</f>
        <v>0</v>
      </c>
      <c r="AW573" s="34">
        <f>AP573-AT573</f>
        <v>0</v>
      </c>
      <c r="AX573" s="123">
        <f>AP573/AJ573</f>
        <v>0</v>
      </c>
    </row>
    <row r="574" spans="1:50" ht="18.75" customHeight="1" x14ac:dyDescent="0.2">
      <c r="A574" s="4" t="s">
        <v>55</v>
      </c>
      <c r="B574" s="4" t="s">
        <v>56</v>
      </c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1" t="s">
        <v>457</v>
      </c>
      <c r="AB574" s="42" t="s">
        <v>458</v>
      </c>
      <c r="AC574" s="43" t="s">
        <v>454</v>
      </c>
      <c r="AD574" s="44">
        <v>0</v>
      </c>
      <c r="AE574" s="43">
        <v>14100000000</v>
      </c>
      <c r="AF574" s="44">
        <v>0</v>
      </c>
      <c r="AG574" s="43">
        <v>20296364215</v>
      </c>
      <c r="AH574" s="44">
        <v>0</v>
      </c>
      <c r="AI574" s="43">
        <f>AE574-AF574+AG574-AH574</f>
        <v>34396364215</v>
      </c>
      <c r="AJ574" s="43">
        <f>AD574+AI574</f>
        <v>34396364215</v>
      </c>
      <c r="AK574" s="44">
        <v>0</v>
      </c>
      <c r="AL574" s="143">
        <f>AM574-AGOSTO!AM558</f>
        <v>0</v>
      </c>
      <c r="AM574" s="43">
        <v>19256924334</v>
      </c>
      <c r="AN574" s="44">
        <v>0</v>
      </c>
      <c r="AO574" s="44">
        <v>0</v>
      </c>
      <c r="AP574" s="43">
        <v>19256924334</v>
      </c>
      <c r="AQ574" s="43">
        <v>126872349</v>
      </c>
      <c r="AR574" s="44">
        <v>0</v>
      </c>
      <c r="AS574" s="44">
        <v>0</v>
      </c>
      <c r="AT574" s="39">
        <f t="shared" si="257"/>
        <v>126872349</v>
      </c>
      <c r="AU574" s="18">
        <f>AJ574-AM574</f>
        <v>15139439881</v>
      </c>
      <c r="AV574" s="133">
        <f>AM574-AP574</f>
        <v>0</v>
      </c>
      <c r="AW574" s="18">
        <f>AP574-AT574</f>
        <v>19130051985</v>
      </c>
      <c r="AX574" s="123">
        <f>AP574/AJ574</f>
        <v>0.55985348374704669</v>
      </c>
    </row>
    <row r="575" spans="1:50" ht="18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1" t="s">
        <v>1300</v>
      </c>
      <c r="AB575" s="42" t="s">
        <v>1015</v>
      </c>
      <c r="AC575" s="43"/>
      <c r="AD575" s="44">
        <v>0</v>
      </c>
      <c r="AE575" s="43">
        <v>0</v>
      </c>
      <c r="AF575" s="44">
        <v>0</v>
      </c>
      <c r="AG575" s="43">
        <v>1743353380</v>
      </c>
      <c r="AH575" s="44">
        <v>0</v>
      </c>
      <c r="AI575" s="43">
        <f>AE575-AF575+AG575-AH575</f>
        <v>1743353380</v>
      </c>
      <c r="AJ575" s="43">
        <f>AD575+AI575</f>
        <v>1743353380</v>
      </c>
      <c r="AK575" s="44">
        <v>0</v>
      </c>
      <c r="AL575" s="143">
        <f>AM575-AGOSTO!AM559</f>
        <v>0</v>
      </c>
      <c r="AM575" s="43">
        <v>1727085164.7</v>
      </c>
      <c r="AN575" s="44">
        <v>0</v>
      </c>
      <c r="AO575" s="44">
        <v>0</v>
      </c>
      <c r="AP575" s="43">
        <v>1727085164.7</v>
      </c>
      <c r="AQ575" s="43"/>
      <c r="AR575" s="43">
        <v>212017959.41999999</v>
      </c>
      <c r="AS575" s="43">
        <v>1723222063.1199999</v>
      </c>
      <c r="AT575" s="39">
        <f t="shared" si="257"/>
        <v>1723222063.1199999</v>
      </c>
      <c r="AU575" s="18">
        <f>AJ575-AM575</f>
        <v>16268215.299999952</v>
      </c>
      <c r="AV575" s="34">
        <f>AM575-AP575</f>
        <v>0</v>
      </c>
      <c r="AW575" s="18">
        <f>AP575-AT575</f>
        <v>3863101.5800001621</v>
      </c>
      <c r="AX575" s="123">
        <f>AP575/AJ575</f>
        <v>0.99066843504786162</v>
      </c>
    </row>
    <row r="576" spans="1:50" ht="18.75" customHeight="1" x14ac:dyDescent="0.2">
      <c r="AA576" s="28" t="s">
        <v>288</v>
      </c>
      <c r="AB576" s="29" t="s">
        <v>459</v>
      </c>
      <c r="AC576" s="17"/>
      <c r="AD576" s="18"/>
      <c r="AE576" s="34"/>
      <c r="AF576" s="34"/>
      <c r="AG576" s="18"/>
      <c r="AH576" s="34"/>
      <c r="AI576" s="18"/>
      <c r="AJ576" s="18"/>
      <c r="AK576" s="34"/>
      <c r="AL576" s="34"/>
      <c r="AM576" s="18"/>
      <c r="AN576" s="34"/>
      <c r="AO576" s="145"/>
      <c r="AP576" s="18"/>
      <c r="AQ576" s="34"/>
      <c r="AR576" s="34"/>
      <c r="AS576" s="34"/>
      <c r="AT576" s="40"/>
      <c r="AU576" s="18"/>
      <c r="AV576" s="18"/>
      <c r="AW576" s="18"/>
      <c r="AX576" s="18"/>
    </row>
    <row r="577" spans="1:50" ht="18.75" customHeight="1" x14ac:dyDescent="0.2">
      <c r="A577" s="4" t="s">
        <v>55</v>
      </c>
      <c r="B577" s="4" t="s">
        <v>56</v>
      </c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1" t="s">
        <v>460</v>
      </c>
      <c r="AB577" s="42" t="s">
        <v>233</v>
      </c>
      <c r="AC577" s="43" t="s">
        <v>58</v>
      </c>
      <c r="AD577" s="43">
        <v>867728401</v>
      </c>
      <c r="AE577" s="44">
        <v>0</v>
      </c>
      <c r="AF577" s="44">
        <v>0</v>
      </c>
      <c r="AG577" s="44">
        <v>0</v>
      </c>
      <c r="AH577" s="44">
        <v>0</v>
      </c>
      <c r="AI577" s="44">
        <v>0</v>
      </c>
      <c r="AJ577" s="43">
        <v>867728401</v>
      </c>
      <c r="AK577" s="44">
        <v>0</v>
      </c>
      <c r="AL577" s="43">
        <f>AM577-AGOSTO!AM561</f>
        <v>38712537.799999952</v>
      </c>
      <c r="AM577" s="43">
        <v>867728401</v>
      </c>
      <c r="AN577" s="44">
        <v>0</v>
      </c>
      <c r="AO577" s="143">
        <v>0</v>
      </c>
      <c r="AP577" s="43">
        <v>829015863.20000005</v>
      </c>
      <c r="AQ577" s="44">
        <v>0</v>
      </c>
      <c r="AR577" s="43">
        <v>190259206.5</v>
      </c>
      <c r="AS577" s="43">
        <v>790343041.20000005</v>
      </c>
      <c r="AT577" s="39">
        <f t="shared" si="257"/>
        <v>790343041.20000005</v>
      </c>
      <c r="AU577" s="34">
        <f>AJ577-AM577</f>
        <v>0</v>
      </c>
      <c r="AV577" s="18">
        <f>AM577-AP577</f>
        <v>38712537.799999952</v>
      </c>
      <c r="AW577" s="18">
        <f>AP577-AT577</f>
        <v>38672822</v>
      </c>
      <c r="AX577" s="123">
        <f>AP577/AJ577</f>
        <v>0.95538634236774289</v>
      </c>
    </row>
    <row r="578" spans="1:50" ht="18.75" customHeight="1" x14ac:dyDescent="0.2">
      <c r="A578" s="4" t="s">
        <v>55</v>
      </c>
      <c r="B578" s="4" t="s">
        <v>56</v>
      </c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1" t="s">
        <v>461</v>
      </c>
      <c r="AB578" s="42" t="s">
        <v>462</v>
      </c>
      <c r="AC578" s="43" t="s">
        <v>428</v>
      </c>
      <c r="AD578" s="43">
        <v>208691582</v>
      </c>
      <c r="AE578" s="44">
        <v>0</v>
      </c>
      <c r="AF578" s="44">
        <v>0</v>
      </c>
      <c r="AG578" s="44">
        <v>0</v>
      </c>
      <c r="AH578" s="44">
        <v>0</v>
      </c>
      <c r="AI578" s="44">
        <v>0</v>
      </c>
      <c r="AJ578" s="43">
        <v>208691582</v>
      </c>
      <c r="AK578" s="44">
        <v>0</v>
      </c>
      <c r="AL578" s="44">
        <v>0</v>
      </c>
      <c r="AM578" s="44">
        <v>0</v>
      </c>
      <c r="AN578" s="44">
        <v>0</v>
      </c>
      <c r="AO578" s="44">
        <v>0</v>
      </c>
      <c r="AP578" s="44">
        <v>0</v>
      </c>
      <c r="AQ578" s="44">
        <v>0</v>
      </c>
      <c r="AR578" s="44">
        <v>0</v>
      </c>
      <c r="AS578" s="44">
        <v>0</v>
      </c>
      <c r="AT578" s="40">
        <f t="shared" si="257"/>
        <v>0</v>
      </c>
      <c r="AU578" s="18">
        <f>AJ578-AM578</f>
        <v>208691582</v>
      </c>
      <c r="AV578" s="34">
        <f>AM578-AP578</f>
        <v>0</v>
      </c>
      <c r="AW578" s="34">
        <f>AP578-AT578</f>
        <v>0</v>
      </c>
      <c r="AX578" s="123">
        <f>AP578/AJ578</f>
        <v>0</v>
      </c>
    </row>
    <row r="579" spans="1:50" ht="24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166" t="s">
        <v>1045</v>
      </c>
      <c r="AB579" s="167" t="s">
        <v>1044</v>
      </c>
      <c r="AC579" s="168"/>
      <c r="AD579" s="44">
        <v>0</v>
      </c>
      <c r="AE579" s="43">
        <v>439408481</v>
      </c>
      <c r="AF579" s="44">
        <v>0</v>
      </c>
      <c r="AG579" s="43">
        <v>1681878981.2</v>
      </c>
      <c r="AH579" s="44">
        <v>0</v>
      </c>
      <c r="AI579" s="43">
        <f>AE579-AF579+AG579-AH579</f>
        <v>2121287462.2</v>
      </c>
      <c r="AJ579" s="43">
        <f>AD579+AI579</f>
        <v>2121287462.2</v>
      </c>
      <c r="AK579" s="44">
        <v>0</v>
      </c>
      <c r="AL579" s="43">
        <v>2121287462.2</v>
      </c>
      <c r="AM579" s="43">
        <v>2121287462.2</v>
      </c>
      <c r="AN579" s="44">
        <v>0</v>
      </c>
      <c r="AO579" s="44">
        <v>0</v>
      </c>
      <c r="AP579" s="44">
        <v>0</v>
      </c>
      <c r="AQ579" s="44">
        <v>0</v>
      </c>
      <c r="AR579" s="44">
        <v>0</v>
      </c>
      <c r="AS579" s="44">
        <v>0</v>
      </c>
      <c r="AT579" s="40">
        <f t="shared" si="257"/>
        <v>0</v>
      </c>
      <c r="AU579" s="34">
        <f>AJ579-AM579</f>
        <v>0</v>
      </c>
      <c r="AV579" s="18">
        <f>AM579-AP579</f>
        <v>2121287462.2</v>
      </c>
      <c r="AW579" s="34">
        <f>AP579-AT579</f>
        <v>0</v>
      </c>
      <c r="AX579" s="123">
        <f>AP579/AJ579</f>
        <v>0</v>
      </c>
    </row>
    <row r="580" spans="1:50" ht="21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171" t="s">
        <v>288</v>
      </c>
      <c r="AB580" s="213" t="s">
        <v>1040</v>
      </c>
      <c r="AC580" s="168"/>
      <c r="AD580" s="44"/>
      <c r="AE580" s="44"/>
      <c r="AF580" s="44"/>
      <c r="AG580" s="44"/>
      <c r="AH580" s="44"/>
      <c r="AI580" s="44"/>
      <c r="AJ580" s="43"/>
      <c r="AK580" s="44"/>
      <c r="AL580" s="44"/>
      <c r="AM580" s="44"/>
      <c r="AN580" s="44"/>
      <c r="AO580" s="44"/>
      <c r="AP580" s="44"/>
      <c r="AQ580" s="44"/>
      <c r="AR580" s="44"/>
      <c r="AS580" s="44"/>
      <c r="AT580" s="40"/>
      <c r="AU580" s="18"/>
      <c r="AV580" s="34"/>
      <c r="AW580" s="34"/>
      <c r="AX580" s="123"/>
    </row>
    <row r="581" spans="1:50" ht="18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166" t="s">
        <v>1041</v>
      </c>
      <c r="AB581" s="167" t="s">
        <v>1015</v>
      </c>
      <c r="AC581" s="168"/>
      <c r="AD581" s="44">
        <v>0</v>
      </c>
      <c r="AE581" s="43">
        <v>117329833</v>
      </c>
      <c r="AF581" s="44">
        <v>0</v>
      </c>
      <c r="AG581" s="43">
        <v>8000000</v>
      </c>
      <c r="AH581" s="44">
        <v>0</v>
      </c>
      <c r="AI581" s="43">
        <f>AE581-AF581+AG581-AH581</f>
        <v>125329833</v>
      </c>
      <c r="AJ581" s="43">
        <f>AD581+AI581</f>
        <v>125329833</v>
      </c>
      <c r="AK581" s="44">
        <v>0</v>
      </c>
      <c r="AL581" s="44">
        <f>AM581-AGOSTO!AM565</f>
        <v>0</v>
      </c>
      <c r="AM581" s="43">
        <v>64761400</v>
      </c>
      <c r="AN581" s="44">
        <v>0</v>
      </c>
      <c r="AO581" s="44">
        <v>0</v>
      </c>
      <c r="AP581" s="43">
        <v>64761400</v>
      </c>
      <c r="AQ581" s="44">
        <v>0</v>
      </c>
      <c r="AR581" s="44">
        <v>0</v>
      </c>
      <c r="AS581" s="44">
        <v>0</v>
      </c>
      <c r="AT581" s="40">
        <f t="shared" ref="AT581:AT582" si="259">AQ581+AS581</f>
        <v>0</v>
      </c>
      <c r="AU581" s="18">
        <f>AJ581-AM581</f>
        <v>60568433</v>
      </c>
      <c r="AV581" s="34">
        <f>AM581-AP581</f>
        <v>0</v>
      </c>
      <c r="AW581" s="18">
        <f>AP581-AT581</f>
        <v>64761400</v>
      </c>
      <c r="AX581" s="123">
        <f>AP581/AJ581</f>
        <v>0.51672772914330778</v>
      </c>
    </row>
    <row r="582" spans="1:50" ht="28.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229" t="s">
        <v>1303</v>
      </c>
      <c r="AB582" s="230" t="s">
        <v>1304</v>
      </c>
      <c r="AC582" s="168"/>
      <c r="AD582" s="44">
        <v>0</v>
      </c>
      <c r="AE582" s="43">
        <v>0</v>
      </c>
      <c r="AF582" s="44">
        <v>0</v>
      </c>
      <c r="AG582" s="43">
        <v>130000000</v>
      </c>
      <c r="AH582" s="44">
        <v>0</v>
      </c>
      <c r="AI582" s="43">
        <f>AE582-AF582+AG582-AH582</f>
        <v>130000000</v>
      </c>
      <c r="AJ582" s="43">
        <f>AD582+AI582</f>
        <v>130000000</v>
      </c>
      <c r="AK582" s="44">
        <v>0</v>
      </c>
      <c r="AL582" s="44">
        <v>0</v>
      </c>
      <c r="AM582" s="44">
        <v>0</v>
      </c>
      <c r="AN582" s="44">
        <v>0</v>
      </c>
      <c r="AO582" s="44">
        <v>0</v>
      </c>
      <c r="AP582" s="44">
        <v>0</v>
      </c>
      <c r="AQ582" s="44">
        <v>0</v>
      </c>
      <c r="AR582" s="44">
        <v>0</v>
      </c>
      <c r="AS582" s="44">
        <v>0</v>
      </c>
      <c r="AT582" s="40">
        <f t="shared" si="259"/>
        <v>0</v>
      </c>
      <c r="AU582" s="18">
        <f>AJ582-AM582</f>
        <v>130000000</v>
      </c>
      <c r="AV582" s="34">
        <f>AM582-AP582</f>
        <v>0</v>
      </c>
      <c r="AW582" s="34">
        <f>AP582-AT582</f>
        <v>0</v>
      </c>
      <c r="AX582" s="123">
        <f>AP582/AJ582</f>
        <v>0</v>
      </c>
    </row>
    <row r="583" spans="1:50" ht="22.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208" t="s">
        <v>288</v>
      </c>
      <c r="AB583" s="209" t="s">
        <v>463</v>
      </c>
      <c r="AC583" s="43"/>
      <c r="AD583" s="43"/>
      <c r="AE583" s="44"/>
      <c r="AF583" s="44"/>
      <c r="AG583" s="43"/>
      <c r="AH583" s="44"/>
      <c r="AI583" s="43"/>
      <c r="AJ583" s="142"/>
      <c r="AK583" s="44"/>
      <c r="AL583" s="44"/>
      <c r="AM583" s="44"/>
      <c r="AN583" s="44"/>
      <c r="AO583" s="44"/>
      <c r="AP583" s="44"/>
      <c r="AQ583" s="44"/>
      <c r="AR583" s="44"/>
      <c r="AS583" s="44"/>
      <c r="AT583" s="40"/>
      <c r="AU583" s="43"/>
      <c r="AV583" s="44"/>
      <c r="AW583" s="44"/>
      <c r="AX583" s="43"/>
    </row>
    <row r="584" spans="1:50" ht="18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134" t="s">
        <v>464</v>
      </c>
      <c r="AB584" s="17" t="s">
        <v>458</v>
      </c>
      <c r="AC584" s="43"/>
      <c r="AD584" s="44">
        <v>0</v>
      </c>
      <c r="AE584" s="44">
        <v>0</v>
      </c>
      <c r="AF584" s="44">
        <v>0</v>
      </c>
      <c r="AG584" s="43">
        <v>1555449996</v>
      </c>
      <c r="AH584" s="44">
        <v>0</v>
      </c>
      <c r="AI584" s="43">
        <f>AE584-AF584+AG584-AH584</f>
        <v>1555449996</v>
      </c>
      <c r="AJ584" s="142">
        <f>AD584+AI584</f>
        <v>1555449996</v>
      </c>
      <c r="AK584" s="44">
        <v>0</v>
      </c>
      <c r="AL584" s="44">
        <v>0</v>
      </c>
      <c r="AM584" s="44">
        <v>0</v>
      </c>
      <c r="AN584" s="44">
        <v>0</v>
      </c>
      <c r="AO584" s="44">
        <v>0</v>
      </c>
      <c r="AP584" s="44">
        <v>0</v>
      </c>
      <c r="AQ584" s="44">
        <v>0</v>
      </c>
      <c r="AR584" s="44">
        <v>0</v>
      </c>
      <c r="AS584" s="44">
        <v>0</v>
      </c>
      <c r="AT584" s="40">
        <f>AQ584+AS584</f>
        <v>0</v>
      </c>
      <c r="AU584" s="18">
        <f>AJ584-AM584</f>
        <v>1555449996</v>
      </c>
      <c r="AV584" s="34">
        <f>AM584-AP584</f>
        <v>0</v>
      </c>
      <c r="AW584" s="34">
        <f>AP584-AT584</f>
        <v>0</v>
      </c>
      <c r="AX584" s="123">
        <f>AP584/AJ584</f>
        <v>0</v>
      </c>
    </row>
    <row r="585" spans="1:50" ht="18.75" customHeight="1" x14ac:dyDescent="0.2">
      <c r="AA585" s="28" t="s">
        <v>288</v>
      </c>
      <c r="AB585" s="29" t="s">
        <v>465</v>
      </c>
      <c r="AC585" s="17"/>
      <c r="AD585" s="18"/>
      <c r="AE585" s="34"/>
      <c r="AF585" s="34"/>
      <c r="AG585" s="18"/>
      <c r="AH585" s="34"/>
      <c r="AI585" s="18"/>
      <c r="AJ585" s="147"/>
      <c r="AK585" s="34"/>
      <c r="AL585" s="34"/>
      <c r="AM585" s="34"/>
      <c r="AN585" s="34"/>
      <c r="AO585" s="34"/>
      <c r="AP585" s="34"/>
      <c r="AQ585" s="34"/>
      <c r="AR585" s="34"/>
      <c r="AS585" s="34"/>
      <c r="AT585" s="40"/>
      <c r="AU585" s="18"/>
      <c r="AV585" s="34"/>
      <c r="AW585" s="34"/>
      <c r="AX585" s="18"/>
    </row>
    <row r="586" spans="1:50" ht="18.75" customHeight="1" x14ac:dyDescent="0.2">
      <c r="A586" s="4" t="s">
        <v>55</v>
      </c>
      <c r="B586" s="4" t="s">
        <v>56</v>
      </c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1" t="s">
        <v>466</v>
      </c>
      <c r="AB586" s="42" t="s">
        <v>233</v>
      </c>
      <c r="AC586" s="43" t="s">
        <v>58</v>
      </c>
      <c r="AD586" s="44">
        <v>0</v>
      </c>
      <c r="AE586" s="44">
        <v>0</v>
      </c>
      <c r="AF586" s="44">
        <v>0</v>
      </c>
      <c r="AG586" s="43">
        <v>95000000</v>
      </c>
      <c r="AH586" s="44">
        <v>0</v>
      </c>
      <c r="AI586" s="43">
        <f>AE586-AF586+AG586-AH586</f>
        <v>95000000</v>
      </c>
      <c r="AJ586" s="142">
        <f>AD586+AI586</f>
        <v>95000000</v>
      </c>
      <c r="AK586" s="44">
        <v>0</v>
      </c>
      <c r="AL586" s="115">
        <f>AM586-AGOSTO!AM570</f>
        <v>0</v>
      </c>
      <c r="AM586" s="114">
        <v>94976390.849999994</v>
      </c>
      <c r="AN586" s="44">
        <v>0</v>
      </c>
      <c r="AO586" s="115">
        <v>0</v>
      </c>
      <c r="AP586" s="114">
        <v>94976390.849999994</v>
      </c>
      <c r="AQ586" s="44">
        <v>0</v>
      </c>
      <c r="AR586" s="44">
        <v>0</v>
      </c>
      <c r="AS586" s="44">
        <v>0</v>
      </c>
      <c r="AT586" s="40">
        <f>AQ586+AS586</f>
        <v>0</v>
      </c>
      <c r="AU586" s="18">
        <f>AJ586-AM586</f>
        <v>23609.15000000596</v>
      </c>
      <c r="AV586" s="34">
        <f>AM586-AP586</f>
        <v>0</v>
      </c>
      <c r="AW586" s="110">
        <f>AP586-AT586</f>
        <v>94976390.849999994</v>
      </c>
      <c r="AX586" s="123">
        <f>AP586/AJ586</f>
        <v>0.99975148263157887</v>
      </c>
    </row>
    <row r="587" spans="1:50" ht="18.75" customHeight="1" x14ac:dyDescent="0.2">
      <c r="AA587" s="16"/>
      <c r="AB587" s="29" t="s">
        <v>467</v>
      </c>
      <c r="AC587" s="17"/>
      <c r="AD587" s="34"/>
      <c r="AE587" s="34"/>
      <c r="AF587" s="34"/>
      <c r="AG587" s="18"/>
      <c r="AH587" s="34"/>
      <c r="AI587" s="18"/>
      <c r="AJ587" s="147"/>
      <c r="AK587" s="34"/>
      <c r="AL587" s="34"/>
      <c r="AM587" s="34"/>
      <c r="AN587" s="34"/>
      <c r="AO587" s="34"/>
      <c r="AP587" s="34"/>
      <c r="AQ587" s="34"/>
      <c r="AR587" s="34"/>
      <c r="AS587" s="34"/>
      <c r="AT587" s="40"/>
      <c r="AU587" s="18"/>
      <c r="AV587" s="34"/>
      <c r="AW587" s="34"/>
      <c r="AX587" s="18"/>
    </row>
    <row r="588" spans="1:50" ht="18.75" customHeight="1" x14ac:dyDescent="0.2">
      <c r="A588" s="4" t="s">
        <v>55</v>
      </c>
      <c r="B588" s="4" t="s">
        <v>56</v>
      </c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1" t="s">
        <v>468</v>
      </c>
      <c r="AB588" s="42" t="s">
        <v>458</v>
      </c>
      <c r="AC588" s="43" t="s">
        <v>454</v>
      </c>
      <c r="AD588" s="44">
        <v>0</v>
      </c>
      <c r="AE588" s="44">
        <v>0</v>
      </c>
      <c r="AF588" s="44">
        <v>0</v>
      </c>
      <c r="AG588" s="43">
        <v>1331864802</v>
      </c>
      <c r="AH588" s="44">
        <v>0</v>
      </c>
      <c r="AI588" s="43">
        <f>AE588-AF588+AG588-AH588</f>
        <v>1331864802</v>
      </c>
      <c r="AJ588" s="43">
        <f>AD588+AI588</f>
        <v>1331864802</v>
      </c>
      <c r="AK588" s="44">
        <v>0</v>
      </c>
      <c r="AL588" s="44">
        <f>AM588-AGOSTO!AM572</f>
        <v>0</v>
      </c>
      <c r="AM588" s="43">
        <v>1200448717.8599999</v>
      </c>
      <c r="AN588" s="44">
        <v>0</v>
      </c>
      <c r="AO588" s="44">
        <v>0</v>
      </c>
      <c r="AP588" s="43">
        <v>180595241</v>
      </c>
      <c r="AQ588" s="44">
        <v>0</v>
      </c>
      <c r="AR588" s="44">
        <v>0</v>
      </c>
      <c r="AS588" s="44">
        <v>0</v>
      </c>
      <c r="AT588" s="40">
        <f>AQ588+AS588</f>
        <v>0</v>
      </c>
      <c r="AU588" s="18">
        <f>AJ588-AM588</f>
        <v>131416084.1400001</v>
      </c>
      <c r="AV588" s="18">
        <f>AM588-AP588</f>
        <v>1019853476.8599999</v>
      </c>
      <c r="AW588" s="18">
        <f>AP588-AT588</f>
        <v>180595241</v>
      </c>
      <c r="AX588" s="123">
        <f>AP588/AJ588</f>
        <v>0.13559577573399975</v>
      </c>
    </row>
    <row r="589" spans="1:50" ht="18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170" t="s">
        <v>288</v>
      </c>
      <c r="AB589" s="170" t="s">
        <v>970</v>
      </c>
      <c r="AC589" s="168"/>
      <c r="AD589" s="44"/>
      <c r="AE589" s="44"/>
      <c r="AF589" s="44"/>
      <c r="AG589" s="43"/>
      <c r="AH589" s="44"/>
      <c r="AI589" s="43"/>
      <c r="AJ589" s="43"/>
      <c r="AK589" s="44"/>
      <c r="AL589" s="44"/>
      <c r="AM589" s="44"/>
      <c r="AN589" s="44"/>
      <c r="AO589" s="44"/>
      <c r="AP589" s="44"/>
      <c r="AQ589" s="44"/>
      <c r="AR589" s="44"/>
      <c r="AS589" s="44"/>
      <c r="AT589" s="40"/>
      <c r="AU589" s="18"/>
      <c r="AV589" s="34"/>
      <c r="AW589" s="34"/>
      <c r="AX589" s="123"/>
    </row>
    <row r="590" spans="1:50" ht="18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166" t="s">
        <v>969</v>
      </c>
      <c r="AB590" s="166" t="s">
        <v>233</v>
      </c>
      <c r="AC590" s="168"/>
      <c r="AD590" s="44">
        <v>0</v>
      </c>
      <c r="AE590" s="44">
        <v>0</v>
      </c>
      <c r="AF590" s="44">
        <v>0</v>
      </c>
      <c r="AG590" s="43">
        <v>138279379</v>
      </c>
      <c r="AH590" s="43">
        <v>4993574</v>
      </c>
      <c r="AI590" s="43">
        <f>AE590-AF590+AG590-AH590</f>
        <v>133285805</v>
      </c>
      <c r="AJ590" s="43">
        <f>AD590+AI590</f>
        <v>133285805</v>
      </c>
      <c r="AK590" s="44">
        <v>0</v>
      </c>
      <c r="AL590" s="44">
        <f>AM590-AGOSTO!AM574</f>
        <v>0</v>
      </c>
      <c r="AM590" s="43">
        <v>133285804.41</v>
      </c>
      <c r="AN590" s="44">
        <v>0</v>
      </c>
      <c r="AO590" s="44">
        <v>0</v>
      </c>
      <c r="AP590" s="43">
        <v>133285804.41</v>
      </c>
      <c r="AQ590" s="44">
        <v>0</v>
      </c>
      <c r="AR590" s="44">
        <v>0</v>
      </c>
      <c r="AS590" s="44">
        <v>0</v>
      </c>
      <c r="AT590" s="40">
        <f>AQ590+AS590</f>
        <v>0</v>
      </c>
      <c r="AU590" s="18">
        <f>AJ590-AM590</f>
        <v>0.59000000357627869</v>
      </c>
      <c r="AV590" s="34">
        <f>AM590-AP590</f>
        <v>0</v>
      </c>
      <c r="AW590" s="18">
        <f>AP590-AT590</f>
        <v>133285804.41</v>
      </c>
      <c r="AX590" s="123">
        <f>AP590/AJ590</f>
        <v>0.99999999557342212</v>
      </c>
    </row>
    <row r="591" spans="1:50" ht="22.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166" t="s">
        <v>1042</v>
      </c>
      <c r="AB591" s="167" t="s">
        <v>1015</v>
      </c>
      <c r="AC591" s="168"/>
      <c r="AD591" s="44">
        <v>0</v>
      </c>
      <c r="AE591" s="43">
        <v>20000000</v>
      </c>
      <c r="AF591" s="44">
        <v>0</v>
      </c>
      <c r="AG591" s="43">
        <f>50000000+50000000</f>
        <v>100000000</v>
      </c>
      <c r="AH591" s="44">
        <v>0</v>
      </c>
      <c r="AI591" s="43">
        <f t="shared" ref="AI591:AI593" si="260">AE591-AF591+AG591-AH591</f>
        <v>120000000</v>
      </c>
      <c r="AJ591" s="43">
        <f t="shared" ref="AJ591:AJ593" si="261">AD591+AI591</f>
        <v>120000000</v>
      </c>
      <c r="AK591" s="44">
        <v>0</v>
      </c>
      <c r="AL591" s="44">
        <v>0</v>
      </c>
      <c r="AM591" s="44">
        <v>0</v>
      </c>
      <c r="AN591" s="44">
        <v>0</v>
      </c>
      <c r="AO591" s="44">
        <v>0</v>
      </c>
      <c r="AP591" s="44">
        <v>0</v>
      </c>
      <c r="AQ591" s="44">
        <v>0</v>
      </c>
      <c r="AR591" s="44">
        <v>0</v>
      </c>
      <c r="AS591" s="44">
        <v>0</v>
      </c>
      <c r="AT591" s="40">
        <f t="shared" ref="AT591:AT593" si="262">AQ591+AS591</f>
        <v>0</v>
      </c>
      <c r="AU591" s="18">
        <f>AJ591-AM591</f>
        <v>120000000</v>
      </c>
      <c r="AV591" s="34">
        <f>AM591-AP591</f>
        <v>0</v>
      </c>
      <c r="AW591" s="34">
        <f>AP591-AT591</f>
        <v>0</v>
      </c>
      <c r="AX591" s="123">
        <f>AP591/AJ591</f>
        <v>0</v>
      </c>
    </row>
    <row r="592" spans="1:50" ht="27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166" t="s">
        <v>1043</v>
      </c>
      <c r="AB592" s="167" t="s">
        <v>1044</v>
      </c>
      <c r="AC592" s="168"/>
      <c r="AD592" s="44">
        <v>0</v>
      </c>
      <c r="AE592" s="43">
        <v>2160000000</v>
      </c>
      <c r="AF592" s="44">
        <v>0</v>
      </c>
      <c r="AG592" s="44">
        <v>0</v>
      </c>
      <c r="AH592" s="43">
        <f>1681878981.2+478121018</f>
        <v>2159999999.1999998</v>
      </c>
      <c r="AI592" s="43">
        <f t="shared" si="260"/>
        <v>0.80000019073486328</v>
      </c>
      <c r="AJ592" s="43">
        <f t="shared" si="261"/>
        <v>0.80000019073486328</v>
      </c>
      <c r="AK592" s="44">
        <v>0</v>
      </c>
      <c r="AL592" s="44">
        <v>0</v>
      </c>
      <c r="AM592" s="44">
        <v>0</v>
      </c>
      <c r="AN592" s="44">
        <v>0</v>
      </c>
      <c r="AO592" s="143">
        <v>0</v>
      </c>
      <c r="AP592" s="44">
        <v>0</v>
      </c>
      <c r="AQ592" s="44">
        <v>0</v>
      </c>
      <c r="AR592" s="44">
        <v>0</v>
      </c>
      <c r="AS592" s="44">
        <v>0</v>
      </c>
      <c r="AT592" s="40">
        <f t="shared" si="262"/>
        <v>0</v>
      </c>
      <c r="AU592" s="18">
        <f>AJ592-AM592</f>
        <v>0.80000019073486328</v>
      </c>
      <c r="AV592" s="34">
        <f>AM592-AP592</f>
        <v>0</v>
      </c>
      <c r="AW592" s="34">
        <f>AP592-AT592</f>
        <v>0</v>
      </c>
      <c r="AX592" s="123">
        <f>AP592/AJ592</f>
        <v>0</v>
      </c>
    </row>
    <row r="593" spans="1:50" ht="27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229" t="s">
        <v>1305</v>
      </c>
      <c r="AB593" s="230" t="s">
        <v>1304</v>
      </c>
      <c r="AC593" s="168"/>
      <c r="AD593" s="44">
        <v>0</v>
      </c>
      <c r="AE593" s="43">
        <v>0</v>
      </c>
      <c r="AF593" s="44">
        <v>0</v>
      </c>
      <c r="AG593" s="43">
        <v>60000000</v>
      </c>
      <c r="AH593" s="43">
        <v>0</v>
      </c>
      <c r="AI593" s="43">
        <f t="shared" si="260"/>
        <v>60000000</v>
      </c>
      <c r="AJ593" s="43">
        <f t="shared" si="261"/>
        <v>60000000</v>
      </c>
      <c r="AK593" s="44">
        <v>0</v>
      </c>
      <c r="AL593" s="44">
        <v>0</v>
      </c>
      <c r="AM593" s="44">
        <v>0</v>
      </c>
      <c r="AN593" s="44">
        <v>0</v>
      </c>
      <c r="AO593" s="143">
        <v>0</v>
      </c>
      <c r="AP593" s="44">
        <v>0</v>
      </c>
      <c r="AQ593" s="44">
        <v>0</v>
      </c>
      <c r="AR593" s="44">
        <v>0</v>
      </c>
      <c r="AS593" s="44">
        <v>0</v>
      </c>
      <c r="AT593" s="40">
        <f t="shared" si="262"/>
        <v>0</v>
      </c>
      <c r="AU593" s="18">
        <f>AJ593-AM593</f>
        <v>60000000</v>
      </c>
      <c r="AV593" s="34">
        <f>AM593-AP593</f>
        <v>0</v>
      </c>
      <c r="AW593" s="34">
        <f>AP593-AT593</f>
        <v>0</v>
      </c>
      <c r="AX593" s="123">
        <f>AP593/AJ593</f>
        <v>0</v>
      </c>
    </row>
    <row r="594" spans="1:50" ht="18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171" t="s">
        <v>288</v>
      </c>
      <c r="AB594" s="171" t="s">
        <v>971</v>
      </c>
      <c r="AC594" s="168"/>
      <c r="AD594" s="44"/>
      <c r="AE594" s="44"/>
      <c r="AF594" s="44"/>
      <c r="AG594" s="43"/>
      <c r="AH594" s="44"/>
      <c r="AI594" s="43"/>
      <c r="AJ594" s="43"/>
      <c r="AK594" s="44"/>
      <c r="AL594" s="44"/>
      <c r="AM594" s="44"/>
      <c r="AN594" s="44"/>
      <c r="AO594" s="143"/>
      <c r="AP594" s="44"/>
      <c r="AQ594" s="44"/>
      <c r="AR594" s="44"/>
      <c r="AS594" s="44"/>
      <c r="AT594" s="40"/>
      <c r="AU594" s="18"/>
      <c r="AV594" s="34"/>
      <c r="AW594" s="34"/>
      <c r="AX594" s="123"/>
    </row>
    <row r="595" spans="1:50" ht="18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166" t="s">
        <v>968</v>
      </c>
      <c r="AB595" s="166" t="s">
        <v>233</v>
      </c>
      <c r="AC595" s="168"/>
      <c r="AD595" s="44">
        <v>0</v>
      </c>
      <c r="AE595" s="44">
        <v>0</v>
      </c>
      <c r="AF595" s="44">
        <v>0</v>
      </c>
      <c r="AG595" s="43">
        <v>610000000</v>
      </c>
      <c r="AH595" s="44"/>
      <c r="AI595" s="43">
        <f>AE595-AF595+AG595-AH595</f>
        <v>610000000</v>
      </c>
      <c r="AJ595" s="43">
        <f>AD595+AI595</f>
        <v>610000000</v>
      </c>
      <c r="AK595" s="44">
        <v>0</v>
      </c>
      <c r="AL595" s="43">
        <f>AM595-AGOSTO!AM579</f>
        <v>13493333.329999983</v>
      </c>
      <c r="AM595" s="43">
        <v>452558262.32999998</v>
      </c>
      <c r="AN595" s="44">
        <v>0</v>
      </c>
      <c r="AO595" s="142">
        <v>14633333.33</v>
      </c>
      <c r="AP595" s="43">
        <v>67893333.329999998</v>
      </c>
      <c r="AQ595" s="43">
        <v>0</v>
      </c>
      <c r="AR595" s="43">
        <v>8673332</v>
      </c>
      <c r="AS595" s="43">
        <v>9046665</v>
      </c>
      <c r="AT595" s="39">
        <f>AQ595+AS595</f>
        <v>9046665</v>
      </c>
      <c r="AU595" s="18">
        <f>AJ595-AM595</f>
        <v>157441737.67000002</v>
      </c>
      <c r="AV595" s="18">
        <f>AM595-AP595</f>
        <v>384664929</v>
      </c>
      <c r="AW595" s="18">
        <f>AP595-AT595</f>
        <v>58846668.329999998</v>
      </c>
      <c r="AX595" s="123">
        <f>AP595/AJ595</f>
        <v>0.11130054644262295</v>
      </c>
    </row>
    <row r="596" spans="1:50" ht="18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171" t="s">
        <v>288</v>
      </c>
      <c r="AB596" s="171" t="s">
        <v>1346</v>
      </c>
      <c r="AC596" s="168"/>
      <c r="AD596" s="44"/>
      <c r="AE596" s="44"/>
      <c r="AF596" s="44"/>
      <c r="AG596" s="43"/>
      <c r="AH596" s="44"/>
      <c r="AI596" s="43"/>
      <c r="AJ596" s="43"/>
      <c r="AK596" s="44"/>
      <c r="AL596" s="43"/>
      <c r="AM596" s="43"/>
      <c r="AN596" s="43"/>
      <c r="AO596" s="142"/>
      <c r="AP596" s="43"/>
      <c r="AQ596" s="43"/>
      <c r="AR596" s="43"/>
      <c r="AS596" s="43"/>
      <c r="AT596" s="39"/>
      <c r="AU596" s="18"/>
      <c r="AV596" s="18"/>
      <c r="AW596" s="18"/>
      <c r="AX596" s="123"/>
    </row>
    <row r="597" spans="1:50" ht="18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229" t="s">
        <v>1347</v>
      </c>
      <c r="AB597" s="229" t="s">
        <v>233</v>
      </c>
      <c r="AC597" s="168"/>
      <c r="AD597" s="44">
        <v>0</v>
      </c>
      <c r="AE597" s="44">
        <v>0</v>
      </c>
      <c r="AF597" s="44">
        <v>0</v>
      </c>
      <c r="AG597" s="43">
        <v>7000000000</v>
      </c>
      <c r="AH597" s="44">
        <v>0</v>
      </c>
      <c r="AI597" s="43">
        <f>AE597-AF597+AG597-AH597</f>
        <v>7000000000</v>
      </c>
      <c r="AJ597" s="43">
        <f>AD597+AI597</f>
        <v>7000000000</v>
      </c>
      <c r="AK597" s="44">
        <v>0</v>
      </c>
      <c r="AL597" s="44">
        <v>0</v>
      </c>
      <c r="AM597" s="44">
        <v>0</v>
      </c>
      <c r="AN597" s="44">
        <v>0</v>
      </c>
      <c r="AO597" s="143">
        <v>0</v>
      </c>
      <c r="AP597" s="44">
        <v>0</v>
      </c>
      <c r="AQ597" s="44">
        <v>0</v>
      </c>
      <c r="AR597" s="44">
        <v>0</v>
      </c>
      <c r="AS597" s="44">
        <v>0</v>
      </c>
      <c r="AT597" s="40">
        <f>AQ597+AS597</f>
        <v>0</v>
      </c>
      <c r="AU597" s="18">
        <f>AJ597-AM597</f>
        <v>7000000000</v>
      </c>
      <c r="AV597" s="34">
        <f>AM597-AP597</f>
        <v>0</v>
      </c>
      <c r="AW597" s="34">
        <f>AP597-AT597</f>
        <v>0</v>
      </c>
      <c r="AX597" s="123">
        <f>AP597/AJ597</f>
        <v>0</v>
      </c>
    </row>
    <row r="598" spans="1:50" ht="18.75" customHeight="1" x14ac:dyDescent="0.2">
      <c r="AA598" s="169" t="s">
        <v>288</v>
      </c>
      <c r="AB598" s="205" t="s">
        <v>469</v>
      </c>
      <c r="AC598" s="17"/>
      <c r="AD598" s="18"/>
      <c r="AE598" s="18"/>
      <c r="AF598" s="18"/>
      <c r="AG598" s="18"/>
      <c r="AH598" s="34"/>
      <c r="AI598" s="18"/>
      <c r="AJ598" s="18"/>
      <c r="AK598" s="34"/>
      <c r="AL598" s="34"/>
      <c r="AM598" s="34"/>
      <c r="AN598" s="34"/>
      <c r="AO598" s="145"/>
      <c r="AP598" s="34"/>
      <c r="AQ598" s="34"/>
      <c r="AR598" s="34"/>
      <c r="AS598" s="34"/>
      <c r="AT598" s="40"/>
      <c r="AU598" s="18"/>
      <c r="AV598" s="34"/>
      <c r="AW598" s="18"/>
      <c r="AX598" s="18"/>
    </row>
    <row r="599" spans="1:50" ht="18.75" customHeight="1" x14ac:dyDescent="0.2">
      <c r="A599" s="4" t="s">
        <v>55</v>
      </c>
      <c r="B599" s="4" t="s">
        <v>56</v>
      </c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211" t="s">
        <v>470</v>
      </c>
      <c r="AB599" s="265" t="s">
        <v>233</v>
      </c>
      <c r="AC599" s="43" t="s">
        <v>58</v>
      </c>
      <c r="AD599" s="43">
        <v>128000000</v>
      </c>
      <c r="AE599" s="44">
        <v>0</v>
      </c>
      <c r="AF599" s="44">
        <v>0</v>
      </c>
      <c r="AG599" s="43">
        <v>89000000</v>
      </c>
      <c r="AH599" s="44">
        <v>0</v>
      </c>
      <c r="AI599" s="43">
        <f>AE599-AF599+AG599-AH599</f>
        <v>89000000</v>
      </c>
      <c r="AJ599" s="43">
        <f>AD599+AI599</f>
        <v>217000000</v>
      </c>
      <c r="AK599" s="44">
        <v>0</v>
      </c>
      <c r="AL599" s="44">
        <v>0</v>
      </c>
      <c r="AM599" s="44">
        <v>0</v>
      </c>
      <c r="AN599" s="44">
        <v>0</v>
      </c>
      <c r="AO599" s="44">
        <v>0</v>
      </c>
      <c r="AP599" s="44">
        <v>0</v>
      </c>
      <c r="AQ599" s="44">
        <v>0</v>
      </c>
      <c r="AR599" s="44">
        <v>0</v>
      </c>
      <c r="AS599" s="44">
        <v>0</v>
      </c>
      <c r="AT599" s="40">
        <f>AQ599+AS599</f>
        <v>0</v>
      </c>
      <c r="AU599" s="18">
        <f>AJ599-AM599</f>
        <v>217000000</v>
      </c>
      <c r="AV599" s="34">
        <f>AM599-AP599</f>
        <v>0</v>
      </c>
      <c r="AW599" s="34">
        <f>AP599-AT599</f>
        <v>0</v>
      </c>
      <c r="AX599" s="123">
        <f>AP599/AJ599</f>
        <v>0</v>
      </c>
    </row>
    <row r="600" spans="1:50" ht="28.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166" t="s">
        <v>1029</v>
      </c>
      <c r="AB600" s="266" t="s">
        <v>1030</v>
      </c>
      <c r="AC600" s="168"/>
      <c r="AD600" s="44">
        <v>0</v>
      </c>
      <c r="AE600" s="43">
        <v>451451337.30000001</v>
      </c>
      <c r="AF600" s="44">
        <v>0</v>
      </c>
      <c r="AG600" s="44">
        <v>0</v>
      </c>
      <c r="AH600" s="43">
        <v>451451337.30000001</v>
      </c>
      <c r="AI600" s="44">
        <f t="shared" ref="AI600:AI602" si="263">AE600-AF600+AG600-AH600</f>
        <v>0</v>
      </c>
      <c r="AJ600" s="44">
        <f t="shared" ref="AJ600:AJ602" si="264">AD600+AI600</f>
        <v>0</v>
      </c>
      <c r="AK600" s="44">
        <v>0</v>
      </c>
      <c r="AL600" s="44">
        <v>0</v>
      </c>
      <c r="AM600" s="44">
        <v>0</v>
      </c>
      <c r="AN600" s="44">
        <v>0</v>
      </c>
      <c r="AO600" s="44">
        <v>0</v>
      </c>
      <c r="AP600" s="44">
        <v>0</v>
      </c>
      <c r="AQ600" s="44">
        <v>0</v>
      </c>
      <c r="AR600" s="44">
        <v>0</v>
      </c>
      <c r="AS600" s="44">
        <v>0</v>
      </c>
      <c r="AT600" s="40">
        <f t="shared" ref="AT600:AT602" si="265">AQ600+AS600</f>
        <v>0</v>
      </c>
      <c r="AU600" s="34">
        <f>AJ600-AM600</f>
        <v>0</v>
      </c>
      <c r="AV600" s="34">
        <f>AM600-AP600</f>
        <v>0</v>
      </c>
      <c r="AW600" s="34">
        <f>AP600-AT600</f>
        <v>0</v>
      </c>
      <c r="AX600" s="123">
        <v>0</v>
      </c>
    </row>
    <row r="601" spans="1:50" ht="18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166" t="s">
        <v>1031</v>
      </c>
      <c r="AB601" s="266" t="s">
        <v>1032</v>
      </c>
      <c r="AC601" s="168"/>
      <c r="AD601" s="44">
        <v>0</v>
      </c>
      <c r="AE601" s="43">
        <v>700000000</v>
      </c>
      <c r="AF601" s="44">
        <v>0</v>
      </c>
      <c r="AG601" s="44">
        <v>0</v>
      </c>
      <c r="AH601" s="43">
        <v>700000000</v>
      </c>
      <c r="AI601" s="44">
        <f t="shared" si="263"/>
        <v>0</v>
      </c>
      <c r="AJ601" s="44">
        <f t="shared" si="264"/>
        <v>0</v>
      </c>
      <c r="AK601" s="44">
        <v>0</v>
      </c>
      <c r="AL601" s="44">
        <v>0</v>
      </c>
      <c r="AM601" s="44">
        <v>0</v>
      </c>
      <c r="AN601" s="44">
        <v>0</v>
      </c>
      <c r="AO601" s="44">
        <v>0</v>
      </c>
      <c r="AP601" s="44">
        <v>0</v>
      </c>
      <c r="AQ601" s="44">
        <v>0</v>
      </c>
      <c r="AR601" s="44">
        <v>0</v>
      </c>
      <c r="AS601" s="44">
        <v>0</v>
      </c>
      <c r="AT601" s="40">
        <f t="shared" si="265"/>
        <v>0</v>
      </c>
      <c r="AU601" s="34">
        <f>AJ601-AM601</f>
        <v>0</v>
      </c>
      <c r="AV601" s="34">
        <f>AM601-AP601</f>
        <v>0</v>
      </c>
      <c r="AW601" s="34">
        <f>AP601-AT601</f>
        <v>0</v>
      </c>
      <c r="AX601" s="123">
        <v>0</v>
      </c>
    </row>
    <row r="602" spans="1:50" ht="18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166" t="s">
        <v>1033</v>
      </c>
      <c r="AB602" s="167" t="s">
        <v>1034</v>
      </c>
      <c r="AC602" s="168"/>
      <c r="AD602" s="44">
        <v>0</v>
      </c>
      <c r="AE602" s="43">
        <v>1040743</v>
      </c>
      <c r="AF602" s="44">
        <v>0</v>
      </c>
      <c r="AG602" s="44">
        <v>0</v>
      </c>
      <c r="AH602" s="43">
        <v>1040743</v>
      </c>
      <c r="AI602" s="44">
        <f t="shared" si="263"/>
        <v>0</v>
      </c>
      <c r="AJ602" s="44">
        <f t="shared" si="264"/>
        <v>0</v>
      </c>
      <c r="AK602" s="44">
        <v>0</v>
      </c>
      <c r="AL602" s="44">
        <v>0</v>
      </c>
      <c r="AM602" s="44">
        <v>0</v>
      </c>
      <c r="AN602" s="44">
        <v>0</v>
      </c>
      <c r="AO602" s="44">
        <v>0</v>
      </c>
      <c r="AP602" s="44">
        <v>0</v>
      </c>
      <c r="AQ602" s="44">
        <v>0</v>
      </c>
      <c r="AR602" s="44">
        <v>0</v>
      </c>
      <c r="AS602" s="44">
        <v>0</v>
      </c>
      <c r="AT602" s="40">
        <f t="shared" si="265"/>
        <v>0</v>
      </c>
      <c r="AU602" s="34">
        <f>AJ602-AM602</f>
        <v>0</v>
      </c>
      <c r="AV602" s="34">
        <f>AM602-AP602</f>
        <v>0</v>
      </c>
      <c r="AW602" s="34">
        <f>AP602-AT602</f>
        <v>0</v>
      </c>
      <c r="AX602" s="123">
        <v>0</v>
      </c>
    </row>
    <row r="603" spans="1:50" ht="18.75" customHeight="1" x14ac:dyDescent="0.2">
      <c r="AA603" s="169" t="s">
        <v>288</v>
      </c>
      <c r="AB603" s="163" t="s">
        <v>471</v>
      </c>
      <c r="AC603" s="17"/>
      <c r="AD603" s="18"/>
      <c r="AE603" s="34"/>
      <c r="AF603" s="34"/>
      <c r="AG603" s="34"/>
      <c r="AH603" s="18"/>
      <c r="AI603" s="18"/>
      <c r="AJ603" s="18"/>
      <c r="AK603" s="34"/>
      <c r="AL603" s="34"/>
      <c r="AM603" s="34"/>
      <c r="AN603" s="34"/>
      <c r="AO603" s="34"/>
      <c r="AP603" s="34"/>
      <c r="AQ603" s="34"/>
      <c r="AR603" s="34"/>
      <c r="AS603" s="34"/>
      <c r="AT603" s="40"/>
      <c r="AU603" s="18"/>
      <c r="AV603" s="34"/>
      <c r="AW603" s="34"/>
      <c r="AX603" s="18"/>
    </row>
    <row r="604" spans="1:50" ht="18.75" customHeight="1" x14ac:dyDescent="0.2">
      <c r="A604" s="4" t="s">
        <v>55</v>
      </c>
      <c r="B604" s="4" t="s">
        <v>56</v>
      </c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1" t="s">
        <v>472</v>
      </c>
      <c r="AB604" s="42" t="s">
        <v>453</v>
      </c>
      <c r="AC604" s="43" t="s">
        <v>454</v>
      </c>
      <c r="AD604" s="43">
        <v>16500000000</v>
      </c>
      <c r="AE604" s="44">
        <v>0</v>
      </c>
      <c r="AF604" s="44">
        <v>0</v>
      </c>
      <c r="AG604" s="44">
        <v>0</v>
      </c>
      <c r="AH604" s="43">
        <v>16500000000</v>
      </c>
      <c r="AI604" s="43">
        <f>AE604-AF604+AG604-AH604</f>
        <v>-16500000000</v>
      </c>
      <c r="AJ604" s="44">
        <f>AD604+AI604</f>
        <v>0</v>
      </c>
      <c r="AK604" s="44">
        <v>0</v>
      </c>
      <c r="AL604" s="44">
        <v>0</v>
      </c>
      <c r="AM604" s="44">
        <v>0</v>
      </c>
      <c r="AN604" s="44">
        <v>0</v>
      </c>
      <c r="AO604" s="44">
        <v>0</v>
      </c>
      <c r="AP604" s="44">
        <v>0</v>
      </c>
      <c r="AQ604" s="44">
        <v>0</v>
      </c>
      <c r="AR604" s="44">
        <v>0</v>
      </c>
      <c r="AS604" s="44">
        <v>0</v>
      </c>
      <c r="AT604" s="40">
        <f>AQ604+AS604</f>
        <v>0</v>
      </c>
      <c r="AU604" s="34">
        <f>AJ604-AM604</f>
        <v>0</v>
      </c>
      <c r="AV604" s="34">
        <f>AM604-AP604</f>
        <v>0</v>
      </c>
      <c r="AW604" s="34">
        <f>AP604-AT604</f>
        <v>0</v>
      </c>
      <c r="AX604" s="123">
        <v>0</v>
      </c>
    </row>
    <row r="605" spans="1:50" ht="25.5" x14ac:dyDescent="0.2">
      <c r="AA605" s="28" t="s">
        <v>288</v>
      </c>
      <c r="AB605" s="29" t="s">
        <v>473</v>
      </c>
      <c r="AC605" s="17"/>
      <c r="AD605" s="18"/>
      <c r="AE605" s="18"/>
      <c r="AF605" s="18"/>
      <c r="AG605" s="18"/>
      <c r="AH605" s="18"/>
      <c r="AI605" s="18"/>
      <c r="AJ605" s="18"/>
      <c r="AK605" s="34"/>
      <c r="AL605" s="34"/>
      <c r="AM605" s="34"/>
      <c r="AN605" s="34"/>
      <c r="AO605" s="34"/>
      <c r="AP605" s="34"/>
      <c r="AQ605" s="18"/>
      <c r="AR605" s="18"/>
      <c r="AS605" s="18"/>
      <c r="AT605" s="40"/>
      <c r="AU605" s="18"/>
      <c r="AV605" s="34"/>
      <c r="AW605" s="34"/>
      <c r="AX605" s="18"/>
    </row>
    <row r="606" spans="1:50" ht="18.75" customHeight="1" x14ac:dyDescent="0.2">
      <c r="A606" s="4" t="s">
        <v>55</v>
      </c>
      <c r="B606" s="4" t="s">
        <v>56</v>
      </c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1" t="s">
        <v>474</v>
      </c>
      <c r="AB606" s="42" t="s">
        <v>233</v>
      </c>
      <c r="AC606" s="43" t="s">
        <v>58</v>
      </c>
      <c r="AD606" s="44">
        <v>0</v>
      </c>
      <c r="AE606" s="44">
        <v>0</v>
      </c>
      <c r="AF606" s="44">
        <v>0</v>
      </c>
      <c r="AG606" s="43">
        <v>22204778</v>
      </c>
      <c r="AH606" s="44">
        <v>0</v>
      </c>
      <c r="AI606" s="43">
        <f>AE606-AF606+AG606-AH606</f>
        <v>22204778</v>
      </c>
      <c r="AJ606" s="43">
        <f>AD606+AI606</f>
        <v>22204778</v>
      </c>
      <c r="AK606" s="44">
        <v>0</v>
      </c>
      <c r="AL606" s="44">
        <v>0</v>
      </c>
      <c r="AM606" s="44">
        <v>0</v>
      </c>
      <c r="AN606" s="44">
        <v>0</v>
      </c>
      <c r="AO606" s="44">
        <v>0</v>
      </c>
      <c r="AP606" s="44">
        <v>0</v>
      </c>
      <c r="AQ606" s="44">
        <v>0</v>
      </c>
      <c r="AR606" s="44">
        <v>0</v>
      </c>
      <c r="AS606" s="44">
        <v>0</v>
      </c>
      <c r="AT606" s="40">
        <f>AQ606+AS606</f>
        <v>0</v>
      </c>
      <c r="AU606" s="18">
        <f>AJ606-AM606</f>
        <v>22204778</v>
      </c>
      <c r="AV606" s="34">
        <f>AM606-AP606</f>
        <v>0</v>
      </c>
      <c r="AW606" s="34">
        <f>AP606-AT606</f>
        <v>0</v>
      </c>
      <c r="AX606" s="123">
        <f>AP606/AJ606</f>
        <v>0</v>
      </c>
    </row>
    <row r="607" spans="1:50" ht="18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1" t="s">
        <v>1279</v>
      </c>
      <c r="AB607" s="42" t="s">
        <v>1280</v>
      </c>
      <c r="AC607" s="168"/>
      <c r="AD607" s="44">
        <v>0</v>
      </c>
      <c r="AE607" s="44">
        <v>0</v>
      </c>
      <c r="AF607" s="44">
        <v>0</v>
      </c>
      <c r="AG607" s="43">
        <v>451451337.30000001</v>
      </c>
      <c r="AH607" s="44"/>
      <c r="AI607" s="43">
        <f t="shared" ref="AI607:AI611" si="266">AE607-AF607+AG607-AH607</f>
        <v>451451337.30000001</v>
      </c>
      <c r="AJ607" s="43">
        <f t="shared" ref="AJ607:AJ611" si="267">AD607+AI607</f>
        <v>451451337.30000001</v>
      </c>
      <c r="AK607" s="44">
        <v>0</v>
      </c>
      <c r="AL607" s="43">
        <f>AM607-AGOSTO!AM589</f>
        <v>451451337</v>
      </c>
      <c r="AM607" s="43">
        <v>451451337</v>
      </c>
      <c r="AN607" s="44">
        <v>0</v>
      </c>
      <c r="AO607" s="44">
        <v>0</v>
      </c>
      <c r="AP607" s="44">
        <v>0</v>
      </c>
      <c r="AQ607" s="44">
        <v>0</v>
      </c>
      <c r="AR607" s="44">
        <v>0</v>
      </c>
      <c r="AS607" s="44">
        <v>0</v>
      </c>
      <c r="AT607" s="40">
        <f t="shared" ref="AT607:AT610" si="268">AQ607+AS607</f>
        <v>0</v>
      </c>
      <c r="AU607" s="18">
        <f t="shared" ref="AU607:AU610" si="269">AJ607-AM607</f>
        <v>0.30000001192092896</v>
      </c>
      <c r="AV607" s="18">
        <f t="shared" ref="AV607:AV610" si="270">AM607-AP607</f>
        <v>451451337</v>
      </c>
      <c r="AW607" s="34">
        <f t="shared" ref="AW607:AW610" si="271">AP607-AT607</f>
        <v>0</v>
      </c>
      <c r="AX607" s="123">
        <f t="shared" ref="AX607:AX610" si="272">AP607/AJ607</f>
        <v>0</v>
      </c>
    </row>
    <row r="608" spans="1:50" ht="18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1" t="s">
        <v>1281</v>
      </c>
      <c r="AB608" s="42" t="s">
        <v>1032</v>
      </c>
      <c r="AC608" s="168"/>
      <c r="AD608" s="44">
        <v>0</v>
      </c>
      <c r="AE608" s="44">
        <v>0</v>
      </c>
      <c r="AF608" s="44">
        <v>0</v>
      </c>
      <c r="AG608" s="43">
        <v>700000000</v>
      </c>
      <c r="AH608" s="44"/>
      <c r="AI608" s="43">
        <f t="shared" si="266"/>
        <v>700000000</v>
      </c>
      <c r="AJ608" s="43">
        <f t="shared" si="267"/>
        <v>700000000</v>
      </c>
      <c r="AK608" s="44">
        <v>0</v>
      </c>
      <c r="AL608" s="43">
        <f>AM608-AGOSTO!AM590</f>
        <v>433389785.06</v>
      </c>
      <c r="AM608" s="43">
        <v>433389785.06</v>
      </c>
      <c r="AN608" s="44">
        <v>0</v>
      </c>
      <c r="AO608" s="44">
        <v>0</v>
      </c>
      <c r="AP608" s="44">
        <v>0</v>
      </c>
      <c r="AQ608" s="44">
        <v>0</v>
      </c>
      <c r="AR608" s="44">
        <v>0</v>
      </c>
      <c r="AS608" s="44">
        <v>0</v>
      </c>
      <c r="AT608" s="40">
        <f t="shared" si="268"/>
        <v>0</v>
      </c>
      <c r="AU608" s="18">
        <f t="shared" si="269"/>
        <v>266610214.94</v>
      </c>
      <c r="AV608" s="18">
        <f t="shared" si="270"/>
        <v>433389785.06</v>
      </c>
      <c r="AW608" s="34">
        <f t="shared" si="271"/>
        <v>0</v>
      </c>
      <c r="AX608" s="123">
        <f t="shared" si="272"/>
        <v>0</v>
      </c>
    </row>
    <row r="609" spans="1:50" ht="29.2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1" t="s">
        <v>1282</v>
      </c>
      <c r="AB609" s="42" t="s">
        <v>1047</v>
      </c>
      <c r="AC609" s="168"/>
      <c r="AD609" s="44">
        <v>0</v>
      </c>
      <c r="AE609" s="44">
        <v>0</v>
      </c>
      <c r="AF609" s="44">
        <v>0</v>
      </c>
      <c r="AG609" s="43">
        <v>186255799.66</v>
      </c>
      <c r="AH609" s="44"/>
      <c r="AI609" s="43">
        <f t="shared" si="266"/>
        <v>186255799.66</v>
      </c>
      <c r="AJ609" s="43">
        <f t="shared" si="267"/>
        <v>186255799.66</v>
      </c>
      <c r="AK609" s="44">
        <v>0</v>
      </c>
      <c r="AL609" s="44">
        <v>0</v>
      </c>
      <c r="AM609" s="44">
        <v>0</v>
      </c>
      <c r="AN609" s="44">
        <v>0</v>
      </c>
      <c r="AO609" s="44">
        <v>0</v>
      </c>
      <c r="AP609" s="44">
        <v>0</v>
      </c>
      <c r="AQ609" s="44">
        <v>0</v>
      </c>
      <c r="AR609" s="44">
        <v>0</v>
      </c>
      <c r="AS609" s="44">
        <v>0</v>
      </c>
      <c r="AT609" s="40">
        <f t="shared" si="268"/>
        <v>0</v>
      </c>
      <c r="AU609" s="18">
        <f t="shared" si="269"/>
        <v>186255799.66</v>
      </c>
      <c r="AV609" s="34">
        <f t="shared" si="270"/>
        <v>0</v>
      </c>
      <c r="AW609" s="34">
        <f t="shared" si="271"/>
        <v>0</v>
      </c>
      <c r="AX609" s="123">
        <f t="shared" si="272"/>
        <v>0</v>
      </c>
    </row>
    <row r="610" spans="1:50" ht="18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1" t="s">
        <v>1283</v>
      </c>
      <c r="AB610" s="42" t="s">
        <v>1284</v>
      </c>
      <c r="AC610" s="168"/>
      <c r="AD610" s="44">
        <v>0</v>
      </c>
      <c r="AE610" s="44">
        <v>0</v>
      </c>
      <c r="AF610" s="44">
        <v>0</v>
      </c>
      <c r="AG610" s="43">
        <v>1040743</v>
      </c>
      <c r="AH610" s="44"/>
      <c r="AI610" s="43">
        <f t="shared" si="266"/>
        <v>1040743</v>
      </c>
      <c r="AJ610" s="43">
        <f t="shared" si="267"/>
        <v>1040743</v>
      </c>
      <c r="AK610" s="44">
        <v>0</v>
      </c>
      <c r="AL610" s="44">
        <v>0</v>
      </c>
      <c r="AM610" s="44">
        <v>0</v>
      </c>
      <c r="AN610" s="44">
        <v>0</v>
      </c>
      <c r="AO610" s="44">
        <v>0</v>
      </c>
      <c r="AP610" s="44">
        <v>0</v>
      </c>
      <c r="AQ610" s="44">
        <v>0</v>
      </c>
      <c r="AR610" s="44">
        <v>0</v>
      </c>
      <c r="AS610" s="44">
        <v>0</v>
      </c>
      <c r="AT610" s="40">
        <f t="shared" si="268"/>
        <v>0</v>
      </c>
      <c r="AU610" s="18">
        <f t="shared" si="269"/>
        <v>1040743</v>
      </c>
      <c r="AV610" s="34">
        <f t="shared" si="270"/>
        <v>0</v>
      </c>
      <c r="AW610" s="34">
        <f t="shared" si="271"/>
        <v>0</v>
      </c>
      <c r="AX610" s="123">
        <f t="shared" si="272"/>
        <v>0</v>
      </c>
    </row>
    <row r="611" spans="1:50" ht="27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166" t="s">
        <v>1046</v>
      </c>
      <c r="AB611" s="167" t="s">
        <v>1047</v>
      </c>
      <c r="AC611" s="168"/>
      <c r="AD611" s="44">
        <v>0</v>
      </c>
      <c r="AE611" s="43">
        <v>186255799.66</v>
      </c>
      <c r="AF611" s="44">
        <v>0</v>
      </c>
      <c r="AG611" s="44">
        <v>0</v>
      </c>
      <c r="AH611" s="43">
        <v>186255799.66</v>
      </c>
      <c r="AI611" s="43">
        <f t="shared" si="266"/>
        <v>0</v>
      </c>
      <c r="AJ611" s="43">
        <f t="shared" si="267"/>
        <v>0</v>
      </c>
      <c r="AK611" s="44">
        <v>0</v>
      </c>
      <c r="AL611" s="44">
        <v>0</v>
      </c>
      <c r="AM611" s="44">
        <v>0</v>
      </c>
      <c r="AN611" s="44">
        <v>0</v>
      </c>
      <c r="AO611" s="44">
        <v>0</v>
      </c>
      <c r="AP611" s="44">
        <v>0</v>
      </c>
      <c r="AQ611" s="44">
        <v>0</v>
      </c>
      <c r="AR611" s="44">
        <v>0</v>
      </c>
      <c r="AS611" s="44">
        <v>0</v>
      </c>
      <c r="AT611" s="40">
        <f>AQ611+AS611</f>
        <v>0</v>
      </c>
      <c r="AU611" s="34">
        <f>AJ611-AM611</f>
        <v>0</v>
      </c>
      <c r="AV611" s="34">
        <f>AM611-AP611</f>
        <v>0</v>
      </c>
      <c r="AW611" s="34">
        <f>AP611-AT611</f>
        <v>0</v>
      </c>
      <c r="AX611" s="123">
        <v>0</v>
      </c>
    </row>
    <row r="612" spans="1:50" ht="25.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171" t="s">
        <v>288</v>
      </c>
      <c r="AB612" s="213" t="s">
        <v>1037</v>
      </c>
      <c r="AC612" s="168"/>
      <c r="AD612" s="44"/>
      <c r="AE612" s="44"/>
      <c r="AF612" s="44"/>
      <c r="AG612" s="43"/>
      <c r="AH612" s="44"/>
      <c r="AI612" s="43"/>
      <c r="AJ612" s="43"/>
      <c r="AK612" s="44"/>
      <c r="AL612" s="44"/>
      <c r="AM612" s="44"/>
      <c r="AN612" s="44"/>
      <c r="AO612" s="44"/>
      <c r="AP612" s="44"/>
      <c r="AQ612" s="44"/>
      <c r="AR612" s="44"/>
      <c r="AS612" s="44"/>
      <c r="AT612" s="40"/>
      <c r="AU612" s="18"/>
      <c r="AV612" s="34"/>
      <c r="AW612" s="34"/>
      <c r="AX612" s="123"/>
    </row>
    <row r="613" spans="1:50" ht="28.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166" t="s">
        <v>1038</v>
      </c>
      <c r="AB613" s="167" t="s">
        <v>1039</v>
      </c>
      <c r="AC613" s="168"/>
      <c r="AD613" s="44">
        <v>0</v>
      </c>
      <c r="AE613" s="43">
        <v>266733201.66</v>
      </c>
      <c r="AF613" s="44">
        <v>0</v>
      </c>
      <c r="AG613" s="44">
        <v>0</v>
      </c>
      <c r="AH613" s="44">
        <v>0</v>
      </c>
      <c r="AI613" s="43">
        <f>AE613-AF613+AG613-AH613</f>
        <v>266733201.66</v>
      </c>
      <c r="AJ613" s="43">
        <f>AD613+AI613</f>
        <v>266733201.66</v>
      </c>
      <c r="AK613" s="44">
        <v>0</v>
      </c>
      <c r="AL613" s="44">
        <v>0</v>
      </c>
      <c r="AM613" s="44">
        <v>0</v>
      </c>
      <c r="AN613" s="44">
        <v>0</v>
      </c>
      <c r="AO613" s="44">
        <v>0</v>
      </c>
      <c r="AP613" s="44">
        <v>0</v>
      </c>
      <c r="AQ613" s="44">
        <v>0</v>
      </c>
      <c r="AR613" s="44">
        <v>0</v>
      </c>
      <c r="AS613" s="44">
        <v>0</v>
      </c>
      <c r="AT613" s="40">
        <f>AQ613+AS613</f>
        <v>0</v>
      </c>
      <c r="AU613" s="18">
        <f>AJ613-AM613</f>
        <v>266733201.66</v>
      </c>
      <c r="AV613" s="34">
        <f>AM613-AP613</f>
        <v>0</v>
      </c>
      <c r="AW613" s="34">
        <f>AP613-AT613</f>
        <v>0</v>
      </c>
      <c r="AX613" s="123">
        <f>AP613/AJ613</f>
        <v>0</v>
      </c>
    </row>
    <row r="614" spans="1:50" x14ac:dyDescent="0.2">
      <c r="AA614" s="162"/>
      <c r="AB614" s="163" t="s">
        <v>475</v>
      </c>
      <c r="AC614" s="17"/>
      <c r="AD614" s="34"/>
      <c r="AE614" s="34"/>
      <c r="AF614" s="34"/>
      <c r="AG614" s="18"/>
      <c r="AH614" s="34"/>
      <c r="AI614" s="18"/>
      <c r="AJ614" s="18"/>
      <c r="AK614" s="34"/>
      <c r="AL614" s="34"/>
      <c r="AM614" s="34"/>
      <c r="AN614" s="34"/>
      <c r="AO614" s="34"/>
      <c r="AP614" s="34"/>
      <c r="AQ614" s="34"/>
      <c r="AR614" s="34"/>
      <c r="AS614" s="34"/>
      <c r="AT614" s="40"/>
      <c r="AU614" s="18"/>
      <c r="AV614" s="34"/>
      <c r="AW614" s="18"/>
      <c r="AX614" s="18"/>
    </row>
    <row r="615" spans="1:50" x14ac:dyDescent="0.2">
      <c r="A615" s="4" t="s">
        <v>55</v>
      </c>
      <c r="B615" s="4" t="s">
        <v>56</v>
      </c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1" t="s">
        <v>476</v>
      </c>
      <c r="AB615" s="42" t="s">
        <v>458</v>
      </c>
      <c r="AC615" s="43" t="s">
        <v>454</v>
      </c>
      <c r="AD615" s="44">
        <v>0</v>
      </c>
      <c r="AE615" s="44">
        <v>0</v>
      </c>
      <c r="AF615" s="44">
        <v>0</v>
      </c>
      <c r="AG615" s="43">
        <v>3975320525</v>
      </c>
      <c r="AH615" s="44">
        <v>0</v>
      </c>
      <c r="AI615" s="43">
        <f>AE615-AF615+AG615-AH615</f>
        <v>3975320525</v>
      </c>
      <c r="AJ615" s="43">
        <f>AD615+AI615</f>
        <v>3975320525</v>
      </c>
      <c r="AK615" s="115">
        <v>0</v>
      </c>
      <c r="AL615" s="43">
        <f>AM615-AGOSTO!AM597</f>
        <v>0</v>
      </c>
      <c r="AM615" s="114">
        <v>3461849211</v>
      </c>
      <c r="AN615" s="44">
        <v>0</v>
      </c>
      <c r="AO615" s="44">
        <v>0</v>
      </c>
      <c r="AP615" s="43">
        <v>3461849211</v>
      </c>
      <c r="AQ615" s="43">
        <v>395203313.5</v>
      </c>
      <c r="AR615" s="44">
        <v>0</v>
      </c>
      <c r="AS615" s="44">
        <v>0</v>
      </c>
      <c r="AT615" s="39">
        <f>AQ615+AS615</f>
        <v>395203313.5</v>
      </c>
      <c r="AU615" s="18">
        <f>AJ615-AM615</f>
        <v>513471314</v>
      </c>
      <c r="AV615" s="133">
        <f>AM615-AP615</f>
        <v>0</v>
      </c>
      <c r="AW615" s="18">
        <f>AP615-AT615</f>
        <v>3066645897.5</v>
      </c>
      <c r="AX615" s="123">
        <f>AP615/AJ615</f>
        <v>0.87083524189536887</v>
      </c>
    </row>
    <row r="616" spans="1:50" ht="25.5" x14ac:dyDescent="0.2">
      <c r="AA616" s="28" t="s">
        <v>288</v>
      </c>
      <c r="AB616" s="29" t="s">
        <v>477</v>
      </c>
      <c r="AC616" s="17"/>
      <c r="AD616" s="18"/>
      <c r="AE616" s="18"/>
      <c r="AF616" s="18"/>
      <c r="AG616" s="18"/>
      <c r="AH616" s="18"/>
      <c r="AI616" s="18"/>
      <c r="AJ616" s="18"/>
      <c r="AK616" s="34"/>
      <c r="AL616" s="145"/>
      <c r="AM616" s="18"/>
      <c r="AN616" s="18"/>
      <c r="AO616" s="18"/>
      <c r="AP616" s="18"/>
      <c r="AQ616" s="34"/>
      <c r="AR616" s="34"/>
      <c r="AS616" s="34"/>
      <c r="AT616" s="40"/>
      <c r="AU616" s="18"/>
      <c r="AV616" s="34"/>
      <c r="AW616" s="18"/>
      <c r="AX616" s="18"/>
    </row>
    <row r="617" spans="1:50" x14ac:dyDescent="0.2">
      <c r="A617" s="4" t="s">
        <v>55</v>
      </c>
      <c r="B617" s="4" t="s">
        <v>56</v>
      </c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1" t="s">
        <v>478</v>
      </c>
      <c r="AB617" s="42" t="s">
        <v>233</v>
      </c>
      <c r="AC617" s="43" t="s">
        <v>58</v>
      </c>
      <c r="AD617" s="43">
        <v>389814494</v>
      </c>
      <c r="AE617" s="44">
        <v>0</v>
      </c>
      <c r="AF617" s="44">
        <v>0</v>
      </c>
      <c r="AG617" s="43">
        <v>50860045</v>
      </c>
      <c r="AH617" s="44">
        <v>0</v>
      </c>
      <c r="AI617" s="43">
        <f>AE617-AF617+AG617-AH617</f>
        <v>50860045</v>
      </c>
      <c r="AJ617" s="43">
        <f>AD617+AI617</f>
        <v>440674539</v>
      </c>
      <c r="AK617" s="44">
        <v>0</v>
      </c>
      <c r="AL617" s="143">
        <v>0</v>
      </c>
      <c r="AM617" s="43">
        <v>440674539</v>
      </c>
      <c r="AN617" s="44">
        <v>0</v>
      </c>
      <c r="AO617" s="44">
        <v>0</v>
      </c>
      <c r="AP617" s="43">
        <v>440674539</v>
      </c>
      <c r="AQ617" s="44">
        <v>0</v>
      </c>
      <c r="AR617" s="44">
        <v>0</v>
      </c>
      <c r="AS617" s="43">
        <v>305702683.25</v>
      </c>
      <c r="AT617" s="39">
        <f>AQ617+AS617</f>
        <v>305702683.25</v>
      </c>
      <c r="AU617" s="34">
        <f>AJ617-AM617</f>
        <v>0</v>
      </c>
      <c r="AV617" s="34">
        <f>AM617-AP617</f>
        <v>0</v>
      </c>
      <c r="AW617" s="18">
        <f>AP617-AT617</f>
        <v>134971855.75</v>
      </c>
      <c r="AX617" s="123">
        <f>AP617/AJ617</f>
        <v>1</v>
      </c>
    </row>
    <row r="618" spans="1:50" ht="25.5" x14ac:dyDescent="0.2">
      <c r="A618" s="4" t="s">
        <v>55</v>
      </c>
      <c r="B618" s="4" t="s">
        <v>56</v>
      </c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1" t="s">
        <v>479</v>
      </c>
      <c r="AB618" s="42" t="s">
        <v>480</v>
      </c>
      <c r="AC618" s="43" t="s">
        <v>368</v>
      </c>
      <c r="AD618" s="43">
        <v>88687399.159999996</v>
      </c>
      <c r="AE618" s="44">
        <v>0</v>
      </c>
      <c r="AF618" s="44">
        <v>0</v>
      </c>
      <c r="AG618" s="44">
        <v>0</v>
      </c>
      <c r="AH618" s="44">
        <v>0</v>
      </c>
      <c r="AI618" s="44">
        <v>0</v>
      </c>
      <c r="AJ618" s="142">
        <v>88687399.159999996</v>
      </c>
      <c r="AK618" s="44">
        <v>0</v>
      </c>
      <c r="AL618" s="143">
        <v>0</v>
      </c>
      <c r="AM618" s="43">
        <v>88687399</v>
      </c>
      <c r="AN618" s="44">
        <v>0</v>
      </c>
      <c r="AO618" s="44">
        <v>0</v>
      </c>
      <c r="AP618" s="43">
        <v>88687399</v>
      </c>
      <c r="AQ618" s="44">
        <v>0</v>
      </c>
      <c r="AR618" s="44">
        <v>0</v>
      </c>
      <c r="AS618" s="43">
        <v>82109841</v>
      </c>
      <c r="AT618" s="39">
        <f>AQ618+AS618</f>
        <v>82109841</v>
      </c>
      <c r="AU618" s="18">
        <f>AJ618-AM618</f>
        <v>0.15999999642372131</v>
      </c>
      <c r="AV618" s="34">
        <f>AM618-AP618</f>
        <v>0</v>
      </c>
      <c r="AW618" s="18">
        <f>AP618-AT618</f>
        <v>6577558</v>
      </c>
      <c r="AX618" s="123">
        <f>AP618/AJ618</f>
        <v>0.99999999819591057</v>
      </c>
    </row>
    <row r="619" spans="1:50" ht="25.5" x14ac:dyDescent="0.2">
      <c r="AA619" s="28" t="s">
        <v>288</v>
      </c>
      <c r="AB619" s="29" t="s">
        <v>481</v>
      </c>
      <c r="AC619" s="17"/>
      <c r="AD619" s="18"/>
      <c r="AE619" s="18"/>
      <c r="AF619" s="18"/>
      <c r="AG619" s="18"/>
      <c r="AH619" s="18"/>
      <c r="AI619" s="18"/>
      <c r="AJ619" s="147"/>
      <c r="AK619" s="34"/>
      <c r="AL619" s="145"/>
      <c r="AM619" s="18"/>
      <c r="AN619" s="34"/>
      <c r="AO619" s="18"/>
      <c r="AP619" s="18"/>
      <c r="AQ619" s="34"/>
      <c r="AR619" s="34"/>
      <c r="AS619" s="34"/>
      <c r="AT619" s="40"/>
      <c r="AU619" s="18"/>
      <c r="AV619" s="34"/>
      <c r="AW619" s="18"/>
      <c r="AX619" s="18"/>
    </row>
    <row r="620" spans="1:50" x14ac:dyDescent="0.2">
      <c r="A620" s="4" t="s">
        <v>55</v>
      </c>
      <c r="B620" s="4" t="s">
        <v>56</v>
      </c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1" t="s">
        <v>482</v>
      </c>
      <c r="AB620" s="42" t="s">
        <v>233</v>
      </c>
      <c r="AC620" s="43" t="s">
        <v>58</v>
      </c>
      <c r="AD620" s="43">
        <v>732098782</v>
      </c>
      <c r="AE620" s="44">
        <v>0</v>
      </c>
      <c r="AF620" s="44">
        <v>0</v>
      </c>
      <c r="AG620" s="43">
        <v>96486764</v>
      </c>
      <c r="AH620" s="44">
        <v>0</v>
      </c>
      <c r="AI620" s="43">
        <f>AE620-AF620+AG620-AH620</f>
        <v>96486764</v>
      </c>
      <c r="AJ620" s="142">
        <f>AD620+AI620</f>
        <v>828585546</v>
      </c>
      <c r="AK620" s="44">
        <v>0</v>
      </c>
      <c r="AL620" s="143">
        <v>0</v>
      </c>
      <c r="AM620" s="43">
        <v>828287647.5</v>
      </c>
      <c r="AN620" s="44">
        <v>0</v>
      </c>
      <c r="AO620" s="143">
        <v>0</v>
      </c>
      <c r="AP620" s="43">
        <v>828287647.5</v>
      </c>
      <c r="AQ620" s="44">
        <v>0</v>
      </c>
      <c r="AR620" s="44">
        <v>0</v>
      </c>
      <c r="AS620" s="43">
        <v>588667166.63999999</v>
      </c>
      <c r="AT620" s="39">
        <f>AQ620+AS620</f>
        <v>588667166.63999999</v>
      </c>
      <c r="AU620" s="18">
        <f>AJ620-AM620</f>
        <v>297898.5</v>
      </c>
      <c r="AV620" s="34">
        <f>AM620-AP620</f>
        <v>0</v>
      </c>
      <c r="AW620" s="18">
        <f>AP620-AT620</f>
        <v>239620480.86000001</v>
      </c>
      <c r="AX620" s="123">
        <f>AP620/AJ620</f>
        <v>0.99964047345329865</v>
      </c>
    </row>
    <row r="621" spans="1:50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1" t="s">
        <v>1385</v>
      </c>
      <c r="AB621" s="42" t="s">
        <v>453</v>
      </c>
      <c r="AC621" s="43"/>
      <c r="AD621" s="44">
        <v>0</v>
      </c>
      <c r="AE621" s="43">
        <f>17804659196+8428553475</f>
        <v>26233212671</v>
      </c>
      <c r="AF621" s="44">
        <v>0</v>
      </c>
      <c r="AG621" s="44">
        <v>0</v>
      </c>
      <c r="AH621" s="44">
        <v>0</v>
      </c>
      <c r="AI621" s="43">
        <f>AE621-AF621+AG621-AH621</f>
        <v>26233212671</v>
      </c>
      <c r="AJ621" s="142">
        <f>AD621+AI621</f>
        <v>26233212671</v>
      </c>
      <c r="AK621" s="44">
        <v>0</v>
      </c>
      <c r="AL621" s="142">
        <f>AM621-AGOSTO!AM603</f>
        <v>-1095361127</v>
      </c>
      <c r="AM621" s="43">
        <v>16145424861</v>
      </c>
      <c r="AN621" s="43">
        <v>0</v>
      </c>
      <c r="AO621" s="142">
        <v>2252831768</v>
      </c>
      <c r="AP621" s="43">
        <v>16145424861</v>
      </c>
      <c r="AQ621" s="43">
        <v>494351312.10000002</v>
      </c>
      <c r="AR621" s="44">
        <v>0</v>
      </c>
      <c r="AS621" s="44">
        <v>0</v>
      </c>
      <c r="AT621" s="39">
        <f>AQ621+AS621</f>
        <v>494351312.10000002</v>
      </c>
      <c r="AU621" s="18">
        <f>AJ621-AM621</f>
        <v>10087787810</v>
      </c>
      <c r="AV621" s="34">
        <f>AM621-AP621</f>
        <v>0</v>
      </c>
      <c r="AW621" s="18">
        <f>AP621-AT621</f>
        <v>15651073548.9</v>
      </c>
      <c r="AX621" s="40">
        <f>AP621/AJ621</f>
        <v>0.61545739988027715</v>
      </c>
    </row>
    <row r="622" spans="1:50" x14ac:dyDescent="0.2">
      <c r="AA622" s="28" t="s">
        <v>288</v>
      </c>
      <c r="AB622" s="29" t="s">
        <v>483</v>
      </c>
      <c r="AC622" s="17"/>
      <c r="AD622" s="18"/>
      <c r="AE622" s="34"/>
      <c r="AF622" s="34"/>
      <c r="AG622" s="18"/>
      <c r="AH622" s="34"/>
      <c r="AI622" s="18"/>
      <c r="AJ622" s="147"/>
      <c r="AK622" s="34"/>
      <c r="AL622" s="145"/>
      <c r="AM622" s="18"/>
      <c r="AN622" s="34"/>
      <c r="AO622" s="145"/>
      <c r="AP622" s="18"/>
      <c r="AQ622" s="34"/>
      <c r="AR622" s="34"/>
      <c r="AS622" s="34"/>
      <c r="AT622" s="40"/>
      <c r="AU622" s="18"/>
      <c r="AV622" s="34"/>
      <c r="AW622" s="18"/>
      <c r="AX622" s="18"/>
    </row>
    <row r="623" spans="1:50" x14ac:dyDescent="0.2">
      <c r="A623" s="4" t="s">
        <v>55</v>
      </c>
      <c r="B623" s="4" t="s">
        <v>56</v>
      </c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1" t="s">
        <v>484</v>
      </c>
      <c r="AB623" s="42" t="s">
        <v>233</v>
      </c>
      <c r="AC623" s="43" t="s">
        <v>58</v>
      </c>
      <c r="AD623" s="44">
        <v>0</v>
      </c>
      <c r="AE623" s="44">
        <v>0</v>
      </c>
      <c r="AF623" s="44">
        <v>0</v>
      </c>
      <c r="AG623" s="43">
        <f>60325921.15+40465552</f>
        <v>100791473.15000001</v>
      </c>
      <c r="AH623" s="44">
        <v>0</v>
      </c>
      <c r="AI623" s="43">
        <f>AE623-AF623+AG623-AH623</f>
        <v>100791473.15000001</v>
      </c>
      <c r="AJ623" s="142">
        <f>AD623+AI623</f>
        <v>100791473.15000001</v>
      </c>
      <c r="AK623" s="44">
        <v>0</v>
      </c>
      <c r="AL623" s="143">
        <v>0</v>
      </c>
      <c r="AM623" s="43">
        <v>100758121.22</v>
      </c>
      <c r="AN623" s="44">
        <v>0</v>
      </c>
      <c r="AO623" s="143">
        <v>0</v>
      </c>
      <c r="AP623" s="43">
        <v>100758121.22</v>
      </c>
      <c r="AQ623" s="44">
        <v>0</v>
      </c>
      <c r="AR623" s="44">
        <v>0</v>
      </c>
      <c r="AS623" s="43">
        <v>39818046.170000002</v>
      </c>
      <c r="AT623" s="39">
        <f>AQ623+AS623</f>
        <v>39818046.170000002</v>
      </c>
      <c r="AU623" s="18">
        <f>AJ623-AM623</f>
        <v>33351.930000007153</v>
      </c>
      <c r="AV623" s="34">
        <f>AM623-AP623</f>
        <v>0</v>
      </c>
      <c r="AW623" s="18">
        <f>AP623-AT623</f>
        <v>60940075.049999997</v>
      </c>
      <c r="AX623" s="123">
        <f>AP623/AJ623</f>
        <v>0.99966909968712958</v>
      </c>
    </row>
    <row r="624" spans="1:50" x14ac:dyDescent="0.2">
      <c r="AA624" s="28" t="s">
        <v>288</v>
      </c>
      <c r="AB624" s="29" t="s">
        <v>485</v>
      </c>
      <c r="AC624" s="17"/>
      <c r="AD624" s="18"/>
      <c r="AE624" s="34"/>
      <c r="AF624" s="34"/>
      <c r="AG624" s="18"/>
      <c r="AH624" s="34"/>
      <c r="AI624" s="18"/>
      <c r="AJ624" s="147"/>
      <c r="AK624" s="34"/>
      <c r="AL624" s="147"/>
      <c r="AM624" s="18"/>
      <c r="AN624" s="34"/>
      <c r="AO624" s="145"/>
      <c r="AP624" s="18"/>
      <c r="AQ624" s="34"/>
      <c r="AR624" s="34"/>
      <c r="AS624" s="34"/>
      <c r="AT624" s="40"/>
      <c r="AU624" s="18"/>
      <c r="AV624" s="34"/>
      <c r="AW624" s="34"/>
      <c r="AX624" s="18"/>
    </row>
    <row r="625" spans="1:50" x14ac:dyDescent="0.2">
      <c r="A625" s="4" t="s">
        <v>55</v>
      </c>
      <c r="B625" s="4" t="s">
        <v>56</v>
      </c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1" t="s">
        <v>972</v>
      </c>
      <c r="AB625" s="42" t="s">
        <v>233</v>
      </c>
      <c r="AC625" s="43" t="s">
        <v>58</v>
      </c>
      <c r="AD625" s="43">
        <v>530557116</v>
      </c>
      <c r="AE625" s="44">
        <v>0</v>
      </c>
      <c r="AF625" s="44">
        <v>0</v>
      </c>
      <c r="AG625" s="44">
        <v>0</v>
      </c>
      <c r="AH625" s="43">
        <v>530557116</v>
      </c>
      <c r="AI625" s="43">
        <f>AE625-AF625+AG625-AH625</f>
        <v>-530557116</v>
      </c>
      <c r="AJ625" s="142">
        <f>AD625+AI625</f>
        <v>0</v>
      </c>
      <c r="AK625" s="44">
        <v>0</v>
      </c>
      <c r="AL625" s="143">
        <v>0</v>
      </c>
      <c r="AM625" s="44">
        <v>0</v>
      </c>
      <c r="AN625" s="44">
        <v>0</v>
      </c>
      <c r="AO625" s="143">
        <v>0</v>
      </c>
      <c r="AP625" s="43">
        <v>0</v>
      </c>
      <c r="AQ625" s="44">
        <v>0</v>
      </c>
      <c r="AR625" s="44">
        <v>0</v>
      </c>
      <c r="AS625" s="44">
        <v>0</v>
      </c>
      <c r="AT625" s="40">
        <f>AQ625+AS625</f>
        <v>0</v>
      </c>
      <c r="AU625" s="18">
        <f>AJ625-AM625</f>
        <v>0</v>
      </c>
      <c r="AV625" s="34">
        <f>AM625-AP625</f>
        <v>0</v>
      </c>
      <c r="AW625" s="34">
        <f>AP625-AT625</f>
        <v>0</v>
      </c>
      <c r="AX625" s="123">
        <v>0</v>
      </c>
    </row>
    <row r="626" spans="1:50" ht="38.25" x14ac:dyDescent="0.2">
      <c r="AA626" s="16"/>
      <c r="AB626" s="29" t="s">
        <v>193</v>
      </c>
      <c r="AC626" s="17"/>
      <c r="AD626" s="18"/>
      <c r="AE626" s="34"/>
      <c r="AF626" s="34"/>
      <c r="AG626" s="18"/>
      <c r="AH626" s="18"/>
      <c r="AI626" s="18"/>
      <c r="AJ626" s="147"/>
      <c r="AK626" s="34"/>
      <c r="AL626" s="145"/>
      <c r="AM626" s="34"/>
      <c r="AN626" s="34"/>
      <c r="AO626" s="145"/>
      <c r="AP626" s="34"/>
      <c r="AQ626" s="34"/>
      <c r="AR626" s="145"/>
      <c r="AS626" s="34"/>
      <c r="AT626" s="40"/>
      <c r="AU626" s="18"/>
      <c r="AV626" s="34"/>
      <c r="AW626" s="18"/>
      <c r="AX626" s="18"/>
    </row>
    <row r="627" spans="1:50" ht="18.75" customHeight="1" x14ac:dyDescent="0.2">
      <c r="AA627" s="28" t="s">
        <v>288</v>
      </c>
      <c r="AB627" s="29" t="s">
        <v>487</v>
      </c>
      <c r="AC627" s="17"/>
      <c r="AD627" s="18"/>
      <c r="AE627" s="34"/>
      <c r="AF627" s="34"/>
      <c r="AG627" s="18"/>
      <c r="AH627" s="18"/>
      <c r="AI627" s="18"/>
      <c r="AJ627" s="147"/>
      <c r="AK627" s="34"/>
      <c r="AL627" s="145"/>
      <c r="AM627" s="34"/>
      <c r="AN627" s="34"/>
      <c r="AO627" s="145"/>
      <c r="AP627" s="34"/>
      <c r="AQ627" s="34"/>
      <c r="AR627" s="145"/>
      <c r="AS627" s="34"/>
      <c r="AT627" s="40"/>
      <c r="AU627" s="18"/>
      <c r="AV627" s="34"/>
      <c r="AW627" s="18"/>
      <c r="AX627" s="18"/>
    </row>
    <row r="628" spans="1:50" ht="18.75" customHeight="1" x14ac:dyDescent="0.2">
      <c r="A628" s="4" t="s">
        <v>55</v>
      </c>
      <c r="B628" s="4" t="s">
        <v>56</v>
      </c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1" t="s">
        <v>488</v>
      </c>
      <c r="AB628" s="42" t="s">
        <v>439</v>
      </c>
      <c r="AC628" s="43" t="s">
        <v>428</v>
      </c>
      <c r="AD628" s="43">
        <v>14800000000</v>
      </c>
      <c r="AE628" s="44">
        <v>0</v>
      </c>
      <c r="AF628" s="44">
        <v>0</v>
      </c>
      <c r="AG628" s="44">
        <v>0</v>
      </c>
      <c r="AH628" s="43">
        <f>265538240+219103236.8</f>
        <v>484641476.80000001</v>
      </c>
      <c r="AI628" s="43">
        <f>AE628-AF628+AG628-AH628</f>
        <v>-484641476.80000001</v>
      </c>
      <c r="AJ628" s="43">
        <f>AD628+AI628</f>
        <v>14315358523.200001</v>
      </c>
      <c r="AK628" s="44">
        <v>0</v>
      </c>
      <c r="AL628" s="144">
        <f>AM628-AGOSTO!AM610</f>
        <v>937324202</v>
      </c>
      <c r="AM628" s="114">
        <v>8123528902</v>
      </c>
      <c r="AN628" s="44">
        <v>0</v>
      </c>
      <c r="AO628" s="144">
        <v>937324202</v>
      </c>
      <c r="AP628" s="114">
        <v>8123528902</v>
      </c>
      <c r="AQ628" s="44">
        <v>0</v>
      </c>
      <c r="AR628" s="144">
        <v>937324202</v>
      </c>
      <c r="AS628" s="114">
        <v>8123528902</v>
      </c>
      <c r="AT628" s="111">
        <f t="shared" si="257"/>
        <v>8123528902</v>
      </c>
      <c r="AU628" s="18">
        <f t="shared" ref="AU628:AU633" si="273">AJ628-AM628</f>
        <v>6191829621.2000008</v>
      </c>
      <c r="AV628" s="34">
        <f t="shared" ref="AV628:AV633" si="274">AM628-AP628</f>
        <v>0</v>
      </c>
      <c r="AW628" s="34">
        <f t="shared" ref="AW628:AW633" si="275">AP628-AT628</f>
        <v>0</v>
      </c>
      <c r="AX628" s="123">
        <f t="shared" ref="AX628:AX633" si="276">AP628/AJ628</f>
        <v>0.56746946916032226</v>
      </c>
    </row>
    <row r="629" spans="1:50" ht="18.75" customHeight="1" x14ac:dyDescent="0.2">
      <c r="A629" s="4" t="s">
        <v>55</v>
      </c>
      <c r="B629" s="4" t="s">
        <v>56</v>
      </c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1" t="s">
        <v>489</v>
      </c>
      <c r="AB629" s="42" t="s">
        <v>490</v>
      </c>
      <c r="AC629" s="43" t="s">
        <v>368</v>
      </c>
      <c r="AD629" s="43">
        <v>28000000.199999999</v>
      </c>
      <c r="AE629" s="44">
        <v>0</v>
      </c>
      <c r="AF629" s="44">
        <v>0</v>
      </c>
      <c r="AG629" s="44">
        <v>0</v>
      </c>
      <c r="AH629" s="44">
        <v>0</v>
      </c>
      <c r="AI629" s="43">
        <f>AE629-AF629+AG629-AH629</f>
        <v>0</v>
      </c>
      <c r="AJ629" s="43">
        <f>AD629+AI629</f>
        <v>28000000.199999999</v>
      </c>
      <c r="AK629" s="44">
        <v>0</v>
      </c>
      <c r="AL629" s="144">
        <f>AM629-AGOSTO!AM611</f>
        <v>2243449</v>
      </c>
      <c r="AM629" s="114">
        <v>18050203</v>
      </c>
      <c r="AN629" s="44">
        <v>0</v>
      </c>
      <c r="AO629" s="144">
        <v>2243449</v>
      </c>
      <c r="AP629" s="114">
        <v>18050203</v>
      </c>
      <c r="AQ629" s="44">
        <v>0</v>
      </c>
      <c r="AR629" s="144">
        <v>2243449</v>
      </c>
      <c r="AS629" s="114">
        <v>18050203</v>
      </c>
      <c r="AT629" s="111">
        <f t="shared" si="257"/>
        <v>18050203</v>
      </c>
      <c r="AU629" s="18">
        <f t="shared" si="273"/>
        <v>9949797.1999999993</v>
      </c>
      <c r="AV629" s="34">
        <f t="shared" si="274"/>
        <v>0</v>
      </c>
      <c r="AW629" s="34">
        <f t="shared" si="275"/>
        <v>0</v>
      </c>
      <c r="AX629" s="123">
        <f t="shared" si="276"/>
        <v>0.64465010253821353</v>
      </c>
    </row>
    <row r="630" spans="1:50" ht="18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166" t="s">
        <v>1073</v>
      </c>
      <c r="AB630" s="167" t="s">
        <v>1074</v>
      </c>
      <c r="AC630" s="168"/>
      <c r="AD630" s="44">
        <v>0</v>
      </c>
      <c r="AE630" s="43">
        <v>505000000</v>
      </c>
      <c r="AF630" s="44">
        <v>0</v>
      </c>
      <c r="AG630" s="44">
        <v>0</v>
      </c>
      <c r="AH630" s="44">
        <v>0</v>
      </c>
      <c r="AI630" s="43">
        <f t="shared" ref="AI630:AI632" si="277">AE630-AF630+AG630-AH630</f>
        <v>505000000</v>
      </c>
      <c r="AJ630" s="43">
        <f t="shared" ref="AJ630:AJ633" si="278">AD630+AI630</f>
        <v>505000000</v>
      </c>
      <c r="AK630" s="44">
        <v>0</v>
      </c>
      <c r="AL630" s="142">
        <f>AM630-AGOSTO!AM612</f>
        <v>474423566.54000002</v>
      </c>
      <c r="AM630" s="43">
        <v>474423566.54000002</v>
      </c>
      <c r="AN630" s="44">
        <v>0</v>
      </c>
      <c r="AO630" s="258">
        <v>0</v>
      </c>
      <c r="AP630" s="115">
        <v>0</v>
      </c>
      <c r="AQ630" s="44">
        <v>0</v>
      </c>
      <c r="AR630" s="258">
        <v>0</v>
      </c>
      <c r="AS630" s="115">
        <v>0</v>
      </c>
      <c r="AT630" s="135">
        <f t="shared" si="257"/>
        <v>0</v>
      </c>
      <c r="AU630" s="18">
        <f t="shared" si="273"/>
        <v>30576433.459999979</v>
      </c>
      <c r="AV630" s="18">
        <f t="shared" si="274"/>
        <v>474423566.54000002</v>
      </c>
      <c r="AW630" s="34">
        <f t="shared" si="275"/>
        <v>0</v>
      </c>
      <c r="AX630" s="123">
        <f t="shared" si="276"/>
        <v>0</v>
      </c>
    </row>
    <row r="631" spans="1:50" ht="18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166" t="s">
        <v>1075</v>
      </c>
      <c r="AB631" s="167" t="s">
        <v>1074</v>
      </c>
      <c r="AC631" s="168"/>
      <c r="AD631" s="44">
        <v>0</v>
      </c>
      <c r="AE631" s="43">
        <v>13000000</v>
      </c>
      <c r="AF631" s="44">
        <v>0</v>
      </c>
      <c r="AG631" s="44">
        <v>0</v>
      </c>
      <c r="AH631" s="44">
        <v>0</v>
      </c>
      <c r="AI631" s="43">
        <f t="shared" si="277"/>
        <v>13000000</v>
      </c>
      <c r="AJ631" s="43">
        <f t="shared" si="278"/>
        <v>13000000</v>
      </c>
      <c r="AK631" s="44">
        <v>0</v>
      </c>
      <c r="AL631" s="258">
        <v>0</v>
      </c>
      <c r="AM631" s="115">
        <v>0</v>
      </c>
      <c r="AN631" s="44">
        <v>0</v>
      </c>
      <c r="AO631" s="258">
        <v>0</v>
      </c>
      <c r="AP631" s="115">
        <v>0</v>
      </c>
      <c r="AQ631" s="44">
        <v>0</v>
      </c>
      <c r="AR631" s="258">
        <v>0</v>
      </c>
      <c r="AS631" s="115">
        <v>0</v>
      </c>
      <c r="AT631" s="135">
        <f t="shared" si="257"/>
        <v>0</v>
      </c>
      <c r="AU631" s="18">
        <f t="shared" si="273"/>
        <v>13000000</v>
      </c>
      <c r="AV631" s="34">
        <f t="shared" si="274"/>
        <v>0</v>
      </c>
      <c r="AW631" s="34">
        <f t="shared" si="275"/>
        <v>0</v>
      </c>
      <c r="AX631" s="123">
        <f t="shared" si="276"/>
        <v>0</v>
      </c>
    </row>
    <row r="632" spans="1:50" ht="18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166" t="s">
        <v>1076</v>
      </c>
      <c r="AB632" s="167" t="s">
        <v>1074</v>
      </c>
      <c r="AC632" s="168"/>
      <c r="AD632" s="44">
        <v>0</v>
      </c>
      <c r="AE632" s="43">
        <v>30358521.859999999</v>
      </c>
      <c r="AF632" s="44">
        <v>0</v>
      </c>
      <c r="AG632" s="44">
        <v>0</v>
      </c>
      <c r="AH632" s="44">
        <v>0</v>
      </c>
      <c r="AI632" s="43">
        <f t="shared" si="277"/>
        <v>30358521.859999999</v>
      </c>
      <c r="AJ632" s="43">
        <f t="shared" si="278"/>
        <v>30358521.859999999</v>
      </c>
      <c r="AK632" s="44">
        <v>0</v>
      </c>
      <c r="AL632" s="258">
        <v>0</v>
      </c>
      <c r="AM632" s="115">
        <v>0</v>
      </c>
      <c r="AN632" s="44">
        <v>0</v>
      </c>
      <c r="AO632" s="258">
        <v>0</v>
      </c>
      <c r="AP632" s="115">
        <v>0</v>
      </c>
      <c r="AQ632" s="44">
        <v>0</v>
      </c>
      <c r="AR632" s="258">
        <v>0</v>
      </c>
      <c r="AS632" s="115">
        <v>0</v>
      </c>
      <c r="AT632" s="135">
        <f t="shared" si="257"/>
        <v>0</v>
      </c>
      <c r="AU632" s="18">
        <f t="shared" si="273"/>
        <v>30358521.859999999</v>
      </c>
      <c r="AV632" s="34">
        <f t="shared" si="274"/>
        <v>0</v>
      </c>
      <c r="AW632" s="34">
        <f t="shared" si="275"/>
        <v>0</v>
      </c>
      <c r="AX632" s="123">
        <f t="shared" si="276"/>
        <v>0</v>
      </c>
    </row>
    <row r="633" spans="1:50" ht="18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166" t="s">
        <v>1077</v>
      </c>
      <c r="AB633" s="167" t="s">
        <v>1074</v>
      </c>
      <c r="AC633" s="168"/>
      <c r="AD633" s="44">
        <v>0</v>
      </c>
      <c r="AE633" s="43">
        <v>4485910634</v>
      </c>
      <c r="AF633" s="44">
        <v>0</v>
      </c>
      <c r="AG633" s="43">
        <v>524000000</v>
      </c>
      <c r="AH633" s="43">
        <v>1886000000</v>
      </c>
      <c r="AI633" s="43">
        <f>AE633-AF633+AG633-AH633</f>
        <v>3123910634</v>
      </c>
      <c r="AJ633" s="142">
        <f t="shared" si="278"/>
        <v>3123910634</v>
      </c>
      <c r="AK633" s="44">
        <v>0</v>
      </c>
      <c r="AL633" s="142">
        <f>AM633-AGOSTO!AM615</f>
        <v>2822568928.3700004</v>
      </c>
      <c r="AM633" s="43">
        <v>2828501444.8200002</v>
      </c>
      <c r="AN633" s="44">
        <v>0</v>
      </c>
      <c r="AO633" s="142">
        <v>7105340.4100000001</v>
      </c>
      <c r="AP633" s="43">
        <v>13037856.859999999</v>
      </c>
      <c r="AQ633" s="43">
        <v>2154460.41</v>
      </c>
      <c r="AR633" s="142">
        <v>4950880</v>
      </c>
      <c r="AS633" s="43">
        <v>10883396.449999999</v>
      </c>
      <c r="AT633" s="39">
        <f t="shared" si="257"/>
        <v>13037856.859999999</v>
      </c>
      <c r="AU633" s="18">
        <f t="shared" si="273"/>
        <v>295409189.17999983</v>
      </c>
      <c r="AV633" s="18">
        <f t="shared" si="274"/>
        <v>2815463587.96</v>
      </c>
      <c r="AW633" s="34">
        <f t="shared" si="275"/>
        <v>0</v>
      </c>
      <c r="AX633" s="123">
        <f t="shared" si="276"/>
        <v>4.173569089364673E-3</v>
      </c>
    </row>
    <row r="634" spans="1:50" ht="25.5" x14ac:dyDescent="0.2">
      <c r="AA634" s="162"/>
      <c r="AB634" s="163" t="s">
        <v>195</v>
      </c>
      <c r="AC634" s="17"/>
      <c r="AD634" s="18"/>
      <c r="AE634" s="34"/>
      <c r="AF634" s="34"/>
      <c r="AG634" s="34"/>
      <c r="AH634" s="34"/>
      <c r="AI634" s="34"/>
      <c r="AJ634" s="18"/>
      <c r="AK634" s="34"/>
      <c r="AL634" s="147"/>
      <c r="AM634" s="18"/>
      <c r="AN634" s="34"/>
      <c r="AO634" s="147"/>
      <c r="AP634" s="18"/>
      <c r="AQ634" s="18"/>
      <c r="AR634" s="147"/>
      <c r="AS634" s="18"/>
      <c r="AT634" s="30"/>
      <c r="AU634" s="18"/>
      <c r="AV634" s="18"/>
      <c r="AW634" s="18"/>
      <c r="AX634" s="18"/>
    </row>
    <row r="635" spans="1:50" ht="18.75" customHeight="1" x14ac:dyDescent="0.2">
      <c r="AA635" s="28" t="s">
        <v>288</v>
      </c>
      <c r="AB635" s="29" t="s">
        <v>487</v>
      </c>
      <c r="AC635" s="17"/>
      <c r="AD635" s="18"/>
      <c r="AE635" s="34"/>
      <c r="AF635" s="34"/>
      <c r="AG635" s="34"/>
      <c r="AH635" s="34"/>
      <c r="AI635" s="34"/>
      <c r="AJ635" s="18"/>
      <c r="AK635" s="34"/>
      <c r="AL635" s="147"/>
      <c r="AM635" s="18"/>
      <c r="AN635" s="34"/>
      <c r="AO635" s="18"/>
      <c r="AP635" s="18"/>
      <c r="AQ635" s="18"/>
      <c r="AR635" s="147"/>
      <c r="AS635" s="18"/>
      <c r="AT635" s="30"/>
      <c r="AU635" s="18"/>
      <c r="AV635" s="18"/>
      <c r="AW635" s="18"/>
      <c r="AX635" s="18"/>
    </row>
    <row r="636" spans="1:50" ht="18.75" customHeight="1" x14ac:dyDescent="0.2">
      <c r="A636" s="4" t="s">
        <v>55</v>
      </c>
      <c r="B636" s="4" t="s">
        <v>56</v>
      </c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1" t="s">
        <v>491</v>
      </c>
      <c r="AB636" s="42" t="s">
        <v>490</v>
      </c>
      <c r="AC636" s="43" t="s">
        <v>368</v>
      </c>
      <c r="AD636" s="43">
        <v>192000000</v>
      </c>
      <c r="AE636" s="44">
        <v>0</v>
      </c>
      <c r="AF636" s="44">
        <v>0</v>
      </c>
      <c r="AG636" s="44">
        <v>0</v>
      </c>
      <c r="AH636" s="44">
        <v>0</v>
      </c>
      <c r="AI636" s="44">
        <v>0</v>
      </c>
      <c r="AJ636" s="43">
        <v>192000000</v>
      </c>
      <c r="AK636" s="44">
        <v>0</v>
      </c>
      <c r="AL636" s="143">
        <f>AM636-AGOSTO!AM618</f>
        <v>0</v>
      </c>
      <c r="AM636" s="43">
        <v>166971871</v>
      </c>
      <c r="AN636" s="44">
        <v>0</v>
      </c>
      <c r="AO636" s="44">
        <v>0</v>
      </c>
      <c r="AP636" s="43">
        <v>166971871</v>
      </c>
      <c r="AQ636" s="44">
        <v>0</v>
      </c>
      <c r="AR636" s="142">
        <v>15179261</v>
      </c>
      <c r="AS636" s="43">
        <v>105748852</v>
      </c>
      <c r="AT636" s="39">
        <f>AQ636+AS636</f>
        <v>105748852</v>
      </c>
      <c r="AU636" s="18">
        <f>AJ636-AM636</f>
        <v>25028129</v>
      </c>
      <c r="AV636" s="34">
        <f>AM636-AP636</f>
        <v>0</v>
      </c>
      <c r="AW636" s="18">
        <f>AP636-AT636</f>
        <v>61223019</v>
      </c>
      <c r="AX636" s="123">
        <f>AP636/AJ636</f>
        <v>0.86964516145833337</v>
      </c>
    </row>
    <row r="637" spans="1:50" ht="25.5" x14ac:dyDescent="0.2">
      <c r="AA637" s="16"/>
      <c r="AB637" s="29" t="s">
        <v>197</v>
      </c>
      <c r="AC637" s="17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34"/>
      <c r="AO637" s="34"/>
      <c r="AP637" s="18"/>
      <c r="AQ637" s="34"/>
      <c r="AR637" s="145"/>
      <c r="AS637" s="34"/>
      <c r="AT637" s="40"/>
      <c r="AU637" s="18"/>
      <c r="AV637" s="18"/>
      <c r="AW637" s="18"/>
      <c r="AX637" s="18"/>
    </row>
    <row r="638" spans="1:50" ht="17.25" customHeight="1" x14ac:dyDescent="0.2">
      <c r="AA638" s="170" t="s">
        <v>288</v>
      </c>
      <c r="AB638" s="165" t="s">
        <v>1048</v>
      </c>
      <c r="AC638" s="161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34"/>
      <c r="AO638" s="34"/>
      <c r="AP638" s="18"/>
      <c r="AQ638" s="34"/>
      <c r="AR638" s="145"/>
      <c r="AS638" s="34"/>
      <c r="AT638" s="40"/>
      <c r="AU638" s="18"/>
      <c r="AV638" s="18"/>
      <c r="AW638" s="18"/>
      <c r="AX638" s="18"/>
    </row>
    <row r="639" spans="1:50" ht="16.5" customHeight="1" x14ac:dyDescent="0.2">
      <c r="AA639" s="166" t="s">
        <v>1049</v>
      </c>
      <c r="AB639" s="167" t="s">
        <v>1015</v>
      </c>
      <c r="AC639" s="161"/>
      <c r="AD639" s="34">
        <v>0</v>
      </c>
      <c r="AE639" s="18">
        <v>40000000</v>
      </c>
      <c r="AF639" s="34">
        <v>0</v>
      </c>
      <c r="AG639" s="34">
        <v>0</v>
      </c>
      <c r="AH639" s="18">
        <v>40000000</v>
      </c>
      <c r="AI639" s="43">
        <f>AE639-AF639+AG639-AH639</f>
        <v>0</v>
      </c>
      <c r="AJ639" s="44">
        <f>AD639+AI639</f>
        <v>0</v>
      </c>
      <c r="AK639" s="34">
        <v>0</v>
      </c>
      <c r="AL639" s="34">
        <v>0</v>
      </c>
      <c r="AM639" s="34">
        <v>0</v>
      </c>
      <c r="AN639" s="34">
        <v>0</v>
      </c>
      <c r="AO639" s="34">
        <v>0</v>
      </c>
      <c r="AP639" s="34">
        <v>0</v>
      </c>
      <c r="AQ639" s="34">
        <v>0</v>
      </c>
      <c r="AR639" s="145">
        <v>0</v>
      </c>
      <c r="AS639" s="34">
        <v>0</v>
      </c>
      <c r="AT639" s="135">
        <f t="shared" ref="AT639" si="279">AQ639+AS639</f>
        <v>0</v>
      </c>
      <c r="AU639" s="34">
        <f>AJ639-AM639</f>
        <v>0</v>
      </c>
      <c r="AV639" s="34">
        <f>AM639-AP639</f>
        <v>0</v>
      </c>
      <c r="AW639" s="34">
        <f>AP639-AT639</f>
        <v>0</v>
      </c>
      <c r="AX639" s="123">
        <v>0</v>
      </c>
    </row>
    <row r="640" spans="1:50" ht="18.75" customHeight="1" x14ac:dyDescent="0.2">
      <c r="AA640" s="162"/>
      <c r="AB640" s="163" t="s">
        <v>492</v>
      </c>
      <c r="AC640" s="17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34"/>
      <c r="AO640" s="34"/>
      <c r="AP640" s="18"/>
      <c r="AQ640" s="34"/>
      <c r="AR640" s="145"/>
      <c r="AS640" s="34"/>
      <c r="AT640" s="40"/>
      <c r="AU640" s="18"/>
      <c r="AV640" s="18"/>
      <c r="AW640" s="18"/>
      <c r="AX640" s="18"/>
    </row>
    <row r="641" spans="1:50" ht="18.75" customHeight="1" x14ac:dyDescent="0.2">
      <c r="A641" s="4" t="s">
        <v>55</v>
      </c>
      <c r="B641" s="4" t="s">
        <v>56</v>
      </c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1" t="s">
        <v>493</v>
      </c>
      <c r="AB641" s="42" t="s">
        <v>233</v>
      </c>
      <c r="AC641" s="43" t="s">
        <v>58</v>
      </c>
      <c r="AD641" s="44">
        <v>0</v>
      </c>
      <c r="AE641" s="44">
        <v>0</v>
      </c>
      <c r="AF641" s="44">
        <v>0</v>
      </c>
      <c r="AG641" s="43">
        <v>503000000</v>
      </c>
      <c r="AH641" s="43">
        <v>21088294</v>
      </c>
      <c r="AI641" s="43">
        <f>AE641-AF641+AG641-AH641</f>
        <v>481911706</v>
      </c>
      <c r="AJ641" s="43">
        <f>AD641+AI641</f>
        <v>481911706</v>
      </c>
      <c r="AK641" s="44">
        <v>0</v>
      </c>
      <c r="AL641" s="44">
        <f>AM641-AGOSTO!AM623</f>
        <v>0</v>
      </c>
      <c r="AM641" s="43">
        <v>481911706</v>
      </c>
      <c r="AN641" s="44">
        <v>0</v>
      </c>
      <c r="AO641" s="44">
        <v>0</v>
      </c>
      <c r="AP641" s="43">
        <v>481911706</v>
      </c>
      <c r="AQ641" s="44">
        <v>0</v>
      </c>
      <c r="AR641" s="142">
        <v>98572540.920000002</v>
      </c>
      <c r="AS641" s="43">
        <v>395271867.51999998</v>
      </c>
      <c r="AT641" s="39">
        <f>AQ641+AS641</f>
        <v>395271867.51999998</v>
      </c>
      <c r="AU641" s="34">
        <f>AJ641-AM641</f>
        <v>0</v>
      </c>
      <c r="AV641" s="34">
        <f>AM641-AP641</f>
        <v>0</v>
      </c>
      <c r="AW641" s="18">
        <f>AP641-AT641</f>
        <v>86639838.480000019</v>
      </c>
      <c r="AX641" s="123">
        <f>AP641/AJ641</f>
        <v>1</v>
      </c>
    </row>
    <row r="642" spans="1:50" ht="18.75" customHeight="1" x14ac:dyDescent="0.2">
      <c r="AA642" s="28" t="s">
        <v>288</v>
      </c>
      <c r="AB642" s="29" t="s">
        <v>494</v>
      </c>
      <c r="AC642" s="17"/>
      <c r="AD642" s="18"/>
      <c r="AE642" s="34"/>
      <c r="AF642" s="34"/>
      <c r="AG642" s="18"/>
      <c r="AH642" s="34"/>
      <c r="AI642" s="18"/>
      <c r="AJ642" s="18"/>
      <c r="AK642" s="34"/>
      <c r="AL642" s="34"/>
      <c r="AM642" s="18"/>
      <c r="AN642" s="34"/>
      <c r="AO642" s="18"/>
      <c r="AP642" s="18"/>
      <c r="AQ642" s="34"/>
      <c r="AR642" s="145"/>
      <c r="AS642" s="34"/>
      <c r="AT642" s="40"/>
      <c r="AU642" s="34"/>
      <c r="AV642" s="34"/>
      <c r="AW642" s="18"/>
      <c r="AX642" s="18"/>
    </row>
    <row r="643" spans="1:50" ht="18.75" customHeight="1" x14ac:dyDescent="0.2">
      <c r="A643" s="4" t="s">
        <v>55</v>
      </c>
      <c r="B643" s="4" t="s">
        <v>56</v>
      </c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1" t="s">
        <v>495</v>
      </c>
      <c r="AB643" s="42" t="s">
        <v>233</v>
      </c>
      <c r="AC643" s="43" t="s">
        <v>58</v>
      </c>
      <c r="AD643" s="43">
        <v>100000000</v>
      </c>
      <c r="AE643" s="44">
        <v>0</v>
      </c>
      <c r="AF643" s="44">
        <v>0</v>
      </c>
      <c r="AG643" s="44">
        <v>0</v>
      </c>
      <c r="AH643" s="43">
        <v>30591703</v>
      </c>
      <c r="AI643" s="44">
        <f>AE643-AF643+AG643-AH643</f>
        <v>-30591703</v>
      </c>
      <c r="AJ643" s="43">
        <f>AD643+AI643</f>
        <v>69408297</v>
      </c>
      <c r="AK643" s="44">
        <v>0</v>
      </c>
      <c r="AL643" s="44">
        <v>0</v>
      </c>
      <c r="AM643" s="43">
        <v>69408297</v>
      </c>
      <c r="AN643" s="44">
        <v>0</v>
      </c>
      <c r="AO643" s="44">
        <v>0</v>
      </c>
      <c r="AP643" s="43">
        <v>69408297</v>
      </c>
      <c r="AQ643" s="43">
        <v>0</v>
      </c>
      <c r="AR643" s="143">
        <v>0</v>
      </c>
      <c r="AS643" s="43">
        <v>69408297</v>
      </c>
      <c r="AT643" s="39">
        <f>AQ643+AS643</f>
        <v>69408297</v>
      </c>
      <c r="AU643" s="34">
        <f>AJ643-AM643</f>
        <v>0</v>
      </c>
      <c r="AV643" s="34">
        <f>AM643-AP643</f>
        <v>0</v>
      </c>
      <c r="AW643" s="34">
        <f>AP643-AT643</f>
        <v>0</v>
      </c>
      <c r="AX643" s="123">
        <f>AP643/AJ643</f>
        <v>1</v>
      </c>
    </row>
    <row r="644" spans="1:50" ht="18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1" t="s">
        <v>976</v>
      </c>
      <c r="AB644" s="42" t="s">
        <v>449</v>
      </c>
      <c r="AC644" s="43"/>
      <c r="AD644" s="44">
        <v>0</v>
      </c>
      <c r="AE644" s="44">
        <v>0</v>
      </c>
      <c r="AF644" s="44">
        <v>0</v>
      </c>
      <c r="AG644" s="43">
        <v>1200000000</v>
      </c>
      <c r="AH644" s="44"/>
      <c r="AI644" s="43">
        <f>AE644-AF644+AG644-AH644</f>
        <v>1200000000</v>
      </c>
      <c r="AJ644" s="43">
        <f>AD644+AI644</f>
        <v>1200000000</v>
      </c>
      <c r="AK644" s="44">
        <v>0</v>
      </c>
      <c r="AL644" s="44">
        <f>AM644-AGOSTO!AM626</f>
        <v>0</v>
      </c>
      <c r="AM644" s="43">
        <v>1114130436</v>
      </c>
      <c r="AN644" s="44">
        <v>0</v>
      </c>
      <c r="AO644" s="44">
        <v>0</v>
      </c>
      <c r="AP644" s="43">
        <v>0</v>
      </c>
      <c r="AQ644" s="44">
        <v>0</v>
      </c>
      <c r="AR644" s="143">
        <v>0</v>
      </c>
      <c r="AS644" s="44">
        <v>0</v>
      </c>
      <c r="AT644" s="40">
        <f>AQ644+AS644</f>
        <v>0</v>
      </c>
      <c r="AU644" s="18">
        <f>AJ644-AM644</f>
        <v>85869564</v>
      </c>
      <c r="AV644" s="18">
        <f>AM644-AP644</f>
        <v>1114130436</v>
      </c>
      <c r="AW644" s="34">
        <f>AP644-AT644</f>
        <v>0</v>
      </c>
      <c r="AX644" s="123">
        <f>AP644/AJ644</f>
        <v>0</v>
      </c>
    </row>
    <row r="645" spans="1:50" ht="18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1" t="s">
        <v>288</v>
      </c>
      <c r="AB645" s="74" t="s">
        <v>463</v>
      </c>
      <c r="AC645" s="43"/>
      <c r="AD645" s="43"/>
      <c r="AE645" s="44"/>
      <c r="AF645" s="44"/>
      <c r="AG645" s="43"/>
      <c r="AH645" s="44"/>
      <c r="AI645" s="43"/>
      <c r="AJ645" s="43"/>
      <c r="AK645" s="44"/>
      <c r="AL645" s="44"/>
      <c r="AM645" s="43"/>
      <c r="AN645" s="44"/>
      <c r="AO645" s="44"/>
      <c r="AP645" s="43"/>
      <c r="AQ645" s="44"/>
      <c r="AR645" s="143"/>
      <c r="AS645" s="44"/>
      <c r="AT645" s="40"/>
      <c r="AU645" s="43"/>
      <c r="AV645" s="43"/>
      <c r="AW645" s="43"/>
      <c r="AX645" s="32"/>
    </row>
    <row r="646" spans="1:50" ht="18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139" t="s">
        <v>909</v>
      </c>
      <c r="AB646" s="42" t="s">
        <v>233</v>
      </c>
      <c r="AC646" s="43"/>
      <c r="AD646" s="44">
        <v>0</v>
      </c>
      <c r="AE646" s="44">
        <v>0</v>
      </c>
      <c r="AF646" s="44">
        <v>0</v>
      </c>
      <c r="AG646" s="43">
        <v>1556000000</v>
      </c>
      <c r="AH646" s="44">
        <v>0</v>
      </c>
      <c r="AI646" s="43">
        <f>AE646-AF646+AG646-AH646</f>
        <v>1556000000</v>
      </c>
      <c r="AJ646" s="43">
        <f>AD646+AI646</f>
        <v>1556000000</v>
      </c>
      <c r="AK646" s="44">
        <v>0</v>
      </c>
      <c r="AL646" s="44">
        <f>AM646-AGOSTO!AM628</f>
        <v>0</v>
      </c>
      <c r="AM646" s="43">
        <v>1555449996</v>
      </c>
      <c r="AN646" s="44">
        <v>0</v>
      </c>
      <c r="AO646" s="44">
        <v>0</v>
      </c>
      <c r="AP646" s="43">
        <v>1555449996</v>
      </c>
      <c r="AQ646" s="44">
        <v>0</v>
      </c>
      <c r="AR646" s="143">
        <f>AS646-MAYO!AS605</f>
        <v>0</v>
      </c>
      <c r="AS646" s="43">
        <v>1555449996</v>
      </c>
      <c r="AT646" s="39">
        <f>AQ646+AS646</f>
        <v>1555449996</v>
      </c>
      <c r="AU646" s="18">
        <f>AJ646-AM646</f>
        <v>550004</v>
      </c>
      <c r="AV646" s="34">
        <f>AM646-AP646</f>
        <v>0</v>
      </c>
      <c r="AW646" s="34">
        <f>AP646-AT646</f>
        <v>0</v>
      </c>
      <c r="AX646" s="123">
        <f>AP646/AJ646</f>
        <v>0.99964652699228795</v>
      </c>
    </row>
    <row r="647" spans="1:50" ht="26.2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170" t="s">
        <v>288</v>
      </c>
      <c r="AB647" s="165" t="s">
        <v>1050</v>
      </c>
      <c r="AC647" s="168"/>
      <c r="AD647" s="44"/>
      <c r="AE647" s="44"/>
      <c r="AF647" s="44"/>
      <c r="AG647" s="43"/>
      <c r="AH647" s="44"/>
      <c r="AI647" s="43"/>
      <c r="AJ647" s="43"/>
      <c r="AK647" s="44"/>
      <c r="AL647" s="44"/>
      <c r="AM647" s="43"/>
      <c r="AN647" s="44"/>
      <c r="AO647" s="44"/>
      <c r="AP647" s="43"/>
      <c r="AQ647" s="44"/>
      <c r="AR647" s="143"/>
      <c r="AS647" s="43"/>
      <c r="AT647" s="39"/>
      <c r="AU647" s="18"/>
      <c r="AV647" s="34"/>
      <c r="AW647" s="34"/>
      <c r="AX647" s="123"/>
    </row>
    <row r="648" spans="1:50" ht="18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166" t="s">
        <v>1051</v>
      </c>
      <c r="AB648" s="167" t="s">
        <v>1015</v>
      </c>
      <c r="AC648" s="168"/>
      <c r="AD648" s="44">
        <v>0</v>
      </c>
      <c r="AE648" s="43">
        <v>40000000</v>
      </c>
      <c r="AF648" s="44">
        <v>0</v>
      </c>
      <c r="AG648" s="44">
        <v>0</v>
      </c>
      <c r="AH648" s="43">
        <v>40000000</v>
      </c>
      <c r="AI648" s="44">
        <f>AE648-AF648+AG648-AH648</f>
        <v>0</v>
      </c>
      <c r="AJ648" s="44">
        <f>AD648+AI648</f>
        <v>0</v>
      </c>
      <c r="AK648" s="44">
        <v>0</v>
      </c>
      <c r="AL648" s="44">
        <v>0</v>
      </c>
      <c r="AM648" s="44">
        <v>0</v>
      </c>
      <c r="AN648" s="44">
        <v>0</v>
      </c>
      <c r="AO648" s="44">
        <v>0</v>
      </c>
      <c r="AP648" s="43">
        <v>0</v>
      </c>
      <c r="AQ648" s="44">
        <v>0</v>
      </c>
      <c r="AR648" s="143">
        <v>0</v>
      </c>
      <c r="AS648" s="44">
        <v>0</v>
      </c>
      <c r="AT648" s="135">
        <f t="shared" ref="AT648" si="280">AQ648+AS648</f>
        <v>0</v>
      </c>
      <c r="AU648" s="34">
        <f>AJ648-AM648</f>
        <v>0</v>
      </c>
      <c r="AV648" s="34">
        <f>AM648-AP648</f>
        <v>0</v>
      </c>
      <c r="AW648" s="34">
        <f>AP648-AT648</f>
        <v>0</v>
      </c>
      <c r="AX648" s="123">
        <v>0</v>
      </c>
    </row>
    <row r="649" spans="1:50" ht="18.75" customHeight="1" x14ac:dyDescent="0.2">
      <c r="AA649" s="169" t="s">
        <v>288</v>
      </c>
      <c r="AB649" s="163" t="s">
        <v>496</v>
      </c>
      <c r="AC649" s="17"/>
      <c r="AD649" s="34"/>
      <c r="AE649" s="34"/>
      <c r="AF649" s="34"/>
      <c r="AG649" s="18"/>
      <c r="AH649" s="34"/>
      <c r="AI649" s="18"/>
      <c r="AJ649" s="18"/>
      <c r="AK649" s="18"/>
      <c r="AL649" s="18"/>
      <c r="AM649" s="18"/>
      <c r="AN649" s="18"/>
      <c r="AO649" s="18"/>
      <c r="AP649" s="18"/>
      <c r="AQ649" s="34"/>
      <c r="AR649" s="145"/>
      <c r="AS649" s="34"/>
      <c r="AT649" s="40"/>
      <c r="AU649" s="18"/>
      <c r="AV649" s="18"/>
      <c r="AW649" s="18"/>
      <c r="AX649" s="18"/>
    </row>
    <row r="650" spans="1:50" ht="18.75" customHeight="1" x14ac:dyDescent="0.2">
      <c r="A650" s="4" t="s">
        <v>55</v>
      </c>
      <c r="B650" s="4" t="s">
        <v>56</v>
      </c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1" t="s">
        <v>497</v>
      </c>
      <c r="AB650" s="42" t="s">
        <v>233</v>
      </c>
      <c r="AC650" s="43" t="s">
        <v>58</v>
      </c>
      <c r="AD650" s="44">
        <v>0</v>
      </c>
      <c r="AE650" s="44">
        <v>0</v>
      </c>
      <c r="AF650" s="44">
        <v>0</v>
      </c>
      <c r="AG650" s="43">
        <f>91680424+36720621</f>
        <v>128401045</v>
      </c>
      <c r="AH650" s="43">
        <v>11419181</v>
      </c>
      <c r="AI650" s="43">
        <f>AE650-AF650+AG650-AH650</f>
        <v>116981864</v>
      </c>
      <c r="AJ650" s="43">
        <f>AD650+AI650</f>
        <v>116981864</v>
      </c>
      <c r="AK650" s="44">
        <v>0</v>
      </c>
      <c r="AL650" s="115">
        <f>AM650-AGOSTO!AM632</f>
        <v>0</v>
      </c>
      <c r="AM650" s="114">
        <v>116981864</v>
      </c>
      <c r="AN650" s="44">
        <v>0</v>
      </c>
      <c r="AO650" s="44">
        <v>0</v>
      </c>
      <c r="AP650" s="114">
        <v>116981864</v>
      </c>
      <c r="AQ650" s="44">
        <v>0</v>
      </c>
      <c r="AR650" s="142">
        <v>0</v>
      </c>
      <c r="AS650" s="114">
        <v>116981864</v>
      </c>
      <c r="AT650" s="39">
        <f>AQ650+AS650</f>
        <v>116981864</v>
      </c>
      <c r="AU650" s="34">
        <f>AJ650-AM650</f>
        <v>0</v>
      </c>
      <c r="AV650" s="34">
        <f>AM650-AP650</f>
        <v>0</v>
      </c>
      <c r="AW650" s="34">
        <f>AP650-AT650</f>
        <v>0</v>
      </c>
      <c r="AX650" s="123">
        <f>AP650/AJ650</f>
        <v>1</v>
      </c>
    </row>
    <row r="651" spans="1:50" ht="18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73" t="s">
        <v>288</v>
      </c>
      <c r="AB651" s="74" t="s">
        <v>970</v>
      </c>
      <c r="AC651" s="43"/>
      <c r="AD651" s="44"/>
      <c r="AE651" s="44"/>
      <c r="AF651" s="44"/>
      <c r="AG651" s="43"/>
      <c r="AH651" s="43"/>
      <c r="AI651" s="43"/>
      <c r="AJ651" s="43"/>
      <c r="AK651" s="44"/>
      <c r="AL651" s="115"/>
      <c r="AM651" s="114"/>
      <c r="AN651" s="44"/>
      <c r="AO651" s="44"/>
      <c r="AP651" s="114"/>
      <c r="AQ651" s="44"/>
      <c r="AR651" s="142"/>
      <c r="AS651" s="114"/>
      <c r="AT651" s="39"/>
      <c r="AU651" s="34"/>
      <c r="AV651" s="34"/>
      <c r="AW651" s="34"/>
      <c r="AX651" s="123"/>
    </row>
    <row r="652" spans="1:50" ht="18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1" t="s">
        <v>1369</v>
      </c>
      <c r="AB652" s="42" t="s">
        <v>233</v>
      </c>
      <c r="AC652" s="43"/>
      <c r="AD652" s="44">
        <v>0</v>
      </c>
      <c r="AE652" s="44">
        <v>0</v>
      </c>
      <c r="AF652" s="44">
        <v>0</v>
      </c>
      <c r="AG652" s="43">
        <v>1097910418</v>
      </c>
      <c r="AH652" s="43">
        <v>0</v>
      </c>
      <c r="AI652" s="43">
        <f>AE652-AF652+AG652-AH652</f>
        <v>1097910418</v>
      </c>
      <c r="AJ652" s="43">
        <f>AD652+AI652</f>
        <v>1097910418</v>
      </c>
      <c r="AK652" s="44">
        <v>0</v>
      </c>
      <c r="AL652" s="115">
        <v>0</v>
      </c>
      <c r="AM652" s="115">
        <v>0</v>
      </c>
      <c r="AN652" s="44">
        <v>0</v>
      </c>
      <c r="AO652" s="44">
        <v>0</v>
      </c>
      <c r="AP652" s="114">
        <v>0</v>
      </c>
      <c r="AQ652" s="44">
        <v>0</v>
      </c>
      <c r="AR652" s="143">
        <v>0</v>
      </c>
      <c r="AS652" s="115">
        <v>0</v>
      </c>
      <c r="AT652" s="40">
        <f t="shared" ref="AT652:AT653" si="281">AQ652+AS652</f>
        <v>0</v>
      </c>
      <c r="AU652" s="18">
        <f t="shared" ref="AU652:AU653" si="282">AJ652-AM652</f>
        <v>1097910418</v>
      </c>
      <c r="AV652" s="34">
        <f t="shared" ref="AV652:AV653" si="283">AM652-AP652</f>
        <v>0</v>
      </c>
      <c r="AW652" s="34">
        <f t="shared" ref="AW652:AW653" si="284">AP652-AT652</f>
        <v>0</v>
      </c>
      <c r="AX652" s="123">
        <f t="shared" ref="AX652:AX653" si="285">AP652/AJ652</f>
        <v>0</v>
      </c>
    </row>
    <row r="653" spans="1:50" ht="18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1" t="s">
        <v>1368</v>
      </c>
      <c r="AB653" s="42" t="s">
        <v>1015</v>
      </c>
      <c r="AC653" s="43"/>
      <c r="AD653" s="44"/>
      <c r="AE653" s="44"/>
      <c r="AF653" s="44"/>
      <c r="AG653" s="43">
        <v>702089582</v>
      </c>
      <c r="AH653" s="43">
        <v>0</v>
      </c>
      <c r="AI653" s="43">
        <f>AE653-AF653+AG653-AH653</f>
        <v>702089582</v>
      </c>
      <c r="AJ653" s="43">
        <f>AD653+AI653</f>
        <v>702089582</v>
      </c>
      <c r="AK653" s="44">
        <v>0</v>
      </c>
      <c r="AL653" s="115">
        <v>0</v>
      </c>
      <c r="AM653" s="115">
        <v>0</v>
      </c>
      <c r="AN653" s="44">
        <v>0</v>
      </c>
      <c r="AO653" s="143">
        <v>0</v>
      </c>
      <c r="AP653" s="114">
        <v>0</v>
      </c>
      <c r="AQ653" s="44">
        <v>0</v>
      </c>
      <c r="AR653" s="143">
        <v>0</v>
      </c>
      <c r="AS653" s="115">
        <v>0</v>
      </c>
      <c r="AT653" s="40">
        <f t="shared" si="281"/>
        <v>0</v>
      </c>
      <c r="AU653" s="18">
        <f t="shared" si="282"/>
        <v>702089582</v>
      </c>
      <c r="AV653" s="34">
        <f t="shared" si="283"/>
        <v>0</v>
      </c>
      <c r="AW653" s="34">
        <f t="shared" si="284"/>
        <v>0</v>
      </c>
      <c r="AX653" s="123">
        <f t="shared" si="285"/>
        <v>0</v>
      </c>
    </row>
    <row r="654" spans="1:50" ht="18.75" customHeight="1" x14ac:dyDescent="0.2">
      <c r="AA654" s="28" t="s">
        <v>288</v>
      </c>
      <c r="AB654" s="29" t="s">
        <v>498</v>
      </c>
      <c r="AC654" s="17"/>
      <c r="AD654" s="18"/>
      <c r="AE654" s="34"/>
      <c r="AF654" s="34"/>
      <c r="AG654" s="18"/>
      <c r="AH654" s="18"/>
      <c r="AI654" s="18"/>
      <c r="AJ654" s="18"/>
      <c r="AK654" s="34"/>
      <c r="AL654" s="34"/>
      <c r="AM654" s="34"/>
      <c r="AN654" s="34"/>
      <c r="AO654" s="145"/>
      <c r="AP654" s="34"/>
      <c r="AQ654" s="34"/>
      <c r="AR654" s="145"/>
      <c r="AS654" s="34"/>
      <c r="AT654" s="40"/>
      <c r="AU654" s="18"/>
      <c r="AV654" s="18"/>
      <c r="AW654" s="18"/>
      <c r="AX654" s="18"/>
    </row>
    <row r="655" spans="1:50" ht="18.75" customHeight="1" x14ac:dyDescent="0.2">
      <c r="A655" s="4" t="s">
        <v>55</v>
      </c>
      <c r="B655" s="4" t="s">
        <v>56</v>
      </c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1" t="s">
        <v>499</v>
      </c>
      <c r="AB655" s="42" t="s">
        <v>233</v>
      </c>
      <c r="AC655" s="43" t="s">
        <v>58</v>
      </c>
      <c r="AD655" s="43">
        <v>5000000000</v>
      </c>
      <c r="AE655" s="44">
        <v>0</v>
      </c>
      <c r="AF655" s="44">
        <v>0</v>
      </c>
      <c r="AG655" s="44">
        <v>0</v>
      </c>
      <c r="AH655" s="43">
        <f>2332895811.15+800401381+119719609</f>
        <v>3253016801.1500001</v>
      </c>
      <c r="AI655" s="43">
        <f>AE655-AF655+AG655-AH655</f>
        <v>-3253016801.1500001</v>
      </c>
      <c r="AJ655" s="142">
        <f>AD655+AI655</f>
        <v>1746983198.8499999</v>
      </c>
      <c r="AK655" s="44">
        <v>0</v>
      </c>
      <c r="AL655" s="115">
        <f>AM655-AGOSTO!AM634</f>
        <v>0</v>
      </c>
      <c r="AM655" s="114">
        <v>1746983198.74</v>
      </c>
      <c r="AN655" s="43">
        <v>257562070</v>
      </c>
      <c r="AO655" s="143">
        <v>0</v>
      </c>
      <c r="AP655" s="43">
        <v>1434700926</v>
      </c>
      <c r="AQ655" s="44">
        <v>0</v>
      </c>
      <c r="AR655" s="143">
        <v>0</v>
      </c>
      <c r="AS655" s="43">
        <v>1076025694.5</v>
      </c>
      <c r="AT655" s="39">
        <f>AQ655+AS655</f>
        <v>1076025694.5</v>
      </c>
      <c r="AU655" s="18">
        <f>AJ655-AM655</f>
        <v>0.1099998950958252</v>
      </c>
      <c r="AV655" s="18">
        <f>AM655-AP655</f>
        <v>312282272.74000001</v>
      </c>
      <c r="AW655" s="18">
        <f>AP655-AT655</f>
        <v>358675231.5</v>
      </c>
      <c r="AX655" s="123">
        <f>AP655/AJ655</f>
        <v>0.82124483334724208</v>
      </c>
    </row>
    <row r="656" spans="1:50" ht="18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166" t="s">
        <v>1052</v>
      </c>
      <c r="AB656" s="167" t="s">
        <v>1015</v>
      </c>
      <c r="AC656" s="168"/>
      <c r="AD656" s="44">
        <v>0</v>
      </c>
      <c r="AE656" s="43">
        <v>3500000000</v>
      </c>
      <c r="AF656" s="44"/>
      <c r="AG656" s="44"/>
      <c r="AH656" s="43">
        <f>769916142.32+86300000+1100000000</f>
        <v>1956216142.3200002</v>
      </c>
      <c r="AI656" s="43">
        <f>AE656-AF656+AG656-AH656</f>
        <v>1543783857.6799998</v>
      </c>
      <c r="AJ656" s="142">
        <f>AD656+AI656</f>
        <v>1543783857.6799998</v>
      </c>
      <c r="AK656" s="44">
        <v>0</v>
      </c>
      <c r="AL656" s="142">
        <f>AM656-AGOSTO!AM635</f>
        <v>352173333.33000004</v>
      </c>
      <c r="AM656" s="43">
        <v>1222319338.1900001</v>
      </c>
      <c r="AN656" s="43">
        <v>55125000</v>
      </c>
      <c r="AO656" s="142">
        <v>916904338.19000006</v>
      </c>
      <c r="AP656" s="43">
        <v>1116704338.1900001</v>
      </c>
      <c r="AQ656" s="43">
        <v>720000</v>
      </c>
      <c r="AR656" s="142">
        <v>13515000</v>
      </c>
      <c r="AS656" s="43">
        <v>13515000</v>
      </c>
      <c r="AT656" s="39">
        <f t="shared" ref="AT656:AT657" si="286">AQ656+AS656</f>
        <v>14235000</v>
      </c>
      <c r="AU656" s="18">
        <f>AJ656-AM656</f>
        <v>321464519.48999977</v>
      </c>
      <c r="AV656" s="18">
        <f>AM656-AP656</f>
        <v>105615000</v>
      </c>
      <c r="AW656" s="18">
        <f>AP656-AT656</f>
        <v>1102469338.1900001</v>
      </c>
      <c r="AX656" s="123">
        <f>AP656/AJ656</f>
        <v>0.72335536651366772</v>
      </c>
    </row>
    <row r="657" spans="1:50" ht="24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229" t="s">
        <v>1224</v>
      </c>
      <c r="AB657" s="230" t="s">
        <v>1055</v>
      </c>
      <c r="AC657" s="168"/>
      <c r="AD657" s="44">
        <v>0</v>
      </c>
      <c r="AE657" s="44">
        <v>0</v>
      </c>
      <c r="AF657" s="44">
        <v>0</v>
      </c>
      <c r="AG657" s="43">
        <v>769916142.32000005</v>
      </c>
      <c r="AH657" s="43">
        <v>290000000</v>
      </c>
      <c r="AI657" s="43">
        <f>AE657-AF657+AG657-AH657</f>
        <v>479916142.32000005</v>
      </c>
      <c r="AJ657" s="142">
        <f>AD657+AI657</f>
        <v>479916142.32000005</v>
      </c>
      <c r="AK657" s="44">
        <v>0</v>
      </c>
      <c r="AL657" s="143">
        <f>AM657-AGOSTO!AM636</f>
        <v>0</v>
      </c>
      <c r="AM657" s="43">
        <v>405227069</v>
      </c>
      <c r="AN657" s="44">
        <v>0</v>
      </c>
      <c r="AO657" s="143">
        <v>0</v>
      </c>
      <c r="AP657" s="43">
        <v>0</v>
      </c>
      <c r="AQ657" s="44">
        <v>0</v>
      </c>
      <c r="AR657" s="143">
        <v>0</v>
      </c>
      <c r="AS657" s="44">
        <v>0</v>
      </c>
      <c r="AT657" s="135">
        <f t="shared" si="286"/>
        <v>0</v>
      </c>
      <c r="AU657" s="18">
        <f>AJ657-AM657</f>
        <v>74689073.320000052</v>
      </c>
      <c r="AV657" s="18">
        <f>AM657-AP657</f>
        <v>405227069</v>
      </c>
      <c r="AW657" s="18">
        <f>AP657-AT657</f>
        <v>0</v>
      </c>
      <c r="AX657" s="123">
        <f>AP657/AJ657</f>
        <v>0</v>
      </c>
    </row>
    <row r="658" spans="1:50" ht="18.75" customHeight="1" x14ac:dyDescent="0.2">
      <c r="AA658" s="169" t="s">
        <v>288</v>
      </c>
      <c r="AB658" s="163" t="s">
        <v>483</v>
      </c>
      <c r="AC658" s="17"/>
      <c r="AD658" s="18"/>
      <c r="AE658" s="34"/>
      <c r="AF658" s="34"/>
      <c r="AG658" s="18"/>
      <c r="AH658" s="18"/>
      <c r="AI658" s="18"/>
      <c r="AJ658" s="147"/>
      <c r="AK658" s="34"/>
      <c r="AL658" s="34"/>
      <c r="AM658" s="34"/>
      <c r="AN658" s="34"/>
      <c r="AO658" s="145"/>
      <c r="AP658" s="34"/>
      <c r="AQ658" s="34"/>
      <c r="AR658" s="145"/>
      <c r="AS658" s="34"/>
      <c r="AT658" s="40"/>
      <c r="AU658" s="18"/>
      <c r="AV658" s="18"/>
      <c r="AW658" s="18"/>
      <c r="AX658" s="18"/>
    </row>
    <row r="659" spans="1:50" ht="18.75" customHeight="1" x14ac:dyDescent="0.2">
      <c r="A659" s="4" t="s">
        <v>55</v>
      </c>
      <c r="B659" s="4" t="s">
        <v>56</v>
      </c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1" t="s">
        <v>500</v>
      </c>
      <c r="AB659" s="42" t="s">
        <v>233</v>
      </c>
      <c r="AC659" s="43" t="s">
        <v>58</v>
      </c>
      <c r="AD659" s="44">
        <v>0</v>
      </c>
      <c r="AE659" s="44">
        <v>0</v>
      </c>
      <c r="AF659" s="44">
        <v>0</v>
      </c>
      <c r="AG659" s="43">
        <f>36519672</f>
        <v>36519672</v>
      </c>
      <c r="AH659" s="44">
        <v>0</v>
      </c>
      <c r="AI659" s="43">
        <f>AE659-AF659+AG659-AH659</f>
        <v>36519672</v>
      </c>
      <c r="AJ659" s="142">
        <f>AD659+AI659</f>
        <v>36519672</v>
      </c>
      <c r="AK659" s="44">
        <v>0</v>
      </c>
      <c r="AL659" s="44">
        <v>0</v>
      </c>
      <c r="AM659" s="43">
        <v>36519672</v>
      </c>
      <c r="AN659" s="44">
        <v>0</v>
      </c>
      <c r="AO659" s="44">
        <v>0</v>
      </c>
      <c r="AP659" s="43">
        <v>36519672</v>
      </c>
      <c r="AQ659" s="44">
        <v>0</v>
      </c>
      <c r="AR659" s="143">
        <v>0</v>
      </c>
      <c r="AS659" s="43">
        <v>36519672</v>
      </c>
      <c r="AT659" s="39">
        <f>AQ659+AS659</f>
        <v>36519672</v>
      </c>
      <c r="AU659" s="34">
        <f>AJ659-AM659</f>
        <v>0</v>
      </c>
      <c r="AV659" s="34">
        <f>AM659-AP659</f>
        <v>0</v>
      </c>
      <c r="AW659" s="34">
        <f>AP659-AT659</f>
        <v>0</v>
      </c>
      <c r="AX659" s="123">
        <f>AP659/AJ659</f>
        <v>1</v>
      </c>
    </row>
    <row r="660" spans="1:50" ht="18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1" t="s">
        <v>1278</v>
      </c>
      <c r="AB660" s="42" t="s">
        <v>1015</v>
      </c>
      <c r="AC660" s="43"/>
      <c r="AD660" s="44">
        <v>0</v>
      </c>
      <c r="AE660" s="44">
        <v>0</v>
      </c>
      <c r="AF660" s="44">
        <v>0</v>
      </c>
      <c r="AG660" s="43">
        <v>25000000</v>
      </c>
      <c r="AH660" s="44">
        <v>0</v>
      </c>
      <c r="AI660" s="43">
        <f>AE660-AF660+AG660-AH660</f>
        <v>25000000</v>
      </c>
      <c r="AJ660" s="142">
        <f>AD660+AI660</f>
        <v>25000000</v>
      </c>
      <c r="AK660" s="44">
        <v>0</v>
      </c>
      <c r="AL660" s="44">
        <v>0</v>
      </c>
      <c r="AM660" s="43">
        <v>25000000</v>
      </c>
      <c r="AN660" s="44">
        <v>0</v>
      </c>
      <c r="AO660" s="43">
        <v>25000000</v>
      </c>
      <c r="AP660" s="43">
        <v>25000000</v>
      </c>
      <c r="AQ660" s="44">
        <v>0</v>
      </c>
      <c r="AR660" s="143">
        <v>0</v>
      </c>
      <c r="AS660" s="44">
        <v>0</v>
      </c>
      <c r="AT660" s="40">
        <f>AQ660+AS660</f>
        <v>0</v>
      </c>
      <c r="AU660" s="34">
        <f>AJ660-AM660</f>
        <v>0</v>
      </c>
      <c r="AV660" s="18">
        <f>AM660-AP660</f>
        <v>0</v>
      </c>
      <c r="AW660" s="18">
        <f>AP660-AT660</f>
        <v>25000000</v>
      </c>
      <c r="AX660" s="123">
        <f>AP660/AJ660</f>
        <v>1</v>
      </c>
    </row>
    <row r="661" spans="1:50" ht="18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73" t="s">
        <v>1249</v>
      </c>
      <c r="AB661" s="74" t="s">
        <v>1265</v>
      </c>
      <c r="AC661" s="43"/>
      <c r="AD661" s="44"/>
      <c r="AE661" s="44"/>
      <c r="AF661" s="44"/>
      <c r="AG661" s="43"/>
      <c r="AH661" s="44"/>
      <c r="AI661" s="43"/>
      <c r="AJ661" s="142"/>
      <c r="AK661" s="44"/>
      <c r="AL661" s="44"/>
      <c r="AM661" s="43"/>
      <c r="AN661" s="44"/>
      <c r="AO661" s="44"/>
      <c r="AP661" s="43"/>
      <c r="AQ661" s="44"/>
      <c r="AR661" s="143"/>
      <c r="AS661" s="44"/>
      <c r="AT661" s="40"/>
      <c r="AU661" s="18"/>
      <c r="AV661" s="34"/>
      <c r="AW661" s="34"/>
      <c r="AX661" s="123"/>
    </row>
    <row r="662" spans="1:50" ht="18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1" t="s">
        <v>1266</v>
      </c>
      <c r="AB662" s="42" t="s">
        <v>1015</v>
      </c>
      <c r="AC662" s="43"/>
      <c r="AD662" s="44">
        <v>0</v>
      </c>
      <c r="AE662" s="44">
        <v>0</v>
      </c>
      <c r="AF662" s="44">
        <v>0</v>
      </c>
      <c r="AG662" s="43">
        <f>22000000+11300000</f>
        <v>33300000</v>
      </c>
      <c r="AH662" s="44"/>
      <c r="AI662" s="43">
        <f>AE662-AF662+AG662-AH662</f>
        <v>33300000</v>
      </c>
      <c r="AJ662" s="142">
        <f>AD662+AI662</f>
        <v>33300000</v>
      </c>
      <c r="AK662" s="44">
        <v>0</v>
      </c>
      <c r="AL662" s="44">
        <v>0</v>
      </c>
      <c r="AM662" s="43">
        <v>33295751.84</v>
      </c>
      <c r="AN662" s="44">
        <v>0</v>
      </c>
      <c r="AO662" s="44">
        <v>0</v>
      </c>
      <c r="AP662" s="44">
        <v>0</v>
      </c>
      <c r="AQ662" s="44">
        <v>0</v>
      </c>
      <c r="AR662" s="143">
        <v>0</v>
      </c>
      <c r="AS662" s="44">
        <v>0</v>
      </c>
      <c r="AT662" s="40">
        <f>AQ662+AS662</f>
        <v>0</v>
      </c>
      <c r="AU662" s="18">
        <f>AJ662-AM662</f>
        <v>4248.160000000149</v>
      </c>
      <c r="AV662" s="18">
        <f>AM662-AP662</f>
        <v>33295751.84</v>
      </c>
      <c r="AW662" s="34">
        <f>AP662-AT662</f>
        <v>0</v>
      </c>
      <c r="AX662" s="123">
        <f>AP662/AJ662</f>
        <v>0</v>
      </c>
    </row>
    <row r="663" spans="1:50" ht="18.75" customHeight="1" x14ac:dyDescent="0.2">
      <c r="AA663" s="28" t="s">
        <v>288</v>
      </c>
      <c r="AB663" s="29" t="s">
        <v>487</v>
      </c>
      <c r="AC663" s="17"/>
      <c r="AD663" s="18"/>
      <c r="AE663" s="34"/>
      <c r="AF663" s="34"/>
      <c r="AG663" s="18"/>
      <c r="AH663" s="18"/>
      <c r="AI663" s="18"/>
      <c r="AJ663" s="147"/>
      <c r="AK663" s="18"/>
      <c r="AL663" s="147"/>
      <c r="AM663" s="18"/>
      <c r="AN663" s="34"/>
      <c r="AO663" s="145"/>
      <c r="AP663" s="18"/>
      <c r="AQ663" s="18"/>
      <c r="AR663" s="147"/>
      <c r="AS663" s="18"/>
      <c r="AT663" s="39"/>
      <c r="AU663" s="18"/>
      <c r="AV663" s="18"/>
      <c r="AW663" s="18"/>
      <c r="AX663" s="18"/>
    </row>
    <row r="664" spans="1:50" ht="18.75" customHeight="1" x14ac:dyDescent="0.2">
      <c r="A664" s="4" t="s">
        <v>55</v>
      </c>
      <c r="B664" s="4" t="s">
        <v>56</v>
      </c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1" t="s">
        <v>501</v>
      </c>
      <c r="AB664" s="42" t="s">
        <v>439</v>
      </c>
      <c r="AC664" s="43" t="s">
        <v>428</v>
      </c>
      <c r="AD664" s="43">
        <v>4549743506</v>
      </c>
      <c r="AE664" s="44">
        <v>0</v>
      </c>
      <c r="AF664" s="44">
        <v>0</v>
      </c>
      <c r="AG664" s="43">
        <v>265538240</v>
      </c>
      <c r="AH664" s="44">
        <v>0</v>
      </c>
      <c r="AI664" s="43">
        <f>AE664-AF664+AG664-AH664</f>
        <v>265538240</v>
      </c>
      <c r="AJ664" s="142">
        <f>AD664+AI664</f>
        <v>4815281746</v>
      </c>
      <c r="AK664" s="44">
        <v>0</v>
      </c>
      <c r="AL664" s="142">
        <f>AM664-AGOSTO!AM643</f>
        <v>5094152</v>
      </c>
      <c r="AM664" s="43">
        <v>3889838332.8000002</v>
      </c>
      <c r="AN664" s="43">
        <v>615055330.5</v>
      </c>
      <c r="AO664" s="142">
        <v>4355400</v>
      </c>
      <c r="AP664" s="43">
        <v>3129738485.0300002</v>
      </c>
      <c r="AQ664" s="43">
        <v>67411445.439999998</v>
      </c>
      <c r="AR664" s="142">
        <v>110370279.98</v>
      </c>
      <c r="AS664" s="43">
        <v>1000597484.9400001</v>
      </c>
      <c r="AT664" s="39">
        <f t="shared" si="257"/>
        <v>1068008930.3800001</v>
      </c>
      <c r="AU664" s="18">
        <f>AJ664-AM664</f>
        <v>925443413.19999981</v>
      </c>
      <c r="AV664" s="110">
        <f>AM664-AP664</f>
        <v>760099847.76999998</v>
      </c>
      <c r="AW664" s="18">
        <f>AP664-AT664</f>
        <v>2061729554.6500001</v>
      </c>
      <c r="AX664" s="123">
        <f>AP664/AJ664</f>
        <v>0.649959576639485</v>
      </c>
    </row>
    <row r="665" spans="1:50" ht="18.75" customHeight="1" x14ac:dyDescent="0.2">
      <c r="A665" s="4" t="s">
        <v>55</v>
      </c>
      <c r="B665" s="4" t="s">
        <v>56</v>
      </c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1" t="s">
        <v>502</v>
      </c>
      <c r="AB665" s="42" t="s">
        <v>490</v>
      </c>
      <c r="AC665" s="43" t="s">
        <v>368</v>
      </c>
      <c r="AD665" s="43">
        <v>104829219</v>
      </c>
      <c r="AE665" s="44">
        <v>0</v>
      </c>
      <c r="AF665" s="44">
        <v>0</v>
      </c>
      <c r="AG665" s="44">
        <v>0</v>
      </c>
      <c r="AH665" s="43">
        <v>53364831</v>
      </c>
      <c r="AI665" s="43">
        <f>AE665-AF665+AG665-AH665</f>
        <v>-53364831</v>
      </c>
      <c r="AJ665" s="142">
        <f>AD665+AI665</f>
        <v>51464388</v>
      </c>
      <c r="AK665" s="44">
        <v>0</v>
      </c>
      <c r="AL665" s="143">
        <f>AM665-AGOSTO!AM644</f>
        <v>0</v>
      </c>
      <c r="AM665" s="43">
        <v>51464387.640000001</v>
      </c>
      <c r="AN665" s="44">
        <v>0</v>
      </c>
      <c r="AO665" s="142"/>
      <c r="AP665" s="43">
        <v>51464387.640000001</v>
      </c>
      <c r="AQ665" s="44">
        <v>0</v>
      </c>
      <c r="AR665" s="142"/>
      <c r="AS665" s="43">
        <v>51464387.640000001</v>
      </c>
      <c r="AT665" s="39">
        <f t="shared" si="257"/>
        <v>51464387.640000001</v>
      </c>
      <c r="AU665" s="18">
        <f>AJ665-AM665</f>
        <v>0.35999999940395355</v>
      </c>
      <c r="AV665" s="34">
        <f>AM665-AP665</f>
        <v>0</v>
      </c>
      <c r="AW665" s="34">
        <f>AP665-AT665</f>
        <v>0</v>
      </c>
      <c r="AX665" s="123">
        <f>AP665/AJ665</f>
        <v>0.99999999300487163</v>
      </c>
    </row>
    <row r="666" spans="1:50" ht="18.75" customHeight="1" x14ac:dyDescent="0.2">
      <c r="AA666" s="28" t="s">
        <v>288</v>
      </c>
      <c r="AB666" s="29" t="s">
        <v>400</v>
      </c>
      <c r="AC666" s="17"/>
      <c r="AD666" s="18"/>
      <c r="AE666" s="34"/>
      <c r="AF666" s="34"/>
      <c r="AG666" s="18"/>
      <c r="AH666" s="18"/>
      <c r="AI666" s="18"/>
      <c r="AJ666" s="147"/>
      <c r="AK666" s="34"/>
      <c r="AL666" s="145"/>
      <c r="AM666" s="18"/>
      <c r="AN666" s="18"/>
      <c r="AO666" s="147"/>
      <c r="AP666" s="18"/>
      <c r="AQ666" s="18"/>
      <c r="AR666" s="147"/>
      <c r="AS666" s="18"/>
      <c r="AT666" s="39"/>
      <c r="AU666" s="18"/>
      <c r="AV666" s="18"/>
      <c r="AW666" s="18"/>
      <c r="AX666" s="18"/>
    </row>
    <row r="667" spans="1:50" ht="18.75" customHeight="1" x14ac:dyDescent="0.2">
      <c r="A667" s="4" t="s">
        <v>55</v>
      </c>
      <c r="B667" s="4" t="s">
        <v>56</v>
      </c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1" t="s">
        <v>401</v>
      </c>
      <c r="AB667" s="42" t="s">
        <v>233</v>
      </c>
      <c r="AC667" s="43" t="s">
        <v>58</v>
      </c>
      <c r="AD667" s="43">
        <v>2673811725</v>
      </c>
      <c r="AE667" s="44">
        <v>0</v>
      </c>
      <c r="AF667" s="44">
        <v>0</v>
      </c>
      <c r="AG667" s="43">
        <v>1500000000</v>
      </c>
      <c r="AH667" s="44">
        <v>0</v>
      </c>
      <c r="AI667" s="43">
        <f>AE667-AF667+AG667-AH667</f>
        <v>1500000000</v>
      </c>
      <c r="AJ667" s="43">
        <f>AD667+AI667</f>
        <v>4173811725</v>
      </c>
      <c r="AK667" s="44">
        <v>0</v>
      </c>
      <c r="AL667" s="143">
        <f>AM667-AGOSTO!AM646</f>
        <v>0</v>
      </c>
      <c r="AM667" s="43">
        <v>4112900000</v>
      </c>
      <c r="AN667" s="44">
        <v>0</v>
      </c>
      <c r="AO667" s="142">
        <v>4500000</v>
      </c>
      <c r="AP667" s="43">
        <v>4100900000</v>
      </c>
      <c r="AQ667" s="114">
        <v>176210000</v>
      </c>
      <c r="AR667" s="144">
        <v>521083333</v>
      </c>
      <c r="AS667" s="114">
        <v>3370436663</v>
      </c>
      <c r="AT667" s="111">
        <f t="shared" ref="AT667:AT697" si="287">AQ667+AS667</f>
        <v>3546646663</v>
      </c>
      <c r="AU667" s="18">
        <f>AJ667-AM667</f>
        <v>60911725</v>
      </c>
      <c r="AV667" s="110">
        <f>AM667-AP667</f>
        <v>12000000</v>
      </c>
      <c r="AW667" s="18">
        <f>AP667-AT667</f>
        <v>554253337</v>
      </c>
      <c r="AX667" s="123">
        <f>AP667/AJ667</f>
        <v>0.98253114184253243</v>
      </c>
    </row>
    <row r="668" spans="1:50" ht="18.75" customHeight="1" x14ac:dyDescent="0.2">
      <c r="A668" s="4" t="s">
        <v>55</v>
      </c>
      <c r="B668" s="4" t="s">
        <v>56</v>
      </c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1" t="s">
        <v>503</v>
      </c>
      <c r="AB668" s="42" t="s">
        <v>439</v>
      </c>
      <c r="AC668" s="43" t="s">
        <v>428</v>
      </c>
      <c r="AD668" s="43">
        <v>1237500000</v>
      </c>
      <c r="AE668" s="44">
        <v>0</v>
      </c>
      <c r="AF668" s="44">
        <v>0</v>
      </c>
      <c r="AG668" s="44">
        <v>0</v>
      </c>
      <c r="AH668" s="44">
        <v>0</v>
      </c>
      <c r="AI668" s="44">
        <v>0</v>
      </c>
      <c r="AJ668" s="43">
        <v>1237500000</v>
      </c>
      <c r="AK668" s="43">
        <v>0</v>
      </c>
      <c r="AL668" s="142">
        <f>AM668-AGOSTO!AM647</f>
        <v>11000000</v>
      </c>
      <c r="AM668" s="43">
        <v>1149866666.3299999</v>
      </c>
      <c r="AN668" s="44">
        <v>0</v>
      </c>
      <c r="AO668" s="142">
        <v>25950000</v>
      </c>
      <c r="AP668" s="43">
        <v>1144466666.3299999</v>
      </c>
      <c r="AQ668" s="114">
        <v>49306667</v>
      </c>
      <c r="AR668" s="144">
        <v>142256667</v>
      </c>
      <c r="AS668" s="114">
        <v>885793335</v>
      </c>
      <c r="AT668" s="111">
        <f t="shared" si="287"/>
        <v>935100002</v>
      </c>
      <c r="AU668" s="18">
        <f>AJ668-AM668</f>
        <v>87633333.670000076</v>
      </c>
      <c r="AV668" s="110">
        <f>AM668-AP668</f>
        <v>5400000</v>
      </c>
      <c r="AW668" s="18">
        <f>AP668-AT668</f>
        <v>209366664.32999992</v>
      </c>
      <c r="AX668" s="123">
        <f>AP668/AJ668</f>
        <v>0.92482154854949494</v>
      </c>
    </row>
    <row r="669" spans="1:50" ht="23.2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166" t="s">
        <v>1053</v>
      </c>
      <c r="AB669" s="167" t="s">
        <v>1015</v>
      </c>
      <c r="AC669" s="168"/>
      <c r="AD669" s="44">
        <v>0</v>
      </c>
      <c r="AE669" s="43">
        <v>230083857.68000001</v>
      </c>
      <c r="AF669" s="44">
        <v>0</v>
      </c>
      <c r="AG669" s="43">
        <f>769916142.32+1100000000</f>
        <v>1869916142.3200002</v>
      </c>
      <c r="AH669" s="44">
        <v>0</v>
      </c>
      <c r="AI669" s="43">
        <f t="shared" ref="AI669:AI671" si="288">AE669-AF669+AG669-AH669</f>
        <v>2100000000.0000002</v>
      </c>
      <c r="AJ669" s="43">
        <f t="shared" ref="AJ669:AJ671" si="289">AD669+AI669</f>
        <v>2100000000.0000002</v>
      </c>
      <c r="AK669" s="44">
        <v>0</v>
      </c>
      <c r="AL669" s="142">
        <f>AM669-AGOSTO!AM648</f>
        <v>885559999.99999988</v>
      </c>
      <c r="AM669" s="43">
        <v>1675383333.3599999</v>
      </c>
      <c r="AN669" s="43">
        <v>20500000</v>
      </c>
      <c r="AO669" s="142">
        <v>1143970000.02</v>
      </c>
      <c r="AP669" s="43">
        <v>1586136666.6900001</v>
      </c>
      <c r="AQ669" s="43">
        <v>18883334</v>
      </c>
      <c r="AR669" s="142">
        <v>79833333</v>
      </c>
      <c r="AS669" s="43">
        <v>116841668</v>
      </c>
      <c r="AT669" s="39">
        <f t="shared" si="287"/>
        <v>135725002</v>
      </c>
      <c r="AU669" s="18">
        <f>AJ669-AM669</f>
        <v>424616666.64000034</v>
      </c>
      <c r="AV669" s="18">
        <f>AM669-AP669</f>
        <v>89246666.669999838</v>
      </c>
      <c r="AW669" s="18">
        <f>AP669-AT669</f>
        <v>1450411664.6900001</v>
      </c>
      <c r="AX669" s="123">
        <f>AP669/AJ669</f>
        <v>0.75530317461428564</v>
      </c>
    </row>
    <row r="670" spans="1:50" ht="25.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214" t="s">
        <v>1054</v>
      </c>
      <c r="AB670" s="215" t="s">
        <v>1055</v>
      </c>
      <c r="AC670" s="168"/>
      <c r="AD670" s="44">
        <v>0</v>
      </c>
      <c r="AE670" s="43">
        <v>769916142.32000005</v>
      </c>
      <c r="AF670" s="44">
        <v>0</v>
      </c>
      <c r="AG670" s="44">
        <v>0</v>
      </c>
      <c r="AH670" s="43">
        <v>769916142.32000005</v>
      </c>
      <c r="AI670" s="44">
        <f t="shared" si="288"/>
        <v>0</v>
      </c>
      <c r="AJ670" s="44">
        <f t="shared" si="289"/>
        <v>0</v>
      </c>
      <c r="AK670" s="44">
        <v>0</v>
      </c>
      <c r="AL670" s="142"/>
      <c r="AM670" s="44">
        <v>0</v>
      </c>
      <c r="AN670" s="44">
        <v>0</v>
      </c>
      <c r="AO670" s="143"/>
      <c r="AP670" s="44">
        <v>0</v>
      </c>
      <c r="AQ670" s="115">
        <v>0</v>
      </c>
      <c r="AR670" s="258"/>
      <c r="AS670" s="115">
        <v>0</v>
      </c>
      <c r="AT670" s="135">
        <f t="shared" si="287"/>
        <v>0</v>
      </c>
      <c r="AU670" s="34">
        <f>AJ670-AM670</f>
        <v>0</v>
      </c>
      <c r="AV670" s="34">
        <f>AM670-AP670</f>
        <v>0</v>
      </c>
      <c r="AW670" s="34">
        <f>AP670-AT670</f>
        <v>0</v>
      </c>
      <c r="AX670" s="123">
        <v>0</v>
      </c>
    </row>
    <row r="671" spans="1:50" ht="25.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166" t="s">
        <v>1078</v>
      </c>
      <c r="AB671" s="167" t="s">
        <v>1074</v>
      </c>
      <c r="AC671" s="168"/>
      <c r="AD671" s="44">
        <v>0</v>
      </c>
      <c r="AE671" s="43">
        <v>1200000000</v>
      </c>
      <c r="AF671" s="216">
        <v>0</v>
      </c>
      <c r="AG671" s="44">
        <v>0</v>
      </c>
      <c r="AH671" s="33">
        <v>86000000</v>
      </c>
      <c r="AI671" s="43">
        <f t="shared" si="288"/>
        <v>1114000000</v>
      </c>
      <c r="AJ671" s="142">
        <f t="shared" si="289"/>
        <v>1114000000</v>
      </c>
      <c r="AK671" s="43">
        <v>0</v>
      </c>
      <c r="AL671" s="142">
        <f>AM671-AGOSTO!AM650</f>
        <v>162416666.66</v>
      </c>
      <c r="AM671" s="43">
        <v>335933333.32999998</v>
      </c>
      <c r="AN671" s="44">
        <v>0</v>
      </c>
      <c r="AO671" s="142">
        <v>308283333.32999998</v>
      </c>
      <c r="AP671" s="43">
        <v>308283333.32999998</v>
      </c>
      <c r="AQ671" s="44">
        <v>0</v>
      </c>
      <c r="AR671" s="143">
        <v>0</v>
      </c>
      <c r="AS671" s="44">
        <v>0</v>
      </c>
      <c r="AT671" s="135">
        <f t="shared" si="287"/>
        <v>0</v>
      </c>
      <c r="AU671" s="18">
        <f>AJ671-AM671</f>
        <v>778066666.67000008</v>
      </c>
      <c r="AV671" s="18">
        <f>AM671-AP671</f>
        <v>27650000</v>
      </c>
      <c r="AW671" s="18">
        <f>AP671-AT671</f>
        <v>308283333.32999998</v>
      </c>
      <c r="AX671" s="123">
        <f>AP671/AJ671</f>
        <v>0.27673548772890483</v>
      </c>
    </row>
    <row r="672" spans="1:50" ht="17.2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219"/>
      <c r="AB672" s="220"/>
      <c r="AC672" s="168"/>
      <c r="AD672" s="43"/>
      <c r="AE672" s="43"/>
      <c r="AF672" s="44"/>
      <c r="AG672" s="44"/>
      <c r="AH672" s="44"/>
      <c r="AI672" s="44"/>
      <c r="AJ672" s="43"/>
      <c r="AK672" s="44"/>
      <c r="AL672" s="142"/>
      <c r="AM672" s="43"/>
      <c r="AN672" s="43"/>
      <c r="AO672" s="142"/>
      <c r="AP672" s="43"/>
      <c r="AQ672" s="114"/>
      <c r="AR672" s="144"/>
      <c r="AS672" s="114"/>
      <c r="AT672" s="111"/>
      <c r="AU672" s="18"/>
      <c r="AV672" s="110"/>
      <c r="AW672" s="18"/>
      <c r="AX672" s="123"/>
    </row>
    <row r="673" spans="1:50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170" t="s">
        <v>1016</v>
      </c>
      <c r="AB673" s="170" t="s">
        <v>1068</v>
      </c>
      <c r="AC673" s="168"/>
      <c r="AD673" s="43"/>
      <c r="AE673" s="43"/>
      <c r="AF673" s="44"/>
      <c r="AG673" s="44"/>
      <c r="AH673" s="44"/>
      <c r="AI673" s="44"/>
      <c r="AJ673" s="43"/>
      <c r="AK673" s="44"/>
      <c r="AL673" s="43"/>
      <c r="AM673" s="43"/>
      <c r="AN673" s="43"/>
      <c r="AO673" s="142"/>
      <c r="AP673" s="43"/>
      <c r="AQ673" s="114"/>
      <c r="AR673" s="144"/>
      <c r="AS673" s="114"/>
      <c r="AT673" s="111"/>
      <c r="AU673" s="18"/>
      <c r="AV673" s="110"/>
      <c r="AW673" s="18"/>
      <c r="AX673" s="123"/>
    </row>
    <row r="674" spans="1:50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170" t="s">
        <v>1017</v>
      </c>
      <c r="AB674" s="170" t="s">
        <v>1069</v>
      </c>
      <c r="AC674" s="168"/>
      <c r="AD674" s="43"/>
      <c r="AE674" s="43"/>
      <c r="AF674" s="44"/>
      <c r="AG674" s="44"/>
      <c r="AH674" s="44"/>
      <c r="AI674" s="44"/>
      <c r="AJ674" s="43"/>
      <c r="AK674" s="44"/>
      <c r="AL674" s="43"/>
      <c r="AM674" s="43"/>
      <c r="AN674" s="43"/>
      <c r="AO674" s="142"/>
      <c r="AP674" s="43"/>
      <c r="AQ674" s="114"/>
      <c r="AR674" s="144"/>
      <c r="AS674" s="114"/>
      <c r="AT674" s="111"/>
      <c r="AU674" s="18"/>
      <c r="AV674" s="110"/>
      <c r="AW674" s="18"/>
      <c r="AX674" s="123"/>
    </row>
    <row r="675" spans="1:50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170" t="s">
        <v>1018</v>
      </c>
      <c r="AB675" s="170" t="s">
        <v>286</v>
      </c>
      <c r="AC675" s="168"/>
      <c r="AD675" s="43"/>
      <c r="AE675" s="43"/>
      <c r="AF675" s="44"/>
      <c r="AG675" s="44"/>
      <c r="AH675" s="44"/>
      <c r="AI675" s="44"/>
      <c r="AJ675" s="43"/>
      <c r="AK675" s="44"/>
      <c r="AL675" s="43"/>
      <c r="AM675" s="43"/>
      <c r="AN675" s="43"/>
      <c r="AO675" s="142"/>
      <c r="AP675" s="43"/>
      <c r="AQ675" s="114"/>
      <c r="AR675" s="144"/>
      <c r="AS675" s="114"/>
      <c r="AT675" s="111"/>
      <c r="AU675" s="18"/>
      <c r="AV675" s="110"/>
      <c r="AW675" s="18"/>
      <c r="AX675" s="123"/>
    </row>
    <row r="676" spans="1:50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170" t="s">
        <v>1021</v>
      </c>
      <c r="AB676" s="165" t="s">
        <v>1070</v>
      </c>
      <c r="AC676" s="168"/>
      <c r="AD676" s="43"/>
      <c r="AE676" s="43"/>
      <c r="AF676" s="44"/>
      <c r="AG676" s="44"/>
      <c r="AH676" s="44"/>
      <c r="AI676" s="44"/>
      <c r="AJ676" s="43"/>
      <c r="AK676" s="44"/>
      <c r="AL676" s="43"/>
      <c r="AM676" s="43"/>
      <c r="AN676" s="43"/>
      <c r="AO676" s="142"/>
      <c r="AP676" s="43"/>
      <c r="AQ676" s="114"/>
      <c r="AR676" s="144"/>
      <c r="AS676" s="114"/>
      <c r="AT676" s="111"/>
      <c r="AU676" s="18"/>
      <c r="AV676" s="110"/>
      <c r="AW676" s="18"/>
      <c r="AX676" s="123"/>
    </row>
    <row r="677" spans="1:50" ht="25.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166" t="s">
        <v>1019</v>
      </c>
      <c r="AB677" s="167" t="s">
        <v>1005</v>
      </c>
      <c r="AC677" s="168"/>
      <c r="AD677" s="44">
        <v>0</v>
      </c>
      <c r="AE677" s="217">
        <v>7731979438.25</v>
      </c>
      <c r="AF677" s="216">
        <v>0</v>
      </c>
      <c r="AG677" s="44">
        <v>0</v>
      </c>
      <c r="AH677" s="44">
        <v>0</v>
      </c>
      <c r="AI677" s="43">
        <f t="shared" ref="AI677:AI683" si="290">AE677-AF677+AG677-AH677</f>
        <v>7731979438.25</v>
      </c>
      <c r="AJ677" s="43">
        <f t="shared" ref="AJ677:AJ683" si="291">AD677+AI677</f>
        <v>7731979438.25</v>
      </c>
      <c r="AK677" s="44">
        <v>0</v>
      </c>
      <c r="AL677" s="142">
        <f>AM677-AGOSTO!AM656</f>
        <v>2364313692.6999993</v>
      </c>
      <c r="AM677" s="43">
        <v>5957686290.9799995</v>
      </c>
      <c r="AN677" s="44">
        <v>0</v>
      </c>
      <c r="AO677" s="142">
        <v>2364313692.6999998</v>
      </c>
      <c r="AP677" s="43">
        <v>5957686290.9799995</v>
      </c>
      <c r="AQ677" s="114">
        <v>187438618.86000001</v>
      </c>
      <c r="AR677" s="144">
        <v>409587121.30000001</v>
      </c>
      <c r="AS677" s="114">
        <v>1768676967.79</v>
      </c>
      <c r="AT677" s="111">
        <f t="shared" ref="AT677:AT684" si="292">AQ677+AS677</f>
        <v>1956115586.6500001</v>
      </c>
      <c r="AU677" s="18">
        <f t="shared" ref="AU677:AU683" si="293">AJ677-AM677</f>
        <v>1774293147.2700005</v>
      </c>
      <c r="AV677" s="34">
        <f t="shared" ref="AV677:AV683" si="294">AM677-AP677</f>
        <v>0</v>
      </c>
      <c r="AW677" s="18">
        <f t="shared" ref="AW677:AW683" si="295">AP677-AT677</f>
        <v>4001570704.3299994</v>
      </c>
      <c r="AX677" s="123">
        <f t="shared" ref="AX677:AX683" si="296">AP677/AJ677</f>
        <v>0.77052536657138593</v>
      </c>
    </row>
    <row r="678" spans="1:50" ht="25.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166" t="s">
        <v>1056</v>
      </c>
      <c r="AB678" s="167" t="s">
        <v>1057</v>
      </c>
      <c r="AC678" s="168"/>
      <c r="AD678" s="44">
        <v>0</v>
      </c>
      <c r="AE678" s="217">
        <v>427067817.00999999</v>
      </c>
      <c r="AF678" s="216">
        <v>0</v>
      </c>
      <c r="AG678" s="44">
        <v>0</v>
      </c>
      <c r="AH678" s="44">
        <v>0</v>
      </c>
      <c r="AI678" s="43">
        <f t="shared" si="290"/>
        <v>427067817.00999999</v>
      </c>
      <c r="AJ678" s="43">
        <f t="shared" si="291"/>
        <v>427067817.00999999</v>
      </c>
      <c r="AK678" s="44">
        <v>0</v>
      </c>
      <c r="AL678" s="143">
        <f>AM678-AGOSTO!AM657</f>
        <v>0</v>
      </c>
      <c r="AM678" s="43">
        <v>427067817.00999999</v>
      </c>
      <c r="AN678" s="44">
        <v>0</v>
      </c>
      <c r="AO678" s="143">
        <v>0</v>
      </c>
      <c r="AP678" s="43">
        <v>427067817.00999999</v>
      </c>
      <c r="AQ678" s="115">
        <v>0</v>
      </c>
      <c r="AR678" s="143">
        <v>0</v>
      </c>
      <c r="AS678" s="43">
        <v>425039138.57999998</v>
      </c>
      <c r="AT678" s="39">
        <f t="shared" si="292"/>
        <v>425039138.57999998</v>
      </c>
      <c r="AU678" s="34">
        <f t="shared" si="293"/>
        <v>0</v>
      </c>
      <c r="AV678" s="34">
        <f t="shared" si="294"/>
        <v>0</v>
      </c>
      <c r="AW678" s="18">
        <f t="shared" si="295"/>
        <v>2028678.4300000072</v>
      </c>
      <c r="AX678" s="123">
        <f t="shared" si="296"/>
        <v>1</v>
      </c>
    </row>
    <row r="679" spans="1:50" ht="25.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166" t="s">
        <v>1060</v>
      </c>
      <c r="AB679" s="167" t="s">
        <v>1061</v>
      </c>
      <c r="AC679" s="168"/>
      <c r="AD679" s="44">
        <v>0</v>
      </c>
      <c r="AE679" s="217">
        <v>255374883.63</v>
      </c>
      <c r="AF679" s="216">
        <v>0</v>
      </c>
      <c r="AG679" s="44">
        <v>0</v>
      </c>
      <c r="AH679" s="44">
        <v>0</v>
      </c>
      <c r="AI679" s="43">
        <f>AE679-AF679+AG679-AH679</f>
        <v>255374883.63</v>
      </c>
      <c r="AJ679" s="43">
        <f>AD679+AI679</f>
        <v>255374883.63</v>
      </c>
      <c r="AK679" s="44">
        <v>0</v>
      </c>
      <c r="AL679" s="143">
        <f>AM679-AGOSTO!AM658</f>
        <v>0</v>
      </c>
      <c r="AM679" s="43">
        <v>255374883.63</v>
      </c>
      <c r="AN679" s="44">
        <v>0</v>
      </c>
      <c r="AO679" s="143">
        <v>0</v>
      </c>
      <c r="AP679" s="43">
        <v>255374883.63</v>
      </c>
      <c r="AQ679" s="115">
        <v>0</v>
      </c>
      <c r="AR679" s="143">
        <v>0</v>
      </c>
      <c r="AS679" s="43">
        <v>254437726.47999999</v>
      </c>
      <c r="AT679" s="39">
        <f>AQ679+AS679</f>
        <v>254437726.47999999</v>
      </c>
      <c r="AU679" s="34">
        <f t="shared" si="293"/>
        <v>0</v>
      </c>
      <c r="AV679" s="34">
        <f t="shared" si="294"/>
        <v>0</v>
      </c>
      <c r="AW679" s="18">
        <f t="shared" si="295"/>
        <v>937157.15000000596</v>
      </c>
      <c r="AX679" s="123">
        <f t="shared" si="296"/>
        <v>1</v>
      </c>
    </row>
    <row r="680" spans="1:50" ht="25.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166" t="s">
        <v>1058</v>
      </c>
      <c r="AB680" s="167" t="s">
        <v>1059</v>
      </c>
      <c r="AC680" s="168"/>
      <c r="AD680" s="44">
        <v>0</v>
      </c>
      <c r="AE680" s="217">
        <v>4369426346.8800001</v>
      </c>
      <c r="AF680" s="216">
        <v>0</v>
      </c>
      <c r="AG680" s="44">
        <v>0</v>
      </c>
      <c r="AH680" s="44">
        <v>0</v>
      </c>
      <c r="AI680" s="43">
        <f t="shared" si="290"/>
        <v>4369426346.8800001</v>
      </c>
      <c r="AJ680" s="43">
        <f t="shared" si="291"/>
        <v>4369426346.8800001</v>
      </c>
      <c r="AK680" s="44">
        <v>0</v>
      </c>
      <c r="AL680" s="142">
        <f>AM680-AGOSTO!AM659</f>
        <v>203446095</v>
      </c>
      <c r="AM680" s="43">
        <v>2858174772.5599999</v>
      </c>
      <c r="AN680" s="44">
        <v>0</v>
      </c>
      <c r="AO680" s="142">
        <v>203446095</v>
      </c>
      <c r="AP680" s="43">
        <v>2858174772.5599999</v>
      </c>
      <c r="AQ680" s="43">
        <v>203446095</v>
      </c>
      <c r="AR680" s="143">
        <v>0</v>
      </c>
      <c r="AS680" s="43">
        <v>1839708049.6400001</v>
      </c>
      <c r="AT680" s="39">
        <f t="shared" si="292"/>
        <v>2043154144.6400001</v>
      </c>
      <c r="AU680" s="18">
        <f t="shared" si="293"/>
        <v>1511251574.3200002</v>
      </c>
      <c r="AV680" s="34">
        <f t="shared" si="294"/>
        <v>0</v>
      </c>
      <c r="AW680" s="18">
        <f t="shared" si="295"/>
        <v>815020627.91999984</v>
      </c>
      <c r="AX680" s="123">
        <f t="shared" si="296"/>
        <v>0.65413043856452391</v>
      </c>
    </row>
    <row r="681" spans="1:50" ht="25.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166" t="s">
        <v>1062</v>
      </c>
      <c r="AB681" s="167" t="s">
        <v>1063</v>
      </c>
      <c r="AC681" s="168"/>
      <c r="AD681" s="44">
        <v>0</v>
      </c>
      <c r="AE681" s="217">
        <v>116816300</v>
      </c>
      <c r="AF681" s="216">
        <v>0</v>
      </c>
      <c r="AG681" s="44">
        <v>0</v>
      </c>
      <c r="AH681" s="44">
        <v>0</v>
      </c>
      <c r="AI681" s="43">
        <f t="shared" si="290"/>
        <v>116816300</v>
      </c>
      <c r="AJ681" s="43">
        <f t="shared" si="291"/>
        <v>116816300</v>
      </c>
      <c r="AK681" s="44">
        <v>0</v>
      </c>
      <c r="AL681" s="143">
        <f>AM681-AGOSTO!AM660</f>
        <v>0</v>
      </c>
      <c r="AM681" s="44">
        <v>0</v>
      </c>
      <c r="AN681" s="44">
        <v>0</v>
      </c>
      <c r="AO681" s="143">
        <v>0</v>
      </c>
      <c r="AP681" s="43">
        <v>0</v>
      </c>
      <c r="AQ681" s="115">
        <v>0</v>
      </c>
      <c r="AR681" s="143">
        <v>0</v>
      </c>
      <c r="AS681" s="44">
        <v>0</v>
      </c>
      <c r="AT681" s="40">
        <f t="shared" si="292"/>
        <v>0</v>
      </c>
      <c r="AU681" s="18">
        <f t="shared" si="293"/>
        <v>116816300</v>
      </c>
      <c r="AV681" s="34">
        <f t="shared" si="294"/>
        <v>0</v>
      </c>
      <c r="AW681" s="34">
        <f t="shared" si="295"/>
        <v>0</v>
      </c>
      <c r="AX681" s="123">
        <f t="shared" si="296"/>
        <v>0</v>
      </c>
    </row>
    <row r="682" spans="1:50" ht="25.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166" t="s">
        <v>1064</v>
      </c>
      <c r="AB682" s="167" t="s">
        <v>1065</v>
      </c>
      <c r="AC682" s="168"/>
      <c r="AD682" s="44">
        <v>0</v>
      </c>
      <c r="AE682" s="217">
        <v>122396604.84999999</v>
      </c>
      <c r="AF682" s="216">
        <v>0</v>
      </c>
      <c r="AG682" s="44">
        <v>0</v>
      </c>
      <c r="AH682" s="44">
        <v>0</v>
      </c>
      <c r="AI682" s="43">
        <f t="shared" si="290"/>
        <v>122396604.84999999</v>
      </c>
      <c r="AJ682" s="43">
        <f t="shared" si="291"/>
        <v>122396604.84999999</v>
      </c>
      <c r="AK682" s="44">
        <v>0</v>
      </c>
      <c r="AL682" s="143">
        <f>AM682-AGOSTO!AM661</f>
        <v>0</v>
      </c>
      <c r="AM682" s="43">
        <v>122396604.84999999</v>
      </c>
      <c r="AN682" s="44">
        <v>0</v>
      </c>
      <c r="AO682" s="143">
        <v>0</v>
      </c>
      <c r="AP682" s="43">
        <v>122396604.84999999</v>
      </c>
      <c r="AQ682" s="115">
        <v>0</v>
      </c>
      <c r="AR682" s="143">
        <v>0</v>
      </c>
      <c r="AS682" s="43">
        <v>122396604.84999999</v>
      </c>
      <c r="AT682" s="39">
        <f t="shared" si="292"/>
        <v>122396604.84999999</v>
      </c>
      <c r="AU682" s="18">
        <f t="shared" si="293"/>
        <v>0</v>
      </c>
      <c r="AV682" s="34">
        <f t="shared" si="294"/>
        <v>0</v>
      </c>
      <c r="AW682" s="34">
        <f t="shared" si="295"/>
        <v>0</v>
      </c>
      <c r="AX682" s="123">
        <f t="shared" si="296"/>
        <v>1</v>
      </c>
    </row>
    <row r="683" spans="1:50" ht="25.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166" t="s">
        <v>1066</v>
      </c>
      <c r="AB683" s="167" t="s">
        <v>1067</v>
      </c>
      <c r="AC683" s="168"/>
      <c r="AD683" s="44">
        <v>0</v>
      </c>
      <c r="AE683" s="217">
        <v>256369955.99000001</v>
      </c>
      <c r="AF683" s="216">
        <v>0</v>
      </c>
      <c r="AG683" s="44">
        <v>0</v>
      </c>
      <c r="AH683" s="44">
        <v>0</v>
      </c>
      <c r="AI683" s="43">
        <f t="shared" si="290"/>
        <v>256369955.99000001</v>
      </c>
      <c r="AJ683" s="43">
        <f t="shared" si="291"/>
        <v>256369955.99000001</v>
      </c>
      <c r="AK683" s="44">
        <v>0</v>
      </c>
      <c r="AL683" s="143">
        <f>AM683-AGOSTO!AM662</f>
        <v>0</v>
      </c>
      <c r="AM683" s="43">
        <v>232210009.36000001</v>
      </c>
      <c r="AN683" s="44">
        <v>0</v>
      </c>
      <c r="AO683" s="143">
        <v>0</v>
      </c>
      <c r="AP683" s="43">
        <v>232210009.36000001</v>
      </c>
      <c r="AQ683" s="115">
        <v>0</v>
      </c>
      <c r="AR683" s="143">
        <v>0</v>
      </c>
      <c r="AS683" s="43">
        <v>232210009.36000001</v>
      </c>
      <c r="AT683" s="39">
        <f t="shared" si="292"/>
        <v>232210009.36000001</v>
      </c>
      <c r="AU683" s="18">
        <f t="shared" si="293"/>
        <v>24159946.629999995</v>
      </c>
      <c r="AV683" s="34">
        <f t="shared" si="294"/>
        <v>0</v>
      </c>
      <c r="AW683" s="34">
        <f t="shared" si="295"/>
        <v>0</v>
      </c>
      <c r="AX683" s="123">
        <f t="shared" si="296"/>
        <v>0.90576139650723198</v>
      </c>
    </row>
    <row r="684" spans="1:50" ht="25.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229" t="s">
        <v>1381</v>
      </c>
      <c r="AB684" s="230" t="s">
        <v>1382</v>
      </c>
      <c r="AC684" s="168"/>
      <c r="AD684" s="44">
        <v>0</v>
      </c>
      <c r="AE684" s="217">
        <v>200000000</v>
      </c>
      <c r="AF684" s="216">
        <v>0</v>
      </c>
      <c r="AG684" s="44">
        <v>0</v>
      </c>
      <c r="AH684" s="44">
        <v>0</v>
      </c>
      <c r="AI684" s="43">
        <f t="shared" ref="AI684" si="297">AE684-AF684+AG684-AH684</f>
        <v>200000000</v>
      </c>
      <c r="AJ684" s="43">
        <f t="shared" ref="AJ684" si="298">AD684+AI684</f>
        <v>200000000</v>
      </c>
      <c r="AK684" s="44">
        <v>0</v>
      </c>
      <c r="AL684" s="143">
        <f>AM684-AGOSTO!AM663</f>
        <v>0</v>
      </c>
      <c r="AM684" s="44">
        <v>0</v>
      </c>
      <c r="AN684" s="44">
        <v>0</v>
      </c>
      <c r="AO684" s="44">
        <v>0</v>
      </c>
      <c r="AP684" s="43">
        <v>0</v>
      </c>
      <c r="AQ684" s="115">
        <v>0</v>
      </c>
      <c r="AR684" s="143">
        <v>0</v>
      </c>
      <c r="AS684" s="44">
        <v>0</v>
      </c>
      <c r="AT684" s="40">
        <f t="shared" si="292"/>
        <v>0</v>
      </c>
      <c r="AU684" s="18">
        <f t="shared" ref="AU684" si="299">AJ684-AM684</f>
        <v>200000000</v>
      </c>
      <c r="AV684" s="34">
        <f t="shared" ref="AV684" si="300">AM684-AP684</f>
        <v>0</v>
      </c>
      <c r="AW684" s="34">
        <f t="shared" ref="AW684" si="301">AP684-AT684</f>
        <v>0</v>
      </c>
      <c r="AX684" s="123">
        <f t="shared" ref="AX684" si="302">AP684/AJ684</f>
        <v>0</v>
      </c>
    </row>
    <row r="685" spans="1:50" ht="18.75" customHeight="1" x14ac:dyDescent="0.2">
      <c r="AA685" s="162"/>
      <c r="AB685" s="163" t="s">
        <v>199</v>
      </c>
      <c r="AC685" s="17"/>
      <c r="AD685" s="18"/>
      <c r="AE685" s="34"/>
      <c r="AF685" s="34"/>
      <c r="AG685" s="34"/>
      <c r="AH685" s="34"/>
      <c r="AI685" s="34"/>
      <c r="AJ685" s="18"/>
      <c r="AK685" s="18"/>
      <c r="AL685" s="18"/>
      <c r="AM685" s="18"/>
      <c r="AN685" s="18"/>
      <c r="AO685" s="18"/>
      <c r="AP685" s="18"/>
      <c r="AQ685" s="34"/>
      <c r="AR685" s="34"/>
      <c r="AS685" s="34"/>
      <c r="AT685" s="40"/>
      <c r="AU685" s="18"/>
      <c r="AV685" s="18"/>
      <c r="AW685" s="18"/>
      <c r="AX685" s="18"/>
    </row>
    <row r="686" spans="1:50" ht="18.75" customHeight="1" x14ac:dyDescent="0.2">
      <c r="AA686" s="28" t="s">
        <v>288</v>
      </c>
      <c r="AB686" s="29" t="s">
        <v>1079</v>
      </c>
      <c r="AC686" s="17"/>
      <c r="AD686" s="18"/>
      <c r="AE686" s="34"/>
      <c r="AF686" s="34"/>
      <c r="AG686" s="34"/>
      <c r="AH686" s="34"/>
      <c r="AI686" s="34"/>
      <c r="AJ686" s="18"/>
      <c r="AK686" s="18"/>
      <c r="AL686" s="18"/>
      <c r="AM686" s="18"/>
      <c r="AN686" s="18"/>
      <c r="AO686" s="18"/>
      <c r="AP686" s="18"/>
      <c r="AQ686" s="34"/>
      <c r="AR686" s="34"/>
      <c r="AS686" s="34"/>
      <c r="AT686" s="40"/>
      <c r="AU686" s="18"/>
      <c r="AV686" s="18"/>
      <c r="AW686" s="18"/>
      <c r="AX686" s="18"/>
    </row>
    <row r="687" spans="1:50" ht="18.75" customHeight="1" x14ac:dyDescent="0.2">
      <c r="A687" s="4" t="s">
        <v>55</v>
      </c>
      <c r="B687" s="4" t="s">
        <v>56</v>
      </c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1" t="s">
        <v>505</v>
      </c>
      <c r="AB687" s="42" t="s">
        <v>439</v>
      </c>
      <c r="AC687" s="43" t="s">
        <v>428</v>
      </c>
      <c r="AD687" s="43">
        <v>1896134100.8599999</v>
      </c>
      <c r="AE687" s="44">
        <v>0</v>
      </c>
      <c r="AF687" s="44">
        <v>0</v>
      </c>
      <c r="AG687" s="44">
        <v>0</v>
      </c>
      <c r="AH687" s="44">
        <v>0</v>
      </c>
      <c r="AI687" s="44">
        <v>0</v>
      </c>
      <c r="AJ687" s="43">
        <v>1896134100.8599999</v>
      </c>
      <c r="AK687" s="44">
        <v>0</v>
      </c>
      <c r="AL687" s="43">
        <f>AM687-AGOSTO!AM665</f>
        <v>0</v>
      </c>
      <c r="AM687" s="114">
        <v>1827225023</v>
      </c>
      <c r="AN687" s="44">
        <v>0</v>
      </c>
      <c r="AO687" s="44">
        <v>0</v>
      </c>
      <c r="AP687" s="43">
        <v>1827225023</v>
      </c>
      <c r="AQ687" s="43">
        <v>35013072.5</v>
      </c>
      <c r="AR687" s="43">
        <v>0</v>
      </c>
      <c r="AS687" s="43">
        <v>509542278.64999998</v>
      </c>
      <c r="AT687" s="39">
        <f>AQ687+AS687</f>
        <v>544555351.14999998</v>
      </c>
      <c r="AU687" s="18">
        <f>AJ687-AM687</f>
        <v>68909077.859999895</v>
      </c>
      <c r="AV687" s="133">
        <f>AM687-AP687</f>
        <v>0</v>
      </c>
      <c r="AW687" s="18">
        <f>AP687-AT687</f>
        <v>1282669671.8499999</v>
      </c>
      <c r="AX687" s="123">
        <f>AP687/AJ687</f>
        <v>0.96365812005134766</v>
      </c>
    </row>
    <row r="688" spans="1:50" ht="18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214" t="s">
        <v>1080</v>
      </c>
      <c r="AB688" s="215" t="s">
        <v>1074</v>
      </c>
      <c r="AC688" s="168"/>
      <c r="AD688" s="44">
        <v>0</v>
      </c>
      <c r="AE688" s="43">
        <v>100000000</v>
      </c>
      <c r="AF688" s="44">
        <v>0</v>
      </c>
      <c r="AG688" s="44">
        <v>0</v>
      </c>
      <c r="AH688" s="44">
        <v>0</v>
      </c>
      <c r="AI688" s="43">
        <f>AE688-AF688+AG688-AH688</f>
        <v>100000000</v>
      </c>
      <c r="AJ688" s="43">
        <f>AD688+AI688</f>
        <v>100000000</v>
      </c>
      <c r="AK688" s="44">
        <v>0</v>
      </c>
      <c r="AL688" s="115">
        <v>0</v>
      </c>
      <c r="AM688" s="115">
        <v>0</v>
      </c>
      <c r="AN688" s="44">
        <v>0</v>
      </c>
      <c r="AO688" s="44">
        <v>0</v>
      </c>
      <c r="AP688" s="44">
        <v>0</v>
      </c>
      <c r="AQ688" s="44">
        <v>0</v>
      </c>
      <c r="AR688" s="44">
        <v>0</v>
      </c>
      <c r="AS688" s="44">
        <v>0</v>
      </c>
      <c r="AT688" s="40">
        <f t="shared" ref="AT688" si="303">AQ688+AS688</f>
        <v>0</v>
      </c>
      <c r="AU688" s="18">
        <f>AJ688-AM688</f>
        <v>100000000</v>
      </c>
      <c r="AV688" s="34">
        <f>AM688-AP688</f>
        <v>0</v>
      </c>
      <c r="AW688" s="34">
        <f>AP688-AT688</f>
        <v>0</v>
      </c>
      <c r="AX688" s="123">
        <f>AP688/AJ688</f>
        <v>0</v>
      </c>
    </row>
    <row r="689" spans="1:50" ht="18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170" t="s">
        <v>288</v>
      </c>
      <c r="AB689" s="165" t="s">
        <v>1084</v>
      </c>
      <c r="AC689" s="168"/>
      <c r="AD689" s="44"/>
      <c r="AE689" s="43"/>
      <c r="AF689" s="44"/>
      <c r="AG689" s="44"/>
      <c r="AH689" s="44"/>
      <c r="AI689" s="44"/>
      <c r="AJ689" s="43"/>
      <c r="AK689" s="44"/>
      <c r="AL689" s="115"/>
      <c r="AM689" s="115"/>
      <c r="AN689" s="44"/>
      <c r="AO689" s="44"/>
      <c r="AP689" s="44"/>
      <c r="AQ689" s="44"/>
      <c r="AR689" s="44"/>
      <c r="AS689" s="44"/>
      <c r="AT689" s="40"/>
      <c r="AU689" s="18"/>
      <c r="AV689" s="133"/>
      <c r="AW689" s="34"/>
      <c r="AX689" s="123"/>
    </row>
    <row r="690" spans="1:50" ht="18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166" t="s">
        <v>1085</v>
      </c>
      <c r="AB690" s="167" t="s">
        <v>1074</v>
      </c>
      <c r="AC690" s="168"/>
      <c r="AD690" s="44">
        <v>0</v>
      </c>
      <c r="AE690" s="43">
        <v>3115350000</v>
      </c>
      <c r="AF690" s="44">
        <v>0</v>
      </c>
      <c r="AG690" s="44">
        <v>0</v>
      </c>
      <c r="AH690" s="43">
        <f>466710000+2648640000</f>
        <v>3115350000</v>
      </c>
      <c r="AI690" s="43">
        <f>AE690-AF690+AG690-AH690</f>
        <v>0</v>
      </c>
      <c r="AJ690" s="142">
        <f>AD690+AI690</f>
        <v>0</v>
      </c>
      <c r="AK690" s="44">
        <v>0</v>
      </c>
      <c r="AL690" s="115">
        <v>0</v>
      </c>
      <c r="AM690" s="115">
        <v>0</v>
      </c>
      <c r="AN690" s="44">
        <v>0</v>
      </c>
      <c r="AO690" s="44">
        <v>0</v>
      </c>
      <c r="AP690" s="44">
        <v>0</v>
      </c>
      <c r="AQ690" s="44">
        <v>0</v>
      </c>
      <c r="AR690" s="44">
        <v>0</v>
      </c>
      <c r="AS690" s="44">
        <v>0</v>
      </c>
      <c r="AT690" s="40">
        <f t="shared" ref="AT690" si="304">AQ690+AS690</f>
        <v>0</v>
      </c>
      <c r="AU690" s="18">
        <f>AJ690-AM690</f>
        <v>0</v>
      </c>
      <c r="AV690" s="34">
        <f>AM690-AP690</f>
        <v>0</v>
      </c>
      <c r="AW690" s="34">
        <f>AP690-AT690</f>
        <v>0</v>
      </c>
      <c r="AX690" s="123">
        <v>0</v>
      </c>
    </row>
    <row r="691" spans="1:50" ht="18.75" customHeight="1" x14ac:dyDescent="0.2">
      <c r="AA691" s="169" t="s">
        <v>288</v>
      </c>
      <c r="AB691" s="163" t="s">
        <v>506</v>
      </c>
      <c r="AC691" s="17"/>
      <c r="AD691" s="18"/>
      <c r="AE691" s="34"/>
      <c r="AF691" s="34"/>
      <c r="AG691" s="34"/>
      <c r="AH691" s="34"/>
      <c r="AI691" s="34"/>
      <c r="AJ691" s="18"/>
      <c r="AK691" s="34"/>
      <c r="AL691" s="133"/>
      <c r="AM691" s="110"/>
      <c r="AN691" s="34"/>
      <c r="AO691" s="145"/>
      <c r="AP691" s="34"/>
      <c r="AQ691" s="34"/>
      <c r="AR691" s="34"/>
      <c r="AS691" s="34"/>
      <c r="AT691" s="40"/>
      <c r="AU691" s="18"/>
      <c r="AV691" s="34"/>
      <c r="AW691" s="18"/>
      <c r="AX691" s="18"/>
    </row>
    <row r="692" spans="1:50" ht="18.75" customHeight="1" x14ac:dyDescent="0.2">
      <c r="A692" s="4" t="s">
        <v>55</v>
      </c>
      <c r="B692" s="4" t="s">
        <v>56</v>
      </c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1" t="s">
        <v>507</v>
      </c>
      <c r="AB692" s="42" t="s">
        <v>439</v>
      </c>
      <c r="AC692" s="43" t="s">
        <v>428</v>
      </c>
      <c r="AD692" s="43">
        <v>6191009183.8000002</v>
      </c>
      <c r="AE692" s="44">
        <v>0</v>
      </c>
      <c r="AF692" s="44">
        <v>0</v>
      </c>
      <c r="AG692" s="44">
        <v>0</v>
      </c>
      <c r="AH692" s="43">
        <f>4680084481.8+76000000+907367029.2</f>
        <v>5663451511</v>
      </c>
      <c r="AI692" s="43">
        <f>AE692-AF692+AG692-AH692</f>
        <v>-5663451511</v>
      </c>
      <c r="AJ692" s="43">
        <f>AD692+AI692</f>
        <v>527557672.80000019</v>
      </c>
      <c r="AK692" s="44">
        <v>0</v>
      </c>
      <c r="AL692" s="115">
        <f>AM692-AGOSTO!AM670</f>
        <v>0</v>
      </c>
      <c r="AM692" s="114">
        <v>527557672.80000001</v>
      </c>
      <c r="AN692" s="44">
        <v>0</v>
      </c>
      <c r="AO692" s="143">
        <v>0</v>
      </c>
      <c r="AP692" s="114">
        <v>527557672.80000001</v>
      </c>
      <c r="AQ692" s="44">
        <v>0</v>
      </c>
      <c r="AR692" s="44">
        <v>0</v>
      </c>
      <c r="AS692" s="43">
        <v>527557672.80000001</v>
      </c>
      <c r="AT692" s="39">
        <f>AQ692+AS692</f>
        <v>527557672.80000001</v>
      </c>
      <c r="AU692" s="34">
        <f>AJ692-AM692</f>
        <v>0</v>
      </c>
      <c r="AV692" s="34">
        <f>AM692-AP692</f>
        <v>0</v>
      </c>
      <c r="AW692" s="34">
        <f>AP692-AT692</f>
        <v>0</v>
      </c>
      <c r="AX692" s="123">
        <f>AP692/AJ692</f>
        <v>0.99999999999999967</v>
      </c>
    </row>
    <row r="693" spans="1:50" ht="18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166" t="s">
        <v>1081</v>
      </c>
      <c r="AB693" s="167" t="s">
        <v>1074</v>
      </c>
      <c r="AC693" s="168"/>
      <c r="AD693" s="43">
        <v>0</v>
      </c>
      <c r="AE693" s="43">
        <v>12071695000</v>
      </c>
      <c r="AF693" s="44">
        <v>0</v>
      </c>
      <c r="AG693" s="43">
        <v>2648640000</v>
      </c>
      <c r="AH693" s="44">
        <v>0</v>
      </c>
      <c r="AI693" s="43">
        <f>AE693-AF693+AG693-AH693</f>
        <v>14720335000</v>
      </c>
      <c r="AJ693" s="142">
        <f>AD693+AI693</f>
        <v>14720335000</v>
      </c>
      <c r="AK693" s="44">
        <v>0</v>
      </c>
      <c r="AL693" s="43">
        <f>AM693-AGOSTO!AM671</f>
        <v>-122992514.13999939</v>
      </c>
      <c r="AM693" s="43">
        <v>9561390585.9300003</v>
      </c>
      <c r="AN693" s="43">
        <v>5238000000</v>
      </c>
      <c r="AO693" s="143">
        <v>0</v>
      </c>
      <c r="AP693" s="43">
        <v>1974894457.9300001</v>
      </c>
      <c r="AQ693" s="44">
        <v>0</v>
      </c>
      <c r="AR693" s="44">
        <v>0</v>
      </c>
      <c r="AS693" s="43">
        <v>267397099.02000001</v>
      </c>
      <c r="AT693" s="111">
        <f t="shared" ref="AT693" si="305">AQ693+AS693</f>
        <v>267397099.02000001</v>
      </c>
      <c r="AU693" s="18">
        <f>AJ693-AM693</f>
        <v>5158944414.0699997</v>
      </c>
      <c r="AV693" s="18">
        <f>AM693-AP693</f>
        <v>7586496128</v>
      </c>
      <c r="AW693" s="18">
        <f>AP693-AT693</f>
        <v>1707497358.9100001</v>
      </c>
      <c r="AX693" s="123">
        <f>AP693/AJ693</f>
        <v>0.13416097241876629</v>
      </c>
    </row>
    <row r="694" spans="1:50" ht="18.75" customHeight="1" x14ac:dyDescent="0.2">
      <c r="AA694" s="169" t="s">
        <v>288</v>
      </c>
      <c r="AB694" s="163" t="s">
        <v>508</v>
      </c>
      <c r="AC694" s="17"/>
      <c r="AD694" s="18"/>
      <c r="AE694" s="34"/>
      <c r="AF694" s="34"/>
      <c r="AG694" s="34"/>
      <c r="AH694" s="34"/>
      <c r="AI694" s="34"/>
      <c r="AJ694" s="18"/>
      <c r="AK694" s="34"/>
      <c r="AL694" s="34"/>
      <c r="AM694" s="34"/>
      <c r="AN694" s="34"/>
      <c r="AO694" s="145"/>
      <c r="AP694" s="34"/>
      <c r="AQ694" s="34"/>
      <c r="AR694" s="34"/>
      <c r="AS694" s="34"/>
      <c r="AT694" s="40"/>
      <c r="AU694" s="18"/>
      <c r="AV694" s="34"/>
      <c r="AW694" s="18"/>
      <c r="AX694" s="18"/>
    </row>
    <row r="695" spans="1:50" ht="18.75" customHeight="1" x14ac:dyDescent="0.2">
      <c r="A695" s="4" t="s">
        <v>55</v>
      </c>
      <c r="B695" s="4" t="s">
        <v>56</v>
      </c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1" t="s">
        <v>509</v>
      </c>
      <c r="AB695" s="42" t="s">
        <v>439</v>
      </c>
      <c r="AC695" s="43" t="s">
        <v>428</v>
      </c>
      <c r="AD695" s="43">
        <v>9340881185.3400002</v>
      </c>
      <c r="AE695" s="44">
        <v>0</v>
      </c>
      <c r="AF695" s="44">
        <v>0</v>
      </c>
      <c r="AG695" s="43">
        <f>4680084481.8+1126470266</f>
        <v>5806554747.8000002</v>
      </c>
      <c r="AH695" s="44">
        <v>0</v>
      </c>
      <c r="AI695" s="43">
        <f>AE695-AF695+AG695-AH695</f>
        <v>5806554747.8000002</v>
      </c>
      <c r="AJ695" s="43">
        <f>AD695+AI695</f>
        <v>15147435933.139999</v>
      </c>
      <c r="AK695" s="44">
        <v>0</v>
      </c>
      <c r="AL695" s="142">
        <f>AM695-AGOSTO!AM673</f>
        <v>-171987362</v>
      </c>
      <c r="AM695" s="43">
        <v>14766414723.66</v>
      </c>
      <c r="AN695" s="44">
        <v>0</v>
      </c>
      <c r="AO695" s="143">
        <v>0</v>
      </c>
      <c r="AP695" s="43">
        <v>14766414723.66</v>
      </c>
      <c r="AQ695" s="43">
        <v>80421695</v>
      </c>
      <c r="AR695" s="44">
        <v>0</v>
      </c>
      <c r="AS695" s="44">
        <v>0</v>
      </c>
      <c r="AT695" s="40">
        <f t="shared" si="287"/>
        <v>80421695</v>
      </c>
      <c r="AU695" s="18">
        <f>AJ695-AM695</f>
        <v>381021209.47999954</v>
      </c>
      <c r="AV695" s="34">
        <f>AM695-AP695</f>
        <v>0</v>
      </c>
      <c r="AW695" s="18">
        <f>AP695-AT695</f>
        <v>14685993028.66</v>
      </c>
      <c r="AX695" s="123">
        <f>AP695/AJ695</f>
        <v>0.97484582795650643</v>
      </c>
    </row>
    <row r="696" spans="1:50" ht="18.75" customHeight="1" x14ac:dyDescent="0.2">
      <c r="A696" s="4" t="s">
        <v>55</v>
      </c>
      <c r="B696" s="4" t="s">
        <v>56</v>
      </c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1" t="s">
        <v>510</v>
      </c>
      <c r="AB696" s="42" t="s">
        <v>490</v>
      </c>
      <c r="AC696" s="43" t="s">
        <v>368</v>
      </c>
      <c r="AD696" s="43">
        <v>659690762</v>
      </c>
      <c r="AE696" s="44">
        <v>0</v>
      </c>
      <c r="AF696" s="44">
        <v>0</v>
      </c>
      <c r="AG696" s="44">
        <v>0</v>
      </c>
      <c r="AH696" s="44">
        <v>0</v>
      </c>
      <c r="AI696" s="44">
        <v>0</v>
      </c>
      <c r="AJ696" s="43">
        <v>659690762</v>
      </c>
      <c r="AK696" s="44">
        <v>0</v>
      </c>
      <c r="AL696" s="142">
        <f>AM696-AGOSTO!AM674</f>
        <v>-77516075</v>
      </c>
      <c r="AM696" s="43">
        <v>582174687</v>
      </c>
      <c r="AN696" s="44">
        <v>0</v>
      </c>
      <c r="AO696" s="142">
        <v>582174687</v>
      </c>
      <c r="AP696" s="43">
        <v>582174687</v>
      </c>
      <c r="AQ696" s="44">
        <v>0</v>
      </c>
      <c r="AR696" s="44">
        <v>0</v>
      </c>
      <c r="AS696" s="44">
        <v>0</v>
      </c>
      <c r="AT696" s="40">
        <f t="shared" si="287"/>
        <v>0</v>
      </c>
      <c r="AU696" s="18">
        <f>AJ696-AM696</f>
        <v>77516075</v>
      </c>
      <c r="AV696" s="34">
        <f>AM696-AP696</f>
        <v>0</v>
      </c>
      <c r="AW696" s="34">
        <f>AP696-AT696</f>
        <v>582174687</v>
      </c>
      <c r="AX696" s="123">
        <f>AP696/AJ696</f>
        <v>0.88249634606828098</v>
      </c>
    </row>
    <row r="697" spans="1:50" ht="18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166" t="s">
        <v>1086</v>
      </c>
      <c r="AB697" s="167" t="s">
        <v>1074</v>
      </c>
      <c r="AC697" s="168"/>
      <c r="AD697" s="44">
        <v>0</v>
      </c>
      <c r="AE697" s="43">
        <v>7500000000</v>
      </c>
      <c r="AF697" s="44">
        <v>0</v>
      </c>
      <c r="AG697" s="44">
        <v>0</v>
      </c>
      <c r="AH697" s="43">
        <v>500000000</v>
      </c>
      <c r="AI697" s="43">
        <f>AE697-AF697+AG697-AH697</f>
        <v>7000000000</v>
      </c>
      <c r="AJ697" s="43">
        <f>AD697+AI697</f>
        <v>7000000000</v>
      </c>
      <c r="AK697" s="44">
        <v>0</v>
      </c>
      <c r="AL697" s="142">
        <f>AM697-AGOSTO!AM675</f>
        <v>-1710763</v>
      </c>
      <c r="AM697" s="43">
        <v>1998289237</v>
      </c>
      <c r="AN697" s="44">
        <v>0</v>
      </c>
      <c r="AO697" s="143">
        <v>0</v>
      </c>
      <c r="AP697" s="43">
        <v>1998289237</v>
      </c>
      <c r="AQ697" s="44">
        <v>0</v>
      </c>
      <c r="AR697" s="43">
        <v>10839399</v>
      </c>
      <c r="AS697" s="43">
        <v>10839399</v>
      </c>
      <c r="AT697" s="135">
        <f t="shared" si="287"/>
        <v>10839399</v>
      </c>
      <c r="AU697" s="18">
        <f>AJ697-AM697</f>
        <v>5001710763</v>
      </c>
      <c r="AV697" s="34">
        <f>AM697-AP697</f>
        <v>0</v>
      </c>
      <c r="AW697" s="18">
        <f>AP697-AT697</f>
        <v>1987449838</v>
      </c>
      <c r="AX697" s="123">
        <f>AP697/AJ697</f>
        <v>0.28546989099999998</v>
      </c>
    </row>
    <row r="698" spans="1:50" ht="18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171" t="s">
        <v>288</v>
      </c>
      <c r="AB698" s="213" t="s">
        <v>1082</v>
      </c>
      <c r="AC698" s="168"/>
      <c r="AD698" s="44"/>
      <c r="AE698" s="44"/>
      <c r="AF698" s="44"/>
      <c r="AG698" s="44"/>
      <c r="AH698" s="44"/>
      <c r="AI698" s="44"/>
      <c r="AJ698" s="43"/>
      <c r="AK698" s="44"/>
      <c r="AL698" s="143"/>
      <c r="AM698" s="44"/>
      <c r="AN698" s="44"/>
      <c r="AO698" s="143"/>
      <c r="AP698" s="44"/>
      <c r="AQ698" s="44"/>
      <c r="AR698" s="44"/>
      <c r="AS698" s="44"/>
      <c r="AT698" s="40"/>
      <c r="AU698" s="18"/>
      <c r="AV698" s="34"/>
      <c r="AW698" s="34"/>
      <c r="AX698" s="123"/>
    </row>
    <row r="699" spans="1:50" ht="18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166" t="s">
        <v>1083</v>
      </c>
      <c r="AB699" s="167" t="s">
        <v>1074</v>
      </c>
      <c r="AC699" s="168"/>
      <c r="AD699" s="44">
        <v>0</v>
      </c>
      <c r="AE699" s="43">
        <v>926394000</v>
      </c>
      <c r="AF699" s="44">
        <v>0</v>
      </c>
      <c r="AG699" s="43">
        <f>1886000000+466710000</f>
        <v>2352710000</v>
      </c>
      <c r="AH699" s="44">
        <v>0</v>
      </c>
      <c r="AI699" s="43">
        <f>AE699-AF699+AG699-AH699</f>
        <v>3279104000</v>
      </c>
      <c r="AJ699" s="43">
        <f>AD699+AI699</f>
        <v>3279104000</v>
      </c>
      <c r="AK699" s="44">
        <v>0</v>
      </c>
      <c r="AL699" s="142">
        <f>AM699-AGOSTO!AM677</f>
        <v>-69788590</v>
      </c>
      <c r="AM699" s="43">
        <v>2941786693</v>
      </c>
      <c r="AN699" s="43"/>
      <c r="AO699" s="142">
        <v>2941786693</v>
      </c>
      <c r="AP699" s="43">
        <v>2941786693</v>
      </c>
      <c r="AQ699" s="44">
        <v>0</v>
      </c>
      <c r="AR699" s="44">
        <v>0</v>
      </c>
      <c r="AS699" s="44">
        <v>0</v>
      </c>
      <c r="AT699" s="135">
        <f t="shared" ref="AT699:AT700" si="306">AQ699+AS699</f>
        <v>0</v>
      </c>
      <c r="AU699" s="18">
        <f>AJ699-AM699</f>
        <v>337317307</v>
      </c>
      <c r="AV699" s="34">
        <f>AM699-AP699</f>
        <v>0</v>
      </c>
      <c r="AW699" s="18">
        <f>AP699-AT699</f>
        <v>2941786693</v>
      </c>
      <c r="AX699" s="123">
        <f>AP699/AJ699</f>
        <v>0.89713125689212658</v>
      </c>
    </row>
    <row r="700" spans="1:50" ht="18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229" t="s">
        <v>1261</v>
      </c>
      <c r="AB700" s="230" t="s">
        <v>490</v>
      </c>
      <c r="AC700" s="168"/>
      <c r="AD700" s="44">
        <v>0</v>
      </c>
      <c r="AE700" s="43">
        <v>0</v>
      </c>
      <c r="AF700" s="44">
        <v>0</v>
      </c>
      <c r="AG700" s="43">
        <v>53364831</v>
      </c>
      <c r="AH700" s="44">
        <v>0</v>
      </c>
      <c r="AI700" s="43">
        <f>AE700-AF700+AG700-AH700</f>
        <v>53364831</v>
      </c>
      <c r="AJ700" s="43">
        <f>AD700+AI700</f>
        <v>53364831</v>
      </c>
      <c r="AK700" s="44">
        <v>0</v>
      </c>
      <c r="AL700" s="143">
        <v>0</v>
      </c>
      <c r="AM700" s="43">
        <v>53364831</v>
      </c>
      <c r="AN700" s="44">
        <v>0</v>
      </c>
      <c r="AO700" s="142">
        <v>16130896</v>
      </c>
      <c r="AP700" s="43">
        <v>16130896</v>
      </c>
      <c r="AQ700" s="44">
        <v>0</v>
      </c>
      <c r="AR700" s="44">
        <v>0</v>
      </c>
      <c r="AS700" s="44">
        <v>0</v>
      </c>
      <c r="AT700" s="135">
        <f t="shared" si="306"/>
        <v>0</v>
      </c>
      <c r="AU700" s="34">
        <f>AJ700-AM700</f>
        <v>0</v>
      </c>
      <c r="AV700" s="18">
        <f>AM700-AP700</f>
        <v>37233935</v>
      </c>
      <c r="AW700" s="18">
        <f>AP700-AT700</f>
        <v>16130896</v>
      </c>
      <c r="AX700" s="123">
        <f>AP700/AJ700</f>
        <v>0.30227578159106322</v>
      </c>
    </row>
    <row r="701" spans="1:50" ht="18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206"/>
      <c r="AB701" s="207"/>
      <c r="AC701" s="43"/>
      <c r="AD701" s="44"/>
      <c r="AE701" s="44"/>
      <c r="AF701" s="44"/>
      <c r="AG701" s="44"/>
      <c r="AH701" s="44"/>
      <c r="AI701" s="44"/>
      <c r="AJ701" s="43"/>
      <c r="AK701" s="44"/>
      <c r="AL701" s="143"/>
      <c r="AM701" s="44"/>
      <c r="AN701" s="44"/>
      <c r="AO701" s="143"/>
      <c r="AP701" s="44"/>
      <c r="AQ701" s="44"/>
      <c r="AR701" s="44"/>
      <c r="AS701" s="44"/>
      <c r="AT701" s="40"/>
      <c r="AU701" s="34"/>
      <c r="AV701" s="34"/>
      <c r="AW701" s="34"/>
      <c r="AX701" s="123"/>
    </row>
    <row r="702" spans="1:50" ht="24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73" t="s">
        <v>288</v>
      </c>
      <c r="AB702" s="74" t="s">
        <v>197</v>
      </c>
      <c r="AC702" s="43"/>
      <c r="AD702" s="44"/>
      <c r="AE702" s="44"/>
      <c r="AF702" s="44"/>
      <c r="AG702" s="44"/>
      <c r="AH702" s="44"/>
      <c r="AI702" s="44"/>
      <c r="AJ702" s="43"/>
      <c r="AK702" s="44"/>
      <c r="AL702" s="44"/>
      <c r="AM702" s="44"/>
      <c r="AN702" s="44"/>
      <c r="AO702" s="143"/>
      <c r="AP702" s="44"/>
      <c r="AQ702" s="44"/>
      <c r="AR702" s="44"/>
      <c r="AS702" s="44"/>
      <c r="AT702" s="40"/>
      <c r="AU702" s="34"/>
      <c r="AV702" s="34"/>
      <c r="AW702" s="34"/>
      <c r="AX702" s="123"/>
    </row>
    <row r="703" spans="1:50" ht="18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159" t="s">
        <v>967</v>
      </c>
      <c r="AB703" s="42" t="s">
        <v>439</v>
      </c>
      <c r="AC703" s="43"/>
      <c r="AD703" s="44">
        <v>0</v>
      </c>
      <c r="AE703" s="44">
        <v>0</v>
      </c>
      <c r="AF703" s="44">
        <v>0</v>
      </c>
      <c r="AG703" s="43">
        <v>76000000</v>
      </c>
      <c r="AH703" s="44">
        <v>0</v>
      </c>
      <c r="AI703" s="43">
        <f>AE703-AF703+AG703-AH703</f>
        <v>76000000</v>
      </c>
      <c r="AJ703" s="43">
        <f>AD703+AI703</f>
        <v>76000000</v>
      </c>
      <c r="AK703" s="44">
        <v>0</v>
      </c>
      <c r="AL703" s="43">
        <f>AM703-AGOSTO!AM681</f>
        <v>-76000000</v>
      </c>
      <c r="AM703" s="44">
        <v>0</v>
      </c>
      <c r="AN703" s="44">
        <v>0</v>
      </c>
      <c r="AO703" s="44">
        <v>0</v>
      </c>
      <c r="AP703" s="44">
        <v>0</v>
      </c>
      <c r="AQ703" s="44">
        <v>0</v>
      </c>
      <c r="AR703" s="44">
        <v>0</v>
      </c>
      <c r="AS703" s="44">
        <v>0</v>
      </c>
      <c r="AT703" s="40">
        <f t="shared" ref="AT703" si="307">AQ703+AS703</f>
        <v>0</v>
      </c>
      <c r="AU703" s="18">
        <f>AJ703-AM703</f>
        <v>76000000</v>
      </c>
      <c r="AV703" s="34">
        <f>AM703-AP703</f>
        <v>0</v>
      </c>
      <c r="AW703" s="34">
        <f>AP703-AT703</f>
        <v>0</v>
      </c>
      <c r="AX703" s="123">
        <f>AP703/AJ703</f>
        <v>0</v>
      </c>
    </row>
    <row r="704" spans="1:50" ht="25.5" x14ac:dyDescent="0.2">
      <c r="AA704" s="16"/>
      <c r="AB704" s="29" t="s">
        <v>511</v>
      </c>
      <c r="AC704" s="17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34"/>
      <c r="AR704" s="34"/>
      <c r="AS704" s="34"/>
      <c r="AT704" s="40"/>
      <c r="AU704" s="18"/>
      <c r="AV704" s="18"/>
      <c r="AW704" s="18"/>
      <c r="AX704" s="18"/>
    </row>
    <row r="705" spans="1:50" ht="18.75" customHeight="1" x14ac:dyDescent="0.2">
      <c r="AA705" s="16"/>
      <c r="AB705" s="29" t="s">
        <v>285</v>
      </c>
      <c r="AC705" s="17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30"/>
      <c r="AU705" s="18"/>
      <c r="AV705" s="18"/>
      <c r="AW705" s="18"/>
      <c r="AX705" s="18"/>
    </row>
    <row r="706" spans="1:50" ht="18.75" customHeight="1" x14ac:dyDescent="0.2">
      <c r="AA706" s="16"/>
      <c r="AB706" s="29" t="s">
        <v>286</v>
      </c>
      <c r="AC706" s="17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30"/>
      <c r="AU706" s="18"/>
      <c r="AV706" s="18"/>
      <c r="AW706" s="18"/>
      <c r="AX706" s="18"/>
    </row>
    <row r="707" spans="1:50" ht="18.75" customHeight="1" x14ac:dyDescent="0.2">
      <c r="AA707" s="16"/>
      <c r="AB707" s="29" t="s">
        <v>179</v>
      </c>
      <c r="AC707" s="17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30"/>
      <c r="AU707" s="18"/>
      <c r="AV707" s="18"/>
      <c r="AW707" s="18"/>
      <c r="AX707" s="18"/>
    </row>
    <row r="708" spans="1:50" ht="18.75" customHeight="1" x14ac:dyDescent="0.2">
      <c r="AA708" s="16"/>
      <c r="AB708" s="29" t="s">
        <v>189</v>
      </c>
      <c r="AC708" s="17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30"/>
      <c r="AU708" s="18"/>
      <c r="AV708" s="18"/>
      <c r="AW708" s="18"/>
      <c r="AX708" s="18"/>
    </row>
    <row r="709" spans="1:50" ht="18.75" customHeight="1" x14ac:dyDescent="0.2">
      <c r="AA709" s="16"/>
      <c r="AB709" s="29" t="s">
        <v>199</v>
      </c>
      <c r="AC709" s="17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30"/>
      <c r="AU709" s="18"/>
      <c r="AV709" s="18"/>
      <c r="AW709" s="18"/>
      <c r="AX709" s="18"/>
    </row>
    <row r="710" spans="1:50" ht="25.5" x14ac:dyDescent="0.2">
      <c r="AA710" s="28" t="s">
        <v>288</v>
      </c>
      <c r="AB710" s="29" t="s">
        <v>512</v>
      </c>
      <c r="AC710" s="17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30"/>
      <c r="AU710" s="18"/>
      <c r="AV710" s="18"/>
      <c r="AW710" s="18"/>
      <c r="AX710" s="18"/>
    </row>
    <row r="711" spans="1:50" ht="18.75" customHeight="1" x14ac:dyDescent="0.2">
      <c r="A711" s="4" t="s">
        <v>55</v>
      </c>
      <c r="B711" s="4" t="s">
        <v>56</v>
      </c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1" t="s">
        <v>513</v>
      </c>
      <c r="AB711" s="42" t="s">
        <v>233</v>
      </c>
      <c r="AC711" s="43" t="s">
        <v>58</v>
      </c>
      <c r="AD711" s="43">
        <v>331060322</v>
      </c>
      <c r="AE711" s="44">
        <v>0</v>
      </c>
      <c r="AF711" s="44">
        <v>0</v>
      </c>
      <c r="AG711" s="44">
        <v>0</v>
      </c>
      <c r="AH711" s="44">
        <v>0</v>
      </c>
      <c r="AI711" s="44">
        <v>0</v>
      </c>
      <c r="AJ711" s="43">
        <v>331060322</v>
      </c>
      <c r="AK711" s="44">
        <v>0</v>
      </c>
      <c r="AL711" s="43">
        <f>AM711-AGOSTO!AM689</f>
        <v>0</v>
      </c>
      <c r="AM711" s="43">
        <v>326730531</v>
      </c>
      <c r="AN711" s="44">
        <v>0</v>
      </c>
      <c r="AO711" s="143">
        <v>0</v>
      </c>
      <c r="AP711" s="43">
        <v>326730531</v>
      </c>
      <c r="AQ711" s="34">
        <v>0</v>
      </c>
      <c r="AR711" s="145">
        <v>0</v>
      </c>
      <c r="AS711" s="18">
        <v>326730531</v>
      </c>
      <c r="AT711" s="39">
        <f t="shared" ref="AT711:AT716" si="308">AQ711+AS711</f>
        <v>326730531</v>
      </c>
      <c r="AU711" s="18">
        <f t="shared" ref="AU711:AU716" si="309">AJ711-AM711</f>
        <v>4329791</v>
      </c>
      <c r="AV711" s="34">
        <f t="shared" ref="AV711:AV716" si="310">AM711-AP711</f>
        <v>0</v>
      </c>
      <c r="AW711" s="34">
        <f t="shared" ref="AW711:AW716" si="311">AP711-AT711</f>
        <v>0</v>
      </c>
      <c r="AX711" s="123">
        <f t="shared" ref="AX711:AX716" si="312">AP711/AJ711</f>
        <v>0.98692144388115466</v>
      </c>
    </row>
    <row r="712" spans="1:50" ht="18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1" t="s">
        <v>1343</v>
      </c>
      <c r="AB712" s="42" t="s">
        <v>1264</v>
      </c>
      <c r="AC712" s="43"/>
      <c r="AD712" s="43">
        <v>0</v>
      </c>
      <c r="AE712" s="252">
        <v>646616873</v>
      </c>
      <c r="AF712" s="44">
        <v>0</v>
      </c>
      <c r="AG712" s="44">
        <v>0</v>
      </c>
      <c r="AH712" s="44">
        <v>0</v>
      </c>
      <c r="AI712" s="43">
        <f>AE712-AF712+AG712-AH712</f>
        <v>646616873</v>
      </c>
      <c r="AJ712" s="43">
        <f>AD712+AI712</f>
        <v>646616873</v>
      </c>
      <c r="AK712" s="44">
        <v>0</v>
      </c>
      <c r="AL712" s="43">
        <v>604641981</v>
      </c>
      <c r="AM712" s="43">
        <v>604641981</v>
      </c>
      <c r="AN712" s="44"/>
      <c r="AO712" s="142">
        <v>604641981</v>
      </c>
      <c r="AP712" s="43">
        <v>604641981</v>
      </c>
      <c r="AQ712" s="18">
        <v>604641981</v>
      </c>
      <c r="AR712" s="145">
        <v>0</v>
      </c>
      <c r="AS712" s="34">
        <v>0</v>
      </c>
      <c r="AT712" s="39">
        <f t="shared" ref="AT712" si="313">AQ712+AS712</f>
        <v>604641981</v>
      </c>
      <c r="AU712" s="18">
        <f t="shared" si="309"/>
        <v>41974892</v>
      </c>
      <c r="AV712" s="34">
        <f t="shared" si="310"/>
        <v>0</v>
      </c>
      <c r="AW712" s="34">
        <f t="shared" si="311"/>
        <v>0</v>
      </c>
      <c r="AX712" s="123">
        <f t="shared" si="312"/>
        <v>0.93508537473626985</v>
      </c>
    </row>
    <row r="713" spans="1:50" ht="18.75" customHeight="1" x14ac:dyDescent="0.2">
      <c r="A713" s="4" t="s">
        <v>55</v>
      </c>
      <c r="B713" s="4" t="s">
        <v>56</v>
      </c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1" t="s">
        <v>514</v>
      </c>
      <c r="AB713" s="42" t="s">
        <v>515</v>
      </c>
      <c r="AC713" s="43" t="s">
        <v>516</v>
      </c>
      <c r="AD713" s="43">
        <v>6887333116</v>
      </c>
      <c r="AE713" s="44">
        <v>0</v>
      </c>
      <c r="AF713" s="44">
        <v>0</v>
      </c>
      <c r="AG713" s="44">
        <v>0</v>
      </c>
      <c r="AH713" s="44">
        <v>0</v>
      </c>
      <c r="AI713" s="44">
        <v>0</v>
      </c>
      <c r="AJ713" s="43">
        <v>6887333116</v>
      </c>
      <c r="AK713" s="43">
        <v>646616873</v>
      </c>
      <c r="AL713" s="142">
        <f>AM713-AGOSTO!AM690</f>
        <v>1016617124</v>
      </c>
      <c r="AM713" s="43">
        <v>5394160152</v>
      </c>
      <c r="AN713" s="114">
        <v>0</v>
      </c>
      <c r="AO713" s="144">
        <v>1016617124</v>
      </c>
      <c r="AP713" s="114">
        <v>5394160152</v>
      </c>
      <c r="AQ713" s="18">
        <v>0</v>
      </c>
      <c r="AR713" s="148">
        <v>268000000</v>
      </c>
      <c r="AS713" s="110">
        <v>4377543028</v>
      </c>
      <c r="AT713" s="39">
        <f t="shared" si="308"/>
        <v>4377543028</v>
      </c>
      <c r="AU713" s="18">
        <f t="shared" si="309"/>
        <v>1493172964</v>
      </c>
      <c r="AV713" s="34">
        <f t="shared" si="310"/>
        <v>0</v>
      </c>
      <c r="AW713" s="18">
        <f t="shared" si="311"/>
        <v>1016617124</v>
      </c>
      <c r="AX713" s="123">
        <f t="shared" si="312"/>
        <v>0.78320012422062146</v>
      </c>
    </row>
    <row r="714" spans="1:50" x14ac:dyDescent="0.2">
      <c r="A714" s="4" t="s">
        <v>55</v>
      </c>
      <c r="B714" s="4" t="s">
        <v>56</v>
      </c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1" t="s">
        <v>517</v>
      </c>
      <c r="AB714" s="42" t="s">
        <v>518</v>
      </c>
      <c r="AC714" s="43" t="s">
        <v>428</v>
      </c>
      <c r="AD714" s="43">
        <v>263626220</v>
      </c>
      <c r="AE714" s="44">
        <v>0</v>
      </c>
      <c r="AF714" s="44">
        <v>0</v>
      </c>
      <c r="AG714" s="44">
        <v>0</v>
      </c>
      <c r="AH714" s="44">
        <v>0</v>
      </c>
      <c r="AI714" s="44">
        <v>0</v>
      </c>
      <c r="AJ714" s="43">
        <v>263626220</v>
      </c>
      <c r="AK714" s="44">
        <v>0</v>
      </c>
      <c r="AL714" s="44">
        <v>0</v>
      </c>
      <c r="AM714" s="44">
        <v>0</v>
      </c>
      <c r="AN714" s="44">
        <v>0</v>
      </c>
      <c r="AO714" s="143">
        <v>0</v>
      </c>
      <c r="AP714" s="44">
        <v>0</v>
      </c>
      <c r="AQ714" s="34">
        <v>0</v>
      </c>
      <c r="AR714" s="145">
        <v>0</v>
      </c>
      <c r="AS714" s="34">
        <v>0</v>
      </c>
      <c r="AT714" s="40">
        <f t="shared" si="308"/>
        <v>0</v>
      </c>
      <c r="AU714" s="18">
        <f t="shared" si="309"/>
        <v>263626220</v>
      </c>
      <c r="AV714" s="34">
        <f t="shared" si="310"/>
        <v>0</v>
      </c>
      <c r="AW714" s="34">
        <f t="shared" si="311"/>
        <v>0</v>
      </c>
      <c r="AX714" s="123">
        <f t="shared" si="312"/>
        <v>0</v>
      </c>
    </row>
    <row r="715" spans="1:50" ht="25.5" x14ac:dyDescent="0.2">
      <c r="A715" s="4" t="s">
        <v>55</v>
      </c>
      <c r="B715" s="4" t="s">
        <v>56</v>
      </c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1" t="s">
        <v>519</v>
      </c>
      <c r="AB715" s="42" t="s">
        <v>520</v>
      </c>
      <c r="AC715" s="43" t="s">
        <v>368</v>
      </c>
      <c r="AD715" s="43">
        <v>6200094.4000000004</v>
      </c>
      <c r="AE715" s="44">
        <v>0</v>
      </c>
      <c r="AF715" s="44">
        <v>0</v>
      </c>
      <c r="AG715" s="44">
        <v>0</v>
      </c>
      <c r="AH715" s="44">
        <v>0</v>
      </c>
      <c r="AI715" s="44">
        <v>0</v>
      </c>
      <c r="AJ715" s="43">
        <v>6200094.4000000004</v>
      </c>
      <c r="AK715" s="44">
        <v>0</v>
      </c>
      <c r="AL715" s="44">
        <v>0</v>
      </c>
      <c r="AM715" s="44">
        <v>0</v>
      </c>
      <c r="AN715" s="44">
        <v>0</v>
      </c>
      <c r="AO715" s="143">
        <v>0</v>
      </c>
      <c r="AP715" s="44">
        <v>0</v>
      </c>
      <c r="AQ715" s="34">
        <v>0</v>
      </c>
      <c r="AR715" s="145">
        <v>0</v>
      </c>
      <c r="AS715" s="34">
        <v>0</v>
      </c>
      <c r="AT715" s="40">
        <f t="shared" si="308"/>
        <v>0</v>
      </c>
      <c r="AU715" s="18">
        <f t="shared" si="309"/>
        <v>6200094.4000000004</v>
      </c>
      <c r="AV715" s="34">
        <f t="shared" si="310"/>
        <v>0</v>
      </c>
      <c r="AW715" s="34">
        <f t="shared" si="311"/>
        <v>0</v>
      </c>
      <c r="AX715" s="123">
        <f t="shared" si="312"/>
        <v>0</v>
      </c>
    </row>
    <row r="716" spans="1:50" ht="25.5" x14ac:dyDescent="0.2">
      <c r="A716" s="4" t="s">
        <v>55</v>
      </c>
      <c r="B716" s="4" t="s">
        <v>56</v>
      </c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1" t="s">
        <v>521</v>
      </c>
      <c r="AB716" s="42" t="s">
        <v>522</v>
      </c>
      <c r="AC716" s="43" t="s">
        <v>368</v>
      </c>
      <c r="AD716" s="43">
        <v>112310609.13</v>
      </c>
      <c r="AE716" s="44">
        <v>0</v>
      </c>
      <c r="AF716" s="44">
        <v>0</v>
      </c>
      <c r="AG716" s="44">
        <v>0</v>
      </c>
      <c r="AH716" s="44">
        <v>0</v>
      </c>
      <c r="AI716" s="44">
        <v>0</v>
      </c>
      <c r="AJ716" s="43">
        <v>112310609.13</v>
      </c>
      <c r="AK716" s="44">
        <v>0</v>
      </c>
      <c r="AL716" s="44">
        <v>0</v>
      </c>
      <c r="AM716" s="44">
        <v>0</v>
      </c>
      <c r="AN716" s="44">
        <v>0</v>
      </c>
      <c r="AO716" s="44">
        <v>0</v>
      </c>
      <c r="AP716" s="44">
        <v>0</v>
      </c>
      <c r="AQ716" s="34">
        <v>0</v>
      </c>
      <c r="AR716" s="145">
        <v>0</v>
      </c>
      <c r="AS716" s="34">
        <v>0</v>
      </c>
      <c r="AT716" s="40">
        <f t="shared" si="308"/>
        <v>0</v>
      </c>
      <c r="AU716" s="18">
        <f t="shared" si="309"/>
        <v>112310609.13</v>
      </c>
      <c r="AV716" s="34">
        <f t="shared" si="310"/>
        <v>0</v>
      </c>
      <c r="AW716" s="34">
        <f t="shared" si="311"/>
        <v>0</v>
      </c>
      <c r="AX716" s="123">
        <f t="shared" si="312"/>
        <v>0</v>
      </c>
    </row>
    <row r="717" spans="1:50" ht="18.75" customHeight="1" x14ac:dyDescent="0.2">
      <c r="AA717" s="16"/>
      <c r="AB717" s="17"/>
      <c r="AC717" s="17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34"/>
      <c r="AR717" s="34"/>
      <c r="AS717" s="34"/>
      <c r="AT717" s="40"/>
      <c r="AU717" s="18"/>
      <c r="AV717" s="18"/>
      <c r="AW717" s="18"/>
      <c r="AX717" s="18"/>
    </row>
    <row r="718" spans="1:50" ht="18.75" customHeight="1" x14ac:dyDescent="0.2">
      <c r="AA718" s="16"/>
      <c r="AB718" s="29" t="s">
        <v>523</v>
      </c>
      <c r="AC718" s="17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34"/>
      <c r="AR718" s="34"/>
      <c r="AS718" s="34"/>
      <c r="AT718" s="40"/>
      <c r="AU718" s="18"/>
      <c r="AV718" s="18"/>
      <c r="AW718" s="18"/>
      <c r="AX718" s="18"/>
    </row>
    <row r="719" spans="1:50" ht="18.75" customHeight="1" x14ac:dyDescent="0.2">
      <c r="AA719" s="16"/>
      <c r="AB719" s="29" t="s">
        <v>285</v>
      </c>
      <c r="AC719" s="17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34"/>
      <c r="AR719" s="34"/>
      <c r="AS719" s="34"/>
      <c r="AT719" s="40"/>
      <c r="AU719" s="18"/>
      <c r="AV719" s="18"/>
      <c r="AW719" s="18"/>
      <c r="AX719" s="18"/>
    </row>
    <row r="720" spans="1:50" ht="18.75" customHeight="1" x14ac:dyDescent="0.2">
      <c r="AA720" s="16"/>
      <c r="AB720" s="29" t="s">
        <v>286</v>
      </c>
      <c r="AC720" s="17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34"/>
      <c r="AR720" s="34"/>
      <c r="AS720" s="34"/>
      <c r="AT720" s="40"/>
      <c r="AU720" s="18"/>
      <c r="AV720" s="18"/>
      <c r="AW720" s="18"/>
      <c r="AX720" s="18"/>
    </row>
    <row r="721" spans="1:50" ht="18.75" customHeight="1" x14ac:dyDescent="0.2">
      <c r="AA721" s="16"/>
      <c r="AB721" s="29" t="s">
        <v>179</v>
      </c>
      <c r="AC721" s="17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34"/>
      <c r="AR721" s="34"/>
      <c r="AS721" s="34"/>
      <c r="AT721" s="40"/>
      <c r="AU721" s="18"/>
      <c r="AV721" s="18"/>
      <c r="AW721" s="18"/>
      <c r="AX721" s="18"/>
    </row>
    <row r="722" spans="1:50" ht="18.75" customHeight="1" x14ac:dyDescent="0.2">
      <c r="AA722" s="16"/>
      <c r="AB722" s="29" t="s">
        <v>189</v>
      </c>
      <c r="AC722" s="17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34"/>
      <c r="AR722" s="34"/>
      <c r="AS722" s="34"/>
      <c r="AT722" s="40"/>
      <c r="AU722" s="18"/>
      <c r="AV722" s="18"/>
      <c r="AW722" s="18"/>
      <c r="AX722" s="18"/>
    </row>
    <row r="723" spans="1:50" ht="18.75" customHeight="1" x14ac:dyDescent="0.2">
      <c r="AA723" s="16"/>
      <c r="AB723" s="29" t="s">
        <v>191</v>
      </c>
      <c r="AC723" s="17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34"/>
      <c r="AR723" s="34"/>
      <c r="AS723" s="34"/>
      <c r="AT723" s="40"/>
      <c r="AU723" s="18"/>
      <c r="AV723" s="18"/>
      <c r="AW723" s="18"/>
      <c r="AX723" s="18"/>
    </row>
    <row r="724" spans="1:50" ht="18.75" customHeight="1" x14ac:dyDescent="0.2">
      <c r="AA724" s="28" t="s">
        <v>288</v>
      </c>
      <c r="AB724" s="29" t="s">
        <v>459</v>
      </c>
      <c r="AC724" s="17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34"/>
      <c r="AR724" s="34"/>
      <c r="AS724" s="34"/>
      <c r="AT724" s="40"/>
      <c r="AU724" s="18"/>
      <c r="AV724" s="18"/>
      <c r="AW724" s="18"/>
      <c r="AX724" s="18"/>
    </row>
    <row r="725" spans="1:50" ht="25.5" x14ac:dyDescent="0.2">
      <c r="A725" s="4" t="s">
        <v>55</v>
      </c>
      <c r="B725" s="4" t="s">
        <v>56</v>
      </c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1" t="s">
        <v>524</v>
      </c>
      <c r="AB725" s="42" t="s">
        <v>525</v>
      </c>
      <c r="AC725" s="43" t="s">
        <v>428</v>
      </c>
      <c r="AD725" s="43">
        <v>47990790</v>
      </c>
      <c r="AE725" s="44">
        <v>0</v>
      </c>
      <c r="AF725" s="44">
        <v>0</v>
      </c>
      <c r="AG725" s="44">
        <v>0</v>
      </c>
      <c r="AH725" s="44">
        <v>0</v>
      </c>
      <c r="AI725" s="44">
        <v>0</v>
      </c>
      <c r="AJ725" s="43">
        <v>47990790</v>
      </c>
      <c r="AK725" s="44">
        <v>0</v>
      </c>
      <c r="AL725" s="44">
        <v>0</v>
      </c>
      <c r="AM725" s="44">
        <v>0</v>
      </c>
      <c r="AN725" s="44">
        <v>0</v>
      </c>
      <c r="AO725" s="44">
        <v>0</v>
      </c>
      <c r="AP725" s="44">
        <v>0</v>
      </c>
      <c r="AQ725" s="34">
        <v>0</v>
      </c>
      <c r="AR725" s="145">
        <v>0</v>
      </c>
      <c r="AS725" s="34">
        <v>0</v>
      </c>
      <c r="AT725" s="40">
        <f t="shared" ref="AT725:AT727" si="314">AQ725+AS725</f>
        <v>0</v>
      </c>
      <c r="AU725" s="18">
        <f>AJ725-AM725</f>
        <v>47990790</v>
      </c>
      <c r="AV725" s="34">
        <f>AM725-AP725</f>
        <v>0</v>
      </c>
      <c r="AW725" s="34">
        <f>AP725-AT725</f>
        <v>0</v>
      </c>
      <c r="AX725" s="123">
        <f>AP725/AJ725</f>
        <v>0</v>
      </c>
    </row>
    <row r="726" spans="1:50" ht="25.5" x14ac:dyDescent="0.2">
      <c r="A726" s="4" t="s">
        <v>55</v>
      </c>
      <c r="B726" s="4" t="s">
        <v>56</v>
      </c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1" t="s">
        <v>526</v>
      </c>
      <c r="AB726" s="42" t="s">
        <v>527</v>
      </c>
      <c r="AC726" s="43" t="s">
        <v>428</v>
      </c>
      <c r="AD726" s="43">
        <v>1098509998.8599999</v>
      </c>
      <c r="AE726" s="44">
        <v>0</v>
      </c>
      <c r="AF726" s="44">
        <v>0</v>
      </c>
      <c r="AG726" s="44">
        <v>0</v>
      </c>
      <c r="AH726" s="44">
        <v>0</v>
      </c>
      <c r="AI726" s="44">
        <v>0</v>
      </c>
      <c r="AJ726" s="43">
        <v>1098509998.8599999</v>
      </c>
      <c r="AK726" s="44">
        <v>0</v>
      </c>
      <c r="AL726" s="44">
        <v>0</v>
      </c>
      <c r="AM726" s="44">
        <v>0</v>
      </c>
      <c r="AN726" s="44">
        <v>0</v>
      </c>
      <c r="AO726" s="44">
        <v>0</v>
      </c>
      <c r="AP726" s="44">
        <v>0</v>
      </c>
      <c r="AQ726" s="34">
        <v>0</v>
      </c>
      <c r="AR726" s="145">
        <v>0</v>
      </c>
      <c r="AS726" s="34">
        <v>0</v>
      </c>
      <c r="AT726" s="40">
        <f t="shared" si="314"/>
        <v>0</v>
      </c>
      <c r="AU726" s="18">
        <f>AJ726-AM726</f>
        <v>1098509998.8599999</v>
      </c>
      <c r="AV726" s="34">
        <f>AM726-AP726</f>
        <v>0</v>
      </c>
      <c r="AW726" s="34">
        <f>AP726-AT726</f>
        <v>0</v>
      </c>
      <c r="AX726" s="123">
        <f>AP726/AJ726</f>
        <v>0</v>
      </c>
    </row>
    <row r="727" spans="1:50" ht="25.5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173" t="s">
        <v>1071</v>
      </c>
      <c r="AB727" s="218" t="s">
        <v>1072</v>
      </c>
      <c r="AC727" s="43"/>
      <c r="AD727" s="44">
        <v>0</v>
      </c>
      <c r="AE727" s="43">
        <v>1788940976.47</v>
      </c>
      <c r="AF727" s="44">
        <v>0</v>
      </c>
      <c r="AG727" s="44">
        <v>0</v>
      </c>
      <c r="AH727" s="44">
        <v>0</v>
      </c>
      <c r="AI727" s="43">
        <f>AE727-AF727+AG727-AH727</f>
        <v>1788940976.47</v>
      </c>
      <c r="AJ727" s="43">
        <f>AD727+AI727</f>
        <v>1788940976.47</v>
      </c>
      <c r="AK727" s="44">
        <v>0</v>
      </c>
      <c r="AL727" s="142">
        <f>AM727-AGOSTO!AM704</f>
        <v>111440107.00000012</v>
      </c>
      <c r="AM727" s="43">
        <v>1181913982.9200001</v>
      </c>
      <c r="AN727" s="44">
        <v>0</v>
      </c>
      <c r="AO727" s="43">
        <v>0</v>
      </c>
      <c r="AP727" s="43">
        <v>1070473875.92</v>
      </c>
      <c r="AQ727" s="34">
        <v>0</v>
      </c>
      <c r="AR727" s="147">
        <v>32824604.5</v>
      </c>
      <c r="AS727" s="18">
        <v>375004536.69</v>
      </c>
      <c r="AT727" s="39">
        <f t="shared" si="314"/>
        <v>375004536.69</v>
      </c>
      <c r="AU727" s="18">
        <f>AJ727-AM727</f>
        <v>607026993.54999995</v>
      </c>
      <c r="AV727" s="18">
        <f>AM727-AP727</f>
        <v>111440107.00000012</v>
      </c>
      <c r="AW727" s="18">
        <f>AP727-AT727</f>
        <v>695469339.23000002</v>
      </c>
      <c r="AX727" s="123">
        <f>AP727/AJ727</f>
        <v>0.59838412222648951</v>
      </c>
    </row>
    <row r="728" spans="1:50" x14ac:dyDescent="0.2">
      <c r="AA728" s="16"/>
      <c r="AB728" s="17"/>
      <c r="AC728" s="17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30"/>
      <c r="AU728" s="18"/>
      <c r="AV728" s="18"/>
      <c r="AW728" s="18"/>
      <c r="AX728" s="18"/>
    </row>
    <row r="729" spans="1:50" s="50" customFormat="1" ht="18.75" customHeight="1" x14ac:dyDescent="0.2"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46"/>
      <c r="AB729" s="47" t="s">
        <v>528</v>
      </c>
      <c r="AC729" s="47"/>
      <c r="AD729" s="48">
        <f>SUM(AD538:AD727)</f>
        <v>94071374538</v>
      </c>
      <c r="AE729" s="48">
        <f t="shared" ref="AE729:AW729" si="315">SUM(AE538:AE727)</f>
        <v>161706345687.87003</v>
      </c>
      <c r="AF729" s="48">
        <f t="shared" si="315"/>
        <v>0</v>
      </c>
      <c r="AG729" s="48">
        <f t="shared" si="315"/>
        <v>83568194966.750015</v>
      </c>
      <c r="AH729" s="48">
        <f t="shared" si="315"/>
        <v>62919548411.750008</v>
      </c>
      <c r="AI729" s="48">
        <f t="shared" si="315"/>
        <v>182354992242.87</v>
      </c>
      <c r="AJ729" s="48">
        <f t="shared" si="315"/>
        <v>276426366780.87</v>
      </c>
      <c r="AK729" s="48">
        <f t="shared" si="315"/>
        <v>662018254</v>
      </c>
      <c r="AL729" s="48">
        <f>SUM(AL538:AL727)</f>
        <v>11616972506.049999</v>
      </c>
      <c r="AM729" s="48">
        <f t="shared" si="315"/>
        <v>146528892007.62003</v>
      </c>
      <c r="AN729" s="48">
        <f t="shared" si="315"/>
        <v>6186242400.5</v>
      </c>
      <c r="AO729" s="48">
        <f t="shared" si="315"/>
        <v>13445600882.98</v>
      </c>
      <c r="AP729" s="48">
        <f t="shared" si="315"/>
        <v>126389716920.98</v>
      </c>
      <c r="AQ729" s="48">
        <f t="shared" si="315"/>
        <v>2591374927.79</v>
      </c>
      <c r="AR729" s="48">
        <f t="shared" si="315"/>
        <v>3076560644.5100002</v>
      </c>
      <c r="AS729" s="48">
        <f t="shared" si="315"/>
        <v>38348971599.290001</v>
      </c>
      <c r="AT729" s="48">
        <f t="shared" si="315"/>
        <v>40940346527.080002</v>
      </c>
      <c r="AU729" s="48">
        <f t="shared" si="315"/>
        <v>129897474773.25002</v>
      </c>
      <c r="AV729" s="48">
        <f t="shared" si="315"/>
        <v>20139175086.639999</v>
      </c>
      <c r="AW729" s="48">
        <f t="shared" si="315"/>
        <v>85449370393.900024</v>
      </c>
      <c r="AX729" s="24">
        <f>AP729/AJ729</f>
        <v>0.45722742874659367</v>
      </c>
    </row>
    <row r="730" spans="1:50" ht="18.75" customHeight="1" x14ac:dyDescent="0.2">
      <c r="AA730" s="16"/>
      <c r="AB730" s="17"/>
      <c r="AC730" s="17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</row>
    <row r="731" spans="1:50" s="25" customFormat="1" ht="18.75" customHeight="1" x14ac:dyDescent="0.2"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66"/>
      <c r="AB731" s="21" t="s">
        <v>529</v>
      </c>
      <c r="AC731" s="67"/>
      <c r="AD731" s="63"/>
      <c r="AE731" s="63"/>
      <c r="AF731" s="63"/>
      <c r="AG731" s="63"/>
      <c r="AH731" s="63"/>
      <c r="AI731" s="63"/>
      <c r="AJ731" s="63"/>
      <c r="AK731" s="63"/>
      <c r="AL731" s="63"/>
      <c r="AM731" s="63"/>
      <c r="AN731" s="63"/>
      <c r="AO731" s="63"/>
      <c r="AP731" s="63"/>
      <c r="AQ731" s="63"/>
      <c r="AR731" s="63"/>
      <c r="AS731" s="63"/>
      <c r="AT731" s="63"/>
      <c r="AU731" s="63"/>
      <c r="AV731" s="63"/>
      <c r="AW731" s="63"/>
      <c r="AX731" s="63"/>
    </row>
    <row r="732" spans="1:50" ht="18.75" customHeight="1" x14ac:dyDescent="0.2">
      <c r="AA732" s="16"/>
      <c r="AB732" s="29" t="s">
        <v>286</v>
      </c>
      <c r="AC732" s="17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</row>
    <row r="733" spans="1:50" ht="18.75" customHeight="1" x14ac:dyDescent="0.2">
      <c r="AA733" s="41" t="s">
        <v>1219</v>
      </c>
      <c r="AB733" s="29" t="s">
        <v>575</v>
      </c>
      <c r="AC733" s="17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</row>
    <row r="734" spans="1:50" ht="18.75" customHeight="1" x14ac:dyDescent="0.2">
      <c r="AA734" s="73" t="s">
        <v>288</v>
      </c>
      <c r="AB734" s="29" t="s">
        <v>1220</v>
      </c>
      <c r="AC734" s="17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</row>
    <row r="735" spans="1:50" ht="18.75" customHeight="1" x14ac:dyDescent="0.2">
      <c r="AA735" s="41" t="s">
        <v>1221</v>
      </c>
      <c r="AB735" s="38" t="s">
        <v>961</v>
      </c>
      <c r="AC735" s="17"/>
      <c r="AD735" s="34">
        <v>0</v>
      </c>
      <c r="AE735" s="34">
        <v>0</v>
      </c>
      <c r="AF735" s="34">
        <v>0</v>
      </c>
      <c r="AG735" s="18">
        <v>374200000</v>
      </c>
      <c r="AH735" s="34">
        <v>0</v>
      </c>
      <c r="AI735" s="43">
        <f>AE735-AF735+AG735-AH735</f>
        <v>374200000</v>
      </c>
      <c r="AJ735" s="43">
        <f>AD735+AI735</f>
        <v>374200000</v>
      </c>
      <c r="AK735" s="34">
        <v>0</v>
      </c>
      <c r="AL735" s="34">
        <v>0</v>
      </c>
      <c r="AM735" s="18">
        <v>151660808.72999999</v>
      </c>
      <c r="AN735" s="34">
        <v>0</v>
      </c>
      <c r="AO735" s="34">
        <v>0</v>
      </c>
      <c r="AP735" s="34">
        <v>0</v>
      </c>
      <c r="AQ735" s="34">
        <v>0</v>
      </c>
      <c r="AR735" s="34">
        <v>0</v>
      </c>
      <c r="AS735" s="34">
        <v>0</v>
      </c>
      <c r="AT735" s="40">
        <f t="shared" ref="AT735" si="316">AQ735+AS735</f>
        <v>0</v>
      </c>
      <c r="AU735" s="18">
        <f>AJ735-AM735</f>
        <v>222539191.27000001</v>
      </c>
      <c r="AV735" s="18">
        <f>AM735-AP735</f>
        <v>151660808.72999999</v>
      </c>
      <c r="AW735" s="34">
        <f>AP735-AT735</f>
        <v>0</v>
      </c>
      <c r="AX735" s="123">
        <f>AP735/AJ735</f>
        <v>0</v>
      </c>
    </row>
    <row r="736" spans="1:50" ht="18.75" customHeight="1" x14ac:dyDescent="0.2">
      <c r="AA736" s="73" t="s">
        <v>288</v>
      </c>
      <c r="AB736" s="29" t="s">
        <v>1306</v>
      </c>
      <c r="AC736" s="17"/>
      <c r="AD736" s="34"/>
      <c r="AE736" s="34"/>
      <c r="AF736" s="34"/>
      <c r="AG736" s="18"/>
      <c r="AH736" s="34"/>
      <c r="AI736" s="43"/>
      <c r="AJ736" s="43"/>
      <c r="AK736" s="18"/>
      <c r="AL736" s="18"/>
      <c r="AM736" s="18"/>
      <c r="AN736" s="18"/>
      <c r="AO736" s="18"/>
      <c r="AP736" s="18"/>
      <c r="AQ736" s="18"/>
      <c r="AR736" s="18"/>
      <c r="AS736" s="18"/>
      <c r="AT736" s="40"/>
      <c r="AU736" s="18"/>
      <c r="AV736" s="34"/>
      <c r="AW736" s="34"/>
      <c r="AX736" s="123"/>
    </row>
    <row r="737" spans="1:50" ht="18.75" customHeight="1" x14ac:dyDescent="0.2">
      <c r="AA737" s="41" t="s">
        <v>1307</v>
      </c>
      <c r="AB737" s="251" t="s">
        <v>1015</v>
      </c>
      <c r="AC737" s="17"/>
      <c r="AD737" s="34">
        <v>0</v>
      </c>
      <c r="AE737" s="34">
        <v>0</v>
      </c>
      <c r="AF737" s="34">
        <v>0</v>
      </c>
      <c r="AG737" s="18">
        <v>204000000</v>
      </c>
      <c r="AH737" s="34">
        <v>0</v>
      </c>
      <c r="AI737" s="43">
        <f>AE737-AF737+AG737-AH737</f>
        <v>204000000</v>
      </c>
      <c r="AJ737" s="43">
        <f>AD737+AI737</f>
        <v>204000000</v>
      </c>
      <c r="AK737" s="34">
        <v>0</v>
      </c>
      <c r="AL737" s="18">
        <v>204000000</v>
      </c>
      <c r="AM737" s="18">
        <v>204000000</v>
      </c>
      <c r="AN737" s="34">
        <v>0</v>
      </c>
      <c r="AO737" s="34">
        <v>0</v>
      </c>
      <c r="AP737" s="34">
        <v>0</v>
      </c>
      <c r="AQ737" s="34">
        <v>0</v>
      </c>
      <c r="AR737" s="34">
        <v>0</v>
      </c>
      <c r="AS737" s="34">
        <v>0</v>
      </c>
      <c r="AT737" s="40">
        <f t="shared" ref="AT737" si="317">AQ737+AS737</f>
        <v>0</v>
      </c>
      <c r="AU737" s="18">
        <f>AJ737-AM737</f>
        <v>0</v>
      </c>
      <c r="AV737" s="18">
        <f>AM737-AP737</f>
        <v>204000000</v>
      </c>
      <c r="AW737" s="34">
        <f>AP737-AT737</f>
        <v>0</v>
      </c>
      <c r="AX737" s="123">
        <f>AP737/AJ737</f>
        <v>0</v>
      </c>
    </row>
    <row r="738" spans="1:50" ht="39.75" customHeight="1" x14ac:dyDescent="0.2">
      <c r="AA738" s="73" t="s">
        <v>288</v>
      </c>
      <c r="AB738" s="29" t="s">
        <v>1372</v>
      </c>
      <c r="AC738" s="17"/>
      <c r="AD738" s="34"/>
      <c r="AE738" s="34"/>
      <c r="AF738" s="34"/>
      <c r="AG738" s="18"/>
      <c r="AH738" s="34"/>
      <c r="AI738" s="43"/>
      <c r="AJ738" s="43"/>
      <c r="AK738" s="34"/>
      <c r="AL738" s="34"/>
      <c r="AM738" s="34"/>
      <c r="AN738" s="34"/>
      <c r="AO738" s="34"/>
      <c r="AP738" s="34"/>
      <c r="AQ738" s="34"/>
      <c r="AR738" s="34"/>
      <c r="AS738" s="34"/>
      <c r="AT738" s="40"/>
      <c r="AU738" s="18"/>
      <c r="AV738" s="34"/>
      <c r="AW738" s="34"/>
      <c r="AX738" s="123"/>
    </row>
    <row r="739" spans="1:50" ht="18.75" customHeight="1" x14ac:dyDescent="0.2">
      <c r="AA739" s="41" t="s">
        <v>1373</v>
      </c>
      <c r="AB739" s="251" t="s">
        <v>1015</v>
      </c>
      <c r="AC739" s="17"/>
      <c r="AD739" s="34">
        <v>0</v>
      </c>
      <c r="AE739" s="34">
        <v>0</v>
      </c>
      <c r="AF739" s="34">
        <v>0</v>
      </c>
      <c r="AG739" s="18">
        <v>15000000</v>
      </c>
      <c r="AH739" s="34">
        <v>0</v>
      </c>
      <c r="AI739" s="43">
        <f>AE739-AF739+AG739-AH739</f>
        <v>15000000</v>
      </c>
      <c r="AJ739" s="43">
        <f>AD739+AI739</f>
        <v>15000000</v>
      </c>
      <c r="AK739" s="34">
        <v>0</v>
      </c>
      <c r="AL739" s="34">
        <v>0</v>
      </c>
      <c r="AM739" s="34">
        <v>0</v>
      </c>
      <c r="AN739" s="34">
        <v>0</v>
      </c>
      <c r="AO739" s="34">
        <v>0</v>
      </c>
      <c r="AP739" s="34">
        <v>0</v>
      </c>
      <c r="AQ739" s="34">
        <v>0</v>
      </c>
      <c r="AR739" s="34">
        <v>0</v>
      </c>
      <c r="AS739" s="34">
        <v>0</v>
      </c>
      <c r="AT739" s="40">
        <f t="shared" ref="AT739" si="318">AQ739+AS739</f>
        <v>0</v>
      </c>
      <c r="AU739" s="18">
        <f>AJ739-AM739</f>
        <v>15000000</v>
      </c>
      <c r="AV739" s="34">
        <f>AM739-AP739</f>
        <v>0</v>
      </c>
      <c r="AW739" s="34">
        <f>AP739-AT739</f>
        <v>0</v>
      </c>
      <c r="AX739" s="123">
        <f>AP739/AJ739</f>
        <v>0</v>
      </c>
    </row>
    <row r="740" spans="1:50" ht="30" customHeight="1" x14ac:dyDescent="0.2">
      <c r="AA740" s="73" t="s">
        <v>288</v>
      </c>
      <c r="AB740" s="29" t="s">
        <v>531</v>
      </c>
      <c r="AC740" s="17"/>
      <c r="AD740" s="34"/>
      <c r="AE740" s="34"/>
      <c r="AF740" s="34"/>
      <c r="AG740" s="18"/>
      <c r="AH740" s="34"/>
      <c r="AI740" s="43"/>
      <c r="AJ740" s="43"/>
      <c r="AK740" s="34"/>
      <c r="AL740" s="34"/>
      <c r="AM740" s="34"/>
      <c r="AN740" s="34"/>
      <c r="AO740" s="34"/>
      <c r="AP740" s="34"/>
      <c r="AQ740" s="34"/>
      <c r="AR740" s="34"/>
      <c r="AS740" s="34"/>
      <c r="AT740" s="40"/>
      <c r="AU740" s="18"/>
      <c r="AV740" s="34"/>
      <c r="AW740" s="34"/>
      <c r="AX740" s="123"/>
    </row>
    <row r="741" spans="1:50" ht="18.75" customHeight="1" x14ac:dyDescent="0.2">
      <c r="AA741" s="41" t="s">
        <v>1325</v>
      </c>
      <c r="AB741" s="251" t="s">
        <v>233</v>
      </c>
      <c r="AC741" s="17"/>
      <c r="AD741" s="34"/>
      <c r="AE741" s="34">
        <v>0</v>
      </c>
      <c r="AF741" s="34">
        <v>0</v>
      </c>
      <c r="AG741" s="18">
        <v>60000000</v>
      </c>
      <c r="AH741" s="34">
        <v>0</v>
      </c>
      <c r="AI741" s="43">
        <f>AE741-AF741+AG741-AH741</f>
        <v>60000000</v>
      </c>
      <c r="AJ741" s="43">
        <f>AD741+AI741</f>
        <v>60000000</v>
      </c>
      <c r="AK741" s="34">
        <v>0</v>
      </c>
      <c r="AL741" s="34">
        <v>0</v>
      </c>
      <c r="AM741" s="34">
        <v>0</v>
      </c>
      <c r="AN741" s="34">
        <v>0</v>
      </c>
      <c r="AO741" s="34">
        <v>0</v>
      </c>
      <c r="AP741" s="34">
        <v>0</v>
      </c>
      <c r="AQ741" s="34">
        <v>0</v>
      </c>
      <c r="AR741" s="34">
        <v>0</v>
      </c>
      <c r="AS741" s="34">
        <v>0</v>
      </c>
      <c r="AT741" s="40">
        <f t="shared" ref="AT741" si="319">AQ741+AS741</f>
        <v>0</v>
      </c>
      <c r="AU741" s="18">
        <f>AJ741-AM741</f>
        <v>60000000</v>
      </c>
      <c r="AV741" s="34">
        <f>AM741-AP741</f>
        <v>0</v>
      </c>
      <c r="AW741" s="34">
        <f>AP741-AT741</f>
        <v>0</v>
      </c>
      <c r="AX741" s="123">
        <f>AP741/AJ741</f>
        <v>0</v>
      </c>
    </row>
    <row r="742" spans="1:50" ht="27" customHeight="1" x14ac:dyDescent="0.2">
      <c r="AA742" s="41"/>
      <c r="AB742" s="29" t="s">
        <v>1248</v>
      </c>
      <c r="AC742" s="17"/>
      <c r="AD742" s="34"/>
      <c r="AE742" s="34"/>
      <c r="AF742" s="34"/>
      <c r="AG742" s="18"/>
      <c r="AH742" s="34"/>
      <c r="AI742" s="43"/>
      <c r="AJ742" s="43"/>
      <c r="AK742" s="34"/>
      <c r="AL742" s="34"/>
      <c r="AM742" s="34"/>
      <c r="AN742" s="34"/>
      <c r="AO742" s="34"/>
      <c r="AP742" s="34"/>
      <c r="AQ742" s="34"/>
      <c r="AR742" s="34"/>
      <c r="AS742" s="34"/>
      <c r="AT742" s="40"/>
      <c r="AU742" s="18"/>
      <c r="AV742" s="34"/>
      <c r="AW742" s="34"/>
      <c r="AX742" s="123"/>
    </row>
    <row r="743" spans="1:50" ht="18.75" customHeight="1" x14ac:dyDescent="0.2">
      <c r="AA743" s="41" t="s">
        <v>1308</v>
      </c>
      <c r="AB743" s="38" t="s">
        <v>1015</v>
      </c>
      <c r="AC743" s="17"/>
      <c r="AD743" s="34">
        <v>0</v>
      </c>
      <c r="AE743" s="34">
        <v>0</v>
      </c>
      <c r="AF743" s="34">
        <v>0</v>
      </c>
      <c r="AG743" s="18">
        <v>212000000</v>
      </c>
      <c r="AH743" s="34">
        <v>0</v>
      </c>
      <c r="AI743" s="43">
        <f>AE743-AF743+AG743-AH743</f>
        <v>212000000</v>
      </c>
      <c r="AJ743" s="43">
        <f>AD743+AI743</f>
        <v>212000000</v>
      </c>
      <c r="AK743" s="34">
        <v>0</v>
      </c>
      <c r="AL743" s="34">
        <v>0</v>
      </c>
      <c r="AM743" s="34">
        <v>0</v>
      </c>
      <c r="AN743" s="34">
        <v>0</v>
      </c>
      <c r="AO743" s="34">
        <v>0</v>
      </c>
      <c r="AP743" s="34">
        <v>0</v>
      </c>
      <c r="AQ743" s="34">
        <v>0</v>
      </c>
      <c r="AR743" s="34">
        <v>0</v>
      </c>
      <c r="AS743" s="34">
        <v>0</v>
      </c>
      <c r="AT743" s="40">
        <f t="shared" ref="AT743" si="320">AQ743+AS743</f>
        <v>0</v>
      </c>
      <c r="AU743" s="18">
        <f>AJ743-AM743</f>
        <v>212000000</v>
      </c>
      <c r="AV743" s="34">
        <f>AM743-AP743</f>
        <v>0</v>
      </c>
      <c r="AW743" s="34">
        <f>AP743-AT743</f>
        <v>0</v>
      </c>
      <c r="AX743" s="123">
        <f>AP743/AJ743</f>
        <v>0</v>
      </c>
    </row>
    <row r="744" spans="1:50" ht="18.75" customHeight="1" x14ac:dyDescent="0.2">
      <c r="AA744" s="16"/>
      <c r="AB744" s="29" t="s">
        <v>179</v>
      </c>
      <c r="AC744" s="17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</row>
    <row r="745" spans="1:50" ht="18.75" customHeight="1" x14ac:dyDescent="0.2">
      <c r="AA745" s="16"/>
      <c r="AB745" s="29" t="s">
        <v>181</v>
      </c>
      <c r="AC745" s="17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</row>
    <row r="746" spans="1:50" x14ac:dyDescent="0.2">
      <c r="AA746" s="16"/>
      <c r="AB746" s="29" t="s">
        <v>530</v>
      </c>
      <c r="AC746" s="17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30"/>
      <c r="AU746" s="18"/>
      <c r="AV746" s="18"/>
      <c r="AW746" s="18"/>
      <c r="AX746" s="18"/>
    </row>
    <row r="747" spans="1:50" ht="25.5" x14ac:dyDescent="0.2">
      <c r="AA747" s="28" t="s">
        <v>288</v>
      </c>
      <c r="AB747" s="29" t="s">
        <v>531</v>
      </c>
      <c r="AC747" s="17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30"/>
      <c r="AU747" s="18"/>
      <c r="AV747" s="18"/>
      <c r="AW747" s="18"/>
      <c r="AX747" s="18"/>
    </row>
    <row r="748" spans="1:50" x14ac:dyDescent="0.2">
      <c r="A748" s="4" t="s">
        <v>55</v>
      </c>
      <c r="B748" s="4" t="s">
        <v>56</v>
      </c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1" t="s">
        <v>532</v>
      </c>
      <c r="AB748" s="42" t="s">
        <v>233</v>
      </c>
      <c r="AC748" s="43" t="s">
        <v>58</v>
      </c>
      <c r="AD748" s="43">
        <v>40000000.659999996</v>
      </c>
      <c r="AE748" s="44">
        <v>0</v>
      </c>
      <c r="AF748" s="44">
        <v>0</v>
      </c>
      <c r="AG748" s="43">
        <v>250000000</v>
      </c>
      <c r="AH748" s="43">
        <f>70000000+32962480</f>
        <v>102962480</v>
      </c>
      <c r="AI748" s="43">
        <f>AE748-AF748+AG748-AH748</f>
        <v>147037520</v>
      </c>
      <c r="AJ748" s="43">
        <f>AD748+AI748</f>
        <v>187037520.66</v>
      </c>
      <c r="AK748" s="44">
        <v>0</v>
      </c>
      <c r="AL748" s="43">
        <v>0</v>
      </c>
      <c r="AM748" s="43">
        <v>179537520</v>
      </c>
      <c r="AN748" s="44">
        <v>0</v>
      </c>
      <c r="AO748" s="43">
        <v>0</v>
      </c>
      <c r="AP748" s="43">
        <v>179537520</v>
      </c>
      <c r="AQ748" s="34">
        <v>0</v>
      </c>
      <c r="AR748" s="34">
        <v>0</v>
      </c>
      <c r="AS748" s="34">
        <v>0</v>
      </c>
      <c r="AT748" s="40">
        <f t="shared" ref="AT748:AT750" si="321">AQ748+AS748</f>
        <v>0</v>
      </c>
      <c r="AU748" s="18">
        <f>AJ748-AM748</f>
        <v>7500000.6599999964</v>
      </c>
      <c r="AV748" s="18">
        <f>AM748-AP748</f>
        <v>0</v>
      </c>
      <c r="AW748" s="18">
        <f>AP748-AT748</f>
        <v>179537520</v>
      </c>
      <c r="AX748" s="123">
        <f>AP748/AJ748</f>
        <v>0.95990109025432591</v>
      </c>
    </row>
    <row r="749" spans="1:50" ht="25.5" x14ac:dyDescent="0.2">
      <c r="AA749" s="28" t="s">
        <v>288</v>
      </c>
      <c r="AB749" s="29" t="s">
        <v>533</v>
      </c>
      <c r="AC749" s="17"/>
      <c r="AD749" s="18"/>
      <c r="AE749" s="34"/>
      <c r="AF749" s="34"/>
      <c r="AG749" s="34"/>
      <c r="AH749" s="34"/>
      <c r="AI749" s="34"/>
      <c r="AJ749" s="18"/>
      <c r="AK749" s="18"/>
      <c r="AL749" s="18"/>
      <c r="AM749" s="18"/>
      <c r="AN749" s="18"/>
      <c r="AO749" s="18"/>
      <c r="AP749" s="18"/>
      <c r="AQ749" s="34"/>
      <c r="AR749" s="34"/>
      <c r="AS749" s="34"/>
      <c r="AT749" s="40"/>
      <c r="AU749" s="18"/>
      <c r="AV749" s="18"/>
      <c r="AW749" s="18"/>
      <c r="AX749" s="123"/>
    </row>
    <row r="750" spans="1:50" x14ac:dyDescent="0.2">
      <c r="A750" s="4" t="s">
        <v>55</v>
      </c>
      <c r="B750" s="4" t="s">
        <v>56</v>
      </c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1" t="s">
        <v>534</v>
      </c>
      <c r="AB750" s="42" t="s">
        <v>233</v>
      </c>
      <c r="AC750" s="43" t="s">
        <v>58</v>
      </c>
      <c r="AD750" s="43">
        <v>100000000</v>
      </c>
      <c r="AE750" s="44">
        <v>0</v>
      </c>
      <c r="AF750" s="44">
        <v>0</v>
      </c>
      <c r="AG750" s="44">
        <v>0</v>
      </c>
      <c r="AH750" s="43">
        <v>4654516</v>
      </c>
      <c r="AI750" s="43">
        <f>AE750-AF750+AG750-AH750</f>
        <v>-4654516</v>
      </c>
      <c r="AJ750" s="43">
        <f>AD750+AI750</f>
        <v>95345484</v>
      </c>
      <c r="AK750" s="44">
        <v>0</v>
      </c>
      <c r="AL750" s="44">
        <v>0</v>
      </c>
      <c r="AM750" s="43">
        <v>47672742</v>
      </c>
      <c r="AN750" s="44">
        <v>0</v>
      </c>
      <c r="AO750" s="43">
        <v>0</v>
      </c>
      <c r="AP750" s="43">
        <v>47672742</v>
      </c>
      <c r="AQ750" s="34">
        <v>0</v>
      </c>
      <c r="AR750" s="34">
        <v>0</v>
      </c>
      <c r="AS750" s="34">
        <v>0</v>
      </c>
      <c r="AT750" s="40">
        <f t="shared" si="321"/>
        <v>0</v>
      </c>
      <c r="AU750" s="18">
        <f>AJ750-AM750</f>
        <v>47672742</v>
      </c>
      <c r="AV750" s="34">
        <f>AM750-AP750</f>
        <v>0</v>
      </c>
      <c r="AW750" s="18">
        <f>AP750-AT750</f>
        <v>47672742</v>
      </c>
      <c r="AX750" s="123">
        <f>AP750/AJ750</f>
        <v>0.5</v>
      </c>
    </row>
    <row r="751" spans="1:50" ht="25.5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73" t="s">
        <v>288</v>
      </c>
      <c r="AB751" s="74" t="s">
        <v>1257</v>
      </c>
      <c r="AC751" s="43"/>
      <c r="AD751" s="43"/>
      <c r="AE751" s="44"/>
      <c r="AF751" s="44"/>
      <c r="AG751" s="44"/>
      <c r="AH751" s="44"/>
      <c r="AI751" s="44"/>
      <c r="AJ751" s="43"/>
      <c r="AK751" s="44"/>
      <c r="AL751" s="44"/>
      <c r="AM751" s="43"/>
      <c r="AN751" s="44"/>
      <c r="AO751" s="44"/>
      <c r="AP751" s="44"/>
      <c r="AQ751" s="34"/>
      <c r="AR751" s="34"/>
      <c r="AS751" s="34"/>
      <c r="AT751" s="40"/>
      <c r="AU751" s="18"/>
      <c r="AV751" s="34"/>
      <c r="AW751" s="34"/>
      <c r="AX751" s="123"/>
    </row>
    <row r="752" spans="1:50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1" t="s">
        <v>1258</v>
      </c>
      <c r="AB752" s="42" t="s">
        <v>961</v>
      </c>
      <c r="AC752" s="43"/>
      <c r="AD752" s="43">
        <v>0</v>
      </c>
      <c r="AE752" s="44">
        <v>0</v>
      </c>
      <c r="AF752" s="44">
        <v>0</v>
      </c>
      <c r="AG752" s="43">
        <v>200000000</v>
      </c>
      <c r="AH752" s="43">
        <v>100000000</v>
      </c>
      <c r="AI752" s="43">
        <f>AE752-AF752+AG752-AH752</f>
        <v>100000000</v>
      </c>
      <c r="AJ752" s="142">
        <f>AD752+AI752</f>
        <v>100000000</v>
      </c>
      <c r="AK752" s="44">
        <v>0</v>
      </c>
      <c r="AL752" s="44">
        <v>0</v>
      </c>
      <c r="AM752" s="43">
        <v>0</v>
      </c>
      <c r="AN752" s="44">
        <v>0</v>
      </c>
      <c r="AO752" s="44">
        <v>0</v>
      </c>
      <c r="AP752" s="44">
        <v>0</v>
      </c>
      <c r="AQ752" s="34">
        <v>0</v>
      </c>
      <c r="AR752" s="34">
        <v>0</v>
      </c>
      <c r="AS752" s="34">
        <v>0</v>
      </c>
      <c r="AT752" s="40">
        <f t="shared" ref="AT752" si="322">AQ752+AS752</f>
        <v>0</v>
      </c>
      <c r="AU752" s="18">
        <f>AJ752-AM752</f>
        <v>100000000</v>
      </c>
      <c r="AV752" s="34">
        <f>AM752-AP752</f>
        <v>0</v>
      </c>
      <c r="AW752" s="34">
        <f>AP752-AT752</f>
        <v>0</v>
      </c>
      <c r="AX752" s="123">
        <f>AP752/AJ752</f>
        <v>0</v>
      </c>
    </row>
    <row r="753" spans="1:50" x14ac:dyDescent="0.2">
      <c r="AA753" s="16"/>
      <c r="AB753" s="17"/>
      <c r="AC753" s="17"/>
      <c r="AD753" s="18"/>
      <c r="AE753" s="34"/>
      <c r="AF753" s="34"/>
      <c r="AG753" s="34"/>
      <c r="AH753" s="34"/>
      <c r="AI753" s="34"/>
      <c r="AJ753" s="18"/>
      <c r="AK753" s="34"/>
      <c r="AL753" s="34"/>
      <c r="AM753" s="34"/>
      <c r="AN753" s="34"/>
      <c r="AO753" s="34"/>
      <c r="AP753" s="34"/>
      <c r="AQ753" s="18"/>
      <c r="AR753" s="18"/>
      <c r="AS753" s="18"/>
      <c r="AT753" s="31"/>
      <c r="AU753" s="18"/>
      <c r="AV753" s="34"/>
      <c r="AW753" s="34"/>
      <c r="AX753" s="18"/>
    </row>
    <row r="754" spans="1:50" ht="25.5" x14ac:dyDescent="0.2">
      <c r="AA754" s="16"/>
      <c r="AB754" s="29" t="s">
        <v>183</v>
      </c>
      <c r="AC754" s="17"/>
      <c r="AD754" s="18"/>
      <c r="AE754" s="34"/>
      <c r="AF754" s="34"/>
      <c r="AG754" s="34"/>
      <c r="AH754" s="34"/>
      <c r="AI754" s="34"/>
      <c r="AJ754" s="18"/>
      <c r="AK754" s="34"/>
      <c r="AL754" s="34"/>
      <c r="AM754" s="34"/>
      <c r="AN754" s="34"/>
      <c r="AO754" s="34"/>
      <c r="AP754" s="34"/>
      <c r="AQ754" s="18"/>
      <c r="AR754" s="18"/>
      <c r="AS754" s="18"/>
      <c r="AT754" s="31"/>
      <c r="AU754" s="18"/>
      <c r="AV754" s="34"/>
      <c r="AW754" s="34"/>
      <c r="AX754" s="18"/>
    </row>
    <row r="755" spans="1:50" ht="25.5" x14ac:dyDescent="0.2">
      <c r="AA755" s="28" t="s">
        <v>288</v>
      </c>
      <c r="AB755" s="29" t="s">
        <v>535</v>
      </c>
      <c r="AC755" s="17"/>
      <c r="AD755" s="18"/>
      <c r="AE755" s="34"/>
      <c r="AF755" s="34"/>
      <c r="AG755" s="34"/>
      <c r="AH755" s="34"/>
      <c r="AI755" s="34"/>
      <c r="AJ755" s="18"/>
      <c r="AK755" s="34"/>
      <c r="AL755" s="34"/>
      <c r="AM755" s="34"/>
      <c r="AN755" s="34"/>
      <c r="AO755" s="34"/>
      <c r="AP755" s="34"/>
      <c r="AQ755" s="18"/>
      <c r="AR755" s="18"/>
      <c r="AS755" s="18"/>
      <c r="AT755" s="31"/>
      <c r="AU755" s="18"/>
      <c r="AV755" s="34"/>
      <c r="AW755" s="34"/>
      <c r="AX755" s="18"/>
    </row>
    <row r="756" spans="1:50" x14ac:dyDescent="0.2">
      <c r="A756" s="4" t="s">
        <v>55</v>
      </c>
      <c r="B756" s="4" t="s">
        <v>56</v>
      </c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1" t="s">
        <v>536</v>
      </c>
      <c r="AB756" s="42" t="s">
        <v>233</v>
      </c>
      <c r="AC756" s="43" t="s">
        <v>58</v>
      </c>
      <c r="AD756" s="43">
        <v>246000000</v>
      </c>
      <c r="AE756" s="44">
        <v>0</v>
      </c>
      <c r="AF756" s="44">
        <v>0</v>
      </c>
      <c r="AG756" s="43">
        <v>200000000</v>
      </c>
      <c r="AH756" s="44">
        <v>0</v>
      </c>
      <c r="AI756" s="43">
        <f>AE756-AF756+AG756-AH756</f>
        <v>200000000</v>
      </c>
      <c r="AJ756" s="43">
        <f>AD756+AI756</f>
        <v>446000000</v>
      </c>
      <c r="AK756" s="44">
        <v>0</v>
      </c>
      <c r="AL756" s="44">
        <f>AM756-JULIO!AM713</f>
        <v>0</v>
      </c>
      <c r="AM756" s="43">
        <v>446000000</v>
      </c>
      <c r="AN756" s="44">
        <v>0</v>
      </c>
      <c r="AO756" s="44">
        <v>0</v>
      </c>
      <c r="AP756" s="43">
        <v>446000000</v>
      </c>
      <c r="AQ756" s="44">
        <v>0</v>
      </c>
      <c r="AR756" s="43">
        <v>248180561.81999999</v>
      </c>
      <c r="AS756" s="43">
        <v>370887097.57999998</v>
      </c>
      <c r="AT756" s="39">
        <f t="shared" ref="AT756:AT760" si="323">AQ756+AS756</f>
        <v>370887097.57999998</v>
      </c>
      <c r="AU756" s="18">
        <f>AJ756-AM756</f>
        <v>0</v>
      </c>
      <c r="AV756" s="34">
        <f>AM756-AP756</f>
        <v>0</v>
      </c>
      <c r="AW756" s="18">
        <f>AP756-AT756</f>
        <v>75112902.420000017</v>
      </c>
      <c r="AX756" s="123">
        <f>AP756/AJ756</f>
        <v>1</v>
      </c>
    </row>
    <row r="757" spans="1:50" x14ac:dyDescent="0.2">
      <c r="A757" s="4" t="s">
        <v>55</v>
      </c>
      <c r="B757" s="4" t="s">
        <v>56</v>
      </c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1" t="s">
        <v>537</v>
      </c>
      <c r="AB757" s="42" t="s">
        <v>538</v>
      </c>
      <c r="AC757" s="43" t="s">
        <v>253</v>
      </c>
      <c r="AD757" s="43">
        <v>603350727</v>
      </c>
      <c r="AE757" s="44">
        <v>0</v>
      </c>
      <c r="AF757" s="44">
        <v>0</v>
      </c>
      <c r="AG757" s="44">
        <v>0</v>
      </c>
      <c r="AH757" s="44">
        <v>0</v>
      </c>
      <c r="AI757" s="44">
        <v>0</v>
      </c>
      <c r="AJ757" s="43">
        <v>603350727</v>
      </c>
      <c r="AK757" s="44">
        <v>0</v>
      </c>
      <c r="AL757" s="44">
        <f>AM757-JULIO!AM714</f>
        <v>0</v>
      </c>
      <c r="AM757" s="43">
        <v>603350726</v>
      </c>
      <c r="AN757" s="44">
        <v>0</v>
      </c>
      <c r="AO757" s="44">
        <v>0</v>
      </c>
      <c r="AP757" s="43">
        <v>603350726</v>
      </c>
      <c r="AQ757" s="44">
        <v>0</v>
      </c>
      <c r="AR757" s="43">
        <v>223836652.68000001</v>
      </c>
      <c r="AS757" s="43">
        <v>223836652.68000001</v>
      </c>
      <c r="AT757" s="40">
        <f t="shared" si="323"/>
        <v>223836652.68000001</v>
      </c>
      <c r="AU757" s="18">
        <f>AJ757-AM757</f>
        <v>1</v>
      </c>
      <c r="AV757" s="34">
        <f>AM757-AP757</f>
        <v>0</v>
      </c>
      <c r="AW757" s="18">
        <f>AP757-AT757</f>
        <v>379514073.31999999</v>
      </c>
      <c r="AX757" s="123">
        <f>AP757/AJ757</f>
        <v>0.99999999834258924</v>
      </c>
    </row>
    <row r="758" spans="1:50" ht="25.5" x14ac:dyDescent="0.2">
      <c r="A758" s="4" t="s">
        <v>55</v>
      </c>
      <c r="B758" s="4" t="s">
        <v>56</v>
      </c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1" t="s">
        <v>539</v>
      </c>
      <c r="AB758" s="42" t="s">
        <v>540</v>
      </c>
      <c r="AC758" s="43" t="s">
        <v>253</v>
      </c>
      <c r="AD758" s="43">
        <v>850649274</v>
      </c>
      <c r="AE758" s="44">
        <v>0</v>
      </c>
      <c r="AF758" s="44">
        <v>0</v>
      </c>
      <c r="AG758" s="44">
        <v>0</v>
      </c>
      <c r="AH758" s="44">
        <v>0</v>
      </c>
      <c r="AI758" s="44">
        <v>0</v>
      </c>
      <c r="AJ758" s="43">
        <v>850649274</v>
      </c>
      <c r="AK758" s="44">
        <v>0</v>
      </c>
      <c r="AL758" s="44">
        <f>AM758-JULIO!AM715</f>
        <v>0</v>
      </c>
      <c r="AM758" s="43">
        <v>369641575.10000002</v>
      </c>
      <c r="AN758" s="44">
        <v>0</v>
      </c>
      <c r="AO758" s="44">
        <v>0</v>
      </c>
      <c r="AP758" s="43">
        <v>369641575.10000002</v>
      </c>
      <c r="AQ758" s="44">
        <v>0</v>
      </c>
      <c r="AR758" s="43">
        <v>0</v>
      </c>
      <c r="AS758" s="43">
        <v>113791210.2</v>
      </c>
      <c r="AT758" s="39">
        <f t="shared" si="323"/>
        <v>113791210.2</v>
      </c>
      <c r="AU758" s="18">
        <f>AJ758-AM758</f>
        <v>481007698.89999998</v>
      </c>
      <c r="AV758" s="18">
        <f>AM758-AP758</f>
        <v>0</v>
      </c>
      <c r="AW758" s="18">
        <f>AP758-AT758</f>
        <v>255850364.90000004</v>
      </c>
      <c r="AX758" s="123">
        <f>AP758/AJ758</f>
        <v>0.43454051675355926</v>
      </c>
    </row>
    <row r="759" spans="1:50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1" t="s">
        <v>1087</v>
      </c>
      <c r="AB759" s="42" t="s">
        <v>1015</v>
      </c>
      <c r="AC759" s="43"/>
      <c r="AD759" s="44">
        <v>0</v>
      </c>
      <c r="AE759" s="43">
        <v>800000000</v>
      </c>
      <c r="AF759" s="44">
        <v>0</v>
      </c>
      <c r="AG759" s="44">
        <v>0</v>
      </c>
      <c r="AH759" s="43">
        <v>166521000</v>
      </c>
      <c r="AI759" s="43">
        <f>AE759-AF759+AG759-AH759</f>
        <v>633479000</v>
      </c>
      <c r="AJ759" s="43">
        <f>AD759+AI759</f>
        <v>633479000</v>
      </c>
      <c r="AK759" s="44">
        <v>0</v>
      </c>
      <c r="AL759" s="43">
        <v>633396745</v>
      </c>
      <c r="AM759" s="43">
        <v>633396745</v>
      </c>
      <c r="AN759" s="44">
        <v>0</v>
      </c>
      <c r="AO759" s="44">
        <v>0</v>
      </c>
      <c r="AP759" s="44">
        <v>0</v>
      </c>
      <c r="AQ759" s="44">
        <v>0</v>
      </c>
      <c r="AR759" s="44">
        <v>0</v>
      </c>
      <c r="AS759" s="44">
        <v>0</v>
      </c>
      <c r="AT759" s="40">
        <f t="shared" si="323"/>
        <v>0</v>
      </c>
      <c r="AU759" s="18">
        <f>AJ759-AM759</f>
        <v>82255</v>
      </c>
      <c r="AV759" s="18">
        <f>AM759-AP759</f>
        <v>633396745</v>
      </c>
      <c r="AW759" s="34">
        <f>AP759-AT759</f>
        <v>0</v>
      </c>
      <c r="AX759" s="123">
        <f>AP759/AJ759</f>
        <v>0</v>
      </c>
    </row>
    <row r="760" spans="1:50" ht="25.5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1" t="s">
        <v>1323</v>
      </c>
      <c r="AB760" s="42" t="s">
        <v>1324</v>
      </c>
      <c r="AC760" s="43"/>
      <c r="AD760" s="44">
        <v>0</v>
      </c>
      <c r="AE760" s="43">
        <v>0</v>
      </c>
      <c r="AF760" s="44">
        <v>0</v>
      </c>
      <c r="AG760" s="43">
        <v>443349582</v>
      </c>
      <c r="AH760" s="43">
        <v>0</v>
      </c>
      <c r="AI760" s="43">
        <f>AE760-AF760+AG760-AH760</f>
        <v>443349582</v>
      </c>
      <c r="AJ760" s="43">
        <f>AD760+AI760</f>
        <v>443349582</v>
      </c>
      <c r="AK760" s="44">
        <v>0</v>
      </c>
      <c r="AL760" s="44">
        <f>AM760-JULIO!AM717</f>
        <v>0</v>
      </c>
      <c r="AM760" s="43">
        <v>0</v>
      </c>
      <c r="AN760" s="44">
        <v>0</v>
      </c>
      <c r="AO760" s="44">
        <v>0</v>
      </c>
      <c r="AP760" s="44">
        <v>0</v>
      </c>
      <c r="AQ760" s="44">
        <v>0</v>
      </c>
      <c r="AR760" s="44">
        <v>0</v>
      </c>
      <c r="AS760" s="44">
        <v>0</v>
      </c>
      <c r="AT760" s="40">
        <f t="shared" si="323"/>
        <v>0</v>
      </c>
      <c r="AU760" s="18">
        <f>AJ760-AM760</f>
        <v>443349582</v>
      </c>
      <c r="AV760" s="34">
        <f>AM760-AP760</f>
        <v>0</v>
      </c>
      <c r="AW760" s="34">
        <f>AP760-AT760</f>
        <v>0</v>
      </c>
      <c r="AX760" s="123">
        <f>AP760/AJ760</f>
        <v>0</v>
      </c>
    </row>
    <row r="761" spans="1:50" ht="25.5" customHeight="1" x14ac:dyDescent="0.2">
      <c r="AA761" s="41"/>
      <c r="AB761" s="29" t="s">
        <v>1309</v>
      </c>
      <c r="AC761" s="17"/>
      <c r="AD761" s="34"/>
      <c r="AE761" s="34"/>
      <c r="AF761" s="34"/>
      <c r="AG761" s="18"/>
      <c r="AH761" s="34"/>
      <c r="AI761" s="43"/>
      <c r="AJ761" s="43"/>
      <c r="AK761" s="18"/>
      <c r="AL761" s="18"/>
      <c r="AM761" s="18"/>
      <c r="AN761" s="18"/>
      <c r="AO761" s="18"/>
      <c r="AP761" s="18"/>
      <c r="AQ761" s="18"/>
      <c r="AR761" s="18"/>
      <c r="AS761" s="18"/>
      <c r="AT761" s="40"/>
      <c r="AU761" s="18"/>
      <c r="AV761" s="34"/>
      <c r="AW761" s="34"/>
      <c r="AX761" s="123"/>
    </row>
    <row r="762" spans="1:50" ht="18.75" customHeight="1" x14ac:dyDescent="0.2">
      <c r="AA762" s="41" t="s">
        <v>1310</v>
      </c>
      <c r="AB762" s="38" t="s">
        <v>1015</v>
      </c>
      <c r="AC762" s="17"/>
      <c r="AD762" s="34">
        <v>0</v>
      </c>
      <c r="AE762" s="34"/>
      <c r="AF762" s="34"/>
      <c r="AG762" s="18">
        <v>50521000</v>
      </c>
      <c r="AH762" s="34">
        <v>0</v>
      </c>
      <c r="AI762" s="43">
        <f t="shared" ref="AI762:AI763" si="324">AE762-AF762+AG762-AH762</f>
        <v>50521000</v>
      </c>
      <c r="AJ762" s="43">
        <f t="shared" ref="AJ762:AJ763" si="325">AD762+AI762</f>
        <v>50521000</v>
      </c>
      <c r="AK762" s="44">
        <v>0</v>
      </c>
      <c r="AL762" s="43">
        <v>43784325</v>
      </c>
      <c r="AM762" s="43">
        <v>43784325</v>
      </c>
      <c r="AN762" s="44">
        <v>0</v>
      </c>
      <c r="AO762" s="44">
        <v>0</v>
      </c>
      <c r="AP762" s="44">
        <v>0</v>
      </c>
      <c r="AQ762" s="44">
        <v>0</v>
      </c>
      <c r="AR762" s="44">
        <v>0</v>
      </c>
      <c r="AS762" s="34">
        <v>0</v>
      </c>
      <c r="AT762" s="40">
        <f t="shared" ref="AT762:AT763" si="326">AQ762+AS762</f>
        <v>0</v>
      </c>
      <c r="AU762" s="18">
        <f t="shared" ref="AU762:AU763" si="327">AJ762-AM762</f>
        <v>6736675</v>
      </c>
      <c r="AV762" s="18">
        <f t="shared" ref="AV762:AV763" si="328">AM762-AP762</f>
        <v>43784325</v>
      </c>
      <c r="AW762" s="34">
        <f t="shared" ref="AW762:AW763" si="329">AP762-AT762</f>
        <v>0</v>
      </c>
      <c r="AX762" s="123">
        <f t="shared" ref="AX762:AX763" si="330">AP762/AJ762</f>
        <v>0</v>
      </c>
    </row>
    <row r="763" spans="1:50" ht="28.5" customHeight="1" x14ac:dyDescent="0.2">
      <c r="AA763" s="41" t="s">
        <v>1311</v>
      </c>
      <c r="AB763" s="251" t="s">
        <v>1312</v>
      </c>
      <c r="AC763" s="17"/>
      <c r="AD763" s="34">
        <v>0</v>
      </c>
      <c r="AE763" s="34"/>
      <c r="AF763" s="34"/>
      <c r="AG763" s="18">
        <v>18479000</v>
      </c>
      <c r="AH763" s="34"/>
      <c r="AI763" s="43">
        <f t="shared" si="324"/>
        <v>18479000</v>
      </c>
      <c r="AJ763" s="43">
        <f t="shared" si="325"/>
        <v>18479000</v>
      </c>
      <c r="AK763" s="44">
        <v>0</v>
      </c>
      <c r="AL763" s="43">
        <v>18383120</v>
      </c>
      <c r="AM763" s="43">
        <v>18383120</v>
      </c>
      <c r="AN763" s="44">
        <v>0</v>
      </c>
      <c r="AO763" s="44">
        <v>0</v>
      </c>
      <c r="AP763" s="44">
        <v>0</v>
      </c>
      <c r="AQ763" s="44">
        <v>0</v>
      </c>
      <c r="AR763" s="44">
        <v>0</v>
      </c>
      <c r="AS763" s="34">
        <v>0</v>
      </c>
      <c r="AT763" s="40">
        <f t="shared" si="326"/>
        <v>0</v>
      </c>
      <c r="AU763" s="18">
        <f t="shared" si="327"/>
        <v>95880</v>
      </c>
      <c r="AV763" s="18">
        <f t="shared" si="328"/>
        <v>18383120</v>
      </c>
      <c r="AW763" s="34">
        <f t="shared" si="329"/>
        <v>0</v>
      </c>
      <c r="AX763" s="123">
        <f t="shared" si="330"/>
        <v>0</v>
      </c>
    </row>
    <row r="764" spans="1:50" x14ac:dyDescent="0.2">
      <c r="AA764" s="41"/>
      <c r="AB764" s="29" t="s">
        <v>1313</v>
      </c>
      <c r="AC764" s="17"/>
      <c r="AD764" s="34"/>
      <c r="AE764" s="34"/>
      <c r="AF764" s="34"/>
      <c r="AG764" s="18"/>
      <c r="AH764" s="34"/>
      <c r="AI764" s="43"/>
      <c r="AJ764" s="43"/>
      <c r="AK764" s="18"/>
      <c r="AL764" s="18"/>
      <c r="AM764" s="18"/>
      <c r="AN764" s="18"/>
      <c r="AO764" s="18"/>
      <c r="AP764" s="18"/>
      <c r="AQ764" s="18"/>
      <c r="AR764" s="18"/>
      <c r="AS764" s="34"/>
      <c r="AT764" s="40"/>
      <c r="AU764" s="18"/>
      <c r="AV764" s="34"/>
      <c r="AW764" s="34"/>
      <c r="AX764" s="123"/>
    </row>
    <row r="765" spans="1:50" ht="28.5" customHeight="1" x14ac:dyDescent="0.2">
      <c r="AA765" s="41" t="s">
        <v>1314</v>
      </c>
      <c r="AB765" s="251" t="s">
        <v>1312</v>
      </c>
      <c r="AC765" s="17"/>
      <c r="AD765" s="34">
        <v>0</v>
      </c>
      <c r="AE765" s="34"/>
      <c r="AF765" s="34"/>
      <c r="AG765" s="18">
        <v>25000000</v>
      </c>
      <c r="AH765" s="34"/>
      <c r="AI765" s="43">
        <f t="shared" ref="AI765" si="331">AE765-AF765+AG765-AH765</f>
        <v>25000000</v>
      </c>
      <c r="AJ765" s="43">
        <f t="shared" ref="AJ765" si="332">AD765+AI765</f>
        <v>25000000</v>
      </c>
      <c r="AK765" s="34">
        <v>0</v>
      </c>
      <c r="AL765" s="18">
        <v>23821836</v>
      </c>
      <c r="AM765" s="18">
        <v>23821836</v>
      </c>
      <c r="AN765" s="34">
        <v>0</v>
      </c>
      <c r="AO765" s="34">
        <v>0</v>
      </c>
      <c r="AP765" s="34">
        <v>0</v>
      </c>
      <c r="AQ765" s="34">
        <v>0</v>
      </c>
      <c r="AR765" s="34">
        <v>0</v>
      </c>
      <c r="AS765" s="34">
        <v>0</v>
      </c>
      <c r="AT765" s="40">
        <f t="shared" ref="AT765" si="333">AQ765+AS765</f>
        <v>0</v>
      </c>
      <c r="AU765" s="18">
        <f t="shared" ref="AU765" si="334">AJ765-AM765</f>
        <v>1178164</v>
      </c>
      <c r="AV765" s="18">
        <f t="shared" ref="AV765" si="335">AM765-AP765</f>
        <v>23821836</v>
      </c>
      <c r="AW765" s="34">
        <f t="shared" ref="AW765" si="336">AP765-AT765</f>
        <v>0</v>
      </c>
      <c r="AX765" s="123">
        <f t="shared" ref="AX765" si="337">AP765/AJ765</f>
        <v>0</v>
      </c>
    </row>
    <row r="766" spans="1:50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1"/>
      <c r="AB766" s="42"/>
      <c r="AC766" s="43"/>
      <c r="AD766" s="44"/>
      <c r="AE766" s="43"/>
      <c r="AF766" s="44"/>
      <c r="AG766" s="44"/>
      <c r="AH766" s="43"/>
      <c r="AI766" s="43"/>
      <c r="AJ766" s="43"/>
      <c r="AK766" s="44"/>
      <c r="AL766" s="44"/>
      <c r="AM766" s="44"/>
      <c r="AN766" s="44"/>
      <c r="AO766" s="44"/>
      <c r="AP766" s="44"/>
      <c r="AQ766" s="44"/>
      <c r="AR766" s="44"/>
      <c r="AS766" s="44"/>
      <c r="AT766" s="40"/>
      <c r="AU766" s="18"/>
      <c r="AV766" s="34"/>
      <c r="AW766" s="34"/>
      <c r="AX766" s="123"/>
    </row>
    <row r="767" spans="1:50" ht="25.5" x14ac:dyDescent="0.2">
      <c r="AA767" s="73" t="s">
        <v>288</v>
      </c>
      <c r="AB767" s="74" t="s">
        <v>1222</v>
      </c>
      <c r="AC767" s="17"/>
      <c r="AD767" s="34"/>
      <c r="AE767" s="34"/>
      <c r="AF767" s="34"/>
      <c r="AG767" s="34"/>
      <c r="AH767" s="34"/>
      <c r="AI767" s="34"/>
      <c r="AJ767" s="18"/>
      <c r="AK767" s="34"/>
      <c r="AL767" s="34"/>
      <c r="AM767" s="34"/>
      <c r="AN767" s="34"/>
      <c r="AO767" s="34"/>
      <c r="AP767" s="34"/>
      <c r="AQ767" s="34"/>
      <c r="AR767" s="34"/>
      <c r="AS767" s="18"/>
      <c r="AT767" s="30"/>
      <c r="AU767" s="18"/>
      <c r="AV767" s="34"/>
      <c r="AW767" s="18"/>
      <c r="AX767" s="18"/>
    </row>
    <row r="768" spans="1:50" x14ac:dyDescent="0.2">
      <c r="AA768" s="41" t="s">
        <v>1223</v>
      </c>
      <c r="AB768" s="42" t="s">
        <v>961</v>
      </c>
      <c r="AC768" s="17"/>
      <c r="AD768" s="34">
        <v>0</v>
      </c>
      <c r="AE768" s="34">
        <v>0</v>
      </c>
      <c r="AF768" s="34">
        <v>0</v>
      </c>
      <c r="AG768" s="18">
        <v>115200000</v>
      </c>
      <c r="AH768" s="34">
        <v>0</v>
      </c>
      <c r="AI768" s="43">
        <f>AE768-AF768+AG768-AH768</f>
        <v>115200000</v>
      </c>
      <c r="AJ768" s="43">
        <f>AD768+AI768</f>
        <v>115200000</v>
      </c>
      <c r="AK768" s="34">
        <v>0</v>
      </c>
      <c r="AL768" s="18">
        <v>36114649</v>
      </c>
      <c r="AM768" s="18">
        <v>36114649</v>
      </c>
      <c r="AN768" s="34">
        <v>0</v>
      </c>
      <c r="AO768" s="34">
        <v>0</v>
      </c>
      <c r="AP768" s="34">
        <v>0</v>
      </c>
      <c r="AQ768" s="34">
        <v>0</v>
      </c>
      <c r="AR768" s="34">
        <v>0</v>
      </c>
      <c r="AS768" s="34">
        <v>0</v>
      </c>
      <c r="AT768" s="40">
        <f t="shared" ref="AT768" si="338">AQ768+AS768</f>
        <v>0</v>
      </c>
      <c r="AU768" s="18">
        <f>AJ768-AM768</f>
        <v>79085351</v>
      </c>
      <c r="AV768" s="18">
        <f>AM768-AP768</f>
        <v>36114649</v>
      </c>
      <c r="AW768" s="34">
        <f>AP768-AT768</f>
        <v>0</v>
      </c>
      <c r="AX768" s="123">
        <f>AP768/AJ768</f>
        <v>0</v>
      </c>
    </row>
    <row r="769" spans="1:50" ht="25.5" x14ac:dyDescent="0.2">
      <c r="AA769" s="41"/>
      <c r="AB769" s="74" t="s">
        <v>1326</v>
      </c>
      <c r="AC769" s="17"/>
      <c r="AD769" s="34"/>
      <c r="AE769" s="34"/>
      <c r="AF769" s="34"/>
      <c r="AG769" s="18"/>
      <c r="AH769" s="34"/>
      <c r="AI769" s="43"/>
      <c r="AJ769" s="43"/>
      <c r="AK769" s="34"/>
      <c r="AL769" s="34"/>
      <c r="AM769" s="34"/>
      <c r="AN769" s="34"/>
      <c r="AO769" s="34"/>
      <c r="AP769" s="34"/>
      <c r="AQ769" s="34"/>
      <c r="AR769" s="34"/>
      <c r="AS769" s="34"/>
      <c r="AT769" s="40"/>
      <c r="AU769" s="18"/>
      <c r="AV769" s="34"/>
      <c r="AW769" s="34"/>
      <c r="AX769" s="123"/>
    </row>
    <row r="770" spans="1:50" x14ac:dyDescent="0.2">
      <c r="AA770" s="73" t="s">
        <v>288</v>
      </c>
      <c r="AB770" s="74" t="s">
        <v>1327</v>
      </c>
      <c r="AC770" s="17"/>
      <c r="AD770" s="34"/>
      <c r="AE770" s="34"/>
      <c r="AF770" s="34"/>
      <c r="AG770" s="18"/>
      <c r="AH770" s="34"/>
      <c r="AI770" s="43"/>
      <c r="AJ770" s="43"/>
      <c r="AK770" s="34"/>
      <c r="AL770" s="34"/>
      <c r="AM770" s="34"/>
      <c r="AN770" s="34"/>
      <c r="AO770" s="34"/>
      <c r="AP770" s="34"/>
      <c r="AQ770" s="34"/>
      <c r="AR770" s="34"/>
      <c r="AS770" s="34"/>
      <c r="AT770" s="40"/>
      <c r="AU770" s="18"/>
      <c r="AV770" s="34"/>
      <c r="AW770" s="34"/>
      <c r="AX770" s="123"/>
    </row>
    <row r="771" spans="1:50" x14ac:dyDescent="0.2">
      <c r="AA771" s="41" t="s">
        <v>311</v>
      </c>
      <c r="AB771" s="42" t="s">
        <v>961</v>
      </c>
      <c r="AC771" s="17"/>
      <c r="AD771" s="34">
        <v>0</v>
      </c>
      <c r="AE771" s="34">
        <v>0</v>
      </c>
      <c r="AF771" s="34">
        <v>0</v>
      </c>
      <c r="AG771" s="18">
        <v>100000000</v>
      </c>
      <c r="AH771" s="34">
        <v>0</v>
      </c>
      <c r="AI771" s="43">
        <f>AE771-AF771+AG771-AH771</f>
        <v>100000000</v>
      </c>
      <c r="AJ771" s="142">
        <f>AD771+AI771</f>
        <v>100000000</v>
      </c>
      <c r="AK771" s="34">
        <v>0</v>
      </c>
      <c r="AL771" s="34">
        <v>0</v>
      </c>
      <c r="AM771" s="34">
        <v>0</v>
      </c>
      <c r="AN771" s="34">
        <v>0</v>
      </c>
      <c r="AO771" s="34">
        <v>0</v>
      </c>
      <c r="AP771" s="34">
        <v>0</v>
      </c>
      <c r="AQ771" s="34">
        <v>0</v>
      </c>
      <c r="AR771" s="34">
        <v>0</v>
      </c>
      <c r="AS771" s="34">
        <v>0</v>
      </c>
      <c r="AT771" s="40">
        <f t="shared" ref="AT771" si="339">AQ771+AS771</f>
        <v>0</v>
      </c>
      <c r="AU771" s="18">
        <f>AJ771-AM771</f>
        <v>100000000</v>
      </c>
      <c r="AV771" s="34">
        <f>AM771-AP771</f>
        <v>0</v>
      </c>
      <c r="AW771" s="34">
        <f>AP771-AT771</f>
        <v>0</v>
      </c>
      <c r="AX771" s="123">
        <f>AP771/AJ771</f>
        <v>0</v>
      </c>
    </row>
    <row r="772" spans="1:50" x14ac:dyDescent="0.2">
      <c r="AA772" s="16"/>
      <c r="AB772" s="29" t="s">
        <v>199</v>
      </c>
      <c r="AC772" s="17"/>
      <c r="AD772" s="18"/>
      <c r="AE772" s="34"/>
      <c r="AF772" s="34"/>
      <c r="AG772" s="34"/>
      <c r="AH772" s="34"/>
      <c r="AI772" s="34"/>
      <c r="AJ772" s="18"/>
      <c r="AK772" s="34"/>
      <c r="AL772" s="34"/>
      <c r="AM772" s="18"/>
      <c r="AN772" s="18"/>
      <c r="AO772" s="18"/>
      <c r="AP772" s="18"/>
      <c r="AQ772" s="18"/>
      <c r="AR772" s="18"/>
      <c r="AS772" s="18"/>
      <c r="AT772" s="30"/>
      <c r="AU772" s="18"/>
      <c r="AV772" s="34"/>
      <c r="AW772" s="18"/>
      <c r="AX772" s="18"/>
    </row>
    <row r="773" spans="1:50" ht="25.5" x14ac:dyDescent="0.2">
      <c r="AA773" s="28" t="s">
        <v>288</v>
      </c>
      <c r="AB773" s="29" t="s">
        <v>531</v>
      </c>
      <c r="AC773" s="17"/>
      <c r="AD773" s="18"/>
      <c r="AE773" s="34"/>
      <c r="AF773" s="34"/>
      <c r="AG773" s="34"/>
      <c r="AH773" s="34"/>
      <c r="AI773" s="34"/>
      <c r="AJ773" s="18"/>
      <c r="AK773" s="34"/>
      <c r="AL773" s="34"/>
      <c r="AM773" s="18"/>
      <c r="AN773" s="18"/>
      <c r="AO773" s="18"/>
      <c r="AP773" s="18"/>
      <c r="AQ773" s="18"/>
      <c r="AR773" s="18"/>
      <c r="AS773" s="18"/>
      <c r="AT773" s="30"/>
      <c r="AU773" s="18"/>
      <c r="AV773" s="34"/>
      <c r="AW773" s="18"/>
      <c r="AX773" s="18"/>
    </row>
    <row r="774" spans="1:50" x14ac:dyDescent="0.2">
      <c r="A774" s="4" t="s">
        <v>55</v>
      </c>
      <c r="B774" s="4" t="s">
        <v>56</v>
      </c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1" t="s">
        <v>541</v>
      </c>
      <c r="AB774" s="42" t="s">
        <v>233</v>
      </c>
      <c r="AC774" s="43" t="s">
        <v>58</v>
      </c>
      <c r="AD774" s="43">
        <v>190000000</v>
      </c>
      <c r="AE774" s="44">
        <v>0</v>
      </c>
      <c r="AF774" s="44">
        <v>0</v>
      </c>
      <c r="AG774" s="43">
        <v>37616996</v>
      </c>
      <c r="AH774" s="43">
        <v>60000000</v>
      </c>
      <c r="AI774" s="43">
        <f>AE774-AF774+AG774-AH774</f>
        <v>-22383004</v>
      </c>
      <c r="AJ774" s="43">
        <f>AD774+AI774</f>
        <v>167616996</v>
      </c>
      <c r="AK774" s="43">
        <v>0</v>
      </c>
      <c r="AL774" s="43">
        <v>54753333</v>
      </c>
      <c r="AM774" s="43">
        <v>151503333</v>
      </c>
      <c r="AN774" s="44">
        <v>0</v>
      </c>
      <c r="AO774" s="43">
        <v>8333333</v>
      </c>
      <c r="AP774" s="43">
        <v>96333333</v>
      </c>
      <c r="AQ774" s="43">
        <v>0</v>
      </c>
      <c r="AR774" s="43">
        <v>11000000</v>
      </c>
      <c r="AS774" s="43">
        <v>64433334</v>
      </c>
      <c r="AT774" s="39">
        <f t="shared" ref="AT774" si="340">AQ774+AS774</f>
        <v>64433334</v>
      </c>
      <c r="AU774" s="18">
        <f>AJ774-AM774</f>
        <v>16113663</v>
      </c>
      <c r="AV774" s="18">
        <f>AM774-AP774</f>
        <v>55170000</v>
      </c>
      <c r="AW774" s="18">
        <f>AP774-AT774</f>
        <v>31899999</v>
      </c>
      <c r="AX774" s="123">
        <f>AP774/AJ774</f>
        <v>0.57472294158045878</v>
      </c>
    </row>
    <row r="775" spans="1:50" ht="38.25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73" t="s">
        <v>288</v>
      </c>
      <c r="AB775" s="74" t="s">
        <v>1371</v>
      </c>
      <c r="AC775" s="43"/>
      <c r="AD775" s="43"/>
      <c r="AE775" s="44"/>
      <c r="AF775" s="44"/>
      <c r="AG775" s="43"/>
      <c r="AH775" s="43"/>
      <c r="AI775" s="43"/>
      <c r="AJ775" s="43"/>
      <c r="AK775" s="43"/>
      <c r="AL775" s="43"/>
      <c r="AM775" s="43"/>
      <c r="AN775" s="44"/>
      <c r="AO775" s="44"/>
      <c r="AP775" s="43"/>
      <c r="AQ775" s="43"/>
      <c r="AR775" s="43"/>
      <c r="AS775" s="43"/>
      <c r="AT775" s="39"/>
      <c r="AU775" s="18"/>
      <c r="AV775" s="18"/>
      <c r="AW775" s="18"/>
      <c r="AX775" s="123"/>
    </row>
    <row r="776" spans="1:50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1" t="s">
        <v>913</v>
      </c>
      <c r="AB776" s="42" t="s">
        <v>233</v>
      </c>
      <c r="AC776" s="43"/>
      <c r="AD776" s="43">
        <v>0</v>
      </c>
      <c r="AE776" s="44">
        <v>0</v>
      </c>
      <c r="AF776" s="44">
        <v>0</v>
      </c>
      <c r="AG776" s="43">
        <v>60000000</v>
      </c>
      <c r="AH776" s="43"/>
      <c r="AI776" s="43">
        <f>AE776-AF776+AG776-AH776</f>
        <v>60000000</v>
      </c>
      <c r="AJ776" s="43">
        <f>AD776+AI776</f>
        <v>60000000</v>
      </c>
      <c r="AK776" s="44">
        <v>0</v>
      </c>
      <c r="AL776" s="44">
        <v>0</v>
      </c>
      <c r="AM776" s="44">
        <v>0</v>
      </c>
      <c r="AN776" s="44">
        <v>0</v>
      </c>
      <c r="AO776" s="44">
        <v>0</v>
      </c>
      <c r="AP776" s="44">
        <v>0</v>
      </c>
      <c r="AQ776" s="44">
        <v>0</v>
      </c>
      <c r="AR776" s="44">
        <v>0</v>
      </c>
      <c r="AS776" s="44">
        <v>0</v>
      </c>
      <c r="AT776" s="40">
        <v>0</v>
      </c>
      <c r="AU776" s="18">
        <f t="shared" ref="AU776:AU777" si="341">AJ776-AM776</f>
        <v>60000000</v>
      </c>
      <c r="AV776" s="34">
        <f t="shared" ref="AV776:AV777" si="342">AM776-AP776</f>
        <v>0</v>
      </c>
      <c r="AW776" s="34">
        <f t="shared" ref="AW776:AW777" si="343">AP776-AT776</f>
        <v>0</v>
      </c>
      <c r="AX776" s="123">
        <f t="shared" ref="AX776:AX777" si="344">AP776/AJ776</f>
        <v>0</v>
      </c>
    </row>
    <row r="777" spans="1:50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1" t="s">
        <v>1286</v>
      </c>
      <c r="AB777" s="42" t="s">
        <v>1015</v>
      </c>
      <c r="AC777" s="43"/>
      <c r="AD777" s="43"/>
      <c r="AE777" s="44"/>
      <c r="AF777" s="44"/>
      <c r="AG777" s="43">
        <v>15000000</v>
      </c>
      <c r="AH777" s="43">
        <v>0</v>
      </c>
      <c r="AI777" s="43">
        <f>AE777-AF777+AG777-AH777</f>
        <v>15000000</v>
      </c>
      <c r="AJ777" s="43">
        <f>AD777+AI777</f>
        <v>15000000</v>
      </c>
      <c r="AK777" s="44">
        <v>0</v>
      </c>
      <c r="AL777" s="44">
        <v>0</v>
      </c>
      <c r="AM777" s="44">
        <v>0</v>
      </c>
      <c r="AN777" s="44">
        <v>0</v>
      </c>
      <c r="AO777" s="44">
        <v>0</v>
      </c>
      <c r="AP777" s="44">
        <v>0</v>
      </c>
      <c r="AQ777" s="44">
        <v>0</v>
      </c>
      <c r="AR777" s="44">
        <v>0</v>
      </c>
      <c r="AS777" s="44">
        <v>0</v>
      </c>
      <c r="AT777" s="40">
        <f t="shared" ref="AT777" si="345">AQ777+AS777</f>
        <v>0</v>
      </c>
      <c r="AU777" s="18">
        <f t="shared" si="341"/>
        <v>15000000</v>
      </c>
      <c r="AV777" s="34">
        <f t="shared" si="342"/>
        <v>0</v>
      </c>
      <c r="AW777" s="34">
        <f t="shared" si="343"/>
        <v>0</v>
      </c>
      <c r="AX777" s="123">
        <f t="shared" si="344"/>
        <v>0</v>
      </c>
    </row>
    <row r="778" spans="1:50" x14ac:dyDescent="0.2">
      <c r="AA778" s="28" t="s">
        <v>288</v>
      </c>
      <c r="AB778" s="29" t="s">
        <v>542</v>
      </c>
      <c r="AC778" s="17"/>
      <c r="AD778" s="18"/>
      <c r="AE778" s="34"/>
      <c r="AF778" s="34"/>
      <c r="AG778" s="34"/>
      <c r="AH778" s="34"/>
      <c r="AI778" s="34"/>
      <c r="AJ778" s="18"/>
      <c r="AK778" s="34"/>
      <c r="AL778" s="34"/>
      <c r="AM778" s="34"/>
      <c r="AN778" s="34"/>
      <c r="AO778" s="34"/>
      <c r="AP778" s="34"/>
      <c r="AQ778" s="34"/>
      <c r="AR778" s="34"/>
      <c r="AS778" s="34"/>
      <c r="AT778" s="31"/>
      <c r="AU778" s="18"/>
      <c r="AV778" s="34"/>
      <c r="AW778" s="34"/>
      <c r="AX778" s="18"/>
    </row>
    <row r="779" spans="1:50" x14ac:dyDescent="0.2">
      <c r="A779" s="4" t="s">
        <v>55</v>
      </c>
      <c r="B779" s="4" t="s">
        <v>56</v>
      </c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1" t="s">
        <v>543</v>
      </c>
      <c r="AB779" s="42" t="s">
        <v>233</v>
      </c>
      <c r="AC779" s="43" t="s">
        <v>58</v>
      </c>
      <c r="AD779" s="43">
        <v>229000000</v>
      </c>
      <c r="AE779" s="44">
        <v>0</v>
      </c>
      <c r="AF779" s="44">
        <v>0</v>
      </c>
      <c r="AG779" s="44">
        <v>0</v>
      </c>
      <c r="AH779" s="43">
        <v>229000000</v>
      </c>
      <c r="AI779" s="43">
        <f>AE779-AF779+AG779-AH779</f>
        <v>-229000000</v>
      </c>
      <c r="AJ779" s="43">
        <f>AD779+AI779</f>
        <v>0</v>
      </c>
      <c r="AK779" s="44">
        <v>0</v>
      </c>
      <c r="AL779" s="44">
        <v>0</v>
      </c>
      <c r="AM779" s="44">
        <v>0</v>
      </c>
      <c r="AN779" s="44">
        <v>0</v>
      </c>
      <c r="AO779" s="44">
        <v>0</v>
      </c>
      <c r="AP779" s="44">
        <v>0</v>
      </c>
      <c r="AQ779" s="44">
        <v>0</v>
      </c>
      <c r="AR779" s="44">
        <v>0</v>
      </c>
      <c r="AS779" s="44">
        <v>0</v>
      </c>
      <c r="AT779" s="40">
        <f t="shared" ref="AT779" si="346">AQ779+AS779</f>
        <v>0</v>
      </c>
      <c r="AU779" s="34">
        <f>AJ779-AM779</f>
        <v>0</v>
      </c>
      <c r="AV779" s="34">
        <f>AM779-AP779</f>
        <v>0</v>
      </c>
      <c r="AW779" s="34">
        <f>AP779-AT779</f>
        <v>0</v>
      </c>
      <c r="AX779" s="123">
        <v>0</v>
      </c>
    </row>
    <row r="780" spans="1:50" ht="25.5" x14ac:dyDescent="0.2">
      <c r="AA780" s="28" t="s">
        <v>288</v>
      </c>
      <c r="AB780" s="29" t="s">
        <v>544</v>
      </c>
      <c r="AC780" s="17"/>
      <c r="AD780" s="18"/>
      <c r="AE780" s="34"/>
      <c r="AF780" s="34"/>
      <c r="AG780" s="34"/>
      <c r="AH780" s="34"/>
      <c r="AI780" s="34"/>
      <c r="AJ780" s="18"/>
      <c r="AK780" s="34"/>
      <c r="AL780" s="34"/>
      <c r="AM780" s="34"/>
      <c r="AN780" s="34"/>
      <c r="AO780" s="34"/>
      <c r="AP780" s="34"/>
      <c r="AQ780" s="34"/>
      <c r="AR780" s="34"/>
      <c r="AS780" s="34"/>
      <c r="AT780" s="31"/>
      <c r="AU780" s="34"/>
      <c r="AV780" s="34"/>
      <c r="AW780" s="34"/>
      <c r="AX780" s="18"/>
    </row>
    <row r="781" spans="1:50" x14ac:dyDescent="0.2">
      <c r="A781" s="4" t="s">
        <v>55</v>
      </c>
      <c r="B781" s="4" t="s">
        <v>56</v>
      </c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1" t="s">
        <v>545</v>
      </c>
      <c r="AB781" s="42" t="s">
        <v>233</v>
      </c>
      <c r="AC781" s="43" t="s">
        <v>58</v>
      </c>
      <c r="AD781" s="43">
        <v>150000000</v>
      </c>
      <c r="AE781" s="44">
        <v>0</v>
      </c>
      <c r="AF781" s="44">
        <v>0</v>
      </c>
      <c r="AG781" s="44">
        <v>0</v>
      </c>
      <c r="AH781" s="44">
        <v>0</v>
      </c>
      <c r="AI781" s="44">
        <v>0</v>
      </c>
      <c r="AJ781" s="43">
        <v>150000000</v>
      </c>
      <c r="AK781" s="44">
        <v>0</v>
      </c>
      <c r="AL781" s="44">
        <v>0</v>
      </c>
      <c r="AM781" s="43">
        <v>150000000</v>
      </c>
      <c r="AN781" s="44">
        <v>0</v>
      </c>
      <c r="AO781" s="44">
        <v>0</v>
      </c>
      <c r="AP781" s="43">
        <v>150000000</v>
      </c>
      <c r="AQ781" s="43">
        <v>54933570</v>
      </c>
      <c r="AR781" s="43">
        <v>0</v>
      </c>
      <c r="AS781" s="43">
        <v>95066430</v>
      </c>
      <c r="AT781" s="39">
        <f t="shared" ref="AT781" si="347">AQ781+AS781</f>
        <v>150000000</v>
      </c>
      <c r="AU781" s="34">
        <f>AJ781-AM781</f>
        <v>0</v>
      </c>
      <c r="AV781" s="34">
        <f>AM781-AP781</f>
        <v>0</v>
      </c>
      <c r="AW781" s="34">
        <f>AP781-AT781</f>
        <v>0</v>
      </c>
      <c r="AX781" s="123">
        <f>AP781/AJ781</f>
        <v>1</v>
      </c>
    </row>
    <row r="782" spans="1:50" ht="38.25" x14ac:dyDescent="0.2">
      <c r="AA782" s="28" t="s">
        <v>288</v>
      </c>
      <c r="AB782" s="29" t="s">
        <v>546</v>
      </c>
      <c r="AC782" s="17"/>
      <c r="AD782" s="18"/>
      <c r="AE782" s="34"/>
      <c r="AF782" s="34"/>
      <c r="AG782" s="34"/>
      <c r="AH782" s="34"/>
      <c r="AI782" s="34"/>
      <c r="AJ782" s="18"/>
      <c r="AK782" s="34"/>
      <c r="AL782" s="34"/>
      <c r="AM782" s="18"/>
      <c r="AN782" s="18"/>
      <c r="AO782" s="18"/>
      <c r="AP782" s="18"/>
      <c r="AQ782" s="18"/>
      <c r="AR782" s="18"/>
      <c r="AS782" s="18"/>
      <c r="AT782" s="30"/>
      <c r="AU782" s="18"/>
      <c r="AV782" s="18"/>
      <c r="AW782" s="18"/>
      <c r="AX782" s="18"/>
    </row>
    <row r="783" spans="1:50" x14ac:dyDescent="0.2">
      <c r="A783" s="4" t="s">
        <v>55</v>
      </c>
      <c r="B783" s="4" t="s">
        <v>56</v>
      </c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1" t="s">
        <v>547</v>
      </c>
      <c r="AB783" s="42" t="s">
        <v>233</v>
      </c>
      <c r="AC783" s="43" t="s">
        <v>58</v>
      </c>
      <c r="AD783" s="43">
        <v>80000000</v>
      </c>
      <c r="AE783" s="44">
        <v>0</v>
      </c>
      <c r="AF783" s="44">
        <v>0</v>
      </c>
      <c r="AG783" s="44">
        <v>0</v>
      </c>
      <c r="AH783" s="44">
        <v>0</v>
      </c>
      <c r="AI783" s="44">
        <v>0</v>
      </c>
      <c r="AJ783" s="43">
        <v>80000000</v>
      </c>
      <c r="AK783" s="44">
        <v>0</v>
      </c>
      <c r="AL783" s="44">
        <v>0</v>
      </c>
      <c r="AM783" s="43">
        <v>80000000</v>
      </c>
      <c r="AN783" s="44">
        <v>0</v>
      </c>
      <c r="AO783" s="44">
        <v>0</v>
      </c>
      <c r="AP783" s="110">
        <v>80000000</v>
      </c>
      <c r="AQ783" s="18">
        <v>3500000</v>
      </c>
      <c r="AR783" s="18">
        <v>8500000</v>
      </c>
      <c r="AS783" s="18">
        <v>63166666</v>
      </c>
      <c r="AT783" s="39">
        <f t="shared" ref="AT783:AT818" si="348">AQ783+AS783</f>
        <v>66666666</v>
      </c>
      <c r="AU783" s="34">
        <f>AJ783-AM783</f>
        <v>0</v>
      </c>
      <c r="AV783" s="34">
        <f>AM783-AP783</f>
        <v>0</v>
      </c>
      <c r="AW783" s="18">
        <f>AP783-AT783</f>
        <v>13333334</v>
      </c>
      <c r="AX783" s="123">
        <f>AP783/AJ783</f>
        <v>1</v>
      </c>
    </row>
    <row r="784" spans="1:50" ht="38.25" x14ac:dyDescent="0.2">
      <c r="AA784" s="28" t="s">
        <v>288</v>
      </c>
      <c r="AB784" s="29" t="s">
        <v>548</v>
      </c>
      <c r="AC784" s="17"/>
      <c r="AD784" s="18"/>
      <c r="AE784" s="34"/>
      <c r="AF784" s="34"/>
      <c r="AG784" s="34"/>
      <c r="AH784" s="34"/>
      <c r="AI784" s="34"/>
      <c r="AJ784" s="18"/>
      <c r="AK784" s="18"/>
      <c r="AL784" s="34"/>
      <c r="AM784" s="18"/>
      <c r="AN784" s="18"/>
      <c r="AO784" s="18"/>
      <c r="AP784" s="34"/>
      <c r="AQ784" s="34"/>
      <c r="AR784" s="34"/>
      <c r="AS784" s="34"/>
      <c r="AT784" s="40"/>
      <c r="AU784" s="18"/>
      <c r="AV784" s="18"/>
      <c r="AW784" s="18"/>
      <c r="AX784" s="18"/>
    </row>
    <row r="785" spans="1:50" x14ac:dyDescent="0.2">
      <c r="A785" s="4" t="s">
        <v>55</v>
      </c>
      <c r="B785" s="4" t="s">
        <v>56</v>
      </c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1" t="s">
        <v>549</v>
      </c>
      <c r="AB785" s="42" t="s">
        <v>233</v>
      </c>
      <c r="AC785" s="43" t="s">
        <v>58</v>
      </c>
      <c r="AD785" s="43">
        <v>40000000</v>
      </c>
      <c r="AE785" s="44">
        <v>0</v>
      </c>
      <c r="AF785" s="44">
        <v>0</v>
      </c>
      <c r="AG785" s="44">
        <v>0</v>
      </c>
      <c r="AH785" s="44">
        <v>0</v>
      </c>
      <c r="AI785" s="44">
        <v>0</v>
      </c>
      <c r="AJ785" s="43">
        <v>40000000</v>
      </c>
      <c r="AK785" s="44">
        <v>0</v>
      </c>
      <c r="AL785" s="44">
        <v>0</v>
      </c>
      <c r="AM785" s="43">
        <v>30989019</v>
      </c>
      <c r="AN785" s="44">
        <v>0</v>
      </c>
      <c r="AO785" s="43">
        <v>9990071</v>
      </c>
      <c r="AP785" s="18">
        <v>30989019</v>
      </c>
      <c r="AQ785" s="18">
        <v>4187474.09</v>
      </c>
      <c r="AR785" s="34">
        <v>0</v>
      </c>
      <c r="AS785" s="34">
        <v>0</v>
      </c>
      <c r="AT785" s="40">
        <f t="shared" si="348"/>
        <v>4187474.09</v>
      </c>
      <c r="AU785" s="18">
        <f>AJ785-AM785</f>
        <v>9010981</v>
      </c>
      <c r="AV785" s="18">
        <f>AM785-AP785</f>
        <v>0</v>
      </c>
      <c r="AW785" s="18">
        <f>AP785-AT785</f>
        <v>26801544.91</v>
      </c>
      <c r="AX785" s="123">
        <f>AP785/AJ785</f>
        <v>0.774725475</v>
      </c>
    </row>
    <row r="786" spans="1:50" ht="25.5" x14ac:dyDescent="0.2">
      <c r="AA786" s="28" t="s">
        <v>288</v>
      </c>
      <c r="AB786" s="29" t="s">
        <v>550</v>
      </c>
      <c r="AC786" s="17"/>
      <c r="AD786" s="18"/>
      <c r="AE786" s="34"/>
      <c r="AF786" s="34"/>
      <c r="AG786" s="34"/>
      <c r="AH786" s="34"/>
      <c r="AI786" s="34"/>
      <c r="AJ786" s="18"/>
      <c r="AK786" s="34"/>
      <c r="AL786" s="18"/>
      <c r="AM786" s="18"/>
      <c r="AN786" s="34"/>
      <c r="AO786" s="34"/>
      <c r="AP786" s="34"/>
      <c r="AQ786" s="34"/>
      <c r="AR786" s="34"/>
      <c r="AS786" s="34"/>
      <c r="AT786" s="40"/>
      <c r="AU786" s="18"/>
      <c r="AV786" s="34"/>
      <c r="AW786" s="18"/>
      <c r="AX786" s="18"/>
    </row>
    <row r="787" spans="1:50" x14ac:dyDescent="0.2">
      <c r="A787" s="4" t="s">
        <v>55</v>
      </c>
      <c r="B787" s="4" t="s">
        <v>56</v>
      </c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1" t="s">
        <v>551</v>
      </c>
      <c r="AB787" s="42" t="s">
        <v>233</v>
      </c>
      <c r="AC787" s="43" t="s">
        <v>58</v>
      </c>
      <c r="AD787" s="43">
        <v>670000000</v>
      </c>
      <c r="AE787" s="44">
        <v>0</v>
      </c>
      <c r="AF787" s="44">
        <v>0</v>
      </c>
      <c r="AG787" s="43">
        <v>932000000</v>
      </c>
      <c r="AH787" s="43">
        <f>782000000+60000000</f>
        <v>842000000</v>
      </c>
      <c r="AI787" s="43">
        <f>AE787-AF787+AG787-AH787</f>
        <v>90000000</v>
      </c>
      <c r="AJ787" s="43">
        <f>AD787+AI787</f>
        <v>760000000</v>
      </c>
      <c r="AK787" s="44">
        <v>0</v>
      </c>
      <c r="AL787" s="142">
        <v>174775551</v>
      </c>
      <c r="AM787" s="43">
        <v>677905150</v>
      </c>
      <c r="AN787" s="44">
        <v>0</v>
      </c>
      <c r="AO787" s="43">
        <v>20533359</v>
      </c>
      <c r="AP787" s="18">
        <v>523662958</v>
      </c>
      <c r="AQ787" s="18">
        <v>4622637.42</v>
      </c>
      <c r="AR787" s="18">
        <v>47316132.310000002</v>
      </c>
      <c r="AS787" s="18">
        <v>407036523.31</v>
      </c>
      <c r="AT787" s="39">
        <f t="shared" ref="AT787:AT791" si="349">AQ787+AS787</f>
        <v>411659160.73000002</v>
      </c>
      <c r="AU787" s="18">
        <f>AJ787-AM787</f>
        <v>82094850</v>
      </c>
      <c r="AV787" s="18">
        <f>AM787-AP787</f>
        <v>154242192</v>
      </c>
      <c r="AW787" s="18">
        <f>AP787-AT787</f>
        <v>112003797.26999998</v>
      </c>
      <c r="AX787" s="123">
        <f>AP787/AJ787</f>
        <v>0.68903020789473679</v>
      </c>
    </row>
    <row r="788" spans="1:50" x14ac:dyDescent="0.2">
      <c r="A788" s="4" t="s">
        <v>55</v>
      </c>
      <c r="B788" s="4" t="s">
        <v>56</v>
      </c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1" t="s">
        <v>552</v>
      </c>
      <c r="AB788" s="42" t="s">
        <v>382</v>
      </c>
      <c r="AC788" s="43" t="s">
        <v>383</v>
      </c>
      <c r="AD788" s="43">
        <v>120000000</v>
      </c>
      <c r="AE788" s="44">
        <v>0</v>
      </c>
      <c r="AF788" s="44">
        <v>0</v>
      </c>
      <c r="AG788" s="44">
        <v>0</v>
      </c>
      <c r="AH788" s="44">
        <v>0</v>
      </c>
      <c r="AI788" s="43">
        <f t="shared" ref="AI788:AI791" si="350">AE788-AF788+AG788-AH788</f>
        <v>0</v>
      </c>
      <c r="AJ788" s="43">
        <f t="shared" ref="AJ788:AJ791" si="351">AD788+AI788</f>
        <v>120000000</v>
      </c>
      <c r="AK788" s="44">
        <v>0</v>
      </c>
      <c r="AL788" s="142">
        <v>73025000</v>
      </c>
      <c r="AM788" s="43">
        <v>74911133</v>
      </c>
      <c r="AN788" s="44">
        <v>0</v>
      </c>
      <c r="AO788" s="43">
        <v>0</v>
      </c>
      <c r="AP788" s="18">
        <v>1886133</v>
      </c>
      <c r="AQ788" s="34">
        <v>0</v>
      </c>
      <c r="AR788" s="34">
        <v>0</v>
      </c>
      <c r="AS788" s="34">
        <v>0</v>
      </c>
      <c r="AT788" s="39">
        <f t="shared" si="349"/>
        <v>0</v>
      </c>
      <c r="AU788" s="18">
        <f>AJ788-AM788</f>
        <v>45088867</v>
      </c>
      <c r="AV788" s="18">
        <f>AM788-AP788</f>
        <v>73025000</v>
      </c>
      <c r="AW788" s="18">
        <f>AP788-AT788</f>
        <v>1886133</v>
      </c>
      <c r="AX788" s="123">
        <f>AP788/AJ788</f>
        <v>1.5717775E-2</v>
      </c>
    </row>
    <row r="789" spans="1:50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1" t="s">
        <v>1092</v>
      </c>
      <c r="AB789" s="42" t="s">
        <v>1095</v>
      </c>
      <c r="AC789" s="43"/>
      <c r="AD789" s="44">
        <v>0</v>
      </c>
      <c r="AE789" s="43">
        <v>28189.13</v>
      </c>
      <c r="AF789" s="44">
        <v>0</v>
      </c>
      <c r="AG789" s="44">
        <v>0</v>
      </c>
      <c r="AH789" s="44">
        <v>0</v>
      </c>
      <c r="AI789" s="43">
        <f t="shared" si="350"/>
        <v>28189.13</v>
      </c>
      <c r="AJ789" s="43">
        <f t="shared" si="351"/>
        <v>28189.13</v>
      </c>
      <c r="AK789" s="44">
        <v>0</v>
      </c>
      <c r="AL789" s="143">
        <v>0</v>
      </c>
      <c r="AM789" s="43">
        <v>28189.13</v>
      </c>
      <c r="AN789" s="44">
        <v>0</v>
      </c>
      <c r="AO789" s="44">
        <v>0</v>
      </c>
      <c r="AP789" s="34">
        <v>0</v>
      </c>
      <c r="AQ789" s="34">
        <v>0</v>
      </c>
      <c r="AR789" s="34">
        <v>0</v>
      </c>
      <c r="AS789" s="34">
        <v>0</v>
      </c>
      <c r="AT789" s="40">
        <f t="shared" si="349"/>
        <v>0</v>
      </c>
      <c r="AU789" s="34">
        <f>AJ789-AM789</f>
        <v>0</v>
      </c>
      <c r="AV789" s="18">
        <f>AM789-AP789</f>
        <v>28189.13</v>
      </c>
      <c r="AW789" s="34">
        <f>AP789-AT789</f>
        <v>0</v>
      </c>
      <c r="AX789" s="123">
        <f>AP789/AJ789</f>
        <v>0</v>
      </c>
    </row>
    <row r="790" spans="1:50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1" t="s">
        <v>1093</v>
      </c>
      <c r="AB790" s="42" t="s">
        <v>1096</v>
      </c>
      <c r="AC790" s="43"/>
      <c r="AD790" s="44">
        <v>0</v>
      </c>
      <c r="AE790" s="43">
        <v>5349132</v>
      </c>
      <c r="AF790" s="44">
        <v>0</v>
      </c>
      <c r="AG790" s="43">
        <v>5349132</v>
      </c>
      <c r="AH790" s="43">
        <v>5349132</v>
      </c>
      <c r="AI790" s="43">
        <f t="shared" si="350"/>
        <v>5349132</v>
      </c>
      <c r="AJ790" s="43">
        <f t="shared" si="351"/>
        <v>5349132</v>
      </c>
      <c r="AK790" s="44">
        <v>0</v>
      </c>
      <c r="AL790" s="143">
        <v>0</v>
      </c>
      <c r="AM790" s="43">
        <v>5349132</v>
      </c>
      <c r="AN790" s="44">
        <v>0</v>
      </c>
      <c r="AO790" s="44">
        <v>0</v>
      </c>
      <c r="AP790" s="34">
        <v>0</v>
      </c>
      <c r="AQ790" s="34">
        <v>0</v>
      </c>
      <c r="AR790" s="34">
        <v>0</v>
      </c>
      <c r="AS790" s="34">
        <v>0</v>
      </c>
      <c r="AT790" s="40">
        <f t="shared" si="349"/>
        <v>0</v>
      </c>
      <c r="AU790" s="34">
        <f>AJ790-AM790</f>
        <v>0</v>
      </c>
      <c r="AV790" s="18">
        <f>AM790-AP790</f>
        <v>5349132</v>
      </c>
      <c r="AW790" s="34">
        <f>AP790-AT790</f>
        <v>0</v>
      </c>
      <c r="AX790" s="123">
        <f>AP790/AJ790</f>
        <v>0</v>
      </c>
    </row>
    <row r="791" spans="1:50" ht="25.5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1" t="s">
        <v>1094</v>
      </c>
      <c r="AB791" s="42" t="s">
        <v>1097</v>
      </c>
      <c r="AC791" s="43"/>
      <c r="AD791" s="44">
        <v>0</v>
      </c>
      <c r="AE791" s="43">
        <v>11995542.140000001</v>
      </c>
      <c r="AF791" s="44">
        <v>0</v>
      </c>
      <c r="AG791" s="43">
        <v>11995542.140000001</v>
      </c>
      <c r="AH791" s="43">
        <v>11995542.140000001</v>
      </c>
      <c r="AI791" s="43">
        <f t="shared" si="350"/>
        <v>11995542.140000001</v>
      </c>
      <c r="AJ791" s="43">
        <f t="shared" si="351"/>
        <v>11995542.140000001</v>
      </c>
      <c r="AK791" s="44">
        <v>0</v>
      </c>
      <c r="AL791" s="143">
        <v>0</v>
      </c>
      <c r="AM791" s="43">
        <v>11995542.140000001</v>
      </c>
      <c r="AN791" s="44">
        <v>0</v>
      </c>
      <c r="AO791" s="143">
        <v>0</v>
      </c>
      <c r="AP791" s="145">
        <v>0</v>
      </c>
      <c r="AQ791" s="145">
        <v>0</v>
      </c>
      <c r="AR791" s="145">
        <v>0</v>
      </c>
      <c r="AS791" s="34">
        <v>0</v>
      </c>
      <c r="AT791" s="40">
        <f t="shared" si="349"/>
        <v>0</v>
      </c>
      <c r="AU791" s="34">
        <f>AJ791-AM791</f>
        <v>0</v>
      </c>
      <c r="AV791" s="18">
        <f>AM791-AP791</f>
        <v>11995542.140000001</v>
      </c>
      <c r="AW791" s="34">
        <f>AP791-AT791</f>
        <v>0</v>
      </c>
      <c r="AX791" s="123">
        <f>AP791/AJ791</f>
        <v>0</v>
      </c>
    </row>
    <row r="792" spans="1:50" ht="25.5" x14ac:dyDescent="0.2">
      <c r="AA792" s="28"/>
      <c r="AB792" s="29" t="s">
        <v>553</v>
      </c>
      <c r="AC792" s="17"/>
      <c r="AD792" s="18"/>
      <c r="AE792" s="34"/>
      <c r="AF792" s="34"/>
      <c r="AG792" s="34"/>
      <c r="AH792" s="34"/>
      <c r="AI792" s="34"/>
      <c r="AJ792" s="18"/>
      <c r="AK792" s="34"/>
      <c r="AL792" s="147"/>
      <c r="AM792" s="18"/>
      <c r="AN792" s="18"/>
      <c r="AO792" s="147"/>
      <c r="AP792" s="147"/>
      <c r="AQ792" s="147"/>
      <c r="AR792" s="147"/>
      <c r="AS792" s="18"/>
      <c r="AT792" s="30"/>
      <c r="AU792" s="18"/>
      <c r="AV792" s="18"/>
      <c r="AW792" s="18"/>
      <c r="AX792" s="18"/>
    </row>
    <row r="793" spans="1:50" x14ac:dyDescent="0.2">
      <c r="A793" s="4" t="s">
        <v>55</v>
      </c>
      <c r="B793" s="4" t="s">
        <v>56</v>
      </c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1" t="s">
        <v>554</v>
      </c>
      <c r="AB793" s="42" t="s">
        <v>233</v>
      </c>
      <c r="AC793" s="43" t="s">
        <v>58</v>
      </c>
      <c r="AD793" s="43">
        <v>200000000</v>
      </c>
      <c r="AE793" s="44">
        <v>0</v>
      </c>
      <c r="AF793" s="44">
        <v>0</v>
      </c>
      <c r="AG793" s="44">
        <v>0</v>
      </c>
      <c r="AH793" s="44">
        <v>0</v>
      </c>
      <c r="AI793" s="44">
        <v>0</v>
      </c>
      <c r="AJ793" s="43">
        <v>200000000</v>
      </c>
      <c r="AK793" s="44">
        <v>0</v>
      </c>
      <c r="AL793" s="142">
        <v>-3400000</v>
      </c>
      <c r="AM793" s="43">
        <v>144617125.91999999</v>
      </c>
      <c r="AN793" s="44">
        <v>0</v>
      </c>
      <c r="AO793" s="142">
        <v>-3400000</v>
      </c>
      <c r="AP793" s="142">
        <v>144617125.91999999</v>
      </c>
      <c r="AQ793" s="143"/>
      <c r="AR793" s="142">
        <v>17114187.710000001</v>
      </c>
      <c r="AS793" s="43">
        <v>120791753.92</v>
      </c>
      <c r="AT793" s="39">
        <f t="shared" si="348"/>
        <v>120791753.92</v>
      </c>
      <c r="AU793" s="18">
        <f>AJ793-AM793</f>
        <v>55382874.080000013</v>
      </c>
      <c r="AV793" s="34">
        <f>AM793-AP793</f>
        <v>0</v>
      </c>
      <c r="AW793" s="18">
        <f>AP793-AT793</f>
        <v>23825371.999999985</v>
      </c>
      <c r="AX793" s="123">
        <f>AP793/AJ793</f>
        <v>0.72308562959999989</v>
      </c>
    </row>
    <row r="794" spans="1:50" x14ac:dyDescent="0.2">
      <c r="A794" s="316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1" t="s">
        <v>1236</v>
      </c>
      <c r="AB794" s="42" t="s">
        <v>1015</v>
      </c>
      <c r="AC794" s="43"/>
      <c r="AD794" s="43">
        <v>0</v>
      </c>
      <c r="AE794" s="43">
        <v>200000000</v>
      </c>
      <c r="AF794" s="44">
        <v>0</v>
      </c>
      <c r="AG794" s="44">
        <v>0</v>
      </c>
      <c r="AH794" s="43">
        <v>145000000</v>
      </c>
      <c r="AI794" s="43">
        <f t="shared" ref="AI794" si="352">AE794-AF794+AG794-AH794</f>
        <v>55000000</v>
      </c>
      <c r="AJ794" s="43">
        <f t="shared" ref="AJ794" si="353">AD794+AI794</f>
        <v>55000000</v>
      </c>
      <c r="AK794" s="44">
        <v>0</v>
      </c>
      <c r="AL794" s="142"/>
      <c r="AM794" s="43">
        <v>17000000</v>
      </c>
      <c r="AN794" s="44">
        <v>0</v>
      </c>
      <c r="AO794" s="142">
        <v>0</v>
      </c>
      <c r="AP794" s="142">
        <v>17000000</v>
      </c>
      <c r="AQ794" s="143"/>
      <c r="AR794" s="142">
        <v>2600000</v>
      </c>
      <c r="AS794" s="43">
        <v>2600000</v>
      </c>
      <c r="AT794" s="39">
        <f t="shared" si="348"/>
        <v>2600000</v>
      </c>
      <c r="AU794" s="18">
        <f>AJ794-AM794</f>
        <v>38000000</v>
      </c>
      <c r="AV794" s="34">
        <f>AM794-AP794</f>
        <v>0</v>
      </c>
      <c r="AW794" s="18">
        <f>AP794-AT794</f>
        <v>14400000</v>
      </c>
      <c r="AX794" s="123">
        <f>AP794/AJ794</f>
        <v>0.30909090909090908</v>
      </c>
    </row>
    <row r="795" spans="1:50" ht="25.5" x14ac:dyDescent="0.2">
      <c r="AA795" s="28" t="s">
        <v>288</v>
      </c>
      <c r="AB795" s="29" t="s">
        <v>535</v>
      </c>
      <c r="AC795" s="17"/>
      <c r="AD795" s="18"/>
      <c r="AE795" s="34"/>
      <c r="AF795" s="34"/>
      <c r="AG795" s="34"/>
      <c r="AH795" s="34"/>
      <c r="AI795" s="34"/>
      <c r="AJ795" s="18"/>
      <c r="AK795" s="34"/>
      <c r="AL795" s="145"/>
      <c r="AM795" s="18"/>
      <c r="AN795" s="34"/>
      <c r="AO795" s="147"/>
      <c r="AP795" s="147"/>
      <c r="AQ795" s="145"/>
      <c r="AR795" s="147"/>
      <c r="AS795" s="18"/>
      <c r="AT795" s="30"/>
      <c r="AU795" s="18"/>
      <c r="AV795" s="18"/>
      <c r="AW795" s="18"/>
      <c r="AX795" s="18"/>
    </row>
    <row r="796" spans="1:50" x14ac:dyDescent="0.2">
      <c r="A796" s="4" t="s">
        <v>55</v>
      </c>
      <c r="B796" s="4" t="s">
        <v>56</v>
      </c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1" t="s">
        <v>555</v>
      </c>
      <c r="AB796" s="42" t="s">
        <v>233</v>
      </c>
      <c r="AC796" s="43" t="s">
        <v>58</v>
      </c>
      <c r="AD796" s="43">
        <v>1154000000</v>
      </c>
      <c r="AE796" s="44">
        <v>0</v>
      </c>
      <c r="AF796" s="44">
        <v>0</v>
      </c>
      <c r="AG796" s="43">
        <f>32000000+60000000</f>
        <v>92000000</v>
      </c>
      <c r="AH796" s="44">
        <v>0</v>
      </c>
      <c r="AI796" s="43">
        <f t="shared" ref="AI796:AI802" si="354">AE796-AF796+AG796-AH796</f>
        <v>92000000</v>
      </c>
      <c r="AJ796" s="43">
        <f t="shared" ref="AJ796:AJ802" si="355">AD796+AI796</f>
        <v>1246000000</v>
      </c>
      <c r="AK796" s="44">
        <v>0</v>
      </c>
      <c r="AL796" s="142">
        <v>-7033358</v>
      </c>
      <c r="AM796" s="43">
        <v>1015044729</v>
      </c>
      <c r="AN796" s="44">
        <v>0</v>
      </c>
      <c r="AO796" s="142">
        <v>-5333333</v>
      </c>
      <c r="AP796" s="142">
        <v>1012511421</v>
      </c>
      <c r="AQ796" s="142">
        <v>3600000</v>
      </c>
      <c r="AR796" s="142">
        <v>149411072</v>
      </c>
      <c r="AS796" s="43">
        <v>580463988</v>
      </c>
      <c r="AT796" s="39">
        <f t="shared" si="348"/>
        <v>584063988</v>
      </c>
      <c r="AU796" s="18">
        <f t="shared" ref="AU796:AU802" si="356">AJ796-AM796</f>
        <v>230955271</v>
      </c>
      <c r="AV796" s="18">
        <f t="shared" ref="AV796:AV802" si="357">AM796-AP796</f>
        <v>2533308</v>
      </c>
      <c r="AW796" s="18">
        <f t="shared" ref="AW796:AW802" si="358">AP796-AT796</f>
        <v>428447433</v>
      </c>
      <c r="AX796" s="123">
        <f t="shared" ref="AX796:AX801" si="359">AP796/AJ796</f>
        <v>0.81260948715890846</v>
      </c>
    </row>
    <row r="797" spans="1:50" ht="25.5" x14ac:dyDescent="0.2">
      <c r="A797" s="4" t="s">
        <v>55</v>
      </c>
      <c r="B797" s="4" t="s">
        <v>56</v>
      </c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1" t="s">
        <v>556</v>
      </c>
      <c r="AB797" s="42" t="s">
        <v>279</v>
      </c>
      <c r="AC797" s="43" t="s">
        <v>253</v>
      </c>
      <c r="AD797" s="43">
        <v>3243996468</v>
      </c>
      <c r="AE797" s="44">
        <v>0</v>
      </c>
      <c r="AF797" s="44">
        <v>0</v>
      </c>
      <c r="AG797" s="44">
        <v>0</v>
      </c>
      <c r="AH797" s="44">
        <v>0</v>
      </c>
      <c r="AI797" s="44">
        <f t="shared" si="354"/>
        <v>0</v>
      </c>
      <c r="AJ797" s="43">
        <f t="shared" si="355"/>
        <v>3243996468</v>
      </c>
      <c r="AK797" s="44">
        <v>0</v>
      </c>
      <c r="AL797" s="142">
        <v>7735972</v>
      </c>
      <c r="AM797" s="43">
        <v>3117392177.5599999</v>
      </c>
      <c r="AN797" s="44">
        <v>0</v>
      </c>
      <c r="AO797" s="142">
        <v>2235972</v>
      </c>
      <c r="AP797" s="142">
        <v>3111892177.5599999</v>
      </c>
      <c r="AQ797" s="142">
        <v>0</v>
      </c>
      <c r="AR797" s="142">
        <v>413901487.38999999</v>
      </c>
      <c r="AS797" s="43">
        <v>1945291011.5599999</v>
      </c>
      <c r="AT797" s="39">
        <f t="shared" si="348"/>
        <v>1945291011.5599999</v>
      </c>
      <c r="AU797" s="18">
        <f t="shared" si="356"/>
        <v>126604290.44000006</v>
      </c>
      <c r="AV797" s="133">
        <f t="shared" si="357"/>
        <v>5500000</v>
      </c>
      <c r="AW797" s="18">
        <f t="shared" si="358"/>
        <v>1166601166</v>
      </c>
      <c r="AX797" s="123">
        <f t="shared" si="359"/>
        <v>0.9592773013956315</v>
      </c>
    </row>
    <row r="798" spans="1:50" ht="38.25" x14ac:dyDescent="0.2">
      <c r="A798" s="4" t="s">
        <v>55</v>
      </c>
      <c r="B798" s="4" t="s">
        <v>56</v>
      </c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1" t="s">
        <v>557</v>
      </c>
      <c r="AB798" s="42" t="s">
        <v>558</v>
      </c>
      <c r="AC798" s="43" t="s">
        <v>368</v>
      </c>
      <c r="AD798" s="43">
        <v>101429564.34</v>
      </c>
      <c r="AE798" s="44">
        <v>0</v>
      </c>
      <c r="AF798" s="44">
        <v>0</v>
      </c>
      <c r="AG798" s="44">
        <v>0</v>
      </c>
      <c r="AH798" s="44">
        <v>0</v>
      </c>
      <c r="AI798" s="44">
        <f t="shared" si="354"/>
        <v>0</v>
      </c>
      <c r="AJ798" s="43">
        <f t="shared" si="355"/>
        <v>101429564.34</v>
      </c>
      <c r="AK798" s="44">
        <v>0</v>
      </c>
      <c r="AL798" s="44">
        <f>AM798-JULIO!AM743</f>
        <v>0</v>
      </c>
      <c r="AM798" s="43">
        <v>40000000</v>
      </c>
      <c r="AN798" s="44">
        <v>0</v>
      </c>
      <c r="AO798" s="143">
        <f>AP798-JULIO!AP743</f>
        <v>0</v>
      </c>
      <c r="AP798" s="142">
        <v>40000000</v>
      </c>
      <c r="AQ798" s="143">
        <v>0</v>
      </c>
      <c r="AR798" s="143"/>
      <c r="AS798" s="44">
        <v>0</v>
      </c>
      <c r="AT798" s="40">
        <f t="shared" si="348"/>
        <v>0</v>
      </c>
      <c r="AU798" s="18">
        <f t="shared" si="356"/>
        <v>61429564.340000004</v>
      </c>
      <c r="AV798" s="34">
        <f t="shared" si="357"/>
        <v>0</v>
      </c>
      <c r="AW798" s="18">
        <f t="shared" si="358"/>
        <v>40000000</v>
      </c>
      <c r="AX798" s="123">
        <f t="shared" si="359"/>
        <v>0.39436233666465137</v>
      </c>
    </row>
    <row r="799" spans="1:50" ht="25.5" x14ac:dyDescent="0.2">
      <c r="A799" s="4" t="s">
        <v>55</v>
      </c>
      <c r="B799" s="4" t="s">
        <v>56</v>
      </c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1" t="s">
        <v>559</v>
      </c>
      <c r="AB799" s="42" t="s">
        <v>540</v>
      </c>
      <c r="AC799" s="43" t="s">
        <v>253</v>
      </c>
      <c r="AD799" s="43">
        <v>1690003316</v>
      </c>
      <c r="AE799" s="44">
        <v>0</v>
      </c>
      <c r="AF799" s="44">
        <v>0</v>
      </c>
      <c r="AG799" s="44">
        <v>0</v>
      </c>
      <c r="AH799" s="44">
        <v>0</v>
      </c>
      <c r="AI799" s="44">
        <f t="shared" si="354"/>
        <v>0</v>
      </c>
      <c r="AJ799" s="43">
        <f t="shared" si="355"/>
        <v>1690003316</v>
      </c>
      <c r="AK799" s="44">
        <v>0</v>
      </c>
      <c r="AL799" s="44">
        <f>AM799-JULIO!AM744</f>
        <v>0</v>
      </c>
      <c r="AM799" s="43">
        <v>1661510016</v>
      </c>
      <c r="AN799" s="44">
        <v>0</v>
      </c>
      <c r="AO799" s="143">
        <f>AP799-JULIO!AP744</f>
        <v>0</v>
      </c>
      <c r="AP799" s="142">
        <v>1661510016</v>
      </c>
      <c r="AQ799" s="145">
        <v>0</v>
      </c>
      <c r="AR799" s="142">
        <v>80473818</v>
      </c>
      <c r="AS799" s="18">
        <v>1021011288</v>
      </c>
      <c r="AT799" s="39">
        <f t="shared" si="348"/>
        <v>1021011288</v>
      </c>
      <c r="AU799" s="18">
        <f t="shared" si="356"/>
        <v>28493300</v>
      </c>
      <c r="AV799" s="34">
        <f t="shared" si="357"/>
        <v>0</v>
      </c>
      <c r="AW799" s="18">
        <f t="shared" si="358"/>
        <v>640498728</v>
      </c>
      <c r="AX799" s="123">
        <f t="shared" si="359"/>
        <v>0.98314009225293142</v>
      </c>
    </row>
    <row r="800" spans="1:50" ht="38.25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1" t="s">
        <v>1088</v>
      </c>
      <c r="AB800" s="42" t="s">
        <v>1089</v>
      </c>
      <c r="AC800" s="43"/>
      <c r="AD800" s="44">
        <v>0</v>
      </c>
      <c r="AE800" s="43">
        <v>56264221.140000001</v>
      </c>
      <c r="AF800" s="44">
        <v>0</v>
      </c>
      <c r="AG800" s="44">
        <v>0</v>
      </c>
      <c r="AH800" s="44">
        <v>0</v>
      </c>
      <c r="AI800" s="43">
        <f t="shared" si="354"/>
        <v>56264221.140000001</v>
      </c>
      <c r="AJ800" s="43">
        <f t="shared" si="355"/>
        <v>56264221.140000001</v>
      </c>
      <c r="AK800" s="44">
        <v>0</v>
      </c>
      <c r="AL800" s="44">
        <f>AM800-JULIO!AM745</f>
        <v>0</v>
      </c>
      <c r="AM800" s="44">
        <v>0</v>
      </c>
      <c r="AN800" s="44">
        <v>0</v>
      </c>
      <c r="AO800" s="143">
        <f>AP800-JULIO!AP745</f>
        <v>0</v>
      </c>
      <c r="AP800" s="143">
        <v>0</v>
      </c>
      <c r="AQ800" s="145">
        <v>0</v>
      </c>
      <c r="AR800" s="143">
        <f>AS800-JULIO!AS745</f>
        <v>0</v>
      </c>
      <c r="AS800" s="34">
        <v>0</v>
      </c>
      <c r="AT800" s="40">
        <f t="shared" si="348"/>
        <v>0</v>
      </c>
      <c r="AU800" s="18">
        <f t="shared" si="356"/>
        <v>56264221.140000001</v>
      </c>
      <c r="AV800" s="34">
        <f t="shared" si="357"/>
        <v>0</v>
      </c>
      <c r="AW800" s="34">
        <f t="shared" si="358"/>
        <v>0</v>
      </c>
      <c r="AX800" s="123">
        <f t="shared" si="359"/>
        <v>0</v>
      </c>
    </row>
    <row r="801" spans="1:50" ht="25.5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1" t="s">
        <v>1090</v>
      </c>
      <c r="AB801" s="42" t="s">
        <v>1011</v>
      </c>
      <c r="AC801" s="43"/>
      <c r="AD801" s="44">
        <v>0</v>
      </c>
      <c r="AE801" s="43">
        <v>1134339181.01</v>
      </c>
      <c r="AF801" s="44">
        <v>0</v>
      </c>
      <c r="AG801" s="44">
        <v>0</v>
      </c>
      <c r="AH801" s="43">
        <v>486828582</v>
      </c>
      <c r="AI801" s="43">
        <f t="shared" si="354"/>
        <v>647510599.00999999</v>
      </c>
      <c r="AJ801" s="43">
        <f t="shared" si="355"/>
        <v>647510599.00999999</v>
      </c>
      <c r="AK801" s="43">
        <v>0</v>
      </c>
      <c r="AL801" s="142">
        <v>-10683334</v>
      </c>
      <c r="AM801" s="43">
        <v>206516674</v>
      </c>
      <c r="AN801" s="44">
        <v>0</v>
      </c>
      <c r="AO801" s="142">
        <v>-8466667</v>
      </c>
      <c r="AP801" s="142">
        <v>200266674</v>
      </c>
      <c r="AQ801" s="145">
        <v>0</v>
      </c>
      <c r="AR801" s="143">
        <f>AS801-JULIO!AS746</f>
        <v>0</v>
      </c>
      <c r="AS801" s="18">
        <v>0</v>
      </c>
      <c r="AT801" s="40">
        <v>0</v>
      </c>
      <c r="AU801" s="18">
        <f t="shared" si="356"/>
        <v>440993925.00999999</v>
      </c>
      <c r="AV801" s="18">
        <f t="shared" si="357"/>
        <v>6250000</v>
      </c>
      <c r="AW801" s="18">
        <f t="shared" si="358"/>
        <v>200266674</v>
      </c>
      <c r="AX801" s="123">
        <f t="shared" si="359"/>
        <v>0.30928709785784853</v>
      </c>
    </row>
    <row r="802" spans="1:50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1" t="s">
        <v>1091</v>
      </c>
      <c r="AB802" s="42" t="s">
        <v>1015</v>
      </c>
      <c r="AC802" s="43"/>
      <c r="AD802" s="44">
        <v>0</v>
      </c>
      <c r="AE802" s="43">
        <v>300000000</v>
      </c>
      <c r="AF802" s="44">
        <v>0</v>
      </c>
      <c r="AG802" s="44">
        <v>0</v>
      </c>
      <c r="AH802" s="43">
        <v>300000000</v>
      </c>
      <c r="AI802" s="43">
        <f t="shared" si="354"/>
        <v>0</v>
      </c>
      <c r="AJ802" s="43">
        <f t="shared" si="355"/>
        <v>0</v>
      </c>
      <c r="AK802" s="44">
        <v>0</v>
      </c>
      <c r="AL802" s="143">
        <f>AM802-JULIO!AM747</f>
        <v>0</v>
      </c>
      <c r="AM802" s="44">
        <v>0</v>
      </c>
      <c r="AN802" s="44">
        <v>0</v>
      </c>
      <c r="AO802" s="143">
        <v>0</v>
      </c>
      <c r="AP802" s="44">
        <v>0</v>
      </c>
      <c r="AQ802" s="34">
        <v>0</v>
      </c>
      <c r="AR802" s="143">
        <f>AS802-JULIO!AS747</f>
        <v>0</v>
      </c>
      <c r="AS802" s="34">
        <v>0</v>
      </c>
      <c r="AT802" s="40">
        <v>0</v>
      </c>
      <c r="AU802" s="18">
        <f t="shared" si="356"/>
        <v>0</v>
      </c>
      <c r="AV802" s="34">
        <f t="shared" si="357"/>
        <v>0</v>
      </c>
      <c r="AW802" s="34">
        <f t="shared" si="358"/>
        <v>0</v>
      </c>
      <c r="AX802" s="123">
        <v>0</v>
      </c>
    </row>
    <row r="803" spans="1:50" ht="25.5" x14ac:dyDescent="0.2">
      <c r="AA803" s="28" t="s">
        <v>288</v>
      </c>
      <c r="AB803" s="29" t="s">
        <v>560</v>
      </c>
      <c r="AC803" s="17"/>
      <c r="AD803" s="18"/>
      <c r="AE803" s="34"/>
      <c r="AF803" s="34"/>
      <c r="AG803" s="34"/>
      <c r="AH803" s="34"/>
      <c r="AI803" s="34"/>
      <c r="AJ803" s="18"/>
      <c r="AK803" s="18"/>
      <c r="AL803" s="147"/>
      <c r="AM803" s="18"/>
      <c r="AN803" s="34"/>
      <c r="AO803" s="145"/>
      <c r="AP803" s="18"/>
      <c r="AQ803" s="34"/>
      <c r="AR803" s="145"/>
      <c r="AS803" s="34"/>
      <c r="AT803" s="40"/>
      <c r="AU803" s="18"/>
      <c r="AV803" s="18"/>
      <c r="AW803" s="18"/>
      <c r="AX803" s="18"/>
    </row>
    <row r="804" spans="1:50" x14ac:dyDescent="0.2">
      <c r="A804" s="4" t="s">
        <v>55</v>
      </c>
      <c r="B804" s="4" t="s">
        <v>56</v>
      </c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1" t="s">
        <v>561</v>
      </c>
      <c r="AB804" s="42" t="s">
        <v>233</v>
      </c>
      <c r="AC804" s="43" t="s">
        <v>58</v>
      </c>
      <c r="AD804" s="43">
        <v>510000000</v>
      </c>
      <c r="AE804" s="44">
        <v>0</v>
      </c>
      <c r="AF804" s="44">
        <v>0</v>
      </c>
      <c r="AG804" s="43">
        <v>20000000</v>
      </c>
      <c r="AH804" s="43">
        <v>10000000</v>
      </c>
      <c r="AI804" s="43">
        <f>AE804-AF804+AG804-AH804</f>
        <v>10000000</v>
      </c>
      <c r="AJ804" s="43">
        <f>AD804+AI804</f>
        <v>520000000</v>
      </c>
      <c r="AK804" s="44">
        <v>0</v>
      </c>
      <c r="AL804" s="142">
        <v>151780746</v>
      </c>
      <c r="AM804" s="43">
        <v>446723146</v>
      </c>
      <c r="AN804" s="44">
        <v>0</v>
      </c>
      <c r="AO804" s="142">
        <v>7500000</v>
      </c>
      <c r="AP804" s="114">
        <v>294942400</v>
      </c>
      <c r="AQ804" s="18">
        <v>0</v>
      </c>
      <c r="AR804" s="147">
        <v>25986667</v>
      </c>
      <c r="AS804" s="18">
        <v>129510000</v>
      </c>
      <c r="AT804" s="39">
        <f t="shared" ref="AT804:AT806" si="360">AQ804+AS804</f>
        <v>129510000</v>
      </c>
      <c r="AU804" s="18">
        <f>AJ804-AM804</f>
        <v>73276854</v>
      </c>
      <c r="AV804" s="18">
        <f>AM804-AP804</f>
        <v>151780746</v>
      </c>
      <c r="AW804" s="18">
        <f>AP804-AT804</f>
        <v>165432400</v>
      </c>
      <c r="AX804" s="123">
        <f>AP804/AJ804</f>
        <v>0.56719692307692304</v>
      </c>
    </row>
    <row r="805" spans="1:50" ht="18.75" customHeight="1" x14ac:dyDescent="0.2">
      <c r="A805" s="4" t="s">
        <v>55</v>
      </c>
      <c r="B805" s="4" t="s">
        <v>56</v>
      </c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1" t="s">
        <v>562</v>
      </c>
      <c r="AB805" s="42" t="s">
        <v>382</v>
      </c>
      <c r="AC805" s="43" t="s">
        <v>383</v>
      </c>
      <c r="AD805" s="43">
        <v>770000000</v>
      </c>
      <c r="AE805" s="44">
        <v>0</v>
      </c>
      <c r="AF805" s="44">
        <v>0</v>
      </c>
      <c r="AG805" s="44">
        <v>0</v>
      </c>
      <c r="AH805" s="44">
        <v>0</v>
      </c>
      <c r="AI805" s="44">
        <v>0</v>
      </c>
      <c r="AJ805" s="43">
        <v>770000000</v>
      </c>
      <c r="AK805" s="44">
        <v>0</v>
      </c>
      <c r="AL805" s="142">
        <v>51500000</v>
      </c>
      <c r="AM805" s="43">
        <v>770000000</v>
      </c>
      <c r="AN805" s="44">
        <v>0</v>
      </c>
      <c r="AO805" s="143">
        <v>0</v>
      </c>
      <c r="AP805" s="114">
        <v>718500000</v>
      </c>
      <c r="AQ805" s="34">
        <v>0</v>
      </c>
      <c r="AR805" s="147">
        <v>138000000</v>
      </c>
      <c r="AS805" s="18">
        <v>180000000</v>
      </c>
      <c r="AT805" s="39">
        <f t="shared" si="360"/>
        <v>180000000</v>
      </c>
      <c r="AU805" s="34">
        <f>AJ805-AM805</f>
        <v>0</v>
      </c>
      <c r="AV805" s="18">
        <f>AM805-AP805</f>
        <v>51500000</v>
      </c>
      <c r="AW805" s="18">
        <f>AP805-AT805</f>
        <v>538500000</v>
      </c>
      <c r="AX805" s="123">
        <f>AP805/AJ805</f>
        <v>0.93311688311688312</v>
      </c>
    </row>
    <row r="806" spans="1:50" ht="18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1" t="s">
        <v>1235</v>
      </c>
      <c r="AB806" s="42" t="s">
        <v>1015</v>
      </c>
      <c r="AC806" s="43"/>
      <c r="AD806" s="44">
        <v>0</v>
      </c>
      <c r="AE806" s="43">
        <v>25000000</v>
      </c>
      <c r="AF806" s="44">
        <v>0</v>
      </c>
      <c r="AG806" s="44">
        <v>0</v>
      </c>
      <c r="AH806" s="44">
        <v>0</v>
      </c>
      <c r="AI806" s="43">
        <f>AE806-AF806+AG806-AH806</f>
        <v>25000000</v>
      </c>
      <c r="AJ806" s="43">
        <f>AD806+AI806</f>
        <v>25000000</v>
      </c>
      <c r="AK806" s="44">
        <v>0</v>
      </c>
      <c r="AL806" s="44">
        <f>AM806-JULIO!AM751</f>
        <v>0</v>
      </c>
      <c r="AM806" s="44">
        <v>0</v>
      </c>
      <c r="AN806" s="44">
        <v>0</v>
      </c>
      <c r="AO806" s="143">
        <v>0</v>
      </c>
      <c r="AP806" s="114">
        <v>0</v>
      </c>
      <c r="AQ806" s="34">
        <v>0</v>
      </c>
      <c r="AR806" s="145">
        <v>0</v>
      </c>
      <c r="AS806" s="34">
        <v>0</v>
      </c>
      <c r="AT806" s="39">
        <f t="shared" si="360"/>
        <v>0</v>
      </c>
      <c r="AU806" s="18">
        <f>AJ806-AM806</f>
        <v>25000000</v>
      </c>
      <c r="AV806" s="133">
        <f>AM806-AP806</f>
        <v>0</v>
      </c>
      <c r="AW806" s="18">
        <f>AP806-AT806</f>
        <v>0</v>
      </c>
      <c r="AX806" s="123">
        <f>AP806/AJ806</f>
        <v>0</v>
      </c>
    </row>
    <row r="807" spans="1:50" ht="25.5" customHeight="1" x14ac:dyDescent="0.2">
      <c r="AA807" s="28" t="s">
        <v>288</v>
      </c>
      <c r="AB807" s="29" t="s">
        <v>563</v>
      </c>
      <c r="AC807" s="17"/>
      <c r="AD807" s="18"/>
      <c r="AE807" s="34"/>
      <c r="AF807" s="34"/>
      <c r="AG807" s="34"/>
      <c r="AH807" s="34"/>
      <c r="AI807" s="34"/>
      <c r="AJ807" s="18"/>
      <c r="AK807" s="18"/>
      <c r="AL807" s="147"/>
      <c r="AM807" s="18"/>
      <c r="AN807" s="34"/>
      <c r="AO807" s="147"/>
      <c r="AP807" s="110"/>
      <c r="AQ807" s="34"/>
      <c r="AR807" s="145"/>
      <c r="AS807" s="34"/>
      <c r="AT807" s="40"/>
      <c r="AU807" s="18"/>
      <c r="AV807" s="34"/>
      <c r="AW807" s="18"/>
      <c r="AX807" s="18"/>
    </row>
    <row r="808" spans="1:50" ht="18.75" customHeight="1" x14ac:dyDescent="0.2">
      <c r="A808" s="4" t="s">
        <v>55</v>
      </c>
      <c r="B808" s="4" t="s">
        <v>56</v>
      </c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1" t="s">
        <v>564</v>
      </c>
      <c r="AB808" s="42" t="s">
        <v>233</v>
      </c>
      <c r="AC808" s="43" t="s">
        <v>58</v>
      </c>
      <c r="AD808" s="43">
        <v>150000000</v>
      </c>
      <c r="AE808" s="44">
        <v>0</v>
      </c>
      <c r="AF808" s="44">
        <v>0</v>
      </c>
      <c r="AG808" s="43">
        <f>200000000+318600000</f>
        <v>518600000</v>
      </c>
      <c r="AH808" s="43">
        <v>173600000</v>
      </c>
      <c r="AI808" s="43">
        <f>AE808-AF808+AG808-AH808</f>
        <v>345000000</v>
      </c>
      <c r="AJ808" s="43">
        <f>AD808+AI808</f>
        <v>495000000</v>
      </c>
      <c r="AK808" s="44">
        <v>0</v>
      </c>
      <c r="AL808" s="142">
        <v>54020000</v>
      </c>
      <c r="AM808" s="43">
        <v>387139471</v>
      </c>
      <c r="AN808" s="44">
        <v>0</v>
      </c>
      <c r="AO808" s="143">
        <v>0</v>
      </c>
      <c r="AP808" s="43">
        <v>327642640</v>
      </c>
      <c r="AQ808" s="34">
        <v>0</v>
      </c>
      <c r="AR808" s="147">
        <v>42466666</v>
      </c>
      <c r="AS808" s="18">
        <v>129279999</v>
      </c>
      <c r="AT808" s="39">
        <f t="shared" ref="AT808:AT810" si="361">AQ808+AS808</f>
        <v>129279999</v>
      </c>
      <c r="AU808" s="18">
        <f>AJ808-AM808</f>
        <v>107860529</v>
      </c>
      <c r="AV808" s="18">
        <f>AM808-AP808</f>
        <v>59496831</v>
      </c>
      <c r="AW808" s="110">
        <f>AP808-AT808</f>
        <v>198362641</v>
      </c>
      <c r="AX808" s="123">
        <f>AP808/AJ808</f>
        <v>0.66190432323232318</v>
      </c>
    </row>
    <row r="809" spans="1:50" ht="18.75" customHeight="1" x14ac:dyDescent="0.2">
      <c r="A809" s="4" t="s">
        <v>55</v>
      </c>
      <c r="B809" s="4" t="s">
        <v>56</v>
      </c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1" t="s">
        <v>565</v>
      </c>
      <c r="AB809" s="42" t="s">
        <v>382</v>
      </c>
      <c r="AC809" s="43" t="s">
        <v>383</v>
      </c>
      <c r="AD809" s="43">
        <v>1110000000</v>
      </c>
      <c r="AE809" s="44">
        <v>0</v>
      </c>
      <c r="AF809" s="44">
        <v>0</v>
      </c>
      <c r="AG809" s="44">
        <v>0</v>
      </c>
      <c r="AH809" s="44">
        <v>0</v>
      </c>
      <c r="AI809" s="44">
        <v>0</v>
      </c>
      <c r="AJ809" s="43">
        <v>1110000000</v>
      </c>
      <c r="AK809" s="44">
        <v>0</v>
      </c>
      <c r="AL809" s="143">
        <v>0</v>
      </c>
      <c r="AM809" s="43">
        <v>1110000000</v>
      </c>
      <c r="AN809" s="44">
        <v>0</v>
      </c>
      <c r="AO809" s="143">
        <f>AP809-JULIO!AP754</f>
        <v>0</v>
      </c>
      <c r="AP809" s="43">
        <v>1016234191</v>
      </c>
      <c r="AQ809" s="34">
        <v>0</v>
      </c>
      <c r="AR809" s="147">
        <v>138863779</v>
      </c>
      <c r="AS809" s="18">
        <v>584170234</v>
      </c>
      <c r="AT809" s="39">
        <f t="shared" si="361"/>
        <v>584170234</v>
      </c>
      <c r="AU809" s="34">
        <f>AJ809-AM809</f>
        <v>0</v>
      </c>
      <c r="AV809" s="18">
        <f>AM809-AP809</f>
        <v>93765809</v>
      </c>
      <c r="AW809" s="110">
        <f>AP809-AT809</f>
        <v>432063957</v>
      </c>
      <c r="AX809" s="123">
        <f>AP809/AJ809</f>
        <v>0.9155262981981982</v>
      </c>
    </row>
    <row r="810" spans="1:50" ht="18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1" t="s">
        <v>1098</v>
      </c>
      <c r="AB810" s="42" t="s">
        <v>1015</v>
      </c>
      <c r="AC810" s="43"/>
      <c r="AD810" s="44">
        <v>0</v>
      </c>
      <c r="AE810" s="43">
        <v>326400000</v>
      </c>
      <c r="AF810" s="44">
        <v>0</v>
      </c>
      <c r="AG810" s="44">
        <v>0</v>
      </c>
      <c r="AH810" s="43">
        <v>326400000</v>
      </c>
      <c r="AI810" s="43">
        <f>AE810-AF810+AG810-AH810</f>
        <v>0</v>
      </c>
      <c r="AJ810" s="44">
        <f>AD810+AI810</f>
        <v>0</v>
      </c>
      <c r="AK810" s="44">
        <v>0</v>
      </c>
      <c r="AL810" s="143">
        <v>0</v>
      </c>
      <c r="AM810" s="44">
        <v>0</v>
      </c>
      <c r="AN810" s="44">
        <v>0</v>
      </c>
      <c r="AO810" s="143">
        <v>0</v>
      </c>
      <c r="AP810" s="44">
        <v>0</v>
      </c>
      <c r="AQ810" s="34">
        <v>0</v>
      </c>
      <c r="AR810" s="145">
        <v>0</v>
      </c>
      <c r="AS810" s="34">
        <v>0</v>
      </c>
      <c r="AT810" s="40">
        <f t="shared" si="361"/>
        <v>0</v>
      </c>
      <c r="AU810" s="34">
        <f>AJ810-AM810</f>
        <v>0</v>
      </c>
      <c r="AV810" s="34">
        <f>AM810-AP810</f>
        <v>0</v>
      </c>
      <c r="AW810" s="133">
        <f>AP810-AT810</f>
        <v>0</v>
      </c>
      <c r="AX810" s="123">
        <v>0</v>
      </c>
    </row>
    <row r="811" spans="1:50" ht="18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73" t="s">
        <v>288</v>
      </c>
      <c r="AB811" s="74" t="s">
        <v>1259</v>
      </c>
      <c r="AC811" s="43"/>
      <c r="AD811" s="43"/>
      <c r="AE811" s="43"/>
      <c r="AF811" s="44"/>
      <c r="AG811" s="44"/>
      <c r="AH811" s="44"/>
      <c r="AI811" s="43"/>
      <c r="AJ811" s="43"/>
      <c r="AK811" s="44"/>
      <c r="AL811" s="115"/>
      <c r="AM811" s="115"/>
      <c r="AN811" s="44"/>
      <c r="AO811" s="143"/>
      <c r="AP811" s="44"/>
      <c r="AQ811" s="34"/>
      <c r="AR811" s="145"/>
      <c r="AS811" s="34"/>
      <c r="AT811" s="40"/>
      <c r="AU811" s="18"/>
      <c r="AV811" s="34"/>
      <c r="AW811" s="133"/>
      <c r="AX811" s="123"/>
    </row>
    <row r="812" spans="1:50" ht="18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1" t="s">
        <v>1260</v>
      </c>
      <c r="AB812" s="42" t="s">
        <v>961</v>
      </c>
      <c r="AC812" s="43"/>
      <c r="AD812" s="44">
        <v>0</v>
      </c>
      <c r="AE812" s="44">
        <v>0</v>
      </c>
      <c r="AF812" s="44">
        <v>0</v>
      </c>
      <c r="AG812" s="43">
        <v>29000000</v>
      </c>
      <c r="AH812" s="43">
        <v>29000000</v>
      </c>
      <c r="AI812" s="44">
        <f>AE812-AF812+AG812-AH812</f>
        <v>0</v>
      </c>
      <c r="AJ812" s="44">
        <f>AD812+AI812</f>
        <v>0</v>
      </c>
      <c r="AK812" s="44">
        <v>0</v>
      </c>
      <c r="AL812" s="115">
        <v>0</v>
      </c>
      <c r="AM812" s="115">
        <v>0</v>
      </c>
      <c r="AN812" s="44">
        <v>0</v>
      </c>
      <c r="AO812" s="143">
        <v>0</v>
      </c>
      <c r="AP812" s="44">
        <v>0</v>
      </c>
      <c r="AQ812" s="34">
        <v>0</v>
      </c>
      <c r="AR812" s="145">
        <v>0</v>
      </c>
      <c r="AS812" s="34">
        <v>0</v>
      </c>
      <c r="AT812" s="40">
        <f t="shared" ref="AT812" si="362">AQ812+AS812</f>
        <v>0</v>
      </c>
      <c r="AU812" s="34">
        <f>AJ812-AM812</f>
        <v>0</v>
      </c>
      <c r="AV812" s="34">
        <f>AM812-AP812</f>
        <v>0</v>
      </c>
      <c r="AW812" s="133">
        <f>AP812-AT812</f>
        <v>0</v>
      </c>
      <c r="AX812" s="123">
        <v>0</v>
      </c>
    </row>
    <row r="813" spans="1:50" ht="18.75" customHeight="1" x14ac:dyDescent="0.2">
      <c r="AA813" s="28" t="s">
        <v>288</v>
      </c>
      <c r="AB813" s="29" t="s">
        <v>566</v>
      </c>
      <c r="AC813" s="17"/>
      <c r="AD813" s="18"/>
      <c r="AE813" s="34"/>
      <c r="AF813" s="34"/>
      <c r="AG813" s="34"/>
      <c r="AH813" s="34"/>
      <c r="AI813" s="34"/>
      <c r="AJ813" s="18"/>
      <c r="AK813" s="18"/>
      <c r="AL813" s="147"/>
      <c r="AM813" s="18"/>
      <c r="AN813" s="18"/>
      <c r="AO813" s="147"/>
      <c r="AP813" s="110"/>
      <c r="AQ813" s="18"/>
      <c r="AR813" s="147"/>
      <c r="AS813" s="18"/>
      <c r="AT813" s="30"/>
      <c r="AU813" s="18"/>
      <c r="AV813" s="18"/>
      <c r="AW813" s="18"/>
      <c r="AX813" s="18"/>
    </row>
    <row r="814" spans="1:50" ht="18.75" customHeight="1" x14ac:dyDescent="0.2">
      <c r="A814" s="4" t="s">
        <v>55</v>
      </c>
      <c r="B814" s="4" t="s">
        <v>56</v>
      </c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1" t="s">
        <v>567</v>
      </c>
      <c r="AB814" s="42" t="s">
        <v>233</v>
      </c>
      <c r="AC814" s="43" t="s">
        <v>58</v>
      </c>
      <c r="AD814" s="43">
        <v>771000000</v>
      </c>
      <c r="AE814" s="44">
        <v>0</v>
      </c>
      <c r="AF814" s="44">
        <v>0</v>
      </c>
      <c r="AG814" s="43">
        <v>29000000</v>
      </c>
      <c r="AH814" s="44">
        <v>0</v>
      </c>
      <c r="AI814" s="43">
        <f>AE814-AF814+AG814-AH814</f>
        <v>29000000</v>
      </c>
      <c r="AJ814" s="43">
        <f>AD814+AI814</f>
        <v>800000000</v>
      </c>
      <c r="AK814" s="44">
        <v>0</v>
      </c>
      <c r="AL814" s="142">
        <v>95517072</v>
      </c>
      <c r="AM814" s="43">
        <v>727525158.91999996</v>
      </c>
      <c r="AN814" s="44">
        <v>0</v>
      </c>
      <c r="AO814" s="144">
        <v>26348236</v>
      </c>
      <c r="AP814" s="114">
        <v>632701939.91999996</v>
      </c>
      <c r="AQ814" s="43">
        <v>0</v>
      </c>
      <c r="AR814" s="142">
        <v>64871787.710000001</v>
      </c>
      <c r="AS814" s="43">
        <v>451448754.92000002</v>
      </c>
      <c r="AT814" s="39">
        <f t="shared" si="348"/>
        <v>451448754.92000002</v>
      </c>
      <c r="AU814" s="18">
        <f>AJ814-AM814</f>
        <v>72474841.080000043</v>
      </c>
      <c r="AV814" s="18">
        <f>AM814-AP814</f>
        <v>94823219</v>
      </c>
      <c r="AW814" s="18">
        <f>AP814-AT814</f>
        <v>181253184.99999994</v>
      </c>
      <c r="AX814" s="123">
        <f>AP814/AJ814</f>
        <v>0.7908774248999999</v>
      </c>
    </row>
    <row r="815" spans="1:50" ht="18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1" t="s">
        <v>567</v>
      </c>
      <c r="AB815" s="42" t="s">
        <v>1015</v>
      </c>
      <c r="AC815" s="43"/>
      <c r="AD815" s="44">
        <v>0</v>
      </c>
      <c r="AE815" s="43">
        <v>883600000</v>
      </c>
      <c r="AF815" s="44">
        <v>0</v>
      </c>
      <c r="AG815" s="44">
        <v>0</v>
      </c>
      <c r="AH815" s="44">
        <v>0</v>
      </c>
      <c r="AI815" s="43">
        <f>AE815-AF815+AG815-AH815</f>
        <v>883600000</v>
      </c>
      <c r="AJ815" s="43">
        <f>AD815+AI815</f>
        <v>883600000</v>
      </c>
      <c r="AK815" s="44">
        <v>0</v>
      </c>
      <c r="AL815" s="142">
        <v>-14307634</v>
      </c>
      <c r="AM815" s="43">
        <v>755810877</v>
      </c>
      <c r="AN815" s="44">
        <v>0</v>
      </c>
      <c r="AO815" s="142">
        <v>599570477</v>
      </c>
      <c r="AP815" s="43">
        <v>701070477</v>
      </c>
      <c r="AQ815" s="44">
        <v>0</v>
      </c>
      <c r="AR815" s="142">
        <v>25566667</v>
      </c>
      <c r="AS815" s="43">
        <v>30866666</v>
      </c>
      <c r="AT815" s="39">
        <f t="shared" si="348"/>
        <v>30866666</v>
      </c>
      <c r="AU815" s="18">
        <f>AJ815-AM815</f>
        <v>127789123</v>
      </c>
      <c r="AV815" s="18">
        <f>AM815-AP815</f>
        <v>54740400</v>
      </c>
      <c r="AW815" s="18">
        <f>AP815-AT815</f>
        <v>670203811</v>
      </c>
      <c r="AX815" s="123">
        <f>AP815/AJ815</f>
        <v>0.79342516636487104</v>
      </c>
    </row>
    <row r="816" spans="1:50" ht="18.75" customHeight="1" x14ac:dyDescent="0.2">
      <c r="AA816" s="28" t="s">
        <v>288</v>
      </c>
      <c r="AB816" s="29" t="s">
        <v>568</v>
      </c>
      <c r="AC816" s="17"/>
      <c r="AD816" s="18"/>
      <c r="AE816" s="34"/>
      <c r="AF816" s="34"/>
      <c r="AG816" s="34"/>
      <c r="AH816" s="34"/>
      <c r="AI816" s="34"/>
      <c r="AJ816" s="18"/>
      <c r="AK816" s="34"/>
      <c r="AL816" s="147"/>
      <c r="AM816" s="18"/>
      <c r="AN816" s="18"/>
      <c r="AO816" s="148"/>
      <c r="AP816" s="110"/>
      <c r="AQ816" s="18"/>
      <c r="AR816" s="147"/>
      <c r="AS816" s="18"/>
      <c r="AT816" s="30"/>
      <c r="AU816" s="18"/>
      <c r="AV816" s="18"/>
      <c r="AW816" s="18"/>
      <c r="AX816" s="18"/>
    </row>
    <row r="817" spans="1:50" ht="18.75" customHeight="1" x14ac:dyDescent="0.2">
      <c r="A817" s="4" t="s">
        <v>55</v>
      </c>
      <c r="B817" s="4" t="s">
        <v>56</v>
      </c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1" t="s">
        <v>569</v>
      </c>
      <c r="AB817" s="42" t="s">
        <v>233</v>
      </c>
      <c r="AC817" s="43" t="s">
        <v>58</v>
      </c>
      <c r="AD817" s="43">
        <v>230000000</v>
      </c>
      <c r="AE817" s="44">
        <v>0</v>
      </c>
      <c r="AF817" s="44">
        <v>0</v>
      </c>
      <c r="AG817" s="44">
        <v>0</v>
      </c>
      <c r="AH817" s="44">
        <v>0</v>
      </c>
      <c r="AI817" s="44">
        <v>0</v>
      </c>
      <c r="AJ817" s="43">
        <v>230000000</v>
      </c>
      <c r="AK817" s="44">
        <v>0</v>
      </c>
      <c r="AL817" s="142">
        <v>8537964</v>
      </c>
      <c r="AM817" s="43">
        <v>229369254</v>
      </c>
      <c r="AN817" s="44">
        <v>0</v>
      </c>
      <c r="AO817" s="144">
        <v>0</v>
      </c>
      <c r="AP817" s="114">
        <v>220831290</v>
      </c>
      <c r="AQ817" s="34">
        <v>0</v>
      </c>
      <c r="AR817" s="147">
        <v>35500000</v>
      </c>
      <c r="AS817" s="18">
        <v>151633334</v>
      </c>
      <c r="AT817" s="39">
        <f t="shared" si="348"/>
        <v>151633334</v>
      </c>
      <c r="AU817" s="18">
        <f>AJ817-AM817</f>
        <v>630746</v>
      </c>
      <c r="AV817" s="18">
        <f>AM817-AP817</f>
        <v>8537964</v>
      </c>
      <c r="AW817" s="18">
        <f>AP817-AT817</f>
        <v>69197956</v>
      </c>
      <c r="AX817" s="123">
        <f>AP817/AJ817</f>
        <v>0.96013604347826087</v>
      </c>
    </row>
    <row r="818" spans="1:50" ht="18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1" t="s">
        <v>1099</v>
      </c>
      <c r="AB818" s="42" t="s">
        <v>1015</v>
      </c>
      <c r="AC818" s="43"/>
      <c r="AD818" s="44">
        <v>0</v>
      </c>
      <c r="AE818" s="43">
        <v>65000000</v>
      </c>
      <c r="AF818" s="44">
        <v>0</v>
      </c>
      <c r="AG818" s="43">
        <v>25000000</v>
      </c>
      <c r="AH818" s="44">
        <v>0</v>
      </c>
      <c r="AI818" s="43">
        <f>AE818-AF818+AG818-AH818</f>
        <v>90000000</v>
      </c>
      <c r="AJ818" s="43">
        <f>AD818+AI818</f>
        <v>90000000</v>
      </c>
      <c r="AK818" s="44">
        <v>0</v>
      </c>
      <c r="AL818" s="142">
        <v>36163539</v>
      </c>
      <c r="AM818" s="43">
        <v>36163539</v>
      </c>
      <c r="AN818" s="44">
        <v>0</v>
      </c>
      <c r="AO818" s="258">
        <v>0</v>
      </c>
      <c r="AP818" s="115">
        <v>0</v>
      </c>
      <c r="AQ818" s="34">
        <v>0</v>
      </c>
      <c r="AR818" s="145">
        <v>0</v>
      </c>
      <c r="AS818" s="34">
        <v>0</v>
      </c>
      <c r="AT818" s="39">
        <f t="shared" si="348"/>
        <v>0</v>
      </c>
      <c r="AU818" s="18">
        <f>AJ818-AM818</f>
        <v>53836461</v>
      </c>
      <c r="AV818" s="18">
        <f>AM818-AP818</f>
        <v>36163539</v>
      </c>
      <c r="AW818" s="133">
        <f>AP818-AT818</f>
        <v>0</v>
      </c>
      <c r="AX818" s="123">
        <f>AP818/AJ818</f>
        <v>0</v>
      </c>
    </row>
    <row r="819" spans="1:50" ht="18.75" customHeight="1" x14ac:dyDescent="0.2">
      <c r="AA819" s="28" t="s">
        <v>288</v>
      </c>
      <c r="AB819" s="29" t="s">
        <v>570</v>
      </c>
      <c r="AC819" s="17"/>
      <c r="AD819" s="18"/>
      <c r="AE819" s="34"/>
      <c r="AF819" s="34"/>
      <c r="AG819" s="34"/>
      <c r="AH819" s="34"/>
      <c r="AI819" s="34"/>
      <c r="AJ819" s="18"/>
      <c r="AK819" s="34"/>
      <c r="AL819" s="147"/>
      <c r="AM819" s="18"/>
      <c r="AN819" s="34"/>
      <c r="AO819" s="148"/>
      <c r="AP819" s="110"/>
      <c r="AQ819" s="34"/>
      <c r="AR819" s="147"/>
      <c r="AS819" s="18"/>
      <c r="AT819" s="39"/>
      <c r="AU819" s="18"/>
      <c r="AV819" s="18"/>
      <c r="AW819" s="18"/>
      <c r="AX819" s="18"/>
    </row>
    <row r="820" spans="1:50" ht="18.75" customHeight="1" x14ac:dyDescent="0.2">
      <c r="A820" s="4" t="s">
        <v>55</v>
      </c>
      <c r="B820" s="4" t="s">
        <v>56</v>
      </c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1" t="s">
        <v>571</v>
      </c>
      <c r="AB820" s="42" t="s">
        <v>233</v>
      </c>
      <c r="AC820" s="43" t="s">
        <v>58</v>
      </c>
      <c r="AD820" s="43">
        <v>300000000</v>
      </c>
      <c r="AE820" s="44">
        <v>0</v>
      </c>
      <c r="AF820" s="44">
        <v>0</v>
      </c>
      <c r="AG820" s="44">
        <v>0</v>
      </c>
      <c r="AH820" s="43">
        <v>60000000</v>
      </c>
      <c r="AI820" s="43">
        <f>AE820-AF820+AG820-AH820</f>
        <v>-60000000</v>
      </c>
      <c r="AJ820" s="43">
        <f>AD820+AI820</f>
        <v>240000000</v>
      </c>
      <c r="AK820" s="44">
        <v>0</v>
      </c>
      <c r="AL820" s="142">
        <v>68500001</v>
      </c>
      <c r="AM820" s="43">
        <v>235500000</v>
      </c>
      <c r="AN820" s="44">
        <v>0</v>
      </c>
      <c r="AO820" s="144">
        <v>37966694</v>
      </c>
      <c r="AP820" s="114">
        <v>192966693</v>
      </c>
      <c r="AQ820" s="18">
        <v>5933333</v>
      </c>
      <c r="AR820" s="147">
        <v>10583333</v>
      </c>
      <c r="AS820" s="18">
        <v>110066665</v>
      </c>
      <c r="AT820" s="39">
        <f t="shared" ref="AT820" si="363">AQ820+AS820</f>
        <v>115999998</v>
      </c>
      <c r="AU820" s="18">
        <f>AJ820-AM820</f>
        <v>4500000</v>
      </c>
      <c r="AV820" s="18">
        <f>AM820-AP820</f>
        <v>42533307</v>
      </c>
      <c r="AW820" s="18">
        <f>AP820-AT820</f>
        <v>76966695</v>
      </c>
      <c r="AX820" s="123">
        <f>AP820/AJ820</f>
        <v>0.80402788749999998</v>
      </c>
    </row>
    <row r="821" spans="1:50" ht="18.75" customHeight="1" x14ac:dyDescent="0.2">
      <c r="AA821" s="28" t="s">
        <v>288</v>
      </c>
      <c r="AB821" s="29" t="s">
        <v>400</v>
      </c>
      <c r="AC821" s="17"/>
      <c r="AD821" s="18"/>
      <c r="AE821" s="34"/>
      <c r="AF821" s="34"/>
      <c r="AG821" s="34"/>
      <c r="AH821" s="34"/>
      <c r="AI821" s="34"/>
      <c r="AJ821" s="18"/>
      <c r="AK821" s="34"/>
      <c r="AL821" s="147"/>
      <c r="AM821" s="18"/>
      <c r="AN821" s="34"/>
      <c r="AO821" s="148"/>
      <c r="AP821" s="110"/>
      <c r="AQ821" s="18"/>
      <c r="AR821" s="147"/>
      <c r="AS821" s="18"/>
      <c r="AT821" s="39"/>
      <c r="AU821" s="18"/>
      <c r="AV821" s="110"/>
      <c r="AW821" s="18"/>
      <c r="AX821" s="18"/>
    </row>
    <row r="822" spans="1:50" ht="18.75" customHeight="1" x14ac:dyDescent="0.2">
      <c r="A822" s="4" t="s">
        <v>55</v>
      </c>
      <c r="B822" s="4" t="s">
        <v>56</v>
      </c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1" t="s">
        <v>425</v>
      </c>
      <c r="AB822" s="42" t="s">
        <v>233</v>
      </c>
      <c r="AC822" s="43" t="s">
        <v>58</v>
      </c>
      <c r="AD822" s="43">
        <v>440000000</v>
      </c>
      <c r="AE822" s="44">
        <v>0</v>
      </c>
      <c r="AF822" s="44">
        <v>0</v>
      </c>
      <c r="AG822" s="43">
        <f>42000000+12000000</f>
        <v>54000000</v>
      </c>
      <c r="AH822" s="44">
        <v>0</v>
      </c>
      <c r="AI822" s="43">
        <f>AE822-AF822+AG822-AH822</f>
        <v>54000000</v>
      </c>
      <c r="AJ822" s="43">
        <f>AD822+AI822</f>
        <v>494000000</v>
      </c>
      <c r="AK822" s="44">
        <v>0</v>
      </c>
      <c r="AL822" s="142">
        <v>43873251.329999998</v>
      </c>
      <c r="AM822" s="43">
        <v>471773252.32999998</v>
      </c>
      <c r="AN822" s="44">
        <v>0</v>
      </c>
      <c r="AO822" s="144">
        <v>40073251.329999998</v>
      </c>
      <c r="AP822" s="114">
        <v>467973252.32999998</v>
      </c>
      <c r="AQ822" s="18">
        <v>8200000</v>
      </c>
      <c r="AR822" s="147">
        <v>60866667</v>
      </c>
      <c r="AS822" s="18">
        <v>334483334</v>
      </c>
      <c r="AT822" s="39">
        <f t="shared" ref="AT822:AT823" si="364">AQ822+AS822</f>
        <v>342683334</v>
      </c>
      <c r="AU822" s="18">
        <f>AJ822-AM822</f>
        <v>22226747.670000017</v>
      </c>
      <c r="AV822" s="18">
        <f>AM822-AP822</f>
        <v>3800000</v>
      </c>
      <c r="AW822" s="18">
        <f>AP822-AT822</f>
        <v>125289918.32999998</v>
      </c>
      <c r="AX822" s="123">
        <f>AP822/AJ822</f>
        <v>0.94731427597165985</v>
      </c>
    </row>
    <row r="823" spans="1:50" ht="18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1" t="s">
        <v>1256</v>
      </c>
      <c r="AB823" s="42" t="s">
        <v>1015</v>
      </c>
      <c r="AC823" s="43"/>
      <c r="AD823" s="44">
        <v>0</v>
      </c>
      <c r="AE823" s="44">
        <v>0</v>
      </c>
      <c r="AF823" s="44">
        <v>0</v>
      </c>
      <c r="AG823" s="43">
        <v>120000000</v>
      </c>
      <c r="AH823" s="43">
        <v>30000000</v>
      </c>
      <c r="AI823" s="43">
        <f>AE823-AF823+AG823-AH823</f>
        <v>90000000</v>
      </c>
      <c r="AJ823" s="43">
        <f>AD823+AI823</f>
        <v>90000000</v>
      </c>
      <c r="AK823" s="44">
        <v>0</v>
      </c>
      <c r="AL823" s="142">
        <v>41869923</v>
      </c>
      <c r="AM823" s="43">
        <v>86069923</v>
      </c>
      <c r="AN823" s="44">
        <v>0</v>
      </c>
      <c r="AO823" s="142">
        <v>23086642</v>
      </c>
      <c r="AP823" s="43">
        <v>59003309</v>
      </c>
      <c r="AQ823" s="34">
        <v>0</v>
      </c>
      <c r="AR823" s="18">
        <v>4400000</v>
      </c>
      <c r="AS823" s="18">
        <v>4400000</v>
      </c>
      <c r="AT823" s="39">
        <f t="shared" si="364"/>
        <v>4400000</v>
      </c>
      <c r="AU823" s="18">
        <f>AJ823-AM823</f>
        <v>3930077</v>
      </c>
      <c r="AV823" s="18">
        <f>AM823-AP823</f>
        <v>27066614</v>
      </c>
      <c r="AW823" s="18">
        <f>AP823-AT823</f>
        <v>54603309</v>
      </c>
      <c r="AX823" s="123">
        <f>AP823/AJ823</f>
        <v>0.65559232222222219</v>
      </c>
    </row>
    <row r="824" spans="1:50" ht="18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73" t="s">
        <v>1016</v>
      </c>
      <c r="AB824" s="74" t="s">
        <v>1068</v>
      </c>
      <c r="AC824" s="43"/>
      <c r="AD824" s="43"/>
      <c r="AE824" s="44"/>
      <c r="AF824" s="44"/>
      <c r="AG824" s="43"/>
      <c r="AH824" s="44"/>
      <c r="AI824" s="43"/>
      <c r="AJ824" s="43"/>
      <c r="AK824" s="44"/>
      <c r="AL824" s="43"/>
      <c r="AM824" s="43"/>
      <c r="AN824" s="44"/>
      <c r="AO824" s="115"/>
      <c r="AP824" s="115"/>
      <c r="AQ824" s="34"/>
      <c r="AR824" s="34"/>
      <c r="AS824" s="34"/>
      <c r="AT824" s="40"/>
      <c r="AU824" s="18"/>
      <c r="AV824" s="133"/>
      <c r="AW824" s="18"/>
      <c r="AX824" s="123"/>
    </row>
    <row r="825" spans="1:50" ht="18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73" t="s">
        <v>1017</v>
      </c>
      <c r="AB825" s="74" t="s">
        <v>1069</v>
      </c>
      <c r="AC825" s="43"/>
      <c r="AD825" s="43"/>
      <c r="AE825" s="44"/>
      <c r="AF825" s="44"/>
      <c r="AG825" s="43"/>
      <c r="AH825" s="44"/>
      <c r="AI825" s="43"/>
      <c r="AJ825" s="43"/>
      <c r="AK825" s="44"/>
      <c r="AL825" s="43"/>
      <c r="AM825" s="43"/>
      <c r="AN825" s="44"/>
      <c r="AO825" s="115"/>
      <c r="AP825" s="115"/>
      <c r="AQ825" s="34"/>
      <c r="AR825" s="34"/>
      <c r="AS825" s="34"/>
      <c r="AT825" s="40"/>
      <c r="AU825" s="18"/>
      <c r="AV825" s="133"/>
      <c r="AW825" s="18"/>
      <c r="AX825" s="123"/>
    </row>
    <row r="826" spans="1:50" ht="18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73" t="s">
        <v>1018</v>
      </c>
      <c r="AB826" s="74" t="s">
        <v>286</v>
      </c>
      <c r="AC826" s="43"/>
      <c r="AD826" s="43"/>
      <c r="AE826" s="44"/>
      <c r="AF826" s="44"/>
      <c r="AG826" s="43"/>
      <c r="AH826" s="44"/>
      <c r="AI826" s="43"/>
      <c r="AJ826" s="43"/>
      <c r="AK826" s="44"/>
      <c r="AL826" s="43"/>
      <c r="AM826" s="43"/>
      <c r="AN826" s="44"/>
      <c r="AO826" s="115"/>
      <c r="AP826" s="115"/>
      <c r="AQ826" s="34"/>
      <c r="AR826" s="34"/>
      <c r="AS826" s="34"/>
      <c r="AT826" s="40"/>
      <c r="AU826" s="18"/>
      <c r="AV826" s="133"/>
      <c r="AW826" s="18"/>
      <c r="AX826" s="123"/>
    </row>
    <row r="827" spans="1:50" ht="18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73" t="s">
        <v>1021</v>
      </c>
      <c r="AB827" s="74" t="s">
        <v>1070</v>
      </c>
      <c r="AC827" s="43"/>
      <c r="AD827" s="43"/>
      <c r="AE827" s="44"/>
      <c r="AF827" s="44"/>
      <c r="AG827" s="43"/>
      <c r="AH827" s="44"/>
      <c r="AI827" s="43"/>
      <c r="AJ827" s="43"/>
      <c r="AK827" s="44"/>
      <c r="AL827" s="43"/>
      <c r="AM827" s="43"/>
      <c r="AN827" s="44"/>
      <c r="AO827" s="115"/>
      <c r="AP827" s="115"/>
      <c r="AQ827" s="34"/>
      <c r="AR827" s="34"/>
      <c r="AS827" s="34"/>
      <c r="AT827" s="40"/>
      <c r="AU827" s="18"/>
      <c r="AV827" s="133"/>
      <c r="AW827" s="18"/>
      <c r="AX827" s="123"/>
    </row>
    <row r="828" spans="1:50" ht="18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1" t="s">
        <v>1019</v>
      </c>
      <c r="AB828" s="42" t="s">
        <v>1005</v>
      </c>
      <c r="AC828" s="43"/>
      <c r="AD828" s="44">
        <v>0</v>
      </c>
      <c r="AE828" s="43">
        <v>4577320</v>
      </c>
      <c r="AF828" s="44">
        <v>0</v>
      </c>
      <c r="AG828" s="44">
        <v>0</v>
      </c>
      <c r="AH828" s="44">
        <v>0</v>
      </c>
      <c r="AI828" s="43">
        <f>AE828-AF828+AG828-AH828</f>
        <v>4577320</v>
      </c>
      <c r="AJ828" s="43">
        <f>AD828+AI828</f>
        <v>4577320</v>
      </c>
      <c r="AK828" s="44">
        <v>0</v>
      </c>
      <c r="AL828" s="43">
        <v>-879912</v>
      </c>
      <c r="AM828" s="43">
        <v>3697408</v>
      </c>
      <c r="AN828" s="44">
        <v>0</v>
      </c>
      <c r="AO828" s="43">
        <v>-879912</v>
      </c>
      <c r="AP828" s="43">
        <v>3697408</v>
      </c>
      <c r="AQ828" s="34">
        <v>0</v>
      </c>
      <c r="AR828" s="34">
        <v>0</v>
      </c>
      <c r="AS828" s="18">
        <v>3697408</v>
      </c>
      <c r="AT828" s="39">
        <f t="shared" ref="AT828" si="365">AQ828+AS828</f>
        <v>3697408</v>
      </c>
      <c r="AU828" s="18">
        <f>AJ828-AM828</f>
        <v>879912</v>
      </c>
      <c r="AV828" s="34">
        <f>AM828-AP828</f>
        <v>0</v>
      </c>
      <c r="AW828" s="34">
        <f>AP828-AT828</f>
        <v>0</v>
      </c>
      <c r="AX828" s="123">
        <f>AP828/AJ828</f>
        <v>0.80776699029126209</v>
      </c>
    </row>
    <row r="829" spans="1:50" s="50" customFormat="1" ht="18.75" customHeight="1" x14ac:dyDescent="0.2"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46"/>
      <c r="AB829" s="47" t="s">
        <v>572</v>
      </c>
      <c r="AC829" s="47"/>
      <c r="AD829" s="48">
        <f t="shared" ref="AD829:AW829" si="366">SUM(AD733:AD828)</f>
        <v>13989429350</v>
      </c>
      <c r="AE829" s="48">
        <f t="shared" si="366"/>
        <v>3812553585.4200001</v>
      </c>
      <c r="AF829" s="49">
        <f t="shared" si="366"/>
        <v>0</v>
      </c>
      <c r="AG829" s="48">
        <f t="shared" si="366"/>
        <v>4217311252.1399999</v>
      </c>
      <c r="AH829" s="48">
        <f t="shared" si="366"/>
        <v>3083311252.1400003</v>
      </c>
      <c r="AI829" s="48">
        <f t="shared" si="366"/>
        <v>4946553585.4200001</v>
      </c>
      <c r="AJ829" s="48">
        <f t="shared" si="366"/>
        <v>18935982935.419998</v>
      </c>
      <c r="AK829" s="49">
        <f t="shared" si="366"/>
        <v>0</v>
      </c>
      <c r="AL829" s="48">
        <f t="shared" si="366"/>
        <v>1785248789.3299999</v>
      </c>
      <c r="AM829" s="48">
        <f t="shared" si="366"/>
        <v>15401898296.83</v>
      </c>
      <c r="AN829" s="49">
        <f t="shared" si="366"/>
        <v>0</v>
      </c>
      <c r="AO829" s="48">
        <f t="shared" si="366"/>
        <v>757558123.33000004</v>
      </c>
      <c r="AP829" s="48">
        <f t="shared" si="366"/>
        <v>13352435020.83</v>
      </c>
      <c r="AQ829" s="48">
        <f t="shared" si="366"/>
        <v>84977014.510000005</v>
      </c>
      <c r="AR829" s="48">
        <f t="shared" si="366"/>
        <v>1749439478.6199999</v>
      </c>
      <c r="AS829" s="48">
        <f t="shared" si="366"/>
        <v>7117932350.1700001</v>
      </c>
      <c r="AT829" s="48">
        <f t="shared" si="366"/>
        <v>7202909364.6800003</v>
      </c>
      <c r="AU829" s="48">
        <f t="shared" si="366"/>
        <v>3534084638.5900002</v>
      </c>
      <c r="AV829" s="48">
        <f t="shared" si="366"/>
        <v>2049463276.0000002</v>
      </c>
      <c r="AW829" s="48">
        <f t="shared" si="366"/>
        <v>6149525656.1499996</v>
      </c>
      <c r="AX829" s="24">
        <f>AP829/AJ829</f>
        <v>0.70513556472709427</v>
      </c>
    </row>
    <row r="830" spans="1:50" ht="18.75" customHeight="1" x14ac:dyDescent="0.2">
      <c r="AA830" s="16"/>
      <c r="AB830" s="17"/>
      <c r="AC830" s="17"/>
      <c r="AD830" s="18"/>
      <c r="AE830" s="34"/>
      <c r="AF830" s="34"/>
      <c r="AG830" s="34"/>
      <c r="AH830" s="34"/>
      <c r="AI830" s="34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</row>
    <row r="831" spans="1:50" s="25" customFormat="1" ht="18.75" customHeight="1" x14ac:dyDescent="0.2"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66"/>
      <c r="AB831" s="21" t="s">
        <v>573</v>
      </c>
      <c r="AC831" s="67"/>
      <c r="AD831" s="63"/>
      <c r="AE831" s="72"/>
      <c r="AF831" s="72"/>
      <c r="AG831" s="72"/>
      <c r="AH831" s="72"/>
      <c r="AI831" s="72"/>
      <c r="AJ831" s="63"/>
      <c r="AK831" s="63"/>
      <c r="AL831" s="63"/>
      <c r="AM831" s="63"/>
      <c r="AN831" s="63"/>
      <c r="AO831" s="63"/>
      <c r="AP831" s="63"/>
      <c r="AQ831" s="63"/>
      <c r="AR831" s="63"/>
      <c r="AS831" s="63"/>
      <c r="AT831" s="63"/>
      <c r="AU831" s="63"/>
      <c r="AV831" s="63"/>
      <c r="AW831" s="63"/>
      <c r="AX831" s="63"/>
    </row>
    <row r="832" spans="1:50" ht="18.75" customHeight="1" x14ac:dyDescent="0.2">
      <c r="AA832" s="16"/>
      <c r="AB832" s="29" t="s">
        <v>286</v>
      </c>
      <c r="AC832" s="17"/>
      <c r="AD832" s="18"/>
      <c r="AE832" s="34"/>
      <c r="AF832" s="34"/>
      <c r="AG832" s="34"/>
      <c r="AH832" s="34"/>
      <c r="AI832" s="34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</row>
    <row r="833" spans="1:50" ht="18.75" customHeight="1" x14ac:dyDescent="0.2">
      <c r="AA833" s="16"/>
      <c r="AB833" s="29" t="s">
        <v>574</v>
      </c>
      <c r="AC833" s="17"/>
      <c r="AD833" s="18"/>
      <c r="AE833" s="34"/>
      <c r="AF833" s="34"/>
      <c r="AG833" s="34"/>
      <c r="AH833" s="34"/>
      <c r="AI833" s="34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</row>
    <row r="834" spans="1:50" ht="18.75" customHeight="1" x14ac:dyDescent="0.2">
      <c r="AA834" s="16"/>
      <c r="AB834" s="29" t="s">
        <v>575</v>
      </c>
      <c r="AC834" s="17"/>
      <c r="AD834" s="18"/>
      <c r="AE834" s="34"/>
      <c r="AF834" s="34"/>
      <c r="AG834" s="34"/>
      <c r="AH834" s="34"/>
      <c r="AI834" s="34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</row>
    <row r="835" spans="1:50" ht="18.75" customHeight="1" x14ac:dyDescent="0.2">
      <c r="AA835" s="16"/>
      <c r="AB835" s="29" t="s">
        <v>576</v>
      </c>
      <c r="AC835" s="17"/>
      <c r="AD835" s="18"/>
      <c r="AE835" s="34"/>
      <c r="AF835" s="34"/>
      <c r="AG835" s="34"/>
      <c r="AH835" s="34"/>
      <c r="AI835" s="34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</row>
    <row r="836" spans="1:50" x14ac:dyDescent="0.2">
      <c r="AA836" s="16"/>
      <c r="AB836" s="29" t="s">
        <v>577</v>
      </c>
      <c r="AC836" s="17"/>
      <c r="AD836" s="18"/>
      <c r="AE836" s="34"/>
      <c r="AF836" s="34"/>
      <c r="AG836" s="34"/>
      <c r="AH836" s="34"/>
      <c r="AI836" s="34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</row>
    <row r="837" spans="1:50" ht="25.5" x14ac:dyDescent="0.2">
      <c r="AA837" s="16"/>
      <c r="AB837" s="29" t="s">
        <v>578</v>
      </c>
      <c r="AC837" s="17"/>
      <c r="AD837" s="18"/>
      <c r="AE837" s="34"/>
      <c r="AF837" s="34"/>
      <c r="AG837" s="34"/>
      <c r="AH837" s="34"/>
      <c r="AI837" s="34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30"/>
      <c r="AU837" s="18"/>
      <c r="AV837" s="18"/>
      <c r="AW837" s="18"/>
      <c r="AX837" s="18"/>
    </row>
    <row r="838" spans="1:50" ht="25.5" x14ac:dyDescent="0.2">
      <c r="AA838" s="16"/>
      <c r="AB838" s="29" t="s">
        <v>579</v>
      </c>
      <c r="AC838" s="17"/>
      <c r="AD838" s="18"/>
      <c r="AE838" s="34"/>
      <c r="AF838" s="34"/>
      <c r="AG838" s="34"/>
      <c r="AH838" s="34"/>
      <c r="AI838" s="34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30"/>
      <c r="AU838" s="18"/>
      <c r="AV838" s="18"/>
      <c r="AW838" s="18"/>
      <c r="AX838" s="18"/>
    </row>
    <row r="839" spans="1:50" x14ac:dyDescent="0.2">
      <c r="A839" s="4" t="s">
        <v>55</v>
      </c>
      <c r="B839" s="4" t="s">
        <v>56</v>
      </c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1" t="s">
        <v>580</v>
      </c>
      <c r="AB839" s="42" t="s">
        <v>233</v>
      </c>
      <c r="AC839" s="43" t="s">
        <v>58</v>
      </c>
      <c r="AD839" s="43">
        <v>50000000</v>
      </c>
      <c r="AE839" s="44">
        <v>0</v>
      </c>
      <c r="AF839" s="44">
        <v>0</v>
      </c>
      <c r="AG839" s="44">
        <v>0</v>
      </c>
      <c r="AH839" s="44">
        <v>0</v>
      </c>
      <c r="AI839" s="44">
        <v>0</v>
      </c>
      <c r="AJ839" s="43">
        <v>50000000</v>
      </c>
      <c r="AK839" s="44">
        <v>0</v>
      </c>
      <c r="AL839" s="44">
        <v>0</v>
      </c>
      <c r="AM839" s="44">
        <v>0</v>
      </c>
      <c r="AN839" s="44">
        <v>0</v>
      </c>
      <c r="AO839" s="44">
        <v>0</v>
      </c>
      <c r="AP839" s="44">
        <v>0</v>
      </c>
      <c r="AQ839" s="34">
        <v>0</v>
      </c>
      <c r="AR839" s="34">
        <v>0</v>
      </c>
      <c r="AS839" s="34">
        <v>0</v>
      </c>
      <c r="AT839" s="40">
        <f t="shared" ref="AT839:AT888" si="367">AQ839+AS839</f>
        <v>0</v>
      </c>
      <c r="AU839" s="18">
        <f>AJ839-AM839</f>
        <v>50000000</v>
      </c>
      <c r="AV839" s="133">
        <f>AM839-AP839</f>
        <v>0</v>
      </c>
      <c r="AW839" s="34">
        <f>AP839-AT839</f>
        <v>0</v>
      </c>
      <c r="AX839" s="123">
        <f>AP839/AJ839</f>
        <v>0</v>
      </c>
    </row>
    <row r="840" spans="1:50" ht="38.25" x14ac:dyDescent="0.2">
      <c r="AA840" s="28" t="s">
        <v>288</v>
      </c>
      <c r="AB840" s="29" t="s">
        <v>581</v>
      </c>
      <c r="AC840" s="17"/>
      <c r="AD840" s="18"/>
      <c r="AE840" s="18"/>
      <c r="AF840" s="18"/>
      <c r="AG840" s="18"/>
      <c r="AH840" s="18"/>
      <c r="AI840" s="18"/>
      <c r="AJ840" s="18"/>
      <c r="AK840" s="34"/>
      <c r="AL840" s="34"/>
      <c r="AM840" s="34"/>
      <c r="AN840" s="34"/>
      <c r="AO840" s="34"/>
      <c r="AP840" s="34"/>
      <c r="AQ840" s="34"/>
      <c r="AR840" s="34"/>
      <c r="AS840" s="34"/>
      <c r="AT840" s="40"/>
      <c r="AU840" s="18"/>
      <c r="AV840" s="34"/>
      <c r="AW840" s="34"/>
      <c r="AX840" s="18"/>
    </row>
    <row r="841" spans="1:50" x14ac:dyDescent="0.2">
      <c r="A841" s="4" t="s">
        <v>55</v>
      </c>
      <c r="B841" s="4" t="s">
        <v>56</v>
      </c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1" t="s">
        <v>582</v>
      </c>
      <c r="AB841" s="42" t="s">
        <v>233</v>
      </c>
      <c r="AC841" s="43" t="s">
        <v>58</v>
      </c>
      <c r="AD841" s="43">
        <v>75000000</v>
      </c>
      <c r="AE841" s="44">
        <v>0</v>
      </c>
      <c r="AF841" s="44">
        <v>0</v>
      </c>
      <c r="AG841" s="44">
        <v>0</v>
      </c>
      <c r="AH841" s="43">
        <v>75000000</v>
      </c>
      <c r="AI841" s="43">
        <f>AE841-AF841+AG841-AH841</f>
        <v>-75000000</v>
      </c>
      <c r="AJ841" s="44">
        <f>AD841+AI841</f>
        <v>0</v>
      </c>
      <c r="AK841" s="44">
        <v>0</v>
      </c>
      <c r="AL841" s="44">
        <v>0</v>
      </c>
      <c r="AM841" s="44">
        <v>0</v>
      </c>
      <c r="AN841" s="44">
        <v>0</v>
      </c>
      <c r="AO841" s="44">
        <v>0</v>
      </c>
      <c r="AP841" s="44">
        <v>0</v>
      </c>
      <c r="AQ841" s="34">
        <v>0</v>
      </c>
      <c r="AR841" s="34">
        <v>0</v>
      </c>
      <c r="AS841" s="34">
        <v>0</v>
      </c>
      <c r="AT841" s="40">
        <f t="shared" ref="AT841" si="368">AQ841+AS841</f>
        <v>0</v>
      </c>
      <c r="AU841" s="34">
        <f>AJ841-AM841</f>
        <v>0</v>
      </c>
      <c r="AV841" s="133">
        <f>AM841-AP841</f>
        <v>0</v>
      </c>
      <c r="AW841" s="34">
        <f>AP841-AT841</f>
        <v>0</v>
      </c>
      <c r="AX841" s="123">
        <v>0</v>
      </c>
    </row>
    <row r="842" spans="1:50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73" t="s">
        <v>288</v>
      </c>
      <c r="AB842" s="74" t="s">
        <v>600</v>
      </c>
      <c r="AC842" s="43"/>
      <c r="AD842" s="43"/>
      <c r="AE842" s="44"/>
      <c r="AF842" s="44"/>
      <c r="AH842" s="43"/>
      <c r="AK842" s="44"/>
      <c r="AL842" s="44"/>
      <c r="AM842" s="44"/>
      <c r="AN842" s="44"/>
      <c r="AO842" s="44"/>
      <c r="AP842" s="44"/>
      <c r="AQ842" s="34"/>
      <c r="AR842" s="34"/>
      <c r="AS842" s="34"/>
      <c r="AT842" s="40"/>
      <c r="AU842" s="43"/>
      <c r="AV842" s="44"/>
      <c r="AW842" s="44"/>
      <c r="AX842" s="32"/>
    </row>
    <row r="843" spans="1:50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1" t="s">
        <v>911</v>
      </c>
      <c r="AB843" s="42" t="s">
        <v>233</v>
      </c>
      <c r="AC843" s="43"/>
      <c r="AD843" s="44">
        <v>0</v>
      </c>
      <c r="AE843" s="44">
        <v>0</v>
      </c>
      <c r="AF843" s="44">
        <v>0</v>
      </c>
      <c r="AG843" s="43">
        <f>31295090+46856431.35</f>
        <v>78151521.349999994</v>
      </c>
      <c r="AH843" s="44">
        <v>0</v>
      </c>
      <c r="AI843" s="43">
        <f>AE842-AF842+AG843-AH842</f>
        <v>78151521.349999994</v>
      </c>
      <c r="AJ843" s="43">
        <f>AD842+AI843</f>
        <v>78151521.349999994</v>
      </c>
      <c r="AK843" s="44">
        <v>0</v>
      </c>
      <c r="AL843" s="44">
        <v>0</v>
      </c>
      <c r="AM843" s="44">
        <v>0</v>
      </c>
      <c r="AN843" s="44">
        <v>0</v>
      </c>
      <c r="AO843" s="44">
        <v>0</v>
      </c>
      <c r="AP843" s="44">
        <v>0</v>
      </c>
      <c r="AQ843" s="34">
        <v>0</v>
      </c>
      <c r="AR843" s="34">
        <v>0</v>
      </c>
      <c r="AS843" s="34">
        <v>0</v>
      </c>
      <c r="AT843" s="40">
        <f t="shared" ref="AT843" si="369">AQ843+AS843</f>
        <v>0</v>
      </c>
      <c r="AU843" s="18">
        <f>AJ843-AM843</f>
        <v>78151521.349999994</v>
      </c>
      <c r="AV843" s="133">
        <f>AM843-AP843</f>
        <v>0</v>
      </c>
      <c r="AW843" s="34">
        <f>AP843-AT843</f>
        <v>0</v>
      </c>
      <c r="AX843" s="123">
        <f>AP843/AJ843</f>
        <v>0</v>
      </c>
    </row>
    <row r="844" spans="1:50" x14ac:dyDescent="0.2">
      <c r="AA844" s="16"/>
      <c r="AB844" s="17"/>
      <c r="AC844" s="17"/>
      <c r="AD844" s="18"/>
      <c r="AE844" s="34"/>
      <c r="AF844" s="34"/>
      <c r="AG844" s="34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30"/>
      <c r="AU844" s="18"/>
      <c r="AV844" s="18"/>
      <c r="AW844" s="18"/>
      <c r="AX844" s="18"/>
    </row>
    <row r="845" spans="1:50" x14ac:dyDescent="0.2">
      <c r="AA845" s="16"/>
      <c r="AB845" s="29" t="s">
        <v>179</v>
      </c>
      <c r="AC845" s="17"/>
      <c r="AD845" s="18"/>
      <c r="AE845" s="34"/>
      <c r="AF845" s="34"/>
      <c r="AG845" s="34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30"/>
      <c r="AU845" s="18"/>
      <c r="AV845" s="18"/>
      <c r="AW845" s="18"/>
      <c r="AX845" s="18"/>
    </row>
    <row r="846" spans="1:50" x14ac:dyDescent="0.2">
      <c r="AA846" s="16"/>
      <c r="AB846" s="29" t="s">
        <v>181</v>
      </c>
      <c r="AC846" s="17"/>
      <c r="AD846" s="18"/>
      <c r="AE846" s="34"/>
      <c r="AF846" s="34"/>
      <c r="AG846" s="34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30"/>
      <c r="AU846" s="18"/>
      <c r="AV846" s="18"/>
      <c r="AW846" s="18"/>
      <c r="AX846" s="18"/>
    </row>
    <row r="847" spans="1:50" ht="25.5" x14ac:dyDescent="0.2">
      <c r="AA847" s="16"/>
      <c r="AB847" s="29" t="s">
        <v>185</v>
      </c>
      <c r="AC847" s="17"/>
      <c r="AD847" s="18"/>
      <c r="AE847" s="34"/>
      <c r="AF847" s="34"/>
      <c r="AG847" s="34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30"/>
      <c r="AU847" s="18"/>
      <c r="AV847" s="18"/>
      <c r="AW847" s="18"/>
      <c r="AX847" s="18"/>
    </row>
    <row r="848" spans="1:50" ht="25.5" x14ac:dyDescent="0.2">
      <c r="AA848" s="28" t="s">
        <v>288</v>
      </c>
      <c r="AB848" s="29" t="s">
        <v>583</v>
      </c>
      <c r="AC848" s="17"/>
      <c r="AD848" s="18"/>
      <c r="AE848" s="34"/>
      <c r="AF848" s="34"/>
      <c r="AG848" s="34"/>
      <c r="AH848" s="18"/>
      <c r="AI848" s="18"/>
      <c r="AJ848" s="18"/>
      <c r="AK848" s="34"/>
      <c r="AL848" s="34"/>
      <c r="AM848" s="34"/>
      <c r="AN848" s="34"/>
      <c r="AO848" s="34"/>
      <c r="AP848" s="34"/>
      <c r="AQ848" s="18"/>
      <c r="AR848" s="18"/>
      <c r="AS848" s="18"/>
      <c r="AT848" s="30"/>
      <c r="AU848" s="18"/>
      <c r="AV848" s="18"/>
      <c r="AW848" s="18"/>
      <c r="AX848" s="18"/>
    </row>
    <row r="849" spans="1:50" x14ac:dyDescent="0.2">
      <c r="A849" s="4" t="s">
        <v>55</v>
      </c>
      <c r="B849" s="4" t="s">
        <v>56</v>
      </c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1" t="s">
        <v>584</v>
      </c>
      <c r="AB849" s="42" t="s">
        <v>233</v>
      </c>
      <c r="AC849" s="43" t="s">
        <v>58</v>
      </c>
      <c r="AD849" s="43">
        <v>50000000</v>
      </c>
      <c r="AE849" s="44">
        <v>0</v>
      </c>
      <c r="AF849" s="44">
        <v>0</v>
      </c>
      <c r="AG849" s="44">
        <v>0</v>
      </c>
      <c r="AH849" s="44">
        <v>0</v>
      </c>
      <c r="AI849" s="44">
        <v>0</v>
      </c>
      <c r="AJ849" s="43">
        <v>50000000</v>
      </c>
      <c r="AK849" s="44">
        <v>0</v>
      </c>
      <c r="AL849" s="44">
        <f>AM849-JUNIO!AM787</f>
        <v>0</v>
      </c>
      <c r="AM849" s="43">
        <v>43169856.109999999</v>
      </c>
      <c r="AN849" s="43">
        <v>0</v>
      </c>
      <c r="AO849" s="44">
        <v>0</v>
      </c>
      <c r="AP849" s="43">
        <v>43169856.109999999</v>
      </c>
      <c r="AQ849" s="43">
        <v>2662120</v>
      </c>
      <c r="AR849" s="43">
        <v>29643725</v>
      </c>
      <c r="AS849" s="43">
        <v>40000346.240000002</v>
      </c>
      <c r="AT849" s="40">
        <f t="shared" si="367"/>
        <v>42662466.240000002</v>
      </c>
      <c r="AU849" s="18">
        <f>AJ849-AM849</f>
        <v>6830143.8900000006</v>
      </c>
      <c r="AV849" s="34">
        <f>AM849-AP849</f>
        <v>0</v>
      </c>
      <c r="AW849" s="18">
        <f>AP849-AT849</f>
        <v>507389.86999999732</v>
      </c>
      <c r="AX849" s="123">
        <f>AP849/AJ849</f>
        <v>0.86339712219999998</v>
      </c>
    </row>
    <row r="850" spans="1:50" ht="25.5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73" t="s">
        <v>288</v>
      </c>
      <c r="AB850" s="74" t="s">
        <v>1375</v>
      </c>
      <c r="AC850" s="43"/>
      <c r="AD850" s="43"/>
      <c r="AE850" s="44"/>
      <c r="AF850" s="44"/>
      <c r="AG850" s="44"/>
      <c r="AH850" s="44"/>
      <c r="AI850" s="44"/>
      <c r="AJ850" s="43"/>
      <c r="AK850" s="44"/>
      <c r="AL850" s="44"/>
      <c r="AM850" s="43"/>
      <c r="AN850" s="43"/>
      <c r="AO850" s="44"/>
      <c r="AP850" s="43"/>
      <c r="AQ850" s="43"/>
      <c r="AR850" s="43"/>
      <c r="AS850" s="43"/>
      <c r="AT850" s="40"/>
      <c r="AU850" s="18"/>
      <c r="AV850" s="34"/>
      <c r="AW850" s="18"/>
      <c r="AX850" s="123"/>
    </row>
    <row r="851" spans="1:50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1" t="s">
        <v>1376</v>
      </c>
      <c r="AB851" s="42" t="s">
        <v>233</v>
      </c>
      <c r="AC851" s="43"/>
      <c r="AD851" s="43">
        <v>0</v>
      </c>
      <c r="AE851" s="44">
        <v>0</v>
      </c>
      <c r="AF851" s="44">
        <v>0</v>
      </c>
      <c r="AG851" s="43">
        <v>30000000</v>
      </c>
      <c r="AH851" s="44"/>
      <c r="AI851" s="43">
        <f>AE850-AF850+AG851-AH850</f>
        <v>30000000</v>
      </c>
      <c r="AJ851" s="43">
        <f>AD850+AI851</f>
        <v>30000000</v>
      </c>
      <c r="AK851" s="44">
        <v>0</v>
      </c>
      <c r="AL851" s="44">
        <v>0</v>
      </c>
      <c r="AM851" s="44">
        <v>0</v>
      </c>
      <c r="AN851" s="44">
        <v>0</v>
      </c>
      <c r="AO851" s="44">
        <v>0</v>
      </c>
      <c r="AP851" s="43">
        <v>0</v>
      </c>
      <c r="AQ851" s="44">
        <v>0</v>
      </c>
      <c r="AR851" s="44">
        <v>0</v>
      </c>
      <c r="AS851" s="44">
        <v>0</v>
      </c>
      <c r="AT851" s="40">
        <f t="shared" ref="AT851" si="370">AQ851+AS851</f>
        <v>0</v>
      </c>
      <c r="AU851" s="18">
        <f>AJ851-AM851</f>
        <v>30000000</v>
      </c>
      <c r="AV851" s="34">
        <f>AM851-AP851</f>
        <v>0</v>
      </c>
      <c r="AW851" s="18">
        <f>AP851-AT851</f>
        <v>0</v>
      </c>
      <c r="AX851" s="123">
        <f>AP851/AJ851</f>
        <v>0</v>
      </c>
    </row>
    <row r="852" spans="1:50" ht="25.5" x14ac:dyDescent="0.2">
      <c r="AA852" s="73" t="s">
        <v>288</v>
      </c>
      <c r="AB852" s="29" t="s">
        <v>637</v>
      </c>
      <c r="AC852" s="17"/>
      <c r="AD852" s="18"/>
      <c r="AE852" s="34"/>
      <c r="AF852" s="34"/>
      <c r="AG852" s="34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30"/>
      <c r="AU852" s="18"/>
      <c r="AV852" s="18"/>
      <c r="AW852" s="18"/>
      <c r="AX852" s="18"/>
    </row>
    <row r="853" spans="1:50" x14ac:dyDescent="0.2">
      <c r="AA853" s="41" t="s">
        <v>1253</v>
      </c>
      <c r="AB853" s="38" t="s">
        <v>233</v>
      </c>
      <c r="AC853" s="17"/>
      <c r="AD853" s="18">
        <v>0</v>
      </c>
      <c r="AE853" s="34">
        <v>0</v>
      </c>
      <c r="AF853" s="34">
        <v>0</v>
      </c>
      <c r="AG853" s="18">
        <v>30000000</v>
      </c>
      <c r="AH853" s="18">
        <v>30000000</v>
      </c>
      <c r="AI853" s="43">
        <f>AE853-AF853+AG853-AH853</f>
        <v>0</v>
      </c>
      <c r="AJ853" s="43">
        <f>AD853+AI853</f>
        <v>0</v>
      </c>
      <c r="AK853" s="34">
        <v>0</v>
      </c>
      <c r="AL853" s="34">
        <v>0</v>
      </c>
      <c r="AM853" s="34">
        <v>0</v>
      </c>
      <c r="AN853" s="34">
        <v>0</v>
      </c>
      <c r="AO853" s="34">
        <v>0</v>
      </c>
      <c r="AP853" s="34">
        <v>0</v>
      </c>
      <c r="AQ853" s="34">
        <v>0</v>
      </c>
      <c r="AR853" s="34">
        <v>0</v>
      </c>
      <c r="AS853" s="34">
        <v>0</v>
      </c>
      <c r="AT853" s="40">
        <f t="shared" ref="AT853" si="371">AQ853+AS853</f>
        <v>0</v>
      </c>
      <c r="AU853" s="34">
        <f>AJ853-AM853</f>
        <v>0</v>
      </c>
      <c r="AV853" s="133">
        <f>AM853-AP853</f>
        <v>0</v>
      </c>
      <c r="AW853" s="18">
        <f>AP853-AT853</f>
        <v>0</v>
      </c>
      <c r="AX853" s="123">
        <v>0</v>
      </c>
    </row>
    <row r="854" spans="1:50" x14ac:dyDescent="0.2">
      <c r="AA854" s="16"/>
      <c r="AB854" s="29"/>
      <c r="AC854" s="17"/>
      <c r="AD854" s="18"/>
      <c r="AE854" s="34"/>
      <c r="AF854" s="34"/>
      <c r="AG854" s="34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30"/>
      <c r="AU854" s="34"/>
      <c r="AV854" s="18"/>
      <c r="AW854" s="18"/>
      <c r="AX854" s="18"/>
    </row>
    <row r="855" spans="1:50" ht="25.5" x14ac:dyDescent="0.2">
      <c r="AA855" s="28" t="s">
        <v>288</v>
      </c>
      <c r="AB855" s="29" t="s">
        <v>585</v>
      </c>
      <c r="AC855" s="17"/>
      <c r="AD855" s="18"/>
      <c r="AE855" s="34"/>
      <c r="AF855" s="34"/>
      <c r="AG855" s="34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30"/>
      <c r="AU855" s="34"/>
      <c r="AV855" s="18"/>
      <c r="AW855" s="18"/>
      <c r="AX855" s="18"/>
    </row>
    <row r="856" spans="1:50" x14ac:dyDescent="0.2">
      <c r="A856" s="4" t="s">
        <v>55</v>
      </c>
      <c r="B856" s="4" t="s">
        <v>56</v>
      </c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1" t="s">
        <v>586</v>
      </c>
      <c r="AB856" s="42" t="s">
        <v>233</v>
      </c>
      <c r="AC856" s="43" t="s">
        <v>58</v>
      </c>
      <c r="AD856" s="43">
        <v>165000000</v>
      </c>
      <c r="AE856" s="44">
        <v>0</v>
      </c>
      <c r="AF856" s="44">
        <v>0</v>
      </c>
      <c r="AG856" s="44">
        <v>0</v>
      </c>
      <c r="AH856" s="43">
        <v>22500000</v>
      </c>
      <c r="AI856" s="43">
        <f>AE856-AF856+AG856-AH856</f>
        <v>-22500000</v>
      </c>
      <c r="AJ856" s="43">
        <f>AD856+AI856</f>
        <v>142500000</v>
      </c>
      <c r="AK856" s="44">
        <v>0</v>
      </c>
      <c r="AL856" s="44">
        <f>AM856-AGOSTO!AM845</f>
        <v>0</v>
      </c>
      <c r="AM856" s="43">
        <v>142500000</v>
      </c>
      <c r="AN856" s="44">
        <v>0</v>
      </c>
      <c r="AO856" s="44">
        <v>0</v>
      </c>
      <c r="AP856" s="18">
        <v>142500000</v>
      </c>
      <c r="AQ856" s="34">
        <v>0</v>
      </c>
      <c r="AR856" s="34">
        <v>0</v>
      </c>
      <c r="AS856" s="34">
        <v>0</v>
      </c>
      <c r="AT856" s="40">
        <f t="shared" ref="AT856" si="372">AQ856+AS856</f>
        <v>0</v>
      </c>
      <c r="AU856" s="34">
        <f>AJ856-AM856</f>
        <v>0</v>
      </c>
      <c r="AV856" s="133">
        <f>AM856-AP856</f>
        <v>0</v>
      </c>
      <c r="AW856" s="18">
        <f>AP856-AT856</f>
        <v>142500000</v>
      </c>
      <c r="AX856" s="123">
        <f>AP856/AJ856</f>
        <v>1</v>
      </c>
    </row>
    <row r="857" spans="1:50" ht="25.5" x14ac:dyDescent="0.2">
      <c r="AA857" s="28" t="s">
        <v>288</v>
      </c>
      <c r="AB857" s="29" t="s">
        <v>587</v>
      </c>
      <c r="AC857" s="17"/>
      <c r="AD857" s="18"/>
      <c r="AE857" s="34"/>
      <c r="AF857" s="34"/>
      <c r="AG857" s="34"/>
      <c r="AH857" s="34"/>
      <c r="AI857" s="34"/>
      <c r="AJ857" s="18"/>
      <c r="AK857" s="18"/>
      <c r="AL857" s="18"/>
      <c r="AM857" s="18"/>
      <c r="AN857" s="34"/>
      <c r="AO857" s="34"/>
      <c r="AP857" s="18"/>
      <c r="AQ857" s="34"/>
      <c r="AR857" s="34"/>
      <c r="AS857" s="34"/>
      <c r="AT857" s="40"/>
      <c r="AU857" s="18"/>
      <c r="AV857" s="34"/>
      <c r="AW857" s="18"/>
      <c r="AX857" s="18"/>
    </row>
    <row r="858" spans="1:50" x14ac:dyDescent="0.2">
      <c r="A858" s="4" t="s">
        <v>55</v>
      </c>
      <c r="B858" s="4" t="s">
        <v>56</v>
      </c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1" t="s">
        <v>588</v>
      </c>
      <c r="AB858" s="42" t="s">
        <v>233</v>
      </c>
      <c r="AC858" s="43" t="s">
        <v>58</v>
      </c>
      <c r="AD858" s="43">
        <v>360000000</v>
      </c>
      <c r="AE858" s="44">
        <v>0</v>
      </c>
      <c r="AF858" s="44">
        <v>0</v>
      </c>
      <c r="AG858" s="44">
        <v>0</v>
      </c>
      <c r="AH858" s="44">
        <v>0</v>
      </c>
      <c r="AI858" s="44">
        <v>0</v>
      </c>
      <c r="AJ858" s="43">
        <v>360000000</v>
      </c>
      <c r="AK858" s="44">
        <v>0</v>
      </c>
      <c r="AL858" s="115">
        <f>AM858-AGOSTO!AM847</f>
        <v>0</v>
      </c>
      <c r="AM858" s="114">
        <v>320207103</v>
      </c>
      <c r="AN858" s="44">
        <v>0</v>
      </c>
      <c r="AO858" s="44">
        <v>0</v>
      </c>
      <c r="AP858" s="18">
        <v>320207103</v>
      </c>
      <c r="AQ858" s="34">
        <v>0</v>
      </c>
      <c r="AR858" s="18">
        <v>35578567</v>
      </c>
      <c r="AS858" s="18">
        <v>213471402</v>
      </c>
      <c r="AT858" s="39">
        <f t="shared" ref="AT858" si="373">AQ858+AS858</f>
        <v>213471402</v>
      </c>
      <c r="AU858" s="18">
        <f>AJ858-AM858</f>
        <v>39792897</v>
      </c>
      <c r="AV858" s="133">
        <f>AM858-AP858</f>
        <v>0</v>
      </c>
      <c r="AW858" s="18">
        <f>AP858-AT858</f>
        <v>106735701</v>
      </c>
      <c r="AX858" s="123">
        <f>AP858/AJ858</f>
        <v>0.88946417499999997</v>
      </c>
    </row>
    <row r="859" spans="1:50" ht="25.5" x14ac:dyDescent="0.2">
      <c r="AA859" s="28" t="s">
        <v>288</v>
      </c>
      <c r="AB859" s="29" t="s">
        <v>589</v>
      </c>
      <c r="AC859" s="17"/>
      <c r="AD859" s="18"/>
      <c r="AE859" s="34"/>
      <c r="AF859" s="34"/>
      <c r="AG859" s="34"/>
      <c r="AH859" s="34"/>
      <c r="AI859" s="34"/>
      <c r="AJ859" s="18"/>
      <c r="AK859" s="34"/>
      <c r="AL859" s="34"/>
      <c r="AM859" s="34"/>
      <c r="AN859" s="34"/>
      <c r="AO859" s="34"/>
      <c r="AP859" s="34"/>
      <c r="AQ859" s="34"/>
      <c r="AR859" s="34"/>
      <c r="AS859" s="34"/>
      <c r="AT859" s="40"/>
      <c r="AU859" s="18"/>
      <c r="AV859" s="18"/>
      <c r="AW859" s="34"/>
      <c r="AX859" s="18"/>
    </row>
    <row r="860" spans="1:50" x14ac:dyDescent="0.2">
      <c r="A860" s="4" t="s">
        <v>55</v>
      </c>
      <c r="B860" s="4" t="s">
        <v>56</v>
      </c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1" t="s">
        <v>590</v>
      </c>
      <c r="AB860" s="42" t="s">
        <v>233</v>
      </c>
      <c r="AC860" s="43" t="s">
        <v>58</v>
      </c>
      <c r="AD860" s="43">
        <v>2564591998.2600002</v>
      </c>
      <c r="AE860" s="44">
        <v>0</v>
      </c>
      <c r="AF860" s="44">
        <v>0</v>
      </c>
      <c r="AG860" s="44">
        <v>0</v>
      </c>
      <c r="AH860" s="43">
        <f>602281020+113189627.21+185000000</f>
        <v>900470647.21000004</v>
      </c>
      <c r="AI860" s="43">
        <f>AE860-AF860+AG860-AH860</f>
        <v>-900470647.21000004</v>
      </c>
      <c r="AJ860" s="43">
        <f>AD860+AI860</f>
        <v>1664121351.0500002</v>
      </c>
      <c r="AK860" s="44">
        <v>0</v>
      </c>
      <c r="AL860" s="44">
        <v>0</v>
      </c>
      <c r="AM860" s="44">
        <v>0</v>
      </c>
      <c r="AN860" s="44">
        <v>0</v>
      </c>
      <c r="AO860" s="44">
        <v>0</v>
      </c>
      <c r="AP860" s="34">
        <v>0</v>
      </c>
      <c r="AQ860" s="34">
        <v>0</v>
      </c>
      <c r="AR860" s="34">
        <v>0</v>
      </c>
      <c r="AS860" s="34">
        <v>0</v>
      </c>
      <c r="AT860" s="40">
        <f t="shared" ref="AT860:AT861" si="374">AQ860+AS860</f>
        <v>0</v>
      </c>
      <c r="AU860" s="18">
        <f>AJ860-AM860</f>
        <v>1664121351.0500002</v>
      </c>
      <c r="AV860" s="133">
        <f>AM860-AP860</f>
        <v>0</v>
      </c>
      <c r="AW860" s="34">
        <f>AP860-AT860</f>
        <v>0</v>
      </c>
      <c r="AX860" s="123">
        <f>AP860/AJ860</f>
        <v>0</v>
      </c>
    </row>
    <row r="861" spans="1:50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1" t="s">
        <v>1100</v>
      </c>
      <c r="AB861" s="42" t="s">
        <v>1015</v>
      </c>
      <c r="AC861" s="43"/>
      <c r="AD861" s="43">
        <v>0</v>
      </c>
      <c r="AE861" s="43">
        <v>40000000</v>
      </c>
      <c r="AF861" s="44"/>
      <c r="AG861" s="44"/>
      <c r="AH861" s="291">
        <v>40000000</v>
      </c>
      <c r="AI861" s="43">
        <f>AE861-AF861+AG861-AH861</f>
        <v>0</v>
      </c>
      <c r="AJ861" s="43">
        <f>AD861+AI861</f>
        <v>0</v>
      </c>
      <c r="AK861" s="44">
        <v>0</v>
      </c>
      <c r="AL861" s="44">
        <v>0</v>
      </c>
      <c r="AM861" s="44">
        <v>0</v>
      </c>
      <c r="AN861" s="44">
        <v>0</v>
      </c>
      <c r="AO861" s="44">
        <v>0</v>
      </c>
      <c r="AP861" s="34">
        <v>0</v>
      </c>
      <c r="AQ861" s="34">
        <v>0</v>
      </c>
      <c r="AR861" s="34">
        <v>0</v>
      </c>
      <c r="AS861" s="34">
        <v>0</v>
      </c>
      <c r="AT861" s="40">
        <f t="shared" si="374"/>
        <v>0</v>
      </c>
      <c r="AU861" s="18">
        <f>AJ861-AM861</f>
        <v>0</v>
      </c>
      <c r="AV861" s="133">
        <f>AM861-AP861</f>
        <v>0</v>
      </c>
      <c r="AW861" s="34">
        <f>AP861-AT861</f>
        <v>0</v>
      </c>
      <c r="AX861" s="123">
        <v>0</v>
      </c>
    </row>
    <row r="862" spans="1:50" x14ac:dyDescent="0.2">
      <c r="AA862" s="16"/>
      <c r="AB862" s="17"/>
      <c r="AC862" s="17"/>
      <c r="AD862" s="18"/>
      <c r="AE862" s="34"/>
      <c r="AF862" s="34"/>
      <c r="AG862" s="34"/>
      <c r="AH862" s="34"/>
      <c r="AI862" s="34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30"/>
      <c r="AU862" s="18"/>
      <c r="AV862" s="18"/>
      <c r="AW862" s="18"/>
      <c r="AX862" s="18"/>
    </row>
    <row r="863" spans="1:50" ht="25.5" x14ac:dyDescent="0.2">
      <c r="AA863" s="16"/>
      <c r="AB863" s="29" t="s">
        <v>197</v>
      </c>
      <c r="AC863" s="17"/>
      <c r="AD863" s="18"/>
      <c r="AE863" s="34"/>
      <c r="AF863" s="34"/>
      <c r="AG863" s="34"/>
      <c r="AH863" s="34"/>
      <c r="AI863" s="34"/>
      <c r="AJ863" s="18"/>
      <c r="AK863" s="18"/>
      <c r="AL863" s="18"/>
      <c r="AM863" s="18"/>
      <c r="AN863" s="18"/>
      <c r="AO863" s="18"/>
      <c r="AP863" s="18"/>
      <c r="AQ863" s="18"/>
      <c r="AR863" s="147"/>
      <c r="AS863" s="18"/>
      <c r="AT863" s="30"/>
      <c r="AU863" s="18"/>
      <c r="AV863" s="18"/>
      <c r="AW863" s="18"/>
      <c r="AX863" s="18"/>
    </row>
    <row r="864" spans="1:50" x14ac:dyDescent="0.2">
      <c r="AA864" s="28" t="s">
        <v>288</v>
      </c>
      <c r="AB864" s="29" t="s">
        <v>591</v>
      </c>
      <c r="AC864" s="17"/>
      <c r="AD864" s="18"/>
      <c r="AE864" s="34"/>
      <c r="AF864" s="34"/>
      <c r="AG864" s="34"/>
      <c r="AH864" s="34"/>
      <c r="AI864" s="34"/>
      <c r="AJ864" s="18"/>
      <c r="AK864" s="18"/>
      <c r="AL864" s="18"/>
      <c r="AM864" s="18"/>
      <c r="AN864" s="18"/>
      <c r="AO864" s="18"/>
      <c r="AP864" s="18"/>
      <c r="AQ864" s="18"/>
      <c r="AR864" s="147"/>
      <c r="AS864" s="18"/>
      <c r="AT864" s="30"/>
      <c r="AU864" s="18"/>
      <c r="AV864" s="18"/>
      <c r="AW864" s="18"/>
      <c r="AX864" s="18"/>
    </row>
    <row r="865" spans="1:50" x14ac:dyDescent="0.2">
      <c r="A865" s="314" t="s">
        <v>55</v>
      </c>
      <c r="B865" s="4" t="s">
        <v>56</v>
      </c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1" t="s">
        <v>592</v>
      </c>
      <c r="AB865" s="42" t="s">
        <v>233</v>
      </c>
      <c r="AC865" s="43" t="s">
        <v>58</v>
      </c>
      <c r="AD865" s="43">
        <v>458060751</v>
      </c>
      <c r="AE865" s="44">
        <v>0</v>
      </c>
      <c r="AF865" s="44">
        <v>0</v>
      </c>
      <c r="AG865" s="43">
        <v>118300000</v>
      </c>
      <c r="AH865" s="44">
        <v>0</v>
      </c>
      <c r="AI865" s="43">
        <f>AE865-AF865+AG865-AH865</f>
        <v>118300000</v>
      </c>
      <c r="AJ865" s="43">
        <f>AD865+AI865</f>
        <v>576360751</v>
      </c>
      <c r="AK865" s="44">
        <v>0</v>
      </c>
      <c r="AL865" s="43">
        <f>AM865-AGOSTO!AM854</f>
        <v>90736666.639999986</v>
      </c>
      <c r="AM865" s="43">
        <v>532997417.63999999</v>
      </c>
      <c r="AN865" s="44">
        <v>0</v>
      </c>
      <c r="AO865" s="43">
        <v>90736666.640000001</v>
      </c>
      <c r="AP865" s="43">
        <v>532997417.63999999</v>
      </c>
      <c r="AQ865" s="110">
        <v>15660000</v>
      </c>
      <c r="AR865" s="148">
        <v>69207418</v>
      </c>
      <c r="AS865" s="18">
        <v>328890753</v>
      </c>
      <c r="AT865" s="39">
        <f t="shared" ref="AT865" si="375">AQ865+AS865</f>
        <v>344550753</v>
      </c>
      <c r="AU865" s="18">
        <f>AJ865-AM865</f>
        <v>43363333.360000014</v>
      </c>
      <c r="AV865" s="133">
        <f>AM865-AP865</f>
        <v>0</v>
      </c>
      <c r="AW865" s="18">
        <f>AP865-AT865</f>
        <v>188446664.63999999</v>
      </c>
      <c r="AX865" s="123">
        <f>AP865/AJ865</f>
        <v>0.92476355601112048</v>
      </c>
    </row>
    <row r="866" spans="1:50" ht="25.5" x14ac:dyDescent="0.2">
      <c r="AA866" s="28" t="s">
        <v>288</v>
      </c>
      <c r="AB866" s="29" t="s">
        <v>593</v>
      </c>
      <c r="AC866" s="17"/>
      <c r="AD866" s="18"/>
      <c r="AE866" s="34"/>
      <c r="AF866" s="34"/>
      <c r="AG866" s="34"/>
      <c r="AH866" s="34"/>
      <c r="AI866" s="34"/>
      <c r="AJ866" s="18"/>
      <c r="AK866" s="34"/>
      <c r="AL866" s="18"/>
      <c r="AM866" s="18"/>
      <c r="AN866" s="34"/>
      <c r="AO866" s="34"/>
      <c r="AP866" s="18"/>
      <c r="AQ866" s="110"/>
      <c r="AR866" s="148"/>
      <c r="AS866" s="18"/>
      <c r="AT866" s="39"/>
      <c r="AU866" s="18"/>
      <c r="AV866" s="34"/>
      <c r="AW866" s="18"/>
      <c r="AX866" s="18"/>
    </row>
    <row r="867" spans="1:50" x14ac:dyDescent="0.2">
      <c r="A867" s="4" t="s">
        <v>55</v>
      </c>
      <c r="B867" s="4" t="s">
        <v>56</v>
      </c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1" t="s">
        <v>594</v>
      </c>
      <c r="AB867" s="42" t="s">
        <v>233</v>
      </c>
      <c r="AC867" s="43" t="s">
        <v>58</v>
      </c>
      <c r="AD867" s="43">
        <v>522500000</v>
      </c>
      <c r="AE867" s="44">
        <v>0</v>
      </c>
      <c r="AF867" s="44">
        <v>0</v>
      </c>
      <c r="AG867" s="43">
        <f>140000000+185000000</f>
        <v>325000000</v>
      </c>
      <c r="AH867" s="43">
        <v>185000000</v>
      </c>
      <c r="AI867" s="43">
        <f>AE867-AF867+AG867-AH867</f>
        <v>140000000</v>
      </c>
      <c r="AJ867" s="43">
        <f>AD867+AI867</f>
        <v>662500000</v>
      </c>
      <c r="AK867" s="44">
        <v>0</v>
      </c>
      <c r="AL867" s="43">
        <f>AM867-AGOSTO!AM856</f>
        <v>122199999.97999996</v>
      </c>
      <c r="AM867" s="43">
        <v>567616666.64999998</v>
      </c>
      <c r="AN867" s="43">
        <v>0</v>
      </c>
      <c r="AO867" s="43">
        <v>122199999.98</v>
      </c>
      <c r="AP867" s="43">
        <v>567616666.64999998</v>
      </c>
      <c r="AQ867" s="110">
        <v>11166667</v>
      </c>
      <c r="AR867" s="148">
        <v>62500000</v>
      </c>
      <c r="AS867" s="18">
        <v>347700001</v>
      </c>
      <c r="AT867" s="39">
        <f t="shared" ref="AT867" si="376">AQ867+AS867</f>
        <v>358866668</v>
      </c>
      <c r="AU867" s="18">
        <f>AJ867-AM867</f>
        <v>94883333.350000024</v>
      </c>
      <c r="AV867" s="34">
        <f>AM867-AP867</f>
        <v>0</v>
      </c>
      <c r="AW867" s="18">
        <f>AP867-AT867</f>
        <v>208749998.64999998</v>
      </c>
      <c r="AX867" s="123">
        <f>AP867/AJ867</f>
        <v>0.85677987418867918</v>
      </c>
    </row>
    <row r="868" spans="1:50" ht="25.5" x14ac:dyDescent="0.2">
      <c r="AA868" s="28" t="s">
        <v>288</v>
      </c>
      <c r="AB868" s="29" t="s">
        <v>583</v>
      </c>
      <c r="AC868" s="17"/>
      <c r="AD868" s="18"/>
      <c r="AE868" s="34"/>
      <c r="AF868" s="34"/>
      <c r="AG868" s="34"/>
      <c r="AH868" s="34"/>
      <c r="AI868" s="34"/>
      <c r="AJ868" s="18"/>
      <c r="AK868" s="18"/>
      <c r="AL868" s="18"/>
      <c r="AM868" s="18"/>
      <c r="AN868" s="34"/>
      <c r="AO868" s="34"/>
      <c r="AP868" s="18"/>
      <c r="AQ868" s="34"/>
      <c r="AR868" s="145"/>
      <c r="AS868" s="18"/>
      <c r="AT868" s="39"/>
      <c r="AU868" s="18"/>
      <c r="AV868" s="18"/>
      <c r="AW868" s="18"/>
      <c r="AX868" s="18"/>
    </row>
    <row r="869" spans="1:50" x14ac:dyDescent="0.2">
      <c r="A869" s="4" t="s">
        <v>55</v>
      </c>
      <c r="B869" s="4" t="s">
        <v>56</v>
      </c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1" t="s">
        <v>595</v>
      </c>
      <c r="AB869" s="42" t="s">
        <v>233</v>
      </c>
      <c r="AC869" s="43" t="s">
        <v>58</v>
      </c>
      <c r="AD869" s="43">
        <v>100000000</v>
      </c>
      <c r="AE869" s="44">
        <v>0</v>
      </c>
      <c r="AF869" s="44">
        <v>0</v>
      </c>
      <c r="AG869" s="44">
        <v>0</v>
      </c>
      <c r="AH869" s="44">
        <v>0</v>
      </c>
      <c r="AI869" s="44">
        <v>0</v>
      </c>
      <c r="AJ869" s="43">
        <v>100000000</v>
      </c>
      <c r="AK869" s="44">
        <v>0</v>
      </c>
      <c r="AL869" s="44">
        <f>AM869-AGOSTO!AM858</f>
        <v>0</v>
      </c>
      <c r="AM869" s="43">
        <v>54000000</v>
      </c>
      <c r="AN869" s="44">
        <v>0</v>
      </c>
      <c r="AO869" s="44">
        <v>0</v>
      </c>
      <c r="AP869" s="43">
        <v>54000000</v>
      </c>
      <c r="AQ869" s="34">
        <v>0</v>
      </c>
      <c r="AR869" s="147">
        <v>7000000</v>
      </c>
      <c r="AS869" s="18">
        <v>30049019.809999999</v>
      </c>
      <c r="AT869" s="39">
        <f t="shared" ref="AT869" si="377">AQ869+AS869</f>
        <v>30049019.809999999</v>
      </c>
      <c r="AU869" s="18">
        <f>AJ869-AM869</f>
        <v>46000000</v>
      </c>
      <c r="AV869" s="34">
        <f>AM869-AP869</f>
        <v>0</v>
      </c>
      <c r="AW869" s="18">
        <f>AP869-AT869</f>
        <v>23950980.190000001</v>
      </c>
      <c r="AX869" s="123">
        <f>AP869/AJ869</f>
        <v>0.54</v>
      </c>
    </row>
    <row r="870" spans="1:50" ht="25.5" x14ac:dyDescent="0.2">
      <c r="AA870" s="28" t="s">
        <v>288</v>
      </c>
      <c r="AB870" s="29" t="s">
        <v>596</v>
      </c>
      <c r="AC870" s="17"/>
      <c r="AD870" s="18"/>
      <c r="AE870" s="34"/>
      <c r="AF870" s="34"/>
      <c r="AG870" s="34"/>
      <c r="AH870" s="34"/>
      <c r="AI870" s="34"/>
      <c r="AJ870" s="18"/>
      <c r="AK870" s="34"/>
      <c r="AL870" s="133"/>
      <c r="AM870" s="110"/>
      <c r="AN870" s="34"/>
      <c r="AO870" s="34"/>
      <c r="AP870" s="34"/>
      <c r="AQ870" s="34"/>
      <c r="AR870" s="145"/>
      <c r="AS870" s="18"/>
      <c r="AT870" s="39"/>
      <c r="AU870" s="18"/>
      <c r="AV870" s="34"/>
      <c r="AW870" s="18"/>
      <c r="AX870" s="18"/>
    </row>
    <row r="871" spans="1:50" x14ac:dyDescent="0.2">
      <c r="A871" s="4" t="s">
        <v>55</v>
      </c>
      <c r="B871" s="4" t="s">
        <v>56</v>
      </c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1" t="s">
        <v>597</v>
      </c>
      <c r="AB871" s="42" t="s">
        <v>233</v>
      </c>
      <c r="AC871" s="43" t="s">
        <v>58</v>
      </c>
      <c r="AD871" s="43">
        <v>279700000</v>
      </c>
      <c r="AE871" s="44">
        <v>0</v>
      </c>
      <c r="AF871" s="44">
        <v>0</v>
      </c>
      <c r="AG871" s="44">
        <v>0</v>
      </c>
      <c r="AH871" s="44">
        <v>0</v>
      </c>
      <c r="AI871" s="44">
        <v>0</v>
      </c>
      <c r="AJ871" s="43">
        <v>279700000</v>
      </c>
      <c r="AK871" s="44">
        <v>0</v>
      </c>
      <c r="AL871" s="44">
        <f>AM871-AGOSTO!AM860</f>
        <v>0</v>
      </c>
      <c r="AM871" s="114">
        <v>193600000</v>
      </c>
      <c r="AN871" s="44">
        <v>0</v>
      </c>
      <c r="AO871" s="43">
        <v>0</v>
      </c>
      <c r="AP871" s="114">
        <v>193600000</v>
      </c>
      <c r="AQ871" s="34">
        <v>0</v>
      </c>
      <c r="AR871" s="147">
        <v>29200000</v>
      </c>
      <c r="AS871" s="18">
        <v>153273333</v>
      </c>
      <c r="AT871" s="39">
        <f t="shared" ref="AT871" si="378">AQ871+AS871</f>
        <v>153273333</v>
      </c>
      <c r="AU871" s="18">
        <f>AJ871-AM871</f>
        <v>86100000</v>
      </c>
      <c r="AV871" s="133">
        <f>AM871-AP871</f>
        <v>0</v>
      </c>
      <c r="AW871" s="18">
        <f>AP871-AT871</f>
        <v>40326667</v>
      </c>
      <c r="AX871" s="123">
        <f>AP871/AJ871</f>
        <v>0.69217018233821948</v>
      </c>
    </row>
    <row r="872" spans="1:50" ht="38.25" x14ac:dyDescent="0.2">
      <c r="AA872" s="28" t="s">
        <v>288</v>
      </c>
      <c r="AB872" s="29" t="s">
        <v>598</v>
      </c>
      <c r="AC872" s="17"/>
      <c r="AD872" s="18"/>
      <c r="AE872" s="34"/>
      <c r="AF872" s="34"/>
      <c r="AG872" s="34"/>
      <c r="AH872" s="34"/>
      <c r="AI872" s="34"/>
      <c r="AJ872" s="18"/>
      <c r="AK872" s="34"/>
      <c r="AL872" s="34"/>
      <c r="AM872" s="18"/>
      <c r="AN872" s="18"/>
      <c r="AO872" s="18"/>
      <c r="AP872" s="18"/>
      <c r="AQ872" s="110"/>
      <c r="AR872" s="148"/>
      <c r="AS872" s="18"/>
      <c r="AT872" s="30"/>
      <c r="AU872" s="18"/>
      <c r="AV872" s="18"/>
      <c r="AW872" s="18"/>
      <c r="AX872" s="18"/>
    </row>
    <row r="873" spans="1:50" x14ac:dyDescent="0.2">
      <c r="A873" s="4" t="s">
        <v>55</v>
      </c>
      <c r="B873" s="4" t="s">
        <v>56</v>
      </c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1" t="s">
        <v>599</v>
      </c>
      <c r="AB873" s="42" t="s">
        <v>233</v>
      </c>
      <c r="AC873" s="43" t="s">
        <v>58</v>
      </c>
      <c r="AD873" s="43">
        <v>418000000</v>
      </c>
      <c r="AE873" s="44">
        <v>0</v>
      </c>
      <c r="AF873" s="44">
        <v>0</v>
      </c>
      <c r="AG873" s="43">
        <v>22500000</v>
      </c>
      <c r="AH873" s="43">
        <v>30000000</v>
      </c>
      <c r="AI873" s="142">
        <f>AE873-AF873+AG873-AH873</f>
        <v>-7500000</v>
      </c>
      <c r="AJ873" s="142">
        <f>AD873+AI873</f>
        <v>410500000</v>
      </c>
      <c r="AK873" s="44">
        <v>0</v>
      </c>
      <c r="AL873" s="43">
        <f>AM873-AGOSTO!AM862</f>
        <v>95100000.029999971</v>
      </c>
      <c r="AM873" s="43">
        <v>395100000.02999997</v>
      </c>
      <c r="AN873" s="44">
        <v>0</v>
      </c>
      <c r="AO873" s="43">
        <v>95100000.030000001</v>
      </c>
      <c r="AP873" s="43">
        <v>395100000.02999997</v>
      </c>
      <c r="AQ873" s="18">
        <v>2000000</v>
      </c>
      <c r="AR873" s="148">
        <v>35500000</v>
      </c>
      <c r="AS873" s="110">
        <v>261366670</v>
      </c>
      <c r="AT873" s="111">
        <f t="shared" si="367"/>
        <v>263366670</v>
      </c>
      <c r="AU873" s="18">
        <f>AJ873-AM873</f>
        <v>15399999.970000029</v>
      </c>
      <c r="AV873" s="133">
        <f>AM873-AP873</f>
        <v>0</v>
      </c>
      <c r="AW873" s="18">
        <f>AP873-AT873</f>
        <v>131733330.02999997</v>
      </c>
      <c r="AX873" s="123">
        <f>AP873/AJ873</f>
        <v>0.96248477473812422</v>
      </c>
    </row>
    <row r="874" spans="1:50" x14ac:dyDescent="0.2">
      <c r="AA874" s="28" t="s">
        <v>288</v>
      </c>
      <c r="AB874" s="29" t="s">
        <v>600</v>
      </c>
      <c r="AC874" s="17"/>
      <c r="AD874" s="18"/>
      <c r="AE874" s="34"/>
      <c r="AF874" s="34"/>
      <c r="AG874" s="34"/>
      <c r="AH874" s="34"/>
      <c r="AI874" s="34"/>
      <c r="AJ874" s="18"/>
      <c r="AK874" s="34"/>
      <c r="AL874" s="34"/>
      <c r="AM874" s="18"/>
      <c r="AN874" s="34"/>
      <c r="AO874" s="34"/>
      <c r="AP874" s="18"/>
      <c r="AQ874" s="34"/>
      <c r="AR874" s="145"/>
      <c r="AS874" s="34"/>
      <c r="AT874" s="40"/>
      <c r="AU874" s="18"/>
      <c r="AV874" s="18"/>
      <c r="AW874" s="18"/>
      <c r="AX874" s="18"/>
    </row>
    <row r="875" spans="1:50" s="150" customFormat="1" x14ac:dyDescent="0.2">
      <c r="A875" s="140" t="s">
        <v>55</v>
      </c>
      <c r="B875" s="140" t="s">
        <v>56</v>
      </c>
      <c r="C875" s="140"/>
      <c r="D875" s="140"/>
      <c r="E875" s="140"/>
      <c r="F875" s="140"/>
      <c r="G875" s="140"/>
      <c r="H875" s="140"/>
      <c r="I875" s="140"/>
      <c r="J875" s="140"/>
      <c r="K875" s="140"/>
      <c r="L875" s="140"/>
      <c r="M875" s="140"/>
      <c r="N875" s="140"/>
      <c r="O875" s="140"/>
      <c r="P875" s="140"/>
      <c r="Q875" s="140"/>
      <c r="R875" s="140"/>
      <c r="S875" s="140"/>
      <c r="T875" s="140"/>
      <c r="U875" s="140"/>
      <c r="V875" s="140"/>
      <c r="W875" s="140"/>
      <c r="X875" s="140"/>
      <c r="Y875" s="140"/>
      <c r="Z875" s="140"/>
      <c r="AA875" s="134" t="s">
        <v>601</v>
      </c>
      <c r="AB875" s="69" t="s">
        <v>233</v>
      </c>
      <c r="AC875" s="142" t="s">
        <v>58</v>
      </c>
      <c r="AD875" s="142">
        <v>337300000</v>
      </c>
      <c r="AE875" s="143">
        <v>0</v>
      </c>
      <c r="AF875" s="143">
        <v>0</v>
      </c>
      <c r="AG875" s="143">
        <v>0</v>
      </c>
      <c r="AH875" s="142">
        <f>31295090+46856431.35</f>
        <v>78151521.349999994</v>
      </c>
      <c r="AI875" s="142">
        <f>AE875-AF875+AG875-AH875</f>
        <v>-78151521.349999994</v>
      </c>
      <c r="AJ875" s="142">
        <f>AD875+AI875</f>
        <v>259148478.65000001</v>
      </c>
      <c r="AK875" s="143">
        <v>0</v>
      </c>
      <c r="AL875" s="43">
        <f>AM875-AGOSTO!AM864</f>
        <v>0</v>
      </c>
      <c r="AM875" s="144">
        <v>259148478.65000001</v>
      </c>
      <c r="AN875" s="143">
        <v>0</v>
      </c>
      <c r="AO875" s="143">
        <v>0</v>
      </c>
      <c r="AP875" s="142">
        <v>259148478.65000001</v>
      </c>
      <c r="AQ875" s="145">
        <v>0</v>
      </c>
      <c r="AR875" s="147">
        <v>0</v>
      </c>
      <c r="AS875" s="147">
        <v>108210718.52</v>
      </c>
      <c r="AT875" s="267">
        <f t="shared" ref="AT875" si="379">AQ875+AS875</f>
        <v>108210718.52</v>
      </c>
      <c r="AU875" s="145">
        <f>AJ875-AM875</f>
        <v>0</v>
      </c>
      <c r="AV875" s="175">
        <f>AM875-AP875</f>
        <v>0</v>
      </c>
      <c r="AW875" s="147">
        <f>AP875-AT875</f>
        <v>150937760.13</v>
      </c>
      <c r="AX875" s="149">
        <f>AP875/AJ875</f>
        <v>1</v>
      </c>
    </row>
    <row r="876" spans="1:50" ht="25.5" x14ac:dyDescent="0.2">
      <c r="AA876" s="28" t="s">
        <v>288</v>
      </c>
      <c r="AB876" s="29" t="s">
        <v>602</v>
      </c>
      <c r="AC876" s="17"/>
      <c r="AD876" s="18"/>
      <c r="AE876" s="18"/>
      <c r="AF876" s="18"/>
      <c r="AG876" s="18"/>
      <c r="AH876" s="18"/>
      <c r="AI876" s="18"/>
      <c r="AJ876" s="18"/>
      <c r="AK876" s="34"/>
      <c r="AL876" s="34"/>
      <c r="AM876" s="34"/>
      <c r="AN876" s="34"/>
      <c r="AO876" s="34"/>
      <c r="AP876" s="34"/>
      <c r="AQ876" s="34"/>
      <c r="AR876" s="34"/>
      <c r="AS876" s="34"/>
      <c r="AT876" s="40"/>
      <c r="AU876" s="18"/>
      <c r="AV876" s="18"/>
      <c r="AW876" s="18"/>
      <c r="AX876" s="18"/>
    </row>
    <row r="877" spans="1:50" x14ac:dyDescent="0.2">
      <c r="A877" s="4" t="s">
        <v>55</v>
      </c>
      <c r="B877" s="4" t="s">
        <v>56</v>
      </c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1" t="s">
        <v>603</v>
      </c>
      <c r="AB877" s="42" t="s">
        <v>233</v>
      </c>
      <c r="AC877" s="43" t="s">
        <v>58</v>
      </c>
      <c r="AD877" s="44">
        <v>0</v>
      </c>
      <c r="AE877" s="44">
        <v>0</v>
      </c>
      <c r="AF877" s="44">
        <v>0</v>
      </c>
      <c r="AG877" s="43">
        <v>4400000</v>
      </c>
      <c r="AH877" s="44">
        <v>0</v>
      </c>
      <c r="AI877" s="43">
        <f>AE877-AF877+AG877-AH877</f>
        <v>4400000</v>
      </c>
      <c r="AJ877" s="43">
        <f>AD877+AI877</f>
        <v>4400000</v>
      </c>
      <c r="AK877" s="44">
        <v>0</v>
      </c>
      <c r="AL877" s="44">
        <v>0</v>
      </c>
      <c r="AM877" s="44">
        <v>0</v>
      </c>
      <c r="AN877" s="44">
        <v>0</v>
      </c>
      <c r="AO877" s="44">
        <v>0</v>
      </c>
      <c r="AP877" s="44">
        <v>0</v>
      </c>
      <c r="AQ877" s="34">
        <v>0</v>
      </c>
      <c r="AR877" s="34">
        <v>0</v>
      </c>
      <c r="AS877" s="34">
        <v>0</v>
      </c>
      <c r="AT877" s="40">
        <f t="shared" ref="AT877" si="380">AQ877+AS877</f>
        <v>0</v>
      </c>
      <c r="AU877" s="18">
        <f>AJ877-AM877</f>
        <v>4400000</v>
      </c>
      <c r="AV877" s="133">
        <f>AM877-AP877</f>
        <v>0</v>
      </c>
      <c r="AW877" s="34">
        <f>AP877-AT877</f>
        <v>0</v>
      </c>
      <c r="AX877" s="123">
        <f>AP877/AJ877</f>
        <v>0</v>
      </c>
    </row>
    <row r="878" spans="1:50" ht="25.5" x14ac:dyDescent="0.2">
      <c r="AA878" s="28" t="s">
        <v>288</v>
      </c>
      <c r="AB878" s="29" t="s">
        <v>197</v>
      </c>
      <c r="AC878" s="17"/>
      <c r="AD878" s="34"/>
      <c r="AE878" s="34"/>
      <c r="AF878" s="34"/>
      <c r="AG878" s="18"/>
      <c r="AH878" s="34"/>
      <c r="AI878" s="18"/>
      <c r="AJ878" s="147"/>
      <c r="AK878" s="34"/>
      <c r="AL878" s="34"/>
      <c r="AM878" s="34"/>
      <c r="AN878" s="34"/>
      <c r="AO878" s="34"/>
      <c r="AP878" s="34"/>
      <c r="AQ878" s="34"/>
      <c r="AR878" s="34"/>
      <c r="AS878" s="34"/>
      <c r="AT878" s="40"/>
      <c r="AU878" s="18"/>
      <c r="AV878" s="34"/>
      <c r="AW878" s="34"/>
      <c r="AX878" s="18"/>
    </row>
    <row r="879" spans="1:50" x14ac:dyDescent="0.2">
      <c r="A879" s="4" t="s">
        <v>55</v>
      </c>
      <c r="B879" s="4" t="s">
        <v>56</v>
      </c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1" t="s">
        <v>604</v>
      </c>
      <c r="AB879" s="42" t="s">
        <v>233</v>
      </c>
      <c r="AC879" s="43" t="s">
        <v>58</v>
      </c>
      <c r="AD879" s="44">
        <v>0</v>
      </c>
      <c r="AE879" s="44">
        <v>0</v>
      </c>
      <c r="AF879" s="44">
        <v>0</v>
      </c>
      <c r="AG879" s="43">
        <f>88500000</f>
        <v>88500000</v>
      </c>
      <c r="AH879" s="43">
        <v>20700000</v>
      </c>
      <c r="AI879" s="43">
        <f>AE879-AF879+AG879-AH879</f>
        <v>67800000</v>
      </c>
      <c r="AJ879" s="142">
        <f>AD879+AI879</f>
        <v>67800000</v>
      </c>
      <c r="AK879" s="44">
        <v>0</v>
      </c>
      <c r="AL879" s="43">
        <f>AM879-AGOSTO!AM868</f>
        <v>0</v>
      </c>
      <c r="AM879" s="43">
        <v>23280000</v>
      </c>
      <c r="AN879" s="44">
        <v>0</v>
      </c>
      <c r="AO879" s="43">
        <v>0</v>
      </c>
      <c r="AP879" s="43">
        <v>23280000</v>
      </c>
      <c r="AQ879" s="34">
        <v>0</v>
      </c>
      <c r="AR879" s="34">
        <v>0</v>
      </c>
      <c r="AS879" s="34">
        <v>0</v>
      </c>
      <c r="AT879" s="40">
        <f t="shared" ref="AT879:AT881" si="381">AQ879+AS879</f>
        <v>0</v>
      </c>
      <c r="AU879" s="18">
        <f>AJ879-AM879</f>
        <v>44520000</v>
      </c>
      <c r="AV879" s="34">
        <f>AM879-AP879</f>
        <v>0</v>
      </c>
      <c r="AW879" s="18">
        <f>AP879-AT879</f>
        <v>23280000</v>
      </c>
      <c r="AX879" s="123">
        <f>AP879/AJ879</f>
        <v>0.3433628318584071</v>
      </c>
    </row>
    <row r="880" spans="1:50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1" t="s">
        <v>1225</v>
      </c>
      <c r="AB880" s="42" t="s">
        <v>233</v>
      </c>
      <c r="AC880" s="43"/>
      <c r="AD880" s="44">
        <v>0</v>
      </c>
      <c r="AE880" s="44">
        <v>0</v>
      </c>
      <c r="AF880" s="44">
        <v>0</v>
      </c>
      <c r="AG880" s="43">
        <f>113189627.21+602281020</f>
        <v>715470647.21000004</v>
      </c>
      <c r="AH880" s="43"/>
      <c r="AI880" s="43">
        <f>AE880-AF880+AG880-AH880</f>
        <v>715470647.21000004</v>
      </c>
      <c r="AJ880" s="142">
        <f>AD880+AI880</f>
        <v>715470647.21000004</v>
      </c>
      <c r="AK880" s="44">
        <v>0</v>
      </c>
      <c r="AL880" s="43">
        <f>AM880-AGOSTO!AM869</f>
        <v>715470647.21000004</v>
      </c>
      <c r="AM880" s="43">
        <v>715470647.21000004</v>
      </c>
      <c r="AN880" s="44">
        <v>0</v>
      </c>
      <c r="AO880" s="44">
        <v>0</v>
      </c>
      <c r="AP880" s="44">
        <v>0</v>
      </c>
      <c r="AQ880" s="34">
        <v>0</v>
      </c>
      <c r="AR880" s="34">
        <v>0</v>
      </c>
      <c r="AS880" s="34">
        <v>0</v>
      </c>
      <c r="AT880" s="40">
        <f t="shared" si="381"/>
        <v>0</v>
      </c>
      <c r="AU880" s="34">
        <f>AJ880-AM880</f>
        <v>0</v>
      </c>
      <c r="AV880" s="18">
        <f>AM880-AP880</f>
        <v>715470647.21000004</v>
      </c>
      <c r="AW880" s="34">
        <f>AP880-AT880</f>
        <v>0</v>
      </c>
      <c r="AX880" s="123">
        <f>AP880/AJ880</f>
        <v>0</v>
      </c>
    </row>
    <row r="881" spans="1:50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1" t="s">
        <v>1318</v>
      </c>
      <c r="AB881" s="42" t="s">
        <v>1015</v>
      </c>
      <c r="AC881" s="43"/>
      <c r="AD881" s="44">
        <v>0</v>
      </c>
      <c r="AE881" s="44">
        <v>0</v>
      </c>
      <c r="AF881" s="44">
        <v>0</v>
      </c>
      <c r="AG881" s="43">
        <f>40000000</f>
        <v>40000000</v>
      </c>
      <c r="AH881" s="43"/>
      <c r="AI881" s="43">
        <f>AE881-AF881+AG881-AH881</f>
        <v>40000000</v>
      </c>
      <c r="AJ881" s="142">
        <f>AD881+AI881</f>
        <v>40000000</v>
      </c>
      <c r="AK881" s="44">
        <v>0</v>
      </c>
      <c r="AL881" s="43">
        <v>40000000</v>
      </c>
      <c r="AM881" s="43">
        <v>40000000</v>
      </c>
      <c r="AN881" s="44">
        <v>0</v>
      </c>
      <c r="AO881" s="44">
        <v>0</v>
      </c>
      <c r="AP881" s="44">
        <v>0</v>
      </c>
      <c r="AQ881" s="34">
        <v>0</v>
      </c>
      <c r="AR881" s="34">
        <v>0</v>
      </c>
      <c r="AS881" s="34">
        <v>0</v>
      </c>
      <c r="AT881" s="40">
        <f t="shared" si="381"/>
        <v>0</v>
      </c>
      <c r="AU881" s="34">
        <f>AJ881-AM881</f>
        <v>0</v>
      </c>
      <c r="AV881" s="18">
        <f>AM881-AP881</f>
        <v>40000000</v>
      </c>
      <c r="AW881" s="34">
        <f>AP881-AT881</f>
        <v>0</v>
      </c>
      <c r="AX881" s="123">
        <f>AP881/AJ881</f>
        <v>0</v>
      </c>
    </row>
    <row r="882" spans="1:50" ht="25.5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73" t="s">
        <v>288</v>
      </c>
      <c r="AB882" s="74" t="s">
        <v>1378</v>
      </c>
      <c r="AC882" s="43"/>
      <c r="AD882" s="44"/>
      <c r="AE882" s="44"/>
      <c r="AF882" s="44"/>
      <c r="AG882" s="43"/>
      <c r="AH882" s="43"/>
      <c r="AI882" s="43"/>
      <c r="AJ882" s="43"/>
      <c r="AK882" s="44"/>
      <c r="AL882" s="44"/>
      <c r="AM882" s="44"/>
      <c r="AN882" s="44"/>
      <c r="AO882" s="44"/>
      <c r="AP882" s="44"/>
      <c r="AQ882" s="34"/>
      <c r="AR882" s="34"/>
      <c r="AS882" s="34"/>
      <c r="AT882" s="40"/>
      <c r="AU882" s="18"/>
      <c r="AV882" s="133"/>
      <c r="AW882" s="34"/>
      <c r="AX882" s="123"/>
    </row>
    <row r="883" spans="1:50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1" t="s">
        <v>1377</v>
      </c>
      <c r="AB883" s="42" t="s">
        <v>233</v>
      </c>
      <c r="AC883" s="43"/>
      <c r="AD883" s="44"/>
      <c r="AE883" s="44">
        <v>0</v>
      </c>
      <c r="AF883" s="44">
        <v>0</v>
      </c>
      <c r="AG883" s="43">
        <v>20000000</v>
      </c>
      <c r="AH883" s="43">
        <v>0</v>
      </c>
      <c r="AI883" s="43">
        <f>AE883-AF883+AG883-AH883</f>
        <v>20000000</v>
      </c>
      <c r="AJ883" s="43">
        <f>AD883+AI883</f>
        <v>20000000</v>
      </c>
      <c r="AK883" s="44">
        <v>0</v>
      </c>
      <c r="AL883" s="44">
        <v>0</v>
      </c>
      <c r="AM883" s="44">
        <v>0</v>
      </c>
      <c r="AN883" s="44">
        <v>0</v>
      </c>
      <c r="AO883" s="44">
        <v>0</v>
      </c>
      <c r="AP883" s="44">
        <v>0</v>
      </c>
      <c r="AQ883" s="34">
        <v>0</v>
      </c>
      <c r="AR883" s="34">
        <v>0</v>
      </c>
      <c r="AS883" s="34">
        <v>0</v>
      </c>
      <c r="AT883" s="40">
        <f t="shared" ref="AT883" si="382">AQ883+AS883</f>
        <v>0</v>
      </c>
      <c r="AU883" s="18">
        <f>AJ883-AM883</f>
        <v>20000000</v>
      </c>
      <c r="AV883" s="18">
        <f>AM883-AP883</f>
        <v>0</v>
      </c>
      <c r="AW883" s="34">
        <f>AP883-AT883</f>
        <v>0</v>
      </c>
      <c r="AX883" s="123">
        <f>AP883/AJ883</f>
        <v>0</v>
      </c>
    </row>
    <row r="884" spans="1:50" ht="38.25" x14ac:dyDescent="0.2">
      <c r="AA884" s="28" t="s">
        <v>288</v>
      </c>
      <c r="AB884" s="29" t="s">
        <v>606</v>
      </c>
      <c r="AC884" s="17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30"/>
      <c r="AU884" s="18"/>
      <c r="AV884" s="34"/>
      <c r="AW884" s="18"/>
      <c r="AX884" s="18"/>
    </row>
    <row r="885" spans="1:50" x14ac:dyDescent="0.2">
      <c r="A885" s="4" t="s">
        <v>55</v>
      </c>
      <c r="B885" s="4" t="s">
        <v>56</v>
      </c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1" t="s">
        <v>607</v>
      </c>
      <c r="AB885" s="42" t="s">
        <v>233</v>
      </c>
      <c r="AC885" s="43" t="s">
        <v>58</v>
      </c>
      <c r="AD885" s="43">
        <v>859800000</v>
      </c>
      <c r="AE885" s="44">
        <v>0</v>
      </c>
      <c r="AF885" s="44">
        <v>0</v>
      </c>
      <c r="AG885" s="43">
        <f>300000000+313000000</f>
        <v>613000000</v>
      </c>
      <c r="AH885" s="43">
        <f>900000+258300000</f>
        <v>259200000</v>
      </c>
      <c r="AI885" s="43">
        <f>AE885-AF885+AG885-AH885</f>
        <v>353800000</v>
      </c>
      <c r="AJ885" s="43">
        <f>AD885+AI885</f>
        <v>1213600000</v>
      </c>
      <c r="AK885" s="44">
        <v>0</v>
      </c>
      <c r="AL885" s="43">
        <f>AM885-AGOSTO!AM873</f>
        <v>194393333.33999991</v>
      </c>
      <c r="AM885" s="43">
        <v>799003632.67999995</v>
      </c>
      <c r="AN885" s="44">
        <v>0</v>
      </c>
      <c r="AO885" s="43">
        <v>194393333.34</v>
      </c>
      <c r="AP885" s="43">
        <v>799003632.67999995</v>
      </c>
      <c r="AQ885" s="18">
        <v>0</v>
      </c>
      <c r="AR885" s="110">
        <v>73183333</v>
      </c>
      <c r="AS885" s="110">
        <v>495504969.39999998</v>
      </c>
      <c r="AT885" s="111">
        <f t="shared" si="367"/>
        <v>495504969.39999998</v>
      </c>
      <c r="AU885" s="18">
        <f>AJ885-AM885</f>
        <v>414596367.32000005</v>
      </c>
      <c r="AV885" s="34">
        <f>AM885-AP885</f>
        <v>0</v>
      </c>
      <c r="AW885" s="18">
        <f>AP885-AT885</f>
        <v>303498663.27999997</v>
      </c>
      <c r="AX885" s="123">
        <f>AP885/AJ885</f>
        <v>0.65837477972972969</v>
      </c>
    </row>
    <row r="886" spans="1:50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1" t="s">
        <v>1101</v>
      </c>
      <c r="AB886" s="42" t="s">
        <v>1015</v>
      </c>
      <c r="AC886" s="43"/>
      <c r="AD886" s="43">
        <v>0</v>
      </c>
      <c r="AE886" s="43">
        <v>25000000</v>
      </c>
      <c r="AF886" s="44">
        <v>0</v>
      </c>
      <c r="AG886" s="44">
        <v>0</v>
      </c>
      <c r="AH886" s="44">
        <v>0</v>
      </c>
      <c r="AI886" s="43">
        <f>AE886-AF886+AG886-AH886</f>
        <v>25000000</v>
      </c>
      <c r="AJ886" s="43">
        <f>AD886+AI886</f>
        <v>25000000</v>
      </c>
      <c r="AK886" s="44">
        <v>0</v>
      </c>
      <c r="AL886" s="44">
        <v>0</v>
      </c>
      <c r="AM886" s="44">
        <v>0</v>
      </c>
      <c r="AN886" s="44">
        <v>0</v>
      </c>
      <c r="AO886" s="44">
        <v>0</v>
      </c>
      <c r="AP886" s="44">
        <v>0</v>
      </c>
      <c r="AQ886" s="34">
        <v>0</v>
      </c>
      <c r="AR886" s="133">
        <v>0</v>
      </c>
      <c r="AS886" s="133">
        <v>0</v>
      </c>
      <c r="AT886" s="135">
        <f t="shared" si="367"/>
        <v>0</v>
      </c>
      <c r="AU886" s="18">
        <f>AJ886-AM886</f>
        <v>25000000</v>
      </c>
      <c r="AV886" s="34">
        <f>AM886-AP886</f>
        <v>0</v>
      </c>
      <c r="AW886" s="18">
        <f>AP886-AT886</f>
        <v>0</v>
      </c>
      <c r="AX886" s="123">
        <f>AP886/AJ886</f>
        <v>0</v>
      </c>
    </row>
    <row r="887" spans="1:50" ht="25.5" x14ac:dyDescent="0.2">
      <c r="AA887" s="28" t="s">
        <v>288</v>
      </c>
      <c r="AB887" s="29" t="s">
        <v>608</v>
      </c>
      <c r="AC887" s="17"/>
      <c r="AD887" s="18"/>
      <c r="AE887" s="34"/>
      <c r="AF887" s="34"/>
      <c r="AG887" s="34"/>
      <c r="AH887" s="18"/>
      <c r="AI887" s="18"/>
      <c r="AJ887" s="18"/>
      <c r="AK887" s="34"/>
      <c r="AL887" s="18"/>
      <c r="AM887" s="18"/>
      <c r="AN887" s="34"/>
      <c r="AO887" s="147"/>
      <c r="AP887" s="18"/>
      <c r="AQ887" s="34"/>
      <c r="AR887" s="34"/>
      <c r="AS887" s="34"/>
      <c r="AT887" s="40">
        <f t="shared" si="367"/>
        <v>0</v>
      </c>
      <c r="AU887" s="18"/>
      <c r="AV887" s="34"/>
      <c r="AW887" s="18"/>
      <c r="AX887" s="18"/>
    </row>
    <row r="888" spans="1:50" x14ac:dyDescent="0.2">
      <c r="A888" s="4" t="s">
        <v>55</v>
      </c>
      <c r="B888" s="4" t="s">
        <v>56</v>
      </c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1" t="s">
        <v>609</v>
      </c>
      <c r="AB888" s="42" t="s">
        <v>233</v>
      </c>
      <c r="AC888" s="43" t="s">
        <v>58</v>
      </c>
      <c r="AD888" s="43">
        <v>20000000</v>
      </c>
      <c r="AE888" s="44">
        <v>0</v>
      </c>
      <c r="AF888" s="44">
        <v>0</v>
      </c>
      <c r="AG888" s="44">
        <v>0</v>
      </c>
      <c r="AH888" s="43">
        <v>20000000</v>
      </c>
      <c r="AI888" s="43">
        <f>AE888-AF888+AG888-AH888</f>
        <v>-20000000</v>
      </c>
      <c r="AJ888" s="43">
        <f>AD888+AI888</f>
        <v>0</v>
      </c>
      <c r="AK888" s="44">
        <v>0</v>
      </c>
      <c r="AL888" s="143">
        <v>0</v>
      </c>
      <c r="AM888" s="44">
        <v>0</v>
      </c>
      <c r="AN888" s="44">
        <v>0</v>
      </c>
      <c r="AO888" s="143">
        <f>AP888-'MARZO '!AP689</f>
        <v>0</v>
      </c>
      <c r="AP888" s="44">
        <v>0</v>
      </c>
      <c r="AQ888" s="34">
        <v>0</v>
      </c>
      <c r="AR888" s="145">
        <v>0</v>
      </c>
      <c r="AS888" s="34">
        <v>0</v>
      </c>
      <c r="AT888" s="40">
        <f t="shared" si="367"/>
        <v>0</v>
      </c>
      <c r="AU888" s="18">
        <f>AJ888-AM888</f>
        <v>0</v>
      </c>
      <c r="AV888" s="133">
        <f>AM888-AP888</f>
        <v>0</v>
      </c>
      <c r="AW888" s="34">
        <f>AP888-AT888</f>
        <v>0</v>
      </c>
      <c r="AX888" s="123">
        <v>0</v>
      </c>
    </row>
    <row r="889" spans="1:50" x14ac:dyDescent="0.2">
      <c r="AA889" s="28" t="s">
        <v>288</v>
      </c>
      <c r="AB889" s="29" t="s">
        <v>400</v>
      </c>
      <c r="AC889" s="17"/>
      <c r="AD889" s="18"/>
      <c r="AE889" s="34"/>
      <c r="AF889" s="34"/>
      <c r="AG889" s="34"/>
      <c r="AH889" s="34"/>
      <c r="AI889" s="34"/>
      <c r="AJ889" s="18"/>
      <c r="AK889" s="34"/>
      <c r="AL889" s="147"/>
      <c r="AM889" s="18"/>
      <c r="AN889" s="34"/>
      <c r="AO889" s="145"/>
      <c r="AP889" s="18"/>
      <c r="AQ889" s="34"/>
      <c r="AR889" s="145"/>
      <c r="AS889" s="34"/>
      <c r="AT889" s="40"/>
      <c r="AU889" s="18"/>
      <c r="AV889" s="34"/>
      <c r="AW889" s="18"/>
      <c r="AX889" s="18"/>
    </row>
    <row r="890" spans="1:50" x14ac:dyDescent="0.2">
      <c r="A890" s="4" t="s">
        <v>55</v>
      </c>
      <c r="B890" s="4" t="s">
        <v>56</v>
      </c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1" t="s">
        <v>610</v>
      </c>
      <c r="AB890" s="42" t="s">
        <v>233</v>
      </c>
      <c r="AC890" s="43" t="s">
        <v>58</v>
      </c>
      <c r="AD890" s="43">
        <v>379500000</v>
      </c>
      <c r="AE890" s="44">
        <v>0</v>
      </c>
      <c r="AF890" s="44">
        <v>0</v>
      </c>
      <c r="AG890" s="44">
        <v>0</v>
      </c>
      <c r="AH890" s="44">
        <v>0</v>
      </c>
      <c r="AI890" s="44">
        <v>0</v>
      </c>
      <c r="AJ890" s="43">
        <v>379500000</v>
      </c>
      <c r="AK890" s="44">
        <v>0</v>
      </c>
      <c r="AL890" s="142">
        <f>AM890-AGOSTO!AM878</f>
        <v>67750000</v>
      </c>
      <c r="AM890" s="43">
        <v>358416666.67000002</v>
      </c>
      <c r="AN890" s="44">
        <v>0</v>
      </c>
      <c r="AO890" s="142">
        <v>67750000</v>
      </c>
      <c r="AP890" s="43">
        <v>358416666.67000002</v>
      </c>
      <c r="AQ890" s="18">
        <v>0</v>
      </c>
      <c r="AR890" s="147">
        <v>39483333</v>
      </c>
      <c r="AS890" s="18">
        <v>236650000</v>
      </c>
      <c r="AT890" s="111">
        <f t="shared" ref="AT890" si="383">AQ890+AS890</f>
        <v>236650000</v>
      </c>
      <c r="AU890" s="18">
        <f>AJ890-AM890</f>
        <v>21083333.329999983</v>
      </c>
      <c r="AV890" s="133">
        <f>AM890-AP890</f>
        <v>0</v>
      </c>
      <c r="AW890" s="18">
        <f>AP890-AT890</f>
        <v>121766666.67000002</v>
      </c>
      <c r="AX890" s="123">
        <f>AP890/AJ890</f>
        <v>0.94444444445322795</v>
      </c>
    </row>
    <row r="891" spans="1:50" x14ac:dyDescent="0.2">
      <c r="AA891" s="73" t="s">
        <v>288</v>
      </c>
      <c r="AB891" s="74" t="s">
        <v>292</v>
      </c>
      <c r="AC891" s="17"/>
      <c r="AD891" s="18"/>
      <c r="AE891" s="34"/>
      <c r="AF891" s="34"/>
      <c r="AG891" s="34"/>
      <c r="AH891" s="18"/>
      <c r="AI891" s="18"/>
      <c r="AJ891" s="18"/>
      <c r="AK891" s="34"/>
      <c r="AL891" s="145"/>
      <c r="AM891" s="34"/>
      <c r="AN891" s="34"/>
      <c r="AO891" s="145"/>
      <c r="AP891" s="34"/>
      <c r="AQ891" s="34"/>
      <c r="AR891" s="145"/>
      <c r="AS891" s="34"/>
      <c r="AT891" s="40"/>
      <c r="AU891" s="18"/>
      <c r="AV891" s="34"/>
      <c r="AW891" s="34"/>
      <c r="AX891" s="18"/>
    </row>
    <row r="892" spans="1:50" x14ac:dyDescent="0.2">
      <c r="AA892" s="41" t="s">
        <v>311</v>
      </c>
      <c r="AB892" s="42" t="s">
        <v>233</v>
      </c>
      <c r="AC892" s="17"/>
      <c r="AD892" s="18">
        <v>0</v>
      </c>
      <c r="AE892" s="34">
        <v>0</v>
      </c>
      <c r="AF892" s="34">
        <v>0</v>
      </c>
      <c r="AG892" s="18">
        <v>185000000</v>
      </c>
      <c r="AH892" s="18">
        <v>0</v>
      </c>
      <c r="AI892" s="43">
        <f>AE892-AF892+AG892-AH892</f>
        <v>185000000</v>
      </c>
      <c r="AJ892" s="43">
        <f>AD892+AI892</f>
        <v>185000000</v>
      </c>
      <c r="AK892" s="34">
        <v>0</v>
      </c>
      <c r="AL892" s="145">
        <v>0</v>
      </c>
      <c r="AM892" s="34">
        <v>0</v>
      </c>
      <c r="AN892" s="34">
        <v>0</v>
      </c>
      <c r="AO892" s="145">
        <v>0</v>
      </c>
      <c r="AP892" s="34">
        <v>0</v>
      </c>
      <c r="AQ892" s="34">
        <v>0</v>
      </c>
      <c r="AR892" s="145">
        <v>0</v>
      </c>
      <c r="AS892" s="34">
        <v>0</v>
      </c>
      <c r="AT892" s="135">
        <f t="shared" ref="AT892" si="384">AQ892+AS892</f>
        <v>0</v>
      </c>
      <c r="AU892" s="18">
        <f>AJ892-AM892</f>
        <v>185000000</v>
      </c>
      <c r="AV892" s="133">
        <f>AM892-AP892</f>
        <v>0</v>
      </c>
      <c r="AW892" s="34">
        <f>AP892-AT892</f>
        <v>0</v>
      </c>
      <c r="AX892" s="123">
        <f>AP892/AJ892</f>
        <v>0</v>
      </c>
    </row>
    <row r="893" spans="1:50" x14ac:dyDescent="0.2">
      <c r="AA893" s="16"/>
      <c r="AB893" s="17"/>
      <c r="AC893" s="17"/>
      <c r="AD893" s="18"/>
      <c r="AE893" s="34"/>
      <c r="AF893" s="34"/>
      <c r="AG893" s="34"/>
      <c r="AH893" s="18"/>
      <c r="AI893" s="18"/>
      <c r="AJ893" s="18"/>
      <c r="AK893" s="34"/>
      <c r="AL893" s="18"/>
      <c r="AM893" s="18"/>
      <c r="AN893" s="18"/>
      <c r="AO893" s="147"/>
      <c r="AP893" s="18"/>
      <c r="AQ893" s="34"/>
      <c r="AR893" s="145"/>
      <c r="AS893" s="34"/>
      <c r="AT893" s="40"/>
      <c r="AU893" s="18"/>
      <c r="AV893" s="34"/>
      <c r="AW893" s="18"/>
      <c r="AX893" s="18"/>
    </row>
    <row r="894" spans="1:50" x14ac:dyDescent="0.2">
      <c r="AA894" s="16"/>
      <c r="AB894" s="29" t="s">
        <v>199</v>
      </c>
      <c r="AC894" s="17"/>
      <c r="AD894" s="18"/>
      <c r="AE894" s="34"/>
      <c r="AF894" s="34"/>
      <c r="AG894" s="34"/>
      <c r="AH894" s="18"/>
      <c r="AI894" s="18"/>
      <c r="AJ894" s="18"/>
      <c r="AK894" s="34"/>
      <c r="AL894" s="18"/>
      <c r="AM894" s="18"/>
      <c r="AN894" s="18"/>
      <c r="AO894" s="147"/>
      <c r="AP894" s="18"/>
      <c r="AQ894" s="34"/>
      <c r="AR894" s="145"/>
      <c r="AS894" s="34"/>
      <c r="AT894" s="40"/>
      <c r="AU894" s="18"/>
      <c r="AV894" s="18"/>
      <c r="AW894" s="18"/>
      <c r="AX894" s="18"/>
    </row>
    <row r="895" spans="1:50" ht="38.25" x14ac:dyDescent="0.2">
      <c r="AA895" s="28" t="s">
        <v>288</v>
      </c>
      <c r="AB895" s="29" t="s">
        <v>611</v>
      </c>
      <c r="AC895" s="17"/>
      <c r="AD895" s="18"/>
      <c r="AE895" s="34"/>
      <c r="AF895" s="34"/>
      <c r="AG895" s="34"/>
      <c r="AH895" s="18"/>
      <c r="AI895" s="18"/>
      <c r="AJ895" s="18"/>
      <c r="AK895" s="34"/>
      <c r="AL895" s="18"/>
      <c r="AM895" s="18"/>
      <c r="AN895" s="18"/>
      <c r="AO895" s="18"/>
      <c r="AP895" s="18"/>
      <c r="AQ895" s="34"/>
      <c r="AR895" s="145"/>
      <c r="AS895" s="34"/>
      <c r="AT895" s="40"/>
      <c r="AU895" s="18"/>
      <c r="AV895" s="18"/>
      <c r="AW895" s="18"/>
      <c r="AX895" s="18"/>
    </row>
    <row r="896" spans="1:50" x14ac:dyDescent="0.2">
      <c r="A896" s="4" t="s">
        <v>55</v>
      </c>
      <c r="B896" s="4" t="s">
        <v>56</v>
      </c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1" t="s">
        <v>612</v>
      </c>
      <c r="AB896" s="42" t="s">
        <v>233</v>
      </c>
      <c r="AC896" s="43" t="s">
        <v>58</v>
      </c>
      <c r="AD896" s="43">
        <v>725000000</v>
      </c>
      <c r="AE896" s="44">
        <v>0</v>
      </c>
      <c r="AF896" s="44">
        <v>0</v>
      </c>
      <c r="AG896" s="43">
        <v>20700000</v>
      </c>
      <c r="AH896" s="43">
        <f>17000000+313000000</f>
        <v>330000000</v>
      </c>
      <c r="AI896" s="43">
        <f>AE896-AF896+AG896-AH896</f>
        <v>-309300000</v>
      </c>
      <c r="AJ896" s="43">
        <f>AD896+AI896</f>
        <v>415700000</v>
      </c>
      <c r="AK896" s="296">
        <v>0</v>
      </c>
      <c r="AL896" s="296">
        <f>AM896-AGOSTO!AM886</f>
        <v>0</v>
      </c>
      <c r="AM896" s="4">
        <v>415700000</v>
      </c>
      <c r="AN896" s="296">
        <v>0</v>
      </c>
      <c r="AO896" s="140">
        <v>29967410</v>
      </c>
      <c r="AP896" s="4">
        <v>205402718</v>
      </c>
      <c r="AQ896" s="296">
        <v>0</v>
      </c>
      <c r="AR896" s="140">
        <v>33395428</v>
      </c>
      <c r="AS896" s="4">
        <v>167012294</v>
      </c>
      <c r="AT896" s="111">
        <f t="shared" ref="AT896:AT897" si="385">AQ896+AS896</f>
        <v>167012294</v>
      </c>
      <c r="AU896" s="110">
        <f>AJ896-AM896</f>
        <v>0</v>
      </c>
      <c r="AV896" s="110">
        <f>AM896-AP896</f>
        <v>210297282</v>
      </c>
      <c r="AW896" s="18">
        <f>AP896-AT896</f>
        <v>38390424</v>
      </c>
      <c r="AX896" s="123">
        <f>AP896/AJ896</f>
        <v>0.49411286504690882</v>
      </c>
    </row>
    <row r="897" spans="1:50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1" t="s">
        <v>1102</v>
      </c>
      <c r="AB897" s="42" t="s">
        <v>1015</v>
      </c>
      <c r="AC897" s="43"/>
      <c r="AD897" s="44">
        <v>0</v>
      </c>
      <c r="AE897" s="43">
        <v>12000000</v>
      </c>
      <c r="AF897" s="44">
        <v>0</v>
      </c>
      <c r="AG897" s="44">
        <v>0</v>
      </c>
      <c r="AH897" s="44">
        <v>0</v>
      </c>
      <c r="AI897" s="43">
        <f>AE897-AF897+AG897-AH897</f>
        <v>12000000</v>
      </c>
      <c r="AJ897" s="43">
        <f>AD897+AI897</f>
        <v>12000000</v>
      </c>
      <c r="AK897" s="44">
        <v>0</v>
      </c>
      <c r="AL897" s="44">
        <v>0</v>
      </c>
      <c r="AM897" s="43">
        <v>2300000</v>
      </c>
      <c r="AN897" s="44">
        <v>0</v>
      </c>
      <c r="AO897" s="43">
        <v>0</v>
      </c>
      <c r="AP897" s="43">
        <v>2300000</v>
      </c>
      <c r="AQ897" s="34">
        <v>0</v>
      </c>
      <c r="AR897" s="147">
        <v>0</v>
      </c>
      <c r="AS897" s="18">
        <v>2300000</v>
      </c>
      <c r="AT897" s="39">
        <f t="shared" si="385"/>
        <v>2300000</v>
      </c>
      <c r="AU897" s="110">
        <f>AJ897-AM897</f>
        <v>9700000</v>
      </c>
      <c r="AV897" s="18">
        <f>AM897-AP897</f>
        <v>0</v>
      </c>
      <c r="AW897" s="34">
        <f>AP897-AT897</f>
        <v>0</v>
      </c>
      <c r="AX897" s="123">
        <f>AP897/AJ897</f>
        <v>0.19166666666666668</v>
      </c>
    </row>
    <row r="898" spans="1:50" x14ac:dyDescent="0.2">
      <c r="AA898" s="16"/>
      <c r="AB898" s="17"/>
      <c r="AC898" s="17"/>
      <c r="AD898" s="34"/>
      <c r="AE898" s="18"/>
      <c r="AF898" s="18"/>
      <c r="AG898" s="18"/>
      <c r="AH898" s="18"/>
      <c r="AI898" s="18"/>
      <c r="AJ898" s="18"/>
      <c r="AK898" s="34"/>
      <c r="AL898" s="34"/>
      <c r="AM898" s="34"/>
      <c r="AN898" s="18"/>
      <c r="AO898" s="18"/>
      <c r="AP898" s="18"/>
      <c r="AQ898" s="34"/>
      <c r="AR898" s="145"/>
      <c r="AS898" s="34"/>
      <c r="AT898" s="40"/>
      <c r="AU898" s="18"/>
      <c r="AV898" s="18"/>
      <c r="AW898" s="18"/>
      <c r="AX898" s="18"/>
    </row>
    <row r="899" spans="1:50" x14ac:dyDescent="0.2">
      <c r="AA899" s="73" t="s">
        <v>1016</v>
      </c>
      <c r="AB899" s="74" t="s">
        <v>1068</v>
      </c>
      <c r="AC899" s="17"/>
      <c r="AD899" s="34"/>
      <c r="AE899" s="18"/>
      <c r="AF899" s="18"/>
      <c r="AG899" s="18"/>
      <c r="AH899" s="18"/>
      <c r="AI899" s="18"/>
      <c r="AJ899" s="18"/>
      <c r="AK899" s="34"/>
      <c r="AL899" s="34"/>
      <c r="AM899" s="34"/>
      <c r="AN899" s="18"/>
      <c r="AO899" s="18"/>
      <c r="AP899" s="18"/>
      <c r="AQ899" s="34"/>
      <c r="AR899" s="145"/>
      <c r="AS899" s="34"/>
      <c r="AT899" s="40"/>
      <c r="AU899" s="18"/>
      <c r="AV899" s="18"/>
      <c r="AW899" s="18"/>
      <c r="AX899" s="18"/>
    </row>
    <row r="900" spans="1:50" x14ac:dyDescent="0.2">
      <c r="AA900" s="73" t="s">
        <v>1017</v>
      </c>
      <c r="AB900" s="74" t="s">
        <v>1069</v>
      </c>
      <c r="AC900" s="17"/>
      <c r="AD900" s="34"/>
      <c r="AE900" s="18"/>
      <c r="AF900" s="18"/>
      <c r="AG900" s="18"/>
      <c r="AH900" s="18"/>
      <c r="AI900" s="18"/>
      <c r="AJ900" s="18"/>
      <c r="AK900" s="34"/>
      <c r="AL900" s="34"/>
      <c r="AM900" s="34"/>
      <c r="AN900" s="18"/>
      <c r="AO900" s="18"/>
      <c r="AP900" s="18"/>
      <c r="AQ900" s="34"/>
      <c r="AR900" s="145"/>
      <c r="AS900" s="34"/>
      <c r="AT900" s="40"/>
      <c r="AU900" s="18"/>
      <c r="AV900" s="18"/>
      <c r="AW900" s="18"/>
      <c r="AX900" s="18"/>
    </row>
    <row r="901" spans="1:50" x14ac:dyDescent="0.2">
      <c r="AA901" s="73" t="s">
        <v>1018</v>
      </c>
      <c r="AB901" s="74" t="s">
        <v>286</v>
      </c>
      <c r="AC901" s="17"/>
      <c r="AD901" s="34"/>
      <c r="AE901" s="18"/>
      <c r="AF901" s="18"/>
      <c r="AG901" s="18"/>
      <c r="AH901" s="18"/>
      <c r="AI901" s="18"/>
      <c r="AJ901" s="18"/>
      <c r="AK901" s="34"/>
      <c r="AL901" s="34"/>
      <c r="AM901" s="34"/>
      <c r="AN901" s="18"/>
      <c r="AO901" s="18"/>
      <c r="AP901" s="18"/>
      <c r="AQ901" s="34"/>
      <c r="AR901" s="34"/>
      <c r="AS901" s="34"/>
      <c r="AT901" s="40"/>
      <c r="AU901" s="18"/>
      <c r="AV901" s="18"/>
      <c r="AW901" s="18"/>
      <c r="AX901" s="18"/>
    </row>
    <row r="902" spans="1:50" x14ac:dyDescent="0.2">
      <c r="AA902" s="73" t="s">
        <v>1021</v>
      </c>
      <c r="AB902" s="74" t="s">
        <v>1070</v>
      </c>
      <c r="AC902" s="17"/>
      <c r="AD902" s="34"/>
      <c r="AE902" s="18"/>
      <c r="AF902" s="18"/>
      <c r="AG902" s="18"/>
      <c r="AH902" s="18"/>
      <c r="AI902" s="18"/>
      <c r="AJ902" s="18"/>
      <c r="AK902" s="34"/>
      <c r="AL902" s="34"/>
      <c r="AM902" s="34"/>
      <c r="AN902" s="18"/>
      <c r="AO902" s="18"/>
      <c r="AP902" s="18"/>
      <c r="AQ902" s="34"/>
      <c r="AR902" s="34"/>
      <c r="AS902" s="34"/>
      <c r="AT902" s="40"/>
      <c r="AU902" s="18"/>
      <c r="AV902" s="18"/>
      <c r="AW902" s="18"/>
      <c r="AX902" s="18"/>
    </row>
    <row r="903" spans="1:50" s="150" customFormat="1" x14ac:dyDescent="0.2">
      <c r="B903" s="276"/>
      <c r="C903" s="276"/>
      <c r="D903" s="276"/>
      <c r="E903" s="276"/>
      <c r="F903" s="276"/>
      <c r="G903" s="276"/>
      <c r="H903" s="276"/>
      <c r="I903" s="276"/>
      <c r="J903" s="276"/>
      <c r="K903" s="276"/>
      <c r="L903" s="276"/>
      <c r="M903" s="276"/>
      <c r="N903" s="276"/>
      <c r="O903" s="276"/>
      <c r="P903" s="276"/>
      <c r="Q903" s="276"/>
      <c r="R903" s="276"/>
      <c r="S903" s="276"/>
      <c r="T903" s="276"/>
      <c r="U903" s="276"/>
      <c r="V903" s="276"/>
      <c r="W903" s="276"/>
      <c r="X903" s="276"/>
      <c r="Y903" s="276"/>
      <c r="Z903" s="276"/>
      <c r="AA903" s="139" t="s">
        <v>1019</v>
      </c>
      <c r="AB903" s="70" t="s">
        <v>1005</v>
      </c>
      <c r="AC903" s="70"/>
      <c r="AD903" s="145">
        <v>0</v>
      </c>
      <c r="AE903" s="147">
        <v>6986666</v>
      </c>
      <c r="AF903" s="145">
        <v>0</v>
      </c>
      <c r="AG903" s="145">
        <v>0</v>
      </c>
      <c r="AH903" s="145">
        <v>0</v>
      </c>
      <c r="AI903" s="142">
        <f>AE903-AF903+AG903-AH903</f>
        <v>6986666</v>
      </c>
      <c r="AJ903" s="142">
        <f>AD903+AI903</f>
        <v>6986666</v>
      </c>
      <c r="AK903" s="145">
        <v>0</v>
      </c>
      <c r="AL903" s="145">
        <v>0</v>
      </c>
      <c r="AM903" s="145">
        <v>0</v>
      </c>
      <c r="AN903" s="145">
        <v>0</v>
      </c>
      <c r="AO903" s="145">
        <v>0</v>
      </c>
      <c r="AP903" s="145">
        <v>0</v>
      </c>
      <c r="AQ903" s="145">
        <v>0</v>
      </c>
      <c r="AR903" s="145">
        <v>0</v>
      </c>
      <c r="AS903" s="145">
        <v>0</v>
      </c>
      <c r="AT903" s="277">
        <f t="shared" ref="AT903" si="386">AQ903+AS903</f>
        <v>0</v>
      </c>
      <c r="AU903" s="148">
        <f>AJ903-AM903</f>
        <v>6986666</v>
      </c>
      <c r="AV903" s="175">
        <f>AM903-AP903</f>
        <v>0</v>
      </c>
      <c r="AW903" s="145">
        <f>AP903-AT903</f>
        <v>0</v>
      </c>
      <c r="AX903" s="149">
        <f>AP903/AJ903</f>
        <v>0</v>
      </c>
    </row>
    <row r="904" spans="1:50" x14ac:dyDescent="0.2">
      <c r="AA904" s="16"/>
      <c r="AB904" s="17"/>
      <c r="AC904" s="17"/>
      <c r="AD904" s="18"/>
      <c r="AE904" s="18"/>
      <c r="AF904" s="18"/>
      <c r="AG904" s="18"/>
      <c r="AH904" s="18"/>
      <c r="AI904" s="18"/>
      <c r="AJ904" s="18"/>
      <c r="AK904" s="34"/>
      <c r="AL904" s="34"/>
      <c r="AM904" s="18"/>
      <c r="AN904" s="18"/>
      <c r="AO904" s="18"/>
      <c r="AP904" s="18"/>
      <c r="AQ904" s="34"/>
      <c r="AR904" s="34"/>
      <c r="AS904" s="34"/>
      <c r="AT904" s="40"/>
      <c r="AU904" s="18"/>
      <c r="AV904" s="18"/>
      <c r="AW904" s="18"/>
      <c r="AX904" s="18"/>
    </row>
    <row r="905" spans="1:50" ht="38.25" x14ac:dyDescent="0.2">
      <c r="AA905" s="16"/>
      <c r="AB905" s="29" t="s">
        <v>613</v>
      </c>
      <c r="AC905" s="17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30"/>
      <c r="AU905" s="18"/>
      <c r="AV905" s="18"/>
      <c r="AW905" s="18"/>
      <c r="AX905" s="18"/>
    </row>
    <row r="906" spans="1:50" x14ac:dyDescent="0.2">
      <c r="AA906" s="16"/>
      <c r="AB906" s="29" t="s">
        <v>614</v>
      </c>
      <c r="AC906" s="17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30"/>
      <c r="AU906" s="18"/>
      <c r="AV906" s="18"/>
      <c r="AW906" s="18"/>
      <c r="AX906" s="18"/>
    </row>
    <row r="907" spans="1:50" x14ac:dyDescent="0.2">
      <c r="AA907" s="16"/>
      <c r="AB907" s="29" t="s">
        <v>286</v>
      </c>
      <c r="AC907" s="17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30"/>
      <c r="AU907" s="18"/>
      <c r="AV907" s="18"/>
      <c r="AW907" s="18"/>
      <c r="AX907" s="18"/>
    </row>
    <row r="908" spans="1:50" x14ac:dyDescent="0.2">
      <c r="AA908" s="16"/>
      <c r="AB908" s="29" t="s">
        <v>574</v>
      </c>
      <c r="AC908" s="17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30"/>
      <c r="AU908" s="18"/>
      <c r="AV908" s="18"/>
      <c r="AW908" s="18"/>
      <c r="AX908" s="18"/>
    </row>
    <row r="909" spans="1:50" x14ac:dyDescent="0.2">
      <c r="AA909" s="16"/>
      <c r="AB909" s="29" t="s">
        <v>575</v>
      </c>
      <c r="AC909" s="17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30"/>
      <c r="AU909" s="18"/>
      <c r="AV909" s="18"/>
      <c r="AW909" s="18"/>
      <c r="AX909" s="18"/>
    </row>
    <row r="910" spans="1:50" x14ac:dyDescent="0.2">
      <c r="AA910" s="16"/>
      <c r="AB910" s="29" t="s">
        <v>576</v>
      </c>
      <c r="AC910" s="17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30"/>
      <c r="AU910" s="18"/>
      <c r="AV910" s="18"/>
      <c r="AW910" s="18"/>
      <c r="AX910" s="18"/>
    </row>
    <row r="911" spans="1:50" x14ac:dyDescent="0.2">
      <c r="AA911" s="16"/>
      <c r="AB911" s="29" t="s">
        <v>615</v>
      </c>
      <c r="AC911" s="17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30"/>
      <c r="AU911" s="18"/>
      <c r="AV911" s="18"/>
      <c r="AW911" s="18"/>
      <c r="AX911" s="18"/>
    </row>
    <row r="912" spans="1:50" ht="25.5" x14ac:dyDescent="0.2">
      <c r="AA912" s="16"/>
      <c r="AB912" s="29" t="s">
        <v>579</v>
      </c>
      <c r="AC912" s="17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30"/>
      <c r="AU912" s="18"/>
      <c r="AV912" s="18"/>
      <c r="AW912" s="18"/>
      <c r="AX912" s="18"/>
    </row>
    <row r="913" spans="1:50" ht="25.5" x14ac:dyDescent="0.2">
      <c r="AA913" s="41" t="s">
        <v>1229</v>
      </c>
      <c r="AB913" s="38" t="s">
        <v>1228</v>
      </c>
      <c r="AC913" s="17"/>
      <c r="AD913" s="34">
        <v>0</v>
      </c>
      <c r="AE913" s="34">
        <v>0</v>
      </c>
      <c r="AF913" s="34">
        <v>0</v>
      </c>
      <c r="AG913" s="18">
        <f>283500000+31000000+279000000</f>
        <v>593500000</v>
      </c>
      <c r="AH913" s="34">
        <v>0</v>
      </c>
      <c r="AI913" s="43">
        <f>AE913-AF913+AG913-AH913</f>
        <v>593500000</v>
      </c>
      <c r="AJ913" s="142">
        <f>AD913+AI913</f>
        <v>593500000</v>
      </c>
      <c r="AK913" s="34">
        <v>0</v>
      </c>
      <c r="AL913" s="18">
        <f>AM913-AGOSTO!AM903</f>
        <v>489284105</v>
      </c>
      <c r="AM913" s="18">
        <v>501472512.27999997</v>
      </c>
      <c r="AN913" s="34">
        <v>0</v>
      </c>
      <c r="AO913" s="34">
        <v>0</v>
      </c>
      <c r="AP913" s="18">
        <v>12188407.279999999</v>
      </c>
      <c r="AQ913" s="34">
        <v>0</v>
      </c>
      <c r="AR913" s="34">
        <v>0</v>
      </c>
      <c r="AS913" s="34">
        <v>0</v>
      </c>
      <c r="AT913" s="135">
        <f t="shared" ref="AT913" si="387">AQ913+AS913</f>
        <v>0</v>
      </c>
      <c r="AU913" s="110">
        <f>AJ913-AM913</f>
        <v>92027487.720000029</v>
      </c>
      <c r="AV913" s="18">
        <f>AM913-AP913</f>
        <v>489284105</v>
      </c>
      <c r="AW913" s="18">
        <f>AP913-AT913</f>
        <v>12188407.279999999</v>
      </c>
      <c r="AX913" s="123">
        <f>AP913/AJ913</f>
        <v>2.0536490783487783E-2</v>
      </c>
    </row>
    <row r="914" spans="1:50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73" t="s">
        <v>288</v>
      </c>
      <c r="AB914" s="74" t="s">
        <v>643</v>
      </c>
      <c r="AC914" s="43"/>
      <c r="AD914" s="43"/>
      <c r="AE914" s="44"/>
      <c r="AF914" s="44"/>
      <c r="AG914" s="44"/>
      <c r="AH914" s="44"/>
      <c r="AI914" s="44"/>
      <c r="AJ914" s="43"/>
      <c r="AK914" s="44"/>
      <c r="AL914" s="44"/>
      <c r="AM914" s="43"/>
      <c r="AN914" s="43"/>
      <c r="AO914" s="44"/>
      <c r="AP914" s="43"/>
      <c r="AQ914" s="44"/>
      <c r="AR914" s="44"/>
      <c r="AS914" s="44"/>
      <c r="AT914" s="40"/>
      <c r="AU914" s="18"/>
      <c r="AV914" s="34"/>
      <c r="AW914" s="18"/>
      <c r="AX914" s="123"/>
    </row>
    <row r="915" spans="1:50" ht="25.5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1" t="s">
        <v>1332</v>
      </c>
      <c r="AB915" s="42" t="s">
        <v>1243</v>
      </c>
      <c r="AC915" s="43"/>
      <c r="AD915" s="43">
        <v>0</v>
      </c>
      <c r="AE915" s="44">
        <v>0</v>
      </c>
      <c r="AF915" s="44">
        <v>0</v>
      </c>
      <c r="AG915" s="43">
        <v>440517900</v>
      </c>
      <c r="AH915" s="44">
        <v>0</v>
      </c>
      <c r="AI915" s="43">
        <f>AE914-AF914+AG915-AH914</f>
        <v>440517900</v>
      </c>
      <c r="AJ915" s="43">
        <f>AD914+AI915</f>
        <v>440517900</v>
      </c>
      <c r="AK915" s="44">
        <v>0</v>
      </c>
      <c r="AL915" s="44">
        <v>0</v>
      </c>
      <c r="AM915" s="44">
        <v>0</v>
      </c>
      <c r="AN915" s="44">
        <v>0</v>
      </c>
      <c r="AO915" s="44">
        <v>0</v>
      </c>
      <c r="AP915" s="44">
        <v>0</v>
      </c>
      <c r="AQ915" s="44">
        <v>0</v>
      </c>
      <c r="AR915" s="44">
        <v>0</v>
      </c>
      <c r="AS915" s="44">
        <v>0</v>
      </c>
      <c r="AT915" s="40">
        <f>AQ915+AS915</f>
        <v>0</v>
      </c>
      <c r="AU915" s="18">
        <f>AJ915-AM915</f>
        <v>440517900</v>
      </c>
      <c r="AV915" s="34">
        <f>AM915-AP915</f>
        <v>0</v>
      </c>
      <c r="AW915" s="18">
        <f>AP915-AT915</f>
        <v>0</v>
      </c>
      <c r="AX915" s="123">
        <f>AP915/AJ915</f>
        <v>0</v>
      </c>
    </row>
    <row r="916" spans="1:50" ht="25.5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73" t="s">
        <v>288</v>
      </c>
      <c r="AB916" s="74" t="s">
        <v>1241</v>
      </c>
      <c r="AC916" s="43"/>
      <c r="AD916" s="43"/>
      <c r="AE916" s="44"/>
      <c r="AF916" s="44"/>
      <c r="AG916" s="44"/>
      <c r="AH916" s="44"/>
      <c r="AI916" s="44"/>
      <c r="AJ916" s="43"/>
      <c r="AK916" s="44"/>
      <c r="AL916" s="44"/>
      <c r="AM916" s="43"/>
      <c r="AN916" s="43"/>
      <c r="AO916" s="44"/>
      <c r="AP916" s="44"/>
      <c r="AQ916" s="44"/>
      <c r="AR916" s="44"/>
      <c r="AS916" s="44"/>
      <c r="AT916" s="40"/>
      <c r="AU916" s="18"/>
      <c r="AV916" s="34"/>
      <c r="AW916" s="18"/>
      <c r="AX916" s="123"/>
    </row>
    <row r="917" spans="1:50" ht="25.5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1" t="s">
        <v>1242</v>
      </c>
      <c r="AB917" s="42" t="s">
        <v>1243</v>
      </c>
      <c r="AC917" s="43"/>
      <c r="AD917" s="44">
        <v>0</v>
      </c>
      <c r="AE917" s="44">
        <v>0</v>
      </c>
      <c r="AF917" s="44">
        <v>0</v>
      </c>
      <c r="AG917" s="43">
        <v>2905817258</v>
      </c>
      <c r="AH917" s="44">
        <v>0</v>
      </c>
      <c r="AI917" s="43">
        <f>AE916-AF916+AG917-AH916</f>
        <v>2905817258</v>
      </c>
      <c r="AJ917" s="43">
        <f>AD916+AI917</f>
        <v>2905817258</v>
      </c>
      <c r="AK917" s="44">
        <v>0</v>
      </c>
      <c r="AL917" s="142">
        <f>AM917-AGOSTO!AM826</f>
        <v>-71563583</v>
      </c>
      <c r="AM917" s="43">
        <v>2166016667</v>
      </c>
      <c r="AN917" s="44">
        <v>0</v>
      </c>
      <c r="AO917" s="43">
        <v>567251634</v>
      </c>
      <c r="AP917" s="43">
        <v>567251634</v>
      </c>
      <c r="AQ917" s="44">
        <v>0</v>
      </c>
      <c r="AR917" s="44">
        <v>0</v>
      </c>
      <c r="AS917" s="44">
        <v>0</v>
      </c>
      <c r="AT917" s="40">
        <f>AQ917+AS917</f>
        <v>0</v>
      </c>
      <c r="AU917" s="18">
        <f>AJ917-AM917</f>
        <v>739800591</v>
      </c>
      <c r="AV917" s="18">
        <f>AM917-AP917</f>
        <v>1598765033</v>
      </c>
      <c r="AW917" s="18">
        <f>AP917-AT917</f>
        <v>567251634</v>
      </c>
      <c r="AX917" s="123">
        <f>AP917/AJ917</f>
        <v>0.19521242515794845</v>
      </c>
    </row>
    <row r="918" spans="1:50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16" t="s">
        <v>1255</v>
      </c>
      <c r="AB918" s="42" t="s">
        <v>233</v>
      </c>
      <c r="AC918" s="43"/>
      <c r="AD918" s="44">
        <v>0</v>
      </c>
      <c r="AE918" s="44">
        <v>0</v>
      </c>
      <c r="AF918" s="44">
        <v>0</v>
      </c>
      <c r="AG918" s="43">
        <v>134254307</v>
      </c>
      <c r="AH918" s="44"/>
      <c r="AI918" s="43">
        <f>AE917-AF917+AG918-AH917</f>
        <v>134254307</v>
      </c>
      <c r="AJ918" s="43">
        <f>AD917+AI918</f>
        <v>134254307</v>
      </c>
      <c r="AK918" s="44">
        <v>0</v>
      </c>
      <c r="AL918" s="43">
        <f>AM918-AGOSTO!AM827</f>
        <v>-3758726</v>
      </c>
      <c r="AM918" s="43">
        <v>130495581</v>
      </c>
      <c r="AN918" s="44">
        <v>0</v>
      </c>
      <c r="AO918" s="43">
        <v>130495581</v>
      </c>
      <c r="AP918" s="43">
        <v>130495581</v>
      </c>
      <c r="AQ918" s="44">
        <v>0</v>
      </c>
      <c r="AR918" s="44">
        <v>0</v>
      </c>
      <c r="AS918" s="44">
        <v>0</v>
      </c>
      <c r="AT918" s="40">
        <f>AQ918+AS918</f>
        <v>0</v>
      </c>
      <c r="AU918" s="18">
        <f>AJ918-AM918</f>
        <v>3758726</v>
      </c>
      <c r="AV918" s="18">
        <f>AM918-AP918</f>
        <v>0</v>
      </c>
      <c r="AW918" s="18">
        <f>AP918-AT918</f>
        <v>130495581</v>
      </c>
      <c r="AX918" s="123">
        <f>AP918/AJ918</f>
        <v>0.97200293916827563</v>
      </c>
    </row>
    <row r="919" spans="1:50" ht="38.25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73" t="s">
        <v>1249</v>
      </c>
      <c r="AB919" s="74" t="s">
        <v>1250</v>
      </c>
      <c r="AC919" s="43"/>
      <c r="AD919" s="44"/>
      <c r="AE919" s="44"/>
      <c r="AF919" s="44"/>
      <c r="AG919" s="43"/>
      <c r="AH919" s="44"/>
      <c r="AI919" s="43"/>
      <c r="AJ919" s="43"/>
      <c r="AK919" s="44"/>
      <c r="AL919" s="44"/>
      <c r="AM919" s="44"/>
      <c r="AN919" s="44"/>
      <c r="AO919" s="44"/>
      <c r="AP919" s="44"/>
      <c r="AQ919" s="44"/>
      <c r="AR919" s="44"/>
      <c r="AS919" s="44"/>
      <c r="AT919" s="40"/>
      <c r="AU919" s="18"/>
      <c r="AV919" s="34"/>
      <c r="AW919" s="34"/>
      <c r="AX919" s="123"/>
    </row>
    <row r="920" spans="1:50" ht="25.5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1" t="s">
        <v>1251</v>
      </c>
      <c r="AB920" s="42" t="s">
        <v>1243</v>
      </c>
      <c r="AC920" s="43"/>
      <c r="AD920" s="44">
        <v>0</v>
      </c>
      <c r="AE920" s="44">
        <v>0</v>
      </c>
      <c r="AF920" s="44">
        <v>0</v>
      </c>
      <c r="AG920" s="43">
        <v>65000000</v>
      </c>
      <c r="AH920" s="44">
        <v>0</v>
      </c>
      <c r="AI920" s="43">
        <f>AE919-AF919+AG920-AH919</f>
        <v>65000000</v>
      </c>
      <c r="AJ920" s="43">
        <f>AD919+AI920</f>
        <v>65000000</v>
      </c>
      <c r="AK920" s="44">
        <v>0</v>
      </c>
      <c r="AL920" s="43">
        <v>64982607</v>
      </c>
      <c r="AM920" s="43">
        <v>64982607</v>
      </c>
      <c r="AN920" s="44">
        <v>0</v>
      </c>
      <c r="AO920" s="44">
        <v>0</v>
      </c>
      <c r="AP920" s="44">
        <v>0</v>
      </c>
      <c r="AQ920" s="44">
        <v>0</v>
      </c>
      <c r="AR920" s="44">
        <v>0</v>
      </c>
      <c r="AS920" s="44">
        <v>0</v>
      </c>
      <c r="AT920" s="40">
        <f>AQ920+AS920</f>
        <v>0</v>
      </c>
      <c r="AU920" s="18">
        <f>AJ920-AM920</f>
        <v>17393</v>
      </c>
      <c r="AV920" s="18">
        <f>AM920-AP920</f>
        <v>64982607</v>
      </c>
      <c r="AW920" s="34">
        <f>AP920-AT920</f>
        <v>0</v>
      </c>
      <c r="AX920" s="123">
        <f>AP920/AJ920</f>
        <v>0</v>
      </c>
    </row>
    <row r="921" spans="1:50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73" t="s">
        <v>288</v>
      </c>
      <c r="AB921" s="74" t="s">
        <v>1244</v>
      </c>
      <c r="AC921" s="43"/>
      <c r="AD921" s="44"/>
      <c r="AE921" s="44"/>
      <c r="AF921" s="44"/>
      <c r="AG921" s="44"/>
      <c r="AH921" s="44"/>
      <c r="AI921" s="44"/>
      <c r="AJ921" s="43"/>
      <c r="AK921" s="44"/>
      <c r="AL921" s="44"/>
      <c r="AM921" s="43"/>
      <c r="AN921" s="43"/>
      <c r="AO921" s="44"/>
      <c r="AP921" s="44"/>
      <c r="AQ921" s="44"/>
      <c r="AR921" s="44"/>
      <c r="AS921" s="44"/>
      <c r="AT921" s="40"/>
      <c r="AU921" s="18"/>
      <c r="AV921" s="34"/>
      <c r="AW921" s="34"/>
      <c r="AX921" s="123"/>
    </row>
    <row r="922" spans="1:50" ht="25.5" x14ac:dyDescent="0.2">
      <c r="AA922" s="41" t="s">
        <v>1245</v>
      </c>
      <c r="AB922" s="42" t="s">
        <v>1243</v>
      </c>
      <c r="AC922" s="17"/>
      <c r="AD922" s="34">
        <v>0</v>
      </c>
      <c r="AE922" s="34">
        <v>0</v>
      </c>
      <c r="AF922" s="34">
        <v>0</v>
      </c>
      <c r="AG922" s="18">
        <v>350000000</v>
      </c>
      <c r="AH922" s="34">
        <v>0</v>
      </c>
      <c r="AI922" s="43">
        <f>AE921-AF921+AG922-AH921</f>
        <v>350000000</v>
      </c>
      <c r="AJ922" s="43">
        <f>AD921+AI922</f>
        <v>350000000</v>
      </c>
      <c r="AK922" s="34">
        <v>0</v>
      </c>
      <c r="AL922" s="34">
        <f>AM922-AGOSTO!AM831</f>
        <v>0</v>
      </c>
      <c r="AM922" s="18">
        <v>339872000</v>
      </c>
      <c r="AN922" s="18">
        <v>0</v>
      </c>
      <c r="AO922" s="34">
        <v>0</v>
      </c>
      <c r="AP922" s="34">
        <v>0</v>
      </c>
      <c r="AQ922" s="34">
        <v>0</v>
      </c>
      <c r="AR922" s="34">
        <v>0</v>
      </c>
      <c r="AS922" s="34">
        <v>0</v>
      </c>
      <c r="AT922" s="40">
        <f>AQ922+AS922</f>
        <v>0</v>
      </c>
      <c r="AU922" s="18">
        <f>AJ922-AM922</f>
        <v>10128000</v>
      </c>
      <c r="AV922" s="18">
        <f>AM922-AP922</f>
        <v>339872000</v>
      </c>
      <c r="AW922" s="34">
        <f>AP922-AT922</f>
        <v>0</v>
      </c>
      <c r="AX922" s="123">
        <f>AP922/AJ922</f>
        <v>0</v>
      </c>
    </row>
    <row r="923" spans="1:50" ht="25.5" x14ac:dyDescent="0.2">
      <c r="AA923" s="73" t="s">
        <v>288</v>
      </c>
      <c r="AB923" s="74" t="s">
        <v>1246</v>
      </c>
      <c r="AC923" s="17"/>
      <c r="AD923" s="34"/>
      <c r="AE923" s="34"/>
      <c r="AF923" s="34"/>
      <c r="AG923" s="18"/>
      <c r="AH923" s="34"/>
      <c r="AI923" s="43"/>
      <c r="AJ923" s="43"/>
      <c r="AK923" s="34"/>
      <c r="AL923" s="34"/>
      <c r="AM923" s="34"/>
      <c r="AN923" s="34"/>
      <c r="AO923" s="34"/>
      <c r="AP923" s="34"/>
      <c r="AQ923" s="34"/>
      <c r="AR923" s="34"/>
      <c r="AS923" s="34"/>
      <c r="AT923" s="30"/>
      <c r="AU923" s="18"/>
      <c r="AV923" s="18"/>
      <c r="AW923" s="34"/>
      <c r="AX923" s="18"/>
    </row>
    <row r="924" spans="1:50" ht="25.5" x14ac:dyDescent="0.2">
      <c r="AA924" s="41" t="s">
        <v>1247</v>
      </c>
      <c r="AB924" s="42" t="s">
        <v>1243</v>
      </c>
      <c r="AC924" s="17"/>
      <c r="AD924" s="34">
        <v>0</v>
      </c>
      <c r="AE924" s="34">
        <v>0</v>
      </c>
      <c r="AF924" s="34">
        <v>0</v>
      </c>
      <c r="AG924" s="18">
        <v>1067000000</v>
      </c>
      <c r="AH924" s="34">
        <v>0</v>
      </c>
      <c r="AI924" s="43">
        <f>AE923-AF923+AG924-AH923</f>
        <v>1067000000</v>
      </c>
      <c r="AJ924" s="43">
        <f>AD923+AI924</f>
        <v>1067000000</v>
      </c>
      <c r="AK924" s="34">
        <v>0</v>
      </c>
      <c r="AL924" s="18">
        <f>AM924-AGOSTO!AM833</f>
        <v>794235900</v>
      </c>
      <c r="AM924" s="18">
        <v>794235900</v>
      </c>
      <c r="AN924" s="34">
        <v>0</v>
      </c>
      <c r="AO924" s="18">
        <v>160500060</v>
      </c>
      <c r="AP924" s="18">
        <v>160500060</v>
      </c>
      <c r="AQ924" s="34">
        <v>0</v>
      </c>
      <c r="AR924" s="34">
        <v>0</v>
      </c>
      <c r="AS924" s="34">
        <v>0</v>
      </c>
      <c r="AT924" s="40">
        <f>AQ924+AS924</f>
        <v>0</v>
      </c>
      <c r="AU924" s="18">
        <f>AJ924-AM924</f>
        <v>272764100</v>
      </c>
      <c r="AV924" s="18">
        <f>AM924-AP924</f>
        <v>633735840</v>
      </c>
      <c r="AW924" s="18">
        <f>AP924-AT924</f>
        <v>160500060</v>
      </c>
      <c r="AX924" s="123">
        <f>AP924/AJ924</f>
        <v>0.15042179943767572</v>
      </c>
    </row>
    <row r="925" spans="1:50" x14ac:dyDescent="0.2">
      <c r="AA925" s="73" t="s">
        <v>288</v>
      </c>
      <c r="AB925" s="74" t="s">
        <v>635</v>
      </c>
      <c r="AC925" s="17"/>
      <c r="AD925" s="34"/>
      <c r="AE925" s="34"/>
      <c r="AF925" s="34"/>
      <c r="AG925" s="18"/>
      <c r="AH925" s="34"/>
      <c r="AI925" s="43"/>
      <c r="AJ925" s="43"/>
      <c r="AK925" s="34"/>
      <c r="AL925" s="34"/>
      <c r="AM925" s="34"/>
      <c r="AN925" s="34"/>
      <c r="AO925" s="34"/>
      <c r="AP925" s="34"/>
      <c r="AQ925" s="34"/>
      <c r="AR925" s="34"/>
      <c r="AS925" s="34"/>
      <c r="AT925" s="30"/>
      <c r="AU925" s="18"/>
      <c r="AV925" s="18"/>
      <c r="AW925" s="34"/>
      <c r="AX925" s="18"/>
    </row>
    <row r="926" spans="1:50" ht="25.5" x14ac:dyDescent="0.2">
      <c r="AA926" s="134" t="s">
        <v>1252</v>
      </c>
      <c r="AB926" s="42" t="s">
        <v>1243</v>
      </c>
      <c r="AC926" s="17"/>
      <c r="AD926" s="34">
        <v>0</v>
      </c>
      <c r="AE926" s="34">
        <v>0</v>
      </c>
      <c r="AF926" s="34">
        <v>0</v>
      </c>
      <c r="AG926" s="18">
        <v>148000000</v>
      </c>
      <c r="AH926" s="34"/>
      <c r="AI926" s="43">
        <f>AE925-AF925+AG926-AH925</f>
        <v>148000000</v>
      </c>
      <c r="AJ926" s="43">
        <f>AD925+AI926</f>
        <v>148000000</v>
      </c>
      <c r="AK926" s="34">
        <v>0</v>
      </c>
      <c r="AL926" s="18">
        <f>AM926-AGOSTO!AM835</f>
        <v>102623815</v>
      </c>
      <c r="AM926" s="18">
        <v>102623815</v>
      </c>
      <c r="AN926" s="34">
        <v>0</v>
      </c>
      <c r="AO926" s="34">
        <v>0</v>
      </c>
      <c r="AP926" s="34">
        <v>0</v>
      </c>
      <c r="AQ926" s="34">
        <v>0</v>
      </c>
      <c r="AR926" s="34">
        <v>0</v>
      </c>
      <c r="AS926" s="34">
        <v>0</v>
      </c>
      <c r="AT926" s="40">
        <f>AQ926+AS926</f>
        <v>0</v>
      </c>
      <c r="AU926" s="18">
        <f>AJ926-AM926</f>
        <v>45376185</v>
      </c>
      <c r="AV926" s="18">
        <f>AM926-AP926</f>
        <v>102623815</v>
      </c>
      <c r="AW926" s="34">
        <f>AP926-AT926</f>
        <v>0</v>
      </c>
      <c r="AX926" s="123">
        <f>AP926/AJ926</f>
        <v>0</v>
      </c>
    </row>
    <row r="927" spans="1:50" x14ac:dyDescent="0.2">
      <c r="AA927" s="41"/>
      <c r="AB927" s="38"/>
      <c r="AC927" s="17"/>
      <c r="AD927" s="34"/>
      <c r="AE927" s="34"/>
      <c r="AF927" s="34"/>
      <c r="AG927" s="18"/>
      <c r="AH927" s="34"/>
      <c r="AI927" s="43"/>
      <c r="AJ927" s="142"/>
      <c r="AK927" s="34"/>
      <c r="AL927" s="34"/>
      <c r="AM927" s="18"/>
      <c r="AN927" s="34"/>
      <c r="AO927" s="34"/>
      <c r="AP927" s="18"/>
      <c r="AQ927" s="34"/>
      <c r="AR927" s="34"/>
      <c r="AS927" s="34"/>
      <c r="AT927" s="135"/>
      <c r="AU927" s="110"/>
      <c r="AV927" s="133"/>
      <c r="AW927" s="34"/>
      <c r="AX927" s="123"/>
    </row>
    <row r="928" spans="1:50" ht="25.5" x14ac:dyDescent="0.2">
      <c r="AA928" s="28" t="s">
        <v>288</v>
      </c>
      <c r="AB928" s="29" t="s">
        <v>616</v>
      </c>
      <c r="AC928" s="17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34"/>
      <c r="AO928" s="34"/>
      <c r="AP928" s="18"/>
      <c r="AQ928" s="18"/>
      <c r="AR928" s="18"/>
      <c r="AS928" s="18"/>
      <c r="AT928" s="30"/>
      <c r="AU928" s="18"/>
      <c r="AV928" s="34"/>
      <c r="AW928" s="18"/>
      <c r="AX928" s="18"/>
    </row>
    <row r="929" spans="1:50" x14ac:dyDescent="0.2">
      <c r="A929" s="4" t="s">
        <v>55</v>
      </c>
      <c r="B929" s="4" t="s">
        <v>56</v>
      </c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1" t="s">
        <v>617</v>
      </c>
      <c r="AB929" s="42" t="s">
        <v>618</v>
      </c>
      <c r="AC929" s="43" t="s">
        <v>619</v>
      </c>
      <c r="AD929" s="43">
        <v>100000000</v>
      </c>
      <c r="AE929" s="44">
        <v>0</v>
      </c>
      <c r="AF929" s="44">
        <v>0</v>
      </c>
      <c r="AG929" s="43">
        <f>770000000+704534301</f>
        <v>1474534301</v>
      </c>
      <c r="AH929" s="137">
        <v>0</v>
      </c>
      <c r="AI929" s="43">
        <f>AE929-AF929+AG929-AH929</f>
        <v>1474534301</v>
      </c>
      <c r="AJ929" s="43">
        <f>AD929+AI929</f>
        <v>1574534301</v>
      </c>
      <c r="AK929" s="44">
        <v>0</v>
      </c>
      <c r="AL929" s="115">
        <f>AM929-AGOSTO!AM905</f>
        <v>0</v>
      </c>
      <c r="AM929" s="114">
        <v>1565609440</v>
      </c>
      <c r="AN929" s="44">
        <v>0</v>
      </c>
      <c r="AO929" s="44">
        <v>0</v>
      </c>
      <c r="AP929" s="43">
        <v>1565609440</v>
      </c>
      <c r="AQ929" s="44">
        <v>0</v>
      </c>
      <c r="AR929" s="44">
        <v>0</v>
      </c>
      <c r="AS929" s="43">
        <v>16631440</v>
      </c>
      <c r="AT929" s="39">
        <f t="shared" ref="AT929" si="388">AQ929+AS929</f>
        <v>16631440</v>
      </c>
      <c r="AU929" s="18">
        <f>AJ929-AM929</f>
        <v>8924861</v>
      </c>
      <c r="AV929" s="133">
        <f>AM929-AP929</f>
        <v>0</v>
      </c>
      <c r="AW929" s="18">
        <f>AP929-AT929</f>
        <v>1548978000</v>
      </c>
      <c r="AX929" s="123">
        <f>AP929/AJ929</f>
        <v>0.99433174558704007</v>
      </c>
    </row>
    <row r="930" spans="1:50" x14ac:dyDescent="0.2">
      <c r="AA930" s="16"/>
      <c r="AB930" s="17"/>
      <c r="AC930" s="17"/>
      <c r="AD930" s="18"/>
      <c r="AE930" s="34"/>
      <c r="AF930" s="34"/>
      <c r="AG930" s="34"/>
      <c r="AH930" s="34"/>
      <c r="AI930" s="34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30"/>
      <c r="AU930" s="18"/>
      <c r="AV930" s="18"/>
      <c r="AW930" s="18"/>
      <c r="AX930" s="18"/>
    </row>
    <row r="931" spans="1:50" x14ac:dyDescent="0.2">
      <c r="AA931" s="16"/>
      <c r="AB931" s="29" t="s">
        <v>620</v>
      </c>
      <c r="AC931" s="17"/>
      <c r="AD931" s="18"/>
      <c r="AE931" s="34"/>
      <c r="AF931" s="34"/>
      <c r="AG931" s="34"/>
      <c r="AH931" s="34"/>
      <c r="AI931" s="34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30"/>
      <c r="AU931" s="18"/>
      <c r="AV931" s="18"/>
      <c r="AW931" s="18"/>
      <c r="AX931" s="18"/>
    </row>
    <row r="932" spans="1:50" ht="25.5" x14ac:dyDescent="0.2">
      <c r="AA932" s="16"/>
      <c r="AB932" s="29" t="s">
        <v>621</v>
      </c>
      <c r="AC932" s="17"/>
      <c r="AD932" s="18"/>
      <c r="AE932" s="34"/>
      <c r="AF932" s="34"/>
      <c r="AG932" s="34"/>
      <c r="AH932" s="34"/>
      <c r="AI932" s="34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30"/>
      <c r="AU932" s="18"/>
      <c r="AV932" s="18"/>
      <c r="AW932" s="18"/>
      <c r="AX932" s="18"/>
    </row>
    <row r="933" spans="1:50" ht="25.5" x14ac:dyDescent="0.2">
      <c r="AA933" s="28" t="s">
        <v>288</v>
      </c>
      <c r="AB933" s="29" t="s">
        <v>616</v>
      </c>
      <c r="AC933" s="17"/>
      <c r="AD933" s="18"/>
      <c r="AE933" s="34"/>
      <c r="AF933" s="34"/>
      <c r="AG933" s="34"/>
      <c r="AH933" s="34"/>
      <c r="AI933" s="34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30"/>
      <c r="AU933" s="18"/>
      <c r="AV933" s="18"/>
      <c r="AW933" s="18"/>
      <c r="AX933" s="18"/>
    </row>
    <row r="934" spans="1:50" x14ac:dyDescent="0.2">
      <c r="A934" s="4" t="s">
        <v>55</v>
      </c>
      <c r="B934" s="4" t="s">
        <v>56</v>
      </c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1" t="s">
        <v>622</v>
      </c>
      <c r="AB934" s="42" t="s">
        <v>618</v>
      </c>
      <c r="AC934" s="43" t="s">
        <v>619</v>
      </c>
      <c r="AD934" s="43">
        <v>162000000</v>
      </c>
      <c r="AE934" s="44">
        <v>0</v>
      </c>
      <c r="AF934" s="44">
        <v>0</v>
      </c>
      <c r="AG934" s="43">
        <f>24729623+163270377</f>
        <v>188000000</v>
      </c>
      <c r="AH934" s="44">
        <v>0</v>
      </c>
      <c r="AI934" s="43">
        <f>AE934-AF934+AG934-AH934</f>
        <v>188000000</v>
      </c>
      <c r="AJ934" s="43">
        <f>AD934+AI934</f>
        <v>350000000</v>
      </c>
      <c r="AK934" s="44">
        <v>0</v>
      </c>
      <c r="AL934" s="44">
        <v>0</v>
      </c>
      <c r="AM934" s="43">
        <v>297576901</v>
      </c>
      <c r="AN934" s="43">
        <v>0</v>
      </c>
      <c r="AO934" s="43">
        <v>0</v>
      </c>
      <c r="AP934" s="43">
        <v>297576901</v>
      </c>
      <c r="AQ934" s="43">
        <v>250221600</v>
      </c>
      <c r="AR934" s="44">
        <v>0</v>
      </c>
      <c r="AS934" s="44">
        <v>0</v>
      </c>
      <c r="AT934" s="39">
        <f t="shared" ref="AT934" si="389">AQ934+AS934</f>
        <v>250221600</v>
      </c>
      <c r="AU934" s="18">
        <f>AJ934-AM934</f>
        <v>52423099</v>
      </c>
      <c r="AV934" s="133">
        <f>AM934-AP934</f>
        <v>0</v>
      </c>
      <c r="AW934" s="18">
        <f>AP934-AT934</f>
        <v>47355301</v>
      </c>
      <c r="AX934" s="123">
        <f>AP934/AJ934</f>
        <v>0.85021971714285716</v>
      </c>
    </row>
    <row r="935" spans="1:50" x14ac:dyDescent="0.2">
      <c r="AA935" s="16"/>
      <c r="AB935" s="17"/>
      <c r="AC935" s="17"/>
      <c r="AD935" s="18"/>
      <c r="AE935" s="34"/>
      <c r="AF935" s="34"/>
      <c r="AG935" s="34"/>
      <c r="AH935" s="34"/>
      <c r="AI935" s="34"/>
      <c r="AJ935" s="18"/>
      <c r="AK935" s="34"/>
      <c r="AL935" s="34"/>
      <c r="AM935" s="34"/>
      <c r="AN935" s="34"/>
      <c r="AO935" s="34"/>
      <c r="AP935" s="34"/>
      <c r="AQ935" s="34"/>
      <c r="AR935" s="34"/>
      <c r="AS935" s="34"/>
      <c r="AT935" s="31"/>
      <c r="AU935" s="18"/>
      <c r="AV935" s="18"/>
      <c r="AW935" s="18"/>
      <c r="AX935" s="18"/>
    </row>
    <row r="936" spans="1:50" x14ac:dyDescent="0.2">
      <c r="AA936" s="16"/>
      <c r="AB936" s="29" t="s">
        <v>623</v>
      </c>
      <c r="AC936" s="17"/>
      <c r="AD936" s="18"/>
      <c r="AE936" s="34"/>
      <c r="AF936" s="34"/>
      <c r="AG936" s="34"/>
      <c r="AH936" s="34"/>
      <c r="AI936" s="34"/>
      <c r="AJ936" s="18"/>
      <c r="AK936" s="34"/>
      <c r="AL936" s="34"/>
      <c r="AM936" s="34"/>
      <c r="AN936" s="34"/>
      <c r="AO936" s="34"/>
      <c r="AP936" s="34"/>
      <c r="AQ936" s="34"/>
      <c r="AR936" s="34"/>
      <c r="AS936" s="34"/>
      <c r="AT936" s="31"/>
      <c r="AU936" s="18"/>
      <c r="AV936" s="18"/>
      <c r="AW936" s="18"/>
      <c r="AX936" s="18"/>
    </row>
    <row r="937" spans="1:50" ht="25.5" x14ac:dyDescent="0.2">
      <c r="AA937" s="16"/>
      <c r="AB937" s="29" t="s">
        <v>624</v>
      </c>
      <c r="AC937" s="17"/>
      <c r="AD937" s="18"/>
      <c r="AE937" s="34"/>
      <c r="AF937" s="34"/>
      <c r="AG937" s="34"/>
      <c r="AH937" s="34"/>
      <c r="AI937" s="34"/>
      <c r="AJ937" s="18"/>
      <c r="AK937" s="34"/>
      <c r="AL937" s="34"/>
      <c r="AM937" s="34"/>
      <c r="AN937" s="34"/>
      <c r="AO937" s="34"/>
      <c r="AP937" s="34"/>
      <c r="AQ937" s="34"/>
      <c r="AR937" s="34"/>
      <c r="AS937" s="34"/>
      <c r="AT937" s="31"/>
      <c r="AU937" s="18"/>
      <c r="AV937" s="18"/>
      <c r="AW937" s="18"/>
      <c r="AX937" s="18"/>
    </row>
    <row r="938" spans="1:50" ht="25.5" x14ac:dyDescent="0.2">
      <c r="AA938" s="28" t="s">
        <v>288</v>
      </c>
      <c r="AB938" s="29" t="s">
        <v>616</v>
      </c>
      <c r="AC938" s="17"/>
      <c r="AD938" s="18"/>
      <c r="AE938" s="34"/>
      <c r="AF938" s="34"/>
      <c r="AG938" s="34"/>
      <c r="AH938" s="34"/>
      <c r="AI938" s="34"/>
      <c r="AJ938" s="18"/>
      <c r="AK938" s="34"/>
      <c r="AL938" s="34"/>
      <c r="AM938" s="34"/>
      <c r="AN938" s="34"/>
      <c r="AO938" s="34"/>
      <c r="AP938" s="34"/>
      <c r="AQ938" s="34"/>
      <c r="AR938" s="34"/>
      <c r="AS938" s="34"/>
      <c r="AT938" s="31"/>
      <c r="AU938" s="18"/>
      <c r="AV938" s="18"/>
      <c r="AW938" s="18"/>
      <c r="AX938" s="18"/>
    </row>
    <row r="939" spans="1:50" x14ac:dyDescent="0.2">
      <c r="A939" s="4" t="s">
        <v>55</v>
      </c>
      <c r="B939" s="4" t="s">
        <v>56</v>
      </c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1" t="s">
        <v>625</v>
      </c>
      <c r="AB939" s="42" t="s">
        <v>618</v>
      </c>
      <c r="AC939" s="43" t="s">
        <v>619</v>
      </c>
      <c r="AD939" s="43">
        <v>163270377</v>
      </c>
      <c r="AE939" s="44">
        <v>0</v>
      </c>
      <c r="AF939" s="44">
        <v>0</v>
      </c>
      <c r="AG939" s="44">
        <v>0</v>
      </c>
      <c r="AH939" s="142">
        <f>163270377</f>
        <v>163270377</v>
      </c>
      <c r="AI939" s="43">
        <f>AE939-AF939+AG939-AH939</f>
        <v>-163270377</v>
      </c>
      <c r="AJ939" s="44">
        <f>AD939+AI939</f>
        <v>0</v>
      </c>
      <c r="AK939" s="44">
        <v>0</v>
      </c>
      <c r="AL939" s="44">
        <v>0</v>
      </c>
      <c r="AM939" s="44">
        <v>0</v>
      </c>
      <c r="AN939" s="44">
        <v>0</v>
      </c>
      <c r="AO939" s="44">
        <v>0</v>
      </c>
      <c r="AP939" s="44">
        <v>0</v>
      </c>
      <c r="AQ939" s="44">
        <v>0</v>
      </c>
      <c r="AR939" s="44">
        <v>0</v>
      </c>
      <c r="AS939" s="44">
        <v>0</v>
      </c>
      <c r="AT939" s="40">
        <f t="shared" ref="AT939" si="390">AQ939+AS939</f>
        <v>0</v>
      </c>
      <c r="AU939" s="34">
        <f>AJ939-AM939</f>
        <v>0</v>
      </c>
      <c r="AV939" s="133">
        <f>AM939-AP939</f>
        <v>0</v>
      </c>
      <c r="AW939" s="34">
        <f>AP939-AT939</f>
        <v>0</v>
      </c>
      <c r="AX939" s="123">
        <v>0</v>
      </c>
    </row>
    <row r="940" spans="1:50" x14ac:dyDescent="0.2">
      <c r="AA940" s="16"/>
      <c r="AB940" s="17"/>
      <c r="AC940" s="17"/>
      <c r="AD940" s="18"/>
      <c r="AE940" s="18"/>
      <c r="AF940" s="18"/>
      <c r="AG940" s="18"/>
      <c r="AH940" s="18"/>
      <c r="AI940" s="18"/>
      <c r="AJ940" s="18"/>
      <c r="AK940" s="34"/>
      <c r="AL940" s="34"/>
      <c r="AM940" s="34"/>
      <c r="AN940" s="34"/>
      <c r="AO940" s="34"/>
      <c r="AP940" s="34"/>
      <c r="AQ940" s="18"/>
      <c r="AR940" s="18"/>
      <c r="AS940" s="18"/>
      <c r="AT940" s="30"/>
      <c r="AU940" s="18"/>
      <c r="AV940" s="18"/>
      <c r="AW940" s="18"/>
      <c r="AX940" s="18"/>
    </row>
    <row r="941" spans="1:50" ht="25.5" x14ac:dyDescent="0.2">
      <c r="AA941" s="16"/>
      <c r="AB941" s="29" t="s">
        <v>626</v>
      </c>
      <c r="AC941" s="17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30"/>
      <c r="AU941" s="18"/>
      <c r="AV941" s="18"/>
      <c r="AW941" s="18"/>
      <c r="AX941" s="18"/>
    </row>
    <row r="942" spans="1:50" ht="25.5" x14ac:dyDescent="0.2">
      <c r="AA942" s="16"/>
      <c r="AB942" s="29" t="s">
        <v>627</v>
      </c>
      <c r="AC942" s="17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30"/>
      <c r="AU942" s="18"/>
      <c r="AV942" s="18"/>
      <c r="AW942" s="18"/>
      <c r="AX942" s="18"/>
    </row>
    <row r="943" spans="1:50" x14ac:dyDescent="0.2">
      <c r="AA943" s="16"/>
      <c r="AB943" s="29" t="s">
        <v>628</v>
      </c>
      <c r="AC943" s="17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30"/>
      <c r="AU943" s="18"/>
      <c r="AV943" s="18"/>
      <c r="AW943" s="18"/>
      <c r="AX943" s="18"/>
    </row>
    <row r="944" spans="1:50" x14ac:dyDescent="0.2">
      <c r="AA944" s="16"/>
      <c r="AB944" s="29" t="s">
        <v>629</v>
      </c>
      <c r="AC944" s="17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30"/>
      <c r="AU944" s="18"/>
      <c r="AV944" s="18"/>
      <c r="AW944" s="18"/>
      <c r="AX944" s="18"/>
    </row>
    <row r="945" spans="1:50" ht="25.5" x14ac:dyDescent="0.2">
      <c r="AA945" s="28" t="s">
        <v>288</v>
      </c>
      <c r="AB945" s="29" t="s">
        <v>616</v>
      </c>
      <c r="AC945" s="17"/>
      <c r="AD945" s="18"/>
      <c r="AE945" s="34"/>
      <c r="AF945" s="34"/>
      <c r="AG945" s="34"/>
      <c r="AH945" s="34"/>
      <c r="AI945" s="34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30"/>
      <c r="AU945" s="18"/>
      <c r="AV945" s="18"/>
      <c r="AW945" s="18"/>
      <c r="AX945" s="18"/>
    </row>
    <row r="946" spans="1:50" x14ac:dyDescent="0.2">
      <c r="A946" s="4" t="s">
        <v>55</v>
      </c>
      <c r="B946" s="4" t="s">
        <v>56</v>
      </c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1" t="s">
        <v>630</v>
      </c>
      <c r="AB946" s="42" t="s">
        <v>618</v>
      </c>
      <c r="AC946" s="43" t="s">
        <v>619</v>
      </c>
      <c r="AD946" s="43">
        <v>100000000</v>
      </c>
      <c r="AE946" s="44">
        <v>0</v>
      </c>
      <c r="AF946" s="44">
        <v>0</v>
      </c>
      <c r="AG946" s="43">
        <v>222721043</v>
      </c>
      <c r="AH946" s="43">
        <v>74931884</v>
      </c>
      <c r="AI946" s="43">
        <f>AE946-AF946+AG946-AH946</f>
        <v>147789159</v>
      </c>
      <c r="AJ946" s="43">
        <f>AD946+AI946</f>
        <v>247789159</v>
      </c>
      <c r="AK946" s="44">
        <v>0</v>
      </c>
      <c r="AL946" s="43">
        <f>AM946-AGOSTO!AM922</f>
        <v>0</v>
      </c>
      <c r="AM946" s="43">
        <v>17033100</v>
      </c>
      <c r="AN946" s="44">
        <v>0</v>
      </c>
      <c r="AO946" s="44">
        <v>0</v>
      </c>
      <c r="AP946" s="43">
        <v>17033100</v>
      </c>
      <c r="AQ946" s="44">
        <v>0</v>
      </c>
      <c r="AR946" s="43">
        <v>0</v>
      </c>
      <c r="AS946" s="43">
        <v>9627100</v>
      </c>
      <c r="AT946" s="39">
        <f t="shared" ref="AT946" si="391">AQ946+AS946</f>
        <v>9627100</v>
      </c>
      <c r="AU946" s="18">
        <f>AJ946-AM946</f>
        <v>230756059</v>
      </c>
      <c r="AV946" s="133">
        <f>AM946-AP946</f>
        <v>0</v>
      </c>
      <c r="AW946" s="18">
        <f>AP946-AT946</f>
        <v>7406000</v>
      </c>
      <c r="AX946" s="123">
        <f>AP946/AJ946</f>
        <v>6.8740295454168765E-2</v>
      </c>
    </row>
    <row r="947" spans="1:50" x14ac:dyDescent="0.2">
      <c r="AA947" s="16"/>
      <c r="AB947" s="17"/>
      <c r="AC947" s="17"/>
      <c r="AD947" s="18"/>
      <c r="AE947" s="34"/>
      <c r="AF947" s="34"/>
      <c r="AG947" s="34"/>
      <c r="AH947" s="34"/>
      <c r="AI947" s="34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30"/>
      <c r="AU947" s="18"/>
      <c r="AV947" s="18"/>
      <c r="AW947" s="18"/>
      <c r="AX947" s="18"/>
    </row>
    <row r="948" spans="1:50" x14ac:dyDescent="0.2">
      <c r="AA948" s="16"/>
      <c r="AB948" s="29" t="s">
        <v>631</v>
      </c>
      <c r="AC948" s="17"/>
      <c r="AD948" s="18"/>
      <c r="AE948" s="34"/>
      <c r="AF948" s="34"/>
      <c r="AG948" s="34"/>
      <c r="AH948" s="34"/>
      <c r="AI948" s="34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30"/>
      <c r="AU948" s="18"/>
      <c r="AV948" s="18"/>
      <c r="AW948" s="18"/>
      <c r="AX948" s="18"/>
    </row>
    <row r="949" spans="1:50" x14ac:dyDescent="0.2">
      <c r="AA949" s="16"/>
      <c r="AB949" s="29" t="s">
        <v>632</v>
      </c>
      <c r="AC949" s="17"/>
      <c r="AD949" s="18"/>
      <c r="AE949" s="34"/>
      <c r="AF949" s="34"/>
      <c r="AG949" s="34"/>
      <c r="AH949" s="34"/>
      <c r="AI949" s="34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30"/>
      <c r="AU949" s="18"/>
      <c r="AV949" s="18"/>
      <c r="AW949" s="18"/>
      <c r="AX949" s="18"/>
    </row>
    <row r="950" spans="1:50" x14ac:dyDescent="0.2">
      <c r="AA950" s="16"/>
      <c r="AB950" s="29" t="s">
        <v>633</v>
      </c>
      <c r="AC950" s="17"/>
      <c r="AD950" s="18"/>
      <c r="AE950" s="34"/>
      <c r="AF950" s="34"/>
      <c r="AG950" s="34"/>
      <c r="AH950" s="34"/>
      <c r="AI950" s="34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30"/>
      <c r="AU950" s="18"/>
      <c r="AV950" s="18"/>
      <c r="AW950" s="18"/>
      <c r="AX950" s="18"/>
    </row>
    <row r="951" spans="1:50" x14ac:dyDescent="0.2">
      <c r="AA951" s="16"/>
      <c r="AB951" s="29" t="s">
        <v>634</v>
      </c>
      <c r="AC951" s="17"/>
      <c r="AD951" s="18"/>
      <c r="AE951" s="34"/>
      <c r="AF951" s="34"/>
      <c r="AG951" s="34"/>
      <c r="AH951" s="34"/>
      <c r="AI951" s="34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30"/>
      <c r="AU951" s="18"/>
      <c r="AV951" s="18"/>
      <c r="AW951" s="18"/>
      <c r="AX951" s="18"/>
    </row>
    <row r="952" spans="1:50" x14ac:dyDescent="0.2">
      <c r="AA952" s="16"/>
      <c r="AB952" s="29" t="s">
        <v>635</v>
      </c>
      <c r="AC952" s="17"/>
      <c r="AD952" s="18"/>
      <c r="AE952" s="34"/>
      <c r="AF952" s="34"/>
      <c r="AG952" s="34"/>
      <c r="AH952" s="34"/>
      <c r="AI952" s="34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30"/>
      <c r="AU952" s="18"/>
      <c r="AV952" s="18"/>
      <c r="AW952" s="18"/>
      <c r="AX952" s="18"/>
    </row>
    <row r="953" spans="1:50" ht="25.5" x14ac:dyDescent="0.2">
      <c r="AA953" s="28" t="s">
        <v>288</v>
      </c>
      <c r="AB953" s="29" t="s">
        <v>616</v>
      </c>
      <c r="AC953" s="17"/>
      <c r="AD953" s="18"/>
      <c r="AE953" s="34"/>
      <c r="AF953" s="34"/>
      <c r="AG953" s="34"/>
      <c r="AH953" s="34"/>
      <c r="AI953" s="34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30"/>
      <c r="AU953" s="18"/>
      <c r="AV953" s="18"/>
      <c r="AW953" s="18"/>
      <c r="AX953" s="18"/>
    </row>
    <row r="954" spans="1:50" ht="18.75" customHeight="1" x14ac:dyDescent="0.2">
      <c r="A954" s="4" t="s">
        <v>55</v>
      </c>
      <c r="B954" s="4" t="s">
        <v>56</v>
      </c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1" t="s">
        <v>636</v>
      </c>
      <c r="AB954" s="42" t="s">
        <v>618</v>
      </c>
      <c r="AC954" s="43" t="s">
        <v>619</v>
      </c>
      <c r="AD954" s="43">
        <v>80000000</v>
      </c>
      <c r="AE954" s="44">
        <v>0</v>
      </c>
      <c r="AF954" s="44">
        <v>0</v>
      </c>
      <c r="AG954" s="44">
        <v>0</v>
      </c>
      <c r="AH954" s="44">
        <v>0</v>
      </c>
      <c r="AI954" s="44">
        <v>0</v>
      </c>
      <c r="AJ954" s="43">
        <v>80000000</v>
      </c>
      <c r="AK954" s="44">
        <v>0</v>
      </c>
      <c r="AL954" s="44">
        <v>0</v>
      </c>
      <c r="AM954" s="44">
        <v>0</v>
      </c>
      <c r="AN954" s="44">
        <v>0</v>
      </c>
      <c r="AO954" s="44">
        <v>0</v>
      </c>
      <c r="AP954" s="44">
        <v>0</v>
      </c>
      <c r="AQ954" s="44">
        <v>0</v>
      </c>
      <c r="AR954" s="44">
        <v>0</v>
      </c>
      <c r="AS954" s="44">
        <v>0</v>
      </c>
      <c r="AT954" s="40">
        <f t="shared" ref="AT954" si="392">AQ954+AS954</f>
        <v>0</v>
      </c>
      <c r="AU954" s="18">
        <f>AJ954-AM954</f>
        <v>80000000</v>
      </c>
      <c r="AV954" s="133">
        <f>AM954-AP954</f>
        <v>0</v>
      </c>
      <c r="AW954" s="34">
        <f>AP954-AT954</f>
        <v>0</v>
      </c>
      <c r="AX954" s="123">
        <f>AP954/AJ954</f>
        <v>0</v>
      </c>
    </row>
    <row r="955" spans="1:50" ht="18.75" customHeight="1" x14ac:dyDescent="0.2">
      <c r="AA955" s="16"/>
      <c r="AB955" s="17"/>
      <c r="AC955" s="17"/>
      <c r="AD955" s="18"/>
      <c r="AE955" s="34"/>
      <c r="AF955" s="34"/>
      <c r="AG955" s="34"/>
      <c r="AH955" s="34"/>
      <c r="AI955" s="34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30"/>
      <c r="AU955" s="18"/>
      <c r="AV955" s="18"/>
      <c r="AW955" s="18"/>
      <c r="AX955" s="18"/>
    </row>
    <row r="956" spans="1:50" ht="18.75" customHeight="1" x14ac:dyDescent="0.2">
      <c r="AA956" s="16"/>
      <c r="AB956" s="29" t="s">
        <v>179</v>
      </c>
      <c r="AC956" s="17"/>
      <c r="AD956" s="18"/>
      <c r="AE956" s="34"/>
      <c r="AF956" s="34"/>
      <c r="AG956" s="34"/>
      <c r="AH956" s="34"/>
      <c r="AI956" s="34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30"/>
      <c r="AU956" s="18"/>
      <c r="AV956" s="18"/>
      <c r="AW956" s="18"/>
      <c r="AX956" s="18"/>
    </row>
    <row r="957" spans="1:50" ht="18.75" customHeight="1" x14ac:dyDescent="0.2">
      <c r="AA957" s="16"/>
      <c r="AB957" s="29" t="s">
        <v>181</v>
      </c>
      <c r="AC957" s="17"/>
      <c r="AD957" s="18"/>
      <c r="AE957" s="34"/>
      <c r="AF957" s="34"/>
      <c r="AG957" s="34"/>
      <c r="AH957" s="34"/>
      <c r="AI957" s="34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30"/>
      <c r="AU957" s="18"/>
      <c r="AV957" s="18"/>
      <c r="AW957" s="18"/>
      <c r="AX957" s="18"/>
    </row>
    <row r="958" spans="1:50" ht="25.5" x14ac:dyDescent="0.2">
      <c r="AA958" s="16"/>
      <c r="AB958" s="29" t="s">
        <v>637</v>
      </c>
      <c r="AC958" s="17"/>
      <c r="AD958" s="18"/>
      <c r="AE958" s="34"/>
      <c r="AF958" s="34"/>
      <c r="AG958" s="34"/>
      <c r="AH958" s="34"/>
      <c r="AI958" s="34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30"/>
      <c r="AU958" s="18"/>
      <c r="AV958" s="18"/>
      <c r="AW958" s="18"/>
      <c r="AX958" s="18"/>
    </row>
    <row r="959" spans="1:50" ht="28.5" customHeight="1" x14ac:dyDescent="0.2">
      <c r="AA959" s="28" t="s">
        <v>288</v>
      </c>
      <c r="AB959" s="29" t="s">
        <v>637</v>
      </c>
      <c r="AC959" s="17"/>
      <c r="AD959" s="18"/>
      <c r="AE959" s="34"/>
      <c r="AF959" s="34"/>
      <c r="AG959" s="34"/>
      <c r="AH959" s="34"/>
      <c r="AI959" s="34"/>
      <c r="AJ959" s="18"/>
      <c r="AK959" s="34"/>
      <c r="AL959" s="34"/>
      <c r="AM959" s="18"/>
      <c r="AN959" s="18"/>
      <c r="AO959" s="18"/>
      <c r="AP959" s="18"/>
      <c r="AQ959" s="18"/>
      <c r="AR959" s="18"/>
      <c r="AS959" s="18"/>
      <c r="AT959" s="30"/>
      <c r="AU959" s="18"/>
      <c r="AV959" s="18"/>
      <c r="AW959" s="18"/>
      <c r="AX959" s="18"/>
    </row>
    <row r="960" spans="1:50" ht="27.75" customHeight="1" x14ac:dyDescent="0.2">
      <c r="AA960" s="101" t="s">
        <v>1227</v>
      </c>
      <c r="AB960" s="251" t="s">
        <v>1228</v>
      </c>
      <c r="AC960" s="17"/>
      <c r="AD960" s="34">
        <v>0</v>
      </c>
      <c r="AE960" s="34">
        <v>0</v>
      </c>
      <c r="AF960" s="34">
        <v>0</v>
      </c>
      <c r="AG960" s="18">
        <f>70000000+170000000+360000000+100000000</f>
        <v>700000000</v>
      </c>
      <c r="AH960" s="34">
        <v>0</v>
      </c>
      <c r="AI960" s="43">
        <f>AE960-AF960+AG960-AH960</f>
        <v>700000000</v>
      </c>
      <c r="AJ960" s="142">
        <f>AD960+AI960</f>
        <v>700000000</v>
      </c>
      <c r="AK960" s="34">
        <v>0</v>
      </c>
      <c r="AL960" s="34">
        <f>AM960-AGOSTO!AM936</f>
        <v>0</v>
      </c>
      <c r="AM960" s="18">
        <v>53999991</v>
      </c>
      <c r="AN960" s="34">
        <v>0</v>
      </c>
      <c r="AO960" s="34">
        <v>0</v>
      </c>
      <c r="AP960" s="18">
        <v>53999991</v>
      </c>
      <c r="AQ960" s="34">
        <v>0</v>
      </c>
      <c r="AR960" s="34">
        <v>0</v>
      </c>
      <c r="AS960" s="34">
        <v>0</v>
      </c>
      <c r="AT960" s="40">
        <f t="shared" ref="AT960" si="393">AQ960+AS960</f>
        <v>0</v>
      </c>
      <c r="AU960" s="18">
        <f>AJ960-AM960</f>
        <v>646000009</v>
      </c>
      <c r="AV960" s="34">
        <f>AM960-AP960</f>
        <v>0</v>
      </c>
      <c r="AW960" s="18">
        <f>AP960-AT960</f>
        <v>53999991</v>
      </c>
      <c r="AX960" s="123">
        <f>AP960/AJ960</f>
        <v>7.7142844285714288E-2</v>
      </c>
    </row>
    <row r="961" spans="1:50" ht="25.5" x14ac:dyDescent="0.2">
      <c r="AA961" s="28" t="s">
        <v>288</v>
      </c>
      <c r="AB961" s="29" t="s">
        <v>616</v>
      </c>
      <c r="AC961" s="17"/>
      <c r="AD961" s="18"/>
      <c r="AE961" s="34"/>
      <c r="AF961" s="34"/>
      <c r="AG961" s="34"/>
      <c r="AH961" s="34"/>
      <c r="AI961" s="34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30"/>
      <c r="AU961" s="18"/>
      <c r="AV961" s="34"/>
      <c r="AW961" s="18"/>
      <c r="AX961" s="18"/>
    </row>
    <row r="962" spans="1:50" ht="23.25" customHeight="1" x14ac:dyDescent="0.2">
      <c r="A962" s="4" t="s">
        <v>55</v>
      </c>
      <c r="B962" s="4" t="s">
        <v>56</v>
      </c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1" t="s">
        <v>639</v>
      </c>
      <c r="AB962" s="42" t="s">
        <v>618</v>
      </c>
      <c r="AC962" s="43" t="s">
        <v>619</v>
      </c>
      <c r="AD962" s="43">
        <v>1601743650</v>
      </c>
      <c r="AE962" s="44">
        <v>0</v>
      </c>
      <c r="AF962" s="44">
        <v>0</v>
      </c>
      <c r="AG962" s="44">
        <v>0</v>
      </c>
      <c r="AH962" s="43">
        <v>794729623</v>
      </c>
      <c r="AI962" s="43">
        <f>AE962-AF962+AG962-AH962</f>
        <v>-794729623</v>
      </c>
      <c r="AJ962" s="43">
        <f>AD962+AI962</f>
        <v>807014027</v>
      </c>
      <c r="AK962" s="44">
        <v>0</v>
      </c>
      <c r="AL962" s="43">
        <f>AM962-AGOSTO!AM938</f>
        <v>0</v>
      </c>
      <c r="AM962" s="43">
        <v>557000000</v>
      </c>
      <c r="AN962" s="44">
        <v>0</v>
      </c>
      <c r="AO962" s="43">
        <v>0</v>
      </c>
      <c r="AP962" s="43">
        <v>557000000</v>
      </c>
      <c r="AQ962" s="44">
        <v>0</v>
      </c>
      <c r="AR962" s="44">
        <v>0</v>
      </c>
      <c r="AS962" s="44">
        <v>0</v>
      </c>
      <c r="AT962" s="40">
        <f t="shared" ref="AT962:AT963" si="394">AQ962+AS962</f>
        <v>0</v>
      </c>
      <c r="AU962" s="18">
        <f>AJ962-AM962</f>
        <v>250014027</v>
      </c>
      <c r="AV962" s="34">
        <f>AM962-AP962</f>
        <v>0</v>
      </c>
      <c r="AW962" s="18">
        <f>AP962-AT962</f>
        <v>557000000</v>
      </c>
      <c r="AX962" s="123">
        <f>AP962/AJ962</f>
        <v>0.69019865995464291</v>
      </c>
    </row>
    <row r="963" spans="1:50" ht="31.5" customHeight="1" x14ac:dyDescent="0.2">
      <c r="A963" s="4" t="s">
        <v>55</v>
      </c>
      <c r="B963" s="4" t="s">
        <v>56</v>
      </c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1" t="s">
        <v>640</v>
      </c>
      <c r="AB963" s="42" t="s">
        <v>641</v>
      </c>
      <c r="AC963" s="43" t="s">
        <v>642</v>
      </c>
      <c r="AD963" s="43">
        <v>20790000</v>
      </c>
      <c r="AE963" s="44">
        <v>0</v>
      </c>
      <c r="AF963" s="44">
        <v>0</v>
      </c>
      <c r="AG963" s="44">
        <v>0</v>
      </c>
      <c r="AH963" s="44">
        <v>0</v>
      </c>
      <c r="AI963" s="44">
        <v>0</v>
      </c>
      <c r="AJ963" s="43">
        <v>20790000</v>
      </c>
      <c r="AK963" s="44">
        <v>0</v>
      </c>
      <c r="AL963" s="44">
        <v>0</v>
      </c>
      <c r="AM963" s="44">
        <v>0</v>
      </c>
      <c r="AN963" s="44">
        <v>0</v>
      </c>
      <c r="AO963" s="44">
        <v>0</v>
      </c>
      <c r="AP963" s="44">
        <v>0</v>
      </c>
      <c r="AQ963" s="44">
        <v>0</v>
      </c>
      <c r="AR963" s="44">
        <v>0</v>
      </c>
      <c r="AS963" s="44">
        <v>0</v>
      </c>
      <c r="AT963" s="40">
        <f t="shared" si="394"/>
        <v>0</v>
      </c>
      <c r="AU963" s="18">
        <f>AJ963-AM963</f>
        <v>20790000</v>
      </c>
      <c r="AV963" s="133">
        <f>AM963-AP963</f>
        <v>0</v>
      </c>
      <c r="AW963" s="34">
        <f>AP963-AT963</f>
        <v>0</v>
      </c>
      <c r="AX963" s="123">
        <f>AP963/AJ963</f>
        <v>0</v>
      </c>
    </row>
    <row r="964" spans="1:50" ht="27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1"/>
      <c r="AB964" s="74" t="s">
        <v>1288</v>
      </c>
      <c r="AC964" s="43"/>
      <c r="AD964" s="43"/>
      <c r="AE964" s="44"/>
      <c r="AF964" s="44"/>
      <c r="AG964" s="44"/>
      <c r="AH964" s="44"/>
      <c r="AI964" s="44"/>
      <c r="AJ964" s="43"/>
      <c r="AK964" s="44"/>
      <c r="AL964" s="44"/>
      <c r="AM964" s="44"/>
      <c r="AN964" s="44"/>
      <c r="AO964" s="44"/>
      <c r="AP964" s="44"/>
      <c r="AQ964" s="44"/>
      <c r="AR964" s="44"/>
      <c r="AS964" s="44"/>
      <c r="AT964" s="40"/>
      <c r="AU964" s="18"/>
      <c r="AV964" s="133"/>
      <c r="AW964" s="34"/>
      <c r="AX964" s="123"/>
    </row>
    <row r="965" spans="1:50" ht="27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73" t="s">
        <v>288</v>
      </c>
      <c r="AB965" s="74" t="s">
        <v>1293</v>
      </c>
      <c r="AC965" s="43"/>
      <c r="AD965" s="43"/>
      <c r="AE965" s="44"/>
      <c r="AF965" s="44"/>
      <c r="AG965" s="44"/>
      <c r="AH965" s="44"/>
      <c r="AI965" s="44"/>
      <c r="AJ965" s="43"/>
      <c r="AK965" s="44"/>
      <c r="AL965" s="44"/>
      <c r="AM965" s="44"/>
      <c r="AN965" s="44"/>
      <c r="AO965" s="44"/>
      <c r="AP965" s="44"/>
      <c r="AQ965" s="44"/>
      <c r="AR965" s="44"/>
      <c r="AS965" s="44"/>
      <c r="AT965" s="40"/>
      <c r="AU965" s="18"/>
      <c r="AV965" s="133"/>
      <c r="AW965" s="34"/>
      <c r="AX965" s="123"/>
    </row>
    <row r="966" spans="1:50" ht="27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1" t="s">
        <v>1289</v>
      </c>
      <c r="AB966" s="42" t="s">
        <v>1290</v>
      </c>
      <c r="AC966" s="43"/>
      <c r="AD966" s="43">
        <v>0</v>
      </c>
      <c r="AE966" s="44">
        <v>0</v>
      </c>
      <c r="AF966" s="44">
        <v>0</v>
      </c>
      <c r="AG966" s="43">
        <v>424146000</v>
      </c>
      <c r="AH966" s="44">
        <v>0</v>
      </c>
      <c r="AI966" s="43">
        <f>AE966-AF966+AG966-AH966</f>
        <v>424146000</v>
      </c>
      <c r="AJ966" s="43">
        <f>AD966+AI966</f>
        <v>424146000</v>
      </c>
      <c r="AK966" s="44">
        <v>0</v>
      </c>
      <c r="AL966" s="43">
        <f>AM966-AGOSTO!AM942</f>
        <v>241115682</v>
      </c>
      <c r="AM966" s="43">
        <v>241115682</v>
      </c>
      <c r="AN966" s="44">
        <v>0</v>
      </c>
      <c r="AO966" s="44">
        <v>0</v>
      </c>
      <c r="AP966" s="44">
        <v>0</v>
      </c>
      <c r="AQ966" s="44">
        <v>0</v>
      </c>
      <c r="AR966" s="44">
        <v>0</v>
      </c>
      <c r="AS966" s="44">
        <v>0</v>
      </c>
      <c r="AT966" s="40">
        <f t="shared" ref="AT966" si="395">AQ966+AS966</f>
        <v>0</v>
      </c>
      <c r="AU966" s="18">
        <f>AJ966-AM966</f>
        <v>183030318</v>
      </c>
      <c r="AV966" s="18">
        <f>AM966-AP966</f>
        <v>241115682</v>
      </c>
      <c r="AW966" s="34">
        <f>AP966-AT966</f>
        <v>0</v>
      </c>
      <c r="AX966" s="123">
        <f>AP966/AJ966</f>
        <v>0</v>
      </c>
    </row>
    <row r="967" spans="1:50" ht="27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73" t="s">
        <v>288</v>
      </c>
      <c r="AB967" s="74" t="s">
        <v>637</v>
      </c>
      <c r="AC967" s="43"/>
      <c r="AD967" s="43"/>
      <c r="AE967" s="44"/>
      <c r="AF967" s="44"/>
      <c r="AG967" s="43"/>
      <c r="AH967" s="44"/>
      <c r="AI967" s="43"/>
      <c r="AJ967" s="43"/>
      <c r="AK967" s="44"/>
      <c r="AL967" s="44"/>
      <c r="AM967" s="44"/>
      <c r="AN967" s="44"/>
      <c r="AO967" s="44"/>
      <c r="AP967" s="44"/>
      <c r="AQ967" s="44"/>
      <c r="AR967" s="44"/>
      <c r="AS967" s="44"/>
      <c r="AT967" s="40"/>
      <c r="AU967" s="18"/>
      <c r="AV967" s="133"/>
      <c r="AW967" s="34"/>
      <c r="AX967" s="123"/>
    </row>
    <row r="968" spans="1:50" ht="26.2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1" t="s">
        <v>1291</v>
      </c>
      <c r="AB968" s="42" t="s">
        <v>1290</v>
      </c>
      <c r="AC968" s="43"/>
      <c r="AD968" s="43">
        <v>0</v>
      </c>
      <c r="AE968" s="44">
        <v>0</v>
      </c>
      <c r="AF968" s="44">
        <v>0</v>
      </c>
      <c r="AG968" s="43">
        <v>77854000</v>
      </c>
      <c r="AH968" s="44"/>
      <c r="AI968" s="43">
        <f>AE968-AF968+AG968-AH968</f>
        <v>77854000</v>
      </c>
      <c r="AJ968" s="43">
        <f>AD968+AI968</f>
        <v>77854000</v>
      </c>
      <c r="AK968" s="44">
        <v>0</v>
      </c>
      <c r="AL968" s="43">
        <f>AM968-AGOSTO!AM944</f>
        <v>56222898</v>
      </c>
      <c r="AM968" s="43">
        <v>56222898</v>
      </c>
      <c r="AN968" s="44">
        <v>0</v>
      </c>
      <c r="AO968" s="43">
        <v>56222898</v>
      </c>
      <c r="AP968" s="43">
        <v>56222898</v>
      </c>
      <c r="AQ968" s="44">
        <v>0</v>
      </c>
      <c r="AR968" s="44">
        <v>0</v>
      </c>
      <c r="AS968" s="44">
        <v>0</v>
      </c>
      <c r="AT968" s="40">
        <f t="shared" ref="AT968" si="396">AQ968+AS968</f>
        <v>0</v>
      </c>
      <c r="AU968" s="18">
        <f>AJ968-AM968</f>
        <v>21631102</v>
      </c>
      <c r="AV968" s="133">
        <f>AM968-AP968</f>
        <v>0</v>
      </c>
      <c r="AW968" s="18">
        <f>AP968-AT968</f>
        <v>56222898</v>
      </c>
      <c r="AX968" s="123">
        <f>AP968/AJ968</f>
        <v>0.72215811647442651</v>
      </c>
    </row>
    <row r="969" spans="1:50" ht="18.75" customHeight="1" x14ac:dyDescent="0.2">
      <c r="AA969" s="73" t="s">
        <v>288</v>
      </c>
      <c r="AB969" s="74" t="s">
        <v>1294</v>
      </c>
      <c r="AC969" s="17"/>
      <c r="AD969" s="18"/>
      <c r="AE969" s="34"/>
      <c r="AF969" s="34"/>
      <c r="AG969" s="34"/>
      <c r="AH969" s="34"/>
      <c r="AI969" s="34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30"/>
      <c r="AU969" s="18"/>
      <c r="AV969" s="18"/>
      <c r="AW969" s="18"/>
      <c r="AX969" s="18"/>
    </row>
    <row r="970" spans="1:50" ht="26.25" customHeight="1" x14ac:dyDescent="0.2">
      <c r="AA970" s="41" t="s">
        <v>1335</v>
      </c>
      <c r="AB970" s="38" t="s">
        <v>1296</v>
      </c>
      <c r="AC970" s="17"/>
      <c r="AD970" s="18">
        <v>0</v>
      </c>
      <c r="AE970" s="34">
        <v>0</v>
      </c>
      <c r="AF970" s="34">
        <v>0</v>
      </c>
      <c r="AG970" s="18">
        <v>85000000</v>
      </c>
      <c r="AH970" s="34">
        <v>0</v>
      </c>
      <c r="AI970" s="43">
        <f>AE970-AF970+AG970-AH970</f>
        <v>85000000</v>
      </c>
      <c r="AJ970" s="142">
        <f>AD970+AI970</f>
        <v>85000000</v>
      </c>
      <c r="AK970" s="34">
        <v>0</v>
      </c>
      <c r="AL970" s="18">
        <v>13179897</v>
      </c>
      <c r="AM970" s="18">
        <v>13179897</v>
      </c>
      <c r="AN970" s="34">
        <v>0</v>
      </c>
      <c r="AO970" s="34">
        <v>0</v>
      </c>
      <c r="AP970" s="34">
        <v>0</v>
      </c>
      <c r="AQ970" s="34">
        <v>0</v>
      </c>
      <c r="AR970" s="34">
        <v>0</v>
      </c>
      <c r="AS970" s="34">
        <v>0</v>
      </c>
      <c r="AT970" s="40">
        <f t="shared" ref="AT970" si="397">AQ970+AS970</f>
        <v>0</v>
      </c>
      <c r="AU970" s="18">
        <f>AJ970-AM970</f>
        <v>71820103</v>
      </c>
      <c r="AV970" s="18">
        <f>AM970-AP970</f>
        <v>13179897</v>
      </c>
      <c r="AW970" s="34">
        <f>AP970-AT970</f>
        <v>0</v>
      </c>
      <c r="AX970" s="123">
        <f>AP970/AJ970</f>
        <v>0</v>
      </c>
    </row>
    <row r="971" spans="1:50" ht="26.25" customHeight="1" x14ac:dyDescent="0.2">
      <c r="AA971" s="28" t="s">
        <v>288</v>
      </c>
      <c r="AB971" s="29" t="s">
        <v>643</v>
      </c>
      <c r="AC971" s="17"/>
      <c r="AD971" s="18"/>
      <c r="AE971" s="34"/>
      <c r="AF971" s="34"/>
      <c r="AG971" s="34"/>
      <c r="AH971" s="34"/>
      <c r="AI971" s="34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30"/>
      <c r="AU971" s="18"/>
      <c r="AV971" s="18"/>
      <c r="AW971" s="18"/>
      <c r="AX971" s="18"/>
    </row>
    <row r="972" spans="1:50" x14ac:dyDescent="0.2">
      <c r="A972" s="4" t="s">
        <v>55</v>
      </c>
      <c r="B972" s="4" t="s">
        <v>56</v>
      </c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1" t="s">
        <v>644</v>
      </c>
      <c r="AB972" s="42" t="s">
        <v>618</v>
      </c>
      <c r="AC972" s="43" t="s">
        <v>619</v>
      </c>
      <c r="AD972" s="43">
        <v>530000000</v>
      </c>
      <c r="AE972" s="44">
        <v>0</v>
      </c>
      <c r="AF972" s="44">
        <v>0</v>
      </c>
      <c r="AG972" s="43">
        <v>89810000</v>
      </c>
      <c r="AH972" s="44">
        <v>0</v>
      </c>
      <c r="AI972" s="43">
        <f>AE972-AF972+AG972-AH972</f>
        <v>89810000</v>
      </c>
      <c r="AJ972" s="43">
        <f>AD972+AI972</f>
        <v>619810000</v>
      </c>
      <c r="AK972" s="44">
        <v>0</v>
      </c>
      <c r="AL972" s="43">
        <f>AM972-AGOSTO!AM948</f>
        <v>129209999.98000002</v>
      </c>
      <c r="AM972" s="43">
        <v>585143331.98000002</v>
      </c>
      <c r="AN972" s="44">
        <v>0</v>
      </c>
      <c r="AO972" s="142">
        <v>129209999.98</v>
      </c>
      <c r="AP972" s="43">
        <v>585143331.98000002</v>
      </c>
      <c r="AQ972" s="114">
        <v>2500000</v>
      </c>
      <c r="AR972" s="114">
        <v>63700000</v>
      </c>
      <c r="AS972" s="114">
        <v>394459996</v>
      </c>
      <c r="AT972" s="111">
        <f t="shared" ref="AT972:AT973" si="398">AQ972+AS972</f>
        <v>396959996</v>
      </c>
      <c r="AU972" s="18">
        <f>AJ972-AM972</f>
        <v>34666668.019999981</v>
      </c>
      <c r="AV972" s="34">
        <f>AM972-AP972</f>
        <v>0</v>
      </c>
      <c r="AW972" s="18">
        <f>AP972-AT972</f>
        <v>188183335.98000002</v>
      </c>
      <c r="AX972" s="123">
        <f>AP972/AJ972</f>
        <v>0.94406887914038173</v>
      </c>
    </row>
    <row r="973" spans="1:50" ht="25.5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1" t="s">
        <v>1103</v>
      </c>
      <c r="AB973" s="42" t="s">
        <v>1104</v>
      </c>
      <c r="AC973" s="43"/>
      <c r="AD973" s="43">
        <v>0</v>
      </c>
      <c r="AE973" s="43">
        <v>15774292916.77</v>
      </c>
      <c r="AF973" s="44">
        <v>0</v>
      </c>
      <c r="AG973" s="44">
        <v>0</v>
      </c>
      <c r="AH973" s="43">
        <f>101000000+4989317258+364000000+360000000+1955725079.14+484793739.37</f>
        <v>8254836076.5100002</v>
      </c>
      <c r="AI973" s="43">
        <f>AE973-AF973+AG973-AH973</f>
        <v>7519456840.2600002</v>
      </c>
      <c r="AJ973" s="43">
        <f>AD973+AI973</f>
        <v>7519456840.2600002</v>
      </c>
      <c r="AK973" s="44">
        <v>0</v>
      </c>
      <c r="AL973" s="43">
        <f>AM973-AGOSTO!AM949</f>
        <v>399923139.99000001</v>
      </c>
      <c r="AM973" s="43">
        <v>1500006473.3199999</v>
      </c>
      <c r="AN973" s="43">
        <v>4533333.33</v>
      </c>
      <c r="AO973" s="142">
        <v>26416666.66</v>
      </c>
      <c r="AP973" s="43">
        <v>1119499999.99</v>
      </c>
      <c r="AQ973" s="114">
        <v>11166667</v>
      </c>
      <c r="AR973" s="114">
        <v>186583333</v>
      </c>
      <c r="AS973" s="43">
        <v>455533330</v>
      </c>
      <c r="AT973" s="39">
        <f t="shared" si="398"/>
        <v>466699997</v>
      </c>
      <c r="AU973" s="18">
        <f>AJ973-AM973</f>
        <v>6019450366.9400005</v>
      </c>
      <c r="AV973" s="18">
        <f>AM973-AP973</f>
        <v>380506473.32999992</v>
      </c>
      <c r="AW973" s="18">
        <f>AP973-AT973</f>
        <v>652800002.99000001</v>
      </c>
      <c r="AX973" s="123">
        <f>AP973/AJ973</f>
        <v>0.14888043428829509</v>
      </c>
    </row>
    <row r="974" spans="1:50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73" t="s">
        <v>288</v>
      </c>
      <c r="AB974" s="74" t="s">
        <v>1379</v>
      </c>
      <c r="AC974" s="43"/>
      <c r="AD974" s="43"/>
      <c r="AE974" s="43"/>
      <c r="AF974" s="44"/>
      <c r="AG974" s="44"/>
      <c r="AH974" s="43"/>
      <c r="AI974" s="43"/>
      <c r="AJ974" s="43"/>
      <c r="AK974" s="44"/>
      <c r="AL974" s="43"/>
      <c r="AM974" s="43"/>
      <c r="AN974" s="43"/>
      <c r="AO974" s="43"/>
      <c r="AP974" s="43"/>
      <c r="AQ974" s="114"/>
      <c r="AR974" s="114"/>
      <c r="AS974" s="43"/>
      <c r="AT974" s="39"/>
      <c r="AU974" s="18"/>
      <c r="AV974" s="18"/>
      <c r="AW974" s="18"/>
      <c r="AX974" s="123"/>
    </row>
    <row r="975" spans="1:50" ht="25.5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1" t="s">
        <v>1380</v>
      </c>
      <c r="AB975" s="42" t="s">
        <v>1104</v>
      </c>
      <c r="AC975" s="43"/>
      <c r="AD975" s="43">
        <v>0</v>
      </c>
      <c r="AE975" s="43">
        <v>0</v>
      </c>
      <c r="AF975" s="44">
        <v>0</v>
      </c>
      <c r="AG975" s="43">
        <v>484793739.37</v>
      </c>
      <c r="AH975" s="43">
        <v>0</v>
      </c>
      <c r="AI975" s="43">
        <f>AE975-AF975+AG975-AH975</f>
        <v>484793739.37</v>
      </c>
      <c r="AJ975" s="43">
        <f>AD975+AI975</f>
        <v>484793739.37</v>
      </c>
      <c r="AK975" s="44">
        <v>0</v>
      </c>
      <c r="AL975" s="44">
        <v>0</v>
      </c>
      <c r="AM975" s="44">
        <v>0</v>
      </c>
      <c r="AN975" s="44">
        <v>0</v>
      </c>
      <c r="AO975" s="44">
        <v>0</v>
      </c>
      <c r="AP975" s="43">
        <v>0</v>
      </c>
      <c r="AQ975" s="115">
        <v>0</v>
      </c>
      <c r="AR975" s="115">
        <v>0</v>
      </c>
      <c r="AS975" s="44">
        <v>0</v>
      </c>
      <c r="AT975" s="40">
        <f t="shared" ref="AT975" si="399">AQ975+AS975</f>
        <v>0</v>
      </c>
      <c r="AU975" s="18">
        <f>AJ975-AM975</f>
        <v>484793739.37</v>
      </c>
      <c r="AV975" s="34">
        <f>AM975-AP975</f>
        <v>0</v>
      </c>
      <c r="AW975" s="34">
        <f>AP975-AT975</f>
        <v>0</v>
      </c>
      <c r="AX975" s="123">
        <f>AP975/AJ975</f>
        <v>0</v>
      </c>
    </row>
    <row r="976" spans="1:50" ht="25.5" x14ac:dyDescent="0.2">
      <c r="AA976" s="28" t="s">
        <v>288</v>
      </c>
      <c r="AB976" s="29" t="s">
        <v>616</v>
      </c>
      <c r="AC976" s="17"/>
      <c r="AD976" s="18"/>
      <c r="AE976" s="34"/>
      <c r="AF976" s="34"/>
      <c r="AG976" s="34"/>
      <c r="AH976" s="34"/>
      <c r="AI976" s="34"/>
      <c r="AJ976" s="18"/>
      <c r="AK976" s="18"/>
      <c r="AL976" s="34"/>
      <c r="AM976" s="18"/>
      <c r="AN976" s="34"/>
      <c r="AO976" s="18"/>
      <c r="AP976" s="18"/>
      <c r="AQ976" s="34"/>
      <c r="AR976" s="18"/>
      <c r="AS976" s="18"/>
      <c r="AT976" s="30"/>
      <c r="AU976" s="18"/>
      <c r="AV976" s="18"/>
      <c r="AW976" s="18"/>
      <c r="AX976" s="18"/>
    </row>
    <row r="977" spans="1:50" x14ac:dyDescent="0.2">
      <c r="A977" s="4" t="s">
        <v>55</v>
      </c>
      <c r="B977" s="4" t="s">
        <v>56</v>
      </c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1" t="s">
        <v>645</v>
      </c>
      <c r="AB977" s="42" t="s">
        <v>618</v>
      </c>
      <c r="AC977" s="43" t="s">
        <v>619</v>
      </c>
      <c r="AD977" s="43">
        <v>2879425052</v>
      </c>
      <c r="AE977" s="44">
        <v>0</v>
      </c>
      <c r="AF977" s="44">
        <v>0</v>
      </c>
      <c r="AG977" s="44">
        <v>0</v>
      </c>
      <c r="AH977" s="43">
        <f>221572545+222721043+89810000</f>
        <v>534103588</v>
      </c>
      <c r="AI977" s="43">
        <f>AE977-AF977+AG977-AH977</f>
        <v>-534103588</v>
      </c>
      <c r="AJ977" s="43">
        <f>AD977+AI977</f>
        <v>2345321464</v>
      </c>
      <c r="AK977" s="43">
        <v>0</v>
      </c>
      <c r="AL977" s="44">
        <f>AM977-AGOSTO!AM951</f>
        <v>0</v>
      </c>
      <c r="AM977" s="114">
        <v>1582453090.8800001</v>
      </c>
      <c r="AN977" s="115">
        <v>0</v>
      </c>
      <c r="AO977" s="43">
        <v>83459223</v>
      </c>
      <c r="AP977" s="43">
        <v>862638484</v>
      </c>
      <c r="AQ977" s="44">
        <v>0</v>
      </c>
      <c r="AR977" s="43">
        <v>84969627.680000007</v>
      </c>
      <c r="AS977" s="43">
        <v>211182533.19999999</v>
      </c>
      <c r="AT977" s="39">
        <f t="shared" ref="AT977:AT981" si="400">AQ977+AS977</f>
        <v>211182533.19999999</v>
      </c>
      <c r="AU977" s="18">
        <f>AJ977-AM977</f>
        <v>762868373.11999989</v>
      </c>
      <c r="AV977" s="110">
        <f>AM977-AP977</f>
        <v>719814606.88000011</v>
      </c>
      <c r="AW977" s="18">
        <f>AP977-AT977</f>
        <v>651455950.79999995</v>
      </c>
      <c r="AX977" s="123">
        <f>AP977/AJ977</f>
        <v>0.36781247144208118</v>
      </c>
    </row>
    <row r="978" spans="1:50" ht="25.5" x14ac:dyDescent="0.2">
      <c r="A978" s="4" t="s">
        <v>55</v>
      </c>
      <c r="B978" s="4" t="s">
        <v>56</v>
      </c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1" t="s">
        <v>646</v>
      </c>
      <c r="AB978" s="42" t="s">
        <v>647</v>
      </c>
      <c r="AC978" s="43" t="s">
        <v>642</v>
      </c>
      <c r="AD978" s="43">
        <v>404210000</v>
      </c>
      <c r="AE978" s="44">
        <v>0</v>
      </c>
      <c r="AF978" s="44">
        <v>0</v>
      </c>
      <c r="AG978" s="44">
        <v>0</v>
      </c>
      <c r="AH978" s="44">
        <v>0</v>
      </c>
      <c r="AI978" s="44">
        <f t="shared" ref="AI978:AI980" si="401">AE978-AF978+AG978-AH978</f>
        <v>0</v>
      </c>
      <c r="AJ978" s="43">
        <f t="shared" ref="AJ978:AJ980" si="402">AD978+AI978</f>
        <v>404210000</v>
      </c>
      <c r="AK978" s="44">
        <v>0</v>
      </c>
      <c r="AL978" s="44">
        <f>AM978-AGOSTO!AM952</f>
        <v>0</v>
      </c>
      <c r="AM978" s="114">
        <v>249600000</v>
      </c>
      <c r="AN978" s="115">
        <v>0</v>
      </c>
      <c r="AO978" s="44">
        <v>0</v>
      </c>
      <c r="AP978" s="43">
        <v>249600000</v>
      </c>
      <c r="AQ978" s="44">
        <v>0</v>
      </c>
      <c r="AR978" s="43">
        <v>18700000</v>
      </c>
      <c r="AS978" s="43">
        <v>178033516.63</v>
      </c>
      <c r="AT978" s="39">
        <f t="shared" si="400"/>
        <v>178033516.63</v>
      </c>
      <c r="AU978" s="18">
        <f>AJ978-AM978</f>
        <v>154610000</v>
      </c>
      <c r="AV978" s="133">
        <f>AM978-AP978</f>
        <v>0</v>
      </c>
      <c r="AW978" s="18">
        <f>AP978-AT978</f>
        <v>71566483.370000005</v>
      </c>
      <c r="AX978" s="123">
        <f>AP978/AJ978</f>
        <v>0.61750080403750529</v>
      </c>
    </row>
    <row r="979" spans="1:50" ht="25.5" x14ac:dyDescent="0.2">
      <c r="A979" s="4" t="s">
        <v>55</v>
      </c>
      <c r="B979" s="4" t="s">
        <v>56</v>
      </c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1" t="s">
        <v>648</v>
      </c>
      <c r="AB979" s="42" t="s">
        <v>649</v>
      </c>
      <c r="AC979" s="43" t="s">
        <v>650</v>
      </c>
      <c r="AD979" s="43">
        <v>425000000</v>
      </c>
      <c r="AE979" s="44">
        <v>0</v>
      </c>
      <c r="AF979" s="44">
        <v>0</v>
      </c>
      <c r="AG979" s="44">
        <v>0</v>
      </c>
      <c r="AH979" s="44">
        <v>0</v>
      </c>
      <c r="AI979" s="44">
        <f t="shared" si="401"/>
        <v>0</v>
      </c>
      <c r="AJ979" s="43">
        <f t="shared" si="402"/>
        <v>425000000</v>
      </c>
      <c r="AK979" s="44">
        <v>0</v>
      </c>
      <c r="AL979" s="44">
        <f>AM979-AGOSTO!AM953</f>
        <v>0</v>
      </c>
      <c r="AM979" s="114">
        <v>145600000</v>
      </c>
      <c r="AN979" s="115">
        <v>0</v>
      </c>
      <c r="AO979" s="44">
        <v>0</v>
      </c>
      <c r="AP979" s="43">
        <v>145600000</v>
      </c>
      <c r="AQ979" s="43">
        <v>3500000</v>
      </c>
      <c r="AR979" s="43">
        <v>18200000</v>
      </c>
      <c r="AS979" s="43">
        <v>113226668</v>
      </c>
      <c r="AT979" s="39">
        <f t="shared" si="400"/>
        <v>116726668</v>
      </c>
      <c r="AU979" s="18">
        <f>AJ979-AM979</f>
        <v>279400000</v>
      </c>
      <c r="AV979" s="133">
        <f>AM979-AP979</f>
        <v>0</v>
      </c>
      <c r="AW979" s="18">
        <f>AP979-AT979</f>
        <v>28873332</v>
      </c>
      <c r="AX979" s="123">
        <f>AP979/AJ979</f>
        <v>0.34258823529411764</v>
      </c>
    </row>
    <row r="980" spans="1:50" ht="25.5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1" t="s">
        <v>1105</v>
      </c>
      <c r="AB980" s="42" t="s">
        <v>1106</v>
      </c>
      <c r="AC980" s="43"/>
      <c r="AD980" s="44">
        <v>0</v>
      </c>
      <c r="AE980" s="43">
        <v>997743934.5</v>
      </c>
      <c r="AF980" s="44">
        <v>0</v>
      </c>
      <c r="AG980" s="44">
        <v>0</v>
      </c>
      <c r="AH980" s="43">
        <v>502000000</v>
      </c>
      <c r="AI980" s="43">
        <f t="shared" si="401"/>
        <v>495743934.5</v>
      </c>
      <c r="AJ980" s="43">
        <f t="shared" si="402"/>
        <v>495743934.5</v>
      </c>
      <c r="AK980" s="44">
        <v>0</v>
      </c>
      <c r="AL980" s="44">
        <f>AM980-AGOSTO!AM954</f>
        <v>0</v>
      </c>
      <c r="AM980" s="115">
        <v>0</v>
      </c>
      <c r="AN980" s="115">
        <v>0</v>
      </c>
      <c r="AO980" s="44">
        <v>0</v>
      </c>
      <c r="AP980" s="44">
        <v>0</v>
      </c>
      <c r="AQ980" s="44">
        <v>0</v>
      </c>
      <c r="AR980" s="44">
        <v>0</v>
      </c>
      <c r="AS980" s="44">
        <v>0</v>
      </c>
      <c r="AT980" s="40">
        <f t="shared" si="400"/>
        <v>0</v>
      </c>
      <c r="AU980" s="18">
        <f>AJ980-AM980</f>
        <v>495743934.5</v>
      </c>
      <c r="AV980" s="133">
        <f>AM980-AP980</f>
        <v>0</v>
      </c>
      <c r="AW980" s="34">
        <f>AP980-AT980</f>
        <v>0</v>
      </c>
      <c r="AX980" s="123">
        <f>AP980/AJ980</f>
        <v>0</v>
      </c>
    </row>
    <row r="981" spans="1:50" ht="25.5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1" t="s">
        <v>1107</v>
      </c>
      <c r="AB981" s="42" t="s">
        <v>1108</v>
      </c>
      <c r="AC981" s="43"/>
      <c r="AD981" s="44">
        <v>0</v>
      </c>
      <c r="AE981" s="43">
        <v>997743934.5</v>
      </c>
      <c r="AF981" s="44">
        <v>0</v>
      </c>
      <c r="AG981" s="44">
        <v>0</v>
      </c>
      <c r="AH981" s="44">
        <v>0</v>
      </c>
      <c r="AI981" s="43">
        <f>AE981-AF981+AG981-AH981</f>
        <v>997743934.5</v>
      </c>
      <c r="AJ981" s="43">
        <f>AD981+AI981</f>
        <v>997743934.5</v>
      </c>
      <c r="AK981" s="44">
        <v>0</v>
      </c>
      <c r="AL981" s="43">
        <f>AM981-AGOSTO!AM955</f>
        <v>389597406.32999998</v>
      </c>
      <c r="AM981" s="43">
        <v>389597406.32999998</v>
      </c>
      <c r="AN981" s="115">
        <v>0</v>
      </c>
      <c r="AO981" s="43">
        <v>8333333.3300000001</v>
      </c>
      <c r="AP981" s="43">
        <v>8333333.3300000001</v>
      </c>
      <c r="AQ981" s="44">
        <v>0</v>
      </c>
      <c r="AR981" s="44">
        <v>0</v>
      </c>
      <c r="AS981" s="44">
        <v>0</v>
      </c>
      <c r="AT981" s="40">
        <f t="shared" si="400"/>
        <v>0</v>
      </c>
      <c r="AU981" s="18">
        <f>AJ981-AM981</f>
        <v>608146528.17000008</v>
      </c>
      <c r="AV981" s="18">
        <f>AM981-AP981</f>
        <v>381264073</v>
      </c>
      <c r="AW981" s="18">
        <f>AP981-AT981</f>
        <v>8333333.3300000001</v>
      </c>
      <c r="AX981" s="123">
        <f>AP981/AJ981</f>
        <v>8.3521763869966181E-3</v>
      </c>
    </row>
    <row r="982" spans="1:50" x14ac:dyDescent="0.2">
      <c r="AA982" s="16"/>
      <c r="AB982" s="17"/>
      <c r="AC982" s="17"/>
      <c r="AD982" s="18"/>
      <c r="AE982" s="34"/>
      <c r="AF982" s="34"/>
      <c r="AG982" s="34"/>
      <c r="AH982" s="34"/>
      <c r="AI982" s="34"/>
      <c r="AJ982" s="18"/>
      <c r="AK982" s="34"/>
      <c r="AL982" s="34"/>
      <c r="AM982" s="34"/>
      <c r="AN982" s="34"/>
      <c r="AO982" s="34"/>
      <c r="AP982" s="34"/>
      <c r="AQ982" s="18"/>
      <c r="AR982" s="18"/>
      <c r="AS982" s="18"/>
      <c r="AT982" s="30"/>
      <c r="AU982" s="18"/>
      <c r="AV982" s="18"/>
      <c r="AW982" s="18"/>
      <c r="AX982" s="18"/>
    </row>
    <row r="983" spans="1:50" x14ac:dyDescent="0.2">
      <c r="AA983" s="16"/>
      <c r="AB983" s="29" t="s">
        <v>199</v>
      </c>
      <c r="AC983" s="17"/>
      <c r="AD983" s="18"/>
      <c r="AE983" s="34"/>
      <c r="AF983" s="34"/>
      <c r="AG983" s="34"/>
      <c r="AH983" s="34"/>
      <c r="AI983" s="34"/>
      <c r="AJ983" s="18"/>
      <c r="AK983" s="34"/>
      <c r="AL983" s="34"/>
      <c r="AM983" s="34"/>
      <c r="AN983" s="34"/>
      <c r="AO983" s="34"/>
      <c r="AP983" s="34"/>
      <c r="AQ983" s="18"/>
      <c r="AR983" s="18"/>
      <c r="AS983" s="18"/>
      <c r="AT983" s="30"/>
      <c r="AU983" s="18"/>
      <c r="AV983" s="18"/>
      <c r="AW983" s="18"/>
      <c r="AX983" s="18"/>
    </row>
    <row r="984" spans="1:50" ht="25.5" x14ac:dyDescent="0.2">
      <c r="AA984" s="28" t="s">
        <v>288</v>
      </c>
      <c r="AB984" s="29" t="s">
        <v>616</v>
      </c>
      <c r="AC984" s="17"/>
      <c r="AD984" s="18"/>
      <c r="AE984" s="34"/>
      <c r="AF984" s="34"/>
      <c r="AG984" s="34"/>
      <c r="AH984" s="34"/>
      <c r="AI984" s="34"/>
      <c r="AJ984" s="18"/>
      <c r="AK984" s="34"/>
      <c r="AL984" s="34"/>
      <c r="AM984" s="34"/>
      <c r="AN984" s="34"/>
      <c r="AO984" s="34"/>
      <c r="AP984" s="34"/>
      <c r="AQ984" s="18"/>
      <c r="AR984" s="18"/>
      <c r="AS984" s="18"/>
      <c r="AT984" s="30"/>
      <c r="AU984" s="18"/>
      <c r="AV984" s="18"/>
      <c r="AW984" s="18"/>
      <c r="AX984" s="18"/>
    </row>
    <row r="985" spans="1:50" x14ac:dyDescent="0.2">
      <c r="A985" s="4" t="s">
        <v>55</v>
      </c>
      <c r="B985" s="4" t="s">
        <v>56</v>
      </c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134" t="s">
        <v>651</v>
      </c>
      <c r="AB985" s="42" t="s">
        <v>618</v>
      </c>
      <c r="AC985" s="43" t="s">
        <v>619</v>
      </c>
      <c r="AD985" s="43">
        <v>408029872</v>
      </c>
      <c r="AE985" s="44">
        <v>0</v>
      </c>
      <c r="AF985" s="44">
        <v>0</v>
      </c>
      <c r="AG985" s="44">
        <v>0</v>
      </c>
      <c r="AH985" s="43">
        <v>408029872</v>
      </c>
      <c r="AI985" s="43">
        <f>AE985-AF985+AG985-AH985</f>
        <v>-408029872</v>
      </c>
      <c r="AJ985" s="44">
        <f>AD985+AI985</f>
        <v>0</v>
      </c>
      <c r="AK985" s="44">
        <v>0</v>
      </c>
      <c r="AL985" s="44">
        <v>0</v>
      </c>
      <c r="AM985" s="44">
        <v>0</v>
      </c>
      <c r="AN985" s="44">
        <v>0</v>
      </c>
      <c r="AO985" s="44">
        <v>0</v>
      </c>
      <c r="AP985" s="44">
        <v>0</v>
      </c>
      <c r="AQ985" s="44">
        <v>0</v>
      </c>
      <c r="AR985" s="44">
        <v>0</v>
      </c>
      <c r="AS985" s="44">
        <v>0</v>
      </c>
      <c r="AT985" s="40">
        <f t="shared" ref="AT985:AT986" si="403">AQ985+AS985</f>
        <v>0</v>
      </c>
      <c r="AU985" s="34">
        <f>AJ985-AM985</f>
        <v>0</v>
      </c>
      <c r="AV985" s="133">
        <f>AM985-AP985</f>
        <v>0</v>
      </c>
      <c r="AW985" s="34">
        <f>AP985-AT985</f>
        <v>0</v>
      </c>
      <c r="AX985" s="123">
        <v>0</v>
      </c>
    </row>
    <row r="986" spans="1:50" ht="38.25" x14ac:dyDescent="0.2">
      <c r="A986" s="4" t="s">
        <v>55</v>
      </c>
      <c r="B986" s="4" t="s">
        <v>56</v>
      </c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1" t="s">
        <v>652</v>
      </c>
      <c r="AB986" s="42" t="s">
        <v>653</v>
      </c>
      <c r="AC986" s="43" t="s">
        <v>368</v>
      </c>
      <c r="AD986" s="43">
        <v>159146685.47999999</v>
      </c>
      <c r="AE986" s="44">
        <v>0</v>
      </c>
      <c r="AF986" s="44">
        <v>0</v>
      </c>
      <c r="AG986" s="44">
        <v>0</v>
      </c>
      <c r="AH986" s="44">
        <v>0</v>
      </c>
      <c r="AI986" s="44">
        <f>AE986-AF986+AG986-AH986</f>
        <v>0</v>
      </c>
      <c r="AJ986" s="43">
        <f>AD986+AI986</f>
        <v>159146685.47999999</v>
      </c>
      <c r="AK986" s="44">
        <v>0</v>
      </c>
      <c r="AL986" s="44">
        <v>0</v>
      </c>
      <c r="AM986" s="44">
        <v>0</v>
      </c>
      <c r="AN986" s="44">
        <v>0</v>
      </c>
      <c r="AO986" s="44">
        <v>0</v>
      </c>
      <c r="AP986" s="44">
        <v>0</v>
      </c>
      <c r="AQ986" s="44">
        <v>0</v>
      </c>
      <c r="AR986" s="44">
        <v>0</v>
      </c>
      <c r="AS986" s="44">
        <v>0</v>
      </c>
      <c r="AT986" s="40">
        <f t="shared" si="403"/>
        <v>0</v>
      </c>
      <c r="AU986" s="18">
        <f>AJ986-AM986</f>
        <v>159146685.47999999</v>
      </c>
      <c r="AV986" s="133">
        <f>AM986-AP986</f>
        <v>0</v>
      </c>
      <c r="AW986" s="34">
        <f>AP986-AT986</f>
        <v>0</v>
      </c>
      <c r="AX986" s="123">
        <f>AP986/AJ986</f>
        <v>0</v>
      </c>
    </row>
    <row r="987" spans="1:50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73" t="s">
        <v>288</v>
      </c>
      <c r="AB987" s="74" t="s">
        <v>487</v>
      </c>
      <c r="AC987" s="43"/>
      <c r="AD987" s="43"/>
      <c r="AE987" s="44"/>
      <c r="AF987" s="44"/>
      <c r="AG987" s="44"/>
      <c r="AH987" s="44"/>
      <c r="AI987" s="44"/>
      <c r="AJ987" s="43"/>
      <c r="AK987" s="44"/>
      <c r="AL987" s="43"/>
      <c r="AM987" s="43"/>
      <c r="AN987" s="44"/>
      <c r="AO987" s="44"/>
      <c r="AP987" s="43"/>
      <c r="AQ987" s="18"/>
      <c r="AR987" s="18"/>
      <c r="AS987" s="18"/>
      <c r="AT987" s="111"/>
      <c r="AU987" s="18"/>
      <c r="AV987" s="133"/>
      <c r="AW987" s="18"/>
      <c r="AX987" s="123"/>
    </row>
    <row r="988" spans="1:50" ht="25.5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1" t="s">
        <v>1333</v>
      </c>
      <c r="AB988" s="42" t="s">
        <v>1359</v>
      </c>
      <c r="AC988" s="43"/>
      <c r="AD988" s="43">
        <v>0</v>
      </c>
      <c r="AE988" s="44">
        <v>0</v>
      </c>
      <c r="AF988" s="44">
        <v>0</v>
      </c>
      <c r="AG988" s="43">
        <v>1415207179.1400001</v>
      </c>
      <c r="AH988" s="44">
        <v>0</v>
      </c>
      <c r="AI988" s="43">
        <f>AE988-AF988+AG988-AH988</f>
        <v>1415207179.1400001</v>
      </c>
      <c r="AJ988" s="43">
        <f>AD988+AI988</f>
        <v>1415207179.1400001</v>
      </c>
      <c r="AK988" s="44">
        <v>0</v>
      </c>
      <c r="AL988" s="43">
        <v>644732830.95000005</v>
      </c>
      <c r="AM988" s="43">
        <v>644732830.95000005</v>
      </c>
      <c r="AN988" s="44">
        <v>0</v>
      </c>
      <c r="AO988" s="44">
        <v>0</v>
      </c>
      <c r="AP988" s="44">
        <v>0</v>
      </c>
      <c r="AQ988" s="34">
        <v>0</v>
      </c>
      <c r="AR988" s="34">
        <v>0</v>
      </c>
      <c r="AS988" s="34">
        <v>0</v>
      </c>
      <c r="AT988" s="135">
        <f t="shared" ref="AT988" si="404">AQ988+AS988</f>
        <v>0</v>
      </c>
      <c r="AU988" s="18">
        <f>AJ988-AM988</f>
        <v>770474348.19000006</v>
      </c>
      <c r="AV988" s="18">
        <f>AM988-AP988</f>
        <v>644732830.95000005</v>
      </c>
      <c r="AW988" s="34">
        <f>AP988-AT988</f>
        <v>0</v>
      </c>
      <c r="AX988" s="123">
        <f>AP988/AJ988</f>
        <v>0</v>
      </c>
    </row>
    <row r="989" spans="1:50" x14ac:dyDescent="0.2">
      <c r="AA989" s="41"/>
      <c r="AB989" s="42"/>
      <c r="AC989" s="17"/>
      <c r="AD989" s="18"/>
      <c r="AE989" s="34"/>
      <c r="AF989" s="34"/>
      <c r="AG989" s="34"/>
      <c r="AH989" s="34"/>
      <c r="AI989" s="34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30"/>
      <c r="AU989" s="18"/>
      <c r="AV989" s="18"/>
      <c r="AW989" s="18"/>
      <c r="AX989" s="18"/>
    </row>
    <row r="990" spans="1:50" x14ac:dyDescent="0.2">
      <c r="AA990" s="16"/>
      <c r="AB990" s="29" t="s">
        <v>654</v>
      </c>
      <c r="AC990" s="17"/>
      <c r="AD990" s="18"/>
      <c r="AE990" s="34"/>
      <c r="AF990" s="34"/>
      <c r="AG990" s="34"/>
      <c r="AH990" s="34"/>
      <c r="AI990" s="34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30"/>
      <c r="AU990" s="18"/>
      <c r="AV990" s="18"/>
      <c r="AW990" s="18"/>
      <c r="AX990" s="18"/>
    </row>
    <row r="991" spans="1:50" x14ac:dyDescent="0.2">
      <c r="AA991" s="16"/>
      <c r="AB991" s="29" t="s">
        <v>614</v>
      </c>
      <c r="AC991" s="17"/>
      <c r="AD991" s="18"/>
      <c r="AE991" s="34"/>
      <c r="AF991" s="34"/>
      <c r="AG991" s="34"/>
      <c r="AH991" s="34"/>
      <c r="AI991" s="34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30"/>
      <c r="AU991" s="18"/>
      <c r="AV991" s="18"/>
      <c r="AW991" s="18"/>
      <c r="AX991" s="18"/>
    </row>
    <row r="992" spans="1:50" x14ac:dyDescent="0.2">
      <c r="AA992" s="16"/>
      <c r="AB992" s="29" t="s">
        <v>286</v>
      </c>
      <c r="AC992" s="17"/>
      <c r="AD992" s="18"/>
      <c r="AE992" s="34"/>
      <c r="AF992" s="34"/>
      <c r="AG992" s="34"/>
      <c r="AH992" s="34"/>
      <c r="AI992" s="34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30"/>
      <c r="AU992" s="18"/>
      <c r="AV992" s="18"/>
      <c r="AW992" s="18"/>
      <c r="AX992" s="18"/>
    </row>
    <row r="993" spans="1:50" x14ac:dyDescent="0.2">
      <c r="AA993" s="16"/>
      <c r="AB993" s="29" t="s">
        <v>181</v>
      </c>
      <c r="AC993" s="17"/>
      <c r="AD993" s="18"/>
      <c r="AE993" s="34"/>
      <c r="AF993" s="34"/>
      <c r="AG993" s="34"/>
      <c r="AH993" s="34"/>
      <c r="AI993" s="34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30"/>
      <c r="AU993" s="18"/>
      <c r="AV993" s="18"/>
      <c r="AW993" s="18"/>
      <c r="AX993" s="18"/>
    </row>
    <row r="994" spans="1:50" ht="25.5" x14ac:dyDescent="0.2">
      <c r="AA994" s="16"/>
      <c r="AB994" s="29" t="s">
        <v>637</v>
      </c>
      <c r="AC994" s="17"/>
      <c r="AD994" s="18"/>
      <c r="AE994" s="34"/>
      <c r="AF994" s="34"/>
      <c r="AG994" s="34"/>
      <c r="AH994" s="34"/>
      <c r="AI994" s="34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30"/>
      <c r="AU994" s="18"/>
      <c r="AV994" s="18"/>
      <c r="AW994" s="18"/>
      <c r="AX994" s="18"/>
    </row>
    <row r="995" spans="1:50" ht="25.5" x14ac:dyDescent="0.2">
      <c r="AA995" s="28" t="s">
        <v>288</v>
      </c>
      <c r="AB995" s="29" t="s">
        <v>655</v>
      </c>
      <c r="AC995" s="17"/>
      <c r="AD995" s="18"/>
      <c r="AE995" s="34"/>
      <c r="AF995" s="34"/>
      <c r="AG995" s="34"/>
      <c r="AH995" s="34"/>
      <c r="AI995" s="34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30"/>
      <c r="AU995" s="18"/>
      <c r="AV995" s="18"/>
      <c r="AW995" s="18"/>
      <c r="AX995" s="18"/>
    </row>
    <row r="996" spans="1:50" x14ac:dyDescent="0.2">
      <c r="A996" s="4" t="s">
        <v>55</v>
      </c>
      <c r="B996" s="4" t="s">
        <v>56</v>
      </c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1" t="s">
        <v>656</v>
      </c>
      <c r="AB996" s="42" t="s">
        <v>233</v>
      </c>
      <c r="AC996" s="43" t="s">
        <v>58</v>
      </c>
      <c r="AD996" s="43">
        <v>800000000</v>
      </c>
      <c r="AE996" s="44">
        <v>0</v>
      </c>
      <c r="AF996" s="44">
        <v>0</v>
      </c>
      <c r="AG996" s="44">
        <v>0</v>
      </c>
      <c r="AH996" s="44">
        <v>0</v>
      </c>
      <c r="AI996" s="44">
        <v>0</v>
      </c>
      <c r="AJ996" s="43">
        <v>800000000</v>
      </c>
      <c r="AK996" s="44">
        <v>0</v>
      </c>
      <c r="AL996" s="43">
        <f>AM996-AGOSTO!AM968</f>
        <v>-800000000</v>
      </c>
      <c r="AM996" s="44">
        <v>0</v>
      </c>
      <c r="AN996" s="44">
        <v>0</v>
      </c>
      <c r="AO996" s="44">
        <v>0</v>
      </c>
      <c r="AP996" s="44">
        <v>0</v>
      </c>
      <c r="AQ996" s="44">
        <v>0</v>
      </c>
      <c r="AR996" s="44">
        <v>0</v>
      </c>
      <c r="AS996" s="44">
        <v>0</v>
      </c>
      <c r="AT996" s="40">
        <f t="shared" ref="AT996" si="405">AQ996+AS996</f>
        <v>0</v>
      </c>
      <c r="AU996" s="18">
        <f>AJ996-AM996</f>
        <v>800000000</v>
      </c>
      <c r="AV996" s="34">
        <f>AM996-AP996</f>
        <v>0</v>
      </c>
      <c r="AW996" s="34">
        <f>AP996-AT996</f>
        <v>0</v>
      </c>
      <c r="AX996" s="123">
        <f>AP996/AJ996</f>
        <v>0</v>
      </c>
    </row>
    <row r="997" spans="1:50" ht="18.75" customHeight="1" x14ac:dyDescent="0.2">
      <c r="AA997" s="16"/>
      <c r="AB997" s="29" t="s">
        <v>189</v>
      </c>
      <c r="AC997" s="17"/>
      <c r="AD997" s="18"/>
      <c r="AE997" s="34"/>
      <c r="AF997" s="34"/>
      <c r="AG997" s="34"/>
      <c r="AH997" s="34"/>
      <c r="AI997" s="34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30"/>
      <c r="AU997" s="18"/>
      <c r="AV997" s="18"/>
      <c r="AW997" s="18"/>
      <c r="AX997" s="18"/>
    </row>
    <row r="998" spans="1:50" ht="38.25" x14ac:dyDescent="0.2">
      <c r="AA998" s="16"/>
      <c r="AB998" s="29" t="s">
        <v>193</v>
      </c>
      <c r="AC998" s="17"/>
      <c r="AD998" s="18"/>
      <c r="AE998" s="34"/>
      <c r="AF998" s="34"/>
      <c r="AG998" s="34"/>
      <c r="AH998" s="34"/>
      <c r="AI998" s="34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30"/>
      <c r="AU998" s="18"/>
      <c r="AV998" s="18"/>
      <c r="AW998" s="18"/>
      <c r="AX998" s="18"/>
    </row>
    <row r="999" spans="1:50" ht="25.5" x14ac:dyDescent="0.2">
      <c r="AA999" s="28" t="s">
        <v>288</v>
      </c>
      <c r="AB999" s="29" t="s">
        <v>616</v>
      </c>
      <c r="AC999" s="17"/>
      <c r="AD999" s="18"/>
      <c r="AE999" s="34"/>
      <c r="AF999" s="34"/>
      <c r="AG999" s="34"/>
      <c r="AH999" s="34"/>
      <c r="AI999" s="34"/>
      <c r="AJ999" s="18"/>
      <c r="AK999" s="18"/>
      <c r="AL999" s="18"/>
      <c r="AM999" s="18"/>
      <c r="AN999" s="18"/>
      <c r="AO999" s="18"/>
      <c r="AP999" s="18"/>
      <c r="AQ999" s="18"/>
      <c r="AR999" s="147"/>
      <c r="AS999" s="18"/>
      <c r="AT999" s="30"/>
      <c r="AU999" s="18"/>
      <c r="AV999" s="18"/>
      <c r="AW999" s="18"/>
      <c r="AX999" s="18"/>
    </row>
    <row r="1000" spans="1:50" x14ac:dyDescent="0.2">
      <c r="A1000" s="4" t="s">
        <v>37</v>
      </c>
      <c r="B1000" s="4" t="s">
        <v>37</v>
      </c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1" t="s">
        <v>657</v>
      </c>
      <c r="AB1000" s="42" t="s">
        <v>233</v>
      </c>
      <c r="AC1000" s="43" t="s">
        <v>58</v>
      </c>
      <c r="AD1000" s="43">
        <v>400000000</v>
      </c>
      <c r="AE1000" s="44">
        <v>0</v>
      </c>
      <c r="AF1000" s="44">
        <v>0</v>
      </c>
      <c r="AG1000" s="44">
        <v>0</v>
      </c>
      <c r="AH1000" s="44">
        <v>0</v>
      </c>
      <c r="AI1000" s="44">
        <v>0</v>
      </c>
      <c r="AJ1000" s="43">
        <v>400000000</v>
      </c>
      <c r="AK1000" s="44">
        <v>0</v>
      </c>
      <c r="AL1000" s="44">
        <f>AM1000-AGOSTO!AM972</f>
        <v>0</v>
      </c>
      <c r="AM1000" s="43">
        <v>399068768</v>
      </c>
      <c r="AN1000" s="44">
        <v>0</v>
      </c>
      <c r="AO1000" s="44">
        <v>0</v>
      </c>
      <c r="AP1000" s="43">
        <v>399068768</v>
      </c>
      <c r="AQ1000" s="44">
        <v>0</v>
      </c>
      <c r="AR1000" s="143">
        <v>0</v>
      </c>
      <c r="AS1000" s="43">
        <v>399068768</v>
      </c>
      <c r="AT1000" s="39">
        <f t="shared" ref="AT1000:AT1001" si="406">AQ1000+AS1000</f>
        <v>399068768</v>
      </c>
      <c r="AU1000" s="18">
        <f>AJ1000-AM1000</f>
        <v>931232</v>
      </c>
      <c r="AV1000" s="34">
        <f>AM1000-AP1000</f>
        <v>0</v>
      </c>
      <c r="AW1000" s="18">
        <f>AP1000-AT1000</f>
        <v>0</v>
      </c>
      <c r="AX1000" s="123">
        <f>AP1000/AJ1000</f>
        <v>0.99767192000000005</v>
      </c>
    </row>
    <row r="1001" spans="1:50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1" t="s">
        <v>1226</v>
      </c>
      <c r="AB1001" s="42" t="s">
        <v>1110</v>
      </c>
      <c r="AC1001" s="43"/>
      <c r="AD1001" s="43">
        <v>0</v>
      </c>
      <c r="AE1001" s="44">
        <v>0</v>
      </c>
      <c r="AF1001" s="44">
        <v>0</v>
      </c>
      <c r="AG1001" s="43">
        <v>502777408.16000003</v>
      </c>
      <c r="AH1001" s="44">
        <v>0</v>
      </c>
      <c r="AI1001" s="43">
        <f>AE1001-AF1001+AG1001-AH1001</f>
        <v>502777408.16000003</v>
      </c>
      <c r="AJ1001" s="43">
        <f>AD1001+AI1001</f>
        <v>502777408.16000003</v>
      </c>
      <c r="AK1001" s="44">
        <v>0</v>
      </c>
      <c r="AL1001" s="43">
        <f>AM1001-AGOSTO!AM973</f>
        <v>0</v>
      </c>
      <c r="AM1001" s="43">
        <v>501784744</v>
      </c>
      <c r="AN1001" s="44">
        <v>0</v>
      </c>
      <c r="AO1001" s="44">
        <v>0</v>
      </c>
      <c r="AP1001" s="43">
        <v>501784744</v>
      </c>
      <c r="AQ1001" s="44">
        <v>0</v>
      </c>
      <c r="AR1001" s="142">
        <v>83410586</v>
      </c>
      <c r="AS1001" s="43">
        <v>255475403</v>
      </c>
      <c r="AT1001" s="39">
        <f t="shared" si="406"/>
        <v>255475403</v>
      </c>
      <c r="AU1001" s="18">
        <f>AJ1001-AM1001</f>
        <v>992664.16000002623</v>
      </c>
      <c r="AV1001" s="34">
        <f>AM1001-AP1001</f>
        <v>0</v>
      </c>
      <c r="AW1001" s="18">
        <f>AP1001-AT1001</f>
        <v>246309341</v>
      </c>
      <c r="AX1001" s="123">
        <f>AP1001/AJ1001</f>
        <v>0.99802563889329698</v>
      </c>
    </row>
    <row r="1002" spans="1:50" x14ac:dyDescent="0.2">
      <c r="AA1002" s="16"/>
      <c r="AB1002" s="17"/>
      <c r="AC1002" s="17"/>
      <c r="AD1002" s="18"/>
      <c r="AE1002" s="34"/>
      <c r="AF1002" s="34"/>
      <c r="AG1002" s="34"/>
      <c r="AH1002" s="34"/>
      <c r="AI1002" s="34"/>
      <c r="AJ1002" s="18"/>
      <c r="AK1002" s="18"/>
      <c r="AL1002" s="18"/>
      <c r="AM1002" s="18"/>
      <c r="AN1002" s="18"/>
      <c r="AO1002" s="34"/>
      <c r="AP1002" s="18"/>
      <c r="AQ1002" s="18"/>
      <c r="AR1002" s="147"/>
      <c r="AS1002" s="18"/>
      <c r="AT1002" s="30"/>
      <c r="AU1002" s="18"/>
      <c r="AV1002" s="34"/>
      <c r="AW1002" s="34"/>
      <c r="AX1002" s="18"/>
    </row>
    <row r="1003" spans="1:50" ht="25.5" x14ac:dyDescent="0.2">
      <c r="AA1003" s="16"/>
      <c r="AB1003" s="29" t="s">
        <v>197</v>
      </c>
      <c r="AC1003" s="17"/>
      <c r="AD1003" s="18"/>
      <c r="AE1003" s="34"/>
      <c r="AF1003" s="34"/>
      <c r="AG1003" s="34"/>
      <c r="AH1003" s="34"/>
      <c r="AI1003" s="34"/>
      <c r="AJ1003" s="18"/>
      <c r="AK1003" s="18"/>
      <c r="AL1003" s="18"/>
      <c r="AM1003" s="18"/>
      <c r="AN1003" s="18"/>
      <c r="AO1003" s="18"/>
      <c r="AP1003" s="18"/>
      <c r="AQ1003" s="18"/>
      <c r="AR1003" s="147"/>
      <c r="AS1003" s="18"/>
      <c r="AT1003" s="30"/>
      <c r="AU1003" s="18"/>
      <c r="AV1003" s="34"/>
      <c r="AW1003" s="34"/>
      <c r="AX1003" s="18"/>
    </row>
    <row r="1004" spans="1:50" ht="25.5" x14ac:dyDescent="0.2">
      <c r="AA1004" s="28" t="s">
        <v>288</v>
      </c>
      <c r="AB1004" s="29" t="s">
        <v>616</v>
      </c>
      <c r="AC1004" s="17"/>
      <c r="AD1004" s="18"/>
      <c r="AE1004" s="34"/>
      <c r="AF1004" s="34"/>
      <c r="AG1004" s="34"/>
      <c r="AH1004" s="34"/>
      <c r="AI1004" s="34"/>
      <c r="AJ1004" s="18"/>
      <c r="AK1004" s="18"/>
      <c r="AL1004" s="18"/>
      <c r="AM1004" s="18"/>
      <c r="AN1004" s="18"/>
      <c r="AO1004" s="18"/>
      <c r="AP1004" s="18"/>
      <c r="AQ1004" s="18"/>
      <c r="AR1004" s="147"/>
      <c r="AS1004" s="18"/>
      <c r="AT1004" s="30"/>
      <c r="AU1004" s="18"/>
      <c r="AV1004" s="34"/>
      <c r="AW1004" s="34"/>
      <c r="AX1004" s="18"/>
    </row>
    <row r="1005" spans="1:50" x14ac:dyDescent="0.2">
      <c r="A1005" s="4" t="s">
        <v>55</v>
      </c>
      <c r="B1005" s="4" t="s">
        <v>56</v>
      </c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1" t="s">
        <v>658</v>
      </c>
      <c r="AB1005" s="42" t="s">
        <v>233</v>
      </c>
      <c r="AC1005" s="43" t="s">
        <v>58</v>
      </c>
      <c r="AD1005" s="43">
        <v>80000001.5</v>
      </c>
      <c r="AE1005" s="44">
        <v>0</v>
      </c>
      <c r="AF1005" s="44">
        <v>0</v>
      </c>
      <c r="AG1005" s="44">
        <v>0</v>
      </c>
      <c r="AH1005" s="44">
        <v>0</v>
      </c>
      <c r="AI1005" s="44">
        <v>0</v>
      </c>
      <c r="AJ1005" s="43">
        <v>80000001.5</v>
      </c>
      <c r="AK1005" s="44">
        <v>0</v>
      </c>
      <c r="AL1005" s="44">
        <f>AM1005-AGOSTO!AM977</f>
        <v>0</v>
      </c>
      <c r="AM1005" s="43">
        <v>72000000</v>
      </c>
      <c r="AN1005" s="43">
        <v>0</v>
      </c>
      <c r="AO1005" s="43">
        <v>72000000</v>
      </c>
      <c r="AP1005" s="43">
        <v>72000000</v>
      </c>
      <c r="AQ1005" s="44">
        <v>0</v>
      </c>
      <c r="AR1005" s="44">
        <v>0</v>
      </c>
      <c r="AS1005" s="44">
        <v>0</v>
      </c>
      <c r="AT1005" s="40">
        <f t="shared" ref="AT1005:AT1007" si="407">AQ1005+AS1005</f>
        <v>0</v>
      </c>
      <c r="AU1005" s="18">
        <f>AJ1005-AM1005</f>
        <v>8000001.5</v>
      </c>
      <c r="AV1005" s="34">
        <f>AM1005-AP1005</f>
        <v>0</v>
      </c>
      <c r="AW1005" s="18">
        <f>AP1005-AT1005</f>
        <v>72000000</v>
      </c>
      <c r="AX1005" s="123">
        <f>AP1005/AJ1005</f>
        <v>0.89999998312500029</v>
      </c>
    </row>
    <row r="1006" spans="1:50" ht="25.5" x14ac:dyDescent="0.2">
      <c r="A1006" s="4" t="s">
        <v>55</v>
      </c>
      <c r="B1006" s="4" t="s">
        <v>56</v>
      </c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1" t="s">
        <v>659</v>
      </c>
      <c r="AB1006" s="42" t="s">
        <v>660</v>
      </c>
      <c r="AC1006" s="43" t="s">
        <v>368</v>
      </c>
      <c r="AD1006" s="43">
        <v>18064798.5</v>
      </c>
      <c r="AE1006" s="44">
        <v>0</v>
      </c>
      <c r="AF1006" s="44">
        <v>0</v>
      </c>
      <c r="AG1006" s="44">
        <v>0</v>
      </c>
      <c r="AH1006" s="44">
        <v>0</v>
      </c>
      <c r="AI1006" s="44">
        <v>0</v>
      </c>
      <c r="AJ1006" s="43">
        <v>18064798.5</v>
      </c>
      <c r="AK1006" s="44">
        <v>0</v>
      </c>
      <c r="AL1006" s="44">
        <v>0</v>
      </c>
      <c r="AM1006" s="44">
        <v>0</v>
      </c>
      <c r="AN1006" s="44">
        <v>0</v>
      </c>
      <c r="AO1006" s="44">
        <v>0</v>
      </c>
      <c r="AP1006" s="44">
        <v>0</v>
      </c>
      <c r="AQ1006" s="44">
        <v>0</v>
      </c>
      <c r="AR1006" s="44">
        <v>0</v>
      </c>
      <c r="AS1006" s="44">
        <v>0</v>
      </c>
      <c r="AT1006" s="40">
        <f t="shared" si="407"/>
        <v>0</v>
      </c>
      <c r="AU1006" s="18">
        <f>AJ1006-AM1006</f>
        <v>18064798.5</v>
      </c>
      <c r="AV1006" s="133">
        <f>AM1006-AP1006</f>
        <v>0</v>
      </c>
      <c r="AW1006" s="34">
        <f>AP1006-AT1006</f>
        <v>0</v>
      </c>
      <c r="AX1006" s="123">
        <f>AP1006/AJ1006</f>
        <v>0</v>
      </c>
    </row>
    <row r="1007" spans="1:50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1" t="s">
        <v>1109</v>
      </c>
      <c r="AB1007" s="42" t="s">
        <v>1110</v>
      </c>
      <c r="AC1007" s="43"/>
      <c r="AD1007" s="44">
        <v>0</v>
      </c>
      <c r="AE1007" s="43">
        <v>502777408.16000003</v>
      </c>
      <c r="AF1007" s="44">
        <v>0</v>
      </c>
      <c r="AG1007" s="44">
        <v>0</v>
      </c>
      <c r="AH1007" s="43">
        <v>502777408.16000003</v>
      </c>
      <c r="AI1007" s="44">
        <f>AE1007-AF1007+AG1007-AH1007</f>
        <v>0</v>
      </c>
      <c r="AJ1007" s="44">
        <f>AD1007+AI1007</f>
        <v>0</v>
      </c>
      <c r="AK1007" s="44">
        <v>0</v>
      </c>
      <c r="AL1007" s="44">
        <v>0</v>
      </c>
      <c r="AM1007" s="44">
        <v>0</v>
      </c>
      <c r="AN1007" s="44">
        <v>0</v>
      </c>
      <c r="AO1007" s="44">
        <v>0</v>
      </c>
      <c r="AP1007" s="44">
        <v>0</v>
      </c>
      <c r="AQ1007" s="44">
        <v>0</v>
      </c>
      <c r="AR1007" s="44">
        <v>0</v>
      </c>
      <c r="AS1007" s="44">
        <v>0</v>
      </c>
      <c r="AT1007" s="40">
        <f t="shared" si="407"/>
        <v>0</v>
      </c>
      <c r="AU1007" s="34">
        <f>AJ1007-AM1007</f>
        <v>0</v>
      </c>
      <c r="AV1007" s="133">
        <f>AM1007-AP1007</f>
        <v>0</v>
      </c>
      <c r="AW1007" s="34">
        <f>AP1007-AT1007</f>
        <v>0</v>
      </c>
      <c r="AX1007" s="123">
        <v>0</v>
      </c>
    </row>
    <row r="1008" spans="1:50" x14ac:dyDescent="0.2">
      <c r="AA1008" s="16"/>
      <c r="AB1008" s="17"/>
      <c r="AC1008" s="17"/>
      <c r="AD1008" s="18"/>
      <c r="AE1008" s="34"/>
      <c r="AF1008" s="34"/>
      <c r="AG1008" s="34"/>
      <c r="AH1008" s="34"/>
      <c r="AI1008" s="34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30"/>
      <c r="AU1008" s="18"/>
      <c r="AV1008" s="18"/>
      <c r="AW1008" s="18"/>
      <c r="AX1008" s="18"/>
    </row>
    <row r="1009" spans="1:50" x14ac:dyDescent="0.2">
      <c r="AA1009" s="16"/>
      <c r="AB1009" s="29" t="s">
        <v>661</v>
      </c>
      <c r="AC1009" s="17"/>
      <c r="AD1009" s="18"/>
      <c r="AE1009" s="34"/>
      <c r="AF1009" s="34"/>
      <c r="AG1009" s="34"/>
      <c r="AH1009" s="34"/>
      <c r="AI1009" s="34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30"/>
      <c r="AU1009" s="18"/>
      <c r="AV1009" s="18"/>
      <c r="AW1009" s="18"/>
      <c r="AX1009" s="18"/>
    </row>
    <row r="1010" spans="1:50" x14ac:dyDescent="0.2">
      <c r="AA1010" s="16"/>
      <c r="AB1010" s="29" t="s">
        <v>614</v>
      </c>
      <c r="AC1010" s="17"/>
      <c r="AD1010" s="18"/>
      <c r="AE1010" s="34"/>
      <c r="AF1010" s="34"/>
      <c r="AG1010" s="34"/>
      <c r="AH1010" s="34"/>
      <c r="AI1010" s="34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30"/>
      <c r="AU1010" s="18"/>
      <c r="AV1010" s="18"/>
      <c r="AW1010" s="18"/>
      <c r="AX1010" s="18"/>
    </row>
    <row r="1011" spans="1:50" x14ac:dyDescent="0.2">
      <c r="AA1011" s="16"/>
      <c r="AB1011" s="29" t="s">
        <v>286</v>
      </c>
      <c r="AC1011" s="17"/>
      <c r="AD1011" s="18"/>
      <c r="AE1011" s="34"/>
      <c r="AF1011" s="34"/>
      <c r="AG1011" s="34"/>
      <c r="AH1011" s="34"/>
      <c r="AI1011" s="34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30"/>
      <c r="AU1011" s="18"/>
      <c r="AV1011" s="18"/>
      <c r="AW1011" s="18"/>
      <c r="AX1011" s="18"/>
    </row>
    <row r="1012" spans="1:50" x14ac:dyDescent="0.2">
      <c r="AA1012" s="16"/>
      <c r="AB1012" s="29" t="s">
        <v>179</v>
      </c>
      <c r="AC1012" s="17"/>
      <c r="AD1012" s="18"/>
      <c r="AE1012" s="34"/>
      <c r="AF1012" s="34"/>
      <c r="AG1012" s="34"/>
      <c r="AH1012" s="34"/>
      <c r="AI1012" s="34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30"/>
      <c r="AU1012" s="18"/>
      <c r="AV1012" s="18"/>
      <c r="AW1012" s="18"/>
      <c r="AX1012" s="18"/>
    </row>
    <row r="1013" spans="1:50" x14ac:dyDescent="0.2">
      <c r="AA1013" s="16"/>
      <c r="AB1013" s="29" t="s">
        <v>189</v>
      </c>
      <c r="AC1013" s="17"/>
      <c r="AD1013" s="18"/>
      <c r="AE1013" s="34"/>
      <c r="AF1013" s="34"/>
      <c r="AG1013" s="34"/>
      <c r="AH1013" s="34"/>
      <c r="AI1013" s="34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30"/>
      <c r="AU1013" s="18"/>
      <c r="AV1013" s="18"/>
      <c r="AW1013" s="18"/>
      <c r="AX1013" s="18"/>
    </row>
    <row r="1014" spans="1:50" ht="25.5" x14ac:dyDescent="0.2">
      <c r="AA1014" s="16"/>
      <c r="AB1014" s="29" t="s">
        <v>197</v>
      </c>
      <c r="AC1014" s="17"/>
      <c r="AD1014" s="18"/>
      <c r="AE1014" s="34"/>
      <c r="AF1014" s="34"/>
      <c r="AG1014" s="34"/>
      <c r="AH1014" s="34"/>
      <c r="AI1014" s="34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30"/>
      <c r="AU1014" s="18"/>
      <c r="AV1014" s="18"/>
      <c r="AW1014" s="18"/>
      <c r="AX1014" s="18"/>
    </row>
    <row r="1015" spans="1:50" x14ac:dyDescent="0.2">
      <c r="AA1015" s="28" t="s">
        <v>288</v>
      </c>
      <c r="AB1015" s="29" t="s">
        <v>591</v>
      </c>
      <c r="AC1015" s="17"/>
      <c r="AD1015" s="18"/>
      <c r="AE1015" s="34"/>
      <c r="AF1015" s="34"/>
      <c r="AG1015" s="34"/>
      <c r="AH1015" s="34"/>
      <c r="AI1015" s="34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30"/>
      <c r="AU1015" s="18"/>
      <c r="AV1015" s="18"/>
      <c r="AW1015" s="18"/>
      <c r="AX1015" s="18"/>
    </row>
    <row r="1016" spans="1:50" ht="25.5" x14ac:dyDescent="0.2">
      <c r="A1016" s="4" t="s">
        <v>55</v>
      </c>
      <c r="B1016" s="4" t="s">
        <v>56</v>
      </c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1" t="s">
        <v>662</v>
      </c>
      <c r="AB1016" s="42" t="s">
        <v>1238</v>
      </c>
      <c r="AC1016" s="43" t="s">
        <v>368</v>
      </c>
      <c r="AD1016" s="43">
        <v>3179405.26</v>
      </c>
      <c r="AE1016" s="44">
        <v>0</v>
      </c>
      <c r="AF1016" s="44">
        <v>0</v>
      </c>
      <c r="AG1016" s="44">
        <v>0</v>
      </c>
      <c r="AH1016" s="44">
        <v>0</v>
      </c>
      <c r="AI1016" s="44">
        <v>0</v>
      </c>
      <c r="AJ1016" s="43">
        <v>3179405.26</v>
      </c>
      <c r="AK1016" s="44">
        <v>0</v>
      </c>
      <c r="AL1016" s="44">
        <f>AM1016-AGOSTO!AM988</f>
        <v>0</v>
      </c>
      <c r="AM1016" s="43">
        <v>1739249</v>
      </c>
      <c r="AN1016" s="44">
        <v>0</v>
      </c>
      <c r="AO1016" s="44">
        <v>0</v>
      </c>
      <c r="AP1016" s="43">
        <v>1739249</v>
      </c>
      <c r="AQ1016" s="44">
        <v>0</v>
      </c>
      <c r="AR1016" s="43">
        <v>72582</v>
      </c>
      <c r="AS1016" s="43">
        <v>72582</v>
      </c>
      <c r="AT1016" s="40">
        <f t="shared" ref="AT1016:AT1017" si="408">AQ1016+AS1016</f>
        <v>72582</v>
      </c>
      <c r="AU1016" s="18">
        <f>AJ1016-AM1016</f>
        <v>1440156.2599999998</v>
      </c>
      <c r="AV1016" s="133">
        <f>AM1016-AP1016</f>
        <v>0</v>
      </c>
      <c r="AW1016" s="18">
        <f>AP1016-AT1016</f>
        <v>1666667</v>
      </c>
      <c r="AX1016" s="123">
        <f>AP1016/AJ1016</f>
        <v>0.54703595728466525</v>
      </c>
    </row>
    <row r="1017" spans="1:50" ht="25.5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1" t="s">
        <v>1111</v>
      </c>
      <c r="AB1017" s="42" t="s">
        <v>1112</v>
      </c>
      <c r="AC1017" s="43"/>
      <c r="AD1017" s="44">
        <v>0</v>
      </c>
      <c r="AE1017" s="43">
        <v>58361947.520000003</v>
      </c>
      <c r="AF1017" s="44">
        <v>0</v>
      </c>
      <c r="AG1017" s="44">
        <v>0</v>
      </c>
      <c r="AH1017" s="44">
        <v>0</v>
      </c>
      <c r="AI1017" s="43">
        <f>AE1017-AF1017+AG1017-AH1017</f>
        <v>58361947.520000003</v>
      </c>
      <c r="AJ1017" s="43">
        <f>AD1017+AI1017</f>
        <v>58361947.520000003</v>
      </c>
      <c r="AK1017" s="44">
        <v>0</v>
      </c>
      <c r="AL1017" s="44">
        <v>0</v>
      </c>
      <c r="AM1017" s="44">
        <v>0</v>
      </c>
      <c r="AN1017" s="44">
        <v>0</v>
      </c>
      <c r="AO1017" s="44">
        <v>0</v>
      </c>
      <c r="AP1017" s="44">
        <v>0</v>
      </c>
      <c r="AQ1017" s="44">
        <v>0</v>
      </c>
      <c r="AR1017" s="44">
        <v>0</v>
      </c>
      <c r="AS1017" s="44">
        <v>0</v>
      </c>
      <c r="AT1017" s="40">
        <f t="shared" si="408"/>
        <v>0</v>
      </c>
      <c r="AU1017" s="18">
        <f>AJ1017-AM1017</f>
        <v>58361947.520000003</v>
      </c>
      <c r="AV1017" s="133">
        <f>AM1017-AP1017</f>
        <v>0</v>
      </c>
      <c r="AW1017" s="34">
        <f>AP1017-AT1017</f>
        <v>0</v>
      </c>
      <c r="AX1017" s="123">
        <f>AP1017/AJ1017</f>
        <v>0</v>
      </c>
    </row>
    <row r="1018" spans="1:50" x14ac:dyDescent="0.2">
      <c r="AA1018" s="16"/>
      <c r="AB1018" s="17"/>
      <c r="AC1018" s="17"/>
      <c r="AD1018" s="18"/>
      <c r="AE1018" s="34"/>
      <c r="AF1018" s="34"/>
      <c r="AG1018" s="34"/>
      <c r="AH1018" s="34"/>
      <c r="AI1018" s="34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30"/>
      <c r="AU1018" s="18"/>
      <c r="AV1018" s="18"/>
      <c r="AW1018" s="18"/>
      <c r="AX1018" s="18"/>
    </row>
    <row r="1019" spans="1:50" ht="25.5" x14ac:dyDescent="0.2">
      <c r="AA1019" s="16"/>
      <c r="AB1019" s="29" t="s">
        <v>663</v>
      </c>
      <c r="AC1019" s="17"/>
      <c r="AD1019" s="18"/>
      <c r="AE1019" s="34"/>
      <c r="AF1019" s="34"/>
      <c r="AG1019" s="34"/>
      <c r="AH1019" s="34"/>
      <c r="AI1019" s="34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30"/>
      <c r="AU1019" s="18"/>
      <c r="AV1019" s="18"/>
      <c r="AW1019" s="18"/>
      <c r="AX1019" s="18"/>
    </row>
    <row r="1020" spans="1:50" x14ac:dyDescent="0.2">
      <c r="AA1020" s="16"/>
      <c r="AB1020" s="29" t="s">
        <v>614</v>
      </c>
      <c r="AC1020" s="17"/>
      <c r="AD1020" s="18"/>
      <c r="AE1020" s="34"/>
      <c r="AF1020" s="34"/>
      <c r="AG1020" s="34"/>
      <c r="AH1020" s="34"/>
      <c r="AI1020" s="34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30"/>
      <c r="AU1020" s="18"/>
      <c r="AV1020" s="18"/>
      <c r="AW1020" s="18"/>
      <c r="AX1020" s="18"/>
    </row>
    <row r="1021" spans="1:50" x14ac:dyDescent="0.2">
      <c r="AA1021" s="16"/>
      <c r="AB1021" s="29" t="s">
        <v>286</v>
      </c>
      <c r="AC1021" s="17"/>
      <c r="AD1021" s="18"/>
      <c r="AE1021" s="34"/>
      <c r="AF1021" s="34"/>
      <c r="AG1021" s="34"/>
      <c r="AH1021" s="34"/>
      <c r="AI1021" s="34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30"/>
      <c r="AU1021" s="18"/>
      <c r="AV1021" s="18"/>
      <c r="AW1021" s="18"/>
      <c r="AX1021" s="18"/>
    </row>
    <row r="1022" spans="1:50" ht="18.75" customHeight="1" x14ac:dyDescent="0.2">
      <c r="AA1022" s="16"/>
      <c r="AB1022" s="29" t="s">
        <v>664</v>
      </c>
      <c r="AC1022" s="17"/>
      <c r="AD1022" s="18"/>
      <c r="AE1022" s="34"/>
      <c r="AF1022" s="34"/>
      <c r="AG1022" s="34"/>
      <c r="AH1022" s="34"/>
      <c r="AI1022" s="34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30"/>
      <c r="AU1022" s="18"/>
      <c r="AV1022" s="18"/>
      <c r="AW1022" s="18"/>
      <c r="AX1022" s="18"/>
    </row>
    <row r="1023" spans="1:50" ht="18.75" customHeight="1" x14ac:dyDescent="0.2">
      <c r="AA1023" s="16"/>
      <c r="AB1023" s="29" t="s">
        <v>575</v>
      </c>
      <c r="AC1023" s="17"/>
      <c r="AD1023" s="18"/>
      <c r="AE1023" s="34"/>
      <c r="AF1023" s="34"/>
      <c r="AG1023" s="34"/>
      <c r="AH1023" s="34"/>
      <c r="AI1023" s="34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30"/>
      <c r="AU1023" s="18"/>
      <c r="AV1023" s="18"/>
      <c r="AW1023" s="18"/>
      <c r="AX1023" s="18"/>
    </row>
    <row r="1024" spans="1:50" ht="18.75" customHeight="1" x14ac:dyDescent="0.2">
      <c r="AA1024" s="16"/>
      <c r="AB1024" s="29" t="s">
        <v>631</v>
      </c>
      <c r="AC1024" s="17"/>
      <c r="AD1024" s="18"/>
      <c r="AE1024" s="34"/>
      <c r="AF1024" s="34"/>
      <c r="AG1024" s="34"/>
      <c r="AH1024" s="34"/>
      <c r="AI1024" s="34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30"/>
      <c r="AU1024" s="18"/>
      <c r="AV1024" s="18"/>
      <c r="AW1024" s="18"/>
      <c r="AX1024" s="18"/>
    </row>
    <row r="1025" spans="1:50" ht="18.75" customHeight="1" x14ac:dyDescent="0.2">
      <c r="AA1025" s="16"/>
      <c r="AB1025" s="29" t="s">
        <v>632</v>
      </c>
      <c r="AC1025" s="17"/>
      <c r="AD1025" s="18"/>
      <c r="AE1025" s="34"/>
      <c r="AF1025" s="34"/>
      <c r="AG1025" s="34"/>
      <c r="AH1025" s="34"/>
      <c r="AI1025" s="34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30"/>
      <c r="AU1025" s="18"/>
      <c r="AV1025" s="18"/>
      <c r="AW1025" s="18"/>
      <c r="AX1025" s="18"/>
    </row>
    <row r="1026" spans="1:50" ht="18.75" customHeight="1" x14ac:dyDescent="0.2">
      <c r="AA1026" s="16"/>
      <c r="AB1026" s="29" t="s">
        <v>633</v>
      </c>
      <c r="AC1026" s="17"/>
      <c r="AD1026" s="18"/>
      <c r="AE1026" s="34"/>
      <c r="AF1026" s="34"/>
      <c r="AG1026" s="34"/>
      <c r="AH1026" s="34"/>
      <c r="AI1026" s="34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30"/>
      <c r="AU1026" s="18"/>
      <c r="AV1026" s="18"/>
      <c r="AW1026" s="18"/>
      <c r="AX1026" s="18"/>
    </row>
    <row r="1027" spans="1:50" ht="18.75" customHeight="1" x14ac:dyDescent="0.2">
      <c r="AA1027" s="16"/>
      <c r="AB1027" s="29" t="s">
        <v>634</v>
      </c>
      <c r="AC1027" s="17"/>
      <c r="AD1027" s="18"/>
      <c r="AE1027" s="34"/>
      <c r="AF1027" s="34"/>
      <c r="AG1027" s="34"/>
      <c r="AH1027" s="34"/>
      <c r="AI1027" s="34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30"/>
      <c r="AU1027" s="18"/>
      <c r="AV1027" s="18"/>
      <c r="AW1027" s="18"/>
      <c r="AX1027" s="18"/>
    </row>
    <row r="1028" spans="1:50" ht="18.75" customHeight="1" x14ac:dyDescent="0.2">
      <c r="AA1028" s="16"/>
      <c r="AB1028" s="29" t="s">
        <v>635</v>
      </c>
      <c r="AC1028" s="17"/>
      <c r="AD1028" s="18"/>
      <c r="AE1028" s="34"/>
      <c r="AF1028" s="34"/>
      <c r="AG1028" s="34"/>
      <c r="AH1028" s="34"/>
      <c r="AI1028" s="34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30"/>
      <c r="AU1028" s="18"/>
      <c r="AV1028" s="18"/>
      <c r="AW1028" s="18"/>
      <c r="AX1028" s="18"/>
    </row>
    <row r="1029" spans="1:50" ht="18.75" customHeight="1" x14ac:dyDescent="0.2">
      <c r="AA1029" s="28" t="s">
        <v>288</v>
      </c>
      <c r="AB1029" s="29" t="s">
        <v>665</v>
      </c>
      <c r="AC1029" s="17"/>
      <c r="AD1029" s="18"/>
      <c r="AE1029" s="34"/>
      <c r="AF1029" s="34"/>
      <c r="AG1029" s="34"/>
      <c r="AH1029" s="34"/>
      <c r="AI1029" s="34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30"/>
      <c r="AU1029" s="18"/>
      <c r="AV1029" s="18"/>
      <c r="AW1029" s="18"/>
      <c r="AX1029" s="18"/>
    </row>
    <row r="1030" spans="1:50" ht="18.75" customHeight="1" x14ac:dyDescent="0.2">
      <c r="A1030" s="4" t="s">
        <v>37</v>
      </c>
      <c r="B1030" s="4" t="s">
        <v>37</v>
      </c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1" t="s">
        <v>666</v>
      </c>
      <c r="AB1030" s="42" t="s">
        <v>233</v>
      </c>
      <c r="AC1030" s="43" t="s">
        <v>58</v>
      </c>
      <c r="AD1030" s="43">
        <v>22000000</v>
      </c>
      <c r="AE1030" s="44">
        <v>0</v>
      </c>
      <c r="AF1030" s="44">
        <v>0</v>
      </c>
      <c r="AG1030" s="44">
        <v>0</v>
      </c>
      <c r="AH1030" s="44">
        <v>0</v>
      </c>
      <c r="AI1030" s="44">
        <v>0</v>
      </c>
      <c r="AJ1030" s="43">
        <v>22000000</v>
      </c>
      <c r="AK1030" s="44">
        <v>0</v>
      </c>
      <c r="AL1030" s="44">
        <v>0</v>
      </c>
      <c r="AM1030" s="44">
        <v>0</v>
      </c>
      <c r="AN1030" s="44">
        <v>0</v>
      </c>
      <c r="AO1030" s="44">
        <v>0</v>
      </c>
      <c r="AP1030" s="44">
        <v>0</v>
      </c>
      <c r="AQ1030" s="44">
        <v>0</v>
      </c>
      <c r="AR1030" s="44">
        <v>0</v>
      </c>
      <c r="AS1030" s="44">
        <v>0</v>
      </c>
      <c r="AT1030" s="40">
        <f t="shared" ref="AT1030" si="409">AQ1030+AS1030</f>
        <v>0</v>
      </c>
      <c r="AU1030" s="18">
        <f>AJ1030-AM1030</f>
        <v>22000000</v>
      </c>
      <c r="AV1030" s="133">
        <f>AM1030-AP1030</f>
        <v>0</v>
      </c>
      <c r="AW1030" s="34">
        <f>AP1030-AT1030</f>
        <v>0</v>
      </c>
      <c r="AX1030" s="123">
        <f>AP1030/AJ1030</f>
        <v>0</v>
      </c>
    </row>
    <row r="1031" spans="1:50" ht="25.5" x14ac:dyDescent="0.2">
      <c r="AA1031" s="81" t="s">
        <v>288</v>
      </c>
      <c r="AB1031" s="74" t="s">
        <v>1248</v>
      </c>
      <c r="AC1031" s="17"/>
      <c r="AD1031" s="34"/>
      <c r="AE1031" s="34"/>
      <c r="AF1031" s="34"/>
      <c r="AG1031" s="18"/>
      <c r="AH1031" s="34"/>
      <c r="AI1031" s="43"/>
      <c r="AJ1031" s="43"/>
      <c r="AK1031" s="34"/>
      <c r="AL1031" s="34"/>
      <c r="AM1031" s="34"/>
      <c r="AN1031" s="34"/>
      <c r="AO1031" s="34"/>
      <c r="AP1031" s="34"/>
      <c r="AQ1031" s="34"/>
      <c r="AR1031" s="34"/>
      <c r="AS1031" s="34"/>
      <c r="AT1031" s="30"/>
      <c r="AU1031" s="18"/>
      <c r="AV1031" s="18"/>
      <c r="AW1031" s="34"/>
      <c r="AX1031" s="18"/>
    </row>
    <row r="1032" spans="1:50" x14ac:dyDescent="0.2">
      <c r="AA1032" s="134" t="s">
        <v>1254</v>
      </c>
      <c r="AB1032" s="42" t="s">
        <v>961</v>
      </c>
      <c r="AC1032" s="17"/>
      <c r="AD1032" s="34">
        <v>0</v>
      </c>
      <c r="AE1032" s="34">
        <v>0</v>
      </c>
      <c r="AF1032" s="34">
        <v>0</v>
      </c>
      <c r="AG1032" s="18">
        <v>54735904</v>
      </c>
      <c r="AH1032" s="34">
        <v>0</v>
      </c>
      <c r="AI1032" s="43">
        <f>AE1031-AF1031+AG1032-AH1031</f>
        <v>54735904</v>
      </c>
      <c r="AJ1032" s="43">
        <f>AD1031+AI1032</f>
        <v>54735904</v>
      </c>
      <c r="AK1032" s="34">
        <v>0</v>
      </c>
      <c r="AL1032" s="18">
        <f>AM1032-AGOSTO!AM837</f>
        <v>20412525</v>
      </c>
      <c r="AM1032" s="18">
        <v>45312525</v>
      </c>
      <c r="AN1032" s="34">
        <v>0</v>
      </c>
      <c r="AO1032" s="34">
        <v>0</v>
      </c>
      <c r="AP1032" s="18">
        <v>24900000</v>
      </c>
      <c r="AQ1032" s="34">
        <v>0</v>
      </c>
      <c r="AR1032" s="34">
        <v>0</v>
      </c>
      <c r="AS1032" s="34">
        <v>0</v>
      </c>
      <c r="AT1032" s="40">
        <f t="shared" ref="AT1032" si="410">AQ1032+AS1032</f>
        <v>0</v>
      </c>
      <c r="AU1032" s="18">
        <f t="shared" ref="AU1032" si="411">AJ1032-AM1032</f>
        <v>9423379</v>
      </c>
      <c r="AV1032" s="18">
        <f t="shared" ref="AV1032" si="412">AM1032-AP1032</f>
        <v>20412525</v>
      </c>
      <c r="AW1032" s="18">
        <f t="shared" ref="AW1032" si="413">AP1032-AT1032</f>
        <v>24900000</v>
      </c>
      <c r="AX1032" s="123">
        <f t="shared" ref="AX1032" si="414">AP1032/AJ1032</f>
        <v>0.45491164263953693</v>
      </c>
    </row>
    <row r="1033" spans="1:50" ht="18.75" customHeight="1" x14ac:dyDescent="0.2">
      <c r="AA1033" s="16"/>
      <c r="AB1033" s="17"/>
      <c r="AC1033" s="17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30"/>
      <c r="AU1033" s="18"/>
      <c r="AV1033" s="34"/>
      <c r="AW1033" s="34"/>
      <c r="AX1033" s="18"/>
    </row>
    <row r="1034" spans="1:50" ht="18.75" customHeight="1" x14ac:dyDescent="0.2">
      <c r="AA1034" s="16"/>
      <c r="AB1034" s="29" t="s">
        <v>179</v>
      </c>
      <c r="AC1034" s="17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30"/>
      <c r="AU1034" s="18"/>
      <c r="AV1034" s="34"/>
      <c r="AW1034" s="34"/>
      <c r="AX1034" s="18"/>
    </row>
    <row r="1035" spans="1:50" ht="18.75" customHeight="1" x14ac:dyDescent="0.2">
      <c r="AA1035" s="16"/>
      <c r="AB1035" s="29" t="s">
        <v>181</v>
      </c>
      <c r="AC1035" s="17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30"/>
      <c r="AU1035" s="18"/>
      <c r="AV1035" s="34"/>
      <c r="AW1035" s="34"/>
      <c r="AX1035" s="18"/>
    </row>
    <row r="1036" spans="1:50" ht="25.5" x14ac:dyDescent="0.2">
      <c r="AA1036" s="16"/>
      <c r="AB1036" s="29" t="s">
        <v>183</v>
      </c>
      <c r="AC1036" s="17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30"/>
      <c r="AU1036" s="18"/>
      <c r="AV1036" s="34"/>
      <c r="AW1036" s="34"/>
      <c r="AX1036" s="18"/>
    </row>
    <row r="1037" spans="1:50" ht="18.75" customHeight="1" x14ac:dyDescent="0.2">
      <c r="AA1037" s="28" t="s">
        <v>288</v>
      </c>
      <c r="AB1037" s="29" t="s">
        <v>667</v>
      </c>
      <c r="AC1037" s="17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30"/>
      <c r="AU1037" s="18"/>
      <c r="AV1037" s="34"/>
      <c r="AW1037" s="34"/>
      <c r="AX1037" s="18"/>
    </row>
    <row r="1038" spans="1:50" ht="18.75" customHeight="1" x14ac:dyDescent="0.2">
      <c r="A1038" s="4" t="s">
        <v>668</v>
      </c>
      <c r="B1038" s="4" t="s">
        <v>669</v>
      </c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1" t="s">
        <v>670</v>
      </c>
      <c r="AB1038" s="42" t="s">
        <v>233</v>
      </c>
      <c r="AC1038" s="43" t="s">
        <v>58</v>
      </c>
      <c r="AD1038" s="43">
        <v>1000000000</v>
      </c>
      <c r="AE1038" s="44">
        <v>0</v>
      </c>
      <c r="AF1038" s="44">
        <v>0</v>
      </c>
      <c r="AG1038" s="44">
        <v>0</v>
      </c>
      <c r="AH1038" s="43">
        <v>557151874</v>
      </c>
      <c r="AI1038" s="43">
        <f>AE1038-AF1038+AG1038-AH1038</f>
        <v>-557151874</v>
      </c>
      <c r="AJ1038" s="43">
        <f>AD1038+AI1038</f>
        <v>442848126</v>
      </c>
      <c r="AK1038" s="44">
        <v>0</v>
      </c>
      <c r="AL1038" s="44">
        <v>0</v>
      </c>
      <c r="AM1038" s="44">
        <v>0</v>
      </c>
      <c r="AN1038" s="44">
        <v>0</v>
      </c>
      <c r="AO1038" s="44">
        <v>0</v>
      </c>
      <c r="AP1038" s="44">
        <v>0</v>
      </c>
      <c r="AQ1038" s="44">
        <v>0</v>
      </c>
      <c r="AR1038" s="44">
        <v>0</v>
      </c>
      <c r="AS1038" s="44">
        <v>0</v>
      </c>
      <c r="AT1038" s="40">
        <f t="shared" ref="AT1038" si="415">AQ1038+AS1038</f>
        <v>0</v>
      </c>
      <c r="AU1038" s="18">
        <f>AJ1038-AM1038</f>
        <v>442848126</v>
      </c>
      <c r="AV1038" s="133">
        <f>AM1038-AP1038</f>
        <v>0</v>
      </c>
      <c r="AW1038" s="34">
        <f>AP1038-AT1038</f>
        <v>0</v>
      </c>
      <c r="AX1038" s="123">
        <f>AP1038/AJ1038</f>
        <v>0</v>
      </c>
    </row>
    <row r="1039" spans="1:50" ht="18.75" customHeight="1" x14ac:dyDescent="0.2">
      <c r="AA1039" s="16"/>
      <c r="AB1039" s="17"/>
      <c r="AC1039" s="17"/>
      <c r="AD1039" s="18"/>
      <c r="AE1039" s="34"/>
      <c r="AF1039" s="34"/>
      <c r="AG1039" s="34"/>
      <c r="AH1039" s="34"/>
      <c r="AI1039" s="34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30"/>
      <c r="AU1039" s="18"/>
      <c r="AV1039" s="34"/>
      <c r="AW1039" s="34"/>
      <c r="AX1039" s="18"/>
    </row>
    <row r="1040" spans="1:50" ht="25.5" x14ac:dyDescent="0.2">
      <c r="AA1040" s="16"/>
      <c r="AB1040" s="29" t="s">
        <v>637</v>
      </c>
      <c r="AC1040" s="17"/>
      <c r="AD1040" s="18"/>
      <c r="AE1040" s="34"/>
      <c r="AF1040" s="34"/>
      <c r="AG1040" s="34"/>
      <c r="AH1040" s="34"/>
      <c r="AI1040" s="34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30"/>
      <c r="AU1040" s="18"/>
      <c r="AV1040" s="34"/>
      <c r="AW1040" s="34"/>
      <c r="AX1040" s="18"/>
    </row>
    <row r="1041" spans="1:50" ht="18.75" customHeight="1" x14ac:dyDescent="0.2">
      <c r="AA1041" s="28" t="s">
        <v>288</v>
      </c>
      <c r="AB1041" s="29" t="s">
        <v>667</v>
      </c>
      <c r="AC1041" s="17"/>
      <c r="AD1041" s="18"/>
      <c r="AE1041" s="34"/>
      <c r="AF1041" s="34"/>
      <c r="AG1041" s="34"/>
      <c r="AH1041" s="34"/>
      <c r="AI1041" s="34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30"/>
      <c r="AU1041" s="18"/>
      <c r="AV1041" s="34"/>
      <c r="AW1041" s="34"/>
      <c r="AX1041" s="18"/>
    </row>
    <row r="1042" spans="1:50" ht="18.75" customHeight="1" x14ac:dyDescent="0.2">
      <c r="A1042" s="4" t="s">
        <v>55</v>
      </c>
      <c r="B1042" s="4" t="s">
        <v>56</v>
      </c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1" t="s">
        <v>671</v>
      </c>
      <c r="AB1042" s="42" t="s">
        <v>233</v>
      </c>
      <c r="AC1042" s="43" t="s">
        <v>58</v>
      </c>
      <c r="AD1042" s="43">
        <v>856200000</v>
      </c>
      <c r="AE1042" s="44">
        <v>0</v>
      </c>
      <c r="AF1042" s="44">
        <v>0</v>
      </c>
      <c r="AG1042" s="43">
        <v>368161663</v>
      </c>
      <c r="AH1042" s="44">
        <v>0</v>
      </c>
      <c r="AI1042" s="43">
        <f>AE1042-AF1042+AG1042-AH1042</f>
        <v>368161663</v>
      </c>
      <c r="AJ1042" s="43">
        <f>AD1042+AI1042</f>
        <v>1224361663</v>
      </c>
      <c r="AK1042" s="44">
        <v>0</v>
      </c>
      <c r="AL1042" s="43">
        <f>AM1042-AGOSTO!AM1012</f>
        <v>-51265253</v>
      </c>
      <c r="AM1042" s="43">
        <v>169993540</v>
      </c>
      <c r="AN1042" s="44">
        <v>0</v>
      </c>
      <c r="AO1042" s="43">
        <v>69700540</v>
      </c>
      <c r="AP1042" s="43">
        <v>169993540</v>
      </c>
      <c r="AQ1042" s="44">
        <v>0</v>
      </c>
      <c r="AR1042" s="44">
        <v>0</v>
      </c>
      <c r="AS1042" s="44">
        <v>0</v>
      </c>
      <c r="AT1042" s="40">
        <f t="shared" ref="AT1042" si="416">AQ1042+AS1042</f>
        <v>0</v>
      </c>
      <c r="AU1042" s="18">
        <f>AJ1042-AM1042</f>
        <v>1054368123</v>
      </c>
      <c r="AV1042" s="34">
        <f>AM1042-AP1042</f>
        <v>0</v>
      </c>
      <c r="AW1042" s="18">
        <f>AP1042-AT1042</f>
        <v>169993540</v>
      </c>
      <c r="AX1042" s="123">
        <f>AP1042/AJ1042</f>
        <v>0.13884258641639616</v>
      </c>
    </row>
    <row r="1043" spans="1:50" ht="18.75" customHeight="1" x14ac:dyDescent="0.2">
      <c r="AA1043" s="16"/>
      <c r="AB1043" s="17"/>
      <c r="AC1043" s="17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30"/>
      <c r="AU1043" s="18"/>
      <c r="AV1043" s="34"/>
      <c r="AW1043" s="34"/>
      <c r="AX1043" s="18"/>
    </row>
    <row r="1044" spans="1:50" ht="18.75" customHeight="1" x14ac:dyDescent="0.2">
      <c r="AA1044" s="16"/>
      <c r="AB1044" s="29" t="s">
        <v>189</v>
      </c>
      <c r="AC1044" s="17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30"/>
      <c r="AU1044" s="18"/>
      <c r="AV1044" s="34"/>
      <c r="AW1044" s="34"/>
      <c r="AX1044" s="18"/>
    </row>
    <row r="1045" spans="1:50" ht="25.5" x14ac:dyDescent="0.2">
      <c r="AA1045" s="16"/>
      <c r="AB1045" s="29" t="s">
        <v>197</v>
      </c>
      <c r="AC1045" s="17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30"/>
      <c r="AU1045" s="18"/>
      <c r="AV1045" s="34"/>
      <c r="AW1045" s="34"/>
      <c r="AX1045" s="18"/>
    </row>
    <row r="1046" spans="1:50" ht="18.75" customHeight="1" x14ac:dyDescent="0.2">
      <c r="AA1046" s="28" t="s">
        <v>288</v>
      </c>
      <c r="AB1046" s="29" t="s">
        <v>667</v>
      </c>
      <c r="AC1046" s="17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30"/>
      <c r="AU1046" s="18"/>
      <c r="AV1046" s="18"/>
      <c r="AW1046" s="18"/>
      <c r="AX1046" s="18"/>
    </row>
    <row r="1047" spans="1:50" ht="18.75" customHeight="1" x14ac:dyDescent="0.2">
      <c r="A1047" s="4" t="s">
        <v>55</v>
      </c>
      <c r="B1047" s="4" t="s">
        <v>56</v>
      </c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1" t="s">
        <v>672</v>
      </c>
      <c r="AB1047" s="42" t="s">
        <v>233</v>
      </c>
      <c r="AC1047" s="43" t="s">
        <v>58</v>
      </c>
      <c r="AD1047" s="43">
        <v>500000000</v>
      </c>
      <c r="AE1047" s="44">
        <v>0</v>
      </c>
      <c r="AF1047" s="44">
        <v>0</v>
      </c>
      <c r="AG1047" s="44">
        <v>0</v>
      </c>
      <c r="AH1047" s="44">
        <v>0</v>
      </c>
      <c r="AI1047" s="44">
        <v>0</v>
      </c>
      <c r="AJ1047" s="43">
        <v>500000000</v>
      </c>
      <c r="AK1047" s="44">
        <v>0</v>
      </c>
      <c r="AL1047" s="43">
        <f>AM1047-AGOSTO!AM1017</f>
        <v>12000000</v>
      </c>
      <c r="AM1047" s="43">
        <v>276714243</v>
      </c>
      <c r="AN1047" s="44">
        <v>0</v>
      </c>
      <c r="AO1047" s="43">
        <v>12000000</v>
      </c>
      <c r="AP1047" s="43">
        <v>276714243</v>
      </c>
      <c r="AQ1047" s="43">
        <v>4866666</v>
      </c>
      <c r="AR1047" s="43">
        <v>15500000</v>
      </c>
      <c r="AS1047" s="43">
        <v>91900000</v>
      </c>
      <c r="AT1047" s="111">
        <f t="shared" ref="AT1047:AT1049" si="417">AQ1047+AS1047</f>
        <v>96766666</v>
      </c>
      <c r="AU1047" s="18">
        <f>AJ1047-AM1047</f>
        <v>223285757</v>
      </c>
      <c r="AV1047" s="34">
        <f>AM1047-AP1047</f>
        <v>0</v>
      </c>
      <c r="AW1047" s="18">
        <f>AP1047-AT1047</f>
        <v>179947577</v>
      </c>
      <c r="AX1047" s="123">
        <f>AP1047/AJ1047</f>
        <v>0.55342848600000005</v>
      </c>
    </row>
    <row r="1048" spans="1:50" ht="28.5" customHeight="1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1" t="s">
        <v>1113</v>
      </c>
      <c r="AB1048" s="42" t="s">
        <v>1114</v>
      </c>
      <c r="AC1048" s="43"/>
      <c r="AD1048" s="44">
        <v>0</v>
      </c>
      <c r="AE1048" s="43">
        <v>116018634.52</v>
      </c>
      <c r="AF1048" s="44">
        <v>0</v>
      </c>
      <c r="AG1048" s="44">
        <v>0</v>
      </c>
      <c r="AH1048" s="44">
        <v>0</v>
      </c>
      <c r="AI1048" s="43">
        <f t="shared" ref="AI1048:AI1049" si="418">AE1048-AF1048+AG1048-AH1048</f>
        <v>116018634.52</v>
      </c>
      <c r="AJ1048" s="43">
        <f t="shared" ref="AJ1048:AJ1049" si="419">AD1048+AI1048</f>
        <v>116018634.52</v>
      </c>
      <c r="AK1048" s="44">
        <v>0</v>
      </c>
      <c r="AL1048" s="44">
        <f>AM1048-AGOSTO!AM1018</f>
        <v>0</v>
      </c>
      <c r="AM1048" s="43">
        <v>69755420</v>
      </c>
      <c r="AN1048" s="44">
        <v>0</v>
      </c>
      <c r="AO1048" s="43">
        <v>0</v>
      </c>
      <c r="AP1048" s="43">
        <v>69755420</v>
      </c>
      <c r="AQ1048" s="44">
        <v>0</v>
      </c>
      <c r="AR1048" s="44">
        <v>0</v>
      </c>
      <c r="AS1048" s="44">
        <v>0</v>
      </c>
      <c r="AT1048" s="135">
        <f t="shared" si="417"/>
        <v>0</v>
      </c>
      <c r="AU1048" s="18">
        <f>AJ1048-AM1048</f>
        <v>46263214.519999996</v>
      </c>
      <c r="AV1048" s="34">
        <f>AM1048-AP1048</f>
        <v>0</v>
      </c>
      <c r="AW1048" s="18">
        <f>AP1048-AT1048</f>
        <v>69755420</v>
      </c>
      <c r="AX1048" s="123">
        <f>AP1048/AJ1048</f>
        <v>0.60124324242046767</v>
      </c>
    </row>
    <row r="1049" spans="1:50" ht="25.5" customHeight="1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1" t="s">
        <v>1115</v>
      </c>
      <c r="AB1049" s="42" t="s">
        <v>1044</v>
      </c>
      <c r="AC1049" s="43"/>
      <c r="AD1049" s="44">
        <v>0</v>
      </c>
      <c r="AE1049" s="43">
        <v>90000000</v>
      </c>
      <c r="AF1049" s="44">
        <v>0</v>
      </c>
      <c r="AG1049" s="44">
        <v>0</v>
      </c>
      <c r="AH1049" s="44">
        <v>0</v>
      </c>
      <c r="AI1049" s="43">
        <f t="shared" si="418"/>
        <v>90000000</v>
      </c>
      <c r="AJ1049" s="43">
        <f t="shared" si="419"/>
        <v>90000000</v>
      </c>
      <c r="AK1049" s="44">
        <v>0</v>
      </c>
      <c r="AL1049" s="44">
        <f>AM1049-JULIO!AM985</f>
        <v>0</v>
      </c>
      <c r="AM1049" s="44">
        <v>0</v>
      </c>
      <c r="AN1049" s="44">
        <v>0</v>
      </c>
      <c r="AO1049" s="44">
        <v>0</v>
      </c>
      <c r="AP1049" s="115">
        <v>0</v>
      </c>
      <c r="AQ1049" s="44">
        <v>0</v>
      </c>
      <c r="AR1049" s="44">
        <v>0</v>
      </c>
      <c r="AS1049" s="44">
        <v>0</v>
      </c>
      <c r="AT1049" s="135">
        <f t="shared" si="417"/>
        <v>0</v>
      </c>
      <c r="AU1049" s="18">
        <f>AJ1049-AM1049</f>
        <v>90000000</v>
      </c>
      <c r="AV1049" s="133">
        <f>AM1049-AP1049</f>
        <v>0</v>
      </c>
      <c r="AW1049" s="34">
        <f>AP1049-AT1049</f>
        <v>0</v>
      </c>
      <c r="AX1049" s="123">
        <f>AP1049/AJ1049</f>
        <v>0</v>
      </c>
    </row>
    <row r="1050" spans="1:50" ht="18.75" customHeight="1" x14ac:dyDescent="0.2">
      <c r="AA1050" s="16"/>
      <c r="AB1050" s="17"/>
      <c r="AC1050" s="17"/>
      <c r="AD1050" s="18"/>
      <c r="AE1050" s="34"/>
      <c r="AF1050" s="34"/>
      <c r="AG1050" s="34"/>
      <c r="AH1050" s="34"/>
      <c r="AI1050" s="34"/>
      <c r="AJ1050" s="18"/>
      <c r="AK1050" s="18"/>
      <c r="AL1050" s="18"/>
      <c r="AM1050" s="18"/>
      <c r="AN1050" s="18"/>
      <c r="AO1050" s="18"/>
      <c r="AP1050" s="18"/>
      <c r="AQ1050" s="34"/>
      <c r="AR1050" s="34"/>
      <c r="AS1050" s="34"/>
      <c r="AT1050" s="31"/>
      <c r="AU1050" s="18"/>
      <c r="AV1050" s="18"/>
      <c r="AW1050" s="18"/>
      <c r="AX1050" s="18"/>
    </row>
    <row r="1051" spans="1:50" ht="18.75" customHeight="1" x14ac:dyDescent="0.2">
      <c r="AA1051" s="16"/>
      <c r="AB1051" s="29" t="s">
        <v>199</v>
      </c>
      <c r="AC1051" s="17"/>
      <c r="AD1051" s="18"/>
      <c r="AE1051" s="34"/>
      <c r="AF1051" s="34"/>
      <c r="AG1051" s="34"/>
      <c r="AH1051" s="34"/>
      <c r="AI1051" s="34"/>
      <c r="AJ1051" s="18"/>
      <c r="AK1051" s="18"/>
      <c r="AL1051" s="18"/>
      <c r="AM1051" s="18"/>
      <c r="AN1051" s="18"/>
      <c r="AO1051" s="18"/>
      <c r="AP1051" s="18"/>
      <c r="AQ1051" s="34"/>
      <c r="AR1051" s="34"/>
      <c r="AS1051" s="34"/>
      <c r="AT1051" s="31"/>
      <c r="AU1051" s="18"/>
      <c r="AV1051" s="18"/>
      <c r="AW1051" s="18"/>
      <c r="AX1051" s="18"/>
    </row>
    <row r="1052" spans="1:50" ht="18.75" customHeight="1" x14ac:dyDescent="0.2">
      <c r="AA1052" s="28" t="s">
        <v>288</v>
      </c>
      <c r="AB1052" s="29" t="s">
        <v>667</v>
      </c>
      <c r="AC1052" s="17"/>
      <c r="AD1052" s="18"/>
      <c r="AE1052" s="34"/>
      <c r="AF1052" s="34"/>
      <c r="AG1052" s="34"/>
      <c r="AH1052" s="34"/>
      <c r="AI1052" s="34"/>
      <c r="AJ1052" s="18"/>
      <c r="AK1052" s="18"/>
      <c r="AL1052" s="18"/>
      <c r="AM1052" s="18"/>
      <c r="AN1052" s="18"/>
      <c r="AO1052" s="18"/>
      <c r="AP1052" s="18"/>
      <c r="AQ1052" s="34"/>
      <c r="AR1052" s="34"/>
      <c r="AS1052" s="34"/>
      <c r="AT1052" s="31"/>
      <c r="AU1052" s="18"/>
      <c r="AV1052" s="18"/>
      <c r="AW1052" s="18"/>
      <c r="AX1052" s="18"/>
    </row>
    <row r="1053" spans="1:50" ht="18.75" customHeight="1" x14ac:dyDescent="0.2">
      <c r="A1053" s="4" t="s">
        <v>55</v>
      </c>
      <c r="B1053" s="4" t="s">
        <v>56</v>
      </c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1" t="s">
        <v>673</v>
      </c>
      <c r="AB1053" s="42" t="s">
        <v>233</v>
      </c>
      <c r="AC1053" s="43" t="s">
        <v>58</v>
      </c>
      <c r="AD1053" s="43">
        <v>121800000</v>
      </c>
      <c r="AE1053" s="44">
        <v>0</v>
      </c>
      <c r="AF1053" s="44">
        <v>0</v>
      </c>
      <c r="AG1053" s="44">
        <v>0</v>
      </c>
      <c r="AH1053" s="44">
        <v>0</v>
      </c>
      <c r="AI1053" s="44">
        <v>0</v>
      </c>
      <c r="AJ1053" s="43">
        <v>121800000</v>
      </c>
      <c r="AK1053" s="44">
        <v>0</v>
      </c>
      <c r="AL1053" s="43">
        <f>AM1053-AGOSTO!AM1023</f>
        <v>3150000</v>
      </c>
      <c r="AM1053" s="43">
        <v>28350000</v>
      </c>
      <c r="AN1053" s="43">
        <v>0</v>
      </c>
      <c r="AO1053" s="43">
        <v>3150000</v>
      </c>
      <c r="AP1053" s="43">
        <v>28350000</v>
      </c>
      <c r="AQ1053" s="44">
        <v>0</v>
      </c>
      <c r="AR1053" s="43">
        <v>3150000</v>
      </c>
      <c r="AS1053" s="43">
        <v>28350000</v>
      </c>
      <c r="AT1053" s="39">
        <f t="shared" ref="AT1053" si="420">AQ1053+AS1053</f>
        <v>28350000</v>
      </c>
      <c r="AU1053" s="18">
        <f>AJ1053-AM1053</f>
        <v>93450000</v>
      </c>
      <c r="AV1053" s="133">
        <f>AM1053-AP1053</f>
        <v>0</v>
      </c>
      <c r="AW1053" s="34">
        <f>AP1053-AT1053</f>
        <v>0</v>
      </c>
      <c r="AX1053" s="123">
        <f>AP1053/AJ1053</f>
        <v>0.23275862068965517</v>
      </c>
    </row>
    <row r="1054" spans="1:50" ht="18.75" customHeight="1" x14ac:dyDescent="0.2">
      <c r="AA1054" s="16"/>
      <c r="AB1054" s="17"/>
      <c r="AC1054" s="17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34"/>
      <c r="AR1054" s="34"/>
      <c r="AS1054" s="34"/>
      <c r="AT1054" s="31"/>
      <c r="AU1054" s="18"/>
      <c r="AV1054" s="18"/>
      <c r="AW1054" s="18"/>
      <c r="AX1054" s="18"/>
    </row>
    <row r="1055" spans="1:50" s="50" customFormat="1" ht="18.75" customHeight="1" x14ac:dyDescent="0.2">
      <c r="B1055" s="77"/>
      <c r="C1055" s="77"/>
      <c r="D1055" s="77"/>
      <c r="E1055" s="77"/>
      <c r="F1055" s="77"/>
      <c r="G1055" s="77"/>
      <c r="H1055" s="77"/>
      <c r="I1055" s="77"/>
      <c r="J1055" s="77"/>
      <c r="K1055" s="77"/>
      <c r="L1055" s="77"/>
      <c r="M1055" s="77"/>
      <c r="N1055" s="77"/>
      <c r="O1055" s="77"/>
      <c r="P1055" s="77"/>
      <c r="Q1055" s="77"/>
      <c r="R1055" s="77"/>
      <c r="S1055" s="77"/>
      <c r="T1055" s="77"/>
      <c r="U1055" s="77"/>
      <c r="V1055" s="77"/>
      <c r="W1055" s="77"/>
      <c r="X1055" s="77"/>
      <c r="Y1055" s="77"/>
      <c r="Z1055" s="77"/>
      <c r="AA1055" s="46"/>
      <c r="AB1055" s="47" t="s">
        <v>674</v>
      </c>
      <c r="AC1055" s="47"/>
      <c r="AD1055" s="48">
        <f t="shared" ref="AD1055:AS1055" si="421">SUM(AD837:AD1054)</f>
        <v>18199312591</v>
      </c>
      <c r="AE1055" s="48">
        <f t="shared" si="421"/>
        <v>18620925441.970001</v>
      </c>
      <c r="AF1055" s="49">
        <f t="shared" si="421"/>
        <v>0</v>
      </c>
      <c r="AG1055" s="48">
        <f t="shared" si="421"/>
        <v>14082852871.23</v>
      </c>
      <c r="AH1055" s="48">
        <f t="shared" si="421"/>
        <v>13782852871.23</v>
      </c>
      <c r="AI1055" s="48">
        <f t="shared" si="421"/>
        <v>18920925441.970001</v>
      </c>
      <c r="AJ1055" s="48">
        <f t="shared" si="421"/>
        <v>37120238032.969994</v>
      </c>
      <c r="AK1055" s="49">
        <f t="shared" si="421"/>
        <v>0</v>
      </c>
      <c r="AL1055" s="48">
        <f t="shared" si="421"/>
        <v>3759733891.4499998</v>
      </c>
      <c r="AM1055" s="48">
        <f t="shared" si="421"/>
        <v>18425799082.379997</v>
      </c>
      <c r="AN1055" s="48">
        <f t="shared" si="421"/>
        <v>4533333.33</v>
      </c>
      <c r="AO1055" s="48">
        <f t="shared" si="421"/>
        <v>1918887345.96</v>
      </c>
      <c r="AP1055" s="48">
        <f t="shared" si="421"/>
        <v>11829741665.01</v>
      </c>
      <c r="AQ1055" s="121">
        <f t="shared" si="421"/>
        <v>303743720</v>
      </c>
      <c r="AR1055" s="121">
        <f t="shared" si="421"/>
        <v>888977932.68000007</v>
      </c>
      <c r="AS1055" s="121">
        <f t="shared" si="421"/>
        <v>4537990843.7999992</v>
      </c>
      <c r="AT1055" s="108">
        <f>AQ1055+AS1055</f>
        <v>4841734563.7999992</v>
      </c>
      <c r="AU1055" s="48">
        <f>SUM(AU837:AU1054)</f>
        <v>18694438950.59</v>
      </c>
      <c r="AV1055" s="48">
        <f>SUM(AV837:AV1054)</f>
        <v>6596057417.3699999</v>
      </c>
      <c r="AW1055" s="48">
        <f>SUM(AW837:AW1054)</f>
        <v>6988007101.2099991</v>
      </c>
      <c r="AX1055" s="24">
        <f>AP1055/AJ1055</f>
        <v>0.31868711764463603</v>
      </c>
    </row>
    <row r="1056" spans="1:50" s="79" customFormat="1" ht="18.75" customHeight="1" x14ac:dyDescent="0.2">
      <c r="B1056" s="80"/>
      <c r="C1056" s="80"/>
      <c r="D1056" s="80"/>
      <c r="E1056" s="80"/>
      <c r="F1056" s="80"/>
      <c r="G1056" s="80"/>
      <c r="H1056" s="80"/>
      <c r="I1056" s="80"/>
      <c r="J1056" s="80"/>
      <c r="K1056" s="80"/>
      <c r="L1056" s="80"/>
      <c r="M1056" s="80"/>
      <c r="N1056" s="80"/>
      <c r="O1056" s="80"/>
      <c r="P1056" s="80"/>
      <c r="Q1056" s="80"/>
      <c r="R1056" s="80"/>
      <c r="S1056" s="80"/>
      <c r="T1056" s="80"/>
      <c r="U1056" s="80"/>
      <c r="V1056" s="80"/>
      <c r="W1056" s="80"/>
      <c r="X1056" s="80"/>
      <c r="Y1056" s="80"/>
      <c r="Z1056" s="80"/>
      <c r="AA1056" s="81"/>
      <c r="AB1056" s="82"/>
      <c r="AC1056" s="82"/>
      <c r="AD1056" s="83"/>
      <c r="AE1056" s="83"/>
      <c r="AF1056" s="83"/>
      <c r="AG1056" s="83"/>
      <c r="AH1056" s="83"/>
      <c r="AI1056" s="83"/>
      <c r="AJ1056" s="83"/>
      <c r="AK1056" s="83"/>
      <c r="AL1056" s="83"/>
      <c r="AM1056" s="83"/>
      <c r="AN1056" s="83"/>
      <c r="AO1056" s="83"/>
      <c r="AP1056" s="83"/>
      <c r="AQ1056" s="83"/>
      <c r="AR1056" s="83"/>
      <c r="AS1056" s="83"/>
      <c r="AT1056" s="83"/>
      <c r="AU1056" s="83"/>
      <c r="AV1056" s="83"/>
      <c r="AW1056" s="83"/>
      <c r="AX1056" s="83"/>
    </row>
    <row r="1057" spans="1:50" s="25" customFormat="1" ht="18.75" customHeight="1" x14ac:dyDescent="0.2">
      <c r="B1057" s="71"/>
      <c r="C1057" s="71"/>
      <c r="D1057" s="71"/>
      <c r="E1057" s="71"/>
      <c r="F1057" s="71"/>
      <c r="G1057" s="71"/>
      <c r="H1057" s="71"/>
      <c r="I1057" s="71"/>
      <c r="J1057" s="71"/>
      <c r="K1057" s="71"/>
      <c r="L1057" s="71"/>
      <c r="M1057" s="71"/>
      <c r="N1057" s="71"/>
      <c r="O1057" s="71"/>
      <c r="P1057" s="71"/>
      <c r="Q1057" s="71"/>
      <c r="R1057" s="71"/>
      <c r="S1057" s="71"/>
      <c r="T1057" s="71"/>
      <c r="U1057" s="71"/>
      <c r="V1057" s="71"/>
      <c r="W1057" s="71"/>
      <c r="X1057" s="71"/>
      <c r="Y1057" s="71"/>
      <c r="Z1057" s="71"/>
      <c r="AA1057" s="66"/>
      <c r="AB1057" s="21" t="s">
        <v>675</v>
      </c>
      <c r="AC1057" s="67"/>
      <c r="AD1057" s="63"/>
      <c r="AE1057" s="63"/>
      <c r="AF1057" s="63"/>
      <c r="AG1057" s="63"/>
      <c r="AH1057" s="63"/>
      <c r="AI1057" s="63"/>
      <c r="AJ1057" s="63"/>
      <c r="AK1057" s="63"/>
      <c r="AL1057" s="63"/>
      <c r="AM1057" s="63"/>
      <c r="AN1057" s="63"/>
      <c r="AO1057" s="63"/>
      <c r="AP1057" s="63"/>
      <c r="AQ1057" s="63"/>
      <c r="AR1057" s="63"/>
      <c r="AS1057" s="63"/>
      <c r="AT1057" s="63"/>
      <c r="AU1057" s="63"/>
      <c r="AV1057" s="63"/>
      <c r="AW1057" s="63"/>
      <c r="AX1057" s="63"/>
    </row>
    <row r="1058" spans="1:50" ht="18.75" customHeight="1" x14ac:dyDescent="0.2">
      <c r="AA1058" s="16"/>
      <c r="AB1058" s="29" t="s">
        <v>676</v>
      </c>
      <c r="AC1058" s="17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</row>
    <row r="1059" spans="1:50" ht="18.75" customHeight="1" x14ac:dyDescent="0.2">
      <c r="AA1059" s="16"/>
      <c r="AB1059" s="29" t="s">
        <v>286</v>
      </c>
      <c r="AC1059" s="17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</row>
    <row r="1060" spans="1:50" ht="18.75" customHeight="1" x14ac:dyDescent="0.2">
      <c r="AA1060" s="16"/>
      <c r="AB1060" s="29" t="s">
        <v>179</v>
      </c>
      <c r="AC1060" s="17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</row>
    <row r="1061" spans="1:50" ht="18.75" customHeight="1" x14ac:dyDescent="0.2">
      <c r="AA1061" s="16"/>
      <c r="AB1061" s="29" t="s">
        <v>181</v>
      </c>
      <c r="AC1061" s="17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</row>
    <row r="1062" spans="1:50" ht="18.75" customHeight="1" x14ac:dyDescent="0.2">
      <c r="AA1062" s="16"/>
      <c r="AB1062" s="29" t="s">
        <v>187</v>
      </c>
      <c r="AC1062" s="17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30"/>
      <c r="AU1062" s="18"/>
      <c r="AV1062" s="18"/>
      <c r="AW1062" s="18"/>
      <c r="AX1062" s="18"/>
    </row>
    <row r="1063" spans="1:50" ht="18.75" customHeight="1" x14ac:dyDescent="0.2">
      <c r="AA1063" s="28" t="s">
        <v>288</v>
      </c>
      <c r="AB1063" s="29" t="s">
        <v>292</v>
      </c>
      <c r="AC1063" s="17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30"/>
      <c r="AU1063" s="18"/>
      <c r="AV1063" s="18"/>
      <c r="AW1063" s="18"/>
      <c r="AX1063" s="18"/>
    </row>
    <row r="1064" spans="1:50" ht="18.75" customHeight="1" x14ac:dyDescent="0.2">
      <c r="A1064" s="4" t="s">
        <v>55</v>
      </c>
      <c r="B1064" s="4" t="s">
        <v>56</v>
      </c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1" t="s">
        <v>677</v>
      </c>
      <c r="AB1064" s="42" t="s">
        <v>233</v>
      </c>
      <c r="AC1064" s="43" t="s">
        <v>58</v>
      </c>
      <c r="AD1064" s="43">
        <v>10000000</v>
      </c>
      <c r="AE1064" s="44">
        <v>0</v>
      </c>
      <c r="AF1064" s="44">
        <v>0</v>
      </c>
      <c r="AG1064" s="44">
        <v>0</v>
      </c>
      <c r="AH1064" s="43">
        <v>10000000</v>
      </c>
      <c r="AI1064" s="43">
        <f>AE1064-AF1064+AG1064-AH1064</f>
        <v>-10000000</v>
      </c>
      <c r="AJ1064" s="43">
        <f>AD1064+AI1064</f>
        <v>0</v>
      </c>
      <c r="AK1064" s="44">
        <v>0</v>
      </c>
      <c r="AL1064" s="44">
        <v>0</v>
      </c>
      <c r="AM1064" s="44">
        <v>0</v>
      </c>
      <c r="AN1064" s="44">
        <v>0</v>
      </c>
      <c r="AO1064" s="44">
        <v>0</v>
      </c>
      <c r="AP1064" s="44">
        <v>0</v>
      </c>
      <c r="AQ1064" s="44">
        <v>0</v>
      </c>
      <c r="AR1064" s="44">
        <v>0</v>
      </c>
      <c r="AS1064" s="44">
        <v>0</v>
      </c>
      <c r="AT1064" s="40">
        <f t="shared" ref="AT1064" si="422">AQ1064+AS1064</f>
        <v>0</v>
      </c>
      <c r="AU1064" s="18">
        <f>AJ1064-AM1064</f>
        <v>0</v>
      </c>
      <c r="AV1064" s="133">
        <f>AM1064-AP1064</f>
        <v>0</v>
      </c>
      <c r="AW1064" s="34">
        <f>AP1064-AT1064</f>
        <v>0</v>
      </c>
      <c r="AX1064" s="123">
        <v>0</v>
      </c>
    </row>
    <row r="1065" spans="1:50" ht="25.5" x14ac:dyDescent="0.2">
      <c r="AA1065" s="28" t="s">
        <v>288</v>
      </c>
      <c r="AB1065" s="29" t="s">
        <v>678</v>
      </c>
      <c r="AC1065" s="17"/>
      <c r="AD1065" s="18"/>
      <c r="AE1065" s="18"/>
      <c r="AF1065" s="18"/>
      <c r="AG1065" s="18"/>
      <c r="AH1065" s="18"/>
      <c r="AI1065" s="18"/>
      <c r="AJ1065" s="18"/>
      <c r="AK1065" s="34"/>
      <c r="AL1065" s="34"/>
      <c r="AM1065" s="34"/>
      <c r="AN1065" s="34"/>
      <c r="AO1065" s="34"/>
      <c r="AP1065" s="34"/>
      <c r="AQ1065" s="34"/>
      <c r="AR1065" s="34"/>
      <c r="AS1065" s="34"/>
      <c r="AT1065" s="40"/>
      <c r="AU1065" s="18"/>
      <c r="AV1065" s="34"/>
      <c r="AW1065" s="34"/>
      <c r="AX1065" s="18"/>
    </row>
    <row r="1066" spans="1:50" x14ac:dyDescent="0.2">
      <c r="A1066" s="4" t="s">
        <v>55</v>
      </c>
      <c r="B1066" s="4" t="s">
        <v>56</v>
      </c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1" t="s">
        <v>981</v>
      </c>
      <c r="AB1066" s="42" t="s">
        <v>233</v>
      </c>
      <c r="AC1066" s="43" t="s">
        <v>58</v>
      </c>
      <c r="AD1066" s="43">
        <v>14000000</v>
      </c>
      <c r="AE1066" s="44">
        <v>0</v>
      </c>
      <c r="AF1066" s="44">
        <v>0</v>
      </c>
      <c r="AG1066" s="44">
        <v>0</v>
      </c>
      <c r="AH1066" s="44">
        <v>0</v>
      </c>
      <c r="AI1066" s="44">
        <v>0</v>
      </c>
      <c r="AJ1066" s="43">
        <v>14000000</v>
      </c>
      <c r="AK1066" s="44">
        <v>0</v>
      </c>
      <c r="AL1066" s="43">
        <v>11566485</v>
      </c>
      <c r="AM1066" s="43">
        <v>11566485</v>
      </c>
      <c r="AN1066" s="44">
        <v>0</v>
      </c>
      <c r="AO1066" s="44">
        <v>0</v>
      </c>
      <c r="AP1066" s="44">
        <v>0</v>
      </c>
      <c r="AQ1066" s="44">
        <v>0</v>
      </c>
      <c r="AR1066" s="44">
        <v>0</v>
      </c>
      <c r="AS1066" s="44">
        <v>0</v>
      </c>
      <c r="AT1066" s="40">
        <f t="shared" ref="AT1066:AT1097" si="423">AQ1066+AS1066</f>
        <v>0</v>
      </c>
      <c r="AU1066" s="18">
        <f>AJ1066-AM1066</f>
        <v>2433515</v>
      </c>
      <c r="AV1066" s="18">
        <f>AM1066-AP1066</f>
        <v>11566485</v>
      </c>
      <c r="AW1066" s="34">
        <f>AP1066-AT1066</f>
        <v>0</v>
      </c>
      <c r="AX1066" s="123">
        <f>AP1066/AJ1066</f>
        <v>0</v>
      </c>
    </row>
    <row r="1067" spans="1:50" x14ac:dyDescent="0.2">
      <c r="AA1067" s="73" t="s">
        <v>288</v>
      </c>
      <c r="AB1067" s="74" t="s">
        <v>292</v>
      </c>
      <c r="AC1067" s="17"/>
      <c r="AD1067" s="18"/>
      <c r="AE1067" s="34"/>
      <c r="AF1067" s="34"/>
      <c r="AG1067" s="34"/>
      <c r="AH1067" s="34"/>
      <c r="AI1067" s="34"/>
      <c r="AJ1067" s="18"/>
      <c r="AK1067" s="34"/>
      <c r="AL1067" s="34"/>
      <c r="AM1067" s="34"/>
      <c r="AN1067" s="34"/>
      <c r="AO1067" s="34"/>
      <c r="AP1067" s="34"/>
      <c r="AQ1067" s="18"/>
      <c r="AR1067" s="18"/>
      <c r="AS1067" s="18"/>
      <c r="AT1067" s="30"/>
      <c r="AU1067" s="18"/>
      <c r="AV1067" s="18"/>
      <c r="AW1067" s="18"/>
      <c r="AX1067" s="18"/>
    </row>
    <row r="1068" spans="1:50" x14ac:dyDescent="0.2">
      <c r="AA1068" s="41" t="s">
        <v>1374</v>
      </c>
      <c r="AB1068" s="42" t="s">
        <v>233</v>
      </c>
      <c r="AC1068" s="17"/>
      <c r="AD1068" s="18">
        <v>0</v>
      </c>
      <c r="AE1068" s="34">
        <v>0</v>
      </c>
      <c r="AF1068" s="34">
        <v>0</v>
      </c>
      <c r="AG1068" s="18">
        <v>5000000</v>
      </c>
      <c r="AH1068" s="34">
        <v>0</v>
      </c>
      <c r="AI1068" s="43">
        <f>AE1068-AF1068+AG1068-AH1068</f>
        <v>5000000</v>
      </c>
      <c r="AJ1068" s="43">
        <f>AD1068+AI1068</f>
        <v>5000000</v>
      </c>
      <c r="AK1068" s="34">
        <v>0</v>
      </c>
      <c r="AL1068" s="34">
        <v>0</v>
      </c>
      <c r="AM1068" s="34">
        <v>0</v>
      </c>
      <c r="AN1068" s="34">
        <v>0</v>
      </c>
      <c r="AO1068" s="34">
        <v>0</v>
      </c>
      <c r="AP1068" s="34">
        <v>0</v>
      </c>
      <c r="AQ1068" s="34">
        <v>0</v>
      </c>
      <c r="AR1068" s="34">
        <v>0</v>
      </c>
      <c r="AS1068" s="34">
        <v>0</v>
      </c>
      <c r="AT1068" s="40">
        <f t="shared" ref="AT1068" si="424">AQ1068+AS1068</f>
        <v>0</v>
      </c>
      <c r="AU1068" s="18">
        <f>AJ1068-AM1068</f>
        <v>5000000</v>
      </c>
      <c r="AV1068" s="18">
        <f>AM1068-AP1068</f>
        <v>0</v>
      </c>
      <c r="AW1068" s="34">
        <f>AP1068-AT1068</f>
        <v>0</v>
      </c>
      <c r="AX1068" s="123">
        <f>AP1068/AJ1068</f>
        <v>0</v>
      </c>
    </row>
    <row r="1069" spans="1:50" x14ac:dyDescent="0.2">
      <c r="AA1069" s="16"/>
      <c r="AB1069" s="17"/>
      <c r="AC1069" s="17"/>
      <c r="AD1069" s="18"/>
      <c r="AE1069" s="34"/>
      <c r="AF1069" s="34"/>
      <c r="AG1069" s="34"/>
      <c r="AH1069" s="34"/>
      <c r="AI1069" s="34"/>
      <c r="AJ1069" s="18"/>
      <c r="AK1069" s="34"/>
      <c r="AL1069" s="34"/>
      <c r="AM1069" s="34"/>
      <c r="AN1069" s="34"/>
      <c r="AO1069" s="34"/>
      <c r="AP1069" s="34"/>
      <c r="AQ1069" s="18"/>
      <c r="AR1069" s="18"/>
      <c r="AS1069" s="18"/>
      <c r="AT1069" s="30"/>
      <c r="AU1069" s="18"/>
      <c r="AV1069" s="18"/>
      <c r="AW1069" s="18"/>
      <c r="AX1069" s="18"/>
    </row>
    <row r="1070" spans="1:50" x14ac:dyDescent="0.2">
      <c r="AA1070" s="16"/>
      <c r="AB1070" s="29" t="s">
        <v>189</v>
      </c>
      <c r="AC1070" s="17"/>
      <c r="AD1070" s="18"/>
      <c r="AE1070" s="34"/>
      <c r="AF1070" s="34"/>
      <c r="AG1070" s="34"/>
      <c r="AH1070" s="34"/>
      <c r="AI1070" s="34"/>
      <c r="AJ1070" s="18"/>
      <c r="AK1070" s="34"/>
      <c r="AL1070" s="34"/>
      <c r="AM1070" s="34"/>
      <c r="AN1070" s="34"/>
      <c r="AO1070" s="34"/>
      <c r="AP1070" s="34"/>
      <c r="AQ1070" s="18"/>
      <c r="AR1070" s="18"/>
      <c r="AS1070" s="18"/>
      <c r="AT1070" s="30"/>
      <c r="AU1070" s="18"/>
      <c r="AV1070" s="18"/>
      <c r="AW1070" s="18"/>
      <c r="AX1070" s="18"/>
    </row>
    <row r="1071" spans="1:50" ht="25.5" x14ac:dyDescent="0.2">
      <c r="AA1071" s="16"/>
      <c r="AB1071" s="29" t="s">
        <v>197</v>
      </c>
      <c r="AC1071" s="17"/>
      <c r="AD1071" s="18"/>
      <c r="AE1071" s="34"/>
      <c r="AF1071" s="34"/>
      <c r="AG1071" s="34"/>
      <c r="AH1071" s="34"/>
      <c r="AI1071" s="34"/>
      <c r="AJ1071" s="18"/>
      <c r="AK1071" s="34"/>
      <c r="AL1071" s="34"/>
      <c r="AM1071" s="34"/>
      <c r="AN1071" s="34"/>
      <c r="AO1071" s="34"/>
      <c r="AP1071" s="34"/>
      <c r="AQ1071" s="18"/>
      <c r="AR1071" s="18"/>
      <c r="AS1071" s="18"/>
      <c r="AT1071" s="30"/>
      <c r="AU1071" s="18"/>
      <c r="AV1071" s="18"/>
      <c r="AW1071" s="18"/>
      <c r="AX1071" s="18"/>
    </row>
    <row r="1072" spans="1:50" x14ac:dyDescent="0.2">
      <c r="AA1072" s="28" t="s">
        <v>288</v>
      </c>
      <c r="AB1072" s="29" t="s">
        <v>292</v>
      </c>
      <c r="AC1072" s="17"/>
      <c r="AD1072" s="18"/>
      <c r="AE1072" s="34"/>
      <c r="AF1072" s="34"/>
      <c r="AG1072" s="34"/>
      <c r="AH1072" s="34"/>
      <c r="AI1072" s="34"/>
      <c r="AJ1072" s="18"/>
      <c r="AK1072" s="34"/>
      <c r="AL1072" s="34"/>
      <c r="AM1072" s="34"/>
      <c r="AN1072" s="34"/>
      <c r="AO1072" s="34"/>
      <c r="AP1072" s="34"/>
      <c r="AQ1072" s="18"/>
      <c r="AR1072" s="18"/>
      <c r="AS1072" s="18"/>
      <c r="AT1072" s="30"/>
      <c r="AU1072" s="18"/>
      <c r="AV1072" s="18"/>
      <c r="AW1072" s="18"/>
      <c r="AX1072" s="18"/>
    </row>
    <row r="1073" spans="1:50" x14ac:dyDescent="0.2">
      <c r="A1073" s="4" t="s">
        <v>55</v>
      </c>
      <c r="B1073" s="4" t="s">
        <v>56</v>
      </c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1" t="s">
        <v>680</v>
      </c>
      <c r="AB1073" s="42" t="s">
        <v>233</v>
      </c>
      <c r="AC1073" s="43" t="s">
        <v>58</v>
      </c>
      <c r="AD1073" s="43">
        <v>90000000</v>
      </c>
      <c r="AE1073" s="44">
        <v>0</v>
      </c>
      <c r="AF1073" s="44">
        <v>0</v>
      </c>
      <c r="AG1073" s="44">
        <v>0</v>
      </c>
      <c r="AH1073" s="43">
        <v>90000000</v>
      </c>
      <c r="AI1073" s="43">
        <f>AE1073-AF1073+AG1073-AH1073</f>
        <v>-90000000</v>
      </c>
      <c r="AJ1073" s="43">
        <f>AD1073+AI1073</f>
        <v>0</v>
      </c>
      <c r="AK1073" s="44">
        <v>0</v>
      </c>
      <c r="AL1073" s="44">
        <v>0</v>
      </c>
      <c r="AM1073" s="44">
        <v>0</v>
      </c>
      <c r="AN1073" s="44">
        <v>0</v>
      </c>
      <c r="AO1073" s="44">
        <v>0</v>
      </c>
      <c r="AP1073" s="44">
        <v>0</v>
      </c>
      <c r="AQ1073" s="44">
        <v>0</v>
      </c>
      <c r="AR1073" s="44">
        <v>0</v>
      </c>
      <c r="AS1073" s="44">
        <v>0</v>
      </c>
      <c r="AT1073" s="40">
        <f t="shared" ref="AT1073" si="425">AQ1073+AS1073</f>
        <v>0</v>
      </c>
      <c r="AU1073" s="18">
        <f>AJ1073-AM1073</f>
        <v>0</v>
      </c>
      <c r="AV1073" s="133">
        <f>AM1073-AP1073</f>
        <v>0</v>
      </c>
      <c r="AW1073" s="34">
        <f>AP1073-AT1073</f>
        <v>0</v>
      </c>
      <c r="AX1073" s="123">
        <v>0</v>
      </c>
    </row>
    <row r="1074" spans="1:50" ht="25.5" x14ac:dyDescent="0.2">
      <c r="AA1074" s="28" t="s">
        <v>288</v>
      </c>
      <c r="AB1074" s="29" t="s">
        <v>678</v>
      </c>
      <c r="AC1074" s="17"/>
      <c r="AD1074" s="18"/>
      <c r="AE1074" s="34"/>
      <c r="AF1074" s="34"/>
      <c r="AG1074" s="34"/>
      <c r="AH1074" s="34"/>
      <c r="AI1074" s="34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30"/>
      <c r="AU1074" s="18"/>
      <c r="AV1074" s="18"/>
      <c r="AW1074" s="18"/>
      <c r="AX1074" s="18"/>
    </row>
    <row r="1075" spans="1:50" x14ac:dyDescent="0.2">
      <c r="A1075" s="4" t="s">
        <v>55</v>
      </c>
      <c r="B1075" s="4" t="s">
        <v>56</v>
      </c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1" t="s">
        <v>681</v>
      </c>
      <c r="AB1075" s="42" t="s">
        <v>233</v>
      </c>
      <c r="AC1075" s="43" t="s">
        <v>58</v>
      </c>
      <c r="AD1075" s="43">
        <v>4085500000</v>
      </c>
      <c r="AE1075" s="44">
        <v>0</v>
      </c>
      <c r="AF1075" s="44">
        <v>0</v>
      </c>
      <c r="AG1075" s="43">
        <v>2080000000</v>
      </c>
      <c r="AH1075" s="43">
        <f>1800000000+1856300000+210000000+60000000</f>
        <v>3926300000</v>
      </c>
      <c r="AI1075" s="43">
        <f>AE1075-AF1075+AG1075-AH1075</f>
        <v>-1846300000</v>
      </c>
      <c r="AJ1075" s="43">
        <f>AD1075+AI1075</f>
        <v>2239200000</v>
      </c>
      <c r="AK1075" s="44">
        <v>0</v>
      </c>
      <c r="AL1075" s="43">
        <v>193650000</v>
      </c>
      <c r="AM1075" s="43">
        <v>1652150000</v>
      </c>
      <c r="AN1075" s="43">
        <v>0</v>
      </c>
      <c r="AO1075" s="43">
        <v>247750000</v>
      </c>
      <c r="AP1075" s="43">
        <v>1641500000</v>
      </c>
      <c r="AQ1075" s="43">
        <v>39246667</v>
      </c>
      <c r="AR1075" s="43">
        <v>125133333</v>
      </c>
      <c r="AS1075" s="43">
        <v>866977865.33000004</v>
      </c>
      <c r="AT1075" s="111">
        <f t="shared" ref="AT1075" si="426">AQ1075+AS1075</f>
        <v>906224532.33000004</v>
      </c>
      <c r="AU1075" s="18">
        <f>AJ1075-AM1075</f>
        <v>587050000</v>
      </c>
      <c r="AV1075" s="110">
        <f>AM1075-AP1075</f>
        <v>10650000</v>
      </c>
      <c r="AW1075" s="18">
        <f>AP1075-AT1075</f>
        <v>735275467.66999996</v>
      </c>
      <c r="AX1075" s="123">
        <f>AP1075/AJ1075</f>
        <v>0.73307431225437658</v>
      </c>
    </row>
    <row r="1076" spans="1:50" ht="25.5" x14ac:dyDescent="0.2">
      <c r="AA1076" s="28" t="s">
        <v>288</v>
      </c>
      <c r="AB1076" s="29" t="s">
        <v>682</v>
      </c>
      <c r="AC1076" s="17"/>
      <c r="AD1076" s="18"/>
      <c r="AE1076" s="34"/>
      <c r="AF1076" s="34"/>
      <c r="AG1076" s="34"/>
      <c r="AH1076" s="34"/>
      <c r="AI1076" s="34"/>
      <c r="AJ1076" s="18"/>
      <c r="AK1076" s="34"/>
      <c r="AL1076" s="18"/>
      <c r="AM1076" s="18"/>
      <c r="AN1076" s="18"/>
      <c r="AO1076" s="18"/>
      <c r="AP1076" s="18"/>
      <c r="AQ1076" s="18"/>
      <c r="AR1076" s="18"/>
      <c r="AS1076" s="18"/>
      <c r="AT1076" s="31"/>
      <c r="AU1076" s="18"/>
      <c r="AV1076" s="18"/>
      <c r="AW1076" s="18"/>
      <c r="AX1076" s="18"/>
    </row>
    <row r="1077" spans="1:50" x14ac:dyDescent="0.2">
      <c r="A1077" s="4" t="s">
        <v>55</v>
      </c>
      <c r="B1077" s="4" t="s">
        <v>56</v>
      </c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1" t="s">
        <v>683</v>
      </c>
      <c r="AB1077" s="42" t="s">
        <v>233</v>
      </c>
      <c r="AC1077" s="43" t="s">
        <v>58</v>
      </c>
      <c r="AD1077" s="43">
        <v>467600000</v>
      </c>
      <c r="AE1077" s="44">
        <v>0</v>
      </c>
      <c r="AF1077" s="44">
        <v>0</v>
      </c>
      <c r="AG1077" s="43">
        <f>2580000000+60000000</f>
        <v>2640000000</v>
      </c>
      <c r="AH1077" s="43">
        <v>2240000000</v>
      </c>
      <c r="AI1077" s="43">
        <f>AE1077-AF1077+AG1077-AH1077</f>
        <v>400000000</v>
      </c>
      <c r="AJ1077" s="43">
        <f>AD1077+AI1077</f>
        <v>867600000</v>
      </c>
      <c r="AK1077" s="44">
        <v>0</v>
      </c>
      <c r="AL1077" s="43">
        <v>143090000</v>
      </c>
      <c r="AM1077" s="43">
        <v>774590000</v>
      </c>
      <c r="AN1077" s="44">
        <v>0</v>
      </c>
      <c r="AO1077" s="43">
        <v>141090000</v>
      </c>
      <c r="AP1077" s="43">
        <v>702590000</v>
      </c>
      <c r="AQ1077" s="43">
        <v>27816667</v>
      </c>
      <c r="AR1077" s="43">
        <v>67683333</v>
      </c>
      <c r="AS1077" s="43">
        <v>403466666</v>
      </c>
      <c r="AT1077" s="111">
        <f t="shared" ref="AT1077" si="427">AQ1077+AS1077</f>
        <v>431283333</v>
      </c>
      <c r="AU1077" s="18">
        <f>AJ1077-AM1077</f>
        <v>93010000</v>
      </c>
      <c r="AV1077" s="110">
        <f>AM1077-AP1077</f>
        <v>72000000</v>
      </c>
      <c r="AW1077" s="18">
        <f>AP1077-AT1077</f>
        <v>271306667</v>
      </c>
      <c r="AX1077" s="123">
        <f>AP1077/AJ1077</f>
        <v>0.80980866758875059</v>
      </c>
    </row>
    <row r="1078" spans="1:50" ht="25.5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73" t="s">
        <v>288</v>
      </c>
      <c r="AB1078" s="74" t="s">
        <v>197</v>
      </c>
      <c r="AC1078" s="43"/>
      <c r="AD1078" s="43"/>
      <c r="AE1078" s="44"/>
      <c r="AF1078" s="44"/>
      <c r="AG1078" s="43"/>
      <c r="AH1078" s="43"/>
      <c r="AI1078" s="43"/>
      <c r="AJ1078" s="43"/>
      <c r="AK1078" s="44"/>
      <c r="AL1078" s="44"/>
      <c r="AM1078" s="43"/>
      <c r="AN1078" s="44"/>
      <c r="AO1078" s="44"/>
      <c r="AP1078" s="43"/>
      <c r="AQ1078" s="44"/>
      <c r="AR1078" s="114"/>
      <c r="AS1078" s="114"/>
      <c r="AT1078" s="111"/>
      <c r="AU1078" s="18"/>
      <c r="AV1078" s="110"/>
      <c r="AW1078" s="18"/>
      <c r="AX1078" s="123"/>
    </row>
    <row r="1079" spans="1:50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1" t="s">
        <v>305</v>
      </c>
      <c r="AB1079" s="42" t="s">
        <v>233</v>
      </c>
      <c r="AC1079" s="43"/>
      <c r="AD1079" s="44">
        <v>0</v>
      </c>
      <c r="AE1079" s="44">
        <v>0</v>
      </c>
      <c r="AF1079" s="44">
        <v>0</v>
      </c>
      <c r="AG1079" s="43">
        <f>1800000000+1620000000</f>
        <v>3420000000</v>
      </c>
      <c r="AH1079" s="259">
        <v>0</v>
      </c>
      <c r="AI1079" s="43">
        <f>AE1079-AF1079+AG1079-AH1079</f>
        <v>3420000000</v>
      </c>
      <c r="AJ1079" s="43">
        <f>AD1079+AI1079</f>
        <v>3420000000</v>
      </c>
      <c r="AK1079" s="44">
        <v>0</v>
      </c>
      <c r="AL1079" s="44">
        <v>0</v>
      </c>
      <c r="AM1079" s="43">
        <v>2919988003</v>
      </c>
      <c r="AN1079" s="44">
        <v>0</v>
      </c>
      <c r="AO1079" s="44">
        <v>0</v>
      </c>
      <c r="AP1079" s="43">
        <v>2919988003</v>
      </c>
      <c r="AQ1079" s="44">
        <v>0</v>
      </c>
      <c r="AR1079" s="114">
        <v>223997606</v>
      </c>
      <c r="AS1079" s="114">
        <v>2023997606</v>
      </c>
      <c r="AT1079" s="111">
        <f t="shared" ref="AT1079" si="428">AQ1079+AS1079</f>
        <v>2023997606</v>
      </c>
      <c r="AU1079" s="18">
        <f>AJ1079-AM1079</f>
        <v>500011997</v>
      </c>
      <c r="AV1079" s="133">
        <f>AM1079-AP1079</f>
        <v>0</v>
      </c>
      <c r="AW1079" s="18">
        <f>AP1079-AT1079</f>
        <v>895990397</v>
      </c>
      <c r="AX1079" s="123">
        <f>AP1079/AJ1079</f>
        <v>0.85379766169590643</v>
      </c>
    </row>
    <row r="1080" spans="1:50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73" t="s">
        <v>288</v>
      </c>
      <c r="AB1080" s="74" t="s">
        <v>1276</v>
      </c>
      <c r="AC1080" s="43"/>
      <c r="AD1080" s="44"/>
      <c r="AE1080" s="44"/>
      <c r="AF1080" s="44"/>
      <c r="AG1080" s="43"/>
      <c r="AH1080" s="259"/>
      <c r="AI1080" s="43"/>
      <c r="AJ1080" s="43"/>
      <c r="AK1080" s="44"/>
      <c r="AL1080" s="44"/>
      <c r="AM1080" s="43"/>
      <c r="AN1080" s="44"/>
      <c r="AO1080" s="44"/>
      <c r="AP1080" s="43"/>
      <c r="AQ1080" s="44"/>
      <c r="AR1080" s="114"/>
      <c r="AS1080" s="114"/>
      <c r="AT1080" s="111"/>
      <c r="AU1080" s="18"/>
      <c r="AV1080" s="133"/>
      <c r="AW1080" s="34"/>
      <c r="AX1080" s="123"/>
    </row>
    <row r="1081" spans="1:50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1" t="s">
        <v>1277</v>
      </c>
      <c r="AB1081" s="42" t="s">
        <v>233</v>
      </c>
      <c r="AC1081" s="43"/>
      <c r="AD1081" s="44">
        <v>0</v>
      </c>
      <c r="AE1081" s="44">
        <v>0</v>
      </c>
      <c r="AF1081" s="44">
        <v>0</v>
      </c>
      <c r="AG1081" s="43">
        <v>100000000</v>
      </c>
      <c r="AH1081" s="259">
        <v>0</v>
      </c>
      <c r="AI1081" s="43">
        <f>AE1081-AF1081+AG1081-AH1081</f>
        <v>100000000</v>
      </c>
      <c r="AJ1081" s="43">
        <f>AD1081+AI1081</f>
        <v>100000000</v>
      </c>
      <c r="AK1081" s="44">
        <v>0</v>
      </c>
      <c r="AL1081" s="44">
        <v>0</v>
      </c>
      <c r="AM1081" s="43">
        <v>100000000</v>
      </c>
      <c r="AN1081" s="44">
        <v>0</v>
      </c>
      <c r="AO1081" s="44">
        <v>0</v>
      </c>
      <c r="AP1081" s="43">
        <v>100000000</v>
      </c>
      <c r="AQ1081" s="44">
        <v>0</v>
      </c>
      <c r="AR1081" s="44">
        <v>0</v>
      </c>
      <c r="AS1081" s="43">
        <v>50000000</v>
      </c>
      <c r="AT1081" s="39">
        <f t="shared" ref="AT1081" si="429">AQ1081+AS1081</f>
        <v>50000000</v>
      </c>
      <c r="AU1081" s="34">
        <f>AJ1081-AM1081</f>
        <v>0</v>
      </c>
      <c r="AV1081" s="133">
        <f>AM1081-AP1081</f>
        <v>0</v>
      </c>
      <c r="AW1081" s="18">
        <f>AP1081-AT1081</f>
        <v>50000000</v>
      </c>
      <c r="AX1081" s="123">
        <f>AP1081/AJ1081</f>
        <v>1</v>
      </c>
    </row>
    <row r="1082" spans="1:50" x14ac:dyDescent="0.2">
      <c r="AA1082" s="28" t="s">
        <v>288</v>
      </c>
      <c r="AB1082" s="68" t="s">
        <v>684</v>
      </c>
      <c r="AC1082" s="17"/>
      <c r="AD1082" s="18"/>
      <c r="AE1082" s="34"/>
      <c r="AF1082" s="34"/>
      <c r="AG1082" s="34"/>
      <c r="AH1082" s="34"/>
      <c r="AI1082" s="34"/>
      <c r="AJ1082" s="18"/>
      <c r="AK1082" s="34"/>
      <c r="AL1082" s="18"/>
      <c r="AM1082" s="18"/>
      <c r="AN1082" s="34"/>
      <c r="AO1082" s="34"/>
      <c r="AP1082" s="18"/>
      <c r="AQ1082" s="34"/>
      <c r="AR1082" s="34"/>
      <c r="AS1082" s="34"/>
      <c r="AT1082" s="31"/>
      <c r="AU1082" s="18"/>
      <c r="AV1082" s="18"/>
      <c r="AW1082" s="18"/>
      <c r="AX1082" s="18"/>
    </row>
    <row r="1083" spans="1:50" x14ac:dyDescent="0.2">
      <c r="A1083" s="4" t="s">
        <v>55</v>
      </c>
      <c r="B1083" s="4" t="s">
        <v>56</v>
      </c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1" t="s">
        <v>685</v>
      </c>
      <c r="AB1083" s="69" t="s">
        <v>233</v>
      </c>
      <c r="AC1083" s="43" t="s">
        <v>58</v>
      </c>
      <c r="AD1083" s="43">
        <v>6107898530</v>
      </c>
      <c r="AE1083" s="44">
        <v>0</v>
      </c>
      <c r="AF1083" s="44">
        <v>0</v>
      </c>
      <c r="AG1083" s="44">
        <v>0</v>
      </c>
      <c r="AH1083" s="43">
        <f>3080123215+3000000000</f>
        <v>6080123215</v>
      </c>
      <c r="AI1083" s="43">
        <f>AE1083-AF1083+AG1083-AH1083</f>
        <v>-6080123215</v>
      </c>
      <c r="AJ1083" s="43">
        <f>AD1083+AI1083</f>
        <v>27775315</v>
      </c>
      <c r="AK1083" s="44">
        <v>0</v>
      </c>
      <c r="AL1083" s="44">
        <v>0</v>
      </c>
      <c r="AM1083" s="44">
        <v>0</v>
      </c>
      <c r="AN1083" s="44">
        <v>0</v>
      </c>
      <c r="AO1083" s="44">
        <v>0</v>
      </c>
      <c r="AP1083" s="44">
        <v>0</v>
      </c>
      <c r="AQ1083" s="44">
        <v>0</v>
      </c>
      <c r="AR1083" s="44">
        <v>0</v>
      </c>
      <c r="AS1083" s="44">
        <v>0</v>
      </c>
      <c r="AT1083" s="40">
        <f t="shared" ref="AT1083" si="430">AQ1083+AS1083</f>
        <v>0</v>
      </c>
      <c r="AU1083" s="18">
        <f>AJ1083-AM1083</f>
        <v>27775315</v>
      </c>
      <c r="AV1083" s="133">
        <f>AM1083-AP1083</f>
        <v>0</v>
      </c>
      <c r="AW1083" s="34">
        <f>AP1083-AT1083</f>
        <v>0</v>
      </c>
      <c r="AX1083" s="123">
        <f>AP1083/AJ1083</f>
        <v>0</v>
      </c>
    </row>
    <row r="1084" spans="1:50" ht="25.5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73" t="s">
        <v>288</v>
      </c>
      <c r="AB1084" s="82" t="s">
        <v>197</v>
      </c>
      <c r="AC1084" s="43"/>
      <c r="AD1084" s="43"/>
      <c r="AE1084" s="44"/>
      <c r="AF1084" s="44"/>
      <c r="AG1084" s="44"/>
      <c r="AH1084" s="44"/>
      <c r="AI1084" s="44"/>
      <c r="AJ1084" s="43"/>
      <c r="AK1084" s="44"/>
      <c r="AL1084" s="44"/>
      <c r="AM1084" s="44"/>
      <c r="AN1084" s="43"/>
      <c r="AO1084" s="43"/>
      <c r="AP1084" s="44"/>
      <c r="AQ1084" s="44"/>
      <c r="AR1084" s="44"/>
      <c r="AS1084" s="44"/>
      <c r="AT1084" s="40"/>
      <c r="AU1084" s="18"/>
      <c r="AV1084" s="133"/>
      <c r="AW1084" s="34"/>
      <c r="AX1084" s="123"/>
    </row>
    <row r="1085" spans="1:50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1" t="s">
        <v>974</v>
      </c>
      <c r="AB1085" s="69" t="s">
        <v>233</v>
      </c>
      <c r="AC1085" s="43"/>
      <c r="AD1085" s="44">
        <v>0</v>
      </c>
      <c r="AE1085" s="44">
        <v>0</v>
      </c>
      <c r="AF1085" s="44">
        <v>0</v>
      </c>
      <c r="AG1085" s="43">
        <f>2240000000+1080123215</f>
        <v>3320123215</v>
      </c>
      <c r="AH1085" s="43">
        <v>500000000</v>
      </c>
      <c r="AI1085" s="43">
        <f>AE1085-AF1085+AG1085-AH1085</f>
        <v>2820123215</v>
      </c>
      <c r="AJ1085" s="43">
        <f>AD1085+AI1085</f>
        <v>2820123215</v>
      </c>
      <c r="AK1085" s="43">
        <v>0</v>
      </c>
      <c r="AL1085" s="43">
        <v>-315709.62</v>
      </c>
      <c r="AM1085" s="43">
        <v>2456094249.0599999</v>
      </c>
      <c r="AN1085" s="43">
        <v>0</v>
      </c>
      <c r="AO1085" s="43">
        <v>1953651582</v>
      </c>
      <c r="AP1085" s="43">
        <v>2273672159</v>
      </c>
      <c r="AQ1085" s="44">
        <v>0</v>
      </c>
      <c r="AR1085" s="44">
        <v>0</v>
      </c>
      <c r="AS1085" s="44">
        <v>0</v>
      </c>
      <c r="AT1085" s="135">
        <f t="shared" ref="AT1085:AT1086" si="431">AQ1085+AS1085</f>
        <v>0</v>
      </c>
      <c r="AU1085" s="110">
        <f>AJ1085-AM1085</f>
        <v>364028965.94000006</v>
      </c>
      <c r="AV1085" s="18">
        <f>AM1085-AP1085</f>
        <v>182422090.05999994</v>
      </c>
      <c r="AW1085" s="18">
        <f>AP1085-AT1085</f>
        <v>2273672159</v>
      </c>
      <c r="AX1085" s="123">
        <f>AP1085/AJ1085</f>
        <v>0.80623149616531919</v>
      </c>
    </row>
    <row r="1086" spans="1:50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1" t="s">
        <v>1292</v>
      </c>
      <c r="AB1086" s="69" t="s">
        <v>233</v>
      </c>
      <c r="AC1086" s="43"/>
      <c r="AD1086" s="44">
        <v>0</v>
      </c>
      <c r="AE1086" s="44">
        <v>0</v>
      </c>
      <c r="AF1086" s="44">
        <v>0</v>
      </c>
      <c r="AG1086" s="43">
        <v>2000000000</v>
      </c>
      <c r="AH1086" s="43">
        <v>500000000</v>
      </c>
      <c r="AI1086" s="43">
        <f>AE1086-AF1086+AG1086-AH1086</f>
        <v>1500000000</v>
      </c>
      <c r="AJ1086" s="43">
        <f>AD1086+AI1086</f>
        <v>1500000000</v>
      </c>
      <c r="AK1086" s="44">
        <v>0</v>
      </c>
      <c r="AL1086" s="44">
        <v>0</v>
      </c>
      <c r="AM1086" s="44">
        <v>0</v>
      </c>
      <c r="AN1086" s="44">
        <v>0</v>
      </c>
      <c r="AO1086" s="44">
        <v>0</v>
      </c>
      <c r="AP1086" s="44">
        <v>0</v>
      </c>
      <c r="AQ1086" s="44">
        <v>0</v>
      </c>
      <c r="AR1086" s="44">
        <v>0</v>
      </c>
      <c r="AS1086" s="44">
        <v>0</v>
      </c>
      <c r="AT1086" s="135">
        <f t="shared" si="431"/>
        <v>0</v>
      </c>
      <c r="AU1086" s="110">
        <f>AJ1086-AM1086</f>
        <v>1500000000</v>
      </c>
      <c r="AV1086" s="34">
        <f>AM1086-AP1086</f>
        <v>0</v>
      </c>
      <c r="AW1086" s="18">
        <f>AP1086-AT1086</f>
        <v>0</v>
      </c>
      <c r="AX1086" s="123">
        <f>AP1086/AJ1086</f>
        <v>0</v>
      </c>
    </row>
    <row r="1087" spans="1:50" x14ac:dyDescent="0.2">
      <c r="AA1087" s="28" t="s">
        <v>288</v>
      </c>
      <c r="AB1087" s="29" t="s">
        <v>306</v>
      </c>
      <c r="AC1087" s="17"/>
      <c r="AD1087" s="18"/>
      <c r="AE1087" s="34"/>
      <c r="AF1087" s="34"/>
      <c r="AG1087" s="34"/>
      <c r="AH1087" s="34"/>
      <c r="AI1087" s="34"/>
      <c r="AJ1087" s="18"/>
      <c r="AK1087" s="34"/>
      <c r="AL1087" s="18"/>
      <c r="AM1087" s="18"/>
      <c r="AN1087" s="34"/>
      <c r="AO1087" s="34"/>
      <c r="AP1087" s="18"/>
      <c r="AQ1087" s="34"/>
      <c r="AR1087" s="34"/>
      <c r="AS1087" s="34"/>
      <c r="AT1087" s="31"/>
      <c r="AU1087" s="18"/>
      <c r="AV1087" s="34"/>
      <c r="AW1087" s="18"/>
      <c r="AX1087" s="18"/>
    </row>
    <row r="1088" spans="1:50" x14ac:dyDescent="0.2">
      <c r="A1088" s="4" t="s">
        <v>55</v>
      </c>
      <c r="B1088" s="4" t="s">
        <v>56</v>
      </c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1" t="s">
        <v>307</v>
      </c>
      <c r="AB1088" s="42" t="s">
        <v>233</v>
      </c>
      <c r="AC1088" s="43" t="s">
        <v>58</v>
      </c>
      <c r="AD1088" s="43">
        <v>147500000</v>
      </c>
      <c r="AE1088" s="44">
        <v>0</v>
      </c>
      <c r="AF1088" s="44">
        <v>0</v>
      </c>
      <c r="AG1088" s="43">
        <v>6300000</v>
      </c>
      <c r="AH1088" s="44">
        <v>0</v>
      </c>
      <c r="AI1088" s="43">
        <f>AE1088-AF1088+AG1088-AH1088</f>
        <v>6300000</v>
      </c>
      <c r="AJ1088" s="43">
        <f>AD1088+AI1088</f>
        <v>153800000</v>
      </c>
      <c r="AK1088" s="44">
        <v>0</v>
      </c>
      <c r="AL1088" s="43">
        <v>8026667</v>
      </c>
      <c r="AM1088" s="43">
        <v>150026667</v>
      </c>
      <c r="AN1088" s="44">
        <v>0</v>
      </c>
      <c r="AO1088" s="43">
        <v>8026667</v>
      </c>
      <c r="AP1088" s="43">
        <v>150026667</v>
      </c>
      <c r="AQ1088" s="43">
        <v>0</v>
      </c>
      <c r="AR1088" s="114">
        <v>13220000</v>
      </c>
      <c r="AS1088" s="114">
        <v>99036667</v>
      </c>
      <c r="AT1088" s="111">
        <f t="shared" ref="AT1088" si="432">AQ1088+AS1088</f>
        <v>99036667</v>
      </c>
      <c r="AU1088" s="110">
        <f>AJ1088-AM1088</f>
        <v>3773333</v>
      </c>
      <c r="AV1088" s="133">
        <f>AM1088-AP1088</f>
        <v>0</v>
      </c>
      <c r="AW1088" s="18">
        <f>AP1088-AT1088</f>
        <v>50990000</v>
      </c>
      <c r="AX1088" s="123">
        <f>AP1088/AJ1088</f>
        <v>0.97546597529258783</v>
      </c>
    </row>
    <row r="1089" spans="1:50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73" t="s">
        <v>288</v>
      </c>
      <c r="AB1089" s="74" t="s">
        <v>292</v>
      </c>
      <c r="AC1089" s="43"/>
      <c r="AD1089" s="43"/>
      <c r="AE1089" s="44"/>
      <c r="AF1089" s="44"/>
      <c r="AG1089" s="43"/>
      <c r="AH1089" s="44"/>
      <c r="AI1089" s="43"/>
      <c r="AJ1089" s="43"/>
      <c r="AK1089" s="44"/>
      <c r="AL1089" s="44"/>
      <c r="AM1089" s="43"/>
      <c r="AN1089" s="44"/>
      <c r="AO1089" s="44"/>
      <c r="AP1089" s="43"/>
      <c r="AQ1089" s="43"/>
      <c r="AR1089" s="114"/>
      <c r="AS1089" s="114"/>
      <c r="AT1089" s="111"/>
      <c r="AU1089" s="110"/>
      <c r="AV1089" s="133"/>
      <c r="AW1089" s="18"/>
      <c r="AX1089" s="123"/>
    </row>
    <row r="1090" spans="1:50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1" t="s">
        <v>311</v>
      </c>
      <c r="AB1090" s="42" t="s">
        <v>233</v>
      </c>
      <c r="AC1090" s="43"/>
      <c r="AD1090" s="43"/>
      <c r="AE1090" s="44">
        <v>0</v>
      </c>
      <c r="AF1090" s="44">
        <v>0</v>
      </c>
      <c r="AG1090" s="43">
        <v>70000000</v>
      </c>
      <c r="AH1090" s="44">
        <v>0</v>
      </c>
      <c r="AI1090" s="43">
        <f>AE1090-AF1090+AG1090-AH1090</f>
        <v>70000000</v>
      </c>
      <c r="AJ1090" s="43">
        <f>AD1090+AI1090</f>
        <v>70000000</v>
      </c>
      <c r="AK1090" s="44">
        <v>0</v>
      </c>
      <c r="AL1090" s="44">
        <v>0</v>
      </c>
      <c r="AM1090" s="43">
        <v>0</v>
      </c>
      <c r="AN1090" s="44">
        <v>0</v>
      </c>
      <c r="AO1090" s="44">
        <v>0</v>
      </c>
      <c r="AP1090" s="43">
        <v>0</v>
      </c>
      <c r="AQ1090" s="44">
        <v>0</v>
      </c>
      <c r="AR1090" s="115">
        <v>0</v>
      </c>
      <c r="AS1090" s="115">
        <v>0</v>
      </c>
      <c r="AT1090" s="135">
        <f t="shared" ref="AT1090" si="433">AQ1090+AS1090</f>
        <v>0</v>
      </c>
      <c r="AU1090" s="110">
        <f>AJ1090-AM1090</f>
        <v>70000000</v>
      </c>
      <c r="AV1090" s="133">
        <f>AM1090-AP1090</f>
        <v>0</v>
      </c>
      <c r="AW1090" s="18">
        <f>AP1090-AT1090</f>
        <v>0</v>
      </c>
      <c r="AX1090" s="123">
        <f>AP1090/AJ1090</f>
        <v>0</v>
      </c>
    </row>
    <row r="1091" spans="1:50" x14ac:dyDescent="0.2">
      <c r="AA1091" s="28" t="s">
        <v>288</v>
      </c>
      <c r="AB1091" s="29" t="s">
        <v>400</v>
      </c>
      <c r="AC1091" s="17"/>
      <c r="AD1091" s="18"/>
      <c r="AE1091" s="34"/>
      <c r="AF1091" s="34"/>
      <c r="AG1091" s="34"/>
      <c r="AH1091" s="34"/>
      <c r="AI1091" s="34"/>
      <c r="AJ1091" s="18"/>
      <c r="AK1091" s="34"/>
      <c r="AL1091" s="34"/>
      <c r="AM1091" s="18"/>
      <c r="AN1091" s="34"/>
      <c r="AO1091" s="34"/>
      <c r="AP1091" s="18"/>
      <c r="AQ1091" s="18"/>
      <c r="AR1091" s="110"/>
      <c r="AS1091" s="110"/>
      <c r="AT1091" s="109"/>
      <c r="AU1091" s="110"/>
      <c r="AV1091" s="34"/>
      <c r="AW1091" s="18"/>
      <c r="AX1091" s="18"/>
    </row>
    <row r="1092" spans="1:50" x14ac:dyDescent="0.2">
      <c r="A1092" s="4" t="s">
        <v>55</v>
      </c>
      <c r="B1092" s="4" t="s">
        <v>56</v>
      </c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1" t="s">
        <v>401</v>
      </c>
      <c r="AB1092" s="42" t="s">
        <v>233</v>
      </c>
      <c r="AC1092" s="43" t="s">
        <v>58</v>
      </c>
      <c r="AD1092" s="43">
        <v>996500000</v>
      </c>
      <c r="AE1092" s="44">
        <v>0</v>
      </c>
      <c r="AF1092" s="44">
        <v>0</v>
      </c>
      <c r="AG1092" s="43">
        <f>140000000+5000000+20000000</f>
        <v>165000000</v>
      </c>
      <c r="AH1092" s="43">
        <v>100000000</v>
      </c>
      <c r="AI1092" s="43">
        <f>AE1092-AF1092+AG1092-AH1092</f>
        <v>65000000</v>
      </c>
      <c r="AJ1092" s="43">
        <f>AD1092+AI1092</f>
        <v>1061500000</v>
      </c>
      <c r="AK1092" s="44">
        <v>0</v>
      </c>
      <c r="AL1092" s="43">
        <v>80750000</v>
      </c>
      <c r="AM1092" s="43">
        <v>939000000</v>
      </c>
      <c r="AN1092" s="44">
        <v>0</v>
      </c>
      <c r="AO1092" s="43">
        <v>80750000</v>
      </c>
      <c r="AP1092" s="43">
        <v>939000000</v>
      </c>
      <c r="AQ1092" s="18">
        <v>7000000</v>
      </c>
      <c r="AR1092" s="110">
        <v>88266667</v>
      </c>
      <c r="AS1092" s="110">
        <v>612863334</v>
      </c>
      <c r="AT1092" s="111">
        <f t="shared" ref="AT1092:AT1095" si="434">AQ1092+AS1092</f>
        <v>619863334</v>
      </c>
      <c r="AU1092" s="110">
        <f>AJ1092-AM1092</f>
        <v>122500000</v>
      </c>
      <c r="AV1092" s="34">
        <f>AM1092-AP1092</f>
        <v>0</v>
      </c>
      <c r="AW1092" s="18">
        <f>AP1092-AT1092</f>
        <v>319136666</v>
      </c>
      <c r="AX1092" s="123">
        <f>AP1092/AJ1092</f>
        <v>0.88459726801695715</v>
      </c>
    </row>
    <row r="1093" spans="1:50" x14ac:dyDescent="0.2">
      <c r="A1093" s="4" t="s">
        <v>55</v>
      </c>
      <c r="B1093" s="4" t="s">
        <v>56</v>
      </c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1" t="s">
        <v>686</v>
      </c>
      <c r="AB1093" s="42" t="s">
        <v>687</v>
      </c>
      <c r="AC1093" s="43" t="s">
        <v>428</v>
      </c>
      <c r="AD1093" s="43">
        <v>51500000</v>
      </c>
      <c r="AE1093" s="44">
        <v>0</v>
      </c>
      <c r="AF1093" s="44">
        <v>0</v>
      </c>
      <c r="AG1093" s="44">
        <v>0</v>
      </c>
      <c r="AH1093" s="44">
        <v>0</v>
      </c>
      <c r="AI1093" s="44">
        <v>0</v>
      </c>
      <c r="AJ1093" s="43">
        <v>51500000</v>
      </c>
      <c r="AK1093" s="44">
        <v>0</v>
      </c>
      <c r="AL1093" s="44">
        <v>0</v>
      </c>
      <c r="AM1093" s="43">
        <v>51400000</v>
      </c>
      <c r="AN1093" s="44">
        <v>0</v>
      </c>
      <c r="AO1093" s="44">
        <v>0</v>
      </c>
      <c r="AP1093" s="43">
        <v>51400000</v>
      </c>
      <c r="AQ1093" s="18">
        <v>0</v>
      </c>
      <c r="AR1093" s="18">
        <v>5300000</v>
      </c>
      <c r="AS1093" s="18">
        <v>45790000</v>
      </c>
      <c r="AT1093" s="39">
        <f t="shared" si="434"/>
        <v>45790000</v>
      </c>
      <c r="AU1093" s="18">
        <f>AJ1093-AM1093</f>
        <v>100000</v>
      </c>
      <c r="AV1093" s="133">
        <f>AM1093-AP1093</f>
        <v>0</v>
      </c>
      <c r="AW1093" s="18">
        <f>AP1093-AT1093</f>
        <v>5610000</v>
      </c>
      <c r="AX1093" s="123">
        <f>AP1093/AJ1093</f>
        <v>0.99805825242718449</v>
      </c>
    </row>
    <row r="1094" spans="1:50" ht="25.5" x14ac:dyDescent="0.2">
      <c r="A1094" s="4" t="s">
        <v>55</v>
      </c>
      <c r="B1094" s="4" t="s">
        <v>56</v>
      </c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1" t="s">
        <v>688</v>
      </c>
      <c r="AB1094" s="42" t="s">
        <v>689</v>
      </c>
      <c r="AC1094" s="43" t="s">
        <v>368</v>
      </c>
      <c r="AD1094" s="43">
        <v>6785951</v>
      </c>
      <c r="AE1094" s="44">
        <v>0</v>
      </c>
      <c r="AF1094" s="44">
        <v>0</v>
      </c>
      <c r="AG1094" s="44">
        <v>0</v>
      </c>
      <c r="AH1094" s="44">
        <v>0</v>
      </c>
      <c r="AI1094" s="44">
        <v>0</v>
      </c>
      <c r="AJ1094" s="43">
        <v>6785951</v>
      </c>
      <c r="AK1094" s="44">
        <v>0</v>
      </c>
      <c r="AL1094" s="44">
        <v>0</v>
      </c>
      <c r="AM1094" s="44">
        <v>0</v>
      </c>
      <c r="AN1094" s="44">
        <v>0</v>
      </c>
      <c r="AO1094" s="44">
        <v>0</v>
      </c>
      <c r="AP1094" s="44">
        <v>0</v>
      </c>
      <c r="AQ1094" s="34">
        <v>0</v>
      </c>
      <c r="AR1094" s="34">
        <v>0</v>
      </c>
      <c r="AS1094" s="34">
        <v>0</v>
      </c>
      <c r="AT1094" s="40">
        <f t="shared" si="434"/>
        <v>0</v>
      </c>
      <c r="AU1094" s="18">
        <f>AJ1094-AM1094</f>
        <v>6785951</v>
      </c>
      <c r="AV1094" s="133">
        <f>AM1094-AP1094</f>
        <v>0</v>
      </c>
      <c r="AW1094" s="34">
        <f>AP1094-AT1094</f>
        <v>0</v>
      </c>
      <c r="AX1094" s="123">
        <f>AP1094/AJ1094</f>
        <v>0</v>
      </c>
    </row>
    <row r="1095" spans="1:50" ht="25.5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1" t="s">
        <v>1116</v>
      </c>
      <c r="AB1095" s="42" t="s">
        <v>1117</v>
      </c>
      <c r="AC1095" s="43"/>
      <c r="AD1095" s="44">
        <v>0</v>
      </c>
      <c r="AE1095" s="43">
        <v>138409128.97</v>
      </c>
      <c r="AF1095" s="44">
        <v>0</v>
      </c>
      <c r="AG1095" s="44">
        <v>0</v>
      </c>
      <c r="AH1095" s="44">
        <v>0</v>
      </c>
      <c r="AI1095" s="43">
        <f>AE1095-AF1095+AG1095-AH1095</f>
        <v>138409128.97</v>
      </c>
      <c r="AJ1095" s="43">
        <f>AD1095+AI1095</f>
        <v>138409128.97</v>
      </c>
      <c r="AK1095" s="44">
        <v>0</v>
      </c>
      <c r="AL1095" s="43">
        <v>22050000</v>
      </c>
      <c r="AM1095" s="43">
        <v>95525487.629999995</v>
      </c>
      <c r="AN1095" s="44">
        <v>0</v>
      </c>
      <c r="AO1095" s="43">
        <v>57003536.630000003</v>
      </c>
      <c r="AP1095" s="43">
        <v>73475487.629999995</v>
      </c>
      <c r="AQ1095" s="34">
        <v>0</v>
      </c>
      <c r="AR1095" s="18">
        <v>2500000</v>
      </c>
      <c r="AS1095" s="18">
        <v>6805284</v>
      </c>
      <c r="AT1095" s="39">
        <f t="shared" si="434"/>
        <v>6805284</v>
      </c>
      <c r="AU1095" s="18">
        <f>AJ1095-AM1095</f>
        <v>42883641.340000004</v>
      </c>
      <c r="AV1095" s="18">
        <f>AM1095-AP1095</f>
        <v>22050000</v>
      </c>
      <c r="AW1095" s="18">
        <f>AP1095-AT1095</f>
        <v>66670203.629999995</v>
      </c>
      <c r="AX1095" s="123">
        <f>AP1095/AJ1095</f>
        <v>0.53085723591198752</v>
      </c>
    </row>
    <row r="1096" spans="1:50" ht="25.5" x14ac:dyDescent="0.2">
      <c r="AA1096" s="28" t="s">
        <v>288</v>
      </c>
      <c r="AB1096" s="29" t="s">
        <v>690</v>
      </c>
      <c r="AC1096" s="17"/>
      <c r="AD1096" s="18"/>
      <c r="AE1096" s="34"/>
      <c r="AF1096" s="34"/>
      <c r="AG1096" s="34"/>
      <c r="AH1096" s="34"/>
      <c r="AI1096" s="34"/>
      <c r="AJ1096" s="18"/>
      <c r="AK1096" s="34"/>
      <c r="AL1096" s="34"/>
      <c r="AM1096" s="34"/>
      <c r="AN1096" s="34"/>
      <c r="AO1096" s="34"/>
      <c r="AP1096" s="34"/>
      <c r="AQ1096" s="18"/>
      <c r="AR1096" s="34"/>
      <c r="AS1096" s="34"/>
      <c r="AT1096" s="40"/>
      <c r="AU1096" s="18"/>
      <c r="AV1096" s="34"/>
      <c r="AW1096" s="18"/>
      <c r="AX1096" s="18"/>
    </row>
    <row r="1097" spans="1:50" x14ac:dyDescent="0.2">
      <c r="A1097" s="4" t="s">
        <v>55</v>
      </c>
      <c r="B1097" s="4" t="s">
        <v>56</v>
      </c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1" t="s">
        <v>691</v>
      </c>
      <c r="AB1097" s="42" t="s">
        <v>233</v>
      </c>
      <c r="AC1097" s="43" t="s">
        <v>58</v>
      </c>
      <c r="AD1097" s="43">
        <v>368900000</v>
      </c>
      <c r="AE1097" s="44">
        <v>0</v>
      </c>
      <c r="AF1097" s="44">
        <v>0</v>
      </c>
      <c r="AG1097" s="43">
        <f>80000000+50000000+60000000</f>
        <v>190000000</v>
      </c>
      <c r="AH1097" s="44">
        <v>0</v>
      </c>
      <c r="AI1097" s="43">
        <f>AE1097-AF1097+AG1097-AH1097</f>
        <v>190000000</v>
      </c>
      <c r="AJ1097" s="43">
        <f>AD1097+AI1097</f>
        <v>558900000</v>
      </c>
      <c r="AK1097" s="44">
        <v>0</v>
      </c>
      <c r="AL1097" s="114">
        <v>119920000</v>
      </c>
      <c r="AM1097" s="114">
        <v>452020000</v>
      </c>
      <c r="AN1097" s="115">
        <v>0</v>
      </c>
      <c r="AO1097" s="114">
        <v>90080000</v>
      </c>
      <c r="AP1097" s="114">
        <v>414980000</v>
      </c>
      <c r="AQ1097" s="18">
        <v>5700000</v>
      </c>
      <c r="AR1097" s="18">
        <v>45826667</v>
      </c>
      <c r="AS1097" s="18">
        <v>244380000</v>
      </c>
      <c r="AT1097" s="39">
        <f t="shared" si="423"/>
        <v>250080000</v>
      </c>
      <c r="AU1097" s="18">
        <f>AJ1097-AM1097</f>
        <v>106880000</v>
      </c>
      <c r="AV1097" s="18">
        <f>AM1097-AP1097</f>
        <v>37040000</v>
      </c>
      <c r="AW1097" s="18">
        <f>AP1097-AT1097</f>
        <v>164900000</v>
      </c>
      <c r="AX1097" s="123">
        <f>AP1097/AJ1097</f>
        <v>0.7424941850062623</v>
      </c>
    </row>
    <row r="1098" spans="1:50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1"/>
      <c r="AB1098" s="42"/>
      <c r="AC1098" s="43"/>
      <c r="AD1098" s="43"/>
      <c r="AE1098" s="44"/>
      <c r="AF1098" s="44"/>
      <c r="AG1098" s="44"/>
      <c r="AH1098" s="44"/>
      <c r="AI1098" s="44"/>
      <c r="AJ1098" s="43"/>
      <c r="AK1098" s="44"/>
      <c r="AL1098" s="114"/>
      <c r="AM1098" s="114"/>
      <c r="AN1098" s="115"/>
      <c r="AO1098" s="114"/>
      <c r="AP1098" s="114"/>
      <c r="AQ1098" s="18"/>
      <c r="AR1098" s="18"/>
      <c r="AS1098" s="18"/>
      <c r="AT1098" s="39"/>
      <c r="AU1098" s="18"/>
      <c r="AV1098" s="133"/>
      <c r="AW1098" s="18"/>
      <c r="AX1098" s="123"/>
    </row>
    <row r="1099" spans="1:50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73" t="s">
        <v>288</v>
      </c>
      <c r="AB1099" s="74" t="s">
        <v>1230</v>
      </c>
      <c r="AC1099" s="43"/>
      <c r="AD1099" s="43"/>
      <c r="AE1099" s="44"/>
      <c r="AF1099" s="44"/>
      <c r="AG1099" s="44"/>
      <c r="AH1099" s="44"/>
      <c r="AI1099" s="44"/>
      <c r="AJ1099" s="43"/>
      <c r="AK1099" s="44"/>
      <c r="AL1099" s="114"/>
      <c r="AM1099" s="114"/>
      <c r="AN1099" s="115"/>
      <c r="AO1099" s="114"/>
      <c r="AP1099" s="114"/>
      <c r="AQ1099" s="18"/>
      <c r="AR1099" s="18"/>
      <c r="AS1099" s="18"/>
      <c r="AT1099" s="39"/>
      <c r="AU1099" s="18"/>
      <c r="AV1099" s="133"/>
      <c r="AW1099" s="18"/>
      <c r="AX1099" s="123"/>
    </row>
    <row r="1100" spans="1:50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1" t="s">
        <v>1231</v>
      </c>
      <c r="AB1100" s="42" t="s">
        <v>1232</v>
      </c>
      <c r="AC1100" s="43"/>
      <c r="AD1100" s="44">
        <v>0</v>
      </c>
      <c r="AE1100" s="44">
        <v>0</v>
      </c>
      <c r="AF1100" s="44">
        <v>0</v>
      </c>
      <c r="AG1100" s="43">
        <f>150000000+100000000</f>
        <v>250000000</v>
      </c>
      <c r="AH1100" s="44"/>
      <c r="AI1100" s="43">
        <f>AE1100-AF1100+AG1100-AH1100</f>
        <v>250000000</v>
      </c>
      <c r="AJ1100" s="43">
        <f>AD1100+AI1100</f>
        <v>250000000</v>
      </c>
      <c r="AK1100" s="44">
        <v>0</v>
      </c>
      <c r="AL1100" s="43">
        <v>-16387.79</v>
      </c>
      <c r="AM1100" s="43">
        <v>249395963.37</v>
      </c>
      <c r="AN1100" s="43">
        <v>0</v>
      </c>
      <c r="AO1100" s="43">
        <v>249395963.37</v>
      </c>
      <c r="AP1100" s="43">
        <v>249395963.37</v>
      </c>
      <c r="AQ1100" s="34">
        <v>0</v>
      </c>
      <c r="AR1100" s="34">
        <v>0</v>
      </c>
      <c r="AS1100" s="34">
        <v>0</v>
      </c>
      <c r="AT1100" s="40">
        <f t="shared" ref="AT1100" si="435">AQ1100+AS1100</f>
        <v>0</v>
      </c>
      <c r="AU1100" s="18">
        <f>AJ1100-AM1100</f>
        <v>604036.62999999523</v>
      </c>
      <c r="AV1100" s="34">
        <f>AM1100-AP1100</f>
        <v>0</v>
      </c>
      <c r="AW1100" s="18">
        <f>AP1100-AT1100</f>
        <v>249395963.37</v>
      </c>
      <c r="AX1100" s="123">
        <f>AP1100/AJ1100</f>
        <v>0.99758385348</v>
      </c>
    </row>
    <row r="1101" spans="1:50" ht="18.75" customHeight="1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73" t="s">
        <v>1016</v>
      </c>
      <c r="AB1101" s="74" t="s">
        <v>1068</v>
      </c>
      <c r="AC1101" s="43"/>
      <c r="AD1101" s="44"/>
      <c r="AE1101" s="44"/>
      <c r="AF1101" s="44"/>
      <c r="AG1101" s="44"/>
      <c r="AH1101" s="44"/>
      <c r="AI1101" s="44"/>
      <c r="AJ1101" s="43"/>
      <c r="AK1101" s="44"/>
      <c r="AL1101" s="115"/>
      <c r="AM1101" s="115"/>
      <c r="AN1101" s="115"/>
      <c r="AO1101" s="115"/>
      <c r="AP1101" s="115"/>
      <c r="AQ1101" s="34"/>
      <c r="AR1101" s="34"/>
      <c r="AS1101" s="34"/>
      <c r="AT1101" s="40"/>
      <c r="AU1101" s="18"/>
      <c r="AV1101" s="133"/>
      <c r="AW1101" s="34"/>
      <c r="AX1101" s="123"/>
    </row>
    <row r="1102" spans="1:50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73" t="s">
        <v>1017</v>
      </c>
      <c r="AB1102" s="74" t="s">
        <v>1069</v>
      </c>
      <c r="AC1102" s="43"/>
      <c r="AD1102" s="44"/>
      <c r="AE1102" s="44"/>
      <c r="AF1102" s="44"/>
      <c r="AG1102" s="44"/>
      <c r="AH1102" s="44"/>
      <c r="AI1102" s="44"/>
      <c r="AJ1102" s="43"/>
      <c r="AK1102" s="44"/>
      <c r="AL1102" s="115"/>
      <c r="AM1102" s="115"/>
      <c r="AN1102" s="115"/>
      <c r="AO1102" s="115"/>
      <c r="AP1102" s="115"/>
      <c r="AQ1102" s="34"/>
      <c r="AR1102" s="34"/>
      <c r="AS1102" s="34"/>
      <c r="AT1102" s="40"/>
      <c r="AU1102" s="18"/>
      <c r="AV1102" s="133"/>
      <c r="AW1102" s="34"/>
      <c r="AX1102" s="123"/>
    </row>
    <row r="1103" spans="1:50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73" t="s">
        <v>1018</v>
      </c>
      <c r="AB1103" s="74" t="s">
        <v>286</v>
      </c>
      <c r="AC1103" s="43"/>
      <c r="AD1103" s="44"/>
      <c r="AE1103" s="44"/>
      <c r="AF1103" s="44"/>
      <c r="AG1103" s="44"/>
      <c r="AH1103" s="44"/>
      <c r="AI1103" s="44"/>
      <c r="AJ1103" s="43"/>
      <c r="AK1103" s="44"/>
      <c r="AL1103" s="115"/>
      <c r="AM1103" s="115"/>
      <c r="AN1103" s="115"/>
      <c r="AO1103" s="115"/>
      <c r="AP1103" s="115"/>
      <c r="AQ1103" s="34"/>
      <c r="AR1103" s="34"/>
      <c r="AS1103" s="34"/>
      <c r="AT1103" s="40"/>
      <c r="AU1103" s="18"/>
      <c r="AV1103" s="133"/>
      <c r="AW1103" s="34"/>
      <c r="AX1103" s="123"/>
    </row>
    <row r="1104" spans="1:50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73" t="s">
        <v>1021</v>
      </c>
      <c r="AB1104" s="74" t="s">
        <v>1070</v>
      </c>
      <c r="AC1104" s="43"/>
      <c r="AD1104" s="44"/>
      <c r="AE1104" s="44"/>
      <c r="AF1104" s="44"/>
      <c r="AG1104" s="44"/>
      <c r="AH1104" s="44"/>
      <c r="AI1104" s="44"/>
      <c r="AJ1104" s="43"/>
      <c r="AK1104" s="44"/>
      <c r="AL1104" s="115"/>
      <c r="AM1104" s="115"/>
      <c r="AN1104" s="115"/>
      <c r="AO1104" s="115"/>
      <c r="AP1104" s="115"/>
      <c r="AQ1104" s="34"/>
      <c r="AR1104" s="34"/>
      <c r="AS1104" s="34"/>
      <c r="AT1104" s="40"/>
      <c r="AU1104" s="18"/>
      <c r="AV1104" s="133"/>
      <c r="AW1104" s="34"/>
      <c r="AX1104" s="123"/>
    </row>
    <row r="1105" spans="1:50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1" t="s">
        <v>1019</v>
      </c>
      <c r="AB1105" s="42" t="s">
        <v>1005</v>
      </c>
      <c r="AC1105" s="43"/>
      <c r="AD1105" s="44">
        <v>0</v>
      </c>
      <c r="AE1105" s="43">
        <v>5053333</v>
      </c>
      <c r="AF1105" s="44">
        <v>0</v>
      </c>
      <c r="AG1105" s="44">
        <v>0</v>
      </c>
      <c r="AH1105" s="44">
        <v>0</v>
      </c>
      <c r="AI1105" s="43">
        <f>AE1105-AF1105+AG1105-AH1105</f>
        <v>5053333</v>
      </c>
      <c r="AJ1105" s="43">
        <f>AD1105+AI1105</f>
        <v>5053333</v>
      </c>
      <c r="AK1105" s="44">
        <v>0</v>
      </c>
      <c r="AL1105" s="115">
        <v>0</v>
      </c>
      <c r="AM1105" s="115">
        <v>0</v>
      </c>
      <c r="AN1105" s="115">
        <v>0</v>
      </c>
      <c r="AO1105" s="115">
        <v>0</v>
      </c>
      <c r="AP1105" s="115">
        <v>0</v>
      </c>
      <c r="AQ1105" s="34">
        <v>0</v>
      </c>
      <c r="AR1105" s="34">
        <v>0</v>
      </c>
      <c r="AS1105" s="34">
        <v>0</v>
      </c>
      <c r="AT1105" s="40">
        <f t="shared" ref="AT1105" si="436">AQ1105+AS1105</f>
        <v>0</v>
      </c>
      <c r="AU1105" s="18">
        <f>AJ1105-AM1105</f>
        <v>5053333</v>
      </c>
      <c r="AV1105" s="133">
        <f>AM1105-AP1105</f>
        <v>0</v>
      </c>
      <c r="AW1105" s="34">
        <f>AP1105-AT1105</f>
        <v>0</v>
      </c>
      <c r="AX1105" s="123">
        <f>AP1105/AJ1105</f>
        <v>0</v>
      </c>
    </row>
    <row r="1106" spans="1:50" x14ac:dyDescent="0.2">
      <c r="AA1106" s="16"/>
      <c r="AB1106" s="17"/>
      <c r="AC1106" s="17"/>
      <c r="AD1106" s="18"/>
      <c r="AE1106" s="34"/>
      <c r="AF1106" s="34"/>
      <c r="AG1106" s="34"/>
      <c r="AH1106" s="34"/>
      <c r="AI1106" s="34"/>
      <c r="AJ1106" s="18"/>
      <c r="AK1106" s="18"/>
      <c r="AL1106" s="18"/>
      <c r="AM1106" s="18"/>
      <c r="AN1106" s="34"/>
      <c r="AO1106" s="18"/>
      <c r="AP1106" s="18"/>
      <c r="AQ1106" s="18"/>
      <c r="AR1106" s="34"/>
      <c r="AS1106" s="34"/>
      <c r="AT1106" s="40"/>
      <c r="AU1106" s="18"/>
      <c r="AV1106" s="18"/>
      <c r="AW1106" s="34"/>
      <c r="AX1106" s="18"/>
    </row>
    <row r="1107" spans="1:50" ht="18.75" customHeight="1" x14ac:dyDescent="0.2">
      <c r="AA1107" s="46"/>
      <c r="AB1107" s="47" t="s">
        <v>692</v>
      </c>
      <c r="AC1107" s="47"/>
      <c r="AD1107" s="48">
        <f t="shared" ref="AD1107:AS1107" si="437">SUM(AD1060:AD1106)</f>
        <v>12346184481</v>
      </c>
      <c r="AE1107" s="48">
        <f t="shared" si="437"/>
        <v>143462461.97</v>
      </c>
      <c r="AF1107" s="49">
        <f t="shared" si="437"/>
        <v>0</v>
      </c>
      <c r="AG1107" s="48">
        <f t="shared" si="437"/>
        <v>14246423215</v>
      </c>
      <c r="AH1107" s="48">
        <f t="shared" si="437"/>
        <v>13446423215</v>
      </c>
      <c r="AI1107" s="48">
        <f t="shared" si="437"/>
        <v>943462461.97000003</v>
      </c>
      <c r="AJ1107" s="48">
        <f t="shared" si="437"/>
        <v>13289646942.969999</v>
      </c>
      <c r="AK1107" s="49">
        <f t="shared" si="437"/>
        <v>0</v>
      </c>
      <c r="AL1107" s="48">
        <f t="shared" si="437"/>
        <v>578721054.59000003</v>
      </c>
      <c r="AM1107" s="48">
        <f t="shared" si="437"/>
        <v>9851756855.0599995</v>
      </c>
      <c r="AN1107" s="49">
        <f t="shared" si="437"/>
        <v>0</v>
      </c>
      <c r="AO1107" s="48">
        <f t="shared" si="437"/>
        <v>2827747749</v>
      </c>
      <c r="AP1107" s="48">
        <f t="shared" si="437"/>
        <v>9516028280</v>
      </c>
      <c r="AQ1107" s="48">
        <f t="shared" si="437"/>
        <v>79763334</v>
      </c>
      <c r="AR1107" s="121">
        <f t="shared" si="437"/>
        <v>571927606</v>
      </c>
      <c r="AS1107" s="121">
        <f t="shared" si="437"/>
        <v>4353317422.3299999</v>
      </c>
      <c r="AT1107" s="108">
        <f>AQ1107+AS1107</f>
        <v>4433080756.3299999</v>
      </c>
      <c r="AU1107" s="48">
        <f>SUM(AU1060:AU1106)</f>
        <v>3437890087.9100003</v>
      </c>
      <c r="AV1107" s="48">
        <f>SUM(AV1060:AV1106)</f>
        <v>335728575.05999994</v>
      </c>
      <c r="AW1107" s="48">
        <f>SUM(AW1060:AW1106)</f>
        <v>5082947523.6700001</v>
      </c>
      <c r="AX1107" s="24">
        <f>AP1107/AJ1107</f>
        <v>0.71604823821401964</v>
      </c>
    </row>
    <row r="1108" spans="1:50" ht="18.75" customHeight="1" x14ac:dyDescent="0.2">
      <c r="AA1108" s="16"/>
      <c r="AB1108" s="17"/>
      <c r="AC1108" s="17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  <c r="AQ1108" s="18"/>
      <c r="AR1108" s="18"/>
      <c r="AS1108" s="18"/>
      <c r="AT1108" s="18"/>
      <c r="AU1108" s="18"/>
      <c r="AV1108" s="18"/>
      <c r="AW1108" s="18"/>
      <c r="AX1108" s="18"/>
    </row>
    <row r="1109" spans="1:50" s="25" customFormat="1" ht="18.75" customHeight="1" x14ac:dyDescent="0.2">
      <c r="B1109" s="71"/>
      <c r="C1109" s="71"/>
      <c r="D1109" s="71"/>
      <c r="E1109" s="71"/>
      <c r="F1109" s="71"/>
      <c r="G1109" s="71"/>
      <c r="H1109" s="71"/>
      <c r="I1109" s="71"/>
      <c r="J1109" s="71"/>
      <c r="K1109" s="71"/>
      <c r="L1109" s="71"/>
      <c r="M1109" s="71"/>
      <c r="N1109" s="71"/>
      <c r="O1109" s="71"/>
      <c r="P1109" s="71"/>
      <c r="Q1109" s="71"/>
      <c r="R1109" s="71"/>
      <c r="S1109" s="71"/>
      <c r="T1109" s="71"/>
      <c r="U1109" s="71"/>
      <c r="V1109" s="71"/>
      <c r="W1109" s="71"/>
      <c r="X1109" s="71"/>
      <c r="Y1109" s="71"/>
      <c r="Z1109" s="71"/>
      <c r="AA1109" s="66"/>
      <c r="AB1109" s="21" t="s">
        <v>693</v>
      </c>
      <c r="AC1109" s="67"/>
      <c r="AD1109" s="63"/>
      <c r="AE1109" s="63"/>
      <c r="AF1109" s="63"/>
      <c r="AG1109" s="63"/>
      <c r="AH1109" s="63"/>
      <c r="AI1109" s="63"/>
      <c r="AJ1109" s="63"/>
      <c r="AK1109" s="63"/>
      <c r="AL1109" s="63"/>
      <c r="AM1109" s="63"/>
      <c r="AN1109" s="63"/>
      <c r="AO1109" s="63"/>
      <c r="AP1109" s="63"/>
      <c r="AQ1109" s="63"/>
      <c r="AR1109" s="63"/>
      <c r="AS1109" s="63"/>
      <c r="AT1109" s="63"/>
      <c r="AU1109" s="63"/>
      <c r="AV1109" s="63"/>
      <c r="AW1109" s="63"/>
      <c r="AX1109" s="63"/>
    </row>
    <row r="1110" spans="1:50" ht="18.75" customHeight="1" x14ac:dyDescent="0.2">
      <c r="AA1110" s="16"/>
      <c r="AB1110" s="29" t="s">
        <v>285</v>
      </c>
      <c r="AC1110" s="17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</row>
    <row r="1111" spans="1:50" ht="18.75" customHeight="1" x14ac:dyDescent="0.2">
      <c r="AA1111" s="16"/>
      <c r="AB1111" s="29" t="s">
        <v>286</v>
      </c>
      <c r="AC1111" s="17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</row>
    <row r="1112" spans="1:50" ht="18.75" customHeight="1" x14ac:dyDescent="0.2">
      <c r="AA1112" s="16"/>
      <c r="AB1112" s="29" t="s">
        <v>179</v>
      </c>
      <c r="AC1112" s="17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</row>
    <row r="1113" spans="1:50" x14ac:dyDescent="0.2">
      <c r="AA1113" s="16"/>
      <c r="AB1113" s="29" t="s">
        <v>189</v>
      </c>
      <c r="AC1113" s="17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</row>
    <row r="1114" spans="1:50" ht="38.25" x14ac:dyDescent="0.2">
      <c r="AA1114" s="16"/>
      <c r="AB1114" s="29" t="s">
        <v>193</v>
      </c>
      <c r="AC1114" s="17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30"/>
      <c r="AU1114" s="18"/>
      <c r="AV1114" s="18"/>
      <c r="AW1114" s="18"/>
      <c r="AX1114" s="18"/>
    </row>
    <row r="1115" spans="1:50" ht="25.5" x14ac:dyDescent="0.2">
      <c r="AA1115" s="28" t="s">
        <v>288</v>
      </c>
      <c r="AB1115" s="29" t="s">
        <v>694</v>
      </c>
      <c r="AC1115" s="17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30"/>
      <c r="AU1115" s="18"/>
      <c r="AV1115" s="18"/>
      <c r="AW1115" s="18"/>
      <c r="AX1115" s="18"/>
    </row>
    <row r="1116" spans="1:50" x14ac:dyDescent="0.2">
      <c r="A1116" s="4" t="s">
        <v>55</v>
      </c>
      <c r="B1116" s="4" t="s">
        <v>56</v>
      </c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1" t="s">
        <v>695</v>
      </c>
      <c r="AB1116" s="42" t="s">
        <v>233</v>
      </c>
      <c r="AC1116" s="43" t="s">
        <v>58</v>
      </c>
      <c r="AD1116" s="43">
        <v>20000000000</v>
      </c>
      <c r="AE1116" s="44">
        <v>0</v>
      </c>
      <c r="AF1116" s="44">
        <v>0</v>
      </c>
      <c r="AG1116" s="44">
        <v>0</v>
      </c>
      <c r="AH1116" s="43">
        <f>10000000000+500000000+431000000</f>
        <v>10931000000</v>
      </c>
      <c r="AI1116" s="43">
        <f>AE1116-AF1116+AG1116-AH1116</f>
        <v>-10931000000</v>
      </c>
      <c r="AJ1116" s="43">
        <f>AD1116+AI1116</f>
        <v>9069000000</v>
      </c>
      <c r="AK1116" s="115">
        <v>0</v>
      </c>
      <c r="AL1116" s="115">
        <v>0</v>
      </c>
      <c r="AM1116" s="114">
        <v>8927500500</v>
      </c>
      <c r="AN1116" s="115">
        <v>0</v>
      </c>
      <c r="AO1116" s="115">
        <v>0</v>
      </c>
      <c r="AP1116" s="114">
        <v>8927500500</v>
      </c>
      <c r="AQ1116" s="115">
        <v>0</v>
      </c>
      <c r="AR1116" s="115">
        <v>0</v>
      </c>
      <c r="AS1116" s="114">
        <v>8927500500</v>
      </c>
      <c r="AT1116" s="111">
        <f t="shared" ref="AT1116:AT1131" si="438">AQ1116+AS1116</f>
        <v>8927500500</v>
      </c>
      <c r="AU1116" s="18">
        <f>AJ1116-AM1116</f>
        <v>141499500</v>
      </c>
      <c r="AV1116" s="133">
        <f>AM1116-AP1116</f>
        <v>0</v>
      </c>
      <c r="AW1116" s="34">
        <f>AP1116-AT1116</f>
        <v>0</v>
      </c>
      <c r="AX1116" s="123">
        <f>AP1116/AJ1116</f>
        <v>0.98439745286139602</v>
      </c>
    </row>
    <row r="1117" spans="1:50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1" t="s">
        <v>1118</v>
      </c>
      <c r="AB1117" s="42" t="s">
        <v>1015</v>
      </c>
      <c r="AC1117" s="43"/>
      <c r="AD1117" s="44">
        <v>0</v>
      </c>
      <c r="AE1117" s="43">
        <v>1500000000</v>
      </c>
      <c r="AF1117" s="44">
        <v>0</v>
      </c>
      <c r="AG1117" s="44">
        <v>0</v>
      </c>
      <c r="AH1117" s="43">
        <f>200000000+715000000+584279684.66</f>
        <v>1499279684.6599998</v>
      </c>
      <c r="AI1117" s="43">
        <f>AE1117-AF1117+AG1117-AH1117</f>
        <v>720315.34000015259</v>
      </c>
      <c r="AJ1117" s="43">
        <f>AD1117+AI1117</f>
        <v>720315.34000015259</v>
      </c>
      <c r="AK1117" s="115">
        <v>0</v>
      </c>
      <c r="AL1117" s="115">
        <v>0</v>
      </c>
      <c r="AM1117" s="115">
        <v>0</v>
      </c>
      <c r="AN1117" s="115">
        <v>0</v>
      </c>
      <c r="AO1117" s="115">
        <v>0</v>
      </c>
      <c r="AP1117" s="114">
        <v>0</v>
      </c>
      <c r="AQ1117" s="115">
        <v>0</v>
      </c>
      <c r="AR1117" s="115">
        <v>0</v>
      </c>
      <c r="AS1117" s="115">
        <v>0</v>
      </c>
      <c r="AT1117" s="135">
        <f t="shared" si="438"/>
        <v>0</v>
      </c>
      <c r="AU1117" s="18">
        <f>AJ1117-AM1117</f>
        <v>720315.34000015259</v>
      </c>
      <c r="AV1117" s="133">
        <f>AM1117-AP1117</f>
        <v>0</v>
      </c>
      <c r="AW1117" s="34">
        <f>AP1117-AT1117</f>
        <v>0</v>
      </c>
      <c r="AX1117" s="123">
        <f>AP1117/AJ1117</f>
        <v>0</v>
      </c>
    </row>
    <row r="1118" spans="1:50" x14ac:dyDescent="0.2">
      <c r="AA1118" s="16"/>
      <c r="AB1118" s="17"/>
      <c r="AC1118" s="17"/>
      <c r="AD1118" s="18"/>
      <c r="AE1118" s="34"/>
      <c r="AF1118" s="34"/>
      <c r="AG1118" s="34"/>
      <c r="AH1118" s="34"/>
      <c r="AI1118" s="34"/>
      <c r="AJ1118" s="18"/>
      <c r="AK1118" s="18"/>
      <c r="AL1118" s="18"/>
      <c r="AM1118" s="18"/>
      <c r="AN1118" s="18"/>
      <c r="AO1118" s="18"/>
      <c r="AP1118" s="34"/>
      <c r="AQ1118" s="34"/>
      <c r="AR1118" s="34"/>
      <c r="AS1118" s="34"/>
      <c r="AT1118" s="40"/>
      <c r="AU1118" s="18"/>
      <c r="AV1118" s="18"/>
      <c r="AW1118" s="18"/>
      <c r="AX1118" s="18"/>
    </row>
    <row r="1119" spans="1:50" ht="25.5" x14ac:dyDescent="0.2">
      <c r="AA1119" s="16"/>
      <c r="AB1119" s="29" t="s">
        <v>195</v>
      </c>
      <c r="AC1119" s="17"/>
      <c r="AD1119" s="18"/>
      <c r="AE1119" s="34"/>
      <c r="AF1119" s="34"/>
      <c r="AG1119" s="34"/>
      <c r="AH1119" s="34"/>
      <c r="AI1119" s="34"/>
      <c r="AJ1119" s="18"/>
      <c r="AK1119" s="18"/>
      <c r="AL1119" s="18"/>
      <c r="AM1119" s="18"/>
      <c r="AN1119" s="18"/>
      <c r="AO1119" s="18"/>
      <c r="AP1119" s="34"/>
      <c r="AQ1119" s="34"/>
      <c r="AR1119" s="34"/>
      <c r="AS1119" s="34"/>
      <c r="AT1119" s="40"/>
      <c r="AU1119" s="18"/>
      <c r="AV1119" s="18"/>
      <c r="AW1119" s="18"/>
      <c r="AX1119" s="18"/>
    </row>
    <row r="1120" spans="1:50" ht="25.5" x14ac:dyDescent="0.2">
      <c r="AA1120" s="28" t="s">
        <v>288</v>
      </c>
      <c r="AB1120" s="29" t="s">
        <v>696</v>
      </c>
      <c r="AC1120" s="17"/>
      <c r="AD1120" s="18"/>
      <c r="AE1120" s="34"/>
      <c r="AF1120" s="34"/>
      <c r="AG1120" s="34"/>
      <c r="AH1120" s="34"/>
      <c r="AI1120" s="34"/>
      <c r="AJ1120" s="18"/>
      <c r="AK1120" s="18"/>
      <c r="AL1120" s="18"/>
      <c r="AM1120" s="18"/>
      <c r="AN1120" s="18"/>
      <c r="AO1120" s="18"/>
      <c r="AP1120" s="34"/>
      <c r="AQ1120" s="34"/>
      <c r="AR1120" s="34"/>
      <c r="AS1120" s="34"/>
      <c r="AT1120" s="40"/>
      <c r="AU1120" s="18"/>
      <c r="AV1120" s="18"/>
      <c r="AW1120" s="18"/>
      <c r="AX1120" s="18"/>
    </row>
    <row r="1121" spans="1:50" x14ac:dyDescent="0.2">
      <c r="A1121" s="4" t="s">
        <v>55</v>
      </c>
      <c r="B1121" s="4" t="s">
        <v>56</v>
      </c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1" t="s">
        <v>697</v>
      </c>
      <c r="AB1121" s="42" t="s">
        <v>233</v>
      </c>
      <c r="AC1121" s="43" t="s">
        <v>58</v>
      </c>
      <c r="AD1121" s="43">
        <v>5000000000</v>
      </c>
      <c r="AE1121" s="44">
        <v>0</v>
      </c>
      <c r="AF1121" s="44">
        <v>0</v>
      </c>
      <c r="AG1121" s="44">
        <v>0</v>
      </c>
      <c r="AH1121" s="43">
        <v>5000000000</v>
      </c>
      <c r="AI1121" s="43">
        <f t="shared" ref="AI1121" si="439">AE1121-AF1121+AG1121-AH1121</f>
        <v>-5000000000</v>
      </c>
      <c r="AJ1121" s="44">
        <f t="shared" ref="AJ1121" si="440">AD1121+AI1121</f>
        <v>0</v>
      </c>
      <c r="AK1121" s="44">
        <v>0</v>
      </c>
      <c r="AL1121" s="44">
        <v>0</v>
      </c>
      <c r="AM1121" s="44">
        <v>0</v>
      </c>
      <c r="AN1121" s="44">
        <v>0</v>
      </c>
      <c r="AO1121" s="44">
        <v>0</v>
      </c>
      <c r="AP1121" s="44">
        <v>0</v>
      </c>
      <c r="AQ1121" s="44">
        <v>0</v>
      </c>
      <c r="AR1121" s="44">
        <v>0</v>
      </c>
      <c r="AS1121" s="44">
        <v>0</v>
      </c>
      <c r="AT1121" s="40">
        <f t="shared" ref="AT1121:AT1122" si="441">AQ1121+AS1121</f>
        <v>0</v>
      </c>
      <c r="AU1121" s="34">
        <f>AJ1121-AM1121</f>
        <v>0</v>
      </c>
      <c r="AV1121" s="133">
        <f>AM1121-AP1121</f>
        <v>0</v>
      </c>
      <c r="AW1121" s="34">
        <f>AP1121-AT1121</f>
        <v>0</v>
      </c>
      <c r="AX1121" s="123">
        <v>0</v>
      </c>
    </row>
    <row r="1122" spans="1:50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1" t="s">
        <v>1119</v>
      </c>
      <c r="AB1122" s="42" t="s">
        <v>1015</v>
      </c>
      <c r="AC1122" s="43"/>
      <c r="AD1122" s="44">
        <v>0</v>
      </c>
      <c r="AE1122" s="43">
        <v>150000000</v>
      </c>
      <c r="AF1122" s="44">
        <v>0</v>
      </c>
      <c r="AG1122" s="44">
        <v>0</v>
      </c>
      <c r="AH1122" s="43">
        <v>150000000</v>
      </c>
      <c r="AI1122" s="43">
        <f>AE1122-AF1122+AG1122-AH1122</f>
        <v>0</v>
      </c>
      <c r="AJ1122" s="44">
        <f>AD1122+AI1122</f>
        <v>0</v>
      </c>
      <c r="AK1122" s="44">
        <v>0</v>
      </c>
      <c r="AL1122" s="44">
        <v>0</v>
      </c>
      <c r="AM1122" s="44">
        <v>0</v>
      </c>
      <c r="AN1122" s="44">
        <v>0</v>
      </c>
      <c r="AO1122" s="44">
        <v>0</v>
      </c>
      <c r="AP1122" s="44">
        <v>0</v>
      </c>
      <c r="AQ1122" s="44">
        <v>0</v>
      </c>
      <c r="AR1122" s="44">
        <v>0</v>
      </c>
      <c r="AS1122" s="44">
        <v>0</v>
      </c>
      <c r="AT1122" s="40">
        <f t="shared" si="441"/>
        <v>0</v>
      </c>
      <c r="AU1122" s="34">
        <f>AJ1122-AM1122</f>
        <v>0</v>
      </c>
      <c r="AV1122" s="133">
        <f>AM1122-AP1122</f>
        <v>0</v>
      </c>
      <c r="AW1122" s="34">
        <f>AP1122-AT1122</f>
        <v>0</v>
      </c>
      <c r="AX1122" s="123">
        <v>0</v>
      </c>
    </row>
    <row r="1123" spans="1:50" ht="25.5" x14ac:dyDescent="0.2">
      <c r="AA1123" s="28" t="s">
        <v>288</v>
      </c>
      <c r="AB1123" s="29" t="s">
        <v>698</v>
      </c>
      <c r="AC1123" s="17"/>
      <c r="AD1123" s="18"/>
      <c r="AE1123" s="18"/>
      <c r="AF1123" s="18"/>
      <c r="AG1123" s="18"/>
      <c r="AH1123" s="18"/>
      <c r="AI1123" s="18"/>
      <c r="AJ1123" s="18"/>
      <c r="AK1123" s="34"/>
      <c r="AL1123" s="34"/>
      <c r="AM1123" s="34"/>
      <c r="AN1123" s="34"/>
      <c r="AO1123" s="34"/>
      <c r="AP1123" s="34"/>
      <c r="AQ1123" s="18"/>
      <c r="AR1123" s="18"/>
      <c r="AS1123" s="18"/>
      <c r="AT1123" s="39"/>
      <c r="AU1123" s="34"/>
      <c r="AV1123" s="34"/>
      <c r="AW1123" s="34"/>
      <c r="AX1123" s="18"/>
    </row>
    <row r="1124" spans="1:50" x14ac:dyDescent="0.2">
      <c r="A1124" s="4" t="s">
        <v>55</v>
      </c>
      <c r="B1124" s="4" t="s">
        <v>56</v>
      </c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1" t="s">
        <v>699</v>
      </c>
      <c r="AB1124" s="42" t="s">
        <v>233</v>
      </c>
      <c r="AC1124" s="43" t="s">
        <v>58</v>
      </c>
      <c r="AD1124" s="43">
        <v>4500000000</v>
      </c>
      <c r="AE1124" s="44">
        <v>0</v>
      </c>
      <c r="AF1124" s="44">
        <v>0</v>
      </c>
      <c r="AG1124" s="44">
        <v>0</v>
      </c>
      <c r="AH1124" s="44">
        <v>0</v>
      </c>
      <c r="AI1124" s="44">
        <v>0</v>
      </c>
      <c r="AJ1124" s="43">
        <v>4500000000</v>
      </c>
      <c r="AK1124" s="44">
        <v>0</v>
      </c>
      <c r="AL1124" s="44">
        <f>AM1124-JULIO!AM1056</f>
        <v>0</v>
      </c>
      <c r="AM1124" s="43">
        <v>4500000000</v>
      </c>
      <c r="AN1124" s="44">
        <v>0</v>
      </c>
      <c r="AO1124" s="44">
        <v>0</v>
      </c>
      <c r="AP1124" s="44">
        <v>0</v>
      </c>
      <c r="AQ1124" s="44">
        <v>0</v>
      </c>
      <c r="AR1124" s="44">
        <v>0</v>
      </c>
      <c r="AS1124" s="44">
        <v>0</v>
      </c>
      <c r="AT1124" s="40">
        <f t="shared" si="438"/>
        <v>0</v>
      </c>
      <c r="AU1124" s="34">
        <f>AJ1124-AM1124</f>
        <v>0</v>
      </c>
      <c r="AV1124" s="18">
        <f>AM1124-AP1124</f>
        <v>4500000000</v>
      </c>
      <c r="AW1124" s="34">
        <f>AP1124-AT1124</f>
        <v>0</v>
      </c>
      <c r="AX1124" s="123">
        <f>AP1124/AJ1124</f>
        <v>0</v>
      </c>
    </row>
    <row r="1125" spans="1:50" x14ac:dyDescent="0.2">
      <c r="AA1125" s="16"/>
      <c r="AB1125" s="17"/>
      <c r="AC1125" s="17"/>
      <c r="AD1125" s="18"/>
      <c r="AE1125" s="34"/>
      <c r="AF1125" s="34"/>
      <c r="AG1125" s="34"/>
      <c r="AH1125" s="34"/>
      <c r="AI1125" s="34"/>
      <c r="AJ1125" s="18"/>
      <c r="AK1125" s="34"/>
      <c r="AL1125" s="34"/>
      <c r="AM1125" s="34"/>
      <c r="AN1125" s="34"/>
      <c r="AO1125" s="34"/>
      <c r="AP1125" s="34"/>
      <c r="AQ1125" s="34"/>
      <c r="AR1125" s="34"/>
      <c r="AS1125" s="34"/>
      <c r="AT1125" s="31"/>
      <c r="AU1125" s="34"/>
      <c r="AV1125" s="34"/>
      <c r="AW1125" s="34"/>
      <c r="AX1125" s="18"/>
    </row>
    <row r="1126" spans="1:50" ht="25.5" x14ac:dyDescent="0.2">
      <c r="AA1126" s="16"/>
      <c r="AB1126" s="29" t="s">
        <v>197</v>
      </c>
      <c r="AC1126" s="17"/>
      <c r="AD1126" s="18"/>
      <c r="AE1126" s="34"/>
      <c r="AF1126" s="34"/>
      <c r="AG1126" s="34"/>
      <c r="AH1126" s="34"/>
      <c r="AI1126" s="34"/>
      <c r="AJ1126" s="18"/>
      <c r="AK1126" s="34"/>
      <c r="AL1126" s="34"/>
      <c r="AM1126" s="34"/>
      <c r="AN1126" s="34"/>
      <c r="AO1126" s="34"/>
      <c r="AP1126" s="34"/>
      <c r="AQ1126" s="34"/>
      <c r="AR1126" s="34"/>
      <c r="AS1126" s="34"/>
      <c r="AT1126" s="31"/>
      <c r="AU1126" s="34"/>
      <c r="AV1126" s="34"/>
      <c r="AW1126" s="34"/>
      <c r="AX1126" s="18"/>
    </row>
    <row r="1127" spans="1:50" ht="25.5" x14ac:dyDescent="0.2">
      <c r="AA1127" s="28" t="s">
        <v>288</v>
      </c>
      <c r="AB1127" s="29" t="s">
        <v>700</v>
      </c>
      <c r="AC1127" s="17"/>
      <c r="AD1127" s="18"/>
      <c r="AE1127" s="34"/>
      <c r="AF1127" s="34"/>
      <c r="AG1127" s="34"/>
      <c r="AH1127" s="34"/>
      <c r="AI1127" s="34"/>
      <c r="AJ1127" s="18"/>
      <c r="AK1127" s="34"/>
      <c r="AL1127" s="34"/>
      <c r="AM1127" s="34"/>
      <c r="AN1127" s="34"/>
      <c r="AO1127" s="34"/>
      <c r="AP1127" s="34"/>
      <c r="AQ1127" s="34"/>
      <c r="AR1127" s="34"/>
      <c r="AS1127" s="34"/>
      <c r="AT1127" s="31"/>
      <c r="AU1127" s="34"/>
      <c r="AV1127" s="34"/>
      <c r="AW1127" s="34"/>
      <c r="AX1127" s="18"/>
    </row>
    <row r="1128" spans="1:50" x14ac:dyDescent="0.2">
      <c r="A1128" s="4" t="s">
        <v>55</v>
      </c>
      <c r="B1128" s="4" t="s">
        <v>56</v>
      </c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1" t="s">
        <v>701</v>
      </c>
      <c r="AB1128" s="42" t="s">
        <v>233</v>
      </c>
      <c r="AC1128" s="43" t="s">
        <v>58</v>
      </c>
      <c r="AD1128" s="43">
        <v>4500000000</v>
      </c>
      <c r="AE1128" s="44">
        <v>0</v>
      </c>
      <c r="AF1128" s="44">
        <v>0</v>
      </c>
      <c r="AG1128" s="44">
        <v>0</v>
      </c>
      <c r="AH1128" s="44">
        <v>0</v>
      </c>
      <c r="AI1128" s="44">
        <v>0</v>
      </c>
      <c r="AJ1128" s="43">
        <v>4500000000</v>
      </c>
      <c r="AK1128" s="44">
        <v>0</v>
      </c>
      <c r="AL1128" s="44">
        <v>0</v>
      </c>
      <c r="AM1128" s="43">
        <v>4346819231</v>
      </c>
      <c r="AN1128" s="44">
        <v>0</v>
      </c>
      <c r="AO1128" s="43">
        <v>0</v>
      </c>
      <c r="AP1128" s="43">
        <v>1755606000</v>
      </c>
      <c r="AQ1128" s="44">
        <v>0</v>
      </c>
      <c r="AR1128" s="43">
        <v>0</v>
      </c>
      <c r="AS1128" s="43">
        <v>1755606000</v>
      </c>
      <c r="AT1128" s="39">
        <f t="shared" si="438"/>
        <v>1755606000</v>
      </c>
      <c r="AU1128" s="18">
        <f>AJ1128-AM1128</f>
        <v>153180769</v>
      </c>
      <c r="AV1128" s="18">
        <f>AM1128-AP1128</f>
        <v>2591213231</v>
      </c>
      <c r="AW1128" s="34">
        <f>AP1128-AT1128</f>
        <v>0</v>
      </c>
      <c r="AX1128" s="123">
        <f>AP1128/AJ1128</f>
        <v>0.39013466666666669</v>
      </c>
    </row>
    <row r="1129" spans="1:50" x14ac:dyDescent="0.2">
      <c r="AA1129" s="28" t="s">
        <v>288</v>
      </c>
      <c r="AB1129" s="29" t="s">
        <v>400</v>
      </c>
      <c r="AC1129" s="17"/>
      <c r="AD1129" s="18"/>
      <c r="AE1129" s="34"/>
      <c r="AF1129" s="34"/>
      <c r="AG1129" s="34"/>
      <c r="AH1129" s="34"/>
      <c r="AI1129" s="34"/>
      <c r="AJ1129" s="18"/>
      <c r="AK1129" s="34"/>
      <c r="AL1129" s="18"/>
      <c r="AM1129" s="18"/>
      <c r="AN1129" s="34"/>
      <c r="AO1129" s="34"/>
      <c r="AP1129" s="18"/>
      <c r="AQ1129" s="18"/>
      <c r="AR1129" s="18"/>
      <c r="AS1129" s="18"/>
      <c r="AT1129" s="31"/>
      <c r="AU1129" s="18"/>
      <c r="AV1129" s="18"/>
      <c r="AW1129" s="18"/>
      <c r="AX1129" s="18"/>
    </row>
    <row r="1130" spans="1:50" x14ac:dyDescent="0.2">
      <c r="A1130" s="4" t="s">
        <v>55</v>
      </c>
      <c r="B1130" s="4" t="s">
        <v>56</v>
      </c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1" t="s">
        <v>401</v>
      </c>
      <c r="AB1130" s="42" t="s">
        <v>233</v>
      </c>
      <c r="AC1130" s="43" t="s">
        <v>58</v>
      </c>
      <c r="AD1130" s="43">
        <v>4899360013</v>
      </c>
      <c r="AE1130" s="44">
        <v>0</v>
      </c>
      <c r="AF1130" s="44">
        <v>0</v>
      </c>
      <c r="AG1130" s="44">
        <v>0</v>
      </c>
      <c r="AH1130" s="44">
        <v>0</v>
      </c>
      <c r="AI1130" s="44">
        <v>0</v>
      </c>
      <c r="AJ1130" s="43">
        <v>4899360013</v>
      </c>
      <c r="AK1130" s="43">
        <v>0</v>
      </c>
      <c r="AL1130" s="43">
        <v>17416667</v>
      </c>
      <c r="AM1130" s="43">
        <v>4430048627</v>
      </c>
      <c r="AN1130" s="43">
        <v>0</v>
      </c>
      <c r="AO1130" s="43">
        <v>17416667</v>
      </c>
      <c r="AP1130" s="43">
        <v>1927455952</v>
      </c>
      <c r="AQ1130" s="43">
        <v>0</v>
      </c>
      <c r="AR1130" s="43">
        <v>244300238</v>
      </c>
      <c r="AS1130" s="43">
        <v>1299278571</v>
      </c>
      <c r="AT1130" s="111">
        <f t="shared" si="438"/>
        <v>1299278571</v>
      </c>
      <c r="AU1130" s="18">
        <f>AJ1130-AM1130</f>
        <v>469311386</v>
      </c>
      <c r="AV1130" s="18">
        <f>AM1130-AP1130</f>
        <v>2502592675</v>
      </c>
      <c r="AW1130" s="18">
        <f>AP1130-AT1130</f>
        <v>628177381</v>
      </c>
      <c r="AX1130" s="123">
        <f>AP1130/AJ1130</f>
        <v>0.39340974063666956</v>
      </c>
    </row>
    <row r="1131" spans="1:50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1" t="s">
        <v>401</v>
      </c>
      <c r="AB1131" s="42" t="s">
        <v>1015</v>
      </c>
      <c r="AC1131" s="43"/>
      <c r="AD1131" s="44">
        <v>0</v>
      </c>
      <c r="AE1131" s="43">
        <v>533723107.06</v>
      </c>
      <c r="AF1131" s="44">
        <v>0</v>
      </c>
      <c r="AG1131" s="44">
        <v>0</v>
      </c>
      <c r="AH1131" s="44">
        <v>0</v>
      </c>
      <c r="AI1131" s="43">
        <f>AE1131-AF1131+AG1131-AH1131</f>
        <v>533723107.06</v>
      </c>
      <c r="AJ1131" s="43">
        <f>AD1131+AI1131</f>
        <v>533723107.06</v>
      </c>
      <c r="AK1131" s="44">
        <v>0</v>
      </c>
      <c r="AL1131" s="44">
        <v>0</v>
      </c>
      <c r="AM1131" s="44">
        <v>0</v>
      </c>
      <c r="AN1131" s="44">
        <v>0</v>
      </c>
      <c r="AO1131" s="44">
        <v>0</v>
      </c>
      <c r="AP1131" s="44">
        <v>0</v>
      </c>
      <c r="AQ1131" s="44">
        <v>0</v>
      </c>
      <c r="AR1131" s="44">
        <v>0</v>
      </c>
      <c r="AS1131" s="44">
        <v>0</v>
      </c>
      <c r="AT1131" s="135">
        <f t="shared" si="438"/>
        <v>0</v>
      </c>
      <c r="AU1131" s="18">
        <f>AJ1131-AM1131</f>
        <v>533723107.06</v>
      </c>
      <c r="AV1131" s="34">
        <f>AM1131-AP1131</f>
        <v>0</v>
      </c>
      <c r="AW1131" s="34">
        <f>AP1131-AT1131</f>
        <v>0</v>
      </c>
      <c r="AX1131" s="123">
        <f>AP1131/AJ1131</f>
        <v>0</v>
      </c>
    </row>
    <row r="1132" spans="1:50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73" t="s">
        <v>288</v>
      </c>
      <c r="AB1132" s="74" t="s">
        <v>292</v>
      </c>
      <c r="AC1132" s="43"/>
      <c r="AD1132" s="44"/>
      <c r="AE1132" s="43"/>
      <c r="AF1132" s="44"/>
      <c r="AG1132" s="44"/>
      <c r="AH1132" s="44"/>
      <c r="AI1132" s="43"/>
      <c r="AJ1132" s="43"/>
      <c r="AK1132" s="44"/>
      <c r="AL1132" s="44"/>
      <c r="AM1132" s="44"/>
      <c r="AN1132" s="44"/>
      <c r="AO1132" s="44"/>
      <c r="AP1132" s="44"/>
      <c r="AQ1132" s="44"/>
      <c r="AR1132" s="44"/>
      <c r="AS1132" s="44"/>
      <c r="AT1132" s="135"/>
      <c r="AU1132" s="18"/>
      <c r="AV1132" s="34"/>
      <c r="AW1132" s="34"/>
      <c r="AX1132" s="123"/>
    </row>
    <row r="1133" spans="1:50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1" t="s">
        <v>1262</v>
      </c>
      <c r="AB1133" s="42" t="s">
        <v>1015</v>
      </c>
      <c r="AC1133" s="43"/>
      <c r="AD1133" s="44">
        <v>0</v>
      </c>
      <c r="AE1133" s="43">
        <v>0</v>
      </c>
      <c r="AF1133" s="44">
        <v>0</v>
      </c>
      <c r="AG1133" s="252">
        <v>15000000</v>
      </c>
      <c r="AH1133" s="44">
        <v>0</v>
      </c>
      <c r="AI1133" s="43">
        <f>AE1133-AF1133+AG1133-AH1133</f>
        <v>15000000</v>
      </c>
      <c r="AJ1133" s="43">
        <f>AD1133+AI1133</f>
        <v>15000000</v>
      </c>
      <c r="AK1133" s="44">
        <v>0</v>
      </c>
      <c r="AL1133" s="44">
        <v>0</v>
      </c>
      <c r="AM1133" s="44">
        <v>0</v>
      </c>
      <c r="AN1133" s="44">
        <v>0</v>
      </c>
      <c r="AO1133" s="44">
        <v>0</v>
      </c>
      <c r="AP1133" s="44">
        <v>0</v>
      </c>
      <c r="AQ1133" s="44">
        <v>0</v>
      </c>
      <c r="AR1133" s="44">
        <v>0</v>
      </c>
      <c r="AS1133" s="44">
        <v>0</v>
      </c>
      <c r="AT1133" s="135">
        <f t="shared" ref="AT1133" si="442">AQ1133+AS1133</f>
        <v>0</v>
      </c>
      <c r="AU1133" s="18">
        <f>AJ1133-AM1133</f>
        <v>15000000</v>
      </c>
      <c r="AV1133" s="34">
        <f>AM1133-AP1133</f>
        <v>0</v>
      </c>
      <c r="AW1133" s="34">
        <f>AP1133-AT1133</f>
        <v>0</v>
      </c>
      <c r="AX1133" s="123">
        <f>AP1133/AJ1133</f>
        <v>0</v>
      </c>
    </row>
    <row r="1134" spans="1:50" ht="25.5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73" t="s">
        <v>288</v>
      </c>
      <c r="AB1134" s="74" t="s">
        <v>1329</v>
      </c>
      <c r="AC1134" s="43"/>
      <c r="AD1134" s="44"/>
      <c r="AE1134" s="43"/>
      <c r="AF1134" s="44"/>
      <c r="AG1134" s="252"/>
      <c r="AH1134" s="44"/>
      <c r="AI1134" s="43"/>
      <c r="AJ1134" s="43"/>
      <c r="AK1134" s="44"/>
      <c r="AL1134" s="44"/>
      <c r="AM1134" s="44"/>
      <c r="AN1134" s="44"/>
      <c r="AO1134" s="44"/>
      <c r="AP1134" s="44"/>
      <c r="AQ1134" s="44"/>
      <c r="AR1134" s="44"/>
      <c r="AS1134" s="44"/>
      <c r="AT1134" s="135"/>
      <c r="AU1134" s="18"/>
      <c r="AV1134" s="34"/>
      <c r="AW1134" s="34"/>
      <c r="AX1134" s="123"/>
    </row>
    <row r="1135" spans="1:50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1" t="s">
        <v>1330</v>
      </c>
      <c r="AB1135" s="42" t="s">
        <v>1015</v>
      </c>
      <c r="AC1135" s="43"/>
      <c r="AD1135" s="44">
        <v>0</v>
      </c>
      <c r="AE1135" s="43">
        <v>0</v>
      </c>
      <c r="AF1135" s="44">
        <v>0</v>
      </c>
      <c r="AG1135" s="43">
        <v>584279684.65999997</v>
      </c>
      <c r="AH1135" s="43">
        <v>330501029</v>
      </c>
      <c r="AI1135" s="43">
        <f>AE1135-AF1135+AG1135-AH1135</f>
        <v>253778655.65999997</v>
      </c>
      <c r="AJ1135" s="43">
        <f>AD1135+AI1135</f>
        <v>253778655.65999997</v>
      </c>
      <c r="AK1135" s="44">
        <v>0</v>
      </c>
      <c r="AL1135" s="44">
        <v>0</v>
      </c>
      <c r="AM1135" s="44">
        <v>0</v>
      </c>
      <c r="AN1135" s="44">
        <v>0</v>
      </c>
      <c r="AO1135" s="44">
        <v>0</v>
      </c>
      <c r="AP1135" s="44">
        <v>0</v>
      </c>
      <c r="AQ1135" s="44">
        <v>0</v>
      </c>
      <c r="AR1135" s="44">
        <v>0</v>
      </c>
      <c r="AS1135" s="44">
        <v>0</v>
      </c>
      <c r="AT1135" s="135">
        <f t="shared" ref="AT1135" si="443">AQ1135+AS1135</f>
        <v>0</v>
      </c>
      <c r="AU1135" s="18">
        <f>AJ1135-AM1135</f>
        <v>253778655.65999997</v>
      </c>
      <c r="AV1135" s="34">
        <f>AM1135-AP1135</f>
        <v>0</v>
      </c>
      <c r="AW1135" s="34">
        <f>AP1135-AT1135</f>
        <v>0</v>
      </c>
      <c r="AX1135" s="123">
        <f>AP1135/AJ1135</f>
        <v>0</v>
      </c>
    </row>
    <row r="1136" spans="1:50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1" t="s">
        <v>1358</v>
      </c>
      <c r="AB1136" s="42" t="s">
        <v>233</v>
      </c>
      <c r="AC1136" s="43"/>
      <c r="AD1136" s="44">
        <v>0</v>
      </c>
      <c r="AE1136" s="43">
        <v>0</v>
      </c>
      <c r="AF1136" s="44">
        <v>0</v>
      </c>
      <c r="AG1136" s="43">
        <v>9715720315.3400002</v>
      </c>
      <c r="AH1136" s="44">
        <v>0</v>
      </c>
      <c r="AI1136" s="43">
        <f>AE1136-AF1136+AG1136-AH1136</f>
        <v>9715720315.3400002</v>
      </c>
      <c r="AJ1136" s="43">
        <f>AD1136+AI1136</f>
        <v>9715720315.3400002</v>
      </c>
      <c r="AK1136" s="44">
        <v>0</v>
      </c>
      <c r="AL1136" s="44">
        <v>0</v>
      </c>
      <c r="AM1136" s="44">
        <v>0</v>
      </c>
      <c r="AN1136" s="44">
        <v>0</v>
      </c>
      <c r="AO1136" s="44">
        <v>0</v>
      </c>
      <c r="AP1136" s="44">
        <v>0</v>
      </c>
      <c r="AQ1136" s="44">
        <v>0</v>
      </c>
      <c r="AR1136" s="44">
        <v>0</v>
      </c>
      <c r="AS1136" s="44">
        <v>0</v>
      </c>
      <c r="AT1136" s="135">
        <f t="shared" ref="AT1136" si="444">AQ1136+AS1136</f>
        <v>0</v>
      </c>
      <c r="AU1136" s="18">
        <f>AJ1136-AM1136</f>
        <v>9715720315.3400002</v>
      </c>
      <c r="AV1136" s="34">
        <f>AM1136-AP1136</f>
        <v>0</v>
      </c>
      <c r="AW1136" s="34">
        <f>AP1136-AT1136</f>
        <v>0</v>
      </c>
      <c r="AX1136" s="123">
        <f>AP1136/AJ1136</f>
        <v>0</v>
      </c>
    </row>
    <row r="1137" spans="1:50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1"/>
      <c r="AB1137" s="42"/>
      <c r="AC1137" s="43"/>
      <c r="AD1137" s="44"/>
      <c r="AE1137" s="43"/>
      <c r="AF1137" s="44"/>
      <c r="AG1137" s="252"/>
      <c r="AH1137" s="44"/>
      <c r="AI1137" s="43"/>
      <c r="AJ1137" s="43"/>
      <c r="AK1137" s="44"/>
      <c r="AL1137" s="44"/>
      <c r="AM1137" s="43"/>
      <c r="AN1137" s="44"/>
      <c r="AO1137" s="44"/>
      <c r="AP1137" s="44"/>
      <c r="AQ1137" s="44"/>
      <c r="AR1137" s="44"/>
      <c r="AS1137" s="44"/>
      <c r="AT1137" s="135"/>
      <c r="AU1137" s="18"/>
      <c r="AV1137" s="34"/>
      <c r="AW1137" s="34"/>
      <c r="AX1137" s="123"/>
    </row>
    <row r="1138" spans="1:50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73" t="s">
        <v>1016</v>
      </c>
      <c r="AB1138" s="74" t="s">
        <v>1068</v>
      </c>
      <c r="AC1138" s="43"/>
      <c r="AD1138" s="44"/>
      <c r="AE1138" s="43"/>
      <c r="AF1138" s="44"/>
      <c r="AG1138" s="44"/>
      <c r="AH1138" s="44"/>
      <c r="AI1138" s="44"/>
      <c r="AJ1138" s="43"/>
      <c r="AK1138" s="44"/>
      <c r="AL1138" s="44"/>
      <c r="AM1138" s="43"/>
      <c r="AN1138" s="44"/>
      <c r="AO1138" s="44"/>
      <c r="AP1138" s="44"/>
      <c r="AQ1138" s="44"/>
      <c r="AR1138" s="44"/>
      <c r="AS1138" s="44"/>
      <c r="AT1138" s="135"/>
      <c r="AU1138" s="18"/>
      <c r="AV1138" s="34"/>
      <c r="AW1138" s="34"/>
      <c r="AX1138" s="123"/>
    </row>
    <row r="1139" spans="1:50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73" t="s">
        <v>1017</v>
      </c>
      <c r="AB1139" s="74" t="s">
        <v>1069</v>
      </c>
      <c r="AC1139" s="43"/>
      <c r="AD1139" s="44"/>
      <c r="AE1139" s="43"/>
      <c r="AF1139" s="44"/>
      <c r="AG1139" s="44"/>
      <c r="AH1139" s="44"/>
      <c r="AI1139" s="44"/>
      <c r="AJ1139" s="43"/>
      <c r="AK1139" s="44"/>
      <c r="AL1139" s="44"/>
      <c r="AM1139" s="43"/>
      <c r="AN1139" s="44"/>
      <c r="AO1139" s="44"/>
      <c r="AP1139" s="44"/>
      <c r="AQ1139" s="44"/>
      <c r="AR1139" s="44"/>
      <c r="AS1139" s="44"/>
      <c r="AT1139" s="135"/>
      <c r="AU1139" s="18"/>
      <c r="AV1139" s="34"/>
      <c r="AW1139" s="34"/>
      <c r="AX1139" s="123"/>
    </row>
    <row r="1140" spans="1:50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73" t="s">
        <v>1018</v>
      </c>
      <c r="AB1140" s="74" t="s">
        <v>286</v>
      </c>
      <c r="AC1140" s="43"/>
      <c r="AD1140" s="44"/>
      <c r="AE1140" s="43"/>
      <c r="AF1140" s="44"/>
      <c r="AG1140" s="44"/>
      <c r="AH1140" s="44"/>
      <c r="AI1140" s="44"/>
      <c r="AJ1140" s="43"/>
      <c r="AK1140" s="44"/>
      <c r="AL1140" s="44"/>
      <c r="AM1140" s="43"/>
      <c r="AN1140" s="44"/>
      <c r="AO1140" s="44"/>
      <c r="AP1140" s="44"/>
      <c r="AQ1140" s="44"/>
      <c r="AR1140" s="44"/>
      <c r="AS1140" s="44"/>
      <c r="AT1140" s="135"/>
      <c r="AU1140" s="18"/>
      <c r="AV1140" s="34"/>
      <c r="AW1140" s="34"/>
      <c r="AX1140" s="123"/>
    </row>
    <row r="1141" spans="1:50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73" t="s">
        <v>1021</v>
      </c>
      <c r="AB1141" s="74" t="s">
        <v>1070</v>
      </c>
      <c r="AC1141" s="43"/>
      <c r="AD1141" s="44"/>
      <c r="AE1141" s="43"/>
      <c r="AF1141" s="44"/>
      <c r="AG1141" s="44"/>
      <c r="AH1141" s="44"/>
      <c r="AI1141" s="44"/>
      <c r="AJ1141" s="43"/>
      <c r="AK1141" s="44"/>
      <c r="AL1141" s="44"/>
      <c r="AM1141" s="43"/>
      <c r="AN1141" s="44"/>
      <c r="AO1141" s="44"/>
      <c r="AP1141" s="44"/>
      <c r="AQ1141" s="44"/>
      <c r="AR1141" s="44"/>
      <c r="AS1141" s="44"/>
      <c r="AT1141" s="135"/>
      <c r="AU1141" s="18"/>
      <c r="AV1141" s="34"/>
      <c r="AW1141" s="34"/>
      <c r="AX1141" s="123"/>
    </row>
    <row r="1142" spans="1:50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1" t="s">
        <v>1019</v>
      </c>
      <c r="AB1142" s="42" t="s">
        <v>1005</v>
      </c>
      <c r="AC1142" s="43"/>
      <c r="AD1142" s="44">
        <v>0</v>
      </c>
      <c r="AE1142" s="43">
        <v>546274807</v>
      </c>
      <c r="AF1142" s="44">
        <v>0</v>
      </c>
      <c r="AG1142" s="44">
        <v>0</v>
      </c>
      <c r="AH1142" s="44">
        <v>0</v>
      </c>
      <c r="AI1142" s="43">
        <f>AE1142-AF1142+AG1142-AH1142</f>
        <v>546274807</v>
      </c>
      <c r="AJ1142" s="43">
        <f>AD1142+AI1142</f>
        <v>546274807</v>
      </c>
      <c r="AK1142" s="44">
        <v>0</v>
      </c>
      <c r="AL1142" s="44">
        <v>0</v>
      </c>
      <c r="AM1142" s="43">
        <v>0</v>
      </c>
      <c r="AN1142" s="44">
        <v>0</v>
      </c>
      <c r="AO1142" s="44">
        <v>0</v>
      </c>
      <c r="AP1142" s="44">
        <v>0</v>
      </c>
      <c r="AQ1142" s="44">
        <v>0</v>
      </c>
      <c r="AR1142" s="44">
        <v>0</v>
      </c>
      <c r="AS1142" s="44">
        <v>0</v>
      </c>
      <c r="AT1142" s="135">
        <f t="shared" ref="AT1142" si="445">AQ1142+AS1142</f>
        <v>0</v>
      </c>
      <c r="AU1142" s="18">
        <f>AJ1142-AM1142</f>
        <v>546274807</v>
      </c>
      <c r="AV1142" s="34">
        <f>AM1142-AP1142</f>
        <v>0</v>
      </c>
      <c r="AW1142" s="34">
        <f>AP1142-AT1142</f>
        <v>0</v>
      </c>
      <c r="AX1142" s="123">
        <f>AP1142/AJ1142</f>
        <v>0</v>
      </c>
    </row>
    <row r="1143" spans="1:50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1"/>
      <c r="AB1143" s="42"/>
      <c r="AC1143" s="43"/>
      <c r="AD1143" s="43"/>
      <c r="AE1143" s="43"/>
      <c r="AF1143" s="44"/>
      <c r="AG1143" s="44"/>
      <c r="AH1143" s="44"/>
      <c r="AI1143" s="44"/>
      <c r="AJ1143" s="43"/>
      <c r="AK1143" s="44"/>
      <c r="AL1143" s="44"/>
      <c r="AM1143" s="43"/>
      <c r="AN1143" s="44"/>
      <c r="AO1143" s="44"/>
      <c r="AP1143" s="43"/>
      <c r="AQ1143" s="43"/>
      <c r="AR1143" s="43"/>
      <c r="AS1143" s="43"/>
      <c r="AT1143" s="111"/>
      <c r="AU1143" s="18"/>
      <c r="AV1143" s="18"/>
      <c r="AW1143" s="18"/>
      <c r="AX1143" s="123"/>
    </row>
    <row r="1144" spans="1:50" s="50" customFormat="1" x14ac:dyDescent="0.2">
      <c r="B1144" s="77"/>
      <c r="C1144" s="77"/>
      <c r="D1144" s="77"/>
      <c r="E1144" s="77"/>
      <c r="F1144" s="77"/>
      <c r="G1144" s="77"/>
      <c r="H1144" s="77"/>
      <c r="I1144" s="77"/>
      <c r="J1144" s="77"/>
      <c r="K1144" s="77"/>
      <c r="L1144" s="77"/>
      <c r="M1144" s="77"/>
      <c r="N1144" s="77"/>
      <c r="O1144" s="77"/>
      <c r="P1144" s="77"/>
      <c r="Q1144" s="77"/>
      <c r="R1144" s="77"/>
      <c r="S1144" s="77"/>
      <c r="T1144" s="77"/>
      <c r="U1144" s="77"/>
      <c r="V1144" s="77"/>
      <c r="W1144" s="77"/>
      <c r="X1144" s="77"/>
      <c r="Y1144" s="77"/>
      <c r="Z1144" s="77"/>
      <c r="AA1144" s="46"/>
      <c r="AB1144" s="47" t="s">
        <v>702</v>
      </c>
      <c r="AC1144" s="47"/>
      <c r="AD1144" s="48">
        <f t="shared" ref="AD1144:AW1144" si="446">SUM(AD1113:AD1143)</f>
        <v>38899360013</v>
      </c>
      <c r="AE1144" s="48">
        <f t="shared" si="446"/>
        <v>2729997914.0599999</v>
      </c>
      <c r="AF1144" s="49">
        <f t="shared" si="446"/>
        <v>0</v>
      </c>
      <c r="AG1144" s="48">
        <f t="shared" si="446"/>
        <v>10315000000</v>
      </c>
      <c r="AH1144" s="48">
        <f t="shared" si="446"/>
        <v>17910780713.66</v>
      </c>
      <c r="AI1144" s="48">
        <f t="shared" si="446"/>
        <v>-4865782799.6000004</v>
      </c>
      <c r="AJ1144" s="48">
        <f t="shared" si="446"/>
        <v>34033577213.400002</v>
      </c>
      <c r="AK1144" s="49">
        <f t="shared" si="446"/>
        <v>0</v>
      </c>
      <c r="AL1144" s="48">
        <f t="shared" si="446"/>
        <v>17416667</v>
      </c>
      <c r="AM1144" s="48">
        <f t="shared" si="446"/>
        <v>22204368358</v>
      </c>
      <c r="AN1144" s="49">
        <f t="shared" si="446"/>
        <v>0</v>
      </c>
      <c r="AO1144" s="48">
        <f t="shared" si="446"/>
        <v>17416667</v>
      </c>
      <c r="AP1144" s="48">
        <f t="shared" si="446"/>
        <v>12610562452</v>
      </c>
      <c r="AQ1144" s="48">
        <f t="shared" si="446"/>
        <v>0</v>
      </c>
      <c r="AR1144" s="48">
        <f t="shared" si="446"/>
        <v>244300238</v>
      </c>
      <c r="AS1144" s="48">
        <f t="shared" si="446"/>
        <v>11982385071</v>
      </c>
      <c r="AT1144" s="48">
        <f t="shared" si="446"/>
        <v>11982385071</v>
      </c>
      <c r="AU1144" s="48">
        <f t="shared" si="446"/>
        <v>11829208855.4</v>
      </c>
      <c r="AV1144" s="48">
        <f t="shared" si="446"/>
        <v>9593805906</v>
      </c>
      <c r="AW1144" s="48">
        <f t="shared" si="446"/>
        <v>628177381</v>
      </c>
      <c r="AX1144" s="24">
        <f>AP1144/AJ1144</f>
        <v>0.37053297021727288</v>
      </c>
    </row>
    <row r="1145" spans="1:50" x14ac:dyDescent="0.2">
      <c r="AA1145" s="16"/>
      <c r="AB1145" s="17"/>
      <c r="AC1145" s="17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</row>
    <row r="1146" spans="1:50" s="25" customFormat="1" x14ac:dyDescent="0.2">
      <c r="B1146" s="71"/>
      <c r="C1146" s="71"/>
      <c r="D1146" s="71"/>
      <c r="E1146" s="71"/>
      <c r="F1146" s="71"/>
      <c r="G1146" s="71"/>
      <c r="H1146" s="71"/>
      <c r="I1146" s="71"/>
      <c r="J1146" s="71"/>
      <c r="K1146" s="71"/>
      <c r="L1146" s="71"/>
      <c r="M1146" s="71"/>
      <c r="N1146" s="71"/>
      <c r="O1146" s="71"/>
      <c r="P1146" s="71"/>
      <c r="Q1146" s="71"/>
      <c r="R1146" s="71"/>
      <c r="S1146" s="71"/>
      <c r="T1146" s="71"/>
      <c r="U1146" s="71"/>
      <c r="V1146" s="71"/>
      <c r="W1146" s="71"/>
      <c r="X1146" s="71"/>
      <c r="Y1146" s="71"/>
      <c r="Z1146" s="71"/>
      <c r="AA1146" s="66"/>
      <c r="AB1146" s="21" t="s">
        <v>703</v>
      </c>
      <c r="AC1146" s="67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U1146" s="63"/>
      <c r="AV1146" s="63"/>
      <c r="AW1146" s="63"/>
      <c r="AX1146" s="63"/>
    </row>
    <row r="1147" spans="1:50" x14ac:dyDescent="0.2">
      <c r="AA1147" s="16"/>
      <c r="AB1147" s="29" t="s">
        <v>676</v>
      </c>
      <c r="AC1147" s="17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</row>
    <row r="1148" spans="1:50" ht="18.75" customHeight="1" x14ac:dyDescent="0.2">
      <c r="AA1148" s="16"/>
      <c r="AB1148" s="29" t="s">
        <v>286</v>
      </c>
      <c r="AC1148" s="17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</row>
    <row r="1149" spans="1:50" ht="18.75" customHeight="1" x14ac:dyDescent="0.2">
      <c r="AA1149" s="16"/>
      <c r="AB1149" s="29" t="s">
        <v>179</v>
      </c>
      <c r="AC1149" s="17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</row>
    <row r="1150" spans="1:50" ht="18.75" customHeight="1" x14ac:dyDescent="0.2">
      <c r="AA1150" s="16"/>
      <c r="AB1150" s="29" t="s">
        <v>189</v>
      </c>
      <c r="AC1150" s="17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</row>
    <row r="1151" spans="1:50" ht="18.75" customHeight="1" x14ac:dyDescent="0.2">
      <c r="AA1151" s="73" t="s">
        <v>288</v>
      </c>
      <c r="AB1151" s="29" t="s">
        <v>292</v>
      </c>
      <c r="AC1151" s="17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</row>
    <row r="1152" spans="1:50" ht="18.75" customHeight="1" x14ac:dyDescent="0.2">
      <c r="AA1152" s="41" t="s">
        <v>1262</v>
      </c>
      <c r="AB1152" s="38" t="s">
        <v>1015</v>
      </c>
      <c r="AC1152" s="17"/>
      <c r="AD1152" s="34">
        <v>0</v>
      </c>
      <c r="AE1152" s="34">
        <v>0</v>
      </c>
      <c r="AF1152" s="34">
        <v>0</v>
      </c>
      <c r="AG1152" s="18">
        <v>235000000</v>
      </c>
      <c r="AH1152" s="18">
        <v>0</v>
      </c>
      <c r="AI1152" s="43">
        <f>AE1152-AF1152+AG1152-AH1152</f>
        <v>235000000</v>
      </c>
      <c r="AJ1152" s="43">
        <f>AD1152+AI1152</f>
        <v>235000000</v>
      </c>
      <c r="AK1152" s="34">
        <v>0</v>
      </c>
      <c r="AL1152" s="34">
        <v>0</v>
      </c>
      <c r="AM1152" s="34">
        <v>0</v>
      </c>
      <c r="AN1152" s="34">
        <v>0</v>
      </c>
      <c r="AO1152" s="34">
        <v>0</v>
      </c>
      <c r="AP1152" s="34">
        <v>0</v>
      </c>
      <c r="AQ1152" s="34">
        <v>0</v>
      </c>
      <c r="AR1152" s="34">
        <v>0</v>
      </c>
      <c r="AS1152" s="34">
        <v>0</v>
      </c>
      <c r="AT1152" s="135">
        <f t="shared" ref="AT1152" si="447">AQ1152+AS1152</f>
        <v>0</v>
      </c>
      <c r="AU1152" s="18">
        <f>AJ1152-AM1152</f>
        <v>235000000</v>
      </c>
      <c r="AV1152" s="133">
        <f>AM1152-AP1152</f>
        <v>0</v>
      </c>
      <c r="AW1152" s="34">
        <f>AP1152-AT1152</f>
        <v>0</v>
      </c>
      <c r="AX1152" s="123">
        <f>AP1152/AJ1152</f>
        <v>0</v>
      </c>
    </row>
    <row r="1153" spans="1:50" ht="18.75" customHeight="1" x14ac:dyDescent="0.2">
      <c r="AA1153" s="16"/>
      <c r="AB1153" s="29" t="s">
        <v>199</v>
      </c>
      <c r="AC1153" s="17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34"/>
      <c r="AO1153" s="18"/>
      <c r="AP1153" s="18"/>
      <c r="AQ1153" s="18"/>
      <c r="AR1153" s="18"/>
      <c r="AS1153" s="18"/>
      <c r="AT1153" s="30"/>
      <c r="AU1153" s="18"/>
      <c r="AV1153" s="18"/>
      <c r="AW1153" s="18"/>
      <c r="AX1153" s="18"/>
    </row>
    <row r="1154" spans="1:50" ht="39" customHeight="1" x14ac:dyDescent="0.2">
      <c r="AA1154" s="170" t="s">
        <v>288</v>
      </c>
      <c r="AB1154" s="165" t="s">
        <v>1124</v>
      </c>
      <c r="AC1154" s="161"/>
      <c r="AD1154" s="18"/>
      <c r="AE1154" s="222"/>
      <c r="AF1154" s="18"/>
      <c r="AG1154" s="18"/>
      <c r="AH1154" s="18"/>
      <c r="AI1154" s="18"/>
      <c r="AJ1154" s="18"/>
      <c r="AK1154" s="18"/>
      <c r="AL1154" s="18"/>
      <c r="AM1154" s="18"/>
      <c r="AN1154" s="34"/>
      <c r="AO1154" s="18"/>
      <c r="AP1154" s="18"/>
      <c r="AQ1154" s="18"/>
      <c r="AR1154" s="18"/>
      <c r="AS1154" s="18"/>
      <c r="AT1154" s="30"/>
      <c r="AU1154" s="18"/>
      <c r="AV1154" s="18"/>
      <c r="AW1154" s="18"/>
      <c r="AX1154" s="18"/>
    </row>
    <row r="1155" spans="1:50" ht="28.5" customHeight="1" x14ac:dyDescent="0.2">
      <c r="AA1155" s="166" t="s">
        <v>1129</v>
      </c>
      <c r="AB1155" s="167" t="s">
        <v>1130</v>
      </c>
      <c r="AC1155" s="161"/>
      <c r="AD1155" s="34">
        <v>0</v>
      </c>
      <c r="AE1155" s="217">
        <v>13266452.33</v>
      </c>
      <c r="AF1155" s="232">
        <v>0</v>
      </c>
      <c r="AG1155" s="34">
        <v>0</v>
      </c>
      <c r="AH1155" s="34">
        <v>0</v>
      </c>
      <c r="AI1155" s="43">
        <f>AE1155-AF1155+AG1155-AH1155</f>
        <v>13266452.33</v>
      </c>
      <c r="AJ1155" s="43">
        <f>AD1155+AI1155</f>
        <v>13266452.33</v>
      </c>
      <c r="AK1155" s="34">
        <v>0</v>
      </c>
      <c r="AL1155" s="18">
        <f>AM1155-AGOSTO!AM1121</f>
        <v>-1015332</v>
      </c>
      <c r="AM1155" s="18">
        <v>12251120</v>
      </c>
      <c r="AN1155" s="34">
        <v>0</v>
      </c>
      <c r="AO1155" s="18">
        <v>6600000</v>
      </c>
      <c r="AP1155" s="18">
        <v>12251120</v>
      </c>
      <c r="AQ1155" s="34">
        <v>0</v>
      </c>
      <c r="AR1155" s="34">
        <v>0</v>
      </c>
      <c r="AS1155" s="34">
        <v>0</v>
      </c>
      <c r="AT1155" s="135">
        <f t="shared" ref="AT1155:AT1157" si="448">AQ1155+AS1155</f>
        <v>0</v>
      </c>
      <c r="AU1155" s="18">
        <f>AJ1155-AM1155</f>
        <v>1015332.3300000001</v>
      </c>
      <c r="AV1155" s="34">
        <f>AM1155-AP1155</f>
        <v>0</v>
      </c>
      <c r="AW1155" s="18">
        <f>AP1155-AT1155</f>
        <v>12251120</v>
      </c>
      <c r="AX1155" s="123">
        <f>AP1155/AJ1155</f>
        <v>0.92346617582878687</v>
      </c>
    </row>
    <row r="1156" spans="1:50" ht="18.75" customHeight="1" x14ac:dyDescent="0.2">
      <c r="AA1156" s="166" t="s">
        <v>1127</v>
      </c>
      <c r="AB1156" s="167" t="s">
        <v>1128</v>
      </c>
      <c r="AC1156" s="161"/>
      <c r="AD1156" s="34">
        <v>0</v>
      </c>
      <c r="AE1156" s="217">
        <v>10555526.43</v>
      </c>
      <c r="AF1156" s="232">
        <v>0</v>
      </c>
      <c r="AG1156" s="34">
        <v>0</v>
      </c>
      <c r="AH1156" s="34">
        <v>0</v>
      </c>
      <c r="AI1156" s="43">
        <f>AE1156-AF1156+AG1156-AH1156</f>
        <v>10555526.43</v>
      </c>
      <c r="AJ1156" s="43">
        <f>AD1156+AI1156</f>
        <v>10555526.43</v>
      </c>
      <c r="AK1156" s="34">
        <v>0</v>
      </c>
      <c r="AL1156" s="18">
        <f>AM1156-AGOSTO!AM1122</f>
        <v>-1184668</v>
      </c>
      <c r="AM1156" s="18">
        <v>6600000</v>
      </c>
      <c r="AN1156" s="34">
        <v>0</v>
      </c>
      <c r="AO1156" s="18">
        <v>6600000</v>
      </c>
      <c r="AP1156" s="18">
        <v>6600000</v>
      </c>
      <c r="AQ1156" s="34">
        <v>0</v>
      </c>
      <c r="AR1156" s="34">
        <v>0</v>
      </c>
      <c r="AS1156" s="34">
        <v>0</v>
      </c>
      <c r="AT1156" s="135">
        <f t="shared" si="448"/>
        <v>0</v>
      </c>
      <c r="AU1156" s="18">
        <f>AJ1156-AM1156</f>
        <v>3955526.4299999997</v>
      </c>
      <c r="AV1156" s="34">
        <f>AM1156-AP1156</f>
        <v>0</v>
      </c>
      <c r="AW1156" s="18">
        <f>AP1156-AT1156</f>
        <v>6600000</v>
      </c>
      <c r="AX1156" s="123">
        <f>AP1156/AJ1156</f>
        <v>0.62526488316509288</v>
      </c>
    </row>
    <row r="1157" spans="1:50" ht="25.5" customHeight="1" x14ac:dyDescent="0.2">
      <c r="AA1157" s="166" t="s">
        <v>1125</v>
      </c>
      <c r="AB1157" s="167" t="s">
        <v>1126</v>
      </c>
      <c r="AC1157" s="161"/>
      <c r="AD1157" s="34">
        <v>0</v>
      </c>
      <c r="AE1157" s="217">
        <v>4178021.24</v>
      </c>
      <c r="AF1157" s="232">
        <v>0</v>
      </c>
      <c r="AG1157" s="34">
        <v>0</v>
      </c>
      <c r="AH1157" s="34">
        <v>0</v>
      </c>
      <c r="AI1157" s="43">
        <f t="shared" ref="AI1157" si="449">AE1157-AF1157+AG1157-AH1157</f>
        <v>4178021.24</v>
      </c>
      <c r="AJ1157" s="43">
        <f t="shared" ref="AJ1157" si="450">AD1157+AI1157</f>
        <v>4178021.24</v>
      </c>
      <c r="AK1157" s="34">
        <v>0</v>
      </c>
      <c r="AL1157" s="18">
        <f>AM1157-AGOSTO!AM1123</f>
        <v>0</v>
      </c>
      <c r="AM1157" s="18">
        <v>3148880</v>
      </c>
      <c r="AN1157" s="34">
        <v>0</v>
      </c>
      <c r="AO1157" s="18">
        <v>0</v>
      </c>
      <c r="AP1157" s="18">
        <v>3148880</v>
      </c>
      <c r="AQ1157" s="34">
        <v>0</v>
      </c>
      <c r="AR1157" s="18">
        <v>440000</v>
      </c>
      <c r="AS1157" s="18">
        <v>440000</v>
      </c>
      <c r="AT1157" s="39">
        <f t="shared" si="448"/>
        <v>440000</v>
      </c>
      <c r="AU1157" s="18">
        <f>AJ1157-AM1157</f>
        <v>1029141.2400000002</v>
      </c>
      <c r="AV1157" s="133">
        <f>AM1157-AP1157</f>
        <v>0</v>
      </c>
      <c r="AW1157" s="18">
        <f>AP1157-AT1157</f>
        <v>2708880</v>
      </c>
      <c r="AX1157" s="123">
        <f>AP1157/AJ1157</f>
        <v>0.75367735564695215</v>
      </c>
    </row>
    <row r="1158" spans="1:50" x14ac:dyDescent="0.2">
      <c r="AA1158" s="28" t="s">
        <v>288</v>
      </c>
      <c r="AB1158" s="29" t="s">
        <v>704</v>
      </c>
      <c r="AC1158" s="17"/>
      <c r="AD1158" s="18"/>
      <c r="AE1158" s="18"/>
      <c r="AF1158" s="18"/>
      <c r="AG1158" s="18"/>
      <c r="AH1158" s="18"/>
      <c r="AI1158" s="18"/>
      <c r="AJ1158" s="18"/>
      <c r="AK1158" s="34"/>
      <c r="AL1158" s="34"/>
      <c r="AM1158" s="34"/>
      <c r="AN1158" s="34"/>
      <c r="AO1158" s="34"/>
      <c r="AP1158" s="34"/>
      <c r="AQ1158" s="34"/>
      <c r="AR1158" s="34"/>
      <c r="AS1158" s="34"/>
      <c r="AT1158" s="31"/>
      <c r="AU1158" s="18"/>
      <c r="AV1158" s="34"/>
      <c r="AW1158" s="18"/>
      <c r="AX1158" s="18"/>
    </row>
    <row r="1159" spans="1:50" x14ac:dyDescent="0.2">
      <c r="A1159" s="4" t="s">
        <v>55</v>
      </c>
      <c r="B1159" s="4" t="s">
        <v>56</v>
      </c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1" t="s">
        <v>705</v>
      </c>
      <c r="AB1159" s="42" t="s">
        <v>233</v>
      </c>
      <c r="AC1159" s="43" t="s">
        <v>58</v>
      </c>
      <c r="AD1159" s="43">
        <v>221000000</v>
      </c>
      <c r="AE1159" s="44">
        <v>0</v>
      </c>
      <c r="AF1159" s="44">
        <v>0</v>
      </c>
      <c r="AG1159" s="44">
        <v>0</v>
      </c>
      <c r="AH1159" s="43">
        <v>221000000</v>
      </c>
      <c r="AI1159" s="136">
        <f>AE1159-AF1159+AG1159-AH1159</f>
        <v>-221000000</v>
      </c>
      <c r="AJ1159" s="44">
        <f>AD1159+AI1159</f>
        <v>0</v>
      </c>
      <c r="AK1159" s="44">
        <v>0</v>
      </c>
      <c r="AL1159" s="44">
        <v>0</v>
      </c>
      <c r="AM1159" s="44">
        <v>0</v>
      </c>
      <c r="AN1159" s="44">
        <v>0</v>
      </c>
      <c r="AO1159" s="44">
        <v>0</v>
      </c>
      <c r="AP1159" s="44">
        <v>0</v>
      </c>
      <c r="AQ1159" s="44">
        <v>0</v>
      </c>
      <c r="AR1159" s="44">
        <v>0</v>
      </c>
      <c r="AS1159" s="44">
        <v>0</v>
      </c>
      <c r="AT1159" s="40">
        <f t="shared" ref="AT1159:AT1165" si="451">AQ1159+AS1159</f>
        <v>0</v>
      </c>
      <c r="AU1159" s="34">
        <f>AJ1159-AM1159</f>
        <v>0</v>
      </c>
      <c r="AV1159" s="133">
        <f>AM1159-AP1159</f>
        <v>0</v>
      </c>
      <c r="AW1159" s="34">
        <f>AP1159-AT1159</f>
        <v>0</v>
      </c>
      <c r="AX1159" s="123">
        <v>0</v>
      </c>
    </row>
    <row r="1160" spans="1:50" ht="25.5" x14ac:dyDescent="0.2">
      <c r="AA1160" s="28" t="s">
        <v>288</v>
      </c>
      <c r="AB1160" s="29" t="s">
        <v>706</v>
      </c>
      <c r="AC1160" s="17"/>
      <c r="AD1160" s="18"/>
      <c r="AE1160" s="34"/>
      <c r="AF1160" s="34"/>
      <c r="AG1160" s="34"/>
      <c r="AH1160" s="18"/>
      <c r="AI1160" s="18"/>
      <c r="AJ1160" s="18"/>
      <c r="AK1160" s="34"/>
      <c r="AL1160" s="18"/>
      <c r="AM1160" s="18"/>
      <c r="AN1160" s="18"/>
      <c r="AO1160" s="18"/>
      <c r="AP1160" s="18"/>
      <c r="AQ1160" s="18"/>
      <c r="AR1160" s="18"/>
      <c r="AS1160" s="18"/>
      <c r="AT1160" s="31"/>
      <c r="AU1160" s="18"/>
      <c r="AV1160" s="34"/>
      <c r="AW1160" s="18"/>
      <c r="AX1160" s="18"/>
    </row>
    <row r="1161" spans="1:50" x14ac:dyDescent="0.2">
      <c r="A1161" s="4" t="s">
        <v>55</v>
      </c>
      <c r="B1161" s="4" t="s">
        <v>56</v>
      </c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1" t="s">
        <v>982</v>
      </c>
      <c r="AB1161" s="42" t="s">
        <v>233</v>
      </c>
      <c r="AC1161" s="43" t="s">
        <v>58</v>
      </c>
      <c r="AD1161" s="43">
        <v>2458264706</v>
      </c>
      <c r="AE1161" s="44">
        <v>0</v>
      </c>
      <c r="AF1161" s="44">
        <v>0</v>
      </c>
      <c r="AG1161" s="44">
        <v>0</v>
      </c>
      <c r="AH1161" s="44">
        <v>0</v>
      </c>
      <c r="AI1161" s="97">
        <f>AE1161-AF1161+AG1161-AH1161</f>
        <v>0</v>
      </c>
      <c r="AJ1161" s="43">
        <f>AD1161+AI1161</f>
        <v>2458264706</v>
      </c>
      <c r="AK1161" s="43">
        <v>0</v>
      </c>
      <c r="AL1161" s="43">
        <f>AM1161-AGOSTO!AM1127</f>
        <v>-230624</v>
      </c>
      <c r="AM1161" s="43">
        <v>2432623482</v>
      </c>
      <c r="AN1161" s="43">
        <v>0</v>
      </c>
      <c r="AO1161" s="43">
        <v>72769376</v>
      </c>
      <c r="AP1161" s="43">
        <v>2432623482</v>
      </c>
      <c r="AQ1161" s="43">
        <v>76353333</v>
      </c>
      <c r="AR1161" s="43">
        <v>327271736</v>
      </c>
      <c r="AS1161" s="43">
        <v>896900507</v>
      </c>
      <c r="AT1161" s="111">
        <f t="shared" si="451"/>
        <v>973253840</v>
      </c>
      <c r="AU1161" s="18">
        <f>AJ1161-AM1161</f>
        <v>25641224</v>
      </c>
      <c r="AV1161" s="34">
        <f>AM1161-AP1161</f>
        <v>0</v>
      </c>
      <c r="AW1161" s="18">
        <f>AP1161-AT1161</f>
        <v>1459369642</v>
      </c>
      <c r="AX1161" s="123">
        <f>AP1161/AJ1161</f>
        <v>0.98956938040992237</v>
      </c>
    </row>
    <row r="1162" spans="1:50" ht="38.25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73" t="s">
        <v>288</v>
      </c>
      <c r="AB1162" s="74" t="s">
        <v>1122</v>
      </c>
      <c r="AC1162" s="43"/>
      <c r="AD1162" s="43"/>
      <c r="AE1162" s="44"/>
      <c r="AF1162" s="44"/>
      <c r="AG1162" s="44"/>
      <c r="AH1162" s="44"/>
      <c r="AI1162" s="97"/>
      <c r="AJ1162" s="43"/>
      <c r="AK1162" s="44"/>
      <c r="AL1162" s="44"/>
      <c r="AM1162" s="43"/>
      <c r="AN1162" s="44"/>
      <c r="AO1162" s="43"/>
      <c r="AP1162" s="43"/>
      <c r="AQ1162" s="43"/>
      <c r="AR1162" s="43"/>
      <c r="AS1162" s="43"/>
      <c r="AT1162" s="111"/>
      <c r="AU1162" s="18"/>
      <c r="AV1162" s="133"/>
      <c r="AW1162" s="18"/>
      <c r="AX1162" s="123"/>
    </row>
    <row r="1163" spans="1:50" ht="25.5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1" t="s">
        <v>1123</v>
      </c>
      <c r="AB1163" s="42" t="s">
        <v>1121</v>
      </c>
      <c r="AC1163" s="43"/>
      <c r="AD1163" s="44">
        <v>0</v>
      </c>
      <c r="AE1163" s="43">
        <v>3500000</v>
      </c>
      <c r="AF1163" s="44">
        <v>0</v>
      </c>
      <c r="AG1163" s="44">
        <v>0</v>
      </c>
      <c r="AH1163" s="44">
        <v>0</v>
      </c>
      <c r="AI1163" s="136">
        <f>AE1163-AF1163+AG1163-AH1163</f>
        <v>3500000</v>
      </c>
      <c r="AJ1163" s="43">
        <f>AD1163+AI1163</f>
        <v>3500000</v>
      </c>
      <c r="AK1163" s="44">
        <v>0</v>
      </c>
      <c r="AL1163" s="44">
        <v>0</v>
      </c>
      <c r="AM1163" s="43">
        <v>0</v>
      </c>
      <c r="AN1163" s="44">
        <v>0</v>
      </c>
      <c r="AO1163" s="44">
        <v>0</v>
      </c>
      <c r="AP1163" s="44">
        <v>0</v>
      </c>
      <c r="AQ1163" s="44">
        <v>0</v>
      </c>
      <c r="AR1163" s="44">
        <v>0</v>
      </c>
      <c r="AS1163" s="44">
        <v>0</v>
      </c>
      <c r="AT1163" s="135"/>
      <c r="AU1163" s="18">
        <f>AJ1163-AM1163</f>
        <v>3500000</v>
      </c>
      <c r="AV1163" s="133">
        <f>AM1163-AP1163</f>
        <v>0</v>
      </c>
      <c r="AW1163" s="34">
        <f>AP1163-AT1163</f>
        <v>0</v>
      </c>
      <c r="AX1163" s="123">
        <f>AP1163/AJ1163</f>
        <v>0</v>
      </c>
    </row>
    <row r="1164" spans="1:50" ht="25.5" x14ac:dyDescent="0.2">
      <c r="AA1164" s="28" t="s">
        <v>288</v>
      </c>
      <c r="AB1164" s="29" t="s">
        <v>708</v>
      </c>
      <c r="AC1164" s="17"/>
      <c r="AD1164" s="18"/>
      <c r="AE1164" s="34"/>
      <c r="AF1164" s="34"/>
      <c r="AG1164" s="34"/>
      <c r="AH1164" s="18"/>
      <c r="AI1164" s="18"/>
      <c r="AJ1164" s="18"/>
      <c r="AK1164" s="34"/>
      <c r="AL1164" s="34"/>
      <c r="AM1164" s="18"/>
      <c r="AN1164" s="34"/>
      <c r="AO1164" s="18"/>
      <c r="AP1164" s="18"/>
      <c r="AQ1164" s="18"/>
      <c r="AR1164" s="18"/>
      <c r="AS1164" s="18"/>
      <c r="AT1164" s="31"/>
      <c r="AU1164" s="18"/>
      <c r="AV1164" s="18"/>
      <c r="AW1164" s="18"/>
      <c r="AX1164" s="18"/>
    </row>
    <row r="1165" spans="1:50" x14ac:dyDescent="0.2">
      <c r="A1165" s="4" t="s">
        <v>55</v>
      </c>
      <c r="B1165" s="4" t="s">
        <v>56</v>
      </c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1" t="s">
        <v>709</v>
      </c>
      <c r="AB1165" s="42" t="s">
        <v>233</v>
      </c>
      <c r="AC1165" s="43" t="s">
        <v>58</v>
      </c>
      <c r="AD1165" s="43">
        <v>501500000</v>
      </c>
      <c r="AE1165" s="44">
        <v>0</v>
      </c>
      <c r="AF1165" s="44">
        <v>0</v>
      </c>
      <c r="AG1165" s="43">
        <v>204500000</v>
      </c>
      <c r="AH1165" s="43">
        <v>501500000</v>
      </c>
      <c r="AI1165" s="136">
        <f>AE1165-AF1165+AG1165-AH1165</f>
        <v>-297000000</v>
      </c>
      <c r="AJ1165" s="43">
        <f>AD1165+AI1165</f>
        <v>204500000</v>
      </c>
      <c r="AK1165" s="44">
        <v>0</v>
      </c>
      <c r="AL1165" s="44">
        <v>0</v>
      </c>
      <c r="AM1165" s="43">
        <v>192393333</v>
      </c>
      <c r="AN1165" s="44">
        <v>0</v>
      </c>
      <c r="AO1165" s="43">
        <v>0</v>
      </c>
      <c r="AP1165" s="43">
        <v>192393333</v>
      </c>
      <c r="AQ1165" s="43">
        <v>13300000</v>
      </c>
      <c r="AR1165" s="43">
        <v>11480000</v>
      </c>
      <c r="AS1165" s="43">
        <v>101403334</v>
      </c>
      <c r="AT1165" s="39">
        <f t="shared" si="451"/>
        <v>114703334</v>
      </c>
      <c r="AU1165" s="18">
        <f>AJ1165-AM1165</f>
        <v>12106667</v>
      </c>
      <c r="AV1165" s="34">
        <f>AM1165-AP1165</f>
        <v>0</v>
      </c>
      <c r="AW1165" s="18">
        <f>AP1165-AT1165</f>
        <v>77689999</v>
      </c>
      <c r="AX1165" s="123">
        <f>AP1165/AJ1165</f>
        <v>0.94079869437652808</v>
      </c>
    </row>
    <row r="1166" spans="1:50" x14ac:dyDescent="0.2">
      <c r="AA1166" s="28" t="s">
        <v>288</v>
      </c>
      <c r="AB1166" s="29" t="s">
        <v>710</v>
      </c>
      <c r="AC1166" s="17"/>
      <c r="AD1166" s="18"/>
      <c r="AE1166" s="18"/>
      <c r="AF1166" s="18"/>
      <c r="AG1166" s="18"/>
      <c r="AH1166" s="18"/>
      <c r="AI1166" s="18"/>
      <c r="AJ1166" s="18"/>
      <c r="AK1166" s="34"/>
      <c r="AL1166" s="34"/>
      <c r="AM1166" s="18"/>
      <c r="AN1166" s="34"/>
      <c r="AO1166" s="18"/>
      <c r="AP1166" s="18"/>
      <c r="AQ1166" s="18"/>
      <c r="AR1166" s="18"/>
      <c r="AS1166" s="18"/>
      <c r="AT1166" s="31"/>
      <c r="AU1166" s="18"/>
      <c r="AV1166" s="34"/>
      <c r="AW1166" s="34"/>
      <c r="AX1166" s="18"/>
    </row>
    <row r="1167" spans="1:50" ht="16.5" customHeight="1" x14ac:dyDescent="0.2">
      <c r="A1167" s="4" t="s">
        <v>55</v>
      </c>
      <c r="B1167" s="4" t="s">
        <v>56</v>
      </c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1" t="s">
        <v>711</v>
      </c>
      <c r="AB1167" s="17" t="s">
        <v>233</v>
      </c>
      <c r="AC1167" s="43" t="s">
        <v>58</v>
      </c>
      <c r="AD1167" s="44">
        <v>0</v>
      </c>
      <c r="AE1167" s="44">
        <v>0</v>
      </c>
      <c r="AF1167" s="44">
        <v>0</v>
      </c>
      <c r="AG1167" s="43">
        <v>3086332698</v>
      </c>
      <c r="AH1167" s="44">
        <v>0</v>
      </c>
      <c r="AI1167" s="136">
        <f>AE1167-AF1167+AG1167-AH1167</f>
        <v>3086332698</v>
      </c>
      <c r="AJ1167" s="43">
        <f>AD1167+AI1167</f>
        <v>3086332698</v>
      </c>
      <c r="AK1167" s="44">
        <v>0</v>
      </c>
      <c r="AL1167" s="44">
        <v>0</v>
      </c>
      <c r="AM1167" s="44">
        <v>0</v>
      </c>
      <c r="AN1167" s="44">
        <v>0</v>
      </c>
      <c r="AO1167" s="44">
        <v>0</v>
      </c>
      <c r="AP1167" s="44">
        <v>0</v>
      </c>
      <c r="AQ1167" s="44">
        <v>0</v>
      </c>
      <c r="AR1167" s="44">
        <v>0</v>
      </c>
      <c r="AS1167" s="44">
        <v>0</v>
      </c>
      <c r="AT1167" s="40">
        <f t="shared" ref="AT1167:AT1168" si="452">AQ1167+AS1167</f>
        <v>0</v>
      </c>
      <c r="AU1167" s="18">
        <f>AJ1167-AM1167</f>
        <v>3086332698</v>
      </c>
      <c r="AV1167" s="133">
        <f>AM1167-AP1167</f>
        <v>0</v>
      </c>
      <c r="AW1167" s="34">
        <f>AP1167-AT1167</f>
        <v>0</v>
      </c>
      <c r="AX1167" s="123">
        <f>AP1167/AJ1167</f>
        <v>0</v>
      </c>
    </row>
    <row r="1168" spans="1:50" ht="16.5" customHeight="1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166" t="s">
        <v>1131</v>
      </c>
      <c r="AB1168" s="167" t="s">
        <v>1015</v>
      </c>
      <c r="AC1168" s="168"/>
      <c r="AD1168" s="44">
        <v>0</v>
      </c>
      <c r="AE1168" s="43">
        <v>2950125891</v>
      </c>
      <c r="AF1168" s="44">
        <v>0</v>
      </c>
      <c r="AG1168" s="44">
        <v>0</v>
      </c>
      <c r="AH1168" s="44">
        <v>0</v>
      </c>
      <c r="AI1168" s="136">
        <f>AE1168-AF1168+AG1168-AH1168</f>
        <v>2950125891</v>
      </c>
      <c r="AJ1168" s="43">
        <f>AD1168+AI1168</f>
        <v>2950125891</v>
      </c>
      <c r="AK1168" s="44">
        <v>0</v>
      </c>
      <c r="AL1168" s="44">
        <v>0</v>
      </c>
      <c r="AM1168" s="44">
        <v>0</v>
      </c>
      <c r="AN1168" s="44">
        <v>0</v>
      </c>
      <c r="AO1168" s="44">
        <v>0</v>
      </c>
      <c r="AP1168" s="44">
        <v>0</v>
      </c>
      <c r="AQ1168" s="44">
        <v>0</v>
      </c>
      <c r="AR1168" s="44">
        <v>0</v>
      </c>
      <c r="AS1168" s="44">
        <v>0</v>
      </c>
      <c r="AT1168" s="40">
        <f t="shared" si="452"/>
        <v>0</v>
      </c>
      <c r="AU1168" s="18">
        <f>AJ1168-AM1168</f>
        <v>2950125891</v>
      </c>
      <c r="AV1168" s="133">
        <f>AM1168-AP1168</f>
        <v>0</v>
      </c>
      <c r="AW1168" s="34">
        <f>AP1168-AT1168</f>
        <v>0</v>
      </c>
      <c r="AX1168" s="123">
        <f>AP1168/AJ1168</f>
        <v>0</v>
      </c>
    </row>
    <row r="1169" spans="1:50" x14ac:dyDescent="0.2">
      <c r="AA1169" s="169" t="s">
        <v>288</v>
      </c>
      <c r="AB1169" s="163" t="s">
        <v>712</v>
      </c>
      <c r="AC1169" s="17"/>
      <c r="AD1169" s="34"/>
      <c r="AE1169" s="34"/>
      <c r="AF1169" s="34"/>
      <c r="AG1169" s="18"/>
      <c r="AH1169" s="18"/>
      <c r="AI1169" s="18"/>
      <c r="AJ1169" s="18"/>
      <c r="AK1169" s="34"/>
      <c r="AL1169" s="34"/>
      <c r="AM1169" s="34"/>
      <c r="AN1169" s="34"/>
      <c r="AO1169" s="34"/>
      <c r="AP1169" s="34"/>
      <c r="AQ1169" s="18"/>
      <c r="AR1169" s="18"/>
      <c r="AS1169" s="34"/>
      <c r="AT1169" s="31"/>
      <c r="AU1169" s="18"/>
      <c r="AV1169" s="34"/>
      <c r="AW1169" s="34"/>
      <c r="AX1169" s="18"/>
    </row>
    <row r="1170" spans="1:50" x14ac:dyDescent="0.2">
      <c r="A1170" s="4" t="s">
        <v>55</v>
      </c>
      <c r="B1170" s="4" t="s">
        <v>56</v>
      </c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1" t="s">
        <v>713</v>
      </c>
      <c r="AB1170" s="17" t="s">
        <v>233</v>
      </c>
      <c r="AC1170" s="43" t="s">
        <v>58</v>
      </c>
      <c r="AD1170" s="44">
        <v>0</v>
      </c>
      <c r="AE1170" s="44">
        <v>0</v>
      </c>
      <c r="AF1170" s="44">
        <v>0</v>
      </c>
      <c r="AG1170" s="43">
        <v>501500000</v>
      </c>
      <c r="AH1170" s="43">
        <f>204500000</f>
        <v>204500000</v>
      </c>
      <c r="AI1170" s="136">
        <f>AE1170-AF1170+AG1170-AH1170</f>
        <v>297000000</v>
      </c>
      <c r="AJ1170" s="43">
        <f>AD1170+AI1170</f>
        <v>297000000</v>
      </c>
      <c r="AK1170" s="44">
        <v>0</v>
      </c>
      <c r="AL1170" s="44">
        <v>0</v>
      </c>
      <c r="AM1170" s="43">
        <v>276500000</v>
      </c>
      <c r="AN1170" s="44">
        <v>0</v>
      </c>
      <c r="AO1170" s="44">
        <v>0</v>
      </c>
      <c r="AP1170" s="43">
        <v>276500000</v>
      </c>
      <c r="AQ1170" s="43">
        <v>19000000</v>
      </c>
      <c r="AR1170" s="43">
        <v>34133333</v>
      </c>
      <c r="AS1170" s="43">
        <v>153266667</v>
      </c>
      <c r="AT1170" s="39">
        <f t="shared" ref="AT1170" si="453">AQ1170+AS1170</f>
        <v>172266667</v>
      </c>
      <c r="AU1170" s="18">
        <f>AJ1170-AM1170</f>
        <v>20500000</v>
      </c>
      <c r="AV1170" s="18">
        <f>AM1170-AP1170</f>
        <v>0</v>
      </c>
      <c r="AW1170" s="18">
        <f>AP1170-AT1170</f>
        <v>104233333</v>
      </c>
      <c r="AX1170" s="123">
        <f>AP1170/AJ1170</f>
        <v>0.93097643097643101</v>
      </c>
    </row>
    <row r="1171" spans="1:50" ht="16.5" customHeight="1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170" t="s">
        <v>288</v>
      </c>
      <c r="AB1171" s="165" t="s">
        <v>1132</v>
      </c>
      <c r="AC1171" s="168"/>
      <c r="AD1171" s="44"/>
      <c r="AE1171" s="44"/>
      <c r="AF1171" s="44"/>
      <c r="AG1171" s="43"/>
      <c r="AH1171" s="43"/>
      <c r="AI1171" s="136"/>
      <c r="AJ1171" s="43"/>
      <c r="AK1171" s="44"/>
      <c r="AL1171" s="115"/>
      <c r="AM1171" s="114"/>
      <c r="AN1171" s="44"/>
      <c r="AO1171" s="114"/>
      <c r="AP1171" s="114"/>
      <c r="AQ1171" s="43"/>
      <c r="AR1171" s="43"/>
      <c r="AS1171" s="43"/>
      <c r="AT1171" s="39"/>
      <c r="AU1171" s="18"/>
      <c r="AV1171" s="133"/>
      <c r="AW1171" s="18"/>
      <c r="AX1171" s="123"/>
    </row>
    <row r="1172" spans="1:50" ht="25.5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166" t="s">
        <v>1133</v>
      </c>
      <c r="AB1172" s="167" t="s">
        <v>1044</v>
      </c>
      <c r="AC1172" s="168"/>
      <c r="AD1172" s="44">
        <v>0</v>
      </c>
      <c r="AE1172" s="43">
        <v>128000000</v>
      </c>
      <c r="AF1172" s="44">
        <v>0</v>
      </c>
      <c r="AG1172" s="44">
        <v>0</v>
      </c>
      <c r="AH1172" s="43">
        <v>128000000</v>
      </c>
      <c r="AI1172" s="136">
        <f>AE1172-AF1172+AG1172-AH1172</f>
        <v>0</v>
      </c>
      <c r="AJ1172" s="43">
        <f>AD1172+AI1172</f>
        <v>0</v>
      </c>
      <c r="AK1172" s="44">
        <v>0</v>
      </c>
      <c r="AL1172" s="115">
        <v>0</v>
      </c>
      <c r="AM1172" s="114">
        <v>0</v>
      </c>
      <c r="AN1172" s="44">
        <v>0</v>
      </c>
      <c r="AO1172" s="115">
        <v>0</v>
      </c>
      <c r="AP1172" s="115">
        <v>0</v>
      </c>
      <c r="AQ1172" s="44">
        <v>0</v>
      </c>
      <c r="AR1172" s="44">
        <v>0</v>
      </c>
      <c r="AS1172" s="44">
        <v>0</v>
      </c>
      <c r="AT1172" s="40">
        <v>0</v>
      </c>
      <c r="AU1172" s="34">
        <f>AJ1172-AM1172</f>
        <v>0</v>
      </c>
      <c r="AV1172" s="133">
        <f>AM1172-AP1172</f>
        <v>0</v>
      </c>
      <c r="AW1172" s="34">
        <f>AP1172-AT1172</f>
        <v>0</v>
      </c>
      <c r="AX1172" s="123">
        <v>0</v>
      </c>
    </row>
    <row r="1173" spans="1:50" ht="25.5" x14ac:dyDescent="0.2">
      <c r="AA1173" s="169" t="s">
        <v>288</v>
      </c>
      <c r="AB1173" s="163" t="s">
        <v>714</v>
      </c>
      <c r="AC1173" s="17"/>
      <c r="AD1173" s="18"/>
      <c r="AE1173" s="18"/>
      <c r="AF1173" s="18"/>
      <c r="AG1173" s="18"/>
      <c r="AH1173" s="18"/>
      <c r="AI1173" s="18"/>
      <c r="AJ1173" s="18"/>
      <c r="AK1173" s="34"/>
      <c r="AL1173" s="34"/>
      <c r="AM1173" s="34"/>
      <c r="AN1173" s="34"/>
      <c r="AO1173" s="34"/>
      <c r="AP1173" s="34"/>
      <c r="AQ1173" s="34"/>
      <c r="AR1173" s="34"/>
      <c r="AS1173" s="34"/>
      <c r="AT1173" s="31"/>
      <c r="AU1173" s="18"/>
      <c r="AV1173" s="34"/>
      <c r="AW1173" s="34"/>
      <c r="AX1173" s="18"/>
    </row>
    <row r="1174" spans="1:50" x14ac:dyDescent="0.2">
      <c r="A1174" s="4" t="s">
        <v>55</v>
      </c>
      <c r="B1174" s="4" t="s">
        <v>56</v>
      </c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1" t="s">
        <v>715</v>
      </c>
      <c r="AB1174" s="17" t="s">
        <v>233</v>
      </c>
      <c r="AC1174" s="43" t="s">
        <v>58</v>
      </c>
      <c r="AD1174" s="43">
        <v>3086332698</v>
      </c>
      <c r="AE1174" s="44">
        <v>0</v>
      </c>
      <c r="AF1174" s="44">
        <v>0</v>
      </c>
      <c r="AG1174" s="44">
        <v>0</v>
      </c>
      <c r="AH1174" s="43">
        <v>3086332698</v>
      </c>
      <c r="AI1174" s="136">
        <f>AE1174-AF1174+AG1174-AH1174</f>
        <v>-3086332698</v>
      </c>
      <c r="AJ1174" s="44">
        <f>AD1174+AI1174</f>
        <v>0</v>
      </c>
      <c r="AK1174" s="44">
        <v>0</v>
      </c>
      <c r="AL1174" s="44">
        <v>0</v>
      </c>
      <c r="AM1174" s="44">
        <v>0</v>
      </c>
      <c r="AN1174" s="44">
        <v>0</v>
      </c>
      <c r="AO1174" s="44">
        <v>0</v>
      </c>
      <c r="AP1174" s="44">
        <v>0</v>
      </c>
      <c r="AQ1174" s="44">
        <v>0</v>
      </c>
      <c r="AR1174" s="44">
        <v>0</v>
      </c>
      <c r="AS1174" s="44">
        <v>0</v>
      </c>
      <c r="AT1174" s="40">
        <f t="shared" ref="AT1174" si="454">AQ1174+AS1174</f>
        <v>0</v>
      </c>
      <c r="AU1174" s="34">
        <f>AJ1174-AM1174</f>
        <v>0</v>
      </c>
      <c r="AV1174" s="133">
        <f>AM1174-AP1174</f>
        <v>0</v>
      </c>
      <c r="AW1174" s="34">
        <f>AP1174-AT1174</f>
        <v>0</v>
      </c>
      <c r="AX1174" s="123">
        <v>0</v>
      </c>
    </row>
    <row r="1175" spans="1:50" ht="25.5" x14ac:dyDescent="0.2">
      <c r="AA1175" s="28" t="s">
        <v>288</v>
      </c>
      <c r="AB1175" s="29" t="s">
        <v>716</v>
      </c>
      <c r="AC1175" s="17"/>
      <c r="AD1175" s="18"/>
      <c r="AE1175" s="34"/>
      <c r="AF1175" s="34"/>
      <c r="AG1175" s="18"/>
      <c r="AH1175" s="18"/>
      <c r="AI1175" s="18"/>
      <c r="AJ1175" s="18"/>
      <c r="AK1175" s="34"/>
      <c r="AL1175" s="34"/>
      <c r="AM1175" s="34"/>
      <c r="AN1175" s="34"/>
      <c r="AO1175" s="34"/>
      <c r="AP1175" s="34"/>
      <c r="AQ1175" s="34"/>
      <c r="AR1175" s="34"/>
      <c r="AS1175" s="34"/>
      <c r="AT1175" s="31"/>
      <c r="AU1175" s="18"/>
      <c r="AV1175" s="34"/>
      <c r="AW1175" s="18"/>
      <c r="AX1175" s="18"/>
    </row>
    <row r="1176" spans="1:50" x14ac:dyDescent="0.2">
      <c r="A1176" s="4" t="s">
        <v>55</v>
      </c>
      <c r="B1176" s="4" t="s">
        <v>56</v>
      </c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1" t="s">
        <v>717</v>
      </c>
      <c r="AB1176" s="17" t="s">
        <v>233</v>
      </c>
      <c r="AC1176" s="43" t="s">
        <v>58</v>
      </c>
      <c r="AD1176" s="44">
        <v>0</v>
      </c>
      <c r="AE1176" s="44">
        <v>0</v>
      </c>
      <c r="AF1176" s="44">
        <v>0</v>
      </c>
      <c r="AG1176" s="43">
        <v>221000000</v>
      </c>
      <c r="AH1176" s="44">
        <v>0</v>
      </c>
      <c r="AI1176" s="136">
        <f>AE1176-AF1176+AG1176-AH1176</f>
        <v>221000000</v>
      </c>
      <c r="AJ1176" s="43">
        <f>AD1176+AI1176</f>
        <v>221000000</v>
      </c>
      <c r="AK1176" s="44">
        <v>0</v>
      </c>
      <c r="AL1176" s="43">
        <f>AM1176-AGOSTO!AM1142</f>
        <v>-2760000</v>
      </c>
      <c r="AM1176" s="43">
        <v>187240410</v>
      </c>
      <c r="AN1176" s="44">
        <v>0</v>
      </c>
      <c r="AO1176" s="43">
        <v>29440000</v>
      </c>
      <c r="AP1176" s="43">
        <v>187240410</v>
      </c>
      <c r="AQ1176" s="43">
        <v>666667</v>
      </c>
      <c r="AR1176" s="43">
        <v>23856000</v>
      </c>
      <c r="AS1176" s="43">
        <v>87561200</v>
      </c>
      <c r="AT1176" s="39">
        <f t="shared" ref="AT1176" si="455">AQ1176+AS1176</f>
        <v>88227867</v>
      </c>
      <c r="AU1176" s="18">
        <f>AJ1176-AM1176</f>
        <v>33759590</v>
      </c>
      <c r="AV1176" s="18">
        <f>AM1176-AP1176</f>
        <v>0</v>
      </c>
      <c r="AW1176" s="18">
        <f>AP1176-AT1176</f>
        <v>99012543</v>
      </c>
      <c r="AX1176" s="123">
        <f>AP1176/AJ1176</f>
        <v>0.84724167420814478</v>
      </c>
    </row>
    <row r="1177" spans="1:50" ht="25.5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73" t="s">
        <v>288</v>
      </c>
      <c r="AB1177" s="74" t="s">
        <v>1360</v>
      </c>
      <c r="AC1177" s="43"/>
      <c r="AD1177" s="44"/>
      <c r="AE1177" s="44"/>
      <c r="AF1177" s="44"/>
      <c r="AG1177" s="43"/>
      <c r="AH1177" s="44"/>
      <c r="AI1177" s="136"/>
      <c r="AJ1177" s="43"/>
      <c r="AK1177" s="44"/>
      <c r="AL1177" s="43"/>
      <c r="AM1177" s="43"/>
      <c r="AN1177" s="44"/>
      <c r="AO1177" s="43"/>
      <c r="AP1177" s="43"/>
      <c r="AQ1177" s="43"/>
      <c r="AR1177" s="43"/>
      <c r="AS1177" s="43"/>
      <c r="AT1177" s="40"/>
      <c r="AU1177" s="18"/>
      <c r="AV1177" s="18"/>
      <c r="AW1177" s="18"/>
      <c r="AX1177" s="123"/>
    </row>
    <row r="1178" spans="1:50" ht="25.5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1" t="s">
        <v>1361</v>
      </c>
      <c r="AB1178" s="42" t="s">
        <v>1044</v>
      </c>
      <c r="AC1178" s="43"/>
      <c r="AD1178" s="44">
        <v>0</v>
      </c>
      <c r="AE1178" s="44">
        <v>0</v>
      </c>
      <c r="AF1178" s="44">
        <v>0</v>
      </c>
      <c r="AG1178" s="43">
        <v>128000000</v>
      </c>
      <c r="AH1178" s="44">
        <v>0</v>
      </c>
      <c r="AI1178" s="136">
        <f>AE1178-AF1178+AG1178-AH1178</f>
        <v>128000000</v>
      </c>
      <c r="AJ1178" s="43">
        <f>AD1178+AI1178</f>
        <v>128000000</v>
      </c>
      <c r="AK1178" s="44">
        <v>0</v>
      </c>
      <c r="AL1178" s="43">
        <v>0</v>
      </c>
      <c r="AM1178" s="43">
        <v>0</v>
      </c>
      <c r="AN1178" s="44">
        <v>0</v>
      </c>
      <c r="AO1178" s="44">
        <v>0</v>
      </c>
      <c r="AP1178" s="44">
        <v>0</v>
      </c>
      <c r="AQ1178" s="44">
        <v>0</v>
      </c>
      <c r="AR1178" s="44">
        <v>0</v>
      </c>
      <c r="AS1178" s="44">
        <v>0</v>
      </c>
      <c r="AT1178" s="40">
        <f t="shared" ref="AT1178" si="456">AQ1178+AS1178</f>
        <v>0</v>
      </c>
      <c r="AU1178" s="18">
        <f>AJ1178-AM1178</f>
        <v>128000000</v>
      </c>
      <c r="AV1178" s="34">
        <f>AM1178-AP1178</f>
        <v>0</v>
      </c>
      <c r="AW1178" s="34">
        <f>AP1178-AT1178</f>
        <v>0</v>
      </c>
      <c r="AX1178" s="123">
        <f>AP1178/AJ1178</f>
        <v>0</v>
      </c>
    </row>
    <row r="1179" spans="1:50" x14ac:dyDescent="0.2">
      <c r="AA1179" s="28" t="s">
        <v>288</v>
      </c>
      <c r="AB1179" s="29" t="s">
        <v>718</v>
      </c>
      <c r="AC1179" s="17"/>
      <c r="AD1179" s="18"/>
      <c r="AE1179" s="34"/>
      <c r="AF1179" s="34"/>
      <c r="AG1179" s="18"/>
      <c r="AH1179" s="18"/>
      <c r="AI1179" s="18"/>
      <c r="AJ1179" s="18"/>
      <c r="AK1179" s="34"/>
      <c r="AL1179" s="18"/>
      <c r="AM1179" s="18"/>
      <c r="AN1179" s="34"/>
      <c r="AO1179" s="18"/>
      <c r="AP1179" s="18"/>
      <c r="AQ1179" s="18"/>
      <c r="AR1179" s="18"/>
      <c r="AS1179" s="18"/>
      <c r="AT1179" s="31"/>
      <c r="AU1179" s="18"/>
      <c r="AV1179" s="34"/>
      <c r="AW1179" s="18"/>
      <c r="AX1179" s="18"/>
    </row>
    <row r="1180" spans="1:50" x14ac:dyDescent="0.2">
      <c r="A1180" s="4" t="s">
        <v>55</v>
      </c>
      <c r="B1180" s="4" t="s">
        <v>56</v>
      </c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1" t="s">
        <v>719</v>
      </c>
      <c r="AB1180" s="42" t="s">
        <v>233</v>
      </c>
      <c r="AC1180" s="43" t="s">
        <v>58</v>
      </c>
      <c r="AD1180" s="43">
        <v>546100000</v>
      </c>
      <c r="AE1180" s="44">
        <v>0</v>
      </c>
      <c r="AF1180" s="44">
        <v>0</v>
      </c>
      <c r="AG1180" s="44">
        <v>0</v>
      </c>
      <c r="AH1180" s="43">
        <v>24400000</v>
      </c>
      <c r="AI1180" s="136">
        <f>AE1180-AF1180+AG1180-AH1180</f>
        <v>-24400000</v>
      </c>
      <c r="AJ1180" s="43">
        <f>AD1180+AI1180</f>
        <v>521700000</v>
      </c>
      <c r="AK1180" s="44">
        <v>0</v>
      </c>
      <c r="AL1180" s="43">
        <f>AM1180-AGOSTO!AM1144</f>
        <v>-5400000</v>
      </c>
      <c r="AM1180" s="43">
        <v>516300000</v>
      </c>
      <c r="AN1180" s="44">
        <v>0</v>
      </c>
      <c r="AO1180" s="43">
        <v>-5400000</v>
      </c>
      <c r="AP1180" s="43">
        <v>516300000</v>
      </c>
      <c r="AQ1180" s="43">
        <v>48100000</v>
      </c>
      <c r="AR1180" s="43">
        <v>39500000</v>
      </c>
      <c r="AS1180" s="43">
        <v>291050000</v>
      </c>
      <c r="AT1180" s="39">
        <f t="shared" ref="AT1180:AT1181" si="457">AQ1180+AS1180</f>
        <v>339150000</v>
      </c>
      <c r="AU1180" s="18">
        <f>AJ1180-AM1180</f>
        <v>5400000</v>
      </c>
      <c r="AV1180" s="133">
        <f>AM1180-AP1180</f>
        <v>0</v>
      </c>
      <c r="AW1180" s="18">
        <f>AP1180-AT1180</f>
        <v>177150000</v>
      </c>
      <c r="AX1180" s="123">
        <f>AP1180/AJ1180</f>
        <v>0.98964922369177688</v>
      </c>
    </row>
    <row r="1181" spans="1:50" ht="25.5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1" t="s">
        <v>1120</v>
      </c>
      <c r="AB1181" s="42" t="s">
        <v>1121</v>
      </c>
      <c r="AC1181" s="43"/>
      <c r="AD1181" s="44">
        <v>0</v>
      </c>
      <c r="AE1181" s="43">
        <v>117051260.84999999</v>
      </c>
      <c r="AF1181" s="44">
        <v>0</v>
      </c>
      <c r="AG1181" s="44">
        <v>0</v>
      </c>
      <c r="AH1181" s="44">
        <v>0</v>
      </c>
      <c r="AI1181" s="136">
        <f>AE1181-AF1181+AG1181-AH1181</f>
        <v>117051260.84999999</v>
      </c>
      <c r="AJ1181" s="43">
        <f>AD1181+AI1181</f>
        <v>117051260.84999999</v>
      </c>
      <c r="AK1181" s="44">
        <v>0</v>
      </c>
      <c r="AL1181" s="43">
        <f>AM1181-AGOSTO!AM1145</f>
        <v>11000000</v>
      </c>
      <c r="AM1181" s="43">
        <v>43000000</v>
      </c>
      <c r="AN1181" s="44">
        <v>0</v>
      </c>
      <c r="AO1181" s="43">
        <v>11000000</v>
      </c>
      <c r="AP1181" s="43">
        <v>43000000</v>
      </c>
      <c r="AQ1181" s="44">
        <v>0</v>
      </c>
      <c r="AR1181" s="43">
        <v>5000000</v>
      </c>
      <c r="AS1181" s="43">
        <v>12333333</v>
      </c>
      <c r="AT1181" s="39">
        <f t="shared" si="457"/>
        <v>12333333</v>
      </c>
      <c r="AU1181" s="18">
        <f>AJ1181-AM1181</f>
        <v>74051260.849999994</v>
      </c>
      <c r="AV1181" s="133">
        <f>AM1181-AP1181</f>
        <v>0</v>
      </c>
      <c r="AW1181" s="18">
        <f>AP1181-AT1181</f>
        <v>30666667</v>
      </c>
      <c r="AX1181" s="123">
        <f>AP1181/AJ1181</f>
        <v>0.36736041703219297</v>
      </c>
    </row>
    <row r="1182" spans="1:50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73" t="s">
        <v>288</v>
      </c>
      <c r="AB1182" s="74" t="s">
        <v>1337</v>
      </c>
      <c r="AC1182" s="43"/>
      <c r="AD1182" s="44"/>
      <c r="AE1182" s="43"/>
      <c r="AF1182" s="44"/>
      <c r="AG1182" s="44"/>
      <c r="AH1182" s="44"/>
      <c r="AI1182" s="136"/>
      <c r="AJ1182" s="43"/>
      <c r="AK1182" s="44"/>
      <c r="AL1182" s="43"/>
      <c r="AM1182" s="43"/>
      <c r="AN1182" s="44"/>
      <c r="AO1182" s="44"/>
      <c r="AP1182" s="43"/>
      <c r="AQ1182" s="44"/>
      <c r="AR1182" s="43"/>
      <c r="AS1182" s="43"/>
      <c r="AT1182" s="39"/>
      <c r="AU1182" s="18"/>
      <c r="AV1182" s="133"/>
      <c r="AW1182" s="18"/>
      <c r="AX1182" s="123"/>
    </row>
    <row r="1183" spans="1:50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1" t="s">
        <v>1338</v>
      </c>
      <c r="AB1183" s="42" t="s">
        <v>233</v>
      </c>
      <c r="AC1183" s="43"/>
      <c r="AD1183" s="44">
        <v>0</v>
      </c>
      <c r="AE1183" s="43">
        <v>0</v>
      </c>
      <c r="AF1183" s="44">
        <v>0</v>
      </c>
      <c r="AG1183" s="43">
        <v>800000000</v>
      </c>
      <c r="AH1183" s="44">
        <v>0</v>
      </c>
      <c r="AI1183" s="136">
        <f>AE1183-AF1183+AG1183-AH1183</f>
        <v>800000000</v>
      </c>
      <c r="AJ1183" s="43">
        <f>AD1183+AI1183</f>
        <v>800000000</v>
      </c>
      <c r="AK1183" s="44">
        <v>0</v>
      </c>
      <c r="AL1183" s="43">
        <v>0</v>
      </c>
      <c r="AM1183" s="43">
        <v>0</v>
      </c>
      <c r="AN1183" s="44">
        <v>0</v>
      </c>
      <c r="AO1183" s="44">
        <v>0</v>
      </c>
      <c r="AP1183" s="43">
        <v>0</v>
      </c>
      <c r="AQ1183" s="44">
        <v>0</v>
      </c>
      <c r="AR1183" s="44">
        <v>0</v>
      </c>
      <c r="AS1183" s="44">
        <v>0</v>
      </c>
      <c r="AT1183" s="40">
        <f t="shared" ref="AT1183" si="458">AQ1183+AS1183</f>
        <v>0</v>
      </c>
      <c r="AU1183" s="18">
        <f>AJ1183-AM1183</f>
        <v>800000000</v>
      </c>
      <c r="AV1183" s="133">
        <f>AM1183-AP1183</f>
        <v>0</v>
      </c>
      <c r="AW1183" s="18">
        <f>AP1183-AT1183</f>
        <v>0</v>
      </c>
      <c r="AX1183" s="123">
        <f>AP1183/AJ1183</f>
        <v>0</v>
      </c>
    </row>
    <row r="1184" spans="1:50" x14ac:dyDescent="0.2">
      <c r="AA1184" s="16"/>
      <c r="AB1184" s="17"/>
      <c r="AC1184" s="17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34"/>
      <c r="AQ1184" s="34"/>
      <c r="AR1184" s="34"/>
      <c r="AS1184" s="34"/>
      <c r="AT1184" s="31"/>
      <c r="AU1184" s="18"/>
      <c r="AV1184" s="18"/>
      <c r="AW1184" s="18"/>
      <c r="AX1184" s="18"/>
    </row>
    <row r="1185" spans="1:50" x14ac:dyDescent="0.2">
      <c r="AA1185" s="16"/>
      <c r="AB1185" s="29" t="s">
        <v>720</v>
      </c>
      <c r="AC1185" s="17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30"/>
      <c r="AU1185" s="18"/>
      <c r="AV1185" s="18"/>
      <c r="AW1185" s="18"/>
      <c r="AX1185" s="18"/>
    </row>
    <row r="1186" spans="1:50" x14ac:dyDescent="0.2">
      <c r="AA1186" s="16"/>
      <c r="AB1186" s="29" t="s">
        <v>676</v>
      </c>
      <c r="AC1186" s="17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30"/>
      <c r="AU1186" s="18"/>
      <c r="AV1186" s="18"/>
      <c r="AW1186" s="18"/>
      <c r="AX1186" s="18"/>
    </row>
    <row r="1187" spans="1:50" x14ac:dyDescent="0.2">
      <c r="AA1187" s="16"/>
      <c r="AB1187" s="29" t="s">
        <v>286</v>
      </c>
      <c r="AC1187" s="17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30"/>
      <c r="AU1187" s="18"/>
      <c r="AV1187" s="18"/>
      <c r="AW1187" s="18"/>
      <c r="AX1187" s="18"/>
    </row>
    <row r="1188" spans="1:50" x14ac:dyDescent="0.2">
      <c r="AA1188" s="16"/>
      <c r="AB1188" s="29" t="s">
        <v>179</v>
      </c>
      <c r="AC1188" s="17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30"/>
      <c r="AU1188" s="18"/>
      <c r="AV1188" s="18"/>
      <c r="AW1188" s="18"/>
      <c r="AX1188" s="18"/>
    </row>
    <row r="1189" spans="1:50" x14ac:dyDescent="0.2">
      <c r="AA1189" s="16"/>
      <c r="AB1189" s="29" t="s">
        <v>189</v>
      </c>
      <c r="AC1189" s="17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30"/>
      <c r="AU1189" s="18"/>
      <c r="AV1189" s="18"/>
      <c r="AW1189" s="18"/>
      <c r="AX1189" s="18"/>
    </row>
    <row r="1190" spans="1:50" x14ac:dyDescent="0.2">
      <c r="AA1190" s="16"/>
      <c r="AB1190" s="29" t="s">
        <v>199</v>
      </c>
      <c r="AC1190" s="17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30"/>
      <c r="AU1190" s="18"/>
      <c r="AV1190" s="18"/>
      <c r="AW1190" s="18"/>
      <c r="AX1190" s="18"/>
    </row>
    <row r="1191" spans="1:50" x14ac:dyDescent="0.2">
      <c r="AA1191" s="28" t="s">
        <v>288</v>
      </c>
      <c r="AB1191" s="29" t="s">
        <v>718</v>
      </c>
      <c r="AC1191" s="17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30"/>
      <c r="AU1191" s="18"/>
      <c r="AV1191" s="18"/>
      <c r="AW1191" s="18"/>
      <c r="AX1191" s="18"/>
    </row>
    <row r="1192" spans="1:50" x14ac:dyDescent="0.2">
      <c r="A1192" s="4" t="s">
        <v>55</v>
      </c>
      <c r="B1192" s="4" t="s">
        <v>56</v>
      </c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1" t="s">
        <v>721</v>
      </c>
      <c r="AB1192" s="42" t="s">
        <v>722</v>
      </c>
      <c r="AC1192" s="43" t="s">
        <v>723</v>
      </c>
      <c r="AD1192" s="43">
        <v>7643630</v>
      </c>
      <c r="AE1192" s="44">
        <v>0</v>
      </c>
      <c r="AF1192" s="44">
        <v>0</v>
      </c>
      <c r="AG1192" s="44">
        <v>0</v>
      </c>
      <c r="AH1192" s="44">
        <v>0</v>
      </c>
      <c r="AI1192" s="44">
        <v>0</v>
      </c>
      <c r="AJ1192" s="43">
        <v>7643630</v>
      </c>
      <c r="AK1192" s="44">
        <v>0</v>
      </c>
      <c r="AL1192" s="44">
        <v>0</v>
      </c>
      <c r="AM1192" s="44">
        <v>0</v>
      </c>
      <c r="AN1192" s="44">
        <v>0</v>
      </c>
      <c r="AO1192" s="44">
        <v>0</v>
      </c>
      <c r="AP1192" s="44">
        <v>0</v>
      </c>
      <c r="AQ1192" s="44">
        <v>0</v>
      </c>
      <c r="AR1192" s="44">
        <v>0</v>
      </c>
      <c r="AS1192" s="44">
        <v>0</v>
      </c>
      <c r="AT1192" s="40">
        <f t="shared" ref="AT1192:AT1193" si="459">AQ1192+AS1192</f>
        <v>0</v>
      </c>
      <c r="AU1192" s="18">
        <f>AJ1192-AM1192</f>
        <v>7643630</v>
      </c>
      <c r="AV1192" s="133">
        <f>AM1192-AP1192</f>
        <v>0</v>
      </c>
      <c r="AW1192" s="34">
        <f>AP1192-AT1192</f>
        <v>0</v>
      </c>
      <c r="AX1192" s="123">
        <f>AP1192/AJ1192</f>
        <v>0</v>
      </c>
    </row>
    <row r="1193" spans="1:50" x14ac:dyDescent="0.2">
      <c r="A1193" s="4" t="s">
        <v>55</v>
      </c>
      <c r="B1193" s="4" t="s">
        <v>56</v>
      </c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1" t="s">
        <v>724</v>
      </c>
      <c r="AB1193" s="42" t="s">
        <v>725</v>
      </c>
      <c r="AC1193" s="43" t="s">
        <v>428</v>
      </c>
      <c r="AD1193" s="43">
        <v>56100000</v>
      </c>
      <c r="AE1193" s="44">
        <v>0</v>
      </c>
      <c r="AF1193" s="44">
        <v>0</v>
      </c>
      <c r="AG1193" s="44">
        <v>0</v>
      </c>
      <c r="AH1193" s="44">
        <v>0</v>
      </c>
      <c r="AI1193" s="44">
        <v>0</v>
      </c>
      <c r="AJ1193" s="43">
        <v>56100000</v>
      </c>
      <c r="AK1193" s="44">
        <v>0</v>
      </c>
      <c r="AL1193" s="44">
        <v>0</v>
      </c>
      <c r="AM1193" s="44">
        <v>0</v>
      </c>
      <c r="AN1193" s="44">
        <v>0</v>
      </c>
      <c r="AO1193" s="44">
        <v>0</v>
      </c>
      <c r="AP1193" s="44">
        <v>0</v>
      </c>
      <c r="AQ1193" s="44">
        <v>0</v>
      </c>
      <c r="AR1193" s="44">
        <v>0</v>
      </c>
      <c r="AS1193" s="44">
        <v>0</v>
      </c>
      <c r="AT1193" s="40">
        <f t="shared" si="459"/>
        <v>0</v>
      </c>
      <c r="AU1193" s="18">
        <f>AJ1193-AM1193</f>
        <v>56100000</v>
      </c>
      <c r="AV1193" s="133">
        <f>AM1193-AP1193</f>
        <v>0</v>
      </c>
      <c r="AW1193" s="34">
        <f>AP1193-AT1193</f>
        <v>0</v>
      </c>
      <c r="AX1193" s="123">
        <f>AP1193/AJ1193</f>
        <v>0</v>
      </c>
    </row>
    <row r="1194" spans="1:50" ht="18.75" customHeight="1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170" t="s">
        <v>1016</v>
      </c>
      <c r="AB1194" s="165" t="s">
        <v>997</v>
      </c>
      <c r="AC1194" s="168"/>
      <c r="AD1194" s="43"/>
      <c r="AE1194" s="44"/>
      <c r="AF1194" s="44"/>
      <c r="AG1194" s="44"/>
      <c r="AH1194" s="44"/>
      <c r="AI1194" s="44"/>
      <c r="AJ1194" s="43"/>
      <c r="AK1194" s="44"/>
      <c r="AL1194" s="44"/>
      <c r="AM1194" s="44"/>
      <c r="AN1194" s="44"/>
      <c r="AO1194" s="44"/>
      <c r="AP1194" s="44"/>
      <c r="AQ1194" s="44"/>
      <c r="AR1194" s="44"/>
      <c r="AS1194" s="44"/>
      <c r="AT1194" s="40"/>
      <c r="AU1194" s="18"/>
      <c r="AV1194" s="133"/>
      <c r="AW1194" s="34"/>
      <c r="AX1194" s="123"/>
    </row>
    <row r="1195" spans="1:50" ht="15.75" customHeight="1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170" t="s">
        <v>1017</v>
      </c>
      <c r="AB1195" s="165" t="s">
        <v>999</v>
      </c>
      <c r="AC1195" s="168"/>
      <c r="AD1195" s="43"/>
      <c r="AE1195" s="44"/>
      <c r="AF1195" s="44"/>
      <c r="AG1195" s="44"/>
      <c r="AH1195" s="44"/>
      <c r="AI1195" s="44"/>
      <c r="AJ1195" s="43"/>
      <c r="AK1195" s="44"/>
      <c r="AL1195" s="44"/>
      <c r="AM1195" s="44"/>
      <c r="AN1195" s="44"/>
      <c r="AO1195" s="44"/>
      <c r="AP1195" s="44"/>
      <c r="AQ1195" s="44"/>
      <c r="AR1195" s="44"/>
      <c r="AS1195" s="44"/>
      <c r="AT1195" s="40"/>
      <c r="AU1195" s="18"/>
      <c r="AV1195" s="133"/>
      <c r="AW1195" s="34"/>
      <c r="AX1195" s="123"/>
    </row>
    <row r="1196" spans="1:50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170" t="s">
        <v>1018</v>
      </c>
      <c r="AB1196" s="165" t="s">
        <v>1001</v>
      </c>
      <c r="AC1196" s="168"/>
      <c r="AD1196" s="43"/>
      <c r="AE1196" s="44"/>
      <c r="AF1196" s="44"/>
      <c r="AG1196" s="44"/>
      <c r="AH1196" s="44"/>
      <c r="AI1196" s="44"/>
      <c r="AJ1196" s="43"/>
      <c r="AK1196" s="44"/>
      <c r="AL1196" s="44"/>
      <c r="AM1196" s="44"/>
      <c r="AN1196" s="44"/>
      <c r="AO1196" s="44"/>
      <c r="AP1196" s="44"/>
      <c r="AQ1196" s="44"/>
      <c r="AR1196" s="44"/>
      <c r="AS1196" s="44"/>
      <c r="AT1196" s="40"/>
      <c r="AU1196" s="18"/>
      <c r="AV1196" s="133"/>
      <c r="AW1196" s="34"/>
      <c r="AX1196" s="123"/>
    </row>
    <row r="1197" spans="1:50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170" t="s">
        <v>1021</v>
      </c>
      <c r="AB1197" s="165" t="s">
        <v>1003</v>
      </c>
      <c r="AC1197" s="168"/>
      <c r="AD1197" s="43"/>
      <c r="AE1197" s="44"/>
      <c r="AF1197" s="44"/>
      <c r="AG1197" s="44"/>
      <c r="AH1197" s="44"/>
      <c r="AI1197" s="44"/>
      <c r="AJ1197" s="43"/>
      <c r="AK1197" s="44"/>
      <c r="AL1197" s="44"/>
      <c r="AM1197" s="44"/>
      <c r="AN1197" s="44"/>
      <c r="AO1197" s="44"/>
      <c r="AP1197" s="44"/>
      <c r="AQ1197" s="44"/>
      <c r="AR1197" s="44"/>
      <c r="AS1197" s="44"/>
      <c r="AT1197" s="40"/>
      <c r="AU1197" s="18"/>
      <c r="AV1197" s="133"/>
      <c r="AW1197" s="34"/>
      <c r="AX1197" s="123"/>
    </row>
    <row r="1198" spans="1:50" ht="25.5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166" t="s">
        <v>1056</v>
      </c>
      <c r="AB1198" s="167" t="s">
        <v>1057</v>
      </c>
      <c r="AC1198" s="168"/>
      <c r="AD1198" s="44">
        <v>0</v>
      </c>
      <c r="AE1198" s="43">
        <v>170856060</v>
      </c>
      <c r="AF1198" s="44">
        <v>0</v>
      </c>
      <c r="AG1198" s="44">
        <v>0</v>
      </c>
      <c r="AH1198" s="44">
        <v>0</v>
      </c>
      <c r="AI1198" s="43">
        <f>AE1198-AF1198+AG1198-AH1198</f>
        <v>170856060</v>
      </c>
      <c r="AJ1198" s="43">
        <f>AD1198+AI1198</f>
        <v>170856060</v>
      </c>
      <c r="AK1198" s="44">
        <v>0</v>
      </c>
      <c r="AL1198" s="44">
        <v>0</v>
      </c>
      <c r="AM1198" s="44">
        <v>0</v>
      </c>
      <c r="AN1198" s="44">
        <v>0</v>
      </c>
      <c r="AO1198" s="44">
        <v>0</v>
      </c>
      <c r="AP1198" s="44">
        <v>0</v>
      </c>
      <c r="AQ1198" s="44">
        <v>0</v>
      </c>
      <c r="AR1198" s="44">
        <v>0</v>
      </c>
      <c r="AS1198" s="44">
        <v>0</v>
      </c>
      <c r="AT1198" s="40">
        <f t="shared" ref="AT1198" si="460">AQ1198+AS1198</f>
        <v>0</v>
      </c>
      <c r="AU1198" s="18">
        <f>AJ1198-AM1198</f>
        <v>170856060</v>
      </c>
      <c r="AV1198" s="133">
        <f>AM1198-AP1198</f>
        <v>0</v>
      </c>
      <c r="AW1198" s="34">
        <f>AP1198-AT1198</f>
        <v>0</v>
      </c>
      <c r="AX1198" s="123">
        <f>AP1198/AJ1198</f>
        <v>0</v>
      </c>
    </row>
    <row r="1199" spans="1:50" x14ac:dyDescent="0.2">
      <c r="AA1199" s="162"/>
      <c r="AB1199" s="223"/>
      <c r="AC1199" s="17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  <c r="AQ1199" s="34"/>
      <c r="AR1199" s="34"/>
      <c r="AS1199" s="34"/>
      <c r="AT1199" s="31"/>
      <c r="AU1199" s="18"/>
      <c r="AV1199" s="18"/>
      <c r="AW1199" s="18"/>
      <c r="AX1199" s="18"/>
    </row>
    <row r="1200" spans="1:50" s="50" customFormat="1" ht="18.75" customHeight="1" x14ac:dyDescent="0.2">
      <c r="B1200" s="77"/>
      <c r="C1200" s="77"/>
      <c r="D1200" s="77"/>
      <c r="E1200" s="77"/>
      <c r="F1200" s="77"/>
      <c r="G1200" s="77"/>
      <c r="H1200" s="77"/>
      <c r="I1200" s="77"/>
      <c r="J1200" s="77"/>
      <c r="K1200" s="77"/>
      <c r="L1200" s="77"/>
      <c r="M1200" s="77"/>
      <c r="N1200" s="77"/>
      <c r="O1200" s="77"/>
      <c r="P1200" s="77"/>
      <c r="Q1200" s="77"/>
      <c r="R1200" s="77"/>
      <c r="S1200" s="77"/>
      <c r="T1200" s="77"/>
      <c r="U1200" s="77"/>
      <c r="V1200" s="77"/>
      <c r="W1200" s="77"/>
      <c r="X1200" s="77"/>
      <c r="Y1200" s="77"/>
      <c r="Z1200" s="77"/>
      <c r="AA1200" s="46"/>
      <c r="AB1200" s="47" t="s">
        <v>726</v>
      </c>
      <c r="AC1200" s="47"/>
      <c r="AD1200" s="48">
        <f t="shared" ref="AD1200:AW1200" si="461">SUM(AD1151:AD1199)</f>
        <v>6876941034</v>
      </c>
      <c r="AE1200" s="48">
        <f t="shared" si="461"/>
        <v>3397533211.8499999</v>
      </c>
      <c r="AF1200" s="48">
        <f t="shared" si="461"/>
        <v>0</v>
      </c>
      <c r="AG1200" s="48">
        <f t="shared" si="461"/>
        <v>5176332698</v>
      </c>
      <c r="AH1200" s="48">
        <f t="shared" si="461"/>
        <v>4165732698</v>
      </c>
      <c r="AI1200" s="48">
        <f t="shared" si="461"/>
        <v>4408133211.8500004</v>
      </c>
      <c r="AJ1200" s="48">
        <f t="shared" si="461"/>
        <v>11285074245.85</v>
      </c>
      <c r="AK1200" s="49">
        <f t="shared" si="461"/>
        <v>0</v>
      </c>
      <c r="AL1200" s="48">
        <f t="shared" si="461"/>
        <v>409376</v>
      </c>
      <c r="AM1200" s="48">
        <f t="shared" si="461"/>
        <v>3670057225</v>
      </c>
      <c r="AN1200" s="49">
        <f t="shared" si="461"/>
        <v>0</v>
      </c>
      <c r="AO1200" s="48">
        <f t="shared" si="461"/>
        <v>121009376</v>
      </c>
      <c r="AP1200" s="48">
        <f t="shared" si="461"/>
        <v>3670057225</v>
      </c>
      <c r="AQ1200" s="48">
        <f t="shared" si="461"/>
        <v>157420000</v>
      </c>
      <c r="AR1200" s="48">
        <f t="shared" si="461"/>
        <v>441681069</v>
      </c>
      <c r="AS1200" s="48">
        <f t="shared" si="461"/>
        <v>1542955041</v>
      </c>
      <c r="AT1200" s="48">
        <f t="shared" si="461"/>
        <v>1700375041</v>
      </c>
      <c r="AU1200" s="48">
        <f t="shared" si="461"/>
        <v>7615017020.8500004</v>
      </c>
      <c r="AV1200" s="49">
        <f t="shared" si="461"/>
        <v>0</v>
      </c>
      <c r="AW1200" s="48">
        <f t="shared" si="461"/>
        <v>1969682184</v>
      </c>
      <c r="AX1200" s="24">
        <f>AP1200/AJ1200</f>
        <v>0.32521338761680152</v>
      </c>
    </row>
    <row r="1201" spans="1:50" ht="18.75" customHeight="1" x14ac:dyDescent="0.2">
      <c r="AA1201" s="16"/>
      <c r="AB1201" s="17"/>
      <c r="AC1201" s="17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</row>
    <row r="1202" spans="1:50" s="25" customFormat="1" ht="18.75" customHeight="1" x14ac:dyDescent="0.2">
      <c r="B1202" s="71"/>
      <c r="C1202" s="71"/>
      <c r="D1202" s="71"/>
      <c r="E1202" s="71"/>
      <c r="F1202" s="71"/>
      <c r="G1202" s="71"/>
      <c r="H1202" s="71"/>
      <c r="I1202" s="71"/>
      <c r="J1202" s="71"/>
      <c r="K1202" s="71"/>
      <c r="L1202" s="71"/>
      <c r="M1202" s="71"/>
      <c r="N1202" s="71"/>
      <c r="O1202" s="71"/>
      <c r="P1202" s="71"/>
      <c r="Q1202" s="71"/>
      <c r="R1202" s="71"/>
      <c r="S1202" s="71"/>
      <c r="T1202" s="71"/>
      <c r="U1202" s="71"/>
      <c r="V1202" s="71"/>
      <c r="W1202" s="71"/>
      <c r="X1202" s="71"/>
      <c r="Y1202" s="71"/>
      <c r="Z1202" s="71"/>
      <c r="AA1202" s="66"/>
      <c r="AB1202" s="21" t="s">
        <v>727</v>
      </c>
      <c r="AC1202" s="67"/>
      <c r="AD1202" s="63"/>
      <c r="AE1202" s="63"/>
      <c r="AF1202" s="63"/>
      <c r="AG1202" s="63"/>
      <c r="AH1202" s="63"/>
      <c r="AI1202" s="63"/>
      <c r="AJ1202" s="63"/>
      <c r="AK1202" s="63"/>
      <c r="AL1202" s="63"/>
      <c r="AM1202" s="63"/>
      <c r="AN1202" s="63"/>
      <c r="AO1202" s="63"/>
      <c r="AP1202" s="63"/>
      <c r="AQ1202" s="63"/>
      <c r="AR1202" s="63"/>
      <c r="AS1202" s="63"/>
      <c r="AT1202" s="63"/>
      <c r="AU1202" s="63"/>
      <c r="AV1202" s="63"/>
      <c r="AW1202" s="63"/>
      <c r="AX1202" s="63"/>
    </row>
    <row r="1203" spans="1:50" ht="18.75" customHeight="1" x14ac:dyDescent="0.2">
      <c r="AA1203" s="16"/>
      <c r="AB1203" s="29" t="s">
        <v>285</v>
      </c>
      <c r="AC1203" s="17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</row>
    <row r="1204" spans="1:50" ht="18.75" customHeight="1" x14ac:dyDescent="0.2">
      <c r="AA1204" s="16"/>
      <c r="AB1204" s="29" t="s">
        <v>202</v>
      </c>
      <c r="AC1204" s="17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</row>
    <row r="1205" spans="1:50" ht="18.75" customHeight="1" x14ac:dyDescent="0.2">
      <c r="AA1205" s="16"/>
      <c r="AB1205" s="29" t="s">
        <v>203</v>
      </c>
      <c r="AC1205" s="17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</row>
    <row r="1206" spans="1:50" x14ac:dyDescent="0.2">
      <c r="AA1206" s="16"/>
      <c r="AB1206" s="29" t="s">
        <v>204</v>
      </c>
      <c r="AC1206" s="17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</row>
    <row r="1207" spans="1:50" ht="25.5" x14ac:dyDescent="0.2">
      <c r="AA1207" s="16"/>
      <c r="AB1207" s="29" t="s">
        <v>205</v>
      </c>
      <c r="AC1207" s="17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</row>
    <row r="1208" spans="1:50" ht="25.5" x14ac:dyDescent="0.2">
      <c r="AA1208" s="16"/>
      <c r="AB1208" s="29" t="s">
        <v>205</v>
      </c>
      <c r="AC1208" s="17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</row>
    <row r="1209" spans="1:50" ht="25.5" x14ac:dyDescent="0.2">
      <c r="AA1209" s="28" t="s">
        <v>288</v>
      </c>
      <c r="AB1209" s="29" t="s">
        <v>728</v>
      </c>
      <c r="AC1209" s="17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30">
        <f t="shared" ref="AT1209:AT1218" si="462">AQ1209+AS1209</f>
        <v>0</v>
      </c>
      <c r="AU1209" s="18"/>
      <c r="AV1209" s="18"/>
      <c r="AW1209" s="18"/>
      <c r="AX1209" s="18"/>
    </row>
    <row r="1210" spans="1:50" x14ac:dyDescent="0.2">
      <c r="A1210" s="4" t="s">
        <v>55</v>
      </c>
      <c r="B1210" s="4" t="s">
        <v>56</v>
      </c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1" t="s">
        <v>729</v>
      </c>
      <c r="AB1210" s="42" t="s">
        <v>233</v>
      </c>
      <c r="AC1210" s="43" t="s">
        <v>58</v>
      </c>
      <c r="AD1210" s="43">
        <v>1500000000</v>
      </c>
      <c r="AE1210" s="44">
        <v>0</v>
      </c>
      <c r="AF1210" s="44">
        <v>0</v>
      </c>
      <c r="AG1210" s="44">
        <v>0</v>
      </c>
      <c r="AH1210" s="44">
        <v>0</v>
      </c>
      <c r="AI1210" s="44">
        <f t="shared" ref="AI1210:AI1217" si="463">AE1210-AF1210+AG1210-AH1210</f>
        <v>0</v>
      </c>
      <c r="AJ1210" s="43">
        <f t="shared" ref="AJ1210:AJ1217" si="464">AD1210+AI1210</f>
        <v>1500000000</v>
      </c>
      <c r="AK1210" s="44">
        <v>0</v>
      </c>
      <c r="AL1210" s="114">
        <f>AM1210-AGOSTO!AM1172</f>
        <v>125000000</v>
      </c>
      <c r="AM1210" s="114">
        <v>1125000000</v>
      </c>
      <c r="AN1210" s="44">
        <v>0</v>
      </c>
      <c r="AO1210" s="114">
        <v>125000000</v>
      </c>
      <c r="AP1210" s="114">
        <v>1125000000</v>
      </c>
      <c r="AQ1210" s="44">
        <v>0</v>
      </c>
      <c r="AR1210" s="114">
        <v>125000000</v>
      </c>
      <c r="AS1210" s="114">
        <v>1125000000</v>
      </c>
      <c r="AT1210" s="111">
        <f t="shared" si="462"/>
        <v>1125000000</v>
      </c>
      <c r="AU1210" s="18">
        <f t="shared" ref="AU1210:AU1218" si="465">AJ1210-AM1210</f>
        <v>375000000</v>
      </c>
      <c r="AV1210" s="133">
        <f t="shared" ref="AV1210:AV1218" si="466">AM1210-AP1210</f>
        <v>0</v>
      </c>
      <c r="AW1210" s="34">
        <f t="shared" ref="AW1210:AW1218" si="467">AP1210-AT1210</f>
        <v>0</v>
      </c>
      <c r="AX1210" s="123">
        <f t="shared" ref="AX1210:AX1218" si="468">AP1210/AJ1210</f>
        <v>0.75</v>
      </c>
    </row>
    <row r="1211" spans="1:50" x14ac:dyDescent="0.2">
      <c r="A1211" s="4" t="s">
        <v>55</v>
      </c>
      <c r="B1211" s="4" t="s">
        <v>56</v>
      </c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1" t="s">
        <v>730</v>
      </c>
      <c r="AB1211" s="42" t="s">
        <v>731</v>
      </c>
      <c r="AC1211" s="43" t="s">
        <v>732</v>
      </c>
      <c r="AD1211" s="43">
        <v>1531432613</v>
      </c>
      <c r="AE1211" s="43">
        <v>248327901</v>
      </c>
      <c r="AF1211" s="44">
        <v>0</v>
      </c>
      <c r="AG1211" s="44">
        <v>0</v>
      </c>
      <c r="AH1211" s="44">
        <v>0</v>
      </c>
      <c r="AI1211" s="43">
        <f t="shared" si="463"/>
        <v>248327901</v>
      </c>
      <c r="AJ1211" s="43">
        <f t="shared" si="464"/>
        <v>1779760514</v>
      </c>
      <c r="AK1211" s="44">
        <v>0</v>
      </c>
      <c r="AL1211" s="114">
        <f>AM1211-AGOSTO!AM1173</f>
        <v>127619384</v>
      </c>
      <c r="AM1211" s="114">
        <v>1148574456</v>
      </c>
      <c r="AN1211" s="44">
        <v>0</v>
      </c>
      <c r="AO1211" s="114">
        <v>127619384</v>
      </c>
      <c r="AP1211" s="114">
        <v>1148574456</v>
      </c>
      <c r="AQ1211" s="44">
        <v>0</v>
      </c>
      <c r="AR1211" s="114">
        <v>127619384</v>
      </c>
      <c r="AS1211" s="114">
        <v>1148574456</v>
      </c>
      <c r="AT1211" s="111">
        <f t="shared" si="462"/>
        <v>1148574456</v>
      </c>
      <c r="AU1211" s="18">
        <f t="shared" si="465"/>
        <v>631186058</v>
      </c>
      <c r="AV1211" s="133">
        <f t="shared" si="466"/>
        <v>0</v>
      </c>
      <c r="AW1211" s="34">
        <f t="shared" si="467"/>
        <v>0</v>
      </c>
      <c r="AX1211" s="123">
        <f t="shared" si="468"/>
        <v>0.64535337589807884</v>
      </c>
    </row>
    <row r="1212" spans="1:50" x14ac:dyDescent="0.2">
      <c r="A1212" s="4" t="s">
        <v>55</v>
      </c>
      <c r="B1212" s="4" t="s">
        <v>56</v>
      </c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1" t="s">
        <v>733</v>
      </c>
      <c r="AB1212" s="42" t="s">
        <v>734</v>
      </c>
      <c r="AC1212" s="43" t="s">
        <v>383</v>
      </c>
      <c r="AD1212" s="43">
        <v>2000000000</v>
      </c>
      <c r="AE1212" s="44">
        <v>0</v>
      </c>
      <c r="AF1212" s="44">
        <v>0</v>
      </c>
      <c r="AG1212" s="44">
        <v>0</v>
      </c>
      <c r="AH1212" s="44">
        <v>0</v>
      </c>
      <c r="AI1212" s="44">
        <f t="shared" si="463"/>
        <v>0</v>
      </c>
      <c r="AJ1212" s="43">
        <f t="shared" si="464"/>
        <v>2000000000</v>
      </c>
      <c r="AK1212" s="44">
        <v>0</v>
      </c>
      <c r="AL1212" s="114">
        <f>AM1212-AGOSTO!AM1174</f>
        <v>166666667</v>
      </c>
      <c r="AM1212" s="114">
        <v>1500000003</v>
      </c>
      <c r="AN1212" s="44">
        <v>0</v>
      </c>
      <c r="AO1212" s="114">
        <v>166666667</v>
      </c>
      <c r="AP1212" s="114">
        <v>1500000003</v>
      </c>
      <c r="AQ1212" s="44">
        <v>0</v>
      </c>
      <c r="AR1212" s="114">
        <v>166666667</v>
      </c>
      <c r="AS1212" s="114">
        <v>1500000003</v>
      </c>
      <c r="AT1212" s="111">
        <f t="shared" si="462"/>
        <v>1500000003</v>
      </c>
      <c r="AU1212" s="18">
        <f t="shared" si="465"/>
        <v>499999997</v>
      </c>
      <c r="AV1212" s="133">
        <f t="shared" si="466"/>
        <v>0</v>
      </c>
      <c r="AW1212" s="34">
        <f t="shared" si="467"/>
        <v>0</v>
      </c>
      <c r="AX1212" s="123">
        <f t="shared" si="468"/>
        <v>0.75000000150000001</v>
      </c>
    </row>
    <row r="1213" spans="1:50" ht="25.5" x14ac:dyDescent="0.2">
      <c r="A1213" s="4" t="s">
        <v>55</v>
      </c>
      <c r="B1213" s="4" t="s">
        <v>56</v>
      </c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1" t="s">
        <v>735</v>
      </c>
      <c r="AB1213" s="42" t="s">
        <v>736</v>
      </c>
      <c r="AC1213" s="43" t="s">
        <v>428</v>
      </c>
      <c r="AD1213" s="43">
        <v>24512970</v>
      </c>
      <c r="AE1213" s="44">
        <v>0</v>
      </c>
      <c r="AF1213" s="44">
        <v>0</v>
      </c>
      <c r="AG1213" s="44">
        <v>0</v>
      </c>
      <c r="AH1213" s="44">
        <v>0</v>
      </c>
      <c r="AI1213" s="44">
        <f t="shared" si="463"/>
        <v>0</v>
      </c>
      <c r="AJ1213" s="43">
        <f t="shared" si="464"/>
        <v>24512970</v>
      </c>
      <c r="AK1213" s="44">
        <v>0</v>
      </c>
      <c r="AL1213" s="44">
        <v>0</v>
      </c>
      <c r="AM1213" s="44">
        <v>0</v>
      </c>
      <c r="AN1213" s="44">
        <v>0</v>
      </c>
      <c r="AO1213" s="44">
        <v>0</v>
      </c>
      <c r="AP1213" s="44">
        <v>0</v>
      </c>
      <c r="AQ1213" s="44">
        <v>0</v>
      </c>
      <c r="AR1213" s="44">
        <v>0</v>
      </c>
      <c r="AS1213" s="44">
        <v>0</v>
      </c>
      <c r="AT1213" s="40">
        <f t="shared" si="462"/>
        <v>0</v>
      </c>
      <c r="AU1213" s="18">
        <f t="shared" si="465"/>
        <v>24512970</v>
      </c>
      <c r="AV1213" s="133">
        <f t="shared" si="466"/>
        <v>0</v>
      </c>
      <c r="AW1213" s="34">
        <f t="shared" si="467"/>
        <v>0</v>
      </c>
      <c r="AX1213" s="123">
        <f t="shared" si="468"/>
        <v>0</v>
      </c>
    </row>
    <row r="1214" spans="1:50" ht="25.5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166" t="s">
        <v>1134</v>
      </c>
      <c r="AB1214" s="167" t="s">
        <v>1055</v>
      </c>
      <c r="AC1214" s="168"/>
      <c r="AD1214" s="44">
        <v>0</v>
      </c>
      <c r="AE1214" s="217">
        <v>628300000</v>
      </c>
      <c r="AF1214" s="216">
        <v>0</v>
      </c>
      <c r="AG1214" s="44">
        <v>0</v>
      </c>
      <c r="AH1214" s="44">
        <v>0</v>
      </c>
      <c r="AI1214" s="43">
        <f t="shared" si="463"/>
        <v>628300000</v>
      </c>
      <c r="AJ1214" s="43">
        <f t="shared" si="464"/>
        <v>628300000</v>
      </c>
      <c r="AK1214" s="44">
        <v>0</v>
      </c>
      <c r="AL1214" s="44">
        <v>0</v>
      </c>
      <c r="AM1214" s="43">
        <v>628300000</v>
      </c>
      <c r="AN1214" s="44">
        <v>0</v>
      </c>
      <c r="AO1214" s="44">
        <v>0</v>
      </c>
      <c r="AP1214" s="43">
        <v>628300000</v>
      </c>
      <c r="AQ1214" s="44">
        <v>0</v>
      </c>
      <c r="AR1214" s="44">
        <v>0</v>
      </c>
      <c r="AS1214" s="43">
        <v>628300000</v>
      </c>
      <c r="AT1214" s="39">
        <f t="shared" si="462"/>
        <v>628300000</v>
      </c>
      <c r="AU1214" s="34">
        <f t="shared" si="465"/>
        <v>0</v>
      </c>
      <c r="AV1214" s="133">
        <f t="shared" si="466"/>
        <v>0</v>
      </c>
      <c r="AW1214" s="34">
        <f t="shared" si="467"/>
        <v>0</v>
      </c>
      <c r="AX1214" s="123">
        <f t="shared" si="468"/>
        <v>1</v>
      </c>
    </row>
    <row r="1215" spans="1:50" ht="25.5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166" t="s">
        <v>1135</v>
      </c>
      <c r="AB1215" s="167" t="s">
        <v>1055</v>
      </c>
      <c r="AC1215" s="168"/>
      <c r="AD1215" s="44">
        <v>0</v>
      </c>
      <c r="AE1215" s="217">
        <v>371700000</v>
      </c>
      <c r="AF1215" s="216">
        <v>0</v>
      </c>
      <c r="AG1215" s="44">
        <v>0</v>
      </c>
      <c r="AH1215" s="44">
        <v>0</v>
      </c>
      <c r="AI1215" s="43">
        <f t="shared" si="463"/>
        <v>371700000</v>
      </c>
      <c r="AJ1215" s="43">
        <f t="shared" si="464"/>
        <v>371700000</v>
      </c>
      <c r="AK1215" s="44">
        <v>0</v>
      </c>
      <c r="AL1215" s="44">
        <v>0</v>
      </c>
      <c r="AM1215" s="43">
        <v>371700000</v>
      </c>
      <c r="AN1215" s="44">
        <v>0</v>
      </c>
      <c r="AO1215" s="44">
        <v>0</v>
      </c>
      <c r="AP1215" s="43">
        <v>371700000</v>
      </c>
      <c r="AQ1215" s="44">
        <v>0</v>
      </c>
      <c r="AR1215" s="44">
        <v>0</v>
      </c>
      <c r="AS1215" s="43">
        <v>371700000</v>
      </c>
      <c r="AT1215" s="39">
        <f t="shared" si="462"/>
        <v>371700000</v>
      </c>
      <c r="AU1215" s="34">
        <f t="shared" si="465"/>
        <v>0</v>
      </c>
      <c r="AV1215" s="133">
        <f t="shared" si="466"/>
        <v>0</v>
      </c>
      <c r="AW1215" s="34">
        <f t="shared" si="467"/>
        <v>0</v>
      </c>
      <c r="AX1215" s="123">
        <f t="shared" si="468"/>
        <v>1</v>
      </c>
    </row>
    <row r="1216" spans="1:50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166" t="s">
        <v>1136</v>
      </c>
      <c r="AB1216" s="167" t="s">
        <v>1137</v>
      </c>
      <c r="AC1216" s="168"/>
      <c r="AD1216" s="44">
        <v>0</v>
      </c>
      <c r="AE1216" s="217">
        <v>179021213</v>
      </c>
      <c r="AF1216" s="216">
        <v>0</v>
      </c>
      <c r="AG1216" s="44">
        <v>0</v>
      </c>
      <c r="AH1216" s="44">
        <v>0</v>
      </c>
      <c r="AI1216" s="43">
        <f t="shared" si="463"/>
        <v>179021213</v>
      </c>
      <c r="AJ1216" s="43">
        <f t="shared" si="464"/>
        <v>179021213</v>
      </c>
      <c r="AK1216" s="44">
        <v>0</v>
      </c>
      <c r="AL1216" s="44">
        <v>0</v>
      </c>
      <c r="AM1216" s="43">
        <v>179021213</v>
      </c>
      <c r="AN1216" s="44">
        <v>0</v>
      </c>
      <c r="AO1216" s="44">
        <v>0</v>
      </c>
      <c r="AP1216" s="43">
        <v>179021213</v>
      </c>
      <c r="AQ1216" s="44">
        <v>0</v>
      </c>
      <c r="AR1216" s="44">
        <v>0</v>
      </c>
      <c r="AS1216" s="43">
        <v>179021213</v>
      </c>
      <c r="AT1216" s="39">
        <f t="shared" si="462"/>
        <v>179021213</v>
      </c>
      <c r="AU1216" s="34">
        <f t="shared" si="465"/>
        <v>0</v>
      </c>
      <c r="AV1216" s="133">
        <f t="shared" si="466"/>
        <v>0</v>
      </c>
      <c r="AW1216" s="34">
        <f t="shared" si="467"/>
        <v>0</v>
      </c>
      <c r="AX1216" s="123">
        <f t="shared" si="468"/>
        <v>1</v>
      </c>
    </row>
    <row r="1217" spans="1:50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229" t="s">
        <v>1345</v>
      </c>
      <c r="AB1217" s="230" t="s">
        <v>233</v>
      </c>
      <c r="AC1217" s="168"/>
      <c r="AD1217" s="44">
        <v>0</v>
      </c>
      <c r="AE1217" s="312">
        <v>0</v>
      </c>
      <c r="AF1217" s="216">
        <v>0</v>
      </c>
      <c r="AG1217" s="43">
        <v>22500000</v>
      </c>
      <c r="AH1217" s="44">
        <v>0</v>
      </c>
      <c r="AI1217" s="43">
        <f t="shared" si="463"/>
        <v>22500000</v>
      </c>
      <c r="AJ1217" s="43">
        <f t="shared" si="464"/>
        <v>22500000</v>
      </c>
      <c r="AK1217" s="44">
        <v>0</v>
      </c>
      <c r="AL1217" s="44">
        <v>0</v>
      </c>
      <c r="AM1217" s="44">
        <v>0</v>
      </c>
      <c r="AN1217" s="44">
        <v>0</v>
      </c>
      <c r="AO1217" s="44">
        <v>0</v>
      </c>
      <c r="AP1217" s="43">
        <v>0</v>
      </c>
      <c r="AQ1217" s="44">
        <v>0</v>
      </c>
      <c r="AR1217" s="44">
        <v>0</v>
      </c>
      <c r="AS1217" s="44">
        <v>0</v>
      </c>
      <c r="AT1217" s="40">
        <f t="shared" si="462"/>
        <v>0</v>
      </c>
      <c r="AU1217" s="18">
        <f t="shared" si="465"/>
        <v>22500000</v>
      </c>
      <c r="AV1217" s="133">
        <f t="shared" si="466"/>
        <v>0</v>
      </c>
      <c r="AW1217" s="34">
        <f t="shared" si="467"/>
        <v>0</v>
      </c>
      <c r="AX1217" s="123">
        <f t="shared" si="468"/>
        <v>0</v>
      </c>
    </row>
    <row r="1218" spans="1:50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229" t="s">
        <v>1344</v>
      </c>
      <c r="AB1218" s="230" t="s">
        <v>233</v>
      </c>
      <c r="AC1218" s="168"/>
      <c r="AD1218" s="44">
        <v>0</v>
      </c>
      <c r="AE1218" s="312">
        <v>0</v>
      </c>
      <c r="AF1218" s="216">
        <v>0</v>
      </c>
      <c r="AG1218" s="43">
        <v>200000000</v>
      </c>
      <c r="AH1218" s="44">
        <v>0</v>
      </c>
      <c r="AI1218" s="43">
        <f t="shared" ref="AI1218" si="469">AE1218-AF1218+AG1218-AH1218</f>
        <v>200000000</v>
      </c>
      <c r="AJ1218" s="43">
        <f t="shared" ref="AJ1218" si="470">AD1218+AI1218</f>
        <v>200000000</v>
      </c>
      <c r="AK1218" s="44">
        <v>0</v>
      </c>
      <c r="AL1218" s="44">
        <v>0</v>
      </c>
      <c r="AM1218" s="44">
        <v>0</v>
      </c>
      <c r="AN1218" s="44">
        <v>0</v>
      </c>
      <c r="AO1218" s="44">
        <v>0</v>
      </c>
      <c r="AP1218" s="43">
        <v>0</v>
      </c>
      <c r="AQ1218" s="44">
        <v>0</v>
      </c>
      <c r="AR1218" s="44">
        <v>0</v>
      </c>
      <c r="AS1218" s="44">
        <v>0</v>
      </c>
      <c r="AT1218" s="40">
        <f t="shared" si="462"/>
        <v>0</v>
      </c>
      <c r="AU1218" s="18">
        <f t="shared" si="465"/>
        <v>200000000</v>
      </c>
      <c r="AV1218" s="133">
        <f t="shared" si="466"/>
        <v>0</v>
      </c>
      <c r="AW1218" s="34">
        <f t="shared" si="467"/>
        <v>0</v>
      </c>
      <c r="AX1218" s="123">
        <f t="shared" si="468"/>
        <v>0</v>
      </c>
    </row>
    <row r="1219" spans="1:50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206"/>
      <c r="AB1219" s="207"/>
      <c r="AC1219" s="43"/>
      <c r="AD1219" s="43"/>
      <c r="AE1219" s="224"/>
      <c r="AF1219" s="44"/>
      <c r="AG1219" s="44"/>
      <c r="AH1219" s="44"/>
      <c r="AI1219" s="44"/>
      <c r="AJ1219" s="43"/>
      <c r="AK1219" s="44"/>
      <c r="AL1219" s="44"/>
      <c r="AM1219" s="44"/>
      <c r="AN1219" s="44"/>
      <c r="AO1219" s="44"/>
      <c r="AP1219" s="44"/>
      <c r="AQ1219" s="44"/>
      <c r="AR1219" s="44"/>
      <c r="AS1219" s="44"/>
      <c r="AT1219" s="40"/>
      <c r="AU1219" s="18"/>
      <c r="AV1219" s="133"/>
      <c r="AW1219" s="34"/>
      <c r="AX1219" s="123"/>
    </row>
    <row r="1220" spans="1:50" s="50" customFormat="1" x14ac:dyDescent="0.2">
      <c r="B1220" s="77"/>
      <c r="C1220" s="77"/>
      <c r="D1220" s="77"/>
      <c r="E1220" s="77"/>
      <c r="F1220" s="77"/>
      <c r="G1220" s="77"/>
      <c r="H1220" s="77"/>
      <c r="I1220" s="77"/>
      <c r="J1220" s="77"/>
      <c r="K1220" s="77"/>
      <c r="L1220" s="77"/>
      <c r="M1220" s="77"/>
      <c r="N1220" s="77"/>
      <c r="O1220" s="77"/>
      <c r="P1220" s="77"/>
      <c r="Q1220" s="77"/>
      <c r="R1220" s="77"/>
      <c r="S1220" s="77"/>
      <c r="T1220" s="77"/>
      <c r="U1220" s="77"/>
      <c r="V1220" s="77"/>
      <c r="W1220" s="77"/>
      <c r="X1220" s="77"/>
      <c r="Y1220" s="77"/>
      <c r="Z1220" s="77"/>
      <c r="AA1220" s="46"/>
      <c r="AB1220" s="47" t="s">
        <v>737</v>
      </c>
      <c r="AC1220" s="47"/>
      <c r="AD1220" s="48">
        <f t="shared" ref="AD1220:AS1220" si="471">SUM(AD1210:AD1219)</f>
        <v>5055945583</v>
      </c>
      <c r="AE1220" s="48">
        <f t="shared" si="471"/>
        <v>1427349114</v>
      </c>
      <c r="AF1220" s="49">
        <f t="shared" si="471"/>
        <v>0</v>
      </c>
      <c r="AG1220" s="48">
        <f t="shared" si="471"/>
        <v>222500000</v>
      </c>
      <c r="AH1220" s="49">
        <f t="shared" si="471"/>
        <v>0</v>
      </c>
      <c r="AI1220" s="49">
        <f t="shared" si="471"/>
        <v>1649849114</v>
      </c>
      <c r="AJ1220" s="48">
        <f t="shared" si="471"/>
        <v>6705794697</v>
      </c>
      <c r="AK1220" s="49">
        <f t="shared" si="471"/>
        <v>0</v>
      </c>
      <c r="AL1220" s="121">
        <f t="shared" si="471"/>
        <v>419286051</v>
      </c>
      <c r="AM1220" s="121">
        <f t="shared" si="471"/>
        <v>4952595672</v>
      </c>
      <c r="AN1220" s="49">
        <f t="shared" si="471"/>
        <v>0</v>
      </c>
      <c r="AO1220" s="121">
        <f t="shared" si="471"/>
        <v>419286051</v>
      </c>
      <c r="AP1220" s="121">
        <f t="shared" si="471"/>
        <v>4952595672</v>
      </c>
      <c r="AQ1220" s="48">
        <f t="shared" si="471"/>
        <v>0</v>
      </c>
      <c r="AR1220" s="121">
        <f t="shared" si="471"/>
        <v>419286051</v>
      </c>
      <c r="AS1220" s="121">
        <f t="shared" si="471"/>
        <v>4952595672</v>
      </c>
      <c r="AT1220" s="108">
        <f>AQ1220+AS1220</f>
        <v>4952595672</v>
      </c>
      <c r="AU1220" s="48">
        <f>SUM(AU1210:AU1219)</f>
        <v>1753199025</v>
      </c>
      <c r="AV1220" s="49">
        <f>SUM(AV1210:AV1219)</f>
        <v>0</v>
      </c>
      <c r="AW1220" s="49">
        <f>SUM(AW1210:AW1219)</f>
        <v>0</v>
      </c>
      <c r="AX1220" s="24">
        <f>AP1220/AJ1220</f>
        <v>0.73855462264832894</v>
      </c>
    </row>
    <row r="1221" spans="1:50" x14ac:dyDescent="0.2">
      <c r="AA1221" s="16"/>
      <c r="AB1221" s="17"/>
      <c r="AC1221" s="17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</row>
    <row r="1222" spans="1:50" s="25" customFormat="1" x14ac:dyDescent="0.2">
      <c r="B1222" s="71"/>
      <c r="C1222" s="71"/>
      <c r="D1222" s="71"/>
      <c r="E1222" s="71"/>
      <c r="F1222" s="71"/>
      <c r="G1222" s="71"/>
      <c r="H1222" s="71"/>
      <c r="I1222" s="71"/>
      <c r="J1222" s="71"/>
      <c r="K1222" s="71"/>
      <c r="L1222" s="71"/>
      <c r="M1222" s="71"/>
      <c r="N1222" s="71"/>
      <c r="O1222" s="71"/>
      <c r="P1222" s="71"/>
      <c r="Q1222" s="71"/>
      <c r="R1222" s="71"/>
      <c r="S1222" s="71"/>
      <c r="T1222" s="71"/>
      <c r="U1222" s="71"/>
      <c r="V1222" s="71"/>
      <c r="W1222" s="71"/>
      <c r="X1222" s="71"/>
      <c r="Y1222" s="71"/>
      <c r="Z1222" s="71"/>
      <c r="AA1222" s="66"/>
      <c r="AB1222" s="21" t="s">
        <v>738</v>
      </c>
      <c r="AC1222" s="67"/>
      <c r="AD1222" s="63"/>
      <c r="AE1222" s="63"/>
      <c r="AF1222" s="63"/>
      <c r="AG1222" s="63"/>
      <c r="AH1222" s="63"/>
      <c r="AI1222" s="63"/>
      <c r="AJ1222" s="63"/>
      <c r="AK1222" s="63"/>
      <c r="AL1222" s="63"/>
      <c r="AM1222" s="63"/>
      <c r="AN1222" s="63"/>
      <c r="AO1222" s="63"/>
      <c r="AP1222" s="63"/>
      <c r="AQ1222" s="63"/>
      <c r="AR1222" s="63"/>
      <c r="AS1222" s="63"/>
      <c r="AT1222" s="63"/>
      <c r="AU1222" s="63"/>
      <c r="AV1222" s="63"/>
      <c r="AW1222" s="63"/>
      <c r="AX1222" s="63"/>
    </row>
    <row r="1223" spans="1:50" x14ac:dyDescent="0.2">
      <c r="AA1223" s="16"/>
      <c r="AB1223" s="29" t="s">
        <v>285</v>
      </c>
      <c r="AC1223" s="17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</row>
    <row r="1224" spans="1:50" x14ac:dyDescent="0.2">
      <c r="AA1224" s="16"/>
      <c r="AB1224" s="29" t="s">
        <v>202</v>
      </c>
      <c r="AC1224" s="17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</row>
    <row r="1225" spans="1:50" x14ac:dyDescent="0.2">
      <c r="AA1225" s="16"/>
      <c r="AB1225" s="29" t="s">
        <v>203</v>
      </c>
      <c r="AC1225" s="17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</row>
    <row r="1226" spans="1:50" x14ac:dyDescent="0.2">
      <c r="AA1226" s="16"/>
      <c r="AB1226" s="29" t="s">
        <v>204</v>
      </c>
      <c r="AC1226" s="17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</row>
    <row r="1227" spans="1:50" ht="25.5" x14ac:dyDescent="0.2">
      <c r="AA1227" s="16"/>
      <c r="AB1227" s="29" t="s">
        <v>739</v>
      </c>
      <c r="AC1227" s="17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</row>
    <row r="1228" spans="1:50" ht="25.5" x14ac:dyDescent="0.2">
      <c r="AA1228" s="16"/>
      <c r="AB1228" s="29" t="s">
        <v>205</v>
      </c>
      <c r="AC1228" s="17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30"/>
      <c r="AU1228" s="18"/>
      <c r="AV1228" s="18"/>
      <c r="AW1228" s="18"/>
      <c r="AX1228" s="18"/>
    </row>
    <row r="1229" spans="1:50" ht="25.5" x14ac:dyDescent="0.2">
      <c r="AA1229" s="28" t="s">
        <v>288</v>
      </c>
      <c r="AB1229" s="29" t="s">
        <v>740</v>
      </c>
      <c r="AC1229" s="17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30"/>
      <c r="AU1229" s="18"/>
      <c r="AV1229" s="18"/>
      <c r="AW1229" s="18"/>
      <c r="AX1229" s="18"/>
    </row>
    <row r="1230" spans="1:50" x14ac:dyDescent="0.2">
      <c r="A1230" s="4" t="s">
        <v>55</v>
      </c>
      <c r="B1230" s="4" t="s">
        <v>56</v>
      </c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1" t="s">
        <v>741</v>
      </c>
      <c r="AB1230" s="42" t="s">
        <v>233</v>
      </c>
      <c r="AC1230" s="43" t="s">
        <v>58</v>
      </c>
      <c r="AD1230" s="43">
        <v>9645837227</v>
      </c>
      <c r="AE1230" s="44">
        <v>0</v>
      </c>
      <c r="AF1230" s="44">
        <v>0</v>
      </c>
      <c r="AG1230" s="44">
        <v>0</v>
      </c>
      <c r="AH1230" s="44">
        <v>0</v>
      </c>
      <c r="AI1230" s="44">
        <v>0</v>
      </c>
      <c r="AJ1230" s="43">
        <v>9645837227</v>
      </c>
      <c r="AK1230" s="44">
        <v>0</v>
      </c>
      <c r="AL1230" s="43">
        <f>AM1230-AGOSTO!AM1190</f>
        <v>803819769</v>
      </c>
      <c r="AM1230" s="43">
        <v>7234377921</v>
      </c>
      <c r="AN1230" s="44">
        <v>0</v>
      </c>
      <c r="AO1230" s="43">
        <v>803819769</v>
      </c>
      <c r="AP1230" s="43">
        <v>7234377921</v>
      </c>
      <c r="AQ1230" s="44">
        <v>0</v>
      </c>
      <c r="AR1230" s="114">
        <v>803819769</v>
      </c>
      <c r="AS1230" s="114">
        <v>7234377921</v>
      </c>
      <c r="AT1230" s="111">
        <f t="shared" ref="AT1230:AT1234" si="472">AQ1230+AS1230</f>
        <v>7234377921</v>
      </c>
      <c r="AU1230" s="110">
        <f>AJ1230-AM1230</f>
        <v>2411459306</v>
      </c>
      <c r="AV1230" s="133">
        <f>AM1230-AP1230</f>
        <v>0</v>
      </c>
      <c r="AW1230" s="34">
        <f>AP1230-AT1230</f>
        <v>0</v>
      </c>
      <c r="AX1230" s="123">
        <f>AP1230/AJ1230</f>
        <v>0.7500000000777538</v>
      </c>
    </row>
    <row r="1231" spans="1:50" x14ac:dyDescent="0.2">
      <c r="A1231" s="4" t="s">
        <v>55</v>
      </c>
      <c r="B1231" s="4" t="s">
        <v>56</v>
      </c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134" t="s">
        <v>742</v>
      </c>
      <c r="AB1231" s="69" t="s">
        <v>743</v>
      </c>
      <c r="AC1231" s="43" t="s">
        <v>744</v>
      </c>
      <c r="AD1231" s="43">
        <v>1148574460</v>
      </c>
      <c r="AE1231" s="43">
        <v>186245925</v>
      </c>
      <c r="AF1231" s="44">
        <v>0</v>
      </c>
      <c r="AG1231" s="44">
        <v>0</v>
      </c>
      <c r="AH1231" s="44">
        <v>0</v>
      </c>
      <c r="AI1231" s="43">
        <f t="shared" ref="AI1231" si="473">AE1231-AF1231+AG1231-AH1231</f>
        <v>186245925</v>
      </c>
      <c r="AJ1231" s="43">
        <f t="shared" ref="AJ1231" si="474">AD1231+AI1231</f>
        <v>1334820385</v>
      </c>
      <c r="AK1231" s="44">
        <v>0</v>
      </c>
      <c r="AL1231" s="43">
        <f>AM1231-AGOSTO!AM1191</f>
        <v>95714538</v>
      </c>
      <c r="AM1231" s="43">
        <v>861430842</v>
      </c>
      <c r="AN1231" s="44">
        <v>0</v>
      </c>
      <c r="AO1231" s="43">
        <v>95714538</v>
      </c>
      <c r="AP1231" s="43">
        <v>861430842</v>
      </c>
      <c r="AQ1231" s="44">
        <v>0</v>
      </c>
      <c r="AR1231" s="114">
        <v>95714538</v>
      </c>
      <c r="AS1231" s="114">
        <v>861430842</v>
      </c>
      <c r="AT1231" s="111">
        <f t="shared" si="472"/>
        <v>861430842</v>
      </c>
      <c r="AU1231" s="110">
        <f>AJ1231-AM1231</f>
        <v>473389543</v>
      </c>
      <c r="AV1231" s="133">
        <f>AM1231-AP1231</f>
        <v>0</v>
      </c>
      <c r="AW1231" s="34">
        <f>AP1231-AT1231</f>
        <v>0</v>
      </c>
      <c r="AX1231" s="123">
        <f>AP1231/AJ1231</f>
        <v>0.64535337613981669</v>
      </c>
    </row>
    <row r="1232" spans="1:50" x14ac:dyDescent="0.2">
      <c r="A1232" s="4" t="s">
        <v>55</v>
      </c>
      <c r="B1232" s="4" t="s">
        <v>56</v>
      </c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134" t="s">
        <v>745</v>
      </c>
      <c r="AB1232" s="69" t="s">
        <v>281</v>
      </c>
      <c r="AC1232" s="43" t="s">
        <v>253</v>
      </c>
      <c r="AD1232" s="43">
        <v>3200000000</v>
      </c>
      <c r="AE1232" s="44">
        <v>0</v>
      </c>
      <c r="AF1232" s="44">
        <v>0</v>
      </c>
      <c r="AG1232" s="44">
        <v>0</v>
      </c>
      <c r="AH1232" s="44">
        <v>0</v>
      </c>
      <c r="AI1232" s="44">
        <v>0</v>
      </c>
      <c r="AJ1232" s="43">
        <v>3200000000</v>
      </c>
      <c r="AK1232" s="44">
        <v>0</v>
      </c>
      <c r="AL1232" s="43">
        <f>AM1232-AGOSTO!AM1192</f>
        <v>254866263.97000003</v>
      </c>
      <c r="AM1232" s="43">
        <v>2089923106.95</v>
      </c>
      <c r="AN1232" s="44">
        <v>0</v>
      </c>
      <c r="AO1232" s="43">
        <v>254866263.97</v>
      </c>
      <c r="AP1232" s="43">
        <v>2089923106.95</v>
      </c>
      <c r="AQ1232" s="44">
        <v>0</v>
      </c>
      <c r="AR1232" s="114">
        <v>254866263.97</v>
      </c>
      <c r="AS1232" s="114">
        <v>2089923106.95</v>
      </c>
      <c r="AT1232" s="111">
        <f t="shared" si="472"/>
        <v>2089923106.95</v>
      </c>
      <c r="AU1232" s="110">
        <f>AJ1232-AM1232</f>
        <v>1110076893.05</v>
      </c>
      <c r="AV1232" s="133">
        <f>AM1232-AP1232</f>
        <v>0</v>
      </c>
      <c r="AW1232" s="34">
        <f>AP1232-AT1232</f>
        <v>0</v>
      </c>
      <c r="AX1232" s="123">
        <f>AP1232/AJ1232</f>
        <v>0.65310097092187502</v>
      </c>
    </row>
    <row r="1233" spans="1:50" ht="25.5" x14ac:dyDescent="0.2">
      <c r="A1233" s="4" t="s">
        <v>55</v>
      </c>
      <c r="B1233" s="4" t="s">
        <v>56</v>
      </c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1" t="s">
        <v>746</v>
      </c>
      <c r="AB1233" s="42" t="s">
        <v>747</v>
      </c>
      <c r="AC1233" s="43" t="s">
        <v>258</v>
      </c>
      <c r="AD1233" s="43">
        <v>35443183</v>
      </c>
      <c r="AE1233" s="44">
        <v>0</v>
      </c>
      <c r="AF1233" s="44">
        <v>0</v>
      </c>
      <c r="AG1233" s="44">
        <v>0</v>
      </c>
      <c r="AH1233" s="44">
        <v>0</v>
      </c>
      <c r="AI1233" s="44">
        <v>0</v>
      </c>
      <c r="AJ1233" s="43">
        <v>35443183</v>
      </c>
      <c r="AK1233" s="44">
        <v>0</v>
      </c>
      <c r="AL1233" s="44">
        <v>0</v>
      </c>
      <c r="AM1233" s="44">
        <v>0</v>
      </c>
      <c r="AN1233" s="44">
        <v>0</v>
      </c>
      <c r="AO1233" s="44">
        <v>0</v>
      </c>
      <c r="AP1233" s="44">
        <v>0</v>
      </c>
      <c r="AQ1233" s="44">
        <v>0</v>
      </c>
      <c r="AR1233" s="44">
        <v>0</v>
      </c>
      <c r="AS1233" s="44">
        <v>0</v>
      </c>
      <c r="AT1233" s="135">
        <f t="shared" si="472"/>
        <v>0</v>
      </c>
      <c r="AU1233" s="110">
        <f>AJ1233-AM1233</f>
        <v>35443183</v>
      </c>
      <c r="AV1233" s="133">
        <f>AM1233-AP1233</f>
        <v>0</v>
      </c>
      <c r="AW1233" s="34">
        <f>AP1233-AT1233</f>
        <v>0</v>
      </c>
      <c r="AX1233" s="123">
        <f>AP1233/AJ1233</f>
        <v>0</v>
      </c>
    </row>
    <row r="1234" spans="1:50" x14ac:dyDescent="0.2">
      <c r="A1234" s="4" t="s">
        <v>55</v>
      </c>
      <c r="B1234" s="4" t="s">
        <v>56</v>
      </c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1" t="s">
        <v>748</v>
      </c>
      <c r="AB1234" s="42" t="s">
        <v>749</v>
      </c>
      <c r="AC1234" s="43" t="s">
        <v>368</v>
      </c>
      <c r="AD1234" s="43">
        <v>30000000</v>
      </c>
      <c r="AE1234" s="44">
        <v>0</v>
      </c>
      <c r="AF1234" s="44">
        <v>0</v>
      </c>
      <c r="AG1234" s="44">
        <v>0</v>
      </c>
      <c r="AH1234" s="44">
        <v>0</v>
      </c>
      <c r="AI1234" s="44">
        <v>0</v>
      </c>
      <c r="AJ1234" s="43">
        <v>30000000</v>
      </c>
      <c r="AK1234" s="44">
        <v>0</v>
      </c>
      <c r="AL1234" s="44">
        <v>0</v>
      </c>
      <c r="AM1234" s="44">
        <v>0</v>
      </c>
      <c r="AN1234" s="44">
        <v>0</v>
      </c>
      <c r="AO1234" s="44">
        <v>0</v>
      </c>
      <c r="AP1234" s="44">
        <v>0</v>
      </c>
      <c r="AQ1234" s="44">
        <v>0</v>
      </c>
      <c r="AR1234" s="44">
        <v>0</v>
      </c>
      <c r="AS1234" s="44">
        <v>0</v>
      </c>
      <c r="AT1234" s="135">
        <f t="shared" si="472"/>
        <v>0</v>
      </c>
      <c r="AU1234" s="110">
        <f>AJ1234-AM1234</f>
        <v>30000000</v>
      </c>
      <c r="AV1234" s="133">
        <f>AM1234-AP1234</f>
        <v>0</v>
      </c>
      <c r="AW1234" s="34">
        <f>AP1234-AT1234</f>
        <v>0</v>
      </c>
      <c r="AX1234" s="123">
        <f>AP1234/AJ1234</f>
        <v>0</v>
      </c>
    </row>
    <row r="1235" spans="1:50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1"/>
      <c r="AB1235" s="42"/>
      <c r="AC1235" s="43"/>
      <c r="AD1235" s="43"/>
      <c r="AE1235" s="44"/>
      <c r="AF1235" s="44"/>
      <c r="AG1235" s="44"/>
      <c r="AH1235" s="44"/>
      <c r="AI1235" s="44"/>
      <c r="AJ1235" s="43"/>
      <c r="AK1235" s="44"/>
      <c r="AL1235" s="44"/>
      <c r="AM1235" s="44"/>
      <c r="AN1235" s="44"/>
      <c r="AO1235" s="44"/>
      <c r="AP1235" s="44"/>
      <c r="AQ1235" s="44"/>
      <c r="AR1235" s="44"/>
      <c r="AS1235" s="44"/>
      <c r="AT1235" s="135"/>
      <c r="AU1235" s="110"/>
      <c r="AV1235" s="133"/>
      <c r="AW1235" s="34"/>
      <c r="AX1235" s="123"/>
    </row>
    <row r="1236" spans="1:50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225" t="s">
        <v>288</v>
      </c>
      <c r="AB1236" s="226" t="s">
        <v>1138</v>
      </c>
      <c r="AC1236" s="43"/>
      <c r="AD1236" s="43"/>
      <c r="AE1236" s="233"/>
      <c r="AF1236" s="44"/>
      <c r="AG1236" s="44"/>
      <c r="AH1236" s="44"/>
      <c r="AI1236" s="44"/>
      <c r="AJ1236" s="43"/>
      <c r="AK1236" s="44"/>
      <c r="AL1236" s="44"/>
      <c r="AM1236" s="44"/>
      <c r="AN1236" s="44"/>
      <c r="AO1236" s="44"/>
      <c r="AP1236" s="44"/>
      <c r="AQ1236" s="44"/>
      <c r="AR1236" s="44"/>
      <c r="AS1236" s="44"/>
      <c r="AT1236" s="135"/>
      <c r="AU1236" s="110"/>
      <c r="AV1236" s="133"/>
      <c r="AW1236" s="34"/>
      <c r="AX1236" s="123"/>
    </row>
    <row r="1237" spans="1:50" ht="25.5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166" t="s">
        <v>1139</v>
      </c>
      <c r="AB1237" s="167" t="s">
        <v>1055</v>
      </c>
      <c r="AC1237" s="168"/>
      <c r="AD1237" s="255">
        <v>0</v>
      </c>
      <c r="AE1237" s="217">
        <v>140000000</v>
      </c>
      <c r="AF1237" s="216">
        <v>0</v>
      </c>
      <c r="AG1237" s="44">
        <v>0</v>
      </c>
      <c r="AH1237" s="44">
        <v>0</v>
      </c>
      <c r="AI1237" s="43">
        <f t="shared" ref="AI1237:AI1238" si="475">AE1237-AF1237+AG1237-AH1237</f>
        <v>140000000</v>
      </c>
      <c r="AJ1237" s="43">
        <f t="shared" ref="AJ1237:AJ1238" si="476">AD1237+AI1237</f>
        <v>140000000</v>
      </c>
      <c r="AK1237" s="44">
        <v>0</v>
      </c>
      <c r="AL1237" s="44">
        <v>0</v>
      </c>
      <c r="AM1237" s="43">
        <v>140000000</v>
      </c>
      <c r="AN1237" s="44">
        <v>0</v>
      </c>
      <c r="AO1237" s="44">
        <v>0</v>
      </c>
      <c r="AP1237" s="43">
        <v>140000000</v>
      </c>
      <c r="AQ1237" s="44">
        <v>0</v>
      </c>
      <c r="AR1237" s="44">
        <v>0</v>
      </c>
      <c r="AS1237" s="43">
        <v>140000000</v>
      </c>
      <c r="AT1237" s="39">
        <f t="shared" ref="AT1237:AT1238" si="477">AQ1237+AS1237</f>
        <v>140000000</v>
      </c>
      <c r="AU1237" s="133">
        <f>AJ1237-AM1237</f>
        <v>0</v>
      </c>
      <c r="AV1237" s="133">
        <f>AM1237-AP1237</f>
        <v>0</v>
      </c>
      <c r="AW1237" s="34">
        <f>AP1237-AT1237</f>
        <v>0</v>
      </c>
      <c r="AX1237" s="123">
        <f>AP1237/AJ1237</f>
        <v>1</v>
      </c>
    </row>
    <row r="1238" spans="1:50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166" t="s">
        <v>1140</v>
      </c>
      <c r="AB1238" s="167" t="s">
        <v>1013</v>
      </c>
      <c r="AC1238" s="168"/>
      <c r="AD1238" s="255">
        <v>0</v>
      </c>
      <c r="AE1238" s="217">
        <v>92624671.799999997</v>
      </c>
      <c r="AF1238" s="216">
        <v>0</v>
      </c>
      <c r="AG1238" s="216">
        <v>0</v>
      </c>
      <c r="AH1238" s="216">
        <v>0</v>
      </c>
      <c r="AI1238" s="43">
        <f t="shared" si="475"/>
        <v>92624671.799999997</v>
      </c>
      <c r="AJ1238" s="43">
        <f t="shared" si="476"/>
        <v>92624671.799999997</v>
      </c>
      <c r="AK1238" s="44">
        <v>0</v>
      </c>
      <c r="AL1238" s="44">
        <v>0</v>
      </c>
      <c r="AM1238" s="43">
        <v>92624671.799999997</v>
      </c>
      <c r="AN1238" s="44">
        <v>0</v>
      </c>
      <c r="AO1238" s="44">
        <v>0</v>
      </c>
      <c r="AP1238" s="43">
        <v>92624671.799999997</v>
      </c>
      <c r="AQ1238" s="44">
        <v>0</v>
      </c>
      <c r="AR1238" s="44">
        <v>0</v>
      </c>
      <c r="AS1238" s="43">
        <v>92624671.799999997</v>
      </c>
      <c r="AT1238" s="39">
        <f t="shared" si="477"/>
        <v>92624671.799999997</v>
      </c>
      <c r="AU1238" s="133">
        <f>AJ1238-AM1238</f>
        <v>0</v>
      </c>
      <c r="AV1238" s="133">
        <f>AM1238-AP1238</f>
        <v>0</v>
      </c>
      <c r="AW1238" s="34">
        <f>AP1238-AT1238</f>
        <v>0</v>
      </c>
      <c r="AX1238" s="123">
        <f>AP1238/AJ1238</f>
        <v>1</v>
      </c>
    </row>
    <row r="1239" spans="1:50" ht="25.5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170" t="s">
        <v>288</v>
      </c>
      <c r="AB1239" s="165" t="s">
        <v>1141</v>
      </c>
      <c r="AC1239" s="168"/>
      <c r="AD1239" s="255"/>
      <c r="AE1239" s="235"/>
      <c r="AF1239" s="216"/>
      <c r="AG1239" s="44"/>
      <c r="AH1239" s="44"/>
      <c r="AI1239" s="44"/>
      <c r="AJ1239" s="43"/>
      <c r="AK1239" s="44"/>
      <c r="AL1239" s="44"/>
      <c r="AM1239" s="44"/>
      <c r="AN1239" s="44"/>
      <c r="AO1239" s="44"/>
      <c r="AP1239" s="44"/>
      <c r="AQ1239" s="44"/>
      <c r="AR1239" s="44"/>
      <c r="AS1239" s="44"/>
      <c r="AT1239" s="135"/>
      <c r="AU1239" s="133"/>
      <c r="AV1239" s="133"/>
      <c r="AW1239" s="34"/>
      <c r="AX1239" s="123"/>
    </row>
    <row r="1240" spans="1:50" ht="25.5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166" t="s">
        <v>1142</v>
      </c>
      <c r="AB1240" s="167" t="s">
        <v>1055</v>
      </c>
      <c r="AC1240" s="168"/>
      <c r="AD1240" s="255">
        <v>0</v>
      </c>
      <c r="AE1240" s="217">
        <v>15000000</v>
      </c>
      <c r="AF1240" s="216">
        <v>0</v>
      </c>
      <c r="AG1240" s="216">
        <v>0</v>
      </c>
      <c r="AH1240" s="216">
        <v>0</v>
      </c>
      <c r="AI1240" s="43">
        <f t="shared" ref="AI1240:AI1245" si="478">AE1240-AF1240+AG1240-AH1240</f>
        <v>15000000</v>
      </c>
      <c r="AJ1240" s="43">
        <f t="shared" ref="AJ1240:AJ1245" si="479">AD1240+AI1240</f>
        <v>15000000</v>
      </c>
      <c r="AK1240" s="44">
        <v>0</v>
      </c>
      <c r="AL1240" s="44">
        <v>0</v>
      </c>
      <c r="AM1240" s="43">
        <v>15000000</v>
      </c>
      <c r="AN1240" s="44">
        <v>0</v>
      </c>
      <c r="AO1240" s="44">
        <v>0</v>
      </c>
      <c r="AP1240" s="43">
        <v>15000000</v>
      </c>
      <c r="AQ1240" s="44">
        <v>0</v>
      </c>
      <c r="AR1240" s="44">
        <v>0</v>
      </c>
      <c r="AS1240" s="43">
        <v>15000000</v>
      </c>
      <c r="AT1240" s="39">
        <f t="shared" ref="AT1240:AT1245" si="480">AQ1240+AS1240</f>
        <v>15000000</v>
      </c>
      <c r="AU1240" s="133">
        <f t="shared" ref="AU1240:AU1245" si="481">AJ1240-AM1240</f>
        <v>0</v>
      </c>
      <c r="AV1240" s="133">
        <f t="shared" ref="AV1240:AV1245" si="482">AM1240-AP1240</f>
        <v>0</v>
      </c>
      <c r="AW1240" s="34">
        <f t="shared" ref="AW1240:AW1245" si="483">AP1240-AT1240</f>
        <v>0</v>
      </c>
      <c r="AX1240" s="123">
        <f t="shared" ref="AX1240:AX1245" si="484">AP1240/AJ1240</f>
        <v>1</v>
      </c>
    </row>
    <row r="1241" spans="1:50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166" t="s">
        <v>1356</v>
      </c>
      <c r="AB1241" s="167" t="s">
        <v>233</v>
      </c>
      <c r="AC1241" s="168"/>
      <c r="AD1241" s="255">
        <v>0</v>
      </c>
      <c r="AE1241" s="217">
        <v>0</v>
      </c>
      <c r="AF1241" s="216">
        <v>0</v>
      </c>
      <c r="AG1241" s="168">
        <v>100000000</v>
      </c>
      <c r="AH1241" s="216">
        <v>0</v>
      </c>
      <c r="AI1241" s="43">
        <f t="shared" ref="AI1241:AI1242" si="485">AE1241-AF1241+AG1241-AH1241</f>
        <v>100000000</v>
      </c>
      <c r="AJ1241" s="43">
        <f t="shared" ref="AJ1241:AJ1242" si="486">AD1241+AI1241</f>
        <v>100000000</v>
      </c>
      <c r="AK1241" s="44">
        <v>0</v>
      </c>
      <c r="AL1241" s="44">
        <v>0</v>
      </c>
      <c r="AM1241" s="44">
        <v>0</v>
      </c>
      <c r="AN1241" s="44">
        <v>0</v>
      </c>
      <c r="AO1241" s="44">
        <v>0</v>
      </c>
      <c r="AP1241" s="43">
        <v>0</v>
      </c>
      <c r="AQ1241" s="44">
        <v>0</v>
      </c>
      <c r="AR1241" s="44">
        <v>0</v>
      </c>
      <c r="AS1241" s="44">
        <v>0</v>
      </c>
      <c r="AT1241" s="40">
        <f t="shared" ref="AT1241:AT1242" si="487">AQ1241+AS1241</f>
        <v>0</v>
      </c>
      <c r="AU1241" s="18">
        <f t="shared" si="481"/>
        <v>100000000</v>
      </c>
      <c r="AV1241" s="133">
        <f t="shared" si="482"/>
        <v>0</v>
      </c>
      <c r="AW1241" s="34">
        <f t="shared" si="483"/>
        <v>0</v>
      </c>
      <c r="AX1241" s="123">
        <f t="shared" si="484"/>
        <v>0</v>
      </c>
    </row>
    <row r="1242" spans="1:50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166" t="s">
        <v>1357</v>
      </c>
      <c r="AB1242" s="167" t="s">
        <v>233</v>
      </c>
      <c r="AC1242" s="168"/>
      <c r="AD1242" s="255">
        <v>0</v>
      </c>
      <c r="AE1242" s="217">
        <v>0</v>
      </c>
      <c r="AF1242" s="216">
        <v>0</v>
      </c>
      <c r="AG1242" s="168">
        <v>700000000</v>
      </c>
      <c r="AH1242" s="216">
        <v>0</v>
      </c>
      <c r="AI1242" s="43">
        <f t="shared" si="485"/>
        <v>700000000</v>
      </c>
      <c r="AJ1242" s="43">
        <f t="shared" si="486"/>
        <v>700000000</v>
      </c>
      <c r="AK1242" s="44">
        <v>0</v>
      </c>
      <c r="AL1242" s="44">
        <v>0</v>
      </c>
      <c r="AM1242" s="44">
        <v>0</v>
      </c>
      <c r="AN1242" s="44"/>
      <c r="AO1242" s="44">
        <v>0</v>
      </c>
      <c r="AP1242" s="43">
        <v>0</v>
      </c>
      <c r="AQ1242" s="44">
        <v>0</v>
      </c>
      <c r="AR1242" s="44">
        <v>0</v>
      </c>
      <c r="AS1242" s="44">
        <v>0</v>
      </c>
      <c r="AT1242" s="40">
        <f t="shared" si="487"/>
        <v>0</v>
      </c>
      <c r="AU1242" s="18">
        <f t="shared" si="481"/>
        <v>700000000</v>
      </c>
      <c r="AV1242" s="133">
        <f t="shared" si="482"/>
        <v>0</v>
      </c>
      <c r="AW1242" s="34">
        <f t="shared" si="483"/>
        <v>0</v>
      </c>
      <c r="AX1242" s="123">
        <f t="shared" si="484"/>
        <v>0</v>
      </c>
    </row>
    <row r="1243" spans="1:50" ht="25.5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166" t="s">
        <v>1143</v>
      </c>
      <c r="AB1243" s="167" t="s">
        <v>1055</v>
      </c>
      <c r="AC1243" s="168"/>
      <c r="AD1243" s="255">
        <v>0</v>
      </c>
      <c r="AE1243" s="217">
        <v>100000000</v>
      </c>
      <c r="AF1243" s="216">
        <v>0</v>
      </c>
      <c r="AG1243" s="216">
        <v>0</v>
      </c>
      <c r="AH1243" s="216">
        <v>0</v>
      </c>
      <c r="AI1243" s="43">
        <f t="shared" si="478"/>
        <v>100000000</v>
      </c>
      <c r="AJ1243" s="43">
        <f t="shared" si="479"/>
        <v>100000000</v>
      </c>
      <c r="AK1243" s="44">
        <v>0</v>
      </c>
      <c r="AL1243" s="44">
        <v>0</v>
      </c>
      <c r="AM1243" s="43">
        <v>100000000</v>
      </c>
      <c r="AN1243" s="44">
        <v>0</v>
      </c>
      <c r="AO1243" s="44">
        <v>0</v>
      </c>
      <c r="AP1243" s="43">
        <v>100000000</v>
      </c>
      <c r="AQ1243" s="44">
        <v>0</v>
      </c>
      <c r="AR1243" s="44">
        <v>0</v>
      </c>
      <c r="AS1243" s="43">
        <v>100000000</v>
      </c>
      <c r="AT1243" s="39">
        <f t="shared" si="480"/>
        <v>100000000</v>
      </c>
      <c r="AU1243" s="133">
        <f t="shared" si="481"/>
        <v>0</v>
      </c>
      <c r="AV1243" s="133">
        <f t="shared" si="482"/>
        <v>0</v>
      </c>
      <c r="AW1243" s="34">
        <f t="shared" si="483"/>
        <v>0</v>
      </c>
      <c r="AX1243" s="123">
        <f t="shared" si="484"/>
        <v>1</v>
      </c>
    </row>
    <row r="1244" spans="1:50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166" t="s">
        <v>1144</v>
      </c>
      <c r="AB1244" s="167" t="s">
        <v>1013</v>
      </c>
      <c r="AC1244" s="168"/>
      <c r="AD1244" s="255">
        <v>0</v>
      </c>
      <c r="AE1244" s="217">
        <v>80000000</v>
      </c>
      <c r="AF1244" s="216">
        <v>0</v>
      </c>
      <c r="AG1244" s="216">
        <v>0</v>
      </c>
      <c r="AH1244" s="216">
        <v>0</v>
      </c>
      <c r="AI1244" s="43">
        <f t="shared" si="478"/>
        <v>80000000</v>
      </c>
      <c r="AJ1244" s="43">
        <f t="shared" si="479"/>
        <v>80000000</v>
      </c>
      <c r="AK1244" s="44">
        <v>0</v>
      </c>
      <c r="AL1244" s="44">
        <v>0</v>
      </c>
      <c r="AM1244" s="43">
        <v>80000000</v>
      </c>
      <c r="AN1244" s="44">
        <v>0</v>
      </c>
      <c r="AO1244" s="44">
        <v>0</v>
      </c>
      <c r="AP1244" s="43">
        <v>80000000</v>
      </c>
      <c r="AQ1244" s="44">
        <v>0</v>
      </c>
      <c r="AR1244" s="44">
        <v>0</v>
      </c>
      <c r="AS1244" s="43">
        <v>80000000</v>
      </c>
      <c r="AT1244" s="39">
        <f t="shared" si="480"/>
        <v>80000000</v>
      </c>
      <c r="AU1244" s="133">
        <f t="shared" si="481"/>
        <v>0</v>
      </c>
      <c r="AV1244" s="133">
        <f t="shared" si="482"/>
        <v>0</v>
      </c>
      <c r="AW1244" s="34">
        <f t="shared" si="483"/>
        <v>0</v>
      </c>
      <c r="AX1244" s="123">
        <f t="shared" si="484"/>
        <v>1</v>
      </c>
    </row>
    <row r="1245" spans="1:50" ht="25.5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166" t="s">
        <v>1145</v>
      </c>
      <c r="AB1245" s="167" t="s">
        <v>1044</v>
      </c>
      <c r="AC1245" s="168"/>
      <c r="AD1245" s="255">
        <v>0</v>
      </c>
      <c r="AE1245" s="217">
        <v>22000000</v>
      </c>
      <c r="AF1245" s="216">
        <v>0</v>
      </c>
      <c r="AG1245" s="216">
        <v>0</v>
      </c>
      <c r="AH1245" s="216">
        <v>0</v>
      </c>
      <c r="AI1245" s="43">
        <f t="shared" si="478"/>
        <v>22000000</v>
      </c>
      <c r="AJ1245" s="43">
        <f t="shared" si="479"/>
        <v>22000000</v>
      </c>
      <c r="AK1245" s="44">
        <v>0</v>
      </c>
      <c r="AL1245" s="44">
        <v>0</v>
      </c>
      <c r="AM1245" s="43">
        <v>22000000</v>
      </c>
      <c r="AN1245" s="44">
        <v>0</v>
      </c>
      <c r="AO1245" s="44">
        <v>0</v>
      </c>
      <c r="AP1245" s="43">
        <v>22000000</v>
      </c>
      <c r="AQ1245" s="44">
        <v>0</v>
      </c>
      <c r="AR1245" s="44">
        <v>0</v>
      </c>
      <c r="AS1245" s="43">
        <v>22000000</v>
      </c>
      <c r="AT1245" s="39">
        <f t="shared" si="480"/>
        <v>22000000</v>
      </c>
      <c r="AU1245" s="133">
        <f t="shared" si="481"/>
        <v>0</v>
      </c>
      <c r="AV1245" s="133">
        <f t="shared" si="482"/>
        <v>0</v>
      </c>
      <c r="AW1245" s="34">
        <f t="shared" si="483"/>
        <v>0</v>
      </c>
      <c r="AX1245" s="123">
        <f t="shared" si="484"/>
        <v>1</v>
      </c>
    </row>
    <row r="1246" spans="1:50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170" t="s">
        <v>288</v>
      </c>
      <c r="AB1246" s="165" t="s">
        <v>199</v>
      </c>
      <c r="AC1246" s="168"/>
      <c r="AD1246" s="255"/>
      <c r="AE1246" s="235"/>
      <c r="AF1246" s="216"/>
      <c r="AG1246" s="44"/>
      <c r="AH1246" s="44"/>
      <c r="AI1246" s="44"/>
      <c r="AJ1246" s="43"/>
      <c r="AK1246" s="44"/>
      <c r="AL1246" s="44"/>
      <c r="AM1246" s="44"/>
      <c r="AN1246" s="44"/>
      <c r="AO1246" s="44"/>
      <c r="AP1246" s="44"/>
      <c r="AQ1246" s="44"/>
      <c r="AR1246" s="44"/>
      <c r="AS1246" s="44"/>
      <c r="AT1246" s="135"/>
      <c r="AU1246" s="133"/>
      <c r="AV1246" s="133"/>
      <c r="AW1246" s="34"/>
      <c r="AX1246" s="123"/>
    </row>
    <row r="1247" spans="1:50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166" t="s">
        <v>543</v>
      </c>
      <c r="AB1247" s="167" t="s">
        <v>233</v>
      </c>
      <c r="AC1247" s="168"/>
      <c r="AD1247" s="255"/>
      <c r="AE1247" s="235">
        <v>0</v>
      </c>
      <c r="AF1247" s="216">
        <v>0</v>
      </c>
      <c r="AG1247" s="43">
        <v>200000000</v>
      </c>
      <c r="AH1247" s="44">
        <v>0</v>
      </c>
      <c r="AI1247" s="43">
        <f t="shared" ref="AI1247" si="488">AE1247-AF1247+AG1247-AH1247</f>
        <v>200000000</v>
      </c>
      <c r="AJ1247" s="43">
        <f t="shared" ref="AJ1247" si="489">AD1247+AI1247</f>
        <v>200000000</v>
      </c>
      <c r="AK1247" s="44">
        <v>0</v>
      </c>
      <c r="AL1247" s="44">
        <v>0</v>
      </c>
      <c r="AM1247" s="44">
        <v>0</v>
      </c>
      <c r="AN1247" s="44">
        <v>0</v>
      </c>
      <c r="AO1247" s="44">
        <v>0</v>
      </c>
      <c r="AP1247" s="44">
        <v>0</v>
      </c>
      <c r="AQ1247" s="44">
        <v>0</v>
      </c>
      <c r="AR1247" s="44">
        <v>0</v>
      </c>
      <c r="AS1247" s="44">
        <v>0</v>
      </c>
      <c r="AT1247" s="39">
        <f t="shared" ref="AT1247" si="490">AQ1247+AS1247</f>
        <v>0</v>
      </c>
      <c r="AU1247" s="18">
        <f>AJ1247-AM1247</f>
        <v>200000000</v>
      </c>
      <c r="AV1247" s="133">
        <f>AM1247-AP1247</f>
        <v>0</v>
      </c>
      <c r="AW1247" s="34">
        <f>AP1247-AT1247</f>
        <v>0</v>
      </c>
      <c r="AX1247" s="123">
        <f>AP1247/AJ1247</f>
        <v>0</v>
      </c>
    </row>
    <row r="1248" spans="1:50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166" t="s">
        <v>1146</v>
      </c>
      <c r="AB1248" s="167" t="s">
        <v>1147</v>
      </c>
      <c r="AC1248" s="168"/>
      <c r="AD1248" s="255">
        <v>0</v>
      </c>
      <c r="AE1248" s="217">
        <v>134265906</v>
      </c>
      <c r="AF1248" s="216">
        <v>0</v>
      </c>
      <c r="AG1248" s="44">
        <v>0</v>
      </c>
      <c r="AH1248" s="44">
        <v>0</v>
      </c>
      <c r="AI1248" s="43">
        <f t="shared" ref="AI1248:AI1249" si="491">AE1248-AF1248+AG1248-AH1248</f>
        <v>134265906</v>
      </c>
      <c r="AJ1248" s="43">
        <f t="shared" ref="AJ1248:AJ1249" si="492">AD1248+AI1248</f>
        <v>134265906</v>
      </c>
      <c r="AK1248" s="44">
        <v>0</v>
      </c>
      <c r="AL1248" s="44">
        <v>0</v>
      </c>
      <c r="AM1248" s="43">
        <v>134265906</v>
      </c>
      <c r="AN1248" s="44">
        <v>0</v>
      </c>
      <c r="AO1248" s="44">
        <v>0</v>
      </c>
      <c r="AP1248" s="43">
        <v>134265906</v>
      </c>
      <c r="AQ1248" s="44">
        <v>0</v>
      </c>
      <c r="AR1248" s="44">
        <v>0</v>
      </c>
      <c r="AS1248" s="43">
        <v>134265906</v>
      </c>
      <c r="AT1248" s="39">
        <f t="shared" ref="AT1248:AT1249" si="493">AQ1248+AS1248</f>
        <v>134265906</v>
      </c>
      <c r="AU1248" s="133">
        <f>AJ1248-AM1248</f>
        <v>0</v>
      </c>
      <c r="AV1248" s="133">
        <f>AM1248-AP1248</f>
        <v>0</v>
      </c>
      <c r="AW1248" s="34">
        <f>AP1248-AT1248</f>
        <v>0</v>
      </c>
      <c r="AX1248" s="123">
        <f>AP1248/AJ1248</f>
        <v>1</v>
      </c>
    </row>
    <row r="1249" spans="1:50" ht="25.5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166" t="s">
        <v>1148</v>
      </c>
      <c r="AB1249" s="167" t="s">
        <v>1149</v>
      </c>
      <c r="AC1249" s="168"/>
      <c r="AD1249" s="255">
        <v>0</v>
      </c>
      <c r="AE1249" s="217">
        <v>24691137.52</v>
      </c>
      <c r="AF1249" s="216">
        <v>0</v>
      </c>
      <c r="AG1249" s="216">
        <v>0</v>
      </c>
      <c r="AH1249" s="216">
        <v>0</v>
      </c>
      <c r="AI1249" s="43">
        <f t="shared" si="491"/>
        <v>24691137.52</v>
      </c>
      <c r="AJ1249" s="43">
        <f t="shared" si="492"/>
        <v>24691137.52</v>
      </c>
      <c r="AK1249" s="44">
        <v>0</v>
      </c>
      <c r="AL1249" s="44">
        <v>0</v>
      </c>
      <c r="AM1249" s="43">
        <v>24691137.52</v>
      </c>
      <c r="AN1249" s="44">
        <v>0</v>
      </c>
      <c r="AO1249" s="44">
        <v>0</v>
      </c>
      <c r="AP1249" s="43">
        <v>24691137.52</v>
      </c>
      <c r="AQ1249" s="44">
        <v>0</v>
      </c>
      <c r="AR1249" s="44">
        <v>0</v>
      </c>
      <c r="AS1249" s="43">
        <v>24691137.52</v>
      </c>
      <c r="AT1249" s="39">
        <f t="shared" si="493"/>
        <v>24691137.52</v>
      </c>
      <c r="AU1249" s="133">
        <f>AJ1249-AM1249</f>
        <v>0</v>
      </c>
      <c r="AV1249" s="133">
        <f>AM1249-AP1249</f>
        <v>0</v>
      </c>
      <c r="AW1249" s="34">
        <f>AP1249-AT1249</f>
        <v>0</v>
      </c>
      <c r="AX1249" s="123">
        <f>AP1249/AJ1249</f>
        <v>1</v>
      </c>
    </row>
    <row r="1250" spans="1:50" ht="25.5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170" t="s">
        <v>288</v>
      </c>
      <c r="AB1250" s="165" t="s">
        <v>1150</v>
      </c>
      <c r="AC1250" s="168"/>
      <c r="AD1250" s="231"/>
      <c r="AE1250" s="236"/>
      <c r="AF1250" s="216"/>
      <c r="AG1250" s="44"/>
      <c r="AH1250" s="44"/>
      <c r="AI1250" s="44"/>
      <c r="AJ1250" s="43"/>
      <c r="AK1250" s="44"/>
      <c r="AL1250" s="44"/>
      <c r="AM1250" s="44"/>
      <c r="AN1250" s="44"/>
      <c r="AO1250" s="44"/>
      <c r="AP1250" s="44"/>
      <c r="AQ1250" s="44"/>
      <c r="AR1250" s="44"/>
      <c r="AS1250" s="44"/>
      <c r="AT1250" s="135"/>
      <c r="AU1250" s="133"/>
      <c r="AV1250" s="133"/>
      <c r="AW1250" s="34"/>
      <c r="AX1250" s="123"/>
    </row>
    <row r="1251" spans="1:50" ht="25.5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166" t="s">
        <v>1151</v>
      </c>
      <c r="AB1251" s="167" t="s">
        <v>1055</v>
      </c>
      <c r="AC1251" s="168"/>
      <c r="AD1251" s="255">
        <v>0</v>
      </c>
      <c r="AE1251" s="217">
        <v>233600000</v>
      </c>
      <c r="AF1251" s="216">
        <v>0</v>
      </c>
      <c r="AG1251" s="216">
        <v>0</v>
      </c>
      <c r="AH1251" s="216">
        <v>0</v>
      </c>
      <c r="AI1251" s="43">
        <f t="shared" ref="AI1251" si="494">AE1251-AF1251+AG1251-AH1251</f>
        <v>233600000</v>
      </c>
      <c r="AJ1251" s="43">
        <f t="shared" ref="AJ1251" si="495">AD1251+AI1251</f>
        <v>233600000</v>
      </c>
      <c r="AK1251" s="44">
        <v>0</v>
      </c>
      <c r="AL1251" s="44">
        <v>0</v>
      </c>
      <c r="AM1251" s="43">
        <v>233600000</v>
      </c>
      <c r="AN1251" s="44">
        <v>0</v>
      </c>
      <c r="AO1251" s="44">
        <v>0</v>
      </c>
      <c r="AP1251" s="43">
        <v>233600000</v>
      </c>
      <c r="AQ1251" s="44">
        <v>0</v>
      </c>
      <c r="AR1251" s="44">
        <v>0</v>
      </c>
      <c r="AS1251" s="43">
        <v>233600000</v>
      </c>
      <c r="AT1251" s="39">
        <f t="shared" ref="AT1251" si="496">AQ1251+AS1251</f>
        <v>233600000</v>
      </c>
      <c r="AU1251" s="133">
        <f>AJ1251-AM1251</f>
        <v>0</v>
      </c>
      <c r="AV1251" s="133">
        <f>AM1251-AP1251</f>
        <v>0</v>
      </c>
      <c r="AW1251" s="34">
        <f>AP1251-AT1251</f>
        <v>0</v>
      </c>
      <c r="AX1251" s="123">
        <f>AP1251/AJ1251</f>
        <v>1</v>
      </c>
    </row>
    <row r="1252" spans="1:50" ht="25.5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170" t="s">
        <v>288</v>
      </c>
      <c r="AB1252" s="165" t="s">
        <v>1152</v>
      </c>
      <c r="AC1252" s="168"/>
      <c r="AD1252" s="231"/>
      <c r="AE1252" s="236"/>
      <c r="AF1252" s="216"/>
      <c r="AG1252" s="44"/>
      <c r="AH1252" s="44"/>
      <c r="AI1252" s="44"/>
      <c r="AJ1252" s="43"/>
      <c r="AK1252" s="44"/>
      <c r="AL1252" s="44"/>
      <c r="AM1252" s="44"/>
      <c r="AN1252" s="44"/>
      <c r="AO1252" s="44"/>
      <c r="AP1252" s="44"/>
      <c r="AQ1252" s="44"/>
      <c r="AR1252" s="44"/>
      <c r="AS1252" s="44"/>
      <c r="AT1252" s="135"/>
      <c r="AU1252" s="110"/>
      <c r="AV1252" s="133"/>
      <c r="AW1252" s="34"/>
      <c r="AX1252" s="123"/>
    </row>
    <row r="1253" spans="1:50" ht="25.5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166" t="s">
        <v>1153</v>
      </c>
      <c r="AB1253" s="167" t="s">
        <v>1055</v>
      </c>
      <c r="AC1253" s="168"/>
      <c r="AD1253" s="255">
        <v>0</v>
      </c>
      <c r="AE1253" s="217">
        <v>61400000</v>
      </c>
      <c r="AF1253" s="216">
        <v>0</v>
      </c>
      <c r="AG1253" s="216">
        <v>0</v>
      </c>
      <c r="AH1253" s="216">
        <v>0</v>
      </c>
      <c r="AI1253" s="43">
        <f t="shared" ref="AI1253" si="497">AE1253-AF1253+AG1253-AH1253</f>
        <v>61400000</v>
      </c>
      <c r="AJ1253" s="43">
        <f t="shared" ref="AJ1253" si="498">AD1253+AI1253</f>
        <v>61400000</v>
      </c>
      <c r="AK1253" s="44">
        <v>0</v>
      </c>
      <c r="AL1253" s="44">
        <v>0</v>
      </c>
      <c r="AM1253" s="43">
        <v>61400000</v>
      </c>
      <c r="AN1253" s="44">
        <v>0</v>
      </c>
      <c r="AO1253" s="44">
        <v>0</v>
      </c>
      <c r="AP1253" s="43">
        <v>61400000</v>
      </c>
      <c r="AQ1253" s="44">
        <v>0</v>
      </c>
      <c r="AR1253" s="44">
        <v>0</v>
      </c>
      <c r="AS1253" s="43">
        <v>61400000</v>
      </c>
      <c r="AT1253" s="39">
        <f t="shared" ref="AT1253" si="499">AQ1253+AS1253</f>
        <v>61400000</v>
      </c>
      <c r="AU1253" s="133">
        <f>AJ1253-AM1253</f>
        <v>0</v>
      </c>
      <c r="AV1253" s="133">
        <f>AM1253-AP1253</f>
        <v>0</v>
      </c>
      <c r="AW1253" s="34">
        <f>AP1253-AT1253</f>
        <v>0</v>
      </c>
      <c r="AX1253" s="123">
        <f>AP1253/AJ1253</f>
        <v>1</v>
      </c>
    </row>
    <row r="1254" spans="1:50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170" t="s">
        <v>288</v>
      </c>
      <c r="AB1254" s="165" t="s">
        <v>1154</v>
      </c>
      <c r="AC1254" s="168"/>
      <c r="AD1254" s="255"/>
      <c r="AE1254" s="236"/>
      <c r="AF1254" s="216"/>
      <c r="AG1254" s="44"/>
      <c r="AH1254" s="44"/>
      <c r="AI1254" s="44"/>
      <c r="AJ1254" s="43"/>
      <c r="AK1254" s="44"/>
      <c r="AL1254" s="44"/>
      <c r="AM1254" s="44"/>
      <c r="AN1254" s="44"/>
      <c r="AO1254" s="44"/>
      <c r="AP1254" s="44"/>
      <c r="AQ1254" s="44"/>
      <c r="AR1254" s="44"/>
      <c r="AS1254" s="44"/>
      <c r="AT1254" s="135"/>
      <c r="AU1254" s="133"/>
      <c r="AV1254" s="133"/>
      <c r="AW1254" s="34"/>
      <c r="AX1254" s="123"/>
    </row>
    <row r="1255" spans="1:50" ht="25.5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166" t="s">
        <v>1155</v>
      </c>
      <c r="AB1255" s="167" t="s">
        <v>1055</v>
      </c>
      <c r="AC1255" s="168"/>
      <c r="AD1255" s="255">
        <v>0</v>
      </c>
      <c r="AE1255" s="217">
        <v>200000000</v>
      </c>
      <c r="AF1255" s="216">
        <v>0</v>
      </c>
      <c r="AG1255" s="216">
        <v>0</v>
      </c>
      <c r="AH1255" s="216">
        <v>0</v>
      </c>
      <c r="AI1255" s="43">
        <f t="shared" ref="AI1255" si="500">AE1255-AF1255+AG1255-AH1255</f>
        <v>200000000</v>
      </c>
      <c r="AJ1255" s="43">
        <f t="shared" ref="AJ1255" si="501">AD1255+AI1255</f>
        <v>200000000</v>
      </c>
      <c r="AK1255" s="44">
        <v>0</v>
      </c>
      <c r="AL1255" s="44">
        <v>0</v>
      </c>
      <c r="AM1255" s="43">
        <v>200000000</v>
      </c>
      <c r="AN1255" s="44">
        <v>0</v>
      </c>
      <c r="AO1255" s="44">
        <v>0</v>
      </c>
      <c r="AP1255" s="43">
        <v>200000000</v>
      </c>
      <c r="AQ1255" s="44">
        <v>0</v>
      </c>
      <c r="AR1255" s="44">
        <v>0</v>
      </c>
      <c r="AS1255" s="43">
        <v>200000000</v>
      </c>
      <c r="AT1255" s="39">
        <f t="shared" ref="AT1255" si="502">AQ1255+AS1255</f>
        <v>200000000</v>
      </c>
      <c r="AU1255" s="133">
        <f>AJ1255-AM1255</f>
        <v>0</v>
      </c>
      <c r="AV1255" s="133">
        <f>AM1255-AP1255</f>
        <v>0</v>
      </c>
      <c r="AW1255" s="34">
        <f>AP1255-AT1255</f>
        <v>0</v>
      </c>
      <c r="AX1255" s="123">
        <f>AP1255/AJ1255</f>
        <v>1</v>
      </c>
    </row>
    <row r="1256" spans="1:50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170" t="s">
        <v>288</v>
      </c>
      <c r="AB1256" s="165" t="s">
        <v>1156</v>
      </c>
      <c r="AC1256" s="168"/>
      <c r="AD1256" s="255"/>
      <c r="AE1256" s="236"/>
      <c r="AF1256" s="216"/>
      <c r="AG1256" s="44"/>
      <c r="AH1256" s="44"/>
      <c r="AI1256" s="44"/>
      <c r="AJ1256" s="43"/>
      <c r="AK1256" s="44"/>
      <c r="AL1256" s="44"/>
      <c r="AM1256" s="44"/>
      <c r="AN1256" s="44"/>
      <c r="AO1256" s="44"/>
      <c r="AP1256" s="44"/>
      <c r="AQ1256" s="44"/>
      <c r="AR1256" s="44"/>
      <c r="AS1256" s="44"/>
      <c r="AT1256" s="135"/>
      <c r="AU1256" s="133"/>
      <c r="AV1256" s="133"/>
      <c r="AW1256" s="34"/>
      <c r="AX1256" s="123"/>
    </row>
    <row r="1257" spans="1:50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166" t="s">
        <v>1157</v>
      </c>
      <c r="AB1257" s="167" t="s">
        <v>1013</v>
      </c>
      <c r="AC1257" s="168"/>
      <c r="AD1257" s="255">
        <v>0</v>
      </c>
      <c r="AE1257" s="217">
        <v>70000000</v>
      </c>
      <c r="AF1257" s="216">
        <v>0</v>
      </c>
      <c r="AG1257" s="216">
        <v>0</v>
      </c>
      <c r="AH1257" s="216">
        <v>0</v>
      </c>
      <c r="AI1257" s="43">
        <f t="shared" ref="AI1257" si="503">AE1257-AF1257+AG1257-AH1257</f>
        <v>70000000</v>
      </c>
      <c r="AJ1257" s="43">
        <f t="shared" ref="AJ1257" si="504">AD1257+AI1257</f>
        <v>70000000</v>
      </c>
      <c r="AK1257" s="44">
        <v>0</v>
      </c>
      <c r="AL1257" s="44">
        <v>0</v>
      </c>
      <c r="AM1257" s="43">
        <v>70000000</v>
      </c>
      <c r="AN1257" s="44">
        <v>0</v>
      </c>
      <c r="AO1257" s="44">
        <v>0</v>
      </c>
      <c r="AP1257" s="43">
        <v>70000000</v>
      </c>
      <c r="AQ1257" s="44">
        <v>0</v>
      </c>
      <c r="AR1257" s="44">
        <v>0</v>
      </c>
      <c r="AS1257" s="43">
        <v>70000000</v>
      </c>
      <c r="AT1257" s="39">
        <f t="shared" ref="AT1257" si="505">AQ1257+AS1257</f>
        <v>70000000</v>
      </c>
      <c r="AU1257" s="133">
        <f>AJ1257-AM1257</f>
        <v>0</v>
      </c>
      <c r="AV1257" s="133">
        <f>AM1257-AP1257</f>
        <v>0</v>
      </c>
      <c r="AW1257" s="34">
        <f>AP1257-AT1257</f>
        <v>0</v>
      </c>
      <c r="AX1257" s="123">
        <f>AP1257/AJ1257</f>
        <v>1</v>
      </c>
    </row>
    <row r="1258" spans="1:50" ht="25.5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170" t="s">
        <v>288</v>
      </c>
      <c r="AB1258" s="165" t="s">
        <v>1158</v>
      </c>
      <c r="AC1258" s="168"/>
      <c r="AD1258" s="255"/>
      <c r="AE1258" s="236"/>
      <c r="AF1258" s="216"/>
      <c r="AG1258" s="44"/>
      <c r="AH1258" s="44"/>
      <c r="AI1258" s="44"/>
      <c r="AJ1258" s="43"/>
      <c r="AK1258" s="44"/>
      <c r="AL1258" s="44"/>
      <c r="AM1258" s="44"/>
      <c r="AN1258" s="44"/>
      <c r="AO1258" s="44"/>
      <c r="AP1258" s="44"/>
      <c r="AQ1258" s="44"/>
      <c r="AR1258" s="44"/>
      <c r="AS1258" s="43"/>
      <c r="AT1258" s="39"/>
      <c r="AU1258" s="133"/>
      <c r="AV1258" s="133"/>
      <c r="AW1258" s="34"/>
      <c r="AX1258" s="123"/>
    </row>
    <row r="1259" spans="1:50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166" t="s">
        <v>1159</v>
      </c>
      <c r="AB1259" s="167" t="s">
        <v>1013</v>
      </c>
      <c r="AC1259" s="168"/>
      <c r="AD1259" s="255">
        <v>0</v>
      </c>
      <c r="AE1259" s="217">
        <v>34660667.719999999</v>
      </c>
      <c r="AF1259" s="216">
        <v>0</v>
      </c>
      <c r="AG1259" s="216">
        <v>0</v>
      </c>
      <c r="AH1259" s="216">
        <v>0</v>
      </c>
      <c r="AI1259" s="43">
        <f t="shared" ref="AI1259" si="506">AE1259-AF1259+AG1259-AH1259</f>
        <v>34660667.719999999</v>
      </c>
      <c r="AJ1259" s="43">
        <f t="shared" ref="AJ1259" si="507">AD1259+AI1259</f>
        <v>34660667.719999999</v>
      </c>
      <c r="AK1259" s="44">
        <v>0</v>
      </c>
      <c r="AL1259" s="44">
        <v>0</v>
      </c>
      <c r="AM1259" s="43">
        <v>34660667.719999999</v>
      </c>
      <c r="AN1259" s="44">
        <v>0</v>
      </c>
      <c r="AO1259" s="44">
        <v>0</v>
      </c>
      <c r="AP1259" s="43">
        <v>34660667.719999999</v>
      </c>
      <c r="AQ1259" s="44">
        <v>0</v>
      </c>
      <c r="AR1259" s="44">
        <v>0</v>
      </c>
      <c r="AS1259" s="43">
        <v>34660667.719999999</v>
      </c>
      <c r="AT1259" s="39">
        <f t="shared" ref="AT1259" si="508">AQ1259+AS1259</f>
        <v>34660667.719999999</v>
      </c>
      <c r="AU1259" s="133">
        <f>AJ1259-AM1259</f>
        <v>0</v>
      </c>
      <c r="AV1259" s="133">
        <f>AM1259-AP1259</f>
        <v>0</v>
      </c>
      <c r="AW1259" s="34">
        <f>AP1259-AT1259</f>
        <v>0</v>
      </c>
      <c r="AX1259" s="123">
        <f>AP1259/AJ1259</f>
        <v>1</v>
      </c>
    </row>
    <row r="1260" spans="1:50" ht="17.25" customHeight="1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170" t="s">
        <v>288</v>
      </c>
      <c r="AB1260" s="165" t="s">
        <v>1160</v>
      </c>
      <c r="AC1260" s="168"/>
      <c r="AD1260" s="255"/>
      <c r="AE1260" s="236"/>
      <c r="AF1260" s="216"/>
      <c r="AG1260" s="44"/>
      <c r="AH1260" s="44"/>
      <c r="AI1260" s="44"/>
      <c r="AJ1260" s="43"/>
      <c r="AK1260" s="44"/>
      <c r="AL1260" s="44"/>
      <c r="AM1260" s="44"/>
      <c r="AN1260" s="44"/>
      <c r="AO1260" s="44"/>
      <c r="AP1260" s="44"/>
      <c r="AQ1260" s="44"/>
      <c r="AR1260" s="44"/>
      <c r="AS1260" s="44"/>
      <c r="AT1260" s="135"/>
      <c r="AU1260" s="133"/>
      <c r="AV1260" s="133"/>
      <c r="AW1260" s="34"/>
      <c r="AX1260" s="123"/>
    </row>
    <row r="1261" spans="1:50" ht="31.5" customHeight="1" x14ac:dyDescent="0.2">
      <c r="AA1261" s="166" t="s">
        <v>1161</v>
      </c>
      <c r="AB1261" s="167" t="s">
        <v>1044</v>
      </c>
      <c r="AC1261" s="161"/>
      <c r="AD1261" s="256">
        <v>0</v>
      </c>
      <c r="AE1261" s="217">
        <v>106000000</v>
      </c>
      <c r="AF1261" s="216">
        <v>0</v>
      </c>
      <c r="AG1261" s="216">
        <v>0</v>
      </c>
      <c r="AH1261" s="216">
        <v>0</v>
      </c>
      <c r="AI1261" s="43">
        <f t="shared" ref="AI1261" si="509">AE1261-AF1261+AG1261-AH1261</f>
        <v>106000000</v>
      </c>
      <c r="AJ1261" s="43">
        <f t="shared" ref="AJ1261" si="510">AD1261+AI1261</f>
        <v>106000000</v>
      </c>
      <c r="AK1261" s="34">
        <v>0</v>
      </c>
      <c r="AL1261" s="34">
        <v>0</v>
      </c>
      <c r="AM1261" s="18">
        <v>106000000</v>
      </c>
      <c r="AN1261" s="34">
        <v>0</v>
      </c>
      <c r="AO1261" s="34">
        <v>0</v>
      </c>
      <c r="AP1261" s="18">
        <v>106000000</v>
      </c>
      <c r="AQ1261" s="34">
        <v>0</v>
      </c>
      <c r="AR1261" s="34">
        <v>0</v>
      </c>
      <c r="AS1261" s="18">
        <v>106000000</v>
      </c>
      <c r="AT1261" s="39">
        <f t="shared" ref="AT1261" si="511">AQ1261+AS1261</f>
        <v>106000000</v>
      </c>
      <c r="AU1261" s="133">
        <f>AJ1261-AM1261</f>
        <v>0</v>
      </c>
      <c r="AV1261" s="133">
        <f>AM1261-AP1261</f>
        <v>0</v>
      </c>
      <c r="AW1261" s="34">
        <f>AP1261-AT1261</f>
        <v>0</v>
      </c>
      <c r="AX1261" s="123">
        <f>AP1261/AJ1261</f>
        <v>1</v>
      </c>
    </row>
    <row r="1262" spans="1:50" ht="14.25" customHeight="1" x14ac:dyDescent="0.2">
      <c r="AA1262" s="229"/>
      <c r="AB1262" s="230"/>
      <c r="AC1262" s="161"/>
      <c r="AD1262" s="18"/>
      <c r="AE1262" s="234"/>
      <c r="AF1262" s="34"/>
      <c r="AG1262" s="34"/>
      <c r="AH1262" s="34"/>
      <c r="AI1262" s="34"/>
      <c r="AJ1262" s="18"/>
      <c r="AK1262" s="34"/>
      <c r="AL1262" s="18"/>
      <c r="AM1262" s="18"/>
      <c r="AN1262" s="34"/>
      <c r="AO1262" s="18"/>
      <c r="AP1262" s="18"/>
      <c r="AQ1262" s="18"/>
      <c r="AR1262" s="18"/>
      <c r="AS1262" s="18"/>
      <c r="AT1262" s="30"/>
      <c r="AU1262" s="18"/>
      <c r="AV1262" s="18"/>
      <c r="AW1262" s="18"/>
      <c r="AX1262" s="18"/>
    </row>
    <row r="1263" spans="1:50" s="50" customFormat="1" ht="15.75" customHeight="1" x14ac:dyDescent="0.2">
      <c r="B1263" s="77"/>
      <c r="C1263" s="77"/>
      <c r="D1263" s="77"/>
      <c r="E1263" s="77"/>
      <c r="F1263" s="77"/>
      <c r="G1263" s="77"/>
      <c r="H1263" s="77"/>
      <c r="I1263" s="77"/>
      <c r="J1263" s="77"/>
      <c r="K1263" s="77"/>
      <c r="L1263" s="77"/>
      <c r="M1263" s="77"/>
      <c r="N1263" s="77"/>
      <c r="O1263" s="77"/>
      <c r="P1263" s="77"/>
      <c r="Q1263" s="77"/>
      <c r="R1263" s="77"/>
      <c r="S1263" s="77"/>
      <c r="T1263" s="77"/>
      <c r="U1263" s="77"/>
      <c r="V1263" s="77"/>
      <c r="W1263" s="77"/>
      <c r="X1263" s="77"/>
      <c r="Y1263" s="77"/>
      <c r="Z1263" s="77"/>
      <c r="AA1263" s="227"/>
      <c r="AB1263" s="228" t="s">
        <v>750</v>
      </c>
      <c r="AC1263" s="22" t="s">
        <v>751</v>
      </c>
      <c r="AD1263" s="22">
        <f>SUM(AD1230:AD1261)</f>
        <v>14059854870</v>
      </c>
      <c r="AE1263" s="22">
        <f t="shared" ref="AE1263:AW1263" si="512">SUM(AE1230:AE1261)</f>
        <v>1500488308.04</v>
      </c>
      <c r="AF1263" s="23">
        <f t="shared" si="512"/>
        <v>0</v>
      </c>
      <c r="AG1263" s="22">
        <f t="shared" si="512"/>
        <v>1000000000</v>
      </c>
      <c r="AH1263" s="23">
        <f t="shared" si="512"/>
        <v>0</v>
      </c>
      <c r="AI1263" s="23">
        <f t="shared" si="512"/>
        <v>2500488308.0399995</v>
      </c>
      <c r="AJ1263" s="22">
        <f t="shared" si="512"/>
        <v>16560343178.039999</v>
      </c>
      <c r="AK1263" s="23">
        <f t="shared" si="512"/>
        <v>0</v>
      </c>
      <c r="AL1263" s="22">
        <f t="shared" si="512"/>
        <v>1154400570.97</v>
      </c>
      <c r="AM1263" s="22">
        <f t="shared" si="512"/>
        <v>11499974252.99</v>
      </c>
      <c r="AN1263" s="23">
        <f t="shared" si="512"/>
        <v>0</v>
      </c>
      <c r="AO1263" s="22">
        <f t="shared" si="512"/>
        <v>1154400570.97</v>
      </c>
      <c r="AP1263" s="22">
        <f t="shared" si="512"/>
        <v>11499974252.99</v>
      </c>
      <c r="AQ1263" s="23">
        <f t="shared" si="512"/>
        <v>0</v>
      </c>
      <c r="AR1263" s="22">
        <f t="shared" si="512"/>
        <v>1154400570.97</v>
      </c>
      <c r="AS1263" s="22">
        <f t="shared" si="512"/>
        <v>11499974252.99</v>
      </c>
      <c r="AT1263" s="22">
        <f>AQ1263+AS1263</f>
        <v>11499974252.99</v>
      </c>
      <c r="AU1263" s="22">
        <f t="shared" si="512"/>
        <v>5060368925.0500002</v>
      </c>
      <c r="AV1263" s="23">
        <f t="shared" si="512"/>
        <v>0</v>
      </c>
      <c r="AW1263" s="23">
        <f t="shared" si="512"/>
        <v>0</v>
      </c>
      <c r="AX1263" s="24">
        <f>AP1263/AJ1263</f>
        <v>0.69442849881514834</v>
      </c>
    </row>
    <row r="1264" spans="1:50" x14ac:dyDescent="0.2">
      <c r="AA1264" s="16"/>
      <c r="AB1264" s="17"/>
      <c r="AC1264" s="17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</row>
    <row r="1265" spans="1:50" x14ac:dyDescent="0.2">
      <c r="AA1265" s="16"/>
      <c r="AB1265" s="29" t="s">
        <v>207</v>
      </c>
      <c r="AC1265" s="17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</row>
    <row r="1266" spans="1:50" x14ac:dyDescent="0.2">
      <c r="AA1266" s="16"/>
      <c r="AB1266" s="29" t="s">
        <v>285</v>
      </c>
      <c r="AC1266" s="17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</row>
    <row r="1267" spans="1:50" x14ac:dyDescent="0.2">
      <c r="AA1267" s="16"/>
      <c r="AB1267" s="29" t="s">
        <v>202</v>
      </c>
      <c r="AC1267" s="17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</row>
    <row r="1268" spans="1:50" x14ac:dyDescent="0.2">
      <c r="AA1268" s="16"/>
      <c r="AB1268" s="29" t="s">
        <v>203</v>
      </c>
      <c r="AC1268" s="17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</row>
    <row r="1269" spans="1:50" x14ac:dyDescent="0.2">
      <c r="AA1269" s="16"/>
      <c r="AB1269" s="29" t="s">
        <v>752</v>
      </c>
      <c r="AC1269" s="17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</row>
    <row r="1270" spans="1:50" ht="25.5" x14ac:dyDescent="0.2">
      <c r="AA1270" s="16"/>
      <c r="AB1270" s="29" t="s">
        <v>205</v>
      </c>
      <c r="AC1270" s="17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</row>
    <row r="1271" spans="1:50" ht="25.5" x14ac:dyDescent="0.2">
      <c r="AA1271" s="16"/>
      <c r="AB1271" s="29" t="s">
        <v>205</v>
      </c>
      <c r="AC1271" s="17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30"/>
      <c r="AU1271" s="18"/>
      <c r="AV1271" s="18"/>
      <c r="AW1271" s="18"/>
      <c r="AX1271" s="18"/>
    </row>
    <row r="1272" spans="1:50" ht="25.5" x14ac:dyDescent="0.2">
      <c r="AA1272" s="28" t="s">
        <v>288</v>
      </c>
      <c r="AB1272" s="29" t="s">
        <v>753</v>
      </c>
      <c r="AC1272" s="17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30"/>
      <c r="AU1272" s="18"/>
      <c r="AV1272" s="18"/>
      <c r="AW1272" s="18"/>
      <c r="AX1272" s="18"/>
    </row>
    <row r="1273" spans="1:50" x14ac:dyDescent="0.2">
      <c r="A1273" s="4" t="s">
        <v>55</v>
      </c>
      <c r="B1273" s="4" t="s">
        <v>56</v>
      </c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1" t="s">
        <v>754</v>
      </c>
      <c r="AB1273" s="42" t="s">
        <v>233</v>
      </c>
      <c r="AC1273" s="43" t="s">
        <v>58</v>
      </c>
      <c r="AD1273" s="43">
        <v>3500000000</v>
      </c>
      <c r="AE1273" s="44">
        <v>0</v>
      </c>
      <c r="AF1273" s="44">
        <v>0</v>
      </c>
      <c r="AG1273" s="44">
        <v>0</v>
      </c>
      <c r="AH1273" s="44">
        <v>0</v>
      </c>
      <c r="AI1273" s="44">
        <f t="shared" ref="AI1273:AI1274" si="513">AE1273-AF1273+AG1273-AH1273</f>
        <v>0</v>
      </c>
      <c r="AJ1273" s="43">
        <f t="shared" ref="AJ1273:AJ1274" si="514">AD1273+AI1273</f>
        <v>3500000000</v>
      </c>
      <c r="AK1273" s="44">
        <v>0</v>
      </c>
      <c r="AL1273" s="43">
        <f>AM1273-AGOSTO!AM1230</f>
        <v>291666667</v>
      </c>
      <c r="AM1273" s="43">
        <v>2625000003</v>
      </c>
      <c r="AN1273" s="44">
        <v>0</v>
      </c>
      <c r="AO1273" s="43">
        <v>291666667</v>
      </c>
      <c r="AP1273" s="43">
        <v>2625000003</v>
      </c>
      <c r="AQ1273" s="44">
        <v>0</v>
      </c>
      <c r="AR1273" s="43">
        <v>291666667</v>
      </c>
      <c r="AS1273" s="43">
        <v>2625000003</v>
      </c>
      <c r="AT1273" s="111">
        <f t="shared" ref="AT1273:AT1274" si="515">AQ1273+AS1273</f>
        <v>2625000003</v>
      </c>
      <c r="AU1273" s="110">
        <f>AJ1273-AM1273</f>
        <v>874999997</v>
      </c>
      <c r="AV1273" s="133">
        <f>AM1273-AP1273</f>
        <v>0</v>
      </c>
      <c r="AW1273" s="34">
        <f>AP1273-AT1273</f>
        <v>0</v>
      </c>
      <c r="AX1273" s="123">
        <f>AP1273/AJ1273</f>
        <v>0.75000000085714291</v>
      </c>
    </row>
    <row r="1274" spans="1:50" x14ac:dyDescent="0.2">
      <c r="A1274" s="4" t="s">
        <v>55</v>
      </c>
      <c r="B1274" s="4" t="s">
        <v>56</v>
      </c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1" t="s">
        <v>1237</v>
      </c>
      <c r="AB1274" s="69" t="s">
        <v>756</v>
      </c>
      <c r="AC1274" s="43" t="s">
        <v>757</v>
      </c>
      <c r="AD1274" s="43">
        <v>103000000</v>
      </c>
      <c r="AE1274" s="44">
        <v>0</v>
      </c>
      <c r="AF1274" s="44">
        <v>0</v>
      </c>
      <c r="AG1274" s="44">
        <v>0</v>
      </c>
      <c r="AH1274" s="44">
        <v>0</v>
      </c>
      <c r="AI1274" s="44">
        <f t="shared" si="513"/>
        <v>0</v>
      </c>
      <c r="AJ1274" s="43">
        <f t="shared" si="514"/>
        <v>103000000</v>
      </c>
      <c r="AK1274" s="44">
        <v>0</v>
      </c>
      <c r="AL1274" s="43">
        <f>AM1274-AGOSTO!AM1231</f>
        <v>11351321</v>
      </c>
      <c r="AM1274" s="43">
        <v>34770760</v>
      </c>
      <c r="AN1274" s="44">
        <v>0</v>
      </c>
      <c r="AO1274" s="43">
        <v>11351321</v>
      </c>
      <c r="AP1274" s="43">
        <v>34770760</v>
      </c>
      <c r="AQ1274" s="44">
        <v>0</v>
      </c>
      <c r="AR1274" s="44">
        <v>11351321</v>
      </c>
      <c r="AS1274" s="44">
        <v>34770760</v>
      </c>
      <c r="AT1274" s="135">
        <f t="shared" si="515"/>
        <v>34770760</v>
      </c>
      <c r="AU1274" s="110">
        <f>AJ1274-AM1274</f>
        <v>68229240</v>
      </c>
      <c r="AV1274" s="133">
        <f>AM1274-AP1274</f>
        <v>0</v>
      </c>
      <c r="AW1274" s="34">
        <f>AP1274-AT1274</f>
        <v>0</v>
      </c>
      <c r="AX1274" s="123">
        <f>AP1274/AJ1274</f>
        <v>0.33758019417475726</v>
      </c>
    </row>
    <row r="1275" spans="1:50" x14ac:dyDescent="0.2">
      <c r="AA1275" s="162"/>
      <c r="AB1275" s="223"/>
      <c r="AC1275" s="17"/>
      <c r="AD1275" s="18"/>
      <c r="AE1275" s="34"/>
      <c r="AF1275" s="34"/>
      <c r="AG1275" s="34"/>
      <c r="AH1275" s="34"/>
      <c r="AI1275" s="34"/>
      <c r="AJ1275" s="18"/>
      <c r="AK1275" s="34"/>
      <c r="AL1275" s="18"/>
      <c r="AM1275" s="18"/>
      <c r="AN1275" s="34"/>
      <c r="AO1275" s="18"/>
      <c r="AP1275" s="18"/>
      <c r="AQ1275" s="34"/>
      <c r="AR1275" s="18"/>
      <c r="AS1275" s="18"/>
      <c r="AT1275" s="30"/>
      <c r="AU1275" s="18"/>
      <c r="AV1275" s="18"/>
      <c r="AW1275" s="18"/>
      <c r="AX1275" s="18"/>
    </row>
    <row r="1276" spans="1:50" s="50" customFormat="1" x14ac:dyDescent="0.2">
      <c r="B1276" s="77"/>
      <c r="C1276" s="77"/>
      <c r="D1276" s="77"/>
      <c r="E1276" s="77"/>
      <c r="F1276" s="77"/>
      <c r="G1276" s="77"/>
      <c r="H1276" s="77"/>
      <c r="I1276" s="77"/>
      <c r="J1276" s="77"/>
      <c r="K1276" s="77"/>
      <c r="L1276" s="77"/>
      <c r="M1276" s="77"/>
      <c r="N1276" s="77"/>
      <c r="O1276" s="77"/>
      <c r="P1276" s="77"/>
      <c r="Q1276" s="77"/>
      <c r="R1276" s="77"/>
      <c r="S1276" s="77"/>
      <c r="T1276" s="77"/>
      <c r="U1276" s="77"/>
      <c r="V1276" s="77"/>
      <c r="W1276" s="77"/>
      <c r="X1276" s="77"/>
      <c r="Y1276" s="77"/>
      <c r="Z1276" s="77"/>
      <c r="AA1276" s="46"/>
      <c r="AB1276" s="47" t="s">
        <v>758</v>
      </c>
      <c r="AC1276" s="22" t="s">
        <v>759</v>
      </c>
      <c r="AD1276" s="22">
        <f t="shared" ref="AD1276:AS1276" si="516">SUM(AD1273:AD1275)</f>
        <v>3603000000</v>
      </c>
      <c r="AE1276" s="23">
        <f t="shared" si="516"/>
        <v>0</v>
      </c>
      <c r="AF1276" s="23">
        <f t="shared" si="516"/>
        <v>0</v>
      </c>
      <c r="AG1276" s="23">
        <f t="shared" si="516"/>
        <v>0</v>
      </c>
      <c r="AH1276" s="23">
        <f t="shared" si="516"/>
        <v>0</v>
      </c>
      <c r="AI1276" s="23">
        <f t="shared" si="516"/>
        <v>0</v>
      </c>
      <c r="AJ1276" s="22">
        <f t="shared" si="516"/>
        <v>3603000000</v>
      </c>
      <c r="AK1276" s="23">
        <f t="shared" si="516"/>
        <v>0</v>
      </c>
      <c r="AL1276" s="22">
        <f t="shared" si="516"/>
        <v>303017988</v>
      </c>
      <c r="AM1276" s="22">
        <f t="shared" si="516"/>
        <v>2659770763</v>
      </c>
      <c r="AN1276" s="23">
        <f t="shared" si="516"/>
        <v>0</v>
      </c>
      <c r="AO1276" s="22">
        <f t="shared" si="516"/>
        <v>303017988</v>
      </c>
      <c r="AP1276" s="22">
        <f t="shared" si="516"/>
        <v>2659770763</v>
      </c>
      <c r="AQ1276" s="23">
        <f t="shared" si="516"/>
        <v>0</v>
      </c>
      <c r="AR1276" s="22">
        <f t="shared" si="516"/>
        <v>303017988</v>
      </c>
      <c r="AS1276" s="22">
        <f t="shared" si="516"/>
        <v>2659770763</v>
      </c>
      <c r="AT1276" s="22">
        <f>AQ1276+AS1276</f>
        <v>2659770763</v>
      </c>
      <c r="AU1276" s="22">
        <f>SUM(AU1273:AU1275)</f>
        <v>943229237</v>
      </c>
      <c r="AV1276" s="23">
        <f>SUM(AV1273:AV1275)</f>
        <v>0</v>
      </c>
      <c r="AW1276" s="23">
        <f>SUM(AW1273:AW1275)</f>
        <v>0</v>
      </c>
      <c r="AX1276" s="22">
        <f>SUM(AX1273:AX1275)</f>
        <v>1.0875801950319002</v>
      </c>
    </row>
    <row r="1277" spans="1:50" x14ac:dyDescent="0.2">
      <c r="AA1277" s="16"/>
      <c r="AB1277" s="17"/>
      <c r="AC1277" s="17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</row>
    <row r="1278" spans="1:50" s="25" customFormat="1" x14ac:dyDescent="0.2">
      <c r="B1278" s="71"/>
      <c r="C1278" s="71"/>
      <c r="D1278" s="71"/>
      <c r="E1278" s="71"/>
      <c r="F1278" s="71"/>
      <c r="G1278" s="71"/>
      <c r="H1278" s="71"/>
      <c r="I1278" s="71"/>
      <c r="J1278" s="71"/>
      <c r="K1278" s="71"/>
      <c r="L1278" s="71"/>
      <c r="M1278" s="71"/>
      <c r="N1278" s="71"/>
      <c r="O1278" s="71"/>
      <c r="P1278" s="71"/>
      <c r="Q1278" s="71"/>
      <c r="R1278" s="71"/>
      <c r="S1278" s="71"/>
      <c r="T1278" s="71"/>
      <c r="U1278" s="71"/>
      <c r="V1278" s="71"/>
      <c r="W1278" s="71"/>
      <c r="X1278" s="71"/>
      <c r="Y1278" s="71"/>
      <c r="Z1278" s="71"/>
      <c r="AA1278" s="66"/>
      <c r="AB1278" s="21" t="s">
        <v>760</v>
      </c>
      <c r="AC1278" s="67"/>
      <c r="AD1278" s="63"/>
      <c r="AE1278" s="63"/>
      <c r="AF1278" s="63"/>
      <c r="AG1278" s="63"/>
      <c r="AH1278" s="63"/>
      <c r="AI1278" s="63"/>
      <c r="AJ1278" s="63"/>
      <c r="AK1278" s="63"/>
      <c r="AL1278" s="63"/>
      <c r="AM1278" s="63"/>
      <c r="AN1278" s="63"/>
      <c r="AO1278" s="63"/>
      <c r="AP1278" s="63"/>
      <c r="AQ1278" s="63"/>
      <c r="AR1278" s="63"/>
      <c r="AS1278" s="63"/>
      <c r="AT1278" s="63"/>
      <c r="AU1278" s="63"/>
      <c r="AV1278" s="63"/>
      <c r="AW1278" s="63"/>
      <c r="AX1278" s="63"/>
    </row>
    <row r="1279" spans="1:50" x14ac:dyDescent="0.2">
      <c r="AA1279" s="16"/>
      <c r="AB1279" s="29" t="s">
        <v>285</v>
      </c>
      <c r="AC1279" s="17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</row>
    <row r="1280" spans="1:50" x14ac:dyDescent="0.2">
      <c r="AA1280" s="16"/>
      <c r="AB1280" s="29" t="s">
        <v>177</v>
      </c>
      <c r="AC1280" s="17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</row>
    <row r="1281" spans="1:50" x14ac:dyDescent="0.2">
      <c r="AA1281" s="16"/>
      <c r="AB1281" s="29" t="s">
        <v>179</v>
      </c>
      <c r="AC1281" s="17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</row>
    <row r="1282" spans="1:50" x14ac:dyDescent="0.2">
      <c r="AA1282" s="16"/>
      <c r="AB1282" s="29" t="s">
        <v>761</v>
      </c>
      <c r="AC1282" s="17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</row>
    <row r="1283" spans="1:50" ht="25.5" x14ac:dyDescent="0.2">
      <c r="AA1283" s="16"/>
      <c r="AB1283" s="29" t="s">
        <v>298</v>
      </c>
      <c r="AC1283" s="17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</row>
    <row r="1284" spans="1:50" x14ac:dyDescent="0.2">
      <c r="AA1284" s="28" t="s">
        <v>288</v>
      </c>
      <c r="AB1284" s="29">
        <v>0</v>
      </c>
      <c r="AC1284" s="17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30"/>
      <c r="AU1284" s="18"/>
      <c r="AV1284" s="18"/>
      <c r="AW1284" s="18"/>
      <c r="AX1284" s="18"/>
    </row>
    <row r="1285" spans="1:50" x14ac:dyDescent="0.2">
      <c r="A1285" s="4" t="s">
        <v>55</v>
      </c>
      <c r="B1285" s="4" t="s">
        <v>56</v>
      </c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1" t="s">
        <v>763</v>
      </c>
      <c r="AB1285" s="42" t="s">
        <v>233</v>
      </c>
      <c r="AC1285" s="43" t="s">
        <v>58</v>
      </c>
      <c r="AD1285" s="43">
        <v>123000000</v>
      </c>
      <c r="AE1285" s="44">
        <v>0</v>
      </c>
      <c r="AF1285" s="44">
        <v>0</v>
      </c>
      <c r="AG1285" s="43">
        <f>431000000+18000000</f>
        <v>449000000</v>
      </c>
      <c r="AH1285" s="43">
        <f>431000000+9000000</f>
        <v>440000000</v>
      </c>
      <c r="AI1285" s="43">
        <f>AE1285-AF1285+AG1285-AH1285</f>
        <v>9000000</v>
      </c>
      <c r="AJ1285" s="43">
        <f>AD1285+AI1285</f>
        <v>132000000</v>
      </c>
      <c r="AK1285" s="44">
        <v>0</v>
      </c>
      <c r="AL1285" s="44">
        <f>AM1285-AGOSTO!AM1242</f>
        <v>0</v>
      </c>
      <c r="AM1285" s="43">
        <v>132000000</v>
      </c>
      <c r="AN1285" s="44">
        <v>0</v>
      </c>
      <c r="AO1285" s="44">
        <v>0</v>
      </c>
      <c r="AP1285" s="43">
        <v>132000000</v>
      </c>
      <c r="AQ1285" s="44">
        <v>0</v>
      </c>
      <c r="AR1285" s="43">
        <v>13103076</v>
      </c>
      <c r="AS1285" s="43">
        <v>81664460</v>
      </c>
      <c r="AT1285" s="111">
        <f t="shared" ref="AT1285:AT1289" si="517">AQ1285+AS1285</f>
        <v>81664460</v>
      </c>
      <c r="AU1285" s="133">
        <f>AJ1285-AM1285</f>
        <v>0</v>
      </c>
      <c r="AV1285" s="133">
        <f>AM1285-AP1285</f>
        <v>0</v>
      </c>
      <c r="AW1285" s="110">
        <f>AP1285-AT1285</f>
        <v>50335540</v>
      </c>
      <c r="AX1285" s="123">
        <f>AP1285/AJ1285</f>
        <v>1</v>
      </c>
    </row>
    <row r="1286" spans="1:50" ht="25.5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1" t="s">
        <v>288</v>
      </c>
      <c r="AB1286" s="74" t="s">
        <v>990</v>
      </c>
      <c r="AC1286" s="43"/>
      <c r="AD1286" s="43"/>
      <c r="AE1286" s="44"/>
      <c r="AF1286" s="44"/>
      <c r="AG1286" s="43"/>
      <c r="AH1286" s="44"/>
      <c r="AI1286" s="43"/>
      <c r="AJ1286" s="43"/>
      <c r="AK1286" s="44"/>
      <c r="AL1286" s="43"/>
      <c r="AM1286" s="43"/>
      <c r="AN1286" s="44"/>
      <c r="AO1286" s="43"/>
      <c r="AP1286" s="43"/>
      <c r="AQ1286" s="44"/>
      <c r="AR1286" s="43"/>
      <c r="AS1286" s="43"/>
      <c r="AT1286" s="191"/>
      <c r="AU1286" s="110"/>
      <c r="AV1286" s="133"/>
      <c r="AW1286" s="110"/>
      <c r="AX1286" s="123"/>
    </row>
    <row r="1287" spans="1:50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1" t="s">
        <v>989</v>
      </c>
      <c r="AB1287" s="42" t="s">
        <v>233</v>
      </c>
      <c r="AC1287" s="43"/>
      <c r="AD1287" s="44">
        <v>0</v>
      </c>
      <c r="AE1287" s="44">
        <v>0</v>
      </c>
      <c r="AF1287" s="44">
        <v>0</v>
      </c>
      <c r="AG1287" s="43">
        <f>431000000+9000000</f>
        <v>440000000</v>
      </c>
      <c r="AH1287" s="43">
        <v>18000000</v>
      </c>
      <c r="AI1287" s="43">
        <f>AE1287-AF1287+AG1287-AH1287</f>
        <v>422000000</v>
      </c>
      <c r="AJ1287" s="43">
        <f>AD1287+AI1287</f>
        <v>422000000</v>
      </c>
      <c r="AK1287" s="44">
        <v>0</v>
      </c>
      <c r="AL1287" s="43">
        <f>AM1287-AGOSTO!AM1244</f>
        <v>-2263541.5</v>
      </c>
      <c r="AM1287" s="43">
        <v>406234655.14999998</v>
      </c>
      <c r="AN1287" s="44">
        <v>0</v>
      </c>
      <c r="AO1287" s="43">
        <v>15844790.5</v>
      </c>
      <c r="AP1287" s="43">
        <v>379234655.14999998</v>
      </c>
      <c r="AQ1287" s="44">
        <v>0</v>
      </c>
      <c r="AR1287" s="43">
        <v>72191666.200000003</v>
      </c>
      <c r="AS1287" s="43">
        <v>155667499.34</v>
      </c>
      <c r="AT1287" s="191">
        <f t="shared" ref="AT1287" si="518">AQ1287+AS1287</f>
        <v>155667499.34</v>
      </c>
      <c r="AU1287" s="110">
        <f>AJ1287-AM1287</f>
        <v>15765344.850000024</v>
      </c>
      <c r="AV1287" s="18">
        <f>AM1287-AP1287</f>
        <v>27000000</v>
      </c>
      <c r="AW1287" s="18">
        <f>AP1287-AT1287</f>
        <v>223567155.80999997</v>
      </c>
      <c r="AX1287" s="123">
        <f>AP1287/AJ1287</f>
        <v>0.89866032026066345</v>
      </c>
    </row>
    <row r="1288" spans="1:50" x14ac:dyDescent="0.2">
      <c r="AA1288" s="28" t="s">
        <v>288</v>
      </c>
      <c r="AB1288" s="29" t="s">
        <v>764</v>
      </c>
      <c r="AC1288" s="17"/>
      <c r="AD1288" s="18"/>
      <c r="AE1288" s="18"/>
      <c r="AF1288" s="18"/>
      <c r="AG1288" s="18"/>
      <c r="AH1288" s="18"/>
      <c r="AI1288" s="18"/>
      <c r="AJ1288" s="18"/>
      <c r="AK1288" s="34"/>
      <c r="AL1288" s="18"/>
      <c r="AM1288" s="18"/>
      <c r="AN1288" s="34"/>
      <c r="AO1288" s="18"/>
      <c r="AP1288" s="18"/>
      <c r="AQ1288" s="34"/>
      <c r="AR1288" s="18"/>
      <c r="AS1288" s="18"/>
      <c r="AT1288" s="31"/>
      <c r="AU1288" s="18"/>
      <c r="AV1288" s="34"/>
      <c r="AW1288" s="110"/>
      <c r="AX1288" s="18"/>
    </row>
    <row r="1289" spans="1:50" x14ac:dyDescent="0.2">
      <c r="A1289" s="4" t="s">
        <v>55</v>
      </c>
      <c r="B1289" s="4" t="s">
        <v>56</v>
      </c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1" t="s">
        <v>765</v>
      </c>
      <c r="AB1289" s="42" t="s">
        <v>233</v>
      </c>
      <c r="AC1289" s="43" t="s">
        <v>58</v>
      </c>
      <c r="AD1289" s="43">
        <v>77000000</v>
      </c>
      <c r="AE1289" s="44">
        <v>0</v>
      </c>
      <c r="AF1289" s="44">
        <v>0</v>
      </c>
      <c r="AG1289" s="44">
        <v>0</v>
      </c>
      <c r="AH1289" s="44">
        <v>0</v>
      </c>
      <c r="AI1289" s="44">
        <v>0</v>
      </c>
      <c r="AJ1289" s="43">
        <v>77000000</v>
      </c>
      <c r="AK1289" s="43">
        <v>0</v>
      </c>
      <c r="AL1289" s="43">
        <f>AM1289-AGOSTO!AM1246</f>
        <v>12000000</v>
      </c>
      <c r="AM1289" s="43">
        <v>77000000</v>
      </c>
      <c r="AN1289" s="44">
        <v>0</v>
      </c>
      <c r="AO1289" s="44">
        <v>0</v>
      </c>
      <c r="AP1289" s="43">
        <v>65000000</v>
      </c>
      <c r="AQ1289" s="44">
        <v>0</v>
      </c>
      <c r="AR1289" s="43">
        <v>7000000</v>
      </c>
      <c r="AS1289" s="43">
        <v>48733333</v>
      </c>
      <c r="AT1289" s="39">
        <f t="shared" si="517"/>
        <v>48733333</v>
      </c>
      <c r="AU1289" s="110">
        <f>AJ1289-AM1289</f>
        <v>0</v>
      </c>
      <c r="AV1289" s="18">
        <f>AM1289-AP1289</f>
        <v>12000000</v>
      </c>
      <c r="AW1289" s="110">
        <f>AP1289-AT1289</f>
        <v>16266667</v>
      </c>
      <c r="AX1289" s="123">
        <f>AP1289/AJ1289</f>
        <v>0.8441558441558441</v>
      </c>
    </row>
    <row r="1290" spans="1:50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73" t="s">
        <v>288</v>
      </c>
      <c r="AB1290" s="74" t="s">
        <v>292</v>
      </c>
      <c r="AC1290" s="43"/>
      <c r="AD1290" s="43"/>
      <c r="AE1290" s="44"/>
      <c r="AF1290" s="44"/>
      <c r="AG1290" s="44"/>
      <c r="AH1290" s="44"/>
      <c r="AI1290" s="44"/>
      <c r="AJ1290" s="43"/>
      <c r="AK1290" s="44"/>
      <c r="AL1290" s="44"/>
      <c r="AM1290" s="43"/>
      <c r="AN1290" s="44"/>
      <c r="AO1290" s="43"/>
      <c r="AP1290" s="43"/>
      <c r="AQ1290" s="43"/>
      <c r="AR1290" s="43"/>
      <c r="AS1290" s="43"/>
      <c r="AT1290" s="39"/>
      <c r="AU1290" s="110"/>
      <c r="AV1290" s="133"/>
      <c r="AW1290" s="110"/>
      <c r="AX1290" s="123"/>
    </row>
    <row r="1291" spans="1:50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1" t="s">
        <v>1328</v>
      </c>
      <c r="AB1291" s="42" t="s">
        <v>1015</v>
      </c>
      <c r="AC1291" s="43"/>
      <c r="AD1291" s="43">
        <v>0</v>
      </c>
      <c r="AE1291" s="44">
        <v>0</v>
      </c>
      <c r="AF1291" s="44">
        <v>0</v>
      </c>
      <c r="AG1291" s="43">
        <v>465000000</v>
      </c>
      <c r="AH1291" s="44">
        <v>0</v>
      </c>
      <c r="AI1291" s="43">
        <f>AE1291-AF1291+AG1291-AH1291</f>
        <v>465000000</v>
      </c>
      <c r="AJ1291" s="43">
        <f>AD1291+AI1291</f>
        <v>465000000</v>
      </c>
      <c r="AK1291" s="44">
        <v>0</v>
      </c>
      <c r="AL1291" s="44">
        <v>0</v>
      </c>
      <c r="AM1291" s="44">
        <v>0</v>
      </c>
      <c r="AN1291" s="44">
        <v>0</v>
      </c>
      <c r="AO1291" s="44">
        <v>0</v>
      </c>
      <c r="AP1291" s="44">
        <v>0</v>
      </c>
      <c r="AQ1291" s="44">
        <v>0</v>
      </c>
      <c r="AR1291" s="44">
        <v>0</v>
      </c>
      <c r="AS1291" s="44">
        <v>0</v>
      </c>
      <c r="AT1291" s="40">
        <v>0</v>
      </c>
      <c r="AU1291" s="110">
        <f>AJ1291-AM1291</f>
        <v>465000000</v>
      </c>
      <c r="AV1291" s="133">
        <f>AM1291-AP1291</f>
        <v>0</v>
      </c>
      <c r="AW1291" s="110">
        <f>AP1291-AT1291</f>
        <v>0</v>
      </c>
      <c r="AX1291" s="123">
        <f>AP1291/AJ1291</f>
        <v>0</v>
      </c>
    </row>
    <row r="1292" spans="1:50" x14ac:dyDescent="0.2">
      <c r="AA1292" s="16"/>
      <c r="AB1292" s="17"/>
      <c r="AC1292" s="17"/>
      <c r="AD1292" s="18"/>
      <c r="AE1292" s="34"/>
      <c r="AF1292" s="34"/>
      <c r="AG1292" s="34"/>
      <c r="AH1292" s="34"/>
      <c r="AI1292" s="34"/>
      <c r="AJ1292" s="18"/>
      <c r="AK1292" s="34"/>
      <c r="AL1292" s="34"/>
      <c r="AM1292" s="18"/>
      <c r="AN1292" s="34"/>
      <c r="AO1292" s="34"/>
      <c r="AP1292" s="18"/>
      <c r="AQ1292" s="34"/>
      <c r="AR1292" s="34"/>
      <c r="AS1292" s="34"/>
      <c r="AT1292" s="31"/>
      <c r="AU1292" s="18"/>
      <c r="AV1292" s="34"/>
      <c r="AW1292" s="18"/>
      <c r="AX1292" s="18"/>
    </row>
    <row r="1293" spans="1:50" s="50" customFormat="1" x14ac:dyDescent="0.2">
      <c r="B1293" s="77"/>
      <c r="C1293" s="77"/>
      <c r="D1293" s="77"/>
      <c r="E1293" s="77"/>
      <c r="F1293" s="77"/>
      <c r="G1293" s="77"/>
      <c r="H1293" s="77"/>
      <c r="I1293" s="77"/>
      <c r="J1293" s="77"/>
      <c r="K1293" s="77"/>
      <c r="L1293" s="77"/>
      <c r="M1293" s="77"/>
      <c r="N1293" s="77"/>
      <c r="O1293" s="77"/>
      <c r="P1293" s="77"/>
      <c r="Q1293" s="77"/>
      <c r="R1293" s="77"/>
      <c r="S1293" s="77"/>
      <c r="T1293" s="77"/>
      <c r="U1293" s="77"/>
      <c r="V1293" s="77"/>
      <c r="W1293" s="77"/>
      <c r="X1293" s="77"/>
      <c r="Y1293" s="77"/>
      <c r="Z1293" s="77"/>
      <c r="AA1293" s="46"/>
      <c r="AB1293" s="47" t="s">
        <v>766</v>
      </c>
      <c r="AC1293" s="22" t="s">
        <v>767</v>
      </c>
      <c r="AD1293" s="22">
        <f>SUM(AD1284:AD1291)</f>
        <v>200000000</v>
      </c>
      <c r="AE1293" s="22">
        <f t="shared" ref="AE1293:AW1293" si="519">SUM(AE1284:AE1291)</f>
        <v>0</v>
      </c>
      <c r="AF1293" s="22">
        <f t="shared" si="519"/>
        <v>0</v>
      </c>
      <c r="AG1293" s="22">
        <f t="shared" si="519"/>
        <v>1354000000</v>
      </c>
      <c r="AH1293" s="22">
        <f t="shared" si="519"/>
        <v>458000000</v>
      </c>
      <c r="AI1293" s="22">
        <f t="shared" si="519"/>
        <v>896000000</v>
      </c>
      <c r="AJ1293" s="22">
        <f t="shared" si="519"/>
        <v>1096000000</v>
      </c>
      <c r="AK1293" s="23">
        <f t="shared" si="519"/>
        <v>0</v>
      </c>
      <c r="AL1293" s="22">
        <f t="shared" si="519"/>
        <v>9736458.5</v>
      </c>
      <c r="AM1293" s="22">
        <f t="shared" si="519"/>
        <v>615234655.14999998</v>
      </c>
      <c r="AN1293" s="23">
        <f t="shared" si="519"/>
        <v>0</v>
      </c>
      <c r="AO1293" s="22">
        <f t="shared" si="519"/>
        <v>15844790.5</v>
      </c>
      <c r="AP1293" s="22">
        <f t="shared" si="519"/>
        <v>576234655.14999998</v>
      </c>
      <c r="AQ1293" s="22">
        <f t="shared" si="519"/>
        <v>0</v>
      </c>
      <c r="AR1293" s="22">
        <f t="shared" si="519"/>
        <v>92294742.200000003</v>
      </c>
      <c r="AS1293" s="22">
        <f t="shared" si="519"/>
        <v>286065292.34000003</v>
      </c>
      <c r="AT1293" s="22">
        <f t="shared" si="519"/>
        <v>286065292.34000003</v>
      </c>
      <c r="AU1293" s="22">
        <f t="shared" si="519"/>
        <v>480765344.85000002</v>
      </c>
      <c r="AV1293" s="22">
        <f t="shared" si="519"/>
        <v>39000000</v>
      </c>
      <c r="AW1293" s="22">
        <f t="shared" si="519"/>
        <v>290169362.80999994</v>
      </c>
      <c r="AX1293" s="24">
        <f>AP1293/AJ1293</f>
        <v>0.52576154666970798</v>
      </c>
    </row>
    <row r="1294" spans="1:50" x14ac:dyDescent="0.2">
      <c r="AA1294" s="16"/>
      <c r="AB1294" s="17"/>
      <c r="AC1294" s="17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</row>
    <row r="1295" spans="1:50" s="25" customFormat="1" x14ac:dyDescent="0.2">
      <c r="B1295" s="71"/>
      <c r="C1295" s="71"/>
      <c r="D1295" s="71"/>
      <c r="E1295" s="71"/>
      <c r="F1295" s="71"/>
      <c r="G1295" s="71"/>
      <c r="H1295" s="71"/>
      <c r="I1295" s="71"/>
      <c r="J1295" s="71"/>
      <c r="K1295" s="71"/>
      <c r="L1295" s="71"/>
      <c r="M1295" s="71"/>
      <c r="N1295" s="71"/>
      <c r="O1295" s="71"/>
      <c r="P1295" s="71"/>
      <c r="Q1295" s="71"/>
      <c r="R1295" s="71"/>
      <c r="S1295" s="71"/>
      <c r="T1295" s="71"/>
      <c r="U1295" s="71"/>
      <c r="V1295" s="71"/>
      <c r="W1295" s="71"/>
      <c r="X1295" s="71"/>
      <c r="Y1295" s="71"/>
      <c r="Z1295" s="71"/>
      <c r="AA1295" s="66"/>
      <c r="AB1295" s="21" t="s">
        <v>768</v>
      </c>
      <c r="AC1295" s="67"/>
      <c r="AD1295" s="63"/>
      <c r="AE1295" s="63"/>
      <c r="AF1295" s="63"/>
      <c r="AG1295" s="63"/>
      <c r="AH1295" s="63"/>
      <c r="AI1295" s="63"/>
      <c r="AJ1295" s="63"/>
      <c r="AK1295" s="63"/>
      <c r="AL1295" s="63"/>
      <c r="AM1295" s="63"/>
      <c r="AN1295" s="63"/>
      <c r="AO1295" s="63"/>
      <c r="AP1295" s="63"/>
      <c r="AQ1295" s="63"/>
      <c r="AR1295" s="63"/>
      <c r="AS1295" s="63"/>
      <c r="AT1295" s="63"/>
      <c r="AU1295" s="63"/>
      <c r="AV1295" s="63"/>
      <c r="AW1295" s="63"/>
      <c r="AX1295" s="63"/>
    </row>
    <row r="1296" spans="1:50" x14ac:dyDescent="0.2">
      <c r="AA1296" s="16"/>
      <c r="AB1296" s="29" t="s">
        <v>285</v>
      </c>
      <c r="AC1296" s="17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</row>
    <row r="1297" spans="1:50" x14ac:dyDescent="0.2">
      <c r="AA1297" s="16"/>
      <c r="AB1297" s="29" t="s">
        <v>202</v>
      </c>
      <c r="AC1297" s="17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</row>
    <row r="1298" spans="1:50" x14ac:dyDescent="0.2">
      <c r="AA1298" s="16"/>
      <c r="AB1298" s="29" t="s">
        <v>203</v>
      </c>
      <c r="AC1298" s="17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</row>
    <row r="1299" spans="1:50" x14ac:dyDescent="0.2">
      <c r="AA1299" s="16"/>
      <c r="AB1299" s="29" t="s">
        <v>204</v>
      </c>
      <c r="AC1299" s="17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</row>
    <row r="1300" spans="1:50" ht="25.5" x14ac:dyDescent="0.2">
      <c r="AA1300" s="16"/>
      <c r="AB1300" s="29" t="s">
        <v>205</v>
      </c>
      <c r="AC1300" s="17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</row>
    <row r="1301" spans="1:50" ht="25.5" x14ac:dyDescent="0.2">
      <c r="AA1301" s="28" t="s">
        <v>288</v>
      </c>
      <c r="AB1301" s="29" t="s">
        <v>769</v>
      </c>
      <c r="AC1301" s="17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30"/>
      <c r="AU1301" s="18"/>
      <c r="AV1301" s="18"/>
      <c r="AW1301" s="18"/>
      <c r="AX1301" s="18"/>
    </row>
    <row r="1302" spans="1:50" s="150" customFormat="1" x14ac:dyDescent="0.2">
      <c r="A1302" s="140" t="s">
        <v>55</v>
      </c>
      <c r="B1302" s="140" t="s">
        <v>56</v>
      </c>
      <c r="C1302" s="140"/>
      <c r="D1302" s="140"/>
      <c r="E1302" s="140"/>
      <c r="F1302" s="140"/>
      <c r="G1302" s="140"/>
      <c r="H1302" s="140"/>
      <c r="I1302" s="140"/>
      <c r="J1302" s="140"/>
      <c r="K1302" s="140"/>
      <c r="L1302" s="140"/>
      <c r="M1302" s="140"/>
      <c r="N1302" s="140"/>
      <c r="O1302" s="140"/>
      <c r="P1302" s="140"/>
      <c r="Q1302" s="140"/>
      <c r="R1302" s="140"/>
      <c r="S1302" s="140"/>
      <c r="T1302" s="140"/>
      <c r="U1302" s="140"/>
      <c r="V1302" s="140"/>
      <c r="W1302" s="140"/>
      <c r="X1302" s="140"/>
      <c r="Y1302" s="140"/>
      <c r="Z1302" s="140"/>
      <c r="AA1302" s="134" t="s">
        <v>770</v>
      </c>
      <c r="AB1302" s="69" t="s">
        <v>233</v>
      </c>
      <c r="AC1302" s="142" t="s">
        <v>58</v>
      </c>
      <c r="AD1302" s="142">
        <v>4000000000</v>
      </c>
      <c r="AE1302" s="143">
        <v>0</v>
      </c>
      <c r="AF1302" s="143">
        <v>0</v>
      </c>
      <c r="AG1302" s="143">
        <v>0</v>
      </c>
      <c r="AH1302" s="143">
        <v>0</v>
      </c>
      <c r="AI1302" s="143">
        <v>0</v>
      </c>
      <c r="AJ1302" s="142">
        <v>4000000000</v>
      </c>
      <c r="AK1302" s="143">
        <v>0</v>
      </c>
      <c r="AL1302" s="142">
        <f>AM1302-AGOSTO!AM1259</f>
        <v>333333333</v>
      </c>
      <c r="AM1302" s="142">
        <v>2999999997</v>
      </c>
      <c r="AN1302" s="143">
        <v>0</v>
      </c>
      <c r="AO1302" s="142">
        <v>333333333</v>
      </c>
      <c r="AP1302" s="142">
        <v>2999999997</v>
      </c>
      <c r="AQ1302" s="143">
        <v>0</v>
      </c>
      <c r="AR1302" s="142">
        <v>333333333</v>
      </c>
      <c r="AS1302" s="142">
        <v>2999999997</v>
      </c>
      <c r="AT1302" s="174">
        <f t="shared" ref="AT1302" si="520">AQ1302+AS1302</f>
        <v>2999999997</v>
      </c>
      <c r="AU1302" s="148">
        <f>AJ1302-AM1302</f>
        <v>1000000003</v>
      </c>
      <c r="AV1302" s="175">
        <f>AM1302-AP1302</f>
        <v>0</v>
      </c>
      <c r="AW1302" s="175">
        <f>AP1302-AT1302</f>
        <v>0</v>
      </c>
      <c r="AX1302" s="149">
        <f>AP1302/AJ1302</f>
        <v>0.74999999925000005</v>
      </c>
    </row>
    <row r="1303" spans="1:50" s="150" customFormat="1" x14ac:dyDescent="0.2">
      <c r="A1303" s="140"/>
      <c r="B1303" s="140"/>
      <c r="C1303" s="140"/>
      <c r="D1303" s="140"/>
      <c r="E1303" s="140"/>
      <c r="F1303" s="140"/>
      <c r="G1303" s="140"/>
      <c r="H1303" s="140"/>
      <c r="I1303" s="140"/>
      <c r="J1303" s="140"/>
      <c r="K1303" s="140"/>
      <c r="L1303" s="140"/>
      <c r="M1303" s="140"/>
      <c r="N1303" s="140"/>
      <c r="O1303" s="140"/>
      <c r="P1303" s="140"/>
      <c r="Q1303" s="140"/>
      <c r="R1303" s="140"/>
      <c r="S1303" s="140"/>
      <c r="T1303" s="140"/>
      <c r="U1303" s="140"/>
      <c r="V1303" s="140"/>
      <c r="W1303" s="140"/>
      <c r="X1303" s="140"/>
      <c r="Y1303" s="140"/>
      <c r="Z1303" s="140"/>
      <c r="AA1303" s="134"/>
      <c r="AB1303" s="69"/>
      <c r="AC1303" s="142"/>
      <c r="AD1303" s="142"/>
      <c r="AE1303" s="143"/>
      <c r="AF1303" s="143"/>
      <c r="AG1303" s="143"/>
      <c r="AH1303" s="143"/>
      <c r="AI1303" s="143"/>
      <c r="AJ1303" s="142"/>
      <c r="AK1303" s="143"/>
      <c r="AL1303" s="142"/>
      <c r="AM1303" s="142"/>
      <c r="AN1303" s="143"/>
      <c r="AO1303" s="142"/>
      <c r="AP1303" s="142"/>
      <c r="AQ1303" s="143"/>
      <c r="AR1303" s="142"/>
      <c r="AS1303" s="142"/>
      <c r="AT1303" s="174"/>
      <c r="AU1303" s="148"/>
      <c r="AV1303" s="175"/>
      <c r="AW1303" s="175"/>
      <c r="AX1303" s="149"/>
    </row>
    <row r="1304" spans="1:50" ht="13.5" customHeight="1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170" t="s">
        <v>288</v>
      </c>
      <c r="AB1304" s="165" t="s">
        <v>199</v>
      </c>
      <c r="AC1304" s="168"/>
      <c r="AD1304" s="43"/>
      <c r="AE1304" s="44"/>
      <c r="AF1304" s="44"/>
      <c r="AG1304" s="44"/>
      <c r="AH1304" s="44"/>
      <c r="AI1304" s="44"/>
      <c r="AJ1304" s="43"/>
      <c r="AK1304" s="44"/>
      <c r="AL1304" s="43"/>
      <c r="AM1304" s="43"/>
      <c r="AN1304" s="44"/>
      <c r="AO1304" s="43"/>
      <c r="AP1304" s="43"/>
      <c r="AQ1304" s="44"/>
      <c r="AR1304" s="44"/>
      <c r="AS1304" s="44"/>
      <c r="AT1304" s="135"/>
      <c r="AU1304" s="110"/>
      <c r="AV1304" s="133"/>
      <c r="AW1304" s="34"/>
      <c r="AX1304" s="123"/>
    </row>
    <row r="1305" spans="1:50" ht="25.5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166" t="s">
        <v>1162</v>
      </c>
      <c r="AB1305" s="167" t="s">
        <v>1044</v>
      </c>
      <c r="AC1305" s="168"/>
      <c r="AD1305" s="44">
        <v>0</v>
      </c>
      <c r="AE1305" s="43">
        <v>384000000</v>
      </c>
      <c r="AF1305" s="44">
        <v>0</v>
      </c>
      <c r="AG1305" s="44">
        <v>0</v>
      </c>
      <c r="AH1305" s="44">
        <v>0</v>
      </c>
      <c r="AI1305" s="43">
        <f t="shared" ref="AI1305:AI1306" si="521">AE1305-AF1305+AG1305-AH1305</f>
        <v>384000000</v>
      </c>
      <c r="AJ1305" s="43">
        <f t="shared" ref="AJ1305:AJ1306" si="522">AD1305+AI1305</f>
        <v>384000000</v>
      </c>
      <c r="AK1305" s="44">
        <v>0</v>
      </c>
      <c r="AL1305" s="44">
        <v>0</v>
      </c>
      <c r="AM1305" s="43">
        <v>384000000</v>
      </c>
      <c r="AN1305" s="44">
        <v>0</v>
      </c>
      <c r="AO1305" s="44">
        <v>0</v>
      </c>
      <c r="AP1305" s="43">
        <v>384000000</v>
      </c>
      <c r="AQ1305" s="44">
        <v>0</v>
      </c>
      <c r="AR1305" s="44">
        <v>0</v>
      </c>
      <c r="AS1305" s="43">
        <v>384000000</v>
      </c>
      <c r="AT1305" s="39">
        <f t="shared" ref="AT1305:AT1306" si="523">AQ1305+AS1305</f>
        <v>384000000</v>
      </c>
      <c r="AU1305" s="133">
        <f>AJ1305-AM1305</f>
        <v>0</v>
      </c>
      <c r="AV1305" s="133">
        <f>AM1305-AP1305</f>
        <v>0</v>
      </c>
      <c r="AW1305" s="34">
        <f>AP1305-AT1305</f>
        <v>0</v>
      </c>
      <c r="AX1305" s="123">
        <f>AP1305/AJ1305</f>
        <v>1</v>
      </c>
    </row>
    <row r="1306" spans="1:50" ht="15.75" customHeight="1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166" t="s">
        <v>1163</v>
      </c>
      <c r="AB1306" s="167" t="s">
        <v>1015</v>
      </c>
      <c r="AC1306" s="168"/>
      <c r="AD1306" s="44">
        <v>0</v>
      </c>
      <c r="AE1306" s="43">
        <v>270000000</v>
      </c>
      <c r="AF1306" s="44">
        <v>0</v>
      </c>
      <c r="AG1306" s="44">
        <v>0</v>
      </c>
      <c r="AH1306" s="44">
        <v>0</v>
      </c>
      <c r="AI1306" s="43">
        <f t="shared" si="521"/>
        <v>270000000</v>
      </c>
      <c r="AJ1306" s="43">
        <f t="shared" si="522"/>
        <v>270000000</v>
      </c>
      <c r="AK1306" s="44">
        <v>0</v>
      </c>
      <c r="AL1306" s="44">
        <v>0</v>
      </c>
      <c r="AM1306" s="43">
        <v>270000000</v>
      </c>
      <c r="AN1306" s="44">
        <v>0</v>
      </c>
      <c r="AO1306" s="44">
        <v>0</v>
      </c>
      <c r="AP1306" s="43">
        <v>270000000</v>
      </c>
      <c r="AQ1306" s="44">
        <v>0</v>
      </c>
      <c r="AR1306" s="44">
        <v>0</v>
      </c>
      <c r="AS1306" s="43">
        <v>270000000</v>
      </c>
      <c r="AT1306" s="39">
        <f t="shared" si="523"/>
        <v>270000000</v>
      </c>
      <c r="AU1306" s="133">
        <f>AJ1306-AM1306</f>
        <v>0</v>
      </c>
      <c r="AV1306" s="133">
        <f>AM1306-AP1306</f>
        <v>0</v>
      </c>
      <c r="AW1306" s="34">
        <f>AP1306-AT1306</f>
        <v>0</v>
      </c>
      <c r="AX1306" s="123">
        <f>AP1306/AJ1306</f>
        <v>1</v>
      </c>
    </row>
    <row r="1307" spans="1:50" x14ac:dyDescent="0.2">
      <c r="AA1307" s="16"/>
      <c r="AB1307" s="17"/>
      <c r="AC1307" s="17"/>
      <c r="AD1307" s="18"/>
      <c r="AE1307" s="34"/>
      <c r="AF1307" s="34"/>
      <c r="AG1307" s="34"/>
      <c r="AH1307" s="34"/>
      <c r="AI1307" s="34"/>
      <c r="AJ1307" s="18"/>
      <c r="AK1307" s="34"/>
      <c r="AL1307" s="18"/>
      <c r="AM1307" s="18"/>
      <c r="AN1307" s="34"/>
      <c r="AO1307" s="18"/>
      <c r="AP1307" s="18"/>
      <c r="AQ1307" s="34"/>
      <c r="AR1307" s="18"/>
      <c r="AS1307" s="18"/>
      <c r="AT1307" s="30"/>
      <c r="AU1307" s="18"/>
      <c r="AV1307" s="34"/>
      <c r="AW1307" s="34"/>
      <c r="AX1307" s="18"/>
    </row>
    <row r="1308" spans="1:50" s="50" customFormat="1" x14ac:dyDescent="0.2">
      <c r="B1308" s="77"/>
      <c r="C1308" s="77"/>
      <c r="D1308" s="77"/>
      <c r="E1308" s="77"/>
      <c r="F1308" s="77"/>
      <c r="G1308" s="77"/>
      <c r="H1308" s="77"/>
      <c r="I1308" s="77"/>
      <c r="J1308" s="77"/>
      <c r="K1308" s="77"/>
      <c r="L1308" s="77"/>
      <c r="M1308" s="77"/>
      <c r="N1308" s="77"/>
      <c r="O1308" s="77"/>
      <c r="P1308" s="77"/>
      <c r="Q1308" s="77"/>
      <c r="R1308" s="77"/>
      <c r="S1308" s="77"/>
      <c r="T1308" s="77"/>
      <c r="U1308" s="77"/>
      <c r="V1308" s="77"/>
      <c r="W1308" s="77"/>
      <c r="X1308" s="77"/>
      <c r="Y1308" s="77"/>
      <c r="Z1308" s="77"/>
      <c r="AA1308" s="46"/>
      <c r="AB1308" s="47" t="s">
        <v>771</v>
      </c>
      <c r="AC1308" s="22" t="s">
        <v>772</v>
      </c>
      <c r="AD1308" s="22">
        <f>SUM(AD1302:AD1307)</f>
        <v>4000000000</v>
      </c>
      <c r="AE1308" s="22">
        <f t="shared" ref="AE1308:AW1308" si="524">SUM(AE1302:AE1307)</f>
        <v>654000000</v>
      </c>
      <c r="AF1308" s="23">
        <f t="shared" si="524"/>
        <v>0</v>
      </c>
      <c r="AG1308" s="23">
        <f t="shared" si="524"/>
        <v>0</v>
      </c>
      <c r="AH1308" s="23">
        <f t="shared" si="524"/>
        <v>0</v>
      </c>
      <c r="AI1308" s="22">
        <f t="shared" si="524"/>
        <v>654000000</v>
      </c>
      <c r="AJ1308" s="22">
        <f t="shared" si="524"/>
        <v>4654000000</v>
      </c>
      <c r="AK1308" s="23">
        <f t="shared" si="524"/>
        <v>0</v>
      </c>
      <c r="AL1308" s="22">
        <f t="shared" si="524"/>
        <v>333333333</v>
      </c>
      <c r="AM1308" s="22">
        <f t="shared" si="524"/>
        <v>3653999997</v>
      </c>
      <c r="AN1308" s="23">
        <f t="shared" si="524"/>
        <v>0</v>
      </c>
      <c r="AO1308" s="22">
        <f t="shared" si="524"/>
        <v>333333333</v>
      </c>
      <c r="AP1308" s="22">
        <f t="shared" si="524"/>
        <v>3653999997</v>
      </c>
      <c r="AQ1308" s="23">
        <f t="shared" si="524"/>
        <v>0</v>
      </c>
      <c r="AR1308" s="22">
        <f t="shared" si="524"/>
        <v>333333333</v>
      </c>
      <c r="AS1308" s="22">
        <f t="shared" si="524"/>
        <v>3653999997</v>
      </c>
      <c r="AT1308" s="22">
        <f>AQ1308+AS1308</f>
        <v>3653999997</v>
      </c>
      <c r="AU1308" s="22">
        <f t="shared" si="524"/>
        <v>1000000003</v>
      </c>
      <c r="AV1308" s="23">
        <f t="shared" si="524"/>
        <v>0</v>
      </c>
      <c r="AW1308" s="23">
        <f t="shared" si="524"/>
        <v>0</v>
      </c>
      <c r="AX1308" s="24">
        <f>AP1308/AJ1308</f>
        <v>0.78513106940266442</v>
      </c>
    </row>
    <row r="1309" spans="1:50" x14ac:dyDescent="0.2">
      <c r="AA1309" s="16"/>
      <c r="AB1309" s="17"/>
      <c r="AC1309" s="17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34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</row>
    <row r="1310" spans="1:50" s="25" customFormat="1" x14ac:dyDescent="0.2">
      <c r="B1310" s="71"/>
      <c r="C1310" s="71"/>
      <c r="D1310" s="71"/>
      <c r="E1310" s="71"/>
      <c r="F1310" s="71"/>
      <c r="G1310" s="71"/>
      <c r="H1310" s="71"/>
      <c r="I1310" s="71"/>
      <c r="J1310" s="71"/>
      <c r="K1310" s="71"/>
      <c r="L1310" s="71"/>
      <c r="M1310" s="71"/>
      <c r="N1310" s="71"/>
      <c r="O1310" s="71"/>
      <c r="P1310" s="71"/>
      <c r="Q1310" s="71"/>
      <c r="R1310" s="71"/>
      <c r="S1310" s="71"/>
      <c r="T1310" s="71"/>
      <c r="U1310" s="71"/>
      <c r="V1310" s="71"/>
      <c r="W1310" s="71"/>
      <c r="X1310" s="71"/>
      <c r="Y1310" s="71"/>
      <c r="Z1310" s="71"/>
      <c r="AA1310" s="85"/>
      <c r="AB1310" s="86" t="s">
        <v>773</v>
      </c>
      <c r="AC1310" s="87"/>
      <c r="AD1310" s="63"/>
      <c r="AE1310" s="88"/>
      <c r="AF1310" s="88"/>
      <c r="AG1310" s="88"/>
      <c r="AH1310" s="88"/>
      <c r="AI1310" s="88"/>
      <c r="AJ1310" s="88"/>
      <c r="AK1310" s="88"/>
      <c r="AL1310" s="88"/>
      <c r="AM1310" s="88"/>
      <c r="AN1310" s="88"/>
      <c r="AO1310" s="88"/>
      <c r="AP1310" s="88"/>
      <c r="AQ1310" s="88"/>
      <c r="AR1310" s="88"/>
      <c r="AS1310" s="88"/>
      <c r="AT1310" s="88"/>
      <c r="AU1310" s="88"/>
      <c r="AV1310" s="88"/>
      <c r="AW1310" s="88"/>
      <c r="AX1310" s="88"/>
    </row>
    <row r="1311" spans="1:50" x14ac:dyDescent="0.2">
      <c r="AA1311" s="89"/>
      <c r="AB1311" s="90" t="s">
        <v>676</v>
      </c>
      <c r="AC1311" s="91"/>
      <c r="AD1311" s="18"/>
      <c r="AE1311" s="92"/>
      <c r="AF1311" s="92"/>
      <c r="AG1311" s="92"/>
      <c r="AH1311" s="92"/>
      <c r="AI1311" s="92"/>
      <c r="AJ1311" s="92"/>
      <c r="AK1311" s="92"/>
      <c r="AL1311" s="92"/>
      <c r="AM1311" s="92"/>
      <c r="AN1311" s="92"/>
      <c r="AO1311" s="92"/>
      <c r="AP1311" s="92"/>
      <c r="AQ1311" s="92"/>
      <c r="AR1311" s="92"/>
      <c r="AS1311" s="92"/>
      <c r="AT1311" s="92"/>
      <c r="AU1311" s="92"/>
      <c r="AV1311" s="92"/>
      <c r="AW1311" s="92"/>
      <c r="AX1311" s="92"/>
    </row>
    <row r="1312" spans="1:50" x14ac:dyDescent="0.2">
      <c r="AA1312" s="89"/>
      <c r="AB1312" s="90" t="s">
        <v>286</v>
      </c>
      <c r="AC1312" s="91"/>
      <c r="AD1312" s="18"/>
      <c r="AE1312" s="92"/>
      <c r="AF1312" s="92"/>
      <c r="AG1312" s="92"/>
      <c r="AH1312" s="92"/>
      <c r="AI1312" s="92"/>
      <c r="AJ1312" s="92"/>
      <c r="AK1312" s="92"/>
      <c r="AL1312" s="92"/>
      <c r="AM1312" s="317"/>
      <c r="AN1312" s="92"/>
      <c r="AO1312" s="92"/>
      <c r="AP1312" s="92"/>
      <c r="AQ1312" s="92"/>
      <c r="AR1312" s="92"/>
      <c r="AS1312" s="92"/>
      <c r="AT1312" s="92"/>
      <c r="AU1312" s="92"/>
      <c r="AV1312" s="92"/>
      <c r="AW1312" s="92"/>
      <c r="AX1312" s="92"/>
    </row>
    <row r="1313" spans="27:50" x14ac:dyDescent="0.2">
      <c r="AA1313" s="89"/>
      <c r="AB1313" s="90" t="s">
        <v>179</v>
      </c>
      <c r="AC1313" s="91"/>
      <c r="AD1313" s="18"/>
      <c r="AE1313" s="92"/>
      <c r="AF1313" s="92"/>
      <c r="AG1313" s="92"/>
      <c r="AH1313" s="92"/>
      <c r="AI1313" s="92"/>
      <c r="AJ1313" s="92"/>
      <c r="AK1313" s="92"/>
      <c r="AL1313" s="92"/>
      <c r="AM1313" s="92"/>
      <c r="AN1313" s="92"/>
      <c r="AO1313" s="92"/>
      <c r="AP1313" s="92"/>
      <c r="AQ1313" s="92"/>
      <c r="AR1313" s="92"/>
      <c r="AS1313" s="92"/>
      <c r="AT1313" s="92"/>
      <c r="AU1313" s="92"/>
      <c r="AV1313" s="92"/>
      <c r="AW1313" s="92"/>
      <c r="AX1313" s="92"/>
    </row>
    <row r="1314" spans="27:50" x14ac:dyDescent="0.2">
      <c r="AA1314" s="89"/>
      <c r="AB1314" s="90" t="s">
        <v>189</v>
      </c>
      <c r="AC1314" s="91"/>
      <c r="AD1314" s="18"/>
      <c r="AE1314" s="92"/>
      <c r="AF1314" s="92"/>
      <c r="AG1314" s="92"/>
      <c r="AH1314" s="92"/>
      <c r="AI1314" s="92"/>
      <c r="AJ1314" s="92"/>
      <c r="AK1314" s="92"/>
      <c r="AL1314" s="92"/>
      <c r="AM1314" s="92"/>
      <c r="AN1314" s="92"/>
      <c r="AO1314" s="92"/>
      <c r="AP1314" s="92"/>
      <c r="AQ1314" s="92"/>
      <c r="AR1314" s="92"/>
      <c r="AS1314" s="92"/>
      <c r="AT1314" s="92"/>
      <c r="AU1314" s="92"/>
      <c r="AV1314" s="92"/>
      <c r="AW1314" s="92"/>
      <c r="AX1314" s="92"/>
    </row>
    <row r="1315" spans="27:50" x14ac:dyDescent="0.2">
      <c r="AA1315" s="89"/>
      <c r="AB1315" s="90" t="s">
        <v>191</v>
      </c>
      <c r="AC1315" s="91"/>
      <c r="AD1315" s="18"/>
      <c r="AE1315" s="92"/>
      <c r="AF1315" s="92"/>
      <c r="AG1315" s="92"/>
      <c r="AH1315" s="92"/>
      <c r="AI1315" s="92"/>
      <c r="AJ1315" s="92"/>
      <c r="AK1315" s="92"/>
      <c r="AL1315" s="92"/>
      <c r="AM1315" s="92"/>
      <c r="AN1315" s="92"/>
      <c r="AO1315" s="92"/>
      <c r="AP1315" s="92"/>
      <c r="AQ1315" s="92"/>
      <c r="AR1315" s="92"/>
      <c r="AS1315" s="92"/>
      <c r="AT1315" s="92"/>
      <c r="AU1315" s="92"/>
      <c r="AV1315" s="92"/>
      <c r="AW1315" s="92"/>
      <c r="AX1315" s="92"/>
    </row>
    <row r="1316" spans="27:50" x14ac:dyDescent="0.2">
      <c r="AA1316" s="89"/>
      <c r="AB1316" s="278" t="s">
        <v>1272</v>
      </c>
      <c r="AC1316" s="91"/>
      <c r="AD1316" s="18"/>
      <c r="AE1316" s="92"/>
      <c r="AF1316" s="92"/>
      <c r="AG1316" s="92"/>
      <c r="AH1316" s="92"/>
      <c r="AI1316" s="92"/>
      <c r="AJ1316" s="92"/>
      <c r="AK1316" s="92"/>
      <c r="AL1316" s="92"/>
      <c r="AM1316" s="92"/>
      <c r="AN1316" s="92"/>
      <c r="AO1316" s="92"/>
      <c r="AP1316" s="92"/>
      <c r="AQ1316" s="92"/>
      <c r="AR1316" s="92"/>
      <c r="AS1316" s="92"/>
      <c r="AT1316" s="92"/>
      <c r="AU1316" s="92"/>
      <c r="AV1316" s="92"/>
      <c r="AW1316" s="92"/>
      <c r="AX1316" s="92"/>
    </row>
    <row r="1317" spans="27:50" ht="38.25" x14ac:dyDescent="0.2">
      <c r="AA1317" s="93" t="s">
        <v>288</v>
      </c>
      <c r="AB1317" s="90" t="s">
        <v>774</v>
      </c>
      <c r="AC1317" s="91"/>
      <c r="AD1317" s="18"/>
      <c r="AE1317" s="92"/>
      <c r="AF1317" s="92"/>
      <c r="AG1317" s="92"/>
      <c r="AH1317" s="92"/>
      <c r="AI1317" s="92"/>
      <c r="AJ1317" s="92"/>
      <c r="AK1317" s="92"/>
      <c r="AL1317" s="92"/>
      <c r="AM1317" s="92"/>
      <c r="AN1317" s="92"/>
      <c r="AO1317" s="92"/>
      <c r="AP1317" s="92"/>
      <c r="AQ1317" s="92"/>
      <c r="AR1317" s="92"/>
      <c r="AS1317" s="92"/>
      <c r="AT1317" s="30"/>
      <c r="AU1317" s="92"/>
      <c r="AV1317" s="92"/>
      <c r="AW1317" s="92"/>
      <c r="AX1317" s="92"/>
    </row>
    <row r="1318" spans="27:50" ht="25.5" x14ac:dyDescent="0.2">
      <c r="AA1318" s="94" t="s">
        <v>775</v>
      </c>
      <c r="AB1318" s="95" t="s">
        <v>776</v>
      </c>
      <c r="AC1318" s="96" t="s">
        <v>777</v>
      </c>
      <c r="AD1318" s="44">
        <v>0</v>
      </c>
      <c r="AE1318" s="97">
        <v>0</v>
      </c>
      <c r="AF1318" s="97">
        <v>0</v>
      </c>
      <c r="AG1318" s="43">
        <v>5536570240</v>
      </c>
      <c r="AH1318" s="96">
        <v>0</v>
      </c>
      <c r="AI1318" s="136">
        <f>AE1318-AF1318+AG1318-AH1318</f>
        <v>5536570240</v>
      </c>
      <c r="AJ1318" s="43">
        <f>AD1318+AI1318</f>
        <v>5536570240</v>
      </c>
      <c r="AK1318" s="43">
        <v>0</v>
      </c>
      <c r="AL1318" s="114">
        <f>AM1318-AGOSTO!AM1275</f>
        <v>96376667</v>
      </c>
      <c r="AM1318" s="114">
        <v>3423509083</v>
      </c>
      <c r="AN1318" s="43">
        <v>0</v>
      </c>
      <c r="AO1318" s="114">
        <v>510176667</v>
      </c>
      <c r="AP1318" s="114">
        <v>2552405750</v>
      </c>
      <c r="AQ1318" s="43">
        <v>19910000</v>
      </c>
      <c r="AR1318" s="43">
        <v>195896667</v>
      </c>
      <c r="AS1318" s="43">
        <v>1079363332</v>
      </c>
      <c r="AT1318" s="39">
        <f t="shared" ref="AT1318" si="525">AQ1318+AS1318</f>
        <v>1099273332</v>
      </c>
      <c r="AU1318" s="18">
        <f>AJ1318-AM1318</f>
        <v>2113061157</v>
      </c>
      <c r="AV1318" s="18">
        <f>AM1318-AP1318</f>
        <v>871103333</v>
      </c>
      <c r="AW1318" s="110">
        <f>AP1318-AT1318</f>
        <v>1453132418</v>
      </c>
      <c r="AX1318" s="123">
        <f>AP1318/AJ1318</f>
        <v>0.46100846541414059</v>
      </c>
    </row>
    <row r="1319" spans="27:50" x14ac:dyDescent="0.2">
      <c r="AA1319" s="94" t="s">
        <v>787</v>
      </c>
      <c r="AB1319" s="242" t="s">
        <v>788</v>
      </c>
      <c r="AC1319" s="96" t="s">
        <v>789</v>
      </c>
      <c r="AD1319" s="43">
        <v>886001426</v>
      </c>
      <c r="AE1319" s="96">
        <v>0</v>
      </c>
      <c r="AF1319" s="216">
        <v>0</v>
      </c>
      <c r="AG1319" s="216">
        <v>0</v>
      </c>
      <c r="AH1319" s="216">
        <v>0</v>
      </c>
      <c r="AI1319" s="136">
        <f>AE1319-AF1319+AG1319-AH1319</f>
        <v>0</v>
      </c>
      <c r="AJ1319" s="43">
        <f>AD1319+AI1319</f>
        <v>886001426</v>
      </c>
      <c r="AK1319" s="44">
        <v>0</v>
      </c>
      <c r="AL1319" s="114">
        <f>AM1319-AGOSTO!AM1276</f>
        <v>78294154</v>
      </c>
      <c r="AM1319" s="18">
        <v>658595475</v>
      </c>
      <c r="AN1319" s="92">
        <v>0</v>
      </c>
      <c r="AO1319" s="147">
        <v>78294154</v>
      </c>
      <c r="AP1319" s="18">
        <v>658595475</v>
      </c>
      <c r="AQ1319" s="96">
        <v>0</v>
      </c>
      <c r="AR1319" s="18">
        <v>78294154</v>
      </c>
      <c r="AS1319" s="43">
        <v>658595475</v>
      </c>
      <c r="AT1319" s="39">
        <f>AQ1319+AS1319</f>
        <v>658595475</v>
      </c>
      <c r="AU1319" s="110">
        <f>AJ1319-AM1319</f>
        <v>227405951</v>
      </c>
      <c r="AV1319" s="133">
        <f>AM1319-AP1319</f>
        <v>0</v>
      </c>
      <c r="AW1319" s="133">
        <f>AP1319-AT1319</f>
        <v>0</v>
      </c>
      <c r="AX1319" s="123">
        <f>AP1319/AJ1319</f>
        <v>0.74333455418163175</v>
      </c>
    </row>
    <row r="1320" spans="27:50" x14ac:dyDescent="0.2">
      <c r="AA1320" s="94"/>
      <c r="AB1320" s="95"/>
      <c r="AC1320" s="96"/>
      <c r="AD1320" s="44"/>
      <c r="AE1320" s="97"/>
      <c r="AF1320" s="97"/>
      <c r="AG1320" s="43"/>
      <c r="AH1320" s="96"/>
      <c r="AI1320" s="136"/>
      <c r="AJ1320" s="43"/>
      <c r="AK1320" s="43"/>
      <c r="AL1320" s="114"/>
      <c r="AM1320" s="114"/>
      <c r="AN1320" s="43"/>
      <c r="AO1320" s="114"/>
      <c r="AP1320" s="114"/>
      <c r="AQ1320" s="43"/>
      <c r="AR1320" s="43"/>
      <c r="AS1320" s="43"/>
      <c r="AT1320" s="39"/>
      <c r="AU1320" s="18"/>
      <c r="AV1320" s="18"/>
      <c r="AW1320" s="110"/>
      <c r="AX1320" s="123"/>
    </row>
    <row r="1321" spans="27:50" ht="25.5" x14ac:dyDescent="0.2">
      <c r="AA1321" s="93" t="s">
        <v>288</v>
      </c>
      <c r="AB1321" s="90" t="s">
        <v>778</v>
      </c>
      <c r="AC1321" s="91"/>
      <c r="AD1321" s="18"/>
      <c r="AE1321" s="98"/>
      <c r="AF1321" s="98"/>
      <c r="AG1321" s="92"/>
      <c r="AH1321" s="92"/>
      <c r="AI1321" s="92"/>
      <c r="AJ1321" s="18"/>
      <c r="AK1321" s="98"/>
      <c r="AL1321" s="98"/>
      <c r="AM1321" s="98"/>
      <c r="AN1321" s="98"/>
      <c r="AO1321" s="98"/>
      <c r="AP1321" s="98"/>
      <c r="AQ1321" s="98"/>
      <c r="AR1321" s="98"/>
      <c r="AS1321" s="98"/>
      <c r="AT1321" s="31"/>
      <c r="AU1321" s="18"/>
      <c r="AV1321" s="34"/>
      <c r="AW1321" s="34"/>
      <c r="AX1321" s="92"/>
    </row>
    <row r="1322" spans="27:50" x14ac:dyDescent="0.2">
      <c r="AA1322" s="94" t="s">
        <v>779</v>
      </c>
      <c r="AB1322" s="95" t="s">
        <v>780</v>
      </c>
      <c r="AC1322" s="96" t="s">
        <v>368</v>
      </c>
      <c r="AD1322" s="43">
        <v>920421961</v>
      </c>
      <c r="AE1322" s="97">
        <v>0</v>
      </c>
      <c r="AF1322" s="97">
        <v>0</v>
      </c>
      <c r="AG1322" s="96">
        <v>0</v>
      </c>
      <c r="AH1322" s="96">
        <v>0</v>
      </c>
      <c r="AI1322" s="136">
        <f>AE1322-AF1322+AG1322-AH1322</f>
        <v>0</v>
      </c>
      <c r="AJ1322" s="43">
        <f>AD1322+AI1322</f>
        <v>920421961</v>
      </c>
      <c r="AK1322" s="97">
        <v>0</v>
      </c>
      <c r="AL1322" s="97">
        <v>0</v>
      </c>
      <c r="AM1322" s="97">
        <v>0</v>
      </c>
      <c r="AN1322" s="97">
        <v>0</v>
      </c>
      <c r="AO1322" s="97">
        <v>0</v>
      </c>
      <c r="AP1322" s="97">
        <v>0</v>
      </c>
      <c r="AQ1322" s="97">
        <v>0</v>
      </c>
      <c r="AR1322" s="97">
        <v>0</v>
      </c>
      <c r="AS1322" s="97">
        <v>0</v>
      </c>
      <c r="AT1322" s="135">
        <f t="shared" ref="AT1322:AT1323" si="526">AQ1322+AS1322</f>
        <v>0</v>
      </c>
      <c r="AU1322" s="110">
        <f>AJ1322-AM1322</f>
        <v>920421961</v>
      </c>
      <c r="AV1322" s="133">
        <f>AM1322-AP1322</f>
        <v>0</v>
      </c>
      <c r="AW1322" s="133">
        <f>AP1322-AT1322</f>
        <v>0</v>
      </c>
      <c r="AX1322" s="123">
        <f>AP1322/AJ1322</f>
        <v>0</v>
      </c>
    </row>
    <row r="1323" spans="27:50" ht="25.5" x14ac:dyDescent="0.2">
      <c r="AA1323" s="94" t="s">
        <v>781</v>
      </c>
      <c r="AB1323" s="95" t="s">
        <v>776</v>
      </c>
      <c r="AC1323" s="96" t="s">
        <v>777</v>
      </c>
      <c r="AD1323" s="43">
        <v>23813351805</v>
      </c>
      <c r="AE1323" s="97">
        <v>0</v>
      </c>
      <c r="AF1323" s="97">
        <v>0</v>
      </c>
      <c r="AG1323" s="96">
        <v>0</v>
      </c>
      <c r="AH1323" s="43">
        <v>5536570240</v>
      </c>
      <c r="AI1323" s="136">
        <f>AE1323-AF1323+AG1323-AH1323</f>
        <v>-5536570240</v>
      </c>
      <c r="AJ1323" s="43">
        <f>AD1323+AI1323</f>
        <v>18276781565</v>
      </c>
      <c r="AK1323" s="97">
        <v>0</v>
      </c>
      <c r="AL1323" s="97">
        <v>0</v>
      </c>
      <c r="AM1323" s="97">
        <v>0</v>
      </c>
      <c r="AN1323" s="97">
        <v>0</v>
      </c>
      <c r="AO1323" s="97">
        <v>0</v>
      </c>
      <c r="AP1323" s="97">
        <v>0</v>
      </c>
      <c r="AQ1323" s="97">
        <v>0</v>
      </c>
      <c r="AR1323" s="97">
        <v>0</v>
      </c>
      <c r="AS1323" s="97">
        <v>0</v>
      </c>
      <c r="AT1323" s="135">
        <f t="shared" si="526"/>
        <v>0</v>
      </c>
      <c r="AU1323" s="110">
        <f>AJ1323-AM1323</f>
        <v>18276781565</v>
      </c>
      <c r="AV1323" s="133">
        <f>AM1323-AP1323</f>
        <v>0</v>
      </c>
      <c r="AW1323" s="133">
        <f>AP1323-AT1323</f>
        <v>0</v>
      </c>
      <c r="AX1323" s="123">
        <f>AP1323/AJ1323</f>
        <v>0</v>
      </c>
    </row>
    <row r="1324" spans="27:50" x14ac:dyDescent="0.2">
      <c r="AA1324" s="94"/>
      <c r="AB1324" s="95"/>
      <c r="AC1324" s="96"/>
      <c r="AD1324" s="43"/>
      <c r="AE1324" s="97"/>
      <c r="AF1324" s="97"/>
      <c r="AG1324" s="96"/>
      <c r="AH1324" s="43"/>
      <c r="AI1324" s="136"/>
      <c r="AJ1324" s="43"/>
      <c r="AK1324" s="97"/>
      <c r="AL1324" s="97"/>
      <c r="AM1324" s="97"/>
      <c r="AN1324" s="97"/>
      <c r="AO1324" s="97"/>
      <c r="AP1324" s="97"/>
      <c r="AQ1324" s="97"/>
      <c r="AR1324" s="97"/>
      <c r="AS1324" s="97"/>
      <c r="AT1324" s="135"/>
      <c r="AU1324" s="110"/>
      <c r="AV1324" s="133"/>
      <c r="AW1324" s="133"/>
      <c r="AX1324" s="123"/>
    </row>
    <row r="1325" spans="27:50" ht="25.5" x14ac:dyDescent="0.2">
      <c r="AA1325" s="238" t="s">
        <v>288</v>
      </c>
      <c r="AB1325" s="239" t="s">
        <v>778</v>
      </c>
      <c r="AC1325" s="91"/>
      <c r="AD1325" s="18"/>
      <c r="AE1325" s="92"/>
      <c r="AF1325" s="92"/>
      <c r="AG1325" s="92"/>
      <c r="AH1325" s="92"/>
      <c r="AI1325" s="92"/>
      <c r="AJ1325" s="18"/>
      <c r="AK1325" s="34"/>
      <c r="AL1325" s="18"/>
      <c r="AM1325" s="18"/>
      <c r="AN1325" s="92"/>
      <c r="AO1325" s="147"/>
      <c r="AP1325" s="18"/>
      <c r="AQ1325" s="92"/>
      <c r="AR1325" s="92"/>
      <c r="AS1325" s="92"/>
      <c r="AT1325" s="30"/>
      <c r="AU1325" s="18"/>
      <c r="AV1325" s="18"/>
      <c r="AW1325" s="18"/>
      <c r="AX1325" s="92"/>
    </row>
    <row r="1326" spans="27:50" x14ac:dyDescent="0.2">
      <c r="AA1326" s="94" t="s">
        <v>823</v>
      </c>
      <c r="AB1326" s="95" t="s">
        <v>824</v>
      </c>
      <c r="AC1326" s="96" t="s">
        <v>794</v>
      </c>
      <c r="AD1326" s="43">
        <v>68497522112</v>
      </c>
      <c r="AE1326" s="43">
        <v>11382993803</v>
      </c>
      <c r="AF1326" s="216">
        <v>0</v>
      </c>
      <c r="AG1326" s="216">
        <v>0</v>
      </c>
      <c r="AH1326" s="216">
        <v>0</v>
      </c>
      <c r="AI1326" s="136">
        <f t="shared" ref="AI1326:AI1331" si="527">AE1326-AF1326+AG1326-AH1326</f>
        <v>11382993803</v>
      </c>
      <c r="AJ1326" s="43">
        <f t="shared" ref="AJ1326:AJ1331" si="528">AD1326+AI1326</f>
        <v>79880515915</v>
      </c>
      <c r="AK1326" s="44">
        <v>0</v>
      </c>
      <c r="AL1326" s="44">
        <v>0</v>
      </c>
      <c r="AM1326" s="18">
        <v>79880515915</v>
      </c>
      <c r="AN1326" s="34">
        <v>0</v>
      </c>
      <c r="AO1326" s="147">
        <v>6711410086</v>
      </c>
      <c r="AP1326" s="43">
        <v>59746285659</v>
      </c>
      <c r="AQ1326" s="44">
        <v>0</v>
      </c>
      <c r="AR1326" s="18">
        <v>6711410086</v>
      </c>
      <c r="AS1326" s="43">
        <v>59746285659</v>
      </c>
      <c r="AT1326" s="111">
        <f t="shared" ref="AT1326:AT1331" si="529">AQ1326+AS1326</f>
        <v>59746285659</v>
      </c>
      <c r="AU1326" s="34">
        <f t="shared" ref="AU1326:AU1331" si="530">AJ1326-AM1326</f>
        <v>0</v>
      </c>
      <c r="AV1326" s="18">
        <f t="shared" ref="AV1326:AV1331" si="531">AM1326-AP1326</f>
        <v>20134230256</v>
      </c>
      <c r="AW1326" s="133">
        <f t="shared" ref="AW1326:AW1331" si="532">AP1326-AT1326</f>
        <v>0</v>
      </c>
      <c r="AX1326" s="123">
        <f t="shared" ref="AX1326:AX1331" si="533">AP1326/AJ1326</f>
        <v>0.74794566578131993</v>
      </c>
    </row>
    <row r="1327" spans="27:50" x14ac:dyDescent="0.2">
      <c r="AA1327" s="94" t="s">
        <v>825</v>
      </c>
      <c r="AB1327" s="95" t="s">
        <v>826</v>
      </c>
      <c r="AC1327" s="96" t="s">
        <v>802</v>
      </c>
      <c r="AD1327" s="43">
        <v>6053442339</v>
      </c>
      <c r="AE1327" s="96">
        <v>0</v>
      </c>
      <c r="AF1327" s="216">
        <v>0</v>
      </c>
      <c r="AG1327" s="216">
        <v>0</v>
      </c>
      <c r="AH1327" s="216">
        <v>0</v>
      </c>
      <c r="AI1327" s="97">
        <f t="shared" si="527"/>
        <v>0</v>
      </c>
      <c r="AJ1327" s="43">
        <f t="shared" si="528"/>
        <v>6053442339</v>
      </c>
      <c r="AK1327" s="44">
        <v>0</v>
      </c>
      <c r="AL1327" s="44">
        <v>0</v>
      </c>
      <c r="AM1327" s="18">
        <v>6053442339</v>
      </c>
      <c r="AN1327" s="34">
        <v>0</v>
      </c>
      <c r="AO1327" s="147">
        <v>264543470.97</v>
      </c>
      <c r="AP1327" s="43">
        <v>3611729012.9699998</v>
      </c>
      <c r="AQ1327" s="44">
        <v>0</v>
      </c>
      <c r="AR1327" s="18">
        <v>264543470.97</v>
      </c>
      <c r="AS1327" s="43">
        <v>3611729012.9699998</v>
      </c>
      <c r="AT1327" s="111">
        <f t="shared" si="529"/>
        <v>3611729012.9699998</v>
      </c>
      <c r="AU1327" s="34">
        <f t="shared" si="530"/>
        <v>0</v>
      </c>
      <c r="AV1327" s="18">
        <f t="shared" si="531"/>
        <v>2441713326.0300002</v>
      </c>
      <c r="AW1327" s="133">
        <f t="shared" si="532"/>
        <v>0</v>
      </c>
      <c r="AX1327" s="123">
        <f t="shared" si="533"/>
        <v>0.59664052463191386</v>
      </c>
    </row>
    <row r="1328" spans="27:50" ht="25.5" x14ac:dyDescent="0.2">
      <c r="AA1328" s="94" t="s">
        <v>827</v>
      </c>
      <c r="AB1328" s="95" t="s">
        <v>776</v>
      </c>
      <c r="AC1328" s="96" t="s">
        <v>777</v>
      </c>
      <c r="AD1328" s="43">
        <v>5590188172</v>
      </c>
      <c r="AE1328" s="96">
        <v>0</v>
      </c>
      <c r="AF1328" s="216">
        <v>0</v>
      </c>
      <c r="AG1328" s="216">
        <v>0</v>
      </c>
      <c r="AH1328" s="216">
        <v>0</v>
      </c>
      <c r="AI1328" s="97">
        <f t="shared" si="527"/>
        <v>0</v>
      </c>
      <c r="AJ1328" s="43">
        <f t="shared" si="528"/>
        <v>5590188172</v>
      </c>
      <c r="AK1328" s="44">
        <v>0</v>
      </c>
      <c r="AL1328" s="44">
        <v>0</v>
      </c>
      <c r="AM1328" s="18">
        <v>549343521</v>
      </c>
      <c r="AN1328" s="34">
        <v>0</v>
      </c>
      <c r="AO1328" s="145">
        <v>0</v>
      </c>
      <c r="AP1328" s="43">
        <v>549343521</v>
      </c>
      <c r="AQ1328" s="44">
        <v>0</v>
      </c>
      <c r="AR1328" s="34">
        <v>0</v>
      </c>
      <c r="AS1328" s="43">
        <v>549343521</v>
      </c>
      <c r="AT1328" s="111">
        <f t="shared" si="529"/>
        <v>549343521</v>
      </c>
      <c r="AU1328" s="18">
        <f t="shared" si="530"/>
        <v>5040844651</v>
      </c>
      <c r="AV1328" s="34">
        <f t="shared" si="531"/>
        <v>0</v>
      </c>
      <c r="AW1328" s="133">
        <f t="shared" si="532"/>
        <v>0</v>
      </c>
      <c r="AX1328" s="123">
        <f t="shared" si="533"/>
        <v>9.8269236043169103E-2</v>
      </c>
    </row>
    <row r="1329" spans="27:50" ht="16.5" customHeight="1" x14ac:dyDescent="0.2">
      <c r="AA1329" s="94" t="s">
        <v>828</v>
      </c>
      <c r="AB1329" s="95" t="s">
        <v>829</v>
      </c>
      <c r="AC1329" s="96" t="s">
        <v>789</v>
      </c>
      <c r="AD1329" s="43">
        <v>134040044112</v>
      </c>
      <c r="AE1329" s="96">
        <v>0</v>
      </c>
      <c r="AF1329" s="216">
        <v>0</v>
      </c>
      <c r="AG1329" s="216">
        <v>0</v>
      </c>
      <c r="AH1329" s="216">
        <v>0</v>
      </c>
      <c r="AI1329" s="97">
        <f t="shared" si="527"/>
        <v>0</v>
      </c>
      <c r="AJ1329" s="43">
        <f t="shared" si="528"/>
        <v>134040044112</v>
      </c>
      <c r="AK1329" s="44">
        <v>0</v>
      </c>
      <c r="AL1329" s="44">
        <v>0</v>
      </c>
      <c r="AM1329" s="18">
        <v>129958738901</v>
      </c>
      <c r="AN1329" s="34">
        <v>0</v>
      </c>
      <c r="AO1329" s="147">
        <v>11089793804.09</v>
      </c>
      <c r="AP1329" s="43">
        <v>88886978251.679993</v>
      </c>
      <c r="AQ1329" s="44">
        <v>0</v>
      </c>
      <c r="AR1329" s="18">
        <v>11089793804.09</v>
      </c>
      <c r="AS1329" s="43">
        <v>88886978251.679993</v>
      </c>
      <c r="AT1329" s="111">
        <f t="shared" si="529"/>
        <v>88886978251.679993</v>
      </c>
      <c r="AU1329" s="18">
        <f t="shared" si="530"/>
        <v>4081305211</v>
      </c>
      <c r="AV1329" s="18">
        <f t="shared" si="531"/>
        <v>41071760649.320007</v>
      </c>
      <c r="AW1329" s="133">
        <f t="shared" si="532"/>
        <v>0</v>
      </c>
      <c r="AX1329" s="123">
        <f t="shared" si="533"/>
        <v>0.66313748880452916</v>
      </c>
    </row>
    <row r="1330" spans="27:50" ht="25.5" x14ac:dyDescent="0.2">
      <c r="AA1330" s="94" t="s">
        <v>830</v>
      </c>
      <c r="AB1330" s="95" t="s">
        <v>831</v>
      </c>
      <c r="AC1330" s="96" t="s">
        <v>832</v>
      </c>
      <c r="AD1330" s="43">
        <v>12909348026</v>
      </c>
      <c r="AE1330" s="43">
        <v>955692586</v>
      </c>
      <c r="AF1330" s="216">
        <v>0</v>
      </c>
      <c r="AG1330" s="216">
        <v>0</v>
      </c>
      <c r="AH1330" s="216">
        <v>0</v>
      </c>
      <c r="AI1330" s="136">
        <f t="shared" si="527"/>
        <v>955692586</v>
      </c>
      <c r="AJ1330" s="43">
        <f t="shared" si="528"/>
        <v>13865040612</v>
      </c>
      <c r="AK1330" s="44">
        <v>0</v>
      </c>
      <c r="AL1330" s="44">
        <v>0</v>
      </c>
      <c r="AM1330" s="18">
        <v>13865040612</v>
      </c>
      <c r="AN1330" s="34">
        <v>0</v>
      </c>
      <c r="AO1330" s="147">
        <v>1507791210.3699999</v>
      </c>
      <c r="AP1330" s="43">
        <v>12403875925.629999</v>
      </c>
      <c r="AQ1330" s="44">
        <v>0</v>
      </c>
      <c r="AR1330" s="43">
        <v>1507791210.3699999</v>
      </c>
      <c r="AS1330" s="43">
        <v>12403875925.629999</v>
      </c>
      <c r="AT1330" s="111">
        <f t="shared" si="529"/>
        <v>12403875925.629999</v>
      </c>
      <c r="AU1330" s="34">
        <f t="shared" si="530"/>
        <v>0</v>
      </c>
      <c r="AV1330" s="18">
        <f t="shared" si="531"/>
        <v>1461164686.3700008</v>
      </c>
      <c r="AW1330" s="133">
        <f t="shared" si="532"/>
        <v>0</v>
      </c>
      <c r="AX1330" s="123">
        <f t="shared" si="533"/>
        <v>0.8946151888581283</v>
      </c>
    </row>
    <row r="1331" spans="27:50" ht="26.25" thickBot="1" x14ac:dyDescent="0.25">
      <c r="AA1331" s="221" t="s">
        <v>1195</v>
      </c>
      <c r="AB1331" s="95" t="s">
        <v>1196</v>
      </c>
      <c r="AC1331" s="96"/>
      <c r="AD1331" s="44">
        <v>0</v>
      </c>
      <c r="AE1331" s="43">
        <v>969348211.46000004</v>
      </c>
      <c r="AF1331" s="216">
        <v>0</v>
      </c>
      <c r="AG1331" s="216">
        <v>0</v>
      </c>
      <c r="AH1331" s="216">
        <v>0</v>
      </c>
      <c r="AI1331" s="136">
        <f t="shared" si="527"/>
        <v>969348211.46000004</v>
      </c>
      <c r="AJ1331" s="43">
        <f t="shared" si="528"/>
        <v>969348211.46000004</v>
      </c>
      <c r="AK1331" s="44">
        <v>0</v>
      </c>
      <c r="AL1331" s="44">
        <v>0</v>
      </c>
      <c r="AM1331" s="34">
        <v>0</v>
      </c>
      <c r="AN1331" s="34">
        <v>0</v>
      </c>
      <c r="AO1331" s="145">
        <v>0</v>
      </c>
      <c r="AP1331" s="44">
        <v>0</v>
      </c>
      <c r="AQ1331" s="44">
        <v>0</v>
      </c>
      <c r="AR1331" s="44">
        <v>0</v>
      </c>
      <c r="AS1331" s="44">
        <v>0</v>
      </c>
      <c r="AT1331" s="135">
        <f t="shared" si="529"/>
        <v>0</v>
      </c>
      <c r="AU1331" s="18">
        <f t="shared" si="530"/>
        <v>969348211.46000004</v>
      </c>
      <c r="AV1331" s="34">
        <f t="shared" si="531"/>
        <v>0</v>
      </c>
      <c r="AW1331" s="133">
        <f t="shared" si="532"/>
        <v>0</v>
      </c>
      <c r="AX1331" s="123">
        <f t="shared" si="533"/>
        <v>0</v>
      </c>
    </row>
    <row r="1332" spans="27:50" x14ac:dyDescent="0.2">
      <c r="AA1332" s="94"/>
      <c r="AB1332" s="95"/>
      <c r="AC1332" s="96"/>
      <c r="AD1332" s="43"/>
      <c r="AE1332" s="97"/>
      <c r="AF1332" s="97"/>
      <c r="AG1332" s="96"/>
      <c r="AH1332" s="43"/>
      <c r="AI1332" s="136"/>
      <c r="AJ1332" s="43"/>
      <c r="AK1332" s="97"/>
      <c r="AL1332" s="97"/>
      <c r="AM1332" s="97"/>
      <c r="AN1332" s="97"/>
      <c r="AO1332" s="97"/>
      <c r="AP1332" s="97"/>
      <c r="AQ1332" s="97"/>
      <c r="AR1332" s="97"/>
      <c r="AS1332" s="97"/>
      <c r="AT1332" s="135"/>
      <c r="AU1332" s="110"/>
      <c r="AV1332" s="133"/>
      <c r="AW1332" s="133"/>
      <c r="AX1332" s="123"/>
    </row>
    <row r="1333" spans="27:50" x14ac:dyDescent="0.2">
      <c r="AA1333" s="94"/>
      <c r="AB1333" s="279" t="s">
        <v>1273</v>
      </c>
      <c r="AC1333" s="96"/>
      <c r="AD1333" s="43"/>
      <c r="AE1333" s="97"/>
      <c r="AF1333" s="97"/>
      <c r="AG1333" s="96"/>
      <c r="AH1333" s="43"/>
      <c r="AI1333" s="136"/>
      <c r="AJ1333" s="43"/>
      <c r="AK1333" s="97"/>
      <c r="AL1333" s="97"/>
      <c r="AM1333" s="97"/>
      <c r="AN1333" s="97"/>
      <c r="AO1333" s="97"/>
      <c r="AP1333" s="97"/>
      <c r="AQ1333" s="97"/>
      <c r="AR1333" s="97"/>
      <c r="AS1333" s="97"/>
      <c r="AT1333" s="135"/>
      <c r="AU1333" s="110"/>
      <c r="AV1333" s="133"/>
      <c r="AW1333" s="133"/>
      <c r="AX1333" s="123"/>
    </row>
    <row r="1334" spans="27:50" x14ac:dyDescent="0.2">
      <c r="AA1334" s="93" t="s">
        <v>288</v>
      </c>
      <c r="AB1334" s="243" t="s">
        <v>790</v>
      </c>
      <c r="AC1334" s="91"/>
      <c r="AD1334" s="18"/>
      <c r="AE1334" s="92"/>
      <c r="AF1334" s="92"/>
      <c r="AG1334" s="92"/>
      <c r="AH1334" s="92"/>
      <c r="AI1334" s="92"/>
      <c r="AJ1334" s="18"/>
      <c r="AK1334" s="18"/>
      <c r="AL1334" s="115">
        <f>AM1334-'MARZO '!AM995</f>
        <v>0</v>
      </c>
      <c r="AM1334" s="18"/>
      <c r="AN1334" s="92"/>
      <c r="AO1334" s="147"/>
      <c r="AP1334" s="18"/>
      <c r="AQ1334" s="92"/>
      <c r="AR1334" s="92"/>
      <c r="AS1334" s="92"/>
      <c r="AT1334" s="30"/>
      <c r="AU1334" s="18"/>
      <c r="AV1334" s="110"/>
      <c r="AW1334" s="18"/>
      <c r="AX1334" s="92"/>
    </row>
    <row r="1335" spans="27:50" x14ac:dyDescent="0.2">
      <c r="AA1335" s="94" t="s">
        <v>791</v>
      </c>
      <c r="AB1335" s="95" t="s">
        <v>233</v>
      </c>
      <c r="AC1335" s="96" t="s">
        <v>58</v>
      </c>
      <c r="AD1335" s="43">
        <v>300000000</v>
      </c>
      <c r="AE1335" s="96">
        <v>0</v>
      </c>
      <c r="AF1335" s="216">
        <v>0</v>
      </c>
      <c r="AG1335" s="216">
        <v>0</v>
      </c>
      <c r="AH1335" s="216">
        <v>0</v>
      </c>
      <c r="AI1335" s="136">
        <f t="shared" ref="AI1335:AI1338" si="534">AE1335-AF1335+AG1335-AH1335</f>
        <v>0</v>
      </c>
      <c r="AJ1335" s="43">
        <f t="shared" ref="AJ1335:AJ1338" si="535">AD1335+AI1335</f>
        <v>300000000</v>
      </c>
      <c r="AK1335" s="44">
        <v>0</v>
      </c>
      <c r="AL1335" s="115">
        <v>0</v>
      </c>
      <c r="AM1335" s="18">
        <v>300000000</v>
      </c>
      <c r="AN1335" s="98">
        <v>0</v>
      </c>
      <c r="AO1335" s="145">
        <v>0</v>
      </c>
      <c r="AP1335" s="18">
        <v>300000000</v>
      </c>
      <c r="AQ1335" s="96">
        <v>0</v>
      </c>
      <c r="AR1335" s="43">
        <v>27272727</v>
      </c>
      <c r="AS1335" s="43">
        <v>149090908</v>
      </c>
      <c r="AT1335" s="39">
        <f t="shared" ref="AT1335:AT1338" si="536">AQ1335+AS1335</f>
        <v>149090908</v>
      </c>
      <c r="AU1335" s="133">
        <f>AJ1335-AM1335</f>
        <v>0</v>
      </c>
      <c r="AV1335" s="133">
        <f>AM1335-AP1335</f>
        <v>0</v>
      </c>
      <c r="AW1335" s="110">
        <f>AP1335-AT1335</f>
        <v>150909092</v>
      </c>
      <c r="AX1335" s="123">
        <f>AP1335/AJ1335</f>
        <v>1</v>
      </c>
    </row>
    <row r="1336" spans="27:50" x14ac:dyDescent="0.2">
      <c r="AA1336" s="94" t="s">
        <v>792</v>
      </c>
      <c r="AB1336" s="95" t="s">
        <v>793</v>
      </c>
      <c r="AC1336" s="96" t="s">
        <v>794</v>
      </c>
      <c r="AD1336" s="43">
        <v>664600000</v>
      </c>
      <c r="AE1336" s="96">
        <v>0</v>
      </c>
      <c r="AF1336" s="216">
        <v>0</v>
      </c>
      <c r="AG1336" s="216">
        <v>0</v>
      </c>
      <c r="AH1336" s="216">
        <v>0</v>
      </c>
      <c r="AI1336" s="136">
        <f t="shared" si="534"/>
        <v>0</v>
      </c>
      <c r="AJ1336" s="43">
        <f t="shared" si="535"/>
        <v>664600000</v>
      </c>
      <c r="AK1336" s="44">
        <v>0</v>
      </c>
      <c r="AL1336" s="115">
        <v>0</v>
      </c>
      <c r="AM1336" s="18">
        <v>664510000</v>
      </c>
      <c r="AN1336" s="98">
        <v>0</v>
      </c>
      <c r="AO1336" s="145">
        <v>0</v>
      </c>
      <c r="AP1336" s="18">
        <v>664510000</v>
      </c>
      <c r="AQ1336" s="114">
        <v>11800000</v>
      </c>
      <c r="AR1336" s="43">
        <v>74945455</v>
      </c>
      <c r="AS1336" s="43">
        <v>394708488</v>
      </c>
      <c r="AT1336" s="111">
        <f t="shared" si="536"/>
        <v>406508488</v>
      </c>
      <c r="AU1336" s="110">
        <f>AJ1336-AM1336</f>
        <v>90000</v>
      </c>
      <c r="AV1336" s="133">
        <f>AM1336-AP1336</f>
        <v>0</v>
      </c>
      <c r="AW1336" s="110">
        <f>AP1336-AT1336</f>
        <v>258001512</v>
      </c>
      <c r="AX1336" s="123">
        <f>AP1336/AJ1336</f>
        <v>0.99986458019861568</v>
      </c>
    </row>
    <row r="1337" spans="27:50" x14ac:dyDescent="0.2">
      <c r="AA1337" s="173" t="s">
        <v>1180</v>
      </c>
      <c r="AB1337" s="95" t="s">
        <v>1181</v>
      </c>
      <c r="AC1337" s="96"/>
      <c r="AD1337" s="44">
        <v>0</v>
      </c>
      <c r="AE1337" s="43">
        <f>54400000+23058182</f>
        <v>77458182</v>
      </c>
      <c r="AF1337" s="216">
        <v>0</v>
      </c>
      <c r="AG1337" s="216">
        <v>0</v>
      </c>
      <c r="AH1337" s="216">
        <v>0</v>
      </c>
      <c r="AI1337" s="136">
        <f t="shared" si="534"/>
        <v>77458182</v>
      </c>
      <c r="AJ1337" s="43">
        <f t="shared" si="535"/>
        <v>77458182</v>
      </c>
      <c r="AK1337" s="44">
        <v>0</v>
      </c>
      <c r="AL1337" s="115">
        <v>0</v>
      </c>
      <c r="AM1337" s="34">
        <v>0</v>
      </c>
      <c r="AN1337" s="98">
        <v>0</v>
      </c>
      <c r="AO1337" s="34">
        <v>0</v>
      </c>
      <c r="AP1337" s="34">
        <v>0</v>
      </c>
      <c r="AQ1337" s="115">
        <v>0</v>
      </c>
      <c r="AR1337" s="44">
        <v>0</v>
      </c>
      <c r="AS1337" s="44">
        <v>0</v>
      </c>
      <c r="AT1337" s="135">
        <f t="shared" si="536"/>
        <v>0</v>
      </c>
      <c r="AU1337" s="110">
        <f>AJ1337-AM1337</f>
        <v>77458182</v>
      </c>
      <c r="AV1337" s="133">
        <f>AM1337-AP1337</f>
        <v>0</v>
      </c>
      <c r="AW1337" s="133">
        <f>AP1337-AT1337</f>
        <v>0</v>
      </c>
      <c r="AX1337" s="123">
        <f>AP1337/AJ1337</f>
        <v>0</v>
      </c>
    </row>
    <row r="1338" spans="27:50" ht="13.5" thickBot="1" x14ac:dyDescent="0.25">
      <c r="AA1338" s="221" t="s">
        <v>1185</v>
      </c>
      <c r="AB1338" s="95" t="s">
        <v>1015</v>
      </c>
      <c r="AC1338" s="96"/>
      <c r="AD1338" s="44">
        <v>0</v>
      </c>
      <c r="AE1338" s="43">
        <v>26941817.940000001</v>
      </c>
      <c r="AF1338" s="216">
        <v>0</v>
      </c>
      <c r="AG1338" s="216">
        <v>0</v>
      </c>
      <c r="AH1338" s="216">
        <v>0</v>
      </c>
      <c r="AI1338" s="136">
        <f t="shared" si="534"/>
        <v>26941817.940000001</v>
      </c>
      <c r="AJ1338" s="43">
        <f t="shared" si="535"/>
        <v>26941817.940000001</v>
      </c>
      <c r="AK1338" s="44">
        <v>0</v>
      </c>
      <c r="AL1338" s="115">
        <v>0</v>
      </c>
      <c r="AM1338" s="34">
        <v>0</v>
      </c>
      <c r="AN1338" s="98">
        <v>0</v>
      </c>
      <c r="AO1338" s="34">
        <v>0</v>
      </c>
      <c r="AP1338" s="34">
        <v>0</v>
      </c>
      <c r="AQ1338" s="115">
        <v>0</v>
      </c>
      <c r="AR1338" s="44">
        <v>0</v>
      </c>
      <c r="AS1338" s="44">
        <v>0</v>
      </c>
      <c r="AT1338" s="135">
        <f t="shared" si="536"/>
        <v>0</v>
      </c>
      <c r="AU1338" s="110">
        <f>AJ1338-AM1338</f>
        <v>26941817.940000001</v>
      </c>
      <c r="AV1338" s="133">
        <f>AM1338-AP1338</f>
        <v>0</v>
      </c>
      <c r="AW1338" s="133">
        <f>AP1338-AT1338</f>
        <v>0</v>
      </c>
      <c r="AX1338" s="123">
        <f>AP1338/AJ1338</f>
        <v>0</v>
      </c>
    </row>
    <row r="1339" spans="27:50" x14ac:dyDescent="0.2">
      <c r="AA1339" s="94"/>
      <c r="AB1339" s="95"/>
      <c r="AC1339" s="96"/>
      <c r="AD1339" s="43"/>
      <c r="AE1339" s="97"/>
      <c r="AF1339" s="97"/>
      <c r="AG1339" s="96"/>
      <c r="AH1339" s="43"/>
      <c r="AI1339" s="136"/>
      <c r="AJ1339" s="43"/>
      <c r="AK1339" s="97"/>
      <c r="AL1339" s="97"/>
      <c r="AM1339" s="97"/>
      <c r="AN1339" s="97"/>
      <c r="AO1339" s="97"/>
      <c r="AP1339" s="97"/>
      <c r="AQ1339" s="97"/>
      <c r="AR1339" s="97"/>
      <c r="AS1339" s="97"/>
      <c r="AT1339" s="135"/>
      <c r="AU1339" s="110"/>
      <c r="AV1339" s="133"/>
      <c r="AW1339" s="133"/>
      <c r="AX1339" s="123"/>
    </row>
    <row r="1340" spans="27:50" ht="25.5" x14ac:dyDescent="0.2">
      <c r="AA1340" s="93" t="s">
        <v>288</v>
      </c>
      <c r="AB1340" s="90" t="s">
        <v>795</v>
      </c>
      <c r="AC1340" s="91"/>
      <c r="AD1340" s="18"/>
      <c r="AE1340" s="92"/>
      <c r="AF1340" s="92"/>
      <c r="AG1340" s="92"/>
      <c r="AH1340" s="92"/>
      <c r="AI1340" s="92"/>
      <c r="AJ1340" s="18"/>
      <c r="AK1340" s="34"/>
      <c r="AL1340" s="18"/>
      <c r="AM1340" s="18"/>
      <c r="AN1340" s="92"/>
      <c r="AO1340" s="18"/>
      <c r="AP1340" s="18"/>
      <c r="AQ1340" s="92"/>
      <c r="AR1340" s="92"/>
      <c r="AS1340" s="92"/>
      <c r="AT1340" s="40"/>
      <c r="AU1340" s="18"/>
      <c r="AV1340" s="110"/>
      <c r="AW1340" s="18"/>
      <c r="AX1340" s="92"/>
    </row>
    <row r="1341" spans="27:50" x14ac:dyDescent="0.2">
      <c r="AA1341" s="94" t="s">
        <v>796</v>
      </c>
      <c r="AB1341" s="95" t="s">
        <v>233</v>
      </c>
      <c r="AC1341" s="96" t="s">
        <v>58</v>
      </c>
      <c r="AD1341" s="43">
        <v>242950000</v>
      </c>
      <c r="AE1341" s="96">
        <v>0</v>
      </c>
      <c r="AF1341" s="216">
        <v>0</v>
      </c>
      <c r="AG1341" s="216">
        <v>0</v>
      </c>
      <c r="AH1341" s="216">
        <v>0</v>
      </c>
      <c r="AI1341" s="136">
        <f>AE1341-AF1341+AG1341-AH1341</f>
        <v>0</v>
      </c>
      <c r="AJ1341" s="43">
        <f>AD1341+AI1341</f>
        <v>242950000</v>
      </c>
      <c r="AK1341" s="44">
        <v>0</v>
      </c>
      <c r="AL1341" s="43">
        <v>0</v>
      </c>
      <c r="AM1341" s="43">
        <v>242950000</v>
      </c>
      <c r="AN1341" s="97">
        <v>0</v>
      </c>
      <c r="AO1341" s="44">
        <v>0</v>
      </c>
      <c r="AP1341" s="43">
        <v>242950000</v>
      </c>
      <c r="AQ1341" s="97">
        <v>0</v>
      </c>
      <c r="AR1341" s="97">
        <v>0</v>
      </c>
      <c r="AS1341" s="97">
        <v>0</v>
      </c>
      <c r="AT1341" s="135">
        <f>AQ1341+AS1341</f>
        <v>0</v>
      </c>
      <c r="AU1341" s="133">
        <f>AJ1341-AM1341</f>
        <v>0</v>
      </c>
      <c r="AV1341" s="18">
        <f>AM1341-AP1341</f>
        <v>0</v>
      </c>
      <c r="AW1341" s="18">
        <f>AP1341-AT1341</f>
        <v>242950000</v>
      </c>
      <c r="AX1341" s="123">
        <f>AP1341/AJ1341</f>
        <v>1</v>
      </c>
    </row>
    <row r="1342" spans="27:50" x14ac:dyDescent="0.2">
      <c r="AA1342" s="94" t="s">
        <v>797</v>
      </c>
      <c r="AB1342" s="95" t="s">
        <v>793</v>
      </c>
      <c r="AC1342" s="96" t="s">
        <v>794</v>
      </c>
      <c r="AD1342" s="43">
        <v>1746250000</v>
      </c>
      <c r="AE1342" s="43">
        <v>22486525</v>
      </c>
      <c r="AF1342" s="216">
        <v>0</v>
      </c>
      <c r="AG1342" s="216">
        <v>0</v>
      </c>
      <c r="AH1342" s="216">
        <v>0</v>
      </c>
      <c r="AI1342" s="136">
        <f>AE1342-AF1342+AG1342-AH1342</f>
        <v>22486525</v>
      </c>
      <c r="AJ1342" s="43">
        <f>AD1342+AI1342</f>
        <v>1768736525</v>
      </c>
      <c r="AK1342" s="44">
        <v>0</v>
      </c>
      <c r="AL1342" s="43">
        <f>AM1342-AGOSTO!AM1299</f>
        <v>139200000</v>
      </c>
      <c r="AM1342" s="43">
        <v>1626441999</v>
      </c>
      <c r="AN1342" s="97">
        <v>0</v>
      </c>
      <c r="AO1342" s="114">
        <v>155700000</v>
      </c>
      <c r="AP1342" s="114">
        <v>1518941999</v>
      </c>
      <c r="AQ1342" s="43">
        <v>0</v>
      </c>
      <c r="AR1342" s="43">
        <v>173077462</v>
      </c>
      <c r="AS1342" s="43">
        <v>504385651</v>
      </c>
      <c r="AT1342" s="39">
        <f>AQ1342+AS1342</f>
        <v>504385651</v>
      </c>
      <c r="AU1342" s="18">
        <f>AJ1342-AM1342</f>
        <v>142294526</v>
      </c>
      <c r="AV1342" s="18">
        <f>AM1342-AP1342</f>
        <v>107500000</v>
      </c>
      <c r="AW1342" s="18">
        <f>AP1342-AT1342</f>
        <v>1014556348</v>
      </c>
      <c r="AX1342" s="123">
        <f>AP1342/AJ1342</f>
        <v>0.85877233693695565</v>
      </c>
    </row>
    <row r="1343" spans="27:50" x14ac:dyDescent="0.2">
      <c r="AA1343" s="173" t="s">
        <v>1171</v>
      </c>
      <c r="AB1343" s="95" t="s">
        <v>1015</v>
      </c>
      <c r="AC1343" s="96"/>
      <c r="AD1343" s="44">
        <v>0</v>
      </c>
      <c r="AE1343" s="43">
        <f>168359999+463053476</f>
        <v>631413475</v>
      </c>
      <c r="AF1343" s="216">
        <v>0</v>
      </c>
      <c r="AG1343" s="216">
        <v>0</v>
      </c>
      <c r="AH1343" s="216">
        <v>0</v>
      </c>
      <c r="AI1343" s="136">
        <f>AE1343-AF1343+AG1343-AH1343</f>
        <v>631413475</v>
      </c>
      <c r="AJ1343" s="43">
        <f>AD1343+AI1343</f>
        <v>631413475</v>
      </c>
      <c r="AK1343" s="115">
        <v>0</v>
      </c>
      <c r="AL1343" s="43">
        <v>0</v>
      </c>
      <c r="AM1343" s="18">
        <v>600000000</v>
      </c>
      <c r="AN1343" s="92">
        <v>0</v>
      </c>
      <c r="AO1343" s="18">
        <v>0</v>
      </c>
      <c r="AP1343" s="18">
        <v>496032300</v>
      </c>
      <c r="AQ1343" s="115">
        <v>0</v>
      </c>
      <c r="AR1343" s="43">
        <v>6218600</v>
      </c>
      <c r="AS1343" s="115">
        <v>8224600</v>
      </c>
      <c r="AT1343" s="135">
        <f>AQ1343+AS1343</f>
        <v>8224600</v>
      </c>
      <c r="AU1343" s="110">
        <f>AJ1343-AM1343</f>
        <v>31413475</v>
      </c>
      <c r="AV1343" s="18">
        <f>AM1343-AP1343</f>
        <v>103967700</v>
      </c>
      <c r="AW1343" s="18">
        <f>AP1343-AT1343</f>
        <v>487807700</v>
      </c>
      <c r="AX1343" s="123">
        <f>AP1343/AJ1343</f>
        <v>0.78559029802143521</v>
      </c>
    </row>
    <row r="1344" spans="27:50" x14ac:dyDescent="0.2">
      <c r="AA1344" s="173" t="s">
        <v>1189</v>
      </c>
      <c r="AB1344" s="95" t="s">
        <v>1190</v>
      </c>
      <c r="AC1344" s="96"/>
      <c r="AD1344" s="44">
        <v>0</v>
      </c>
      <c r="AE1344" s="43">
        <v>1323800000</v>
      </c>
      <c r="AF1344" s="216">
        <v>0</v>
      </c>
      <c r="AG1344" s="216">
        <v>0</v>
      </c>
      <c r="AH1344" s="216">
        <v>0</v>
      </c>
      <c r="AI1344" s="136">
        <f>AE1344-AF1344+AG1344-AH1344</f>
        <v>1323800000</v>
      </c>
      <c r="AJ1344" s="43">
        <f>AD1344+AI1344</f>
        <v>1323800000</v>
      </c>
      <c r="AK1344" s="115">
        <v>0</v>
      </c>
      <c r="AL1344" s="43">
        <f>AM1344-AGOSTO!AM1301</f>
        <v>-34450000</v>
      </c>
      <c r="AM1344" s="18">
        <v>905993198</v>
      </c>
      <c r="AN1344" s="92">
        <v>0</v>
      </c>
      <c r="AO1344" s="18">
        <v>343163198</v>
      </c>
      <c r="AP1344" s="18">
        <v>883993198</v>
      </c>
      <c r="AQ1344" s="114">
        <v>12800000</v>
      </c>
      <c r="AR1344" s="43">
        <v>74540001</v>
      </c>
      <c r="AS1344" s="114">
        <v>162996667</v>
      </c>
      <c r="AT1344" s="111">
        <f>AQ1344+AS1344</f>
        <v>175796667</v>
      </c>
      <c r="AU1344" s="110">
        <f>AJ1344-AM1344</f>
        <v>417806802</v>
      </c>
      <c r="AV1344" s="18">
        <f>AM1344-AP1344</f>
        <v>22000000</v>
      </c>
      <c r="AW1344" s="18">
        <f>AP1344-AT1344</f>
        <v>708196531</v>
      </c>
      <c r="AX1344" s="123">
        <f>AP1344/AJ1344</f>
        <v>0.66776945006798605</v>
      </c>
    </row>
    <row r="1345" spans="27:50" x14ac:dyDescent="0.2">
      <c r="AA1345" s="94"/>
      <c r="AB1345" s="95"/>
      <c r="AC1345" s="96"/>
      <c r="AD1345" s="43"/>
      <c r="AE1345" s="97"/>
      <c r="AF1345" s="97"/>
      <c r="AG1345" s="96"/>
      <c r="AH1345" s="43"/>
      <c r="AI1345" s="136"/>
      <c r="AJ1345" s="43"/>
      <c r="AK1345" s="97"/>
      <c r="AL1345" s="97"/>
      <c r="AM1345" s="97"/>
      <c r="AN1345" s="97"/>
      <c r="AO1345" s="97"/>
      <c r="AP1345" s="97"/>
      <c r="AQ1345" s="97"/>
      <c r="AR1345" s="97"/>
      <c r="AS1345" s="97"/>
      <c r="AT1345" s="135"/>
      <c r="AU1345" s="110"/>
      <c r="AV1345" s="133"/>
      <c r="AW1345" s="133"/>
      <c r="AX1345" s="123"/>
    </row>
    <row r="1346" spans="27:50" ht="25.5" x14ac:dyDescent="0.2">
      <c r="AA1346" s="272" t="s">
        <v>288</v>
      </c>
      <c r="AB1346" s="90" t="s">
        <v>803</v>
      </c>
      <c r="AC1346" s="91"/>
      <c r="AD1346" s="18"/>
      <c r="AE1346" s="92"/>
      <c r="AF1346" s="92"/>
      <c r="AG1346" s="92"/>
      <c r="AH1346" s="92"/>
      <c r="AI1346" s="92"/>
      <c r="AJ1346" s="18"/>
      <c r="AK1346" s="34"/>
      <c r="AL1346" s="18"/>
      <c r="AM1346" s="18"/>
      <c r="AN1346" s="92"/>
      <c r="AO1346" s="18"/>
      <c r="AP1346" s="18"/>
      <c r="AQ1346" s="92"/>
      <c r="AR1346" s="92"/>
      <c r="AS1346" s="98"/>
      <c r="AT1346" s="31"/>
      <c r="AU1346" s="18"/>
      <c r="AV1346" s="34"/>
      <c r="AW1346" s="18"/>
      <c r="AX1346" s="92"/>
    </row>
    <row r="1347" spans="27:50" x14ac:dyDescent="0.2">
      <c r="AA1347" s="273" t="s">
        <v>804</v>
      </c>
      <c r="AB1347" s="95" t="s">
        <v>793</v>
      </c>
      <c r="AC1347" s="96" t="s">
        <v>794</v>
      </c>
      <c r="AD1347" s="43">
        <v>485467000</v>
      </c>
      <c r="AE1347" s="96">
        <v>0</v>
      </c>
      <c r="AF1347" s="216">
        <v>0</v>
      </c>
      <c r="AG1347" s="216">
        <v>0</v>
      </c>
      <c r="AH1347" s="216">
        <v>0</v>
      </c>
      <c r="AI1347" s="136">
        <f t="shared" ref="AI1347:AI1348" si="537">AE1347-AF1347+AG1347-AH1347</f>
        <v>0</v>
      </c>
      <c r="AJ1347" s="43">
        <f t="shared" ref="AJ1347:AJ1348" si="538">AD1347+AI1347</f>
        <v>485467000</v>
      </c>
      <c r="AK1347" s="97">
        <v>0</v>
      </c>
      <c r="AL1347" s="44">
        <v>0</v>
      </c>
      <c r="AM1347" s="43">
        <v>485467000</v>
      </c>
      <c r="AN1347" s="97">
        <v>0</v>
      </c>
      <c r="AO1347" s="44">
        <v>0</v>
      </c>
      <c r="AP1347" s="43">
        <v>485467000</v>
      </c>
      <c r="AQ1347" s="44">
        <v>0</v>
      </c>
      <c r="AR1347" s="43">
        <v>68311186</v>
      </c>
      <c r="AS1347" s="43">
        <v>143400849</v>
      </c>
      <c r="AT1347" s="39">
        <f t="shared" ref="AT1347:AT1348" si="539">AQ1347+AS1347</f>
        <v>143400849</v>
      </c>
      <c r="AU1347" s="133">
        <f>AJ1347-AM1347</f>
        <v>0</v>
      </c>
      <c r="AV1347" s="18">
        <f>AM1347-AP1347</f>
        <v>0</v>
      </c>
      <c r="AW1347" s="18">
        <f>AP1347-AT1347</f>
        <v>342066151</v>
      </c>
      <c r="AX1347" s="123">
        <f>AP1347/AJ1347</f>
        <v>1</v>
      </c>
    </row>
    <row r="1348" spans="27:50" x14ac:dyDescent="0.2">
      <c r="AA1348" s="274" t="s">
        <v>1172</v>
      </c>
      <c r="AB1348" s="95" t="s">
        <v>1015</v>
      </c>
      <c r="AC1348" s="96"/>
      <c r="AD1348" s="43">
        <v>0</v>
      </c>
      <c r="AE1348" s="43">
        <v>7600000</v>
      </c>
      <c r="AF1348" s="216">
        <v>0</v>
      </c>
      <c r="AG1348" s="216">
        <v>0</v>
      </c>
      <c r="AH1348" s="216">
        <v>0</v>
      </c>
      <c r="AI1348" s="136">
        <f t="shared" si="537"/>
        <v>7600000</v>
      </c>
      <c r="AJ1348" s="43">
        <f t="shared" si="538"/>
        <v>7600000</v>
      </c>
      <c r="AK1348" s="97">
        <v>0</v>
      </c>
      <c r="AL1348" s="44">
        <v>0</v>
      </c>
      <c r="AM1348" s="44">
        <v>0</v>
      </c>
      <c r="AN1348" s="97">
        <v>0</v>
      </c>
      <c r="AO1348" s="44">
        <v>0</v>
      </c>
      <c r="AP1348" s="44">
        <v>0</v>
      </c>
      <c r="AQ1348" s="44">
        <v>0</v>
      </c>
      <c r="AR1348" s="43">
        <v>0</v>
      </c>
      <c r="AS1348" s="44">
        <v>0</v>
      </c>
      <c r="AT1348" s="40">
        <f t="shared" si="539"/>
        <v>0</v>
      </c>
      <c r="AU1348" s="110">
        <f>AJ1348-AM1348</f>
        <v>7600000</v>
      </c>
      <c r="AV1348" s="34">
        <f>AM1348-AP1348</f>
        <v>0</v>
      </c>
      <c r="AW1348" s="34">
        <f>AP1348-AT1348</f>
        <v>0</v>
      </c>
      <c r="AX1348" s="123">
        <f>AP1348/AJ1348</f>
        <v>0</v>
      </c>
    </row>
    <row r="1349" spans="27:50" ht="25.5" x14ac:dyDescent="0.2">
      <c r="AA1349" s="272" t="s">
        <v>288</v>
      </c>
      <c r="AB1349" s="90" t="s">
        <v>805</v>
      </c>
      <c r="AC1349" s="91"/>
      <c r="AD1349" s="18"/>
      <c r="AE1349" s="92"/>
      <c r="AF1349" s="92"/>
      <c r="AG1349" s="92"/>
      <c r="AH1349" s="92"/>
      <c r="AI1349" s="92"/>
      <c r="AJ1349" s="18"/>
      <c r="AK1349" s="98"/>
      <c r="AL1349" s="133"/>
      <c r="AM1349" s="110"/>
      <c r="AN1349" s="92"/>
      <c r="AO1349" s="98"/>
      <c r="AP1349" s="92"/>
      <c r="AQ1349" s="98"/>
      <c r="AR1349" s="92"/>
      <c r="AS1349" s="98"/>
      <c r="AT1349" s="31"/>
      <c r="AU1349" s="18"/>
      <c r="AV1349" s="34"/>
      <c r="AW1349" s="18"/>
      <c r="AX1349" s="92"/>
    </row>
    <row r="1350" spans="27:50" x14ac:dyDescent="0.2">
      <c r="AA1350" s="273" t="s">
        <v>806</v>
      </c>
      <c r="AB1350" s="95" t="s">
        <v>793</v>
      </c>
      <c r="AC1350" s="96" t="s">
        <v>794</v>
      </c>
      <c r="AD1350" s="43">
        <v>402000000</v>
      </c>
      <c r="AE1350" s="96">
        <v>0</v>
      </c>
      <c r="AF1350" s="216">
        <v>0</v>
      </c>
      <c r="AG1350" s="216">
        <v>0</v>
      </c>
      <c r="AH1350" s="216">
        <v>0</v>
      </c>
      <c r="AI1350" s="136">
        <f t="shared" ref="AI1350:AI1351" si="540">AE1350-AF1350+AG1350-AH1350</f>
        <v>0</v>
      </c>
      <c r="AJ1350" s="43">
        <f t="shared" ref="AJ1350:AJ1351" si="541">AD1350+AI1350</f>
        <v>402000000</v>
      </c>
      <c r="AK1350" s="97">
        <v>0</v>
      </c>
      <c r="AL1350" s="115">
        <v>0</v>
      </c>
      <c r="AM1350" s="114">
        <v>366000000</v>
      </c>
      <c r="AN1350" s="97">
        <v>0</v>
      </c>
      <c r="AO1350" s="115">
        <v>0</v>
      </c>
      <c r="AP1350" s="43">
        <v>366000000</v>
      </c>
      <c r="AQ1350" s="44">
        <v>0</v>
      </c>
      <c r="AR1350" s="43">
        <v>69578282</v>
      </c>
      <c r="AS1350" s="43">
        <v>149941160</v>
      </c>
      <c r="AT1350" s="39">
        <f t="shared" ref="AT1350:AT1351" si="542">AQ1350+AS1350</f>
        <v>149941160</v>
      </c>
      <c r="AU1350" s="18">
        <f>AJ1350-AM1350</f>
        <v>36000000</v>
      </c>
      <c r="AV1350" s="34">
        <f>AM1350-AP1350</f>
        <v>0</v>
      </c>
      <c r="AW1350" s="18">
        <f>AP1350-AT1350</f>
        <v>216058840</v>
      </c>
      <c r="AX1350" s="123">
        <f>AP1350/AJ1350</f>
        <v>0.91044776119402981</v>
      </c>
    </row>
    <row r="1351" spans="27:50" x14ac:dyDescent="0.2">
      <c r="AA1351" s="173" t="s">
        <v>1173</v>
      </c>
      <c r="AB1351" s="95" t="s">
        <v>1015</v>
      </c>
      <c r="AC1351" s="96"/>
      <c r="AD1351" s="43">
        <v>0</v>
      </c>
      <c r="AE1351" s="43">
        <v>12000000</v>
      </c>
      <c r="AF1351" s="216">
        <v>0</v>
      </c>
      <c r="AG1351" s="216">
        <v>0</v>
      </c>
      <c r="AH1351" s="216">
        <v>0</v>
      </c>
      <c r="AI1351" s="136">
        <f t="shared" si="540"/>
        <v>12000000</v>
      </c>
      <c r="AJ1351" s="43">
        <f t="shared" si="541"/>
        <v>12000000</v>
      </c>
      <c r="AK1351" s="97">
        <v>0</v>
      </c>
      <c r="AL1351" s="115">
        <v>0</v>
      </c>
      <c r="AM1351" s="115">
        <v>0</v>
      </c>
      <c r="AN1351" s="97">
        <v>0</v>
      </c>
      <c r="AO1351" s="115">
        <v>0</v>
      </c>
      <c r="AP1351" s="44">
        <v>0</v>
      </c>
      <c r="AQ1351" s="44">
        <v>0</v>
      </c>
      <c r="AR1351" s="44">
        <v>0</v>
      </c>
      <c r="AS1351" s="44">
        <v>0</v>
      </c>
      <c r="AT1351" s="40">
        <f t="shared" si="542"/>
        <v>0</v>
      </c>
      <c r="AU1351" s="18">
        <f>AJ1351-AM1351</f>
        <v>12000000</v>
      </c>
      <c r="AV1351" s="34">
        <f>AM1351-AP1351</f>
        <v>0</v>
      </c>
      <c r="AW1351" s="34">
        <f>AP1351-AT1351</f>
        <v>0</v>
      </c>
      <c r="AX1351" s="123">
        <f>AP1351/AJ1351</f>
        <v>0</v>
      </c>
    </row>
    <row r="1352" spans="27:50" x14ac:dyDescent="0.2">
      <c r="AA1352" s="94"/>
      <c r="AB1352" s="95"/>
      <c r="AC1352" s="96"/>
      <c r="AD1352" s="43"/>
      <c r="AE1352" s="97"/>
      <c r="AF1352" s="97"/>
      <c r="AG1352" s="96"/>
      <c r="AH1352" s="43"/>
      <c r="AI1352" s="136"/>
      <c r="AJ1352" s="43"/>
      <c r="AK1352" s="97"/>
      <c r="AL1352" s="97"/>
      <c r="AM1352" s="97"/>
      <c r="AN1352" s="97"/>
      <c r="AO1352" s="97"/>
      <c r="AP1352" s="97"/>
      <c r="AQ1352" s="97"/>
      <c r="AR1352" s="97"/>
      <c r="AS1352" s="97"/>
      <c r="AT1352" s="135"/>
      <c r="AU1352" s="110"/>
      <c r="AV1352" s="133"/>
      <c r="AW1352" s="133"/>
      <c r="AX1352" s="123"/>
    </row>
    <row r="1353" spans="27:50" ht="38.25" x14ac:dyDescent="0.2">
      <c r="AA1353" s="93" t="s">
        <v>288</v>
      </c>
      <c r="AB1353" s="90" t="s">
        <v>807</v>
      </c>
      <c r="AC1353" s="91"/>
      <c r="AD1353" s="18"/>
      <c r="AE1353" s="92"/>
      <c r="AF1353" s="92"/>
      <c r="AG1353" s="92"/>
      <c r="AH1353" s="92"/>
      <c r="AI1353" s="92"/>
      <c r="AJ1353" s="18"/>
      <c r="AK1353" s="98"/>
      <c r="AL1353" s="98"/>
      <c r="AM1353" s="98"/>
      <c r="AN1353" s="98"/>
      <c r="AO1353" s="98"/>
      <c r="AP1353" s="98"/>
      <c r="AQ1353" s="98"/>
      <c r="AR1353" s="98"/>
      <c r="AS1353" s="98"/>
      <c r="AT1353" s="31"/>
      <c r="AU1353" s="18"/>
      <c r="AV1353" s="18"/>
      <c r="AW1353" s="18"/>
      <c r="AX1353" s="92"/>
    </row>
    <row r="1354" spans="27:50" x14ac:dyDescent="0.2">
      <c r="AA1354" s="94" t="s">
        <v>808</v>
      </c>
      <c r="AB1354" s="95" t="s">
        <v>233</v>
      </c>
      <c r="AC1354" s="96" t="s">
        <v>58</v>
      </c>
      <c r="AD1354" s="43">
        <v>313050000.81</v>
      </c>
      <c r="AE1354" s="96">
        <v>0</v>
      </c>
      <c r="AF1354" s="216">
        <v>0</v>
      </c>
      <c r="AG1354" s="168">
        <v>24400000</v>
      </c>
      <c r="AH1354" s="43">
        <v>136150000</v>
      </c>
      <c r="AI1354" s="136">
        <f t="shared" ref="AI1354:AI1359" si="543">AE1354-AF1354+AG1354-AH1354</f>
        <v>-111750000</v>
      </c>
      <c r="AJ1354" s="43">
        <f t="shared" ref="AJ1354:AJ1359" si="544">AD1354+AI1354</f>
        <v>201300000.81</v>
      </c>
      <c r="AK1354" s="97">
        <v>0</v>
      </c>
      <c r="AL1354" s="115">
        <v>0</v>
      </c>
      <c r="AM1354" s="114">
        <v>175300000</v>
      </c>
      <c r="AN1354" s="97">
        <v>0</v>
      </c>
      <c r="AO1354" s="114">
        <v>0</v>
      </c>
      <c r="AP1354" s="43">
        <v>175300000</v>
      </c>
      <c r="AQ1354" s="44">
        <v>0</v>
      </c>
      <c r="AR1354" s="43">
        <v>18200000</v>
      </c>
      <c r="AS1354" s="43">
        <v>114003333</v>
      </c>
      <c r="AT1354" s="39">
        <f t="shared" ref="AT1354:AT1359" si="545">AQ1354+AS1354</f>
        <v>114003333</v>
      </c>
      <c r="AU1354" s="110">
        <f t="shared" ref="AU1354:AU1359" si="546">AJ1354-AM1354</f>
        <v>26000000.810000002</v>
      </c>
      <c r="AV1354" s="34">
        <f t="shared" ref="AV1354:AV1359" si="547">AM1354-AP1354</f>
        <v>0</v>
      </c>
      <c r="AW1354" s="18">
        <f t="shared" ref="AW1354:AW1359" si="548">AP1354-AT1354</f>
        <v>61296667</v>
      </c>
      <c r="AX1354" s="123">
        <f t="shared" ref="AX1354:AX1359" si="549">AP1354/AJ1354</f>
        <v>0.87083953946656711</v>
      </c>
    </row>
    <row r="1355" spans="27:50" x14ac:dyDescent="0.2">
      <c r="AA1355" s="94" t="s">
        <v>809</v>
      </c>
      <c r="AB1355" s="95" t="s">
        <v>793</v>
      </c>
      <c r="AC1355" s="96" t="s">
        <v>794</v>
      </c>
      <c r="AD1355" s="43">
        <v>256800000</v>
      </c>
      <c r="AE1355" s="96">
        <v>0</v>
      </c>
      <c r="AF1355" s="216">
        <v>0</v>
      </c>
      <c r="AG1355" s="216">
        <v>0</v>
      </c>
      <c r="AH1355" s="216">
        <v>0</v>
      </c>
      <c r="AI1355" s="136">
        <f t="shared" si="543"/>
        <v>0</v>
      </c>
      <c r="AJ1355" s="43">
        <f t="shared" si="544"/>
        <v>256800000</v>
      </c>
      <c r="AK1355" s="97">
        <v>0</v>
      </c>
      <c r="AL1355" s="115">
        <v>0</v>
      </c>
      <c r="AM1355" s="114">
        <v>256800000</v>
      </c>
      <c r="AN1355" s="97">
        <v>0</v>
      </c>
      <c r="AO1355" s="115">
        <v>0</v>
      </c>
      <c r="AP1355" s="43">
        <v>256800000</v>
      </c>
      <c r="AQ1355" s="44">
        <v>0</v>
      </c>
      <c r="AR1355" s="43">
        <v>48866666</v>
      </c>
      <c r="AS1355" s="43">
        <v>96823331.329999998</v>
      </c>
      <c r="AT1355" s="39">
        <f t="shared" si="545"/>
        <v>96823331.329999998</v>
      </c>
      <c r="AU1355" s="133">
        <f t="shared" si="546"/>
        <v>0</v>
      </c>
      <c r="AV1355" s="34">
        <f t="shared" si="547"/>
        <v>0</v>
      </c>
      <c r="AW1355" s="18">
        <f t="shared" si="548"/>
        <v>159976668.67000002</v>
      </c>
      <c r="AX1355" s="123">
        <f t="shared" si="549"/>
        <v>1</v>
      </c>
    </row>
    <row r="1356" spans="27:50" x14ac:dyDescent="0.2">
      <c r="AA1356" s="94" t="s">
        <v>810</v>
      </c>
      <c r="AB1356" s="95" t="s">
        <v>811</v>
      </c>
      <c r="AC1356" s="96" t="s">
        <v>368</v>
      </c>
      <c r="AD1356" s="43">
        <v>90000000</v>
      </c>
      <c r="AE1356" s="96">
        <v>0</v>
      </c>
      <c r="AF1356" s="216">
        <v>0</v>
      </c>
      <c r="AG1356" s="216">
        <v>0</v>
      </c>
      <c r="AH1356" s="216">
        <v>0</v>
      </c>
      <c r="AI1356" s="136">
        <f t="shared" si="543"/>
        <v>0</v>
      </c>
      <c r="AJ1356" s="43">
        <f t="shared" si="544"/>
        <v>90000000</v>
      </c>
      <c r="AK1356" s="97">
        <v>0</v>
      </c>
      <c r="AL1356" s="115">
        <v>0</v>
      </c>
      <c r="AM1356" s="114">
        <v>86600000</v>
      </c>
      <c r="AN1356" s="97">
        <v>0</v>
      </c>
      <c r="AO1356" s="115">
        <v>0</v>
      </c>
      <c r="AP1356" s="43">
        <v>86600000</v>
      </c>
      <c r="AQ1356" s="44">
        <v>0</v>
      </c>
      <c r="AR1356" s="43">
        <v>9700000</v>
      </c>
      <c r="AS1356" s="43">
        <v>53883333</v>
      </c>
      <c r="AT1356" s="39">
        <f t="shared" si="545"/>
        <v>53883333</v>
      </c>
      <c r="AU1356" s="18">
        <f t="shared" si="546"/>
        <v>3400000</v>
      </c>
      <c r="AV1356" s="34">
        <f t="shared" si="547"/>
        <v>0</v>
      </c>
      <c r="AW1356" s="18">
        <f t="shared" si="548"/>
        <v>32716667</v>
      </c>
      <c r="AX1356" s="123">
        <f t="shared" si="549"/>
        <v>0.9622222222222222</v>
      </c>
    </row>
    <row r="1357" spans="27:50" x14ac:dyDescent="0.2">
      <c r="AA1357" s="173" t="s">
        <v>1174</v>
      </c>
      <c r="AB1357" s="95" t="s">
        <v>1015</v>
      </c>
      <c r="AC1357" s="96"/>
      <c r="AD1357" s="44">
        <v>0</v>
      </c>
      <c r="AE1357" s="43">
        <v>165050000</v>
      </c>
      <c r="AF1357" s="216">
        <v>0</v>
      </c>
      <c r="AG1357" s="216">
        <v>0</v>
      </c>
      <c r="AH1357" s="216">
        <v>0</v>
      </c>
      <c r="AI1357" s="136">
        <f t="shared" si="543"/>
        <v>165050000</v>
      </c>
      <c r="AJ1357" s="43">
        <f t="shared" si="544"/>
        <v>165050000</v>
      </c>
      <c r="AK1357" s="97">
        <v>0</v>
      </c>
      <c r="AL1357" s="115">
        <v>0</v>
      </c>
      <c r="AM1357" s="114">
        <v>133194900</v>
      </c>
      <c r="AN1357" s="97">
        <v>0</v>
      </c>
      <c r="AO1357" s="115">
        <v>0</v>
      </c>
      <c r="AP1357" s="44">
        <v>133194900</v>
      </c>
      <c r="AQ1357" s="44">
        <v>0</v>
      </c>
      <c r="AR1357" s="44">
        <v>0</v>
      </c>
      <c r="AS1357" s="44">
        <v>0</v>
      </c>
      <c r="AT1357" s="40">
        <f t="shared" si="545"/>
        <v>0</v>
      </c>
      <c r="AU1357" s="18">
        <f t="shared" si="546"/>
        <v>31855100</v>
      </c>
      <c r="AV1357" s="18">
        <f t="shared" si="547"/>
        <v>0</v>
      </c>
      <c r="AW1357" s="34">
        <f t="shared" si="548"/>
        <v>133194900</v>
      </c>
      <c r="AX1357" s="123">
        <f t="shared" si="549"/>
        <v>0.80699727355346862</v>
      </c>
    </row>
    <row r="1358" spans="27:50" x14ac:dyDescent="0.2">
      <c r="AA1358" s="173" t="s">
        <v>1166</v>
      </c>
      <c r="AB1358" s="95" t="s">
        <v>1167</v>
      </c>
      <c r="AC1358" s="96"/>
      <c r="AD1358" s="44">
        <v>0</v>
      </c>
      <c r="AE1358" s="43">
        <v>77813000</v>
      </c>
      <c r="AF1358" s="216">
        <v>0</v>
      </c>
      <c r="AG1358" s="216">
        <v>0</v>
      </c>
      <c r="AH1358" s="216">
        <v>0</v>
      </c>
      <c r="AI1358" s="136">
        <f>AE1358-AF1358+AG1358-AH1358</f>
        <v>77813000</v>
      </c>
      <c r="AJ1358" s="43">
        <f>AD1358+AI1358</f>
        <v>77813000</v>
      </c>
      <c r="AK1358" s="97">
        <v>0</v>
      </c>
      <c r="AL1358" s="115">
        <v>0</v>
      </c>
      <c r="AM1358" s="115">
        <v>0</v>
      </c>
      <c r="AN1358" s="97">
        <v>0</v>
      </c>
      <c r="AO1358" s="115">
        <v>0</v>
      </c>
      <c r="AP1358" s="43">
        <v>0</v>
      </c>
      <c r="AQ1358" s="44">
        <v>0</v>
      </c>
      <c r="AR1358" s="44">
        <v>0</v>
      </c>
      <c r="AS1358" s="44">
        <v>0</v>
      </c>
      <c r="AT1358" s="40">
        <f>AQ1358+AS1358</f>
        <v>0</v>
      </c>
      <c r="AU1358" s="18">
        <f>AJ1358-AM1358</f>
        <v>77813000</v>
      </c>
      <c r="AV1358" s="34">
        <f>AM1358-AP1358</f>
        <v>0</v>
      </c>
      <c r="AW1358" s="34">
        <f>AP1358-AT1358</f>
        <v>0</v>
      </c>
      <c r="AX1358" s="123">
        <f>AP1358/AJ1358</f>
        <v>0</v>
      </c>
    </row>
    <row r="1359" spans="27:50" x14ac:dyDescent="0.2">
      <c r="AA1359" s="173" t="s">
        <v>1183</v>
      </c>
      <c r="AB1359" s="95" t="s">
        <v>1184</v>
      </c>
      <c r="AC1359" s="96"/>
      <c r="AD1359" s="44">
        <v>0</v>
      </c>
      <c r="AE1359" s="43">
        <v>43150983.530000001</v>
      </c>
      <c r="AF1359" s="216">
        <v>0</v>
      </c>
      <c r="AG1359" s="216">
        <v>0</v>
      </c>
      <c r="AH1359" s="216">
        <v>0</v>
      </c>
      <c r="AI1359" s="136">
        <f t="shared" si="543"/>
        <v>43150983.530000001</v>
      </c>
      <c r="AJ1359" s="43">
        <f t="shared" si="544"/>
        <v>43150983.530000001</v>
      </c>
      <c r="AK1359" s="97">
        <v>0</v>
      </c>
      <c r="AL1359" s="115">
        <v>0</v>
      </c>
      <c r="AM1359" s="115">
        <v>0</v>
      </c>
      <c r="AN1359" s="97">
        <v>0</v>
      </c>
      <c r="AO1359" s="115">
        <v>0</v>
      </c>
      <c r="AP1359" s="44">
        <v>0</v>
      </c>
      <c r="AQ1359" s="44">
        <v>0</v>
      </c>
      <c r="AR1359" s="44">
        <v>0</v>
      </c>
      <c r="AS1359" s="44">
        <v>0</v>
      </c>
      <c r="AT1359" s="40">
        <f t="shared" si="545"/>
        <v>0</v>
      </c>
      <c r="AU1359" s="18">
        <f t="shared" si="546"/>
        <v>43150983.530000001</v>
      </c>
      <c r="AV1359" s="34">
        <f t="shared" si="547"/>
        <v>0</v>
      </c>
      <c r="AW1359" s="34">
        <f t="shared" si="548"/>
        <v>0</v>
      </c>
      <c r="AX1359" s="123">
        <f t="shared" si="549"/>
        <v>0</v>
      </c>
    </row>
    <row r="1360" spans="27:50" x14ac:dyDescent="0.2">
      <c r="AA1360" s="89"/>
      <c r="AB1360" s="91"/>
      <c r="AC1360" s="91"/>
      <c r="AD1360" s="18"/>
      <c r="AE1360" s="92"/>
      <c r="AF1360" s="92"/>
      <c r="AG1360" s="92"/>
      <c r="AH1360" s="92"/>
      <c r="AI1360" s="92"/>
      <c r="AJ1360" s="18"/>
      <c r="AK1360" s="98"/>
      <c r="AL1360" s="98"/>
      <c r="AM1360" s="98"/>
      <c r="AN1360" s="98"/>
      <c r="AO1360" s="98"/>
      <c r="AP1360" s="98"/>
      <c r="AQ1360" s="98"/>
      <c r="AR1360" s="98"/>
      <c r="AS1360" s="92"/>
      <c r="AT1360" s="30"/>
      <c r="AU1360" s="18"/>
      <c r="AV1360" s="18"/>
      <c r="AW1360" s="18"/>
      <c r="AX1360" s="92"/>
    </row>
    <row r="1361" spans="27:50" ht="25.5" x14ac:dyDescent="0.2">
      <c r="AA1361" s="93" t="s">
        <v>288</v>
      </c>
      <c r="AB1361" s="90" t="s">
        <v>812</v>
      </c>
      <c r="AC1361" s="91"/>
      <c r="AD1361" s="18"/>
      <c r="AE1361" s="92"/>
      <c r="AF1361" s="92"/>
      <c r="AG1361" s="92"/>
      <c r="AH1361" s="92"/>
      <c r="AI1361" s="92"/>
      <c r="AJ1361" s="18"/>
      <c r="AK1361" s="98"/>
      <c r="AL1361" s="98"/>
      <c r="AM1361" s="98"/>
      <c r="AN1361" s="98"/>
      <c r="AO1361" s="98"/>
      <c r="AP1361" s="98"/>
      <c r="AQ1361" s="98"/>
      <c r="AR1361" s="98"/>
      <c r="AS1361" s="98"/>
      <c r="AT1361" s="31"/>
      <c r="AU1361" s="18"/>
      <c r="AV1361" s="34"/>
      <c r="AW1361" s="18"/>
      <c r="AX1361" s="92"/>
    </row>
    <row r="1362" spans="27:50" x14ac:dyDescent="0.2">
      <c r="AA1362" s="94" t="s">
        <v>813</v>
      </c>
      <c r="AB1362" s="95" t="s">
        <v>793</v>
      </c>
      <c r="AC1362" s="96" t="s">
        <v>794</v>
      </c>
      <c r="AD1362" s="43">
        <v>57600000</v>
      </c>
      <c r="AE1362" s="96">
        <v>0</v>
      </c>
      <c r="AF1362" s="216">
        <v>0</v>
      </c>
      <c r="AG1362" s="216">
        <v>0</v>
      </c>
      <c r="AH1362" s="216">
        <v>0</v>
      </c>
      <c r="AI1362" s="136">
        <f t="shared" ref="AI1362:AI1363" si="550">AE1362-AF1362+AG1362-AH1362</f>
        <v>0</v>
      </c>
      <c r="AJ1362" s="43">
        <f t="shared" ref="AJ1362:AJ1363" si="551">AD1362+AI1362</f>
        <v>57600000</v>
      </c>
      <c r="AK1362" s="44">
        <v>0</v>
      </c>
      <c r="AL1362" s="44">
        <v>0</v>
      </c>
      <c r="AM1362" s="43">
        <v>49750000</v>
      </c>
      <c r="AN1362" s="44">
        <v>0</v>
      </c>
      <c r="AO1362" s="44">
        <v>0</v>
      </c>
      <c r="AP1362" s="43">
        <v>49750000</v>
      </c>
      <c r="AQ1362" s="44">
        <v>0</v>
      </c>
      <c r="AR1362" s="43">
        <v>5900000</v>
      </c>
      <c r="AS1362" s="43">
        <v>26613333</v>
      </c>
      <c r="AT1362" s="39">
        <f>AQ1362+AS1362</f>
        <v>26613333</v>
      </c>
      <c r="AU1362" s="110">
        <f>AJ1362-AM1362</f>
        <v>7850000</v>
      </c>
      <c r="AV1362" s="34">
        <f>AM1362-AP1362</f>
        <v>0</v>
      </c>
      <c r="AW1362" s="18">
        <f>AP1362-AT1362</f>
        <v>23136667</v>
      </c>
      <c r="AX1362" s="123">
        <f>AP1362/AJ1362</f>
        <v>0.86371527777777779</v>
      </c>
    </row>
    <row r="1363" spans="27:50" x14ac:dyDescent="0.2">
      <c r="AA1363" s="173" t="s">
        <v>1175</v>
      </c>
      <c r="AB1363" s="95" t="s">
        <v>1015</v>
      </c>
      <c r="AC1363" s="96"/>
      <c r="AD1363" s="44">
        <v>0</v>
      </c>
      <c r="AE1363" s="43">
        <v>6400000</v>
      </c>
      <c r="AF1363" s="216">
        <v>0</v>
      </c>
      <c r="AG1363" s="216">
        <v>0</v>
      </c>
      <c r="AH1363" s="216">
        <v>0</v>
      </c>
      <c r="AI1363" s="136">
        <f t="shared" si="550"/>
        <v>6400000</v>
      </c>
      <c r="AJ1363" s="43">
        <f t="shared" si="551"/>
        <v>6400000</v>
      </c>
      <c r="AK1363" s="44">
        <v>0</v>
      </c>
      <c r="AL1363" s="44">
        <v>0</v>
      </c>
      <c r="AM1363" s="43">
        <v>0</v>
      </c>
      <c r="AN1363" s="44">
        <v>0</v>
      </c>
      <c r="AO1363" s="44">
        <v>0</v>
      </c>
      <c r="AP1363" s="44">
        <v>0</v>
      </c>
      <c r="AQ1363" s="44">
        <v>0</v>
      </c>
      <c r="AR1363" s="44">
        <v>0</v>
      </c>
      <c r="AS1363" s="44">
        <v>0</v>
      </c>
      <c r="AT1363" s="135">
        <f>AQ1363+AS1363</f>
        <v>0</v>
      </c>
      <c r="AU1363" s="110">
        <f>AJ1363-AM1363</f>
        <v>6400000</v>
      </c>
      <c r="AV1363" s="34">
        <f>AM1363-AP1363</f>
        <v>0</v>
      </c>
      <c r="AW1363" s="34">
        <f>AP1363-AT1363</f>
        <v>0</v>
      </c>
      <c r="AX1363" s="123">
        <f>AP1363/AJ1363</f>
        <v>0</v>
      </c>
    </row>
    <row r="1364" spans="27:50" x14ac:dyDescent="0.2">
      <c r="AA1364" s="89"/>
      <c r="AB1364" s="91"/>
      <c r="AC1364" s="91"/>
      <c r="AD1364" s="18"/>
      <c r="AE1364" s="92"/>
      <c r="AF1364" s="92"/>
      <c r="AG1364" s="92"/>
      <c r="AH1364" s="92"/>
      <c r="AI1364" s="92"/>
      <c r="AJ1364" s="18"/>
      <c r="AK1364" s="98"/>
      <c r="AL1364" s="98"/>
      <c r="AM1364" s="98"/>
      <c r="AN1364" s="98"/>
      <c r="AO1364" s="98"/>
      <c r="AP1364" s="98"/>
      <c r="AQ1364" s="98"/>
      <c r="AR1364" s="98"/>
      <c r="AS1364" s="92"/>
      <c r="AT1364" s="30"/>
      <c r="AU1364" s="18"/>
      <c r="AV1364" s="18"/>
      <c r="AW1364" s="18"/>
      <c r="AX1364" s="92"/>
    </row>
    <row r="1365" spans="27:50" ht="25.5" x14ac:dyDescent="0.2">
      <c r="AA1365" s="93" t="s">
        <v>288</v>
      </c>
      <c r="AB1365" s="90" t="s">
        <v>814</v>
      </c>
      <c r="AC1365" s="91"/>
      <c r="AD1365" s="18"/>
      <c r="AE1365" s="92"/>
      <c r="AF1365" s="92"/>
      <c r="AG1365" s="92"/>
      <c r="AH1365" s="92"/>
      <c r="AI1365" s="92"/>
      <c r="AJ1365" s="18"/>
      <c r="AK1365" s="92"/>
      <c r="AL1365" s="92"/>
      <c r="AM1365" s="92"/>
      <c r="AN1365" s="92"/>
      <c r="AO1365" s="98"/>
      <c r="AP1365" s="98"/>
      <c r="AQ1365" s="98"/>
      <c r="AR1365" s="98"/>
      <c r="AS1365" s="98"/>
      <c r="AT1365" s="40"/>
      <c r="AU1365" s="18"/>
      <c r="AV1365" s="34"/>
      <c r="AW1365" s="18"/>
      <c r="AX1365" s="92"/>
    </row>
    <row r="1366" spans="27:50" x14ac:dyDescent="0.2">
      <c r="AA1366" s="94" t="s">
        <v>815</v>
      </c>
      <c r="AB1366" s="95" t="s">
        <v>793</v>
      </c>
      <c r="AC1366" s="96" t="s">
        <v>794</v>
      </c>
      <c r="AD1366" s="43">
        <v>414513482</v>
      </c>
      <c r="AE1366" s="96">
        <v>0</v>
      </c>
      <c r="AF1366" s="216">
        <v>0</v>
      </c>
      <c r="AG1366" s="216">
        <v>0</v>
      </c>
      <c r="AH1366" s="216">
        <v>0</v>
      </c>
      <c r="AI1366" s="136">
        <f t="shared" ref="AI1366:AI1369" si="552">AE1366-AF1366+AG1366-AH1366</f>
        <v>0</v>
      </c>
      <c r="AJ1366" s="43">
        <f t="shared" ref="AJ1366:AJ1369" si="553">AD1366+AI1366</f>
        <v>414513482</v>
      </c>
      <c r="AK1366" s="97">
        <v>0</v>
      </c>
      <c r="AL1366" s="18">
        <v>0</v>
      </c>
      <c r="AM1366" s="18">
        <v>406513482</v>
      </c>
      <c r="AN1366" s="92">
        <v>0</v>
      </c>
      <c r="AO1366" s="133">
        <v>0</v>
      </c>
      <c r="AP1366" s="110">
        <v>406513482</v>
      </c>
      <c r="AQ1366" s="44">
        <v>0</v>
      </c>
      <c r="AR1366" s="43">
        <v>61806840</v>
      </c>
      <c r="AS1366" s="43">
        <v>222038167</v>
      </c>
      <c r="AT1366" s="39">
        <f t="shared" ref="AT1366:AT1369" si="554">AQ1366+AS1366</f>
        <v>222038167</v>
      </c>
      <c r="AU1366" s="110">
        <f>AJ1366-AM1366</f>
        <v>8000000</v>
      </c>
      <c r="AV1366" s="34">
        <f>AM1366-AP1366</f>
        <v>0</v>
      </c>
      <c r="AW1366" s="18">
        <f>AP1366-AT1366</f>
        <v>184475315</v>
      </c>
      <c r="AX1366" s="123">
        <f>AP1366/AJ1366</f>
        <v>0.98070026586011017</v>
      </c>
    </row>
    <row r="1367" spans="27:50" x14ac:dyDescent="0.2">
      <c r="AA1367" s="173" t="s">
        <v>1176</v>
      </c>
      <c r="AB1367" s="95" t="s">
        <v>1015</v>
      </c>
      <c r="AC1367" s="96"/>
      <c r="AD1367" s="44">
        <v>0</v>
      </c>
      <c r="AE1367" s="43">
        <v>44300000</v>
      </c>
      <c r="AF1367" s="216">
        <v>0</v>
      </c>
      <c r="AG1367" s="216">
        <v>0</v>
      </c>
      <c r="AH1367" s="216">
        <v>0</v>
      </c>
      <c r="AI1367" s="136">
        <f>AE1367-AF1367+AG1367-AH1367</f>
        <v>44300000</v>
      </c>
      <c r="AJ1367" s="43">
        <f>AD1367+AI1367</f>
        <v>44300000</v>
      </c>
      <c r="AK1367" s="97">
        <v>0</v>
      </c>
      <c r="AL1367" s="34">
        <v>0</v>
      </c>
      <c r="AM1367" s="34">
        <v>0</v>
      </c>
      <c r="AN1367" s="98">
        <v>0</v>
      </c>
      <c r="AO1367" s="133">
        <v>0</v>
      </c>
      <c r="AP1367" s="133">
        <v>0</v>
      </c>
      <c r="AQ1367" s="44">
        <v>0</v>
      </c>
      <c r="AR1367" s="44">
        <v>0</v>
      </c>
      <c r="AS1367" s="44">
        <v>0</v>
      </c>
      <c r="AT1367" s="40">
        <f t="shared" si="554"/>
        <v>0</v>
      </c>
      <c r="AU1367" s="110">
        <f>AJ1367-AM1367</f>
        <v>44300000</v>
      </c>
      <c r="AV1367" s="34">
        <f>AM1367-AP1367</f>
        <v>0</v>
      </c>
      <c r="AW1367" s="34">
        <f>AP1367-AT1367</f>
        <v>0</v>
      </c>
      <c r="AX1367" s="123">
        <f>AP1367/AJ1367</f>
        <v>0</v>
      </c>
    </row>
    <row r="1368" spans="27:50" x14ac:dyDescent="0.2">
      <c r="AA1368" s="173" t="s">
        <v>1168</v>
      </c>
      <c r="AB1368" s="95" t="s">
        <v>1169</v>
      </c>
      <c r="AC1368" s="96"/>
      <c r="AD1368" s="44">
        <v>0</v>
      </c>
      <c r="AE1368" s="43">
        <v>1272607864.71</v>
      </c>
      <c r="AF1368" s="216">
        <v>0</v>
      </c>
      <c r="AG1368" s="216">
        <v>0</v>
      </c>
      <c r="AH1368" s="216">
        <v>0</v>
      </c>
      <c r="AI1368" s="136">
        <f t="shared" si="552"/>
        <v>1272607864.71</v>
      </c>
      <c r="AJ1368" s="43">
        <f t="shared" si="553"/>
        <v>1272607864.71</v>
      </c>
      <c r="AK1368" s="97">
        <v>0</v>
      </c>
      <c r="AL1368" s="34">
        <v>0</v>
      </c>
      <c r="AM1368" s="34">
        <v>0</v>
      </c>
      <c r="AN1368" s="98">
        <v>0</v>
      </c>
      <c r="AO1368" s="133">
        <v>0</v>
      </c>
      <c r="AP1368" s="133">
        <v>0</v>
      </c>
      <c r="AQ1368" s="44">
        <v>0</v>
      </c>
      <c r="AR1368" s="44">
        <v>0</v>
      </c>
      <c r="AS1368" s="44">
        <v>0</v>
      </c>
      <c r="AT1368" s="40">
        <f t="shared" si="554"/>
        <v>0</v>
      </c>
      <c r="AU1368" s="110">
        <f>AJ1368-AM1368</f>
        <v>1272607864.71</v>
      </c>
      <c r="AV1368" s="34">
        <f>AM1368-AP1368</f>
        <v>0</v>
      </c>
      <c r="AW1368" s="34">
        <f>AP1368-AT1368</f>
        <v>0</v>
      </c>
      <c r="AX1368" s="123">
        <f>AP1368/AJ1368</f>
        <v>0</v>
      </c>
    </row>
    <row r="1369" spans="27:50" x14ac:dyDescent="0.2">
      <c r="AA1369" s="173" t="s">
        <v>1182</v>
      </c>
      <c r="AB1369" s="95" t="s">
        <v>1181</v>
      </c>
      <c r="AC1369" s="96"/>
      <c r="AD1369" s="44">
        <v>0</v>
      </c>
      <c r="AE1369" s="43">
        <v>17636386</v>
      </c>
      <c r="AF1369" s="216">
        <v>0</v>
      </c>
      <c r="AG1369" s="216">
        <v>0</v>
      </c>
      <c r="AH1369" s="216">
        <v>0</v>
      </c>
      <c r="AI1369" s="136">
        <f t="shared" si="552"/>
        <v>17636386</v>
      </c>
      <c r="AJ1369" s="43">
        <f t="shared" si="553"/>
        <v>17636386</v>
      </c>
      <c r="AK1369" s="97">
        <v>0</v>
      </c>
      <c r="AL1369" s="34">
        <v>0</v>
      </c>
      <c r="AM1369" s="34">
        <v>0</v>
      </c>
      <c r="AN1369" s="98">
        <v>0</v>
      </c>
      <c r="AO1369" s="133">
        <v>0</v>
      </c>
      <c r="AP1369" s="133">
        <v>0</v>
      </c>
      <c r="AQ1369" s="44">
        <v>0</v>
      </c>
      <c r="AR1369" s="44">
        <v>0</v>
      </c>
      <c r="AS1369" s="44">
        <v>0</v>
      </c>
      <c r="AT1369" s="40">
        <f t="shared" si="554"/>
        <v>0</v>
      </c>
      <c r="AU1369" s="110">
        <f>AJ1369-AM1369</f>
        <v>17636386</v>
      </c>
      <c r="AV1369" s="34">
        <f>AM1369-AP1369</f>
        <v>0</v>
      </c>
      <c r="AW1369" s="34">
        <f>AP1369-AT1369</f>
        <v>0</v>
      </c>
      <c r="AX1369" s="123">
        <f>AP1369/AJ1369</f>
        <v>0</v>
      </c>
    </row>
    <row r="1370" spans="27:50" x14ac:dyDescent="0.2">
      <c r="AA1370" s="89"/>
      <c r="AB1370" s="91"/>
      <c r="AC1370" s="91"/>
      <c r="AD1370" s="18"/>
      <c r="AE1370" s="92"/>
      <c r="AF1370" s="92"/>
      <c r="AG1370" s="92"/>
      <c r="AH1370" s="92"/>
      <c r="AI1370" s="92"/>
      <c r="AJ1370" s="18"/>
      <c r="AK1370" s="98"/>
      <c r="AL1370" s="98"/>
      <c r="AM1370" s="98"/>
      <c r="AN1370" s="98"/>
      <c r="AO1370" s="98"/>
      <c r="AP1370" s="98"/>
      <c r="AQ1370" s="98"/>
      <c r="AR1370" s="98"/>
      <c r="AS1370" s="92"/>
      <c r="AT1370" s="30"/>
      <c r="AU1370" s="18"/>
      <c r="AV1370" s="18"/>
      <c r="AW1370" s="18"/>
      <c r="AX1370" s="92"/>
    </row>
    <row r="1371" spans="27:50" ht="25.5" x14ac:dyDescent="0.2">
      <c r="AA1371" s="93" t="s">
        <v>288</v>
      </c>
      <c r="AB1371" s="90" t="s">
        <v>816</v>
      </c>
      <c r="AC1371" s="91"/>
      <c r="AD1371" s="18"/>
      <c r="AE1371" s="92"/>
      <c r="AF1371" s="92"/>
      <c r="AG1371" s="92"/>
      <c r="AH1371" s="92"/>
      <c r="AI1371" s="92"/>
      <c r="AJ1371" s="18"/>
      <c r="AK1371" s="98"/>
      <c r="AL1371" s="98"/>
      <c r="AM1371" s="92"/>
      <c r="AN1371" s="92"/>
      <c r="AO1371" s="98"/>
      <c r="AP1371" s="92"/>
      <c r="AQ1371" s="98"/>
      <c r="AR1371" s="92"/>
      <c r="AS1371" s="92"/>
      <c r="AT1371" s="40"/>
      <c r="AU1371" s="18"/>
      <c r="AV1371" s="34"/>
      <c r="AW1371" s="18"/>
      <c r="AX1371" s="92"/>
    </row>
    <row r="1372" spans="27:50" x14ac:dyDescent="0.2">
      <c r="AA1372" s="94" t="s">
        <v>817</v>
      </c>
      <c r="AB1372" s="95" t="s">
        <v>793</v>
      </c>
      <c r="AC1372" s="96" t="s">
        <v>794</v>
      </c>
      <c r="AD1372" s="43">
        <v>76500000</v>
      </c>
      <c r="AE1372" s="96">
        <v>0</v>
      </c>
      <c r="AF1372" s="216">
        <v>0</v>
      </c>
      <c r="AG1372" s="216">
        <v>0</v>
      </c>
      <c r="AH1372" s="216">
        <v>0</v>
      </c>
      <c r="AI1372" s="136">
        <f t="shared" ref="AI1372:AI1375" si="555">AE1372-AF1372+AG1372-AH1372</f>
        <v>0</v>
      </c>
      <c r="AJ1372" s="43">
        <f t="shared" ref="AJ1372:AJ1375" si="556">AD1372+AI1372</f>
        <v>76500000</v>
      </c>
      <c r="AK1372" s="97">
        <v>0</v>
      </c>
      <c r="AL1372" s="133">
        <v>0</v>
      </c>
      <c r="AM1372" s="18">
        <v>76500000</v>
      </c>
      <c r="AN1372" s="34">
        <v>0</v>
      </c>
      <c r="AO1372" s="34">
        <v>0</v>
      </c>
      <c r="AP1372" s="18">
        <v>76500000</v>
      </c>
      <c r="AQ1372" s="44">
        <v>0</v>
      </c>
      <c r="AR1372" s="114">
        <v>8500000</v>
      </c>
      <c r="AS1372" s="114">
        <v>60130000</v>
      </c>
      <c r="AT1372" s="111">
        <f t="shared" ref="AT1372:AT1375" si="557">AQ1372+AS1372</f>
        <v>60130000</v>
      </c>
      <c r="AU1372" s="133">
        <f>AJ1372-AM1372</f>
        <v>0</v>
      </c>
      <c r="AV1372" s="34">
        <f>AM1372-AP1372</f>
        <v>0</v>
      </c>
      <c r="AW1372" s="18">
        <f>AP1372-AT1372</f>
        <v>16370000</v>
      </c>
      <c r="AX1372" s="123">
        <f>AP1372/AJ1372</f>
        <v>1</v>
      </c>
    </row>
    <row r="1373" spans="27:50" x14ac:dyDescent="0.2">
      <c r="AA1373" s="173" t="s">
        <v>1170</v>
      </c>
      <c r="AB1373" s="95" t="s">
        <v>1169</v>
      </c>
      <c r="AC1373" s="96"/>
      <c r="AD1373" s="44">
        <v>0</v>
      </c>
      <c r="AE1373" s="43">
        <v>221250000</v>
      </c>
      <c r="AF1373" s="216">
        <v>0</v>
      </c>
      <c r="AG1373" s="216">
        <v>0</v>
      </c>
      <c r="AH1373" s="216">
        <v>0</v>
      </c>
      <c r="AI1373" s="136">
        <f t="shared" si="555"/>
        <v>221250000</v>
      </c>
      <c r="AJ1373" s="43">
        <f t="shared" si="556"/>
        <v>221250000</v>
      </c>
      <c r="AK1373" s="97">
        <v>0</v>
      </c>
      <c r="AL1373" s="133">
        <v>0</v>
      </c>
      <c r="AM1373" s="34">
        <v>0</v>
      </c>
      <c r="AN1373" s="34">
        <v>0</v>
      </c>
      <c r="AO1373" s="34">
        <v>0</v>
      </c>
      <c r="AP1373" s="34">
        <v>0</v>
      </c>
      <c r="AQ1373" s="97">
        <v>0</v>
      </c>
      <c r="AR1373" s="115">
        <v>0</v>
      </c>
      <c r="AS1373" s="115">
        <v>0</v>
      </c>
      <c r="AT1373" s="135">
        <f t="shared" si="557"/>
        <v>0</v>
      </c>
      <c r="AU1373" s="18">
        <f>AJ1373-AM1373</f>
        <v>221250000</v>
      </c>
      <c r="AV1373" s="34">
        <f>AM1373-AP1373</f>
        <v>0</v>
      </c>
      <c r="AW1373" s="34">
        <f>AP1373-AT1373</f>
        <v>0</v>
      </c>
      <c r="AX1373" s="123">
        <f>AP1373/AJ1373</f>
        <v>0</v>
      </c>
    </row>
    <row r="1374" spans="27:50" x14ac:dyDescent="0.2">
      <c r="AA1374" s="173" t="s">
        <v>1192</v>
      </c>
      <c r="AB1374" s="95" t="s">
        <v>1193</v>
      </c>
      <c r="AC1374" s="96"/>
      <c r="AD1374" s="44">
        <v>0</v>
      </c>
      <c r="AE1374" s="43">
        <v>97859303.769999996</v>
      </c>
      <c r="AF1374" s="216">
        <v>0</v>
      </c>
      <c r="AG1374" s="216">
        <v>0</v>
      </c>
      <c r="AH1374" s="216">
        <v>0</v>
      </c>
      <c r="AI1374" s="136">
        <f>AE1374-AF1374+AG1374-AH1374</f>
        <v>97859303.769999996</v>
      </c>
      <c r="AJ1374" s="43">
        <f>AD1374+AI1374</f>
        <v>97859303.769999996</v>
      </c>
      <c r="AK1374" s="97">
        <v>0</v>
      </c>
      <c r="AL1374" s="133">
        <v>0</v>
      </c>
      <c r="AM1374" s="34">
        <v>0</v>
      </c>
      <c r="AN1374" s="34">
        <v>0</v>
      </c>
      <c r="AO1374" s="34">
        <v>0</v>
      </c>
      <c r="AP1374" s="34">
        <v>0</v>
      </c>
      <c r="AQ1374" s="97">
        <v>0</v>
      </c>
      <c r="AR1374" s="115">
        <v>0</v>
      </c>
      <c r="AS1374" s="115">
        <v>0</v>
      </c>
      <c r="AT1374" s="135">
        <f t="shared" si="557"/>
        <v>0</v>
      </c>
      <c r="AU1374" s="18">
        <f>AJ1374-AM1374</f>
        <v>97859303.769999996</v>
      </c>
      <c r="AV1374" s="34">
        <f>AM1374-AP1374</f>
        <v>0</v>
      </c>
      <c r="AW1374" s="34">
        <f>AP1374-AT1374</f>
        <v>0</v>
      </c>
      <c r="AX1374" s="123">
        <f>AP1374/AJ1374</f>
        <v>0</v>
      </c>
    </row>
    <row r="1375" spans="27:50" x14ac:dyDescent="0.2">
      <c r="AA1375" s="173" t="s">
        <v>1191</v>
      </c>
      <c r="AB1375" s="95" t="s">
        <v>1181</v>
      </c>
      <c r="AC1375" s="96"/>
      <c r="AD1375" s="44">
        <v>0</v>
      </c>
      <c r="AE1375" s="43">
        <v>52140696.289999999</v>
      </c>
      <c r="AF1375" s="216">
        <v>0</v>
      </c>
      <c r="AG1375" s="216">
        <v>0</v>
      </c>
      <c r="AH1375" s="216">
        <v>0</v>
      </c>
      <c r="AI1375" s="136">
        <f t="shared" si="555"/>
        <v>52140696.289999999</v>
      </c>
      <c r="AJ1375" s="43">
        <f t="shared" si="556"/>
        <v>52140696.289999999</v>
      </c>
      <c r="AK1375" s="97">
        <v>0</v>
      </c>
      <c r="AL1375" s="133">
        <v>0</v>
      </c>
      <c r="AM1375" s="34">
        <v>0</v>
      </c>
      <c r="AN1375" s="34">
        <v>0</v>
      </c>
      <c r="AO1375" s="34">
        <v>0</v>
      </c>
      <c r="AP1375" s="34">
        <v>0</v>
      </c>
      <c r="AQ1375" s="97">
        <v>0</v>
      </c>
      <c r="AR1375" s="115">
        <v>0</v>
      </c>
      <c r="AS1375" s="115">
        <v>0</v>
      </c>
      <c r="AT1375" s="135">
        <f t="shared" si="557"/>
        <v>0</v>
      </c>
      <c r="AU1375" s="18">
        <f>AJ1375-AM1375</f>
        <v>52140696.289999999</v>
      </c>
      <c r="AV1375" s="34">
        <f>AM1375-AP1375</f>
        <v>0</v>
      </c>
      <c r="AW1375" s="34">
        <f>AP1375-AT1375</f>
        <v>0</v>
      </c>
      <c r="AX1375" s="123">
        <f>AP1375/AJ1375</f>
        <v>0</v>
      </c>
    </row>
    <row r="1376" spans="27:50" x14ac:dyDescent="0.2">
      <c r="AA1376" s="89"/>
      <c r="AB1376" s="91"/>
      <c r="AC1376" s="91"/>
      <c r="AD1376" s="18"/>
      <c r="AE1376" s="92"/>
      <c r="AF1376" s="92"/>
      <c r="AG1376" s="92"/>
      <c r="AH1376" s="92"/>
      <c r="AI1376" s="92"/>
      <c r="AJ1376" s="18"/>
      <c r="AK1376" s="98"/>
      <c r="AL1376" s="98"/>
      <c r="AM1376" s="98"/>
      <c r="AN1376" s="98"/>
      <c r="AO1376" s="98"/>
      <c r="AP1376" s="98"/>
      <c r="AQ1376" s="98"/>
      <c r="AR1376" s="98"/>
      <c r="AS1376" s="92"/>
      <c r="AT1376" s="30"/>
      <c r="AU1376" s="18"/>
      <c r="AV1376" s="18"/>
      <c r="AW1376" s="18"/>
      <c r="AX1376" s="92"/>
    </row>
    <row r="1377" spans="27:50" ht="38.25" x14ac:dyDescent="0.2">
      <c r="AA1377" s="93" t="s">
        <v>288</v>
      </c>
      <c r="AB1377" s="90" t="s">
        <v>818</v>
      </c>
      <c r="AC1377" s="91"/>
      <c r="AD1377" s="18"/>
      <c r="AE1377" s="92"/>
      <c r="AF1377" s="92"/>
      <c r="AG1377" s="92"/>
      <c r="AH1377" s="92"/>
      <c r="AI1377" s="92"/>
      <c r="AJ1377" s="18"/>
      <c r="AK1377" s="98"/>
      <c r="AL1377" s="98"/>
      <c r="AM1377" s="92"/>
      <c r="AN1377" s="98"/>
      <c r="AO1377" s="98"/>
      <c r="AP1377" s="92"/>
      <c r="AQ1377" s="92"/>
      <c r="AR1377" s="92"/>
      <c r="AS1377" s="92"/>
      <c r="AT1377" s="40"/>
      <c r="AU1377" s="18"/>
      <c r="AV1377" s="18"/>
      <c r="AW1377" s="18"/>
      <c r="AX1377" s="92"/>
    </row>
    <row r="1378" spans="27:50" x14ac:dyDescent="0.2">
      <c r="AA1378" s="94" t="s">
        <v>819</v>
      </c>
      <c r="AB1378" s="95" t="s">
        <v>793</v>
      </c>
      <c r="AC1378" s="96" t="s">
        <v>794</v>
      </c>
      <c r="AD1378" s="43">
        <v>150000000</v>
      </c>
      <c r="AE1378" s="96">
        <v>0</v>
      </c>
      <c r="AF1378" s="216">
        <v>0</v>
      </c>
      <c r="AG1378" s="216">
        <v>0</v>
      </c>
      <c r="AH1378" s="216">
        <v>0</v>
      </c>
      <c r="AI1378" s="136">
        <f t="shared" ref="AI1378:AI1379" si="558">AE1378-AF1378+AG1378-AH1378</f>
        <v>0</v>
      </c>
      <c r="AJ1378" s="43">
        <f t="shared" ref="AJ1378:AJ1379" si="559">AD1378+AI1378</f>
        <v>150000000</v>
      </c>
      <c r="AK1378" s="44">
        <v>0</v>
      </c>
      <c r="AL1378" s="43">
        <v>0</v>
      </c>
      <c r="AM1378" s="43">
        <v>140800000</v>
      </c>
      <c r="AN1378" s="44">
        <v>0</v>
      </c>
      <c r="AO1378" s="44">
        <v>0</v>
      </c>
      <c r="AP1378" s="43">
        <v>140800000</v>
      </c>
      <c r="AQ1378" s="43">
        <v>0</v>
      </c>
      <c r="AR1378" s="43">
        <v>31550000</v>
      </c>
      <c r="AS1378" s="43">
        <v>66450000</v>
      </c>
      <c r="AT1378" s="39">
        <f t="shared" ref="AT1378:AT1379" si="560">AQ1378+AS1378</f>
        <v>66450000</v>
      </c>
      <c r="AU1378" s="18">
        <f>AJ1378-AM1378</f>
        <v>9200000</v>
      </c>
      <c r="AV1378" s="34">
        <f>AM1378-AP1378</f>
        <v>0</v>
      </c>
      <c r="AW1378" s="18">
        <f>AP1378-AT1378</f>
        <v>74350000</v>
      </c>
      <c r="AX1378" s="123">
        <f>AP1378/AJ1378</f>
        <v>0.93866666666666665</v>
      </c>
    </row>
    <row r="1379" spans="27:50" x14ac:dyDescent="0.2">
      <c r="AA1379" s="173" t="s">
        <v>1177</v>
      </c>
      <c r="AB1379" s="95" t="s">
        <v>1015</v>
      </c>
      <c r="AC1379" s="96"/>
      <c r="AD1379" s="43">
        <v>0</v>
      </c>
      <c r="AE1379" s="43">
        <v>8000000</v>
      </c>
      <c r="AF1379" s="216">
        <v>0</v>
      </c>
      <c r="AG1379" s="216">
        <v>0</v>
      </c>
      <c r="AH1379" s="216">
        <v>0</v>
      </c>
      <c r="AI1379" s="136">
        <f t="shared" si="558"/>
        <v>8000000</v>
      </c>
      <c r="AJ1379" s="43">
        <f t="shared" si="559"/>
        <v>8000000</v>
      </c>
      <c r="AK1379" s="44">
        <v>0</v>
      </c>
      <c r="AL1379" s="44">
        <v>0</v>
      </c>
      <c r="AM1379" s="43">
        <v>0</v>
      </c>
      <c r="AN1379" s="44">
        <v>0</v>
      </c>
      <c r="AO1379" s="44">
        <v>0</v>
      </c>
      <c r="AP1379" s="44">
        <v>0</v>
      </c>
      <c r="AQ1379" s="44">
        <v>0</v>
      </c>
      <c r="AR1379" s="44">
        <v>0</v>
      </c>
      <c r="AS1379" s="44">
        <v>0</v>
      </c>
      <c r="AT1379" s="40">
        <f t="shared" si="560"/>
        <v>0</v>
      </c>
      <c r="AU1379" s="18">
        <f>AJ1379-AM1379</f>
        <v>8000000</v>
      </c>
      <c r="AV1379" s="34">
        <f>AM1379-AP1379</f>
        <v>0</v>
      </c>
      <c r="AW1379" s="34">
        <f>AP1379-AT1379</f>
        <v>0</v>
      </c>
      <c r="AX1379" s="123">
        <f>AP1379/AJ1379</f>
        <v>0</v>
      </c>
    </row>
    <row r="1380" spans="27:50" ht="25.5" x14ac:dyDescent="0.2">
      <c r="AA1380" s="93" t="s">
        <v>288</v>
      </c>
      <c r="AB1380" s="90" t="s">
        <v>820</v>
      </c>
      <c r="AC1380" s="91"/>
      <c r="AD1380" s="18"/>
      <c r="AE1380" s="92"/>
      <c r="AF1380" s="92"/>
      <c r="AG1380" s="92"/>
      <c r="AH1380" s="92"/>
      <c r="AI1380" s="92"/>
      <c r="AJ1380" s="18"/>
      <c r="AK1380" s="34"/>
      <c r="AL1380" s="18"/>
      <c r="AM1380" s="18"/>
      <c r="AN1380" s="34"/>
      <c r="AO1380" s="34"/>
      <c r="AP1380" s="18"/>
      <c r="AQ1380" s="18"/>
      <c r="AR1380" s="18"/>
      <c r="AS1380" s="18"/>
      <c r="AT1380" s="39"/>
      <c r="AU1380" s="18"/>
      <c r="AV1380" s="34"/>
      <c r="AW1380" s="18"/>
      <c r="AX1380" s="92"/>
    </row>
    <row r="1381" spans="27:50" x14ac:dyDescent="0.2">
      <c r="AA1381" s="94" t="s">
        <v>821</v>
      </c>
      <c r="AB1381" s="95" t="s">
        <v>233</v>
      </c>
      <c r="AC1381" s="96" t="s">
        <v>58</v>
      </c>
      <c r="AD1381" s="43">
        <v>144000000</v>
      </c>
      <c r="AE1381" s="96">
        <v>0</v>
      </c>
      <c r="AF1381" s="216">
        <v>0</v>
      </c>
      <c r="AG1381" s="216">
        <v>0</v>
      </c>
      <c r="AH1381" s="216">
        <v>0</v>
      </c>
      <c r="AI1381" s="136">
        <f t="shared" ref="AI1381:AI1383" si="561">AE1381-AF1381+AG1381-AH1381</f>
        <v>0</v>
      </c>
      <c r="AJ1381" s="43">
        <f t="shared" ref="AJ1381:AJ1383" si="562">AD1381+AI1381</f>
        <v>144000000</v>
      </c>
      <c r="AK1381" s="44">
        <v>0</v>
      </c>
      <c r="AL1381" s="44">
        <v>0</v>
      </c>
      <c r="AM1381" s="43">
        <v>144000000</v>
      </c>
      <c r="AN1381" s="44">
        <v>0</v>
      </c>
      <c r="AO1381" s="44">
        <v>0</v>
      </c>
      <c r="AP1381" s="43">
        <v>144000000</v>
      </c>
      <c r="AQ1381" s="43">
        <v>12000000</v>
      </c>
      <c r="AR1381" s="43">
        <v>12000000</v>
      </c>
      <c r="AS1381" s="43">
        <v>92400001</v>
      </c>
      <c r="AT1381" s="39">
        <f t="shared" ref="AT1381:AT1383" si="563">AQ1381+AS1381</f>
        <v>104400001</v>
      </c>
      <c r="AU1381" s="34">
        <f>AJ1381-AM1381</f>
        <v>0</v>
      </c>
      <c r="AV1381" s="34">
        <f>AM1381-AP1381</f>
        <v>0</v>
      </c>
      <c r="AW1381" s="18">
        <f>AP1381-AT1381</f>
        <v>39599999</v>
      </c>
      <c r="AX1381" s="123">
        <f>AP1381/AJ1381</f>
        <v>1</v>
      </c>
    </row>
    <row r="1382" spans="27:50" x14ac:dyDescent="0.2">
      <c r="AA1382" s="94" t="s">
        <v>822</v>
      </c>
      <c r="AB1382" s="95" t="s">
        <v>793</v>
      </c>
      <c r="AC1382" s="96" t="s">
        <v>794</v>
      </c>
      <c r="AD1382" s="43">
        <v>72000000</v>
      </c>
      <c r="AE1382" s="96">
        <v>0</v>
      </c>
      <c r="AF1382" s="216">
        <v>0</v>
      </c>
      <c r="AG1382" s="216">
        <v>0</v>
      </c>
      <c r="AH1382" s="216">
        <v>0</v>
      </c>
      <c r="AI1382" s="136">
        <f t="shared" si="561"/>
        <v>0</v>
      </c>
      <c r="AJ1382" s="43">
        <f t="shared" si="562"/>
        <v>72000000</v>
      </c>
      <c r="AK1382" s="44">
        <v>0</v>
      </c>
      <c r="AL1382" s="44">
        <v>0</v>
      </c>
      <c r="AM1382" s="43">
        <v>68500000</v>
      </c>
      <c r="AN1382" s="44">
        <v>0</v>
      </c>
      <c r="AO1382" s="44">
        <v>0</v>
      </c>
      <c r="AP1382" s="43">
        <v>68500000</v>
      </c>
      <c r="AQ1382" s="43">
        <v>0</v>
      </c>
      <c r="AR1382" s="43">
        <v>8000000</v>
      </c>
      <c r="AS1382" s="43">
        <v>50650000</v>
      </c>
      <c r="AT1382" s="39">
        <f t="shared" si="563"/>
        <v>50650000</v>
      </c>
      <c r="AU1382" s="18">
        <f>AJ1382-AM1382</f>
        <v>3500000</v>
      </c>
      <c r="AV1382" s="34">
        <f>AM1382-AP1382</f>
        <v>0</v>
      </c>
      <c r="AW1382" s="18">
        <f>AP1382-AT1382</f>
        <v>17850000</v>
      </c>
      <c r="AX1382" s="123">
        <f>AP1382/AJ1382</f>
        <v>0.95138888888888884</v>
      </c>
    </row>
    <row r="1383" spans="27:50" x14ac:dyDescent="0.2">
      <c r="AA1383" s="173" t="s">
        <v>1178</v>
      </c>
      <c r="AB1383" s="95" t="s">
        <v>1179</v>
      </c>
      <c r="AC1383" s="96"/>
      <c r="AD1383" s="44">
        <v>0</v>
      </c>
      <c r="AE1383" s="43">
        <v>79500000</v>
      </c>
      <c r="AF1383" s="216">
        <v>0</v>
      </c>
      <c r="AG1383" s="216">
        <v>0</v>
      </c>
      <c r="AH1383" s="216">
        <v>0</v>
      </c>
      <c r="AI1383" s="136">
        <f t="shared" si="561"/>
        <v>79500000</v>
      </c>
      <c r="AJ1383" s="43">
        <f t="shared" si="562"/>
        <v>79500000</v>
      </c>
      <c r="AK1383" s="44">
        <v>0</v>
      </c>
      <c r="AL1383" s="44">
        <v>0</v>
      </c>
      <c r="AM1383" s="44">
        <v>0</v>
      </c>
      <c r="AN1383" s="44">
        <v>0</v>
      </c>
      <c r="AO1383" s="44">
        <v>0</v>
      </c>
      <c r="AP1383" s="44">
        <v>0</v>
      </c>
      <c r="AQ1383" s="44">
        <v>0</v>
      </c>
      <c r="AR1383" s="44">
        <v>0</v>
      </c>
      <c r="AS1383" s="44">
        <v>0</v>
      </c>
      <c r="AT1383" s="40">
        <f t="shared" si="563"/>
        <v>0</v>
      </c>
      <c r="AU1383" s="18">
        <f>AJ1383-AM1383</f>
        <v>79500000</v>
      </c>
      <c r="AV1383" s="34">
        <f>AM1383-AP1383</f>
        <v>0</v>
      </c>
      <c r="AW1383" s="34">
        <f>AP1383-AT1383</f>
        <v>0</v>
      </c>
      <c r="AX1383" s="123">
        <f>AP1383/AJ1383</f>
        <v>0</v>
      </c>
    </row>
    <row r="1384" spans="27:50" ht="25.5" x14ac:dyDescent="0.2">
      <c r="AA1384" s="241" t="s">
        <v>288</v>
      </c>
      <c r="AB1384" s="138" t="s">
        <v>805</v>
      </c>
      <c r="AC1384" s="96"/>
      <c r="AD1384" s="44"/>
      <c r="AE1384" s="43"/>
      <c r="AF1384" s="96"/>
      <c r="AG1384" s="96"/>
      <c r="AH1384" s="96"/>
      <c r="AI1384" s="96"/>
      <c r="AJ1384" s="43"/>
      <c r="AK1384" s="44"/>
      <c r="AL1384" s="44"/>
      <c r="AM1384" s="44"/>
      <c r="AN1384" s="44"/>
      <c r="AO1384" s="44"/>
      <c r="AP1384" s="44"/>
      <c r="AQ1384" s="44"/>
      <c r="AR1384" s="44"/>
      <c r="AS1384" s="44"/>
      <c r="AT1384" s="40"/>
      <c r="AU1384" s="18"/>
      <c r="AV1384" s="34"/>
      <c r="AW1384" s="34"/>
      <c r="AX1384" s="123"/>
    </row>
    <row r="1385" spans="27:50" x14ac:dyDescent="0.2">
      <c r="AA1385" s="173" t="s">
        <v>1194</v>
      </c>
      <c r="AB1385" s="95" t="s">
        <v>1193</v>
      </c>
      <c r="AC1385" s="96"/>
      <c r="AD1385" s="44">
        <v>0</v>
      </c>
      <c r="AE1385" s="43">
        <v>135118963.86000001</v>
      </c>
      <c r="AF1385" s="216">
        <v>0</v>
      </c>
      <c r="AG1385" s="216">
        <v>0</v>
      </c>
      <c r="AH1385" s="216">
        <v>0</v>
      </c>
      <c r="AI1385" s="136">
        <f>AE1385-AF1385+AG1385-AH1385</f>
        <v>135118963.86000001</v>
      </c>
      <c r="AJ1385" s="43">
        <f>AD1385+AI1385</f>
        <v>135118963.86000001</v>
      </c>
      <c r="AK1385" s="44">
        <v>0</v>
      </c>
      <c r="AL1385" s="44">
        <v>0</v>
      </c>
      <c r="AM1385" s="44">
        <v>0</v>
      </c>
      <c r="AN1385" s="44">
        <v>0</v>
      </c>
      <c r="AO1385" s="44">
        <v>0</v>
      </c>
      <c r="AP1385" s="44">
        <v>0</v>
      </c>
      <c r="AQ1385" s="44">
        <v>0</v>
      </c>
      <c r="AR1385" s="44">
        <v>0</v>
      </c>
      <c r="AS1385" s="44">
        <v>0</v>
      </c>
      <c r="AT1385" s="40">
        <f t="shared" ref="AT1385" si="564">AQ1385+AS1385</f>
        <v>0</v>
      </c>
      <c r="AU1385" s="18">
        <f>AJ1385-AM1385</f>
        <v>135118963.86000001</v>
      </c>
      <c r="AV1385" s="34">
        <f>AM1385-AP1385</f>
        <v>0</v>
      </c>
      <c r="AW1385" s="34">
        <f>AP1385-AT1385</f>
        <v>0</v>
      </c>
      <c r="AX1385" s="123">
        <f>AP1385/AJ1385</f>
        <v>0</v>
      </c>
    </row>
    <row r="1386" spans="27:50" ht="38.25" x14ac:dyDescent="0.2">
      <c r="AA1386" s="240" t="s">
        <v>288</v>
      </c>
      <c r="AB1386" s="138" t="s">
        <v>912</v>
      </c>
      <c r="AC1386" s="96"/>
      <c r="AD1386" s="44"/>
      <c r="AE1386" s="96"/>
      <c r="AF1386" s="96"/>
      <c r="AG1386" s="96"/>
      <c r="AH1386" s="96"/>
      <c r="AI1386" s="96"/>
      <c r="AJ1386" s="43"/>
      <c r="AK1386" s="44"/>
      <c r="AL1386" s="44"/>
      <c r="AM1386" s="44"/>
      <c r="AN1386" s="97"/>
      <c r="AO1386" s="44"/>
      <c r="AP1386" s="44"/>
      <c r="AQ1386" s="97"/>
      <c r="AR1386" s="96"/>
      <c r="AS1386" s="97"/>
      <c r="AT1386" s="40"/>
      <c r="AU1386" s="43"/>
      <c r="AV1386" s="44"/>
      <c r="AW1386" s="44"/>
      <c r="AX1386" s="32"/>
    </row>
    <row r="1387" spans="27:50" x14ac:dyDescent="0.2">
      <c r="AA1387" s="94" t="s">
        <v>913</v>
      </c>
      <c r="AB1387" s="95" t="s">
        <v>233</v>
      </c>
      <c r="AC1387" s="96"/>
      <c r="AD1387" s="44">
        <v>0</v>
      </c>
      <c r="AE1387" s="96">
        <v>0</v>
      </c>
      <c r="AF1387" s="96">
        <v>0</v>
      </c>
      <c r="AG1387" s="43">
        <v>136150000</v>
      </c>
      <c r="AH1387" s="96"/>
      <c r="AI1387" s="136">
        <f>AE1387-AF1387+AG1387-AH1387</f>
        <v>136150000</v>
      </c>
      <c r="AJ1387" s="43">
        <f>AD1387+AI1387</f>
        <v>136150000</v>
      </c>
      <c r="AK1387" s="44">
        <v>0</v>
      </c>
      <c r="AL1387" s="115">
        <v>0</v>
      </c>
      <c r="AM1387" s="114">
        <v>94724710</v>
      </c>
      <c r="AN1387" s="97">
        <v>0</v>
      </c>
      <c r="AO1387" s="44">
        <v>0</v>
      </c>
      <c r="AP1387" s="43">
        <v>94724710</v>
      </c>
      <c r="AQ1387" s="44">
        <v>0</v>
      </c>
      <c r="AR1387" s="43">
        <v>4900000</v>
      </c>
      <c r="AS1387" s="43">
        <v>17500000</v>
      </c>
      <c r="AT1387" s="39">
        <f t="shared" ref="AT1387" si="565">AQ1387+AS1387</f>
        <v>17500000</v>
      </c>
      <c r="AU1387" s="110">
        <f>AJ1387-AM1387</f>
        <v>41425290</v>
      </c>
      <c r="AV1387" s="133">
        <f>AM1387-AP1387</f>
        <v>0</v>
      </c>
      <c r="AW1387" s="18">
        <f>AP1387-AT1387</f>
        <v>77224710</v>
      </c>
      <c r="AX1387" s="123">
        <f>AP1387/AJ1387</f>
        <v>0.69573786265148729</v>
      </c>
    </row>
    <row r="1388" spans="27:50" ht="25.5" x14ac:dyDescent="0.2">
      <c r="AA1388" s="240" t="s">
        <v>288</v>
      </c>
      <c r="AB1388" s="138" t="s">
        <v>1285</v>
      </c>
      <c r="AC1388" s="96"/>
      <c r="AD1388" s="44"/>
      <c r="AE1388" s="96"/>
      <c r="AF1388" s="96"/>
      <c r="AG1388" s="43"/>
      <c r="AH1388" s="96"/>
      <c r="AI1388" s="136"/>
      <c r="AJ1388" s="43"/>
      <c r="AK1388" s="44"/>
      <c r="AL1388" s="115"/>
      <c r="AM1388" s="115"/>
      <c r="AN1388" s="97"/>
      <c r="AO1388" s="43"/>
      <c r="AP1388" s="43"/>
      <c r="AQ1388" s="43"/>
      <c r="AR1388" s="43"/>
      <c r="AS1388" s="43"/>
      <c r="AT1388" s="39"/>
      <c r="AU1388" s="110"/>
      <c r="AV1388" s="133"/>
      <c r="AW1388" s="18"/>
      <c r="AX1388" s="123"/>
    </row>
    <row r="1389" spans="27:50" x14ac:dyDescent="0.2">
      <c r="AA1389" s="94" t="s">
        <v>1286</v>
      </c>
      <c r="AB1389" s="95" t="s">
        <v>1015</v>
      </c>
      <c r="AC1389" s="96"/>
      <c r="AD1389" s="44">
        <v>0</v>
      </c>
      <c r="AE1389" s="96">
        <v>0</v>
      </c>
      <c r="AF1389" s="96">
        <v>0</v>
      </c>
      <c r="AG1389" s="43">
        <f>151006500+15000000</f>
        <v>166006500</v>
      </c>
      <c r="AH1389" s="96">
        <v>0</v>
      </c>
      <c r="AI1389" s="136">
        <f>AE1389-AF1389+AG1389-AH1389</f>
        <v>166006500</v>
      </c>
      <c r="AJ1389" s="43">
        <f>AD1389+AI1389</f>
        <v>166006500</v>
      </c>
      <c r="AK1389" s="44">
        <v>0</v>
      </c>
      <c r="AL1389" s="115">
        <v>0</v>
      </c>
      <c r="AM1389" s="115">
        <v>0</v>
      </c>
      <c r="AN1389" s="97">
        <v>0</v>
      </c>
      <c r="AO1389" s="44">
        <v>0</v>
      </c>
      <c r="AP1389" s="44">
        <v>0</v>
      </c>
      <c r="AQ1389" s="44">
        <v>0</v>
      </c>
      <c r="AR1389" s="44">
        <v>0</v>
      </c>
      <c r="AS1389" s="44">
        <v>0</v>
      </c>
      <c r="AT1389" s="40">
        <f t="shared" ref="AT1389" si="566">AQ1389+AS1389</f>
        <v>0</v>
      </c>
      <c r="AU1389" s="110">
        <f>AJ1389-AM1389</f>
        <v>166006500</v>
      </c>
      <c r="AV1389" s="133">
        <f>AM1389-AP1389</f>
        <v>0</v>
      </c>
      <c r="AW1389" s="34">
        <f>AP1389-AT1389</f>
        <v>0</v>
      </c>
      <c r="AX1389" s="123">
        <f>AP1389/AJ1389</f>
        <v>0</v>
      </c>
    </row>
    <row r="1390" spans="27:50" x14ac:dyDescent="0.2">
      <c r="AA1390" s="240"/>
      <c r="AB1390" s="138" t="s">
        <v>1354</v>
      </c>
      <c r="AC1390" s="96"/>
      <c r="AD1390" s="44"/>
      <c r="AE1390" s="96"/>
      <c r="AF1390" s="96"/>
      <c r="AG1390" s="43"/>
      <c r="AH1390" s="96"/>
      <c r="AI1390" s="136"/>
      <c r="AJ1390" s="43"/>
      <c r="AK1390" s="44"/>
      <c r="AL1390" s="115"/>
      <c r="AM1390" s="115"/>
      <c r="AN1390" s="97"/>
      <c r="AO1390" s="44"/>
      <c r="AP1390" s="44"/>
      <c r="AQ1390" s="44"/>
      <c r="AR1390" s="44"/>
      <c r="AS1390" s="44"/>
      <c r="AT1390" s="40"/>
      <c r="AU1390" s="110"/>
      <c r="AV1390" s="133"/>
      <c r="AW1390" s="34"/>
      <c r="AX1390" s="123"/>
    </row>
    <row r="1391" spans="27:50" x14ac:dyDescent="0.2">
      <c r="AA1391" s="240" t="s">
        <v>288</v>
      </c>
      <c r="AB1391" s="138" t="s">
        <v>1355</v>
      </c>
      <c r="AC1391" s="96"/>
      <c r="AD1391" s="44"/>
      <c r="AE1391" s="96"/>
      <c r="AF1391" s="96"/>
      <c r="AG1391" s="43"/>
      <c r="AH1391" s="96"/>
      <c r="AI1391" s="136"/>
      <c r="AJ1391" s="43"/>
      <c r="AK1391" s="44"/>
      <c r="AL1391" s="115"/>
      <c r="AM1391" s="115"/>
      <c r="AN1391" s="97"/>
      <c r="AO1391" s="44"/>
      <c r="AP1391" s="44"/>
      <c r="AQ1391" s="44"/>
      <c r="AR1391" s="44"/>
      <c r="AS1391" s="44"/>
      <c r="AT1391" s="40"/>
      <c r="AU1391" s="110"/>
      <c r="AV1391" s="133"/>
      <c r="AW1391" s="34"/>
      <c r="AX1391" s="123"/>
    </row>
    <row r="1392" spans="27:50" x14ac:dyDescent="0.2">
      <c r="AA1392" s="94" t="s">
        <v>713</v>
      </c>
      <c r="AB1392" s="95" t="s">
        <v>961</v>
      </c>
      <c r="AC1392" s="96"/>
      <c r="AD1392" s="44">
        <v>0</v>
      </c>
      <c r="AE1392" s="96">
        <v>0</v>
      </c>
      <c r="AF1392" s="96">
        <v>0</v>
      </c>
      <c r="AG1392" s="313">
        <v>800000000</v>
      </c>
      <c r="AH1392" s="43">
        <v>800000000</v>
      </c>
      <c r="AI1392" s="136">
        <f>AE1392-AF1392+AG1392-AH1392</f>
        <v>0</v>
      </c>
      <c r="AJ1392" s="43">
        <f>AD1392+AI1392</f>
        <v>0</v>
      </c>
      <c r="AK1392" s="44">
        <v>0</v>
      </c>
      <c r="AL1392" s="115">
        <v>0</v>
      </c>
      <c r="AM1392" s="115">
        <v>0</v>
      </c>
      <c r="AN1392" s="97">
        <v>0</v>
      </c>
      <c r="AO1392" s="44">
        <v>0</v>
      </c>
      <c r="AP1392" s="44">
        <v>0</v>
      </c>
      <c r="AQ1392" s="44">
        <v>0</v>
      </c>
      <c r="AR1392" s="44">
        <v>0</v>
      </c>
      <c r="AS1392" s="44">
        <v>0</v>
      </c>
      <c r="AT1392" s="40">
        <f t="shared" ref="AT1392" si="567">AQ1392+AS1392</f>
        <v>0</v>
      </c>
      <c r="AU1392" s="133">
        <f>AJ1392-AM1392</f>
        <v>0</v>
      </c>
      <c r="AV1392" s="133">
        <f>AM1392-AP1392</f>
        <v>0</v>
      </c>
      <c r="AW1392" s="34">
        <f>AP1392-AT1392</f>
        <v>0</v>
      </c>
      <c r="AX1392" s="123">
        <v>0</v>
      </c>
    </row>
    <row r="1393" spans="27:50" x14ac:dyDescent="0.2">
      <c r="AA1393" s="89"/>
      <c r="AB1393" s="91"/>
      <c r="AC1393" s="91"/>
      <c r="AD1393" s="18"/>
      <c r="AE1393" s="92"/>
      <c r="AF1393" s="92"/>
      <c r="AG1393" s="92"/>
      <c r="AH1393" s="92"/>
      <c r="AI1393" s="92"/>
      <c r="AJ1393" s="18"/>
      <c r="AK1393" s="98"/>
      <c r="AL1393" s="98"/>
      <c r="AM1393" s="98"/>
      <c r="AN1393" s="98"/>
      <c r="AO1393" s="98"/>
      <c r="AP1393" s="98"/>
      <c r="AQ1393" s="98"/>
      <c r="AR1393" s="98"/>
      <c r="AS1393" s="92"/>
      <c r="AT1393" s="30"/>
      <c r="AU1393" s="18"/>
      <c r="AV1393" s="18"/>
      <c r="AW1393" s="18"/>
      <c r="AX1393" s="92"/>
    </row>
    <row r="1394" spans="27:50" x14ac:dyDescent="0.2">
      <c r="AA1394" s="89"/>
      <c r="AB1394" s="279" t="s">
        <v>1274</v>
      </c>
      <c r="AC1394" s="91"/>
      <c r="AD1394" s="18"/>
      <c r="AE1394" s="92"/>
      <c r="AF1394" s="92"/>
      <c r="AG1394" s="92"/>
      <c r="AH1394" s="92"/>
      <c r="AI1394" s="92"/>
      <c r="AJ1394" s="18"/>
      <c r="AK1394" s="98"/>
      <c r="AL1394" s="98"/>
      <c r="AM1394" s="98"/>
      <c r="AN1394" s="98"/>
      <c r="AO1394" s="98"/>
      <c r="AP1394" s="98"/>
      <c r="AQ1394" s="98"/>
      <c r="AR1394" s="98"/>
      <c r="AS1394" s="92"/>
      <c r="AT1394" s="30"/>
      <c r="AU1394" s="18"/>
      <c r="AV1394" s="18"/>
      <c r="AW1394" s="18"/>
      <c r="AX1394" s="92"/>
    </row>
    <row r="1395" spans="27:50" x14ac:dyDescent="0.2">
      <c r="AA1395" s="89"/>
      <c r="AB1395" s="90" t="s">
        <v>199</v>
      </c>
      <c r="AC1395" s="91"/>
      <c r="AD1395" s="18"/>
      <c r="AE1395" s="92"/>
      <c r="AF1395" s="92"/>
      <c r="AG1395" s="92"/>
      <c r="AH1395" s="92"/>
      <c r="AI1395" s="92"/>
      <c r="AJ1395" s="18"/>
      <c r="AK1395" s="98"/>
      <c r="AL1395" s="98"/>
      <c r="AM1395" s="98"/>
      <c r="AN1395" s="98"/>
      <c r="AO1395" s="98"/>
      <c r="AP1395" s="98"/>
      <c r="AQ1395" s="98"/>
      <c r="AR1395" s="98"/>
      <c r="AS1395" s="92"/>
      <c r="AT1395" s="30"/>
      <c r="AU1395" s="18"/>
      <c r="AV1395" s="18"/>
      <c r="AW1395" s="18"/>
      <c r="AX1395" s="92"/>
    </row>
    <row r="1396" spans="27:50" x14ac:dyDescent="0.2">
      <c r="AA1396" s="170" t="s">
        <v>288</v>
      </c>
      <c r="AB1396" s="165" t="s">
        <v>1164</v>
      </c>
      <c r="AC1396" s="237"/>
      <c r="AD1396" s="44"/>
      <c r="AE1396" s="96"/>
      <c r="AF1396" s="96"/>
      <c r="AG1396" s="43"/>
      <c r="AH1396" s="96"/>
      <c r="AI1396" s="136"/>
      <c r="AJ1396" s="43"/>
      <c r="AK1396" s="44"/>
      <c r="AL1396" s="115"/>
      <c r="AM1396" s="114"/>
      <c r="AN1396" s="97"/>
      <c r="AO1396" s="43"/>
      <c r="AP1396" s="43"/>
      <c r="AQ1396" s="43"/>
      <c r="AR1396" s="96"/>
      <c r="AS1396" s="97"/>
      <c r="AT1396" s="135"/>
      <c r="AU1396" s="110"/>
      <c r="AV1396" s="133"/>
      <c r="AW1396" s="18"/>
      <c r="AX1396" s="123"/>
    </row>
    <row r="1397" spans="27:50" x14ac:dyDescent="0.2">
      <c r="AA1397" s="166" t="s">
        <v>1165</v>
      </c>
      <c r="AB1397" s="167" t="s">
        <v>1015</v>
      </c>
      <c r="AC1397" s="237"/>
      <c r="AD1397" s="44">
        <v>0</v>
      </c>
      <c r="AE1397" s="43">
        <v>400000000</v>
      </c>
      <c r="AF1397" s="216">
        <v>0</v>
      </c>
      <c r="AG1397" s="168">
        <v>198993500</v>
      </c>
      <c r="AH1397" s="168">
        <v>15000000</v>
      </c>
      <c r="AI1397" s="136">
        <f>AE1397-AF1397+AG1397-AH1397</f>
        <v>583993500</v>
      </c>
      <c r="AJ1397" s="43">
        <f>AD1397+AI1397</f>
        <v>583993500</v>
      </c>
      <c r="AK1397" s="44">
        <v>0</v>
      </c>
      <c r="AL1397" s="43">
        <v>0</v>
      </c>
      <c r="AM1397" s="43">
        <v>397986999.57999998</v>
      </c>
      <c r="AN1397" s="97">
        <v>0</v>
      </c>
      <c r="AO1397" s="43">
        <v>0</v>
      </c>
      <c r="AP1397" s="43">
        <v>397986999.57999998</v>
      </c>
      <c r="AQ1397" s="44">
        <v>0</v>
      </c>
      <c r="AR1397" s="96">
        <v>0</v>
      </c>
      <c r="AS1397" s="97">
        <v>0</v>
      </c>
      <c r="AT1397" s="40">
        <f t="shared" ref="AT1397" si="568">AQ1397+AS1397</f>
        <v>0</v>
      </c>
      <c r="AU1397" s="110">
        <f>AJ1397-AM1397</f>
        <v>186006500.42000002</v>
      </c>
      <c r="AV1397" s="34">
        <f>AM1397-AP1397</f>
        <v>0</v>
      </c>
      <c r="AW1397" s="18">
        <f>AP1397-AT1397</f>
        <v>397986999.57999998</v>
      </c>
      <c r="AX1397" s="123">
        <f>AP1397/AJ1397</f>
        <v>0.68149217342316304</v>
      </c>
    </row>
    <row r="1398" spans="27:50" x14ac:dyDescent="0.2">
      <c r="AA1398" s="93" t="s">
        <v>288</v>
      </c>
      <c r="AB1398" s="90" t="s">
        <v>782</v>
      </c>
      <c r="AC1398" s="91"/>
      <c r="AD1398" s="18"/>
      <c r="AE1398" s="92"/>
      <c r="AF1398" s="92"/>
      <c r="AG1398" s="92"/>
      <c r="AH1398" s="92"/>
      <c r="AI1398" s="92"/>
      <c r="AJ1398" s="18"/>
      <c r="AK1398" s="98"/>
      <c r="AL1398" s="98"/>
      <c r="AM1398" s="98"/>
      <c r="AN1398" s="98"/>
      <c r="AO1398" s="98"/>
      <c r="AP1398" s="98"/>
      <c r="AQ1398" s="98"/>
      <c r="AR1398" s="98"/>
      <c r="AS1398" s="92"/>
      <c r="AT1398" s="30"/>
      <c r="AU1398" s="18"/>
      <c r="AV1398" s="18"/>
      <c r="AW1398" s="18"/>
      <c r="AX1398" s="92"/>
    </row>
    <row r="1399" spans="27:50" ht="25.5" x14ac:dyDescent="0.2">
      <c r="AA1399" s="94" t="s">
        <v>783</v>
      </c>
      <c r="AB1399" s="95" t="s">
        <v>784</v>
      </c>
      <c r="AC1399" s="96" t="s">
        <v>368</v>
      </c>
      <c r="AD1399" s="43">
        <v>40000000</v>
      </c>
      <c r="AE1399" s="96">
        <v>0</v>
      </c>
      <c r="AF1399" s="216">
        <v>0</v>
      </c>
      <c r="AG1399" s="216">
        <v>0</v>
      </c>
      <c r="AH1399" s="216">
        <v>0</v>
      </c>
      <c r="AI1399" s="97">
        <f>AE1399-AF1399+AG1399-AH1399</f>
        <v>0</v>
      </c>
      <c r="AJ1399" s="43">
        <f>AD1399+AI1399</f>
        <v>40000000</v>
      </c>
      <c r="AK1399" s="97">
        <v>0</v>
      </c>
      <c r="AL1399" s="34">
        <v>0</v>
      </c>
      <c r="AM1399" s="137">
        <v>0</v>
      </c>
      <c r="AN1399" s="97">
        <v>0</v>
      </c>
      <c r="AO1399" s="97">
        <v>0</v>
      </c>
      <c r="AP1399" s="97">
        <v>0</v>
      </c>
      <c r="AQ1399" s="97">
        <v>0</v>
      </c>
      <c r="AR1399" s="97">
        <v>0</v>
      </c>
      <c r="AS1399" s="97">
        <v>0</v>
      </c>
      <c r="AT1399" s="135">
        <f t="shared" ref="AT1399:AT1401" si="569">AQ1399+AS1399</f>
        <v>0</v>
      </c>
      <c r="AU1399" s="110">
        <f>AJ1399-AM1399</f>
        <v>40000000</v>
      </c>
      <c r="AV1399" s="133">
        <f>AM1399-AP1399</f>
        <v>0</v>
      </c>
      <c r="AW1399" s="133">
        <f>AP1399-AT1399</f>
        <v>0</v>
      </c>
      <c r="AX1399" s="123">
        <f>AP1399/AJ1399</f>
        <v>0</v>
      </c>
    </row>
    <row r="1400" spans="27:50" ht="25.5" x14ac:dyDescent="0.2">
      <c r="AA1400" s="94" t="s">
        <v>785</v>
      </c>
      <c r="AB1400" s="242" t="s">
        <v>786</v>
      </c>
      <c r="AC1400" s="96" t="s">
        <v>258</v>
      </c>
      <c r="AD1400" s="43">
        <v>2438425656.1900001</v>
      </c>
      <c r="AE1400" s="96">
        <v>0</v>
      </c>
      <c r="AF1400" s="216">
        <v>0</v>
      </c>
      <c r="AG1400" s="216">
        <v>0</v>
      </c>
      <c r="AH1400" s="216">
        <v>0</v>
      </c>
      <c r="AI1400" s="97">
        <f t="shared" ref="AI1400:AI1401" si="570">AE1400-AF1400+AG1400-AH1400</f>
        <v>0</v>
      </c>
      <c r="AJ1400" s="43">
        <f t="shared" ref="AJ1400:AJ1401" si="571">AD1400+AI1400</f>
        <v>2438425656.1900001</v>
      </c>
      <c r="AK1400" s="44">
        <v>0</v>
      </c>
      <c r="AL1400" s="114">
        <v>0</v>
      </c>
      <c r="AM1400" s="114">
        <v>55000000</v>
      </c>
      <c r="AN1400" s="92">
        <v>0</v>
      </c>
      <c r="AO1400" s="147">
        <v>0</v>
      </c>
      <c r="AP1400" s="18">
        <v>55000000</v>
      </c>
      <c r="AQ1400" s="43">
        <v>0</v>
      </c>
      <c r="AR1400" s="18">
        <v>5500000</v>
      </c>
      <c r="AS1400" s="43">
        <v>33000000</v>
      </c>
      <c r="AT1400" s="39">
        <f t="shared" si="569"/>
        <v>33000000</v>
      </c>
      <c r="AU1400" s="110">
        <f>AJ1400-AM1400</f>
        <v>2383425656.1900001</v>
      </c>
      <c r="AV1400" s="133">
        <f>AM1400-AP1400</f>
        <v>0</v>
      </c>
      <c r="AW1400" s="18">
        <f>AP1400-AT1400</f>
        <v>22000000</v>
      </c>
      <c r="AX1400" s="123">
        <f>AP1400/AJ1400</f>
        <v>2.2555536954912372E-2</v>
      </c>
    </row>
    <row r="1401" spans="27:50" ht="25.5" x14ac:dyDescent="0.2">
      <c r="AA1401" s="166" t="s">
        <v>1197</v>
      </c>
      <c r="AB1401" s="242" t="s">
        <v>1198</v>
      </c>
      <c r="AC1401" s="96"/>
      <c r="AD1401" s="43">
        <v>0</v>
      </c>
      <c r="AE1401" s="43">
        <v>57159458.270000003</v>
      </c>
      <c r="AF1401" s="216">
        <v>0</v>
      </c>
      <c r="AG1401" s="216">
        <v>0</v>
      </c>
      <c r="AH1401" s="216">
        <v>0</v>
      </c>
      <c r="AI1401" s="136">
        <f t="shared" si="570"/>
        <v>57159458.270000003</v>
      </c>
      <c r="AJ1401" s="43">
        <f t="shared" si="571"/>
        <v>57159458.270000003</v>
      </c>
      <c r="AK1401" s="44">
        <v>0</v>
      </c>
      <c r="AL1401" s="115">
        <v>0</v>
      </c>
      <c r="AM1401" s="34">
        <v>0</v>
      </c>
      <c r="AN1401" s="98">
        <v>0</v>
      </c>
      <c r="AO1401" s="145">
        <v>0</v>
      </c>
      <c r="AP1401" s="34">
        <v>0</v>
      </c>
      <c r="AQ1401" s="97">
        <v>0</v>
      </c>
      <c r="AR1401" s="34">
        <v>0</v>
      </c>
      <c r="AS1401" s="44">
        <v>0</v>
      </c>
      <c r="AT1401" s="40">
        <f t="shared" si="569"/>
        <v>0</v>
      </c>
      <c r="AU1401" s="110">
        <f>AJ1401-AM1401</f>
        <v>57159458.270000003</v>
      </c>
      <c r="AV1401" s="133">
        <f>AM1401-AP1401</f>
        <v>0</v>
      </c>
      <c r="AW1401" s="133">
        <f>AP1401-AT1401</f>
        <v>0</v>
      </c>
      <c r="AX1401" s="123">
        <f>AP1401/AJ1401</f>
        <v>0</v>
      </c>
    </row>
    <row r="1402" spans="27:50" ht="38.25" x14ac:dyDescent="0.2">
      <c r="AA1402" s="240" t="s">
        <v>288</v>
      </c>
      <c r="AB1402" s="138" t="s">
        <v>1186</v>
      </c>
      <c r="AC1402" s="96"/>
      <c r="AD1402" s="44"/>
      <c r="AE1402" s="96"/>
      <c r="AF1402" s="96"/>
      <c r="AG1402" s="96"/>
      <c r="AH1402" s="96"/>
      <c r="AI1402" s="96"/>
      <c r="AJ1402" s="43"/>
      <c r="AK1402" s="44"/>
      <c r="AL1402" s="44"/>
      <c r="AM1402" s="34"/>
      <c r="AN1402" s="34"/>
      <c r="AO1402" s="34"/>
      <c r="AP1402" s="44"/>
      <c r="AQ1402" s="44"/>
      <c r="AR1402" s="44"/>
      <c r="AS1402" s="44"/>
      <c r="AT1402" s="135"/>
      <c r="AU1402" s="133"/>
      <c r="AV1402" s="133"/>
      <c r="AW1402" s="133"/>
      <c r="AX1402" s="123"/>
    </row>
    <row r="1403" spans="27:50" x14ac:dyDescent="0.2">
      <c r="AA1403" s="173" t="s">
        <v>1187</v>
      </c>
      <c r="AB1403" s="95" t="s">
        <v>1188</v>
      </c>
      <c r="AC1403" s="96"/>
      <c r="AD1403" s="44">
        <v>0</v>
      </c>
      <c r="AE1403" s="43">
        <v>350000000</v>
      </c>
      <c r="AF1403" s="216">
        <v>0</v>
      </c>
      <c r="AG1403" s="216">
        <v>0</v>
      </c>
      <c r="AH1403" s="168">
        <v>350000000</v>
      </c>
      <c r="AI1403" s="97">
        <f>AE1403-AF1403+AG1403-AH1403</f>
        <v>0</v>
      </c>
      <c r="AJ1403" s="44">
        <f>AD1403+AI1403</f>
        <v>0</v>
      </c>
      <c r="AK1403" s="44">
        <v>0</v>
      </c>
      <c r="AL1403" s="44">
        <v>0</v>
      </c>
      <c r="AM1403" s="34">
        <v>0</v>
      </c>
      <c r="AN1403" s="34">
        <v>0</v>
      </c>
      <c r="AO1403" s="34">
        <v>0</v>
      </c>
      <c r="AP1403" s="44">
        <v>0</v>
      </c>
      <c r="AQ1403" s="44">
        <v>0</v>
      </c>
      <c r="AR1403" s="44">
        <v>0</v>
      </c>
      <c r="AS1403" s="44">
        <v>0</v>
      </c>
      <c r="AT1403" s="135">
        <f t="shared" ref="AT1403" si="572">AQ1403+AS1403</f>
        <v>0</v>
      </c>
      <c r="AU1403" s="34">
        <f>AJ1403-AM1403</f>
        <v>0</v>
      </c>
      <c r="AV1403" s="34">
        <f>AM1403-AP1403</f>
        <v>0</v>
      </c>
      <c r="AW1403" s="133">
        <f>AP1403-AT1403</f>
        <v>0</v>
      </c>
      <c r="AX1403" s="123">
        <v>0</v>
      </c>
    </row>
    <row r="1404" spans="27:50" x14ac:dyDescent="0.2">
      <c r="AA1404" s="166"/>
      <c r="AB1404" s="242"/>
      <c r="AC1404" s="96"/>
      <c r="AD1404" s="43"/>
      <c r="AE1404" s="43"/>
      <c r="AF1404" s="216"/>
      <c r="AG1404" s="216"/>
      <c r="AH1404" s="216"/>
      <c r="AI1404" s="136"/>
      <c r="AJ1404" s="43"/>
      <c r="AK1404" s="44"/>
      <c r="AL1404" s="115"/>
      <c r="AM1404" s="34"/>
      <c r="AN1404" s="98"/>
      <c r="AO1404" s="145"/>
      <c r="AP1404" s="34"/>
      <c r="AQ1404" s="97"/>
      <c r="AR1404" s="34"/>
      <c r="AS1404" s="44"/>
      <c r="AT1404" s="40"/>
      <c r="AU1404" s="110"/>
      <c r="AV1404" s="133"/>
      <c r="AW1404" s="133"/>
      <c r="AX1404" s="123"/>
    </row>
    <row r="1405" spans="27:50" x14ac:dyDescent="0.2">
      <c r="AA1405" s="166"/>
      <c r="AB1405" s="280" t="s">
        <v>1275</v>
      </c>
      <c r="AC1405" s="96"/>
      <c r="AD1405" s="43"/>
      <c r="AE1405" s="43"/>
      <c r="AF1405" s="216"/>
      <c r="AG1405" s="216"/>
      <c r="AH1405" s="216"/>
      <c r="AI1405" s="136"/>
      <c r="AJ1405" s="43"/>
      <c r="AK1405" s="44"/>
      <c r="AL1405" s="115"/>
      <c r="AM1405" s="34"/>
      <c r="AN1405" s="98"/>
      <c r="AO1405" s="145"/>
      <c r="AP1405" s="34"/>
      <c r="AQ1405" s="97"/>
      <c r="AR1405" s="34"/>
      <c r="AS1405" s="44"/>
      <c r="AT1405" s="40"/>
      <c r="AU1405" s="110"/>
      <c r="AV1405" s="133"/>
      <c r="AW1405" s="133"/>
      <c r="AX1405" s="123"/>
    </row>
    <row r="1406" spans="27:50" ht="18.75" customHeight="1" x14ac:dyDescent="0.2">
      <c r="AA1406" s="94" t="s">
        <v>798</v>
      </c>
      <c r="AB1406" s="95" t="s">
        <v>799</v>
      </c>
      <c r="AC1406" s="96" t="s">
        <v>368</v>
      </c>
      <c r="AD1406" s="43">
        <v>20000000</v>
      </c>
      <c r="AE1406" s="96">
        <v>0</v>
      </c>
      <c r="AF1406" s="216">
        <v>0</v>
      </c>
      <c r="AG1406" s="216">
        <v>0</v>
      </c>
      <c r="AH1406" s="216">
        <v>0</v>
      </c>
      <c r="AI1406" s="136">
        <f t="shared" ref="AI1406:AI1407" si="573">AE1406-AF1406+AG1406-AH1406</f>
        <v>0</v>
      </c>
      <c r="AJ1406" s="43">
        <f t="shared" ref="AJ1406:AJ1407" si="574">AD1406+AI1406</f>
        <v>20000000</v>
      </c>
      <c r="AK1406" s="44">
        <v>0</v>
      </c>
      <c r="AL1406" s="43">
        <f>AM1406-AGOSTO!AM1360</f>
        <v>12979847</v>
      </c>
      <c r="AM1406" s="43">
        <v>12979847</v>
      </c>
      <c r="AN1406" s="44">
        <v>0</v>
      </c>
      <c r="AO1406" s="43">
        <v>0</v>
      </c>
      <c r="AP1406" s="43">
        <v>0</v>
      </c>
      <c r="AQ1406" s="44">
        <v>0</v>
      </c>
      <c r="AR1406" s="44">
        <v>0</v>
      </c>
      <c r="AS1406" s="44">
        <v>0</v>
      </c>
      <c r="AT1406" s="135">
        <f t="shared" ref="AT1406:AT1407" si="575">AQ1406+AS1406</f>
        <v>0</v>
      </c>
      <c r="AU1406" s="110">
        <f t="shared" ref="AU1406:AU1407" si="576">AJ1406-AM1406</f>
        <v>7020153</v>
      </c>
      <c r="AV1406" s="18">
        <f t="shared" ref="AV1406:AV1407" si="577">AM1406-AP1406</f>
        <v>12979847</v>
      </c>
      <c r="AW1406" s="18">
        <f t="shared" ref="AW1406:AW1407" si="578">AP1406-AT1406</f>
        <v>0</v>
      </c>
      <c r="AX1406" s="123">
        <f t="shared" ref="AX1406:AX1407" si="579">AP1406/AJ1406</f>
        <v>0</v>
      </c>
    </row>
    <row r="1407" spans="27:50" x14ac:dyDescent="0.2">
      <c r="AA1407" s="94" t="s">
        <v>800</v>
      </c>
      <c r="AB1407" s="95" t="s">
        <v>801</v>
      </c>
      <c r="AC1407" s="96" t="s">
        <v>802</v>
      </c>
      <c r="AD1407" s="43">
        <v>300000000</v>
      </c>
      <c r="AE1407" s="96">
        <v>0</v>
      </c>
      <c r="AF1407" s="216">
        <v>0</v>
      </c>
      <c r="AG1407" s="216">
        <v>0</v>
      </c>
      <c r="AH1407" s="216">
        <v>0</v>
      </c>
      <c r="AI1407" s="136">
        <f t="shared" si="573"/>
        <v>0</v>
      </c>
      <c r="AJ1407" s="43">
        <f t="shared" si="574"/>
        <v>300000000</v>
      </c>
      <c r="AK1407" s="44">
        <v>0</v>
      </c>
      <c r="AL1407" s="18">
        <f>AM1407-AGOSTO!AM1361</f>
        <v>24500000</v>
      </c>
      <c r="AM1407" s="18">
        <v>290950000</v>
      </c>
      <c r="AN1407" s="34">
        <v>0</v>
      </c>
      <c r="AO1407" s="18">
        <v>14000000</v>
      </c>
      <c r="AP1407" s="18">
        <v>280450000</v>
      </c>
      <c r="AQ1407" s="43">
        <v>0</v>
      </c>
      <c r="AR1407" s="43">
        <v>5000000</v>
      </c>
      <c r="AS1407" s="43">
        <v>266450000</v>
      </c>
      <c r="AT1407" s="111">
        <f t="shared" si="575"/>
        <v>266450000</v>
      </c>
      <c r="AU1407" s="110">
        <f t="shared" si="576"/>
        <v>9050000</v>
      </c>
      <c r="AV1407" s="18">
        <f t="shared" si="577"/>
        <v>10500000</v>
      </c>
      <c r="AW1407" s="18">
        <f t="shared" si="578"/>
        <v>14000000</v>
      </c>
      <c r="AX1407" s="123">
        <f t="shared" si="579"/>
        <v>0.93483333333333329</v>
      </c>
    </row>
    <row r="1408" spans="27:50" x14ac:dyDescent="0.2">
      <c r="AA1408" s="89"/>
      <c r="AB1408" s="91"/>
      <c r="AC1408" s="91"/>
      <c r="AD1408" s="18"/>
      <c r="AE1408" s="92"/>
      <c r="AF1408" s="92"/>
      <c r="AG1408" s="92"/>
      <c r="AH1408" s="92"/>
      <c r="AI1408" s="92"/>
      <c r="AJ1408" s="92"/>
      <c r="AK1408" s="98"/>
      <c r="AL1408" s="92"/>
      <c r="AM1408" s="92"/>
      <c r="AN1408" s="98"/>
      <c r="AO1408" s="92"/>
      <c r="AP1408" s="92"/>
      <c r="AQ1408" s="98"/>
      <c r="AR1408" s="92"/>
      <c r="AS1408" s="92"/>
      <c r="AT1408" s="92"/>
      <c r="AU1408" s="92"/>
      <c r="AV1408" s="92"/>
      <c r="AW1408" s="92"/>
      <c r="AX1408" s="92"/>
    </row>
    <row r="1409" spans="2:50" s="50" customFormat="1" x14ac:dyDescent="0.2">
      <c r="B1409" s="77"/>
      <c r="C1409" s="77"/>
      <c r="D1409" s="77"/>
      <c r="E1409" s="77"/>
      <c r="F1409" s="77"/>
      <c r="G1409" s="77"/>
      <c r="H1409" s="77"/>
      <c r="I1409" s="77"/>
      <c r="J1409" s="77"/>
      <c r="K1409" s="77"/>
      <c r="L1409" s="77"/>
      <c r="M1409" s="77"/>
      <c r="N1409" s="77"/>
      <c r="O1409" s="77"/>
      <c r="P1409" s="77"/>
      <c r="Q1409" s="77"/>
      <c r="R1409" s="77"/>
      <c r="S1409" s="77"/>
      <c r="T1409" s="77"/>
      <c r="U1409" s="77"/>
      <c r="V1409" s="77"/>
      <c r="W1409" s="77"/>
      <c r="X1409" s="77"/>
      <c r="Y1409" s="77"/>
      <c r="Z1409" s="77"/>
      <c r="AA1409" s="46"/>
      <c r="AB1409" s="47" t="s">
        <v>833</v>
      </c>
      <c r="AC1409" s="47"/>
      <c r="AD1409" s="48">
        <f t="shared" ref="AD1409:AW1409" si="580">SUM(AD1314:AD1408)</f>
        <v>260924476092</v>
      </c>
      <c r="AE1409" s="48">
        <f t="shared" si="580"/>
        <v>18437721256.830002</v>
      </c>
      <c r="AF1409" s="49">
        <f t="shared" si="580"/>
        <v>0</v>
      </c>
      <c r="AG1409" s="48">
        <f>SUM(AG1314:AG1408)</f>
        <v>6862120240</v>
      </c>
      <c r="AH1409" s="48">
        <f>SUM(AH1314:AH1408)</f>
        <v>6837720240</v>
      </c>
      <c r="AI1409" s="48">
        <f t="shared" si="580"/>
        <v>18462121256.830002</v>
      </c>
      <c r="AJ1409" s="48">
        <f t="shared" si="580"/>
        <v>279386597348.82996</v>
      </c>
      <c r="AK1409" s="49">
        <f t="shared" si="580"/>
        <v>0</v>
      </c>
      <c r="AL1409" s="48">
        <f t="shared" si="580"/>
        <v>316900668</v>
      </c>
      <c r="AM1409" s="48">
        <f t="shared" si="580"/>
        <v>241970147981.57999</v>
      </c>
      <c r="AN1409" s="49">
        <f t="shared" si="580"/>
        <v>0</v>
      </c>
      <c r="AO1409" s="48">
        <f t="shared" si="580"/>
        <v>20674872590.43</v>
      </c>
      <c r="AP1409" s="48">
        <f t="shared" si="580"/>
        <v>175733228183.85999</v>
      </c>
      <c r="AQ1409" s="48">
        <f t="shared" si="580"/>
        <v>56510000</v>
      </c>
      <c r="AR1409" s="48">
        <f t="shared" si="580"/>
        <v>20561596611.43</v>
      </c>
      <c r="AS1409" s="48">
        <f t="shared" si="580"/>
        <v>169548860998.60999</v>
      </c>
      <c r="AT1409" s="48">
        <f t="shared" si="580"/>
        <v>169605370998.60999</v>
      </c>
      <c r="AU1409" s="48">
        <f t="shared" si="580"/>
        <v>37416449367.249992</v>
      </c>
      <c r="AV1409" s="48">
        <f t="shared" si="580"/>
        <v>66236919797.720009</v>
      </c>
      <c r="AW1409" s="48">
        <f t="shared" si="580"/>
        <v>6127857185.25</v>
      </c>
      <c r="AX1409" s="24">
        <f>AP1409/AJ1409</f>
        <v>0.62899662994373029</v>
      </c>
    </row>
    <row r="1414" spans="2:50" ht="13.5" thickBot="1" x14ac:dyDescent="0.25">
      <c r="AB1414" s="152"/>
    </row>
    <row r="1415" spans="2:50" ht="15.75" x14ac:dyDescent="0.2">
      <c r="AB1415" s="153" t="s">
        <v>914</v>
      </c>
    </row>
    <row r="1416" spans="2:50" x14ac:dyDescent="0.2">
      <c r="AB1416" s="154" t="s">
        <v>916</v>
      </c>
    </row>
    <row r="1417" spans="2:50" x14ac:dyDescent="0.2">
      <c r="AB1417" s="154" t="s">
        <v>917</v>
      </c>
    </row>
    <row r="1421" spans="2:50" x14ac:dyDescent="0.2">
      <c r="AE1421" s="281"/>
    </row>
  </sheetData>
  <mergeCells count="23">
    <mergeCell ref="AX7:AX8"/>
    <mergeCell ref="AK7:AM7"/>
    <mergeCell ref="AN7:AP7"/>
    <mergeCell ref="AQ7:AS7"/>
    <mergeCell ref="AU7:AU8"/>
    <mergeCell ref="AV7:AV8"/>
    <mergeCell ref="AW7:AW8"/>
    <mergeCell ref="A4:AX4"/>
    <mergeCell ref="AJ7:AJ8"/>
    <mergeCell ref="A2:AW2"/>
    <mergeCell ref="A3:AW3"/>
    <mergeCell ref="A5:AW5"/>
    <mergeCell ref="A7:A9"/>
    <mergeCell ref="B7:B9"/>
    <mergeCell ref="AA7:AA9"/>
    <mergeCell ref="AB7:AB9"/>
    <mergeCell ref="AC7:AC9"/>
    <mergeCell ref="AD7:AD8"/>
    <mergeCell ref="AE7:AE8"/>
    <mergeCell ref="AF7:AF8"/>
    <mergeCell ref="AG7:AG8"/>
    <mergeCell ref="AH7:AH8"/>
    <mergeCell ref="AI7:AI8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ENERO</vt:lpstr>
      <vt:lpstr>FEBRERO</vt:lpstr>
      <vt:lpstr>MARZO 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Yolanda Baron Pedraza</dc:creator>
  <cp:lastModifiedBy>Ruben Ayala Martinez</cp:lastModifiedBy>
  <dcterms:created xsi:type="dcterms:W3CDTF">2021-03-03T20:54:24Z</dcterms:created>
  <dcterms:modified xsi:type="dcterms:W3CDTF">2021-12-09T17:16:43Z</dcterms:modified>
</cp:coreProperties>
</file>